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BOOKING REPORT 2025-26" sheetId="1" r:id="rId5"/>
    <sheet state="hidden" name="Segment RAW Data 25-26" sheetId="2" r:id="rId6"/>
    <sheet state="visible" name="Low Performers " sheetId="3" r:id="rId7"/>
    <sheet state="visible" name="Summary 25-26" sheetId="4" r:id="rId8"/>
    <sheet state="visible" name="Segment Report 25-26" sheetId="5" r:id="rId9"/>
    <sheet state="visible" name="Data" sheetId="6" r:id="rId10"/>
    <sheet state="visible" name="Category Wise Report 25-26" sheetId="7" r:id="rId11"/>
    <sheet state="visible" name="Distributor wise order booking " sheetId="8" r:id="rId12"/>
    <sheet state="visible" name="HP PB RSM Sale" sheetId="9" r:id="rId13"/>
    <sheet state="hidden" name="25-26 ( Half yearly)" sheetId="10" r:id="rId14"/>
    <sheet state="visible" name="Comparison Report State wise (L" sheetId="11" r:id="rId15"/>
    <sheet state="visible" name="Statewise Team Member Report (2" sheetId="12" r:id="rId16"/>
    <sheet state="hidden" name="Attendance" sheetId="13" r:id="rId17"/>
    <sheet state="hidden" name="25-26(Q1)" sheetId="14" r:id="rId18"/>
    <sheet state="visible" name="Area Head Wise Comparison Repor" sheetId="15" r:id="rId19"/>
    <sheet state="hidden" name="25-26 (Q4)" sheetId="16" r:id="rId20"/>
    <sheet state="hidden" name="25-26 (Q3)" sheetId="17" r:id="rId21"/>
    <sheet state="hidden" name="Sample Sheet" sheetId="18" r:id="rId22"/>
    <sheet state="hidden" name="Sheet98" sheetId="19" r:id="rId23"/>
    <sheet state="hidden" name="Jul Month" sheetId="20" r:id="rId24"/>
    <sheet state="hidden" name="Summary Jul" sheetId="21" r:id="rId25"/>
    <sheet state="hidden" name="kerala target 25-26" sheetId="22" r:id="rId26"/>
    <sheet state="hidden" name="25-26 (Q2)" sheetId="23" r:id="rId27"/>
  </sheets>
  <definedNames>
    <definedName hidden="1" localSheetId="4" name="_xlnm._FilterDatabase">'Segment Report 25-26'!$A$3:$AD$600</definedName>
    <definedName hidden="1" localSheetId="5" name="Z_C199CCD7_6433_40FD_8D7D_9D7834937DE4_.wvu.FilterData">Data!$A$2:$CF$243</definedName>
    <definedName hidden="1" localSheetId="5" name="Z_4D1B4C31_C4EA_4951_9FAC_8F1A6BB219DA_.wvu.FilterData">Data!$A$1:$CF$243</definedName>
    <definedName hidden="1" localSheetId="5" name="Z_64A5E8A5_3E79_4C35_8C24_CDFEB0868C3E_.wvu.FilterData">Data!$A$2:$BM$243</definedName>
    <definedName hidden="1" localSheetId="5" name="Z_6F39B726_1519_493A_B9B9_FBC9C930E6F0_.wvu.FilterData">Data!$A$2:$CF$243</definedName>
    <definedName hidden="1" localSheetId="5" name="Z_6F89D02B_F1BE_4BF9_BE0C_E7946ACCB294_.wvu.FilterData">Data!$A$2:$CF$243</definedName>
  </definedNames>
  <calcPr/>
  <customWorkbookViews>
    <customWorkbookView activeSheetId="0" maximized="1" windowHeight="0" windowWidth="0" guid="{6F39B726-1519-493A-B9B9-FBC9C930E6F0}" name="Filter 4"/>
    <customWorkbookView activeSheetId="0" maximized="1" windowHeight="0" windowWidth="0" guid="{6F89D02B-F1BE-4BF9-BE0C-E7946ACCB294}" name="Filter 5"/>
    <customWorkbookView activeSheetId="0" maximized="1" windowHeight="0" windowWidth="0" guid="{4D1B4C31-C4EA-4951-9FAC-8F1A6BB219DA}" name="Filter 2"/>
    <customWorkbookView activeSheetId="0" maximized="1" windowHeight="0" windowWidth="0" guid="{C199CCD7-6433-40FD-8D7D-9D7834937DE4}" name="Filter 3"/>
    <customWorkbookView activeSheetId="0" maximized="1" windowHeight="0" windowWidth="0" guid="{64A5E8A5-3E79-4C35-8C24-CDFEB0868C3E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Monthly Target is differnce average target updated here</t>
      </text>
    </comment>
    <comment authorId="0" ref="F197">
      <text>
        <t xml:space="preserve">Left 31.10.2025</t>
      </text>
    </comment>
    <comment authorId="0" ref="J40">
      <text>
        <t xml:space="preserve">Monthly Target is differnce average target updated here</t>
      </text>
    </comment>
    <comment authorId="0" ref="F100">
      <text>
        <t xml:space="preserve">01-12-2020</t>
      </text>
    </comment>
    <comment authorId="0" ref="J38">
      <text>
        <t xml:space="preserve">Monthly Target is differnce average target updated here
</t>
      </text>
    </comment>
    <comment authorId="0" ref="J166">
      <text>
        <t xml:space="preserve">Monthly Target is differnce average target updated here</t>
      </text>
    </comment>
    <comment authorId="0" ref="F94">
      <text>
        <t xml:space="preserve">01.07.2019</t>
      </text>
    </comment>
    <comment authorId="0" ref="N1">
      <text>
        <t xml:space="preserve">primary team members order booking</t>
      </text>
    </comment>
    <comment authorId="0" ref="F179">
      <text>
        <t xml:space="preserve">LEFT 30-Jun-25</t>
      </text>
    </comment>
    <comment authorId="0" ref="F177">
      <text>
        <t xml:space="preserve">LEFT 11-Jul-25</t>
      </text>
    </comment>
    <comment authorId="0" ref="J18">
      <text>
        <t xml:space="preserve">Apr to Jul his Target 750000 ( PTMT) only
Aug onwards his monthly target 15lac including all segment.
According to them average target updated here
</t>
      </text>
    </comment>
    <comment authorId="0" ref="F204">
      <text>
        <t xml:space="preserve">Transferred from Rajasthan to Odisha on 26th Feb 2025 
 left 30-Aug-25</t>
      </text>
    </comment>
    <comment authorId="0" ref="F171">
      <text>
        <t xml:space="preserve">Resigned 31.01.2026</t>
      </text>
    </comment>
    <comment authorId="0" ref="F202">
      <text>
        <t xml:space="preserve">LEFT 31-Jul-25</t>
      </text>
    </comment>
    <comment authorId="0" ref="F169">
      <text>
        <t xml:space="preserve">LEFT 07.04.2025</t>
      </text>
    </comment>
    <comment authorId="0" ref="F200">
      <text>
        <t xml:space="preserve">Left 10.11.2025</t>
      </text>
    </comment>
    <comment authorId="0" ref="F198">
      <text>
        <t xml:space="preserve">LEFT 20.11.2025</t>
      </text>
    </comment>
    <comment authorId="0" ref="J41">
      <text>
        <t xml:space="preserve">Monthly Target is differnce average target updated here</t>
      </text>
    </comment>
    <comment authorId="0" ref="J39">
      <text>
        <t xml:space="preserve">Monthly Target is differnce average target updated here
</t>
      </text>
    </comment>
    <comment authorId="0" ref="J167">
      <text>
        <t xml:space="preserve">Monthly Target is differnce average target updated here</t>
      </text>
    </comment>
    <comment authorId="0" ref="J165">
      <text>
        <t xml:space="preserve">Monthly Target is differnce average target updated here
</t>
      </text>
    </comment>
    <comment authorId="0" ref="F180">
      <text>
        <t xml:space="preserve">LEFT 13-Aug-25</t>
      </text>
    </comment>
    <comment authorId="0" ref="F176">
      <text>
        <t xml:space="preserve">LEFT 15-Jul-25</t>
      </text>
    </comment>
    <comment authorId="0" ref="F174">
      <text>
        <t xml:space="preserve">LEFT 21/04/2025</t>
      </text>
    </comment>
    <comment authorId="0" ref="F172">
      <text>
        <t xml:space="preserve">Left 23.03.2026
</t>
      </text>
    </comment>
    <comment authorId="0" ref="F203">
      <text>
        <t xml:space="preserve">LEFT 31-Jul-25</t>
      </text>
    </comment>
    <comment authorId="0" ref="F170">
      <text>
        <t xml:space="preserve">left 30-Aug-25</t>
      </text>
    </comment>
    <comment authorId="0" ref="F201">
      <text>
        <t xml:space="preserve">LEFT 14-Jul-25</t>
      </text>
    </comment>
    <comment authorId="0" ref="F168">
      <text>
        <t xml:space="preserve">Left 08.05.2025</t>
      </text>
    </comment>
    <comment authorId="0" ref="F199">
      <text>
        <t xml:space="preserve">LEFT 13-Oct-2025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D88">
      <text>
        <t xml:space="preserve">=(AJ88*4)+(49810*8)</t>
      </text>
    </comment>
    <comment authorId="0" ref="BD151">
      <text>
        <t xml:space="preserve">On leave after 18th July to 31st Aug Due to Heart Attacke</t>
      </text>
    </comment>
    <comment authorId="0" ref="BD22">
      <text>
        <t xml:space="preserve">After 15th April his not working till July</t>
      </text>
    </comment>
    <comment authorId="0" ref="AG47">
      <text>
        <t xml:space="preserve">26+25+22+25+22+23+22+21+23+23+21+23
</t>
      </text>
    </comment>
    <comment authorId="0" ref="BV88">
      <text>
        <t xml:space="preserve">From Aug Month 49810</t>
      </text>
    </comment>
    <comment authorId="0" ref="BE195">
      <text>
        <t xml:space="preserve">Monthly Sec Target 2000000
</t>
      </text>
    </comment>
    <comment authorId="0" ref="AJ88">
      <text>
        <t xml:space="preserve">From Aug Month 49810</t>
      </text>
    </comment>
    <comment authorId="0" ref="C22">
      <text>
        <t xml:space="preserve">he has not working after 15 of april to July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25-26 total order</t>
      </text>
    </comment>
    <comment authorId="0" ref="AG4">
      <text>
        <t xml:space="preserve">data</t>
      </text>
    </comment>
    <comment authorId="0" ref="C5">
      <text>
        <t xml:space="preserve">Data wali sheet se data aaya hai half yearly ka </t>
      </text>
    </comment>
  </commentList>
</comments>
</file>

<file path=xl/sharedStrings.xml><?xml version="1.0" encoding="utf-8"?>
<sst xmlns="http://schemas.openxmlformats.org/spreadsheetml/2006/main" count="14164" uniqueCount="1782">
  <si>
    <t xml:space="preserve"> ORDER BOOKING REPORT 2025-26</t>
  </si>
  <si>
    <t xml:space="preserve"> </t>
  </si>
  <si>
    <t>TOTAL</t>
  </si>
  <si>
    <t>State Head</t>
  </si>
  <si>
    <t>Team Member</t>
  </si>
  <si>
    <t>H.Q</t>
  </si>
  <si>
    <t>Contact Number</t>
  </si>
  <si>
    <t>DOJ</t>
  </si>
  <si>
    <t>Week Off</t>
  </si>
  <si>
    <t>Market Hours</t>
  </si>
  <si>
    <t>Monthly CTC 25-26</t>
  </si>
  <si>
    <t>Monthly Target 25-26</t>
  </si>
  <si>
    <t>Total Dealer 25-26</t>
  </si>
  <si>
    <t>Business Plan 25-26</t>
  </si>
  <si>
    <t>Order Booked 25-26</t>
  </si>
  <si>
    <t>Final Achievement</t>
  </si>
  <si>
    <t>Sales 25-26</t>
  </si>
  <si>
    <t>Plan</t>
  </si>
  <si>
    <t>Order Booked</t>
  </si>
  <si>
    <t>% of Achievement</t>
  </si>
  <si>
    <t>Sales Received</t>
  </si>
  <si>
    <t>Amount</t>
  </si>
  <si>
    <t>Count</t>
  </si>
  <si>
    <t>Anant Singh</t>
  </si>
  <si>
    <t>Ravinder Puri</t>
  </si>
  <si>
    <t>Ghaziabad</t>
  </si>
  <si>
    <t>PRASUN CHATTERJEE</t>
  </si>
  <si>
    <t>Delhi</t>
  </si>
  <si>
    <t>Jagdev</t>
  </si>
  <si>
    <t>Mathura</t>
  </si>
  <si>
    <t>West U.P</t>
  </si>
  <si>
    <t>Manish Gupta</t>
  </si>
  <si>
    <t>South East Delhi</t>
  </si>
  <si>
    <t>Rinku</t>
  </si>
  <si>
    <t>Moradabad</t>
  </si>
  <si>
    <t>Ashutosh Kumar (Rudrapur)</t>
  </si>
  <si>
    <t>Rudrapur</t>
  </si>
  <si>
    <t>Uttarakhand</t>
  </si>
  <si>
    <t>Ravi (Faridabad)</t>
  </si>
  <si>
    <t>Faridabad</t>
  </si>
  <si>
    <t>Delhi NCR</t>
  </si>
  <si>
    <t>Shivam Chauhan</t>
  </si>
  <si>
    <t>Haridwar</t>
  </si>
  <si>
    <t>Ankit Kumar</t>
  </si>
  <si>
    <t>Aligarh</t>
  </si>
  <si>
    <t>Tarun Giri</t>
  </si>
  <si>
    <t>Meerut</t>
  </si>
  <si>
    <t>Sulinder Pal</t>
  </si>
  <si>
    <t>Ranjit Kumar</t>
  </si>
  <si>
    <t>Abohar</t>
  </si>
  <si>
    <t>Punjab</t>
  </si>
  <si>
    <t>Amit Tangri</t>
  </si>
  <si>
    <t>Ludhiana</t>
  </si>
  <si>
    <t>Pawan Sharma</t>
  </si>
  <si>
    <t>Dinesh Kumar Kaushik</t>
  </si>
  <si>
    <t>Bharatpur</t>
  </si>
  <si>
    <t>Rajasthan</t>
  </si>
  <si>
    <t>Kanhaiya Lal Salvi</t>
  </si>
  <si>
    <t>Chittorgarh</t>
  </si>
  <si>
    <t>Gulab SIngh</t>
  </si>
  <si>
    <t>Karnal</t>
  </si>
  <si>
    <t>Haryana</t>
  </si>
  <si>
    <t>Vikash Gour</t>
  </si>
  <si>
    <t>Neemrana</t>
  </si>
  <si>
    <t>Shoykaran Nai</t>
  </si>
  <si>
    <t>Churu</t>
  </si>
  <si>
    <t>Ishant</t>
  </si>
  <si>
    <t>Sonipat</t>
  </si>
  <si>
    <t>Neeraj</t>
  </si>
  <si>
    <t>Ateli-Mahendragarh</t>
  </si>
  <si>
    <t>Manish Kumar Trivedi</t>
  </si>
  <si>
    <t>Jaipur</t>
  </si>
  <si>
    <t>Shakti Raj</t>
  </si>
  <si>
    <t>Nasir Hussain Khan</t>
  </si>
  <si>
    <t>PAWAN KUMAR</t>
  </si>
  <si>
    <t>Jammu</t>
  </si>
  <si>
    <t>JAMMU AND KASHMIR</t>
  </si>
  <si>
    <t>Tafazul Nazir</t>
  </si>
  <si>
    <t>Srinagar</t>
  </si>
  <si>
    <t>Vishant Bandhral</t>
  </si>
  <si>
    <t>Udhampur</t>
  </si>
  <si>
    <t>Basit Ahmad Pala</t>
  </si>
  <si>
    <t>Anantnag</t>
  </si>
  <si>
    <t>Deep Kumar</t>
  </si>
  <si>
    <t>S.Babu</t>
  </si>
  <si>
    <t>Tamil Nadu</t>
  </si>
  <si>
    <t>M. Raman</t>
  </si>
  <si>
    <t>Trichy</t>
  </si>
  <si>
    <t>K.V.THAMIZHSELVAN</t>
  </si>
  <si>
    <t>Vellore</t>
  </si>
  <si>
    <t>Saibulla S.</t>
  </si>
  <si>
    <t>Madurai</t>
  </si>
  <si>
    <t>K Suresh Kumar</t>
  </si>
  <si>
    <t>Virudhunagar</t>
  </si>
  <si>
    <t>Milind Ashok Sadanand</t>
  </si>
  <si>
    <t>Hubli</t>
  </si>
  <si>
    <t>Karnataka</t>
  </si>
  <si>
    <t>Biju C.O</t>
  </si>
  <si>
    <t>BIJU C.O</t>
  </si>
  <si>
    <t>PRATHEESH CC</t>
  </si>
  <si>
    <t>PALAKKAD</t>
  </si>
  <si>
    <t>Kerala</t>
  </si>
  <si>
    <t>Girish B</t>
  </si>
  <si>
    <t>Kasaragod</t>
  </si>
  <si>
    <t>Ameerali Ek (Off Roll)</t>
  </si>
  <si>
    <t>Malappuram</t>
  </si>
  <si>
    <t>Riyas V</t>
  </si>
  <si>
    <t>Pattambi</t>
  </si>
  <si>
    <t>Shafeeq Parengal</t>
  </si>
  <si>
    <t>Jijo</t>
  </si>
  <si>
    <t>Manjeri</t>
  </si>
  <si>
    <t>Suresh Kumar Nair</t>
  </si>
  <si>
    <t>Jithender Reddy Katukuri</t>
  </si>
  <si>
    <t>warangal</t>
  </si>
  <si>
    <t>Telangana</t>
  </si>
  <si>
    <t>Shaik Jani Basha</t>
  </si>
  <si>
    <t xml:space="preserve">Guntur </t>
  </si>
  <si>
    <t>Andhra Pradesh</t>
  </si>
  <si>
    <t>Taninki Ramesh Babu</t>
  </si>
  <si>
    <t>Kakinada</t>
  </si>
  <si>
    <t>J.Kamal Kishore</t>
  </si>
  <si>
    <t>Tirupati</t>
  </si>
  <si>
    <t>Ajay Morthad</t>
  </si>
  <si>
    <t>Nizamabad</t>
  </si>
  <si>
    <t>Dasari Adiseshu</t>
  </si>
  <si>
    <t>Hyderabad</t>
  </si>
  <si>
    <t>Syed Aqil Rizvi</t>
  </si>
  <si>
    <t>AQIL RIZVI</t>
  </si>
  <si>
    <t>Rajan Srivastava</t>
  </si>
  <si>
    <t>Varanasi</t>
  </si>
  <si>
    <t>East U.P</t>
  </si>
  <si>
    <t>Ravi Kumar Verma</t>
  </si>
  <si>
    <t>Faizabad</t>
  </si>
  <si>
    <t>Jitender Birla</t>
  </si>
  <si>
    <t xml:space="preserve">Indore </t>
  </si>
  <si>
    <t>Madhya Pradesh</t>
  </si>
  <si>
    <t>Faraz Khan</t>
  </si>
  <si>
    <t>Bhopal</t>
  </si>
  <si>
    <t>Nitin Prasad Baghel</t>
  </si>
  <si>
    <t>Raipur</t>
  </si>
  <si>
    <t>Chattisgarh</t>
  </si>
  <si>
    <t>Hemant kumar srivastava</t>
  </si>
  <si>
    <t>Gorakhpur</t>
  </si>
  <si>
    <t>Himanshu Sable</t>
  </si>
  <si>
    <t>Amrawati</t>
  </si>
  <si>
    <t>Maharashtra 2</t>
  </si>
  <si>
    <t>Siddharth Shanker Singh</t>
  </si>
  <si>
    <t>Allahabad</t>
  </si>
  <si>
    <t>Neel Kamal choure</t>
  </si>
  <si>
    <t>Jabalpur</t>
  </si>
  <si>
    <t>Om dutt Dwivedi</t>
  </si>
  <si>
    <t>Lucknow</t>
  </si>
  <si>
    <t>Siddharth Srivastava</t>
  </si>
  <si>
    <t>Kanpur</t>
  </si>
  <si>
    <t>Ajeet Yadav</t>
  </si>
  <si>
    <t>Ghazipur</t>
  </si>
  <si>
    <t>Vishal Kumar Gaurav</t>
  </si>
  <si>
    <t>Azamgarh</t>
  </si>
  <si>
    <t>Nandkishor Upadhyay</t>
  </si>
  <si>
    <t>Akola</t>
  </si>
  <si>
    <t>Aman Khan</t>
  </si>
  <si>
    <t>Chhatarpur</t>
  </si>
  <si>
    <t>Saqib Juned</t>
  </si>
  <si>
    <t>Arun Sharma</t>
  </si>
  <si>
    <t>Vishal Dheer</t>
  </si>
  <si>
    <t>Wasim Ahmad</t>
  </si>
  <si>
    <t>Sultanpur</t>
  </si>
  <si>
    <t>Dhiraj Ravindra Patle</t>
  </si>
  <si>
    <t>Gondia</t>
  </si>
  <si>
    <t>Deependra Singh</t>
  </si>
  <si>
    <t>Ankur Srivastava</t>
  </si>
  <si>
    <t>Manoj Yadav</t>
  </si>
  <si>
    <t>Rohit Kumar</t>
  </si>
  <si>
    <t>Pradeep Rajak</t>
  </si>
  <si>
    <t>Bilaspur</t>
  </si>
  <si>
    <t>Pradeep Kumar Dwivedi</t>
  </si>
  <si>
    <t>Rewa</t>
  </si>
  <si>
    <t>Vikas Kumar (Bareilly)</t>
  </si>
  <si>
    <t>Bareill</t>
  </si>
  <si>
    <t>Rajesh Patel</t>
  </si>
  <si>
    <t>Indore</t>
  </si>
  <si>
    <t>Sunil Kumar</t>
  </si>
  <si>
    <t>Mandsaur</t>
  </si>
  <si>
    <t>Shubham Shukla</t>
  </si>
  <si>
    <t>Gwalior</t>
  </si>
  <si>
    <t>Sandeep Dadheech</t>
  </si>
  <si>
    <t>Monmon Paul</t>
  </si>
  <si>
    <t>Kolkata</t>
  </si>
  <si>
    <t>Primary</t>
  </si>
  <si>
    <t>West Bengal</t>
  </si>
  <si>
    <t>Sujan Ghata</t>
  </si>
  <si>
    <t>Surojit Mondal</t>
  </si>
  <si>
    <t>Andal</t>
  </si>
  <si>
    <t>Suven Sengupta</t>
  </si>
  <si>
    <t>Kailash Ch. Ghadei</t>
  </si>
  <si>
    <t>Cuttak</t>
  </si>
  <si>
    <t>Odisha</t>
  </si>
  <si>
    <t>Debasish Adhikary</t>
  </si>
  <si>
    <t>Midnapore</t>
  </si>
  <si>
    <t>Pravat Kumar Dash</t>
  </si>
  <si>
    <t>Balasore</t>
  </si>
  <si>
    <t>Priyabrata Biswas</t>
  </si>
  <si>
    <t>Sarbjit Singh Chawla</t>
  </si>
  <si>
    <t>Soumen Ghosh</t>
  </si>
  <si>
    <t>Mechada</t>
  </si>
  <si>
    <t>Sudipta Thom</t>
  </si>
  <si>
    <t>Sudip Guha Roy</t>
  </si>
  <si>
    <t>Sunil Kumar Pani</t>
  </si>
  <si>
    <t>Sasikant Prasad</t>
  </si>
  <si>
    <t>Rourkela</t>
  </si>
  <si>
    <t>Pramod Kumar</t>
  </si>
  <si>
    <t>Purnea</t>
  </si>
  <si>
    <t>Bihar</t>
  </si>
  <si>
    <t>Ashutosh Kumar</t>
  </si>
  <si>
    <t>Dhanbad</t>
  </si>
  <si>
    <t>Jharkhand</t>
  </si>
  <si>
    <t>Rakesh Kumar Sinha</t>
  </si>
  <si>
    <t>Deoghar</t>
  </si>
  <si>
    <t>Prabhakar Pratap Singh</t>
  </si>
  <si>
    <t>Patna</t>
  </si>
  <si>
    <t>Santanu Kalita</t>
  </si>
  <si>
    <t>Tezpur</t>
  </si>
  <si>
    <t>North East</t>
  </si>
  <si>
    <t>Litan Saha</t>
  </si>
  <si>
    <t>Agartala</t>
  </si>
  <si>
    <t>Pradeep Kumar</t>
  </si>
  <si>
    <t>Aurangabad</t>
  </si>
  <si>
    <t>Dipak Sharma</t>
  </si>
  <si>
    <t>Silchar</t>
  </si>
  <si>
    <t>SUBHAJIT KOLEY</t>
  </si>
  <si>
    <t>MECHADA</t>
  </si>
  <si>
    <t>VIKASH KUMAR SINGH</t>
  </si>
  <si>
    <t>PALAMAU</t>
  </si>
  <si>
    <t>GONESH DEY</t>
  </si>
  <si>
    <t>BURDWAN</t>
  </si>
  <si>
    <t>RONI GUPTA</t>
  </si>
  <si>
    <t>BURDHWAN</t>
  </si>
  <si>
    <t>SUMANTA SINGHA</t>
  </si>
  <si>
    <t>BANKURA</t>
  </si>
  <si>
    <t>RAJESH CHAKRABORTY</t>
  </si>
  <si>
    <t>ARUPANANDA MANDAL</t>
  </si>
  <si>
    <t>KOLKATA</t>
  </si>
  <si>
    <t>SUJIT DAS</t>
  </si>
  <si>
    <t>ANDAL</t>
  </si>
  <si>
    <t>Dikart Kumar Borah</t>
  </si>
  <si>
    <t>Nagaon</t>
  </si>
  <si>
    <t>Sourav Samanta</t>
  </si>
  <si>
    <t>Macheda</t>
  </si>
  <si>
    <t>Biswajit Roy</t>
  </si>
  <si>
    <t>SUDHANSHU KUMAR</t>
  </si>
  <si>
    <t>Hazaribag</t>
  </si>
  <si>
    <t>AVINASH KUMAR</t>
  </si>
  <si>
    <t>Gaya</t>
  </si>
  <si>
    <t>Kumar Avinish</t>
  </si>
  <si>
    <t>Muzaffarpur</t>
  </si>
  <si>
    <t>Gaurav Kumar</t>
  </si>
  <si>
    <t>Chapra</t>
  </si>
  <si>
    <t>SRAVAN KUMAR SHARMA</t>
  </si>
  <si>
    <t>Dumka</t>
  </si>
  <si>
    <t>Hrusikesh Satapathy</t>
  </si>
  <si>
    <t>Berhampur</t>
  </si>
  <si>
    <t>Tankeswor Barman</t>
  </si>
  <si>
    <t>Bongaigaon</t>
  </si>
  <si>
    <t>Narayan Baishya</t>
  </si>
  <si>
    <t xml:space="preserve">Guwahati </t>
  </si>
  <si>
    <t>ATANU PAUL</t>
  </si>
  <si>
    <t>JAYANAGAR</t>
  </si>
  <si>
    <t>SHYAM KUMAR MISHRA</t>
  </si>
  <si>
    <t>Jamshedpur</t>
  </si>
  <si>
    <t>Manas Ranjan Das</t>
  </si>
  <si>
    <t>Bhubaneswar</t>
  </si>
  <si>
    <t>Sudip Sarkar</t>
  </si>
  <si>
    <t>Birbhum</t>
  </si>
  <si>
    <t>Ram Shankar Mishra</t>
  </si>
  <si>
    <t>Darbhanga</t>
  </si>
  <si>
    <t>RUDRAPRAKASH JANA</t>
  </si>
  <si>
    <t>Paschim Medinipur</t>
  </si>
  <si>
    <t>Nikhil Kumar</t>
  </si>
  <si>
    <t>Ranchi</t>
  </si>
  <si>
    <t>Vijay Kumar</t>
  </si>
  <si>
    <t>Katihar</t>
  </si>
  <si>
    <t>Sushanta Barman</t>
  </si>
  <si>
    <t>South Kolkata</t>
  </si>
  <si>
    <t>Susovan Singha</t>
  </si>
  <si>
    <t>East Mednipore</t>
  </si>
  <si>
    <t>Indrajit Ghosh</t>
  </si>
  <si>
    <t>Shuvadip Ghosh</t>
  </si>
  <si>
    <t>West Midnapore</t>
  </si>
  <si>
    <t>Jahir Abbas Halder</t>
  </si>
  <si>
    <t>Hooghly</t>
  </si>
  <si>
    <t>ANIRBAN BISWAS</t>
  </si>
  <si>
    <t>Tribeni</t>
  </si>
  <si>
    <t>Aditya Dasgupta</t>
  </si>
  <si>
    <t>Siliguri</t>
  </si>
  <si>
    <t>Pawan Kumar Pareek (Off-Roll)</t>
  </si>
  <si>
    <t>Balipara</t>
  </si>
  <si>
    <t>Suman Mondal</t>
  </si>
  <si>
    <t>Krishna Nagar</t>
  </si>
  <si>
    <t>Lalan Kumar</t>
  </si>
  <si>
    <t>Amey Deodhar</t>
  </si>
  <si>
    <t>Miraj</t>
  </si>
  <si>
    <t>Maharashtra</t>
  </si>
  <si>
    <t>Tejas Lunawat</t>
  </si>
  <si>
    <t>Pune</t>
  </si>
  <si>
    <t>Sandeep Amrut Sonawane</t>
  </si>
  <si>
    <t>Dhule</t>
  </si>
  <si>
    <t>Amit Damodhar Jadhav</t>
  </si>
  <si>
    <t>TUSHAR RAVINDRA KANTHALE</t>
  </si>
  <si>
    <t>PUNE</t>
  </si>
  <si>
    <t>VIJAY DNYANESHWAR</t>
  </si>
  <si>
    <t>Jalgaon</t>
  </si>
  <si>
    <t>ANAND BHAGWAN MORE</t>
  </si>
  <si>
    <t>Syed Sohel Hashmi</t>
  </si>
  <si>
    <t>Nanded</t>
  </si>
  <si>
    <t>Kunal Sanjay Sasane</t>
  </si>
  <si>
    <t xml:space="preserve">Kolhapur </t>
  </si>
  <si>
    <t>CHANDRAKANT MANDAVE</t>
  </si>
  <si>
    <t>Mumbai</t>
  </si>
  <si>
    <t>Rahul Ramchandra Bhosale</t>
  </si>
  <si>
    <t>Latur</t>
  </si>
  <si>
    <t>Swapnil Rajput</t>
  </si>
  <si>
    <t>Nashik</t>
  </si>
  <si>
    <t>Sunil Patel</t>
  </si>
  <si>
    <t>Devdutt Joshi</t>
  </si>
  <si>
    <t>Vadodara</t>
  </si>
  <si>
    <t>Gujarat</t>
  </si>
  <si>
    <t>Bhavesh N Ranpara</t>
  </si>
  <si>
    <t>Rajkot</t>
  </si>
  <si>
    <t>Rathod Vijaybhai</t>
  </si>
  <si>
    <t>Surat</t>
  </si>
  <si>
    <t>Aniket Maheshwari</t>
  </si>
  <si>
    <t>Mandvi</t>
  </si>
  <si>
    <t>Dhaval Parmar</t>
  </si>
  <si>
    <t>Mehsana</t>
  </si>
  <si>
    <t>LEFT TEAM MEMBERS</t>
  </si>
  <si>
    <t>Prashant Kumar</t>
  </si>
  <si>
    <t>Akash Deep</t>
  </si>
  <si>
    <t>Paramjeet</t>
  </si>
  <si>
    <t>North Delhi</t>
  </si>
  <si>
    <t>Aditya Yadav</t>
  </si>
  <si>
    <t>Agra</t>
  </si>
  <si>
    <t>MOHAMMED HASHIR PACHEERI</t>
  </si>
  <si>
    <t>Arjunkumar K M</t>
  </si>
  <si>
    <t>Calicut</t>
  </si>
  <si>
    <t>Riyas Khan Y</t>
  </si>
  <si>
    <t>Kollam</t>
  </si>
  <si>
    <t>Ravi Kumar P (Off Roll)</t>
  </si>
  <si>
    <t>Trivandrum</t>
  </si>
  <si>
    <t>Mithun N.</t>
  </si>
  <si>
    <t>Mahe</t>
  </si>
  <si>
    <t>15-Jul-24 (On Roll 1st nov 2024)</t>
  </si>
  <si>
    <t>SREERAJ PV</t>
  </si>
  <si>
    <t>Kannur</t>
  </si>
  <si>
    <t>VIBHOR MATHUR</t>
  </si>
  <si>
    <t>MUMBAI</t>
  </si>
  <si>
    <t>Satish Shete</t>
  </si>
  <si>
    <t>Pradip Laxman Biradar</t>
  </si>
  <si>
    <t>Ramesh Parshuram Oak</t>
  </si>
  <si>
    <t>Chiplun</t>
  </si>
  <si>
    <t>Praveen Pandey</t>
  </si>
  <si>
    <t>Irfan Ahmad Wani</t>
  </si>
  <si>
    <t>Kaushal Sharma</t>
  </si>
  <si>
    <t xml:space="preserve">Hanumangarh </t>
  </si>
  <si>
    <t>Rounak Mehla</t>
  </si>
  <si>
    <t>Ranveer Singh</t>
  </si>
  <si>
    <t>Jhunjhunu</t>
  </si>
  <si>
    <t>Durgesh Kumar Jangid</t>
  </si>
  <si>
    <t>Rahul (Tohana)</t>
  </si>
  <si>
    <t>Tohana</t>
  </si>
  <si>
    <t>ARIF KHAN</t>
  </si>
  <si>
    <t>JAIPUR</t>
  </si>
  <si>
    <t>MADAN JOSHI</t>
  </si>
  <si>
    <t xml:space="preserve">Bikaner </t>
  </si>
  <si>
    <t>Shanker Singh</t>
  </si>
  <si>
    <t>Rewari</t>
  </si>
  <si>
    <t>RAVI KUMAR .</t>
  </si>
  <si>
    <t>Mahendergarh</t>
  </si>
  <si>
    <t>Pawan Kumar.</t>
  </si>
  <si>
    <t>Sri GangaNagar</t>
  </si>
  <si>
    <t>Karan Singh Panwar</t>
  </si>
  <si>
    <t>Pali</t>
  </si>
  <si>
    <t>CHANGAL CHANDEEP</t>
  </si>
  <si>
    <t>Dadri</t>
  </si>
  <si>
    <t>Kailash Verma</t>
  </si>
  <si>
    <t>Agroha</t>
  </si>
  <si>
    <t>Arun Kumar.S</t>
  </si>
  <si>
    <t>Salem</t>
  </si>
  <si>
    <t>S. Thiyagarajan</t>
  </si>
  <si>
    <t>Dinesh Kumar</t>
  </si>
  <si>
    <t>Ramanathapuram</t>
  </si>
  <si>
    <t>C Navaneetha Krishnan</t>
  </si>
  <si>
    <t>Dindigul</t>
  </si>
  <si>
    <t>A.prasath</t>
  </si>
  <si>
    <t>Coimbatore</t>
  </si>
  <si>
    <t>Karuppasamy R</t>
  </si>
  <si>
    <t>Ganesh Kumar</t>
  </si>
  <si>
    <t>Tirunelveli</t>
  </si>
  <si>
    <t>V. Rajesh</t>
  </si>
  <si>
    <t>Chennai</t>
  </si>
  <si>
    <t>Ashokraj A.</t>
  </si>
  <si>
    <t>Sathish Kumar A</t>
  </si>
  <si>
    <t>17-Jul-25 ( transfered in Retail 19th Nov 2025)</t>
  </si>
  <si>
    <t>Akash Santra</t>
  </si>
  <si>
    <t>SAURAV KUMAR</t>
  </si>
  <si>
    <t>PATNA</t>
  </si>
  <si>
    <t>Christopher Swamy</t>
  </si>
  <si>
    <t>Asansol</t>
  </si>
  <si>
    <t>Sudip Banerjee</t>
  </si>
  <si>
    <t>Mrityunjoy Das</t>
  </si>
  <si>
    <t>North 24 Parganas</t>
  </si>
  <si>
    <t>RAJKUMAR DARI</t>
  </si>
  <si>
    <t>VIKASH KUMAR PASWAN</t>
  </si>
  <si>
    <t>Himanshu Sharma</t>
  </si>
  <si>
    <t>Arijit Roychowdhury</t>
  </si>
  <si>
    <t>Rajat Chowdhury</t>
  </si>
  <si>
    <t>Nadia</t>
  </si>
  <si>
    <t>ADARSH GAURAV</t>
  </si>
  <si>
    <t>Bhagalpur</t>
  </si>
  <si>
    <t>Malay Paul</t>
  </si>
  <si>
    <t>Silliguri</t>
  </si>
  <si>
    <t>NIkhil Patial</t>
  </si>
  <si>
    <t>Hamirpur</t>
  </si>
  <si>
    <t>Himachal Pradesh</t>
  </si>
  <si>
    <t>Jagdeep SIngh</t>
  </si>
  <si>
    <t>Rajeev Kumar (HP)</t>
  </si>
  <si>
    <t>Una</t>
  </si>
  <si>
    <t>JAGDISH PALANI</t>
  </si>
  <si>
    <t>PALANPUR</t>
  </si>
  <si>
    <t>Unnam Nivas</t>
  </si>
  <si>
    <t>Ongole</t>
  </si>
  <si>
    <t>D. Chand Basha</t>
  </si>
  <si>
    <t>Anantapur</t>
  </si>
  <si>
    <t>K.Hussain Babu</t>
  </si>
  <si>
    <t>Vizianagaram</t>
  </si>
  <si>
    <t>S.Tirumala Rao</t>
  </si>
  <si>
    <t>Srikakulam</t>
  </si>
  <si>
    <t>Akash Kumar Gulhare</t>
  </si>
  <si>
    <t>Shiv Kumar Patel</t>
  </si>
  <si>
    <t>Santosh Kumar Dixit</t>
  </si>
  <si>
    <t>Farrukhabad</t>
  </si>
  <si>
    <t>Prashant Singh Chauhan</t>
  </si>
  <si>
    <t>Bareilly</t>
  </si>
  <si>
    <t>Sandeep Mishra</t>
  </si>
  <si>
    <t>Ambikapur</t>
  </si>
  <si>
    <t>Roshan Srivastava</t>
  </si>
  <si>
    <t>Jaunpur</t>
  </si>
  <si>
    <t>Sandeep Kanaujiya</t>
  </si>
  <si>
    <t>Ashok Kumar</t>
  </si>
  <si>
    <t>Ayodhya</t>
  </si>
  <si>
    <t>Jitendra Kumar Yadav</t>
  </si>
  <si>
    <t>Plumbing (SWR+AGRi+ UPVC+CPVC + HDPE+MANHOLE+ COLUMN +PVC Garden)</t>
  </si>
  <si>
    <t>CP (6000+7000+8000+9000+ 5000+VIGNETTE + assesories)</t>
  </si>
  <si>
    <t>PTMT (Cistern seat cover)</t>
  </si>
  <si>
    <t>Sink (Cocaroach Traps)</t>
  </si>
  <si>
    <t>HARDWARE</t>
  </si>
  <si>
    <t>SANITARYWARE</t>
  </si>
  <si>
    <t>Geyser</t>
  </si>
  <si>
    <t>Water Tank</t>
  </si>
  <si>
    <t>Name</t>
  </si>
  <si>
    <t>AGRITEC</t>
  </si>
  <si>
    <t>C.P-CDA</t>
  </si>
  <si>
    <t>C.P. 6000 SERIES</t>
  </si>
  <si>
    <t>C.P. 7000 SERIES</t>
  </si>
  <si>
    <t>C.P. 8000 SERIES</t>
  </si>
  <si>
    <t>C.P. 9000 SERIES</t>
  </si>
  <si>
    <t>CISTERNS &amp; SEAT COVERS</t>
  </si>
  <si>
    <t>COCKROACH TRAPS &amp; GRATINGS</t>
  </si>
  <si>
    <t>CPVC DURALIFE</t>
  </si>
  <si>
    <t>P.T.M.T. SYMET</t>
  </si>
  <si>
    <t>S.STEEL SINK</t>
  </si>
  <si>
    <t>SWR DRAINTECH</t>
  </si>
  <si>
    <t>UPVC AQUAFRESH</t>
  </si>
  <si>
    <t>WATER HEATER</t>
  </si>
  <si>
    <t>WATER TANKS</t>
  </si>
  <si>
    <t>P.V.C. GARDEN PIPE</t>
  </si>
  <si>
    <t>VIGNETTE</t>
  </si>
  <si>
    <t>C.P. 5000 SERIES</t>
  </si>
  <si>
    <t>MANHOLE COVER</t>
  </si>
  <si>
    <t>COLUMN PIPE</t>
  </si>
  <si>
    <t>HDPE PIPE</t>
  </si>
  <si>
    <t>Total Order</t>
  </si>
  <si>
    <t>Asit Kumar Chandra</t>
  </si>
  <si>
    <t>Joy Roy</t>
  </si>
  <si>
    <t>Pabitra Kumar Sahoo</t>
  </si>
  <si>
    <t>Shashi Kant</t>
  </si>
  <si>
    <t>Sudeb Kar</t>
  </si>
  <si>
    <t>Sunil Kumar Singh</t>
  </si>
  <si>
    <t>Vivek Singh</t>
  </si>
  <si>
    <t>Ajoy Borah</t>
  </si>
  <si>
    <t>Sujeet Singh</t>
  </si>
  <si>
    <t>Rishi Kant</t>
  </si>
  <si>
    <t>Rahul Awasthi</t>
  </si>
  <si>
    <t>D Anand</t>
  </si>
  <si>
    <t>D Harikrishna</t>
  </si>
  <si>
    <t>Venkata Ramana Vucha</t>
  </si>
  <si>
    <t>Shaiksha Vali</t>
  </si>
  <si>
    <t>V. Giri Babu</t>
  </si>
  <si>
    <t>Santosh Chary</t>
  </si>
  <si>
    <t>Pratap Varma</t>
  </si>
  <si>
    <t>T Kantikumar</t>
  </si>
  <si>
    <t>Vinayak Walvekar</t>
  </si>
  <si>
    <t>Bharat Shetty</t>
  </si>
  <si>
    <t>N.Naga Moorthy</t>
  </si>
  <si>
    <t>M.Pushpraj</t>
  </si>
  <si>
    <t>Vinoth Subramaniam</t>
  </si>
  <si>
    <t>Murgan</t>
  </si>
  <si>
    <t>N.Abdul Rahim</t>
  </si>
  <si>
    <t>ManoKaran</t>
  </si>
  <si>
    <t>Aravindhan Natarajan</t>
  </si>
  <si>
    <t>S. Ashok</t>
  </si>
  <si>
    <t>J . Senthil</t>
  </si>
  <si>
    <t>Kamaljit Buragohain</t>
  </si>
  <si>
    <t>Achal Kumar Pandey</t>
  </si>
  <si>
    <t>Sanganna Karadi</t>
  </si>
  <si>
    <t>Pankaj Mathur</t>
  </si>
  <si>
    <t>Vijay Kumar Garg</t>
  </si>
  <si>
    <t>Srikant Pandey</t>
  </si>
  <si>
    <t>Kumar Gaurav</t>
  </si>
  <si>
    <t>Rishabh Maheshwari</t>
  </si>
  <si>
    <t>Akbar Hasan</t>
  </si>
  <si>
    <t>Lalit Kumar</t>
  </si>
  <si>
    <t>Md.Irfan</t>
  </si>
  <si>
    <t>S.Karthick</t>
  </si>
  <si>
    <t>P.Mahendran</t>
  </si>
  <si>
    <t>Shaik Jani basha</t>
  </si>
  <si>
    <t>V. James Angelo</t>
  </si>
  <si>
    <t>Raja Ram Dubey</t>
  </si>
  <si>
    <t>Devang Mistry</t>
  </si>
  <si>
    <t>Ilesh Vyas</t>
  </si>
  <si>
    <t>Manish Sharma</t>
  </si>
  <si>
    <t>Narendra Kumar Jain</t>
  </si>
  <si>
    <t>Dnyaneshwar More</t>
  </si>
  <si>
    <t>Shailesh Sharma</t>
  </si>
  <si>
    <t>Muhammed M</t>
  </si>
  <si>
    <t>Sasikumar A</t>
  </si>
  <si>
    <t>Joshy Ravi</t>
  </si>
  <si>
    <t>Kiran Kumar S</t>
  </si>
  <si>
    <t>Mohamed Shareef. T</t>
  </si>
  <si>
    <t>Pankaj Gupta</t>
  </si>
  <si>
    <t>Tribhuvan Srivastava</t>
  </si>
  <si>
    <t>Shubham Srivastava</t>
  </si>
  <si>
    <t>Nishant Kumar</t>
  </si>
  <si>
    <t>Manish Soni</t>
  </si>
  <si>
    <t>Ashwini Kumar</t>
  </si>
  <si>
    <t>Vinod Kumar</t>
  </si>
  <si>
    <t>Ankush Jha</t>
  </si>
  <si>
    <t>Deepak Verma</t>
  </si>
  <si>
    <t>Avishkar Verma</t>
  </si>
  <si>
    <t>Sumit Sharma</t>
  </si>
  <si>
    <t>Sandeep Kumar</t>
  </si>
  <si>
    <t>Mohan Bhadani</t>
  </si>
  <si>
    <t>Chandu Padman</t>
  </si>
  <si>
    <t>SIBI.P Left</t>
  </si>
  <si>
    <t>Muhammed shihab. P</t>
  </si>
  <si>
    <t>Vineeth P</t>
  </si>
  <si>
    <t>Arun p</t>
  </si>
  <si>
    <t>AJEESH.P.A</t>
  </si>
  <si>
    <t>Jithin Sunny</t>
  </si>
  <si>
    <t>Dipak Shivling Agre</t>
  </si>
  <si>
    <t>Adarsh .S</t>
  </si>
  <si>
    <t>Nikhil Singh</t>
  </si>
  <si>
    <t>Rupak Goswami</t>
  </si>
  <si>
    <t>Ajaya Kumar Kar</t>
  </si>
  <si>
    <t>Sajeev Kumar</t>
  </si>
  <si>
    <t>Benoy Abraham Chacko</t>
  </si>
  <si>
    <t>Mohit</t>
  </si>
  <si>
    <t>Abhijit Sarkar</t>
  </si>
  <si>
    <t>Indar Prakash</t>
  </si>
  <si>
    <t>Sanket Lonhare</t>
  </si>
  <si>
    <t>Rahul Kumar Giri</t>
  </si>
  <si>
    <t>Vikash Bharti</t>
  </si>
  <si>
    <t>Rohit Kumar Sain</t>
  </si>
  <si>
    <t>Bapan Pal</t>
  </si>
  <si>
    <t>Swapnadeep Halder</t>
  </si>
  <si>
    <t>R.Rajkiran</t>
  </si>
  <si>
    <t>Mutharasan Murugesan</t>
  </si>
  <si>
    <t>Mohammed Anwar</t>
  </si>
  <si>
    <t>Javahar Bernando</t>
  </si>
  <si>
    <t>Ajeesh sv</t>
  </si>
  <si>
    <t>RAHUL.M</t>
  </si>
  <si>
    <t>Aqil Rizvi</t>
  </si>
  <si>
    <t>Vishnu Kumar</t>
  </si>
  <si>
    <t>P.Rajkumar</t>
  </si>
  <si>
    <t>Shantanu Omdev Tripathi</t>
  </si>
  <si>
    <t>Midhun S</t>
  </si>
  <si>
    <t>SHYJU V</t>
  </si>
  <si>
    <t>Tarun Kumar</t>
  </si>
  <si>
    <t>ABHIJITH S U</t>
  </si>
  <si>
    <t>Shaik Khaja</t>
  </si>
  <si>
    <t>Babu S Rajan</t>
  </si>
  <si>
    <t>Samiran Chatterjee</t>
  </si>
  <si>
    <t>Akash kumar gulhare</t>
  </si>
  <si>
    <t>Rijo Benni C</t>
  </si>
  <si>
    <t>Achyut Kumar Nath</t>
  </si>
  <si>
    <t>Satyender Singh</t>
  </si>
  <si>
    <t>SATHEESH KUMAR K</t>
  </si>
  <si>
    <t>Akash Tripathi</t>
  </si>
  <si>
    <t>Rajesh NN</t>
  </si>
  <si>
    <t>Nesa Kumar S</t>
  </si>
  <si>
    <t>Navin Paul</t>
  </si>
  <si>
    <t>JITHIN T V</t>
  </si>
  <si>
    <t>V. Balamurugan</t>
  </si>
  <si>
    <t>ANAND KUMAR SAHU</t>
  </si>
  <si>
    <t>Amrendar Kumar</t>
  </si>
  <si>
    <t>Nitin prasad baghel</t>
  </si>
  <si>
    <t>B.T.Ashok kumar</t>
  </si>
  <si>
    <t>Rajat Kishor</t>
  </si>
  <si>
    <t>Yashvendra Raghav</t>
  </si>
  <si>
    <t>S.Kanish</t>
  </si>
  <si>
    <t>Muhammad Shine</t>
  </si>
  <si>
    <t>M. Ponraj</t>
  </si>
  <si>
    <t>Arun kumar</t>
  </si>
  <si>
    <t>Deepak singh Rathore</t>
  </si>
  <si>
    <t>Mohammad Arif</t>
  </si>
  <si>
    <t>Dharmendra Kumar pathak</t>
  </si>
  <si>
    <t>Manoj V G</t>
  </si>
  <si>
    <t>Tarun</t>
  </si>
  <si>
    <t>Shankar Patil</t>
  </si>
  <si>
    <t>Venkata Ramanaiah G</t>
  </si>
  <si>
    <t>Arindam Goswami</t>
  </si>
  <si>
    <t>Bittu Mandal</t>
  </si>
  <si>
    <t>A.Alagarsamy</t>
  </si>
  <si>
    <t>Nibin Abraham</t>
  </si>
  <si>
    <t>P.Suriya</t>
  </si>
  <si>
    <t>Manish Kumar</t>
  </si>
  <si>
    <t>Alwin.G</t>
  </si>
  <si>
    <t>Debmalya Banerjee</t>
  </si>
  <si>
    <t>Musthapa A</t>
  </si>
  <si>
    <t>Aditya Chaturvedi</t>
  </si>
  <si>
    <t>Akshay jain</t>
  </si>
  <si>
    <t>Arun kumar.S</t>
  </si>
  <si>
    <t>S.Mohammed Ismail</t>
  </si>
  <si>
    <t>Mahesh S Bhandge</t>
  </si>
  <si>
    <t>Navin Kumar</t>
  </si>
  <si>
    <t>Devendra Dharawat</t>
  </si>
  <si>
    <t>Shaik. Ayub</t>
  </si>
  <si>
    <t>Vikas verma</t>
  </si>
  <si>
    <t>Chandrakant Mandave</t>
  </si>
  <si>
    <t>Gaurav Sharma</t>
  </si>
  <si>
    <t>Vivek Bajpai</t>
  </si>
  <si>
    <t>Bhushan Sharma</t>
  </si>
  <si>
    <t>Brajendra Maurya</t>
  </si>
  <si>
    <t>Rocky Sharma</t>
  </si>
  <si>
    <t>Naveen Kumar Singh</t>
  </si>
  <si>
    <t>Chandan Kumar</t>
  </si>
  <si>
    <t>V.Vadivel Murugan</t>
  </si>
  <si>
    <t>Khamchand Aharwal</t>
  </si>
  <si>
    <t>J.SURESH KUMAR</t>
  </si>
  <si>
    <t>Neetam Ram</t>
  </si>
  <si>
    <t>Vicky Rana</t>
  </si>
  <si>
    <t>Sanjay Lohani</t>
  </si>
  <si>
    <t>Pravin Ashok Bansode</t>
  </si>
  <si>
    <t>L.SELVAGANAPATHY</t>
  </si>
  <si>
    <t>KARTHIK K</t>
  </si>
  <si>
    <t>YOGESH KUMAR</t>
  </si>
  <si>
    <t>R. S. Sankar</t>
  </si>
  <si>
    <t>B.Muthusaravanan</t>
  </si>
  <si>
    <t>Dheerendra Kumar</t>
  </si>
  <si>
    <t>Prakash Kumar Singh</t>
  </si>
  <si>
    <t>P. PERIYASAMY</t>
  </si>
  <si>
    <t>O. P. Kalra</t>
  </si>
  <si>
    <t>Shubham Khivsara</t>
  </si>
  <si>
    <t>Ashish Rahangdale</t>
  </si>
  <si>
    <t>Banwari Lal</t>
  </si>
  <si>
    <t>Abhijit Chakraborty</t>
  </si>
  <si>
    <t>Pramod B Yadav</t>
  </si>
  <si>
    <t>Thomson J Chirayath</t>
  </si>
  <si>
    <t>Sibi.P</t>
  </si>
  <si>
    <t>T. Chandran</t>
  </si>
  <si>
    <t>Sub Dealer( under Distributor)</t>
  </si>
  <si>
    <t>Kanish Khanna</t>
  </si>
  <si>
    <t>Abhishek singh</t>
  </si>
  <si>
    <t>M.Sreenivasulu</t>
  </si>
  <si>
    <t>Muhammad Iqbal Rather</t>
  </si>
  <si>
    <t>Ashish Sharma</t>
  </si>
  <si>
    <t>N.Venkatragavan</t>
  </si>
  <si>
    <t>ROOPESH K.P.</t>
  </si>
  <si>
    <t>Vipin</t>
  </si>
  <si>
    <t>Rahul Dhiman</t>
  </si>
  <si>
    <t>Ranjith R</t>
  </si>
  <si>
    <t>Anandu A</t>
  </si>
  <si>
    <t>Rohit Chaudhary</t>
  </si>
  <si>
    <t>Pranjal Deka</t>
  </si>
  <si>
    <t>Manish Gupta.</t>
  </si>
  <si>
    <t>Vivek Kumar Singh</t>
  </si>
  <si>
    <t>Abhijit Das</t>
  </si>
  <si>
    <t>Yatendra Kumar</t>
  </si>
  <si>
    <t>Sanjeev Kumar Ojha</t>
  </si>
  <si>
    <t>Imran Khan</t>
  </si>
  <si>
    <t>Jagdish Palani</t>
  </si>
  <si>
    <t>B.Anantha Pathi</t>
  </si>
  <si>
    <t>Shyam Narayan</t>
  </si>
  <si>
    <t>Mohammad Tanvir</t>
  </si>
  <si>
    <t>Bhaskar P V</t>
  </si>
  <si>
    <t>Rahul Palangattu</t>
  </si>
  <si>
    <t>Ajay Pratap Singh</t>
  </si>
  <si>
    <t>Adil Yusuf</t>
  </si>
  <si>
    <t>Subhajit Koley</t>
  </si>
  <si>
    <t>Sandeep kumar Chejara</t>
  </si>
  <si>
    <t>RIJIL T</t>
  </si>
  <si>
    <t>M.Gowthaman</t>
  </si>
  <si>
    <t>Majid Ali</t>
  </si>
  <si>
    <t>Prasun Chatterjee</t>
  </si>
  <si>
    <t>Tauheed Raja</t>
  </si>
  <si>
    <t>Santosh Kumar dixit</t>
  </si>
  <si>
    <t>Anand m</t>
  </si>
  <si>
    <t>Rajeev Kumar</t>
  </si>
  <si>
    <t>Rajnish Kumar Goyal</t>
  </si>
  <si>
    <t>Raju</t>
  </si>
  <si>
    <t>Basiq360 Test User (Live)</t>
  </si>
  <si>
    <t>Pardeep Kumar Sokhal</t>
  </si>
  <si>
    <t>Rohit Singh Rajput</t>
  </si>
  <si>
    <t>MANIKANDAN AR</t>
  </si>
  <si>
    <t>Vikash Kumar Singh</t>
  </si>
  <si>
    <t>VENKATRAMAN.R</t>
  </si>
  <si>
    <t>Tushar Ravindra Kanthale</t>
  </si>
  <si>
    <t>Vibhor Mathur</t>
  </si>
  <si>
    <t>Rajat Kapoor</t>
  </si>
  <si>
    <t>Aman Kumar</t>
  </si>
  <si>
    <t>PUNEET KAUSHIK</t>
  </si>
  <si>
    <t>Jahangir Ashraf</t>
  </si>
  <si>
    <t>N.Shiek Mohamed</t>
  </si>
  <si>
    <t>Tarun Silodiya</t>
  </si>
  <si>
    <t>Deepak Badal</t>
  </si>
  <si>
    <t>Avijit Karmakar</t>
  </si>
  <si>
    <t>Avinash Anand</t>
  </si>
  <si>
    <t>Gonesh Dey</t>
  </si>
  <si>
    <t>Mukesh Kumar</t>
  </si>
  <si>
    <t>Roni Gupta</t>
  </si>
  <si>
    <t>Sayan Chatterjee</t>
  </si>
  <si>
    <t>Shivam Bagui</t>
  </si>
  <si>
    <t>SURYAKANTA KALUA</t>
  </si>
  <si>
    <t>Rajkumar Dari</t>
  </si>
  <si>
    <t>Gourav Trivedi</t>
  </si>
  <si>
    <t>Monish Ghoshal</t>
  </si>
  <si>
    <t>Ram Sukh Sharma</t>
  </si>
  <si>
    <t>Gopesh Kumar Sharma</t>
  </si>
  <si>
    <t>Tapan Ghosh</t>
  </si>
  <si>
    <t>Rajesh Chakraborty</t>
  </si>
  <si>
    <t>Deepak Kumar Sah</t>
  </si>
  <si>
    <t>Mahendra Salvi</t>
  </si>
  <si>
    <t>Ashutosh Bajpai</t>
  </si>
  <si>
    <t>ARUNRAJ.P</t>
  </si>
  <si>
    <t>Sajith MS</t>
  </si>
  <si>
    <t>Saurav Kumar</t>
  </si>
  <si>
    <t>Deepak Singh</t>
  </si>
  <si>
    <t>Gulab singh</t>
  </si>
  <si>
    <t>Sujit Das</t>
  </si>
  <si>
    <t>Vipin Baghel</t>
  </si>
  <si>
    <t>Preetam Singh</t>
  </si>
  <si>
    <t>Mrinmoy Kar</t>
  </si>
  <si>
    <t>Rajendra Shrivastava</t>
  </si>
  <si>
    <t>Arup Kumar Naskar</t>
  </si>
  <si>
    <t>Santosh Kumar</t>
  </si>
  <si>
    <t>Pawan Kumar Sharma</t>
  </si>
  <si>
    <t>Vikash Kumar Paswan</t>
  </si>
  <si>
    <t>Sumit Suman</t>
  </si>
  <si>
    <t>Balamurugan .V</t>
  </si>
  <si>
    <t>Somasundaram.P</t>
  </si>
  <si>
    <t>Ullas V C</t>
  </si>
  <si>
    <t>Kishan Dhanawat</t>
  </si>
  <si>
    <t>Rajib Banerjee</t>
  </si>
  <si>
    <t>Rameshwar Verma</t>
  </si>
  <si>
    <t>Vikas Dhawan</t>
  </si>
  <si>
    <t>Shashi Turkar</t>
  </si>
  <si>
    <t>Dipak Ghosh</t>
  </si>
  <si>
    <t>Bhavesh Jain</t>
  </si>
  <si>
    <t>S. PALPANDI</t>
  </si>
  <si>
    <t>Dilbag singh</t>
  </si>
  <si>
    <t>Manjit Singh</t>
  </si>
  <si>
    <t>AMAN KHAN</t>
  </si>
  <si>
    <t>Kuldeep Singh Chauhan</t>
  </si>
  <si>
    <t>Saqib juned</t>
  </si>
  <si>
    <t>Vijay Dnyaneshwar</t>
  </si>
  <si>
    <t>Kailash Chandra Sharma</t>
  </si>
  <si>
    <t>Kapil Thakur</t>
  </si>
  <si>
    <t>VIVEK SHANKAR</t>
  </si>
  <si>
    <t>Vinay Kumar Bajpai</t>
  </si>
  <si>
    <t>Mohd.Subahan</t>
  </si>
  <si>
    <t>Sitaram Sharma</t>
  </si>
  <si>
    <t>Nilkamal Tiwary</t>
  </si>
  <si>
    <t>prashant Singh Chauhan</t>
  </si>
  <si>
    <t>Jagtar Singh</t>
  </si>
  <si>
    <t>Sudhanshu Kumar</t>
  </si>
  <si>
    <t>Ranjeet Kumar</t>
  </si>
  <si>
    <t>Ram Kachi</t>
  </si>
  <si>
    <t>Amit Haridasji Belonkar</t>
  </si>
  <si>
    <t>DIBYENDU SAHA</t>
  </si>
  <si>
    <t>Ajoy Kalita</t>
  </si>
  <si>
    <t>Rubes Berlin. V</t>
  </si>
  <si>
    <t>Manindra Singh Jadon</t>
  </si>
  <si>
    <t>Amit kumar</t>
  </si>
  <si>
    <t>Santhosh kumar KV</t>
  </si>
  <si>
    <t>Swapan Haldar</t>
  </si>
  <si>
    <t>S. Kavaskar Bernando</t>
  </si>
  <si>
    <t>Parshant Gautam</t>
  </si>
  <si>
    <t>Manoj Daware</t>
  </si>
  <si>
    <t>Puneet Duggal</t>
  </si>
  <si>
    <t>Harish Kumar</t>
  </si>
  <si>
    <t>Arun Prakash</t>
  </si>
  <si>
    <t>Lokesh Kumar Sharma</t>
  </si>
  <si>
    <t>Navshaver Singh</t>
  </si>
  <si>
    <t>Vivek Sharma</t>
  </si>
  <si>
    <t>Rajesh</t>
  </si>
  <si>
    <t>Ashok Das</t>
  </si>
  <si>
    <t>Girish Bapu Jadhav</t>
  </si>
  <si>
    <t>Devaram</t>
  </si>
  <si>
    <t>NARENDER KUMAR</t>
  </si>
  <si>
    <t>Abhishek Tiwari</t>
  </si>
  <si>
    <t>NARAYAN BAISHYA</t>
  </si>
  <si>
    <t>Prashant Sardeshpande</t>
  </si>
  <si>
    <t>Sebastian P J</t>
  </si>
  <si>
    <t>Thrideep.K</t>
  </si>
  <si>
    <t>Neeraj Kumar</t>
  </si>
  <si>
    <t>Parmod Singh Dhillon</t>
  </si>
  <si>
    <t>S.Thirunavukarasu</t>
  </si>
  <si>
    <t>Hardeep Khinda</t>
  </si>
  <si>
    <t>Vipul</t>
  </si>
  <si>
    <t>Rashid. P. A</t>
  </si>
  <si>
    <t>Gobinath. S</t>
  </si>
  <si>
    <t>Mahendra Kumar Jain</t>
  </si>
  <si>
    <t>Brijesh Rai</t>
  </si>
  <si>
    <t>Ajay Kumar Singh</t>
  </si>
  <si>
    <t>Navneet Kumar</t>
  </si>
  <si>
    <t>Anil Kumar Sharma</t>
  </si>
  <si>
    <t>Ravindra Kumar Jangid</t>
  </si>
  <si>
    <t>PEOUSE INFANT THOMAS</t>
  </si>
  <si>
    <t>test</t>
  </si>
  <si>
    <t>Deepak Sain</t>
  </si>
  <si>
    <t>Naveen Raj P K (OFF Roll)</t>
  </si>
  <si>
    <t>Sukanta Sen</t>
  </si>
  <si>
    <t>Arif Khan</t>
  </si>
  <si>
    <t>A.Prasath</t>
  </si>
  <si>
    <t>Jitendra Kumar Jaiman</t>
  </si>
  <si>
    <t>Yashvant Singhariya</t>
  </si>
  <si>
    <t>Manish Kumar..</t>
  </si>
  <si>
    <t>Sachin</t>
  </si>
  <si>
    <t>Rahul</t>
  </si>
  <si>
    <t>Sumit Pareek</t>
  </si>
  <si>
    <t>Adarsh Gaurav</t>
  </si>
  <si>
    <t>Yogesh Kumar Sharma</t>
  </si>
  <si>
    <t>Shekhar Tanwar</t>
  </si>
  <si>
    <t>Pawan Kumar (HR)</t>
  </si>
  <si>
    <t>Rimpal Kumar</t>
  </si>
  <si>
    <t>Anurag Srivastava</t>
  </si>
  <si>
    <t>Vikram Paliwal</t>
  </si>
  <si>
    <t>Prateek Khandelwal</t>
  </si>
  <si>
    <t>Madan Joshi</t>
  </si>
  <si>
    <t>M.Suresh Kumar Jain (Off Roll)</t>
  </si>
  <si>
    <t>Dharmendra Kumar Singh (Off-Roll)</t>
  </si>
  <si>
    <t>Chauhan B M B</t>
  </si>
  <si>
    <t>Mahaveer Jain (Off Roll)</t>
  </si>
  <si>
    <t>Sachin (Majid)</t>
  </si>
  <si>
    <t>Vel M.</t>
  </si>
  <si>
    <t>BASUKINATH THAKUR(Off roll)</t>
  </si>
  <si>
    <t>Dinesh Gugarwal</t>
  </si>
  <si>
    <t>Mohd. Israr Khan</t>
  </si>
  <si>
    <t>Prashantha M</t>
  </si>
  <si>
    <t>Shashishekar J.P.</t>
  </si>
  <si>
    <t>Dileep R.</t>
  </si>
  <si>
    <t>Robin Kumar</t>
  </si>
  <si>
    <t>Praveen PK</t>
  </si>
  <si>
    <t>Pawan Kumar (Rohtak)</t>
  </si>
  <si>
    <t>Rajesh Kumar Sharma</t>
  </si>
  <si>
    <t>Anuj Kumar</t>
  </si>
  <si>
    <t>test cron user</t>
  </si>
  <si>
    <t>Ritesh Thakur</t>
  </si>
  <si>
    <t>Arvind Kumar</t>
  </si>
  <si>
    <t>Aravind S.</t>
  </si>
  <si>
    <t>Subhash</t>
  </si>
  <si>
    <t>Anil Kant Dadhich</t>
  </si>
  <si>
    <t>Jagdeep Singh</t>
  </si>
  <si>
    <t>Brinder Singh</t>
  </si>
  <si>
    <t>Ranjeet Kumar.</t>
  </si>
  <si>
    <t>Ravi Kant Mahato</t>
  </si>
  <si>
    <t>Kartik Kumar</t>
  </si>
  <si>
    <t>SANOJ M.</t>
  </si>
  <si>
    <t>RAMESH PARSHURAM OAK</t>
  </si>
  <si>
    <t>KARAN SINGH PANWAR</t>
  </si>
  <si>
    <t>SHOYKARAN NAI</t>
  </si>
  <si>
    <t>AKASH SHARAN</t>
  </si>
  <si>
    <t>JAHIR ABBAS HALDER</t>
  </si>
  <si>
    <t>ADITYA YADAV</t>
  </si>
  <si>
    <t>Montu Raj Bhasneiya</t>
  </si>
  <si>
    <t>Sachin Yadav</t>
  </si>
  <si>
    <t>Prashant Onam Naik</t>
  </si>
  <si>
    <t>Anirban Biswas</t>
  </si>
  <si>
    <t>Amruth Shivappa Banakar</t>
  </si>
  <si>
    <t>Below 50% Acheivement &amp; Cost Ratio Above 5%</t>
  </si>
  <si>
    <t>2025-26</t>
  </si>
  <si>
    <t>Below 25%</t>
  </si>
  <si>
    <t xml:space="preserve">Count </t>
  </si>
  <si>
    <t>State</t>
  </si>
  <si>
    <t>Headquarter</t>
  </si>
  <si>
    <t>D.O.J</t>
  </si>
  <si>
    <t>Working State</t>
  </si>
  <si>
    <t>Sale 24-25</t>
  </si>
  <si>
    <t>Direct Dealer Target</t>
  </si>
  <si>
    <t>Target</t>
  </si>
  <si>
    <t>Order Booking</t>
  </si>
  <si>
    <t>Direct Dealers Order</t>
  </si>
  <si>
    <t>Sale Report 25-26</t>
  </si>
  <si>
    <t>Target Achievement (%)</t>
  </si>
  <si>
    <t>Direct Dealer/Primary target achievement (%)</t>
  </si>
  <si>
    <t>Target Achievement (%) (Sale)</t>
  </si>
  <si>
    <t>Total Old Retailers</t>
  </si>
  <si>
    <t>Visited Parties</t>
  </si>
  <si>
    <t>New Retailers</t>
  </si>
  <si>
    <t>Number of New Retailers Orders Received</t>
  </si>
  <si>
    <t>Total Retailers</t>
  </si>
  <si>
    <t>Non Visited Retailers</t>
  </si>
  <si>
    <t>Old Party Business Order Booking</t>
  </si>
  <si>
    <t>New Party Order Booking</t>
  </si>
  <si>
    <t>Business  Achieved  By No. of Old Parties</t>
  </si>
  <si>
    <t>Business  Achieved  By No. of New Parties</t>
  </si>
  <si>
    <t>Business Achieved By</t>
  </si>
  <si>
    <t>Business Achieved By Direct Dealer</t>
  </si>
  <si>
    <t>Total Lead Counters</t>
  </si>
  <si>
    <t>Total Lead Visits</t>
  </si>
  <si>
    <t>Total Non Lead Visits</t>
  </si>
  <si>
    <t>Distributor Counter</t>
  </si>
  <si>
    <t>Distributor Visits</t>
  </si>
  <si>
    <t>Direct Dealer Counter</t>
  </si>
  <si>
    <t>Direct Dealer Visits</t>
  </si>
  <si>
    <t>Distributor/Direct Dealer Lead Counter</t>
  </si>
  <si>
    <t>Distributor/Direct Dealer Lead Visits</t>
  </si>
  <si>
    <t>Active Parties Visits</t>
  </si>
  <si>
    <t>Total Visits</t>
  </si>
  <si>
    <t>Working Days</t>
  </si>
  <si>
    <t>Average Order Per Day</t>
  </si>
  <si>
    <t>Average Visit Per Day</t>
  </si>
  <si>
    <t>CTC</t>
  </si>
  <si>
    <t>T.A. Bill ST. Cost</t>
  </si>
  <si>
    <t>Cost Ratio (%)</t>
  </si>
  <si>
    <t>Business Per Retailer</t>
  </si>
  <si>
    <t>No of Orders</t>
  </si>
  <si>
    <t>Total Working Hours</t>
  </si>
  <si>
    <t>Total GPS KM</t>
  </si>
  <si>
    <t>Avg Distance (KM)</t>
  </si>
  <si>
    <t>Business Received Parties Visits</t>
  </si>
  <si>
    <t>Visited But No Business Received</t>
  </si>
  <si>
    <t>No Visit No Business Received</t>
  </si>
  <si>
    <t>Left Date</t>
  </si>
  <si>
    <t>REMARKS</t>
  </si>
  <si>
    <t>Difference</t>
  </si>
  <si>
    <t>TEAM MEMBERS NAME NOT LISTED HERE</t>
  </si>
  <si>
    <t>1. Tejas Lunawat</t>
  </si>
  <si>
    <t>2. Gourav Trivedi</t>
  </si>
  <si>
    <t>3. Navshaver Singh</t>
  </si>
  <si>
    <t>4. Brinder Singh</t>
  </si>
  <si>
    <t>5. Sandeep Sonawane</t>
  </si>
  <si>
    <t>6. Akash Santra</t>
  </si>
  <si>
    <t>7. Sujit Das</t>
  </si>
  <si>
    <t>Summary 25-26</t>
  </si>
  <si>
    <t>Old/New</t>
  </si>
  <si>
    <t>Secondary / Primary</t>
  </si>
  <si>
    <t xml:space="preserve">Number of Dealer Below 60 </t>
  </si>
  <si>
    <t>Business Achieved 50% of dealer and above Total Retailer</t>
  </si>
  <si>
    <t>Statehead</t>
  </si>
  <si>
    <t>Active / Left</t>
  </si>
  <si>
    <t>New Team Members</t>
  </si>
  <si>
    <t>No. Of Active Team Members</t>
  </si>
  <si>
    <t>Left Team Members</t>
  </si>
  <si>
    <t>Total</t>
  </si>
  <si>
    <t>70%-90%</t>
  </si>
  <si>
    <t>90%-100%</t>
  </si>
  <si>
    <t>Total Order 24-25</t>
  </si>
  <si>
    <t>CTC Monthly</t>
  </si>
  <si>
    <t>Target monthly</t>
  </si>
  <si>
    <t>Secondary Target</t>
  </si>
  <si>
    <t>Above 100%</t>
  </si>
  <si>
    <t>Below 50%</t>
  </si>
  <si>
    <t>No Target</t>
  </si>
  <si>
    <t>LEFT</t>
  </si>
  <si>
    <t>Ac tive Left</t>
  </si>
  <si>
    <t>Active</t>
  </si>
  <si>
    <t>Segment Wise Report 25-26</t>
  </si>
  <si>
    <t>Active/ Left</t>
  </si>
  <si>
    <t>Salary month / target count</t>
  </si>
  <si>
    <t>Order Booking 2024-2025</t>
  </si>
  <si>
    <t>Primary Target</t>
  </si>
  <si>
    <t>Achievement</t>
  </si>
  <si>
    <t>Direct Dealers order</t>
  </si>
  <si>
    <t>Visited in a Month</t>
  </si>
  <si>
    <t>Business Achived By No. of Old Parties</t>
  </si>
  <si>
    <t>Business Achived By No. of New Parties</t>
  </si>
  <si>
    <t>Average Sales Per Day</t>
  </si>
  <si>
    <t>New Party Orders</t>
  </si>
  <si>
    <t>old new</t>
  </si>
  <si>
    <t>Target range</t>
  </si>
  <si>
    <t>mar</t>
  </si>
  <si>
    <t>days calculation</t>
  </si>
  <si>
    <t>Monthy Direct Dealer Primary Target</t>
  </si>
  <si>
    <t xml:space="preserve">Direct Dealer Primary Target </t>
  </si>
  <si>
    <t>Total target</t>
  </si>
  <si>
    <t>rEMARKS</t>
  </si>
  <si>
    <t>q1</t>
  </si>
  <si>
    <t>q2</t>
  </si>
  <si>
    <t>q3</t>
  </si>
  <si>
    <t>q4</t>
  </si>
  <si>
    <t>Cost Ratio (%)Sale</t>
  </si>
  <si>
    <t>ctc  2025</t>
  </si>
  <si>
    <t>designation</t>
  </si>
  <si>
    <t>emp code</t>
  </si>
  <si>
    <t>Old</t>
  </si>
  <si>
    <t>New</t>
  </si>
  <si>
    <t>Left</t>
  </si>
  <si>
    <t>BELOW 60 DEALER</t>
  </si>
  <si>
    <t>BUSINESS Achieved 50% AND ABOVE</t>
  </si>
  <si>
    <t>BUSINESS RECEIVED  TOTAL VISITS</t>
  </si>
  <si>
    <t>VISITED BUT BUSINESS NOT RECEIVED TOTAL VISITS</t>
  </si>
  <si>
    <t>PARTIES NOT VISITED</t>
  </si>
  <si>
    <t>Varitaion</t>
  </si>
  <si>
    <t>Remarks</t>
  </si>
  <si>
    <t>Secon</t>
  </si>
  <si>
    <t>prima</t>
  </si>
  <si>
    <t>WEST BENGAL</t>
  </si>
  <si>
    <t>Sr. Area Sales Manager</t>
  </si>
  <si>
    <t>Apr</t>
  </si>
  <si>
    <t>Secondary</t>
  </si>
  <si>
    <t>Area Sales Manager</t>
  </si>
  <si>
    <t>May</t>
  </si>
  <si>
    <t>East U.P, MADHYA PRADESH</t>
  </si>
  <si>
    <t>Regional Sales Manager</t>
  </si>
  <si>
    <t>Jun</t>
  </si>
  <si>
    <t>Jul</t>
  </si>
  <si>
    <t>Aug</t>
  </si>
  <si>
    <t>ODISHA</t>
  </si>
  <si>
    <t>CUTTACK</t>
  </si>
  <si>
    <t>Sr. Executive - Sales &amp; Mktg.</t>
  </si>
  <si>
    <t>Sep</t>
  </si>
  <si>
    <t>BIHAR</t>
  </si>
  <si>
    <t>Motihari</t>
  </si>
  <si>
    <t>Oct</t>
  </si>
  <si>
    <t>MEDNIPORE</t>
  </si>
  <si>
    <t>Nov</t>
  </si>
  <si>
    <t>BALASORE</t>
  </si>
  <si>
    <t>Dec</t>
  </si>
  <si>
    <t>Faizbad</t>
  </si>
  <si>
    <t>Assistant Area Sales Manager</t>
  </si>
  <si>
    <t>Jan</t>
  </si>
  <si>
    <t>Feb</t>
  </si>
  <si>
    <t>MADHYA PRADESH</t>
  </si>
  <si>
    <t>Mar</t>
  </si>
  <si>
    <t>ANDHRA PRADESH</t>
  </si>
  <si>
    <t>Executive - Sales &amp; Mkt.</t>
  </si>
  <si>
    <t>BHUBANESWAR</t>
  </si>
  <si>
    <t>KARNATAKA, MAHARASHTRA</t>
  </si>
  <si>
    <t>Miraj (Mh)</t>
  </si>
  <si>
    <t>GUJARAT</t>
  </si>
  <si>
    <t>Baroda</t>
  </si>
  <si>
    <t>TELANGANA</t>
  </si>
  <si>
    <t>Warangal</t>
  </si>
  <si>
    <t>On leave after 15th April to 5th Aug Due to Accident</t>
  </si>
  <si>
    <t>Vijayawada</t>
  </si>
  <si>
    <t>PONDICHERRY, TAMIL NADU</t>
  </si>
  <si>
    <t>Raurkela</t>
  </si>
  <si>
    <t>ARUNACHAL PRADESH, ASSAM, MANIPUR, MEGHALAYA, MIZORAM, NAGALAND, SIKKIM, TRIPURA</t>
  </si>
  <si>
    <t>TAMIL NADU</t>
  </si>
  <si>
    <t>VELLORE</t>
  </si>
  <si>
    <t>Sr. Executive</t>
  </si>
  <si>
    <t>CHATTISGARH</t>
  </si>
  <si>
    <t>KERALA</t>
  </si>
  <si>
    <t>Palakkad</t>
  </si>
  <si>
    <t>JHARKHAND</t>
  </si>
  <si>
    <t>BIHAR, JHARKHAND</t>
  </si>
  <si>
    <t>MAHARASHTRA</t>
  </si>
  <si>
    <t>Amravati</t>
  </si>
  <si>
    <t>Prayagraj (Allahabad)</t>
  </si>
  <si>
    <t>JAMMU</t>
  </si>
  <si>
    <t>ARUNACHAL PRADESH, ASSAM, MANIPUR, MEGHALAYA, MIZORAM, NAGALAND, ODISHA, SIKKIM, TRIPURA</t>
  </si>
  <si>
    <t>Palanpur</t>
  </si>
  <si>
    <t>Mecheda</t>
  </si>
  <si>
    <t>DELHI</t>
  </si>
  <si>
    <t>Palamu</t>
  </si>
  <si>
    <t>Burdwan</t>
  </si>
  <si>
    <t>Bankura</t>
  </si>
  <si>
    <t>HARYANA</t>
  </si>
  <si>
    <t>West Burdwan</t>
  </si>
  <si>
    <t>Ranaghat</t>
  </si>
  <si>
    <t>ARUNACHAL PRADESH, ASSAM, MANIPUR, MEGHALAYA, MIZORAM, NAGALAND, SIKKIM</t>
  </si>
  <si>
    <t>CHHATARPUR</t>
  </si>
  <si>
    <t>East U.P, UTTARAKHAND</t>
  </si>
  <si>
    <t>JHARKHAND, WEST BENGAL</t>
  </si>
  <si>
    <t>ANDHRA PRADESH, TELANGANA</t>
  </si>
  <si>
    <t>CHANDIGARH, PUNJAB</t>
  </si>
  <si>
    <t>Amritsar</t>
  </si>
  <si>
    <t>Territory Sales Officer</t>
  </si>
  <si>
    <t>ASSAM</t>
  </si>
  <si>
    <t>ASSAM, MEGHALAYA</t>
  </si>
  <si>
    <t>Guwahati</t>
  </si>
  <si>
    <t>PUNJAB</t>
  </si>
  <si>
    <t>RAJASTHAN</t>
  </si>
  <si>
    <t>Hanumangarh</t>
  </si>
  <si>
    <t>HIMACHAL PRADESH</t>
  </si>
  <si>
    <t>Karauli</t>
  </si>
  <si>
    <t>Executive - Sales &amp; Mktg.</t>
  </si>
  <si>
    <t>Anantpur</t>
  </si>
  <si>
    <t>Delhi NCR, HARYANA</t>
  </si>
  <si>
    <t>Bikaner</t>
  </si>
  <si>
    <t>Kolhapur</t>
  </si>
  <si>
    <t>KARNATAKA</t>
  </si>
  <si>
    <t>Bangalore</t>
  </si>
  <si>
    <t>DELHI, West U.P</t>
  </si>
  <si>
    <t>UTTARAKHAND, West U.P</t>
  </si>
  <si>
    <t>Mangalore</t>
  </si>
  <si>
    <t>Chitradurga</t>
  </si>
  <si>
    <t>KERALA, PONDICHERRY</t>
  </si>
  <si>
    <t>BIHAR, WEST BENGAL</t>
  </si>
  <si>
    <t>On leave after 18th July to 31st Aug Due to Heart Attack</t>
  </si>
  <si>
    <t>UTTARAKHAND</t>
  </si>
  <si>
    <t>Mandi</t>
  </si>
  <si>
    <t>Kangra</t>
  </si>
  <si>
    <t>HARYANA, RAJASTHAN</t>
  </si>
  <si>
    <t>SIRSA</t>
  </si>
  <si>
    <t>Hoshiarpur</t>
  </si>
  <si>
    <t>Asstt. Regional Sales Manager</t>
  </si>
  <si>
    <t>East Midnapore</t>
  </si>
  <si>
    <t>Howrah</t>
  </si>
  <si>
    <t>Ateli</t>
  </si>
  <si>
    <t>He has joined under GVT Department, in 19th Nov his trasfered in the Retail Sales.</t>
  </si>
  <si>
    <t>Bengaluru</t>
  </si>
  <si>
    <t>ARUNACHAL PRADESH, ASSAM</t>
  </si>
  <si>
    <t>Shivamogga</t>
  </si>
  <si>
    <t>Distributor wise order booking Apr- Mar 2026</t>
  </si>
  <si>
    <t>STATE</t>
  </si>
  <si>
    <t>Distributor Count</t>
  </si>
  <si>
    <t>S.NO</t>
  </si>
  <si>
    <t>Distributor Name</t>
  </si>
  <si>
    <t>Assigned Team Member count</t>
  </si>
  <si>
    <t>Team Members Name</t>
  </si>
  <si>
    <t>AVG ORDER Booking</t>
  </si>
  <si>
    <t>Per Person per month</t>
  </si>
  <si>
    <t>Sale 25-26</t>
  </si>
  <si>
    <t>Difference (Order Vs Sale)</t>
  </si>
  <si>
    <t>Difference %</t>
  </si>
  <si>
    <t>SR.NO</t>
  </si>
  <si>
    <t>PARTY NAME</t>
  </si>
  <si>
    <t>OWNER NAME</t>
  </si>
  <si>
    <t>STATION</t>
  </si>
  <si>
    <t>DISTT.</t>
  </si>
  <si>
    <t>CONTACT NO</t>
  </si>
  <si>
    <t>RSM</t>
  </si>
  <si>
    <t>Type</t>
  </si>
  <si>
    <t>NEW CHIRAG KATNA TRADERS</t>
  </si>
  <si>
    <t>VIJAY KATNA</t>
  </si>
  <si>
    <t>VILL. TIKKAR BUHLA, PO. TIKKAR KHATRIAN, TEHSIL. BHORANJ, DISTT. HAMIRPUR (HP) 177025</t>
  </si>
  <si>
    <t>HAMIRPUR</t>
  </si>
  <si>
    <t>RITESH THAKUR</t>
  </si>
  <si>
    <t>DISTRIBUTOR</t>
  </si>
  <si>
    <t>INDERJIT SINGH AND SONS</t>
  </si>
  <si>
    <t>INDERJEET SINGH</t>
  </si>
  <si>
    <t>NEAR DAV PUBLIC SCHOOL, NANGAL ROAD,UNA, HP, 174303</t>
  </si>
  <si>
    <t>UNA</t>
  </si>
  <si>
    <t>DIRECT DEALER</t>
  </si>
  <si>
    <t>ARYAN HARDWARE STORE</t>
  </si>
  <si>
    <t>VIRENDER SINGH</t>
  </si>
  <si>
    <t>AMB, DISTT. UNA, HP, 177203</t>
  </si>
  <si>
    <t>ARVIND KUMAR</t>
  </si>
  <si>
    <t>YADVINDER HARDWARE STORE</t>
  </si>
  <si>
    <t>YADVINDER</t>
  </si>
  <si>
    <t>NAKROH, DISTT. UNA, HP, 177213</t>
  </si>
  <si>
    <t>BRINDER SINGH</t>
  </si>
  <si>
    <t>SDR AND LATH TRADERS</t>
  </si>
  <si>
    <t>RAJESH MOUDGIL</t>
  </si>
  <si>
    <t>VPO. PANOH, DISTT. UNA, HP, 174303</t>
  </si>
  <si>
    <t>BASSI PLY EMPORIUM</t>
  </si>
  <si>
    <t>MOHIT BASSI</t>
  </si>
  <si>
    <t>KIRPALPUR, BADDI ROAD, NALAGARH, DISTT SOLAN, 174101 HP</t>
  </si>
  <si>
    <t>SOLAN</t>
  </si>
  <si>
    <t>SHIVAM STEEL COMPANY</t>
  </si>
  <si>
    <t>TEJINDER RAIJADA</t>
  </si>
  <si>
    <t>BEHDALA, DISTT UNA, HP</t>
  </si>
  <si>
    <t>STRUCTOS</t>
  </si>
  <si>
    <t>PUNIT SHARMA</t>
  </si>
  <si>
    <t>STRUCTOS, NO-15, BANK COLONY, WARD NO- 8, HAMIRPUR, 177001, HP</t>
  </si>
  <si>
    <t>GUPTA HARDWARE STORE PRIVATE LIMITED</t>
  </si>
  <si>
    <t>PIYUSH GUPTA</t>
  </si>
  <si>
    <t>VILL. RADIANA, SUBATHU, DISTT. SOLAN</t>
  </si>
  <si>
    <t>ANKIT ENTERPRISES (HP)</t>
  </si>
  <si>
    <t>ANKIT KUMAR</t>
  </si>
  <si>
    <t>RAJPURA, PALAMPUR, DISTT KANGRA</t>
  </si>
  <si>
    <t>KANGRA</t>
  </si>
  <si>
    <t>LALISONS BUILDMART PRIVATE LIMITED</t>
  </si>
  <si>
    <t>SUCHET</t>
  </si>
  <si>
    <t>VPO NEAR ITIDARI DHARMSHALA DISTT KANGRA (H.P) 176057</t>
  </si>
  <si>
    <t>GIRDHARI LAL SARVJIT KUMAR</t>
  </si>
  <si>
    <t>VIKRAM SONDHI</t>
  </si>
  <si>
    <t>VPO KOTWALI BAZAR DHARMSHALA DISTT KANGRA HP 176215</t>
  </si>
  <si>
    <t>SS STEEL AND FURNITURE INDUSTRY</t>
  </si>
  <si>
    <t>ANCHIT SOOD</t>
  </si>
  <si>
    <t>VPO THURAL DISTT KANGRA HP 176107</t>
  </si>
  <si>
    <t>ADITI ENTERPRISES</t>
  </si>
  <si>
    <t>SUBHASH SHARMA</t>
  </si>
  <si>
    <t>VPO YOL CANTT THE.DHARMSHALA DISTT KANGRA (H.P) 176052</t>
  </si>
  <si>
    <t>JAI MAA DURGA ENTERPRISES (HP)</t>
  </si>
  <si>
    <t>KAMNI DEVI</t>
  </si>
  <si>
    <t>VPO. NARWANA, DISTT KANGRA</t>
  </si>
  <si>
    <t>new Dec</t>
  </si>
  <si>
    <t>VERMA ENTERPRISES (HP)</t>
  </si>
  <si>
    <t>MUNEESH VERMA</t>
  </si>
  <si>
    <t>VPO NAGRI TEH. PALAMPUR DISTT. KANGRA</t>
  </si>
  <si>
    <t>PUNJAB SANITARY &amp; H/W STORE</t>
  </si>
  <si>
    <t>SUKHVEER SINGH</t>
  </si>
  <si>
    <t>RAILWAY ROAD , ANANDPUR SAHIB</t>
  </si>
  <si>
    <t>RUPNAGAR</t>
  </si>
  <si>
    <t>UPPAL SANITARY STORE</t>
  </si>
  <si>
    <t>AMIT</t>
  </si>
  <si>
    <t>AMRITSAR</t>
  </si>
  <si>
    <t>KALSI IRON &amp; HARDWARE STORE</t>
  </si>
  <si>
    <t>SAURAB</t>
  </si>
  <si>
    <t>MADHOPUR S.O GURDASPUR</t>
  </si>
  <si>
    <t>PATHANKOT</t>
  </si>
  <si>
    <t>GOYAL SANITATIONS</t>
  </si>
  <si>
    <t>BHARAT</t>
  </si>
  <si>
    <t>LUDHIANA</t>
  </si>
  <si>
    <t>Fire-Fiesta Enterprises</t>
  </si>
  <si>
    <t>BHATHINDA</t>
  </si>
  <si>
    <t>GANESH NAGAR, BHATTI ROAD, BHATHINDA, 151001</t>
  </si>
  <si>
    <t>new</t>
  </si>
  <si>
    <t>HEER HARDWARE &amp; CEMENT STORE</t>
  </si>
  <si>
    <t>Aman,</t>
  </si>
  <si>
    <t>SRI KRISHNA TRADING CO.</t>
  </si>
  <si>
    <t>Parbhat</t>
  </si>
  <si>
    <t>Patiyala</t>
  </si>
  <si>
    <t>MAHAJAN PIPES (PB)</t>
  </si>
  <si>
    <t>Satish</t>
  </si>
  <si>
    <t>Pathankot</t>
  </si>
  <si>
    <t>Telanagana</t>
  </si>
  <si>
    <t>Jammu &amp; kashmir</t>
  </si>
  <si>
    <t>Comparison Report State wise (Last 4 Years)</t>
  </si>
  <si>
    <t>Statewise Team Member Report (2022-2026)</t>
  </si>
  <si>
    <t>New Joinee</t>
  </si>
  <si>
    <t>No. Of Team Members</t>
  </si>
  <si>
    <t>On leave after 15th April to till Date Due to Accident</t>
  </si>
  <si>
    <t>Area Head Wise Comparison Report 25-26</t>
  </si>
  <si>
    <t>target differ</t>
  </si>
  <si>
    <t>Order Booking (Q1)</t>
  </si>
  <si>
    <t>Order Booking (Q2)</t>
  </si>
  <si>
    <t>Order Booking (Q3)</t>
  </si>
  <si>
    <t>Order Booking (Q4)</t>
  </si>
  <si>
    <t>Progress Rate Q1</t>
  </si>
  <si>
    <t>Progress Rate Q2</t>
  </si>
  <si>
    <t>Progress Rate Q3</t>
  </si>
  <si>
    <t>Progress Rate Q4</t>
  </si>
  <si>
    <t>Target 25-26 Q1</t>
  </si>
  <si>
    <t>Order Booking 25-26 Q1</t>
  </si>
  <si>
    <t>Direct Dealers Order 25-26 Q1</t>
  </si>
  <si>
    <t>Order Booking 25-26 Q2</t>
  </si>
  <si>
    <t>Direct Dealers Order 25-26 Q2</t>
  </si>
  <si>
    <t>Order Booking 25-26 Q3</t>
  </si>
  <si>
    <t>Direct Dealers Order 25-26 Q3</t>
  </si>
  <si>
    <t>Order Booking 25-26 Q4</t>
  </si>
  <si>
    <t>Direct Dealers Order 25-26 Q4</t>
  </si>
  <si>
    <t>Target 25-26 Q2</t>
  </si>
  <si>
    <t>Target 25-26 Q3</t>
  </si>
  <si>
    <t>Target 25-26 Q4</t>
  </si>
  <si>
    <t>Target Achievement (%) 25-26 Q1</t>
  </si>
  <si>
    <t>Target Achievement (%) 25-26 Q2</t>
  </si>
  <si>
    <t>Target Achievement (%) 25-26 Q3</t>
  </si>
  <si>
    <t>Target Achievement (%) 25-26 Q4</t>
  </si>
  <si>
    <t>Area head</t>
  </si>
  <si>
    <t xml:space="preserve">Order Booking 25-26 </t>
  </si>
  <si>
    <t>24-25</t>
  </si>
  <si>
    <t>25-26</t>
  </si>
  <si>
    <t>tartet q wise</t>
  </si>
  <si>
    <t>summary25-26</t>
  </si>
  <si>
    <t>Sate head</t>
  </si>
  <si>
    <t>Reporting Manager</t>
  </si>
  <si>
    <t>31-01-2026</t>
  </si>
  <si>
    <t>0000-00-00</t>
  </si>
  <si>
    <t>16-10-2013</t>
  </si>
  <si>
    <t>15-02-2009</t>
  </si>
  <si>
    <t>17-10-2016</t>
  </si>
  <si>
    <t>19-01-2018</t>
  </si>
  <si>
    <t>21-03-2014</t>
  </si>
  <si>
    <t>30-11-2025</t>
  </si>
  <si>
    <t>26-03-2018</t>
  </si>
  <si>
    <t>20-11-2018</t>
  </si>
  <si>
    <t>GOA, KARNATAKA, MAHARASHTRA</t>
  </si>
  <si>
    <t>15-09-2017</t>
  </si>
  <si>
    <t>16-12-2016</t>
  </si>
  <si>
    <t>30-04-2025</t>
  </si>
  <si>
    <t>31-03-2026</t>
  </si>
  <si>
    <t>28-01-2021</t>
  </si>
  <si>
    <t>27-04-2025</t>
  </si>
  <si>
    <t>18-02-2021</t>
  </si>
  <si>
    <t>20-02-2021</t>
  </si>
  <si>
    <t>19-07-2021</t>
  </si>
  <si>
    <t>16-08-2021</t>
  </si>
  <si>
    <t>GOA, MAHARASHTRA</t>
  </si>
  <si>
    <t>20-09-2021</t>
  </si>
  <si>
    <t>15-07-2025</t>
  </si>
  <si>
    <t>15-03-2022</t>
  </si>
  <si>
    <t>30-08-2025</t>
  </si>
  <si>
    <t>16-05-2022</t>
  </si>
  <si>
    <t>13-09-2025</t>
  </si>
  <si>
    <t>21-09-2022</t>
  </si>
  <si>
    <t>16-12-2022</t>
  </si>
  <si>
    <t>27-01-2023</t>
  </si>
  <si>
    <t>15-07-2024</t>
  </si>
  <si>
    <t>30-09-2025</t>
  </si>
  <si>
    <t>15-03-2023</t>
  </si>
  <si>
    <t>31-08-2025</t>
  </si>
  <si>
    <t>19-03-2025</t>
  </si>
  <si>
    <t>24-04-2023</t>
  </si>
  <si>
    <t>31-10-2025</t>
  </si>
  <si>
    <t>24-05-2025</t>
  </si>
  <si>
    <t>31-07-2025</t>
  </si>
  <si>
    <t>Gangapur</t>
  </si>
  <si>
    <t>16-05-2024</t>
  </si>
  <si>
    <t>20-11-2025</t>
  </si>
  <si>
    <t>15-05-2023</t>
  </si>
  <si>
    <t>23-05-2023</t>
  </si>
  <si>
    <t>25-05-2023</t>
  </si>
  <si>
    <t>31-05-2025</t>
  </si>
  <si>
    <t>22-05-2023</t>
  </si>
  <si>
    <t>17-05-2025</t>
  </si>
  <si>
    <t>21-01-2026</t>
  </si>
  <si>
    <t>17-07-2023</t>
  </si>
  <si>
    <t>14-07-2023</t>
  </si>
  <si>
    <t>15-07-2023</t>
  </si>
  <si>
    <t>31-12-2025</t>
  </si>
  <si>
    <t>14-08-2023</t>
  </si>
  <si>
    <t>21-08-2023</t>
  </si>
  <si>
    <t>15-09-2023</t>
  </si>
  <si>
    <t>18-09-2023</t>
  </si>
  <si>
    <t>13-10-2025</t>
  </si>
  <si>
    <t>18-12-2023</t>
  </si>
  <si>
    <t>20-01-2024</t>
  </si>
  <si>
    <t>18-01-2024</t>
  </si>
  <si>
    <t>22-01-2024</t>
  </si>
  <si>
    <t>21-04-2025</t>
  </si>
  <si>
    <t>29-04-2024</t>
  </si>
  <si>
    <t>18-08-2025</t>
  </si>
  <si>
    <t>20-05-2024</t>
  </si>
  <si>
    <t>22-05-2024</t>
  </si>
  <si>
    <t>17-06-2024</t>
  </si>
  <si>
    <t>19-06-2024</t>
  </si>
  <si>
    <t>30-06-2025</t>
  </si>
  <si>
    <t>21-06-2024</t>
  </si>
  <si>
    <t>24-06-2024</t>
  </si>
  <si>
    <t>28-02-2026</t>
  </si>
  <si>
    <t>29-07-2024</t>
  </si>
  <si>
    <t>13-08-2025</t>
  </si>
  <si>
    <t>19-08-2024</t>
  </si>
  <si>
    <t>14-08-2024</t>
  </si>
  <si>
    <t>16-09-2024</t>
  </si>
  <si>
    <t>18-07-2025</t>
  </si>
  <si>
    <t>18-11-2024</t>
  </si>
  <si>
    <t>13-12-2024</t>
  </si>
  <si>
    <t>14-12-2024</t>
  </si>
  <si>
    <t>20-12-2024</t>
  </si>
  <si>
    <t>15-04-2025</t>
  </si>
  <si>
    <t>25-12-2024</t>
  </si>
  <si>
    <t>13-01-2025</t>
  </si>
  <si>
    <t>DELHI, Delhi NCR</t>
  </si>
  <si>
    <t>20-03-2025</t>
  </si>
  <si>
    <t>17-03-2025</t>
  </si>
  <si>
    <t>19-09-2025</t>
  </si>
  <si>
    <t>14-04-2025</t>
  </si>
  <si>
    <t>24-04-2025</t>
  </si>
  <si>
    <t>18-04-2025</t>
  </si>
  <si>
    <t>14-10-2025</t>
  </si>
  <si>
    <t>16-05-2025</t>
  </si>
  <si>
    <t>20-05-2025</t>
  </si>
  <si>
    <t>19-05-2025</t>
  </si>
  <si>
    <t>27-05-2025</t>
  </si>
  <si>
    <t>17-12-2025</t>
  </si>
  <si>
    <t>16-06-2025</t>
  </si>
  <si>
    <t>14-07-2025</t>
  </si>
  <si>
    <t>18-12-2025</t>
  </si>
  <si>
    <t>20-06-2025</t>
  </si>
  <si>
    <t>23-06-2025</t>
  </si>
  <si>
    <t>13-01-2026</t>
  </si>
  <si>
    <t>24-11-2025</t>
  </si>
  <si>
    <t>21-07-2025</t>
  </si>
  <si>
    <t>24-07-2025</t>
  </si>
  <si>
    <t>16-12-2025</t>
  </si>
  <si>
    <t>23-07-2025</t>
  </si>
  <si>
    <t>21-08-2025</t>
  </si>
  <si>
    <t>25-08-2025</t>
  </si>
  <si>
    <t>17-09-2025</t>
  </si>
  <si>
    <t>22-09-2025</t>
  </si>
  <si>
    <t>24-02-2026</t>
  </si>
  <si>
    <t>Alirajpur</t>
  </si>
  <si>
    <t>17-07-2025</t>
  </si>
  <si>
    <t>19-12-2025</t>
  </si>
  <si>
    <t>18-11-2025</t>
  </si>
  <si>
    <t>19-01-2026</t>
  </si>
  <si>
    <t>16-02-2026</t>
  </si>
  <si>
    <t>18-03-2026</t>
  </si>
  <si>
    <t>20-03-2026</t>
  </si>
  <si>
    <t>State:- Himachal Pradesh</t>
  </si>
  <si>
    <t>Total Team Members</t>
  </si>
  <si>
    <t>Prmary Team Members</t>
  </si>
  <si>
    <t>District</t>
  </si>
  <si>
    <t>Vacant District</t>
  </si>
  <si>
    <t>Secondary Team Members</t>
  </si>
  <si>
    <t>S. No.</t>
  </si>
  <si>
    <t>Active Team Member Count</t>
  </si>
  <si>
    <t>Active Team Member Name</t>
  </si>
  <si>
    <t>Business Recieved User Count</t>
  </si>
  <si>
    <t>Business Recieved User Name</t>
  </si>
  <si>
    <t>Total Dealer</t>
  </si>
  <si>
    <t>Active Dealer</t>
  </si>
  <si>
    <t>QUAA</t>
  </si>
  <si>
    <t>SS HARDWARE</t>
  </si>
  <si>
    <t>THERMEX by PRAYAG</t>
  </si>
  <si>
    <t>CP (6000+7000+8000+9000+ assesories)</t>
  </si>
  <si>
    <t>Plumbing (SWR+AGRi+ UPVC+CPVC PVC Garden)</t>
  </si>
  <si>
    <t>Quaa</t>
  </si>
  <si>
    <t>Bilaspur (HP)</t>
  </si>
  <si>
    <t>NIkhil Patial,Ritesh Thakur,Jagdeep Singh</t>
  </si>
  <si>
    <t>Jagdeep SingH,NIkhil Patial</t>
  </si>
  <si>
    <t>Chamba</t>
  </si>
  <si>
    <t>Hamirpur(HP)</t>
  </si>
  <si>
    <t>Jagdeep Singh,NIkhil Patial</t>
  </si>
  <si>
    <t>NIkhil Patial,Arvind Kumar</t>
  </si>
  <si>
    <t>Arvind Kumar ,NIkhil Patial</t>
  </si>
  <si>
    <t>Kinnaur</t>
  </si>
  <si>
    <t>Kullu</t>
  </si>
  <si>
    <t>Lahul &amp; Spiti</t>
  </si>
  <si>
    <t>Shimla</t>
  </si>
  <si>
    <t>Sirmaur</t>
  </si>
  <si>
    <t>Solan</t>
  </si>
  <si>
    <t>NIkhil Patial,Ritesh Thakur</t>
  </si>
  <si>
    <t>Row Labels</t>
  </si>
  <si>
    <t>Per person per month</t>
  </si>
  <si>
    <t>360.INC</t>
  </si>
  <si>
    <t>A N Marketing</t>
  </si>
  <si>
    <t>Ashok Kumar, Ravi Kumar Verma</t>
  </si>
  <si>
    <t>A.V Traders</t>
  </si>
  <si>
    <t>Aarya Agro Industries</t>
  </si>
  <si>
    <t>Adinath Enterprises</t>
  </si>
  <si>
    <t>Tejas Lunawat, ANAND BHAGWAN MORE</t>
  </si>
  <si>
    <t>Aditi Enterprise</t>
  </si>
  <si>
    <t>Aggarwal sales agency</t>
  </si>
  <si>
    <t>Agrasen Trading Corporation</t>
  </si>
  <si>
    <t>Rajan Srivastava, Sandeep Kanaujiya, Roshan Srivastava</t>
  </si>
  <si>
    <t>Ajit Trading co</t>
  </si>
  <si>
    <t>Jagdish Palani, Dhaval Parmar</t>
  </si>
  <si>
    <t>ALLIED TRADES CORPORATION</t>
  </si>
  <si>
    <t>TRIPURA</t>
  </si>
  <si>
    <t>Anand Sanitaryware</t>
  </si>
  <si>
    <t>Pramod Kumar, Vijay Kumar</t>
  </si>
  <si>
    <t>Anik Traders</t>
  </si>
  <si>
    <t>ANISH ENTERPRISE</t>
  </si>
  <si>
    <t>Ankit enterprise</t>
  </si>
  <si>
    <t>Aradhana Enterprises</t>
  </si>
  <si>
    <t>Roshan Srivastava, Rajan Srivastava</t>
  </si>
  <si>
    <t>ARADHYA KEDIA DISTRIBUTION HOUSE PVT. LTD. (Closed)</t>
  </si>
  <si>
    <t>Akash Santra, Biswajit Roy, Christopher Swamy, Gonesh Dey, Rajesh Chakraborty, Roni Gupta, Sarbjit Singh Chawla, Sudip Guha Roy, Sudipta Thom, Sujit Das, Surojit Mondal, Sudip Sarkar</t>
  </si>
  <si>
    <t>ARIHANT TILES &amp; SANITATION</t>
  </si>
  <si>
    <t>Monmon Paul, Mrityunjoy Das, Sujan Ghata, Sushanta Barman, Vikash Kumar Paswan, Sudip Banerjee, Anirban Biswas</t>
  </si>
  <si>
    <t>Arora hardware store</t>
  </si>
  <si>
    <t>Asheema Trading Co.</t>
  </si>
  <si>
    <t>Siddharth Srivastava, Vishal Dheer</t>
  </si>
  <si>
    <t>ASHISH BATH GALAXY</t>
  </si>
  <si>
    <t>Sudip Guha Roy, Sujit Das</t>
  </si>
  <si>
    <t>Ashu sales corporation</t>
  </si>
  <si>
    <t>prashant Singh Chauhan, Vikas Kumar (Bareilly)</t>
  </si>
  <si>
    <t>Avanti sales and agencies</t>
  </si>
  <si>
    <t>Avirasico International</t>
  </si>
  <si>
    <t>Debasish Adhikary, Monmon Paul, Mrityunjoy Das, Sujan Ghata, Sushanta Barman, Suven Sengupta, Vikash Kumar Paswan, Sudip Banerjee, Anirban Biswas</t>
  </si>
  <si>
    <t>AYAN ENTERPRISE</t>
  </si>
  <si>
    <t>B S Enterprises</t>
  </si>
  <si>
    <t>B.R. Associate</t>
  </si>
  <si>
    <t>Akash kumar gulhare, Pradeep Rajak</t>
  </si>
  <si>
    <t>Baba Enterprises</t>
  </si>
  <si>
    <t>Bajrang Home Innovations</t>
  </si>
  <si>
    <t>Dasari Adiseshu, Jithender Reddy Katukuri</t>
  </si>
  <si>
    <t>Balaji Enterprises</t>
  </si>
  <si>
    <t>Basuki Comotrade Pvt Ltd</t>
  </si>
  <si>
    <t>Batra Enterprises</t>
  </si>
  <si>
    <t>Beharilall Madanlall</t>
  </si>
  <si>
    <t>Bhagwati Enterprise</t>
  </si>
  <si>
    <t>Arif Khan, Durgesh Kumar Jangid</t>
  </si>
  <si>
    <t>Bir gita enterprises</t>
  </si>
  <si>
    <t>Brothers Hardware</t>
  </si>
  <si>
    <t>C K Trading Company</t>
  </si>
  <si>
    <t>C S Salve Enterprises</t>
  </si>
  <si>
    <t>Century Hardware</t>
  </si>
  <si>
    <t>Chabra hardware and bath assets</t>
  </si>
  <si>
    <t>Chaitanya enterprises</t>
  </si>
  <si>
    <t>CHANDIMATA ENTERPRISE</t>
  </si>
  <si>
    <t>CHANDRA SANITARY</t>
  </si>
  <si>
    <t>Chandra Sen Kesharwani</t>
  </si>
  <si>
    <t>CHARBHUJA ELECTRIC HARDWARE AND PLUMBING</t>
  </si>
  <si>
    <t>Chandrakant Mandave, Praveen Pandey</t>
  </si>
  <si>
    <t>Chawla ispat pvt.ltd</t>
  </si>
  <si>
    <t>CHHINAMASTIKE SANITATION PVT. LTD. ( PREVIOUSLY BALAJEE ENT., DEOGHAR)</t>
  </si>
  <si>
    <t>Rakesh Kumar Sinha, SRAVAN KUMAR SHARMA</t>
  </si>
  <si>
    <t>COOCH BEHAR STORES</t>
  </si>
  <si>
    <t>Daksh Polymers</t>
  </si>
  <si>
    <t>Dakshita Enterprises</t>
  </si>
  <si>
    <t>Das Enterprise</t>
  </si>
  <si>
    <t>Rajat Chowdhury, Vikash Kumar Paswan</t>
  </si>
  <si>
    <t>DD PRAYAG POLYMERS</t>
  </si>
  <si>
    <t>Deepak Sanitary &amp; Electric store</t>
  </si>
  <si>
    <t>Prashant Kumar, Tarun Giri</t>
  </si>
  <si>
    <t>Deepak trading company</t>
  </si>
  <si>
    <t>Dev Trading</t>
  </si>
  <si>
    <t>Devender Iron Store</t>
  </si>
  <si>
    <t>Divekar Marketing Associates</t>
  </si>
  <si>
    <t>Amey Deodhar, Kunal Sanjay Sasane, RAMESH PARSHURAM OAK</t>
  </si>
  <si>
    <t>DIVEKAR SALES CORPORATION</t>
  </si>
  <si>
    <t>Amey Deodhar, Kunal Sanjay Sasane</t>
  </si>
  <si>
    <t>Divya Enterprises</t>
  </si>
  <si>
    <t>Shiv Kumar Patel, Pradeep Kumar Dwivedi</t>
  </si>
  <si>
    <t>Dreamwall colours</t>
  </si>
  <si>
    <t>Durga Mechinery Store</t>
  </si>
  <si>
    <t>Durga sanitary and tiles</t>
  </si>
  <si>
    <t>FRIENDS ELECTRICALS AND PLUMBING</t>
  </si>
  <si>
    <t>G S TRADERS</t>
  </si>
  <si>
    <t>G.H. BROTHERS</t>
  </si>
  <si>
    <t>GANIE TRADING HUB</t>
  </si>
  <si>
    <t>Irfan Ahmad Wani, Basit Ahmad Pala</t>
  </si>
  <si>
    <t>Godara traders</t>
  </si>
  <si>
    <t>GOLDKINGSON WELMADE PVT LTD</t>
  </si>
  <si>
    <t>Ashokraj A., M. Raman</t>
  </si>
  <si>
    <t>Gopal Pipe Corporation</t>
  </si>
  <si>
    <t>Gorakhpur Marble Woks</t>
  </si>
  <si>
    <t>Hemant kumar srivastava, Rohit Kumar</t>
  </si>
  <si>
    <t>Govind Hardware</t>
  </si>
  <si>
    <t>Rajan Srivastava, Sandeep Kanaujiya</t>
  </si>
  <si>
    <t>Goyal Sanitation</t>
  </si>
  <si>
    <t>Grahaa Priya enterprise</t>
  </si>
  <si>
    <t>Ganesh Kumar, Karuppasamy R, Saibulla S., V. Rajesh, K Suresh Kumar</t>
  </si>
  <si>
    <t>Gupta hardware store</t>
  </si>
  <si>
    <t>Gupta Traders</t>
  </si>
  <si>
    <t>Gupta tube company</t>
  </si>
  <si>
    <t>Harsh trading company</t>
  </si>
  <si>
    <t>Hemang Sales Agency</t>
  </si>
  <si>
    <t>HINDUSTAN ENTERPRISES</t>
  </si>
  <si>
    <t>INDIRA ENTERPRISE</t>
  </si>
  <si>
    <t>ATANU PAUL, Sushanta Barman</t>
  </si>
  <si>
    <t>Jagdamba Enterprises</t>
  </si>
  <si>
    <t>Jagdamba Traders</t>
  </si>
  <si>
    <t>Jai Durga Traders</t>
  </si>
  <si>
    <t>Jai Hanuman Piping Systems</t>
  </si>
  <si>
    <t>Jain Agencies</t>
  </si>
  <si>
    <t>Rajan Srivastava, Roshan Srivastava</t>
  </si>
  <si>
    <t>Jaiswal Enterprise</t>
  </si>
  <si>
    <t>Jaiswal paint and sanitary store</t>
  </si>
  <si>
    <t>Jindal Enterprises</t>
  </si>
  <si>
    <t>ANAND BHAGWAN MORE, Tejas Lunawat</t>
  </si>
  <si>
    <t>JK sanitaries</t>
  </si>
  <si>
    <t>JVM ENTERPRISES</t>
  </si>
  <si>
    <t>Ajay Morthad, Dasari Adiseshu, Jithender Reddy Katukuri, Suresh Kumar Nair</t>
  </si>
  <si>
    <t>K T SUPPLIERS</t>
  </si>
  <si>
    <t>Kashmir sanitary &amp; cement</t>
  </si>
  <si>
    <t>Kaysons trading co</t>
  </si>
  <si>
    <t>Kirodiwal Udhyog</t>
  </si>
  <si>
    <t>Kites Ceramic Zone</t>
  </si>
  <si>
    <t>Kriestall Solvochem Pvt Ltd</t>
  </si>
  <si>
    <t>Krishna Ply And Hardware</t>
  </si>
  <si>
    <t>Kriti marketing</t>
  </si>
  <si>
    <t>Kureshi Sanitaryware</t>
  </si>
  <si>
    <t>Lakshmi engineering works</t>
  </si>
  <si>
    <t>Lalta Prasad Ram Dayal</t>
  </si>
  <si>
    <t>Arun Sharma, Deependra Singh, Om dutt Dwivedi, Ravi Kumar Verma, Jitendra Kumar Yadav</t>
  </si>
  <si>
    <t>LAXMI STORES</t>
  </si>
  <si>
    <t>Gonesh Dey, Rajesh Chakraborty</t>
  </si>
  <si>
    <t>Liberty agencies</t>
  </si>
  <si>
    <t>Lohia &amp; Sons</t>
  </si>
  <si>
    <t>Prashant Kumar, Ravinder Puri, Tarun Giri</t>
  </si>
  <si>
    <t>M K Trading Company</t>
  </si>
  <si>
    <t>Magadh Tubewell</t>
  </si>
  <si>
    <t>Magic trading company</t>
  </si>
  <si>
    <t>MAHABIR SALES CORPORATION</t>
  </si>
  <si>
    <t>ATANU PAUL, Debasish Adhikary, Indrajit Ghosh, Sujan Ghata, Suven Sengupta</t>
  </si>
  <si>
    <t>MAHADEV HARDWARE</t>
  </si>
  <si>
    <t>MAHADEV TRADERS</t>
  </si>
  <si>
    <t>Mahaveer sanitary ware &amp; Hardware store</t>
  </si>
  <si>
    <t>Mahesh pipe</t>
  </si>
  <si>
    <t>MAIYA HARDWARE STORE</t>
  </si>
  <si>
    <t>Maji Trading</t>
  </si>
  <si>
    <t>Monmon Paul, Soumen Ghosh, Sourav Samanta, Subhajit Koley, Sujan Ghata, Susovan Singha</t>
  </si>
  <si>
    <t>Makaan Group</t>
  </si>
  <si>
    <t>Manoj Enterprises</t>
  </si>
  <si>
    <t>Ajeet Yadav, Paramjeet, Prasun Chatterjee, Rajan Srivastava</t>
  </si>
  <si>
    <t>Mansi trading company</t>
  </si>
  <si>
    <t>Master Plumbing and Hardware</t>
  </si>
  <si>
    <t>Meera Associates</t>
  </si>
  <si>
    <t>Arijit Roychowdhury, Hrusikesh Satapathy</t>
  </si>
  <si>
    <t>Mehta Ceramics</t>
  </si>
  <si>
    <t>Milan marketing</t>
  </si>
  <si>
    <t>Mittal Agencies</t>
  </si>
  <si>
    <t>Prabhakar Pratap Singh, Saurav Kumar</t>
  </si>
  <si>
    <t>MK Traders</t>
  </si>
  <si>
    <t>RAVI KUMAR ., Shanker Singh</t>
  </si>
  <si>
    <t>MOHAN LAL AND SONS</t>
  </si>
  <si>
    <t>Ms AUM SAI ENTERPRISES</t>
  </si>
  <si>
    <t>Ms Dimple sanitary and paint store</t>
  </si>
  <si>
    <t>MS Haider TRADING HUB</t>
  </si>
  <si>
    <t>Ms vashnavi Enterprise</t>
  </si>
  <si>
    <t>PAWAN KUMAR, Vishant Bandhral</t>
  </si>
  <si>
    <t>N G Enterprises</t>
  </si>
  <si>
    <t>Narayan Machinery Stores</t>
  </si>
  <si>
    <t>National Casting &amp; Metals</t>
  </si>
  <si>
    <t>Nikhil Kumar, Sudhanshu Kumar, Vikash Kumar Singh</t>
  </si>
  <si>
    <t>National Machinery Stores</t>
  </si>
  <si>
    <t>Naveen Enterprises</t>
  </si>
  <si>
    <t>NAVRANG INDUSTRIES INDIA</t>
  </si>
  <si>
    <t>NAYRA ENTERPRISES</t>
  </si>
  <si>
    <t>Neelkanth Building Materials</t>
  </si>
  <si>
    <t>NEST MARKETING</t>
  </si>
  <si>
    <t>Mithun N., SREERAJ PV</t>
  </si>
  <si>
    <t>New Bharat Pipe</t>
  </si>
  <si>
    <t>ARUPANANDA MANDAL, Rajkumar Dari, JAHIR ABBAS HALDER</t>
  </si>
  <si>
    <t>New Chirag Katna Traders</t>
  </si>
  <si>
    <t>New Ravi Trading Co.</t>
  </si>
  <si>
    <t>Nexus distributors</t>
  </si>
  <si>
    <t>Nitin traders</t>
  </si>
  <si>
    <t>Nomani Hardware</t>
  </si>
  <si>
    <t>Om marketing</t>
  </si>
  <si>
    <t>K.Hussain Babu, S.Tirumala Rao</t>
  </si>
  <si>
    <t>Om Sales</t>
  </si>
  <si>
    <t>P S Corporation(Calicut)</t>
  </si>
  <si>
    <t>Ameerali Ek (Off Roll), Arjunkumar K M, Mithun N., Ravi Kumar P (Off Roll), Shafeeq Parengal, SREERAJ PV</t>
  </si>
  <si>
    <t>Paras Agencies</t>
  </si>
  <si>
    <t>Paras Traders</t>
  </si>
  <si>
    <t>Parvarika sales private limited</t>
  </si>
  <si>
    <t>Patel Associates</t>
  </si>
  <si>
    <t>Payal sanitations</t>
  </si>
  <si>
    <t>Perfect Sanitary</t>
  </si>
  <si>
    <t>Pooja Trading Company</t>
  </si>
  <si>
    <t>Pradeep traders</t>
  </si>
  <si>
    <t>Prakash Agencies</t>
  </si>
  <si>
    <t>PRAYAG DISTRIBUTORS</t>
  </si>
  <si>
    <t>PRAYAG MARKETING</t>
  </si>
  <si>
    <t>PRAYAG SALE CORPORATION NE</t>
  </si>
  <si>
    <t>Dikart Kumar Borah, Litan Saha, Santanu Kalita, Tankeswor Barman, NARAYAN BAISHYA, Dipak Sharma</t>
  </si>
  <si>
    <t>Prayag Sales Corporation</t>
  </si>
  <si>
    <t>Arijit Roychowdhury, Hrusikesh Satapathy, Kailash Ch. Ghadei, Manas Ranjan Das, Pravat Kumar Dash, Sasikant Prasad</t>
  </si>
  <si>
    <t>Prayag Syndicate</t>
  </si>
  <si>
    <t>Ameerali Ek (Off Roll), Arjunkumar K M, MOHAMMED HASHIR PACHEERI, PRATHEESH CC, Riyas V, Shafeeq Parengal, Jijo</t>
  </si>
  <si>
    <t>Prem Kumar &amp; Sons</t>
  </si>
  <si>
    <t>Premier Distributors</t>
  </si>
  <si>
    <t>Progressive Marketing</t>
  </si>
  <si>
    <t>Faraz Khan, Jitender Birla, Manoj Yadav, Neel Kamal choure, Saqib juned</t>
  </si>
  <si>
    <t>R M D Traders</t>
  </si>
  <si>
    <t>R R Porwal And Sons</t>
  </si>
  <si>
    <t>ANAND BHAGWAN MORE, Chandrakant Mandave, Sandeep Amrut Sonawane, Tejas Lunawat, Tushar Ravindra Kanthale, Amey Deodhar, Praveen Pandey</t>
  </si>
  <si>
    <t>R R Traders</t>
  </si>
  <si>
    <t>R.R.TRADERS</t>
  </si>
  <si>
    <t>Neel Kamal choure, Vikas Kumar (Bareilly)</t>
  </si>
  <si>
    <t>Radhaa Marketing</t>
  </si>
  <si>
    <t>Raghunath ji</t>
  </si>
  <si>
    <t>RAINBOW POLYTECH PRODUCTS</t>
  </si>
  <si>
    <t>Raj kumar kamal kumar</t>
  </si>
  <si>
    <t>Rajendra prasad and company</t>
  </si>
  <si>
    <t>Ram enterprises</t>
  </si>
  <si>
    <t>Karuppasamy R, Saibulla S.</t>
  </si>
  <si>
    <t>RAMKRISHNA TRADING AND CO</t>
  </si>
  <si>
    <t>Ramswarup &amp; Sons</t>
  </si>
  <si>
    <t>Rani Satee Sales</t>
  </si>
  <si>
    <t>Rathi sales corporation</t>
  </si>
  <si>
    <t>Akash Deep, Ankit Kumar</t>
  </si>
  <si>
    <t>Ratnam Enterprises</t>
  </si>
  <si>
    <t>Rayban Corporation</t>
  </si>
  <si>
    <t>Jitender Birla, Saqib juned</t>
  </si>
  <si>
    <t>Rehan marketing</t>
  </si>
  <si>
    <t>Rhythm traders</t>
  </si>
  <si>
    <t>Rohit industries</t>
  </si>
  <si>
    <t>Rohit traders</t>
  </si>
  <si>
    <t>Roy Enterprise</t>
  </si>
  <si>
    <t>Sushanta Barman, Sujan Ghata</t>
  </si>
  <si>
    <t>Ruby pipe syndicate</t>
  </si>
  <si>
    <t>Rudra Electricals</t>
  </si>
  <si>
    <t>S S SANITATION</t>
  </si>
  <si>
    <t>S. P. ENTERPRISES</t>
  </si>
  <si>
    <t>S.P. Brothers &amp; Sons</t>
  </si>
  <si>
    <t>Suven Sengupta, Vikash Kumar Paswan</t>
  </si>
  <si>
    <t>SAI SRINIVASA ENTERPRISES</t>
  </si>
  <si>
    <t>Shaik Jani basha, Taninki Ramesh Babu</t>
  </si>
  <si>
    <t>SAINTHIA PAINTS HOUSE</t>
  </si>
  <si>
    <t>SALROO SANITARY AND HARDWARE STORE</t>
  </si>
  <si>
    <t>SAPPHIRE SALES CORPORATION PRIVATE LIMITED</t>
  </si>
  <si>
    <t>ANAND BHAGWAN MORE, Tushar Ravindra Kanthale</t>
  </si>
  <si>
    <t>SASTHA PIPE TRADERS</t>
  </si>
  <si>
    <t>Dinesh Kumar, Karuppasamy R, Saibulla S., Ganesh Kumar</t>
  </si>
  <si>
    <t>Satya Traders</t>
  </si>
  <si>
    <t>Saurabh sanitary store</t>
  </si>
  <si>
    <t>Sawariya Trading company</t>
  </si>
  <si>
    <t>SB ENTERPRISES</t>
  </si>
  <si>
    <t>Pravat Kumar Dash, Sunil Kumar Pani</t>
  </si>
  <si>
    <t>Sewa bath solutions</t>
  </si>
  <si>
    <t>Jitender Birla, Saqib juned, Rajesh Patel, Sunil Kumar</t>
  </si>
  <si>
    <t>Shabir and sons</t>
  </si>
  <si>
    <t>Shiv Sales</t>
  </si>
  <si>
    <t>Shiv shakti fitting &amp;Hardware</t>
  </si>
  <si>
    <t>Shivam Traders</t>
  </si>
  <si>
    <t>Shivanjali Sales Corporation</t>
  </si>
  <si>
    <t>Pradip Laxman Biradar, Rahul Ramchandra Bhosale</t>
  </si>
  <si>
    <t>Shree Ambey Hardware</t>
  </si>
  <si>
    <t>Shree Ambica Enterprise</t>
  </si>
  <si>
    <t>Shree Ganesh Pipe</t>
  </si>
  <si>
    <t>Shree Laxmi Traders</t>
  </si>
  <si>
    <t>Shree Mahadev Traders</t>
  </si>
  <si>
    <t>Shree Prayag Marketing</t>
  </si>
  <si>
    <t>Shree Ram Marketing</t>
  </si>
  <si>
    <t>Shree Ram Traders</t>
  </si>
  <si>
    <t>Shree vagheswari Enterprise</t>
  </si>
  <si>
    <t>SHREE VYANKATESH ENTERPRISES</t>
  </si>
  <si>
    <t>Amit Damodhar Jadhav, Vijay Dnyaneshwar</t>
  </si>
  <si>
    <t>Shri Balaji Sanitary and Pipe Store</t>
  </si>
  <si>
    <t>Shri Lakshman Enterprises (Converted as a Retailer)</t>
  </si>
  <si>
    <t>SHRI SHYAMA SANITATION</t>
  </si>
  <si>
    <t>Shri sitaram enterprise</t>
  </si>
  <si>
    <t>Arun Sharma, Deependra Singh</t>
  </si>
  <si>
    <t>Shri vinayak pipes</t>
  </si>
  <si>
    <t>SIDDHI VINAYAK TILES AND SANITARY</t>
  </si>
  <si>
    <t>SIDHI BINAYAK ENTERPRISE</t>
  </si>
  <si>
    <t>Sudip Banerjee, Anirban Biswas</t>
  </si>
  <si>
    <t>Singhal Tiles Agency</t>
  </si>
  <si>
    <t>SRI GANESH SANITARY HOUSE</t>
  </si>
  <si>
    <t>Sri Lakshmi Lalitha Agencies</t>
  </si>
  <si>
    <t>Sriram Packaging</t>
  </si>
  <si>
    <t>Pravat Kumar Dash, Arijit Roychowdhury</t>
  </si>
  <si>
    <t>Structos</t>
  </si>
  <si>
    <t>Subham Enterprise</t>
  </si>
  <si>
    <t>Debasish Adhikary, RUDRAPRAKASH JANA, Shuvadip Ghosh, Soumen Ghosh, Susovan Singha</t>
  </si>
  <si>
    <t>Sumit paint and hardware</t>
  </si>
  <si>
    <t>SUN AGENCY</t>
  </si>
  <si>
    <t>Ashokraj A., M. Raman, S. Thiyagarajan</t>
  </si>
  <si>
    <t>SUN TRADERS</t>
  </si>
  <si>
    <t>Sunil iron and machinery store</t>
  </si>
  <si>
    <t>Supreme syndicate</t>
  </si>
  <si>
    <t>SURAJ SANITATION</t>
  </si>
  <si>
    <t>Suresh Behari &amp; Co.</t>
  </si>
  <si>
    <t>Ankur Srivastava, Arun Sharma, Deependra Singh</t>
  </si>
  <si>
    <t>Surya Distributors</t>
  </si>
  <si>
    <t>Suvidha traders</t>
  </si>
  <si>
    <t>SWASTIK IMPACT</t>
  </si>
  <si>
    <t>Taj iron</t>
  </si>
  <si>
    <t>Tapan Smiriti Hardware</t>
  </si>
  <si>
    <t>Roni Gupta, Sudipta Thom</t>
  </si>
  <si>
    <t>Unique Pipe &amp; Sanitation</t>
  </si>
  <si>
    <t>Priyabrata Biswas, SUMANTA SINGHA, Debasish Adhikary</t>
  </si>
  <si>
    <t>Unique Sanitaion</t>
  </si>
  <si>
    <t>Priyabrata Biswas, SUMANTA SINGHA</t>
  </si>
  <si>
    <t>Universal Pipe</t>
  </si>
  <si>
    <t>Devdutt Joshi, Jagdish Palani</t>
  </si>
  <si>
    <t>Usha Sri Steel Syndicate</t>
  </si>
  <si>
    <t>Vas infrastructure</t>
  </si>
  <si>
    <t>VGS Prayag P Ltd</t>
  </si>
  <si>
    <t>Ashokraj A., M. Raman, S. Thiyagarajan, V. Rajesh</t>
  </si>
  <si>
    <t>Vidhya sales</t>
  </si>
  <si>
    <t>VIJAY AGENCIES</t>
  </si>
  <si>
    <t>Shaik Jani basha, Unnam Nivas</t>
  </si>
  <si>
    <t>VIJAY BELTING STORE</t>
  </si>
  <si>
    <t>Vijay Enterprises</t>
  </si>
  <si>
    <t>CHANGAL CHANDEEP, Ishant</t>
  </si>
  <si>
    <t>Vijaya Sai Agencies</t>
  </si>
  <si>
    <t>Vinod Traders</t>
  </si>
  <si>
    <t>Vishal Enterprise</t>
  </si>
  <si>
    <t>Dipak Sharma, Santanu Kalita</t>
  </si>
  <si>
    <t>Vyankatesh Traders</t>
  </si>
  <si>
    <t>Wahid Marketing</t>
  </si>
  <si>
    <t>Dhiraj Ravindra Patle, Himanshu Sable, Nandkishor Upadhyay</t>
  </si>
  <si>
    <t>Warsi Sales Corporation</t>
  </si>
  <si>
    <t>Ravi Kumar Verma, Wasim Ahmad</t>
  </si>
  <si>
    <t>Y A Traders</t>
  </si>
  <si>
    <t>Yash Enterprise</t>
  </si>
  <si>
    <t>Distributor Counters</t>
  </si>
  <si>
    <t>Direct Dealer Counters</t>
  </si>
  <si>
    <t>Distributor/Direct Dealer Lead Counters</t>
  </si>
  <si>
    <t>Active/ left</t>
  </si>
  <si>
    <t>Executive wise Target plan 25-26</t>
  </si>
  <si>
    <t>April</t>
  </si>
  <si>
    <t>June</t>
  </si>
  <si>
    <t>July</t>
  </si>
  <si>
    <r>
      <rPr>
        <rFont val="Arial, sans-serif"/>
        <color rgb="FF1155CC"/>
        <u/>
      </rPr>
      <t>Arjunkumar K M</t>
    </r>
  </si>
  <si>
    <t>Riyas Khan</t>
  </si>
  <si>
    <t>shafeek</t>
  </si>
  <si>
    <t>Sreeraj</t>
  </si>
  <si>
    <t>Sanoj</t>
  </si>
  <si>
    <t>Jijo, Ameerali,Riyas, Pratheesh targets is 15 lakhs per month from novemeber onwards</t>
  </si>
  <si>
    <t>Q2</t>
  </si>
  <si>
    <t>Q1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</si>
</sst>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###0"/>
    <numFmt numFmtId="165" formatCode="dd/MM/yyyy"/>
    <numFmt numFmtId="166" formatCode="mmmm yyyy"/>
    <numFmt numFmtId="167" formatCode="dd&quot;-&quot;mmm&quot;-&quot;yy"/>
    <numFmt numFmtId="168" formatCode="dd-mmm-yy"/>
    <numFmt numFmtId="169" formatCode="d-mmm-yy"/>
    <numFmt numFmtId="170" formatCode="0.000"/>
    <numFmt numFmtId="171" formatCode="dd-mmmm-yy"/>
    <numFmt numFmtId="172" formatCode="d-mmmm-yy"/>
    <numFmt numFmtId="173" formatCode="0.0"/>
    <numFmt numFmtId="174" formatCode="mm-dd-yyyy"/>
    <numFmt numFmtId="175" formatCode="m-d-yyyy"/>
  </numFmts>
  <fonts count="108">
    <font>
      <sz val="10.0"/>
      <color rgb="FF000000"/>
      <name val="Arial"/>
      <scheme val="minor"/>
    </font>
    <font>
      <sz val="10.0"/>
      <color theme="1"/>
      <name val="Calibri"/>
    </font>
    <font>
      <b/>
      <sz val="15.0"/>
      <color theme="1"/>
      <name val="Calibri"/>
    </font>
    <font/>
    <font>
      <color theme="1"/>
      <name val="Arial"/>
    </font>
    <font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Calibri"/>
    </font>
    <font>
      <b/>
      <color theme="1"/>
      <name val="Calibri"/>
    </font>
    <font>
      <b/>
      <sz val="9.0"/>
      <color theme="1"/>
      <name val="Calibri"/>
    </font>
    <font>
      <b/>
      <u/>
      <color rgb="FF0000FF"/>
      <name val="Calibri"/>
    </font>
    <font>
      <u/>
      <sz val="11.0"/>
      <color rgb="FF1155CC"/>
      <name val="Calibri"/>
    </font>
    <font>
      <sz val="9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000000"/>
      <name val="Calibri"/>
    </font>
    <font>
      <b/>
      <u/>
      <color rgb="FF0000FF"/>
      <name val="Calibri"/>
    </font>
    <font>
      <color theme="1"/>
      <name val="Arial"/>
      <scheme val="minor"/>
    </font>
    <font>
      <b/>
      <u/>
      <color rgb="FF0000FF"/>
      <name val="Calibri"/>
    </font>
    <font>
      <sz val="11.0"/>
      <color theme="1"/>
      <name val="Inconsolata"/>
    </font>
    <font>
      <u/>
      <sz val="11.0"/>
      <color rgb="FF1155CC"/>
      <name val="Calibri"/>
    </font>
    <font>
      <u/>
      <sz val="11.0"/>
      <color rgb="FF0000FF"/>
      <name val="Calibri"/>
    </font>
    <font>
      <sz val="8.0"/>
      <color theme="1"/>
      <name val="Arial"/>
      <scheme val="minor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color rgb="FF0000FF"/>
      <name val="Calibri"/>
    </font>
    <font>
      <u/>
      <sz val="11.0"/>
      <color rgb="FF0000FF"/>
      <name val="Calibri"/>
    </font>
    <font>
      <b/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b/>
      <u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</font>
    <font>
      <u/>
      <color rgb="FF1155CC"/>
      <name val="Arial"/>
    </font>
    <font>
      <b/>
      <u/>
      <color rgb="FF0000FF"/>
      <name val="Calibri"/>
    </font>
    <font>
      <u/>
      <sz val="11.0"/>
      <color rgb="FF0000FF"/>
      <name val="Calibri"/>
    </font>
    <font>
      <sz val="9.0"/>
      <color rgb="FF000000"/>
      <name val="Calibri"/>
    </font>
    <font>
      <sz val="11.0"/>
      <color theme="1"/>
      <name val="Calibri"/>
    </font>
    <font>
      <sz val="9.0"/>
      <color theme="1"/>
      <name val="Arial"/>
      <scheme val="minor"/>
    </font>
    <font>
      <b/>
      <color theme="1"/>
      <name val="Arial"/>
      <scheme val="minor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u/>
      <sz val="11.0"/>
      <color rgb="FFFF0000"/>
      <name val="Calibri"/>
    </font>
    <font>
      <sz val="12.0"/>
      <color rgb="FF000000"/>
      <name val="Calibri"/>
    </font>
    <font>
      <b/>
      <sz val="15.0"/>
      <color theme="1"/>
      <name val="Arial"/>
    </font>
    <font>
      <sz val="17.0"/>
      <color theme="1"/>
      <name val="Arial"/>
    </font>
    <font>
      <b/>
      <sz val="11.0"/>
      <color rgb="FF222222"/>
      <name val="Google Sans"/>
    </font>
    <font>
      <b/>
      <color theme="1"/>
      <name val="Arial"/>
    </font>
    <font>
      <b/>
      <sz val="12.0"/>
      <color rgb="FF000000"/>
      <name val="Calibri"/>
    </font>
    <font>
      <b/>
      <sz val="12.0"/>
      <color theme="1"/>
      <name val="Arial"/>
      <scheme val="minor"/>
    </font>
    <font>
      <sz val="12.0"/>
      <color theme="1"/>
      <name val="Calibri"/>
    </font>
    <font>
      <sz val="10.0"/>
      <color theme="1"/>
      <name val="Arial"/>
      <scheme val="minor"/>
    </font>
    <font>
      <b/>
      <sz val="12.0"/>
      <color theme="1"/>
      <name val="Arial"/>
    </font>
    <font>
      <color rgb="FFFFFFFF"/>
      <name val="Arial"/>
      <scheme val="minor"/>
    </font>
    <font>
      <b/>
      <color rgb="FFFFFFFF"/>
      <name val="Calibri"/>
    </font>
    <font>
      <b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b/>
      <sz val="14.0"/>
      <color rgb="FF222222"/>
      <name val="&quot;Google Sans&quot;"/>
    </font>
    <font>
      <sz val="9.0"/>
      <color rgb="FF333333"/>
      <name val="Roboto"/>
    </font>
    <font>
      <b/>
      <sz val="9.0"/>
      <color rgb="FF333333"/>
      <name val="Roboto"/>
    </font>
    <font>
      <b/>
      <sz val="14.0"/>
      <color rgb="FF000000"/>
      <name val="Arial"/>
      <scheme val="minor"/>
    </font>
    <font>
      <sz val="9.0"/>
      <color rgb="FF000000"/>
      <name val="Roboto"/>
    </font>
    <font>
      <b/>
      <sz val="10.0"/>
      <color theme="1"/>
      <name val="Arial"/>
    </font>
    <font>
      <b/>
      <u/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222222"/>
      <name val="Calibri"/>
    </font>
    <font>
      <sz val="11.0"/>
      <color rgb="FF172B4D"/>
      <name val="Roboto"/>
    </font>
    <font>
      <sz val="11.0"/>
      <color rgb="FF222222"/>
      <name val="Arial"/>
    </font>
    <font>
      <b/>
      <sz val="8.0"/>
      <color theme="1"/>
      <name val="Arial"/>
      <scheme val="minor"/>
    </font>
    <font>
      <b/>
      <sz val="9.0"/>
      <color rgb="FF222222"/>
      <name val="&quot;Google Sans&quot;"/>
    </font>
    <font>
      <b/>
      <sz val="11.0"/>
      <color rgb="FF222222"/>
      <name val="&quot;Google Sans&quot;"/>
    </font>
    <font>
      <b/>
      <sz val="9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434343"/>
      <name val="Arial"/>
      <scheme val="minor"/>
    </font>
    <font>
      <b/>
      <sz val="12.0"/>
      <color theme="1"/>
      <name val="Calibri"/>
    </font>
    <font>
      <b/>
      <sz val="9.0"/>
      <color rgb="FF000000"/>
      <name val="Calibri"/>
    </font>
    <font>
      <b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b/>
      <i/>
      <sz val="11.0"/>
      <color theme="1"/>
      <name val="Calibri"/>
    </font>
    <font>
      <b/>
      <i/>
      <sz val="11.0"/>
      <color rgb="FF000000"/>
      <name val="Calibri"/>
    </font>
  </fonts>
  <fills count="3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82F782"/>
        <bgColor rgb="FF82F782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E1E9F7"/>
        <bgColor rgb="FFE1E9F7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57BB8A"/>
        <bgColor rgb="FF57BB8A"/>
      </patternFill>
    </fill>
    <fill>
      <patternFill patternType="solid">
        <fgColor rgb="FF8DFFAC"/>
        <bgColor rgb="FF8DFFAC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B084"/>
        <bgColor rgb="FFF4B084"/>
      </patternFill>
    </fill>
    <fill>
      <patternFill patternType="solid">
        <fgColor rgb="FFACB9CA"/>
        <bgColor rgb="FFACB9CA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45818E"/>
        <bgColor rgb="FF45818E"/>
      </patternFill>
    </fill>
    <fill>
      <patternFill patternType="solid">
        <fgColor rgb="FFDCE6F1"/>
        <bgColor rgb="FFDCE6F1"/>
      </patternFill>
    </fill>
    <fill>
      <patternFill patternType="solid">
        <fgColor rgb="FFFFE699"/>
        <bgColor rgb="FFFFE699"/>
      </patternFill>
    </fill>
  </fills>
  <borders count="2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95B3D7"/>
      </bottom>
    </border>
  </borders>
  <cellStyleXfs count="1">
    <xf borderId="0" fillId="0" fontId="0" numFmtId="0" applyAlignment="1" applyFont="1"/>
  </cellStyleXfs>
  <cellXfs count="6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0" fontId="4" numFmtId="1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5" numFmtId="1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vertical="bottom"/>
    </xf>
    <xf borderId="0" fillId="0" fontId="7" numFmtId="1" xfId="0" applyAlignment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vertical="bottom"/>
    </xf>
    <xf borderId="0" fillId="2" fontId="4" numFmtId="1" xfId="0" applyAlignment="1" applyFill="1" applyFont="1" applyNumberFormat="1">
      <alignment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vertical="bottom"/>
    </xf>
    <xf borderId="7" fillId="0" fontId="8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9" fillId="0" fontId="4" numFmtId="0" xfId="0" applyAlignment="1" applyBorder="1" applyFont="1">
      <alignment vertical="bottom"/>
    </xf>
    <xf borderId="10" fillId="0" fontId="4" numFmtId="164" xfId="0" applyAlignment="1" applyBorder="1" applyFont="1" applyNumberFormat="1">
      <alignment vertical="bottom"/>
    </xf>
    <xf borderId="10" fillId="0" fontId="8" numFmtId="164" xfId="0" applyAlignment="1" applyBorder="1" applyFont="1" applyNumberFormat="1">
      <alignment horizontal="center" vertical="bottom"/>
    </xf>
    <xf borderId="10" fillId="0" fontId="7" numFmtId="10" xfId="0" applyAlignment="1" applyBorder="1" applyFont="1" applyNumberFormat="1">
      <alignment horizontal="center" vertical="bottom"/>
    </xf>
    <xf borderId="10" fillId="0" fontId="9" numFmtId="10" xfId="0" applyAlignment="1" applyBorder="1" applyFont="1" applyNumberForma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10" fillId="0" fontId="1" numFmtId="0" xfId="0" applyAlignment="1" applyBorder="1" applyFont="1">
      <alignment horizontal="center"/>
    </xf>
    <xf borderId="11" fillId="0" fontId="9" numFmtId="0" xfId="0" applyAlignment="1" applyBorder="1" applyFont="1">
      <alignment horizontal="center" shrinkToFit="0" vertical="bottom" wrapText="1"/>
    </xf>
    <xf borderId="11" fillId="0" fontId="9" numFmtId="165" xfId="0" applyAlignment="1" applyBorder="1" applyFont="1" applyNumberFormat="1">
      <alignment horizontal="center" shrinkToFit="0" vertical="bottom" wrapText="1"/>
    </xf>
    <xf borderId="11" fillId="0" fontId="9" numFmtId="0" xfId="0" applyAlignment="1" applyBorder="1" applyFont="1">
      <alignment horizontal="center" shrinkToFit="0" wrapText="1"/>
    </xf>
    <xf borderId="11" fillId="0" fontId="9" numFmtId="1" xfId="0" applyAlignment="1" applyBorder="1" applyFont="1" applyNumberFormat="1">
      <alignment horizontal="center" readingOrder="0" shrinkToFit="0" wrapText="1"/>
    </xf>
    <xf borderId="11" fillId="0" fontId="9" numFmtId="3" xfId="0" applyAlignment="1" applyBorder="1" applyFont="1" applyNumberFormat="1">
      <alignment horizontal="center" readingOrder="0" shrinkToFit="0" wrapText="1"/>
    </xf>
    <xf borderId="11" fillId="0" fontId="9" numFmtId="0" xfId="0" applyAlignment="1" applyBorder="1" applyFont="1">
      <alignment horizontal="center" readingOrder="0" shrinkToFit="0" wrapText="1"/>
    </xf>
    <xf borderId="11" fillId="0" fontId="10" numFmtId="1" xfId="0" applyAlignment="1" applyBorder="1" applyFont="1" applyNumberFormat="1">
      <alignment horizontal="center" shrinkToFit="0" wrapText="1"/>
    </xf>
    <xf borderId="7" fillId="3" fontId="9" numFmtId="166" xfId="0" applyAlignment="1" applyBorder="1" applyFill="1" applyFont="1" applyNumberForma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0" fillId="0" fontId="9" numFmtId="166" xfId="0" applyAlignment="1" applyFont="1" applyNumberFormat="1">
      <alignment horizontal="center" readingOrder="0"/>
    </xf>
    <xf borderId="12" fillId="0" fontId="3" numFmtId="0" xfId="0" applyBorder="1" applyFont="1"/>
    <xf borderId="7" fillId="4" fontId="5" numFmtId="1" xfId="0" applyAlignment="1" applyBorder="1" applyFill="1" applyFont="1" applyNumberFormat="1">
      <alignment horizontal="center" shrinkToFit="0" wrapText="1"/>
    </xf>
    <xf borderId="7" fillId="5" fontId="5" numFmtId="1" xfId="0" applyAlignment="1" applyBorder="1" applyFill="1" applyFont="1" applyNumberFormat="1">
      <alignment horizontal="center" shrinkToFit="0" wrapText="1"/>
    </xf>
    <xf borderId="11" fillId="6" fontId="5" numFmtId="1" xfId="0" applyAlignment="1" applyBorder="1" applyFill="1" applyFont="1" applyNumberFormat="1">
      <alignment horizontal="center" shrinkToFit="0" wrapText="1"/>
    </xf>
    <xf borderId="7" fillId="7" fontId="5" numFmtId="1" xfId="0" applyAlignment="1" applyBorder="1" applyFill="1" applyFont="1" applyNumberFormat="1">
      <alignment horizontal="center" shrinkToFit="0" wrapText="1"/>
    </xf>
    <xf borderId="0" fillId="0" fontId="5" numFmtId="1" xfId="0" applyAlignment="1" applyFont="1" applyNumberFormat="1">
      <alignment horizontal="center" shrinkToFit="0" wrapText="1"/>
    </xf>
    <xf borderId="13" fillId="0" fontId="3" numFmtId="0" xfId="0" applyBorder="1" applyFont="1"/>
    <xf borderId="10" fillId="0" fontId="5" numFmtId="1" xfId="0" applyAlignment="1" applyBorder="1" applyFont="1" applyNumberFormat="1">
      <alignment horizontal="center"/>
    </xf>
    <xf borderId="10" fillId="0" fontId="9" numFmtId="1" xfId="0" applyAlignment="1" applyBorder="1" applyFont="1" applyNumberFormat="1">
      <alignment horizontal="center"/>
    </xf>
    <xf borderId="0" fillId="0" fontId="5" numFmtId="1" xfId="0" applyAlignment="1" applyFont="1" applyNumberFormat="1">
      <alignment horizontal="center"/>
    </xf>
    <xf borderId="11" fillId="0" fontId="11" numFmtId="0" xfId="0" applyAlignment="1" applyBorder="1" applyFont="1">
      <alignment horizontal="center" readingOrder="0" shrinkToFit="0" vertical="center" wrapText="0"/>
    </xf>
    <xf borderId="9" fillId="0" fontId="12" numFmtId="49" xfId="0" applyAlignment="1" applyBorder="1" applyFont="1" applyNumberFormat="1">
      <alignment vertical="bottom"/>
    </xf>
    <xf borderId="10" fillId="0" fontId="13" numFmtId="49" xfId="0" applyAlignment="1" applyBorder="1" applyFont="1" applyNumberFormat="1">
      <alignment horizontal="center" vertical="bottom"/>
    </xf>
    <xf borderId="10" fillId="0" fontId="13" numFmtId="0" xfId="0" applyAlignment="1" applyBorder="1" applyFont="1">
      <alignment horizontal="center" vertical="bottom"/>
    </xf>
    <xf borderId="10" fillId="0" fontId="13" numFmtId="167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vertical="bottom"/>
    </xf>
    <xf borderId="10" fillId="0" fontId="13" numFmtId="1" xfId="0" applyAlignment="1" applyBorder="1" applyFont="1" applyNumberFormat="1">
      <alignment horizontal="center" vertical="bottom"/>
    </xf>
    <xf borderId="10" fillId="0" fontId="5" numFmtId="1" xfId="0" applyAlignment="1" applyBorder="1" applyFont="1" applyNumberFormat="1">
      <alignment horizontal="center" readingOrder="0" vertical="bottom"/>
    </xf>
    <xf borderId="10" fillId="2" fontId="5" numFmtId="1" xfId="0" applyAlignment="1" applyBorder="1" applyFont="1" applyNumberFormat="1">
      <alignment horizontal="center" vertical="bottom"/>
    </xf>
    <xf borderId="10" fillId="0" fontId="6" numFmtId="10" xfId="0" applyAlignment="1" applyBorder="1" applyFont="1" applyNumberFormat="1">
      <alignment horizontal="center" vertical="bottom"/>
    </xf>
    <xf borderId="10" fillId="0" fontId="5" numFmtId="1" xfId="0" applyAlignment="1" applyBorder="1" applyFont="1" applyNumberFormat="1">
      <alignment horizontal="center" vertical="bottom"/>
    </xf>
    <xf borderId="10" fillId="0" fontId="4" numFmtId="10" xfId="0" applyAlignment="1" applyBorder="1" applyFont="1" applyNumberFormat="1">
      <alignment vertical="bottom"/>
    </xf>
    <xf borderId="10" fillId="0" fontId="5" numFmtId="10" xfId="0" applyAlignment="1" applyBorder="1" applyFont="1" applyNumberFormat="1">
      <alignment horizontal="center" vertical="bottom"/>
    </xf>
    <xf borderId="0" fillId="2" fontId="5" numFmtId="1" xfId="0" applyAlignment="1" applyFont="1" applyNumberFormat="1">
      <alignment horizontal="center" vertical="bottom"/>
    </xf>
    <xf borderId="9" fillId="0" fontId="14" numFmtId="49" xfId="0" applyAlignment="1" applyBorder="1" applyFont="1" applyNumberFormat="1">
      <alignment readingOrder="0" vertical="bottom"/>
    </xf>
    <xf borderId="10" fillId="0" fontId="4" numFmtId="1" xfId="0" applyAlignment="1" applyBorder="1" applyFont="1" applyNumberFormat="1">
      <alignment vertical="bottom"/>
    </xf>
    <xf borderId="7" fillId="0" fontId="1" numFmtId="0" xfId="0" applyAlignment="1" applyBorder="1" applyFont="1">
      <alignment horizontal="center" vertical="bottom"/>
    </xf>
    <xf borderId="9" fillId="0" fontId="15" numFmtId="0" xfId="0" applyAlignment="1" applyBorder="1" applyFont="1">
      <alignment readingOrder="0" vertical="bottom"/>
    </xf>
    <xf borderId="10" fillId="0" fontId="13" numFmtId="49" xfId="0" applyAlignment="1" applyBorder="1" applyFont="1" applyNumberFormat="1">
      <alignment horizontal="center" readingOrder="0" vertical="bottom"/>
    </xf>
    <xf borderId="10" fillId="0" fontId="13" numFmtId="167" xfId="0" applyAlignment="1" applyBorder="1" applyFont="1" applyNumberFormat="1">
      <alignment horizontal="center" readingOrder="0"/>
    </xf>
    <xf borderId="9" fillId="0" fontId="16" numFmtId="49" xfId="0" applyAlignment="1" applyBorder="1" applyFont="1" applyNumberFormat="1">
      <alignment horizontal="left" readingOrder="0" vertical="bottom"/>
    </xf>
    <xf borderId="10" fillId="0" fontId="13" numFmtId="0" xfId="0" applyAlignment="1" applyBorder="1" applyFont="1">
      <alignment horizontal="center" readingOrder="0" vertical="bottom"/>
    </xf>
    <xf borderId="10" fillId="0" fontId="17" numFmtId="49" xfId="0" applyAlignment="1" applyBorder="1" applyFont="1" applyNumberFormat="1">
      <alignment readingOrder="0" vertical="bottom"/>
    </xf>
    <xf borderId="10" fillId="0" fontId="13" numFmtId="1" xfId="0" applyAlignment="1" applyBorder="1" applyFont="1" applyNumberFormat="1">
      <alignment horizontal="center" readingOrder="0" vertical="bottom"/>
    </xf>
    <xf borderId="9" fillId="0" fontId="18" numFmtId="49" xfId="0" applyAlignment="1" applyBorder="1" applyFont="1" applyNumberFormat="1">
      <alignment readingOrder="0" vertical="bottom"/>
    </xf>
    <xf borderId="0" fillId="2" fontId="19" numFmtId="0" xfId="0" applyAlignment="1" applyFont="1">
      <alignment horizontal="center" readingOrder="0" vertical="center"/>
    </xf>
    <xf borderId="11" fillId="2" fontId="20" numFmtId="0" xfId="0" applyAlignment="1" applyBorder="1" applyFont="1">
      <alignment horizontal="center" readingOrder="0" vertical="center"/>
    </xf>
    <xf borderId="10" fillId="0" fontId="13" numFmtId="167" xfId="0" applyAlignment="1" applyBorder="1" applyFont="1" applyNumberFormat="1">
      <alignment horizontal="center" vertical="bottom"/>
    </xf>
    <xf borderId="10" fillId="0" fontId="21" numFmtId="0" xfId="0" applyBorder="1" applyFont="1"/>
    <xf borderId="0" fillId="2" fontId="19" numFmtId="0" xfId="0" applyAlignment="1" applyFont="1">
      <alignment horizontal="center" vertical="center"/>
    </xf>
    <xf borderId="11" fillId="2" fontId="22" numFmtId="0" xfId="0" applyAlignment="1" applyBorder="1" applyFont="1">
      <alignment horizontal="center" readingOrder="0" vertical="center"/>
    </xf>
    <xf borderId="10" fillId="0" fontId="13" numFmtId="167" xfId="0" applyAlignment="1" applyBorder="1" applyFont="1" applyNumberFormat="1">
      <alignment horizontal="center" readingOrder="0" vertical="bottom"/>
    </xf>
    <xf borderId="10" fillId="2" fontId="23" numFmtId="1" xfId="0" applyAlignment="1" applyBorder="1" applyFont="1" applyNumberFormat="1">
      <alignment horizontal="center" vertical="bottom"/>
    </xf>
    <xf borderId="9" fillId="0" fontId="24" numFmtId="0" xfId="0" applyAlignment="1" applyBorder="1" applyFont="1">
      <alignment vertical="bottom"/>
    </xf>
    <xf borderId="10" fillId="0" fontId="25" numFmtId="49" xfId="0" applyAlignment="1" applyBorder="1" applyFont="1" applyNumberFormat="1">
      <alignment horizontal="left" readingOrder="0" vertical="bottom"/>
    </xf>
    <xf borderId="10" fillId="0" fontId="26" numFmtId="168" xfId="0" applyAlignment="1" applyBorder="1" applyFont="1" applyNumberFormat="1">
      <alignment horizontal="center" readingOrder="0"/>
    </xf>
    <xf borderId="10" fillId="0" fontId="13" numFmtId="0" xfId="0" applyAlignment="1" applyBorder="1" applyFont="1">
      <alignment horizontal="center" readingOrder="0"/>
    </xf>
    <xf borderId="10" fillId="2" fontId="19" numFmtId="0" xfId="0" applyAlignment="1" applyBorder="1" applyFont="1">
      <alignment horizontal="center" vertical="center"/>
    </xf>
    <xf borderId="9" fillId="2" fontId="27" numFmtId="0" xfId="0" applyAlignment="1" applyBorder="1" applyFont="1">
      <alignment vertical="bottom"/>
    </xf>
    <xf borderId="10" fillId="2" fontId="4" numFmtId="1" xfId="0" applyAlignment="1" applyBorder="1" applyFont="1" applyNumberFormat="1">
      <alignment vertical="bottom"/>
    </xf>
    <xf borderId="10" fillId="2" fontId="13" numFmtId="49" xfId="0" applyAlignment="1" applyBorder="1" applyFont="1" applyNumberFormat="1">
      <alignment horizontal="center" vertical="bottom"/>
    </xf>
    <xf borderId="14" fillId="0" fontId="28" numFmtId="0" xfId="0" applyAlignment="1" applyBorder="1" applyFont="1">
      <alignment readingOrder="0" vertical="bottom"/>
    </xf>
    <xf borderId="10" fillId="2" fontId="13" numFmtId="49" xfId="0" applyAlignment="1" applyBorder="1" applyFont="1" applyNumberFormat="1">
      <alignment horizontal="center" readingOrder="0" vertical="bottom"/>
    </xf>
    <xf borderId="9" fillId="2" fontId="29" numFmtId="0" xfId="0" applyAlignment="1" applyBorder="1" applyFont="1">
      <alignment readingOrder="0" vertical="bottom"/>
    </xf>
    <xf borderId="0" fillId="2" fontId="1" numFmtId="0" xfId="0" applyAlignment="1" applyFont="1">
      <alignment horizontal="center" vertical="bottom"/>
    </xf>
    <xf borderId="11" fillId="2" fontId="30" numFmtId="0" xfId="0" applyAlignment="1" applyBorder="1" applyFont="1">
      <alignment horizontal="center" readingOrder="0" shrinkToFit="0" vertical="center" wrapText="0"/>
    </xf>
    <xf borderId="9" fillId="0" fontId="31" numFmtId="0" xfId="0" applyAlignment="1" applyBorder="1" applyFont="1">
      <alignment vertical="bottom"/>
    </xf>
    <xf borderId="10" fillId="2" fontId="9" numFmtId="0" xfId="0" applyAlignment="1" applyBorder="1" applyFont="1">
      <alignment horizontal="center" readingOrder="0" vertical="center"/>
    </xf>
    <xf borderId="10" fillId="0" fontId="32" numFmtId="0" xfId="0" applyAlignment="1" applyBorder="1" applyFont="1">
      <alignment readingOrder="0" vertical="bottom"/>
    </xf>
    <xf borderId="9" fillId="0" fontId="33" numFmtId="0" xfId="0" applyAlignment="1" applyBorder="1" applyFont="1">
      <alignment readingOrder="0" vertical="bottom"/>
    </xf>
    <xf borderId="9" fillId="0" fontId="34" numFmtId="0" xfId="0" applyAlignment="1" applyBorder="1" applyFont="1">
      <alignment readingOrder="0"/>
    </xf>
    <xf borderId="9" fillId="2" fontId="35" numFmtId="49" xfId="0" applyAlignment="1" applyBorder="1" applyFont="1" applyNumberFormat="1">
      <alignment vertical="bottom"/>
    </xf>
    <xf borderId="9" fillId="2" fontId="36" numFmtId="49" xfId="0" applyAlignment="1" applyBorder="1" applyFont="1" applyNumberFormat="1">
      <alignment readingOrder="0"/>
    </xf>
    <xf borderId="10" fillId="0" fontId="13" numFmtId="169" xfId="0" applyAlignment="1" applyBorder="1" applyFont="1" applyNumberFormat="1">
      <alignment horizontal="center" readingOrder="0" vertical="bottom"/>
    </xf>
    <xf borderId="0" fillId="0" fontId="37" numFmtId="0" xfId="0" applyAlignment="1" applyFont="1">
      <alignment readingOrder="0"/>
    </xf>
    <xf borderId="12" fillId="2" fontId="38" numFmtId="0" xfId="0" applyAlignment="1" applyBorder="1" applyFont="1">
      <alignment horizontal="center" readingOrder="0" vertical="center"/>
    </xf>
    <xf borderId="9" fillId="0" fontId="39" numFmtId="0" xfId="0" applyAlignment="1" applyBorder="1" applyFont="1">
      <alignment horizontal="left" readingOrder="0" vertical="bottom"/>
    </xf>
    <xf borderId="10" fillId="0" fontId="40" numFmtId="0" xfId="0" applyAlignment="1" applyBorder="1" applyFont="1">
      <alignment readingOrder="0" vertical="bottom"/>
    </xf>
    <xf borderId="10" fillId="0" fontId="13" numFmtId="3" xfId="0" applyAlignment="1" applyBorder="1" applyFont="1" applyNumberFormat="1">
      <alignment horizontal="center" readingOrder="0" vertical="bottom"/>
    </xf>
    <xf borderId="10" fillId="0" fontId="41" numFmtId="0" xfId="0" applyAlignment="1" applyBorder="1" applyFont="1">
      <alignment vertical="bottom"/>
    </xf>
    <xf borderId="0" fillId="0" fontId="13" numFmtId="169" xfId="0" applyAlignment="1" applyFont="1" applyNumberFormat="1">
      <alignment horizontal="center" readingOrder="0"/>
    </xf>
    <xf borderId="10" fillId="0" fontId="5" numFmtId="1" xfId="0" applyAlignment="1" applyBorder="1" applyFont="1" applyNumberFormat="1">
      <alignment horizontal="center" readingOrder="0" vertical="bottom"/>
    </xf>
    <xf borderId="10" fillId="0" fontId="42" numFmtId="49" xfId="0" applyAlignment="1" applyBorder="1" applyFont="1" applyNumberFormat="1">
      <alignment horizontal="left" vertical="bottom"/>
    </xf>
    <xf borderId="10" fillId="0" fontId="43" numFmtId="0" xfId="0" applyAlignment="1" applyBorder="1" applyFont="1">
      <alignment readingOrder="0" shrinkToFit="0" wrapText="0"/>
    </xf>
    <xf borderId="10" fillId="0" fontId="44" numFmtId="0" xfId="0" applyAlignment="1" applyBorder="1" applyFont="1">
      <alignment vertical="bottom"/>
    </xf>
    <xf borderId="11" fillId="0" fontId="45" numFmtId="0" xfId="0" applyAlignment="1" applyBorder="1" applyFont="1">
      <alignment horizontal="center" readingOrder="0" vertical="center"/>
    </xf>
    <xf borderId="9" fillId="0" fontId="46" numFmtId="0" xfId="0" applyAlignment="1" applyBorder="1" applyFont="1">
      <alignment readingOrder="0" shrinkToFit="0" vertical="bottom" wrapText="0"/>
    </xf>
    <xf borderId="10" fillId="0" fontId="47" numFmtId="0" xfId="0" applyAlignment="1" applyBorder="1" applyFont="1">
      <alignment horizontal="center" readingOrder="0" shrinkToFit="0" vertical="bottom" wrapText="0"/>
    </xf>
    <xf borderId="10" fillId="0" fontId="13" numFmtId="169" xfId="0" applyAlignment="1" applyBorder="1" applyFont="1" applyNumberFormat="1">
      <alignment horizontal="center" vertical="bottom"/>
    </xf>
    <xf borderId="10" fillId="0" fontId="13" numFmtId="1" xfId="0" applyAlignment="1" applyBorder="1" applyFont="1" applyNumberFormat="1">
      <alignment horizontal="center" readingOrder="0" vertical="bottom"/>
    </xf>
    <xf borderId="10" fillId="0" fontId="13" numFmtId="169" xfId="0" applyAlignment="1" applyBorder="1" applyFont="1" applyNumberFormat="1">
      <alignment horizontal="center" readingOrder="0"/>
    </xf>
    <xf borderId="10" fillId="0" fontId="13" numFmtId="168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48" numFmtId="0" xfId="0" applyFont="1"/>
    <xf borderId="0" fillId="0" fontId="13" numFmtId="0" xfId="0" applyAlignment="1" applyFont="1">
      <alignment horizontal="center"/>
    </xf>
    <xf borderId="0" fillId="0" fontId="49" numFmtId="0" xfId="0" applyAlignment="1" applyFont="1">
      <alignment horizontal="center"/>
    </xf>
    <xf borderId="0" fillId="0" fontId="21" numFmtId="0" xfId="0" applyAlignment="1" applyFont="1">
      <alignment horizontal="center"/>
    </xf>
    <xf borderId="0" fillId="0" fontId="21" numFmtId="0" xfId="0" applyFont="1"/>
    <xf borderId="0" fillId="8" fontId="50" numFmtId="0" xfId="0" applyAlignment="1" applyFill="1" applyFont="1">
      <alignment horizontal="center" readingOrder="0"/>
    </xf>
    <xf borderId="0" fillId="8" fontId="21" numFmtId="0" xfId="0" applyFont="1"/>
    <xf borderId="0" fillId="8" fontId="49" numFmtId="0" xfId="0" applyAlignment="1" applyFont="1">
      <alignment horizontal="center"/>
    </xf>
    <xf borderId="0" fillId="8" fontId="21" numFmtId="0" xfId="0" applyAlignment="1" applyFont="1">
      <alignment horizontal="center"/>
    </xf>
    <xf borderId="10" fillId="0" fontId="9" numFmtId="0" xfId="0" applyAlignment="1" applyBorder="1" applyFont="1">
      <alignment horizontal="center" readingOrder="0" shrinkToFit="0" vertical="center" wrapText="0"/>
    </xf>
    <xf borderId="10" fillId="0" fontId="51" numFmtId="49" xfId="0" applyAlignment="1" applyBorder="1" applyFont="1" applyNumberFormat="1">
      <alignment readingOrder="0" vertical="bottom"/>
    </xf>
    <xf borderId="10" fillId="0" fontId="52" numFmtId="49" xfId="0" applyAlignment="1" applyBorder="1" applyFont="1" applyNumberFormat="1">
      <alignment horizontal="left" readingOrder="0" vertical="bottom"/>
    </xf>
    <xf borderId="10" fillId="0" fontId="53" numFmtId="49" xfId="0" applyAlignment="1" applyBorder="1" applyFont="1" applyNumberFormat="1">
      <alignment readingOrder="0" vertical="bottom"/>
    </xf>
    <xf borderId="10" fillId="0" fontId="1" numFmtId="0" xfId="0" applyAlignment="1" applyBorder="1" applyFont="1">
      <alignment horizontal="center" vertical="bottom"/>
    </xf>
    <xf borderId="10" fillId="2" fontId="9" numFmtId="0" xfId="0" applyAlignment="1" applyBorder="1" applyFont="1">
      <alignment horizontal="center" vertical="center"/>
    </xf>
    <xf borderId="10" fillId="0" fontId="54" numFmtId="0" xfId="0" applyAlignment="1" applyBorder="1" applyFont="1">
      <alignment readingOrder="0" vertical="bottom"/>
    </xf>
    <xf borderId="10" fillId="0" fontId="55" numFmtId="0" xfId="0" applyAlignment="1" applyBorder="1" applyFont="1">
      <alignment readingOrder="0" vertical="bottom"/>
    </xf>
    <xf borderId="10" fillId="0" fontId="56" numFmtId="0" xfId="0" applyAlignment="1" applyBorder="1" applyFont="1">
      <alignment horizontal="left" readingOrder="0" vertical="bottom"/>
    </xf>
    <xf borderId="10" fillId="0" fontId="9" numFmtId="0" xfId="0" applyAlignment="1" applyBorder="1" applyFont="1">
      <alignment horizontal="center" readingOrder="0" vertical="center"/>
    </xf>
    <xf borderId="10" fillId="0" fontId="26" numFmtId="169" xfId="0" applyAlignment="1" applyBorder="1" applyFont="1" applyNumberFormat="1">
      <alignment horizontal="center" readingOrder="0"/>
    </xf>
    <xf borderId="10" fillId="0" fontId="57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 vertical="bottom"/>
    </xf>
    <xf borderId="10" fillId="2" fontId="58" numFmtId="0" xfId="0" applyAlignment="1" applyBorder="1" applyFont="1">
      <alignment readingOrder="0" vertical="bottom"/>
    </xf>
    <xf borderId="10" fillId="0" fontId="59" numFmtId="49" xfId="0" applyAlignment="1" applyBorder="1" applyFont="1" applyNumberFormat="1">
      <alignment vertical="bottom"/>
    </xf>
    <xf borderId="10" fillId="0" fontId="47" numFmtId="167" xfId="0" applyAlignment="1" applyBorder="1" applyFont="1" applyNumberFormat="1">
      <alignment horizontal="center" readingOrder="0" shrinkToFit="0" vertical="bottom" wrapText="0"/>
    </xf>
    <xf borderId="10" fillId="2" fontId="19" numFmtId="0" xfId="0" applyAlignment="1" applyBorder="1" applyFont="1">
      <alignment horizontal="center" readingOrder="0" vertical="center"/>
    </xf>
    <xf borderId="10" fillId="0" fontId="60" numFmtId="49" xfId="0" applyAlignment="1" applyBorder="1" applyFont="1" applyNumberFormat="1">
      <alignment readingOrder="0"/>
    </xf>
    <xf borderId="10" fillId="0" fontId="61" numFmtId="0" xfId="0" applyAlignment="1" applyBorder="1" applyFont="1">
      <alignment vertical="bottom"/>
    </xf>
    <xf borderId="10" fillId="2" fontId="1" numFmtId="0" xfId="0" applyAlignment="1" applyBorder="1" applyFont="1">
      <alignment horizontal="center" vertical="bottom"/>
    </xf>
    <xf borderId="10" fillId="2" fontId="9" numFmtId="0" xfId="0" applyAlignment="1" applyBorder="1" applyFont="1">
      <alignment horizontal="center" readingOrder="0" shrinkToFit="0" vertical="center" wrapText="0"/>
    </xf>
    <xf borderId="10" fillId="0" fontId="13" numFmtId="0" xfId="0" applyAlignment="1" applyBorder="1" applyFont="1">
      <alignment horizontal="center" readingOrder="0" shrinkToFit="0" wrapText="1"/>
    </xf>
    <xf borderId="10" fillId="0" fontId="62" numFmtId="49" xfId="0" applyAlignment="1" applyBorder="1" applyFont="1" applyNumberFormat="1">
      <alignment horizontal="left" vertical="bottom"/>
    </xf>
    <xf borderId="10" fillId="0" fontId="13" numFmtId="0" xfId="0" applyAlignment="1" applyBorder="1" applyFont="1">
      <alignment horizontal="center" vertical="bottom"/>
    </xf>
    <xf borderId="10" fillId="2" fontId="63" numFmtId="49" xfId="0" applyAlignment="1" applyBorder="1" applyFont="1" applyNumberFormat="1">
      <alignment vertical="bottom"/>
    </xf>
    <xf borderId="10" fillId="2" fontId="64" numFmtId="49" xfId="0" applyAlignment="1" applyBorder="1" applyFont="1" applyNumberFormat="1">
      <alignment readingOrder="0" vertical="bottom"/>
    </xf>
    <xf borderId="10" fillId="2" fontId="65" numFmtId="49" xfId="0" applyAlignment="1" applyBorder="1" applyFont="1" applyNumberFormat="1">
      <alignment vertical="bottom"/>
    </xf>
    <xf borderId="10" fillId="2" fontId="66" numFmtId="49" xfId="0" applyAlignment="1" applyBorder="1" applyFont="1" applyNumberFormat="1">
      <alignment readingOrder="0"/>
    </xf>
    <xf borderId="0" fillId="0" fontId="67" numFmtId="0" xfId="0" applyAlignment="1" applyFont="1">
      <alignment readingOrder="0" shrinkToFit="0" vertical="bottom" wrapText="0"/>
    </xf>
    <xf borderId="10" fillId="9" fontId="8" numFmtId="0" xfId="0" applyAlignment="1" applyBorder="1" applyFill="1" applyFont="1">
      <alignment readingOrder="0" shrinkToFit="0" vertical="bottom" wrapText="1"/>
    </xf>
    <xf borderId="10" fillId="9" fontId="8" numFmtId="0" xfId="0" applyAlignment="1" applyBorder="1" applyFont="1">
      <alignment shrinkToFit="0" vertical="bottom" wrapText="1"/>
    </xf>
    <xf borderId="0" fillId="0" fontId="67" numFmtId="0" xfId="0" applyAlignment="1" applyFont="1">
      <alignment horizontal="right" readingOrder="0" shrinkToFit="0" vertical="bottom" wrapText="0"/>
    </xf>
    <xf borderId="0" fillId="10" fontId="68" numFmtId="0" xfId="0" applyAlignment="1" applyFill="1" applyFont="1">
      <alignment horizontal="center" readingOrder="0" shrinkToFit="0" wrapText="1"/>
    </xf>
    <xf borderId="0" fillId="10" fontId="69" numFmtId="0" xfId="0" applyAlignment="1" applyFont="1">
      <alignment horizontal="center" readingOrder="0" shrinkToFit="0" wrapText="1"/>
    </xf>
    <xf borderId="0" fillId="11" fontId="70" numFmtId="0" xfId="0" applyAlignment="1" applyFill="1" applyFont="1">
      <alignment horizontal="center" readingOrder="0" vertical="center"/>
    </xf>
    <xf borderId="0" fillId="0" fontId="21" numFmtId="1" xfId="0" applyFont="1" applyNumberFormat="1"/>
    <xf borderId="10" fillId="12" fontId="50" numFmtId="0" xfId="0" applyAlignment="1" applyBorder="1" applyFill="1" applyFont="1">
      <alignment horizontal="center" readingOrder="0"/>
    </xf>
    <xf borderId="0" fillId="0" fontId="21" numFmtId="10" xfId="0" applyFont="1" applyNumberFormat="1"/>
    <xf borderId="0" fillId="13" fontId="21" numFmtId="0" xfId="0" applyFill="1" applyFont="1"/>
    <xf borderId="0" fillId="12" fontId="50" numFmtId="0" xfId="0" applyAlignment="1" applyFont="1">
      <alignment horizontal="center" readingOrder="0"/>
    </xf>
    <xf borderId="0" fillId="0" fontId="50" numFmtId="0" xfId="0" applyAlignment="1" applyFont="1">
      <alignment horizontal="center"/>
    </xf>
    <xf borderId="0" fillId="0" fontId="21" numFmtId="0" xfId="0" applyAlignment="1" applyFont="1">
      <alignment horizontal="center" readingOrder="0"/>
    </xf>
    <xf borderId="0" fillId="0" fontId="71" numFmtId="0" xfId="0" applyAlignment="1" applyFont="1">
      <alignment readingOrder="0" shrinkToFit="0" vertical="bottom" wrapText="1"/>
    </xf>
    <xf borderId="10" fillId="0" fontId="71" numFmtId="0" xfId="0" applyAlignment="1" applyBorder="1" applyFont="1">
      <alignment readingOrder="0" shrinkToFit="0" vertical="bottom" wrapText="1"/>
    </xf>
    <xf borderId="10" fillId="0" fontId="72" numFmtId="0" xfId="0" applyAlignment="1" applyBorder="1" applyFont="1">
      <alignment readingOrder="0" shrinkToFit="0" vertical="bottom" wrapText="1"/>
    </xf>
    <xf borderId="10" fillId="0" fontId="72" numFmtId="0" xfId="0" applyAlignment="1" applyBorder="1" applyFont="1">
      <alignment horizontal="center" readingOrder="0" shrinkToFit="0" vertical="bottom" wrapText="1"/>
    </xf>
    <xf borderId="10" fillId="0" fontId="72" numFmtId="1" xfId="0" applyAlignment="1" applyBorder="1" applyFont="1" applyNumberFormat="1">
      <alignment horizontal="center" readingOrder="0" shrinkToFit="0" vertical="bottom" wrapText="1"/>
    </xf>
    <xf borderId="10" fillId="0" fontId="72" numFmtId="10" xfId="0" applyAlignment="1" applyBorder="1" applyFont="1" applyNumberFormat="1">
      <alignment horizontal="center" readingOrder="0" shrinkToFit="0" vertical="bottom" wrapText="1"/>
    </xf>
    <xf borderId="10" fillId="13" fontId="72" numFmtId="0" xfId="0" applyAlignment="1" applyBorder="1" applyFont="1">
      <alignment horizontal="center" readingOrder="0" shrinkToFit="0" vertical="bottom" wrapText="1"/>
    </xf>
    <xf borderId="10" fillId="13" fontId="72" numFmtId="1" xfId="0" applyAlignment="1" applyBorder="1" applyFont="1" applyNumberFormat="1">
      <alignment horizontal="center" readingOrder="0" shrinkToFit="0" vertical="bottom" wrapText="1"/>
    </xf>
    <xf borderId="10" fillId="13" fontId="72" numFmtId="9" xfId="0" applyAlignment="1" applyBorder="1" applyFont="1" applyNumberFormat="1">
      <alignment horizontal="center" readingOrder="0" shrinkToFit="0" vertical="bottom" wrapText="1"/>
    </xf>
    <xf borderId="10" fillId="0" fontId="73" numFmtId="0" xfId="0" applyAlignment="1" applyBorder="1" applyFont="1">
      <alignment horizontal="center" readingOrder="0" shrinkToFit="0" wrapText="1"/>
    </xf>
    <xf borderId="10" fillId="10" fontId="71" numFmtId="0" xfId="0" applyAlignment="1" applyBorder="1" applyFont="1">
      <alignment horizontal="center" shrinkToFit="0" wrapText="1"/>
    </xf>
    <xf borderId="0" fillId="0" fontId="73" numFmtId="0" xfId="0" applyAlignment="1" applyFont="1">
      <alignment horizontal="center" readingOrder="0" shrinkToFit="0" wrapText="1"/>
    </xf>
    <xf borderId="10" fillId="0" fontId="4" numFmtId="0" xfId="0" applyAlignment="1" applyBorder="1" applyFont="1">
      <alignment vertical="bottom"/>
    </xf>
    <xf borderId="10" fillId="0" fontId="74" numFmtId="0" xfId="0" applyAlignment="1" applyBorder="1" applyFont="1">
      <alignment vertical="bottom"/>
    </xf>
    <xf borderId="10" fillId="0" fontId="4" numFmtId="169" xfId="0" applyAlignment="1" applyBorder="1" applyFont="1" applyNumberFormat="1">
      <alignment vertical="bottom"/>
    </xf>
    <xf borderId="10" fillId="0" fontId="75" numFmtId="3" xfId="0" applyAlignment="1" applyBorder="1" applyFont="1" applyNumberFormat="1">
      <alignment horizontal="center"/>
    </xf>
    <xf borderId="10" fillId="0" fontId="75" numFmtId="10" xfId="0" applyAlignment="1" applyBorder="1" applyFont="1" applyNumberFormat="1">
      <alignment horizontal="center"/>
    </xf>
    <xf borderId="10" fillId="0" fontId="75" numFmtId="0" xfId="0" applyAlignment="1" applyBorder="1" applyFont="1">
      <alignment horizontal="center"/>
    </xf>
    <xf borderId="10" fillId="0" fontId="75" numFmtId="1" xfId="0" applyAlignment="1" applyBorder="1" applyFont="1" applyNumberFormat="1">
      <alignment horizontal="center"/>
    </xf>
    <xf borderId="10" fillId="0" fontId="21" numFmtId="1" xfId="0" applyBorder="1" applyFont="1" applyNumberFormat="1"/>
    <xf borderId="10" fillId="0" fontId="21" numFmtId="167" xfId="0" applyBorder="1" applyFont="1" applyNumberFormat="1"/>
    <xf borderId="10" fillId="0" fontId="21" numFmtId="3" xfId="0" applyBorder="1" applyFont="1" applyNumberFormat="1"/>
    <xf borderId="10" fillId="0" fontId="4" numFmtId="1" xfId="0" applyBorder="1" applyFont="1" applyNumberFormat="1"/>
    <xf borderId="0" fillId="0" fontId="21" numFmtId="1" xfId="0" applyFont="1" applyNumberFormat="1"/>
    <xf borderId="10" fillId="0" fontId="21" numFmtId="0" xfId="0" applyAlignment="1" applyBorder="1" applyFont="1">
      <alignment shrinkToFit="0" wrapText="1"/>
    </xf>
    <xf borderId="0" fillId="0" fontId="74" numFmtId="0" xfId="0" applyAlignment="1" applyFont="1">
      <alignment vertical="bottom"/>
    </xf>
    <xf borderId="0" fillId="0" fontId="4" numFmtId="169" xfId="0" applyAlignment="1" applyFont="1" applyNumberFormat="1">
      <alignment vertical="bottom"/>
    </xf>
    <xf borderId="0" fillId="0" fontId="75" numFmtId="3" xfId="0" applyAlignment="1" applyFont="1" applyNumberFormat="1">
      <alignment horizontal="center"/>
    </xf>
    <xf borderId="0" fillId="0" fontId="75" numFmtId="10" xfId="0" applyAlignment="1" applyFont="1" applyNumberFormat="1">
      <alignment horizontal="center"/>
    </xf>
    <xf borderId="0" fillId="0" fontId="75" numFmtId="0" xfId="0" applyAlignment="1" applyFont="1">
      <alignment horizontal="center"/>
    </xf>
    <xf borderId="0" fillId="0" fontId="75" numFmtId="1" xfId="0" applyAlignment="1" applyFont="1" applyNumberFormat="1">
      <alignment horizontal="center"/>
    </xf>
    <xf borderId="0" fillId="0" fontId="21" numFmtId="167" xfId="0" applyFont="1" applyNumberFormat="1"/>
    <xf borderId="0" fillId="0" fontId="21" numFmtId="3" xfId="0" applyFont="1" applyNumberFormat="1"/>
    <xf borderId="0" fillId="7" fontId="76" numFmtId="0" xfId="0" applyAlignment="1" applyFont="1">
      <alignment horizontal="center" readingOrder="0" shrinkToFit="0" vertical="center" wrapText="1"/>
    </xf>
    <xf borderId="0" fillId="13" fontId="21" numFmtId="0" xfId="0" applyAlignment="1" applyFont="1">
      <alignment horizontal="center"/>
    </xf>
    <xf borderId="3" fillId="7" fontId="7" numFmtId="0" xfId="0" applyAlignment="1" applyBorder="1" applyFont="1">
      <alignment horizontal="center" readingOrder="0" shrinkToFit="0" vertical="bottom" wrapText="1"/>
    </xf>
    <xf borderId="0" fillId="0" fontId="50" numFmtId="4" xfId="0" applyAlignment="1" applyFont="1" applyNumberFormat="1">
      <alignment horizontal="center"/>
    </xf>
    <xf borderId="0" fillId="0" fontId="21" numFmtId="0" xfId="0" applyAlignment="1" applyFont="1">
      <alignment readingOrder="0"/>
    </xf>
    <xf borderId="0" fillId="13" fontId="21" numFmtId="9" xfId="0" applyFont="1" applyNumberFormat="1"/>
    <xf borderId="0" fillId="13" fontId="21" numFmtId="1" xfId="0" applyFont="1" applyNumberFormat="1"/>
    <xf borderId="0" fillId="7" fontId="7" numFmtId="0" xfId="0" applyAlignment="1" applyFont="1">
      <alignment horizontal="center" shrinkToFit="0" vertical="bottom" wrapText="1"/>
    </xf>
    <xf borderId="10" fillId="7" fontId="7" numFmtId="0" xfId="0" applyAlignment="1" applyBorder="1" applyFont="1">
      <alignment horizontal="center" shrinkToFit="0" vertical="bottom" wrapText="1"/>
    </xf>
    <xf borderId="9" fillId="7" fontId="7" numFmtId="0" xfId="0" applyAlignment="1" applyBorder="1" applyFont="1">
      <alignment horizontal="center" shrinkToFit="0" vertical="bottom" wrapText="1"/>
    </xf>
    <xf borderId="0" fillId="0" fontId="77" numFmtId="1" xfId="0" applyFont="1" applyNumberFormat="1"/>
    <xf borderId="0" fillId="0" fontId="74" numFmtId="0" xfId="0" applyAlignment="1" applyFont="1">
      <alignment readingOrder="0" shrinkToFit="0" vertical="bottom" wrapText="1"/>
    </xf>
    <xf borderId="10" fillId="0" fontId="74" numFmtId="0" xfId="0" applyAlignment="1" applyBorder="1" applyFont="1">
      <alignment readingOrder="0" shrinkToFit="0" vertical="bottom" wrapText="1"/>
    </xf>
    <xf borderId="10" fillId="0" fontId="21" numFmtId="0" xfId="0" applyAlignment="1" applyBorder="1" applyFont="1">
      <alignment readingOrder="0"/>
    </xf>
    <xf borderId="10" fillId="0" fontId="21" numFmtId="0" xfId="0" applyAlignment="1" applyBorder="1" applyFont="1">
      <alignment readingOrder="0"/>
    </xf>
    <xf borderId="10" fillId="13" fontId="21" numFmtId="0" xfId="0" applyBorder="1" applyFont="1"/>
    <xf borderId="10" fillId="2" fontId="7" numFmtId="0" xfId="0" applyAlignment="1" applyBorder="1" applyFont="1">
      <alignment horizontal="center" readingOrder="0" shrinkToFit="0" vertical="bottom" wrapText="1"/>
    </xf>
    <xf borderId="0" fillId="14" fontId="7" numFmtId="0" xfId="0" applyAlignment="1" applyFill="1" applyFont="1">
      <alignment horizontal="center" readingOrder="0" shrinkToFit="0" vertical="bottom" wrapText="1"/>
    </xf>
    <xf borderId="10" fillId="14" fontId="7" numFmtId="0" xfId="0" applyAlignment="1" applyBorder="1" applyFont="1">
      <alignment horizontal="center" readingOrder="0" shrinkToFit="0" vertical="bottom" wrapText="1"/>
    </xf>
    <xf borderId="0" fillId="13" fontId="67" numFmtId="0" xfId="0" applyAlignment="1" applyFont="1">
      <alignment readingOrder="0" shrinkToFit="0" vertical="bottom" wrapText="0"/>
    </xf>
    <xf borderId="0" fillId="13" fontId="50" numFmtId="1" xfId="0" applyAlignment="1" applyFont="1" applyNumberFormat="1">
      <alignment horizontal="center"/>
    </xf>
    <xf borderId="0" fillId="0" fontId="78" numFmtId="0" xfId="0" applyAlignment="1" applyFont="1">
      <alignment shrinkToFit="0" vertical="bottom" wrapText="1"/>
    </xf>
    <xf borderId="0" fillId="0" fontId="79" numFmtId="10" xfId="0" applyAlignment="1" applyFont="1" applyNumberFormat="1">
      <alignment horizontal="center" shrinkToFit="0" wrapText="1"/>
    </xf>
    <xf borderId="0" fillId="0" fontId="79" numFmtId="1" xfId="0" applyAlignment="1" applyFont="1" applyNumberFormat="1">
      <alignment shrinkToFit="0" vertical="bottom" wrapText="1"/>
    </xf>
    <xf borderId="0" fillId="0" fontId="80" numFmtId="10" xfId="0" applyAlignment="1" applyFont="1" applyNumberFormat="1">
      <alignment horizontal="center" vertical="bottom"/>
    </xf>
    <xf borderId="0" fillId="0" fontId="81" numFmtId="1" xfId="0" applyAlignment="1" applyFont="1" applyNumberFormat="1">
      <alignment horizontal="center"/>
    </xf>
    <xf borderId="0" fillId="0" fontId="81" numFmtId="10" xfId="0" applyAlignment="1" applyFont="1" applyNumberFormat="1">
      <alignment horizontal="center"/>
    </xf>
    <xf borderId="0" fillId="0" fontId="50" numFmtId="10" xfId="0" applyAlignment="1" applyFont="1" applyNumberFormat="1">
      <alignment horizontal="center"/>
    </xf>
    <xf borderId="0" fillId="0" fontId="50" numFmtId="1" xfId="0" applyAlignment="1" applyFont="1" applyNumberFormat="1">
      <alignment horizontal="center"/>
    </xf>
    <xf borderId="0" fillId="0" fontId="67" numFmtId="9" xfId="0" applyAlignment="1" applyFont="1" applyNumberFormat="1">
      <alignment readingOrder="0" shrinkToFit="0" vertical="bottom" wrapText="0"/>
    </xf>
    <xf borderId="0" fillId="0" fontId="67" numFmtId="1" xfId="0" applyAlignment="1" applyFont="1" applyNumberFormat="1">
      <alignment readingOrder="0" shrinkToFit="0" vertical="bottom" wrapText="0"/>
    </xf>
    <xf borderId="0" fillId="12" fontId="50" numFmtId="0" xfId="0" applyAlignment="1" applyFont="1">
      <alignment horizontal="center"/>
    </xf>
    <xf borderId="10" fillId="15" fontId="50" numFmtId="0" xfId="0" applyAlignment="1" applyBorder="1" applyFill="1" applyFont="1">
      <alignment horizontal="center"/>
    </xf>
    <xf borderId="10" fillId="16" fontId="72" numFmtId="0" xfId="0" applyAlignment="1" applyBorder="1" applyFill="1" applyFont="1">
      <alignment horizontal="center" readingOrder="0" shrinkToFit="0" vertical="bottom" wrapText="0"/>
    </xf>
    <xf borderId="10" fillId="8" fontId="72" numFmtId="0" xfId="0" applyAlignment="1" applyBorder="1" applyFont="1">
      <alignment horizontal="center" readingOrder="0" shrinkToFit="0" vertical="bottom" wrapText="0"/>
    </xf>
    <xf borderId="10" fillId="12" fontId="50" numFmtId="0" xfId="0" applyAlignment="1" applyBorder="1" applyFont="1">
      <alignment horizontal="center"/>
    </xf>
    <xf borderId="10" fillId="13" fontId="67" numFmtId="0" xfId="0" applyAlignment="1" applyBorder="1" applyFont="1">
      <alignment readingOrder="0" shrinkToFit="0" vertical="bottom" wrapText="0"/>
    </xf>
    <xf borderId="13" fillId="0" fontId="50" numFmtId="1" xfId="0" applyAlignment="1" applyBorder="1" applyFont="1" applyNumberFormat="1">
      <alignment horizontal="center"/>
    </xf>
    <xf borderId="10" fillId="0" fontId="50" numFmtId="1" xfId="0" applyAlignment="1" applyBorder="1" applyFont="1" applyNumberFormat="1">
      <alignment horizontal="center"/>
    </xf>
    <xf borderId="10" fillId="0" fontId="50" numFmtId="10" xfId="0" applyAlignment="1" applyBorder="1" applyFont="1" applyNumberFormat="1">
      <alignment horizontal="center"/>
    </xf>
    <xf borderId="10" fillId="13" fontId="67" numFmtId="9" xfId="0" applyAlignment="1" applyBorder="1" applyFont="1" applyNumberFormat="1">
      <alignment readingOrder="0" shrinkToFit="0" vertical="bottom" wrapText="0"/>
    </xf>
    <xf borderId="10" fillId="13" fontId="67" numFmtId="1" xfId="0" applyAlignment="1" applyBorder="1" applyFont="1" applyNumberFormat="1">
      <alignment readingOrder="0" shrinkToFit="0" vertical="bottom" wrapText="0"/>
    </xf>
    <xf borderId="7" fillId="13" fontId="67" numFmtId="0" xfId="0" applyAlignment="1" applyBorder="1" applyFont="1">
      <alignment readingOrder="0" shrinkToFit="0" vertical="bottom" wrapText="0"/>
    </xf>
    <xf borderId="4" fillId="0" fontId="67" numFmtId="0" xfId="0" applyAlignment="1" applyBorder="1" applyFont="1">
      <alignment readingOrder="0" shrinkToFit="0" vertical="bottom" wrapText="0"/>
    </xf>
    <xf borderId="5" fillId="0" fontId="67" numFmtId="0" xfId="0" applyAlignment="1" applyBorder="1" applyFont="1">
      <alignment readingOrder="0" shrinkToFit="0" vertical="bottom" wrapText="0"/>
    </xf>
    <xf borderId="10" fillId="13" fontId="72" numFmtId="0" xfId="0" applyAlignment="1" applyBorder="1" applyFont="1">
      <alignment readingOrder="0" shrinkToFit="0" vertical="bottom" wrapText="1"/>
    </xf>
    <xf borderId="13" fillId="0" fontId="72" numFmtId="0" xfId="0" applyAlignment="1" applyBorder="1" applyFont="1">
      <alignment horizontal="center" readingOrder="0" shrinkToFit="0" vertical="bottom" wrapText="1"/>
    </xf>
    <xf borderId="9" fillId="0" fontId="73" numFmtId="0" xfId="0" applyAlignment="1" applyBorder="1" applyFont="1">
      <alignment horizontal="center" readingOrder="0" shrinkToFit="0" wrapText="1"/>
    </xf>
    <xf borderId="10" fillId="13" fontId="74" numFmtId="0" xfId="0" applyAlignment="1" applyBorder="1" applyFont="1">
      <alignment vertical="bottom"/>
    </xf>
    <xf borderId="10" fillId="13" fontId="75" numFmtId="3" xfId="0" applyAlignment="1" applyBorder="1" applyFont="1" applyNumberFormat="1">
      <alignment horizontal="center"/>
    </xf>
    <xf borderId="10" fillId="13" fontId="21" numFmtId="1" xfId="0" applyBorder="1" applyFont="1" applyNumberFormat="1"/>
    <xf borderId="9" fillId="0" fontId="21" numFmtId="0" xfId="0" applyBorder="1" applyFont="1"/>
    <xf borderId="10" fillId="0" fontId="21" numFmtId="169" xfId="0" applyBorder="1" applyFont="1" applyNumberFormat="1"/>
    <xf borderId="10" fillId="13" fontId="49" numFmtId="1" xfId="0" applyAlignment="1" applyBorder="1" applyFont="1" applyNumberFormat="1">
      <alignment horizontal="center"/>
    </xf>
    <xf borderId="10" fillId="13" fontId="49" numFmtId="0" xfId="0" applyAlignment="1" applyBorder="1" applyFont="1">
      <alignment horizontal="center"/>
    </xf>
    <xf borderId="10" fillId="0" fontId="49" numFmtId="0" xfId="0" applyAlignment="1" applyBorder="1" applyFont="1">
      <alignment horizontal="center"/>
    </xf>
    <xf borderId="10" fillId="0" fontId="49" numFmtId="169" xfId="0" applyAlignment="1" applyBorder="1" applyFont="1" applyNumberFormat="1">
      <alignment horizontal="center"/>
    </xf>
    <xf borderId="10" fillId="2" fontId="74" numFmtId="0" xfId="0" applyAlignment="1" applyBorder="1" applyFont="1">
      <alignment vertical="bottom"/>
    </xf>
    <xf borderId="10" fillId="0" fontId="21" numFmtId="10" xfId="0" applyBorder="1" applyFont="1" applyNumberFormat="1"/>
    <xf borderId="10" fillId="0" fontId="74" numFmtId="0" xfId="0" applyAlignment="1" applyBorder="1" applyFont="1">
      <alignment readingOrder="0" vertical="bottom"/>
    </xf>
    <xf borderId="0" fillId="0" fontId="74" numFmtId="0" xfId="0" applyAlignment="1" applyFont="1">
      <alignment readingOrder="0" vertical="bottom"/>
    </xf>
    <xf borderId="0" fillId="0" fontId="21" numFmtId="0" xfId="0" applyAlignment="1" applyFont="1">
      <alignment shrinkToFit="0" wrapText="1"/>
    </xf>
    <xf borderId="0" fillId="0" fontId="21" numFmtId="0" xfId="0" applyAlignment="1" applyFont="1">
      <alignment horizontal="left"/>
    </xf>
    <xf borderId="0" fillId="9" fontId="8" numFmtId="0" xfId="0" applyAlignment="1" applyFont="1">
      <alignment horizontal="center" readingOrder="0" shrinkToFit="0" vertical="bottom" wrapText="1"/>
    </xf>
    <xf borderId="0" fillId="9" fontId="8" numFmtId="0" xfId="0" applyAlignment="1" applyFont="1">
      <alignment readingOrder="0" shrinkToFit="0" vertical="bottom" wrapText="1"/>
    </xf>
    <xf borderId="10" fillId="9" fontId="8" numFmtId="0" xfId="0" applyAlignment="1" applyBorder="1" applyFont="1">
      <alignment horizontal="center" readingOrder="0" shrinkToFit="0" vertical="bottom" wrapText="1"/>
    </xf>
    <xf borderId="0" fillId="0" fontId="67" numFmtId="167" xfId="0" applyAlignment="1" applyFont="1" applyNumberFormat="1">
      <alignment horizontal="left" shrinkToFit="0" vertical="bottom" wrapText="0"/>
    </xf>
    <xf borderId="0" fillId="0" fontId="82" numFmtId="0" xfId="0" applyAlignment="1" applyFont="1">
      <alignment horizontal="center" readingOrder="0"/>
    </xf>
    <xf borderId="7" fillId="3" fontId="82" numFmtId="0" xfId="0" applyAlignment="1" applyBorder="1" applyFont="1">
      <alignment horizontal="center" readingOrder="0"/>
    </xf>
    <xf borderId="0" fillId="3" fontId="82" numFmtId="0" xfId="0" applyAlignment="1" applyFont="1">
      <alignment horizontal="center" readingOrder="0"/>
    </xf>
    <xf borderId="0" fillId="17" fontId="72" numFmtId="0" xfId="0" applyAlignment="1" applyFill="1" applyFont="1">
      <alignment horizontal="center" readingOrder="0" shrinkToFit="0" vertical="bottom" wrapText="0"/>
    </xf>
    <xf borderId="0" fillId="0" fontId="50" numFmtId="0" xfId="0" applyAlignment="1" applyFont="1">
      <alignment horizontal="center" readingOrder="0"/>
    </xf>
    <xf borderId="10" fillId="18" fontId="8" numFmtId="1" xfId="0" applyAlignment="1" applyBorder="1" applyFill="1" applyFont="1" applyNumberFormat="1">
      <alignment horizontal="center" readingOrder="0" shrinkToFit="0" vertical="bottom" wrapText="1"/>
    </xf>
    <xf borderId="0" fillId="0" fontId="8" numFmtId="0" xfId="0" applyAlignment="1" applyFont="1">
      <alignment readingOrder="0" shrinkToFit="0" vertical="bottom" wrapText="1"/>
    </xf>
    <xf borderId="10" fillId="9" fontId="10" numFmtId="0" xfId="0" applyAlignment="1" applyBorder="1" applyFont="1">
      <alignment horizontal="center" readingOrder="0" shrinkToFit="0" vertical="bottom" wrapText="1"/>
    </xf>
    <xf borderId="10" fillId="0" fontId="21" numFmtId="0" xfId="0" applyAlignment="1" applyBorder="1" applyFont="1">
      <alignment horizontal="left"/>
    </xf>
    <xf borderId="10" fillId="0" fontId="21" numFmtId="1" xfId="0" applyAlignment="1" applyBorder="1" applyFont="1" applyNumberFormat="1">
      <alignment horizontal="center"/>
    </xf>
    <xf borderId="10" fillId="0" fontId="21" numFmtId="1" xfId="0" applyAlignment="1" applyBorder="1" applyFont="1" applyNumberFormat="1">
      <alignment horizontal="center" shrinkToFit="0" wrapText="1"/>
    </xf>
    <xf borderId="10" fillId="0" fontId="21" numFmtId="167" xfId="0" applyAlignment="1" applyBorder="1" applyFont="1" applyNumberFormat="1">
      <alignment shrinkToFit="0" wrapText="1"/>
    </xf>
    <xf borderId="0" fillId="0" fontId="4" numFmtId="0" xfId="0" applyAlignment="1" applyFont="1">
      <alignment readingOrder="0" vertical="bottom"/>
    </xf>
    <xf borderId="0" fillId="0" fontId="67" numFmtId="170" xfId="0" applyAlignment="1" applyFont="1" applyNumberFormat="1">
      <alignment readingOrder="0" shrinkToFit="0" vertical="bottom" wrapText="0"/>
    </xf>
    <xf borderId="0" fillId="0" fontId="67" numFmtId="169" xfId="0" applyAlignment="1" applyFont="1" applyNumberFormat="1">
      <alignment horizontal="right" readingOrder="0" shrinkToFit="0" vertical="bottom" wrapText="0"/>
    </xf>
    <xf borderId="0" fillId="13" fontId="67" numFmtId="0" xfId="0" applyAlignment="1" applyFont="1">
      <alignment horizontal="right" readingOrder="0" shrinkToFit="0" vertical="bottom" wrapText="0"/>
    </xf>
    <xf borderId="0" fillId="19" fontId="67" numFmtId="1" xfId="0" applyAlignment="1" applyFill="1" applyFont="1" applyNumberFormat="1">
      <alignment horizontal="right" readingOrder="0" shrinkToFit="0" vertical="bottom" wrapText="0"/>
    </xf>
    <xf borderId="0" fillId="0" fontId="67" numFmtId="4" xfId="0" applyAlignment="1" applyFont="1" applyNumberFormat="1">
      <alignment horizontal="right" readingOrder="0" shrinkToFit="0" vertical="bottom" wrapText="0"/>
    </xf>
    <xf borderId="0" fillId="20" fontId="67" numFmtId="1" xfId="0" applyAlignment="1" applyFill="1" applyFont="1" applyNumberFormat="1">
      <alignment horizontal="right" readingOrder="0" shrinkToFit="0" vertical="bottom" wrapText="0"/>
    </xf>
    <xf borderId="0" fillId="21" fontId="67" numFmtId="1" xfId="0" applyAlignment="1" applyFill="1" applyFont="1" applyNumberFormat="1">
      <alignment horizontal="right" readingOrder="0" shrinkToFit="0" vertical="bottom" wrapText="0"/>
    </xf>
    <xf borderId="0" fillId="22" fontId="67" numFmtId="1" xfId="0" applyAlignment="1" applyFill="1" applyFont="1" applyNumberFormat="1">
      <alignment horizontal="center" readingOrder="0" shrinkToFit="0" vertical="center" wrapText="0"/>
    </xf>
    <xf borderId="0" fillId="0" fontId="67" numFmtId="1" xfId="0" applyAlignment="1" applyFont="1" applyNumberFormat="1">
      <alignment horizontal="center" readingOrder="0" shrinkToFit="0" vertical="center" wrapText="0"/>
    </xf>
    <xf borderId="0" fillId="23" fontId="67" numFmtId="1" xfId="0" applyAlignment="1" applyFill="1" applyFont="1" applyNumberFormat="1">
      <alignment horizontal="center" readingOrder="0" shrinkToFit="0" vertical="center" wrapText="0"/>
    </xf>
    <xf borderId="0" fillId="0" fontId="67" numFmtId="1" xfId="0" applyAlignment="1" applyFont="1" applyNumberFormat="1">
      <alignment horizontal="center" readingOrder="0" shrinkToFit="0" vertical="center" wrapText="1"/>
    </xf>
    <xf borderId="0" fillId="22" fontId="67" numFmtId="3" xfId="0" applyAlignment="1" applyFont="1" applyNumberFormat="1">
      <alignment horizontal="center" readingOrder="0" shrinkToFit="0" vertical="center" wrapText="1"/>
    </xf>
    <xf borderId="0" fillId="22" fontId="67" numFmtId="1" xfId="0" applyAlignment="1" applyFont="1" applyNumberFormat="1">
      <alignment horizontal="center" readingOrder="0" shrinkToFit="0" vertical="center" wrapText="1"/>
    </xf>
    <xf borderId="0" fillId="0" fontId="67" numFmtId="1" xfId="0" applyAlignment="1" applyFont="1" applyNumberFormat="1">
      <alignment horizontal="left" readingOrder="0" shrinkToFit="0" vertical="center" wrapText="1"/>
    </xf>
    <xf borderId="0" fillId="0" fontId="67" numFmtId="3" xfId="0" applyAlignment="1" applyFont="1" applyNumberFormat="1">
      <alignment horizontal="center" readingOrder="0" shrinkToFit="0" vertical="center" wrapText="1"/>
    </xf>
    <xf borderId="0" fillId="0" fontId="67" numFmtId="0" xfId="0" applyAlignment="1" applyFont="1">
      <alignment readingOrder="0" shrinkToFit="0" vertical="bottom" wrapText="1"/>
    </xf>
    <xf borderId="0" fillId="13" fontId="67" numFmtId="1" xfId="0" applyAlignment="1" applyFont="1" applyNumberFormat="1">
      <alignment readingOrder="0" shrinkToFit="0" vertical="bottom" wrapText="1"/>
    </xf>
    <xf borderId="0" fillId="0" fontId="67" numFmtId="1" xfId="0" applyAlignment="1" applyFont="1" applyNumberFormat="1">
      <alignment readingOrder="0" shrinkToFit="0" vertical="bottom" wrapText="1"/>
    </xf>
    <xf borderId="0" fillId="13" fontId="67" numFmtId="0" xfId="0" applyAlignment="1" applyFont="1">
      <alignment readingOrder="0" shrinkToFit="0" vertical="bottom" wrapText="1"/>
    </xf>
    <xf borderId="0" fillId="22" fontId="67" numFmtId="0" xfId="0" applyAlignment="1" applyFont="1">
      <alignment readingOrder="0" shrinkToFit="0" vertical="bottom" wrapText="1"/>
    </xf>
    <xf borderId="0" fillId="13" fontId="67" numFmtId="10" xfId="0" applyAlignment="1" applyFont="1" applyNumberFormat="1">
      <alignment readingOrder="0" shrinkToFit="0" vertical="bottom" wrapText="1"/>
    </xf>
    <xf borderId="0" fillId="24" fontId="67" numFmtId="10" xfId="0" applyAlignment="1" applyFill="1" applyFont="1" applyNumberFormat="1">
      <alignment readingOrder="0" shrinkToFit="0" vertical="bottom" wrapText="1"/>
    </xf>
    <xf borderId="0" fillId="25" fontId="67" numFmtId="167" xfId="0" applyAlignment="1" applyFill="1" applyFont="1" applyNumberFormat="1">
      <alignment readingOrder="0" shrinkToFit="0" vertical="bottom" wrapText="1"/>
    </xf>
    <xf borderId="0" fillId="19" fontId="67" numFmtId="1" xfId="0" applyAlignment="1" applyFont="1" applyNumberFormat="1">
      <alignment readingOrder="0" shrinkToFit="0" vertical="bottom" wrapText="1"/>
    </xf>
    <xf borderId="0" fillId="20" fontId="67" numFmtId="1" xfId="0" applyAlignment="1" applyFont="1" applyNumberFormat="1">
      <alignment readingOrder="0" shrinkToFit="0" vertical="bottom" wrapText="1"/>
    </xf>
    <xf borderId="0" fillId="21" fontId="67" numFmtId="1" xfId="0" applyAlignment="1" applyFont="1" applyNumberFormat="1">
      <alignment readingOrder="0" shrinkToFit="0" vertical="bottom" wrapText="1"/>
    </xf>
    <xf borderId="0" fillId="22" fontId="67" numFmtId="1" xfId="0" applyAlignment="1" applyFont="1" applyNumberFormat="1">
      <alignment readingOrder="0" shrinkToFit="0" vertical="bottom" wrapText="1"/>
    </xf>
    <xf borderId="0" fillId="23" fontId="67" numFmtId="1" xfId="0" applyAlignment="1" applyFont="1" applyNumberFormat="1">
      <alignment readingOrder="0" shrinkToFit="0" vertical="bottom" wrapText="1"/>
    </xf>
    <xf borderId="0" fillId="22" fontId="21" numFmtId="3" xfId="0" applyAlignment="1" applyFont="1" applyNumberFormat="1">
      <alignment readingOrder="0"/>
    </xf>
    <xf borderId="0" fillId="0" fontId="67" numFmtId="0" xfId="0" applyAlignment="1" applyFont="1">
      <alignment horizontal="left" readingOrder="0" shrinkToFit="0" vertical="bottom" wrapText="1"/>
    </xf>
    <xf borderId="0" fillId="13" fontId="67" numFmtId="1" xfId="0" applyAlignment="1" applyFont="1" applyNumberFormat="1">
      <alignment horizontal="right" readingOrder="0" shrinkToFit="0" vertical="bottom" wrapText="0"/>
    </xf>
    <xf borderId="0" fillId="0" fontId="67" numFmtId="1" xfId="0" applyAlignment="1" applyFont="1" applyNumberFormat="1">
      <alignment horizontal="right" readingOrder="0" shrinkToFit="0" vertical="bottom" wrapText="0"/>
    </xf>
    <xf borderId="0" fillId="22" fontId="67" numFmtId="1" xfId="0" applyAlignment="1" applyFont="1" applyNumberFormat="1">
      <alignment horizontal="right" readingOrder="0" shrinkToFit="0" vertical="bottom" wrapText="0"/>
    </xf>
    <xf borderId="0" fillId="13" fontId="67" numFmtId="3" xfId="0" applyAlignment="1" applyFont="1" applyNumberFormat="1">
      <alignment horizontal="right" readingOrder="0" shrinkToFit="0" vertical="bottom" wrapText="0"/>
    </xf>
    <xf borderId="10" fillId="13" fontId="21" numFmtId="10" xfId="0" applyBorder="1" applyFont="1" applyNumberFormat="1"/>
    <xf borderId="0" fillId="24" fontId="67" numFmtId="10" xfId="0" applyAlignment="1" applyFont="1" applyNumberFormat="1">
      <alignment horizontal="right" readingOrder="0" shrinkToFit="0" vertical="bottom" wrapText="0"/>
    </xf>
    <xf borderId="0" fillId="0" fontId="67" numFmtId="0" xfId="0" applyAlignment="1" applyFont="1">
      <alignment shrinkToFit="0" vertical="bottom" wrapText="0"/>
    </xf>
    <xf borderId="0" fillId="13" fontId="67" numFmtId="1" xfId="0" applyAlignment="1" applyFont="1" applyNumberFormat="1">
      <alignment shrinkToFit="0" vertical="bottom" wrapText="0"/>
    </xf>
    <xf borderId="0" fillId="25" fontId="67" numFmtId="167" xfId="0" applyAlignment="1" applyFont="1" applyNumberFormat="1">
      <alignment shrinkToFit="0" vertical="bottom" wrapText="0"/>
    </xf>
    <xf borderId="0" fillId="19" fontId="67" numFmtId="0" xfId="0" applyAlignment="1" applyFont="1">
      <alignment readingOrder="0" shrinkToFit="0" vertical="bottom" wrapText="0"/>
    </xf>
    <xf borderId="0" fillId="20" fontId="67" numFmtId="1" xfId="0" applyAlignment="1" applyFont="1" applyNumberFormat="1">
      <alignment readingOrder="0" shrinkToFit="0" vertical="bottom" wrapText="0"/>
    </xf>
    <xf borderId="0" fillId="21" fontId="67" numFmtId="1" xfId="0" applyAlignment="1" applyFont="1" applyNumberFormat="1">
      <alignment readingOrder="0" shrinkToFit="0" vertical="bottom" wrapText="0"/>
    </xf>
    <xf borderId="0" fillId="19" fontId="67" numFmtId="1" xfId="0" applyAlignment="1" applyFont="1" applyNumberFormat="1">
      <alignment readingOrder="0" shrinkToFit="0" vertical="bottom" wrapText="0"/>
    </xf>
    <xf borderId="0" fillId="22" fontId="67" numFmtId="1" xfId="0" applyAlignment="1" applyFont="1" applyNumberFormat="1">
      <alignment readingOrder="0" shrinkToFit="0" vertical="bottom" wrapText="0"/>
    </xf>
    <xf borderId="0" fillId="0" fontId="67" numFmtId="10" xfId="0" applyAlignment="1" applyFont="1" applyNumberFormat="1">
      <alignment readingOrder="0" shrinkToFit="0" vertical="bottom" wrapText="0"/>
    </xf>
    <xf borderId="0" fillId="23" fontId="67" numFmtId="1" xfId="0" applyAlignment="1" applyFont="1" applyNumberFormat="1">
      <alignment readingOrder="0" shrinkToFit="0" vertical="bottom" wrapText="0"/>
    </xf>
    <xf borderId="0" fillId="22" fontId="67" numFmtId="3" xfId="0" applyAlignment="1" applyFont="1" applyNumberFormat="1">
      <alignment horizontal="right" readingOrder="0" shrinkToFit="0" vertical="bottom" wrapText="0"/>
    </xf>
    <xf borderId="0" fillId="22" fontId="50" numFmtId="3" xfId="0" applyFont="1" applyNumberFormat="1"/>
    <xf borderId="0" fillId="22" fontId="50" numFmtId="0" xfId="0" applyAlignment="1" applyFont="1">
      <alignment shrinkToFit="0" wrapText="1"/>
    </xf>
    <xf borderId="0" fillId="0" fontId="50" numFmtId="0" xfId="0" applyFont="1"/>
    <xf borderId="0" fillId="0" fontId="67" numFmtId="0" xfId="0" applyAlignment="1" applyFont="1">
      <alignment horizontal="left" readingOrder="0" shrinkToFit="0" vertical="bottom" wrapText="0"/>
    </xf>
    <xf borderId="0" fillId="0" fontId="67" numFmtId="3" xfId="0" applyAlignment="1" applyFont="1" applyNumberFormat="1">
      <alignment horizontal="right" readingOrder="0" shrinkToFit="0" vertical="bottom" wrapText="0"/>
    </xf>
    <xf borderId="0" fillId="13" fontId="67" numFmtId="10" xfId="0" applyAlignment="1" applyFont="1" applyNumberFormat="1">
      <alignment horizontal="right" readingOrder="0" shrinkToFit="0" vertical="bottom" wrapText="0"/>
    </xf>
    <xf borderId="0" fillId="22" fontId="67" numFmtId="0" xfId="0" applyAlignment="1" applyFont="1">
      <alignment horizontal="right" readingOrder="0" shrinkToFit="0" vertical="bottom" wrapText="1"/>
    </xf>
    <xf borderId="0" fillId="0" fontId="67" numFmtId="168" xfId="0" applyAlignment="1" applyFont="1" applyNumberFormat="1">
      <alignment horizontal="right" readingOrder="0" shrinkToFit="0" vertical="bottom" wrapText="0"/>
    </xf>
    <xf borderId="0" fillId="22" fontId="67" numFmtId="3" xfId="0" applyAlignment="1" applyFont="1" applyNumberFormat="1">
      <alignment readingOrder="0" shrinkToFit="0" vertical="bottom" wrapText="0"/>
    </xf>
    <xf borderId="0" fillId="22" fontId="67" numFmtId="10" xfId="0" applyAlignment="1" applyFont="1" applyNumberFormat="1">
      <alignment readingOrder="0" shrinkToFit="0" vertical="bottom" wrapText="1"/>
    </xf>
    <xf borderId="0" fillId="0" fontId="67" numFmtId="10" xfId="0" applyAlignment="1" applyFont="1" applyNumberFormat="1">
      <alignment horizontal="left" readingOrder="0" shrinkToFit="0" vertical="bottom" wrapText="0"/>
    </xf>
    <xf borderId="0" fillId="0" fontId="67" numFmtId="171" xfId="0" applyAlignment="1" applyFont="1" applyNumberFormat="1">
      <alignment horizontal="right" readingOrder="0" shrinkToFit="0" vertical="bottom" wrapText="0"/>
    </xf>
    <xf borderId="0" fillId="21" fontId="67" numFmtId="2" xfId="0" applyAlignment="1" applyFont="1" applyNumberFormat="1">
      <alignment readingOrder="0" shrinkToFit="0" vertical="bottom" wrapText="0"/>
    </xf>
    <xf borderId="0" fillId="0" fontId="67" numFmtId="3" xfId="0" applyAlignment="1" applyFont="1" applyNumberFormat="1">
      <alignment readingOrder="0" shrinkToFit="0" vertical="bottom" wrapText="0"/>
    </xf>
    <xf borderId="0" fillId="25" fontId="67" numFmtId="167" xfId="0" applyAlignment="1" applyFont="1" applyNumberFormat="1">
      <alignment horizontal="right" readingOrder="0" shrinkToFit="0" vertical="bottom" wrapText="0"/>
    </xf>
    <xf borderId="0" fillId="22" fontId="67" numFmtId="0" xfId="0" applyAlignment="1" applyFont="1">
      <alignment horizontal="right" readingOrder="0" shrinkToFit="0" vertical="bottom" wrapText="0"/>
    </xf>
    <xf borderId="0" fillId="19" fontId="67" numFmtId="2" xfId="0" applyAlignment="1" applyFont="1" applyNumberFormat="1">
      <alignment readingOrder="0" shrinkToFit="0" vertical="bottom" wrapText="0"/>
    </xf>
    <xf borderId="0" fillId="16" fontId="67" numFmtId="0" xfId="0" applyAlignment="1" applyFont="1">
      <alignment readingOrder="0" shrinkToFit="0" vertical="bottom" wrapText="0"/>
    </xf>
    <xf borderId="0" fillId="0" fontId="67" numFmtId="172" xfId="0" applyAlignment="1" applyFont="1" applyNumberFormat="1">
      <alignment horizontal="right" readingOrder="0" shrinkToFit="0" vertical="bottom" wrapText="0"/>
    </xf>
    <xf borderId="0" fillId="13" fontId="67" numFmtId="2" xfId="0" applyAlignment="1" applyFont="1" applyNumberFormat="1">
      <alignment readingOrder="0" shrinkToFit="0" vertical="bottom" wrapText="0"/>
    </xf>
    <xf borderId="0" fillId="13" fontId="67" numFmtId="0" xfId="0" applyAlignment="1" applyFont="1">
      <alignment horizontal="right" shrinkToFit="0" vertical="bottom" wrapText="0"/>
    </xf>
    <xf borderId="0" fillId="13" fontId="67" numFmtId="173" xfId="0" applyAlignment="1" applyFont="1" applyNumberFormat="1">
      <alignment readingOrder="0" shrinkToFit="0" vertical="bottom" wrapText="0"/>
    </xf>
    <xf borderId="0" fillId="25" fontId="67" numFmtId="167" xfId="0" applyAlignment="1" applyFont="1" applyNumberFormat="1">
      <alignment readingOrder="0" shrinkToFit="0" vertical="bottom" wrapText="0"/>
    </xf>
    <xf borderId="0" fillId="0" fontId="67" numFmtId="168" xfId="0" applyAlignment="1" applyFont="1" applyNumberFormat="1">
      <alignment readingOrder="0" shrinkToFit="0" vertical="bottom" wrapText="0"/>
    </xf>
    <xf borderId="0" fillId="0" fontId="67" numFmtId="169" xfId="0" applyAlignment="1" applyFont="1" applyNumberFormat="1">
      <alignment readingOrder="0" shrinkToFit="0" vertical="bottom" wrapText="0"/>
    </xf>
    <xf borderId="0" fillId="21" fontId="67" numFmtId="173" xfId="0" applyAlignment="1" applyFont="1" applyNumberFormat="1">
      <alignment readingOrder="0" shrinkToFit="0" vertical="bottom" wrapText="0"/>
    </xf>
    <xf borderId="0" fillId="13" fontId="67" numFmtId="1" xfId="0" applyAlignment="1" applyFont="1" applyNumberFormat="1">
      <alignment readingOrder="0" shrinkToFit="0" vertical="bottom" wrapText="0"/>
    </xf>
    <xf borderId="0" fillId="0" fontId="67" numFmtId="168" xfId="0" applyAlignment="1" applyFont="1" applyNumberFormat="1">
      <alignment horizontal="right" shrinkToFit="0" vertical="bottom" wrapText="0"/>
    </xf>
    <xf borderId="0" fillId="0" fontId="67" numFmtId="2" xfId="0" applyAlignment="1" applyFont="1" applyNumberFormat="1">
      <alignment readingOrder="0" shrinkToFit="0" vertical="bottom" wrapText="0"/>
    </xf>
    <xf borderId="7" fillId="14" fontId="71" numFmtId="0" xfId="0" applyAlignment="1" applyBorder="1" applyFont="1">
      <alignment horizontal="center" readingOrder="0" vertical="bottom"/>
    </xf>
    <xf borderId="0" fillId="14" fontId="83" numFmtId="0" xfId="0" applyAlignment="1" applyFont="1">
      <alignment readingOrder="0" vertical="bottom"/>
    </xf>
    <xf borderId="0" fillId="0" fontId="71" numFmtId="0" xfId="0" applyAlignment="1" applyFont="1">
      <alignment horizontal="center" readingOrder="0" vertical="bottom"/>
    </xf>
    <xf borderId="0" fillId="0" fontId="71" numFmtId="0" xfId="0" applyAlignment="1" applyFont="1">
      <alignment readingOrder="0" vertical="bottom"/>
    </xf>
    <xf borderId="0" fillId="0" fontId="84" numFmtId="0" xfId="0" applyAlignment="1" applyFont="1">
      <alignment horizontal="center" readingOrder="0" vertical="bottom"/>
    </xf>
    <xf borderId="10" fillId="0" fontId="71" numFmtId="0" xfId="0" applyAlignment="1" applyBorder="1" applyFont="1">
      <alignment readingOrder="0" vertical="bottom"/>
    </xf>
    <xf borderId="10" fillId="0" fontId="84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readingOrder="0" vertical="bottom"/>
    </xf>
    <xf borderId="10" fillId="0" fontId="84" numFmtId="1" xfId="0" applyAlignment="1" applyBorder="1" applyFont="1" applyNumberFormat="1">
      <alignment horizontal="center" readingOrder="0" vertical="bottom"/>
    </xf>
    <xf borderId="0" fillId="0" fontId="84" numFmtId="1" xfId="0" applyAlignment="1" applyFont="1" applyNumberFormat="1">
      <alignment horizontal="center" readingOrder="0" vertical="bottom"/>
    </xf>
    <xf borderId="10" fillId="9" fontId="7" numFmtId="0" xfId="0" applyAlignment="1" applyBorder="1" applyFont="1">
      <alignment readingOrder="0" vertical="bottom"/>
    </xf>
    <xf borderId="10" fillId="9" fontId="84" numFmtId="0" xfId="0" applyAlignment="1" applyBorder="1" applyFont="1">
      <alignment horizontal="center" readingOrder="0" shrinkToFit="0" vertical="bottom" wrapText="1"/>
    </xf>
    <xf borderId="10" fillId="9" fontId="71" numFmtId="0" xfId="0" applyAlignment="1" applyBorder="1" applyFont="1">
      <alignment horizontal="center" readingOrder="0" shrinkToFit="0" vertical="bottom" wrapText="1"/>
    </xf>
    <xf borderId="0" fillId="14" fontId="4" numFmtId="0" xfId="0" applyAlignment="1" applyFont="1">
      <alignment readingOrder="0" vertical="bottom"/>
    </xf>
    <xf borderId="10" fillId="9" fontId="84" numFmtId="1" xfId="0" applyAlignment="1" applyBorder="1" applyFont="1" applyNumberFormat="1">
      <alignment horizontal="center" readingOrder="0" shrinkToFit="0" vertical="bottom" wrapText="1"/>
    </xf>
    <xf borderId="0" fillId="0" fontId="71" numFmtId="0" xfId="0" applyAlignment="1" applyFont="1">
      <alignment horizontal="center" readingOrder="0" shrinkToFit="0" vertical="bottom" wrapText="1"/>
    </xf>
    <xf borderId="10" fillId="0" fontId="4" numFmtId="0" xfId="0" applyAlignment="1" applyBorder="1" applyFont="1">
      <alignment horizontal="right" readingOrder="0" vertical="bottom"/>
    </xf>
    <xf borderId="0" fillId="14" fontId="4" numFmtId="0" xfId="0" applyAlignment="1" applyFont="1">
      <alignment horizontal="right" readingOrder="0" vertical="bottom"/>
    </xf>
    <xf borderId="10" fillId="0" fontId="4" numFmtId="1" xfId="0" applyAlignment="1" applyBorder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1" xfId="0" applyAlignment="1" applyFont="1" applyNumberFormat="1">
      <alignment horizontal="right" readingOrder="0" vertical="bottom"/>
    </xf>
    <xf borderId="0" fillId="14" fontId="21" numFmtId="0" xfId="0" applyFont="1"/>
    <xf borderId="0" fillId="7" fontId="85" numFmtId="0" xfId="0" applyAlignment="1" applyFont="1">
      <alignment horizontal="center" readingOrder="0"/>
    </xf>
    <xf borderId="0" fillId="0" fontId="86" numFmtId="0" xfId="0" applyAlignment="1" applyFont="1">
      <alignment readingOrder="0"/>
    </xf>
    <xf borderId="10" fillId="11" fontId="50" numFmtId="0" xfId="0" applyAlignment="1" applyBorder="1" applyFont="1">
      <alignment horizontal="center" readingOrder="0"/>
    </xf>
    <xf borderId="10" fillId="11" fontId="50" numFmtId="0" xfId="0" applyAlignment="1" applyBorder="1" applyFont="1">
      <alignment horizontal="center" readingOrder="0" shrinkToFit="0" wrapText="0"/>
    </xf>
    <xf borderId="10" fillId="11" fontId="50" numFmtId="0" xfId="0" applyAlignment="1" applyBorder="1" applyFont="1">
      <alignment horizontal="center"/>
    </xf>
    <xf borderId="10" fillId="0" fontId="50" numFmtId="1" xfId="0" applyAlignment="1" applyBorder="1" applyFont="1" applyNumberFormat="1">
      <alignment horizontal="left" readingOrder="0"/>
    </xf>
    <xf borderId="10" fillId="0" fontId="50" numFmtId="1" xfId="0" applyAlignment="1" applyBorder="1" applyFont="1" applyNumberFormat="1">
      <alignment horizontal="center" shrinkToFit="0" wrapText="1"/>
    </xf>
    <xf borderId="10" fillId="0" fontId="50" numFmtId="0" xfId="0" applyAlignment="1" applyBorder="1" applyFont="1">
      <alignment shrinkToFit="0" wrapText="1"/>
    </xf>
    <xf borderId="10" fillId="0" fontId="50" numFmtId="1" xfId="0" applyBorder="1" applyFont="1" applyNumberFormat="1"/>
    <xf borderId="10" fillId="0" fontId="50" numFmtId="10" xfId="0" applyBorder="1" applyFont="1" applyNumberFormat="1"/>
    <xf borderId="10" fillId="0" fontId="50" numFmtId="0" xfId="0" applyAlignment="1" applyBorder="1" applyFont="1">
      <alignment readingOrder="0"/>
    </xf>
    <xf borderId="10" fillId="0" fontId="50" numFmtId="0" xfId="0" applyAlignment="1" applyBorder="1" applyFont="1">
      <alignment readingOrder="0"/>
    </xf>
    <xf borderId="10" fillId="0" fontId="50" numFmtId="0" xfId="0" applyAlignment="1" applyBorder="1" applyFont="1">
      <alignment horizontal="center" readingOrder="0" shrinkToFit="0" wrapText="1"/>
    </xf>
    <xf borderId="10" fillId="0" fontId="7" numFmtId="0" xfId="0" applyAlignment="1" applyBorder="1" applyFont="1">
      <alignment horizontal="center" shrinkToFit="0" vertical="bottom" wrapText="1"/>
    </xf>
    <xf borderId="10" fillId="0" fontId="71" numFmtId="0" xfId="0" applyAlignment="1" applyBorder="1" applyFont="1">
      <alignment horizontal="center" shrinkToFit="0" vertical="bottom" wrapText="1"/>
    </xf>
    <xf borderId="10" fillId="0" fontId="71" numFmtId="0" xfId="0" applyAlignment="1" applyBorder="1" applyFont="1">
      <alignment horizontal="center" readingOrder="0" shrinkToFit="0" vertical="bottom" wrapText="1"/>
    </xf>
    <xf borderId="10" fillId="0" fontId="87" numFmtId="0" xfId="0" applyAlignment="1" applyBorder="1" applyFont="1">
      <alignment horizontal="center" readingOrder="0" shrinkToFit="0" vertical="bottom" wrapText="1"/>
    </xf>
    <xf borderId="10" fillId="0" fontId="50" numFmtId="0" xfId="0" applyAlignment="1" applyBorder="1" applyFont="1">
      <alignment readingOrder="0" shrinkToFit="0" wrapText="1"/>
    </xf>
    <xf borderId="10" fillId="0" fontId="21" numFmtId="0" xfId="0" applyAlignment="1" applyBorder="1" applyFont="1">
      <alignment horizontal="center"/>
    </xf>
    <xf borderId="10" fillId="26" fontId="88" numFmtId="0" xfId="0" applyAlignment="1" applyBorder="1" applyFill="1" applyFont="1">
      <alignment horizontal="center" readingOrder="0" shrinkToFit="0" vertical="bottom" wrapText="0"/>
    </xf>
    <xf borderId="10" fillId="26" fontId="89" numFmtId="0" xfId="0" applyAlignment="1" applyBorder="1" applyFont="1">
      <alignment horizontal="center" readingOrder="0" shrinkToFit="0" vertical="bottom" wrapText="0"/>
    </xf>
    <xf borderId="10" fillId="26" fontId="89" numFmtId="0" xfId="0" applyAlignment="1" applyBorder="1" applyFont="1">
      <alignment horizontal="left" readingOrder="0" shrinkToFit="0" vertical="bottom" wrapText="0"/>
    </xf>
    <xf borderId="10" fillId="0" fontId="90" numFmtId="0" xfId="0" applyAlignment="1" applyBorder="1" applyFont="1">
      <alignment horizontal="center" readingOrder="0" shrinkToFit="0" vertical="bottom" wrapText="0"/>
    </xf>
    <xf borderId="10" fillId="27" fontId="90" numFmtId="0" xfId="0" applyAlignment="1" applyBorder="1" applyFill="1" applyFont="1">
      <alignment horizontal="center" readingOrder="0" shrinkToFit="0" vertical="bottom" wrapText="0"/>
    </xf>
    <xf borderId="10" fillId="27" fontId="91" numFmtId="0" xfId="0" applyAlignment="1" applyBorder="1" applyFont="1">
      <alignment horizontal="center" readingOrder="0" shrinkToFit="0" vertical="bottom" wrapText="0"/>
    </xf>
    <xf borderId="10" fillId="27" fontId="90" numFmtId="0" xfId="0" applyAlignment="1" applyBorder="1" applyFont="1">
      <alignment horizontal="left" readingOrder="0" shrinkToFit="0" vertical="bottom" wrapText="0"/>
    </xf>
    <xf borderId="10" fillId="0" fontId="50" numFmtId="0" xfId="0" applyAlignment="1" applyBorder="1" applyFont="1">
      <alignment horizontal="center"/>
    </xf>
    <xf borderId="10" fillId="0" fontId="50" numFmtId="0" xfId="0" applyAlignment="1" applyBorder="1" applyFont="1">
      <alignment horizontal="center" readingOrder="0"/>
    </xf>
    <xf borderId="10" fillId="2" fontId="91" numFmtId="0" xfId="0" applyAlignment="1" applyBorder="1" applyFont="1">
      <alignment horizontal="center" readingOrder="0" shrinkToFit="0" vertical="bottom" wrapText="0"/>
    </xf>
    <xf borderId="10" fillId="0" fontId="90" numFmtId="0" xfId="0" applyAlignment="1" applyBorder="1" applyFont="1">
      <alignment horizontal="left" readingOrder="0" shrinkToFit="0" vertical="bottom" wrapText="0"/>
    </xf>
    <xf borderId="10" fillId="2" fontId="92" numFmtId="0" xfId="0" applyAlignment="1" applyBorder="1" applyFont="1">
      <alignment horizontal="center" readingOrder="0" shrinkToFit="0" vertical="bottom" wrapText="0"/>
    </xf>
    <xf borderId="10" fillId="2" fontId="93" numFmtId="0" xfId="0" applyAlignment="1" applyBorder="1" applyFont="1">
      <alignment horizontal="center" readingOrder="0" shrinkToFit="0" vertical="bottom" wrapText="0"/>
    </xf>
    <xf borderId="10" fillId="27" fontId="93" numFmtId="0" xfId="0" applyAlignment="1" applyBorder="1" applyFont="1">
      <alignment horizontal="center" readingOrder="0" shrinkToFit="0" vertical="bottom" wrapText="0"/>
    </xf>
    <xf borderId="10" fillId="2" fontId="90" numFmtId="0" xfId="0" applyAlignment="1" applyBorder="1" applyFont="1">
      <alignment horizontal="center" readingOrder="0" shrinkToFit="0" vertical="bottom" wrapText="0"/>
    </xf>
    <xf borderId="10" fillId="2" fontId="90" numFmtId="0" xfId="0" applyAlignment="1" applyBorder="1" applyFont="1">
      <alignment horizontal="left" readingOrder="0" shrinkToFit="0" vertical="bottom" wrapText="0"/>
    </xf>
    <xf borderId="10" fillId="2" fontId="93" numFmtId="0" xfId="0" applyAlignment="1" applyBorder="1" applyFont="1">
      <alignment horizontal="left" readingOrder="0" shrinkToFit="0" vertical="bottom" wrapText="0"/>
    </xf>
    <xf borderId="10" fillId="27" fontId="93" numFmtId="0" xfId="0" applyAlignment="1" applyBorder="1" applyFont="1">
      <alignment horizontal="left" readingOrder="0" shrinkToFit="0" vertical="bottom" wrapText="0"/>
    </xf>
    <xf borderId="0" fillId="0" fontId="72" numFmtId="0" xfId="0" applyAlignment="1" applyFont="1">
      <alignment readingOrder="0" shrinkToFit="0" vertical="bottom" wrapText="1"/>
    </xf>
    <xf borderId="0" fillId="8" fontId="72" numFmtId="0" xfId="0" applyAlignment="1" applyFont="1">
      <alignment horizontal="center" readingOrder="0" shrinkToFit="0" vertical="bottom" wrapText="0"/>
    </xf>
    <xf borderId="0" fillId="13" fontId="67" numFmtId="9" xfId="0" applyAlignment="1" applyFont="1" applyNumberFormat="1">
      <alignment readingOrder="0" shrinkToFit="0" vertical="bottom" wrapText="0"/>
    </xf>
    <xf borderId="10" fillId="0" fontId="49" numFmtId="167" xfId="0" applyAlignment="1" applyBorder="1" applyFont="1" applyNumberFormat="1">
      <alignment horizontal="center"/>
    </xf>
    <xf borderId="0" fillId="0" fontId="26" numFmtId="0" xfId="0" applyFont="1"/>
    <xf borderId="0" fillId="0" fontId="94" numFmtId="0" xfId="0" applyFont="1"/>
    <xf borderId="0" fillId="0" fontId="26" numFmtId="0" xfId="0" applyAlignment="1" applyFont="1">
      <alignment horizontal="center"/>
    </xf>
    <xf borderId="0" fillId="0" fontId="95" numFmtId="0" xfId="0" applyAlignment="1" applyFont="1">
      <alignment readingOrder="0"/>
    </xf>
    <xf borderId="0" fillId="28" fontId="96" numFmtId="0" xfId="0" applyAlignment="1" applyFill="1" applyFont="1">
      <alignment horizontal="center" readingOrder="0"/>
    </xf>
    <xf borderId="0" fillId="0" fontId="49" numFmtId="0" xfId="0" applyFont="1"/>
    <xf borderId="10" fillId="0" fontId="94" numFmtId="0" xfId="0" applyBorder="1" applyFont="1"/>
    <xf borderId="7" fillId="0" fontId="94" numFmtId="0" xfId="0" applyBorder="1" applyFont="1"/>
    <xf borderId="15" fillId="0" fontId="97" numFmtId="0" xfId="0" applyAlignment="1" applyBorder="1" applyFont="1">
      <alignment horizontal="center"/>
    </xf>
    <xf borderId="16" fillId="0" fontId="97" numFmtId="0" xfId="0" applyAlignment="1" applyBorder="1" applyFont="1">
      <alignment horizontal="center"/>
    </xf>
    <xf borderId="17" fillId="0" fontId="97" numFmtId="0" xfId="0" applyAlignment="1" applyBorder="1" applyFont="1">
      <alignment horizontal="center"/>
    </xf>
    <xf borderId="17" fillId="0" fontId="97" numFmtId="1" xfId="0" applyAlignment="1" applyBorder="1" applyFont="1" applyNumberFormat="1">
      <alignment horizontal="center"/>
    </xf>
    <xf borderId="15" fillId="0" fontId="97" numFmtId="10" xfId="0" applyAlignment="1" applyBorder="1" applyFont="1" applyNumberFormat="1">
      <alignment horizontal="center"/>
    </xf>
    <xf borderId="16" fillId="0" fontId="97" numFmtId="10" xfId="0" applyAlignment="1" applyBorder="1" applyFont="1" applyNumberFormat="1">
      <alignment horizontal="center"/>
    </xf>
    <xf borderId="17" fillId="0" fontId="97" numFmtId="10" xfId="0" applyAlignment="1" applyBorder="1" applyFont="1" applyNumberFormat="1">
      <alignment horizontal="center"/>
    </xf>
    <xf borderId="18" fillId="0" fontId="97" numFmtId="10" xfId="0" applyAlignment="1" applyBorder="1" applyFont="1" applyNumberFormat="1">
      <alignment horizontal="center"/>
    </xf>
    <xf borderId="19" fillId="0" fontId="97" numFmtId="10" xfId="0" applyAlignment="1" applyBorder="1" applyFont="1" applyNumberFormat="1">
      <alignment horizontal="center"/>
    </xf>
    <xf borderId="20" fillId="0" fontId="97" numFmtId="10" xfId="0" applyAlignment="1" applyBorder="1" applyFont="1" applyNumberFormat="1">
      <alignment horizontal="center"/>
    </xf>
    <xf borderId="18" fillId="0" fontId="97" numFmtId="0" xfId="0" applyAlignment="1" applyBorder="1" applyFont="1">
      <alignment horizontal="center"/>
    </xf>
    <xf borderId="19" fillId="0" fontId="97" numFmtId="0" xfId="0" applyAlignment="1" applyBorder="1" applyFont="1">
      <alignment horizontal="center"/>
    </xf>
    <xf borderId="20" fillId="0" fontId="97" numFmtId="0" xfId="0" applyAlignment="1" applyBorder="1" applyFont="1">
      <alignment horizontal="center"/>
    </xf>
    <xf borderId="0" fillId="0" fontId="97" numFmtId="0" xfId="0" applyFont="1"/>
    <xf borderId="21" fillId="0" fontId="94" numFmtId="0" xfId="0" applyAlignment="1" applyBorder="1" applyFont="1">
      <alignment horizontal="center"/>
    </xf>
    <xf borderId="22" fillId="0" fontId="3" numFmtId="0" xfId="0" applyBorder="1" applyFont="1"/>
    <xf borderId="21" fillId="0" fontId="97" numFmtId="0" xfId="0" applyAlignment="1" applyBorder="1" applyFont="1">
      <alignment horizontal="center"/>
    </xf>
    <xf borderId="10" fillId="17" fontId="94" numFmtId="0" xfId="0" applyBorder="1" applyFont="1"/>
    <xf borderId="7" fillId="17" fontId="94" numFmtId="0" xfId="0" applyBorder="1" applyFont="1"/>
    <xf borderId="23" fillId="17" fontId="94" numFmtId="0" xfId="0" applyAlignment="1" applyBorder="1" applyFont="1">
      <alignment horizontal="center"/>
    </xf>
    <xf borderId="10" fillId="17" fontId="94" numFmtId="0" xfId="0" applyAlignment="1" applyBorder="1" applyFont="1">
      <alignment horizontal="center"/>
    </xf>
    <xf borderId="24" fillId="17" fontId="94" numFmtId="0" xfId="0" applyAlignment="1" applyBorder="1" applyFont="1">
      <alignment horizontal="center"/>
    </xf>
    <xf borderId="23" fillId="17" fontId="97" numFmtId="0" xfId="0" applyAlignment="1" applyBorder="1" applyFont="1">
      <alignment horizontal="center"/>
    </xf>
    <xf borderId="10" fillId="17" fontId="97" numFmtId="0" xfId="0" applyAlignment="1" applyBorder="1" applyFont="1">
      <alignment horizontal="center"/>
    </xf>
    <xf borderId="24" fillId="17" fontId="97" numFmtId="1" xfId="0" applyAlignment="1" applyBorder="1" applyFont="1" applyNumberFormat="1">
      <alignment horizontal="center"/>
    </xf>
    <xf borderId="24" fillId="17" fontId="97" numFmtId="0" xfId="0" applyAlignment="1" applyBorder="1" applyFont="1">
      <alignment horizontal="center"/>
    </xf>
    <xf borderId="10" fillId="0" fontId="26" numFmtId="0" xfId="0" applyBorder="1" applyFont="1"/>
    <xf borderId="23" fillId="0" fontId="26" numFmtId="0" xfId="0" applyAlignment="1" applyBorder="1" applyFont="1">
      <alignment horizontal="center"/>
    </xf>
    <xf borderId="10" fillId="0" fontId="26" numFmtId="0" xfId="0" applyAlignment="1" applyBorder="1" applyFont="1">
      <alignment horizontal="center"/>
    </xf>
    <xf borderId="24" fillId="0" fontId="26" numFmtId="0" xfId="0" applyAlignment="1" applyBorder="1" applyFont="1">
      <alignment horizontal="center"/>
    </xf>
    <xf borderId="23" fillId="0" fontId="49" numFmtId="0" xfId="0" applyAlignment="1" applyBorder="1" applyFont="1">
      <alignment horizontal="center"/>
    </xf>
    <xf borderId="24" fillId="0" fontId="49" numFmtId="1" xfId="0" applyAlignment="1" applyBorder="1" applyFont="1" applyNumberFormat="1">
      <alignment horizontal="center"/>
    </xf>
    <xf borderId="24" fillId="0" fontId="49" numFmtId="0" xfId="0" applyAlignment="1" applyBorder="1" applyFont="1">
      <alignment horizontal="center"/>
    </xf>
    <xf borderId="23" fillId="0" fontId="49" numFmtId="10" xfId="0" applyAlignment="1" applyBorder="1" applyFont="1" applyNumberFormat="1">
      <alignment horizontal="center"/>
    </xf>
    <xf borderId="10" fillId="0" fontId="49" numFmtId="10" xfId="0" applyAlignment="1" applyBorder="1" applyFont="1" applyNumberFormat="1">
      <alignment horizontal="center"/>
    </xf>
    <xf borderId="24" fillId="0" fontId="49" numFmtId="10" xfId="0" applyAlignment="1" applyBorder="1" applyFont="1" applyNumberFormat="1">
      <alignment horizontal="center"/>
    </xf>
    <xf borderId="25" fillId="0" fontId="26" numFmtId="0" xfId="0" applyAlignment="1" applyBorder="1" applyFont="1">
      <alignment horizontal="center"/>
    </xf>
    <xf borderId="26" fillId="0" fontId="26" numFmtId="0" xfId="0" applyAlignment="1" applyBorder="1" applyFont="1">
      <alignment horizontal="center"/>
    </xf>
    <xf borderId="27" fillId="0" fontId="26" numFmtId="0" xfId="0" applyAlignment="1" applyBorder="1" applyFont="1">
      <alignment horizontal="center"/>
    </xf>
    <xf borderId="25" fillId="0" fontId="49" numFmtId="0" xfId="0" applyAlignment="1" applyBorder="1" applyFont="1">
      <alignment horizontal="center"/>
    </xf>
    <xf borderId="26" fillId="0" fontId="49" numFmtId="0" xfId="0" applyAlignment="1" applyBorder="1" applyFont="1">
      <alignment horizontal="center"/>
    </xf>
    <xf borderId="27" fillId="0" fontId="49" numFmtId="1" xfId="0" applyAlignment="1" applyBorder="1" applyFont="1" applyNumberFormat="1">
      <alignment horizontal="center"/>
    </xf>
    <xf borderId="27" fillId="0" fontId="49" numFmtId="0" xfId="0" applyAlignment="1" applyBorder="1" applyFont="1">
      <alignment horizontal="center"/>
    </xf>
    <xf borderId="25" fillId="0" fontId="49" numFmtId="10" xfId="0" applyAlignment="1" applyBorder="1" applyFont="1" applyNumberFormat="1">
      <alignment horizontal="center"/>
    </xf>
    <xf borderId="26" fillId="0" fontId="49" numFmtId="10" xfId="0" applyAlignment="1" applyBorder="1" applyFont="1" applyNumberFormat="1">
      <alignment horizontal="center"/>
    </xf>
    <xf borderId="27" fillId="0" fontId="49" numFmtId="10" xfId="0" applyAlignment="1" applyBorder="1" applyFont="1" applyNumberFormat="1">
      <alignment horizontal="center"/>
    </xf>
    <xf borderId="0" fillId="0" fontId="49" numFmtId="1" xfId="0" applyAlignment="1" applyFont="1" applyNumberFormat="1">
      <alignment horizontal="center"/>
    </xf>
    <xf borderId="0" fillId="0" fontId="50" numFmtId="0" xfId="0" applyAlignment="1" applyFont="1">
      <alignment horizontal="center" readingOrder="0" vertical="center"/>
    </xf>
    <xf borderId="11" fillId="0" fontId="50" numFmtId="0" xfId="0" applyAlignment="1" applyBorder="1" applyFont="1">
      <alignment horizontal="center" readingOrder="0" vertical="center"/>
    </xf>
    <xf borderId="7" fillId="3" fontId="71" numFmtId="0" xfId="0" applyAlignment="1" applyBorder="1" applyFont="1">
      <alignment horizontal="center" vertical="bottom"/>
    </xf>
    <xf borderId="7" fillId="9" fontId="71" numFmtId="0" xfId="0" applyAlignment="1" applyBorder="1" applyFont="1">
      <alignment horizontal="center" vertical="bottom"/>
    </xf>
    <xf borderId="10" fillId="0" fontId="50" numFmtId="0" xfId="0" applyBorder="1" applyFont="1"/>
    <xf borderId="10" fillId="0" fontId="97" numFmtId="0" xfId="0" applyAlignment="1" applyBorder="1" applyFont="1">
      <alignment horizontal="center" readingOrder="0"/>
    </xf>
    <xf borderId="0" fillId="29" fontId="71" numFmtId="0" xfId="0" applyAlignment="1" applyFill="1" applyFont="1">
      <alignment horizontal="center" vertical="bottom"/>
    </xf>
    <xf borderId="0" fillId="10" fontId="71" numFmtId="0" xfId="0" applyAlignment="1" applyFont="1">
      <alignment horizontal="center" vertical="bottom"/>
    </xf>
    <xf borderId="0" fillId="29" fontId="71" numFmtId="0" xfId="0" applyAlignment="1" applyFont="1">
      <alignment horizontal="center" vertical="bottom"/>
    </xf>
    <xf borderId="0" fillId="29" fontId="71" numFmtId="0" xfId="0" applyAlignment="1" applyFont="1">
      <alignment vertical="bottom"/>
    </xf>
    <xf borderId="0" fillId="10" fontId="71" numFmtId="0" xfId="0" applyAlignment="1" applyFont="1">
      <alignment vertical="bottom"/>
    </xf>
    <xf borderId="0" fillId="0" fontId="71" numFmtId="0" xfId="0" applyAlignment="1" applyFont="1">
      <alignment vertical="bottom"/>
    </xf>
    <xf borderId="0" fillId="29" fontId="71" numFmtId="0" xfId="0" applyAlignment="1" applyFont="1">
      <alignment vertical="bottom"/>
    </xf>
    <xf borderId="0" fillId="10" fontId="7" numFmtId="0" xfId="0" applyAlignment="1" applyFont="1">
      <alignment horizontal="center" readingOrder="0" shrinkToFit="0" vertical="bottom" wrapText="1"/>
    </xf>
    <xf borderId="10" fillId="10" fontId="7" numFmtId="0" xfId="0" applyAlignment="1" applyBorder="1" applyFont="1">
      <alignment horizontal="center" readingOrder="0" shrinkToFit="0" vertical="bottom" wrapText="1"/>
    </xf>
    <xf borderId="10" fillId="10" fontId="72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readingOrder="0" vertical="bottom"/>
    </xf>
    <xf borderId="10" fillId="0" fontId="75" numFmtId="3" xfId="0" applyAlignment="1" applyBorder="1" applyFont="1" applyNumberFormat="1">
      <alignment horizontal="center" readingOrder="0"/>
    </xf>
    <xf borderId="0" fillId="9" fontId="98" numFmtId="0" xfId="0" applyAlignment="1" applyFont="1">
      <alignment horizontal="center" readingOrder="0"/>
    </xf>
    <xf borderId="0" fillId="9" fontId="99" numFmtId="0" xfId="0" applyAlignment="1" applyFont="1">
      <alignment horizontal="center" readingOrder="0"/>
    </xf>
    <xf borderId="0" fillId="0" fontId="98" numFmtId="0" xfId="0" applyAlignment="1" applyFont="1">
      <alignment horizontal="center" readingOrder="0"/>
    </xf>
    <xf borderId="0" fillId="2" fontId="72" numFmtId="0" xfId="0" applyAlignment="1" applyFont="1">
      <alignment readingOrder="0" vertical="bottom"/>
    </xf>
    <xf borderId="0" fillId="2" fontId="72" numFmtId="1" xfId="0" applyAlignment="1" applyFont="1" applyNumberFormat="1">
      <alignment vertical="bottom"/>
    </xf>
    <xf borderId="0" fillId="2" fontId="72" numFmtId="1" xfId="0" applyAlignment="1" applyFont="1" applyNumberFormat="1">
      <alignment readingOrder="0" vertical="bottom"/>
    </xf>
    <xf borderId="0" fillId="2" fontId="72" numFmtId="0" xfId="0" applyAlignment="1" applyFont="1">
      <alignment horizontal="center" readingOrder="0" vertical="bottom"/>
    </xf>
    <xf borderId="0" fillId="2" fontId="72" numFmtId="4" xfId="0" applyAlignment="1" applyFont="1" applyNumberFormat="1">
      <alignment horizontal="center" vertical="bottom"/>
    </xf>
    <xf borderId="0" fillId="2" fontId="72" numFmtId="1" xfId="0" applyAlignment="1" applyFont="1" applyNumberFormat="1">
      <alignment horizontal="center" readingOrder="0" vertical="bottom"/>
    </xf>
    <xf borderId="0" fillId="2" fontId="72" numFmtId="1" xfId="0" applyAlignment="1" applyFont="1" applyNumberFormat="1">
      <alignment horizontal="center" vertical="bottom"/>
    </xf>
    <xf borderId="0" fillId="0" fontId="100" numFmtId="0" xfId="0" applyAlignment="1" applyFont="1">
      <alignment horizontal="center" readingOrder="0" vertical="bottom"/>
    </xf>
    <xf borderId="10" fillId="2" fontId="72" numFmtId="0" xfId="0" applyAlignment="1" applyBorder="1" applyFont="1">
      <alignment readingOrder="0" shrinkToFit="0" vertical="bottom" wrapText="1"/>
    </xf>
    <xf borderId="10" fillId="2" fontId="72" numFmtId="0" xfId="0" applyAlignment="1" applyBorder="1" applyFont="1">
      <alignment horizontal="center" readingOrder="0" vertical="bottom"/>
    </xf>
    <xf borderId="10" fillId="2" fontId="72" numFmtId="1" xfId="0" applyAlignment="1" applyBorder="1" applyFont="1" applyNumberFormat="1">
      <alignment horizontal="center" readingOrder="0" vertical="bottom"/>
    </xf>
    <xf borderId="10" fillId="2" fontId="100" numFmtId="10" xfId="0" applyAlignment="1" applyBorder="1" applyFont="1" applyNumberFormat="1">
      <alignment horizontal="center"/>
    </xf>
    <xf borderId="10" fillId="2" fontId="21" numFmtId="1" xfId="0" applyAlignment="1" applyBorder="1" applyFont="1" applyNumberFormat="1">
      <alignment horizontal="center"/>
    </xf>
    <xf borderId="0" fillId="0" fontId="21" numFmtId="0" xfId="0" applyAlignment="1" applyFont="1">
      <alignment horizontal="center"/>
    </xf>
    <xf borderId="0" fillId="0" fontId="21" numFmtId="3" xfId="0" applyAlignment="1" applyFont="1" applyNumberFormat="1">
      <alignment horizontal="center"/>
    </xf>
    <xf borderId="10" fillId="2" fontId="72" numFmtId="1" xfId="0" applyAlignment="1" applyBorder="1" applyFont="1" applyNumberFormat="1">
      <alignment horizontal="center" readingOrder="0" shrinkToFit="0" vertical="bottom" wrapText="1"/>
    </xf>
    <xf borderId="7" fillId="12" fontId="72" numFmtId="0" xfId="0" applyAlignment="1" applyBorder="1" applyFont="1">
      <alignment horizontal="center" readingOrder="0" shrinkToFit="0" vertical="bottom" wrapText="1"/>
    </xf>
    <xf borderId="11" fillId="12" fontId="72" numFmtId="0" xfId="0" applyAlignment="1" applyBorder="1" applyFont="1">
      <alignment horizontal="center" readingOrder="0" shrinkToFit="0" vertical="center" wrapText="1"/>
    </xf>
    <xf borderId="11" fillId="12" fontId="89" numFmtId="0" xfId="0" applyAlignment="1" applyBorder="1" applyFont="1">
      <alignment horizontal="center" readingOrder="0" shrinkToFit="0" vertical="center" wrapText="1"/>
    </xf>
    <xf borderId="10" fillId="2" fontId="21" numFmtId="4" xfId="0" applyAlignment="1" applyBorder="1" applyFont="1" applyNumberFormat="1">
      <alignment horizontal="center"/>
    </xf>
    <xf borderId="0" fillId="0" fontId="21" numFmtId="1" xfId="0" applyAlignment="1" applyFont="1" applyNumberFormat="1">
      <alignment horizontal="center"/>
    </xf>
    <xf borderId="10" fillId="2" fontId="72" numFmtId="0" xfId="0" applyAlignment="1" applyBorder="1" applyFont="1">
      <alignment horizontal="center" readingOrder="0" shrinkToFit="0" vertical="bottom" wrapText="1"/>
    </xf>
    <xf borderId="10" fillId="5" fontId="72" numFmtId="0" xfId="0" applyAlignment="1" applyBorder="1" applyFont="1">
      <alignment horizontal="center" readingOrder="0" shrinkToFit="0" vertical="bottom" wrapText="1"/>
    </xf>
    <xf borderId="10" fillId="6" fontId="72" numFmtId="1" xfId="0" applyAlignment="1" applyBorder="1" applyFont="1" applyNumberFormat="1">
      <alignment horizontal="center" readingOrder="0" shrinkToFit="0" vertical="bottom" wrapText="1"/>
    </xf>
    <xf borderId="0" fillId="2" fontId="72" numFmtId="4" xfId="0" applyAlignment="1" applyFont="1" applyNumberFormat="1">
      <alignment horizontal="center" readingOrder="0" shrinkToFit="0" vertical="bottom" wrapText="1"/>
    </xf>
    <xf borderId="0" fillId="0" fontId="100" numFmtId="0" xfId="0" applyAlignment="1" applyFont="1">
      <alignment horizontal="center" readingOrder="0" shrinkToFit="0" vertical="bottom" wrapText="1"/>
    </xf>
    <xf borderId="10" fillId="2" fontId="21" numFmtId="0" xfId="0" applyAlignment="1" applyBorder="1" applyFont="1">
      <alignment horizontal="center"/>
    </xf>
    <xf borderId="10" fillId="2" fontId="21" numFmtId="10" xfId="0" applyAlignment="1" applyBorder="1" applyFont="1" applyNumberFormat="1">
      <alignment horizontal="center"/>
    </xf>
    <xf borderId="10" fillId="2" fontId="21" numFmtId="0" xfId="0" applyAlignment="1" applyBorder="1" applyFont="1">
      <alignment horizontal="center"/>
    </xf>
    <xf borderId="0" fillId="2" fontId="21" numFmtId="4" xfId="0" applyAlignment="1" applyFont="1" applyNumberFormat="1">
      <alignment horizontal="center"/>
    </xf>
    <xf borderId="0" fillId="30" fontId="21" numFmtId="3" xfId="0" applyAlignment="1" applyFill="1" applyFont="1" applyNumberFormat="1">
      <alignment horizontal="center"/>
    </xf>
    <xf borderId="0" fillId="30" fontId="21" numFmtId="4" xfId="0" applyAlignment="1" applyFont="1" applyNumberFormat="1">
      <alignment horizontal="center"/>
    </xf>
    <xf borderId="0" fillId="2" fontId="21" numFmtId="0" xfId="0" applyFont="1"/>
    <xf borderId="0" fillId="2" fontId="21" numFmtId="1" xfId="0" applyFont="1" applyNumberFormat="1"/>
    <xf borderId="0" fillId="2" fontId="21" numFmtId="0" xfId="0" applyAlignment="1" applyFont="1">
      <alignment readingOrder="0"/>
    </xf>
    <xf borderId="0" fillId="0" fontId="21" numFmtId="174" xfId="0" applyAlignment="1" applyFont="1" applyNumberFormat="1">
      <alignment readingOrder="0"/>
    </xf>
    <xf borderId="0" fillId="0" fontId="21" numFmtId="175" xfId="0" applyAlignment="1" applyFont="1" applyNumberFormat="1">
      <alignment readingOrder="0"/>
    </xf>
    <xf borderId="0" fillId="13" fontId="21" numFmtId="0" xfId="0" applyAlignment="1" applyFont="1">
      <alignment readingOrder="0"/>
    </xf>
    <xf borderId="0" fillId="0" fontId="67" numFmtId="0" xfId="0" applyAlignment="1" applyFont="1">
      <alignment shrinkToFit="0" vertical="bottom" wrapText="0"/>
    </xf>
    <xf borderId="10" fillId="0" fontId="97" numFmtId="0" xfId="0" applyAlignment="1" applyBorder="1" applyFont="1">
      <alignment readingOrder="0"/>
    </xf>
    <xf borderId="0" fillId="13" fontId="49" numFmtId="0" xfId="0" applyFont="1"/>
    <xf borderId="10" fillId="0" fontId="49" numFmtId="0" xfId="0" applyAlignment="1" applyBorder="1" applyFont="1">
      <alignment horizontal="center" readingOrder="0"/>
    </xf>
    <xf borderId="0" fillId="0" fontId="49" numFmtId="0" xfId="0" applyAlignment="1" applyFont="1">
      <alignment horizontal="left" readingOrder="0" shrinkToFit="0" vertical="center" wrapText="0"/>
    </xf>
    <xf borderId="0" fillId="0" fontId="97" numFmtId="0" xfId="0" applyAlignment="1" applyFont="1">
      <alignment readingOrder="0" shrinkToFit="0" wrapText="1"/>
    </xf>
    <xf borderId="10" fillId="0" fontId="97" numFmtId="0" xfId="0" applyAlignment="1" applyBorder="1" applyFont="1">
      <alignment readingOrder="0" shrinkToFit="0" wrapText="1"/>
    </xf>
    <xf borderId="10" fillId="0" fontId="97" numFmtId="0" xfId="0" applyAlignment="1" applyBorder="1" applyFont="1">
      <alignment horizontal="center" readingOrder="0" shrinkToFit="0" wrapText="1"/>
    </xf>
    <xf borderId="0" fillId="13" fontId="97" numFmtId="0" xfId="0" applyAlignment="1" applyFont="1">
      <alignment readingOrder="0" shrinkToFit="0" wrapText="1"/>
    </xf>
    <xf borderId="0" fillId="0" fontId="97" numFmtId="0" xfId="0" applyAlignment="1" applyFont="1">
      <alignment horizontal="center" readingOrder="0" shrinkToFit="0" wrapText="1"/>
    </xf>
    <xf borderId="10" fillId="13" fontId="97" numFmtId="0" xfId="0" applyAlignment="1" applyBorder="1" applyFont="1">
      <alignment readingOrder="0" shrinkToFit="0" wrapText="1"/>
    </xf>
    <xf borderId="10" fillId="0" fontId="49" numFmtId="0" xfId="0" applyAlignment="1" applyBorder="1" applyFont="1">
      <alignment readingOrder="0"/>
    </xf>
    <xf borderId="10" fillId="0" fontId="49" numFmtId="0" xfId="0" applyAlignment="1" applyBorder="1" applyFont="1">
      <alignment readingOrder="0" shrinkToFit="0" wrapText="1"/>
    </xf>
    <xf borderId="10" fillId="13" fontId="49" numFmtId="0" xfId="0" applyAlignment="1" applyBorder="1" applyFont="1">
      <alignment readingOrder="0"/>
    </xf>
    <xf borderId="10" fillId="0" fontId="49" numFmtId="1" xfId="0" applyAlignment="1" applyBorder="1" applyFont="1" applyNumberFormat="1">
      <alignment horizontal="center" readingOrder="0"/>
    </xf>
    <xf borderId="0" fillId="0" fontId="49" numFmtId="0" xfId="0" applyAlignment="1" applyFont="1">
      <alignment readingOrder="0"/>
    </xf>
    <xf borderId="10" fillId="9" fontId="49" numFmtId="0" xfId="0" applyAlignment="1" applyBorder="1" applyFont="1">
      <alignment readingOrder="0"/>
    </xf>
    <xf borderId="10" fillId="9" fontId="49" numFmtId="0" xfId="0" applyAlignment="1" applyBorder="1" applyFont="1">
      <alignment horizontal="center"/>
    </xf>
    <xf borderId="10" fillId="9" fontId="49" numFmtId="0" xfId="0" applyAlignment="1" applyBorder="1" applyFont="1">
      <alignment shrinkToFit="0" wrapText="1"/>
    </xf>
    <xf borderId="10" fillId="13" fontId="49" numFmtId="0" xfId="0" applyBorder="1" applyFont="1"/>
    <xf borderId="10" fillId="0" fontId="49" numFmtId="1" xfId="0" applyAlignment="1" applyBorder="1" applyFont="1" applyNumberFormat="1">
      <alignment horizontal="center"/>
    </xf>
    <xf borderId="0" fillId="0" fontId="49" numFmtId="0" xfId="0" applyAlignment="1" applyFont="1">
      <alignment shrinkToFit="0" wrapText="1"/>
    </xf>
    <xf borderId="0" fillId="0" fontId="101" numFmtId="0" xfId="0" applyAlignment="1" applyFont="1">
      <alignment horizontal="center" readingOrder="0" shrinkToFit="0" vertical="bottom" wrapText="0"/>
    </xf>
    <xf borderId="0" fillId="0" fontId="101" numFmtId="0" xfId="0" applyAlignment="1" applyFont="1">
      <alignment horizontal="center" readingOrder="0" vertical="bottom"/>
    </xf>
    <xf borderId="0" fillId="0" fontId="101" numFmtId="0" xfId="0" applyAlignment="1" applyFont="1">
      <alignment readingOrder="0" vertical="bottom"/>
    </xf>
    <xf borderId="28" fillId="31" fontId="101" numFmtId="0" xfId="0" applyAlignment="1" applyBorder="1" applyFill="1" applyFont="1">
      <alignment horizontal="center" readingOrder="0" shrinkToFit="0" vertical="bottom" wrapText="0"/>
    </xf>
    <xf borderId="10" fillId="9" fontId="101" numFmtId="0" xfId="0" applyAlignment="1" applyBorder="1" applyFont="1">
      <alignment horizontal="center" readingOrder="0" vertical="bottom"/>
    </xf>
    <xf borderId="9" fillId="9" fontId="101" numFmtId="0" xfId="0" applyAlignment="1" applyBorder="1" applyFont="1">
      <alignment horizontal="center" readingOrder="0" vertical="bottom"/>
    </xf>
    <xf borderId="9" fillId="9" fontId="101" numFmtId="0" xfId="0" applyAlignment="1" applyBorder="1" applyFont="1">
      <alignment readingOrder="0" vertical="bottom"/>
    </xf>
    <xf borderId="0" fillId="13" fontId="47" numFmtId="0" xfId="0" applyAlignment="1" applyFont="1">
      <alignment readingOrder="0" shrinkToFit="0" vertical="bottom" wrapText="0"/>
    </xf>
    <xf borderId="0" fillId="13" fontId="47" numFmtId="0" xfId="0" applyAlignment="1" applyFont="1">
      <alignment horizontal="center" shrinkToFit="0" vertical="bottom" wrapText="0"/>
    </xf>
    <xf borderId="0" fillId="13" fontId="47" numFmtId="0" xfId="0" applyAlignment="1" applyFont="1">
      <alignment readingOrder="0" shrinkToFit="0" vertical="bottom" wrapText="1"/>
    </xf>
    <xf borderId="0" fillId="13" fontId="49" numFmtId="0" xfId="0" applyAlignment="1" applyFont="1">
      <alignment readingOrder="0"/>
    </xf>
    <xf borderId="0" fillId="0" fontId="49" numFmtId="0" xfId="0" applyAlignment="1" applyFont="1">
      <alignment horizontal="center" readingOrder="0"/>
    </xf>
    <xf borderId="0" fillId="0" fontId="47" numFmtId="0" xfId="0" applyAlignment="1" applyFont="1">
      <alignment horizontal="center" readingOrder="0" shrinkToFit="0" vertical="bottom" wrapText="0"/>
    </xf>
    <xf borderId="0" fillId="0" fontId="47" numFmtId="0" xfId="0" applyAlignment="1" applyFont="1">
      <alignment horizontal="right" readingOrder="0" shrinkToFit="0" vertical="bottom" wrapText="0"/>
    </xf>
    <xf borderId="0" fillId="13" fontId="47" numFmtId="0" xfId="0" applyAlignment="1" applyFont="1">
      <alignment horizontal="right" readingOrder="0" shrinkToFit="0" vertical="bottom" wrapText="1"/>
    </xf>
    <xf borderId="0" fillId="0" fontId="50" numFmtId="0" xfId="0" applyAlignment="1" applyFont="1">
      <alignment readingOrder="0" shrinkToFit="0" wrapText="1"/>
    </xf>
    <xf borderId="0" fillId="0" fontId="50" numFmtId="1" xfId="0" applyAlignment="1" applyFont="1" applyNumberFormat="1">
      <alignment readingOrder="0"/>
    </xf>
    <xf borderId="0" fillId="0" fontId="102" numFmtId="0" xfId="0" applyAlignment="1" applyFont="1">
      <alignment horizontal="left"/>
    </xf>
    <xf borderId="10" fillId="0" fontId="21" numFmtId="0" xfId="0" applyAlignment="1" applyBorder="1" applyFont="1">
      <alignment readingOrder="0" shrinkToFit="0" wrapText="1"/>
    </xf>
    <xf borderId="10" fillId="0" fontId="21" numFmtId="1" xfId="0" applyAlignment="1" applyBorder="1" applyFont="1" applyNumberFormat="1">
      <alignment readingOrder="0"/>
    </xf>
    <xf borderId="10" fillId="0" fontId="103" numFmtId="0" xfId="0" applyAlignment="1" applyBorder="1" applyFont="1">
      <alignment horizontal="left"/>
    </xf>
    <xf borderId="0" fillId="0" fontId="21" numFmtId="167" xfId="0" applyAlignment="1" applyFont="1" applyNumberFormat="1">
      <alignment readingOrder="0"/>
    </xf>
    <xf borderId="0" fillId="0" fontId="21" numFmtId="1" xfId="0" applyAlignment="1" applyFont="1" applyNumberFormat="1">
      <alignment readingOrder="0"/>
    </xf>
    <xf borderId="0" fillId="13" fontId="21" numFmtId="10" xfId="0" applyAlignment="1" applyFont="1" applyNumberFormat="1">
      <alignment readingOrder="0"/>
    </xf>
    <xf borderId="0" fillId="0" fontId="21" numFmtId="9" xfId="0" applyAlignment="1" applyFont="1" applyNumberFormat="1">
      <alignment readingOrder="0"/>
    </xf>
    <xf borderId="0" fillId="0" fontId="21" numFmtId="169" xfId="0" applyAlignment="1" applyFont="1" applyNumberFormat="1">
      <alignment readingOrder="0"/>
    </xf>
    <xf borderId="0" fillId="0" fontId="21" numFmtId="168" xfId="0" applyAlignment="1" applyFont="1" applyNumberFormat="1">
      <alignment readingOrder="0"/>
    </xf>
    <xf borderId="0" fillId="0" fontId="21" numFmtId="171" xfId="0" applyAlignment="1" applyFont="1" applyNumberFormat="1">
      <alignment readingOrder="0"/>
    </xf>
    <xf borderId="0" fillId="0" fontId="21" numFmtId="172" xfId="0" applyAlignment="1" applyFont="1" applyNumberFormat="1">
      <alignment readingOrder="0"/>
    </xf>
    <xf borderId="0" fillId="0" fontId="21" numFmtId="3" xfId="0" applyAlignment="1" applyFont="1" applyNumberFormat="1">
      <alignment readingOrder="0"/>
    </xf>
    <xf borderId="0" fillId="0" fontId="50" numFmtId="0" xfId="0" applyAlignment="1" applyFont="1">
      <alignment readingOrder="0"/>
    </xf>
    <xf borderId="0" fillId="0" fontId="21" numFmtId="0" xfId="0" applyAlignment="1" applyFont="1">
      <alignment horizontal="center" readingOrder="0" shrinkToFit="0" wrapText="1"/>
    </xf>
    <xf borderId="0" fillId="0" fontId="21" numFmtId="1" xfId="0" applyAlignment="1" applyFont="1" applyNumberFormat="1">
      <alignment horizontal="center" shrinkToFit="0" wrapText="1"/>
    </xf>
    <xf borderId="0" fillId="0" fontId="21" numFmtId="0" xfId="0" applyAlignment="1" applyFont="1">
      <alignment horizontal="center" shrinkToFit="0" wrapText="1"/>
    </xf>
    <xf borderId="10" fillId="0" fontId="50" numFmtId="0" xfId="0" applyAlignment="1" applyBorder="1" applyFont="1">
      <alignment horizontal="center" shrinkToFit="0" wrapText="1"/>
    </xf>
    <xf borderId="10" fillId="0" fontId="50" numFmtId="10" xfId="0" applyAlignment="1" applyBorder="1" applyFont="1" applyNumberFormat="1">
      <alignment horizontal="center" shrinkToFit="0" wrapText="1"/>
    </xf>
    <xf borderId="10" fillId="0" fontId="21" numFmtId="0" xfId="0" applyAlignment="1" applyBorder="1" applyFont="1">
      <alignment horizontal="center" shrinkToFit="0" wrapText="1"/>
    </xf>
    <xf borderId="10" fillId="0" fontId="50" numFmtId="167" xfId="0" applyAlignment="1" applyBorder="1" applyFont="1" applyNumberFormat="1">
      <alignment readingOrder="0"/>
    </xf>
    <xf borderId="10" fillId="0" fontId="50" numFmtId="1" xfId="0" applyAlignment="1" applyBorder="1" applyFont="1" applyNumberFormat="1">
      <alignment horizontal="center" readingOrder="0" shrinkToFit="0" wrapText="1"/>
    </xf>
    <xf borderId="10" fillId="0" fontId="21" numFmtId="10" xfId="0" applyAlignment="1" applyBorder="1" applyFont="1" applyNumberFormat="1">
      <alignment horizontal="center" shrinkToFit="0" wrapText="1"/>
    </xf>
    <xf borderId="10" fillId="0" fontId="21" numFmtId="3" xfId="0" applyAlignment="1" applyBorder="1" applyFont="1" applyNumberFormat="1">
      <alignment horizontal="center" shrinkToFit="0" wrapText="1"/>
    </xf>
    <xf borderId="10" fillId="0" fontId="21" numFmtId="169" xfId="0" applyAlignment="1" applyBorder="1" applyFont="1" applyNumberFormat="1">
      <alignment horizontal="center" shrinkToFit="0" wrapText="1"/>
    </xf>
    <xf borderId="7" fillId="0" fontId="21" numFmtId="0" xfId="0" applyAlignment="1" applyBorder="1" applyFont="1">
      <alignment horizontal="center" shrinkToFit="0" wrapText="1"/>
    </xf>
    <xf borderId="0" fillId="0" fontId="90" numFmtId="0" xfId="0" applyAlignment="1" applyFont="1">
      <alignment readingOrder="0" shrinkToFit="0" vertical="bottom" wrapText="0"/>
    </xf>
    <xf borderId="0" fillId="0" fontId="90" numFmtId="0" xfId="0" applyAlignment="1" applyFont="1">
      <alignment shrinkToFit="0" vertical="bottom" wrapText="0"/>
    </xf>
    <xf borderId="0" fillId="0" fontId="104" numFmtId="0" xfId="0" applyAlignment="1" applyFont="1">
      <alignment readingOrder="0" shrinkToFit="0" vertical="bottom" wrapText="0"/>
    </xf>
    <xf borderId="0" fillId="0" fontId="90" numFmtId="0" xfId="0" applyAlignment="1" applyFont="1">
      <alignment horizontal="right" readingOrder="0" shrinkToFit="0" vertical="bottom" wrapText="0"/>
    </xf>
    <xf borderId="0" fillId="13" fontId="104" numFmtId="0" xfId="0" applyAlignment="1" applyFont="1">
      <alignment readingOrder="0" shrinkToFit="0" vertical="bottom" wrapText="0"/>
    </xf>
    <xf borderId="0" fillId="0" fontId="105" numFmtId="0" xfId="0" applyAlignment="1" applyFont="1">
      <alignment readingOrder="0" shrinkToFit="0" vertical="bottom" wrapText="0"/>
    </xf>
    <xf borderId="10" fillId="2" fontId="106" numFmtId="0" xfId="0" applyAlignment="1" applyBorder="1" applyFont="1">
      <alignment horizontal="center" readingOrder="0" vertical="bottom"/>
    </xf>
    <xf borderId="10" fillId="2" fontId="107" numFmtId="0" xfId="0" applyAlignment="1" applyBorder="1" applyFont="1">
      <alignment horizontal="center" readingOrder="0" vertical="bottom"/>
    </xf>
    <xf borderId="10" fillId="32" fontId="107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4C1130"/>
          <bgColor rgb="FF4C1130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u3amP6zdTUuwKNSkL2afwBWqTLQOc5-H5_uRmoN1Hog/edit?gid=0" TargetMode="External"/><Relationship Id="rId190" Type="http://schemas.openxmlformats.org/officeDocument/2006/relationships/hyperlink" Target="https://docs.google.com/spreadsheets/d/1IlW5ZsVLqwAWkx0LHG9I13Fw8WhHRa40obrJQHqRbD8/edit" TargetMode="External"/><Relationship Id="rId42" Type="http://schemas.openxmlformats.org/officeDocument/2006/relationships/hyperlink" Target="https://docs.google.com/spreadsheets/d/1FDquPHJI6WZGHFmkKa-RqP1eEgjXcIOR6r4SpB9QkSA/edit?gid=0" TargetMode="External"/><Relationship Id="rId41" Type="http://schemas.openxmlformats.org/officeDocument/2006/relationships/hyperlink" Target="https://docs.google.com/spreadsheets/d/1ClLrVOrOm2lRZkxwSRYk28lKgD3AqRr0eB6lbpUoAm8/edit?gid=968809898" TargetMode="External"/><Relationship Id="rId44" Type="http://schemas.openxmlformats.org/officeDocument/2006/relationships/hyperlink" Target="https://docs.google.com/spreadsheets/d/1ubsraNghFvZJ3YRRWKWb8P3SYuDS_RoIg08_j56vs68/edit?gid=0" TargetMode="External"/><Relationship Id="rId194" Type="http://schemas.openxmlformats.org/officeDocument/2006/relationships/hyperlink" Target="https://docs.google.com/spreadsheets/d/1tcMcPapopj1lPzcHEWq3y3M4f_wup9ka7t_rXSzZHMA/edit?gid=0" TargetMode="External"/><Relationship Id="rId43" Type="http://schemas.openxmlformats.org/officeDocument/2006/relationships/hyperlink" Target="https://docs.google.com/spreadsheets/d/1o73DJbLFLgOXztUGvACDAPJQLjK9m6M0LmAIH6HjOBg/edit?gid=0" TargetMode="External"/><Relationship Id="rId193" Type="http://schemas.openxmlformats.org/officeDocument/2006/relationships/hyperlink" Target="https://docs.google.com/spreadsheets/d/1V3bxzenenGIt4kaVijFOyGgxsyaS_Sam1HElx0r4ot0/edit?gid=0" TargetMode="External"/><Relationship Id="rId46" Type="http://schemas.openxmlformats.org/officeDocument/2006/relationships/hyperlink" Target="https://docs.google.com/spreadsheets/d/1Hir2BSz1KtNe_zzhtoBurd4NvYToFy3OAbQvUmeocvQ/edit" TargetMode="External"/><Relationship Id="rId192" Type="http://schemas.openxmlformats.org/officeDocument/2006/relationships/hyperlink" Target="https://docs.google.com/spreadsheets/d/1fuz9yBjzpR-l0Z0QcAqBynMhcwvzcP8so5QGq4ZYH_o/edit?gid=0" TargetMode="External"/><Relationship Id="rId45" Type="http://schemas.openxmlformats.org/officeDocument/2006/relationships/hyperlink" Target="https://docs.google.com/spreadsheets/d/1r5YZWS-b4LVS0BHkENKT2vjZLI5k6eOKDIXX0F5PpJ4/edit?gid=148306810" TargetMode="External"/><Relationship Id="rId191" Type="http://schemas.openxmlformats.org/officeDocument/2006/relationships/hyperlink" Target="https://docs.google.com/spreadsheets/d/117qv8FDf_p-n_tj7PdfFxDDg9E_iHbmat0G4PFnUq-4/edit" TargetMode="External"/><Relationship Id="rId48" Type="http://schemas.openxmlformats.org/officeDocument/2006/relationships/hyperlink" Target="https://docs.google.com/spreadsheets/d/1mt75vIKJmjJpjC3XhdItkTMn04Duusc2QWxpLJYvWbs/edit" TargetMode="External"/><Relationship Id="rId187" Type="http://schemas.openxmlformats.org/officeDocument/2006/relationships/hyperlink" Target="https://docs.google.com/spreadsheets/d/1aek42LDosYQRs0t5c2f5ak34j3r4sr3C5q5taCwGMTE/edit?gid=162659938" TargetMode="External"/><Relationship Id="rId47" Type="http://schemas.openxmlformats.org/officeDocument/2006/relationships/hyperlink" Target="https://docs.google.com/spreadsheets/d/1UwZVGRca4V7QbfCEKzKsInQfTfLYV5gkrTzD89b_gVg/edit" TargetMode="External"/><Relationship Id="rId186" Type="http://schemas.openxmlformats.org/officeDocument/2006/relationships/hyperlink" Target="https://docs.google.com/spreadsheets/d/1hkcn0iLV2azbH_yGud-8oWhza9pgtTlncTUl53opRYU/edit?gid=162659938" TargetMode="External"/><Relationship Id="rId185" Type="http://schemas.openxmlformats.org/officeDocument/2006/relationships/hyperlink" Target="https://docs.google.com/spreadsheets/d/1_DxrCI_6blyShkMQ1r1aLOYPX5gjpmyzXOigayRQJaw/edit?pli=1" TargetMode="External"/><Relationship Id="rId49" Type="http://schemas.openxmlformats.org/officeDocument/2006/relationships/hyperlink" Target="https://docs.google.com/spreadsheets/d/1h3OkZUk2XSA0l8e-AWxaJmXe7Z1U0attMzXCN4SdOQ8/edit" TargetMode="External"/><Relationship Id="rId184" Type="http://schemas.openxmlformats.org/officeDocument/2006/relationships/hyperlink" Target="https://docs.google.com/spreadsheets/d/1qF-N5gh0pzhvfnkdvK31HzspB2T2P3xi-ZoL9iStLH4/edit?gid=0" TargetMode="External"/><Relationship Id="rId189" Type="http://schemas.openxmlformats.org/officeDocument/2006/relationships/hyperlink" Target="https://docs.google.com/spreadsheets/d/1kjJ2h0em9zX5lkI153gstTRZzcl8e2GN0m2x9Sr-w4E/edit" TargetMode="External"/><Relationship Id="rId188" Type="http://schemas.openxmlformats.org/officeDocument/2006/relationships/hyperlink" Target="https://docs.google.com/spreadsheets/d/15fFRO4U9W5gIp9-k9sULn9c-rtXz2JhljW9NjBZXgk4/edit?gid=0" TargetMode="External"/><Relationship Id="rId31" Type="http://schemas.openxmlformats.org/officeDocument/2006/relationships/hyperlink" Target="https://docs.google.com/spreadsheets/d/1bKzAjnffVfLhVGh4t5v_Vu2blA9yWMcWrMSSSkWyfww/edit?gid=0" TargetMode="External"/><Relationship Id="rId30" Type="http://schemas.openxmlformats.org/officeDocument/2006/relationships/hyperlink" Target="https://docs.google.com/spreadsheets/d/15vuWdE3tvOWMvAItA2lx50EAGi5e91LahWnrIBHKchE/edit?gid=0" TargetMode="External"/><Relationship Id="rId33" Type="http://schemas.openxmlformats.org/officeDocument/2006/relationships/hyperlink" Target="https://docs.google.com/spreadsheets/d/1_TT4RnsAZgXuAbklftUgfeSBolGqHFrqm00ibq315zk/edit" TargetMode="External"/><Relationship Id="rId183" Type="http://schemas.openxmlformats.org/officeDocument/2006/relationships/hyperlink" Target="https://docs.google.com/spreadsheets/u/0/d/1GYGptXDzyVLnWnhcCb5oKA6jmkwDEo2MqJN8egqXLsc/edit" TargetMode="External"/><Relationship Id="rId32" Type="http://schemas.openxmlformats.org/officeDocument/2006/relationships/hyperlink" Target="https://docs.google.com/spreadsheets/d/16m2sQfhswBgJpIfguRiLkmzEv4yAXneUsIpBTAIQXc0/edit?gid=1310945927" TargetMode="External"/><Relationship Id="rId182" Type="http://schemas.openxmlformats.org/officeDocument/2006/relationships/hyperlink" Target="https://docs.google.com/spreadsheets/d/1jrOJVTcSm52FfzM51kTQNwIVzGkVralTGFdAWaRfSWs/edit?gid=1777742402" TargetMode="External"/><Relationship Id="rId35" Type="http://schemas.openxmlformats.org/officeDocument/2006/relationships/hyperlink" Target="https://docs.google.com/spreadsheets/d/1qD_dDXHvafaUuFnZ7gAkyxCmJQoO3BtBbnVLwHgMtpU/edit?gid=0" TargetMode="External"/><Relationship Id="rId181" Type="http://schemas.openxmlformats.org/officeDocument/2006/relationships/hyperlink" Target="https://docs.google.com/spreadsheets/d/1WztaRAlTNDZHaHPIOQ-rgaj8VjFGeOm0ghzedrWNPUs/edit?gid=0" TargetMode="External"/><Relationship Id="rId34" Type="http://schemas.openxmlformats.org/officeDocument/2006/relationships/hyperlink" Target="https://docs.google.com/spreadsheets/d/1zTUZyCgpe5SHmuI9FrQBt0ogwnCca-y-tNqbAVBNwKA/edit" TargetMode="External"/><Relationship Id="rId180" Type="http://schemas.openxmlformats.org/officeDocument/2006/relationships/hyperlink" Target="https://docs.google.com/spreadsheets/d/17LoMAR6dxztdjtSpt2LOJWL2N-yGdVQHU_d8rpny9GY/edit?gid=2142213318" TargetMode="External"/><Relationship Id="rId37" Type="http://schemas.openxmlformats.org/officeDocument/2006/relationships/hyperlink" Target="https://docs.google.com/spreadsheets/d/1wsszhlq6_ah5OYzZkVme-nY4menV6_rwzD2vaJvOGhU/edit?gid=0" TargetMode="External"/><Relationship Id="rId176" Type="http://schemas.openxmlformats.org/officeDocument/2006/relationships/hyperlink" Target="https://docs.google.com/spreadsheets/d/1MKbSypbOnJJNjsV317QzZqYC8X-D_KV_BBg7esWuwQY/edit?gid=0" TargetMode="External"/><Relationship Id="rId36" Type="http://schemas.openxmlformats.org/officeDocument/2006/relationships/hyperlink" Target="https://docs.google.com/spreadsheets/d/1sNnFcv3iHIauafka073bWpFaliYW5BNstKqG3FURhGo/edit?gid=0" TargetMode="External"/><Relationship Id="rId175" Type="http://schemas.openxmlformats.org/officeDocument/2006/relationships/hyperlink" Target="https://docs.google.com/spreadsheets/d/11Vrs5QU9RkJ8Nndx1usgA2SvilXPkisL7IGQegkAXgk/edit?gid=1089458672" TargetMode="External"/><Relationship Id="rId39" Type="http://schemas.openxmlformats.org/officeDocument/2006/relationships/hyperlink" Target="https://docs.google.com/spreadsheets/d/1BOdlvcbAzmhN6MUIGmMKbyx8OGarcJ2uhWJX8ES8y70/edit" TargetMode="External"/><Relationship Id="rId174" Type="http://schemas.openxmlformats.org/officeDocument/2006/relationships/hyperlink" Target="https://docs.google.com/spreadsheets/d/1ThCjtpSvxod_sNHFLZ_SbdIht0ndWLyAmxRBX_FI0ks/edit?gid=162659938" TargetMode="External"/><Relationship Id="rId38" Type="http://schemas.openxmlformats.org/officeDocument/2006/relationships/hyperlink" Target="https://docs.google.com/spreadsheets/d/1L0n7Xcu5GH54qPWfCwTuvEGHikUgow9KEPwsiLVcX7M/edit?gid=1595002774" TargetMode="External"/><Relationship Id="rId173" Type="http://schemas.openxmlformats.org/officeDocument/2006/relationships/hyperlink" Target="https://docs.google.com/spreadsheets/d/1gkhkiB2XLmpBce2nkflhM1mNhMgFrRJwv7eN1I_ousc/edit?gid=1277429317" TargetMode="External"/><Relationship Id="rId179" Type="http://schemas.openxmlformats.org/officeDocument/2006/relationships/hyperlink" Target="https://docs.google.com/spreadsheets/d/1MPNChisESatj6Y1d2ew7so2Ekwn-ZZbDJg7Pvz0EL6Y/edit?gid=162659938" TargetMode="External"/><Relationship Id="rId178" Type="http://schemas.openxmlformats.org/officeDocument/2006/relationships/hyperlink" Target="https://docs.google.com/spreadsheets/d/1oE7HWatXHkhyaktecdXehUOYaBjvoHs8J-rUqfIiHgE/edit" TargetMode="External"/><Relationship Id="rId177" Type="http://schemas.openxmlformats.org/officeDocument/2006/relationships/hyperlink" Target="https://docs.google.com/spreadsheets/d/1rg6TW8NK2vz-RrwBeG1AEsBULiFh-1_f_SmPSLsH6es/edit?gid=1824619316" TargetMode="External"/><Relationship Id="rId20" Type="http://schemas.openxmlformats.org/officeDocument/2006/relationships/hyperlink" Target="https://docs.google.com/spreadsheets/d/1LxLvfF01hkJjA82h3lUiStXhCiLi6vZmRH5Kc6hYsVY/edit?gid=162659938" TargetMode="External"/><Relationship Id="rId22" Type="http://schemas.openxmlformats.org/officeDocument/2006/relationships/hyperlink" Target="https://docs.google.com/spreadsheets/d/1OTBjdj7HKLUdboQDmQulWdk3sem1C_Gc1u9CgZqoPZk/edit?gid=0" TargetMode="External"/><Relationship Id="rId21" Type="http://schemas.openxmlformats.org/officeDocument/2006/relationships/hyperlink" Target="https://docs.google.com/spreadsheets/d/15DQ8hh_awzBvwln7i3DA9s8321S_hSqWhFiBmw5ANFI/edit?gid=162659938" TargetMode="External"/><Relationship Id="rId24" Type="http://schemas.openxmlformats.org/officeDocument/2006/relationships/hyperlink" Target="https://docs.google.com/spreadsheets/u/0/d/1wgoE9YmekdfKzULca0LbO2VFRLCTKVsd9GkdeFDZMrU/edit" TargetMode="External"/><Relationship Id="rId23" Type="http://schemas.openxmlformats.org/officeDocument/2006/relationships/hyperlink" Target="https://docs.google.com/spreadsheets/d/1hBER3zTZpkPEdxBS-u7qW1ycgJwvdCYaiyqb9HCWGHk/edit?gid=0" TargetMode="External"/><Relationship Id="rId26" Type="http://schemas.openxmlformats.org/officeDocument/2006/relationships/hyperlink" Target="https://docs.google.com/spreadsheets/d/1VlzFAjM7KwefTrw7c16y6XTpcptwNPDd-Vgr97p_oKk/edit?gid=981908056" TargetMode="External"/><Relationship Id="rId25" Type="http://schemas.openxmlformats.org/officeDocument/2006/relationships/hyperlink" Target="https://docs.google.com/spreadsheets/d/11pFFApGA7S_oLWWaBAH_IHu_-3C3t_PEHqBcOZme5lQ/edit?gid=0" TargetMode="External"/><Relationship Id="rId28" Type="http://schemas.openxmlformats.org/officeDocument/2006/relationships/hyperlink" Target="https://docs.google.com/spreadsheets/d/1qTONJRlBa-WVOcjo_gO-Pc4UYQPCdFt2w4TVrB12iZM/edit" TargetMode="External"/><Relationship Id="rId27" Type="http://schemas.openxmlformats.org/officeDocument/2006/relationships/hyperlink" Target="https://docs.google.com/spreadsheets/d/1w-3KAp1up5hLV6GlsNUXDHIiGxvCfYJy6ATEQaQp3Rw/edit" TargetMode="External"/><Relationship Id="rId29" Type="http://schemas.openxmlformats.org/officeDocument/2006/relationships/hyperlink" Target="https://docs.google.com/spreadsheets/d/1YMf8VfbkH6lTtQQ7aEH-rvtJbFw__osbRSbSExrslWo/edit" TargetMode="External"/><Relationship Id="rId11" Type="http://schemas.openxmlformats.org/officeDocument/2006/relationships/hyperlink" Target="https://docs.google.com/spreadsheets/d/1rYn_Flgp7jo7mcfA8eUDen14LV_dF62DRjmNbnJEK7k/edit?gid=0" TargetMode="External"/><Relationship Id="rId10" Type="http://schemas.openxmlformats.org/officeDocument/2006/relationships/hyperlink" Target="https://docs.google.com/spreadsheets/d/132I0fvbfTDk_3h-QeYGrQ-F6z0A921MXbdqyLFsyN5Y/edit?gid=0" TargetMode="External"/><Relationship Id="rId13" Type="http://schemas.openxmlformats.org/officeDocument/2006/relationships/hyperlink" Target="https://docs.google.com/spreadsheets/d/1jsCUih7iouVHueHOvQT1r1v51elAYIzlBpAxZqE5i-I/edit?gid=0" TargetMode="External"/><Relationship Id="rId12" Type="http://schemas.openxmlformats.org/officeDocument/2006/relationships/hyperlink" Target="https://docs.google.com/spreadsheets/d/1K_te1jkI-iFfbgNObYuqxjJkg-GYMv3I58ZA0lOYHRg/edit?gid=0" TargetMode="External"/><Relationship Id="rId15" Type="http://schemas.openxmlformats.org/officeDocument/2006/relationships/hyperlink" Target="https://docs.google.com/spreadsheets/d/1OCQdqqJIyWUmzr6sv4fbXUNAqVATScHotcGYSPP6YEs/edit" TargetMode="External"/><Relationship Id="rId198" Type="http://schemas.openxmlformats.org/officeDocument/2006/relationships/hyperlink" Target="https://docs.google.com/spreadsheets/d/19Rk4iqsIrqVhUR0Wl3I4sjy1_X5PL-NL_s-A5UH5HyE/edit?gid=0" TargetMode="External"/><Relationship Id="rId14" Type="http://schemas.openxmlformats.org/officeDocument/2006/relationships/hyperlink" Target="https://docs.google.com/spreadsheets/d/1IoSPGtbL4ygnaTCF1Ct5WGA347GvBvKfaHJjalIvqh4/edit" TargetMode="External"/><Relationship Id="rId197" Type="http://schemas.openxmlformats.org/officeDocument/2006/relationships/hyperlink" Target="https://docs.google.com/spreadsheets/d/1uS2K-_NfZJp1Fw9r1D_4Fxj13GD9hwVAYCWpIBxx8-Y/edit?gid=0" TargetMode="External"/><Relationship Id="rId17" Type="http://schemas.openxmlformats.org/officeDocument/2006/relationships/hyperlink" Target="https://docs.google.com/spreadsheets/d/1WzUdmfnQDNkhWeXGDxfn71m4gjwTEw7ImG_HYmiR0VY/edit" TargetMode="External"/><Relationship Id="rId196" Type="http://schemas.openxmlformats.org/officeDocument/2006/relationships/hyperlink" Target="https://docs.google.com/spreadsheets/d/105P0VdpAP2SpAXw79GG0zlXJ6FhfZ8ajcwiWU7XuAbI/edit?gid=0" TargetMode="External"/><Relationship Id="rId16" Type="http://schemas.openxmlformats.org/officeDocument/2006/relationships/hyperlink" Target="https://docs.google.com/spreadsheets/d/1CylMi4nRCvuLVvhUguHbKMX2CZ27MvMeYd7M3cbAsp4/edit?gid=1651515920" TargetMode="External"/><Relationship Id="rId195" Type="http://schemas.openxmlformats.org/officeDocument/2006/relationships/hyperlink" Target="https://docs.google.com/spreadsheets/d/1-76WnzKQvx06iq-WDJXC8AHZuyV30dn80RS4xOJBKQs/edit" TargetMode="External"/><Relationship Id="rId19" Type="http://schemas.openxmlformats.org/officeDocument/2006/relationships/hyperlink" Target="https://docs.google.com/spreadsheets/d/1ix1-nYckIcOYO0crqDtE6JH1Dxftw4VAGpahfAnYGlk/edit" TargetMode="External"/><Relationship Id="rId18" Type="http://schemas.openxmlformats.org/officeDocument/2006/relationships/hyperlink" Target="https://docs.google.com/spreadsheets/d/1zbKpAkjR5pwXNP3vlQNzKnZWdUfQd6EtmpoFtLBYJoY/edit?gid=1824619316" TargetMode="External"/><Relationship Id="rId199" Type="http://schemas.openxmlformats.org/officeDocument/2006/relationships/hyperlink" Target="https://docs.google.com/spreadsheets/d/1VL8r5XxKOp6ZSy76JrbWBrP1HeaWGPkBMKImWbVh_Mk/edit?gid=0" TargetMode="External"/><Relationship Id="rId84" Type="http://schemas.openxmlformats.org/officeDocument/2006/relationships/hyperlink" Target="https://docs.google.com/spreadsheets/d/1FWoCAr1C7ZSb0vw1vvaBhsS73XL8YWHN3CvvtZ3LLKE/edit" TargetMode="External"/><Relationship Id="rId83" Type="http://schemas.openxmlformats.org/officeDocument/2006/relationships/hyperlink" Target="https://docs.google.com/spreadsheets/d/18bhc2Z-vQNqDfgcgQNZK1Xxb-B8sIVUYSpIDTOdVLv8/edit?gid=1383336816" TargetMode="External"/><Relationship Id="rId86" Type="http://schemas.openxmlformats.org/officeDocument/2006/relationships/hyperlink" Target="https://docs.google.com/spreadsheets/d/1yLhrKcjt1xaec0PTD-O5wT7tbQk_0C0O53JVUJ107no/edit?gid=2001455221" TargetMode="External"/><Relationship Id="rId85" Type="http://schemas.openxmlformats.org/officeDocument/2006/relationships/hyperlink" Target="https://docs.google.com/spreadsheets/d/1xiD-ftAMw5fqqFj6Gxi4X1d9CquBqV8fA6bcw0GeCQ8/edit" TargetMode="External"/><Relationship Id="rId88" Type="http://schemas.openxmlformats.org/officeDocument/2006/relationships/hyperlink" Target="https://docs.google.com/spreadsheets/d/1zKPpIRi__6SVbgTzjvO6O1sQo3DfJF5zbe0T4GU19c0/edit?gid=1029588646" TargetMode="External"/><Relationship Id="rId150" Type="http://schemas.openxmlformats.org/officeDocument/2006/relationships/hyperlink" Target="https://docs.google.com/spreadsheets/d/1VHlUXvmsF-UUlS75Y_QvlWUXvBPAtAPMWQSoseA9psY/edit?gid=1219811845" TargetMode="External"/><Relationship Id="rId87" Type="http://schemas.openxmlformats.org/officeDocument/2006/relationships/hyperlink" Target="https://docs.google.com/spreadsheets/d/1rAogo87KmLoM9x6aHBi4Bu9Yxi5qzdkfU9lA5e8X9NY/edit" TargetMode="External"/><Relationship Id="rId89" Type="http://schemas.openxmlformats.org/officeDocument/2006/relationships/hyperlink" Target="https://docs.google.com/spreadsheets/d/1Cvkmf9XW8YyoV2xL1JRa6rQ8PUxQVh1SUrLGjS3xCGY/edit" TargetMode="External"/><Relationship Id="rId80" Type="http://schemas.openxmlformats.org/officeDocument/2006/relationships/hyperlink" Target="https://docs.google.com/spreadsheets/d/1ii7mSZuwFsDeSKThBBKb777jYLe6wyBkEiBUpLVItGw/edit?gid=0" TargetMode="External"/><Relationship Id="rId82" Type="http://schemas.openxmlformats.org/officeDocument/2006/relationships/hyperlink" Target="https://docs.google.com/spreadsheets/d/1PYshLg1OXx1pJptcckl0-wsx1cq1FqXl7CB7pBkMyXw/edit?gid=0" TargetMode="External"/><Relationship Id="rId81" Type="http://schemas.openxmlformats.org/officeDocument/2006/relationships/hyperlink" Target="https://docs.google.com/spreadsheets/d/1jDBw_zRV45g4GHvTxYAqTVyIfEtjeL3BgdcT4LOTyuo/edit?gid=0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GeCTgGQp0UrzEQNlPyVcXYlwwEEdPBIZjFDTqY1BOg/edit?gid=998810200" TargetMode="External"/><Relationship Id="rId3" Type="http://schemas.openxmlformats.org/officeDocument/2006/relationships/hyperlink" Target="https://docs.google.com/spreadsheets/d/1WowgCGTCOMmqanUXVQIbYWHbXi0cuGFxvrPe3CdSDpA/edit" TargetMode="External"/><Relationship Id="rId149" Type="http://schemas.openxmlformats.org/officeDocument/2006/relationships/hyperlink" Target="https://docs.google.com/spreadsheets/d/13D9UbXPP75b58DcBlWgLxY0DVWj6aVq2oz2QDzKUZKg/edit?gid=1219811845" TargetMode="External"/><Relationship Id="rId4" Type="http://schemas.openxmlformats.org/officeDocument/2006/relationships/hyperlink" Target="https://docs.google.com/spreadsheets/d/1UEZK2L9OACV3t606hu8vkTn-5ekPDyqCYSBS2X6A5Jc/edit" TargetMode="External"/><Relationship Id="rId148" Type="http://schemas.openxmlformats.org/officeDocument/2006/relationships/hyperlink" Target="https://docs.google.com/spreadsheets/d/12dKOgyOY9ZTIrAmx7mV_iLSm7hXEwbS1yATBaqnCBtc/edit?gid=1277429317" TargetMode="External"/><Relationship Id="rId9" Type="http://schemas.openxmlformats.org/officeDocument/2006/relationships/hyperlink" Target="https://docs.google.com/spreadsheets/d/1jFDZ-XQ8Fuzz37_6c1Wi087O7eNCDVE8KbcMW9lSUac/edit?gid=0" TargetMode="External"/><Relationship Id="rId143" Type="http://schemas.openxmlformats.org/officeDocument/2006/relationships/hyperlink" Target="https://docs.google.com/spreadsheets/d/1hdnWim5IyU3odQS7qac9pteQzzcjKICRf0oXedBwc28/edit?gid=1805787177" TargetMode="External"/><Relationship Id="rId142" Type="http://schemas.openxmlformats.org/officeDocument/2006/relationships/hyperlink" Target="https://docs.google.com/spreadsheets/d/1KKaNRQererfhhUXbeHD15wlFvS9PZGyfZNOKkbYV328/edit?gid=1816198426" TargetMode="External"/><Relationship Id="rId141" Type="http://schemas.openxmlformats.org/officeDocument/2006/relationships/hyperlink" Target="https://docs.google.com/spreadsheets/d/1j5_2sIBZP_RUoPnKOu_65lvVzVUeZs1BujRIxLnqEss/edit?gid=618607627" TargetMode="External"/><Relationship Id="rId140" Type="http://schemas.openxmlformats.org/officeDocument/2006/relationships/hyperlink" Target="https://docs.google.com/spreadsheets/d/1WWW2zIyk5tLuZBmJ_SGRdLG9zfVVRBi6dj0APb4CYec/edit?gid=1748251694" TargetMode="External"/><Relationship Id="rId5" Type="http://schemas.openxmlformats.org/officeDocument/2006/relationships/hyperlink" Target="https://docs.google.com/spreadsheets/d/1FQCfm55A8B3_aOo8e1xPQEUbQHYH85diG24OUoTRqnY/edit" TargetMode="External"/><Relationship Id="rId147" Type="http://schemas.openxmlformats.org/officeDocument/2006/relationships/hyperlink" Target="https://docs.google.com/spreadsheets/d/1WTwJOkEL-7pdLdu4DqeFqbDaTBRyZ2Y7K1Ui-q851JQ/edit" TargetMode="External"/><Relationship Id="rId6" Type="http://schemas.openxmlformats.org/officeDocument/2006/relationships/hyperlink" Target="https://docs.google.com/spreadsheets/d/1Oujo8vUnwFLr-WkmYYfJwaGjmRsDy-q2Aq0vU4BlykA/edit?gid=0" TargetMode="External"/><Relationship Id="rId146" Type="http://schemas.openxmlformats.org/officeDocument/2006/relationships/hyperlink" Target="https://docs.google.com/spreadsheets/d/1MGgolYlaQvBNEw9oPfJ_rFftpPOa2GbsHdGvFEWLn20/edit?gid=1575341672" TargetMode="External"/><Relationship Id="rId7" Type="http://schemas.openxmlformats.org/officeDocument/2006/relationships/hyperlink" Target="https://docs.google.com/spreadsheets/d/1LJGS53NCp-odxIXkmSORKxH8_UeQo5bY4expBVdkFdk/edit?gid=1100372335" TargetMode="External"/><Relationship Id="rId145" Type="http://schemas.openxmlformats.org/officeDocument/2006/relationships/hyperlink" Target="https://docs.google.com/spreadsheets/d/1CL9AQCD6lDzVeoB1ZWNbvv3iQAnDc2XWAbufodLvVyE/edit" TargetMode="External"/><Relationship Id="rId8" Type="http://schemas.openxmlformats.org/officeDocument/2006/relationships/hyperlink" Target="https://docs.google.com/spreadsheets/d/13EYfcAewqPPQ83PA3ta2L46h2GIwi9k-mw8zx8HuEws/edit?gid=1838777318" TargetMode="External"/><Relationship Id="rId144" Type="http://schemas.openxmlformats.org/officeDocument/2006/relationships/hyperlink" Target="https://docs.google.com/spreadsheets/d/1MRc1o6yRbC1yz2vf27KvD-M1jrmImyc4pmYWn9yMT_Y/edit?gid=1405717089" TargetMode="External"/><Relationship Id="rId73" Type="http://schemas.openxmlformats.org/officeDocument/2006/relationships/hyperlink" Target="https://docs.google.com/spreadsheets/d/18LfbnJvue8ABkZqR8NiXNEy_rJ_H-rZcZ-ip9KE1ZmQ/edit?gid=0" TargetMode="External"/><Relationship Id="rId72" Type="http://schemas.openxmlformats.org/officeDocument/2006/relationships/hyperlink" Target="https://docs.google.com/spreadsheets/d/1MWp85DrwBNK7tQ1tlVLrCDUimILFTDnvvv6FtNhbiEA/edit?gid=1397978039" TargetMode="External"/><Relationship Id="rId75" Type="http://schemas.openxmlformats.org/officeDocument/2006/relationships/hyperlink" Target="https://docs.google.com/spreadsheets/d/1C8zFo8Wr-G2dpe4FzFhr8ObF-1C64JPU2sDH3LNGo_Y/edit?gid=0" TargetMode="External"/><Relationship Id="rId74" Type="http://schemas.openxmlformats.org/officeDocument/2006/relationships/hyperlink" Target="https://docs.google.com/spreadsheets/d/1BRUajD0ljy0AGH7V6VApyhC8CYImP4SFkM_02NmsTfQ/edit?gid=0" TargetMode="External"/><Relationship Id="rId77" Type="http://schemas.openxmlformats.org/officeDocument/2006/relationships/hyperlink" Target="https://docs.google.com/spreadsheets/d/1dUp9H9fQ-eRdYYXUl4RfyqoZHopWcp6rvHiswO-8olc/edit?gid=0" TargetMode="External"/><Relationship Id="rId76" Type="http://schemas.openxmlformats.org/officeDocument/2006/relationships/hyperlink" Target="https://docs.google.com/spreadsheets/d/171w6KRBV2rba0q9n8Gbz_2pG5V9aYcwOZTrmc_2SUsg/edit?gid=0" TargetMode="External"/><Relationship Id="rId79" Type="http://schemas.openxmlformats.org/officeDocument/2006/relationships/hyperlink" Target="https://docs.google.com/spreadsheets/d/1xU8paeZ0mv2aDj_IVEGT9OnonuXc8Lhfbz35yExNTVQ/edit?gid=0" TargetMode="External"/><Relationship Id="rId78" Type="http://schemas.openxmlformats.org/officeDocument/2006/relationships/hyperlink" Target="https://docs.google.com/spreadsheets/d/1cOCCtQejZMOc5M-X_uBY6P5Whx2uTl85m-_57_mUQg0/edit?gid=0" TargetMode="External"/><Relationship Id="rId71" Type="http://schemas.openxmlformats.org/officeDocument/2006/relationships/hyperlink" Target="https://docs.google.com/spreadsheets/d/1pcIpQIFPR-YUVv9ATwQfIVPOInmgM9-9wy6F6PXI-Q8/edit?gid=0" TargetMode="External"/><Relationship Id="rId70" Type="http://schemas.openxmlformats.org/officeDocument/2006/relationships/hyperlink" Target="https://docs.google.com/spreadsheets/d/1eZTb0NOMQD308IrvgRFKi0-gbtKGrUXc1Qg96NLMbgk/edit" TargetMode="External"/><Relationship Id="rId139" Type="http://schemas.openxmlformats.org/officeDocument/2006/relationships/hyperlink" Target="https://docs.google.com/spreadsheets/d/1zXPh69S6ryZEZcVhfjtAeevcaJY_x59C3APN5fjBE5Q/edit?gid=1748251694" TargetMode="External"/><Relationship Id="rId138" Type="http://schemas.openxmlformats.org/officeDocument/2006/relationships/hyperlink" Target="https://docs.google.com/spreadsheets/d/16St08vBtqG6cQ29Lh2yNSR8b82ABOrtscauHawL3SnA/edit?gid=1748251694" TargetMode="External"/><Relationship Id="rId137" Type="http://schemas.openxmlformats.org/officeDocument/2006/relationships/hyperlink" Target="https://docs.google.com/spreadsheets/d/1h1TRZt74g3toSCg6X1zf04TRrPzTIJTRRHm-VtgXmkM/edit?gid=1586402276" TargetMode="External"/><Relationship Id="rId132" Type="http://schemas.openxmlformats.org/officeDocument/2006/relationships/hyperlink" Target="https://docs.google.com/spreadsheets/d/1C-PaiedLj2XOlFsshkO221ipgOAZuZ9nzOrc7VRBlHo/edit?gid=1996990278" TargetMode="External"/><Relationship Id="rId131" Type="http://schemas.openxmlformats.org/officeDocument/2006/relationships/hyperlink" Target="https://docs.google.com/spreadsheets/d/1jb97tsNPP32qu8ow9340R_Kgg7aVZi6E-LN-1JUDVf8/edit?gid=1996990278" TargetMode="External"/><Relationship Id="rId130" Type="http://schemas.openxmlformats.org/officeDocument/2006/relationships/hyperlink" Target="https://docs.google.com/spreadsheets/d/1fpEWqgaINLyqNjSB3fo6ETWVUzJpnCYOX4eKClQfQmE/edit?gid=1996990278" TargetMode="External"/><Relationship Id="rId136" Type="http://schemas.openxmlformats.org/officeDocument/2006/relationships/hyperlink" Target="https://docs.google.com/spreadsheets/d/1s5jMeCFSNsddGLPhXVD2iHrblkJkWFU40qIKlTc8-ng/edit?gid=1679663775" TargetMode="External"/><Relationship Id="rId135" Type="http://schemas.openxmlformats.org/officeDocument/2006/relationships/hyperlink" Target="https://docs.google.com/spreadsheets/d/1RdylvZXl-yDfgXcLVoejtlCF0vSUFCYL9P78takYbNI/edit?gid=845831138" TargetMode="External"/><Relationship Id="rId134" Type="http://schemas.openxmlformats.org/officeDocument/2006/relationships/hyperlink" Target="https://docs.google.com/spreadsheets/d/18m5o7TTSu_7OYCCZkDgwq90DUL-KY0ZOGTL75E5bkIs/edit?gid=0" TargetMode="External"/><Relationship Id="rId133" Type="http://schemas.openxmlformats.org/officeDocument/2006/relationships/hyperlink" Target="https://docs.google.com/spreadsheets/d/1fC3fyg60xd2eSSYcWdzoxTfCeKLcRbmaUzBDRvPxPB0/edit?gid=1996990278" TargetMode="External"/><Relationship Id="rId62" Type="http://schemas.openxmlformats.org/officeDocument/2006/relationships/hyperlink" Target="https://docs.google.com/spreadsheets/d/1VEbI85GIACBzK7Fr53MA8H90fnc5xOBzkIV_G3O2R84/edit" TargetMode="External"/><Relationship Id="rId61" Type="http://schemas.openxmlformats.org/officeDocument/2006/relationships/hyperlink" Target="https://docs.google.com/spreadsheets/d/1vvfCDjQh1LBVwkUUB7ZEeku1dM6x_yzeXavvI--pPRg/edit" TargetMode="External"/><Relationship Id="rId64" Type="http://schemas.openxmlformats.org/officeDocument/2006/relationships/hyperlink" Target="https://docs.google.com/spreadsheets/d/1Rxe7z3t_XfrfvmDl_1EhXw1OSPwOK642EiaRHONm2Oc/edit" TargetMode="External"/><Relationship Id="rId63" Type="http://schemas.openxmlformats.org/officeDocument/2006/relationships/hyperlink" Target="https://docs.google.com/spreadsheets/d/1Aj8bWFTL-YpgmLeRYIHRh9VWv_x0tdoFK37SvSkVoMA/edit" TargetMode="External"/><Relationship Id="rId66" Type="http://schemas.openxmlformats.org/officeDocument/2006/relationships/hyperlink" Target="https://docs.google.com/spreadsheets/d/1KQTVmJDcGi8nV3_t1mE9kcnETLPWhuSu5rpSaRf3Hf4/edit?gid=825700891" TargetMode="External"/><Relationship Id="rId172" Type="http://schemas.openxmlformats.org/officeDocument/2006/relationships/hyperlink" Target="https://docs.google.com/spreadsheets/d/1j6rau0lEhNAOQYvtnRw0BNr_DI1X6gMKsq33shEhBzw/edit?gid=401608605" TargetMode="External"/><Relationship Id="rId65" Type="http://schemas.openxmlformats.org/officeDocument/2006/relationships/hyperlink" Target="https://docs.google.com/spreadsheets/d/14M5jXuQsrQnNmVEk4qaGhkFZmAEG0r9kxepMstmBo44/edit" TargetMode="External"/><Relationship Id="rId171" Type="http://schemas.openxmlformats.org/officeDocument/2006/relationships/hyperlink" Target="https://docs.google.com/spreadsheets/d/1ZL0WmzMWgaxhSUSYMtDaXBQAqQsk5yIryNK9DFcpki0/edit?gid=392608886" TargetMode="External"/><Relationship Id="rId68" Type="http://schemas.openxmlformats.org/officeDocument/2006/relationships/hyperlink" Target="https://docs.google.com/spreadsheets/d/152AECjMPz2mnH4mgBJ75E4ggGRK2pwMrpTycQwGhS9o/edit" TargetMode="External"/><Relationship Id="rId170" Type="http://schemas.openxmlformats.org/officeDocument/2006/relationships/hyperlink" Target="https://docs.google.com/spreadsheets/d/1AYloUVSTDGdGqJ_eWKQ8B7c2FBAbDZjpTE5YDlbpYoE/edit?gid=0" TargetMode="External"/><Relationship Id="rId67" Type="http://schemas.openxmlformats.org/officeDocument/2006/relationships/hyperlink" Target="https://docs.google.com/spreadsheets/d/1I8z6Xfl0SZLMgBnWxBRKoVK18zG4drUtjIQybtuJzxE/edit" TargetMode="External"/><Relationship Id="rId60" Type="http://schemas.openxmlformats.org/officeDocument/2006/relationships/hyperlink" Target="https://docs.google.com/spreadsheets/d/1MvzyJLe5oScOl4KjmrXr4bF1shHNP7m3u_KrVvJNGq8/edit" TargetMode="External"/><Relationship Id="rId165" Type="http://schemas.openxmlformats.org/officeDocument/2006/relationships/hyperlink" Target="https://docs.google.com/spreadsheets/d/1zURJm1oFm5EAktQ3_pqZzBthoHcc4825AzQJJJEATcs/edit?gid=1448909047" TargetMode="External"/><Relationship Id="rId69" Type="http://schemas.openxmlformats.org/officeDocument/2006/relationships/hyperlink" Target="https://docs.google.com/spreadsheets/d/1jmBFvxVGKQdmVHp9imrnhkW5r-SmJ28k6LqBFIGDm6A/edit" TargetMode="External"/><Relationship Id="rId164" Type="http://schemas.openxmlformats.org/officeDocument/2006/relationships/hyperlink" Target="https://docs.google.com/spreadsheets/d/1JLs-b2-TsYv3zlBlou8InJtcgbX59Ua1BGkOwDisNIo/edit?gid=0" TargetMode="External"/><Relationship Id="rId163" Type="http://schemas.openxmlformats.org/officeDocument/2006/relationships/hyperlink" Target="https://docs.google.com/spreadsheets/d/1WyA5y91MAdOf-UYazaFWPigXw7bMDxTg4tFg3GFWjT4/edit?gid=0" TargetMode="External"/><Relationship Id="rId162" Type="http://schemas.openxmlformats.org/officeDocument/2006/relationships/hyperlink" Target="https://docs.google.com/spreadsheets/d/16h2fb5Ba4T_JehXOJvw2y92bfSG0-j9wjn4OKSOFK-Y/edit?gid=0" TargetMode="External"/><Relationship Id="rId169" Type="http://schemas.openxmlformats.org/officeDocument/2006/relationships/hyperlink" Target="https://docs.google.com/spreadsheets/d/1hnyLRjEoQlSh_U0zxMrdRMGzEWIA7gaDnPP-iyIBG6A/edit?gid=0" TargetMode="External"/><Relationship Id="rId168" Type="http://schemas.openxmlformats.org/officeDocument/2006/relationships/hyperlink" Target="https://docs.google.com/spreadsheets/d/1xaLXHXbfkC0WLAYbBrJ8IoXnSnNyeO3X9X4WeRz89cw/edit?gid=1493296625" TargetMode="External"/><Relationship Id="rId167" Type="http://schemas.openxmlformats.org/officeDocument/2006/relationships/hyperlink" Target="https://docs.google.com/spreadsheets/d/1Xam3HNG_r0r6TYycyBKmMsliick4kXfGwMFnVdM4MRU/edit?gid=0" TargetMode="External"/><Relationship Id="rId166" Type="http://schemas.openxmlformats.org/officeDocument/2006/relationships/hyperlink" Target="https://docs.google.com/spreadsheets/d/1A47NaRY9Ez80_IndAlNdl9ozjHJpwBqyo9WI4sWIq3g/edit?gid=0" TargetMode="External"/><Relationship Id="rId51" Type="http://schemas.openxmlformats.org/officeDocument/2006/relationships/hyperlink" Target="https://docs.google.com/spreadsheets/d/1ocgsSn3L-88dzzTXvjPnm-mRwf9KNXUnPd--lUdR6oc/edit?gid=1572603678" TargetMode="External"/><Relationship Id="rId50" Type="http://schemas.openxmlformats.org/officeDocument/2006/relationships/hyperlink" Target="https://docs.google.com/spreadsheets/d/15AqdQm5YkAFRfu2r5LTF0YinlxQl1irlVpAkdhrGbJ0/edit?gid=0" TargetMode="External"/><Relationship Id="rId53" Type="http://schemas.openxmlformats.org/officeDocument/2006/relationships/hyperlink" Target="https://docs.google.com/spreadsheets/d/1qB0wLF6n06Xjuz33RbhM7IXLGi5siQLFWFLO-uO9I_g/edit" TargetMode="External"/><Relationship Id="rId52" Type="http://schemas.openxmlformats.org/officeDocument/2006/relationships/hyperlink" Target="https://docs.google.com/spreadsheets/d/1dXjsNNWsq3NeEasNhZKW3zTL_0EUYBiJuigsxeiomGM/edit?gid=1622533107" TargetMode="External"/><Relationship Id="rId55" Type="http://schemas.openxmlformats.org/officeDocument/2006/relationships/hyperlink" Target="https://docs.google.com/spreadsheets/d/1HDGA-F4B-GDBBUlnJZi2PMo2Yy--hq6dG-YFM90rIzw/edit" TargetMode="External"/><Relationship Id="rId161" Type="http://schemas.openxmlformats.org/officeDocument/2006/relationships/hyperlink" Target="https://docs.google.com/spreadsheets/d/1LrmcoKTCV8L3ma6OI-AJpPEckWu_kbK-gIz1jwwPTfM/edit" TargetMode="External"/><Relationship Id="rId54" Type="http://schemas.openxmlformats.org/officeDocument/2006/relationships/hyperlink" Target="https://docs.google.com/spreadsheets/d/1782y0Ibe1yvSMN3u9Xl6eOr76HRhRm0OHFWC8W9DhHQ/edit" TargetMode="External"/><Relationship Id="rId160" Type="http://schemas.openxmlformats.org/officeDocument/2006/relationships/hyperlink" Target="https://docs.google.com/spreadsheets/u/0/d/1YvSh2rjgF0T-h2qLpMJUtjvUSYxrh1i61z24Ydm9_tI/edit" TargetMode="External"/><Relationship Id="rId57" Type="http://schemas.openxmlformats.org/officeDocument/2006/relationships/hyperlink" Target="https://docs.google.com/spreadsheets/d/1zZrQzeo-pLQodYi6Jw--fNVDOKrSmQL1Jd3GjTKt7z8/edit" TargetMode="External"/><Relationship Id="rId56" Type="http://schemas.openxmlformats.org/officeDocument/2006/relationships/hyperlink" Target="https://docs.google.com/spreadsheets/d/160qastmdA75nF7eZOKHiYx2-dg1tDT-CE6L7D1M1stU/edit" TargetMode="External"/><Relationship Id="rId159" Type="http://schemas.openxmlformats.org/officeDocument/2006/relationships/hyperlink" Target="https://docs.google.com/spreadsheets/d/1n5sVpozdF8VHwo-uFhrw_AnVhMcO3o9pnhcPjkIP1nQ/edit?gid=350932188" TargetMode="External"/><Relationship Id="rId59" Type="http://schemas.openxmlformats.org/officeDocument/2006/relationships/hyperlink" Target="https://docs.google.com/spreadsheets/d/14pr0LWS4yWvsbcpEvNucTxJa2rYb_R0kLM3icaSL2uY/edit?gid=429484565" TargetMode="External"/><Relationship Id="rId154" Type="http://schemas.openxmlformats.org/officeDocument/2006/relationships/hyperlink" Target="https://docs.google.com/spreadsheets/d/1SMt1pqYCvGPpiMknRM26ek7JjvdwZJqK-Li4_SyFHEc/edit?gid=1089458672" TargetMode="External"/><Relationship Id="rId58" Type="http://schemas.openxmlformats.org/officeDocument/2006/relationships/hyperlink" Target="https://docs.google.com/spreadsheets/d/168rO1noAjXUXPyctkxWsPdyeGBTsdn824sOiP-z2cWY/edit" TargetMode="External"/><Relationship Id="rId153" Type="http://schemas.openxmlformats.org/officeDocument/2006/relationships/hyperlink" Target="https://docs.google.com/spreadsheets/d/1Q5bLMdU-xURO8V0-x3r5xNyq88vnfkNPCQ3hu_xHIsU/edit?gid=162659938" TargetMode="External"/><Relationship Id="rId152" Type="http://schemas.openxmlformats.org/officeDocument/2006/relationships/hyperlink" Target="https://docs.google.com/spreadsheets/d/1sSd36kbbelgYAPey114fqOQ7PNwz4uYjGlTg07byzOs/edit?gid=2120302259" TargetMode="External"/><Relationship Id="rId151" Type="http://schemas.openxmlformats.org/officeDocument/2006/relationships/hyperlink" Target="https://docs.google.com/spreadsheets/d/1RIKtidqK6hOmuK0xqGl8SKK7KjTCUKiagqmfmuzZkFQ/edit?gid=1219811845" TargetMode="External"/><Relationship Id="rId158" Type="http://schemas.openxmlformats.org/officeDocument/2006/relationships/hyperlink" Target="https://docs.google.com/spreadsheets/d/1-ogoWjnzIVLNWtmtxffbKqxjIGfK2GUBdU2m2vHuN1s/edit?gid=0" TargetMode="External"/><Relationship Id="rId157" Type="http://schemas.openxmlformats.org/officeDocument/2006/relationships/hyperlink" Target="https://docs.google.com/spreadsheets/d/1I474VIS3tjOdc5ji7ckmL-ZCqzOM_zk53P3oK2g9VTM/edit?gid=216875875" TargetMode="External"/><Relationship Id="rId156" Type="http://schemas.openxmlformats.org/officeDocument/2006/relationships/hyperlink" Target="https://docs.google.com/spreadsheets/d/1TtPg-FlLO1jhwMXHbfK3fOdebITZM3SHDdYgDdsun-o/edit" TargetMode="External"/><Relationship Id="rId155" Type="http://schemas.openxmlformats.org/officeDocument/2006/relationships/hyperlink" Target="https://docs.google.com/spreadsheets/d/1MX5Kbjf81QC_BMDN8al1mCZcsg0QgZKBlfScQqrLpLs/edit?gid=741460961" TargetMode="External"/><Relationship Id="rId107" Type="http://schemas.openxmlformats.org/officeDocument/2006/relationships/hyperlink" Target="https://docs.google.com/spreadsheets/d/1939lMQ_ymDDtVRAKKKpTg6-ciOV1sghbvYqRFhFaZi8/edit" TargetMode="External"/><Relationship Id="rId228" Type="http://schemas.openxmlformats.org/officeDocument/2006/relationships/hyperlink" Target="https://docs.google.com/spreadsheets/d/1Sl-erOK-cdb8-JzSrLsnrDJJBl69pGmodIAZ9ADURhM/edit?gid=0" TargetMode="External"/><Relationship Id="rId106" Type="http://schemas.openxmlformats.org/officeDocument/2006/relationships/hyperlink" Target="https://docs.google.com/spreadsheets/d/156SGblhGPrELnH1FKNY41p5c_9ctePyjdgoNlJkLR94/edit" TargetMode="External"/><Relationship Id="rId227" Type="http://schemas.openxmlformats.org/officeDocument/2006/relationships/hyperlink" Target="https://docs.google.com/spreadsheets/d/1qaO1IMPpqmEBNOfizAZLdNVdwcHZEJJTKh7_k8tOy6s/edit?gid=0" TargetMode="External"/><Relationship Id="rId105" Type="http://schemas.openxmlformats.org/officeDocument/2006/relationships/hyperlink" Target="https://docs.google.com/spreadsheets/d/1shTvs8XCxTEi4uArYvktfhVF3aaBcX8qXa6gu0Yrdy8/edit" TargetMode="External"/><Relationship Id="rId226" Type="http://schemas.openxmlformats.org/officeDocument/2006/relationships/hyperlink" Target="https://docs.google.com/spreadsheets/d/1haSiP1YlxjODReGAO16yDBv48qp9eLRDfpKj-6mAlDQ/edit?gid=0" TargetMode="External"/><Relationship Id="rId104" Type="http://schemas.openxmlformats.org/officeDocument/2006/relationships/hyperlink" Target="https://docs.google.com/spreadsheets/d/1e9SaWVffUYtulZA0Qz11l6mchzaBCaXi023gDuCgG_A/edit" TargetMode="External"/><Relationship Id="rId225" Type="http://schemas.openxmlformats.org/officeDocument/2006/relationships/hyperlink" Target="https://docs.google.com/spreadsheets/d/1v1sX1hvawUujYfy5gMGfTM3JIsnXhnKYvEjav5fhpdI/edit?gid=0" TargetMode="External"/><Relationship Id="rId109" Type="http://schemas.openxmlformats.org/officeDocument/2006/relationships/hyperlink" Target="https://docs.google.com/spreadsheets/d/1j7Nu-wU4q-UwGzcF5m-7_LFLSWRWonleD-DZtJT2GfY/edit" TargetMode="External"/><Relationship Id="rId108" Type="http://schemas.openxmlformats.org/officeDocument/2006/relationships/hyperlink" Target="https://docs.google.com/spreadsheets/d/15jee2k6DSN8nNrsGXt9fSygQKECjnTqi8q5bSr2fopI/edit" TargetMode="External"/><Relationship Id="rId229" Type="http://schemas.openxmlformats.org/officeDocument/2006/relationships/drawing" Target="../drawings/drawing1.xml"/><Relationship Id="rId220" Type="http://schemas.openxmlformats.org/officeDocument/2006/relationships/hyperlink" Target="https://docs.google.com/spreadsheets/d/1sVVPEI3Qs9g-agM63AHX6h_yClh0g180D6HiVCT50fY/edit" TargetMode="External"/><Relationship Id="rId103" Type="http://schemas.openxmlformats.org/officeDocument/2006/relationships/hyperlink" Target="https://docs.google.com/spreadsheets/d/1Cr2_pSX3-yhuS1Sayvgl6YpnuKxXHVGMTe6yyY45KCA/edit" TargetMode="External"/><Relationship Id="rId224" Type="http://schemas.openxmlformats.org/officeDocument/2006/relationships/hyperlink" Target="https://docs.google.com/spreadsheets/d/1zJPk0T85pT-shVevHB_u0CNcXJxfeLvBi3CeABCxKEs/edit?gid=0" TargetMode="External"/><Relationship Id="rId102" Type="http://schemas.openxmlformats.org/officeDocument/2006/relationships/hyperlink" Target="https://docs.google.com/spreadsheets/d/1SRwam8SNlw4sXl322moV7twW0wJxVm4N5PRJuC10VAA/edit" TargetMode="External"/><Relationship Id="rId223" Type="http://schemas.openxmlformats.org/officeDocument/2006/relationships/hyperlink" Target="https://docs.google.com/spreadsheets/d/1D2oevkluEW8r5qTWebuSv0eOQqTejmKy6Z7-JK4ne5Y/edit" TargetMode="External"/><Relationship Id="rId101" Type="http://schemas.openxmlformats.org/officeDocument/2006/relationships/hyperlink" Target="https://docs.google.com/spreadsheets/d/1lrpW3ERBae84SZH5rLCIIaLpTHa8gnQDG_xpkiONU-Q/edit?gid=31348442" TargetMode="External"/><Relationship Id="rId222" Type="http://schemas.openxmlformats.org/officeDocument/2006/relationships/hyperlink" Target="https://docs.google.com/spreadsheets/d/1HNJqLCn0iE1rmX-zUpPAYeB7r9MThdnbvAt8g6e1Ong/edit" TargetMode="External"/><Relationship Id="rId100" Type="http://schemas.openxmlformats.org/officeDocument/2006/relationships/hyperlink" Target="https://docs.google.com/spreadsheets/d/1Qy4AhkrCwmDPPa9arKWOGV5jQtQ6fPEBUDl2sx_mLIg/edit" TargetMode="External"/><Relationship Id="rId221" Type="http://schemas.openxmlformats.org/officeDocument/2006/relationships/hyperlink" Target="https://docs.google.com/spreadsheets/d/1xUKQcbDwYMW0gppBwEYDVX4butdCRbJhc-AGKQLvMzY/edit" TargetMode="External"/><Relationship Id="rId217" Type="http://schemas.openxmlformats.org/officeDocument/2006/relationships/hyperlink" Target="https://docs.google.com/spreadsheets/d/1z3zkAsaiORfVQaNnpf3lpr76arUQR082CgqmYP3vFYI/edit?gid=0" TargetMode="External"/><Relationship Id="rId216" Type="http://schemas.openxmlformats.org/officeDocument/2006/relationships/hyperlink" Target="https://docs.google.com/spreadsheets/d/1noGDJmPCDUn4PCcM0eGrzvuzorTYiYauVJYp5Jbs3hA/edit" TargetMode="External"/><Relationship Id="rId215" Type="http://schemas.openxmlformats.org/officeDocument/2006/relationships/hyperlink" Target="https://docs.google.com/spreadsheets/d/1WJK-sgnpS_Do_vxIsHygJLK2Z1jVnay9VBu59Fe0GVI/edit" TargetMode="External"/><Relationship Id="rId214" Type="http://schemas.openxmlformats.org/officeDocument/2006/relationships/hyperlink" Target="https://docs.google.com/spreadsheets/d/1d9HuMLVIfyWMdnJ6bnqjZ3HU6yvuc-n_H-VBPXlBW5s/edit?gid=0" TargetMode="External"/><Relationship Id="rId219" Type="http://schemas.openxmlformats.org/officeDocument/2006/relationships/hyperlink" Target="https://docs.google.com/spreadsheets/d/1KtLc5obE_6VKCzPev5r5J9lFw6lt8gHztkItNMpjPvA/edit" TargetMode="External"/><Relationship Id="rId218" Type="http://schemas.openxmlformats.org/officeDocument/2006/relationships/hyperlink" Target="https://docs.google.com/spreadsheets/d/1afPv6Itln-AgmM1wSPGWgSh08mCOyf4jitO0Fx8AOdw/edit?gid=720707912" TargetMode="External"/><Relationship Id="rId213" Type="http://schemas.openxmlformats.org/officeDocument/2006/relationships/hyperlink" Target="https://docs.google.com/spreadsheets/d/17brku7jjk_GMsYWAScz5MNZZPzz-2tMl1ARBNFXs5Y0/edit?gid=0" TargetMode="External"/><Relationship Id="rId212" Type="http://schemas.openxmlformats.org/officeDocument/2006/relationships/hyperlink" Target="https://docs.google.com/spreadsheets/d/14jfqVqr9SYA1Mxz_Dng8_Y7-MoVXkBZmFUjBs4BUQN4/edit" TargetMode="External"/><Relationship Id="rId211" Type="http://schemas.openxmlformats.org/officeDocument/2006/relationships/hyperlink" Target="https://docs.google.com/spreadsheets/d/1MhtL6kjz5kw9OF8Iihe8GijJQfwdS2pTKIboN5e5hUk/edit?gid=1996990278" TargetMode="External"/><Relationship Id="rId210" Type="http://schemas.openxmlformats.org/officeDocument/2006/relationships/hyperlink" Target="https://docs.google.com/spreadsheets/d/1_LqJP6DheLf1agwgcZJ0Mg7h0JptwOFu1VXpP7VjbMA/edit?gid=1996990278" TargetMode="External"/><Relationship Id="rId129" Type="http://schemas.openxmlformats.org/officeDocument/2006/relationships/hyperlink" Target="https://docs.google.com/spreadsheets/d/1KK2Gk0v7qSg-tdyBI73crsdg5bq163NRRkpYHeQi_Y0/edit?gid=1996990278" TargetMode="External"/><Relationship Id="rId128" Type="http://schemas.openxmlformats.org/officeDocument/2006/relationships/hyperlink" Target="https://docs.google.com/spreadsheets/d/1VqJ41KU2NHf3hBrQkQD7pFGKum8ws6X0cK6C5YetsgY/edit?gid=1996990278" TargetMode="External"/><Relationship Id="rId127" Type="http://schemas.openxmlformats.org/officeDocument/2006/relationships/hyperlink" Target="https://docs.google.com/spreadsheets/d/1H5ov6exB2KA-MsYBzkS8Gakd86NhbRUa-tEOe1wSAcY/edit?gid=1996990278" TargetMode="External"/><Relationship Id="rId126" Type="http://schemas.openxmlformats.org/officeDocument/2006/relationships/hyperlink" Target="https://docs.google.com/spreadsheets/d/1WBmn03mnxrtox5uWO2YKJB7PYVfHYAUNt150alXp7eg/edit?gid=1996990278" TargetMode="External"/><Relationship Id="rId121" Type="http://schemas.openxmlformats.org/officeDocument/2006/relationships/hyperlink" Target="https://docs.google.com/spreadsheets/d/1f-Q3GKpCdBCdJNXC0PAWbenumI9Kvif8dR3uM-wiA14/edit" TargetMode="External"/><Relationship Id="rId120" Type="http://schemas.openxmlformats.org/officeDocument/2006/relationships/hyperlink" Target="https://docs.google.com/spreadsheets/d/14k9zl8QJZNDdLexy-mL85RC3KURzq9Zn4glvtZCxREk/edit" TargetMode="External"/><Relationship Id="rId125" Type="http://schemas.openxmlformats.org/officeDocument/2006/relationships/hyperlink" Target="https://docs.google.com/spreadsheets/d/1O8_IB27WHzeYapUtQjxSkdl_JCT9lSSz357rD743jfU/edit" TargetMode="External"/><Relationship Id="rId124" Type="http://schemas.openxmlformats.org/officeDocument/2006/relationships/hyperlink" Target="https://docs.google.com/spreadsheets/d/1Kbg-PEBsKwSxEO5N_-jXktJpPSl1uQP-6wpQXKr9BiM/edit" TargetMode="External"/><Relationship Id="rId123" Type="http://schemas.openxmlformats.org/officeDocument/2006/relationships/hyperlink" Target="https://docs.google.com/spreadsheets/d/1e8jkTtwi2aXiYRx1t-DdbLhvJgj08Uq9ZOXPl2yK5AY/edit" TargetMode="External"/><Relationship Id="rId122" Type="http://schemas.openxmlformats.org/officeDocument/2006/relationships/hyperlink" Target="https://docs.google.com/spreadsheets/d/1kXi-Po5tHh3RtsiZDCgyu75R5xrra0yqvmCs6fPdJr0/edit" TargetMode="External"/><Relationship Id="rId95" Type="http://schemas.openxmlformats.org/officeDocument/2006/relationships/hyperlink" Target="https://docs.google.com/spreadsheets/d/1gBSOlfPBM0xWQ6uvhSlxXPJioEdKdIHOyJPiizY4W2o/edit" TargetMode="External"/><Relationship Id="rId94" Type="http://schemas.openxmlformats.org/officeDocument/2006/relationships/hyperlink" Target="https://docs.google.com/spreadsheets/d/1XBfiSuCmqOXHpS2F64iSZHyqzwuIwsQyxjk4aAoupus/edit" TargetMode="External"/><Relationship Id="rId97" Type="http://schemas.openxmlformats.org/officeDocument/2006/relationships/hyperlink" Target="https://docs.google.com/spreadsheets/d/1AEqUI2za5g6wYjXj1or87EmS_1Xr5zeTeh75HX6TIRs/edit" TargetMode="External"/><Relationship Id="rId96" Type="http://schemas.openxmlformats.org/officeDocument/2006/relationships/hyperlink" Target="https://docs.google.com/spreadsheets/d/12NAF1MMl-z3SV6fkAOrVJEa7ZNuEoTL4waKw4vXLNes/edit" TargetMode="External"/><Relationship Id="rId99" Type="http://schemas.openxmlformats.org/officeDocument/2006/relationships/hyperlink" Target="https://docs.google.com/spreadsheets/d/1XawI1eeAYzxXaEtROeQ7asG4RKU9dbiD2rtpUdvB76A/edit" TargetMode="External"/><Relationship Id="rId98" Type="http://schemas.openxmlformats.org/officeDocument/2006/relationships/hyperlink" Target="https://docs.google.com/spreadsheets/d/1S4W1SsvjFN8z0hdXAYztswIPFnmI5owY4xgKT81w7ZE/edit" TargetMode="External"/><Relationship Id="rId91" Type="http://schemas.openxmlformats.org/officeDocument/2006/relationships/hyperlink" Target="https://docs.google.com/spreadsheets/d/1FGGDrtOqFXFnIAqpV4VK1I_FD986CaP6bQUHv8xEIys/edit" TargetMode="External"/><Relationship Id="rId90" Type="http://schemas.openxmlformats.org/officeDocument/2006/relationships/hyperlink" Target="https://docs.google.com/spreadsheets/d/1wjoxTKxLPmzHS19GT_DZ96swQR-_WwppkY-Fa7qtBBY/edit" TargetMode="External"/><Relationship Id="rId93" Type="http://schemas.openxmlformats.org/officeDocument/2006/relationships/hyperlink" Target="https://docs.google.com/spreadsheets/d/1yYGXSwJ72j8viKCOe86p6wi8lNM7qrWmfCBaFBiUKLo/edit" TargetMode="External"/><Relationship Id="rId92" Type="http://schemas.openxmlformats.org/officeDocument/2006/relationships/hyperlink" Target="https://docs.google.com/spreadsheets/d/19sd98Ma-lKiTrPsBhkwCFf0ACdf0Xphg3rWCORyhIMY/edit" TargetMode="External"/><Relationship Id="rId118" Type="http://schemas.openxmlformats.org/officeDocument/2006/relationships/hyperlink" Target="https://docs.google.com/spreadsheets/d/1lrzJ0bcPvcbipm39nmARSoKIg0_81LFUcUZBMTIXHW8/edit" TargetMode="External"/><Relationship Id="rId117" Type="http://schemas.openxmlformats.org/officeDocument/2006/relationships/hyperlink" Target="https://docs.google.com/spreadsheets/d/1ePExRxwP6pYHNPcZoek1UEmUSlzyoQB26S6P0bkl_7w/edit" TargetMode="External"/><Relationship Id="rId116" Type="http://schemas.openxmlformats.org/officeDocument/2006/relationships/hyperlink" Target="https://docs.google.com/spreadsheets/d/1caQXh8WGfK5sXydbQ1cFTMP2RiGHVTedJ7iCzX2Bmes/edit" TargetMode="External"/><Relationship Id="rId115" Type="http://schemas.openxmlformats.org/officeDocument/2006/relationships/hyperlink" Target="https://docs.google.com/spreadsheets/d/1nZS-t-cNO00Enmafk2x3CmLJnbno5WaD_EEIUOjJ93Q/edit" TargetMode="External"/><Relationship Id="rId119" Type="http://schemas.openxmlformats.org/officeDocument/2006/relationships/hyperlink" Target="https://docs.google.com/spreadsheets/d/1mi1sDldXWcjlwchNl1AQUNhqAUBYBIp7wc37TNeFjug/edit" TargetMode="External"/><Relationship Id="rId110" Type="http://schemas.openxmlformats.org/officeDocument/2006/relationships/hyperlink" Target="https://docs.google.com/spreadsheets/d/1QP5E3bv2nQocHwhakijcUbpjfZXkhSHOEthvwHNKxmI/edit" TargetMode="External"/><Relationship Id="rId230" Type="http://schemas.openxmlformats.org/officeDocument/2006/relationships/vmlDrawing" Target="../drawings/vmlDrawing1.vml"/><Relationship Id="rId114" Type="http://schemas.openxmlformats.org/officeDocument/2006/relationships/hyperlink" Target="https://docs.google.com/spreadsheets/d/1UteHRCCON4AO5JM7duOBoq72OM5x2CQQr2sJKgCMmOA/edit" TargetMode="External"/><Relationship Id="rId113" Type="http://schemas.openxmlformats.org/officeDocument/2006/relationships/hyperlink" Target="https://docs.google.com/spreadsheets/d/1z4Dlg9-vhzqicqIM3aOVAq9C7BiGYht1wlKwymUb1rs/edit" TargetMode="External"/><Relationship Id="rId112" Type="http://schemas.openxmlformats.org/officeDocument/2006/relationships/hyperlink" Target="https://docs.google.com/spreadsheets/d/1BjyFlLZTYgD3mFAjCX0s67AY3qvKXaoe2hT6732MbyM/edit" TargetMode="External"/><Relationship Id="rId111" Type="http://schemas.openxmlformats.org/officeDocument/2006/relationships/hyperlink" Target="https://docs.google.com/spreadsheets/d/1nf1mZOdFw_I9WqkBXQwXHTbrrZ3qxgTnaC1u33tib50/edit" TargetMode="External"/><Relationship Id="rId206" Type="http://schemas.openxmlformats.org/officeDocument/2006/relationships/hyperlink" Target="https://docs.google.com/spreadsheets/d/1KUPmAuOzC9wuzzZ_zAAVEqO-41V0l3L_tTcLTYCCjFE/edit" TargetMode="External"/><Relationship Id="rId205" Type="http://schemas.openxmlformats.org/officeDocument/2006/relationships/hyperlink" Target="https://docs.google.com/spreadsheets/d/1BjqZFgZMEUHH99UxeDQWBa1xyzoLyjK-9TOV255VLKM/edit" TargetMode="External"/><Relationship Id="rId204" Type="http://schemas.openxmlformats.org/officeDocument/2006/relationships/hyperlink" Target="https://docs.google.com/spreadsheets/d/1z8uLFFSv7QQ8DnlcRxTwGSIjj5rWVWR2PCS0eEJ8egU/edit?gid=1586402276" TargetMode="External"/><Relationship Id="rId203" Type="http://schemas.openxmlformats.org/officeDocument/2006/relationships/hyperlink" Target="https://docs.google.com/spreadsheets/d/13dftCqnLXGxGta9pcy18GHh8WGP45Y7njJ4UI-jcPGI/edit?gid=1586402276" TargetMode="External"/><Relationship Id="rId209" Type="http://schemas.openxmlformats.org/officeDocument/2006/relationships/hyperlink" Target="https://docs.google.com/spreadsheets/d/1BQE1z8Wbo5oxG2TFYmJvlqzjy76XHVZPSNlrebDw0Ps/edit" TargetMode="External"/><Relationship Id="rId208" Type="http://schemas.openxmlformats.org/officeDocument/2006/relationships/hyperlink" Target="https://docs.google.com/spreadsheets/d/1xSvPZfXvMICHiNx5twnhUe07KjqWf-qD_46hZs7CJuc/edit" TargetMode="External"/><Relationship Id="rId207" Type="http://schemas.openxmlformats.org/officeDocument/2006/relationships/hyperlink" Target="https://docs.google.com/spreadsheets/d/1KYkJgTGHVqDhF6S7KdlhfxtvLh968QkFZxeTKDgd3UI/edit?gid=1910704515" TargetMode="External"/><Relationship Id="rId202" Type="http://schemas.openxmlformats.org/officeDocument/2006/relationships/hyperlink" Target="https://docs.google.com/spreadsheets/d/1OHotHZ3l-xI-Dl4Gf6Pm8glzWqKQkPB46kcKJ5qYC2w/edit" TargetMode="External"/><Relationship Id="rId201" Type="http://schemas.openxmlformats.org/officeDocument/2006/relationships/hyperlink" Target="https://docs.google.com/spreadsheets/d/1jor4uYuanvYtGhsvoocz_67jaLbkIuKJKdd2gNs-d_Y/edit" TargetMode="External"/><Relationship Id="rId200" Type="http://schemas.openxmlformats.org/officeDocument/2006/relationships/hyperlink" Target="https://docs.google.com/spreadsheets/d/1_N_I4ldw7jSXANNwvfkS1RWeo5M0ZRiXn1CZxlEUmWU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r.n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iamprayag.prayagindia.net/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2.63" defaultRowHeight="15.75"/>
  <cols>
    <col hidden="1" min="1" max="1" width="12.63"/>
    <col customWidth="1" min="2" max="2" width="17.25"/>
    <col customWidth="1" min="3" max="3" width="27.75"/>
    <col customWidth="1" min="4" max="4" width="13.25"/>
    <col customWidth="1" min="5" max="5" width="10.25"/>
    <col customWidth="1" min="6" max="6" width="8.75"/>
    <col hidden="1" min="7" max="8" width="12.63"/>
    <col customWidth="1" min="9" max="9" width="8.5"/>
    <col customWidth="1" min="10" max="10" width="10.38"/>
    <col customWidth="1" min="11" max="11" width="5.75"/>
    <col customWidth="1" min="12" max="12" width="10.38"/>
    <col customWidth="1" min="13" max="13" width="10.63"/>
    <col customWidth="1" min="14" max="14" width="6.25"/>
    <col customWidth="1" min="15" max="15" width="10.38"/>
    <col customWidth="1" min="16" max="16" width="9.5"/>
    <col customWidth="1" min="17" max="17" width="5.0"/>
    <col customWidth="1" min="18" max="18" width="10.38"/>
    <col customWidth="1" min="19" max="19" width="5.0"/>
    <col customWidth="1" min="20" max="20" width="9.88"/>
    <col customWidth="1" min="21" max="21" width="10.88"/>
    <col customWidth="1" min="22" max="22" width="5.0"/>
    <col customWidth="1" min="23" max="23" width="9.5"/>
    <col customWidth="1" min="24" max="24" width="5.0"/>
    <col customWidth="1" min="25" max="25" width="10.38"/>
    <col customWidth="1" min="26" max="26" width="5.0"/>
    <col customWidth="1" min="27" max="27" width="9.88"/>
    <col customWidth="1" min="28" max="28" width="10.88"/>
    <col customWidth="1" min="29" max="29" width="5.0"/>
    <col customWidth="1" min="30" max="30" width="9.5"/>
    <col customWidth="1" min="31" max="31" width="5.0"/>
    <col customWidth="1" min="32" max="32" width="10.38"/>
    <col customWidth="1" min="33" max="33" width="5.0"/>
    <col customWidth="1" min="34" max="34" width="9.88"/>
    <col customWidth="1" min="35" max="35" width="10.88"/>
    <col customWidth="1" min="36" max="36" width="5.0"/>
    <col customWidth="1" min="37" max="37" width="10.63"/>
    <col customWidth="1" min="38" max="38" width="5.0"/>
    <col customWidth="1" min="39" max="39" width="10.38"/>
    <col customWidth="1" min="40" max="40" width="5.0"/>
    <col customWidth="1" min="41" max="41" width="9.88"/>
    <col customWidth="1" min="42" max="42" width="10.88"/>
    <col customWidth="1" min="43" max="43" width="5.0"/>
    <col customWidth="1" min="44" max="44" width="9.63"/>
    <col customWidth="1" min="45" max="45" width="5.13"/>
    <col customWidth="1" min="46" max="46" width="10.38"/>
    <col customWidth="1" min="47" max="47" width="5.0"/>
    <col customWidth="1" min="48" max="48" width="9.88"/>
    <col customWidth="1" min="49" max="49" width="10.88"/>
    <col customWidth="1" min="50" max="50" width="5.0"/>
    <col customWidth="1" min="51" max="51" width="12.38"/>
    <col customWidth="1" min="52" max="52" width="5.0"/>
    <col customWidth="1" min="53" max="53" width="10.38"/>
    <col customWidth="1" min="54" max="54" width="5.0"/>
    <col customWidth="1" min="55" max="55" width="9.88"/>
    <col customWidth="1" min="56" max="56" width="10.88"/>
    <col customWidth="1" min="57" max="57" width="5.0"/>
    <col customWidth="1" min="58" max="58" width="10.38"/>
    <col customWidth="1" min="59" max="59" width="5.13"/>
    <col customWidth="1" min="60" max="60" width="10.38"/>
    <col customWidth="1" min="61" max="61" width="5.13"/>
    <col customWidth="1" min="62" max="62" width="9.88"/>
    <col customWidth="1" min="63" max="63" width="10.88"/>
    <col customWidth="1" min="64" max="64" width="5.0"/>
    <col customWidth="1" min="65" max="65" width="12.0"/>
    <col customWidth="1" min="66" max="66" width="5.0"/>
    <col customWidth="1" min="67" max="67" width="10.38"/>
    <col customWidth="1" min="68" max="68" width="5.0"/>
    <col customWidth="1" min="69" max="69" width="9.88"/>
    <col customWidth="1" min="70" max="70" width="10.88"/>
    <col customWidth="1" min="71" max="71" width="5.0"/>
    <col customWidth="1" min="72" max="72" width="11.88"/>
    <col customWidth="1" min="73" max="73" width="5.0"/>
    <col customWidth="1" min="74" max="74" width="10.38"/>
    <col customWidth="1" min="75" max="75" width="5.0"/>
    <col customWidth="1" min="76" max="76" width="9.88"/>
    <col customWidth="1" min="77" max="77" width="10.88"/>
    <col customWidth="1" min="78" max="78" width="5.0"/>
    <col customWidth="1" min="79" max="79" width="10.13"/>
    <col customWidth="1" min="80" max="80" width="5.0"/>
    <col customWidth="1" min="81" max="81" width="10.38"/>
    <col customWidth="1" min="82" max="82" width="5.0"/>
    <col customWidth="1" min="83" max="83" width="9.88"/>
    <col customWidth="1" min="84" max="84" width="10.88"/>
    <col customWidth="1" min="85" max="85" width="5.0"/>
    <col customWidth="1" min="86" max="86" width="10.88"/>
    <col customWidth="1" min="87" max="87" width="5.0"/>
    <col customWidth="1" min="88" max="88" width="10.38"/>
    <col customWidth="1" min="89" max="89" width="5.0"/>
    <col customWidth="1" min="90" max="90" width="9.88"/>
    <col customWidth="1" min="91" max="91" width="10.88"/>
    <col customWidth="1" min="92" max="92" width="5.0"/>
    <col customWidth="1" min="93" max="93" width="9.25"/>
    <col customWidth="1" min="94" max="94" width="5.0"/>
    <col customWidth="1" min="95" max="95" width="10.38"/>
    <col customWidth="1" min="96" max="96" width="5.0"/>
    <col customWidth="1" min="97" max="97" width="9.88"/>
    <col customWidth="1" min="98" max="98" width="10.88"/>
    <col customWidth="1" min="99" max="100" width="5.0"/>
  </cols>
  <sheetData>
    <row r="1" ht="13.5" customHeight="1">
      <c r="A1" s="1"/>
      <c r="B1" s="2" t="s">
        <v>0</v>
      </c>
      <c r="C1" s="3"/>
      <c r="D1" s="3"/>
      <c r="E1" s="3"/>
      <c r="F1" s="4"/>
      <c r="G1" s="5"/>
      <c r="H1" s="6"/>
      <c r="I1" s="5"/>
      <c r="J1" s="7"/>
      <c r="K1" s="8"/>
      <c r="L1" s="9"/>
      <c r="M1" s="5">
        <f>sum(M3,N1)-sum('Summary 25-26'!M5:N5)</f>
        <v>2309013868</v>
      </c>
      <c r="N1" s="10">
        <v>2735023.0</v>
      </c>
      <c r="O1" s="6"/>
      <c r="P1" s="5"/>
      <c r="Q1" s="6"/>
      <c r="R1" s="11"/>
      <c r="S1" s="6"/>
      <c r="T1" s="5"/>
      <c r="U1" s="6"/>
      <c r="V1" s="5"/>
      <c r="W1" s="6"/>
      <c r="X1" s="5"/>
      <c r="Y1" s="6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12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</row>
    <row r="2">
      <c r="A2" s="1"/>
      <c r="B2" s="13"/>
      <c r="C2" s="14"/>
      <c r="D2" s="14"/>
      <c r="E2" s="14"/>
      <c r="F2" s="15"/>
      <c r="G2" s="16"/>
      <c r="H2" s="16"/>
      <c r="I2" s="6"/>
      <c r="J2" s="6"/>
      <c r="K2" s="6" t="s">
        <v>1</v>
      </c>
      <c r="L2" s="5"/>
      <c r="M2" s="5"/>
      <c r="O2" s="5"/>
      <c r="P2" s="5"/>
      <c r="Q2" s="5"/>
      <c r="R2" s="11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</row>
    <row r="3">
      <c r="A3" s="1"/>
      <c r="B3" s="6"/>
      <c r="C3" s="17" t="s">
        <v>2</v>
      </c>
      <c r="D3" s="18"/>
      <c r="E3" s="18"/>
      <c r="F3" s="19"/>
      <c r="G3" s="20"/>
      <c r="H3" s="20"/>
      <c r="I3" s="21">
        <f t="shared" ref="I3:M3" si="1">SUM(I7:I225)</f>
        <v>7860770</v>
      </c>
      <c r="J3" s="21">
        <f t="shared" si="1"/>
        <v>366434011.4</v>
      </c>
      <c r="K3" s="21">
        <f t="shared" si="1"/>
        <v>17273</v>
      </c>
      <c r="L3" s="21">
        <f t="shared" si="1"/>
        <v>3797511503</v>
      </c>
      <c r="M3" s="21">
        <f t="shared" si="1"/>
        <v>2344243214</v>
      </c>
      <c r="N3" s="22">
        <f>iferror(O3/L3,"")</f>
        <v>0.6323569863</v>
      </c>
      <c r="O3" s="21">
        <f t="shared" ref="O3:S3" si="2">SUM(O7:O225)</f>
        <v>2401382930</v>
      </c>
      <c r="P3" s="21">
        <f t="shared" si="2"/>
        <v>264919767.4</v>
      </c>
      <c r="Q3" s="21">
        <f t="shared" si="2"/>
        <v>7200</v>
      </c>
      <c r="R3" s="21">
        <f t="shared" si="2"/>
        <v>131991160.2</v>
      </c>
      <c r="S3" s="21">
        <f t="shared" si="2"/>
        <v>2590</v>
      </c>
      <c r="T3" s="23">
        <f>iferror(R3/P3,"")</f>
        <v>0.4982306963</v>
      </c>
      <c r="U3" s="21">
        <f t="shared" ref="U3:Z3" si="3">SUM(U7:U225)</f>
        <v>143975271</v>
      </c>
      <c r="V3" s="21">
        <f t="shared" si="3"/>
        <v>2877</v>
      </c>
      <c r="W3" s="21">
        <f t="shared" si="3"/>
        <v>279000150.4</v>
      </c>
      <c r="X3" s="21">
        <f t="shared" si="3"/>
        <v>7448</v>
      </c>
      <c r="Y3" s="21">
        <f t="shared" si="3"/>
        <v>188000992.7</v>
      </c>
      <c r="Z3" s="21">
        <f t="shared" si="3"/>
        <v>3118</v>
      </c>
      <c r="AA3" s="23">
        <f>iferror(Y3/W3,"")</f>
        <v>0.6738383202</v>
      </c>
      <c r="AB3" s="21">
        <f t="shared" ref="AB3:AG3" si="4">SUM(AB7:AB225)</f>
        <v>191944122.7</v>
      </c>
      <c r="AC3" s="21">
        <f t="shared" si="4"/>
        <v>3405</v>
      </c>
      <c r="AD3" s="21">
        <f t="shared" si="4"/>
        <v>300781398.4</v>
      </c>
      <c r="AE3" s="21">
        <f t="shared" si="4"/>
        <v>7743</v>
      </c>
      <c r="AF3" s="21">
        <f t="shared" si="4"/>
        <v>209096917.4</v>
      </c>
      <c r="AG3" s="21">
        <f t="shared" si="4"/>
        <v>3019</v>
      </c>
      <c r="AH3" s="23">
        <f>iferror(AF3/AD3,"")</f>
        <v>0.6951790186</v>
      </c>
      <c r="AI3" s="21">
        <f t="shared" ref="AI3:AN3" si="5">SUM(AI7:AI225)</f>
        <v>217901060.1</v>
      </c>
      <c r="AJ3" s="21">
        <f t="shared" si="5"/>
        <v>3220</v>
      </c>
      <c r="AK3" s="21">
        <f t="shared" si="5"/>
        <v>293764508.2</v>
      </c>
      <c r="AL3" s="21">
        <f t="shared" si="5"/>
        <v>7782</v>
      </c>
      <c r="AM3" s="21">
        <f t="shared" si="5"/>
        <v>194497737.2</v>
      </c>
      <c r="AN3" s="21">
        <f t="shared" si="5"/>
        <v>3266</v>
      </c>
      <c r="AO3" s="23">
        <f>iferror(AM3/AK3,"")</f>
        <v>0.6620872564</v>
      </c>
      <c r="AP3" s="21">
        <f t="shared" ref="AP3:AU3" si="6">SUM(AP7:AP225)</f>
        <v>191855665.7</v>
      </c>
      <c r="AQ3" s="21">
        <f t="shared" si="6"/>
        <v>3310</v>
      </c>
      <c r="AR3" s="21">
        <f t="shared" si="6"/>
        <v>282311147.2</v>
      </c>
      <c r="AS3" s="21">
        <f t="shared" si="6"/>
        <v>7887</v>
      </c>
      <c r="AT3" s="21">
        <f t="shared" si="6"/>
        <v>193274809.7</v>
      </c>
      <c r="AU3" s="21">
        <f t="shared" si="6"/>
        <v>3120</v>
      </c>
      <c r="AV3" s="23">
        <f>iferror(AT3/AR3,"")</f>
        <v>0.6846162883</v>
      </c>
      <c r="AW3" s="21">
        <f t="shared" ref="AW3:BB3" si="7">SUM(AW7:AW225)</f>
        <v>194837890.1</v>
      </c>
      <c r="AX3" s="21">
        <f t="shared" si="7"/>
        <v>3260</v>
      </c>
      <c r="AY3" s="21">
        <f t="shared" si="7"/>
        <v>302580342.5</v>
      </c>
      <c r="AZ3" s="21">
        <f t="shared" si="7"/>
        <v>8074</v>
      </c>
      <c r="BA3" s="21">
        <f t="shared" si="7"/>
        <v>204621428.8</v>
      </c>
      <c r="BB3" s="21">
        <f t="shared" si="7"/>
        <v>3326</v>
      </c>
      <c r="BC3" s="23">
        <f>iferror(BA3/AY3,"")</f>
        <v>0.6762548655</v>
      </c>
      <c r="BD3" s="21">
        <f t="shared" ref="BD3:BI3" si="8">SUM(BD7:BD225)</f>
        <v>203850655.7</v>
      </c>
      <c r="BE3" s="21">
        <f t="shared" si="8"/>
        <v>3424</v>
      </c>
      <c r="BF3" s="21">
        <f t="shared" si="8"/>
        <v>288465258.7</v>
      </c>
      <c r="BG3" s="21">
        <f t="shared" si="8"/>
        <v>7874</v>
      </c>
      <c r="BH3" s="21">
        <f t="shared" si="8"/>
        <v>176621046.7</v>
      </c>
      <c r="BI3" s="21">
        <f t="shared" si="8"/>
        <v>2886</v>
      </c>
      <c r="BJ3" s="23">
        <f>iferror(BH3/BF3,"")</f>
        <v>0.6122783989</v>
      </c>
      <c r="BK3" s="21">
        <f t="shared" ref="BK3:BP3" si="9">SUM(BK7:BK225)</f>
        <v>180542224.5</v>
      </c>
      <c r="BL3" s="21">
        <f t="shared" si="9"/>
        <v>3087</v>
      </c>
      <c r="BM3" s="21">
        <f t="shared" si="9"/>
        <v>290905734.2</v>
      </c>
      <c r="BN3" s="21">
        <f t="shared" si="9"/>
        <v>7908</v>
      </c>
      <c r="BO3" s="21">
        <f t="shared" si="9"/>
        <v>171895586.1</v>
      </c>
      <c r="BP3" s="21">
        <f t="shared" si="9"/>
        <v>3005</v>
      </c>
      <c r="BQ3" s="23">
        <f>iferror(BO3/BM3,"")</f>
        <v>0.5908978953</v>
      </c>
      <c r="BR3" s="21">
        <f t="shared" ref="BR3:BW3" si="10">SUM(BR7:BR225)</f>
        <v>175858188.3</v>
      </c>
      <c r="BS3" s="21">
        <f t="shared" si="10"/>
        <v>3146</v>
      </c>
      <c r="BT3" s="21">
        <f t="shared" si="10"/>
        <v>323913459.2</v>
      </c>
      <c r="BU3" s="21">
        <f t="shared" si="10"/>
        <v>8155</v>
      </c>
      <c r="BV3" s="21">
        <f t="shared" si="10"/>
        <v>208312716.3</v>
      </c>
      <c r="BW3" s="21">
        <f t="shared" si="10"/>
        <v>3245</v>
      </c>
      <c r="BX3" s="23">
        <f>iferror(BV3/BT3,"")</f>
        <v>0.6431122587</v>
      </c>
      <c r="BY3" s="21">
        <f t="shared" ref="BY3:CD3" si="11">SUM(BY7:BY225)</f>
        <v>212561784.9</v>
      </c>
      <c r="BZ3" s="21">
        <f t="shared" si="11"/>
        <v>3440</v>
      </c>
      <c r="CA3" s="21">
        <f t="shared" si="11"/>
        <v>287354030.5</v>
      </c>
      <c r="CB3" s="21">
        <f t="shared" si="11"/>
        <v>7878</v>
      </c>
      <c r="CC3" s="21">
        <f t="shared" si="11"/>
        <v>207460123.8</v>
      </c>
      <c r="CD3" s="21">
        <f t="shared" si="11"/>
        <v>3107</v>
      </c>
      <c r="CE3" s="23">
        <f>iferror(CC3/CA3,"")</f>
        <v>0.7219669875</v>
      </c>
      <c r="CF3" s="21">
        <f t="shared" ref="CF3:CK3" si="12">SUM(CF7:CF225)</f>
        <v>207197887.2</v>
      </c>
      <c r="CG3" s="21">
        <f t="shared" si="12"/>
        <v>3392</v>
      </c>
      <c r="CH3" s="21">
        <f t="shared" si="12"/>
        <v>297367838.8</v>
      </c>
      <c r="CI3" s="21">
        <f t="shared" si="12"/>
        <v>7731</v>
      </c>
      <c r="CJ3" s="21">
        <f t="shared" si="12"/>
        <v>193051236.3</v>
      </c>
      <c r="CK3" s="21">
        <f t="shared" si="12"/>
        <v>3001</v>
      </c>
      <c r="CL3" s="23">
        <f>iferror(CJ3/CH3,"")</f>
        <v>0.6492001187</v>
      </c>
      <c r="CM3" s="21">
        <f t="shared" ref="CM3:CR3" si="13">SUM(CM7:CM225)</f>
        <v>202446480.5</v>
      </c>
      <c r="CN3" s="21">
        <f t="shared" si="13"/>
        <v>3331</v>
      </c>
      <c r="CO3" s="21">
        <f t="shared" si="13"/>
        <v>314097658.6</v>
      </c>
      <c r="CP3" s="21">
        <f t="shared" si="13"/>
        <v>7531</v>
      </c>
      <c r="CQ3" s="21">
        <f t="shared" si="13"/>
        <v>265419459.2</v>
      </c>
      <c r="CR3" s="21">
        <f t="shared" si="13"/>
        <v>2970</v>
      </c>
      <c r="CS3" s="23">
        <f>iferror(CQ3/CO3,"")</f>
        <v>0.8450220877</v>
      </c>
      <c r="CT3" s="21">
        <f t="shared" ref="CT3:CU3" si="14">SUM(CT7:CT225)</f>
        <v>278411698.9</v>
      </c>
      <c r="CU3" s="21">
        <f t="shared" si="14"/>
        <v>3167</v>
      </c>
      <c r="CV3" s="24"/>
    </row>
    <row r="4">
      <c r="A4" s="25"/>
      <c r="B4" s="26" t="s">
        <v>3</v>
      </c>
      <c r="C4" s="26" t="s">
        <v>4</v>
      </c>
      <c r="D4" s="26" t="s">
        <v>5</v>
      </c>
      <c r="E4" s="26" t="s">
        <v>6</v>
      </c>
      <c r="F4" s="27" t="s">
        <v>7</v>
      </c>
      <c r="G4" s="28" t="s">
        <v>8</v>
      </c>
      <c r="H4" s="28" t="s">
        <v>9</v>
      </c>
      <c r="I4" s="29" t="s">
        <v>10</v>
      </c>
      <c r="J4" s="30" t="s">
        <v>11</v>
      </c>
      <c r="K4" s="31" t="s">
        <v>12</v>
      </c>
      <c r="L4" s="29" t="s">
        <v>13</v>
      </c>
      <c r="M4" s="29" t="s">
        <v>14</v>
      </c>
      <c r="N4" s="32" t="s">
        <v>15</v>
      </c>
      <c r="O4" s="29" t="s">
        <v>16</v>
      </c>
      <c r="P4" s="33">
        <v>45748.0</v>
      </c>
      <c r="Q4" s="34"/>
      <c r="R4" s="34"/>
      <c r="S4" s="34"/>
      <c r="T4" s="34"/>
      <c r="U4" s="34"/>
      <c r="V4" s="35"/>
      <c r="W4" s="33">
        <v>45778.0</v>
      </c>
      <c r="X4" s="34"/>
      <c r="Y4" s="34"/>
      <c r="Z4" s="34"/>
      <c r="AA4" s="34"/>
      <c r="AB4" s="34"/>
      <c r="AC4" s="35"/>
      <c r="AD4" s="33">
        <v>45809.0</v>
      </c>
      <c r="AE4" s="34"/>
      <c r="AF4" s="34"/>
      <c r="AG4" s="34"/>
      <c r="AH4" s="34"/>
      <c r="AI4" s="34"/>
      <c r="AJ4" s="35"/>
      <c r="AK4" s="33">
        <v>45839.0</v>
      </c>
      <c r="AL4" s="34"/>
      <c r="AM4" s="34"/>
      <c r="AN4" s="34"/>
      <c r="AO4" s="34"/>
      <c r="AP4" s="34"/>
      <c r="AQ4" s="35"/>
      <c r="AR4" s="33">
        <v>45870.0</v>
      </c>
      <c r="AS4" s="34"/>
      <c r="AT4" s="34"/>
      <c r="AU4" s="34"/>
      <c r="AV4" s="34"/>
      <c r="AW4" s="34"/>
      <c r="AX4" s="35"/>
      <c r="AY4" s="33">
        <v>45901.0</v>
      </c>
      <c r="AZ4" s="34"/>
      <c r="BA4" s="34"/>
      <c r="BB4" s="34"/>
      <c r="BC4" s="34"/>
      <c r="BD4" s="34"/>
      <c r="BE4" s="35"/>
      <c r="BF4" s="33">
        <v>45931.0</v>
      </c>
      <c r="BG4" s="34"/>
      <c r="BH4" s="34"/>
      <c r="BI4" s="34"/>
      <c r="BJ4" s="34"/>
      <c r="BK4" s="34"/>
      <c r="BL4" s="35"/>
      <c r="BM4" s="33">
        <v>45962.0</v>
      </c>
      <c r="BN4" s="34"/>
      <c r="BO4" s="34"/>
      <c r="BP4" s="34"/>
      <c r="BQ4" s="34"/>
      <c r="BR4" s="34"/>
      <c r="BS4" s="35"/>
      <c r="BT4" s="33">
        <v>45992.0</v>
      </c>
      <c r="BU4" s="34"/>
      <c r="BV4" s="34"/>
      <c r="BW4" s="34"/>
      <c r="BX4" s="34"/>
      <c r="BY4" s="34"/>
      <c r="BZ4" s="35"/>
      <c r="CA4" s="33">
        <v>46023.0</v>
      </c>
      <c r="CB4" s="34"/>
      <c r="CC4" s="34"/>
      <c r="CD4" s="34"/>
      <c r="CE4" s="34"/>
      <c r="CF4" s="34"/>
      <c r="CG4" s="35"/>
      <c r="CH4" s="33">
        <v>46054.0</v>
      </c>
      <c r="CI4" s="34"/>
      <c r="CJ4" s="34"/>
      <c r="CK4" s="34"/>
      <c r="CL4" s="34"/>
      <c r="CM4" s="34"/>
      <c r="CN4" s="35"/>
      <c r="CO4" s="33">
        <v>46082.0</v>
      </c>
      <c r="CP4" s="34"/>
      <c r="CQ4" s="34"/>
      <c r="CR4" s="34"/>
      <c r="CS4" s="34"/>
      <c r="CT4" s="34"/>
      <c r="CU4" s="35"/>
      <c r="CV4" s="36"/>
    </row>
    <row r="5">
      <c r="A5" s="25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8" t="s">
        <v>17</v>
      </c>
      <c r="Q5" s="35"/>
      <c r="R5" s="39" t="s">
        <v>18</v>
      </c>
      <c r="S5" s="35"/>
      <c r="T5" s="40" t="s">
        <v>19</v>
      </c>
      <c r="U5" s="41" t="s">
        <v>20</v>
      </c>
      <c r="V5" s="35"/>
      <c r="W5" s="38" t="s">
        <v>17</v>
      </c>
      <c r="X5" s="35"/>
      <c r="Y5" s="39" t="s">
        <v>18</v>
      </c>
      <c r="Z5" s="35"/>
      <c r="AA5" s="40" t="s">
        <v>19</v>
      </c>
      <c r="AB5" s="41" t="s">
        <v>20</v>
      </c>
      <c r="AC5" s="35"/>
      <c r="AD5" s="38" t="s">
        <v>17</v>
      </c>
      <c r="AE5" s="35"/>
      <c r="AF5" s="39" t="s">
        <v>18</v>
      </c>
      <c r="AG5" s="35"/>
      <c r="AH5" s="40" t="s">
        <v>19</v>
      </c>
      <c r="AI5" s="41" t="s">
        <v>20</v>
      </c>
      <c r="AJ5" s="35"/>
      <c r="AK5" s="38" t="s">
        <v>17</v>
      </c>
      <c r="AL5" s="35"/>
      <c r="AM5" s="39" t="s">
        <v>18</v>
      </c>
      <c r="AN5" s="35"/>
      <c r="AO5" s="40" t="s">
        <v>19</v>
      </c>
      <c r="AP5" s="41" t="s">
        <v>20</v>
      </c>
      <c r="AQ5" s="35"/>
      <c r="AR5" s="38" t="s">
        <v>17</v>
      </c>
      <c r="AS5" s="35"/>
      <c r="AT5" s="39" t="s">
        <v>18</v>
      </c>
      <c r="AU5" s="35"/>
      <c r="AV5" s="40" t="s">
        <v>19</v>
      </c>
      <c r="AW5" s="41" t="s">
        <v>20</v>
      </c>
      <c r="AX5" s="35"/>
      <c r="AY5" s="38" t="s">
        <v>17</v>
      </c>
      <c r="AZ5" s="35"/>
      <c r="BA5" s="39" t="s">
        <v>18</v>
      </c>
      <c r="BB5" s="35"/>
      <c r="BC5" s="40" t="s">
        <v>19</v>
      </c>
      <c r="BD5" s="41" t="s">
        <v>20</v>
      </c>
      <c r="BE5" s="35"/>
      <c r="BF5" s="38" t="s">
        <v>17</v>
      </c>
      <c r="BG5" s="35"/>
      <c r="BH5" s="39" t="s">
        <v>18</v>
      </c>
      <c r="BI5" s="35"/>
      <c r="BJ5" s="40" t="s">
        <v>19</v>
      </c>
      <c r="BK5" s="41" t="s">
        <v>20</v>
      </c>
      <c r="BL5" s="35"/>
      <c r="BM5" s="38" t="s">
        <v>17</v>
      </c>
      <c r="BN5" s="35"/>
      <c r="BO5" s="39" t="s">
        <v>18</v>
      </c>
      <c r="BP5" s="35"/>
      <c r="BQ5" s="40" t="s">
        <v>19</v>
      </c>
      <c r="BR5" s="41" t="s">
        <v>20</v>
      </c>
      <c r="BS5" s="35"/>
      <c r="BT5" s="38" t="s">
        <v>17</v>
      </c>
      <c r="BU5" s="35"/>
      <c r="BV5" s="39" t="s">
        <v>18</v>
      </c>
      <c r="BW5" s="35"/>
      <c r="BX5" s="40" t="s">
        <v>19</v>
      </c>
      <c r="BY5" s="41" t="s">
        <v>20</v>
      </c>
      <c r="BZ5" s="35"/>
      <c r="CA5" s="38" t="s">
        <v>17</v>
      </c>
      <c r="CB5" s="35"/>
      <c r="CC5" s="39" t="s">
        <v>18</v>
      </c>
      <c r="CD5" s="35"/>
      <c r="CE5" s="40" t="s">
        <v>19</v>
      </c>
      <c r="CF5" s="41" t="s">
        <v>20</v>
      </c>
      <c r="CG5" s="35"/>
      <c r="CH5" s="38" t="s">
        <v>17</v>
      </c>
      <c r="CI5" s="35"/>
      <c r="CJ5" s="39" t="s">
        <v>18</v>
      </c>
      <c r="CK5" s="35"/>
      <c r="CL5" s="40" t="s">
        <v>19</v>
      </c>
      <c r="CM5" s="41" t="s">
        <v>20</v>
      </c>
      <c r="CN5" s="35"/>
      <c r="CO5" s="38" t="s">
        <v>17</v>
      </c>
      <c r="CP5" s="35"/>
      <c r="CQ5" s="39" t="s">
        <v>18</v>
      </c>
      <c r="CR5" s="35"/>
      <c r="CS5" s="40" t="s">
        <v>19</v>
      </c>
      <c r="CT5" s="41" t="s">
        <v>20</v>
      </c>
      <c r="CU5" s="35"/>
      <c r="CV5" s="42"/>
    </row>
    <row r="6" ht="25.5" customHeight="1">
      <c r="A6" s="25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4" t="s">
        <v>21</v>
      </c>
      <c r="Q6" s="44" t="s">
        <v>22</v>
      </c>
      <c r="R6" s="44" t="s">
        <v>21</v>
      </c>
      <c r="S6" s="44" t="s">
        <v>22</v>
      </c>
      <c r="T6" s="43"/>
      <c r="U6" s="44" t="s">
        <v>21</v>
      </c>
      <c r="V6" s="44" t="s">
        <v>22</v>
      </c>
      <c r="W6" s="44" t="s">
        <v>21</v>
      </c>
      <c r="X6" s="44" t="s">
        <v>22</v>
      </c>
      <c r="Y6" s="44" t="s">
        <v>21</v>
      </c>
      <c r="Z6" s="44" t="s">
        <v>22</v>
      </c>
      <c r="AA6" s="43"/>
      <c r="AB6" s="44" t="s">
        <v>21</v>
      </c>
      <c r="AC6" s="44" t="s">
        <v>22</v>
      </c>
      <c r="AD6" s="44" t="s">
        <v>21</v>
      </c>
      <c r="AE6" s="44" t="s">
        <v>22</v>
      </c>
      <c r="AF6" s="44" t="s">
        <v>21</v>
      </c>
      <c r="AG6" s="44" t="s">
        <v>22</v>
      </c>
      <c r="AH6" s="43"/>
      <c r="AI6" s="44" t="s">
        <v>21</v>
      </c>
      <c r="AJ6" s="44" t="s">
        <v>22</v>
      </c>
      <c r="AK6" s="44" t="s">
        <v>21</v>
      </c>
      <c r="AL6" s="44" t="s">
        <v>22</v>
      </c>
      <c r="AM6" s="44" t="s">
        <v>21</v>
      </c>
      <c r="AN6" s="44" t="s">
        <v>22</v>
      </c>
      <c r="AO6" s="43"/>
      <c r="AP6" s="44" t="s">
        <v>21</v>
      </c>
      <c r="AQ6" s="44" t="s">
        <v>22</v>
      </c>
      <c r="AR6" s="44" t="s">
        <v>21</v>
      </c>
      <c r="AS6" s="44" t="s">
        <v>22</v>
      </c>
      <c r="AT6" s="44" t="s">
        <v>21</v>
      </c>
      <c r="AU6" s="44" t="s">
        <v>22</v>
      </c>
      <c r="AV6" s="43"/>
      <c r="AW6" s="44" t="s">
        <v>21</v>
      </c>
      <c r="AX6" s="44" t="s">
        <v>22</v>
      </c>
      <c r="AY6" s="44" t="s">
        <v>21</v>
      </c>
      <c r="AZ6" s="44" t="s">
        <v>22</v>
      </c>
      <c r="BA6" s="44" t="s">
        <v>21</v>
      </c>
      <c r="BB6" s="44" t="s">
        <v>22</v>
      </c>
      <c r="BC6" s="43"/>
      <c r="BD6" s="44" t="s">
        <v>21</v>
      </c>
      <c r="BE6" s="44" t="s">
        <v>22</v>
      </c>
      <c r="BF6" s="44" t="s">
        <v>21</v>
      </c>
      <c r="BG6" s="45" t="s">
        <v>22</v>
      </c>
      <c r="BH6" s="44" t="s">
        <v>21</v>
      </c>
      <c r="BI6" s="45" t="s">
        <v>22</v>
      </c>
      <c r="BJ6" s="43"/>
      <c r="BK6" s="44" t="s">
        <v>21</v>
      </c>
      <c r="BL6" s="44" t="s">
        <v>22</v>
      </c>
      <c r="BM6" s="44" t="s">
        <v>21</v>
      </c>
      <c r="BN6" s="44" t="s">
        <v>22</v>
      </c>
      <c r="BO6" s="44" t="s">
        <v>21</v>
      </c>
      <c r="BP6" s="44" t="s">
        <v>22</v>
      </c>
      <c r="BQ6" s="43"/>
      <c r="BR6" s="44" t="s">
        <v>21</v>
      </c>
      <c r="BS6" s="44" t="s">
        <v>22</v>
      </c>
      <c r="BT6" s="44" t="s">
        <v>21</v>
      </c>
      <c r="BU6" s="44" t="s">
        <v>22</v>
      </c>
      <c r="BV6" s="44" t="s">
        <v>21</v>
      </c>
      <c r="BW6" s="44" t="s">
        <v>22</v>
      </c>
      <c r="BX6" s="43"/>
      <c r="BY6" s="44" t="s">
        <v>21</v>
      </c>
      <c r="BZ6" s="44" t="s">
        <v>22</v>
      </c>
      <c r="CA6" s="44" t="s">
        <v>21</v>
      </c>
      <c r="CB6" s="44" t="s">
        <v>22</v>
      </c>
      <c r="CC6" s="44" t="s">
        <v>21</v>
      </c>
      <c r="CD6" s="44" t="s">
        <v>22</v>
      </c>
      <c r="CE6" s="43"/>
      <c r="CF6" s="44" t="s">
        <v>21</v>
      </c>
      <c r="CG6" s="44" t="s">
        <v>22</v>
      </c>
      <c r="CH6" s="44" t="s">
        <v>21</v>
      </c>
      <c r="CI6" s="44" t="s">
        <v>22</v>
      </c>
      <c r="CJ6" s="44" t="s">
        <v>21</v>
      </c>
      <c r="CK6" s="44" t="s">
        <v>22</v>
      </c>
      <c r="CL6" s="43"/>
      <c r="CM6" s="44" t="s">
        <v>21</v>
      </c>
      <c r="CN6" s="44" t="s">
        <v>22</v>
      </c>
      <c r="CO6" s="44" t="s">
        <v>21</v>
      </c>
      <c r="CP6" s="44" t="s">
        <v>22</v>
      </c>
      <c r="CQ6" s="44" t="s">
        <v>21</v>
      </c>
      <c r="CR6" s="44" t="s">
        <v>22</v>
      </c>
      <c r="CS6" s="43"/>
      <c r="CT6" s="44" t="s">
        <v>21</v>
      </c>
      <c r="CU6" s="44" t="s">
        <v>22</v>
      </c>
      <c r="CV6" s="46"/>
    </row>
    <row r="7">
      <c r="A7" s="1" t="s">
        <v>23</v>
      </c>
      <c r="B7" s="47" t="s">
        <v>23</v>
      </c>
      <c r="C7" s="48" t="s">
        <v>24</v>
      </c>
      <c r="D7" s="49" t="s">
        <v>25</v>
      </c>
      <c r="E7" s="50">
        <v>8.8028986E9</v>
      </c>
      <c r="F7" s="51">
        <v>44809.0</v>
      </c>
      <c r="G7" s="52"/>
      <c r="H7" s="52"/>
      <c r="I7" s="53">
        <f>VLOOKUP($C7,Data!$C:$BV,72,0)</f>
        <v>32910</v>
      </c>
      <c r="J7" s="54">
        <v>1800000.0</v>
      </c>
      <c r="K7" s="55">
        <f>IFERROR(__xludf.DUMMYFUNCTION("IMPORTRANGE(""1WowgCGTCOMmqanUXVQIbYWHbXi0cuGFxvrPe3CdSDpA"",""2025-26!A3"")"),106.0)</f>
        <v>106</v>
      </c>
      <c r="L7" s="55">
        <f>IFERROR(__xludf.DUMMYFUNCTION("IMPORTRANGE(""1WowgCGTCOMmqanUXVQIbYWHbXi0cuGFxvrPe3CdSDpA"",""2025-26!G4"")"),2.13E7)</f>
        <v>21300000</v>
      </c>
      <c r="M7" s="55">
        <f t="shared" ref="M7:M21" si="15">R7+Y7+AF7+AM7+AT7+BA7+BH7+BO7+BV7+CC7+CJ7+CQ7</f>
        <v>20551333.42</v>
      </c>
      <c r="N7" s="56">
        <f t="shared" ref="N7:N18" si="16">O7/L7</f>
        <v>1.052872582</v>
      </c>
      <c r="O7" s="57">
        <f t="shared" ref="O7:O18" si="17">U7+AB7+AI7+AP7+AW7+BD7+BK7+BR7+BY7+CF7+CM7+CT7</f>
        <v>22426186</v>
      </c>
      <c r="P7" s="55">
        <f>IFERROR(__xludf.DUMMYFUNCTION("IMPORTRANGE(""1WowgCGTCOMmqanUXVQIbYWHbXi0cuGFxvrPe3CdSDpA"",""2025-26!J4"")"),1650000.0)</f>
        <v>1650000</v>
      </c>
      <c r="Q7" s="55">
        <f>IFERROR(__xludf.DUMMYFUNCTION("IMPORTRANGE(""1WowgCGTCOMmqanUXVQIbYWHbXi0cuGFxvrPe3CdSDpA"",""2025-26!J3"")"),80.0)</f>
        <v>80</v>
      </c>
      <c r="R7" s="55">
        <f>IFERROR(__xludf.DUMMYFUNCTION("IMPORTRANGE(""1WowgCGTCOMmqanUXVQIbYWHbXi0cuGFxvrPe3CdSDpA"",""2025-26!K4"")"),1636412.13)</f>
        <v>1636412.13</v>
      </c>
      <c r="S7" s="55">
        <f>IFERROR(__xludf.DUMMYFUNCTION("IMPORTRANGE(""1WowgCGTCOMmqanUXVQIbYWHbXi0cuGFxvrPe3CdSDpA"",""2025-26!K3"")"),40.0)</f>
        <v>40</v>
      </c>
      <c r="T7" s="58">
        <f t="shared" ref="T7:T154" si="18">IFERROR((U7/P7),"")</f>
        <v>1.085179394</v>
      </c>
      <c r="U7" s="55">
        <f>IFERROR(__xludf.DUMMYFUNCTION("IMPORTRANGE(""1WowgCGTCOMmqanUXVQIbYWHbXi0cuGFxvrPe3CdSDpA"",""2025-26!L4"")"),1790546.0)</f>
        <v>1790546</v>
      </c>
      <c r="V7" s="55">
        <f>IFERROR(__xludf.DUMMYFUNCTION("IMPORTRANGE(""1WowgCGTCOMmqanUXVQIbYWHbXi0cuGFxvrPe3CdSDpA"",""2025-26!L3"")"),43.0)</f>
        <v>43</v>
      </c>
      <c r="W7" s="55">
        <f>IFERROR(__xludf.DUMMYFUNCTION("IMPORTRANGE(""1WowgCGTCOMmqanUXVQIbYWHbXi0cuGFxvrPe3CdSDpA"",""2025-26!m4"")"),1800000.0)</f>
        <v>1800000</v>
      </c>
      <c r="X7" s="55">
        <f>IFERROR(__xludf.DUMMYFUNCTION("IMPORTRANGE(""1WowgCGTCOMmqanUXVQIbYWHbXi0cuGFxvrPe3CdSDpA"",""2025-26!m3"")"),57.0)</f>
        <v>57</v>
      </c>
      <c r="Y7" s="55">
        <f>IFERROR(__xludf.DUMMYFUNCTION("IMPORTRANGE(""1WowgCGTCOMmqanUXVQIbYWHbXi0cuGFxvrPe3CdSDpA"",""2025-26!N4"")"),1767294.6600000001)</f>
        <v>1767294.66</v>
      </c>
      <c r="Z7" s="55">
        <f>IFERROR(__xludf.DUMMYFUNCTION("IMPORTRANGE(""1WowgCGTCOMmqanUXVQIbYWHbXi0cuGFxvrPe3CdSDpA"",""2025-26!N3"")"),56.0)</f>
        <v>56</v>
      </c>
      <c r="AA7" s="58">
        <f t="shared" ref="AA7:AA154" si="19">IFERROR((AB7/W7),"")</f>
        <v>1.016547778</v>
      </c>
      <c r="AB7" s="55">
        <f>IFERROR(__xludf.DUMMYFUNCTION("IMPORTRANGE(""1WowgCGTCOMmqanUXVQIbYWHbXi0cuGFxvrPe3CdSDpA"",""2025-26!O4"")"),1829786.0)</f>
        <v>1829786</v>
      </c>
      <c r="AC7" s="55">
        <f>IFERROR(__xludf.DUMMYFUNCTION("IMPORTRANGE(""1WowgCGTCOMmqanUXVQIbYWHbXi0cuGFxvrPe3CdSDpA"",""2025-26!O3"")"),60.0)</f>
        <v>60</v>
      </c>
      <c r="AD7" s="55">
        <f>IFERROR(__xludf.DUMMYFUNCTION("IMPORTRANGE(""1WowgCGTCOMmqanUXVQIbYWHbXi0cuGFxvrPe3CdSDpA"",""2025-26!P4"")"),1800000.0)</f>
        <v>1800000</v>
      </c>
      <c r="AE7" s="55">
        <f>IFERROR(__xludf.DUMMYFUNCTION("IMPORTRANGE(""1WowgCGTCOMmqanUXVQIbYWHbXi0cuGFxvrPe3CdSDpA"",""2025-26!P3"")"),92.0)</f>
        <v>92</v>
      </c>
      <c r="AF7" s="55">
        <f>IFERROR(__xludf.DUMMYFUNCTION("IMPORTRANGE(""1WowgCGTCOMmqanUXVQIbYWHbXi0cuGFxvrPe3CdSDpA"",""2025-26!Q4"")"),1692838.3799999994)</f>
        <v>1692838.38</v>
      </c>
      <c r="AG7" s="55">
        <f>IFERROR(__xludf.DUMMYFUNCTION("IMPORTRANGE(""1WowgCGTCOMmqanUXVQIbYWHbXi0cuGFxvrPe3CdSDpA"",""2025-26!Q3"")"),40.0)</f>
        <v>40</v>
      </c>
      <c r="AH7" s="58">
        <f t="shared" ref="AH7:AH154" si="20">IFERROR((AI7/AD7),"")</f>
        <v>1.001852222</v>
      </c>
      <c r="AI7" s="55">
        <f>IFERROR(__xludf.DUMMYFUNCTION("IMPORTRANGE(""1WowgCGTCOMmqanUXVQIbYWHbXi0cuGFxvrPe3CdSDpA"",""2025-26!R4"")"),1803334.0)</f>
        <v>1803334</v>
      </c>
      <c r="AJ7" s="55">
        <f>IFERROR(__xludf.DUMMYFUNCTION("IMPORTRANGE(""1WowgCGTCOMmqanUXVQIbYWHbXi0cuGFxvrPe3CdSDpA"",""2025-26!R3"")"),47.0)</f>
        <v>47</v>
      </c>
      <c r="AK7" s="55">
        <f>IFERROR(__xludf.DUMMYFUNCTION("IMPORTRANGE(""1WowgCGTCOMmqanUXVQIbYWHbXi0cuGFxvrPe3CdSDpA"",""2025-26!S4"")"),1800000.0)</f>
        <v>1800000</v>
      </c>
      <c r="AL7" s="55">
        <f>IFERROR(__xludf.DUMMYFUNCTION("IMPORTRANGE(""1WowgCGTCOMmqanUXVQIbYWHbXi0cuGFxvrPe3CdSDpA"",""2025-26!S3"")"),97.0)</f>
        <v>97</v>
      </c>
      <c r="AM7" s="55">
        <f>IFERROR(__xludf.DUMMYFUNCTION("IMPORTRANGE(""1WowgCGTCOMmqanUXVQIbYWHbXi0cuGFxvrPe3CdSDpA"",""2025-26!T4"")"),1278357.0399999998)</f>
        <v>1278357.04</v>
      </c>
      <c r="AN7" s="55">
        <f>IFERROR(__xludf.DUMMYFUNCTION("IMPORTRANGE(""1WowgCGTCOMmqanUXVQIbYWHbXi0cuGFxvrPe3CdSDpA"",""2025-26!T3"")"),37.0)</f>
        <v>37</v>
      </c>
      <c r="AO7" s="58">
        <f t="shared" ref="AO7:AO154" si="21">IFERROR((AP7/AK7),"")</f>
        <v>0.7425333333</v>
      </c>
      <c r="AP7" s="55">
        <f>IFERROR(__xludf.DUMMYFUNCTION("IMPORTRANGE(""1WowgCGTCOMmqanUXVQIbYWHbXi0cuGFxvrPe3CdSDpA"",""2025-26!U4"")"),1336560.0)</f>
        <v>1336560</v>
      </c>
      <c r="AQ7" s="55">
        <f>IFERROR(__xludf.DUMMYFUNCTION("IMPORTRANGE(""1WowgCGTCOMmqanUXVQIbYWHbXi0cuGFxvrPe3CdSDpA"",""2025-26!U3"")"),39.0)</f>
        <v>39</v>
      </c>
      <c r="AR7" s="55">
        <f>IFERROR(__xludf.DUMMYFUNCTION("IMPORTRANGE(""1WowgCGTCOMmqanUXVQIbYWHbXi0cuGFxvrPe3CdSDpA"",""2025-26!V4"")"),1800000.0)</f>
        <v>1800000</v>
      </c>
      <c r="AS7" s="55">
        <f>IFERROR(__xludf.DUMMYFUNCTION("IMPORTRANGE(""1WowgCGTCOMmqanUXVQIbYWHbXi0cuGFxvrPe3CdSDpA"",""2025-26!V3"")"),92.0)</f>
        <v>92</v>
      </c>
      <c r="AT7" s="55">
        <f>IFERROR(__xludf.DUMMYFUNCTION("IMPORTRANGE(""1WowgCGTCOMmqanUXVQIbYWHbXi0cuGFxvrPe3CdSDpA"",""2025-26!W4"")"),1498904.2899999998)</f>
        <v>1498904.29</v>
      </c>
      <c r="AU7" s="55">
        <f>IFERROR(__xludf.DUMMYFUNCTION("IMPORTRANGE(""1WowgCGTCOMmqanUXVQIbYWHbXi0cuGFxvrPe3CdSDpA"",""2025-26!W3"")"),40.0)</f>
        <v>40</v>
      </c>
      <c r="AV7" s="58">
        <f t="shared" ref="AV7:AV154" si="22">IFERROR((AW7/AR7),"")</f>
        <v>1.016908333</v>
      </c>
      <c r="AW7" s="55">
        <f>IFERROR(__xludf.DUMMYFUNCTION("IMPORTRANGE(""1WowgCGTCOMmqanUXVQIbYWHbXi0cuGFxvrPe3CdSDpA"",""2025-26!X4"")"),1830435.0)</f>
        <v>1830435</v>
      </c>
      <c r="AX7" s="55">
        <f>IFERROR(__xludf.DUMMYFUNCTION("IMPORTRANGE(""1WowgCGTCOMmqanUXVQIbYWHbXi0cuGFxvrPe3CdSDpA"",""2025-26!X3"")"),55.0)</f>
        <v>55</v>
      </c>
      <c r="AY7" s="55">
        <f>IFERROR(__xludf.DUMMYFUNCTION("IMPORTRANGE(""1WowgCGTCOMmqanUXVQIbYWHbXi0cuGFxvrPe3CdSDpA"",""2025-26!Y4"")"),1800000.0)</f>
        <v>1800000</v>
      </c>
      <c r="AZ7" s="55">
        <f>IFERROR(__xludf.DUMMYFUNCTION("IMPORTRANGE(""1WowgCGTCOMmqanUXVQIbYWHbXi0cuGFxvrPe3CdSDpA"",""2025-26!Y3"")"),90.0)</f>
        <v>90</v>
      </c>
      <c r="BA7" s="55">
        <f>IFERROR(__xludf.DUMMYFUNCTION("IMPORTRANGE(""1WowgCGTCOMmqanUXVQIbYWHbXi0cuGFxvrPe3CdSDpA"",""2025-26!Z4"")"),2039934.8599999999)</f>
        <v>2039934.86</v>
      </c>
      <c r="BB7" s="55">
        <f>IFERROR(__xludf.DUMMYFUNCTION("IMPORTRANGE(""1WowgCGTCOMmqanUXVQIbYWHbXi0cuGFxvrPe3CdSDpA"",""2025-26!Z3"")"),48.0)</f>
        <v>48</v>
      </c>
      <c r="BC7" s="59">
        <f t="shared" ref="BC7:BC154" si="23">IFERROR((BD7/AY7),"")</f>
        <v>1.288156667</v>
      </c>
      <c r="BD7" s="55">
        <f>IFERROR(__xludf.DUMMYFUNCTION("IMPORTRANGE(""1WowgCGTCOMmqanUXVQIbYWHbXi0cuGFxvrPe3CdSDpA"",""2025-26!AA4"")"),2318682.0)</f>
        <v>2318682</v>
      </c>
      <c r="BE7" s="55">
        <f>IFERROR(__xludf.DUMMYFUNCTION("IMPORTRANGE(""1WowgCGTCOMmqanUXVQIbYWHbXi0cuGFxvrPe3CdSDpA"",""2025-26!AA3"")"),55.0)</f>
        <v>55</v>
      </c>
      <c r="BF7" s="55">
        <f>IFERROR(__xludf.DUMMYFUNCTION("IMPORTRANGE(""1WowgCGTCOMmqanUXVQIbYWHbXi0cuGFxvrPe3CdSDpA"",""2025-26!AB4"")"),1800000.0)</f>
        <v>1800000</v>
      </c>
      <c r="BG7" s="55">
        <f>IFERROR(__xludf.DUMMYFUNCTION("IMPORTRANGE(""1WowgCGTCOMmqanUXVQIbYWHbXi0cuGFxvrPe3CdSDpA"",""2025-26!AB3"")"),90.0)</f>
        <v>90</v>
      </c>
      <c r="BH7" s="55">
        <f>IFERROR(__xludf.DUMMYFUNCTION("IMPORTRANGE(""1WowgCGTCOMmqanUXVQIbYWHbXi0cuGFxvrPe3CdSDpA"",""2025-26!AC4"")"),1299667.7899999996)</f>
        <v>1299667.79</v>
      </c>
      <c r="BI7" s="55">
        <f>IFERROR(__xludf.DUMMYFUNCTION("IMPORTRANGE(""1WowgCGTCOMmqanUXVQIbYWHbXi0cuGFxvrPe3CdSDpA"",""2025-26!AC3"")"),44.0)</f>
        <v>44</v>
      </c>
      <c r="BJ7" s="59">
        <f t="shared" ref="BJ7:BJ154" si="24">IFERROR((BK7/BF7),"")</f>
        <v>0.8246766667</v>
      </c>
      <c r="BK7" s="55">
        <f>IFERROR(__xludf.DUMMYFUNCTION("IMPORTRANGE(""1WowgCGTCOMmqanUXVQIbYWHbXi0cuGFxvrPe3CdSDpA"",""2025-26!AD4"")"),1484418.0)</f>
        <v>1484418</v>
      </c>
      <c r="BL7" s="55">
        <f>IFERROR(__xludf.DUMMYFUNCTION("IMPORTRANGE(""1WowgCGTCOMmqanUXVQIbYWHbXi0cuGFxvrPe3CdSDpA"",""2025-26!AD3"")"),44.0)</f>
        <v>44</v>
      </c>
      <c r="BM7" s="55">
        <f>IFERROR(__xludf.DUMMYFUNCTION("IMPORTRANGE(""1WowgCGTCOMmqanUXVQIbYWHbXi0cuGFxvrPe3CdSDpA"",""2025-26!AE4"")"),1800000.0)</f>
        <v>1800000</v>
      </c>
      <c r="BN7" s="55">
        <f>IFERROR(__xludf.DUMMYFUNCTION("IMPORTRANGE(""1WowgCGTCOMmqanUXVQIbYWHbXi0cuGFxvrPe3CdSDpA"",""2025-26!AE3"")"),91.0)</f>
        <v>91</v>
      </c>
      <c r="BO7" s="55">
        <f>IFERROR(__xludf.DUMMYFUNCTION("IMPORTRANGE(""1WowgCGTCOMmqanUXVQIbYWHbXi0cuGFxvrPe3CdSDpA"",""2025-26!AF4"")"),1749611.6400000004)</f>
        <v>1749611.64</v>
      </c>
      <c r="BP7" s="55">
        <f>IFERROR(__xludf.DUMMYFUNCTION("IMPORTRANGE(""1WowgCGTCOMmqanUXVQIbYWHbXi0cuGFxvrPe3CdSDpA"",""2025-26!AF3"")"),44.0)</f>
        <v>44</v>
      </c>
      <c r="BQ7" s="59">
        <f t="shared" ref="BQ7:BQ154" si="25">IFERROR((BR7/BM7),"")</f>
        <v>1.240834444</v>
      </c>
      <c r="BR7" s="55">
        <f>IFERROR(__xludf.DUMMYFUNCTION("IMPORTRANGE(""1WowgCGTCOMmqanUXVQIbYWHbXi0cuGFxvrPe3CdSDpA"",""2025-26!AG4"")"),2233502.0)</f>
        <v>2233502</v>
      </c>
      <c r="BS7" s="55">
        <f>IFERROR(__xludf.DUMMYFUNCTION("IMPORTRANGE(""1WowgCGTCOMmqanUXVQIbYWHbXi0cuGFxvrPe3CdSDpA"",""2025-26!AG3"")"),55.0)</f>
        <v>55</v>
      </c>
      <c r="BT7" s="55">
        <f>IFERROR(__xludf.DUMMYFUNCTION("IMPORTRANGE(""1WowgCGTCOMmqanUXVQIbYWHbXi0cuGFxvrPe3CdSDpA"",""2025-26!AH4"")"),1800000.0)</f>
        <v>1800000</v>
      </c>
      <c r="BU7" s="55">
        <f>IFERROR(__xludf.DUMMYFUNCTION("IMPORTRANGE(""1WowgCGTCOMmqanUXVQIbYWHbXi0cuGFxvrPe3CdSDpA"",""2025-26!AH3"")"),89.0)</f>
        <v>89</v>
      </c>
      <c r="BV7" s="55">
        <f>IFERROR(__xludf.DUMMYFUNCTION("IMPORTRANGE(""1WowgCGTCOMmqanUXVQIbYWHbXi0cuGFxvrPe3CdSDpA"",""2025-26!AI4"")"),2078025.1699999997)</f>
        <v>2078025.17</v>
      </c>
      <c r="BW7" s="55">
        <f>IFERROR(__xludf.DUMMYFUNCTION("IMPORTRANGE(""1WowgCGTCOMmqanUXVQIbYWHbXi0cuGFxvrPe3CdSDpA"",""2025-26!AI3"")"),54.0)</f>
        <v>54</v>
      </c>
      <c r="BX7" s="59">
        <f t="shared" ref="BX7:BX154" si="26">IFERROR((BY7/BT7),"")</f>
        <v>1.186574444</v>
      </c>
      <c r="BY7" s="55">
        <f>IFERROR(__xludf.DUMMYFUNCTION("IMPORTRANGE(""1WowgCGTCOMmqanUXVQIbYWHbXi0cuGFxvrPe3CdSDpA"",""2025-26!AJ4"")"),2135834.0)</f>
        <v>2135834</v>
      </c>
      <c r="BZ7" s="55">
        <f>IFERROR(__xludf.DUMMYFUNCTION("IMPORTRANGE(""1WowgCGTCOMmqanUXVQIbYWHbXi0cuGFxvrPe3CdSDpA"",""2025-26!AJ3"")"),55.0)</f>
        <v>55</v>
      </c>
      <c r="CA7" s="55">
        <f>IFERROR(__xludf.DUMMYFUNCTION("IMPORTRANGE(""1WowgCGTCOMmqanUXVQIbYWHbXi0cuGFxvrPe3CdSDpA"",""2025-26!AK4"")"),1800000.0)</f>
        <v>1800000</v>
      </c>
      <c r="CB7" s="55">
        <f>IFERROR(__xludf.DUMMYFUNCTION("IMPORTRANGE(""1WowgCGTCOMmqanUXVQIbYWHbXi0cuGFxvrPe3CdSDpA"",""2025-26!AK3"")"),90.0)</f>
        <v>90</v>
      </c>
      <c r="CC7" s="55">
        <f>IFERROR(__xludf.DUMMYFUNCTION("IMPORTRANGE(""1WowgCGTCOMmqanUXVQIbYWHbXi0cuGFxvrPe3CdSDpA"",""2025-26!AL4"")"),1892383.69)</f>
        <v>1892383.69</v>
      </c>
      <c r="CD7" s="55">
        <f>IFERROR(__xludf.DUMMYFUNCTION("IMPORTRANGE(""1WowgCGTCOMmqanUXVQIbYWHbXi0cuGFxvrPe3CdSDpA"",""2025-26!AL3"")"),45.0)</f>
        <v>45</v>
      </c>
      <c r="CE7" s="59">
        <f t="shared" ref="CE7:CE154" si="27">IFERROR((CF7/CA7),"")</f>
        <v>1.065561667</v>
      </c>
      <c r="CF7" s="55">
        <f>IFERROR(__xludf.DUMMYFUNCTION("IMPORTRANGE(""1WowgCGTCOMmqanUXVQIbYWHbXi0cuGFxvrPe3CdSDpA"",""2025-26!AM4"")"),1918011.0)</f>
        <v>1918011</v>
      </c>
      <c r="CG7" s="55">
        <f>IFERROR(__xludf.DUMMYFUNCTION("IMPORTRANGE(""1WowgCGTCOMmqanUXVQIbYWHbXi0cuGFxvrPe3CdSDpA"",""2025-26!AM3"")"),49.0)</f>
        <v>49</v>
      </c>
      <c r="CH7" s="55">
        <f>IFERROR(__xludf.DUMMYFUNCTION("IMPORTRANGE(""1WowgCGTCOMmqanUXVQIbYWHbXi0cuGFxvrPe3CdSDpA"",""2025-26!AN4"")"),1800000.0)</f>
        <v>1800000</v>
      </c>
      <c r="CI7" s="55">
        <f>IFERROR(__xludf.DUMMYFUNCTION("IMPORTRANGE(""1WowgCGTCOMmqanUXVQIbYWHbXi0cuGFxvrPe3CdSDpA"",""2025-26!AN3"")"),92.0)</f>
        <v>92</v>
      </c>
      <c r="CJ7" s="55">
        <f>IFERROR(__xludf.DUMMYFUNCTION("IMPORTRANGE(""1WowgCGTCOMmqanUXVQIbYWHbXi0cuGFxvrPe3CdSDpA"",""2025-26!AO4"")"),1669928.2499999998)</f>
        <v>1669928.25</v>
      </c>
      <c r="CK7" s="55">
        <f>IFERROR(__xludf.DUMMYFUNCTION("IMPORTRANGE(""1WowgCGTCOMmqanUXVQIbYWHbXi0cuGFxvrPe3CdSDpA"",""2025-26!AO3"")"),43.0)</f>
        <v>43</v>
      </c>
      <c r="CL7" s="59">
        <f t="shared" ref="CL7:CL154" si="28">IFERROR((CM7/CH7),"")</f>
        <v>0.94717</v>
      </c>
      <c r="CM7" s="55">
        <f>IFERROR(__xludf.DUMMYFUNCTION("IMPORTRANGE(""1WowgCGTCOMmqanUXVQIbYWHbXi0cuGFxvrPe3CdSDpA"",""2025-26!AP4"")"),1704906.0)</f>
        <v>1704906</v>
      </c>
      <c r="CN7" s="55">
        <f>IFERROR(__xludf.DUMMYFUNCTION("IMPORTRANGE(""1WowgCGTCOMmqanUXVQIbYWHbXi0cuGFxvrPe3CdSDpA"",""2025-26!AP3"")"),46.0)</f>
        <v>46</v>
      </c>
      <c r="CO7" s="55">
        <f>IFERROR(__xludf.DUMMYFUNCTION("IMPORTRANGE(""1WowgCGTCOMmqanUXVQIbYWHbXi0cuGFxvrPe3CdSDpA"",""2025-26!AQ4"")"),1800000.0)</f>
        <v>1800000</v>
      </c>
      <c r="CP7" s="55">
        <f>IFERROR(__xludf.DUMMYFUNCTION("IMPORTRANGE(""1WowgCGTCOMmqanUXVQIbYWHbXi0cuGFxvrPe3CdSDpA"",""2025-26!AQ3"")"),95.0)</f>
        <v>95</v>
      </c>
      <c r="CQ7" s="55">
        <f>IFERROR(__xludf.DUMMYFUNCTION("IMPORTRANGE(""1WowgCGTCOMmqanUXVQIbYWHbXi0cuGFxvrPe3CdSDpA"",""2025-26!AR4"")"),1947975.5199999998)</f>
        <v>1947975.52</v>
      </c>
      <c r="CR7" s="55">
        <f>IFERROR(__xludf.DUMMYFUNCTION("IMPORTRANGE(""1WowgCGTCOMmqanUXVQIbYWHbXi0cuGFxvrPe3CdSDpA"",""2025-26!AR3"")"),40.0)</f>
        <v>40</v>
      </c>
      <c r="CS7" s="59">
        <f t="shared" ref="CS7:CS154" si="29">IFERROR((CT7/CO7),"")</f>
        <v>1.133428889</v>
      </c>
      <c r="CT7" s="55">
        <f>IFERROR(__xludf.DUMMYFUNCTION("IMPORTRANGE(""1WowgCGTCOMmqanUXVQIbYWHbXi0cuGFxvrPe3CdSDpA"",""2025-26!AS4"")"),2040172.0)</f>
        <v>2040172</v>
      </c>
      <c r="CU7" s="55">
        <f>IFERROR(__xludf.DUMMYFUNCTION("IMPORTRANGE(""1WowgCGTCOMmqanUXVQIbYWHbXi0cuGFxvrPe3CdSDpA"",""2025-26!AS3"")"),42.0)</f>
        <v>42</v>
      </c>
      <c r="CV7" s="60" t="str">
        <f t="array" ref="CV7:CV225">vlookup(C7:C225,{Data!C:C,Data!B:B},2,0)</f>
        <v>West U.P</v>
      </c>
    </row>
    <row r="8">
      <c r="A8" s="1" t="s">
        <v>23</v>
      </c>
      <c r="B8" s="37"/>
      <c r="C8" s="61" t="s">
        <v>26</v>
      </c>
      <c r="D8" s="49" t="s">
        <v>27</v>
      </c>
      <c r="E8" s="50">
        <v>9.8102683E9</v>
      </c>
      <c r="F8" s="51">
        <v>44994.0</v>
      </c>
      <c r="G8" s="62"/>
      <c r="H8" s="62"/>
      <c r="I8" s="53">
        <f>VLOOKUP($C8,Data!$C:$BV,72,0)</f>
        <v>46390</v>
      </c>
      <c r="J8" s="54">
        <f>1500000+200000</f>
        <v>1700000</v>
      </c>
      <c r="K8" s="55">
        <f>IFERROR(__xludf.DUMMYFUNCTION("IMPORTRANGE(""1UEZK2L9OACV3t606hu8vkTn-5ekPDyqCYSBS2X6A5Jc"",""2025-26!A3"")"),94.0)</f>
        <v>94</v>
      </c>
      <c r="L8" s="55">
        <f>IFERROR(__xludf.DUMMYFUNCTION("IMPORTRANGE(""1UEZK2L9OACV3t606hu8vkTn-5ekPDyqCYSBS2X6A5Jc"",""2025-26!G4"")"),1.74E7)</f>
        <v>17400000</v>
      </c>
      <c r="M8" s="55">
        <f t="shared" si="15"/>
        <v>9670433.23</v>
      </c>
      <c r="N8" s="56">
        <f t="shared" si="16"/>
        <v>0.5315595977</v>
      </c>
      <c r="O8" s="57">
        <f t="shared" si="17"/>
        <v>9249137</v>
      </c>
      <c r="P8" s="55">
        <f>IFERROR(__xludf.DUMMYFUNCTION("IMPORTRANGE(""1UEZK2L9OACV3t606hu8vkTn-5ekPDyqCYSBS2X6A5Jc"",""2025-26!J4"")"),1600000.0)</f>
        <v>1600000</v>
      </c>
      <c r="Q8" s="55">
        <f>IFERROR(__xludf.DUMMYFUNCTION("IMPORTRANGE(""1UEZK2L9OACV3t606hu8vkTn-5ekPDyqCYSBS2X6A5Jc"",""2025-26!J3"")"),90.0)</f>
        <v>90</v>
      </c>
      <c r="R8" s="55">
        <f>IFERROR(__xludf.DUMMYFUNCTION("IMPORTRANGE(""1UEZK2L9OACV3t606hu8vkTn-5ekPDyqCYSBS2X6A5Jc"",""2025-26!K4"")"),1462179.0)</f>
        <v>1462179</v>
      </c>
      <c r="S8" s="55">
        <f>IFERROR(__xludf.DUMMYFUNCTION("IMPORTRANGE(""1UEZK2L9OACV3t606hu8vkTn-5ekPDyqCYSBS2X6A5Jc"",""2025-26!K3"")"),28.0)</f>
        <v>28</v>
      </c>
      <c r="T8" s="58">
        <f t="shared" si="18"/>
        <v>0.990043125</v>
      </c>
      <c r="U8" s="55">
        <f>IFERROR(__xludf.DUMMYFUNCTION("IMPORTRANGE(""1UEZK2L9OACV3t606hu8vkTn-5ekPDyqCYSBS2X6A5Jc"",""2025-26!L4"")"),1584069.0)</f>
        <v>1584069</v>
      </c>
      <c r="V8" s="55">
        <f>IFERROR(__xludf.DUMMYFUNCTION("IMPORTRANGE(""1UEZK2L9OACV3t606hu8vkTn-5ekPDyqCYSBS2X6A5Jc"",""2025-26!L3"")"),27.0)</f>
        <v>27</v>
      </c>
      <c r="W8" s="55">
        <f>IFERROR(__xludf.DUMMYFUNCTION("IMPORTRANGE(""1UEZK2L9OACV3t606hu8vkTn-5ekPDyqCYSBS2X6A5Jc"",""2025-26!m4"")"),1590000.0)</f>
        <v>1590000</v>
      </c>
      <c r="X8" s="55">
        <f>IFERROR(__xludf.DUMMYFUNCTION("IMPORTRANGE(""1UEZK2L9OACV3t606hu8vkTn-5ekPDyqCYSBS2X6A5Jc"",""2025-26!m3"")"),89.0)</f>
        <v>89</v>
      </c>
      <c r="Y8" s="55">
        <f>IFERROR(__xludf.DUMMYFUNCTION("IMPORTRANGE(""1UEZK2L9OACV3t606hu8vkTn-5ekPDyqCYSBS2X6A5Jc"",""2025-26!N4"")"),1185329.9999999998)</f>
        <v>1185330</v>
      </c>
      <c r="Z8" s="55">
        <f>IFERROR(__xludf.DUMMYFUNCTION("IMPORTRANGE(""1UEZK2L9OACV3t606hu8vkTn-5ekPDyqCYSBS2X6A5Jc"",""2025-26!N3"")"),29.0)</f>
        <v>29</v>
      </c>
      <c r="AA8" s="58">
        <f t="shared" si="19"/>
        <v>0.8157446541</v>
      </c>
      <c r="AB8" s="55">
        <f>IFERROR(__xludf.DUMMYFUNCTION("IMPORTRANGE(""1UEZK2L9OACV3t606hu8vkTn-5ekPDyqCYSBS2X6A5Jc"",""2025-26!O4"")"),1297034.0)</f>
        <v>1297034</v>
      </c>
      <c r="AC8" s="55">
        <f>IFERROR(__xludf.DUMMYFUNCTION("IMPORTRANGE(""1UEZK2L9OACV3t606hu8vkTn-5ekPDyqCYSBS2X6A5Jc"",""2025-26!O3"")"),29.0)</f>
        <v>29</v>
      </c>
      <c r="AD8" s="55">
        <f>IFERROR(__xludf.DUMMYFUNCTION("IMPORTRANGE(""1UEZK2L9OACV3t606hu8vkTn-5ekPDyqCYSBS2X6A5Jc"",""2025-26!P4"")"),1590000.0)</f>
        <v>1590000</v>
      </c>
      <c r="AE8" s="55">
        <f>IFERROR(__xludf.DUMMYFUNCTION("IMPORTRANGE(""1UEZK2L9OACV3t606hu8vkTn-5ekPDyqCYSBS2X6A5Jc"",""2025-26!P3"")"),89.0)</f>
        <v>89</v>
      </c>
      <c r="AF8" s="55">
        <f>IFERROR(__xludf.DUMMYFUNCTION("IMPORTRANGE(""1UEZK2L9OACV3t606hu8vkTn-5ekPDyqCYSBS2X6A5Jc"",""2025-26!Q4"")"),778565.4)</f>
        <v>778565.4</v>
      </c>
      <c r="AG8" s="55">
        <f>IFERROR(__xludf.DUMMYFUNCTION("IMPORTRANGE(""1UEZK2L9OACV3t606hu8vkTn-5ekPDyqCYSBS2X6A5Jc"",""2025-26!Q3"")"),23.0)</f>
        <v>23</v>
      </c>
      <c r="AH8" s="58">
        <f t="shared" si="20"/>
        <v>0.5044641509</v>
      </c>
      <c r="AI8" s="55">
        <f>IFERROR(__xludf.DUMMYFUNCTION("IMPORTRANGE(""1UEZK2L9OACV3t606hu8vkTn-5ekPDyqCYSBS2X6A5Jc"",""2025-26!R4"")"),802098.0)</f>
        <v>802098</v>
      </c>
      <c r="AJ8" s="55">
        <f>IFERROR(__xludf.DUMMYFUNCTION("IMPORTRANGE(""1UEZK2L9OACV3t606hu8vkTn-5ekPDyqCYSBS2X6A5Jc"",""2025-26!R3"")"),23.0)</f>
        <v>23</v>
      </c>
      <c r="AK8" s="55">
        <f>IFERROR(__xludf.DUMMYFUNCTION("IMPORTRANGE(""1UEZK2L9OACV3t606hu8vkTn-5ekPDyqCYSBS2X6A5Jc"",""2025-26!S4"")"),1590000.0)</f>
        <v>1590000</v>
      </c>
      <c r="AL8" s="55">
        <f>IFERROR(__xludf.DUMMYFUNCTION("IMPORTRANGE(""1UEZK2L9OACV3t606hu8vkTn-5ekPDyqCYSBS2X6A5Jc"",""2025-26!S3"")"),89.0)</f>
        <v>89</v>
      </c>
      <c r="AM8" s="55">
        <f>IFERROR(__xludf.DUMMYFUNCTION("IMPORTRANGE(""1UEZK2L9OACV3t606hu8vkTn-5ekPDyqCYSBS2X6A5Jc"",""2025-26!T4"")"),936504.3500000001)</f>
        <v>936504.35</v>
      </c>
      <c r="AN8" s="55">
        <f>IFERROR(__xludf.DUMMYFUNCTION("IMPORTRANGE(""1UEZK2L9OACV3t606hu8vkTn-5ekPDyqCYSBS2X6A5Jc"",""2025-26!T3"")"),27.0)</f>
        <v>27</v>
      </c>
      <c r="AO8" s="58">
        <f t="shared" si="21"/>
        <v>0.6007333333</v>
      </c>
      <c r="AP8" s="55">
        <f>IFERROR(__xludf.DUMMYFUNCTION("IMPORTRANGE(""1UEZK2L9OACV3t606hu8vkTn-5ekPDyqCYSBS2X6A5Jc"",""2025-26!U4"")"),955166.0)</f>
        <v>955166</v>
      </c>
      <c r="AQ8" s="55">
        <f>IFERROR(__xludf.DUMMYFUNCTION("IMPORTRANGE(""1UEZK2L9OACV3t606hu8vkTn-5ekPDyqCYSBS2X6A5Jc"",""2025-26!U3"")"),28.0)</f>
        <v>28</v>
      </c>
      <c r="AR8" s="55">
        <f>IFERROR(__xludf.DUMMYFUNCTION("IMPORTRANGE(""1UEZK2L9OACV3t606hu8vkTn-5ekPDyqCYSBS2X6A5Jc"",""2025-26!V4"")"),1590000.0)</f>
        <v>1590000</v>
      </c>
      <c r="AS8" s="55">
        <f>IFERROR(__xludf.DUMMYFUNCTION("IMPORTRANGE(""1UEZK2L9OACV3t606hu8vkTn-5ekPDyqCYSBS2X6A5Jc"",""2025-26!V3"")"),89.0)</f>
        <v>89</v>
      </c>
      <c r="AT8" s="55">
        <f>IFERROR(__xludf.DUMMYFUNCTION("IMPORTRANGE(""1UEZK2L9OACV3t606hu8vkTn-5ekPDyqCYSBS2X6A5Jc"",""2025-26!W4"")"),955602.7500000001)</f>
        <v>955602.75</v>
      </c>
      <c r="AU8" s="55">
        <f>IFERROR(__xludf.DUMMYFUNCTION("IMPORTRANGE(""1UEZK2L9OACV3t606hu8vkTn-5ekPDyqCYSBS2X6A5Jc"",""2025-26!W3"")"),29.0)</f>
        <v>29</v>
      </c>
      <c r="AV8" s="58">
        <f t="shared" si="22"/>
        <v>0.5592056604</v>
      </c>
      <c r="AW8" s="55">
        <f>IFERROR(__xludf.DUMMYFUNCTION("IMPORTRANGE(""1UEZK2L9OACV3t606hu8vkTn-5ekPDyqCYSBS2X6A5Jc"",""2025-26!X4"")"),889137.0)</f>
        <v>889137</v>
      </c>
      <c r="AX8" s="55">
        <f>IFERROR(__xludf.DUMMYFUNCTION("IMPORTRANGE(""1UEZK2L9OACV3t606hu8vkTn-5ekPDyqCYSBS2X6A5Jc"",""2025-26!X3"")"),28.0)</f>
        <v>28</v>
      </c>
      <c r="AY8" s="55">
        <f>IFERROR(__xludf.DUMMYFUNCTION("IMPORTRANGE(""1UEZK2L9OACV3t606hu8vkTn-5ekPDyqCYSBS2X6A5Jc"",""2025-26!Y4"")"),1590000.0)</f>
        <v>1590000</v>
      </c>
      <c r="AZ8" s="55">
        <f>IFERROR(__xludf.DUMMYFUNCTION("IMPORTRANGE(""1UEZK2L9OACV3t606hu8vkTn-5ekPDyqCYSBS2X6A5Jc"",""2025-26!Y3"")"),89.0)</f>
        <v>89</v>
      </c>
      <c r="BA8" s="55">
        <f>IFERROR(__xludf.DUMMYFUNCTION("IMPORTRANGE(""1UEZK2L9OACV3t606hu8vkTn-5ekPDyqCYSBS2X6A5Jc"",""2025-26!Z4"")"),906875.4299999999)</f>
        <v>906875.43</v>
      </c>
      <c r="BB8" s="55">
        <f>IFERROR(__xludf.DUMMYFUNCTION("IMPORTRANGE(""1UEZK2L9OACV3t606hu8vkTn-5ekPDyqCYSBS2X6A5Jc"",""2025-26!Z3"")"),25.0)</f>
        <v>25</v>
      </c>
      <c r="BC8" s="59">
        <f t="shared" si="23"/>
        <v>0.5721119497</v>
      </c>
      <c r="BD8" s="55">
        <f>IFERROR(__xludf.DUMMYFUNCTION("IMPORTRANGE(""1UEZK2L9OACV3t606hu8vkTn-5ekPDyqCYSBS2X6A5Jc"",""2025-26!AA4"")"),909658.0)</f>
        <v>909658</v>
      </c>
      <c r="BE8" s="55">
        <f>IFERROR(__xludf.DUMMYFUNCTION("IMPORTRANGE(""1UEZK2L9OACV3t606hu8vkTn-5ekPDyqCYSBS2X6A5Jc"",""2025-26!AA3"")"),25.0)</f>
        <v>25</v>
      </c>
      <c r="BF8" s="55">
        <f>IFERROR(__xludf.DUMMYFUNCTION("IMPORTRANGE(""1UEZK2L9OACV3t606hu8vkTn-5ekPDyqCYSBS2X6A5Jc"",""2025-26!AB4"")"),1511000.0)</f>
        <v>1511000</v>
      </c>
      <c r="BG8" s="55">
        <f>IFERROR(__xludf.DUMMYFUNCTION("IMPORTRANGE(""1UEZK2L9OACV3t606hu8vkTn-5ekPDyqCYSBS2X6A5Jc"",""2025-26!AB3"")"),67.0)</f>
        <v>67</v>
      </c>
      <c r="BH8" s="55">
        <f>IFERROR(__xludf.DUMMYFUNCTION("IMPORTRANGE(""1UEZK2L9OACV3t606hu8vkTn-5ekPDyqCYSBS2X6A5Jc"",""2025-26!AC4"")"),844005.05)</f>
        <v>844005.05</v>
      </c>
      <c r="BI8" s="55">
        <f>IFERROR(__xludf.DUMMYFUNCTION("IMPORTRANGE(""1UEZK2L9OACV3t606hu8vkTn-5ekPDyqCYSBS2X6A5Jc"",""2025-26!AC3"")"),18.0)</f>
        <v>18</v>
      </c>
      <c r="BJ8" s="59">
        <f t="shared" si="24"/>
        <v>0.5103295831</v>
      </c>
      <c r="BK8" s="55">
        <f>IFERROR(__xludf.DUMMYFUNCTION("IMPORTRANGE(""1UEZK2L9OACV3t606hu8vkTn-5ekPDyqCYSBS2X6A5Jc"",""2025-26!AD4"")"),771108.0)</f>
        <v>771108</v>
      </c>
      <c r="BL8" s="55">
        <f>IFERROR(__xludf.DUMMYFUNCTION("IMPORTRANGE(""1UEZK2L9OACV3t606hu8vkTn-5ekPDyqCYSBS2X6A5Jc"",""2025-26!AD3"")"),17.0)</f>
        <v>17</v>
      </c>
      <c r="BM8" s="55">
        <f>IFERROR(__xludf.DUMMYFUNCTION("IMPORTRANGE(""1UEZK2L9OACV3t606hu8vkTn-5ekPDyqCYSBS2X6A5Jc"",""2025-26!AE4"")"),1511000.0)</f>
        <v>1511000</v>
      </c>
      <c r="BN8" s="55">
        <f>IFERROR(__xludf.DUMMYFUNCTION("IMPORTRANGE(""1UEZK2L9OACV3t606hu8vkTn-5ekPDyqCYSBS2X6A5Jc"",""2025-26!AE3"")"),67.0)</f>
        <v>67</v>
      </c>
      <c r="BO8" s="55">
        <f>IFERROR(__xludf.DUMMYFUNCTION("IMPORTRANGE(""1UEZK2L9OACV3t606hu8vkTn-5ekPDyqCYSBS2X6A5Jc"",""2025-26!AF4"")"),322651.9)</f>
        <v>322651.9</v>
      </c>
      <c r="BP8" s="55">
        <f>IFERROR(__xludf.DUMMYFUNCTION("IMPORTRANGE(""1UEZK2L9OACV3t606hu8vkTn-5ekPDyqCYSBS2X6A5Jc"",""2025-26!AF3"")"),12.0)</f>
        <v>12</v>
      </c>
      <c r="BQ8" s="59">
        <f t="shared" si="25"/>
        <v>0.2196234282</v>
      </c>
      <c r="BR8" s="55">
        <f>IFERROR(__xludf.DUMMYFUNCTION("IMPORTRANGE(""1UEZK2L9OACV3t606hu8vkTn-5ekPDyqCYSBS2X6A5Jc"",""2025-26!AG4"")"),331851.0)</f>
        <v>331851</v>
      </c>
      <c r="BS8" s="55">
        <f>IFERROR(__xludf.DUMMYFUNCTION("IMPORTRANGE(""1UEZK2L9OACV3t606hu8vkTn-5ekPDyqCYSBS2X6A5Jc"",""2025-26!AG3"")"),12.0)</f>
        <v>12</v>
      </c>
      <c r="BT8" s="55">
        <f>IFERROR(__xludf.DUMMYFUNCTION("IMPORTRANGE(""1UEZK2L9OACV3t606hu8vkTn-5ekPDyqCYSBS2X6A5Jc"",""2025-26!AH4"")"),1511000.0)</f>
        <v>1511000</v>
      </c>
      <c r="BU8" s="55">
        <f>IFERROR(__xludf.DUMMYFUNCTION("IMPORTRANGE(""1UEZK2L9OACV3t606hu8vkTn-5ekPDyqCYSBS2X6A5Jc"",""2025-26!AH3"")"),67.0)</f>
        <v>67</v>
      </c>
      <c r="BV8" s="55">
        <f>IFERROR(__xludf.DUMMYFUNCTION("IMPORTRANGE(""1UEZK2L9OACV3t606hu8vkTn-5ekPDyqCYSBS2X6A5Jc"",""2025-26!AI4"")"),537682.4)</f>
        <v>537682.4</v>
      </c>
      <c r="BW8" s="55">
        <f>IFERROR(__xludf.DUMMYFUNCTION("IMPORTRANGE(""1UEZK2L9OACV3t606hu8vkTn-5ekPDyqCYSBS2X6A5Jc"",""2025-26!AI3"")"),21.0)</f>
        <v>21</v>
      </c>
      <c r="BX8" s="59">
        <f t="shared" si="26"/>
        <v>0.3603163468</v>
      </c>
      <c r="BY8" s="55">
        <f>IFERROR(__xludf.DUMMYFUNCTION("IMPORTRANGE(""1UEZK2L9OACV3t606hu8vkTn-5ekPDyqCYSBS2X6A5Jc"",""2025-26!AJ4"")"),544438.0)</f>
        <v>544438</v>
      </c>
      <c r="BZ8" s="55">
        <f>IFERROR(__xludf.DUMMYFUNCTION("IMPORTRANGE(""1UEZK2L9OACV3t606hu8vkTn-5ekPDyqCYSBS2X6A5Jc"",""2025-26!AJ3"")"),21.0)</f>
        <v>21</v>
      </c>
      <c r="CA8" s="55">
        <f>IFERROR(__xludf.DUMMYFUNCTION("IMPORTRANGE(""1UEZK2L9OACV3t606hu8vkTn-5ekPDyqCYSBS2X6A5Jc"",""2025-26!AK4"")"),1656000.0)</f>
        <v>1656000</v>
      </c>
      <c r="CB8" s="55">
        <f>IFERROR(__xludf.DUMMYFUNCTION("IMPORTRANGE(""1UEZK2L9OACV3t606hu8vkTn-5ekPDyqCYSBS2X6A5Jc"",""2025-26!AK3"")"),72.0)</f>
        <v>72</v>
      </c>
      <c r="CC8" s="55">
        <f>IFERROR(__xludf.DUMMYFUNCTION("IMPORTRANGE(""1UEZK2L9OACV3t606hu8vkTn-5ekPDyqCYSBS2X6A5Jc"",""2025-26!AL4"")"),563550.7)</f>
        <v>563550.7</v>
      </c>
      <c r="CD8" s="55">
        <f>IFERROR(__xludf.DUMMYFUNCTION("IMPORTRANGE(""1UEZK2L9OACV3t606hu8vkTn-5ekPDyqCYSBS2X6A5Jc"",""2025-26!AL3"")"),21.0)</f>
        <v>21</v>
      </c>
      <c r="CE8" s="59">
        <f t="shared" si="27"/>
        <v>0.3396654589</v>
      </c>
      <c r="CF8" s="55">
        <f>IFERROR(__xludf.DUMMYFUNCTION("IMPORTRANGE(""1UEZK2L9OACV3t606hu8vkTn-5ekPDyqCYSBS2X6A5Jc"",""2025-26!AM4"")"),562486.0)</f>
        <v>562486</v>
      </c>
      <c r="CG8" s="55">
        <f>IFERROR(__xludf.DUMMYFUNCTION("IMPORTRANGE(""1UEZK2L9OACV3t606hu8vkTn-5ekPDyqCYSBS2X6A5Jc"",""2025-26!AM3"")"),21.0)</f>
        <v>21</v>
      </c>
      <c r="CH8" s="55">
        <f>IFERROR(__xludf.DUMMYFUNCTION("IMPORTRANGE(""1UEZK2L9OACV3t606hu8vkTn-5ekPDyqCYSBS2X6A5Jc"",""2025-26!AN4"")"),1656000.0)</f>
        <v>1656000</v>
      </c>
      <c r="CI8" s="55">
        <f>IFERROR(__xludf.DUMMYFUNCTION("IMPORTRANGE(""1UEZK2L9OACV3t606hu8vkTn-5ekPDyqCYSBS2X6A5Jc"",""2025-26!AN3"")"),72.0)</f>
        <v>72</v>
      </c>
      <c r="CJ8" s="55">
        <f>IFERROR(__xludf.DUMMYFUNCTION("IMPORTRANGE(""1UEZK2L9OACV3t606hu8vkTn-5ekPDyqCYSBS2X6A5Jc"",""2025-26!AO4"")"),463732.5)</f>
        <v>463732.5</v>
      </c>
      <c r="CK8" s="55">
        <f>IFERROR(__xludf.DUMMYFUNCTION("IMPORTRANGE(""1UEZK2L9OACV3t606hu8vkTn-5ekPDyqCYSBS2X6A5Jc"",""2025-26!AO3"")"),21.0)</f>
        <v>21</v>
      </c>
      <c r="CL8" s="59">
        <f t="shared" si="28"/>
        <v>0.303589372</v>
      </c>
      <c r="CM8" s="55">
        <f>IFERROR(__xludf.DUMMYFUNCTION("IMPORTRANGE(""1UEZK2L9OACV3t606hu8vkTn-5ekPDyqCYSBS2X6A5Jc"",""2025-26!AP4"")"),502744.0)</f>
        <v>502744</v>
      </c>
      <c r="CN8" s="55">
        <f>IFERROR(__xludf.DUMMYFUNCTION("IMPORTRANGE(""1UEZK2L9OACV3t606hu8vkTn-5ekPDyqCYSBS2X6A5Jc"",""2025-26!AP3"")"),22.0)</f>
        <v>22</v>
      </c>
      <c r="CO8" s="55">
        <f>IFERROR(__xludf.DUMMYFUNCTION("IMPORTRANGE(""1UEZK2L9OACV3t606hu8vkTn-5ekPDyqCYSBS2X6A5Jc"",""2025-26!AQ4"")"),1656000.0)</f>
        <v>1656000</v>
      </c>
      <c r="CP8" s="55">
        <f>IFERROR(__xludf.DUMMYFUNCTION("IMPORTRANGE(""1UEZK2L9OACV3t606hu8vkTn-5ekPDyqCYSBS2X6A5Jc"",""2025-26!AQ3"")"),72.0)</f>
        <v>72</v>
      </c>
      <c r="CQ8" s="55">
        <f>IFERROR(__xludf.DUMMYFUNCTION("IMPORTRANGE(""1UEZK2L9OACV3t606hu8vkTn-5ekPDyqCYSBS2X6A5Jc"",""2025-26!AR4"")"),713753.75)</f>
        <v>713753.75</v>
      </c>
      <c r="CR8" s="55">
        <f>IFERROR(__xludf.DUMMYFUNCTION("IMPORTRANGE(""1UEZK2L9OACV3t606hu8vkTn-5ekPDyqCYSBS2X6A5Jc"",""2025-26!AR3"")"),21.0)</f>
        <v>21</v>
      </c>
      <c r="CS8" s="59">
        <f t="shared" si="29"/>
        <v>0.05999275362</v>
      </c>
      <c r="CT8" s="55">
        <f>IFERROR(__xludf.DUMMYFUNCTION("IMPORTRANGE(""1UEZK2L9OACV3t606hu8vkTn-5ekPDyqCYSBS2X6A5Jc"",""2025-26!AS4"")"),99348.0)</f>
        <v>99348</v>
      </c>
      <c r="CU8" s="55">
        <f>IFERROR(__xludf.DUMMYFUNCTION("IMPORTRANGE(""1UEZK2L9OACV3t606hu8vkTn-5ekPDyqCYSBS2X6A5Jc"",""2025-26!AS3"")"),7.0)</f>
        <v>7</v>
      </c>
      <c r="CV8" s="60" t="s">
        <v>27</v>
      </c>
    </row>
    <row r="9">
      <c r="A9" s="1" t="s">
        <v>23</v>
      </c>
      <c r="B9" s="37"/>
      <c r="C9" s="48" t="s">
        <v>28</v>
      </c>
      <c r="D9" s="49" t="s">
        <v>29</v>
      </c>
      <c r="E9" s="50">
        <v>8.448288693E9</v>
      </c>
      <c r="F9" s="51">
        <v>45261.0</v>
      </c>
      <c r="G9" s="62"/>
      <c r="H9" s="62"/>
      <c r="I9" s="53">
        <f>VLOOKUP($C9,Data!$C:$BV,72,0)</f>
        <v>29360</v>
      </c>
      <c r="J9" s="54">
        <f>1200000+200000</f>
        <v>1400000</v>
      </c>
      <c r="K9" s="55">
        <f>IFERROR(__xludf.DUMMYFUNCTION("IMPORTRANGE(""1FQCfm55A8B3_aOo8e1xPQEUbQHYH85diG24OUoTRqnY"",""2025-26!A3"")"),105.0)</f>
        <v>105</v>
      </c>
      <c r="L9" s="55">
        <f>IFERROR(__xludf.DUMMYFUNCTION("IMPORTRANGE(""1FQCfm55A8B3_aOo8e1xPQEUbQHYH85diG24OUoTRqnY"",""2025-26!G4"")"),1.6E7)</f>
        <v>16000000</v>
      </c>
      <c r="M9" s="55">
        <f t="shared" si="15"/>
        <v>12136398.92</v>
      </c>
      <c r="N9" s="56">
        <f t="shared" si="16"/>
        <v>0.7712866875</v>
      </c>
      <c r="O9" s="57">
        <f t="shared" si="17"/>
        <v>12340587</v>
      </c>
      <c r="P9" s="55">
        <f>IFERROR(__xludf.DUMMYFUNCTION("IMPORTRANGE(""1FQCfm55A8B3_aOo8e1xPQEUbQHYH85diG24OUoTRqnY"",""2025-26!J4"")"),1095310.0)</f>
        <v>1095310</v>
      </c>
      <c r="Q9" s="55">
        <f>IFERROR(__xludf.DUMMYFUNCTION("IMPORTRANGE(""1FQCfm55A8B3_aOo8e1xPQEUbQHYH85diG24OUoTRqnY"",""2025-26!J3"")"),68.0)</f>
        <v>68</v>
      </c>
      <c r="R9" s="55">
        <f>IFERROR(__xludf.DUMMYFUNCTION("IMPORTRANGE(""1FQCfm55A8B3_aOo8e1xPQEUbQHYH85diG24OUoTRqnY"",""2025-26!K4"")"),974002.74)</f>
        <v>974002.74</v>
      </c>
      <c r="S9" s="55">
        <f>IFERROR(__xludf.DUMMYFUNCTION("IMPORTRANGE(""1FQCfm55A8B3_aOo8e1xPQEUbQHYH85diG24OUoTRqnY"",""2025-26!K3"")"),17.0)</f>
        <v>17</v>
      </c>
      <c r="T9" s="58">
        <f t="shared" si="18"/>
        <v>0.906988889</v>
      </c>
      <c r="U9" s="55">
        <f>IFERROR(__xludf.DUMMYFUNCTION("IMPORTRANGE(""1FQCfm55A8B3_aOo8e1xPQEUbQHYH85diG24OUoTRqnY"",""2025-26!L4"")"),993434.0)</f>
        <v>993434</v>
      </c>
      <c r="V9" s="55">
        <f>IFERROR(__xludf.DUMMYFUNCTION("IMPORTRANGE(""1FQCfm55A8B3_aOo8e1xPQEUbQHYH85diG24OUoTRqnY"",""2025-26!L3"")"),17.0)</f>
        <v>17</v>
      </c>
      <c r="W9" s="55">
        <f>IFERROR(__xludf.DUMMYFUNCTION("IMPORTRANGE(""1FQCfm55A8B3_aOo8e1xPQEUbQHYH85diG24OUoTRqnY"",""2025-26!m4"")"),1069978.0)</f>
        <v>1069978</v>
      </c>
      <c r="X9" s="55">
        <f>IFERROR(__xludf.DUMMYFUNCTION("IMPORTRANGE(""1FQCfm55A8B3_aOo8e1xPQEUbQHYH85diG24OUoTRqnY"",""2025-26!m3"")"),68.0)</f>
        <v>68</v>
      </c>
      <c r="Y9" s="55">
        <f>IFERROR(__xludf.DUMMYFUNCTION("IMPORTRANGE(""1FQCfm55A8B3_aOo8e1xPQEUbQHYH85diG24OUoTRqnY"",""2025-26!N4"")"),1039828.85)</f>
        <v>1039828.85</v>
      </c>
      <c r="Z9" s="55">
        <f>IFERROR(__xludf.DUMMYFUNCTION("IMPORTRANGE(""1FQCfm55A8B3_aOo8e1xPQEUbQHYH85diG24OUoTRqnY"",""2025-26!N3"")"),22.0)</f>
        <v>22</v>
      </c>
      <c r="AA9" s="58">
        <f t="shared" si="19"/>
        <v>0.9985270725</v>
      </c>
      <c r="AB9" s="55">
        <f>IFERROR(__xludf.DUMMYFUNCTION("IMPORTRANGE(""1FQCfm55A8B3_aOo8e1xPQEUbQHYH85diG24OUoTRqnY"",""2025-26!O4"")"),1068402.0)</f>
        <v>1068402</v>
      </c>
      <c r="AC9" s="55">
        <f>IFERROR(__xludf.DUMMYFUNCTION("IMPORTRANGE(""1FQCfm55A8B3_aOo8e1xPQEUbQHYH85diG24OUoTRqnY"",""2025-26!O3"")"),22.0)</f>
        <v>22</v>
      </c>
      <c r="AD9" s="55">
        <f>IFERROR(__xludf.DUMMYFUNCTION("IMPORTRANGE(""1FQCfm55A8B3_aOo8e1xPQEUbQHYH85diG24OUoTRqnY"",""2025-26!P4"")"),1107000.0)</f>
        <v>1107000</v>
      </c>
      <c r="AE9" s="55">
        <f>IFERROR(__xludf.DUMMYFUNCTION("IMPORTRANGE(""1FQCfm55A8B3_aOo8e1xPQEUbQHYH85diG24OUoTRqnY"",""2025-26!P3"")"),68.0)</f>
        <v>68</v>
      </c>
      <c r="AF9" s="55">
        <f>IFERROR(__xludf.DUMMYFUNCTION("IMPORTRANGE(""1FQCfm55A8B3_aOo8e1xPQEUbQHYH85diG24OUoTRqnY"",""2025-26!Q4"")"),1124766.61)</f>
        <v>1124766.61</v>
      </c>
      <c r="AG9" s="55">
        <f>IFERROR(__xludf.DUMMYFUNCTION("IMPORTRANGE(""1FQCfm55A8B3_aOo8e1xPQEUbQHYH85diG24OUoTRqnY"",""2025-26!Q3"")"),21.0)</f>
        <v>21</v>
      </c>
      <c r="AH9" s="58">
        <f t="shared" si="20"/>
        <v>1.036580849</v>
      </c>
      <c r="AI9" s="55">
        <f>IFERROR(__xludf.DUMMYFUNCTION("IMPORTRANGE(""1FQCfm55A8B3_aOo8e1xPQEUbQHYH85diG24OUoTRqnY"",""2025-26!R4"")"),1147495.0)</f>
        <v>1147495</v>
      </c>
      <c r="AJ9" s="55">
        <f>IFERROR(__xludf.DUMMYFUNCTION("IMPORTRANGE(""1FQCfm55A8B3_aOo8e1xPQEUbQHYH85diG24OUoTRqnY"",""2025-26!R3"")"),21.0)</f>
        <v>21</v>
      </c>
      <c r="AK9" s="55">
        <f>IFERROR(__xludf.DUMMYFUNCTION("IMPORTRANGE(""1FQCfm55A8B3_aOo8e1xPQEUbQHYH85diG24OUoTRqnY"",""2025-26!S4"")"),1304000.0)</f>
        <v>1304000</v>
      </c>
      <c r="AL9" s="55">
        <f>IFERROR(__xludf.DUMMYFUNCTION("IMPORTRANGE(""1FQCfm55A8B3_aOo8e1xPQEUbQHYH85diG24OUoTRqnY"",""2025-26!S3"")"),85.0)</f>
        <v>85</v>
      </c>
      <c r="AM9" s="55">
        <f>IFERROR(__xludf.DUMMYFUNCTION("IMPORTRANGE(""1FQCfm55A8B3_aOo8e1xPQEUbQHYH85diG24OUoTRqnY"",""2025-26!T4"")"),1293629.32)</f>
        <v>1293629.32</v>
      </c>
      <c r="AN9" s="55">
        <f>IFERROR(__xludf.DUMMYFUNCTION("IMPORTRANGE(""1FQCfm55A8B3_aOo8e1xPQEUbQHYH85diG24OUoTRqnY"",""2025-26!T3"")"),26.0)</f>
        <v>26</v>
      </c>
      <c r="AO9" s="58">
        <f t="shared" si="21"/>
        <v>1.005375767</v>
      </c>
      <c r="AP9" s="55">
        <f>IFERROR(__xludf.DUMMYFUNCTION("IMPORTRANGE(""1FQCfm55A8B3_aOo8e1xPQEUbQHYH85diG24OUoTRqnY"",""2025-26!U4"")"),1311010.0)</f>
        <v>1311010</v>
      </c>
      <c r="AQ9" s="55">
        <f>IFERROR(__xludf.DUMMYFUNCTION("IMPORTRANGE(""1FQCfm55A8B3_aOo8e1xPQEUbQHYH85diG24OUoTRqnY"",""2025-26!U3"")"),26.0)</f>
        <v>26</v>
      </c>
      <c r="AR9" s="55">
        <f>IFERROR(__xludf.DUMMYFUNCTION("IMPORTRANGE(""1FQCfm55A8B3_aOo8e1xPQEUbQHYH85diG24OUoTRqnY"",""2025-26!V4"")"),1336000.0)</f>
        <v>1336000</v>
      </c>
      <c r="AS9" s="55">
        <f>IFERROR(__xludf.DUMMYFUNCTION("IMPORTRANGE(""1FQCfm55A8B3_aOo8e1xPQEUbQHYH85diG24OUoTRqnY"",""2025-26!V3"")"),85.0)</f>
        <v>85</v>
      </c>
      <c r="AT9" s="55">
        <f>IFERROR(__xludf.DUMMYFUNCTION("IMPORTRANGE(""1FQCfm55A8B3_aOo8e1xPQEUbQHYH85diG24OUoTRqnY"",""2025-26!W4"")"),1242011.89)</f>
        <v>1242011.89</v>
      </c>
      <c r="AU9" s="55">
        <f>IFERROR(__xludf.DUMMYFUNCTION("IMPORTRANGE(""1FQCfm55A8B3_aOo8e1xPQEUbQHYH85diG24OUoTRqnY"",""2025-26!W3"")"),24.0)</f>
        <v>24</v>
      </c>
      <c r="AV9" s="58">
        <f t="shared" si="22"/>
        <v>0.9320232036</v>
      </c>
      <c r="AW9" s="55">
        <f>IFERROR(__xludf.DUMMYFUNCTION("IMPORTRANGE(""1FQCfm55A8B3_aOo8e1xPQEUbQHYH85diG24OUoTRqnY"",""2025-26!X4"")"),1245183.0)</f>
        <v>1245183</v>
      </c>
      <c r="AX9" s="55">
        <f>IFERROR(__xludf.DUMMYFUNCTION("IMPORTRANGE(""1FQCfm55A8B3_aOo8e1xPQEUbQHYH85diG24OUoTRqnY"",""2025-26!X3"")"),24.0)</f>
        <v>24</v>
      </c>
      <c r="AY9" s="55">
        <f>IFERROR(__xludf.DUMMYFUNCTION("IMPORTRANGE(""1FQCfm55A8B3_aOo8e1xPQEUbQHYH85diG24OUoTRqnY"",""2025-26!Y4"")"),1249000.0)</f>
        <v>1249000</v>
      </c>
      <c r="AZ9" s="55">
        <f>IFERROR(__xludf.DUMMYFUNCTION("IMPORTRANGE(""1FQCfm55A8B3_aOo8e1xPQEUbQHYH85diG24OUoTRqnY"",""2025-26!Y3"")"),83.0)</f>
        <v>83</v>
      </c>
      <c r="BA9" s="55">
        <f>IFERROR(__xludf.DUMMYFUNCTION("IMPORTRANGE(""1FQCfm55A8B3_aOo8e1xPQEUbQHYH85diG24OUoTRqnY"",""2025-26!Z4"")"),953132.9799999999)</f>
        <v>953132.98</v>
      </c>
      <c r="BB9" s="55">
        <f>IFERROR(__xludf.DUMMYFUNCTION("IMPORTRANGE(""1FQCfm55A8B3_aOo8e1xPQEUbQHYH85diG24OUoTRqnY"",""2025-26!Z3"")"),34.0)</f>
        <v>34</v>
      </c>
      <c r="BC9" s="59">
        <f t="shared" si="23"/>
        <v>0.7653370697</v>
      </c>
      <c r="BD9" s="55">
        <f>IFERROR(__xludf.DUMMYFUNCTION("IMPORTRANGE(""1FQCfm55A8B3_aOo8e1xPQEUbQHYH85diG24OUoTRqnY"",""2025-26!AA4"")"),955906.0)</f>
        <v>955906</v>
      </c>
      <c r="BE9" s="55">
        <f>IFERROR(__xludf.DUMMYFUNCTION("IMPORTRANGE(""1FQCfm55A8B3_aOo8e1xPQEUbQHYH85diG24OUoTRqnY"",""2025-26!AA3"")"),34.0)</f>
        <v>34</v>
      </c>
      <c r="BF9" s="55">
        <f>IFERROR(__xludf.DUMMYFUNCTION("IMPORTRANGE(""1FQCfm55A8B3_aOo8e1xPQEUbQHYH85diG24OUoTRqnY"",""2025-26!AB4"")"),1360000.0)</f>
        <v>1360000</v>
      </c>
      <c r="BG9" s="55">
        <f>IFERROR(__xludf.DUMMYFUNCTION("IMPORTRANGE(""1FQCfm55A8B3_aOo8e1xPQEUbQHYH85diG24OUoTRqnY"",""2025-26!AB3"")"),85.0)</f>
        <v>85</v>
      </c>
      <c r="BH9" s="55">
        <f>IFERROR(__xludf.DUMMYFUNCTION("IMPORTRANGE(""1FQCfm55A8B3_aOo8e1xPQEUbQHYH85diG24OUoTRqnY"",""2025-26!AC4"")"),907255.3400000001)</f>
        <v>907255.34</v>
      </c>
      <c r="BI9" s="55">
        <f>IFERROR(__xludf.DUMMYFUNCTION("IMPORTRANGE(""1FQCfm55A8B3_aOo8e1xPQEUbQHYH85diG24OUoTRqnY"",""2025-26!AC3"")"),22.0)</f>
        <v>22</v>
      </c>
      <c r="BJ9" s="59">
        <f t="shared" si="24"/>
        <v>0.6698617647</v>
      </c>
      <c r="BK9" s="55">
        <f>IFERROR(__xludf.DUMMYFUNCTION("IMPORTRANGE(""1FQCfm55A8B3_aOo8e1xPQEUbQHYH85diG24OUoTRqnY"",""2025-26!AD4"")"),911012.0)</f>
        <v>911012</v>
      </c>
      <c r="BL9" s="55">
        <f>IFERROR(__xludf.DUMMYFUNCTION("IMPORTRANGE(""1FQCfm55A8B3_aOo8e1xPQEUbQHYH85diG24OUoTRqnY"",""2025-26!AD3"")"),22.0)</f>
        <v>22</v>
      </c>
      <c r="BM9" s="55">
        <f>IFERROR(__xludf.DUMMYFUNCTION("IMPORTRANGE(""1FQCfm55A8B3_aOo8e1xPQEUbQHYH85diG24OUoTRqnY"",""2025-26!AE4"")"),1269000.0)</f>
        <v>1269000</v>
      </c>
      <c r="BN9" s="55">
        <f>IFERROR(__xludf.DUMMYFUNCTION("IMPORTRANGE(""1FQCfm55A8B3_aOo8e1xPQEUbQHYH85diG24OUoTRqnY"",""2025-26!AE3"")"),85.0)</f>
        <v>85</v>
      </c>
      <c r="BO9" s="55">
        <f>IFERROR(__xludf.DUMMYFUNCTION("IMPORTRANGE(""1FQCfm55A8B3_aOo8e1xPQEUbQHYH85diG24OUoTRqnY"",""2025-26!AF4"")"),1007490.22)</f>
        <v>1007490.22</v>
      </c>
      <c r="BP9" s="55">
        <f>IFERROR(__xludf.DUMMYFUNCTION("IMPORTRANGE(""1FQCfm55A8B3_aOo8e1xPQEUbQHYH85diG24OUoTRqnY"",""2025-26!AF3"")"),31.0)</f>
        <v>31</v>
      </c>
      <c r="BQ9" s="59">
        <f t="shared" si="25"/>
        <v>0.81714342</v>
      </c>
      <c r="BR9" s="55">
        <f>IFERROR(__xludf.DUMMYFUNCTION("IMPORTRANGE(""1FQCfm55A8B3_aOo8e1xPQEUbQHYH85diG24OUoTRqnY"",""2025-26!AG4"")"),1036955.0)</f>
        <v>1036955</v>
      </c>
      <c r="BS9" s="55">
        <f>IFERROR(__xludf.DUMMYFUNCTION("IMPORTRANGE(""1FQCfm55A8B3_aOo8e1xPQEUbQHYH85diG24OUoTRqnY"",""2025-26!AG3"")"),33.0)</f>
        <v>33</v>
      </c>
      <c r="BT9" s="55">
        <f>IFERROR(__xludf.DUMMYFUNCTION("IMPORTRANGE(""1FQCfm55A8B3_aOo8e1xPQEUbQHYH85diG24OUoTRqnY"",""2025-26!AH4"")"),1357000.0)</f>
        <v>1357000</v>
      </c>
      <c r="BU9" s="55">
        <f>IFERROR(__xludf.DUMMYFUNCTION("IMPORTRANGE(""1FQCfm55A8B3_aOo8e1xPQEUbQHYH85diG24OUoTRqnY"",""2025-26!AH3"")"),99.0)</f>
        <v>99</v>
      </c>
      <c r="BV9" s="55">
        <f>IFERROR(__xludf.DUMMYFUNCTION("IMPORTRANGE(""1FQCfm55A8B3_aOo8e1xPQEUbQHYH85diG24OUoTRqnY"",""2025-26!AI4"")"),906093.8200000001)</f>
        <v>906093.82</v>
      </c>
      <c r="BW9" s="55">
        <f>IFERROR(__xludf.DUMMYFUNCTION("IMPORTRANGE(""1FQCfm55A8B3_aOo8e1xPQEUbQHYH85diG24OUoTRqnY"",""2025-26!AI3"")"),28.0)</f>
        <v>28</v>
      </c>
      <c r="BX9" s="59">
        <f t="shared" si="26"/>
        <v>0.6609130435</v>
      </c>
      <c r="BY9" s="55">
        <f>IFERROR(__xludf.DUMMYFUNCTION("IMPORTRANGE(""1FQCfm55A8B3_aOo8e1xPQEUbQHYH85diG24OUoTRqnY"",""2025-26!AJ4"")"),896859.0)</f>
        <v>896859</v>
      </c>
      <c r="BZ9" s="55">
        <f>IFERROR(__xludf.DUMMYFUNCTION("IMPORTRANGE(""1FQCfm55A8B3_aOo8e1xPQEUbQHYH85diG24OUoTRqnY"",""2025-26!AJ3"")"),27.0)</f>
        <v>27</v>
      </c>
      <c r="CA9" s="55">
        <f>IFERROR(__xludf.DUMMYFUNCTION("IMPORTRANGE(""1FQCfm55A8B3_aOo8e1xPQEUbQHYH85diG24OUoTRqnY"",""2025-26!AK4"")"),1321000.0)</f>
        <v>1321000</v>
      </c>
      <c r="CB9" s="55">
        <f>IFERROR(__xludf.DUMMYFUNCTION("IMPORTRANGE(""1FQCfm55A8B3_aOo8e1xPQEUbQHYH85diG24OUoTRqnY"",""2025-26!AK3"")"),99.0)</f>
        <v>99</v>
      </c>
      <c r="CC9" s="55">
        <f>IFERROR(__xludf.DUMMYFUNCTION("IMPORTRANGE(""1FQCfm55A8B3_aOo8e1xPQEUbQHYH85diG24OUoTRqnY"",""2025-26!AL4"")"),1006623.01)</f>
        <v>1006623.01</v>
      </c>
      <c r="CD9" s="55">
        <f>IFERROR(__xludf.DUMMYFUNCTION("IMPORTRANGE(""1FQCfm55A8B3_aOo8e1xPQEUbQHYH85diG24OUoTRqnY"",""2025-26!AL3"")"),27.0)</f>
        <v>27</v>
      </c>
      <c r="CE9" s="59">
        <f t="shared" si="27"/>
        <v>0.7836888721</v>
      </c>
      <c r="CF9" s="55">
        <f>IFERROR(__xludf.DUMMYFUNCTION("IMPORTRANGE(""1FQCfm55A8B3_aOo8e1xPQEUbQHYH85diG24OUoTRqnY"",""2025-26!AM4"")"),1035253.0)</f>
        <v>1035253</v>
      </c>
      <c r="CG9" s="55">
        <f>IFERROR(__xludf.DUMMYFUNCTION("IMPORTRANGE(""1FQCfm55A8B3_aOo8e1xPQEUbQHYH85diG24OUoTRqnY"",""2025-26!AM3"")"),27.0)</f>
        <v>27</v>
      </c>
      <c r="CH9" s="55">
        <f>IFERROR(__xludf.DUMMYFUNCTION("IMPORTRANGE(""1FQCfm55A8B3_aOo8e1xPQEUbQHYH85diG24OUoTRqnY"",""2025-26!AN4"")"),1314000.0)</f>
        <v>1314000</v>
      </c>
      <c r="CI9" s="55">
        <f>IFERROR(__xludf.DUMMYFUNCTION("IMPORTRANGE(""1FQCfm55A8B3_aOo8e1xPQEUbQHYH85diG24OUoTRqnY"",""2025-26!AN3"")"),99.0)</f>
        <v>99</v>
      </c>
      <c r="CJ9" s="55">
        <f>IFERROR(__xludf.DUMMYFUNCTION("IMPORTRANGE(""1FQCfm55A8B3_aOo8e1xPQEUbQHYH85diG24OUoTRqnY"",""2025-26!AO4"")"),732687.57)</f>
        <v>732687.57</v>
      </c>
      <c r="CK9" s="55">
        <f>IFERROR(__xludf.DUMMYFUNCTION("IMPORTRANGE(""1FQCfm55A8B3_aOo8e1xPQEUbQHYH85diG24OUoTRqnY"",""2025-26!AO3"")"),26.0)</f>
        <v>26</v>
      </c>
      <c r="CL9" s="59">
        <f t="shared" si="28"/>
        <v>0.5772929985</v>
      </c>
      <c r="CM9" s="55">
        <f>IFERROR(__xludf.DUMMYFUNCTION("IMPORTRANGE(""1FQCfm55A8B3_aOo8e1xPQEUbQHYH85diG24OUoTRqnY"",""2025-26!AP4"")"),758563.0)</f>
        <v>758563</v>
      </c>
      <c r="CN9" s="55">
        <f>IFERROR(__xludf.DUMMYFUNCTION("IMPORTRANGE(""1FQCfm55A8B3_aOo8e1xPQEUbQHYH85diG24OUoTRqnY"",""2025-26!AP3"")"),26.0)</f>
        <v>26</v>
      </c>
      <c r="CO9" s="55">
        <f>IFERROR(__xludf.DUMMYFUNCTION("IMPORTRANGE(""1FQCfm55A8B3_aOo8e1xPQEUbQHYH85diG24OUoTRqnY"",""2025-26!AQ4"")"),1375000.0)</f>
        <v>1375000</v>
      </c>
      <c r="CP9" s="55">
        <f>IFERROR(__xludf.DUMMYFUNCTION("IMPORTRANGE(""1FQCfm55A8B3_aOo8e1xPQEUbQHYH85diG24OUoTRqnY"",""2025-26!AQ3"")"),99.0)</f>
        <v>99</v>
      </c>
      <c r="CQ9" s="55">
        <f>IFERROR(__xludf.DUMMYFUNCTION("IMPORTRANGE(""1FQCfm55A8B3_aOo8e1xPQEUbQHYH85diG24OUoTRqnY"",""2025-26!AR4"")"),948876.5699999998)</f>
        <v>948876.57</v>
      </c>
      <c r="CR9" s="55">
        <f>IFERROR(__xludf.DUMMYFUNCTION("IMPORTRANGE(""1FQCfm55A8B3_aOo8e1xPQEUbQHYH85diG24OUoTRqnY"",""2025-26!AR3"")"),23.0)</f>
        <v>23</v>
      </c>
      <c r="CS9" s="59">
        <f t="shared" si="29"/>
        <v>0.7131018182</v>
      </c>
      <c r="CT9" s="55">
        <f>IFERROR(__xludf.DUMMYFUNCTION("IMPORTRANGE(""1FQCfm55A8B3_aOo8e1xPQEUbQHYH85diG24OUoTRqnY"",""2025-26!AS4"")"),980515.0)</f>
        <v>980515</v>
      </c>
      <c r="CU9" s="55">
        <f>IFERROR(__xludf.DUMMYFUNCTION("IMPORTRANGE(""1FQCfm55A8B3_aOo8e1xPQEUbQHYH85diG24OUoTRqnY"",""2025-26!AS3"")"),23.0)</f>
        <v>23</v>
      </c>
      <c r="CV9" s="60" t="s">
        <v>30</v>
      </c>
    </row>
    <row r="10">
      <c r="A10" s="63" t="s">
        <v>23</v>
      </c>
      <c r="B10" s="37"/>
      <c r="C10" s="64" t="s">
        <v>31</v>
      </c>
      <c r="D10" s="65" t="s">
        <v>32</v>
      </c>
      <c r="E10" s="50">
        <v>9.891552205E9</v>
      </c>
      <c r="F10" s="66">
        <v>45551.0</v>
      </c>
      <c r="G10" s="62"/>
      <c r="H10" s="62"/>
      <c r="I10" s="53">
        <f>VLOOKUP($C10,Data!$C:$BV,72,0)</f>
        <v>28310</v>
      </c>
      <c r="J10" s="54">
        <v>1300000.0</v>
      </c>
      <c r="K10" s="55">
        <f>IFERROR(__xludf.DUMMYFUNCTION("IMPORTRANGE(""1Oujo8vUnwFLr-WkmYYfJwaGjmRsDy-q2Aq0vU4BlykA"",""2025-26!A3"")"),125.0)</f>
        <v>125</v>
      </c>
      <c r="L10" s="55">
        <f>IFERROR(__xludf.DUMMYFUNCTION("IMPORTRANGE(""1Oujo8vUnwFLr-WkmYYfJwaGjmRsDy-q2Aq0vU4BlykA"",""2025-26!G4"")"),1.5445E7)</f>
        <v>15445000</v>
      </c>
      <c r="M10" s="55">
        <f t="shared" si="15"/>
        <v>11338113.37</v>
      </c>
      <c r="N10" s="56">
        <f t="shared" si="16"/>
        <v>0.736765361</v>
      </c>
      <c r="O10" s="57">
        <f t="shared" si="17"/>
        <v>11379341</v>
      </c>
      <c r="P10" s="55">
        <f>IFERROR(__xludf.DUMMYFUNCTION("IMPORTRANGE(""1Oujo8vUnwFLr-WkmYYfJwaGjmRsDy-q2Aq0vU4BlykA"",""2025-26!J4"")"),1232000.0)</f>
        <v>1232000</v>
      </c>
      <c r="Q10" s="55">
        <f>IFERROR(__xludf.DUMMYFUNCTION("IMPORTRANGE(""1Oujo8vUnwFLr-WkmYYfJwaGjmRsDy-q2Aq0vU4BlykA"",""2025-26!J3"")"),114.0)</f>
        <v>114</v>
      </c>
      <c r="R10" s="55">
        <f>IFERROR(__xludf.DUMMYFUNCTION("IMPORTRANGE(""1Oujo8vUnwFLr-WkmYYfJwaGjmRsDy-q2Aq0vU4BlykA"",""2025-26!K4"")"),846489.8100000002)</f>
        <v>846489.81</v>
      </c>
      <c r="S10" s="55">
        <f>IFERROR(__xludf.DUMMYFUNCTION("IMPORTRANGE(""1Oujo8vUnwFLr-WkmYYfJwaGjmRsDy-q2Aq0vU4BlykA"",""2025-26!K3"")"),43.0)</f>
        <v>43</v>
      </c>
      <c r="T10" s="58">
        <f t="shared" si="18"/>
        <v>0.7011332955</v>
      </c>
      <c r="U10" s="55">
        <f>IFERROR(__xludf.DUMMYFUNCTION("IMPORTRANGE(""1Oujo8vUnwFLr-WkmYYfJwaGjmRsDy-q2Aq0vU4BlykA"",""2025-26!L4"")"),863796.22)</f>
        <v>863796.22</v>
      </c>
      <c r="V10" s="55">
        <f>IFERROR(__xludf.DUMMYFUNCTION("IMPORTRANGE(""1Oujo8vUnwFLr-WkmYYfJwaGjmRsDy-q2Aq0vU4BlykA"",""2025-26!L3"")"),43.0)</f>
        <v>43</v>
      </c>
      <c r="W10" s="55">
        <f>IFERROR(__xludf.DUMMYFUNCTION("IMPORTRANGE(""1Oujo8vUnwFLr-WkmYYfJwaGjmRsDy-q2Aq0vU4BlykA"",""2025-26!m4"")"),1214000.0)</f>
        <v>1214000</v>
      </c>
      <c r="X10" s="55">
        <f>IFERROR(__xludf.DUMMYFUNCTION("IMPORTRANGE(""1Oujo8vUnwFLr-WkmYYfJwaGjmRsDy-q2Aq0vU4BlykA"",""2025-26!m3"")"),114.0)</f>
        <v>114</v>
      </c>
      <c r="Y10" s="55">
        <f>IFERROR(__xludf.DUMMYFUNCTION("IMPORTRANGE(""1Oujo8vUnwFLr-WkmYYfJwaGjmRsDy-q2Aq0vU4BlykA"",""2025-26!N4"")"),926964.65)</f>
        <v>926964.65</v>
      </c>
      <c r="Z10" s="55">
        <f>IFERROR(__xludf.DUMMYFUNCTION("IMPORTRANGE(""1Oujo8vUnwFLr-WkmYYfJwaGjmRsDy-q2Aq0vU4BlykA"",""2025-26!N3"")"),42.0)</f>
        <v>42</v>
      </c>
      <c r="AA10" s="58">
        <f t="shared" si="19"/>
        <v>0.781154514</v>
      </c>
      <c r="AB10" s="55">
        <f>IFERROR(__xludf.DUMMYFUNCTION("IMPORTRANGE(""1Oujo8vUnwFLr-WkmYYfJwaGjmRsDy-q2Aq0vU4BlykA"",""2025-26!O4"")"),948321.58)</f>
        <v>948321.58</v>
      </c>
      <c r="AC10" s="55">
        <f>IFERROR(__xludf.DUMMYFUNCTION("IMPORTRANGE(""1Oujo8vUnwFLr-WkmYYfJwaGjmRsDy-q2Aq0vU4BlykA"",""2025-26!O3"")"),43.0)</f>
        <v>43</v>
      </c>
      <c r="AD10" s="55">
        <f>IFERROR(__xludf.DUMMYFUNCTION("IMPORTRANGE(""1Oujo8vUnwFLr-WkmYYfJwaGjmRsDy-q2Aq0vU4BlykA"",""2025-26!P4"")"),1327000.0)</f>
        <v>1327000</v>
      </c>
      <c r="AE10" s="55">
        <f>IFERROR(__xludf.DUMMYFUNCTION("IMPORTRANGE(""1Oujo8vUnwFLr-WkmYYfJwaGjmRsDy-q2Aq0vU4BlykA"",""2025-26!P3"")"),116.0)</f>
        <v>116</v>
      </c>
      <c r="AF10" s="55">
        <f>IFERROR(__xludf.DUMMYFUNCTION("IMPORTRANGE(""1Oujo8vUnwFLr-WkmYYfJwaGjmRsDy-q2Aq0vU4BlykA"",""2025-26!Q4"")"),867458.8000000002)</f>
        <v>867458.8</v>
      </c>
      <c r="AG10" s="55">
        <f>IFERROR(__xludf.DUMMYFUNCTION("IMPORTRANGE(""1Oujo8vUnwFLr-WkmYYfJwaGjmRsDy-q2Aq0vU4BlykA"",""2025-26!Q3"")"),36.0)</f>
        <v>36</v>
      </c>
      <c r="AH10" s="58">
        <f t="shared" si="20"/>
        <v>0.6587183949</v>
      </c>
      <c r="AI10" s="55">
        <f>IFERROR(__xludf.DUMMYFUNCTION("IMPORTRANGE(""1Oujo8vUnwFLr-WkmYYfJwaGjmRsDy-q2Aq0vU4BlykA"",""2025-26!R4"")"),874119.3099999998)</f>
        <v>874119.31</v>
      </c>
      <c r="AJ10" s="55">
        <f>IFERROR(__xludf.DUMMYFUNCTION("IMPORTRANGE(""1Oujo8vUnwFLr-WkmYYfJwaGjmRsDy-q2Aq0vU4BlykA"",""2025-26!R3"")"),36.0)</f>
        <v>36</v>
      </c>
      <c r="AK10" s="55">
        <f>IFERROR(__xludf.DUMMYFUNCTION("IMPORTRANGE(""1Oujo8vUnwFLr-WkmYYfJwaGjmRsDy-q2Aq0vU4BlykA"",""2025-26!S4"")"),1312000.0)</f>
        <v>1312000</v>
      </c>
      <c r="AL10" s="55">
        <f>IFERROR(__xludf.DUMMYFUNCTION("IMPORTRANGE(""1Oujo8vUnwFLr-WkmYYfJwaGjmRsDy-q2Aq0vU4BlykA"",""2025-26!S3"")"),116.0)</f>
        <v>116</v>
      </c>
      <c r="AM10" s="55">
        <f>IFERROR(__xludf.DUMMYFUNCTION("IMPORTRANGE(""1Oujo8vUnwFLr-WkmYYfJwaGjmRsDy-q2Aq0vU4BlykA"",""2025-26!T4"")"),958979.1399999999)</f>
        <v>958979.14</v>
      </c>
      <c r="AN10" s="55">
        <f>IFERROR(__xludf.DUMMYFUNCTION("IMPORTRANGE(""1Oujo8vUnwFLr-WkmYYfJwaGjmRsDy-q2Aq0vU4BlykA"",""2025-26!T3"")"),40.0)</f>
        <v>40</v>
      </c>
      <c r="AO10" s="58">
        <f t="shared" si="21"/>
        <v>0.7326792683</v>
      </c>
      <c r="AP10" s="55">
        <f>IFERROR(__xludf.DUMMYFUNCTION("IMPORTRANGE(""1Oujo8vUnwFLr-WkmYYfJwaGjmRsDy-q2Aq0vU4BlykA"",""2025-26!U4"")"),961275.2000000001)</f>
        <v>961275.2</v>
      </c>
      <c r="AQ10" s="55">
        <f>IFERROR(__xludf.DUMMYFUNCTION("IMPORTRANGE(""1Oujo8vUnwFLr-WkmYYfJwaGjmRsDy-q2Aq0vU4BlykA"",""2025-26!U3"")"),40.0)</f>
        <v>40</v>
      </c>
      <c r="AR10" s="55">
        <f>IFERROR(__xludf.DUMMYFUNCTION("IMPORTRANGE(""1Oujo8vUnwFLr-WkmYYfJwaGjmRsDy-q2Aq0vU4BlykA"",""2025-26!V4"")"),1330000.0)</f>
        <v>1330000</v>
      </c>
      <c r="AS10" s="55">
        <f>IFERROR(__xludf.DUMMYFUNCTION("IMPORTRANGE(""1Oujo8vUnwFLr-WkmYYfJwaGjmRsDy-q2Aq0vU4BlykA"",""2025-26!V3"")"),122.0)</f>
        <v>122</v>
      </c>
      <c r="AT10" s="55">
        <f>IFERROR(__xludf.DUMMYFUNCTION("IMPORTRANGE(""1Oujo8vUnwFLr-WkmYYfJwaGjmRsDy-q2Aq0vU4BlykA"",""2025-26!W4"")"),811098.1600000004)</f>
        <v>811098.16</v>
      </c>
      <c r="AU10" s="55">
        <f>IFERROR(__xludf.DUMMYFUNCTION("IMPORTRANGE(""1Oujo8vUnwFLr-WkmYYfJwaGjmRsDy-q2Aq0vU4BlykA"",""2025-26!W3"")"),45.0)</f>
        <v>45</v>
      </c>
      <c r="AV10" s="58">
        <f t="shared" si="22"/>
        <v>0.6162201955</v>
      </c>
      <c r="AW10" s="55">
        <f>IFERROR(__xludf.DUMMYFUNCTION("IMPORTRANGE(""1Oujo8vUnwFLr-WkmYYfJwaGjmRsDy-q2Aq0vU4BlykA"",""2025-26!X4"")"),819572.8599999999)</f>
        <v>819572.86</v>
      </c>
      <c r="AX10" s="55">
        <f>IFERROR(__xludf.DUMMYFUNCTION("IMPORTRANGE(""1Oujo8vUnwFLr-WkmYYfJwaGjmRsDy-q2Aq0vU4BlykA"",""2025-26!X3"")"),45.0)</f>
        <v>45</v>
      </c>
      <c r="AY10" s="55">
        <f>IFERROR(__xludf.DUMMYFUNCTION("IMPORTRANGE(""1Oujo8vUnwFLr-WkmYYfJwaGjmRsDy-q2Aq0vU4BlykA"",""2025-26!Y4"")"),1319000.0)</f>
        <v>1319000</v>
      </c>
      <c r="AZ10" s="55">
        <f>IFERROR(__xludf.DUMMYFUNCTION("IMPORTRANGE(""1Oujo8vUnwFLr-WkmYYfJwaGjmRsDy-q2Aq0vU4BlykA"",""2025-26!Y3"")"),122.0)</f>
        <v>122</v>
      </c>
      <c r="BA10" s="55">
        <f>IFERROR(__xludf.DUMMYFUNCTION("IMPORTRANGE(""1Oujo8vUnwFLr-WkmYYfJwaGjmRsDy-q2Aq0vU4BlykA"",""2025-26!Z4"")"),1184994.7600000002)</f>
        <v>1184994.76</v>
      </c>
      <c r="BB10" s="55">
        <f>IFERROR(__xludf.DUMMYFUNCTION("IMPORTRANGE(""1Oujo8vUnwFLr-WkmYYfJwaGjmRsDy-q2Aq0vU4BlykA"",""2025-26!Z3"")"),45.0)</f>
        <v>45</v>
      </c>
      <c r="BC10" s="59">
        <f t="shared" si="23"/>
        <v>0.9042629492</v>
      </c>
      <c r="BD10" s="55">
        <f>IFERROR(__xludf.DUMMYFUNCTION("IMPORTRANGE(""1Oujo8vUnwFLr-WkmYYfJwaGjmRsDy-q2Aq0vU4BlykA"",""2025-26!AA4"")"),1192722.8299999998)</f>
        <v>1192722.83</v>
      </c>
      <c r="BE10" s="55">
        <f>IFERROR(__xludf.DUMMYFUNCTION("IMPORTRANGE(""1Oujo8vUnwFLr-WkmYYfJwaGjmRsDy-q2Aq0vU4BlykA"",""2025-26!AA3"")"),45.0)</f>
        <v>45</v>
      </c>
      <c r="BF10" s="55">
        <f>IFERROR(__xludf.DUMMYFUNCTION("IMPORTRANGE(""1Oujo8vUnwFLr-WkmYYfJwaGjmRsDy-q2Aq0vU4BlykA"",""2025-26!AB4"")"),1316000.0)</f>
        <v>1316000</v>
      </c>
      <c r="BG10" s="55">
        <f>IFERROR(__xludf.DUMMYFUNCTION("IMPORTRANGE(""1Oujo8vUnwFLr-WkmYYfJwaGjmRsDy-q2Aq0vU4BlykA"",""2025-26!AB3"")"),121.0)</f>
        <v>121</v>
      </c>
      <c r="BH10" s="55">
        <f>IFERROR(__xludf.DUMMYFUNCTION("IMPORTRANGE(""1Oujo8vUnwFLr-WkmYYfJwaGjmRsDy-q2Aq0vU4BlykA"",""2025-26!AC4"")"),1080876.61)</f>
        <v>1080876.61</v>
      </c>
      <c r="BI10" s="55">
        <f>IFERROR(__xludf.DUMMYFUNCTION("IMPORTRANGE(""1Oujo8vUnwFLr-WkmYYfJwaGjmRsDy-q2Aq0vU4BlykA"",""2025-26!AC3"")"),47.0)</f>
        <v>47</v>
      </c>
      <c r="BJ10" s="59">
        <f t="shared" si="24"/>
        <v>0.8811174316</v>
      </c>
      <c r="BK10" s="55">
        <f>IFERROR(__xludf.DUMMYFUNCTION("IMPORTRANGE(""1Oujo8vUnwFLr-WkmYYfJwaGjmRsDy-q2Aq0vU4BlykA"",""2025-26!AD4"")"),1159550.5399999998)</f>
        <v>1159550.54</v>
      </c>
      <c r="BL10" s="55">
        <f>IFERROR(__xludf.DUMMYFUNCTION("IMPORTRANGE(""1Oujo8vUnwFLr-WkmYYfJwaGjmRsDy-q2Aq0vU4BlykA"",""2025-26!AD3"")"),48.0)</f>
        <v>48</v>
      </c>
      <c r="BM10" s="55">
        <f>IFERROR(__xludf.DUMMYFUNCTION("IMPORTRANGE(""1Oujo8vUnwFLr-WkmYYfJwaGjmRsDy-q2Aq0vU4BlykA"",""2025-26!AE4"")"),1322000.0)</f>
        <v>1322000</v>
      </c>
      <c r="BN10" s="55">
        <f>IFERROR(__xludf.DUMMYFUNCTION("IMPORTRANGE(""1Oujo8vUnwFLr-WkmYYfJwaGjmRsDy-q2Aq0vU4BlykA"",""2025-26!AE3"")"),121.0)</f>
        <v>121</v>
      </c>
      <c r="BO10" s="55">
        <f>IFERROR(__xludf.DUMMYFUNCTION("IMPORTRANGE(""1Oujo8vUnwFLr-WkmYYfJwaGjmRsDy-q2Aq0vU4BlykA"",""2025-26!AF4"")"),916671.9600000001)</f>
        <v>916671.96</v>
      </c>
      <c r="BP10" s="55">
        <f>IFERROR(__xludf.DUMMYFUNCTION("IMPORTRANGE(""1Oujo8vUnwFLr-WkmYYfJwaGjmRsDy-q2Aq0vU4BlykA"",""2025-26!AF3"")"),39.0)</f>
        <v>39</v>
      </c>
      <c r="BQ10" s="59">
        <f t="shared" si="25"/>
        <v>0.6404260666</v>
      </c>
      <c r="BR10" s="55">
        <f>IFERROR(__xludf.DUMMYFUNCTION("IMPORTRANGE(""1Oujo8vUnwFLr-WkmYYfJwaGjmRsDy-q2Aq0vU4BlykA"",""2025-26!AG4"")"),846643.2599999999)</f>
        <v>846643.26</v>
      </c>
      <c r="BS10" s="55">
        <f>IFERROR(__xludf.DUMMYFUNCTION("IMPORTRANGE(""1Oujo8vUnwFLr-WkmYYfJwaGjmRsDy-q2Aq0vU4BlykA"",""2025-26!AG3"")"),38.0)</f>
        <v>38</v>
      </c>
      <c r="BT10" s="55">
        <f>IFERROR(__xludf.DUMMYFUNCTION("IMPORTRANGE(""1Oujo8vUnwFLr-WkmYYfJwaGjmRsDy-q2Aq0vU4BlykA"",""2025-26!AH4"")"),1332000.0)</f>
        <v>1332000</v>
      </c>
      <c r="BU10" s="55">
        <f>IFERROR(__xludf.DUMMYFUNCTION("IMPORTRANGE(""1Oujo8vUnwFLr-WkmYYfJwaGjmRsDy-q2Aq0vU4BlykA"",""2025-26!AH3"")"),104.0)</f>
        <v>104</v>
      </c>
      <c r="BV10" s="55">
        <f>IFERROR(__xludf.DUMMYFUNCTION("IMPORTRANGE(""1Oujo8vUnwFLr-WkmYYfJwaGjmRsDy-q2Aq0vU4BlykA"",""2025-26!AI4"")"),942623.2599999997)</f>
        <v>942623.26</v>
      </c>
      <c r="BW10" s="55">
        <f>IFERROR(__xludf.DUMMYFUNCTION("IMPORTRANGE(""1Oujo8vUnwFLr-WkmYYfJwaGjmRsDy-q2Aq0vU4BlykA"",""2025-26!AI3"")"),31.0)</f>
        <v>31</v>
      </c>
      <c r="BX10" s="59">
        <f t="shared" si="26"/>
        <v>0.7099722222</v>
      </c>
      <c r="BY10" s="55">
        <f>IFERROR(__xludf.DUMMYFUNCTION("IMPORTRANGE(""1Oujo8vUnwFLr-WkmYYfJwaGjmRsDy-q2Aq0vU4BlykA"",""2025-26!AJ4"")"),945683.0000000002)</f>
        <v>945683</v>
      </c>
      <c r="BZ10" s="55">
        <f>IFERROR(__xludf.DUMMYFUNCTION("IMPORTRANGE(""1Oujo8vUnwFLr-WkmYYfJwaGjmRsDy-q2Aq0vU4BlykA"",""2025-26!AJ3"")"),31.0)</f>
        <v>31</v>
      </c>
      <c r="CA10" s="55">
        <f>IFERROR(__xludf.DUMMYFUNCTION("IMPORTRANGE(""1Oujo8vUnwFLr-WkmYYfJwaGjmRsDy-q2Aq0vU4BlykA"",""2025-26!AK4"")"),1319000.0)</f>
        <v>1319000</v>
      </c>
      <c r="CB10" s="55">
        <f>IFERROR(__xludf.DUMMYFUNCTION("IMPORTRANGE(""1Oujo8vUnwFLr-WkmYYfJwaGjmRsDy-q2Aq0vU4BlykA"",""2025-26!AK3"")"),102.0)</f>
        <v>102</v>
      </c>
      <c r="CC10" s="55">
        <f>IFERROR(__xludf.DUMMYFUNCTION("IMPORTRANGE(""1Oujo8vUnwFLr-WkmYYfJwaGjmRsDy-q2Aq0vU4BlykA"",""2025-26!AL4"")"),926198.1900000001)</f>
        <v>926198.19</v>
      </c>
      <c r="CD10" s="55">
        <f>IFERROR(__xludf.DUMMYFUNCTION("IMPORTRANGE(""1Oujo8vUnwFLr-WkmYYfJwaGjmRsDy-q2Aq0vU4BlykA"",""2025-26!AL3"")"),39.0)</f>
        <v>39</v>
      </c>
      <c r="CE10" s="59">
        <f t="shared" si="27"/>
        <v>0.6761510235</v>
      </c>
      <c r="CF10" s="55">
        <f>IFERROR(__xludf.DUMMYFUNCTION("IMPORTRANGE(""1Oujo8vUnwFLr-WkmYYfJwaGjmRsDy-q2Aq0vU4BlykA"",""2025-26!AM4"")"),891843.2000000001)</f>
        <v>891843.2</v>
      </c>
      <c r="CG10" s="55">
        <f>IFERROR(__xludf.DUMMYFUNCTION("IMPORTRANGE(""1Oujo8vUnwFLr-WkmYYfJwaGjmRsDy-q2Aq0vU4BlykA"",""2025-26!AM3"")"),38.0)</f>
        <v>38</v>
      </c>
      <c r="CH10" s="55">
        <f>IFERROR(__xludf.DUMMYFUNCTION("IMPORTRANGE(""1Oujo8vUnwFLr-WkmYYfJwaGjmRsDy-q2Aq0vU4BlykA"",""2025-26!AN4"")"),1323000.0)</f>
        <v>1323000</v>
      </c>
      <c r="CI10" s="55">
        <f>IFERROR(__xludf.DUMMYFUNCTION("IMPORTRANGE(""1Oujo8vUnwFLr-WkmYYfJwaGjmRsDy-q2Aq0vU4BlykA"",""2025-26!AN3"")"),102.0)</f>
        <v>102</v>
      </c>
      <c r="CJ10" s="55">
        <f>IFERROR(__xludf.DUMMYFUNCTION("IMPORTRANGE(""1Oujo8vUnwFLr-WkmYYfJwaGjmRsDy-q2Aq0vU4BlykA"",""2025-26!AO4"")"),842725.1900000004)</f>
        <v>842725.19</v>
      </c>
      <c r="CK10" s="55">
        <f>IFERROR(__xludf.DUMMYFUNCTION("IMPORTRANGE(""1Oujo8vUnwFLr-WkmYYfJwaGjmRsDy-q2Aq0vU4BlykA"",""2025-26!AO3"")"),35.0)</f>
        <v>35</v>
      </c>
      <c r="CL10" s="59">
        <f t="shared" si="28"/>
        <v>0.6382471353</v>
      </c>
      <c r="CM10" s="55">
        <f>IFERROR(__xludf.DUMMYFUNCTION("IMPORTRANGE(""1Oujo8vUnwFLr-WkmYYfJwaGjmRsDy-q2Aq0vU4BlykA"",""2025-26!AP4"")"),844400.9599999998)</f>
        <v>844400.96</v>
      </c>
      <c r="CN10" s="55">
        <f>IFERROR(__xludf.DUMMYFUNCTION("IMPORTRANGE(""1Oujo8vUnwFLr-WkmYYfJwaGjmRsDy-q2Aq0vU4BlykA"",""2025-26!AP3"")"),35.0)</f>
        <v>35</v>
      </c>
      <c r="CO10" s="55">
        <f>IFERROR(__xludf.DUMMYFUNCTION("IMPORTRANGE(""1Oujo8vUnwFLr-WkmYYfJwaGjmRsDy-q2Aq0vU4BlykA"",""2025-26!AQ4"")"),1314000.0)</f>
        <v>1314000</v>
      </c>
      <c r="CP10" s="55">
        <f>IFERROR(__xludf.DUMMYFUNCTION("IMPORTRANGE(""1Oujo8vUnwFLr-WkmYYfJwaGjmRsDy-q2Aq0vU4BlykA"",""2025-26!AQ3"")"),103.0)</f>
        <v>103</v>
      </c>
      <c r="CQ10" s="55">
        <f>IFERROR(__xludf.DUMMYFUNCTION("IMPORTRANGE(""1Oujo8vUnwFLr-WkmYYfJwaGjmRsDy-q2Aq0vU4BlykA"",""2025-26!AR4"")"),1033032.84)</f>
        <v>1033032.84</v>
      </c>
      <c r="CR10" s="55">
        <f>IFERROR(__xludf.DUMMYFUNCTION("IMPORTRANGE(""1Oujo8vUnwFLr-WkmYYfJwaGjmRsDy-q2Aq0vU4BlykA"",""2025-26!AR3"")"),37.0)</f>
        <v>37</v>
      </c>
      <c r="CS10" s="59">
        <f t="shared" si="29"/>
        <v>0.7849406697</v>
      </c>
      <c r="CT10" s="55">
        <f>IFERROR(__xludf.DUMMYFUNCTION("IMPORTRANGE(""1Oujo8vUnwFLr-WkmYYfJwaGjmRsDy-q2Aq0vU4BlykA"",""2025-26!AS4"")"),1031412.04)</f>
        <v>1031412.04</v>
      </c>
      <c r="CU10" s="55">
        <f>IFERROR(__xludf.DUMMYFUNCTION("IMPORTRANGE(""1Oujo8vUnwFLr-WkmYYfJwaGjmRsDy-q2Aq0vU4BlykA"",""2025-26!AS3"")"),37.0)</f>
        <v>37</v>
      </c>
      <c r="CV10" s="60" t="s">
        <v>27</v>
      </c>
    </row>
    <row r="11">
      <c r="A11" s="63" t="s">
        <v>23</v>
      </c>
      <c r="B11" s="37"/>
      <c r="C11" s="67" t="s">
        <v>33</v>
      </c>
      <c r="D11" s="65" t="s">
        <v>34</v>
      </c>
      <c r="E11" s="50">
        <v>6.398490183E9</v>
      </c>
      <c r="F11" s="66">
        <v>45568.0</v>
      </c>
      <c r="G11" s="62"/>
      <c r="H11" s="62"/>
      <c r="I11" s="53">
        <f>VLOOKUP($C11,Data!$C:$BV,72,0)</f>
        <v>30405</v>
      </c>
      <c r="J11" s="54">
        <f>1200000+200000</f>
        <v>1400000</v>
      </c>
      <c r="K11" s="55">
        <f>IFERROR(__xludf.DUMMYFUNCTION("IMPORTRANGE(""1LJGS53NCp-odxIXkmSORKxH8_UeQo5bY4expBVdkFdk"",""2025-26!A3"")"),30.0)</f>
        <v>30</v>
      </c>
      <c r="L11" s="55">
        <f>IFERROR(__xludf.DUMMYFUNCTION("IMPORTRANGE(""1LJGS53NCp-odxIXkmSORKxH8_UeQo5bY4expBVdkFdk"",""2025-26!G4"")"),1.56E7)</f>
        <v>15600000</v>
      </c>
      <c r="M11" s="55">
        <f t="shared" si="15"/>
        <v>10993607.11</v>
      </c>
      <c r="N11" s="56">
        <f t="shared" si="16"/>
        <v>0.7292948077</v>
      </c>
      <c r="O11" s="57">
        <f t="shared" si="17"/>
        <v>11376999</v>
      </c>
      <c r="P11" s="55">
        <f>IFERROR(__xludf.DUMMYFUNCTION("IMPORTRANGE(""1LJGS53NCp-odxIXkmSORKxH8_UeQo5bY4expBVdkFdk"",""2025-26!J4"")"),1165000.0)</f>
        <v>1165000</v>
      </c>
      <c r="Q11" s="55">
        <f>IFERROR(__xludf.DUMMYFUNCTION("IMPORTRANGE(""1LJGS53NCp-odxIXkmSORKxH8_UeQo5bY4expBVdkFdk"",""2025-26!J3"")"),27.0)</f>
        <v>27</v>
      </c>
      <c r="R11" s="55">
        <f>IFERROR(__xludf.DUMMYFUNCTION("IMPORTRANGE(""1LJGS53NCp-odxIXkmSORKxH8_UeQo5bY4expBVdkFdk"",""2025-26!K4"")"),491517.30000000005)</f>
        <v>491517.3</v>
      </c>
      <c r="S11" s="55">
        <f>IFERROR(__xludf.DUMMYFUNCTION("IMPORTRANGE(""1LJGS53NCp-odxIXkmSORKxH8_UeQo5bY4expBVdkFdk"",""2025-26!K3"")"),6.0)</f>
        <v>6</v>
      </c>
      <c r="T11" s="58">
        <f t="shared" si="18"/>
        <v>0.5591030043</v>
      </c>
      <c r="U11" s="55">
        <f>IFERROR(__xludf.DUMMYFUNCTION("IMPORTRANGE(""1LJGS53NCp-odxIXkmSORKxH8_UeQo5bY4expBVdkFdk"",""2025-26!L4"")"),651355.0)</f>
        <v>651355</v>
      </c>
      <c r="V11" s="55">
        <f>IFERROR(__xludf.DUMMYFUNCTION("IMPORTRANGE(""1LJGS53NCp-odxIXkmSORKxH8_UeQo5bY4expBVdkFdk"",""2025-26!L3"")"),6.0)</f>
        <v>6</v>
      </c>
      <c r="W11" s="55">
        <f>IFERROR(__xludf.DUMMYFUNCTION("IMPORTRANGE(""1LJGS53NCp-odxIXkmSORKxH8_UeQo5bY4expBVdkFdk"",""2025-26!m4"")"),1464000.0)</f>
        <v>1464000</v>
      </c>
      <c r="X11" s="55">
        <f>IFERROR(__xludf.DUMMYFUNCTION("IMPORTRANGE(""1LJGS53NCp-odxIXkmSORKxH8_UeQo5bY4expBVdkFdk"",""2025-26!m3"")"),26.0)</f>
        <v>26</v>
      </c>
      <c r="Y11" s="55">
        <f>IFERROR(__xludf.DUMMYFUNCTION("IMPORTRANGE(""1LJGS53NCp-odxIXkmSORKxH8_UeQo5bY4expBVdkFdk"",""2025-26!N4"")"),1229076.0000000002)</f>
        <v>1229076</v>
      </c>
      <c r="Z11" s="55">
        <f>IFERROR(__xludf.DUMMYFUNCTION("IMPORTRANGE(""1LJGS53NCp-odxIXkmSORKxH8_UeQo5bY4expBVdkFdk"",""2025-26!N3"")"),19.0)</f>
        <v>19</v>
      </c>
      <c r="AA11" s="58">
        <f t="shared" si="19"/>
        <v>0.8738722678</v>
      </c>
      <c r="AB11" s="55">
        <f>IFERROR(__xludf.DUMMYFUNCTION("IMPORTRANGE(""1LJGS53NCp-odxIXkmSORKxH8_UeQo5bY4expBVdkFdk"",""2025-26!O4"")"),1279349.0)</f>
        <v>1279349</v>
      </c>
      <c r="AC11" s="55">
        <f>IFERROR(__xludf.DUMMYFUNCTION("IMPORTRANGE(""1LJGS53NCp-odxIXkmSORKxH8_UeQo5bY4expBVdkFdk"",""2025-26!O3"")"),19.0)</f>
        <v>19</v>
      </c>
      <c r="AD11" s="55">
        <f>IFERROR(__xludf.DUMMYFUNCTION("IMPORTRANGE(""1LJGS53NCp-odxIXkmSORKxH8_UeQo5bY4expBVdkFdk"",""2025-26!P4"")"),1398000.0)</f>
        <v>1398000</v>
      </c>
      <c r="AE11" s="55">
        <f>IFERROR(__xludf.DUMMYFUNCTION("IMPORTRANGE(""1LJGS53NCp-odxIXkmSORKxH8_UeQo5bY4expBVdkFdk"",""2025-26!P3"")"),27.0)</f>
        <v>27</v>
      </c>
      <c r="AF11" s="55">
        <f>IFERROR(__xludf.DUMMYFUNCTION("IMPORTRANGE(""1LJGS53NCp-odxIXkmSORKxH8_UeQo5bY4expBVdkFdk"",""2025-26!Q4"")"),859214.5699999998)</f>
        <v>859214.57</v>
      </c>
      <c r="AG11" s="55">
        <f>IFERROR(__xludf.DUMMYFUNCTION("IMPORTRANGE(""1LJGS53NCp-odxIXkmSORKxH8_UeQo5bY4expBVdkFdk"",""2025-26!Q3"")"),13.0)</f>
        <v>13</v>
      </c>
      <c r="AH11" s="58">
        <f t="shared" si="20"/>
        <v>0.7150543634</v>
      </c>
      <c r="AI11" s="55">
        <f>IFERROR(__xludf.DUMMYFUNCTION("IMPORTRANGE(""1LJGS53NCp-odxIXkmSORKxH8_UeQo5bY4expBVdkFdk"",""2025-26!R4"")"),999646.0)</f>
        <v>999646</v>
      </c>
      <c r="AJ11" s="55">
        <f>IFERROR(__xludf.DUMMYFUNCTION("IMPORTRANGE(""1LJGS53NCp-odxIXkmSORKxH8_UeQo5bY4expBVdkFdk"",""2025-26!R3"")"),14.0)</f>
        <v>14</v>
      </c>
      <c r="AK11" s="55">
        <f>IFERROR(__xludf.DUMMYFUNCTION("IMPORTRANGE(""1LJGS53NCp-odxIXkmSORKxH8_UeQo5bY4expBVdkFdk"",""2025-26!S4"")"),1355000.0)</f>
        <v>1355000</v>
      </c>
      <c r="AL11" s="55">
        <f>IFERROR(__xludf.DUMMYFUNCTION("IMPORTRANGE(""1LJGS53NCp-odxIXkmSORKxH8_UeQo5bY4expBVdkFdk"",""2025-26!S3"")"),27.0)</f>
        <v>27</v>
      </c>
      <c r="AM11" s="55">
        <f>IFERROR(__xludf.DUMMYFUNCTION("IMPORTRANGE(""1LJGS53NCp-odxIXkmSORKxH8_UeQo5bY4expBVdkFdk"",""2025-26!T4"")"),940606.2599999998)</f>
        <v>940606.26</v>
      </c>
      <c r="AN11" s="55">
        <f>IFERROR(__xludf.DUMMYFUNCTION("IMPORTRANGE(""1LJGS53NCp-odxIXkmSORKxH8_UeQo5bY4expBVdkFdk"",""2025-26!T3"")"),16.0)</f>
        <v>16</v>
      </c>
      <c r="AO11" s="58">
        <f t="shared" si="21"/>
        <v>0.7383107011</v>
      </c>
      <c r="AP11" s="55">
        <f>IFERROR(__xludf.DUMMYFUNCTION("IMPORTRANGE(""1LJGS53NCp-odxIXkmSORKxH8_UeQo5bY4expBVdkFdk"",""2025-26!U4"")"),1000411.0)</f>
        <v>1000411</v>
      </c>
      <c r="AQ11" s="55">
        <f>IFERROR(__xludf.DUMMYFUNCTION("IMPORTRANGE(""1LJGS53NCp-odxIXkmSORKxH8_UeQo5bY4expBVdkFdk"",""2025-26!U3"")"),16.0)</f>
        <v>16</v>
      </c>
      <c r="AR11" s="55">
        <f>IFERROR(__xludf.DUMMYFUNCTION("IMPORTRANGE(""1LJGS53NCp-odxIXkmSORKxH8_UeQo5bY4expBVdkFdk"",""2025-26!V4"")"),1375000.0)</f>
        <v>1375000</v>
      </c>
      <c r="AS11" s="55">
        <f>IFERROR(__xludf.DUMMYFUNCTION("IMPORTRANGE(""1LJGS53NCp-odxIXkmSORKxH8_UeQo5bY4expBVdkFdk"",""2025-26!V3"")"),27.0)</f>
        <v>27</v>
      </c>
      <c r="AT11" s="55">
        <f>IFERROR(__xludf.DUMMYFUNCTION("IMPORTRANGE(""1LJGS53NCp-odxIXkmSORKxH8_UeQo5bY4expBVdkFdk"",""2025-26!W4"")"),942006.9800000001)</f>
        <v>942006.98</v>
      </c>
      <c r="AU11" s="55">
        <f>IFERROR(__xludf.DUMMYFUNCTION("IMPORTRANGE(""1LJGS53NCp-odxIXkmSORKxH8_UeQo5bY4expBVdkFdk"",""2025-26!W3"")"),14.0)</f>
        <v>14</v>
      </c>
      <c r="AV11" s="58">
        <f t="shared" si="22"/>
        <v>0.6900589091</v>
      </c>
      <c r="AW11" s="55">
        <f>IFERROR(__xludf.DUMMYFUNCTION("IMPORTRANGE(""1LJGS53NCp-odxIXkmSORKxH8_UeQo5bY4expBVdkFdk"",""2025-26!X4"")"),948831.0)</f>
        <v>948831</v>
      </c>
      <c r="AX11" s="55">
        <f>IFERROR(__xludf.DUMMYFUNCTION("IMPORTRANGE(""1LJGS53NCp-odxIXkmSORKxH8_UeQo5bY4expBVdkFdk"",""2025-26!X3"")"),14.0)</f>
        <v>14</v>
      </c>
      <c r="AY11" s="55">
        <f>IFERROR(__xludf.DUMMYFUNCTION("IMPORTRANGE(""1LJGS53NCp-odxIXkmSORKxH8_UeQo5bY4expBVdkFdk"",""2025-26!Y4"")"),1298000.0)</f>
        <v>1298000</v>
      </c>
      <c r="AZ11" s="55">
        <f>IFERROR(__xludf.DUMMYFUNCTION("IMPORTRANGE(""1LJGS53NCp-odxIXkmSORKxH8_UeQo5bY4expBVdkFdk"",""2025-26!Y3"")"),27.0)</f>
        <v>27</v>
      </c>
      <c r="BA11" s="55">
        <f>IFERROR(__xludf.DUMMYFUNCTION("IMPORTRANGE(""1LJGS53NCp-odxIXkmSORKxH8_UeQo5bY4expBVdkFdk"",""2025-26!Z4"")"),859656.6700000002)</f>
        <v>859656.67</v>
      </c>
      <c r="BB11" s="55">
        <f>IFERROR(__xludf.DUMMYFUNCTION("IMPORTRANGE(""1LJGS53NCp-odxIXkmSORKxH8_UeQo5bY4expBVdkFdk"",""2025-26!Z3"")"),14.0)</f>
        <v>14</v>
      </c>
      <c r="BC11" s="59">
        <f t="shared" si="23"/>
        <v>0.6622958398</v>
      </c>
      <c r="BD11" s="55">
        <f>IFERROR(__xludf.DUMMYFUNCTION("IMPORTRANGE(""1LJGS53NCp-odxIXkmSORKxH8_UeQo5bY4expBVdkFdk"",""2025-26!AA4"")"),859660.0)</f>
        <v>859660</v>
      </c>
      <c r="BE11" s="55">
        <f>IFERROR(__xludf.DUMMYFUNCTION("IMPORTRANGE(""1LJGS53NCp-odxIXkmSORKxH8_UeQo5bY4expBVdkFdk"",""2025-26!AA3"")"),14.0)</f>
        <v>14</v>
      </c>
      <c r="BF11" s="55">
        <f>IFERROR(__xludf.DUMMYFUNCTION("IMPORTRANGE(""1LJGS53NCp-odxIXkmSORKxH8_UeQo5bY4expBVdkFdk"",""2025-26!AB4"")"),1220000.0)</f>
        <v>1220000</v>
      </c>
      <c r="BG11" s="55">
        <f>IFERROR(__xludf.DUMMYFUNCTION("IMPORTRANGE(""1LJGS53NCp-odxIXkmSORKxH8_UeQo5bY4expBVdkFdk"",""2025-26!AB3"")"),27.0)</f>
        <v>27</v>
      </c>
      <c r="BH11" s="55">
        <f>IFERROR(__xludf.DUMMYFUNCTION("IMPORTRANGE(""1LJGS53NCp-odxIXkmSORKxH8_UeQo5bY4expBVdkFdk"",""2025-26!AC4"")"),804507.96)</f>
        <v>804507.96</v>
      </c>
      <c r="BI11" s="55">
        <f>IFERROR(__xludf.DUMMYFUNCTION("IMPORTRANGE(""1LJGS53NCp-odxIXkmSORKxH8_UeQo5bY4expBVdkFdk"",""2025-26!AC3"")"),11.0)</f>
        <v>11</v>
      </c>
      <c r="BJ11" s="59">
        <f t="shared" si="24"/>
        <v>0.6917278689</v>
      </c>
      <c r="BK11" s="55">
        <f>IFERROR(__xludf.DUMMYFUNCTION("IMPORTRANGE(""1LJGS53NCp-odxIXkmSORKxH8_UeQo5bY4expBVdkFdk"",""2025-26!AD4"")"),843908.0)</f>
        <v>843908</v>
      </c>
      <c r="BL11" s="55">
        <f>IFERROR(__xludf.DUMMYFUNCTION("IMPORTRANGE(""1LJGS53NCp-odxIXkmSORKxH8_UeQo5bY4expBVdkFdk"",""2025-26!AD3"")"),11.0)</f>
        <v>11</v>
      </c>
      <c r="BM11" s="55">
        <f>IFERROR(__xludf.DUMMYFUNCTION("IMPORTRANGE(""1LJGS53NCp-odxIXkmSORKxH8_UeQo5bY4expBVdkFdk"",""2025-26!AE4"")"),1475000.0)</f>
        <v>1475000</v>
      </c>
      <c r="BN11" s="55">
        <f>IFERROR(__xludf.DUMMYFUNCTION("IMPORTRANGE(""1LJGS53NCp-odxIXkmSORKxH8_UeQo5bY4expBVdkFdk"",""2025-26!AE3"")"),27.0)</f>
        <v>27</v>
      </c>
      <c r="BO11" s="55">
        <f>IFERROR(__xludf.DUMMYFUNCTION("IMPORTRANGE(""1LJGS53NCp-odxIXkmSORKxH8_UeQo5bY4expBVdkFdk"",""2025-26!AF4"")"),896959.07)</f>
        <v>896959.07</v>
      </c>
      <c r="BP11" s="55">
        <f>IFERROR(__xludf.DUMMYFUNCTION("IMPORTRANGE(""1LJGS53NCp-odxIXkmSORKxH8_UeQo5bY4expBVdkFdk"",""2025-26!AF3"")"),15.0)</f>
        <v>15</v>
      </c>
      <c r="BQ11" s="59">
        <f t="shared" si="25"/>
        <v>0.5750942373</v>
      </c>
      <c r="BR11" s="55">
        <f>IFERROR(__xludf.DUMMYFUNCTION("IMPORTRANGE(""1LJGS53NCp-odxIXkmSORKxH8_UeQo5bY4expBVdkFdk"",""2025-26!AG4"")"),848264.0)</f>
        <v>848264</v>
      </c>
      <c r="BS11" s="55">
        <f>IFERROR(__xludf.DUMMYFUNCTION("IMPORTRANGE(""1LJGS53NCp-odxIXkmSORKxH8_UeQo5bY4expBVdkFdk"",""2025-26!AG3"")"),14.0)</f>
        <v>14</v>
      </c>
      <c r="BT11" s="55">
        <f>IFERROR(__xludf.DUMMYFUNCTION("IMPORTRANGE(""1LJGS53NCp-odxIXkmSORKxH8_UeQo5bY4expBVdkFdk"",""2025-26!AH4"")"),1545000.0)</f>
        <v>1545000</v>
      </c>
      <c r="BU11" s="55">
        <f>IFERROR(__xludf.DUMMYFUNCTION("IMPORTRANGE(""1LJGS53NCp-odxIXkmSORKxH8_UeQo5bY4expBVdkFdk"",""2025-26!AH3"")"),27.0)</f>
        <v>27</v>
      </c>
      <c r="BV11" s="55">
        <f>IFERROR(__xludf.DUMMYFUNCTION("IMPORTRANGE(""1LJGS53NCp-odxIXkmSORKxH8_UeQo5bY4expBVdkFdk"",""2025-26!AI4"")"),880052.94)</f>
        <v>880052.94</v>
      </c>
      <c r="BW11" s="55">
        <f>IFERROR(__xludf.DUMMYFUNCTION("IMPORTRANGE(""1LJGS53NCp-odxIXkmSORKxH8_UeQo5bY4expBVdkFdk"",""2025-26!AI3"")"),11.0)</f>
        <v>11</v>
      </c>
      <c r="BX11" s="59">
        <f t="shared" si="26"/>
        <v>0.6216226537</v>
      </c>
      <c r="BY11" s="55">
        <f>IFERROR(__xludf.DUMMYFUNCTION("IMPORTRANGE(""1LJGS53NCp-odxIXkmSORKxH8_UeQo5bY4expBVdkFdk"",""2025-26!AJ4"")"),960407.0)</f>
        <v>960407</v>
      </c>
      <c r="BZ11" s="55">
        <f>IFERROR(__xludf.DUMMYFUNCTION("IMPORTRANGE(""1LJGS53NCp-odxIXkmSORKxH8_UeQo5bY4expBVdkFdk"",""2025-26!AJ3"")"),11.0)</f>
        <v>11</v>
      </c>
      <c r="CA11" s="55">
        <f>IFERROR(__xludf.DUMMYFUNCTION("IMPORTRANGE(""1LJGS53NCp-odxIXkmSORKxH8_UeQo5bY4expBVdkFdk"",""2025-26!AK4"")"),1610000.0)</f>
        <v>1610000</v>
      </c>
      <c r="CB11" s="55">
        <f>IFERROR(__xludf.DUMMYFUNCTION("IMPORTRANGE(""1LJGS53NCp-odxIXkmSORKxH8_UeQo5bY4expBVdkFdk"",""2025-26!AK3"")"),29.0)</f>
        <v>29</v>
      </c>
      <c r="CC11" s="55">
        <f>IFERROR(__xludf.DUMMYFUNCTION("IMPORTRANGE(""1LJGS53NCp-odxIXkmSORKxH8_UeQo5bY4expBVdkFdk"",""2025-26!AL4"")"),982861.73)</f>
        <v>982861.73</v>
      </c>
      <c r="CD11" s="55">
        <f>IFERROR(__xludf.DUMMYFUNCTION("IMPORTRANGE(""1LJGS53NCp-odxIXkmSORKxH8_UeQo5bY4expBVdkFdk"",""2025-26!AL3"")"),14.0)</f>
        <v>14</v>
      </c>
      <c r="CE11" s="59">
        <f t="shared" si="27"/>
        <v>0.6183583851</v>
      </c>
      <c r="CF11" s="55">
        <f>IFERROR(__xludf.DUMMYFUNCTION("IMPORTRANGE(""1LJGS53NCp-odxIXkmSORKxH8_UeQo5bY4expBVdkFdk"",""2025-26!AM4"")"),995557.0)</f>
        <v>995557</v>
      </c>
      <c r="CG11" s="55">
        <f>IFERROR(__xludf.DUMMYFUNCTION("IMPORTRANGE(""1LJGS53NCp-odxIXkmSORKxH8_UeQo5bY4expBVdkFdk"",""2025-26!AM3"")"),14.0)</f>
        <v>14</v>
      </c>
      <c r="CH11" s="55">
        <f>IFERROR(__xludf.DUMMYFUNCTION("IMPORTRANGE(""1LJGS53NCp-odxIXkmSORKxH8_UeQo5bY4expBVdkFdk"",""2025-26!AN4"")"),1709000.0)</f>
        <v>1709000</v>
      </c>
      <c r="CI11" s="55">
        <f>IFERROR(__xludf.DUMMYFUNCTION("IMPORTRANGE(""1LJGS53NCp-odxIXkmSORKxH8_UeQo5bY4expBVdkFdk"",""2025-26!AN3"")"),29.0)</f>
        <v>29</v>
      </c>
      <c r="CJ11" s="55">
        <f>IFERROR(__xludf.DUMMYFUNCTION("IMPORTRANGE(""1LJGS53NCp-odxIXkmSORKxH8_UeQo5bY4expBVdkFdk"",""2025-26!AO4"")"),888212.03)</f>
        <v>888212.03</v>
      </c>
      <c r="CK11" s="55">
        <f>IFERROR(__xludf.DUMMYFUNCTION("IMPORTRANGE(""1LJGS53NCp-odxIXkmSORKxH8_UeQo5bY4expBVdkFdk"",""2025-26!AO3"")"),14.0)</f>
        <v>14</v>
      </c>
      <c r="CL11" s="59">
        <f t="shared" si="28"/>
        <v>0.5402141603</v>
      </c>
      <c r="CM11" s="55">
        <f>IFERROR(__xludf.DUMMYFUNCTION("IMPORTRANGE(""1LJGS53NCp-odxIXkmSORKxH8_UeQo5bY4expBVdkFdk"",""2025-26!AP4"")"),923226.0)</f>
        <v>923226</v>
      </c>
      <c r="CN11" s="55">
        <f>IFERROR(__xludf.DUMMYFUNCTION("IMPORTRANGE(""1LJGS53NCp-odxIXkmSORKxH8_UeQo5bY4expBVdkFdk"",""2025-26!AP3"")"),14.0)</f>
        <v>14</v>
      </c>
      <c r="CO11" s="55">
        <f>IFERROR(__xludf.DUMMYFUNCTION("IMPORTRANGE(""1LJGS53NCp-odxIXkmSORKxH8_UeQo5bY4expBVdkFdk"",""2025-26!AQ4"")"),1690000.0)</f>
        <v>1690000</v>
      </c>
      <c r="CP11" s="55">
        <f>IFERROR(__xludf.DUMMYFUNCTION("IMPORTRANGE(""1LJGS53NCp-odxIXkmSORKxH8_UeQo5bY4expBVdkFdk"",""2025-26!AQ3"")"),29.0)</f>
        <v>29</v>
      </c>
      <c r="CQ11" s="55">
        <f>IFERROR(__xludf.DUMMYFUNCTION("IMPORTRANGE(""1LJGS53NCp-odxIXkmSORKxH8_UeQo5bY4expBVdkFdk"",""2025-26!AR4"")"),1218935.5999999999)</f>
        <v>1218935.6</v>
      </c>
      <c r="CR11" s="55">
        <f>IFERROR(__xludf.DUMMYFUNCTION("IMPORTRANGE(""1LJGS53NCp-odxIXkmSORKxH8_UeQo5bY4expBVdkFdk"",""2025-26!AR3"")"),17.0)</f>
        <v>17</v>
      </c>
      <c r="CS11" s="59">
        <f t="shared" si="29"/>
        <v>0.6309970414</v>
      </c>
      <c r="CT11" s="55">
        <f>IFERROR(__xludf.DUMMYFUNCTION("IMPORTRANGE(""1LJGS53NCp-odxIXkmSORKxH8_UeQo5bY4expBVdkFdk"",""2025-26!AS4"")"),1066385.0)</f>
        <v>1066385</v>
      </c>
      <c r="CU11" s="55">
        <f>IFERROR(__xludf.DUMMYFUNCTION("IMPORTRANGE(""1LJGS53NCp-odxIXkmSORKxH8_UeQo5bY4expBVdkFdk"",""2025-26!AS3"")"),16.0)</f>
        <v>16</v>
      </c>
      <c r="CV11" s="60" t="s">
        <v>30</v>
      </c>
    </row>
    <row r="12">
      <c r="A12" s="63" t="s">
        <v>23</v>
      </c>
      <c r="B12" s="37"/>
      <c r="C12" s="64" t="s">
        <v>35</v>
      </c>
      <c r="D12" s="65" t="s">
        <v>36</v>
      </c>
      <c r="E12" s="68">
        <v>9.319865478E9</v>
      </c>
      <c r="F12" s="66">
        <v>45658.0</v>
      </c>
      <c r="G12" s="62"/>
      <c r="H12" s="62"/>
      <c r="I12" s="53">
        <f>VLOOKUP($C12,Data!$C:$BV,72,0)</f>
        <v>31455</v>
      </c>
      <c r="J12" s="54">
        <v>1200000.0</v>
      </c>
      <c r="K12" s="55">
        <f>IFERROR(__xludf.DUMMYFUNCTION("IMPORTRANGE(""13EYfcAewqPPQ83PA3ta2L46h2GIwi9k-mw8zx8HuEws"",""2025-26!A3"")"),88.0)</f>
        <v>88</v>
      </c>
      <c r="L12" s="55">
        <f>IFERROR(__xludf.DUMMYFUNCTION("IMPORTRANGE(""13EYfcAewqPPQ83PA3ta2L46h2GIwi9k-mw8zx8HuEws"",""2025-26!G4"")"),1.4E7)</f>
        <v>14000000</v>
      </c>
      <c r="M12" s="55">
        <f t="shared" si="15"/>
        <v>7218770.52</v>
      </c>
      <c r="N12" s="56">
        <f t="shared" si="16"/>
        <v>0.5087682143</v>
      </c>
      <c r="O12" s="57">
        <f t="shared" si="17"/>
        <v>7122755</v>
      </c>
      <c r="P12" s="55">
        <f>IFERROR(__xludf.DUMMYFUNCTION("IMPORTRANGE(""13EYfcAewqPPQ83PA3ta2L46h2GIwi9k-mw8zx8HuEws"",""2025-26!J4"")"),227000.0)</f>
        <v>227000</v>
      </c>
      <c r="Q12" s="55">
        <f>IFERROR(__xludf.DUMMYFUNCTION("IMPORTRANGE(""13EYfcAewqPPQ83PA3ta2L46h2GIwi9k-mw8zx8HuEws"",""2025-26!J3"")"),6.0)</f>
        <v>6</v>
      </c>
      <c r="R12" s="55">
        <f>IFERROR(__xludf.DUMMYFUNCTION("IMPORTRANGE(""13EYfcAewqPPQ83PA3ta2L46h2GIwi9k-mw8zx8HuEws"",""2025-26!K4"")"),70360.04000000001)</f>
        <v>70360.04</v>
      </c>
      <c r="S12" s="55">
        <f>IFERROR(__xludf.DUMMYFUNCTION("IMPORTRANGE(""13EYfcAewqPPQ83PA3ta2L46h2GIwi9k-mw8zx8HuEws"",""2025-26!K3"")"),8.0)</f>
        <v>8</v>
      </c>
      <c r="T12" s="58">
        <f t="shared" si="18"/>
        <v>0.3450088106</v>
      </c>
      <c r="U12" s="55">
        <f>IFERROR(__xludf.DUMMYFUNCTION("IMPORTRANGE(""13EYfcAewqPPQ83PA3ta2L46h2GIwi9k-mw8zx8HuEws"",""2025-26!L4"")"),78317.0)</f>
        <v>78317</v>
      </c>
      <c r="V12" s="55">
        <f>IFERROR(__xludf.DUMMYFUNCTION("IMPORTRANGE(""13EYfcAewqPPQ83PA3ta2L46h2GIwi9k-mw8zx8HuEws"",""2025-26!L3"")"),9.0)</f>
        <v>9</v>
      </c>
      <c r="W12" s="55">
        <f>IFERROR(__xludf.DUMMYFUNCTION("IMPORTRANGE(""13EYfcAewqPPQ83PA3ta2L46h2GIwi9k-mw8zx8HuEws"",""2025-26!m4"")"),450000.0)</f>
        <v>450000</v>
      </c>
      <c r="X12" s="55">
        <f>IFERROR(__xludf.DUMMYFUNCTION("IMPORTRANGE(""13EYfcAewqPPQ83PA3ta2L46h2GIwi9k-mw8zx8HuEws"",""2025-26!m3"")"),17.0)</f>
        <v>17</v>
      </c>
      <c r="Y12" s="55">
        <f>IFERROR(__xludf.DUMMYFUNCTION("IMPORTRANGE(""13EYfcAewqPPQ83PA3ta2L46h2GIwi9k-mw8zx8HuEws"",""2025-26!N4"")"),104245.26)</f>
        <v>104245.26</v>
      </c>
      <c r="Z12" s="55">
        <f>IFERROR(__xludf.DUMMYFUNCTION("IMPORTRANGE(""13EYfcAewqPPQ83PA3ta2L46h2GIwi9k-mw8zx8HuEws"",""2025-26!N3"")"),9.0)</f>
        <v>9</v>
      </c>
      <c r="AA12" s="58">
        <f t="shared" si="19"/>
        <v>0.4331066667</v>
      </c>
      <c r="AB12" s="55">
        <f>IFERROR(__xludf.DUMMYFUNCTION("IMPORTRANGE(""13EYfcAewqPPQ83PA3ta2L46h2GIwi9k-mw8zx8HuEws"",""2025-26!O4"")"),194898.0)</f>
        <v>194898</v>
      </c>
      <c r="AC12" s="55">
        <f>IFERROR(__xludf.DUMMYFUNCTION("IMPORTRANGE(""13EYfcAewqPPQ83PA3ta2L46h2GIwi9k-mw8zx8HuEws"",""2025-26!O3"")"),17.0)</f>
        <v>17</v>
      </c>
      <c r="AD12" s="55">
        <f>IFERROR(__xludf.DUMMYFUNCTION("IMPORTRANGE(""13EYfcAewqPPQ83PA3ta2L46h2GIwi9k-mw8zx8HuEws"",""2025-26!P4"")"),1400000.0)</f>
        <v>1400000</v>
      </c>
      <c r="AE12" s="55">
        <f>IFERROR(__xludf.DUMMYFUNCTION("IMPORTRANGE(""13EYfcAewqPPQ83PA3ta2L46h2GIwi9k-mw8zx8HuEws"",""2025-26!P3"")"),25.0)</f>
        <v>25</v>
      </c>
      <c r="AF12" s="55">
        <f>IFERROR(__xludf.DUMMYFUNCTION("IMPORTRANGE(""13EYfcAewqPPQ83PA3ta2L46h2GIwi9k-mw8zx8HuEws"",""2025-26!Q4"")"),404471.44)</f>
        <v>404471.44</v>
      </c>
      <c r="AG12" s="55">
        <f>IFERROR(__xludf.DUMMYFUNCTION("IMPORTRANGE(""13EYfcAewqPPQ83PA3ta2L46h2GIwi9k-mw8zx8HuEws"",""2025-26!Q3"")"),14.0)</f>
        <v>14</v>
      </c>
      <c r="AH12" s="58">
        <f t="shared" si="20"/>
        <v>0.349225</v>
      </c>
      <c r="AI12" s="55">
        <f>IFERROR(__xludf.DUMMYFUNCTION("IMPORTRANGE(""13EYfcAewqPPQ83PA3ta2L46h2GIwi9k-mw8zx8HuEws"",""2025-26!R4"")"),488915.0)</f>
        <v>488915</v>
      </c>
      <c r="AJ12" s="55">
        <f>IFERROR(__xludf.DUMMYFUNCTION("IMPORTRANGE(""13EYfcAewqPPQ83PA3ta2L46h2GIwi9k-mw8zx8HuEws"",""2025-26!R3"")"),22.0)</f>
        <v>22</v>
      </c>
      <c r="AK12" s="55">
        <f>IFERROR(__xludf.DUMMYFUNCTION("IMPORTRANGE(""13EYfcAewqPPQ83PA3ta2L46h2GIwi9k-mw8zx8HuEws"",""2025-26!S4"")"),1335000.0)</f>
        <v>1335000</v>
      </c>
      <c r="AL12" s="55">
        <f>IFERROR(__xludf.DUMMYFUNCTION("IMPORTRANGE(""13EYfcAewqPPQ83PA3ta2L46h2GIwi9k-mw8zx8HuEws"",""2025-26!S3"")"),29.0)</f>
        <v>29</v>
      </c>
      <c r="AM12" s="55">
        <f>IFERROR(__xludf.DUMMYFUNCTION("IMPORTRANGE(""13EYfcAewqPPQ83PA3ta2L46h2GIwi9k-mw8zx8HuEws"",""2025-26!T4"")"),627452.26)</f>
        <v>627452.26</v>
      </c>
      <c r="AN12" s="55">
        <f>IFERROR(__xludf.DUMMYFUNCTION("IMPORTRANGE(""13EYfcAewqPPQ83PA3ta2L46h2GIwi9k-mw8zx8HuEws"",""2025-26!T3"")"),19.0)</f>
        <v>19</v>
      </c>
      <c r="AO12" s="58">
        <f t="shared" si="21"/>
        <v>0.2722217228</v>
      </c>
      <c r="AP12" s="55">
        <f>IFERROR(__xludf.DUMMYFUNCTION("IMPORTRANGE(""13EYfcAewqPPQ83PA3ta2L46h2GIwi9k-mw8zx8HuEws"",""2025-26!U4"")"),363416.0)</f>
        <v>363416</v>
      </c>
      <c r="AQ12" s="55">
        <f>IFERROR(__xludf.DUMMYFUNCTION("IMPORTRANGE(""13EYfcAewqPPQ83PA3ta2L46h2GIwi9k-mw8zx8HuEws"",""2025-26!U3"")"),19.0)</f>
        <v>19</v>
      </c>
      <c r="AR12" s="55">
        <f>IFERROR(__xludf.DUMMYFUNCTION("IMPORTRANGE(""13EYfcAewqPPQ83PA3ta2L46h2GIwi9k-mw8zx8HuEws"",""2025-26!V4"")"),1345000.0)</f>
        <v>1345000</v>
      </c>
      <c r="AS12" s="55">
        <f>IFERROR(__xludf.DUMMYFUNCTION("IMPORTRANGE(""13EYfcAewqPPQ83PA3ta2L46h2GIwi9k-mw8zx8HuEws"",""2025-26!V3"")"),37.0)</f>
        <v>37</v>
      </c>
      <c r="AT12" s="55">
        <f>IFERROR(__xludf.DUMMYFUNCTION("IMPORTRANGE(""13EYfcAewqPPQ83PA3ta2L46h2GIwi9k-mw8zx8HuEws"",""2025-26!W4"")"),884241.92)</f>
        <v>884241.92</v>
      </c>
      <c r="AU12" s="55">
        <f>IFERROR(__xludf.DUMMYFUNCTION("IMPORTRANGE(""13EYfcAewqPPQ83PA3ta2L46h2GIwi9k-mw8zx8HuEws"",""2025-26!W3"")"),16.0)</f>
        <v>16</v>
      </c>
      <c r="AV12" s="58">
        <f t="shared" si="22"/>
        <v>0.6836966543</v>
      </c>
      <c r="AW12" s="55">
        <f>IFERROR(__xludf.DUMMYFUNCTION("IMPORTRANGE(""13EYfcAewqPPQ83PA3ta2L46h2GIwi9k-mw8zx8HuEws"",""2025-26!X4"")"),919572.0)</f>
        <v>919572</v>
      </c>
      <c r="AX12" s="55">
        <f>IFERROR(__xludf.DUMMYFUNCTION("IMPORTRANGE(""13EYfcAewqPPQ83PA3ta2L46h2GIwi9k-mw8zx8HuEws"",""2025-26!X3"")"),15.0)</f>
        <v>15</v>
      </c>
      <c r="AY12" s="55">
        <f>IFERROR(__xludf.DUMMYFUNCTION("IMPORTRANGE(""13EYfcAewqPPQ83PA3ta2L46h2GIwi9k-mw8zx8HuEws"",""2025-26!Y4"")"),1580000.0)</f>
        <v>1580000</v>
      </c>
      <c r="AZ12" s="55">
        <f>IFERROR(__xludf.DUMMYFUNCTION("IMPORTRANGE(""13EYfcAewqPPQ83PA3ta2L46h2GIwi9k-mw8zx8HuEws"",""2025-26!Y3"")"),41.0)</f>
        <v>41</v>
      </c>
      <c r="BA12" s="55">
        <f>IFERROR(__xludf.DUMMYFUNCTION("IMPORTRANGE(""13EYfcAewqPPQ83PA3ta2L46h2GIwi9k-mw8zx8HuEws"",""2025-26!Z4"")"),791740.35)</f>
        <v>791740.35</v>
      </c>
      <c r="BB12" s="55">
        <f>IFERROR(__xludf.DUMMYFUNCTION("IMPORTRANGE(""13EYfcAewqPPQ83PA3ta2L46h2GIwi9k-mw8zx8HuEws"",""2025-26!Z3"")"),19.0)</f>
        <v>19</v>
      </c>
      <c r="BC12" s="59">
        <f t="shared" si="23"/>
        <v>0.4473303797</v>
      </c>
      <c r="BD12" s="55">
        <f>IFERROR(__xludf.DUMMYFUNCTION("IMPORTRANGE(""13EYfcAewqPPQ83PA3ta2L46h2GIwi9k-mw8zx8HuEws"",""2025-26!AA4"")"),706782.0)</f>
        <v>706782</v>
      </c>
      <c r="BE12" s="55">
        <f>IFERROR(__xludf.DUMMYFUNCTION("IMPORTRANGE(""13EYfcAewqPPQ83PA3ta2L46h2GIwi9k-mw8zx8HuEws"",""2025-26!AA3"")"),24.0)</f>
        <v>24</v>
      </c>
      <c r="BF12" s="55">
        <f>IFERROR(__xludf.DUMMYFUNCTION("IMPORTRANGE(""13EYfcAewqPPQ83PA3ta2L46h2GIwi9k-mw8zx8HuEws"",""2025-26!AB4"")"),1175000.0)</f>
        <v>1175000</v>
      </c>
      <c r="BG12" s="55">
        <f>IFERROR(__xludf.DUMMYFUNCTION("IMPORTRANGE(""13EYfcAewqPPQ83PA3ta2L46h2GIwi9k-mw8zx8HuEws"",""2025-26!AB3"")"),46.0)</f>
        <v>46</v>
      </c>
      <c r="BH12" s="55">
        <f>IFERROR(__xludf.DUMMYFUNCTION("IMPORTRANGE(""13EYfcAewqPPQ83PA3ta2L46h2GIwi9k-mw8zx8HuEws"",""2025-26!AC4"")"),491959.2400000001)</f>
        <v>491959.24</v>
      </c>
      <c r="BI12" s="55">
        <f>IFERROR(__xludf.DUMMYFUNCTION("IMPORTRANGE(""13EYfcAewqPPQ83PA3ta2L46h2GIwi9k-mw8zx8HuEws"",""2025-26!AC3"")"),23.0)</f>
        <v>23</v>
      </c>
      <c r="BJ12" s="59">
        <f t="shared" si="24"/>
        <v>0.4413012766</v>
      </c>
      <c r="BK12" s="55">
        <f>IFERROR(__xludf.DUMMYFUNCTION("IMPORTRANGE(""13EYfcAewqPPQ83PA3ta2L46h2GIwi9k-mw8zx8HuEws"",""2025-26!AD4"")"),518529.0)</f>
        <v>518529</v>
      </c>
      <c r="BL12" s="55">
        <f>IFERROR(__xludf.DUMMYFUNCTION("IMPORTRANGE(""13EYfcAewqPPQ83PA3ta2L46h2GIwi9k-mw8zx8HuEws"",""2025-26!AD3"")"),21.0)</f>
        <v>21</v>
      </c>
      <c r="BM12" s="55">
        <f>IFERROR(__xludf.DUMMYFUNCTION("IMPORTRANGE(""13EYfcAewqPPQ83PA3ta2L46h2GIwi9k-mw8zx8HuEws"",""2025-26!AE4"")"),1290000.0)</f>
        <v>1290000</v>
      </c>
      <c r="BN12" s="55">
        <f>IFERROR(__xludf.DUMMYFUNCTION("IMPORTRANGE(""13EYfcAewqPPQ83PA3ta2L46h2GIwi9k-mw8zx8HuEws"",""2025-26!AE3"")"),60.0)</f>
        <v>60</v>
      </c>
      <c r="BO12" s="55">
        <f>IFERROR(__xludf.DUMMYFUNCTION("IMPORTRANGE(""13EYfcAewqPPQ83PA3ta2L46h2GIwi9k-mw8zx8HuEws"",""2025-26!AF4"")"),604618.7)</f>
        <v>604618.7</v>
      </c>
      <c r="BP12" s="55">
        <f>IFERROR(__xludf.DUMMYFUNCTION("IMPORTRANGE(""13EYfcAewqPPQ83PA3ta2L46h2GIwi9k-mw8zx8HuEws"",""2025-26!AF3"")"),28.0)</f>
        <v>28</v>
      </c>
      <c r="BQ12" s="59">
        <f t="shared" si="25"/>
        <v>0.4700093023</v>
      </c>
      <c r="BR12" s="55">
        <f>IFERROR(__xludf.DUMMYFUNCTION("IMPORTRANGE(""13EYfcAewqPPQ83PA3ta2L46h2GIwi9k-mw8zx8HuEws"",""2025-26!AG4"")"),606312.0)</f>
        <v>606312</v>
      </c>
      <c r="BS12" s="55">
        <f>IFERROR(__xludf.DUMMYFUNCTION("IMPORTRANGE(""13EYfcAewqPPQ83PA3ta2L46h2GIwi9k-mw8zx8HuEws"",""2025-26!AG3"")"),28.0)</f>
        <v>28</v>
      </c>
      <c r="BT12" s="55">
        <f>IFERROR(__xludf.DUMMYFUNCTION("IMPORTRANGE(""13EYfcAewqPPQ83PA3ta2L46h2GIwi9k-mw8zx8HuEws"",""2025-26!AH4"")"),1210000.0)</f>
        <v>1210000</v>
      </c>
      <c r="BU12" s="55">
        <f>IFERROR(__xludf.DUMMYFUNCTION("IMPORTRANGE(""13EYfcAewqPPQ83PA3ta2L46h2GIwi9k-mw8zx8HuEws"",""2025-26!AH3"")"),67.0)</f>
        <v>67</v>
      </c>
      <c r="BV12" s="55">
        <f>IFERROR(__xludf.DUMMYFUNCTION("IMPORTRANGE(""13EYfcAewqPPQ83PA3ta2L46h2GIwi9k-mw8zx8HuEws"",""2025-26!AI4"")"),908928.92)</f>
        <v>908928.92</v>
      </c>
      <c r="BW12" s="55">
        <f>IFERROR(__xludf.DUMMYFUNCTION("IMPORTRANGE(""13EYfcAewqPPQ83PA3ta2L46h2GIwi9k-mw8zx8HuEws"",""2025-26!AI3"")"),17.0)</f>
        <v>17</v>
      </c>
      <c r="BX12" s="59">
        <f t="shared" si="26"/>
        <v>0.7616</v>
      </c>
      <c r="BY12" s="55">
        <f>IFERROR(__xludf.DUMMYFUNCTION("IMPORTRANGE(""13EYfcAewqPPQ83PA3ta2L46h2GIwi9k-mw8zx8HuEws"",""2025-26!AJ4"")"),921536.0)</f>
        <v>921536</v>
      </c>
      <c r="BZ12" s="55">
        <f>IFERROR(__xludf.DUMMYFUNCTION("IMPORTRANGE(""13EYfcAewqPPQ83PA3ta2L46h2GIwi9k-mw8zx8HuEws"",""2025-26!AJ3"")"),18.0)</f>
        <v>18</v>
      </c>
      <c r="CA12" s="55">
        <f>IFERROR(__xludf.DUMMYFUNCTION("IMPORTRANGE(""13EYfcAewqPPQ83PA3ta2L46h2GIwi9k-mw8zx8HuEws"",""2025-26!AK4"")"),1210000.0)</f>
        <v>1210000</v>
      </c>
      <c r="CB12" s="55">
        <f>IFERROR(__xludf.DUMMYFUNCTION("IMPORTRANGE(""13EYfcAewqPPQ83PA3ta2L46h2GIwi9k-mw8zx8HuEws"",""2025-26!AK3"")"),70.0)</f>
        <v>70</v>
      </c>
      <c r="CC12" s="55">
        <f>IFERROR(__xludf.DUMMYFUNCTION("IMPORTRANGE(""13EYfcAewqPPQ83PA3ta2L46h2GIwi9k-mw8zx8HuEws"",""2025-26!AL4"")"),661496.65)</f>
        <v>661496.65</v>
      </c>
      <c r="CD12" s="55">
        <f>IFERROR(__xludf.DUMMYFUNCTION("IMPORTRANGE(""13EYfcAewqPPQ83PA3ta2L46h2GIwi9k-mw8zx8HuEws"",""2025-26!AL3"")"),22.0)</f>
        <v>22</v>
      </c>
      <c r="CE12" s="59">
        <f t="shared" si="27"/>
        <v>0.4584413223</v>
      </c>
      <c r="CF12" s="55">
        <f>IFERROR(__xludf.DUMMYFUNCTION("IMPORTRANGE(""13EYfcAewqPPQ83PA3ta2L46h2GIwi9k-mw8zx8HuEws"",""2025-26!AM4"")"),554714.0)</f>
        <v>554714</v>
      </c>
      <c r="CG12" s="55">
        <f>IFERROR(__xludf.DUMMYFUNCTION("IMPORTRANGE(""13EYfcAewqPPQ83PA3ta2L46h2GIwi9k-mw8zx8HuEws"",""2025-26!AM3"")"),18.0)</f>
        <v>18</v>
      </c>
      <c r="CH12" s="55">
        <f>IFERROR(__xludf.DUMMYFUNCTION("IMPORTRANGE(""13EYfcAewqPPQ83PA3ta2L46h2GIwi9k-mw8zx8HuEws"",""2025-26!AN4"")"),1255000.0)</f>
        <v>1255000</v>
      </c>
      <c r="CI12" s="55">
        <f>IFERROR(__xludf.DUMMYFUNCTION("IMPORTRANGE(""13EYfcAewqPPQ83PA3ta2L46h2GIwi9k-mw8zx8HuEws"",""2025-26!AN3"")"),70.0)</f>
        <v>70</v>
      </c>
      <c r="CJ12" s="55">
        <f>IFERROR(__xludf.DUMMYFUNCTION("IMPORTRANGE(""13EYfcAewqPPQ83PA3ta2L46h2GIwi9k-mw8zx8HuEws"",""2025-26!AO4"")"),904055.73)</f>
        <v>904055.73</v>
      </c>
      <c r="CK12" s="55">
        <f>IFERROR(__xludf.DUMMYFUNCTION("IMPORTRANGE(""13EYfcAewqPPQ83PA3ta2L46h2GIwi9k-mw8zx8HuEws"",""2025-26!AO3"")"),23.0)</f>
        <v>23</v>
      </c>
      <c r="CL12" s="59">
        <f t="shared" si="28"/>
        <v>0.7022462151</v>
      </c>
      <c r="CM12" s="55">
        <f>IFERROR(__xludf.DUMMYFUNCTION("IMPORTRANGE(""13EYfcAewqPPQ83PA3ta2L46h2GIwi9k-mw8zx8HuEws"",""2025-26!AP4"")"),881319.0)</f>
        <v>881319</v>
      </c>
      <c r="CN12" s="55">
        <f>IFERROR(__xludf.DUMMYFUNCTION("IMPORTRANGE(""13EYfcAewqPPQ83PA3ta2L46h2GIwi9k-mw8zx8HuEws"",""2025-26!AP3"")"),19.0)</f>
        <v>19</v>
      </c>
      <c r="CO12" s="55">
        <f>IFERROR(__xludf.DUMMYFUNCTION("IMPORTRANGE(""13EYfcAewqPPQ83PA3ta2L46h2GIwi9k-mw8zx8HuEws"",""2025-26!AQ4"")"),1445000.0)</f>
        <v>1445000</v>
      </c>
      <c r="CP12" s="55">
        <f>IFERROR(__xludf.DUMMYFUNCTION("IMPORTRANGE(""13EYfcAewqPPQ83PA3ta2L46h2GIwi9k-mw8zx8HuEws"",""2025-26!AQ3"")"),83.0)</f>
        <v>83</v>
      </c>
      <c r="CQ12" s="55">
        <f>IFERROR(__xludf.DUMMYFUNCTION("IMPORTRANGE(""13EYfcAewqPPQ83PA3ta2L46h2GIwi9k-mw8zx8HuEws"",""2025-26!AR4"")"),765200.01)</f>
        <v>765200.01</v>
      </c>
      <c r="CR12" s="55">
        <f>IFERROR(__xludf.DUMMYFUNCTION("IMPORTRANGE(""13EYfcAewqPPQ83PA3ta2L46h2GIwi9k-mw8zx8HuEws"",""2025-26!AR3"")"),19.0)</f>
        <v>19</v>
      </c>
      <c r="CS12" s="59">
        <f t="shared" si="29"/>
        <v>0.6148408304</v>
      </c>
      <c r="CT12" s="55">
        <f>IFERROR(__xludf.DUMMYFUNCTION("IMPORTRANGE(""13EYfcAewqPPQ83PA3ta2L46h2GIwi9k-mw8zx8HuEws"",""2025-26!AS4"")"),888445.0)</f>
        <v>888445</v>
      </c>
      <c r="CU12" s="55">
        <f>IFERROR(__xludf.DUMMYFUNCTION("IMPORTRANGE(""13EYfcAewqPPQ83PA3ta2L46h2GIwi9k-mw8zx8HuEws"",""2025-26!AS3"")"),18.0)</f>
        <v>18</v>
      </c>
      <c r="CV12" s="60" t="s">
        <v>37</v>
      </c>
    </row>
    <row r="13">
      <c r="A13" s="63" t="s">
        <v>23</v>
      </c>
      <c r="B13" s="37"/>
      <c r="C13" s="67" t="s">
        <v>38</v>
      </c>
      <c r="D13" s="65" t="s">
        <v>39</v>
      </c>
      <c r="E13" s="68">
        <v>8.266009918E9</v>
      </c>
      <c r="F13" s="66">
        <v>45736.0</v>
      </c>
      <c r="G13" s="62"/>
      <c r="H13" s="62"/>
      <c r="I13" s="53">
        <f>VLOOKUP($C13,Data!$C:$BV,72,0)</f>
        <v>27260</v>
      </c>
      <c r="J13" s="54">
        <f>1200000+50000</f>
        <v>1250000</v>
      </c>
      <c r="K13" s="55">
        <f>IFERROR(__xludf.DUMMYFUNCTION("IMPORTRANGE(""1jFDZ-XQ8Fuzz37_6c1Wi087O7eNCDVE8KbcMW9lSUac"",""2025-26!A3"")"),46.0)</f>
        <v>46</v>
      </c>
      <c r="L13" s="55">
        <f>IFERROR(__xludf.DUMMYFUNCTION("IMPORTRANGE(""1jFDZ-XQ8Fuzz37_6c1Wi087O7eNCDVE8KbcMW9lSUac"",""2025-26!G4"")"),5800000.0)</f>
        <v>5800000</v>
      </c>
      <c r="M13" s="55">
        <f t="shared" si="15"/>
        <v>5077211.31</v>
      </c>
      <c r="N13" s="56">
        <f t="shared" si="16"/>
        <v>0.7919375862</v>
      </c>
      <c r="O13" s="57">
        <f t="shared" si="17"/>
        <v>4593238</v>
      </c>
      <c r="P13" s="55">
        <f>IFERROR(__xludf.DUMMYFUNCTION("IMPORTRANGE(""1jFDZ-XQ8Fuzz37_6c1Wi087O7eNCDVE8KbcMW9lSUac"",""2025-26!J4"")"),0.0)</f>
        <v>0</v>
      </c>
      <c r="Q13" s="55">
        <f>IFERROR(__xludf.DUMMYFUNCTION("IMPORTRANGE(""1jFDZ-XQ8Fuzz37_6c1Wi087O7eNCDVE8KbcMW9lSUac"",""2025-26!J3"")"),0.0)</f>
        <v>0</v>
      </c>
      <c r="R13" s="55">
        <f>IFERROR(__xludf.DUMMYFUNCTION("IMPORTRANGE(""1jFDZ-XQ8Fuzz37_6c1Wi087O7eNCDVE8KbcMW9lSUac"",""2025-26!K4"")"),95525.9)</f>
        <v>95525.9</v>
      </c>
      <c r="S13" s="55">
        <f>IFERROR(__xludf.DUMMYFUNCTION("IMPORTRANGE(""1jFDZ-XQ8Fuzz37_6c1Wi087O7eNCDVE8KbcMW9lSUac"",""2025-26!K3"")"),1.0)</f>
        <v>1</v>
      </c>
      <c r="T13" s="58" t="str">
        <f t="shared" si="18"/>
        <v/>
      </c>
      <c r="U13" s="55">
        <f>IFERROR(__xludf.DUMMYFUNCTION("IMPORTRANGE(""1jFDZ-XQ8Fuzz37_6c1Wi087O7eNCDVE8KbcMW9lSUac"",""2025-26!L4"")"),0.0)</f>
        <v>0</v>
      </c>
      <c r="V13" s="55">
        <f>IFERROR(__xludf.DUMMYFUNCTION("IMPORTRANGE(""1jFDZ-XQ8Fuzz37_6c1Wi087O7eNCDVE8KbcMW9lSUac"",""2025-26!L3"")"),0.0)</f>
        <v>0</v>
      </c>
      <c r="W13" s="55">
        <f>IFERROR(__xludf.DUMMYFUNCTION("IMPORTRANGE(""1jFDZ-XQ8Fuzz37_6c1Wi087O7eNCDVE8KbcMW9lSUac"",""2025-26!m4"")"),700000.0)</f>
        <v>700000</v>
      </c>
      <c r="X13" s="55">
        <f>IFERROR(__xludf.DUMMYFUNCTION("IMPORTRANGE(""1jFDZ-XQ8Fuzz37_6c1Wi087O7eNCDVE8KbcMW9lSUac"",""2025-26!m3"")"),8.0)</f>
        <v>8</v>
      </c>
      <c r="Y13" s="55">
        <f>IFERROR(__xludf.DUMMYFUNCTION("IMPORTRANGE(""1jFDZ-XQ8Fuzz37_6c1Wi087O7eNCDVE8KbcMW9lSUac"",""2025-26!N4"")"),434446.65)</f>
        <v>434446.65</v>
      </c>
      <c r="Z13" s="55">
        <f>IFERROR(__xludf.DUMMYFUNCTION("IMPORTRANGE(""1jFDZ-XQ8Fuzz37_6c1Wi087O7eNCDVE8KbcMW9lSUac"",""2025-26!N3"")"),9.0)</f>
        <v>9</v>
      </c>
      <c r="AA13" s="58">
        <f t="shared" si="19"/>
        <v>0.6206414286</v>
      </c>
      <c r="AB13" s="55">
        <f>IFERROR(__xludf.DUMMYFUNCTION("IMPORTRANGE(""1jFDZ-XQ8Fuzz37_6c1Wi087O7eNCDVE8KbcMW9lSUac"",""2025-26!O4"")"),434449.0)</f>
        <v>434449</v>
      </c>
      <c r="AC13" s="55">
        <f>IFERROR(__xludf.DUMMYFUNCTION("IMPORTRANGE(""1jFDZ-XQ8Fuzz37_6c1Wi087O7eNCDVE8KbcMW9lSUac"",""2025-26!O3"")"),9.0)</f>
        <v>9</v>
      </c>
      <c r="AD13" s="55">
        <f>IFERROR(__xludf.DUMMYFUNCTION("IMPORTRANGE(""1jFDZ-XQ8Fuzz37_6c1Wi087O7eNCDVE8KbcMW9lSUac"",""2025-26!P4"")"),800000.0)</f>
        <v>800000</v>
      </c>
      <c r="AE13" s="55">
        <f>IFERROR(__xludf.DUMMYFUNCTION("IMPORTRANGE(""1jFDZ-XQ8Fuzz37_6c1Wi087O7eNCDVE8KbcMW9lSUac"",""2025-26!P3"")"),9.0)</f>
        <v>9</v>
      </c>
      <c r="AF13" s="55">
        <f>IFERROR(__xludf.DUMMYFUNCTION("IMPORTRANGE(""1jFDZ-XQ8Fuzz37_6c1Wi087O7eNCDVE8KbcMW9lSUac"",""2025-26!Q4"")"),399885.78)</f>
        <v>399885.78</v>
      </c>
      <c r="AG13" s="55">
        <f>IFERROR(__xludf.DUMMYFUNCTION("IMPORTRANGE(""1jFDZ-XQ8Fuzz37_6c1Wi087O7eNCDVE8KbcMW9lSUac"",""2025-26!Q3"")"),9.0)</f>
        <v>9</v>
      </c>
      <c r="AH13" s="58">
        <f t="shared" si="20"/>
        <v>0.562365</v>
      </c>
      <c r="AI13" s="55">
        <f>IFERROR(__xludf.DUMMYFUNCTION("IMPORTRANGE(""1jFDZ-XQ8Fuzz37_6c1Wi087O7eNCDVE8KbcMW9lSUac"",""2025-26!R4"")"),449892.0)</f>
        <v>449892</v>
      </c>
      <c r="AJ13" s="55">
        <f>IFERROR(__xludf.DUMMYFUNCTION("IMPORTRANGE(""1jFDZ-XQ8Fuzz37_6c1Wi087O7eNCDVE8KbcMW9lSUac"",""2025-26!R3"")"),9.0)</f>
        <v>9</v>
      </c>
      <c r="AK13" s="55">
        <f>IFERROR(__xludf.DUMMYFUNCTION("IMPORTRANGE(""1jFDZ-XQ8Fuzz37_6c1Wi087O7eNCDVE8KbcMW9lSUac"",""2025-26!S4"")"),1300000.0)</f>
        <v>1300000</v>
      </c>
      <c r="AL13" s="55">
        <f>IFERROR(__xludf.DUMMYFUNCTION("IMPORTRANGE(""1jFDZ-XQ8Fuzz37_6c1Wi087O7eNCDVE8KbcMW9lSUac"",""2025-26!S3"")"),12.0)</f>
        <v>12</v>
      </c>
      <c r="AM13" s="55">
        <f>IFERROR(__xludf.DUMMYFUNCTION("IMPORTRANGE(""1jFDZ-XQ8Fuzz37_6c1Wi087O7eNCDVE8KbcMW9lSUac"",""2025-26!T4"")"),888460.8300000001)</f>
        <v>888460.83</v>
      </c>
      <c r="AN13" s="55">
        <f>IFERROR(__xludf.DUMMYFUNCTION("IMPORTRANGE(""1jFDZ-XQ8Fuzz37_6c1Wi087O7eNCDVE8KbcMW9lSUac"",""2025-26!T3"")"),13.0)</f>
        <v>13</v>
      </c>
      <c r="AO13" s="58">
        <f t="shared" si="21"/>
        <v>0.6647615385</v>
      </c>
      <c r="AP13" s="55">
        <f>IFERROR(__xludf.DUMMYFUNCTION("IMPORTRANGE(""1jFDZ-XQ8Fuzz37_6c1Wi087O7eNCDVE8KbcMW9lSUac"",""2025-26!U4"")"),864190.0)</f>
        <v>864190</v>
      </c>
      <c r="AQ13" s="55">
        <f>IFERROR(__xludf.DUMMYFUNCTION("IMPORTRANGE(""1jFDZ-XQ8Fuzz37_6c1Wi087O7eNCDVE8KbcMW9lSUac"",""2025-26!U3"")"),13.0)</f>
        <v>13</v>
      </c>
      <c r="AR13" s="55">
        <f>IFERROR(__xludf.DUMMYFUNCTION("IMPORTRANGE(""1jFDZ-XQ8Fuzz37_6c1Wi087O7eNCDVE8KbcMW9lSUac"",""2025-26!V4"")"),1200000.0)</f>
        <v>1200000</v>
      </c>
      <c r="AS13" s="55">
        <f>IFERROR(__xludf.DUMMYFUNCTION("IMPORTRANGE(""1jFDZ-XQ8Fuzz37_6c1Wi087O7eNCDVE8KbcMW9lSUac"",""2025-26!V3"")"),16.0)</f>
        <v>16</v>
      </c>
      <c r="AT13" s="55">
        <f>IFERROR(__xludf.DUMMYFUNCTION("IMPORTRANGE(""1jFDZ-XQ8Fuzz37_6c1Wi087O7eNCDVE8KbcMW9lSUac"",""2025-26!W4"")"),746767.4299999999)</f>
        <v>746767.43</v>
      </c>
      <c r="AU13" s="55">
        <f>IFERROR(__xludf.DUMMYFUNCTION("IMPORTRANGE(""1jFDZ-XQ8Fuzz37_6c1Wi087O7eNCDVE8KbcMW9lSUac"",""2025-26!W3"")"),7.0)</f>
        <v>7</v>
      </c>
      <c r="AV13" s="58">
        <f t="shared" si="22"/>
        <v>0.6082066667</v>
      </c>
      <c r="AW13" s="55">
        <f>IFERROR(__xludf.DUMMYFUNCTION("IMPORTRANGE(""1jFDZ-XQ8Fuzz37_6c1Wi087O7eNCDVE8KbcMW9lSUac"",""2025-26!X4"")"),729848.0)</f>
        <v>729848</v>
      </c>
      <c r="AX13" s="55">
        <f>IFERROR(__xludf.DUMMYFUNCTION("IMPORTRANGE(""1jFDZ-XQ8Fuzz37_6c1Wi087O7eNCDVE8KbcMW9lSUac"",""2025-26!X3"")"),6.0)</f>
        <v>6</v>
      </c>
      <c r="AY13" s="55">
        <f>IFERROR(__xludf.DUMMYFUNCTION("IMPORTRANGE(""1jFDZ-XQ8Fuzz37_6c1Wi087O7eNCDVE8KbcMW9lSUac"",""2025-26!Y4"")"),1200000.0)</f>
        <v>1200000</v>
      </c>
      <c r="AZ13" s="55">
        <f>IFERROR(__xludf.DUMMYFUNCTION("IMPORTRANGE(""1jFDZ-XQ8Fuzz37_6c1Wi087O7eNCDVE8KbcMW9lSUac"",""2025-26!Y3"")"),14.0)</f>
        <v>14</v>
      </c>
      <c r="BA13" s="55">
        <f>IFERROR(__xludf.DUMMYFUNCTION("IMPORTRANGE(""1jFDZ-XQ8Fuzz37_6c1Wi087O7eNCDVE8KbcMW9lSUac"",""2025-26!Z4"")"),827791.98)</f>
        <v>827791.98</v>
      </c>
      <c r="BB13" s="55">
        <f>IFERROR(__xludf.DUMMYFUNCTION("IMPORTRANGE(""1jFDZ-XQ8Fuzz37_6c1Wi087O7eNCDVE8KbcMW9lSUac"",""2025-26!Z3"")"),9.0)</f>
        <v>9</v>
      </c>
      <c r="BC13" s="59">
        <f t="shared" si="23"/>
        <v>0.6898275</v>
      </c>
      <c r="BD13" s="55">
        <f>IFERROR(__xludf.DUMMYFUNCTION("IMPORTRANGE(""1jFDZ-XQ8Fuzz37_6c1Wi087O7eNCDVE8KbcMW9lSUac"",""2025-26!AA4"")"),827793.0)</f>
        <v>827793</v>
      </c>
      <c r="BE13" s="55">
        <f>IFERROR(__xludf.DUMMYFUNCTION("IMPORTRANGE(""1jFDZ-XQ8Fuzz37_6c1Wi087O7eNCDVE8KbcMW9lSUac"",""2025-26!AA3"")"),9.0)</f>
        <v>9</v>
      </c>
      <c r="BF13" s="55">
        <f>IFERROR(__xludf.DUMMYFUNCTION("IMPORTRANGE(""1jFDZ-XQ8Fuzz37_6c1Wi087O7eNCDVE8KbcMW9lSUac"",""2025-26!AB4"")"),1200000.0)</f>
        <v>1200000</v>
      </c>
      <c r="BG13" s="55">
        <f>IFERROR(__xludf.DUMMYFUNCTION("IMPORTRANGE(""1jFDZ-XQ8Fuzz37_6c1Wi087O7eNCDVE8KbcMW9lSUac"",""2025-26!AB3"")"),17.0)</f>
        <v>17</v>
      </c>
      <c r="BH13" s="55">
        <f>IFERROR(__xludf.DUMMYFUNCTION("IMPORTRANGE(""1jFDZ-XQ8Fuzz37_6c1Wi087O7eNCDVE8KbcMW9lSUac"",""2025-26!AC4"")"),131286.49)</f>
        <v>131286.49</v>
      </c>
      <c r="BI13" s="55">
        <f>IFERROR(__xludf.DUMMYFUNCTION("IMPORTRANGE(""1jFDZ-XQ8Fuzz37_6c1Wi087O7eNCDVE8KbcMW9lSUac"",""2025-26!AC3"")"),6.0)</f>
        <v>6</v>
      </c>
      <c r="BJ13" s="59">
        <f t="shared" si="24"/>
        <v>0.02210833333</v>
      </c>
      <c r="BK13" s="55">
        <f>IFERROR(__xludf.DUMMYFUNCTION("IMPORTRANGE(""1jFDZ-XQ8Fuzz37_6c1Wi087O7eNCDVE8KbcMW9lSUac"",""2025-26!AD4"")"),26530.0)</f>
        <v>26530</v>
      </c>
      <c r="BL13" s="55">
        <f>IFERROR(__xludf.DUMMYFUNCTION("IMPORTRANGE(""1jFDZ-XQ8Fuzz37_6c1Wi087O7eNCDVE8KbcMW9lSUac"",""2025-26!AD3"")"),1.0)</f>
        <v>1</v>
      </c>
      <c r="BM13" s="55">
        <f>IFERROR(__xludf.DUMMYFUNCTION("IMPORTRANGE(""1jFDZ-XQ8Fuzz37_6c1Wi087O7eNCDVE8KbcMW9lSUac"",""2025-26!AE4"")"),1200000.0)</f>
        <v>1200000</v>
      </c>
      <c r="BN13" s="55">
        <f>IFERROR(__xludf.DUMMYFUNCTION("IMPORTRANGE(""1jFDZ-XQ8Fuzz37_6c1Wi087O7eNCDVE8KbcMW9lSUac"",""2025-26!AE3"")"),18.0)</f>
        <v>18</v>
      </c>
      <c r="BO13" s="55">
        <f>IFERROR(__xludf.DUMMYFUNCTION("IMPORTRANGE(""1jFDZ-XQ8Fuzz37_6c1Wi087O7eNCDVE8KbcMW9lSUac"",""2025-26!AF4"")"),269022.36)</f>
        <v>269022.36</v>
      </c>
      <c r="BP13" s="55">
        <f>IFERROR(__xludf.DUMMYFUNCTION("IMPORTRANGE(""1jFDZ-XQ8Fuzz37_6c1Wi087O7eNCDVE8KbcMW9lSUac"",""2025-26!AF3"")"),5.0)</f>
        <v>5</v>
      </c>
      <c r="BQ13" s="59">
        <f t="shared" si="25"/>
        <v>0.22416</v>
      </c>
      <c r="BR13" s="55">
        <f>IFERROR(__xludf.DUMMYFUNCTION("IMPORTRANGE(""1jFDZ-XQ8Fuzz37_6c1Wi087O7eNCDVE8KbcMW9lSUac"",""2025-26!AG4"")"),268992.0)</f>
        <v>268992</v>
      </c>
      <c r="BS13" s="55">
        <f>IFERROR(__xludf.DUMMYFUNCTION("IMPORTRANGE(""1jFDZ-XQ8Fuzz37_6c1Wi087O7eNCDVE8KbcMW9lSUac"",""2025-26!AG3"")"),5.0)</f>
        <v>5</v>
      </c>
      <c r="BT13" s="55">
        <f>IFERROR(__xludf.DUMMYFUNCTION("IMPORTRANGE(""1jFDZ-XQ8Fuzz37_6c1Wi087O7eNCDVE8KbcMW9lSUac"",""2025-26!AH4"")"),1260000.0)</f>
        <v>1260000</v>
      </c>
      <c r="BU13" s="55">
        <f>IFERROR(__xludf.DUMMYFUNCTION("IMPORTRANGE(""1jFDZ-XQ8Fuzz37_6c1Wi087O7eNCDVE8KbcMW9lSUac"",""2025-26!AH3"")"),17.0)</f>
        <v>17</v>
      </c>
      <c r="BV13" s="55">
        <f>IFERROR(__xludf.DUMMYFUNCTION("IMPORTRANGE(""1jFDZ-XQ8Fuzz37_6c1Wi087O7eNCDVE8KbcMW9lSUac"",""2025-26!AI4"")"),648851.68)</f>
        <v>648851.68</v>
      </c>
      <c r="BW13" s="55">
        <f>IFERROR(__xludf.DUMMYFUNCTION("IMPORTRANGE(""1jFDZ-XQ8Fuzz37_6c1Wi087O7eNCDVE8KbcMW9lSUac"",""2025-26!AI3"")"),9.0)</f>
        <v>9</v>
      </c>
      <c r="BX13" s="59">
        <f t="shared" si="26"/>
        <v>0.5150095238</v>
      </c>
      <c r="BY13" s="55">
        <f>IFERROR(__xludf.DUMMYFUNCTION("IMPORTRANGE(""1jFDZ-XQ8Fuzz37_6c1Wi087O7eNCDVE8KbcMW9lSUac"",""2025-26!AJ4"")"),648912.0)</f>
        <v>648912</v>
      </c>
      <c r="BZ13" s="55">
        <f>IFERROR(__xludf.DUMMYFUNCTION("IMPORTRANGE(""1jFDZ-XQ8Fuzz37_6c1Wi087O7eNCDVE8KbcMW9lSUac"",""2025-26!AJ3"")"),9.0)</f>
        <v>9</v>
      </c>
      <c r="CA13" s="55">
        <f>IFERROR(__xludf.DUMMYFUNCTION("IMPORTRANGE(""1jFDZ-XQ8Fuzz37_6c1Wi087O7eNCDVE8KbcMW9lSUac"",""2025-26!AK4"")"),1210000.0)</f>
        <v>1210000</v>
      </c>
      <c r="CB13" s="55">
        <f>IFERROR(__xludf.DUMMYFUNCTION("IMPORTRANGE(""1jFDZ-XQ8Fuzz37_6c1Wi087O7eNCDVE8KbcMW9lSUac"",""2025-26!AK3"")"),17.0)</f>
        <v>17</v>
      </c>
      <c r="CC13" s="55">
        <f>IFERROR(__xludf.DUMMYFUNCTION("IMPORTRANGE(""1jFDZ-XQ8Fuzz37_6c1Wi087O7eNCDVE8KbcMW9lSUac"",""2025-26!AL4"")"),356727.48)</f>
        <v>356727.48</v>
      </c>
      <c r="CD13" s="55">
        <f>IFERROR(__xludf.DUMMYFUNCTION("IMPORTRANGE(""1jFDZ-XQ8Fuzz37_6c1Wi087O7eNCDVE8KbcMW9lSUac"",""2025-26!AL3"")"),6.0)</f>
        <v>6</v>
      </c>
      <c r="CE13" s="59">
        <f t="shared" si="27"/>
        <v>0.1721421488</v>
      </c>
      <c r="CF13" s="55">
        <f>IFERROR(__xludf.DUMMYFUNCTION("IMPORTRANGE(""1jFDZ-XQ8Fuzz37_6c1Wi087O7eNCDVE8KbcMW9lSUac"",""2025-26!AM4"")"),208292.0)</f>
        <v>208292</v>
      </c>
      <c r="CG13" s="55">
        <f>IFERROR(__xludf.DUMMYFUNCTION("IMPORTRANGE(""1jFDZ-XQ8Fuzz37_6c1Wi087O7eNCDVE8KbcMW9lSUac"",""2025-26!AM3"")"),5.0)</f>
        <v>5</v>
      </c>
      <c r="CH13" s="55">
        <f>IFERROR(__xludf.DUMMYFUNCTION("IMPORTRANGE(""1jFDZ-XQ8Fuzz37_6c1Wi087O7eNCDVE8KbcMW9lSUac"",""2025-26!AN4"")"),1205000.0)</f>
        <v>1205000</v>
      </c>
      <c r="CI13" s="55">
        <f>IFERROR(__xludf.DUMMYFUNCTION("IMPORTRANGE(""1jFDZ-XQ8Fuzz37_6c1Wi087O7eNCDVE8KbcMW9lSUac"",""2025-26!AN3"")"),15.0)</f>
        <v>15</v>
      </c>
      <c r="CJ13" s="55">
        <f>IFERROR(__xludf.DUMMYFUNCTION("IMPORTRANGE(""1jFDZ-XQ8Fuzz37_6c1Wi087O7eNCDVE8KbcMW9lSUac"",""2025-26!AO4"")"),208045.78)</f>
        <v>208045.78</v>
      </c>
      <c r="CK13" s="55">
        <f>IFERROR(__xludf.DUMMYFUNCTION("IMPORTRANGE(""1jFDZ-XQ8Fuzz37_6c1Wi087O7eNCDVE8KbcMW9lSUac"",""2025-26!AO3"")"),5.0)</f>
        <v>5</v>
      </c>
      <c r="CL13" s="59">
        <f t="shared" si="28"/>
        <v>0.06963485477</v>
      </c>
      <c r="CM13" s="55">
        <f>IFERROR(__xludf.DUMMYFUNCTION("IMPORTRANGE(""1jFDZ-XQ8Fuzz37_6c1Wi087O7eNCDVE8KbcMW9lSUac"",""2025-26!AP4"")"),83910.0)</f>
        <v>83910</v>
      </c>
      <c r="CN13" s="55">
        <f>IFERROR(__xludf.DUMMYFUNCTION("IMPORTRANGE(""1jFDZ-XQ8Fuzz37_6c1Wi087O7eNCDVE8KbcMW9lSUac"",""2025-26!AP3"")"),4.0)</f>
        <v>4</v>
      </c>
      <c r="CO13" s="55">
        <f>IFERROR(__xludf.DUMMYFUNCTION("IMPORTRANGE(""1jFDZ-XQ8Fuzz37_6c1Wi087O7eNCDVE8KbcMW9lSUac"",""2025-26!AQ4"")"),330000.0)</f>
        <v>330000</v>
      </c>
      <c r="CP13" s="55">
        <f>IFERROR(__xludf.DUMMYFUNCTION("IMPORTRANGE(""1jFDZ-XQ8Fuzz37_6c1Wi087O7eNCDVE8KbcMW9lSUac"",""2025-26!AQ3"")"),5.0)</f>
        <v>5</v>
      </c>
      <c r="CQ13" s="55">
        <f>IFERROR(__xludf.DUMMYFUNCTION("IMPORTRANGE(""1jFDZ-XQ8Fuzz37_6c1Wi087O7eNCDVE8KbcMW9lSUac"",""2025-26!AR4"")"),70398.95)</f>
        <v>70398.95</v>
      </c>
      <c r="CR13" s="55">
        <f>IFERROR(__xludf.DUMMYFUNCTION("IMPORTRANGE(""1jFDZ-XQ8Fuzz37_6c1Wi087O7eNCDVE8KbcMW9lSUac"",""2025-26!AR3"")"),3.0)</f>
        <v>3</v>
      </c>
      <c r="CS13" s="59">
        <f t="shared" si="29"/>
        <v>0.1528181818</v>
      </c>
      <c r="CT13" s="55">
        <f>IFERROR(__xludf.DUMMYFUNCTION("IMPORTRANGE(""1jFDZ-XQ8Fuzz37_6c1Wi087O7eNCDVE8KbcMW9lSUac"",""2025-26!AS4"")"),50430.0)</f>
        <v>50430</v>
      </c>
      <c r="CU13" s="55">
        <f>IFERROR(__xludf.DUMMYFUNCTION("IMPORTRANGE(""1jFDZ-XQ8Fuzz37_6c1Wi087O7eNCDVE8KbcMW9lSUac"",""2025-26!AS3"")"),3.0)</f>
        <v>3</v>
      </c>
      <c r="CV13" s="60" t="s">
        <v>40</v>
      </c>
    </row>
    <row r="14">
      <c r="A14" s="63" t="s">
        <v>23</v>
      </c>
      <c r="B14" s="37"/>
      <c r="C14" s="69" t="s">
        <v>41</v>
      </c>
      <c r="D14" s="65" t="s">
        <v>42</v>
      </c>
      <c r="E14" s="68">
        <v>8.006520839E9</v>
      </c>
      <c r="F14" s="66">
        <v>45887.0</v>
      </c>
      <c r="G14" s="62"/>
      <c r="H14" s="62"/>
      <c r="I14" s="53">
        <f>VLOOKUP($C14,Data!$C:$BV,72,0)</f>
        <v>28835</v>
      </c>
      <c r="J14" s="54">
        <v>1200000.0</v>
      </c>
      <c r="K14" s="55">
        <f>IFERROR(__xludf.DUMMYFUNCTION("IMPORTRANGE(""132I0fvbfTDk_3h-QeYGrQ-F6z0A921MXbdqyLFsyN5Y"",""2025-26!A3"")"),169.0)</f>
        <v>169</v>
      </c>
      <c r="L14" s="55">
        <f>IFERROR(__xludf.DUMMYFUNCTION("IMPORTRANGE(""132I0fvbfTDk_3h-QeYGrQ-F6z0A921MXbdqyLFsyN5Y"",""2025-26!G4"")"),1.1E7)</f>
        <v>11000000</v>
      </c>
      <c r="M14" s="55">
        <f t="shared" si="15"/>
        <v>6525450.81</v>
      </c>
      <c r="N14" s="56">
        <f t="shared" si="16"/>
        <v>0.5810422727</v>
      </c>
      <c r="O14" s="57">
        <f t="shared" si="17"/>
        <v>6391465</v>
      </c>
      <c r="P14" s="55">
        <f>IFERROR(__xludf.DUMMYFUNCTION("IMPORTRANGE(""132I0fvbfTDk_3h-QeYGrQ-F6z0A921MXbdqyLFsyN5Y"",""2025-26!J4"")"),0.0)</f>
        <v>0</v>
      </c>
      <c r="Q14" s="55">
        <f>IFERROR(__xludf.DUMMYFUNCTION("IMPORTRANGE(""132I0fvbfTDk_3h-QeYGrQ-F6z0A921MXbdqyLFsyN5Y"",""2025-26!J3"")"),0.0)</f>
        <v>0</v>
      </c>
      <c r="R14" s="55">
        <f>IFERROR(__xludf.DUMMYFUNCTION("IMPORTRANGE(""132I0fvbfTDk_3h-QeYGrQ-F6z0A921MXbdqyLFsyN5Y"",""2025-26!K4"")"),0.0)</f>
        <v>0</v>
      </c>
      <c r="S14" s="55">
        <f>IFERROR(__xludf.DUMMYFUNCTION("IMPORTRANGE(""132I0fvbfTDk_3h-QeYGrQ-F6z0A921MXbdqyLFsyN5Y"",""2025-26!K3"")"),0.0)</f>
        <v>0</v>
      </c>
      <c r="T14" s="58" t="str">
        <f t="shared" si="18"/>
        <v/>
      </c>
      <c r="U14" s="55">
        <f>IFERROR(__xludf.DUMMYFUNCTION("IMPORTRANGE(""132I0fvbfTDk_3h-QeYGrQ-F6z0A921MXbdqyLFsyN5Y"",""2025-26!L4"")"),0.0)</f>
        <v>0</v>
      </c>
      <c r="V14" s="55">
        <f>IFERROR(__xludf.DUMMYFUNCTION("IMPORTRANGE(""132I0fvbfTDk_3h-QeYGrQ-F6z0A921MXbdqyLFsyN5Y"",""2025-26!L3"")"),0.0)</f>
        <v>0</v>
      </c>
      <c r="W14" s="55">
        <f>IFERROR(__xludf.DUMMYFUNCTION("IMPORTRANGE(""132I0fvbfTDk_3h-QeYGrQ-F6z0A921MXbdqyLFsyN5Y"",""2025-26!m4"")"),0.0)</f>
        <v>0</v>
      </c>
      <c r="X14" s="55">
        <f>IFERROR(__xludf.DUMMYFUNCTION("IMPORTRANGE(""132I0fvbfTDk_3h-QeYGrQ-F6z0A921MXbdqyLFsyN5Y"",""2025-26!m3"")"),0.0)</f>
        <v>0</v>
      </c>
      <c r="Y14" s="55">
        <f>IFERROR(__xludf.DUMMYFUNCTION("IMPORTRANGE(""132I0fvbfTDk_3h-QeYGrQ-F6z0A921MXbdqyLFsyN5Y"",""2025-26!N4"")"),0.0)</f>
        <v>0</v>
      </c>
      <c r="Z14" s="55">
        <f>IFERROR(__xludf.DUMMYFUNCTION("IMPORTRANGE(""132I0fvbfTDk_3h-QeYGrQ-F6z0A921MXbdqyLFsyN5Y"",""2025-26!N3"")"),0.0)</f>
        <v>0</v>
      </c>
      <c r="AA14" s="58" t="str">
        <f t="shared" si="19"/>
        <v/>
      </c>
      <c r="AB14" s="55">
        <f>IFERROR(__xludf.DUMMYFUNCTION("IMPORTRANGE(""132I0fvbfTDk_3h-QeYGrQ-F6z0A921MXbdqyLFsyN5Y"",""2025-26!O4"")"),0.0)</f>
        <v>0</v>
      </c>
      <c r="AC14" s="55">
        <f>IFERROR(__xludf.DUMMYFUNCTION("IMPORTRANGE(""132I0fvbfTDk_3h-QeYGrQ-F6z0A921MXbdqyLFsyN5Y"",""2025-26!O3"")"),0.0)</f>
        <v>0</v>
      </c>
      <c r="AD14" s="55">
        <f>IFERROR(__xludf.DUMMYFUNCTION("IMPORTRANGE(""132I0fvbfTDk_3h-QeYGrQ-F6z0A921MXbdqyLFsyN5Y"",""2025-26!P4"")"),0.0)</f>
        <v>0</v>
      </c>
      <c r="AE14" s="55">
        <f>IFERROR(__xludf.DUMMYFUNCTION("IMPORTRANGE(""132I0fvbfTDk_3h-QeYGrQ-F6z0A921MXbdqyLFsyN5Y"",""2025-26!P3"")"),0.0)</f>
        <v>0</v>
      </c>
      <c r="AF14" s="55">
        <f>IFERROR(__xludf.DUMMYFUNCTION("IMPORTRANGE(""132I0fvbfTDk_3h-QeYGrQ-F6z0A921MXbdqyLFsyN5Y"",""2025-26!Q4"")"),0.0)</f>
        <v>0</v>
      </c>
      <c r="AG14" s="55">
        <f>IFERROR(__xludf.DUMMYFUNCTION("IMPORTRANGE(""132I0fvbfTDk_3h-QeYGrQ-F6z0A921MXbdqyLFsyN5Y"",""2025-26!Q3"")"),0.0)</f>
        <v>0</v>
      </c>
      <c r="AH14" s="58" t="str">
        <f t="shared" si="20"/>
        <v/>
      </c>
      <c r="AI14" s="55">
        <f>IFERROR(__xludf.DUMMYFUNCTION("IMPORTRANGE(""132I0fvbfTDk_3h-QeYGrQ-F6z0A921MXbdqyLFsyN5Y"",""2025-26!R4"")"),0.0)</f>
        <v>0</v>
      </c>
      <c r="AJ14" s="55">
        <f>IFERROR(__xludf.DUMMYFUNCTION("IMPORTRANGE(""132I0fvbfTDk_3h-QeYGrQ-F6z0A921MXbdqyLFsyN5Y"",""2025-26!R3"")"),0.0)</f>
        <v>0</v>
      </c>
      <c r="AK14" s="55">
        <f>IFERROR(__xludf.DUMMYFUNCTION("IMPORTRANGE(""132I0fvbfTDk_3h-QeYGrQ-F6z0A921MXbdqyLFsyN5Y"",""2025-26!S4"")"),0.0)</f>
        <v>0</v>
      </c>
      <c r="AL14" s="55">
        <f>IFERROR(__xludf.DUMMYFUNCTION("IMPORTRANGE(""132I0fvbfTDk_3h-QeYGrQ-F6z0A921MXbdqyLFsyN5Y"",""2025-26!S3"")"),0.0)</f>
        <v>0</v>
      </c>
      <c r="AM14" s="55">
        <f>IFERROR(__xludf.DUMMYFUNCTION("IMPORTRANGE(""132I0fvbfTDk_3h-QeYGrQ-F6z0A921MXbdqyLFsyN5Y"",""2025-26!T4"")"),0.0)</f>
        <v>0</v>
      </c>
      <c r="AN14" s="55">
        <f>IFERROR(__xludf.DUMMYFUNCTION("IMPORTRANGE(""132I0fvbfTDk_3h-QeYGrQ-F6z0A921MXbdqyLFsyN5Y"",""2025-26!T3"")"),0.0)</f>
        <v>0</v>
      </c>
      <c r="AO14" s="58" t="str">
        <f t="shared" si="21"/>
        <v/>
      </c>
      <c r="AP14" s="55">
        <f>IFERROR(__xludf.DUMMYFUNCTION("IMPORTRANGE(""132I0fvbfTDk_3h-QeYGrQ-F6z0A921MXbdqyLFsyN5Y"",""2025-26!U4"")"),0.0)</f>
        <v>0</v>
      </c>
      <c r="AQ14" s="55">
        <f>IFERROR(__xludf.DUMMYFUNCTION("IMPORTRANGE(""132I0fvbfTDk_3h-QeYGrQ-F6z0A921MXbdqyLFsyN5Y"",""2025-26!U3"")"),0.0)</f>
        <v>0</v>
      </c>
      <c r="AR14" s="55">
        <f>IFERROR(__xludf.DUMMYFUNCTION("IMPORTRANGE(""132I0fvbfTDk_3h-QeYGrQ-F6z0A921MXbdqyLFsyN5Y"",""2025-26!V4"")"),0.0)</f>
        <v>0</v>
      </c>
      <c r="AS14" s="55">
        <f>IFERROR(__xludf.DUMMYFUNCTION("IMPORTRANGE(""132I0fvbfTDk_3h-QeYGrQ-F6z0A921MXbdqyLFsyN5Y"",""2025-26!V3"")"),0.0)</f>
        <v>0</v>
      </c>
      <c r="AT14" s="55">
        <f>IFERROR(__xludf.DUMMYFUNCTION("IMPORTRANGE(""132I0fvbfTDk_3h-QeYGrQ-F6z0A921MXbdqyLFsyN5Y"",""2025-26!W4"")"),473052.15)</f>
        <v>473052.15</v>
      </c>
      <c r="AU14" s="55">
        <f>IFERROR(__xludf.DUMMYFUNCTION("IMPORTRANGE(""132I0fvbfTDk_3h-QeYGrQ-F6z0A921MXbdqyLFsyN5Y"",""2025-26!W3"")"),17.0)</f>
        <v>17</v>
      </c>
      <c r="AV14" s="58" t="str">
        <f t="shared" si="22"/>
        <v/>
      </c>
      <c r="AW14" s="55">
        <f>IFERROR(__xludf.DUMMYFUNCTION("IMPORTRANGE(""132I0fvbfTDk_3h-QeYGrQ-F6z0A921MXbdqyLFsyN5Y"",""2025-26!X4"")"),578302.0)</f>
        <v>578302</v>
      </c>
      <c r="AX14" s="55">
        <f>IFERROR(__xludf.DUMMYFUNCTION("IMPORTRANGE(""132I0fvbfTDk_3h-QeYGrQ-F6z0A921MXbdqyLFsyN5Y"",""2025-26!X3"")"),25.0)</f>
        <v>25</v>
      </c>
      <c r="AY14" s="55">
        <f>IFERROR(__xludf.DUMMYFUNCTION("IMPORTRANGE(""132I0fvbfTDk_3h-QeYGrQ-F6z0A921MXbdqyLFsyN5Y"",""2025-26!Y4"")"),0.0)</f>
        <v>0</v>
      </c>
      <c r="AZ14" s="55">
        <f>IFERROR(__xludf.DUMMYFUNCTION("IMPORTRANGE(""132I0fvbfTDk_3h-QeYGrQ-F6z0A921MXbdqyLFsyN5Y"",""2025-26!Y3"")"),0.0)</f>
        <v>0</v>
      </c>
      <c r="BA14" s="55">
        <f>IFERROR(__xludf.DUMMYFUNCTION("IMPORTRANGE(""132I0fvbfTDk_3h-QeYGrQ-F6z0A921MXbdqyLFsyN5Y"",""2025-26!Z4"")"),826365.0800000001)</f>
        <v>826365.08</v>
      </c>
      <c r="BB14" s="55">
        <f>IFERROR(__xludf.DUMMYFUNCTION("IMPORTRANGE(""132I0fvbfTDk_3h-QeYGrQ-F6z0A921MXbdqyLFsyN5Y"",""2025-26!Z3"")"),36.0)</f>
        <v>36</v>
      </c>
      <c r="BC14" s="59" t="str">
        <f t="shared" si="23"/>
        <v/>
      </c>
      <c r="BD14" s="55">
        <f>IFERROR(__xludf.DUMMYFUNCTION("IMPORTRANGE(""132I0fvbfTDk_3h-QeYGrQ-F6z0A921MXbdqyLFsyN5Y"",""2025-26!AA4"")"),817479.0)</f>
        <v>817479</v>
      </c>
      <c r="BE14" s="55">
        <f>IFERROR(__xludf.DUMMYFUNCTION("IMPORTRANGE(""132I0fvbfTDk_3h-QeYGrQ-F6z0A921MXbdqyLFsyN5Y"",""2025-26!AA3"")"),36.0)</f>
        <v>36</v>
      </c>
      <c r="BF14" s="55">
        <f>IFERROR(__xludf.DUMMYFUNCTION("IMPORTRANGE(""132I0fvbfTDk_3h-QeYGrQ-F6z0A921MXbdqyLFsyN5Y"",""2025-26!AB4"")"),1200000.0)</f>
        <v>1200000</v>
      </c>
      <c r="BG14" s="55">
        <f>IFERROR(__xludf.DUMMYFUNCTION("IMPORTRANGE(""132I0fvbfTDk_3h-QeYGrQ-F6z0A921MXbdqyLFsyN5Y"",""2025-26!AB3"")"),49.0)</f>
        <v>49</v>
      </c>
      <c r="BH14" s="55">
        <f>IFERROR(__xludf.DUMMYFUNCTION("IMPORTRANGE(""132I0fvbfTDk_3h-QeYGrQ-F6z0A921MXbdqyLFsyN5Y"",""2025-26!AC4"")"),609920.0999999999)</f>
        <v>609920.1</v>
      </c>
      <c r="BI14" s="55">
        <f>IFERROR(__xludf.DUMMYFUNCTION("IMPORTRANGE(""132I0fvbfTDk_3h-QeYGrQ-F6z0A921MXbdqyLFsyN5Y"",""2025-26!AC3"")"),30.0)</f>
        <v>30</v>
      </c>
      <c r="BJ14" s="59">
        <f t="shared" si="24"/>
        <v>0.4227441667</v>
      </c>
      <c r="BK14" s="55">
        <f>IFERROR(__xludf.DUMMYFUNCTION("IMPORTRANGE(""132I0fvbfTDk_3h-QeYGrQ-F6z0A921MXbdqyLFsyN5Y"",""2025-26!AD4"")"),507293.0)</f>
        <v>507293</v>
      </c>
      <c r="BL14" s="55">
        <f>IFERROR(__xludf.DUMMYFUNCTION("IMPORTRANGE(""132I0fvbfTDk_3h-QeYGrQ-F6z0A921MXbdqyLFsyN5Y"",""2025-26!AD3"")"),28.0)</f>
        <v>28</v>
      </c>
      <c r="BM14" s="55">
        <f>IFERROR(__xludf.DUMMYFUNCTION("IMPORTRANGE(""132I0fvbfTDk_3h-QeYGrQ-F6z0A921MXbdqyLFsyN5Y"",""2025-26!AE4"")"),1200000.0)</f>
        <v>1200000</v>
      </c>
      <c r="BN14" s="55">
        <f>IFERROR(__xludf.DUMMYFUNCTION("IMPORTRANGE(""132I0fvbfTDk_3h-QeYGrQ-F6z0A921MXbdqyLFsyN5Y"",""2025-26!AE3"")"),58.0)</f>
        <v>58</v>
      </c>
      <c r="BO14" s="55">
        <f>IFERROR(__xludf.DUMMYFUNCTION("IMPORTRANGE(""132I0fvbfTDk_3h-QeYGrQ-F6z0A921MXbdqyLFsyN5Y"",""2025-26!AF4"")"),622867.0)</f>
        <v>622867</v>
      </c>
      <c r="BP14" s="55">
        <f>IFERROR(__xludf.DUMMYFUNCTION("IMPORTRANGE(""132I0fvbfTDk_3h-QeYGrQ-F6z0A921MXbdqyLFsyN5Y"",""2025-26!AF3"")"),33.0)</f>
        <v>33</v>
      </c>
      <c r="BQ14" s="59">
        <f t="shared" si="25"/>
        <v>0.4382141667</v>
      </c>
      <c r="BR14" s="55">
        <f>IFERROR(__xludf.DUMMYFUNCTION("IMPORTRANGE(""132I0fvbfTDk_3h-QeYGrQ-F6z0A921MXbdqyLFsyN5Y"",""2025-26!AG4"")"),525857.0)</f>
        <v>525857</v>
      </c>
      <c r="BS14" s="55">
        <f>IFERROR(__xludf.DUMMYFUNCTION("IMPORTRANGE(""132I0fvbfTDk_3h-QeYGrQ-F6z0A921MXbdqyLFsyN5Y"",""2025-26!AG3"")"),31.0)</f>
        <v>31</v>
      </c>
      <c r="BT14" s="55">
        <f>IFERROR(__xludf.DUMMYFUNCTION("IMPORTRANGE(""132I0fvbfTDk_3h-QeYGrQ-F6z0A921MXbdqyLFsyN5Y"",""2025-26!AH4"")"),1200000.0)</f>
        <v>1200000</v>
      </c>
      <c r="BU14" s="55">
        <f>IFERROR(__xludf.DUMMYFUNCTION("IMPORTRANGE(""132I0fvbfTDk_3h-QeYGrQ-F6z0A921MXbdqyLFsyN5Y"",""2025-26!AH3"")"),64.0)</f>
        <v>64</v>
      </c>
      <c r="BV14" s="55">
        <f>IFERROR(__xludf.DUMMYFUNCTION("IMPORTRANGE(""132I0fvbfTDk_3h-QeYGrQ-F6z0A921MXbdqyLFsyN5Y"",""2025-26!AI4"")"),902183.5)</f>
        <v>902183.5</v>
      </c>
      <c r="BW14" s="55">
        <f>IFERROR(__xludf.DUMMYFUNCTION("IMPORTRANGE(""132I0fvbfTDk_3h-QeYGrQ-F6z0A921MXbdqyLFsyN5Y"",""2025-26!AI3"")"),45.0)</f>
        <v>45</v>
      </c>
      <c r="BX14" s="59">
        <f t="shared" si="26"/>
        <v>0.64522</v>
      </c>
      <c r="BY14" s="55">
        <f>IFERROR(__xludf.DUMMYFUNCTION("IMPORTRANGE(""132I0fvbfTDk_3h-QeYGrQ-F6z0A921MXbdqyLFsyN5Y"",""2025-26!AJ4"")"),774264.0)</f>
        <v>774264</v>
      </c>
      <c r="BZ14" s="55">
        <f>IFERROR(__xludf.DUMMYFUNCTION("IMPORTRANGE(""132I0fvbfTDk_3h-QeYGrQ-F6z0A921MXbdqyLFsyN5Y"",""2025-26!AJ3"")"),40.0)</f>
        <v>40</v>
      </c>
      <c r="CA14" s="55">
        <f>IFERROR(__xludf.DUMMYFUNCTION("IMPORTRANGE(""132I0fvbfTDk_3h-QeYGrQ-F6z0A921MXbdqyLFsyN5Y"",""2025-26!AK4"")"),1200000.0)</f>
        <v>1200000</v>
      </c>
      <c r="CB14" s="55">
        <f>IFERROR(__xludf.DUMMYFUNCTION("IMPORTRANGE(""132I0fvbfTDk_3h-QeYGrQ-F6z0A921MXbdqyLFsyN5Y"",""2025-26!AK3"")"),56.0)</f>
        <v>56</v>
      </c>
      <c r="CC14" s="55">
        <f>IFERROR(__xludf.DUMMYFUNCTION("IMPORTRANGE(""132I0fvbfTDk_3h-QeYGrQ-F6z0A921MXbdqyLFsyN5Y"",""2025-26!AL4"")"),1202672.12)</f>
        <v>1202672.12</v>
      </c>
      <c r="CD14" s="55">
        <f>IFERROR(__xludf.DUMMYFUNCTION("IMPORTRANGE(""132I0fvbfTDk_3h-QeYGrQ-F6z0A921MXbdqyLFsyN5Y"",""2025-26!AL3"")"),42.0)</f>
        <v>42</v>
      </c>
      <c r="CE14" s="59">
        <f t="shared" si="27"/>
        <v>1.016619167</v>
      </c>
      <c r="CF14" s="55">
        <f>IFERROR(__xludf.DUMMYFUNCTION("IMPORTRANGE(""132I0fvbfTDk_3h-QeYGrQ-F6z0A921MXbdqyLFsyN5Y"",""2025-26!AM4"")"),1219943.0)</f>
        <v>1219943</v>
      </c>
      <c r="CG14" s="55">
        <f>IFERROR(__xludf.DUMMYFUNCTION("IMPORTRANGE(""132I0fvbfTDk_3h-QeYGrQ-F6z0A921MXbdqyLFsyN5Y"",""2025-26!AM3"")"),41.0)</f>
        <v>41</v>
      </c>
      <c r="CH14" s="55">
        <f>IFERROR(__xludf.DUMMYFUNCTION("IMPORTRANGE(""132I0fvbfTDk_3h-QeYGrQ-F6z0A921MXbdqyLFsyN5Y"",""2025-26!AN4"")"),1200000.0)</f>
        <v>1200000</v>
      </c>
      <c r="CI14" s="55">
        <f>IFERROR(__xludf.DUMMYFUNCTION("IMPORTRANGE(""132I0fvbfTDk_3h-QeYGrQ-F6z0A921MXbdqyLFsyN5Y"",""2025-26!AN3"")"),35.0)</f>
        <v>35</v>
      </c>
      <c r="CJ14" s="55">
        <f>IFERROR(__xludf.DUMMYFUNCTION("IMPORTRANGE(""132I0fvbfTDk_3h-QeYGrQ-F6z0A921MXbdqyLFsyN5Y"",""2025-26!AO4"")"),984451.1600000003)</f>
        <v>984451.16</v>
      </c>
      <c r="CK14" s="55">
        <f>IFERROR(__xludf.DUMMYFUNCTION("IMPORTRANGE(""132I0fvbfTDk_3h-QeYGrQ-F6z0A921MXbdqyLFsyN5Y"",""2025-26!AO3"")"),41.0)</f>
        <v>41</v>
      </c>
      <c r="CL14" s="59">
        <f t="shared" si="28"/>
        <v>0.8280408333</v>
      </c>
      <c r="CM14" s="55">
        <f>IFERROR(__xludf.DUMMYFUNCTION("IMPORTRANGE(""132I0fvbfTDk_3h-QeYGrQ-F6z0A921MXbdqyLFsyN5Y"",""2025-26!AP4"")"),993649.0)</f>
        <v>993649</v>
      </c>
      <c r="CN14" s="55">
        <f>IFERROR(__xludf.DUMMYFUNCTION("IMPORTRANGE(""132I0fvbfTDk_3h-QeYGrQ-F6z0A921MXbdqyLFsyN5Y"",""2025-26!AP3"")"),42.0)</f>
        <v>42</v>
      </c>
      <c r="CO14" s="55">
        <f>IFERROR(__xludf.DUMMYFUNCTION("IMPORTRANGE(""132I0fvbfTDk_3h-QeYGrQ-F6z0A921MXbdqyLFsyN5Y"",""2025-26!AQ4"")"),1200000.0)</f>
        <v>1200000</v>
      </c>
      <c r="CP14" s="55">
        <f>IFERROR(__xludf.DUMMYFUNCTION("IMPORTRANGE(""132I0fvbfTDk_3h-QeYGrQ-F6z0A921MXbdqyLFsyN5Y"",""2025-26!AQ3"")"),53.0)</f>
        <v>53</v>
      </c>
      <c r="CQ14" s="55">
        <f>IFERROR(__xludf.DUMMYFUNCTION("IMPORTRANGE(""132I0fvbfTDk_3h-QeYGrQ-F6z0A921MXbdqyLFsyN5Y"",""2025-26!AR4"")"),903939.6999999998)</f>
        <v>903939.7</v>
      </c>
      <c r="CR14" s="55">
        <f>IFERROR(__xludf.DUMMYFUNCTION("IMPORTRANGE(""132I0fvbfTDk_3h-QeYGrQ-F6z0A921MXbdqyLFsyN5Y"",""2025-26!AR3"")"),35.0)</f>
        <v>35</v>
      </c>
      <c r="CS14" s="59">
        <f t="shared" si="29"/>
        <v>0.8122316667</v>
      </c>
      <c r="CT14" s="55">
        <f>IFERROR(__xludf.DUMMYFUNCTION("IMPORTRANGE(""132I0fvbfTDk_3h-QeYGrQ-F6z0A921MXbdqyLFsyN5Y"",""2025-26!AS4"")"),974678.0)</f>
        <v>974678</v>
      </c>
      <c r="CU14" s="55">
        <f>IFERROR(__xludf.DUMMYFUNCTION("IMPORTRANGE(""132I0fvbfTDk_3h-QeYGrQ-F6z0A921MXbdqyLFsyN5Y"",""2025-26!AS3"")"),35.0)</f>
        <v>35</v>
      </c>
      <c r="CV14" s="60" t="s">
        <v>37</v>
      </c>
    </row>
    <row r="15">
      <c r="A15" s="63" t="s">
        <v>23</v>
      </c>
      <c r="B15" s="37"/>
      <c r="C15" s="61" t="s">
        <v>43</v>
      </c>
      <c r="D15" s="65" t="s">
        <v>44</v>
      </c>
      <c r="E15" s="68">
        <v>9.720224041E9</v>
      </c>
      <c r="F15" s="66">
        <v>46002.0</v>
      </c>
      <c r="G15" s="62"/>
      <c r="H15" s="62"/>
      <c r="I15" s="70">
        <v>30405.0</v>
      </c>
      <c r="J15" s="54">
        <v>1200000.0</v>
      </c>
      <c r="K15" s="55">
        <f>IFERROR(__xludf.DUMMYFUNCTION("IMPORTRANGE(""1rYn_Flgp7jo7mcfA8eUDen14LV_dF62DRjmNbnJEK7k"",""2025-26!A3"")"),72.0)</f>
        <v>72</v>
      </c>
      <c r="L15" s="55">
        <f>IFERROR(__xludf.DUMMYFUNCTION("IMPORTRANGE(""1rYn_Flgp7jo7mcfA8eUDen14LV_dF62DRjmNbnJEK7k"",""2025-26!G4"")"),3850000.0)</f>
        <v>3850000</v>
      </c>
      <c r="M15" s="55">
        <f t="shared" si="15"/>
        <v>2874423.26</v>
      </c>
      <c r="N15" s="56">
        <f t="shared" si="16"/>
        <v>0.7743272727</v>
      </c>
      <c r="O15" s="57">
        <f t="shared" si="17"/>
        <v>2981160</v>
      </c>
      <c r="P15" s="55">
        <f>IFERROR(__xludf.DUMMYFUNCTION("IMPORTRANGE(""1rYn_Flgp7jo7mcfA8eUDen14LV_dF62DRjmNbnJEK7k"",""2025-26!J4"")"),0.0)</f>
        <v>0</v>
      </c>
      <c r="Q15" s="55">
        <f>IFERROR(__xludf.DUMMYFUNCTION("IMPORTRANGE(""1rYn_Flgp7jo7mcfA8eUDen14LV_dF62DRjmNbnJEK7k"",""2025-26!J3"")"),0.0)</f>
        <v>0</v>
      </c>
      <c r="R15" s="55">
        <f>IFERROR(__xludf.DUMMYFUNCTION("IMPORTRANGE(""1rYn_Flgp7jo7mcfA8eUDen14LV_dF62DRjmNbnJEK7k"",""2025-26!K4"")"),0.0)</f>
        <v>0</v>
      </c>
      <c r="S15" s="55">
        <f>IFERROR(__xludf.DUMMYFUNCTION("IMPORTRANGE(""1rYn_Flgp7jo7mcfA8eUDen14LV_dF62DRjmNbnJEK7k"",""2025-26!K3"")"),0.0)</f>
        <v>0</v>
      </c>
      <c r="T15" s="58" t="str">
        <f t="shared" si="18"/>
        <v/>
      </c>
      <c r="U15" s="55">
        <f>IFERROR(__xludf.DUMMYFUNCTION("IMPORTRANGE(""1rYn_Flgp7jo7mcfA8eUDen14LV_dF62DRjmNbnJEK7k"",""2025-26!L4"")"),0.0)</f>
        <v>0</v>
      </c>
      <c r="V15" s="55">
        <f>IFERROR(__xludf.DUMMYFUNCTION("IMPORTRANGE(""1rYn_Flgp7jo7mcfA8eUDen14LV_dF62DRjmNbnJEK7k"",""2025-26!L3"")"),0.0)</f>
        <v>0</v>
      </c>
      <c r="W15" s="55">
        <f>IFERROR(__xludf.DUMMYFUNCTION("IMPORTRANGE(""1rYn_Flgp7jo7mcfA8eUDen14LV_dF62DRjmNbnJEK7k"",""2025-26!m4"")"),0.0)</f>
        <v>0</v>
      </c>
      <c r="X15" s="55">
        <f>IFERROR(__xludf.DUMMYFUNCTION("IMPORTRANGE(""1rYn_Flgp7jo7mcfA8eUDen14LV_dF62DRjmNbnJEK7k"",""2025-26!m3"")"),0.0)</f>
        <v>0</v>
      </c>
      <c r="Y15" s="55">
        <f>IFERROR(__xludf.DUMMYFUNCTION("IMPORTRANGE(""1rYn_Flgp7jo7mcfA8eUDen14LV_dF62DRjmNbnJEK7k"",""2025-26!N4"")"),0.0)</f>
        <v>0</v>
      </c>
      <c r="Z15" s="55">
        <f>IFERROR(__xludf.DUMMYFUNCTION("IMPORTRANGE(""1rYn_Flgp7jo7mcfA8eUDen14LV_dF62DRjmNbnJEK7k"",""2025-26!N3"")"),0.0)</f>
        <v>0</v>
      </c>
      <c r="AA15" s="58" t="str">
        <f t="shared" si="19"/>
        <v/>
      </c>
      <c r="AB15" s="55">
        <f>IFERROR(__xludf.DUMMYFUNCTION("IMPORTRANGE(""1rYn_Flgp7jo7mcfA8eUDen14LV_dF62DRjmNbnJEK7k"",""2025-26!O4"")"),0.0)</f>
        <v>0</v>
      </c>
      <c r="AC15" s="55">
        <f>IFERROR(__xludf.DUMMYFUNCTION("IMPORTRANGE(""1rYn_Flgp7jo7mcfA8eUDen14LV_dF62DRjmNbnJEK7k"",""2025-26!O3"")"),0.0)</f>
        <v>0</v>
      </c>
      <c r="AD15" s="55">
        <f>IFERROR(__xludf.DUMMYFUNCTION("IMPORTRANGE(""1rYn_Flgp7jo7mcfA8eUDen14LV_dF62DRjmNbnJEK7k"",""2025-26!P4"")"),0.0)</f>
        <v>0</v>
      </c>
      <c r="AE15" s="55">
        <f>IFERROR(__xludf.DUMMYFUNCTION("IMPORTRANGE(""1rYn_Flgp7jo7mcfA8eUDen14LV_dF62DRjmNbnJEK7k"",""2025-26!P3"")"),0.0)</f>
        <v>0</v>
      </c>
      <c r="AF15" s="55">
        <f>IFERROR(__xludf.DUMMYFUNCTION("IMPORTRANGE(""1rYn_Flgp7jo7mcfA8eUDen14LV_dF62DRjmNbnJEK7k"",""2025-26!Q4"")"),0.0)</f>
        <v>0</v>
      </c>
      <c r="AG15" s="55">
        <f>IFERROR(__xludf.DUMMYFUNCTION("IMPORTRANGE(""1rYn_Flgp7jo7mcfA8eUDen14LV_dF62DRjmNbnJEK7k"",""2025-26!Q3"")"),0.0)</f>
        <v>0</v>
      </c>
      <c r="AH15" s="58" t="str">
        <f t="shared" si="20"/>
        <v/>
      </c>
      <c r="AI15" s="55">
        <f>IFERROR(__xludf.DUMMYFUNCTION("IMPORTRANGE(""1rYn_Flgp7jo7mcfA8eUDen14LV_dF62DRjmNbnJEK7k"",""2025-26!R4"")"),0.0)</f>
        <v>0</v>
      </c>
      <c r="AJ15" s="55">
        <f>IFERROR(__xludf.DUMMYFUNCTION("IMPORTRANGE(""1rYn_Flgp7jo7mcfA8eUDen14LV_dF62DRjmNbnJEK7k"",""2025-26!R3"")"),0.0)</f>
        <v>0</v>
      </c>
      <c r="AK15" s="55">
        <f>IFERROR(__xludf.DUMMYFUNCTION("IMPORTRANGE(""1rYn_Flgp7jo7mcfA8eUDen14LV_dF62DRjmNbnJEK7k"",""2025-26!S4"")"),0.0)</f>
        <v>0</v>
      </c>
      <c r="AL15" s="55">
        <f>IFERROR(__xludf.DUMMYFUNCTION("IMPORTRANGE(""1rYn_Flgp7jo7mcfA8eUDen14LV_dF62DRjmNbnJEK7k"",""2025-26!S3"")"),0.0)</f>
        <v>0</v>
      </c>
      <c r="AM15" s="55">
        <f>IFERROR(__xludf.DUMMYFUNCTION("IMPORTRANGE(""1rYn_Flgp7jo7mcfA8eUDen14LV_dF62DRjmNbnJEK7k"",""2025-26!T4"")"),0.0)</f>
        <v>0</v>
      </c>
      <c r="AN15" s="55">
        <f>IFERROR(__xludf.DUMMYFUNCTION("IMPORTRANGE(""1rYn_Flgp7jo7mcfA8eUDen14LV_dF62DRjmNbnJEK7k"",""2025-26!T3"")"),0.0)</f>
        <v>0</v>
      </c>
      <c r="AO15" s="58" t="str">
        <f t="shared" si="21"/>
        <v/>
      </c>
      <c r="AP15" s="55">
        <f>IFERROR(__xludf.DUMMYFUNCTION("IMPORTRANGE(""1rYn_Flgp7jo7mcfA8eUDen14LV_dF62DRjmNbnJEK7k"",""2025-26!U4"")"),0.0)</f>
        <v>0</v>
      </c>
      <c r="AQ15" s="55">
        <f>IFERROR(__xludf.DUMMYFUNCTION("IMPORTRANGE(""1rYn_Flgp7jo7mcfA8eUDen14LV_dF62DRjmNbnJEK7k"",""2025-26!U3"")"),0.0)</f>
        <v>0</v>
      </c>
      <c r="AR15" s="55">
        <f>IFERROR(__xludf.DUMMYFUNCTION("IMPORTRANGE(""1rYn_Flgp7jo7mcfA8eUDen14LV_dF62DRjmNbnJEK7k"",""2025-26!V4"")"),0.0)</f>
        <v>0</v>
      </c>
      <c r="AS15" s="55">
        <f>IFERROR(__xludf.DUMMYFUNCTION("IMPORTRANGE(""1rYn_Flgp7jo7mcfA8eUDen14LV_dF62DRjmNbnJEK7k"",""2025-26!V3"")"),0.0)</f>
        <v>0</v>
      </c>
      <c r="AT15" s="55">
        <f>IFERROR(__xludf.DUMMYFUNCTION("IMPORTRANGE(""1rYn_Flgp7jo7mcfA8eUDen14LV_dF62DRjmNbnJEK7k"",""2025-26!W4"")"),0.0)</f>
        <v>0</v>
      </c>
      <c r="AU15" s="55">
        <f>IFERROR(__xludf.DUMMYFUNCTION("IMPORTRANGE(""1rYn_Flgp7jo7mcfA8eUDen14LV_dF62DRjmNbnJEK7k"",""2025-26!W3"")"),0.0)</f>
        <v>0</v>
      </c>
      <c r="AV15" s="58" t="str">
        <f t="shared" si="22"/>
        <v/>
      </c>
      <c r="AW15" s="55">
        <f>IFERROR(__xludf.DUMMYFUNCTION("IMPORTRANGE(""1rYn_Flgp7jo7mcfA8eUDen14LV_dF62DRjmNbnJEK7k"",""2025-26!X4"")"),0.0)</f>
        <v>0</v>
      </c>
      <c r="AX15" s="55">
        <f>IFERROR(__xludf.DUMMYFUNCTION("IMPORTRANGE(""1rYn_Flgp7jo7mcfA8eUDen14LV_dF62DRjmNbnJEK7k"",""2025-26!X3"")"),0.0)</f>
        <v>0</v>
      </c>
      <c r="AY15" s="55">
        <f>IFERROR(__xludf.DUMMYFUNCTION("IMPORTRANGE(""1rYn_Flgp7jo7mcfA8eUDen14LV_dF62DRjmNbnJEK7k"",""2025-26!Y4"")"),0.0)</f>
        <v>0</v>
      </c>
      <c r="AZ15" s="55">
        <f>IFERROR(__xludf.DUMMYFUNCTION("IMPORTRANGE(""1rYn_Flgp7jo7mcfA8eUDen14LV_dF62DRjmNbnJEK7k"",""2025-26!Y3"")"),0.0)</f>
        <v>0</v>
      </c>
      <c r="BA15" s="55">
        <f>IFERROR(__xludf.DUMMYFUNCTION("IMPORTRANGE(""1rYn_Flgp7jo7mcfA8eUDen14LV_dF62DRjmNbnJEK7k"",""2025-26!Z4"")"),0.0)</f>
        <v>0</v>
      </c>
      <c r="BB15" s="55">
        <f>IFERROR(__xludf.DUMMYFUNCTION("IMPORTRANGE(""1rYn_Flgp7jo7mcfA8eUDen14LV_dF62DRjmNbnJEK7k"",""2025-26!Z3"")"),0.0)</f>
        <v>0</v>
      </c>
      <c r="BC15" s="59" t="str">
        <f t="shared" si="23"/>
        <v/>
      </c>
      <c r="BD15" s="55">
        <f>IFERROR(__xludf.DUMMYFUNCTION("IMPORTRANGE(""1rYn_Flgp7jo7mcfA8eUDen14LV_dF62DRjmNbnJEK7k"",""2025-26!AA4"")"),0.0)</f>
        <v>0</v>
      </c>
      <c r="BE15" s="55">
        <f>IFERROR(__xludf.DUMMYFUNCTION("IMPORTRANGE(""1rYn_Flgp7jo7mcfA8eUDen14LV_dF62DRjmNbnJEK7k"",""2025-26!AA3"")"),0.0)</f>
        <v>0</v>
      </c>
      <c r="BF15" s="55">
        <f>IFERROR(__xludf.DUMMYFUNCTION("IMPORTRANGE(""1rYn_Flgp7jo7mcfA8eUDen14LV_dF62DRjmNbnJEK7k"",""2025-26!AB4"")"),0.0)</f>
        <v>0</v>
      </c>
      <c r="BG15" s="55">
        <f>IFERROR(__xludf.DUMMYFUNCTION("IMPORTRANGE(""1rYn_Flgp7jo7mcfA8eUDen14LV_dF62DRjmNbnJEK7k"",""2025-26!AB3"")"),0.0)</f>
        <v>0</v>
      </c>
      <c r="BH15" s="55">
        <f>IFERROR(__xludf.DUMMYFUNCTION("IMPORTRANGE(""1rYn_Flgp7jo7mcfA8eUDen14LV_dF62DRjmNbnJEK7k"",""2025-26!AC4"")"),0.0)</f>
        <v>0</v>
      </c>
      <c r="BI15" s="55">
        <f>IFERROR(__xludf.DUMMYFUNCTION("IMPORTRANGE(""1rYn_Flgp7jo7mcfA8eUDen14LV_dF62DRjmNbnJEK7k"",""2025-26!AC3"")"),0.0)</f>
        <v>0</v>
      </c>
      <c r="BJ15" s="59" t="str">
        <f t="shared" si="24"/>
        <v/>
      </c>
      <c r="BK15" s="55">
        <f>IFERROR(__xludf.DUMMYFUNCTION("IMPORTRANGE(""1rYn_Flgp7jo7mcfA8eUDen14LV_dF62DRjmNbnJEK7k"",""2025-26!AD4"")"),0.0)</f>
        <v>0</v>
      </c>
      <c r="BL15" s="55">
        <f>IFERROR(__xludf.DUMMYFUNCTION("IMPORTRANGE(""1rYn_Flgp7jo7mcfA8eUDen14LV_dF62DRjmNbnJEK7k"",""2025-26!AD3"")"),0.0)</f>
        <v>0</v>
      </c>
      <c r="BM15" s="55">
        <f>IFERROR(__xludf.DUMMYFUNCTION("IMPORTRANGE(""1rYn_Flgp7jo7mcfA8eUDen14LV_dF62DRjmNbnJEK7k"",""2025-26!AE4"")"),0.0)</f>
        <v>0</v>
      </c>
      <c r="BN15" s="55">
        <f>IFERROR(__xludf.DUMMYFUNCTION("IMPORTRANGE(""1rYn_Flgp7jo7mcfA8eUDen14LV_dF62DRjmNbnJEK7k"",""2025-26!AE3"")"),0.0)</f>
        <v>0</v>
      </c>
      <c r="BO15" s="55">
        <f>IFERROR(__xludf.DUMMYFUNCTION("IMPORTRANGE(""1rYn_Flgp7jo7mcfA8eUDen14LV_dF62DRjmNbnJEK7k"",""2025-26!AF4"")"),0.0)</f>
        <v>0</v>
      </c>
      <c r="BP15" s="55">
        <f>IFERROR(__xludf.DUMMYFUNCTION("IMPORTRANGE(""1rYn_Flgp7jo7mcfA8eUDen14LV_dF62DRjmNbnJEK7k"",""2025-26!AF3"")"),0.0)</f>
        <v>0</v>
      </c>
      <c r="BQ15" s="59" t="str">
        <f t="shared" si="25"/>
        <v/>
      </c>
      <c r="BR15" s="55">
        <f>IFERROR(__xludf.DUMMYFUNCTION("IMPORTRANGE(""1rYn_Flgp7jo7mcfA8eUDen14LV_dF62DRjmNbnJEK7k"",""2025-26!AG4"")"),0.0)</f>
        <v>0</v>
      </c>
      <c r="BS15" s="55">
        <f>IFERROR(__xludf.DUMMYFUNCTION("IMPORTRANGE(""1rYn_Flgp7jo7mcfA8eUDen14LV_dF62DRjmNbnJEK7k"",""2025-26!AG3"")"),0.0)</f>
        <v>0</v>
      </c>
      <c r="BT15" s="55">
        <f>IFERROR(__xludf.DUMMYFUNCTION("IMPORTRANGE(""1rYn_Flgp7jo7mcfA8eUDen14LV_dF62DRjmNbnJEK7k"",""2025-26!AH4"")"),0.0)</f>
        <v>0</v>
      </c>
      <c r="BU15" s="55">
        <f>IFERROR(__xludf.DUMMYFUNCTION("IMPORTRANGE(""1rYn_Flgp7jo7mcfA8eUDen14LV_dF62DRjmNbnJEK7k"",""2025-26!AH3"")"),0.0)</f>
        <v>0</v>
      </c>
      <c r="BV15" s="55">
        <f>IFERROR(__xludf.DUMMYFUNCTION("IMPORTRANGE(""1rYn_Flgp7jo7mcfA8eUDen14LV_dF62DRjmNbnJEK7k"",""2025-26!AI4"")"),458961.05000000005)</f>
        <v>458961.05</v>
      </c>
      <c r="BW15" s="55">
        <f>IFERROR(__xludf.DUMMYFUNCTION("IMPORTRANGE(""1rYn_Flgp7jo7mcfA8eUDen14LV_dF62DRjmNbnJEK7k"",""2025-26!AI3"")"),27.0)</f>
        <v>27</v>
      </c>
      <c r="BX15" s="59" t="str">
        <f t="shared" si="26"/>
        <v/>
      </c>
      <c r="BY15" s="55">
        <f>IFERROR(__xludf.DUMMYFUNCTION("IMPORTRANGE(""1rYn_Flgp7jo7mcfA8eUDen14LV_dF62DRjmNbnJEK7k"",""2025-26!AJ4"")"),0.0)</f>
        <v>0</v>
      </c>
      <c r="BZ15" s="55">
        <f>IFERROR(__xludf.DUMMYFUNCTION("IMPORTRANGE(""1rYn_Flgp7jo7mcfA8eUDen14LV_dF62DRjmNbnJEK7k"",""2025-26!AJ3"")"),0.0)</f>
        <v>0</v>
      </c>
      <c r="CA15" s="55">
        <f>IFERROR(__xludf.DUMMYFUNCTION("IMPORTRANGE(""1rYn_Flgp7jo7mcfA8eUDen14LV_dF62DRjmNbnJEK7k"",""2025-26!AK4"")"),0.0)</f>
        <v>0</v>
      </c>
      <c r="CB15" s="55">
        <f>IFERROR(__xludf.DUMMYFUNCTION("IMPORTRANGE(""1rYn_Flgp7jo7mcfA8eUDen14LV_dF62DRjmNbnJEK7k"",""2025-26!AK3"")"),0.0)</f>
        <v>0</v>
      </c>
      <c r="CC15" s="55">
        <f>IFERROR(__xludf.DUMMYFUNCTION("IMPORTRANGE(""1rYn_Flgp7jo7mcfA8eUDen14LV_dF62DRjmNbnJEK7k"",""2025-26!AL4"")"),969316.7000000002)</f>
        <v>969316.7</v>
      </c>
      <c r="CD15" s="55">
        <f>IFERROR(__xludf.DUMMYFUNCTION("IMPORTRANGE(""1rYn_Flgp7jo7mcfA8eUDen14LV_dF62DRjmNbnJEK7k"",""2025-26!AL3"")"),24.0)</f>
        <v>24</v>
      </c>
      <c r="CE15" s="59" t="str">
        <f t="shared" si="27"/>
        <v/>
      </c>
      <c r="CF15" s="55">
        <f>IFERROR(__xludf.DUMMYFUNCTION("IMPORTRANGE(""1rYn_Flgp7jo7mcfA8eUDen14LV_dF62DRjmNbnJEK7k"",""2025-26!AM4"")"),1544500.0)</f>
        <v>1544500</v>
      </c>
      <c r="CG15" s="55">
        <f>IFERROR(__xludf.DUMMYFUNCTION("IMPORTRANGE(""1rYn_Flgp7jo7mcfA8eUDen14LV_dF62DRjmNbnJEK7k"",""2025-26!AM3"")"),43.0)</f>
        <v>43</v>
      </c>
      <c r="CH15" s="55">
        <f>IFERROR(__xludf.DUMMYFUNCTION("IMPORTRANGE(""1rYn_Flgp7jo7mcfA8eUDen14LV_dF62DRjmNbnJEK7k"",""2025-26!AN4"")"),1770000.0)</f>
        <v>1770000</v>
      </c>
      <c r="CI15" s="55">
        <f>IFERROR(__xludf.DUMMYFUNCTION("IMPORTRANGE(""1rYn_Flgp7jo7mcfA8eUDen14LV_dF62DRjmNbnJEK7k"",""2025-26!AN3"")"),54.0)</f>
        <v>54</v>
      </c>
      <c r="CJ15" s="55">
        <f>IFERROR(__xludf.DUMMYFUNCTION("IMPORTRANGE(""1rYn_Flgp7jo7mcfA8eUDen14LV_dF62DRjmNbnJEK7k"",""2025-26!AO4"")"),697269.6499999999)</f>
        <v>697269.65</v>
      </c>
      <c r="CK15" s="55">
        <f>IFERROR(__xludf.DUMMYFUNCTION("IMPORTRANGE(""1rYn_Flgp7jo7mcfA8eUDen14LV_dF62DRjmNbnJEK7k"",""2025-26!AO3"")"),21.0)</f>
        <v>21</v>
      </c>
      <c r="CL15" s="59">
        <f t="shared" si="28"/>
        <v>0.4205367232</v>
      </c>
      <c r="CM15" s="55">
        <f>IFERROR(__xludf.DUMMYFUNCTION("IMPORTRANGE(""1rYn_Flgp7jo7mcfA8eUDen14LV_dF62DRjmNbnJEK7k"",""2025-26!AP4"")"),744350.0)</f>
        <v>744350</v>
      </c>
      <c r="CN15" s="55">
        <f>IFERROR(__xludf.DUMMYFUNCTION("IMPORTRANGE(""1rYn_Flgp7jo7mcfA8eUDen14LV_dF62DRjmNbnJEK7k"",""2025-26!AP3"")"),24.0)</f>
        <v>24</v>
      </c>
      <c r="CO15" s="55">
        <f>IFERROR(__xludf.DUMMYFUNCTION("IMPORTRANGE(""1rYn_Flgp7jo7mcfA8eUDen14LV_dF62DRjmNbnJEK7k"",""2025-26!AQ4"")"),1802000.0)</f>
        <v>1802000</v>
      </c>
      <c r="CP15" s="55">
        <f>IFERROR(__xludf.DUMMYFUNCTION("IMPORTRANGE(""1rYn_Flgp7jo7mcfA8eUDen14LV_dF62DRjmNbnJEK7k"",""2025-26!AQ3"")"),55.0)</f>
        <v>55</v>
      </c>
      <c r="CQ15" s="55">
        <f>IFERROR(__xludf.DUMMYFUNCTION("IMPORTRANGE(""1rYn_Flgp7jo7mcfA8eUDen14LV_dF62DRjmNbnJEK7k"",""2025-26!AR4"")"),748875.86)</f>
        <v>748875.86</v>
      </c>
      <c r="CR15" s="55">
        <f>IFERROR(__xludf.DUMMYFUNCTION("IMPORTRANGE(""1rYn_Flgp7jo7mcfA8eUDen14LV_dF62DRjmNbnJEK7k"",""2025-26!AR3"")"),20.0)</f>
        <v>20</v>
      </c>
      <c r="CS15" s="59">
        <f t="shared" si="29"/>
        <v>0.3841897891</v>
      </c>
      <c r="CT15" s="55">
        <f>IFERROR(__xludf.DUMMYFUNCTION("IMPORTRANGE(""1rYn_Flgp7jo7mcfA8eUDen14LV_dF62DRjmNbnJEK7k"",""2025-26!AS4"")"),692310.0)</f>
        <v>692310</v>
      </c>
      <c r="CU15" s="55">
        <f>IFERROR(__xludf.DUMMYFUNCTION("IMPORTRANGE(""1rYn_Flgp7jo7mcfA8eUDen14LV_dF62DRjmNbnJEK7k"",""2025-26!AS3"")"),19.0)</f>
        <v>19</v>
      </c>
      <c r="CV15" s="60" t="s">
        <v>30</v>
      </c>
    </row>
    <row r="16">
      <c r="A16" s="63" t="s">
        <v>23</v>
      </c>
      <c r="B16" s="43"/>
      <c r="C16" s="71" t="s">
        <v>45</v>
      </c>
      <c r="D16" s="65" t="s">
        <v>46</v>
      </c>
      <c r="E16" s="68">
        <v>7.536014712E9</v>
      </c>
      <c r="F16" s="66">
        <v>46069.0</v>
      </c>
      <c r="G16" s="62"/>
      <c r="H16" s="62"/>
      <c r="I16" s="70">
        <v>31455.0</v>
      </c>
      <c r="J16" s="54">
        <v>1200000.0</v>
      </c>
      <c r="K16" s="55">
        <f>IFERROR(__xludf.DUMMYFUNCTION("IMPORTRANGE(""1K_te1jkI-iFfbgNObYuqxjJkg-GYMv3I58ZA0lOYHRg"",""2025-26!A3"")"),27.0)</f>
        <v>27</v>
      </c>
      <c r="L16" s="55">
        <f>IFERROR(__xludf.DUMMYFUNCTION("IMPORTRANGE(""1K_te1jkI-iFfbgNObYuqxjJkg-GYMv3I58ZA0lOYHRg"",""2025-26!G4"")"),0.0)</f>
        <v>0</v>
      </c>
      <c r="M16" s="55">
        <f t="shared" si="15"/>
        <v>835665.65</v>
      </c>
      <c r="N16" s="56" t="str">
        <f t="shared" si="16"/>
        <v>#DIV/0!</v>
      </c>
      <c r="O16" s="57">
        <f t="shared" si="17"/>
        <v>716782</v>
      </c>
      <c r="P16" s="55">
        <f>IFERROR(__xludf.DUMMYFUNCTION("IMPORTRANGE(""1K_te1jkI-iFfbgNObYuqxjJkg-GYMv3I58ZA0lOYHRg"",""2025-26!J4"")"),0.0)</f>
        <v>0</v>
      </c>
      <c r="Q16" s="55">
        <f>IFERROR(__xludf.DUMMYFUNCTION("IMPORTRANGE(""1K_te1jkI-iFfbgNObYuqxjJkg-GYMv3I58ZA0lOYHRg"",""2025-26!J3"")"),0.0)</f>
        <v>0</v>
      </c>
      <c r="R16" s="55">
        <f>IFERROR(__xludf.DUMMYFUNCTION("IMPORTRANGE(""1K_te1jkI-iFfbgNObYuqxjJkg-GYMv3I58ZA0lOYHRg"",""2025-26!K4"")"),0.0)</f>
        <v>0</v>
      </c>
      <c r="S16" s="55">
        <f>IFERROR(__xludf.DUMMYFUNCTION("IMPORTRANGE(""1K_te1jkI-iFfbgNObYuqxjJkg-GYMv3I58ZA0lOYHRg"",""2025-26!K3"")"),0.0)</f>
        <v>0</v>
      </c>
      <c r="T16" s="58" t="str">
        <f t="shared" si="18"/>
        <v/>
      </c>
      <c r="U16" s="55">
        <f>IFERROR(__xludf.DUMMYFUNCTION("IMPORTRANGE(""1K_te1jkI-iFfbgNObYuqxjJkg-GYMv3I58ZA0lOYHRg"",""2025-26!L4"")"),256170.0)</f>
        <v>256170</v>
      </c>
      <c r="V16" s="55">
        <f>IFERROR(__xludf.DUMMYFUNCTION("IMPORTRANGE(""1K_te1jkI-iFfbgNObYuqxjJkg-GYMv3I58ZA0lOYHRg"",""2025-26!L3"")"),7.0)</f>
        <v>7</v>
      </c>
      <c r="W16" s="55">
        <f>IFERROR(__xludf.DUMMYFUNCTION("IMPORTRANGE(""1K_te1jkI-iFfbgNObYuqxjJkg-GYMv3I58ZA0lOYHRg"",""2025-26!m4"")"),0.0)</f>
        <v>0</v>
      </c>
      <c r="X16" s="55">
        <f>IFERROR(__xludf.DUMMYFUNCTION("IMPORTRANGE(""1K_te1jkI-iFfbgNObYuqxjJkg-GYMv3I58ZA0lOYHRg"",""2025-26!m3"")"),0.0)</f>
        <v>0</v>
      </c>
      <c r="Y16" s="55">
        <f>IFERROR(__xludf.DUMMYFUNCTION("IMPORTRANGE(""1K_te1jkI-iFfbgNObYuqxjJkg-GYMv3I58ZA0lOYHRg"",""2025-26!N4"")"),0.0)</f>
        <v>0</v>
      </c>
      <c r="Z16" s="55">
        <f>IFERROR(__xludf.DUMMYFUNCTION("IMPORTRANGE(""1K_te1jkI-iFfbgNObYuqxjJkg-GYMv3I58ZA0lOYHRg"",""2025-26!N3"")"),0.0)</f>
        <v>0</v>
      </c>
      <c r="AA16" s="58" t="str">
        <f t="shared" si="19"/>
        <v/>
      </c>
      <c r="AB16" s="55">
        <f>IFERROR(__xludf.DUMMYFUNCTION("IMPORTRANGE(""1K_te1jkI-iFfbgNObYuqxjJkg-GYMv3I58ZA0lOYHRg"",""2025-26!O4"")"),126829.0)</f>
        <v>126829</v>
      </c>
      <c r="AC16" s="55">
        <f>IFERROR(__xludf.DUMMYFUNCTION("IMPORTRANGE(""1K_te1jkI-iFfbgNObYuqxjJkg-GYMv3I58ZA0lOYHRg"",""2025-26!O3"")"),2.0)</f>
        <v>2</v>
      </c>
      <c r="AD16" s="55">
        <f>IFERROR(__xludf.DUMMYFUNCTION("IMPORTRANGE(""1K_te1jkI-iFfbgNObYuqxjJkg-GYMv3I58ZA0lOYHRg"",""2025-26!P4"")"),0.0)</f>
        <v>0</v>
      </c>
      <c r="AE16" s="55">
        <f>IFERROR(__xludf.DUMMYFUNCTION("IMPORTRANGE(""1K_te1jkI-iFfbgNObYuqxjJkg-GYMv3I58ZA0lOYHRg"",""2025-26!P3"")"),0.0)</f>
        <v>0</v>
      </c>
      <c r="AF16" s="55">
        <f>IFERROR(__xludf.DUMMYFUNCTION("IMPORTRANGE(""1K_te1jkI-iFfbgNObYuqxjJkg-GYMv3I58ZA0lOYHRg"",""2025-26!Q4"")"),0.0)</f>
        <v>0</v>
      </c>
      <c r="AG16" s="55">
        <f>IFERROR(__xludf.DUMMYFUNCTION("IMPORTRANGE(""1K_te1jkI-iFfbgNObYuqxjJkg-GYMv3I58ZA0lOYHRg"",""2025-26!Q3"")"),0.0)</f>
        <v>0</v>
      </c>
      <c r="AH16" s="58" t="str">
        <f t="shared" si="20"/>
        <v/>
      </c>
      <c r="AI16" s="55">
        <f>IFERROR(__xludf.DUMMYFUNCTION("IMPORTRANGE(""1K_te1jkI-iFfbgNObYuqxjJkg-GYMv3I58ZA0lOYHRg"",""2025-26!R4"")"),9668.0)</f>
        <v>9668</v>
      </c>
      <c r="AJ16" s="55">
        <f>IFERROR(__xludf.DUMMYFUNCTION("IMPORTRANGE(""1K_te1jkI-iFfbgNObYuqxjJkg-GYMv3I58ZA0lOYHRg"",""2025-26!R3"")"),1.0)</f>
        <v>1</v>
      </c>
      <c r="AK16" s="55">
        <f>IFERROR(__xludf.DUMMYFUNCTION("IMPORTRANGE(""1K_te1jkI-iFfbgNObYuqxjJkg-GYMv3I58ZA0lOYHRg"",""2025-26!S4"")"),0.0)</f>
        <v>0</v>
      </c>
      <c r="AL16" s="55">
        <f>IFERROR(__xludf.DUMMYFUNCTION("IMPORTRANGE(""1K_te1jkI-iFfbgNObYuqxjJkg-GYMv3I58ZA0lOYHRg"",""2025-26!S3"")"),0.0)</f>
        <v>0</v>
      </c>
      <c r="AM16" s="55">
        <f>IFERROR(__xludf.DUMMYFUNCTION("IMPORTRANGE(""1K_te1jkI-iFfbgNObYuqxjJkg-GYMv3I58ZA0lOYHRg"",""2025-26!T4"")"),0.0)</f>
        <v>0</v>
      </c>
      <c r="AN16" s="55">
        <f>IFERROR(__xludf.DUMMYFUNCTION("IMPORTRANGE(""1K_te1jkI-iFfbgNObYuqxjJkg-GYMv3I58ZA0lOYHRg"",""2025-26!T3"")"),0.0)</f>
        <v>0</v>
      </c>
      <c r="AO16" s="58" t="str">
        <f t="shared" si="21"/>
        <v/>
      </c>
      <c r="AP16" s="55">
        <f>IFERROR(__xludf.DUMMYFUNCTION("IMPORTRANGE(""1K_te1jkI-iFfbgNObYuqxjJkg-GYMv3I58ZA0lOYHRg"",""2025-26!U4"")"),324115.0)</f>
        <v>324115</v>
      </c>
      <c r="AQ16" s="55">
        <f>IFERROR(__xludf.DUMMYFUNCTION("IMPORTRANGE(""1K_te1jkI-iFfbgNObYuqxjJkg-GYMv3I58ZA0lOYHRg"",""2025-26!U3"")"),5.0)</f>
        <v>5</v>
      </c>
      <c r="AR16" s="55">
        <f>IFERROR(__xludf.DUMMYFUNCTION("IMPORTRANGE(""1K_te1jkI-iFfbgNObYuqxjJkg-GYMv3I58ZA0lOYHRg"",""2025-26!V4"")"),0.0)</f>
        <v>0</v>
      </c>
      <c r="AS16" s="55">
        <f>IFERROR(__xludf.DUMMYFUNCTION("IMPORTRANGE(""1K_te1jkI-iFfbgNObYuqxjJkg-GYMv3I58ZA0lOYHRg"",""2025-26!V3"")"),0.0)</f>
        <v>0</v>
      </c>
      <c r="AT16" s="55">
        <f>IFERROR(__xludf.DUMMYFUNCTION("IMPORTRANGE(""1K_te1jkI-iFfbgNObYuqxjJkg-GYMv3I58ZA0lOYHRg"",""2025-26!W4"")"),0.0)</f>
        <v>0</v>
      </c>
      <c r="AU16" s="55">
        <f>IFERROR(__xludf.DUMMYFUNCTION("IMPORTRANGE(""1K_te1jkI-iFfbgNObYuqxjJkg-GYMv3I58ZA0lOYHRg"",""2025-26!W3"")"),0.0)</f>
        <v>0</v>
      </c>
      <c r="AV16" s="58" t="str">
        <f t="shared" si="22"/>
        <v/>
      </c>
      <c r="AW16" s="55">
        <f>IFERROR(__xludf.DUMMYFUNCTION("IMPORTRANGE(""1K_te1jkI-iFfbgNObYuqxjJkg-GYMv3I58ZA0lOYHRg"",""2025-26!X4"")"),0.0)</f>
        <v>0</v>
      </c>
      <c r="AX16" s="55">
        <f>IFERROR(__xludf.DUMMYFUNCTION("IMPORTRANGE(""1K_te1jkI-iFfbgNObYuqxjJkg-GYMv3I58ZA0lOYHRg"",""2025-26!X3"")"),0.0)</f>
        <v>0</v>
      </c>
      <c r="AY16" s="55">
        <f>IFERROR(__xludf.DUMMYFUNCTION("IMPORTRANGE(""1K_te1jkI-iFfbgNObYuqxjJkg-GYMv3I58ZA0lOYHRg"",""2025-26!Y4"")"),0.0)</f>
        <v>0</v>
      </c>
      <c r="AZ16" s="55">
        <f>IFERROR(__xludf.DUMMYFUNCTION("IMPORTRANGE(""1K_te1jkI-iFfbgNObYuqxjJkg-GYMv3I58ZA0lOYHRg"",""2025-26!Y3"")"),0.0)</f>
        <v>0</v>
      </c>
      <c r="BA16" s="55">
        <f>IFERROR(__xludf.DUMMYFUNCTION("IMPORTRANGE(""1K_te1jkI-iFfbgNObYuqxjJkg-GYMv3I58ZA0lOYHRg"",""2025-26!Z4"")"),0.0)</f>
        <v>0</v>
      </c>
      <c r="BB16" s="55">
        <f>IFERROR(__xludf.DUMMYFUNCTION("IMPORTRANGE(""1K_te1jkI-iFfbgNObYuqxjJkg-GYMv3I58ZA0lOYHRg"",""2025-26!Z3"")"),0.0)</f>
        <v>0</v>
      </c>
      <c r="BC16" s="59" t="str">
        <f t="shared" si="23"/>
        <v/>
      </c>
      <c r="BD16" s="55">
        <f>IFERROR(__xludf.DUMMYFUNCTION("IMPORTRANGE(""1K_te1jkI-iFfbgNObYuqxjJkg-GYMv3I58ZA0lOYHRg"",""2025-26!AA4"")"),0.0)</f>
        <v>0</v>
      </c>
      <c r="BE16" s="55">
        <f>IFERROR(__xludf.DUMMYFUNCTION("IMPORTRANGE(""1K_te1jkI-iFfbgNObYuqxjJkg-GYMv3I58ZA0lOYHRg"",""2025-26!AA3"")"),0.0)</f>
        <v>0</v>
      </c>
      <c r="BF16" s="55">
        <f>IFERROR(__xludf.DUMMYFUNCTION("IMPORTRANGE(""1K_te1jkI-iFfbgNObYuqxjJkg-GYMv3I58ZA0lOYHRg"",""2025-26!AB4"")"),0.0)</f>
        <v>0</v>
      </c>
      <c r="BG16" s="55">
        <f>IFERROR(__xludf.DUMMYFUNCTION("IMPORTRANGE(""1K_te1jkI-iFfbgNObYuqxjJkg-GYMv3I58ZA0lOYHRg"",""2025-26!AB3"")"),0.0)</f>
        <v>0</v>
      </c>
      <c r="BH16" s="55">
        <f>IFERROR(__xludf.DUMMYFUNCTION("IMPORTRANGE(""1K_te1jkI-iFfbgNObYuqxjJkg-GYMv3I58ZA0lOYHRg"",""2025-26!AC4"")"),0.0)</f>
        <v>0</v>
      </c>
      <c r="BI16" s="55">
        <f>IFERROR(__xludf.DUMMYFUNCTION("IMPORTRANGE(""1K_te1jkI-iFfbgNObYuqxjJkg-GYMv3I58ZA0lOYHRg"",""2025-26!AC3"")"),0.0)</f>
        <v>0</v>
      </c>
      <c r="BJ16" s="59" t="str">
        <f t="shared" si="24"/>
        <v/>
      </c>
      <c r="BK16" s="55">
        <f>IFERROR(__xludf.DUMMYFUNCTION("IMPORTRANGE(""1K_te1jkI-iFfbgNObYuqxjJkg-GYMv3I58ZA0lOYHRg"",""2025-26!AD4"")"),0.0)</f>
        <v>0</v>
      </c>
      <c r="BL16" s="55">
        <f>IFERROR(__xludf.DUMMYFUNCTION("IMPORTRANGE(""1K_te1jkI-iFfbgNObYuqxjJkg-GYMv3I58ZA0lOYHRg"",""2025-26!AD3"")"),0.0)</f>
        <v>0</v>
      </c>
      <c r="BM16" s="55">
        <f>IFERROR(__xludf.DUMMYFUNCTION("IMPORTRANGE(""1K_te1jkI-iFfbgNObYuqxjJkg-GYMv3I58ZA0lOYHRg"",""2025-26!AE4"")"),0.0)</f>
        <v>0</v>
      </c>
      <c r="BN16" s="55">
        <f>IFERROR(__xludf.DUMMYFUNCTION("IMPORTRANGE(""1K_te1jkI-iFfbgNObYuqxjJkg-GYMv3I58ZA0lOYHRg"",""2025-26!AE3"")"),0.0)</f>
        <v>0</v>
      </c>
      <c r="BO16" s="55">
        <f>IFERROR(__xludf.DUMMYFUNCTION("IMPORTRANGE(""1K_te1jkI-iFfbgNObYuqxjJkg-GYMv3I58ZA0lOYHRg"",""2025-26!AF4"")"),0.0)</f>
        <v>0</v>
      </c>
      <c r="BP16" s="55">
        <f>IFERROR(__xludf.DUMMYFUNCTION("IMPORTRANGE(""1K_te1jkI-iFfbgNObYuqxjJkg-GYMv3I58ZA0lOYHRg"",""2025-26!AF3"")"),0.0)</f>
        <v>0</v>
      </c>
      <c r="BQ16" s="59" t="str">
        <f t="shared" si="25"/>
        <v/>
      </c>
      <c r="BR16" s="55">
        <f>IFERROR(__xludf.DUMMYFUNCTION("IMPORTRANGE(""1K_te1jkI-iFfbgNObYuqxjJkg-GYMv3I58ZA0lOYHRg"",""2025-26!AG4"")"),0.0)</f>
        <v>0</v>
      </c>
      <c r="BS16" s="55">
        <f>IFERROR(__xludf.DUMMYFUNCTION("IMPORTRANGE(""1K_te1jkI-iFfbgNObYuqxjJkg-GYMv3I58ZA0lOYHRg"",""2025-26!AG3"")"),0.0)</f>
        <v>0</v>
      </c>
      <c r="BT16" s="55">
        <f>IFERROR(__xludf.DUMMYFUNCTION("IMPORTRANGE(""1K_te1jkI-iFfbgNObYuqxjJkg-GYMv3I58ZA0lOYHRg"",""2025-26!AH4"")"),0.0)</f>
        <v>0</v>
      </c>
      <c r="BU16" s="55">
        <f>IFERROR(__xludf.DUMMYFUNCTION("IMPORTRANGE(""1K_te1jkI-iFfbgNObYuqxjJkg-GYMv3I58ZA0lOYHRg"",""2025-26!AH3"")"),0.0)</f>
        <v>0</v>
      </c>
      <c r="BV16" s="55">
        <f>IFERROR(__xludf.DUMMYFUNCTION("IMPORTRANGE(""1K_te1jkI-iFfbgNObYuqxjJkg-GYMv3I58ZA0lOYHRg"",""2025-26!AI4"")"),0.0)</f>
        <v>0</v>
      </c>
      <c r="BW16" s="55">
        <f>IFERROR(__xludf.DUMMYFUNCTION("IMPORTRANGE(""1K_te1jkI-iFfbgNObYuqxjJkg-GYMv3I58ZA0lOYHRg"",""2025-26!AI3"")"),0.0)</f>
        <v>0</v>
      </c>
      <c r="BX16" s="59" t="str">
        <f t="shared" si="26"/>
        <v/>
      </c>
      <c r="BY16" s="55">
        <f>IFERROR(__xludf.DUMMYFUNCTION("IMPORTRANGE(""1K_te1jkI-iFfbgNObYuqxjJkg-GYMv3I58ZA0lOYHRg"",""2025-26!AJ4"")"),0.0)</f>
        <v>0</v>
      </c>
      <c r="BZ16" s="55">
        <f>IFERROR(__xludf.DUMMYFUNCTION("IMPORTRANGE(""1K_te1jkI-iFfbgNObYuqxjJkg-GYMv3I58ZA0lOYHRg"",""2025-26!AJ3"")"),0.0)</f>
        <v>0</v>
      </c>
      <c r="CA16" s="55">
        <f>IFERROR(__xludf.DUMMYFUNCTION("IMPORTRANGE(""1K_te1jkI-iFfbgNObYuqxjJkg-GYMv3I58ZA0lOYHRg"",""2025-26!AK4"")"),0.0)</f>
        <v>0</v>
      </c>
      <c r="CB16" s="55">
        <f>IFERROR(__xludf.DUMMYFUNCTION("IMPORTRANGE(""1K_te1jkI-iFfbgNObYuqxjJkg-GYMv3I58ZA0lOYHRg"",""2025-26!AK3"")"),0.0)</f>
        <v>0</v>
      </c>
      <c r="CC16" s="55">
        <f>IFERROR(__xludf.DUMMYFUNCTION("IMPORTRANGE(""1K_te1jkI-iFfbgNObYuqxjJkg-GYMv3I58ZA0lOYHRg"",""2025-26!AL4"")"),0.0)</f>
        <v>0</v>
      </c>
      <c r="CD16" s="55">
        <f>IFERROR(__xludf.DUMMYFUNCTION("IMPORTRANGE(""1K_te1jkI-iFfbgNObYuqxjJkg-GYMv3I58ZA0lOYHRg"",""2025-26!AL3"")"),0.0)</f>
        <v>0</v>
      </c>
      <c r="CE16" s="59" t="str">
        <f t="shared" si="27"/>
        <v/>
      </c>
      <c r="CF16" s="55">
        <f>IFERROR(__xludf.DUMMYFUNCTION("IMPORTRANGE(""1K_te1jkI-iFfbgNObYuqxjJkg-GYMv3I58ZA0lOYHRg"",""2025-26!AM4"")"),0.0)</f>
        <v>0</v>
      </c>
      <c r="CG16" s="55">
        <f>IFERROR(__xludf.DUMMYFUNCTION("IMPORTRANGE(""1K_te1jkI-iFfbgNObYuqxjJkg-GYMv3I58ZA0lOYHRg"",""2025-26!AM3"")"),0.0)</f>
        <v>0</v>
      </c>
      <c r="CH16" s="55">
        <f>IFERROR(__xludf.DUMMYFUNCTION("IMPORTRANGE(""1K_te1jkI-iFfbgNObYuqxjJkg-GYMv3I58ZA0lOYHRg"",""2025-26!AN4"")"),0.0)</f>
        <v>0</v>
      </c>
      <c r="CI16" s="55">
        <f>IFERROR(__xludf.DUMMYFUNCTION("IMPORTRANGE(""1K_te1jkI-iFfbgNObYuqxjJkg-GYMv3I58ZA0lOYHRg"",""2025-26!AN3"")"),0.0)</f>
        <v>0</v>
      </c>
      <c r="CJ16" s="55">
        <f>IFERROR(__xludf.DUMMYFUNCTION("IMPORTRANGE(""1K_te1jkI-iFfbgNObYuqxjJkg-GYMv3I58ZA0lOYHRg"",""2025-26!AO4"")"),118904.09999999999)</f>
        <v>118904.1</v>
      </c>
      <c r="CK16" s="55">
        <f>IFERROR(__xludf.DUMMYFUNCTION("IMPORTRANGE(""1K_te1jkI-iFfbgNObYuqxjJkg-GYMv3I58ZA0lOYHRg"",""2025-26!AO3"")"),5.0)</f>
        <v>5</v>
      </c>
      <c r="CL16" s="59" t="str">
        <f t="shared" si="28"/>
        <v/>
      </c>
      <c r="CM16" s="55">
        <f>IFERROR(__xludf.DUMMYFUNCTION("IMPORTRANGE(""1K_te1jkI-iFfbgNObYuqxjJkg-GYMv3I58ZA0lOYHRg"",""2025-26!AP4"")"),0.0)</f>
        <v>0</v>
      </c>
      <c r="CN16" s="55">
        <f>IFERROR(__xludf.DUMMYFUNCTION("IMPORTRANGE(""1K_te1jkI-iFfbgNObYuqxjJkg-GYMv3I58ZA0lOYHRg"",""2025-26!AP3"")"),0.0)</f>
        <v>0</v>
      </c>
      <c r="CO16" s="55">
        <f>IFERROR(__xludf.DUMMYFUNCTION("IMPORTRANGE(""1K_te1jkI-iFfbgNObYuqxjJkg-GYMv3I58ZA0lOYHRg"",""2025-26!AQ4"")"),0.0)</f>
        <v>0</v>
      </c>
      <c r="CP16" s="55">
        <f>IFERROR(__xludf.DUMMYFUNCTION("IMPORTRANGE(""1K_te1jkI-iFfbgNObYuqxjJkg-GYMv3I58ZA0lOYHRg"",""2025-26!AQ3"")"),0.0)</f>
        <v>0</v>
      </c>
      <c r="CQ16" s="55">
        <f>IFERROR(__xludf.DUMMYFUNCTION("IMPORTRANGE(""1K_te1jkI-iFfbgNObYuqxjJkg-GYMv3I58ZA0lOYHRg"",""2025-26!AR4"")"),716761.5499999999)</f>
        <v>716761.55</v>
      </c>
      <c r="CR16" s="55">
        <f>IFERROR(__xludf.DUMMYFUNCTION("IMPORTRANGE(""1K_te1jkI-iFfbgNObYuqxjJkg-GYMv3I58ZA0lOYHRg"",""2025-26!AR3"")"),13.0)</f>
        <v>13</v>
      </c>
      <c r="CS16" s="59" t="str">
        <f t="shared" si="29"/>
        <v/>
      </c>
      <c r="CT16" s="55">
        <f>IFERROR(__xludf.DUMMYFUNCTION("IMPORTRANGE(""1K_te1jkI-iFfbgNObYuqxjJkg-GYMv3I58ZA0lOYHRg"",""2025-26!AS4"")"),0.0)</f>
        <v>0</v>
      </c>
      <c r="CU16" s="55">
        <f>IFERROR(__xludf.DUMMYFUNCTION("IMPORTRANGE(""1K_te1jkI-iFfbgNObYuqxjJkg-GYMv3I58ZA0lOYHRg"",""2025-26!AS3"")"),0.0)</f>
        <v>0</v>
      </c>
      <c r="CV16" s="60" t="s">
        <v>30</v>
      </c>
    </row>
    <row r="17">
      <c r="A17" s="72" t="s">
        <v>47</v>
      </c>
      <c r="B17" s="73" t="s">
        <v>47</v>
      </c>
      <c r="C17" s="48" t="s">
        <v>48</v>
      </c>
      <c r="D17" s="49" t="s">
        <v>49</v>
      </c>
      <c r="E17" s="50">
        <v>7.428099946E9</v>
      </c>
      <c r="F17" s="51">
        <v>45311.0</v>
      </c>
      <c r="G17" s="62"/>
      <c r="H17" s="62"/>
      <c r="I17" s="53">
        <f>VLOOKUP($C17,Data!$C:$BV,72,0)</f>
        <v>28835</v>
      </c>
      <c r="J17" s="54">
        <v>833333.0</v>
      </c>
      <c r="K17" s="55">
        <f>IFERROR(__xludf.DUMMYFUNCTION("IMPORTRANGE(""1IoSPGtbL4ygnaTCF1Ct5WGA347GvBvKfaHJjalIvqh4"",""2025-26!A3"")"),76.0)</f>
        <v>76</v>
      </c>
      <c r="L17" s="55">
        <f>IFERROR(__xludf.DUMMYFUNCTION("IMPORTRANGE(""1IoSPGtbL4ygnaTCF1Ct5WGA347GvBvKfaHJjalIvqh4"",""2025-26!G4"")"),8750000.0)</f>
        <v>8750000</v>
      </c>
      <c r="M17" s="55">
        <f t="shared" si="15"/>
        <v>6639185.59</v>
      </c>
      <c r="N17" s="56">
        <f t="shared" si="16"/>
        <v>0.7870564571</v>
      </c>
      <c r="O17" s="57">
        <f t="shared" si="17"/>
        <v>6886744</v>
      </c>
      <c r="P17" s="55">
        <f>IFERROR(__xludf.DUMMYFUNCTION("IMPORTRANGE(""1IoSPGtbL4ygnaTCF1Ct5WGA347GvBvKfaHJjalIvqh4"",""2025-26!J4"")"),675900.0)</f>
        <v>675900</v>
      </c>
      <c r="Q17" s="55">
        <f>IFERROR(__xludf.DUMMYFUNCTION("IMPORTRANGE(""1IoSPGtbL4ygnaTCF1Ct5WGA347GvBvKfaHJjalIvqh4"",""2025-26!J3"")"),69.0)</f>
        <v>69</v>
      </c>
      <c r="R17" s="55">
        <f>IFERROR(__xludf.DUMMYFUNCTION("IMPORTRANGE(""1IoSPGtbL4ygnaTCF1Ct5WGA347GvBvKfaHJjalIvqh4"",""2025-26!K4"")"),730928.8799999999)</f>
        <v>730928.88</v>
      </c>
      <c r="S17" s="55">
        <f>IFERROR(__xludf.DUMMYFUNCTION("IMPORTRANGE(""1IoSPGtbL4ygnaTCF1Ct5WGA347GvBvKfaHJjalIvqh4"",""2025-26!K3"")"),59.0)</f>
        <v>59</v>
      </c>
      <c r="T17" s="58">
        <f t="shared" si="18"/>
        <v>1.118381417</v>
      </c>
      <c r="U17" s="55">
        <f>IFERROR(__xludf.DUMMYFUNCTION("IMPORTRANGE(""1IoSPGtbL4ygnaTCF1Ct5WGA347GvBvKfaHJjalIvqh4"",""2025-26!L4"")"),755914.0)</f>
        <v>755914</v>
      </c>
      <c r="V17" s="55">
        <f>IFERROR(__xludf.DUMMYFUNCTION("IMPORTRANGE(""1IoSPGtbL4ygnaTCF1Ct5WGA347GvBvKfaHJjalIvqh4"",""2025-26!L3"")"),59.0)</f>
        <v>59</v>
      </c>
      <c r="W17" s="55">
        <f>IFERROR(__xludf.DUMMYFUNCTION("IMPORTRANGE(""1IoSPGtbL4ygnaTCF1Ct5WGA347GvBvKfaHJjalIvqh4"",""2025-26!m4"")"),691900.0)</f>
        <v>691900</v>
      </c>
      <c r="X17" s="55">
        <f>IFERROR(__xludf.DUMMYFUNCTION("IMPORTRANGE(""1IoSPGtbL4ygnaTCF1Ct5WGA347GvBvKfaHJjalIvqh4"",""2025-26!m3"")"),71.0)</f>
        <v>71</v>
      </c>
      <c r="Y17" s="55">
        <f>IFERROR(__xludf.DUMMYFUNCTION("IMPORTRANGE(""1IoSPGtbL4ygnaTCF1Ct5WGA347GvBvKfaHJjalIvqh4"",""2025-26!N4"")"),645506.9300000002)</f>
        <v>645506.93</v>
      </c>
      <c r="Z17" s="55">
        <f>IFERROR(__xludf.DUMMYFUNCTION("IMPORTRANGE(""1IoSPGtbL4ygnaTCF1Ct5WGA347GvBvKfaHJjalIvqh4"",""2025-26!N3"")"),55.0)</f>
        <v>55</v>
      </c>
      <c r="AA17" s="58">
        <f t="shared" si="19"/>
        <v>0.9992730163</v>
      </c>
      <c r="AB17" s="55">
        <f>IFERROR(__xludf.DUMMYFUNCTION("IMPORTRANGE(""1IoSPGtbL4ygnaTCF1Ct5WGA347GvBvKfaHJjalIvqh4"",""2025-26!O4"")"),691397.0)</f>
        <v>691397</v>
      </c>
      <c r="AC17" s="55">
        <f>IFERROR(__xludf.DUMMYFUNCTION("IMPORTRANGE(""1IoSPGtbL4ygnaTCF1Ct5WGA347GvBvKfaHJjalIvqh4"",""2025-26!O3"")"),55.0)</f>
        <v>55</v>
      </c>
      <c r="AD17" s="55">
        <f>IFERROR(__xludf.DUMMYFUNCTION("IMPORTRANGE(""1IoSPGtbL4ygnaTCF1Ct5WGA347GvBvKfaHJjalIvqh4"",""2025-26!P4"")"),633800.0)</f>
        <v>633800</v>
      </c>
      <c r="AE17" s="55">
        <f>IFERROR(__xludf.DUMMYFUNCTION("IMPORTRANGE(""1IoSPGtbL4ygnaTCF1Ct5WGA347GvBvKfaHJjalIvqh4"",""2025-26!P3"")"),64.0)</f>
        <v>64</v>
      </c>
      <c r="AF17" s="55">
        <f>IFERROR(__xludf.DUMMYFUNCTION("IMPORTRANGE(""1IoSPGtbL4ygnaTCF1Ct5WGA347GvBvKfaHJjalIvqh4"",""2025-26!Q4"")"),436145.14)</f>
        <v>436145.14</v>
      </c>
      <c r="AG17" s="55">
        <f>IFERROR(__xludf.DUMMYFUNCTION("IMPORTRANGE(""1IoSPGtbL4ygnaTCF1Ct5WGA347GvBvKfaHJjalIvqh4"",""2025-26!Q3"")"),43.0)</f>
        <v>43</v>
      </c>
      <c r="AH17" s="58">
        <f t="shared" si="20"/>
        <v>0.7055159356</v>
      </c>
      <c r="AI17" s="55">
        <f>IFERROR(__xludf.DUMMYFUNCTION("IMPORTRANGE(""1IoSPGtbL4ygnaTCF1Ct5WGA347GvBvKfaHJjalIvqh4"",""2025-26!R4"")"),447156.0)</f>
        <v>447156</v>
      </c>
      <c r="AJ17" s="55">
        <f>IFERROR(__xludf.DUMMYFUNCTION("IMPORTRANGE(""1IoSPGtbL4ygnaTCF1Ct5WGA347GvBvKfaHJjalIvqh4"",""2025-26!R3"")"),43.0)</f>
        <v>43</v>
      </c>
      <c r="AK17" s="55">
        <f>IFERROR(__xludf.DUMMYFUNCTION("IMPORTRANGE(""1IoSPGtbL4ygnaTCF1Ct5WGA347GvBvKfaHJjalIvqh4"",""2025-26!S4"")"),604400.0)</f>
        <v>604400</v>
      </c>
      <c r="AL17" s="55">
        <f>IFERROR(__xludf.DUMMYFUNCTION("IMPORTRANGE(""1IoSPGtbL4ygnaTCF1Ct5WGA347GvBvKfaHJjalIvqh4"",""2025-26!S3"")"),64.0)</f>
        <v>64</v>
      </c>
      <c r="AM17" s="55">
        <f>IFERROR(__xludf.DUMMYFUNCTION("IMPORTRANGE(""1IoSPGtbL4ygnaTCF1Ct5WGA347GvBvKfaHJjalIvqh4"",""2025-26!T4"")"),395739.72)</f>
        <v>395739.72</v>
      </c>
      <c r="AN17" s="55">
        <f>IFERROR(__xludf.DUMMYFUNCTION("IMPORTRANGE(""1IoSPGtbL4ygnaTCF1Ct5WGA347GvBvKfaHJjalIvqh4"",""2025-26!T3"")"),50.0)</f>
        <v>50</v>
      </c>
      <c r="AO17" s="58">
        <f t="shared" si="21"/>
        <v>0.5670268034</v>
      </c>
      <c r="AP17" s="55">
        <f>IFERROR(__xludf.DUMMYFUNCTION("IMPORTRANGE(""1IoSPGtbL4ygnaTCF1Ct5WGA347GvBvKfaHJjalIvqh4"",""2025-26!U4"")"),342711.0)</f>
        <v>342711</v>
      </c>
      <c r="AQ17" s="55">
        <f>IFERROR(__xludf.DUMMYFUNCTION("IMPORTRANGE(""1IoSPGtbL4ygnaTCF1Ct5WGA347GvBvKfaHJjalIvqh4"",""2025-26!U3"")"),41.0)</f>
        <v>41</v>
      </c>
      <c r="AR17" s="55">
        <f>IFERROR(__xludf.DUMMYFUNCTION("IMPORTRANGE(""1IoSPGtbL4ygnaTCF1Ct5WGA347GvBvKfaHJjalIvqh4"",""2025-26!V4"")"),645800.0)</f>
        <v>645800</v>
      </c>
      <c r="AS17" s="55">
        <f>IFERROR(__xludf.DUMMYFUNCTION("IMPORTRANGE(""1IoSPGtbL4ygnaTCF1Ct5WGA347GvBvKfaHJjalIvqh4"",""2025-26!V3"")"),65.0)</f>
        <v>65</v>
      </c>
      <c r="AT17" s="55">
        <f>IFERROR(__xludf.DUMMYFUNCTION("IMPORTRANGE(""1IoSPGtbL4ygnaTCF1Ct5WGA347GvBvKfaHJjalIvqh4"",""2025-26!W4"")"),306528.89)</f>
        <v>306528.89</v>
      </c>
      <c r="AU17" s="55">
        <f>IFERROR(__xludf.DUMMYFUNCTION("IMPORTRANGE(""1IoSPGtbL4ygnaTCF1Ct5WGA347GvBvKfaHJjalIvqh4"",""2025-26!W3"")"),40.0)</f>
        <v>40</v>
      </c>
      <c r="AV17" s="58">
        <f t="shared" si="22"/>
        <v>0.4885521833</v>
      </c>
      <c r="AW17" s="55">
        <f>IFERROR(__xludf.DUMMYFUNCTION("IMPORTRANGE(""1IoSPGtbL4ygnaTCF1Ct5WGA347GvBvKfaHJjalIvqh4"",""2025-26!X4"")"),315507.0)</f>
        <v>315507</v>
      </c>
      <c r="AX17" s="55">
        <f>IFERROR(__xludf.DUMMYFUNCTION("IMPORTRANGE(""1IoSPGtbL4ygnaTCF1Ct5WGA347GvBvKfaHJjalIvqh4"",""2025-26!X3"")"),43.0)</f>
        <v>43</v>
      </c>
      <c r="AY17" s="55">
        <f>IFERROR(__xludf.DUMMYFUNCTION("IMPORTRANGE(""1IoSPGtbL4ygnaTCF1Ct5WGA347GvBvKfaHJjalIvqh4"",""2025-26!Y4"")"),645800.0)</f>
        <v>645800</v>
      </c>
      <c r="AZ17" s="55">
        <f>IFERROR(__xludf.DUMMYFUNCTION("IMPORTRANGE(""1IoSPGtbL4ygnaTCF1Ct5WGA347GvBvKfaHJjalIvqh4"",""2025-26!Y3"")"),65.0)</f>
        <v>65</v>
      </c>
      <c r="BA17" s="55">
        <f>IFERROR(__xludf.DUMMYFUNCTION("IMPORTRANGE(""1IoSPGtbL4ygnaTCF1Ct5WGA347GvBvKfaHJjalIvqh4"",""2025-26!Z4"")"),390281.55999999994)</f>
        <v>390281.56</v>
      </c>
      <c r="BB17" s="55">
        <f>IFERROR(__xludf.DUMMYFUNCTION("IMPORTRANGE(""1IoSPGtbL4ygnaTCF1Ct5WGA347GvBvKfaHJjalIvqh4"",""2025-26!Z3"")"),51.0)</f>
        <v>51</v>
      </c>
      <c r="BC17" s="59">
        <f t="shared" si="23"/>
        <v>0.5888835553</v>
      </c>
      <c r="BD17" s="55">
        <f>IFERROR(__xludf.DUMMYFUNCTION("IMPORTRANGE(""1IoSPGtbL4ygnaTCF1Ct5WGA347GvBvKfaHJjalIvqh4"",""2025-26!AA4"")"),380301.0)</f>
        <v>380301</v>
      </c>
      <c r="BE17" s="55">
        <f>IFERROR(__xludf.DUMMYFUNCTION("IMPORTRANGE(""1IoSPGtbL4ygnaTCF1Ct5WGA347GvBvKfaHJjalIvqh4"",""2025-26!AA3"")"),48.0)</f>
        <v>48</v>
      </c>
      <c r="BF17" s="55">
        <f>IFERROR(__xludf.DUMMYFUNCTION("IMPORTRANGE(""1IoSPGtbL4ygnaTCF1Ct5WGA347GvBvKfaHJjalIvqh4"",""2025-26!AB4"")"),722900.0)</f>
        <v>722900</v>
      </c>
      <c r="BG17" s="55">
        <f>IFERROR(__xludf.DUMMYFUNCTION("IMPORTRANGE(""1IoSPGtbL4ygnaTCF1Ct5WGA347GvBvKfaHJjalIvqh4"",""2025-26!AB3"")"),66.0)</f>
        <v>66</v>
      </c>
      <c r="BH17" s="55">
        <f>IFERROR(__xludf.DUMMYFUNCTION("IMPORTRANGE(""1IoSPGtbL4ygnaTCF1Ct5WGA347GvBvKfaHJjalIvqh4"",""2025-26!AC4"")"),490023.0999999999)</f>
        <v>490023.1</v>
      </c>
      <c r="BI17" s="55">
        <f>IFERROR(__xludf.DUMMYFUNCTION("IMPORTRANGE(""1IoSPGtbL4ygnaTCF1Ct5WGA347GvBvKfaHJjalIvqh4"",""2025-26!AC3"")"),49.0)</f>
        <v>49</v>
      </c>
      <c r="BJ17" s="59">
        <f t="shared" si="24"/>
        <v>0.756258127</v>
      </c>
      <c r="BK17" s="55">
        <f>IFERROR(__xludf.DUMMYFUNCTION("IMPORTRANGE(""1IoSPGtbL4ygnaTCF1Ct5WGA347GvBvKfaHJjalIvqh4"",""2025-26!AD4"")"),546699.0)</f>
        <v>546699</v>
      </c>
      <c r="BL17" s="55">
        <f>IFERROR(__xludf.DUMMYFUNCTION("IMPORTRANGE(""1IoSPGtbL4ygnaTCF1Ct5WGA347GvBvKfaHJjalIvqh4"",""2025-26!AD3"")"),54.0)</f>
        <v>54</v>
      </c>
      <c r="BM17" s="55">
        <f>IFERROR(__xludf.DUMMYFUNCTION("IMPORTRANGE(""1IoSPGtbL4ygnaTCF1Ct5WGA347GvBvKfaHJjalIvqh4"",""2025-26!AE4"")"),737900.0)</f>
        <v>737900</v>
      </c>
      <c r="BN17" s="55">
        <f>IFERROR(__xludf.DUMMYFUNCTION("IMPORTRANGE(""1IoSPGtbL4ygnaTCF1Ct5WGA347GvBvKfaHJjalIvqh4"",""2025-26!AE3"")"),67.0)</f>
        <v>67</v>
      </c>
      <c r="BO17" s="55">
        <f>IFERROR(__xludf.DUMMYFUNCTION("IMPORTRANGE(""1IoSPGtbL4ygnaTCF1Ct5WGA347GvBvKfaHJjalIvqh4"",""2025-26!AF4"")"),435227.79999999993)</f>
        <v>435227.8</v>
      </c>
      <c r="BP17" s="55">
        <f>IFERROR(__xludf.DUMMYFUNCTION("IMPORTRANGE(""1IoSPGtbL4ygnaTCF1Ct5WGA347GvBvKfaHJjalIvqh4"",""2025-26!AF3"")"),49.0)</f>
        <v>49</v>
      </c>
      <c r="BQ17" s="59">
        <f t="shared" si="25"/>
        <v>0.6092546416</v>
      </c>
      <c r="BR17" s="55">
        <f>IFERROR(__xludf.DUMMYFUNCTION("IMPORTRANGE(""1IoSPGtbL4ygnaTCF1Ct5WGA347GvBvKfaHJjalIvqh4"",""2025-26!AG4"")"),449569.0)</f>
        <v>449569</v>
      </c>
      <c r="BS17" s="55">
        <f>IFERROR(__xludf.DUMMYFUNCTION("IMPORTRANGE(""1IoSPGtbL4ygnaTCF1Ct5WGA347GvBvKfaHJjalIvqh4"",""2025-26!AG3"")"),48.0)</f>
        <v>48</v>
      </c>
      <c r="BT17" s="55">
        <f>IFERROR(__xludf.DUMMYFUNCTION("IMPORTRANGE(""1IoSPGtbL4ygnaTCF1Ct5WGA347GvBvKfaHJjalIvqh4"",""2025-26!AH4"")"),737900.0)</f>
        <v>737900</v>
      </c>
      <c r="BU17" s="55">
        <f>IFERROR(__xludf.DUMMYFUNCTION("IMPORTRANGE(""1IoSPGtbL4ygnaTCF1Ct5WGA347GvBvKfaHJjalIvqh4"",""2025-26!AH3"")"),67.0)</f>
        <v>67</v>
      </c>
      <c r="BV17" s="55">
        <f>IFERROR(__xludf.DUMMYFUNCTION("IMPORTRANGE(""1IoSPGtbL4ygnaTCF1Ct5WGA347GvBvKfaHJjalIvqh4"",""2025-26!AI4"")"),661369.14)</f>
        <v>661369.14</v>
      </c>
      <c r="BW17" s="55">
        <f>IFERROR(__xludf.DUMMYFUNCTION("IMPORTRANGE(""1IoSPGtbL4ygnaTCF1Ct5WGA347GvBvKfaHJjalIvqh4"",""2025-26!AI3"")"),51.0)</f>
        <v>51</v>
      </c>
      <c r="BX17" s="59">
        <f t="shared" si="26"/>
        <v>0.9252798482</v>
      </c>
      <c r="BY17" s="55">
        <f>IFERROR(__xludf.DUMMYFUNCTION("IMPORTRANGE(""1IoSPGtbL4ygnaTCF1Ct5WGA347GvBvKfaHJjalIvqh4"",""2025-26!AJ4"")"),682764.0)</f>
        <v>682764</v>
      </c>
      <c r="BZ17" s="55">
        <f>IFERROR(__xludf.DUMMYFUNCTION("IMPORTRANGE(""1IoSPGtbL4ygnaTCF1Ct5WGA347GvBvKfaHJjalIvqh4"",""2025-26!AJ3"")"),52.0)</f>
        <v>52</v>
      </c>
      <c r="CA17" s="55">
        <f>IFERROR(__xludf.DUMMYFUNCTION("IMPORTRANGE(""1IoSPGtbL4ygnaTCF1Ct5WGA347GvBvKfaHJjalIvqh4"",""2025-26!AK4"")"),737900.0)</f>
        <v>737900</v>
      </c>
      <c r="CB17" s="55">
        <f>IFERROR(__xludf.DUMMYFUNCTION("IMPORTRANGE(""1IoSPGtbL4ygnaTCF1Ct5WGA347GvBvKfaHJjalIvqh4"",""2025-26!AK3"")"),67.0)</f>
        <v>67</v>
      </c>
      <c r="CC17" s="55">
        <f>IFERROR(__xludf.DUMMYFUNCTION("IMPORTRANGE(""1IoSPGtbL4ygnaTCF1Ct5WGA347GvBvKfaHJjalIvqh4"",""2025-26!AL4"")"),684869.2)</f>
        <v>684869.2</v>
      </c>
      <c r="CD17" s="55">
        <f>IFERROR(__xludf.DUMMYFUNCTION("IMPORTRANGE(""1IoSPGtbL4ygnaTCF1Ct5WGA347GvBvKfaHJjalIvqh4"",""2025-26!AL3"")"),47.0)</f>
        <v>47</v>
      </c>
      <c r="CE17" s="59">
        <f t="shared" si="27"/>
        <v>1.041963681</v>
      </c>
      <c r="CF17" s="55">
        <f>IFERROR(__xludf.DUMMYFUNCTION("IMPORTRANGE(""1IoSPGtbL4ygnaTCF1Ct5WGA347GvBvKfaHJjalIvqh4"",""2025-26!AM4"")"),768865.0)</f>
        <v>768865</v>
      </c>
      <c r="CG17" s="55">
        <f>IFERROR(__xludf.DUMMYFUNCTION("IMPORTRANGE(""1IoSPGtbL4ygnaTCF1Ct5WGA347GvBvKfaHJjalIvqh4"",""2025-26!AM3"")"),48.0)</f>
        <v>48</v>
      </c>
      <c r="CH17" s="55">
        <f>IFERROR(__xludf.DUMMYFUNCTION("IMPORTRANGE(""1IoSPGtbL4ygnaTCF1Ct5WGA347GvBvKfaHJjalIvqh4"",""2025-26!AN4"")"),737900.0)</f>
        <v>737900</v>
      </c>
      <c r="CI17" s="55">
        <f>IFERROR(__xludf.DUMMYFUNCTION("IMPORTRANGE(""1IoSPGtbL4ygnaTCF1Ct5WGA347GvBvKfaHJjalIvqh4"",""2025-26!AN3"")"),67.0)</f>
        <v>67</v>
      </c>
      <c r="CJ17" s="55">
        <f>IFERROR(__xludf.DUMMYFUNCTION("IMPORTRANGE(""1IoSPGtbL4ygnaTCF1Ct5WGA347GvBvKfaHJjalIvqh4"",""2025-26!AO4"")"),783677.82)</f>
        <v>783677.82</v>
      </c>
      <c r="CK17" s="55">
        <f>IFERROR(__xludf.DUMMYFUNCTION("IMPORTRANGE(""1IoSPGtbL4ygnaTCF1Ct5WGA347GvBvKfaHJjalIvqh4"",""2025-26!AO3"")"),51.0)</f>
        <v>51</v>
      </c>
      <c r="CL17" s="59">
        <f t="shared" si="28"/>
        <v>1.112661607</v>
      </c>
      <c r="CM17" s="55">
        <f>IFERROR(__xludf.DUMMYFUNCTION("IMPORTRANGE(""1IoSPGtbL4ygnaTCF1Ct5WGA347GvBvKfaHJjalIvqh4"",""2025-26!AP4"")"),821033.0)</f>
        <v>821033</v>
      </c>
      <c r="CN17" s="55">
        <f>IFERROR(__xludf.DUMMYFUNCTION("IMPORTRANGE(""1IoSPGtbL4ygnaTCF1Ct5WGA347GvBvKfaHJjalIvqh4"",""2025-26!AP3"")"),53.0)</f>
        <v>53</v>
      </c>
      <c r="CO17" s="55">
        <f>IFERROR(__xludf.DUMMYFUNCTION("IMPORTRANGE(""1IoSPGtbL4ygnaTCF1Ct5WGA347GvBvKfaHJjalIvqh4"",""2025-26!AQ4"")"),737900.0)</f>
        <v>737900</v>
      </c>
      <c r="CP17" s="55">
        <f>IFERROR(__xludf.DUMMYFUNCTION("IMPORTRANGE(""1IoSPGtbL4ygnaTCF1Ct5WGA347GvBvKfaHJjalIvqh4"",""2025-26!AQ3"")"),67.0)</f>
        <v>67</v>
      </c>
      <c r="CQ17" s="55">
        <f>IFERROR(__xludf.DUMMYFUNCTION("IMPORTRANGE(""1IoSPGtbL4ygnaTCF1Ct5WGA347GvBvKfaHJjalIvqh4"",""2025-26!AR4"")"),678887.4099999997)</f>
        <v>678887.41</v>
      </c>
      <c r="CR17" s="55">
        <f>IFERROR(__xludf.DUMMYFUNCTION("IMPORTRANGE(""1IoSPGtbL4ygnaTCF1Ct5WGA347GvBvKfaHJjalIvqh4"",""2025-26!AR3"")"),48.0)</f>
        <v>48</v>
      </c>
      <c r="CS17" s="59">
        <f t="shared" si="29"/>
        <v>0.9280769752</v>
      </c>
      <c r="CT17" s="55">
        <f>IFERROR(__xludf.DUMMYFUNCTION("IMPORTRANGE(""1IoSPGtbL4ygnaTCF1Ct5WGA347GvBvKfaHJjalIvqh4"",""2025-26!AS4"")"),684828.0)</f>
        <v>684828</v>
      </c>
      <c r="CU17" s="55">
        <f>IFERROR(__xludf.DUMMYFUNCTION("IMPORTRANGE(""1IoSPGtbL4ygnaTCF1Ct5WGA347GvBvKfaHJjalIvqh4"",""2025-26!AS3"")"),47.0)</f>
        <v>47</v>
      </c>
      <c r="CV17" s="60" t="s">
        <v>50</v>
      </c>
    </row>
    <row r="18">
      <c r="A18" s="72" t="s">
        <v>47</v>
      </c>
      <c r="B18" s="43"/>
      <c r="C18" s="61" t="s">
        <v>51</v>
      </c>
      <c r="D18" s="49" t="s">
        <v>52</v>
      </c>
      <c r="E18" s="50">
        <v>9.914976557E9</v>
      </c>
      <c r="F18" s="74">
        <v>45393.0</v>
      </c>
      <c r="G18" s="75"/>
      <c r="H18" s="75"/>
      <c r="I18" s="53">
        <f>VLOOKUP($C18,Data!$C:$BV,72,0)</f>
        <v>27000</v>
      </c>
      <c r="J18" s="54">
        <v>1250000.0</v>
      </c>
      <c r="K18" s="55">
        <f>IFERROR(__xludf.DUMMYFUNCTION("IMPORTRANGE(""1OCQdqqJIyWUmzr6sv4fbXUNAqVATScHotcGYSPP6YEs"",""2025-26!A3"")"),164.0)</f>
        <v>164</v>
      </c>
      <c r="L18" s="55">
        <f>IFERROR(__xludf.DUMMYFUNCTION("IMPORTRANGE(""1OCQdqqJIyWUmzr6sv4fbXUNAqVATScHotcGYSPP6YEs"",""2025-26!G4"")"),8865000.0)</f>
        <v>8865000</v>
      </c>
      <c r="M18" s="55">
        <f t="shared" si="15"/>
        <v>6963246.18</v>
      </c>
      <c r="N18" s="56">
        <f t="shared" si="16"/>
        <v>0.7518699944</v>
      </c>
      <c r="O18" s="57">
        <f t="shared" si="17"/>
        <v>6665327.5</v>
      </c>
      <c r="P18" s="55">
        <f>IFERROR(__xludf.DUMMYFUNCTION("IMPORTRANGE(""1OCQdqqJIyWUmzr6sv4fbXUNAqVATScHotcGYSPP6YEs"",""2025-26!J4"")"),615000.0)</f>
        <v>615000</v>
      </c>
      <c r="Q18" s="55">
        <f>IFERROR(__xludf.DUMMYFUNCTION("IMPORTRANGE(""1OCQdqqJIyWUmzr6sv4fbXUNAqVATScHotcGYSPP6YEs"",""2025-26!J3"")"),88.0)</f>
        <v>88</v>
      </c>
      <c r="R18" s="55">
        <f>IFERROR(__xludf.DUMMYFUNCTION("IMPORTRANGE(""1OCQdqqJIyWUmzr6sv4fbXUNAqVATScHotcGYSPP6YEs"",""2025-26!K4"")"),537647.49)</f>
        <v>537647.49</v>
      </c>
      <c r="S18" s="55">
        <f>IFERROR(__xludf.DUMMYFUNCTION("IMPORTRANGE(""1OCQdqqJIyWUmzr6sv4fbXUNAqVATScHotcGYSPP6YEs"",""2025-26!K3"")"),42.0)</f>
        <v>42</v>
      </c>
      <c r="T18" s="58">
        <f t="shared" si="18"/>
        <v>0.8198357724</v>
      </c>
      <c r="U18" s="55">
        <f>IFERROR(__xludf.DUMMYFUNCTION("IMPORTRANGE(""1OCQdqqJIyWUmzr6sv4fbXUNAqVATScHotcGYSPP6YEs"",""2025-26!L4"")"),504199.0)</f>
        <v>504199</v>
      </c>
      <c r="V18" s="55">
        <f>IFERROR(__xludf.DUMMYFUNCTION("IMPORTRANGE(""1OCQdqqJIyWUmzr6sv4fbXUNAqVATScHotcGYSPP6YEs"",""2025-26!L3"")"),40.0)</f>
        <v>40</v>
      </c>
      <c r="W18" s="55">
        <f>IFERROR(__xludf.DUMMYFUNCTION("IMPORTRANGE(""1OCQdqqJIyWUmzr6sv4fbXUNAqVATScHotcGYSPP6YEs"",""2025-26!m4"")"),633000.0)</f>
        <v>633000</v>
      </c>
      <c r="X18" s="55">
        <f>IFERROR(__xludf.DUMMYFUNCTION("IMPORTRANGE(""1OCQdqqJIyWUmzr6sv4fbXUNAqVATScHotcGYSPP6YEs"",""2025-26!m3"")"),91.0)</f>
        <v>91</v>
      </c>
      <c r="Y18" s="55">
        <f>IFERROR(__xludf.DUMMYFUNCTION("IMPORTRANGE(""1OCQdqqJIyWUmzr6sv4fbXUNAqVATScHotcGYSPP6YEs"",""2025-26!N4"")"),465790.64)</f>
        <v>465790.64</v>
      </c>
      <c r="Z18" s="55">
        <f>IFERROR(__xludf.DUMMYFUNCTION("IMPORTRANGE(""1OCQdqqJIyWUmzr6sv4fbXUNAqVATScHotcGYSPP6YEs"",""2025-26!N3"")"),37.0)</f>
        <v>37</v>
      </c>
      <c r="AA18" s="58">
        <f t="shared" si="19"/>
        <v>0.6931169036</v>
      </c>
      <c r="AB18" s="55">
        <f>IFERROR(__xludf.DUMMYFUNCTION("IMPORTRANGE(""1OCQdqqJIyWUmzr6sv4fbXUNAqVATScHotcGYSPP6YEs"",""2025-26!O4"")"),438743.0)</f>
        <v>438743</v>
      </c>
      <c r="AC18" s="55">
        <f>IFERROR(__xludf.DUMMYFUNCTION("IMPORTRANGE(""1OCQdqqJIyWUmzr6sv4fbXUNAqVATScHotcGYSPP6YEs"",""2025-26!O3"")"),34.0)</f>
        <v>34</v>
      </c>
      <c r="AD18" s="55">
        <f>IFERROR(__xludf.DUMMYFUNCTION("IMPORTRANGE(""1OCQdqqJIyWUmzr6sv4fbXUNAqVATScHotcGYSPP6YEs"",""2025-26!P4"")"),633000.0)</f>
        <v>633000</v>
      </c>
      <c r="AE18" s="55">
        <f>IFERROR(__xludf.DUMMYFUNCTION("IMPORTRANGE(""1OCQdqqJIyWUmzr6sv4fbXUNAqVATScHotcGYSPP6YEs"",""2025-26!P3"")"),91.0)</f>
        <v>91</v>
      </c>
      <c r="AF18" s="55">
        <f>IFERROR(__xludf.DUMMYFUNCTION("IMPORTRANGE(""1OCQdqqJIyWUmzr6sv4fbXUNAqVATScHotcGYSPP6YEs"",""2025-26!Q4"")"),349907.37000000005)</f>
        <v>349907.37</v>
      </c>
      <c r="AG18" s="55">
        <f>IFERROR(__xludf.DUMMYFUNCTION("IMPORTRANGE(""1OCQdqqJIyWUmzr6sv4fbXUNAqVATScHotcGYSPP6YEs"",""2025-26!Q3"")"),38.0)</f>
        <v>38</v>
      </c>
      <c r="AH18" s="58">
        <f t="shared" si="20"/>
        <v>0.5747954186</v>
      </c>
      <c r="AI18" s="55">
        <f>IFERROR(__xludf.DUMMYFUNCTION("IMPORTRANGE(""1OCQdqqJIyWUmzr6sv4fbXUNAqVATScHotcGYSPP6YEs"",""2025-26!R4"")"),363845.5)</f>
        <v>363845.5</v>
      </c>
      <c r="AJ18" s="55">
        <f>IFERROR(__xludf.DUMMYFUNCTION("IMPORTRANGE(""1OCQdqqJIyWUmzr6sv4fbXUNAqVATScHotcGYSPP6YEs"",""2025-26!R3"")"),39.0)</f>
        <v>39</v>
      </c>
      <c r="AK18" s="55">
        <f>IFERROR(__xludf.DUMMYFUNCTION("IMPORTRANGE(""1OCQdqqJIyWUmzr6sv4fbXUNAqVATScHotcGYSPP6YEs"",""2025-26!S4"")"),756000.0)</f>
        <v>756000</v>
      </c>
      <c r="AL18" s="55">
        <f>IFERROR(__xludf.DUMMYFUNCTION("IMPORTRANGE(""1OCQdqqJIyWUmzr6sv4fbXUNAqVATScHotcGYSPP6YEs"",""2025-26!S3"")"),93.0)</f>
        <v>93</v>
      </c>
      <c r="AM18" s="55">
        <f>IFERROR(__xludf.DUMMYFUNCTION("IMPORTRANGE(""1OCQdqqJIyWUmzr6sv4fbXUNAqVATScHotcGYSPP6YEs"",""2025-26!T4"")"),309427.47)</f>
        <v>309427.47</v>
      </c>
      <c r="AN18" s="55">
        <f>IFERROR(__xludf.DUMMYFUNCTION("IMPORTRANGE(""1OCQdqqJIyWUmzr6sv4fbXUNAqVATScHotcGYSPP6YEs"",""2025-26!T3"")"),28.0)</f>
        <v>28</v>
      </c>
      <c r="AO18" s="58">
        <f t="shared" si="21"/>
        <v>0.3215595238</v>
      </c>
      <c r="AP18" s="55">
        <f>IFERROR(__xludf.DUMMYFUNCTION("IMPORTRANGE(""1OCQdqqJIyWUmzr6sv4fbXUNAqVATScHotcGYSPP6YEs"",""2025-26!U4"")"),243099.0)</f>
        <v>243099</v>
      </c>
      <c r="AQ18" s="55">
        <f>IFERROR(__xludf.DUMMYFUNCTION("IMPORTRANGE(""1OCQdqqJIyWUmzr6sv4fbXUNAqVATScHotcGYSPP6YEs"",""2025-26!U3"")"),22.0)</f>
        <v>22</v>
      </c>
      <c r="AR18" s="55">
        <f>IFERROR(__xludf.DUMMYFUNCTION("IMPORTRANGE(""1OCQdqqJIyWUmzr6sv4fbXUNAqVATScHotcGYSPP6YEs"",""2025-26!V4"")"),776000.0)</f>
        <v>776000</v>
      </c>
      <c r="AS18" s="55">
        <f>IFERROR(__xludf.DUMMYFUNCTION("IMPORTRANGE(""1OCQdqqJIyWUmzr6sv4fbXUNAqVATScHotcGYSPP6YEs"",""2025-26!V3"")"),94.0)</f>
        <v>94</v>
      </c>
      <c r="AT18" s="55">
        <f>IFERROR(__xludf.DUMMYFUNCTION("IMPORTRANGE(""1OCQdqqJIyWUmzr6sv4fbXUNAqVATScHotcGYSPP6YEs"",""2025-26!W4"")"),416188.2699999999)</f>
        <v>416188.27</v>
      </c>
      <c r="AU18" s="55">
        <f>IFERROR(__xludf.DUMMYFUNCTION("IMPORTRANGE(""1OCQdqqJIyWUmzr6sv4fbXUNAqVATScHotcGYSPP6YEs"",""2025-26!W3"")"),28.0)</f>
        <v>28</v>
      </c>
      <c r="AV18" s="58">
        <f t="shared" si="22"/>
        <v>0.5058440722</v>
      </c>
      <c r="AW18" s="55">
        <f>IFERROR(__xludf.DUMMYFUNCTION("IMPORTRANGE(""1OCQdqqJIyWUmzr6sv4fbXUNAqVATScHotcGYSPP6YEs"",""2025-26!X4"")"),392535.0)</f>
        <v>392535</v>
      </c>
      <c r="AX18" s="55">
        <f>IFERROR(__xludf.DUMMYFUNCTION("IMPORTRANGE(""1OCQdqqJIyWUmzr6sv4fbXUNAqVATScHotcGYSPP6YEs"",""2025-26!X3"")"),26.0)</f>
        <v>26</v>
      </c>
      <c r="AY18" s="55">
        <f>IFERROR(__xludf.DUMMYFUNCTION("IMPORTRANGE(""1OCQdqqJIyWUmzr6sv4fbXUNAqVATScHotcGYSPP6YEs"",""2025-26!Y4"")"),776000.0)</f>
        <v>776000</v>
      </c>
      <c r="AZ18" s="55">
        <f>IFERROR(__xludf.DUMMYFUNCTION("IMPORTRANGE(""1OCQdqqJIyWUmzr6sv4fbXUNAqVATScHotcGYSPP6YEs"",""2025-26!Y3"")"),94.0)</f>
        <v>94</v>
      </c>
      <c r="BA18" s="55">
        <f>IFERROR(__xludf.DUMMYFUNCTION("IMPORTRANGE(""1OCQdqqJIyWUmzr6sv4fbXUNAqVATScHotcGYSPP6YEs"",""2025-26!Z4"")"),406154.56000000006)</f>
        <v>406154.56</v>
      </c>
      <c r="BB18" s="55">
        <f>IFERROR(__xludf.DUMMYFUNCTION("IMPORTRANGE(""1OCQdqqJIyWUmzr6sv4fbXUNAqVATScHotcGYSPP6YEs"",""2025-26!Z3"")"),35.0)</f>
        <v>35</v>
      </c>
      <c r="BC18" s="59">
        <f t="shared" si="23"/>
        <v>0.4785347938</v>
      </c>
      <c r="BD18" s="55">
        <f>IFERROR(__xludf.DUMMYFUNCTION("IMPORTRANGE(""1OCQdqqJIyWUmzr6sv4fbXUNAqVATScHotcGYSPP6YEs"",""2025-26!AA4"")"),371343.0)</f>
        <v>371343</v>
      </c>
      <c r="BE18" s="55">
        <f>IFERROR(__xludf.DUMMYFUNCTION("IMPORTRANGE(""1OCQdqqJIyWUmzr6sv4fbXUNAqVATScHotcGYSPP6YEs"",""2025-26!AA3"")"),32.0)</f>
        <v>32</v>
      </c>
      <c r="BF18" s="55">
        <f>IFERROR(__xludf.DUMMYFUNCTION("IMPORTRANGE(""1OCQdqqJIyWUmzr6sv4fbXUNAqVATScHotcGYSPP6YEs"",""2025-26!AB4"")"),1393000.0)</f>
        <v>1393000</v>
      </c>
      <c r="BG18" s="55">
        <f>IFERROR(__xludf.DUMMYFUNCTION("IMPORTRANGE(""1OCQdqqJIyWUmzr6sv4fbXUNAqVATScHotcGYSPP6YEs"",""2025-26!AB3"")"),90.0)</f>
        <v>90</v>
      </c>
      <c r="BH18" s="55">
        <f>IFERROR(__xludf.DUMMYFUNCTION("IMPORTRANGE(""1OCQdqqJIyWUmzr6sv4fbXUNAqVATScHotcGYSPP6YEs"",""2025-26!AC4"")"),562679.1)</f>
        <v>562679.1</v>
      </c>
      <c r="BI18" s="55">
        <f>IFERROR(__xludf.DUMMYFUNCTION("IMPORTRANGE(""1OCQdqqJIyWUmzr6sv4fbXUNAqVATScHotcGYSPP6YEs"",""2025-26!AC3"")"),40.0)</f>
        <v>40</v>
      </c>
      <c r="BJ18" s="59">
        <f t="shared" si="24"/>
        <v>0.3921600861</v>
      </c>
      <c r="BK18" s="55">
        <f>IFERROR(__xludf.DUMMYFUNCTION("IMPORTRANGE(""1OCQdqqJIyWUmzr6sv4fbXUNAqVATScHotcGYSPP6YEs"",""2025-26!AD4"")"),546279.0)</f>
        <v>546279</v>
      </c>
      <c r="BL18" s="55">
        <f>IFERROR(__xludf.DUMMYFUNCTION("IMPORTRANGE(""1OCQdqqJIyWUmzr6sv4fbXUNAqVATScHotcGYSPP6YEs"",""2025-26!AD3"")"),36.0)</f>
        <v>36</v>
      </c>
      <c r="BM18" s="55">
        <f>IFERROR(__xludf.DUMMYFUNCTION("IMPORTRANGE(""1OCQdqqJIyWUmzr6sv4fbXUNAqVATScHotcGYSPP6YEs"",""2025-26!AE4"")"),1472000.0)</f>
        <v>1472000</v>
      </c>
      <c r="BN18" s="55">
        <f>IFERROR(__xludf.DUMMYFUNCTION("IMPORTRANGE(""1OCQdqqJIyWUmzr6sv4fbXUNAqVATScHotcGYSPP6YEs"",""2025-26!AE3"")"),93.0)</f>
        <v>93</v>
      </c>
      <c r="BO18" s="55">
        <f>IFERROR(__xludf.DUMMYFUNCTION("IMPORTRANGE(""1OCQdqqJIyWUmzr6sv4fbXUNAqVATScHotcGYSPP6YEs"",""2025-26!AF4"")"),598538.4899999999)</f>
        <v>598538.49</v>
      </c>
      <c r="BP18" s="55">
        <f>IFERROR(__xludf.DUMMYFUNCTION("IMPORTRANGE(""1OCQdqqJIyWUmzr6sv4fbXUNAqVATScHotcGYSPP6YEs"",""2025-26!AF3"")"),41.0)</f>
        <v>41</v>
      </c>
      <c r="BQ18" s="59">
        <f t="shared" si="25"/>
        <v>0.3780815217</v>
      </c>
      <c r="BR18" s="55">
        <f>IFERROR(__xludf.DUMMYFUNCTION("IMPORTRANGE(""1OCQdqqJIyWUmzr6sv4fbXUNAqVATScHotcGYSPP6YEs"",""2025-26!AG4"")"),556536.0)</f>
        <v>556536</v>
      </c>
      <c r="BS18" s="55">
        <f>IFERROR(__xludf.DUMMYFUNCTION("IMPORTRANGE(""1OCQdqqJIyWUmzr6sv4fbXUNAqVATScHotcGYSPP6YEs"",""2025-26!AG3"")"),40.0)</f>
        <v>40</v>
      </c>
      <c r="BT18" s="55">
        <f>IFERROR(__xludf.DUMMYFUNCTION("IMPORTRANGE(""1OCQdqqJIyWUmzr6sv4fbXUNAqVATScHotcGYSPP6YEs"",""2025-26!AH4"")"),1500000.0)</f>
        <v>1500000</v>
      </c>
      <c r="BU18" s="55">
        <f>IFERROR(__xludf.DUMMYFUNCTION("IMPORTRANGE(""1OCQdqqJIyWUmzr6sv4fbXUNAqVATScHotcGYSPP6YEs"",""2025-26!AH3"")"),94.0)</f>
        <v>94</v>
      </c>
      <c r="BV18" s="55">
        <f>IFERROR(__xludf.DUMMYFUNCTION("IMPORTRANGE(""1OCQdqqJIyWUmzr6sv4fbXUNAqVATScHotcGYSPP6YEs"",""2025-26!AI4"")"),538137.9700000002)</f>
        <v>538137.97</v>
      </c>
      <c r="BW18" s="55">
        <f>IFERROR(__xludf.DUMMYFUNCTION("IMPORTRANGE(""1OCQdqqJIyWUmzr6sv4fbXUNAqVATScHotcGYSPP6YEs"",""2025-26!AI3"")"),38.0)</f>
        <v>38</v>
      </c>
      <c r="BX18" s="59">
        <f t="shared" si="26"/>
        <v>0.373404</v>
      </c>
      <c r="BY18" s="55">
        <f>IFERROR(__xludf.DUMMYFUNCTION("IMPORTRANGE(""1OCQdqqJIyWUmzr6sv4fbXUNAqVATScHotcGYSPP6YEs"",""2025-26!AJ4"")"),560106.0)</f>
        <v>560106</v>
      </c>
      <c r="BZ18" s="55">
        <f>IFERROR(__xludf.DUMMYFUNCTION("IMPORTRANGE(""1OCQdqqJIyWUmzr6sv4fbXUNAqVATScHotcGYSPP6YEs"",""2025-26!AJ3"")"),38.0)</f>
        <v>38</v>
      </c>
      <c r="CA18" s="55">
        <f>IFERROR(__xludf.DUMMYFUNCTION("IMPORTRANGE(""1OCQdqqJIyWUmzr6sv4fbXUNAqVATScHotcGYSPP6YEs"",""2025-26!AK4"")"),1500000.0)</f>
        <v>1500000</v>
      </c>
      <c r="CB18" s="55">
        <f>IFERROR(__xludf.DUMMYFUNCTION("IMPORTRANGE(""1OCQdqqJIyWUmzr6sv4fbXUNAqVATScHotcGYSPP6YEs"",""2025-26!AK3"")"),95.0)</f>
        <v>95</v>
      </c>
      <c r="CC18" s="55">
        <f>IFERROR(__xludf.DUMMYFUNCTION("IMPORTRANGE(""1OCQdqqJIyWUmzr6sv4fbXUNAqVATScHotcGYSPP6YEs"",""2025-26!AL4"")"),728160.13)</f>
        <v>728160.13</v>
      </c>
      <c r="CD18" s="55">
        <f>IFERROR(__xludf.DUMMYFUNCTION("IMPORTRANGE(""1OCQdqqJIyWUmzr6sv4fbXUNAqVATScHotcGYSPP6YEs"",""2025-26!AL3"")"),35.0)</f>
        <v>35</v>
      </c>
      <c r="CE18" s="59">
        <f t="shared" si="27"/>
        <v>0.4799206667</v>
      </c>
      <c r="CF18" s="55">
        <f>IFERROR(__xludf.DUMMYFUNCTION("IMPORTRANGE(""1OCQdqqJIyWUmzr6sv4fbXUNAqVATScHotcGYSPP6YEs"",""2025-26!AM4"")"),719881.0)</f>
        <v>719881</v>
      </c>
      <c r="CG18" s="55">
        <f>IFERROR(__xludf.DUMMYFUNCTION("IMPORTRANGE(""1OCQdqqJIyWUmzr6sv4fbXUNAqVATScHotcGYSPP6YEs"",""2025-26!AM3"")"),34.0)</f>
        <v>34</v>
      </c>
      <c r="CH18" s="55">
        <f>IFERROR(__xludf.DUMMYFUNCTION("IMPORTRANGE(""1OCQdqqJIyWUmzr6sv4fbXUNAqVATScHotcGYSPP6YEs"",""2025-26!AN4"")"),1501000.0)</f>
        <v>1501000</v>
      </c>
      <c r="CI18" s="55">
        <f>IFERROR(__xludf.DUMMYFUNCTION("IMPORTRANGE(""1OCQdqqJIyWUmzr6sv4fbXUNAqVATScHotcGYSPP6YEs"",""2025-26!AN3"")"),95.0)</f>
        <v>95</v>
      </c>
      <c r="CJ18" s="55">
        <f>IFERROR(__xludf.DUMMYFUNCTION("IMPORTRANGE(""1OCQdqqJIyWUmzr6sv4fbXUNAqVATScHotcGYSPP6YEs"",""2025-26!AO4"")"),738976.2399999998)</f>
        <v>738976.24</v>
      </c>
      <c r="CK18" s="55">
        <f>IFERROR(__xludf.DUMMYFUNCTION("IMPORTRANGE(""1OCQdqqJIyWUmzr6sv4fbXUNAqVATScHotcGYSPP6YEs"",""2025-26!AO3"")"),37.0)</f>
        <v>37</v>
      </c>
      <c r="CL18" s="59">
        <f t="shared" si="28"/>
        <v>0.4873117921</v>
      </c>
      <c r="CM18" s="55">
        <f>IFERROR(__xludf.DUMMYFUNCTION("IMPORTRANGE(""1OCQdqqJIyWUmzr6sv4fbXUNAqVATScHotcGYSPP6YEs"",""2025-26!AP4"")"),731455.0)</f>
        <v>731455</v>
      </c>
      <c r="CN18" s="55">
        <f>IFERROR(__xludf.DUMMYFUNCTION("IMPORTRANGE(""1OCQdqqJIyWUmzr6sv4fbXUNAqVATScHotcGYSPP6YEs"",""2025-26!AP3"")"),37.0)</f>
        <v>37</v>
      </c>
      <c r="CO18" s="55">
        <f>IFERROR(__xludf.DUMMYFUNCTION("IMPORTRANGE(""1OCQdqqJIyWUmzr6sv4fbXUNAqVATScHotcGYSPP6YEs"",""2025-26!AQ4"")"),1501000.0)</f>
        <v>1501000</v>
      </c>
      <c r="CP18" s="55">
        <f>IFERROR(__xludf.DUMMYFUNCTION("IMPORTRANGE(""1OCQdqqJIyWUmzr6sv4fbXUNAqVATScHotcGYSPP6YEs"",""2025-26!AQ3"")"),95.0)</f>
        <v>95</v>
      </c>
      <c r="CQ18" s="55">
        <f>IFERROR(__xludf.DUMMYFUNCTION("IMPORTRANGE(""1OCQdqqJIyWUmzr6sv4fbXUNAqVATScHotcGYSPP6YEs"",""2025-26!AR4"")"),1311638.4500000002)</f>
        <v>1311638.45</v>
      </c>
      <c r="CR18" s="55">
        <f>IFERROR(__xludf.DUMMYFUNCTION("IMPORTRANGE(""1OCQdqqJIyWUmzr6sv4fbXUNAqVATScHotcGYSPP6YEs"",""2025-26!AR3"")"),48.0)</f>
        <v>48</v>
      </c>
      <c r="CS18" s="59">
        <f t="shared" si="29"/>
        <v>0.8243211193</v>
      </c>
      <c r="CT18" s="55">
        <f>IFERROR(__xludf.DUMMYFUNCTION("IMPORTRANGE(""1OCQdqqJIyWUmzr6sv4fbXUNAqVATScHotcGYSPP6YEs"",""2025-26!AS4"")"),1237306.0)</f>
        <v>1237306</v>
      </c>
      <c r="CU18" s="55">
        <f>IFERROR(__xludf.DUMMYFUNCTION("IMPORTRANGE(""1OCQdqqJIyWUmzr6sv4fbXUNAqVATScHotcGYSPP6YEs"",""2025-26!AS3"")"),44.0)</f>
        <v>44</v>
      </c>
      <c r="CV18" s="60" t="s">
        <v>50</v>
      </c>
    </row>
    <row r="19">
      <c r="A19" s="76" t="s">
        <v>53</v>
      </c>
      <c r="B19" s="77" t="s">
        <v>53</v>
      </c>
      <c r="C19" s="64" t="s">
        <v>54</v>
      </c>
      <c r="D19" s="68" t="s">
        <v>55</v>
      </c>
      <c r="E19" s="50">
        <v>7.976699874E9</v>
      </c>
      <c r="F19" s="78">
        <v>45428.0</v>
      </c>
      <c r="G19" s="62"/>
      <c r="H19" s="62"/>
      <c r="I19" s="53">
        <f>VLOOKUP($C19,Data!$C:$BV,72,0)</f>
        <v>26526</v>
      </c>
      <c r="J19" s="54">
        <v>1000000.0</v>
      </c>
      <c r="K19" s="57">
        <f>IFERROR(__xludf.DUMMYFUNCTION("IMPORTRANGE(""https://docs.google.com/spreadsheets/d/1WzUdmfnQDNkhWeXGDxfn71m4gjwTEw7ImG_HYmiR0VY/edit#gid=1361333659"",""2025-26!A3"")"),100.0)</f>
        <v>100</v>
      </c>
      <c r="L19" s="57">
        <f>IFERROR(__xludf.DUMMYFUNCTION("IMPORTRANGE(""https://docs.google.com/spreadsheets/d/1WzUdmfnQDNkhWeXGDxfn71m4gjwTEw7ImG_HYmiR0VY/edit#gid=1361333659"",""2025-26!G4"")"),8850000.0)</f>
        <v>8850000</v>
      </c>
      <c r="M19" s="55">
        <f t="shared" si="15"/>
        <v>5898220.88</v>
      </c>
      <c r="N19" s="56">
        <f t="shared" ref="N19:N20" si="30">iferror(O19/L19,"")</f>
        <v>0.6686812429</v>
      </c>
      <c r="O19" s="57">
        <f t="shared" ref="O19:O20" si="31">SUM(U19,AB19,AI19,AP19,AW19,BD19,BK19,BR19,BY19,CF19,CM19,CT19)</f>
        <v>5917829</v>
      </c>
      <c r="P19" s="55">
        <f>IFERROR(__xludf.DUMMYFUNCTION("IMPORTRANGE(""https://docs.google.com/spreadsheets/d/1WzUdmfnQDNkhWeXGDxfn71m4gjwTEw7ImG_HYmiR0VY/edit#gid=1361333659"",""2025-26!J4"")"),850832.0)</f>
        <v>850832</v>
      </c>
      <c r="Q19" s="55">
        <f>IFERROR(__xludf.DUMMYFUNCTION("IMPORTRANGE(""https://docs.google.com/spreadsheets/d/1WzUdmfnQDNkhWeXGDxfn71m4gjwTEw7ImG_HYmiR0VY/edit#gid=1361333659"",""2025-26!J3"")"),78.0)</f>
        <v>78</v>
      </c>
      <c r="R19" s="55">
        <f>IFERROR(__xludf.DUMMYFUNCTION("IMPORTRANGE(""https://docs.google.com/spreadsheets/d/1WzUdmfnQDNkhWeXGDxfn71m4gjwTEw7ImG_HYmiR0VY/edit#gid=1361333659"",""2025-26!K4"")"),312440.51999999996)</f>
        <v>312440.52</v>
      </c>
      <c r="S19" s="55">
        <f>IFERROR(__xludf.DUMMYFUNCTION("IMPORTRANGE(""https://docs.google.com/spreadsheets/d/1WzUdmfnQDNkhWeXGDxfn71m4gjwTEw7ImG_HYmiR0VY/edit#gid=1361333659"",""2025-26!K3"")"),11.0)</f>
        <v>11</v>
      </c>
      <c r="T19" s="58">
        <f t="shared" si="18"/>
        <v>0.367265218</v>
      </c>
      <c r="U19" s="55">
        <f>IFERROR(__xludf.DUMMYFUNCTION("IMPORTRANGE(""https://docs.google.com/spreadsheets/d/1WzUdmfnQDNkhWeXGDxfn71m4gjwTEw7ImG_HYmiR0VY/edit#gid=1361333659"",""2025-26!L4"")"),312481.0)</f>
        <v>312481</v>
      </c>
      <c r="V19" s="79">
        <f>IFERROR(__xludf.DUMMYFUNCTION("IMPORTRANGE(""https://docs.google.com/spreadsheets/d/1WzUdmfnQDNkhWeXGDxfn71m4gjwTEw7ImG_HYmiR0VY/edit#gid=1361333659"",""2025-26!L3"")"),11.0)</f>
        <v>11</v>
      </c>
      <c r="W19" s="55">
        <f>IFERROR(__xludf.DUMMYFUNCTION("IMPORTRANGE(""https://docs.google.com/spreadsheets/d/1WzUdmfnQDNkhWeXGDxfn71m4gjwTEw7ImG_HYmiR0VY/edit#gid=1361333659"",""2025-26!M4"")"),850832.0)</f>
        <v>850832</v>
      </c>
      <c r="X19" s="79">
        <f>IFERROR(__xludf.DUMMYFUNCTION("IMPORTRANGE(""https://docs.google.com/spreadsheets/d/1WzUdmfnQDNkhWeXGDxfn71m4gjwTEw7ImG_HYmiR0VY/edit#gid=1361333659"",""2025-26!M3"")"),78.0)</f>
        <v>78</v>
      </c>
      <c r="Y19" s="55">
        <f>IFERROR(__xludf.DUMMYFUNCTION("importrange(""https://docs.google.com/spreadsheets/d/1WzUdmfnQDNkhWeXGDxfn71m4gjwTEw7ImG_HYmiR0VY/edit#gid=1361333659"",""2025-26!n4"")"),431750.32000000007)</f>
        <v>431750.32</v>
      </c>
      <c r="Z19" s="55">
        <f>IFERROR(__xludf.DUMMYFUNCTION("importrange(""https://docs.google.com/spreadsheets/d/1WzUdmfnQDNkhWeXGDxfn71m4gjwTEw7ImG_HYmiR0VY/edit#gid=1361333659"",""2025-26!n3"")"),15.0)</f>
        <v>15</v>
      </c>
      <c r="AA19" s="58">
        <f t="shared" si="19"/>
        <v>0.5074456532</v>
      </c>
      <c r="AB19" s="55">
        <f>IFERROR(__xludf.DUMMYFUNCTION("importrange(""https://docs.google.com/spreadsheets/d/1WzUdmfnQDNkhWeXGDxfn71m4gjwTEw7ImG_HYmiR0VY/edit#gid=1361333659"",""2025-26!o4"")"),431751.0)</f>
        <v>431751</v>
      </c>
      <c r="AC19" s="55">
        <f>IFERROR(__xludf.DUMMYFUNCTION("importrange(""https://docs.google.com/spreadsheets/d/1WzUdmfnQDNkhWeXGDxfn71m4gjwTEw7ImG_HYmiR0VY/edit#gid=1361333659"",""2025-26!o3"")"),15.0)</f>
        <v>15</v>
      </c>
      <c r="AD19" s="55">
        <f>IFERROR(__xludf.DUMMYFUNCTION("importrange(""https://docs.google.com/spreadsheets/d/1WzUdmfnQDNkhWeXGDxfn71m4gjwTEw7ImG_HYmiR0VY/edit#gid=1361333659"",""2025-26!p4"")"),850832.0)</f>
        <v>850832</v>
      </c>
      <c r="AE19" s="55">
        <f>IFERROR(__xludf.DUMMYFUNCTION("importrange(""https://docs.google.com/spreadsheets/d/1WzUdmfnQDNkhWeXGDxfn71m4gjwTEw7ImG_HYmiR0VY/edit#gid=1361333659"",""2025-26!p3"")"),78.0)</f>
        <v>78</v>
      </c>
      <c r="AF19" s="55">
        <f>IFERROR(__xludf.DUMMYFUNCTION("importrange(""https://docs.google.com/spreadsheets/d/1WzUdmfnQDNkhWeXGDxfn71m4gjwTEw7ImG_HYmiR0VY/edit#gid=1361333659"",""2025-26!q4"")"),579055.84)</f>
        <v>579055.84</v>
      </c>
      <c r="AG19" s="55">
        <f>IFERROR(__xludf.DUMMYFUNCTION("importrange(""https://docs.google.com/spreadsheets/d/1WzUdmfnQDNkhWeXGDxfn71m4gjwTEw7ImG_HYmiR0VY/edit#gid=1361333659"",""2025-26!q3"")"),16.0)</f>
        <v>16</v>
      </c>
      <c r="AH19" s="58">
        <f t="shared" si="20"/>
        <v>0.7112426425</v>
      </c>
      <c r="AI19" s="55">
        <f>IFERROR(__xludf.DUMMYFUNCTION("importrange(""https://docs.google.com/spreadsheets/d/1WzUdmfnQDNkhWeXGDxfn71m4gjwTEw7ImG_HYmiR0VY/edit#gid=1361333659"",""2025-26!r4"")"),605148.0)</f>
        <v>605148</v>
      </c>
      <c r="AJ19" s="55">
        <f>IFERROR(__xludf.DUMMYFUNCTION("importrange(""https://docs.google.com/spreadsheets/d/1WzUdmfnQDNkhWeXGDxfn71m4gjwTEw7ImG_HYmiR0VY/edit#gid=1361333659"",""2025-26!r3"")"),17.0)</f>
        <v>17</v>
      </c>
      <c r="AK19" s="55">
        <f>IFERROR(__xludf.DUMMYFUNCTION("importrange(""https://docs.google.com/spreadsheets/d/1WzUdmfnQDNkhWeXGDxfn71m4gjwTEw7ImG_HYmiR0VY/edit#gid=1361333659"",""2025-26!s4"")"),850832.0)</f>
        <v>850832</v>
      </c>
      <c r="AL19" s="55">
        <f>IFERROR(__xludf.DUMMYFUNCTION("importrange(""https://docs.google.com/spreadsheets/d/1WzUdmfnQDNkhWeXGDxfn71m4gjwTEw7ImG_HYmiR0VY/edit#gid=1361333659"",""2025-26!s3"")"),78.0)</f>
        <v>78</v>
      </c>
      <c r="AM19" s="57">
        <f>IFERROR(__xludf.DUMMYFUNCTION("importrange(""https://docs.google.com/spreadsheets/d/1WzUdmfnQDNkhWeXGDxfn71m4gjwTEw7ImG_HYmiR0VY/edit#gid=1361333659"",""2025-26!t4"")"),374506.54)</f>
        <v>374506.54</v>
      </c>
      <c r="AN19" s="55">
        <f>IFERROR(__xludf.DUMMYFUNCTION("importrange(""https://docs.google.com/spreadsheets/d/1WzUdmfnQDNkhWeXGDxfn71m4gjwTEw7ImG_HYmiR0VY/edit#gid=1361333659"",""2025-26!t3"")"),14.0)</f>
        <v>14</v>
      </c>
      <c r="AO19" s="58">
        <f t="shared" si="21"/>
        <v>0.4361189988</v>
      </c>
      <c r="AP19" s="55">
        <f>IFERROR(__xludf.DUMMYFUNCTION("importrange(""https://docs.google.com/spreadsheets/d/1WzUdmfnQDNkhWeXGDxfn71m4gjwTEw7ImG_HYmiR0VY/edit#gid=1361333659"",""2025-26!u4"")"),371064.0)</f>
        <v>371064</v>
      </c>
      <c r="AQ19" s="55">
        <f>IFERROR(__xludf.DUMMYFUNCTION("importrange(""https://docs.google.com/spreadsheets/d/1WzUdmfnQDNkhWeXGDxfn71m4gjwTEw7ImG_HYmiR0VY/edit#gid=1361333659"",""2025-26!u3"")"),13.0)</f>
        <v>13</v>
      </c>
      <c r="AR19" s="55">
        <f>IFERROR(__xludf.DUMMYFUNCTION("importrange(""https://docs.google.com/spreadsheets/d/1WzUdmfnQDNkhWeXGDxfn71m4gjwTEw7ImG_HYmiR0VY/edit#gid=1361333659"",""2025-26!v4"")"),850832.0)</f>
        <v>850832</v>
      </c>
      <c r="AS19" s="55">
        <f>IFERROR(__xludf.DUMMYFUNCTION("importrange(""https://docs.google.com/spreadsheets/d/1WzUdmfnQDNkhWeXGDxfn71m4gjwTEw7ImG_HYmiR0VY/edit#gid=1361333659"",""2025-26!v3"")"),78.0)</f>
        <v>78</v>
      </c>
      <c r="AT19" s="57">
        <f>IFERROR(__xludf.DUMMYFUNCTION("importrange(""https://docs.google.com/spreadsheets/d/1WzUdmfnQDNkhWeXGDxfn71m4gjwTEw7ImG_HYmiR0VY/edit#gid=1361333659"",""2025-26!w4"")"),488495.16000000003)</f>
        <v>488495.16</v>
      </c>
      <c r="AU19" s="55">
        <f>IFERROR(__xludf.DUMMYFUNCTION("importrange(""https://docs.google.com/spreadsheets/d/1WzUdmfnQDNkhWeXGDxfn71m4gjwTEw7ImG_HYmiR0VY/edit#gid=1361333659"",""2025-26!w3"")"),15.0)</f>
        <v>15</v>
      </c>
      <c r="AV19" s="58">
        <f t="shared" si="22"/>
        <v>0.5741380202</v>
      </c>
      <c r="AW19" s="55">
        <f>IFERROR(__xludf.DUMMYFUNCTION("importrange(""https://docs.google.com/spreadsheets/d/1WzUdmfnQDNkhWeXGDxfn71m4gjwTEw7ImG_HYmiR0VY/edit#gid=1361333659"",""2025-26!x4"")"),488495.0)</f>
        <v>488495</v>
      </c>
      <c r="AX19" s="55">
        <f>IFERROR(__xludf.DUMMYFUNCTION("importrange(""https://docs.google.com/spreadsheets/d/1WzUdmfnQDNkhWeXGDxfn71m4gjwTEw7ImG_HYmiR0VY/edit#gid=1361333659"",""2025-26!x3"")"),15.0)</f>
        <v>15</v>
      </c>
      <c r="AY19" s="55">
        <f>IFERROR(__xludf.DUMMYFUNCTION("importrange(""https://docs.google.com/spreadsheets/d/1WzUdmfnQDNkhWeXGDxfn71m4gjwTEw7ImG_HYmiR0VY/edit#gid=1361333659"",""2025-26!y4"")"),850832.0)</f>
        <v>850832</v>
      </c>
      <c r="AZ19" s="55">
        <f>IFERROR(__xludf.DUMMYFUNCTION("importrange(""https://docs.google.com/spreadsheets/d/1WzUdmfnQDNkhWeXGDxfn71m4gjwTEw7ImG_HYmiR0VY/edit#gid=1361333659"",""2025-26!y3"")"),78.0)</f>
        <v>78</v>
      </c>
      <c r="BA19" s="57">
        <f>IFERROR(__xludf.DUMMYFUNCTION("importrange(""https://docs.google.com/spreadsheets/d/1WzUdmfnQDNkhWeXGDxfn71m4gjwTEw7ImG_HYmiR0VY/edit#gid=1361333659"",""2025-26!z4"")"),485726.26999999996)</f>
        <v>485726.27</v>
      </c>
      <c r="BB19" s="55">
        <f>IFERROR(__xludf.DUMMYFUNCTION("importrange(""https://docs.google.com/spreadsheets/d/1WzUdmfnQDNkhWeXGDxfn71m4gjwTEw7ImG_HYmiR0VY/edit#gid=1361333659"",""2025-26!z3"")"),13.0)</f>
        <v>13</v>
      </c>
      <c r="BC19" s="59">
        <f t="shared" si="23"/>
        <v>0.5708859093</v>
      </c>
      <c r="BD19" s="55">
        <f>IFERROR(__xludf.DUMMYFUNCTION("importrange(""https://docs.google.com/spreadsheets/d/1WzUdmfnQDNkhWeXGDxfn71m4gjwTEw7ImG_HYmiR0VY/edit#gid=1361333659"",""2025-26!aa4"")"),485728.0)</f>
        <v>485728</v>
      </c>
      <c r="BE19" s="55">
        <f>IFERROR(__xludf.DUMMYFUNCTION("importrange(""https://docs.google.com/spreadsheets/d/1WzUdmfnQDNkhWeXGDxfn71m4gjwTEw7ImG_HYmiR0VY/edit#gid=1361333659"",""2025-26!aa3"")"),13.0)</f>
        <v>13</v>
      </c>
      <c r="BF19" s="55">
        <f>IFERROR(__xludf.DUMMYFUNCTION("importrange(""https://docs.google.com/spreadsheets/d/1WzUdmfnQDNkhWeXGDxfn71m4gjwTEw7ImG_HYmiR0VY/edit#gid=1361333659"",""2025-26!ab4"")"),850832.0)</f>
        <v>850832</v>
      </c>
      <c r="BG19" s="55">
        <f>IFERROR(__xludf.DUMMYFUNCTION("importrange(""https://docs.google.com/spreadsheets/d/1WzUdmfnQDNkhWeXGDxfn71m4gjwTEw7ImG_HYmiR0VY/edit#gid=1361333659"",""2025-26!ab3"")"),78.0)</f>
        <v>78</v>
      </c>
      <c r="BH19" s="55">
        <f>IFERROR(__xludf.DUMMYFUNCTION("importrange(""https://docs.google.com/spreadsheets/d/1WzUdmfnQDNkhWeXGDxfn71m4gjwTEw7ImG_HYmiR0VY/edit#gid=1361333659"",""2025-26!ac4"")"),533966.01)</f>
        <v>533966.01</v>
      </c>
      <c r="BI19" s="55">
        <f>IFERROR(__xludf.DUMMYFUNCTION("importrange(""https://docs.google.com/spreadsheets/d/1WzUdmfnQDNkhWeXGDxfn71m4gjwTEw7ImG_HYmiR0VY/edit#gid=1361333659"",""2025-26!ac3"")"),9.0)</f>
        <v>9</v>
      </c>
      <c r="BJ19" s="59">
        <f t="shared" si="24"/>
        <v>0.6275821784</v>
      </c>
      <c r="BK19" s="55">
        <f>IFERROR(__xludf.DUMMYFUNCTION("importrange(""https://docs.google.com/spreadsheets/d/1WzUdmfnQDNkhWeXGDxfn71m4gjwTEw7ImG_HYmiR0VY/edit#gid=1361333659"",""2025-26!ad4"")"),533967.0)</f>
        <v>533967</v>
      </c>
      <c r="BL19" s="55">
        <f>IFERROR(__xludf.DUMMYFUNCTION("importrange(""https://docs.google.com/spreadsheets/d/1WzUdmfnQDNkhWeXGDxfn71m4gjwTEw7ImG_HYmiR0VY/edit#gid=1361333659"",""2025-26!ad3"")"),9.0)</f>
        <v>9</v>
      </c>
      <c r="BM19" s="55">
        <f>IFERROR(__xludf.DUMMYFUNCTION("importrange(""https://docs.google.com/spreadsheets/d/1WzUdmfnQDNkhWeXGDxfn71m4gjwTEw7ImG_HYmiR0VY/edit#gid=1361333659"",""2025-26!ae4"")"),850832.0)</f>
        <v>850832</v>
      </c>
      <c r="BN19" s="55">
        <f>IFERROR(__xludf.DUMMYFUNCTION("importrange(""https://docs.google.com/spreadsheets/d/1WzUdmfnQDNkhWeXGDxfn71m4gjwTEw7ImG_HYmiR0VY/edit#gid=1361333659"",""2025-26!ae3"")"),78.0)</f>
        <v>78</v>
      </c>
      <c r="BO19" s="55">
        <f>IFERROR(__xludf.DUMMYFUNCTION("importrange(""https://docs.google.com/spreadsheets/d/1WzUdmfnQDNkhWeXGDxfn71m4gjwTEw7ImG_HYmiR0VY/edit#gid=1361333659"",""2025-26!af4"")"),453125.6500000001)</f>
        <v>453125.65</v>
      </c>
      <c r="BP19" s="55">
        <f>IFERROR(__xludf.DUMMYFUNCTION("importrange(""https://docs.google.com/spreadsheets/d/1WzUdmfnQDNkhWeXGDxfn71m4gjwTEw7ImG_HYmiR0VY/edit#gid=1361333659"",""2025-26!af3"")"),16.0)</f>
        <v>16</v>
      </c>
      <c r="BQ19" s="59">
        <f t="shared" si="25"/>
        <v>0.5325669462</v>
      </c>
      <c r="BR19" s="55">
        <f>IFERROR(__xludf.DUMMYFUNCTION("importrange(""https://docs.google.com/spreadsheets/d/1WzUdmfnQDNkhWeXGDxfn71m4gjwTEw7ImG_HYmiR0VY/edit#gid=1361333659"",""2025-26!ag4"")"),453125.0)</f>
        <v>453125</v>
      </c>
      <c r="BS19" s="55">
        <f>IFERROR(__xludf.DUMMYFUNCTION("importrange(""https://docs.google.com/spreadsheets/d/1WzUdmfnQDNkhWeXGDxfn71m4gjwTEw7ImG_HYmiR0VY/edit#gid=1361333659"",""2025-26!ag3"")"),16.0)</f>
        <v>16</v>
      </c>
      <c r="BT19" s="55">
        <f>IFERROR(__xludf.DUMMYFUNCTION("importrange(""https://docs.google.com/spreadsheets/d/1WzUdmfnQDNkhWeXGDxfn71m4gjwTEw7ImG_HYmiR0VY/edit#gid=1361333659"",""2025-26!ah4"")"),850832.0)</f>
        <v>850832</v>
      </c>
      <c r="BU19" s="55">
        <f>IFERROR(__xludf.DUMMYFUNCTION("importrange(""https://docs.google.com/spreadsheets/d/1WzUdmfnQDNkhWeXGDxfn71m4gjwTEw7ImG_HYmiR0VY/edit#gid=1361333659"",""2025-26!ah3"")"),78.0)</f>
        <v>78</v>
      </c>
      <c r="BV19" s="55">
        <f>IFERROR(__xludf.DUMMYFUNCTION("importrange(""https://docs.google.com/spreadsheets/d/1WzUdmfnQDNkhWeXGDxfn71m4gjwTEw7ImG_HYmiR0VY/edit#gid=1361333659"",""2025-26!ai4"")"),558233.6900000001)</f>
        <v>558233.69</v>
      </c>
      <c r="BW19" s="55">
        <f>IFERROR(__xludf.DUMMYFUNCTION("importrange(""https://docs.google.com/spreadsheets/d/1WzUdmfnQDNkhWeXGDxfn71m4gjwTEw7ImG_HYmiR0VY/edit#gid=1361333659"",""2025-26!ai3"")"),19.0)</f>
        <v>19</v>
      </c>
      <c r="BX19" s="59">
        <f t="shared" si="26"/>
        <v>0.6563246328</v>
      </c>
      <c r="BY19" s="55">
        <f>IFERROR(__xludf.DUMMYFUNCTION("importrange(""https://docs.google.com/spreadsheets/d/1WzUdmfnQDNkhWeXGDxfn71m4gjwTEw7ImG_HYmiR0VY/edit#gid=1361333659"",""2025-26!aj4"")"),558422.0)</f>
        <v>558422</v>
      </c>
      <c r="BZ19" s="55">
        <f>IFERROR(__xludf.DUMMYFUNCTION("importrange(""https://docs.google.com/spreadsheets/d/1WzUdmfnQDNkhWeXGDxfn71m4gjwTEw7ImG_HYmiR0VY/edit#gid=1361333659"",""2025-26!aj3"")"),19.0)</f>
        <v>19</v>
      </c>
      <c r="CA19" s="55">
        <f>IFERROR(__xludf.DUMMYFUNCTION("importrange(""https://docs.google.com/spreadsheets/d/1WzUdmfnQDNkhWeXGDxfn71m4gjwTEw7ImG_HYmiR0VY/edit#gid=1361333659"",""2025-26!ak4"")"),850832.0)</f>
        <v>850832</v>
      </c>
      <c r="CB19" s="55">
        <f>IFERROR(__xludf.DUMMYFUNCTION("importrange(""https://docs.google.com/spreadsheets/d/1WzUdmfnQDNkhWeXGDxfn71m4gjwTEw7ImG_HYmiR0VY/edit#gid=1361333659"",""2025-26!ak3"")"),78.0)</f>
        <v>78</v>
      </c>
      <c r="CC19" s="55">
        <f>IFERROR(__xludf.DUMMYFUNCTION("importrange(""https://docs.google.com/spreadsheets/d/1WzUdmfnQDNkhWeXGDxfn71m4gjwTEw7ImG_HYmiR0VY/edit#gid=1361333659"",""2025-26!al4"")"),611706.6699999999)</f>
        <v>611706.67</v>
      </c>
      <c r="CD19" s="55">
        <f>IFERROR(__xludf.DUMMYFUNCTION("importrange(""https://docs.google.com/spreadsheets/d/1WzUdmfnQDNkhWeXGDxfn71m4gjwTEw7ImG_HYmiR0VY/edit#gid=1361333659"",""2025-26!ai3"")"),19.0)</f>
        <v>19</v>
      </c>
      <c r="CE19" s="59">
        <f t="shared" si="27"/>
        <v>0.7361347481</v>
      </c>
      <c r="CF19" s="55">
        <f>IFERROR(__xludf.DUMMYFUNCTION("importrange(""https://docs.google.com/spreadsheets/d/1WzUdmfnQDNkhWeXGDxfn71m4gjwTEw7ImG_HYmiR0VY/edit#gid=1361333659"",""2025-26!am4"")"),626327.0)</f>
        <v>626327</v>
      </c>
      <c r="CG19" s="55">
        <f>IFERROR(__xludf.DUMMYFUNCTION("importrange(""https://docs.google.com/spreadsheets/d/1WzUdmfnQDNkhWeXGDxfn71m4gjwTEw7ImG_HYmiR0VY/edit#gid=1361333659"",""2025-26!am3"")"),16.0)</f>
        <v>16</v>
      </c>
      <c r="CH19" s="55">
        <f>IFERROR(__xludf.DUMMYFUNCTION("importrange(""https://docs.google.com/spreadsheets/d/1WzUdmfnQDNkhWeXGDxfn71m4gjwTEw7ImG_HYmiR0VY/edit#gid=1361333659"",""2025-26!an4"")"),850832.0)</f>
        <v>850832</v>
      </c>
      <c r="CI19" s="55">
        <f>IFERROR(__xludf.DUMMYFUNCTION("importrange(""https://docs.google.com/spreadsheets/d/1WzUdmfnQDNkhWeXGDxfn71m4gjwTEw7ImG_HYmiR0VY/edit#gid=1361333659"",""2025-26!an3"")"),78.0)</f>
        <v>78</v>
      </c>
      <c r="CJ19" s="55">
        <f>IFERROR(__xludf.DUMMYFUNCTION("importrange(""https://docs.google.com/spreadsheets/d/1WzUdmfnQDNkhWeXGDxfn71m4gjwTEw7ImG_HYmiR0VY/edit#gid=1361333659"",""2025-26!ao4"")"),607860.8600000001)</f>
        <v>607860.86</v>
      </c>
      <c r="CK19" s="55">
        <f>IFERROR(__xludf.DUMMYFUNCTION("importrange(""https://docs.google.com/spreadsheets/d/1WzUdmfnQDNkhWeXGDxfn71m4gjwTEw7ImG_HYmiR0VY/edit#gid=1361333659"",""2025-26!ao3"")"),23.0)</f>
        <v>23</v>
      </c>
      <c r="CL19" s="59">
        <f t="shared" si="28"/>
        <v>0.6934001072</v>
      </c>
      <c r="CM19" s="55">
        <f>IFERROR(__xludf.DUMMYFUNCTION("importrange(""https://docs.google.com/spreadsheets/d/1WzUdmfnQDNkhWeXGDxfn71m4gjwTEw7ImG_HYmiR0VY/edit#gid=1361333659"",""2025-26!ap4"")"),589967.0)</f>
        <v>589967</v>
      </c>
      <c r="CN19" s="55">
        <f>IFERROR(__xludf.DUMMYFUNCTION("importrange(""https://docs.google.com/spreadsheets/d/1WzUdmfnQDNkhWeXGDxfn71m4gjwTEw7ImG_HYmiR0VY/edit#gid=1361333659"",""2025-26!ap3"")"),22.0)</f>
        <v>22</v>
      </c>
      <c r="CO19" s="55">
        <f>IFERROR(__xludf.DUMMYFUNCTION("importrange(""https://docs.google.com/spreadsheets/d/1WzUdmfnQDNkhWeXGDxfn71m4gjwTEw7ImG_HYmiR0VY/edit#gid=1361333659"",""2025-26!aq4"")"),850832.0)</f>
        <v>850832</v>
      </c>
      <c r="CP19" s="55">
        <f>IFERROR(__xludf.DUMMYFUNCTION("importrange(""https://docs.google.com/spreadsheets/d/1WzUdmfnQDNkhWeXGDxfn71m4gjwTEw7ImG_HYmiR0VY/edit#gid=1361333659"",""2025-26!aq3"")"),78.0)</f>
        <v>78</v>
      </c>
      <c r="CQ19" s="55">
        <f>IFERROR(__xludf.DUMMYFUNCTION("importrange(""https://docs.google.com/spreadsheets/d/1WzUdmfnQDNkhWeXGDxfn71m4gjwTEw7ImG_HYmiR0VY/edit#gid=1361333659"",""2025-26!ar4"")"),461353.35)</f>
        <v>461353.35</v>
      </c>
      <c r="CR19" s="55">
        <f>IFERROR(__xludf.DUMMYFUNCTION("importrange(""https://docs.google.com/spreadsheets/d/1WzUdmfnQDNkhWeXGDxfn71m4gjwTEw7ImG_HYmiR0VY/edit#gid=1361333659"",""2025-26!ar3"")"),12.0)</f>
        <v>12</v>
      </c>
      <c r="CS19" s="59">
        <f t="shared" si="29"/>
        <v>0.5422386558</v>
      </c>
      <c r="CT19" s="55">
        <f>IFERROR(__xludf.DUMMYFUNCTION("importrange(""https://docs.google.com/spreadsheets/d/1WzUdmfnQDNkhWeXGDxfn71m4gjwTEw7ImG_HYmiR0VY/edit#gid=1361333659"",""2025-26!as4"")"),461354.0)</f>
        <v>461354</v>
      </c>
      <c r="CU19" s="55">
        <f>IFERROR(__xludf.DUMMYFUNCTION("importrange(""https://docs.google.com/spreadsheets/d/1WzUdmfnQDNkhWeXGDxfn71m4gjwTEw7ImG_HYmiR0VY/edit#gid=1361333659"",""2025-26!as3"")"),12.0)</f>
        <v>12</v>
      </c>
      <c r="CV19" s="60" t="s">
        <v>56</v>
      </c>
    </row>
    <row r="20">
      <c r="A20" s="76" t="s">
        <v>53</v>
      </c>
      <c r="B20" s="37"/>
      <c r="C20" s="64" t="s">
        <v>57</v>
      </c>
      <c r="D20" s="50" t="s">
        <v>58</v>
      </c>
      <c r="E20" s="50">
        <v>8.432805343E9</v>
      </c>
      <c r="F20" s="78">
        <v>45518.0</v>
      </c>
      <c r="G20" s="62"/>
      <c r="H20" s="62"/>
      <c r="I20" s="53">
        <f>VLOOKUP($C20,Data!$C:$BV,72,0)</f>
        <v>23570</v>
      </c>
      <c r="J20" s="54">
        <v>700000.0</v>
      </c>
      <c r="K20" s="57">
        <f>IFERROR(__xludf.DUMMYFUNCTION("IMPORTRANGE(""https://docs.google.com/spreadsheets/d/1zbKpAkjR5pwXNP3vlQNzKnZWdUfQd6EtmpoFtLBYJoY/edit?gid=1824619316#gid=1824619316"",""2025-26!A3"")"),88.0)</f>
        <v>88</v>
      </c>
      <c r="L20" s="57">
        <f>IFERROR(__xludf.DUMMYFUNCTION("IMPORTRANGE(""https://docs.google.com/spreadsheets/d/1zbKpAkjR5pwXNP3vlQNzKnZWdUfQd6EtmpoFtLBYJoY/edit?gid=1824619316#gid=1824619316"",""2025-26!G4"")"),4265000.0)</f>
        <v>4265000</v>
      </c>
      <c r="M20" s="55">
        <f t="shared" si="15"/>
        <v>2887869.84</v>
      </c>
      <c r="N20" s="56">
        <f t="shared" si="30"/>
        <v>0.1208075029</v>
      </c>
      <c r="O20" s="57">
        <f t="shared" si="31"/>
        <v>515244</v>
      </c>
      <c r="P20" s="55">
        <f>IFERROR(__xludf.DUMMYFUNCTION("IMPORTRANGE(""https://docs.google.com/spreadsheets/d/1zbKpAkjR5pwXNP3vlQNzKnZWdUfQd6EtmpoFtLBYJoY/edit?gid=1824619316#gid=1824619316"",""2025-26!J4"")"),132339.0)</f>
        <v>132339</v>
      </c>
      <c r="Q20" s="55">
        <f>IFERROR(__xludf.DUMMYFUNCTION("IMPORTRANGE(""https://docs.google.com/spreadsheets/d/1zbKpAkjR5pwXNP3vlQNzKnZWdUfQd6EtmpoFtLBYJoY/edit?gid=1824619316#gid=1824619316"",""2025-26!J3"")"),12.0)</f>
        <v>12</v>
      </c>
      <c r="R20" s="55">
        <f>IFERROR(__xludf.DUMMYFUNCTION("IMPORTRANGE(""https://docs.google.com/spreadsheets/d/1zbKpAkjR5pwXNP3vlQNzKnZWdUfQd6EtmpoFtLBYJoY/edit?gid=1824619316#gid=1824619316"",""2025-26!K4"")"),179291.4)</f>
        <v>179291.4</v>
      </c>
      <c r="S20" s="55">
        <f>IFERROR(__xludf.DUMMYFUNCTION("IMPORTRANGE(""https://docs.google.com/spreadsheets/d/1zbKpAkjR5pwXNP3vlQNzKnZWdUfQd6EtmpoFtLBYJoY/edit?gid=1824619316#gid=1824619316"",""2025-26!K3"")"),13.0)</f>
        <v>13</v>
      </c>
      <c r="T20" s="58">
        <f t="shared" si="18"/>
        <v>0.4733298574</v>
      </c>
      <c r="U20" s="55">
        <f>IFERROR(__xludf.DUMMYFUNCTION("IMPORTRANGE(""https://docs.google.com/spreadsheets/d/1zbKpAkjR5pwXNP3vlQNzKnZWdUfQd6EtmpoFtLBYJoY/edit?gid=1824619316#gid=1824619316"",""2025-26!L4"")"),62640.0)</f>
        <v>62640</v>
      </c>
      <c r="V20" s="79">
        <f>IFERROR(__xludf.DUMMYFUNCTION("IMPORTRANGE(""https://docs.google.com/spreadsheets/d/1zbKpAkjR5pwXNP3vlQNzKnZWdUfQd6EtmpoFtLBYJoY/edit?gid=1824619316#gid=1824619316"",""2025-26!L3"")"),6.0)</f>
        <v>6</v>
      </c>
      <c r="W20" s="55">
        <f>IFERROR(__xludf.DUMMYFUNCTION("IMPORTRANGE(""https://docs.google.com/spreadsheets/d/1zbKpAkjR5pwXNP3vlQNzKnZWdUfQd6EtmpoFtLBYJoY/edit?gid=1824619316#gid=1824619316"",""2025-26!M4"")"),206333.0)</f>
        <v>206333</v>
      </c>
      <c r="X20" s="79">
        <f>IFERROR(__xludf.DUMMYFUNCTION("IMPORTRANGE(""https://docs.google.com/spreadsheets/d/1zbKpAkjR5pwXNP3vlQNzKnZWdUfQd6EtmpoFtLBYJoY/edit?gid=1824619316#gid=1824619316"",""2025-26!M3"")"),15.0)</f>
        <v>15</v>
      </c>
      <c r="Y20" s="55">
        <f>IFERROR(__xludf.DUMMYFUNCTION("importrange(""https://docs.google.com/spreadsheets/d/1zbKpAkjR5pwXNP3vlQNzKnZWdUfQd6EtmpoFtLBYJoY/edit?gid=1824619316#gid=1824619316"",""2025-26!n4"")"),216147.13999999998)</f>
        <v>216147.14</v>
      </c>
      <c r="Z20" s="55">
        <f>IFERROR(__xludf.DUMMYFUNCTION("importrange(""https://docs.google.com/spreadsheets/d/1zbKpAkjR5pwXNP3vlQNzKnZWdUfQd6EtmpoFtLBYJoY/edit?gid=1824619316#gid=1824619316"",""2025-26!n3"")"),16.0)</f>
        <v>16</v>
      </c>
      <c r="AA20" s="58">
        <f t="shared" si="19"/>
        <v>0.122694867</v>
      </c>
      <c r="AB20" s="55">
        <f>IFERROR(__xludf.DUMMYFUNCTION("importrange(""https://docs.google.com/spreadsheets/d/1zbKpAkjR5pwXNP3vlQNzKnZWdUfQd6EtmpoFtLBYJoY/edit?gid=1824619316#gid=1824619316"",""2025-26!o4"")"),25316.0)</f>
        <v>25316</v>
      </c>
      <c r="AC20" s="55">
        <f>IFERROR(__xludf.DUMMYFUNCTION("importrange(""https://docs.google.com/spreadsheets/d/1zbKpAkjR5pwXNP3vlQNzKnZWdUfQd6EtmpoFtLBYJoY/edit?gid=1824619316#gid=1824619316"",""2025-26!o3"")"),2.0)</f>
        <v>2</v>
      </c>
      <c r="AD20" s="55">
        <f>IFERROR(__xludf.DUMMYFUNCTION("importrange(""https://docs.google.com/spreadsheets/d/1zbKpAkjR5pwXNP3vlQNzKnZWdUfQd6EtmpoFtLBYJoY/edit?gid=1824619316#gid=1824619316"",""2025-26!p4"")"),172561.0)</f>
        <v>172561</v>
      </c>
      <c r="AE20" s="55">
        <f>IFERROR(__xludf.DUMMYFUNCTION("importrange(""https://docs.google.com/spreadsheets/d/1zbKpAkjR5pwXNP3vlQNzKnZWdUfQd6EtmpoFtLBYJoY/edit?gid=1824619316#gid=1824619316"",""2025-26!p3"")"),14.0)</f>
        <v>14</v>
      </c>
      <c r="AF20" s="55">
        <f>IFERROR(__xludf.DUMMYFUNCTION("importrange(""https://docs.google.com/spreadsheets/d/1zbKpAkjR5pwXNP3vlQNzKnZWdUfQd6EtmpoFtLBYJoY/edit?gid=1824619316#gid=1824619316"",""2025-26!q4"")"),281453.36)</f>
        <v>281453.36</v>
      </c>
      <c r="AG20" s="55">
        <f>IFERROR(__xludf.DUMMYFUNCTION("importrange(""https://docs.google.com/spreadsheets/d/1zbKpAkjR5pwXNP3vlQNzKnZWdUfQd6EtmpoFtLBYJoY/edit?gid=1824619316#gid=1824619316"",""2025-26!q3"")"),19.0)</f>
        <v>19</v>
      </c>
      <c r="AH20" s="58">
        <f t="shared" si="20"/>
        <v>0.505276395</v>
      </c>
      <c r="AI20" s="55">
        <f>IFERROR(__xludf.DUMMYFUNCTION("importrange(""https://docs.google.com/spreadsheets/d/1zbKpAkjR5pwXNP3vlQNzKnZWdUfQd6EtmpoFtLBYJoY/edit?gid=1824619316#gid=1824619316"",""2025-26!r4"")"),87191.0)</f>
        <v>87191</v>
      </c>
      <c r="AJ20" s="55">
        <f>IFERROR(__xludf.DUMMYFUNCTION("importrange(""https://docs.google.com/spreadsheets/d/1zbKpAkjR5pwXNP3vlQNzKnZWdUfQd6EtmpoFtLBYJoY/edit?gid=1824619316#gid=1824619316"",""2025-26!r3"")"),6.0)</f>
        <v>6</v>
      </c>
      <c r="AK20" s="55">
        <f>IFERROR(__xludf.DUMMYFUNCTION("importrange(""https://docs.google.com/spreadsheets/d/1zbKpAkjR5pwXNP3vlQNzKnZWdUfQd6EtmpoFtLBYJoY/edit?gid=1824619316#gid=1824619316"",""2025-26!s4"")"),87400.0)</f>
        <v>87400</v>
      </c>
      <c r="AL20" s="55">
        <f>IFERROR(__xludf.DUMMYFUNCTION("importrange(""https://docs.google.com/spreadsheets/d/1zbKpAkjR5pwXNP3vlQNzKnZWdUfQd6EtmpoFtLBYJoY/edit?gid=1824619316#gid=1824619316"",""2025-26!s3"")"),7.0)</f>
        <v>7</v>
      </c>
      <c r="AM20" s="57">
        <f>IFERROR(__xludf.DUMMYFUNCTION("importrange(""https://docs.google.com/spreadsheets/d/1zbKpAkjR5pwXNP3vlQNzKnZWdUfQd6EtmpoFtLBYJoY/edit?gid=1824619316#gid=1824619316"",""2025-26!t4"")"),286803.7)</f>
        <v>286803.7</v>
      </c>
      <c r="AN20" s="55">
        <f>IFERROR(__xludf.DUMMYFUNCTION("importrange(""https://docs.google.com/spreadsheets/d/1zbKpAkjR5pwXNP3vlQNzKnZWdUfQd6EtmpoFtLBYJoY/edit?gid=1824619316#gid=1824619316"",""2025-26!t3"")"),19.0)</f>
        <v>19</v>
      </c>
      <c r="AO20" s="58">
        <f t="shared" si="21"/>
        <v>0</v>
      </c>
      <c r="AP20" s="55">
        <f>IFERROR(__xludf.DUMMYFUNCTION("importrange(""https://docs.google.com/spreadsheets/d/1zbKpAkjR5pwXNP3vlQNzKnZWdUfQd6EtmpoFtLBYJoY/edit?gid=1824619316#gid=1824619316"",""2025-26!u4"")"),0.0)</f>
        <v>0</v>
      </c>
      <c r="AQ20" s="55">
        <f>IFERROR(__xludf.DUMMYFUNCTION("importrange(""https://docs.google.com/spreadsheets/d/1zbKpAkjR5pwXNP3vlQNzKnZWdUfQd6EtmpoFtLBYJoY/edit?gid=1824619316#gid=1824619316"",""2025-26!u3"")"),0.0)</f>
        <v>0</v>
      </c>
      <c r="AR20" s="55">
        <f>IFERROR(__xludf.DUMMYFUNCTION("importrange(""https://docs.google.com/spreadsheets/d/1zbKpAkjR5pwXNP3vlQNzKnZWdUfQd6EtmpoFtLBYJoY/edit?gid=1824619316#gid=1824619316"",""2025-26!v4"")"),210718.0)</f>
        <v>210718</v>
      </c>
      <c r="AS20" s="55">
        <f>IFERROR(__xludf.DUMMYFUNCTION("importrange(""https://docs.google.com/spreadsheets/d/1zbKpAkjR5pwXNP3vlQNzKnZWdUfQd6EtmpoFtLBYJoY/edit?gid=1824619316#gid=1824619316"",""2025-26!v3"")"),10.0)</f>
        <v>10</v>
      </c>
      <c r="AT20" s="57">
        <f>IFERROR(__xludf.DUMMYFUNCTION("importrange(""https://docs.google.com/spreadsheets/d/1zbKpAkjR5pwXNP3vlQNzKnZWdUfQd6EtmpoFtLBYJoY/edit?gid=1824619316#gid=1824619316"",""2025-26!w4"")"),360688.43999999994)</f>
        <v>360688.44</v>
      </c>
      <c r="AU20" s="55">
        <f>IFERROR(__xludf.DUMMYFUNCTION("importrange(""https://docs.google.com/spreadsheets/d/1zbKpAkjR5pwXNP3vlQNzKnZWdUfQd6EtmpoFtLBYJoY/edit?gid=1824619316#gid=1824619316"",""2025-26!w3"")"),20.0)</f>
        <v>20</v>
      </c>
      <c r="AV20" s="58">
        <f t="shared" si="22"/>
        <v>0.08565001566</v>
      </c>
      <c r="AW20" s="55">
        <f>IFERROR(__xludf.DUMMYFUNCTION("importrange(""https://docs.google.com/spreadsheets/d/1zbKpAkjR5pwXNP3vlQNzKnZWdUfQd6EtmpoFtLBYJoY/edit?gid=1824619316#gid=1824619316"",""2025-26!x4"")"),18048.0)</f>
        <v>18048</v>
      </c>
      <c r="AX20" s="55">
        <f>IFERROR(__xludf.DUMMYFUNCTION("importrange(""https://docs.google.com/spreadsheets/d/1zbKpAkjR5pwXNP3vlQNzKnZWdUfQd6EtmpoFtLBYJoY/edit?gid=1824619316#gid=1824619316"",""2025-26!x3"")"),2.0)</f>
        <v>2</v>
      </c>
      <c r="AY20" s="55">
        <f>IFERROR(__xludf.DUMMYFUNCTION("importrange(""https://docs.google.com/spreadsheets/d/1zbKpAkjR5pwXNP3vlQNzKnZWdUfQd6EtmpoFtLBYJoY/edit?gid=1824619316#gid=1824619316"",""2025-26!y4"")"),144103.0)</f>
        <v>144103</v>
      </c>
      <c r="AZ20" s="55">
        <f>IFERROR(__xludf.DUMMYFUNCTION("importrange(""https://docs.google.com/spreadsheets/d/1zbKpAkjR5pwXNP3vlQNzKnZWdUfQd6EtmpoFtLBYJoY/edit?gid=1824619316#gid=1824619316"",""2025-26!y3"")"),7.0)</f>
        <v>7</v>
      </c>
      <c r="BA20" s="57">
        <f>IFERROR(__xludf.DUMMYFUNCTION("importrange(""https://docs.google.com/spreadsheets/d/1zbKpAkjR5pwXNP3vlQNzKnZWdUfQd6EtmpoFtLBYJoY/edit?gid=1824619316#gid=1824619316"",""2025-26!z4"")"),225811.19999999998)</f>
        <v>225811.2</v>
      </c>
      <c r="BB20" s="55">
        <f>IFERROR(__xludf.DUMMYFUNCTION("importrange(""https://docs.google.com/spreadsheets/d/1zbKpAkjR5pwXNP3vlQNzKnZWdUfQd6EtmpoFtLBYJoY/edit?gid=1824619316#gid=1824619316"",""2025-26!z3"")"),11.0)</f>
        <v>11</v>
      </c>
      <c r="BC20" s="59">
        <f t="shared" si="23"/>
        <v>0</v>
      </c>
      <c r="BD20" s="55">
        <f>IFERROR(__xludf.DUMMYFUNCTION("importrange(""https://docs.google.com/spreadsheets/d/1zbKpAkjR5pwXNP3vlQNzKnZWdUfQd6EtmpoFtLBYJoY/edit?gid=1824619316#gid=1824619316"",""2025-26!aa4"")"),0.0)</f>
        <v>0</v>
      </c>
      <c r="BE20" s="55">
        <f>IFERROR(__xludf.DUMMYFUNCTION("importrange(""https://docs.google.com/spreadsheets/d/1zbKpAkjR5pwXNP3vlQNzKnZWdUfQd6EtmpoFtLBYJoY/edit?gid=1824619316#gid=1824619316"",""2025-26!aa3"")"),0.0)</f>
        <v>0</v>
      </c>
      <c r="BF20" s="55">
        <f>IFERROR(__xludf.DUMMYFUNCTION("importrange(""https://docs.google.com/spreadsheets/d/1zbKpAkjR5pwXNP3vlQNzKnZWdUfQd6EtmpoFtLBYJoY/edit?gid=1824619316#gid=1824619316"",""2025-26!ab4"")"),200266.0)</f>
        <v>200266</v>
      </c>
      <c r="BG20" s="55">
        <f>IFERROR(__xludf.DUMMYFUNCTION("importrange(""https://docs.google.com/spreadsheets/d/1zbKpAkjR5pwXNP3vlQNzKnZWdUfQd6EtmpoFtLBYJoY/edit?gid=1824619316#gid=1824619316"",""2025-26!ab3"")"),9.0)</f>
        <v>9</v>
      </c>
      <c r="BH20" s="55">
        <f>IFERROR(__xludf.DUMMYFUNCTION("importrange(""https://docs.google.com/spreadsheets/d/1zbKpAkjR5pwXNP3vlQNzKnZWdUfQd6EtmpoFtLBYJoY/edit?gid=1824619316#gid=1824619316"",""2025-26!ac4"")"),128378.56000000001)</f>
        <v>128378.56</v>
      </c>
      <c r="BI20" s="55">
        <f>IFERROR(__xludf.DUMMYFUNCTION("importrange(""https://docs.google.com/spreadsheets/d/1zbKpAkjR5pwXNP3vlQNzKnZWdUfQd6EtmpoFtLBYJoY/edit?gid=1824619316#gid=1824619316"",""2025-26!ac3"")"),9.0)</f>
        <v>9</v>
      </c>
      <c r="BJ20" s="59">
        <f t="shared" si="24"/>
        <v>0.03239691211</v>
      </c>
      <c r="BK20" s="55">
        <f>IFERROR(__xludf.DUMMYFUNCTION("importrange(""https://docs.google.com/spreadsheets/d/1zbKpAkjR5pwXNP3vlQNzKnZWdUfQd6EtmpoFtLBYJoY/edit?gid=1824619316#gid=1824619316"",""2025-26!ad4"")"),6488.0)</f>
        <v>6488</v>
      </c>
      <c r="BL20" s="55">
        <f>IFERROR(__xludf.DUMMYFUNCTION("importrange(""https://docs.google.com/spreadsheets/d/1zbKpAkjR5pwXNP3vlQNzKnZWdUfQd6EtmpoFtLBYJoY/edit?gid=1824619316#gid=1824619316"",""2025-26!ad3"")"),1.0)</f>
        <v>1</v>
      </c>
      <c r="BM20" s="55">
        <f>IFERROR(__xludf.DUMMYFUNCTION("importrange(""https://docs.google.com/spreadsheets/d/1zbKpAkjR5pwXNP3vlQNzKnZWdUfQd6EtmpoFtLBYJoY/edit?gid=1824619316#gid=1824619316"",""2025-26!ae4"")"),267248.0)</f>
        <v>267248</v>
      </c>
      <c r="BN20" s="55">
        <f>IFERROR(__xludf.DUMMYFUNCTION("importrange(""https://docs.google.com/spreadsheets/d/1zbKpAkjR5pwXNP3vlQNzKnZWdUfQd6EtmpoFtLBYJoY/edit?gid=1824619316#gid=1824619316"",""2025-26!ae3"")"),16.0)</f>
        <v>16</v>
      </c>
      <c r="BO20" s="55">
        <f>IFERROR(__xludf.DUMMYFUNCTION("importrange(""https://docs.google.com/spreadsheets/d/1zbKpAkjR5pwXNP3vlQNzKnZWdUfQd6EtmpoFtLBYJoY/edit?gid=1824619316#gid=1824619316"",""2025-26!af4"")"),315690.51999999996)</f>
        <v>315690.52</v>
      </c>
      <c r="BP20" s="55">
        <f>IFERROR(__xludf.DUMMYFUNCTION("importrange(""https://docs.google.com/spreadsheets/d/1zbKpAkjR5pwXNP3vlQNzKnZWdUfQd6EtmpoFtLBYJoY/edit?gid=1824619316#gid=1824619316"",""2025-26!af3"")"),21.0)</f>
        <v>21</v>
      </c>
      <c r="BQ20" s="59">
        <f t="shared" si="25"/>
        <v>0.2938094953</v>
      </c>
      <c r="BR20" s="55">
        <f>IFERROR(__xludf.DUMMYFUNCTION("importrange(""https://docs.google.com/spreadsheets/d/1zbKpAkjR5pwXNP3vlQNzKnZWdUfQd6EtmpoFtLBYJoY/edit?gid=1824619316#gid=1824619316"",""2025-26!ag4"")"),78520.0)</f>
        <v>78520</v>
      </c>
      <c r="BS20" s="55">
        <f>IFERROR(__xludf.DUMMYFUNCTION("importrange(""https://docs.google.com/spreadsheets/d/1zbKpAkjR5pwXNP3vlQNzKnZWdUfQd6EtmpoFtLBYJoY/edit?gid=1824619316#gid=1824619316"",""2025-26!ag3"")"),4.0)</f>
        <v>4</v>
      </c>
      <c r="BT20" s="55">
        <f>IFERROR(__xludf.DUMMYFUNCTION("importrange(""https://docs.google.com/spreadsheets/d/1zbKpAkjR5pwXNP3vlQNzKnZWdUfQd6EtmpoFtLBYJoY/edit?gid=1824619316#gid=1824619316"",""2025-26!ah4"")"),57240.0)</f>
        <v>57240</v>
      </c>
      <c r="BU20" s="55">
        <f>IFERROR(__xludf.DUMMYFUNCTION("importrange(""https://docs.google.com/spreadsheets/d/1zbKpAkjR5pwXNP3vlQNzKnZWdUfQd6EtmpoFtLBYJoY/edit?gid=1824619316#gid=1824619316"",""2025-26!ah3"")"),5.0)</f>
        <v>5</v>
      </c>
      <c r="BV20" s="55">
        <f>IFERROR(__xludf.DUMMYFUNCTION("importrange(""https://docs.google.com/spreadsheets/d/1zbKpAkjR5pwXNP3vlQNzKnZWdUfQd6EtmpoFtLBYJoY/edit?gid=1824619316#gid=1824619316"",""2025-26!ai4"")"),273046.72000000003)</f>
        <v>273046.72</v>
      </c>
      <c r="BW20" s="55">
        <f>IFERROR(__xludf.DUMMYFUNCTION("importrange(""https://docs.google.com/spreadsheets/d/1zbKpAkjR5pwXNP3vlQNzKnZWdUfQd6EtmpoFtLBYJoY/edit?gid=1824619316#gid=1824619316"",""2025-26!ai3"")"),14.0)</f>
        <v>14</v>
      </c>
      <c r="BX20" s="59">
        <f t="shared" si="26"/>
        <v>3.246261356</v>
      </c>
      <c r="BY20" s="55">
        <f>IFERROR(__xludf.DUMMYFUNCTION("importrange(""https://docs.google.com/spreadsheets/d/1zbKpAkjR5pwXNP3vlQNzKnZWdUfQd6EtmpoFtLBYJoY/edit?gid=1824619316#gid=1824619316"",""2025-26!aj4"")"),185816.0)</f>
        <v>185816</v>
      </c>
      <c r="BZ20" s="55">
        <f>IFERROR(__xludf.DUMMYFUNCTION("importrange(""https://docs.google.com/spreadsheets/d/1zbKpAkjR5pwXNP3vlQNzKnZWdUfQd6EtmpoFtLBYJoY/edit?gid=1824619316#gid=1824619316"",""2025-26!aj3"")"),9.0)</f>
        <v>9</v>
      </c>
      <c r="CA20" s="55">
        <f>IFERROR(__xludf.DUMMYFUNCTION("importrange(""https://docs.google.com/spreadsheets/d/1zbKpAkjR5pwXNP3vlQNzKnZWdUfQd6EtmpoFtLBYJoY/edit?gid=1824619316#gid=1824619316"",""2025-26!ak4"")"),40100.0)</f>
        <v>40100</v>
      </c>
      <c r="CB20" s="55">
        <f>IFERROR(__xludf.DUMMYFUNCTION("importrange(""https://docs.google.com/spreadsheets/d/1zbKpAkjR5pwXNP3vlQNzKnZWdUfQd6EtmpoFtLBYJoY/edit?gid=1824619316#gid=1824619316"",""2025-26!ak3"")"),5.0)</f>
        <v>5</v>
      </c>
      <c r="CC20" s="55">
        <f>IFERROR(__xludf.DUMMYFUNCTION("importrange(""https://docs.google.com/spreadsheets/d/1zbKpAkjR5pwXNP3vlQNzKnZWdUfQd6EtmpoFtLBYJoY/edit?gid=1824619316#gid=1824619316"",""2025-26!al4"")"),209621.92)</f>
        <v>209621.92</v>
      </c>
      <c r="CD20" s="55">
        <f>IFERROR(__xludf.DUMMYFUNCTION("importrange(""https://docs.google.com/spreadsheets/d/1zbKpAkjR5pwXNP3vlQNzKnZWdUfQd6EtmpoFtLBYJoY/edit?gid=1824619316#gid=1824619316"",""2025-26!ai3"")"),14.0)</f>
        <v>14</v>
      </c>
      <c r="CE20" s="59">
        <f t="shared" si="27"/>
        <v>1.152743142</v>
      </c>
      <c r="CF20" s="55">
        <f>IFERROR(__xludf.DUMMYFUNCTION("importrange(""https://docs.google.com/spreadsheets/d/1zbKpAkjR5pwXNP3vlQNzKnZWdUfQd6EtmpoFtLBYJoY/edit?gid=1824619316#gid=1824619316"",""2025-26!am4"")"),46225.0)</f>
        <v>46225</v>
      </c>
      <c r="CG20" s="55">
        <f>IFERROR(__xludf.DUMMYFUNCTION("importrange(""https://docs.google.com/spreadsheets/d/1zbKpAkjR5pwXNP3vlQNzKnZWdUfQd6EtmpoFtLBYJoY/edit?gid=1824619316#gid=1824619316"",""2025-26!am3"")"),4.0)</f>
        <v>4</v>
      </c>
      <c r="CH20" s="55">
        <f>IFERROR(__xludf.DUMMYFUNCTION("importrange(""https://docs.google.com/spreadsheets/d/1zbKpAkjR5pwXNP3vlQNzKnZWdUfQd6EtmpoFtLBYJoY/edit?gid=1824619316#gid=1824619316"",""2025-26!an4"")"),21600.0)</f>
        <v>21600</v>
      </c>
      <c r="CI20" s="55">
        <f>IFERROR(__xludf.DUMMYFUNCTION("importrange(""https://docs.google.com/spreadsheets/d/1zbKpAkjR5pwXNP3vlQNzKnZWdUfQd6EtmpoFtLBYJoY/edit?gid=1824619316#gid=1824619316"",""2025-26!an3"")"),3.0)</f>
        <v>3</v>
      </c>
      <c r="CJ20" s="55">
        <f>IFERROR(__xludf.DUMMYFUNCTION("importrange(""https://docs.google.com/spreadsheets/d/1zbKpAkjR5pwXNP3vlQNzKnZWdUfQd6EtmpoFtLBYJoY/edit?gid=1824619316#gid=1824619316"",""2025-26!ao4"")"),164826.16000000003)</f>
        <v>164826.16</v>
      </c>
      <c r="CK20" s="55">
        <f>IFERROR(__xludf.DUMMYFUNCTION("importrange(""https://docs.google.com/spreadsheets/d/1zbKpAkjR5pwXNP3vlQNzKnZWdUfQd6EtmpoFtLBYJoY/edit?gid=1824619316#gid=1824619316"",""2025-26!ao3"")"),8.0)</f>
        <v>8</v>
      </c>
      <c r="CL20" s="59">
        <f t="shared" si="28"/>
        <v>0.2314814815</v>
      </c>
      <c r="CM20" s="55">
        <f>IFERROR(__xludf.DUMMYFUNCTION("importrange(""https://docs.google.com/spreadsheets/d/1zbKpAkjR5pwXNP3vlQNzKnZWdUfQd6EtmpoFtLBYJoY/edit?gid=1824619316#gid=1824619316"",""2025-26!ap4"")"),5000.0)</f>
        <v>5000</v>
      </c>
      <c r="CN20" s="55">
        <f>IFERROR(__xludf.DUMMYFUNCTION("importrange(""https://docs.google.com/spreadsheets/d/1zbKpAkjR5pwXNP3vlQNzKnZWdUfQd6EtmpoFtLBYJoY/edit?gid=1824619316#gid=1824619316"",""2025-26!ap3"")"),1.0)</f>
        <v>1</v>
      </c>
      <c r="CO20" s="55">
        <f>IFERROR(__xludf.DUMMYFUNCTION("importrange(""https://docs.google.com/spreadsheets/d/1zbKpAkjR5pwXNP3vlQNzKnZWdUfQd6EtmpoFtLBYJoY/edit?gid=1824619316#gid=1824619316"",""2025-26!aq4"")"),0.0)</f>
        <v>0</v>
      </c>
      <c r="CP20" s="55">
        <f>IFERROR(__xludf.DUMMYFUNCTION("importrange(""https://docs.google.com/spreadsheets/d/1zbKpAkjR5pwXNP3vlQNzKnZWdUfQd6EtmpoFtLBYJoY/edit?gid=1824619316#gid=1824619316"",""2025-26!aq3"")"),0.0)</f>
        <v>0</v>
      </c>
      <c r="CQ20" s="55">
        <f>IFERROR(__xludf.DUMMYFUNCTION("importrange(""https://docs.google.com/spreadsheets/d/1zbKpAkjR5pwXNP3vlQNzKnZWdUfQd6EtmpoFtLBYJoY/edit?gid=1824619316#gid=1824619316"",""2025-26!ar4"")"),246110.72)</f>
        <v>246110.72</v>
      </c>
      <c r="CR20" s="55">
        <f>IFERROR(__xludf.DUMMYFUNCTION("importrange(""https://docs.google.com/spreadsheets/d/1zbKpAkjR5pwXNP3vlQNzKnZWdUfQd6EtmpoFtLBYJoY/edit?gid=1824619316#gid=1824619316"",""2025-26!ar3"")"),9.0)</f>
        <v>9</v>
      </c>
      <c r="CS20" s="59" t="str">
        <f t="shared" si="29"/>
        <v/>
      </c>
      <c r="CT20" s="55">
        <f>IFERROR(__xludf.DUMMYFUNCTION("importrange(""https://docs.google.com/spreadsheets/d/1zbKpAkjR5pwXNP3vlQNzKnZWdUfQd6EtmpoFtLBYJoY/edit?gid=1824619316#gid=1824619316"",""2025-26!as4"")"),0.0)</f>
        <v>0</v>
      </c>
      <c r="CU20" s="55">
        <f>IFERROR(__xludf.DUMMYFUNCTION("importrange(""https://docs.google.com/spreadsheets/d/1zbKpAkjR5pwXNP3vlQNzKnZWdUfQd6EtmpoFtLBYJoY/edit?gid=1824619316#gid=1824619316"",""2025-26!as3"")"),0.0)</f>
        <v>0</v>
      </c>
      <c r="CV20" s="60" t="s">
        <v>56</v>
      </c>
    </row>
    <row r="21">
      <c r="A21" s="76" t="s">
        <v>53</v>
      </c>
      <c r="B21" s="37"/>
      <c r="C21" s="80" t="s">
        <v>59</v>
      </c>
      <c r="D21" s="49" t="s">
        <v>60</v>
      </c>
      <c r="E21" s="50">
        <v>9.0688442E9</v>
      </c>
      <c r="F21" s="51">
        <v>45061.0</v>
      </c>
      <c r="G21" s="62"/>
      <c r="H21" s="62"/>
      <c r="I21" s="53">
        <f>VLOOKUP($C21,Data!$C:$BV,72,0)</f>
        <v>40590</v>
      </c>
      <c r="J21" s="54">
        <v>1500000.0</v>
      </c>
      <c r="K21" s="55">
        <f>IFERROR(__xludf.DUMMYFUNCTION("IMPORTRANGE(""1ix1-nYckIcOYO0crqDtE6JH1Dxftw4VAGpahfAnYGlk"",""2025-26!A3"")"),127.0)</f>
        <v>127</v>
      </c>
      <c r="L21" s="55">
        <f>IFERROR(__xludf.DUMMYFUNCTION("IMPORTRANGE(""1ix1-nYckIcOYO0crqDtE6JH1Dxftw4VAGpahfAnYGlk"",""2025-26!G4"")"),2.82E7)</f>
        <v>28200000</v>
      </c>
      <c r="M21" s="55">
        <f t="shared" si="15"/>
        <v>12354768.81</v>
      </c>
      <c r="N21" s="56">
        <f>O21/L21</f>
        <v>0.4850771986</v>
      </c>
      <c r="O21" s="57">
        <f>U21+AB21+AI21+AP21+AW21+BD21+BK21+BR21+BY21+CF21+CM21+CT21</f>
        <v>13679177</v>
      </c>
      <c r="P21" s="55">
        <f>IFERROR(__xludf.DUMMYFUNCTION("IMPORTRANGE(""1ix1-nYckIcOYO0crqDtE6JH1Dxftw4VAGpahfAnYGlk"",""2025-26!J4"")"),2460000.0)</f>
        <v>2460000</v>
      </c>
      <c r="Q21" s="55">
        <f>IFERROR(__xludf.DUMMYFUNCTION("IMPORTRANGE(""1ix1-nYckIcOYO0crqDtE6JH1Dxftw4VAGpahfAnYGlk"",""2025-26!J3"")"),44.0)</f>
        <v>44</v>
      </c>
      <c r="R21" s="55">
        <f>IFERROR(__xludf.DUMMYFUNCTION("IMPORTRANGE(""1ix1-nYckIcOYO0crqDtE6JH1Dxftw4VAGpahfAnYGlk"",""2025-26!K4"")"),801374.4600000001)</f>
        <v>801374.46</v>
      </c>
      <c r="S21" s="55">
        <f>IFERROR(__xludf.DUMMYFUNCTION("IMPORTRANGE(""1ix1-nYckIcOYO0crqDtE6JH1Dxftw4VAGpahfAnYGlk"",""2025-26!K3"")"),22.0)</f>
        <v>22</v>
      </c>
      <c r="T21" s="58">
        <f t="shared" si="18"/>
        <v>0.3682703252</v>
      </c>
      <c r="U21" s="55">
        <f>IFERROR(__xludf.DUMMYFUNCTION("IMPORTRANGE(""1ix1-nYckIcOYO0crqDtE6JH1Dxftw4VAGpahfAnYGlk"",""2025-26!L4"")"),905945.0)</f>
        <v>905945</v>
      </c>
      <c r="V21" s="55">
        <f>IFERROR(__xludf.DUMMYFUNCTION("IMPORTRANGE(""1ix1-nYckIcOYO0crqDtE6JH1Dxftw4VAGpahfAnYGlk"",""2025-26!L3"")"),22.0)</f>
        <v>22</v>
      </c>
      <c r="W21" s="55">
        <f>IFERROR(__xludf.DUMMYFUNCTION("IMPORTRANGE(""1ix1-nYckIcOYO0crqDtE6JH1Dxftw4VAGpahfAnYGlk"",""2025-26!m4"")"),2460000.0)</f>
        <v>2460000</v>
      </c>
      <c r="X21" s="55">
        <f>IFERROR(__xludf.DUMMYFUNCTION("IMPORTRANGE(""1ix1-nYckIcOYO0crqDtE6JH1Dxftw4VAGpahfAnYGlk"",""2025-26!m3"")"),44.0)</f>
        <v>44</v>
      </c>
      <c r="Y21" s="55">
        <f>IFERROR(__xludf.DUMMYFUNCTION("IMPORTRANGE(""1ix1-nYckIcOYO0crqDtE6JH1Dxftw4VAGpahfAnYGlk"",""2025-26!N4"")"),1515213.4999999995)</f>
        <v>1515213.5</v>
      </c>
      <c r="Z21" s="55">
        <f>IFERROR(__xludf.DUMMYFUNCTION("IMPORTRANGE(""1ix1-nYckIcOYO0crqDtE6JH1Dxftw4VAGpahfAnYGlk"",""2025-26!N3"")"),21.0)</f>
        <v>21</v>
      </c>
      <c r="AA21" s="58">
        <f t="shared" si="19"/>
        <v>0.6277841463</v>
      </c>
      <c r="AB21" s="55">
        <f>IFERROR(__xludf.DUMMYFUNCTION("IMPORTRANGE(""1ix1-nYckIcOYO0crqDtE6JH1Dxftw4VAGpahfAnYGlk"",""2025-26!O4"")"),1544349.0)</f>
        <v>1544349</v>
      </c>
      <c r="AC21" s="55">
        <f>IFERROR(__xludf.DUMMYFUNCTION("IMPORTRANGE(""1ix1-nYckIcOYO0crqDtE6JH1Dxftw4VAGpahfAnYGlk"",""2025-26!O3"")"),16.0)</f>
        <v>16</v>
      </c>
      <c r="AD21" s="55">
        <f>IFERROR(__xludf.DUMMYFUNCTION("IMPORTRANGE(""1ix1-nYckIcOYO0crqDtE6JH1Dxftw4VAGpahfAnYGlk"",""2025-26!P4"")"),2460000.0)</f>
        <v>2460000</v>
      </c>
      <c r="AE21" s="55">
        <f>IFERROR(__xludf.DUMMYFUNCTION("IMPORTRANGE(""1ix1-nYckIcOYO0crqDtE6JH1Dxftw4VAGpahfAnYGlk"",""2025-26!P3"")"),44.0)</f>
        <v>44</v>
      </c>
      <c r="AF21" s="55">
        <f>IFERROR(__xludf.DUMMYFUNCTION("IMPORTRANGE(""1ix1-nYckIcOYO0crqDtE6JH1Dxftw4VAGpahfAnYGlk"",""2025-26!Q4"")"),1502934.2399999998)</f>
        <v>1502934.24</v>
      </c>
      <c r="AG21" s="55">
        <f>IFERROR(__xludf.DUMMYFUNCTION("IMPORTRANGE(""1ix1-nYckIcOYO0crqDtE6JH1Dxftw4VAGpahfAnYGlk"",""2025-26!Q3"")"),11.0)</f>
        <v>11</v>
      </c>
      <c r="AH21" s="58">
        <f t="shared" si="20"/>
        <v>0.6118642276</v>
      </c>
      <c r="AI21" s="55">
        <f>IFERROR(__xludf.DUMMYFUNCTION("IMPORTRANGE(""1ix1-nYckIcOYO0crqDtE6JH1Dxftw4VAGpahfAnYGlk"",""2025-26!R4"")"),1505186.0)</f>
        <v>1505186</v>
      </c>
      <c r="AJ21" s="55">
        <f>IFERROR(__xludf.DUMMYFUNCTION("IMPORTRANGE(""1ix1-nYckIcOYO0crqDtE6JH1Dxftw4VAGpahfAnYGlk"",""2025-26!R3"")"),9.0)</f>
        <v>9</v>
      </c>
      <c r="AK21" s="55">
        <f>IFERROR(__xludf.DUMMYFUNCTION("IMPORTRANGE(""1ix1-nYckIcOYO0crqDtE6JH1Dxftw4VAGpahfAnYGlk"",""2025-26!S4"")"),2520000.0)</f>
        <v>2520000</v>
      </c>
      <c r="AL21" s="55">
        <f>IFERROR(__xludf.DUMMYFUNCTION("IMPORTRANGE(""1ix1-nYckIcOYO0crqDtE6JH1Dxftw4VAGpahfAnYGlk"",""2025-26!S3"")"),37.0)</f>
        <v>37</v>
      </c>
      <c r="AM21" s="55">
        <f>IFERROR(__xludf.DUMMYFUNCTION("IMPORTRANGE(""1ix1-nYckIcOYO0crqDtE6JH1Dxftw4VAGpahfAnYGlk"",""2025-26!T4"")"),1201433.8199999998)</f>
        <v>1201433.82</v>
      </c>
      <c r="AN21" s="55">
        <f>IFERROR(__xludf.DUMMYFUNCTION("IMPORTRANGE(""1ix1-nYckIcOYO0crqDtE6JH1Dxftw4VAGpahfAnYGlk"",""2025-26!T3"")"),26.0)</f>
        <v>26</v>
      </c>
      <c r="AO21" s="58">
        <f t="shared" si="21"/>
        <v>0.5026015873</v>
      </c>
      <c r="AP21" s="55">
        <f>IFERROR(__xludf.DUMMYFUNCTION("IMPORTRANGE(""1ix1-nYckIcOYO0crqDtE6JH1Dxftw4VAGpahfAnYGlk"",""2025-26!U4"")"),1266556.0)</f>
        <v>1266556</v>
      </c>
      <c r="AQ21" s="55">
        <f>IFERROR(__xludf.DUMMYFUNCTION("IMPORTRANGE(""1ix1-nYckIcOYO0crqDtE6JH1Dxftw4VAGpahfAnYGlk"",""2025-26!U3"")"),26.0)</f>
        <v>26</v>
      </c>
      <c r="AR21" s="55">
        <f>IFERROR(__xludf.DUMMYFUNCTION("IMPORTRANGE(""1ix1-nYckIcOYO0crqDtE6JH1Dxftw4VAGpahfAnYGlk"",""2025-26!V4"")"),2560000.0)</f>
        <v>2560000</v>
      </c>
      <c r="AS21" s="55">
        <f>IFERROR(__xludf.DUMMYFUNCTION("IMPORTRANGE(""1ix1-nYckIcOYO0crqDtE6JH1Dxftw4VAGpahfAnYGlk"",""2025-26!V3"")"),37.0)</f>
        <v>37</v>
      </c>
      <c r="AT21" s="55">
        <f>IFERROR(__xludf.DUMMYFUNCTION("IMPORTRANGE(""1ix1-nYckIcOYO0crqDtE6JH1Dxftw4VAGpahfAnYGlk"",""2025-26!W4"")"),1301441.22)</f>
        <v>1301441.22</v>
      </c>
      <c r="AU21" s="55">
        <f>IFERROR(__xludf.DUMMYFUNCTION("IMPORTRANGE(""1ix1-nYckIcOYO0crqDtE6JH1Dxftw4VAGpahfAnYGlk"",""2025-26!W3"")"),26.0)</f>
        <v>26</v>
      </c>
      <c r="AV21" s="58">
        <f t="shared" si="22"/>
        <v>0.5517902344</v>
      </c>
      <c r="AW21" s="55">
        <f>IFERROR(__xludf.DUMMYFUNCTION("IMPORTRANGE(""1ix1-nYckIcOYO0crqDtE6JH1Dxftw4VAGpahfAnYGlk"",""2025-26!X4"")"),1412583.0)</f>
        <v>1412583</v>
      </c>
      <c r="AX21" s="55">
        <f>IFERROR(__xludf.DUMMYFUNCTION("IMPORTRANGE(""1ix1-nYckIcOYO0crqDtE6JH1Dxftw4VAGpahfAnYGlk"",""2025-26!X3"")"),22.0)</f>
        <v>22</v>
      </c>
      <c r="AY21" s="55">
        <f>IFERROR(__xludf.DUMMYFUNCTION("IMPORTRANGE(""1ix1-nYckIcOYO0crqDtE6JH1Dxftw4VAGpahfAnYGlk"",""2025-26!Y4"")"),2560000.0)</f>
        <v>2560000</v>
      </c>
      <c r="AZ21" s="55">
        <f>IFERROR(__xludf.DUMMYFUNCTION("IMPORTRANGE(""1ix1-nYckIcOYO0crqDtE6JH1Dxftw4VAGpahfAnYGlk"",""2025-26!Y3"")"),37.0)</f>
        <v>37</v>
      </c>
      <c r="BA21" s="55">
        <f>IFERROR(__xludf.DUMMYFUNCTION("IMPORTRANGE(""1ix1-nYckIcOYO0crqDtE6JH1Dxftw4VAGpahfAnYGlk"",""2025-26!Z4"")"),1001928.1100000001)</f>
        <v>1001928.11</v>
      </c>
      <c r="BB21" s="55">
        <f>IFERROR(__xludf.DUMMYFUNCTION("IMPORTRANGE(""1ix1-nYckIcOYO0crqDtE6JH1Dxftw4VAGpahfAnYGlk"",""2025-26!Z3"")"),20.0)</f>
        <v>20</v>
      </c>
      <c r="BC21" s="59">
        <f t="shared" si="23"/>
        <v>0.4789472656</v>
      </c>
      <c r="BD21" s="55">
        <f>IFERROR(__xludf.DUMMYFUNCTION("IMPORTRANGE(""1ix1-nYckIcOYO0crqDtE6JH1Dxftw4VAGpahfAnYGlk"",""2025-26!AA4"")"),1226105.0)</f>
        <v>1226105</v>
      </c>
      <c r="BE21" s="55">
        <f>IFERROR(__xludf.DUMMYFUNCTION("IMPORTRANGE(""1ix1-nYckIcOYO0crqDtE6JH1Dxftw4VAGpahfAnYGlk"",""2025-26!AA3"")"),19.0)</f>
        <v>19</v>
      </c>
      <c r="BF21" s="55">
        <f>IFERROR(__xludf.DUMMYFUNCTION("IMPORTRANGE(""1ix1-nYckIcOYO0crqDtE6JH1Dxftw4VAGpahfAnYGlk"",""2025-26!AB4"")"),2110000.0)</f>
        <v>2110000</v>
      </c>
      <c r="BG21" s="55">
        <f>IFERROR(__xludf.DUMMYFUNCTION("IMPORTRANGE(""1ix1-nYckIcOYO0crqDtE6JH1Dxftw4VAGpahfAnYGlk"",""2025-26!AB3"")"),37.0)</f>
        <v>37</v>
      </c>
      <c r="BH21" s="55">
        <f>IFERROR(__xludf.DUMMYFUNCTION("IMPORTRANGE(""1ix1-nYckIcOYO0crqDtE6JH1Dxftw4VAGpahfAnYGlk"",""2025-26!AC4"")"),864820.19)</f>
        <v>864820.19</v>
      </c>
      <c r="BI21" s="55">
        <f>IFERROR(__xludf.DUMMYFUNCTION("IMPORTRANGE(""1ix1-nYckIcOYO0crqDtE6JH1Dxftw4VAGpahfAnYGlk"",""2025-26!AC3"")"),15.0)</f>
        <v>15</v>
      </c>
      <c r="BJ21" s="59">
        <f t="shared" si="24"/>
        <v>0.4745781991</v>
      </c>
      <c r="BK21" s="55">
        <f>IFERROR(__xludf.DUMMYFUNCTION("IMPORTRANGE(""1ix1-nYckIcOYO0crqDtE6JH1Dxftw4VAGpahfAnYGlk"",""2025-26!AD4"")"),1001360.0)</f>
        <v>1001360</v>
      </c>
      <c r="BL21" s="55">
        <f>IFERROR(__xludf.DUMMYFUNCTION("IMPORTRANGE(""1ix1-nYckIcOYO0crqDtE6JH1Dxftw4VAGpahfAnYGlk"",""2025-26!AD3"")"),13.0)</f>
        <v>13</v>
      </c>
      <c r="BM21" s="55">
        <f>IFERROR(__xludf.DUMMYFUNCTION("IMPORTRANGE(""1ix1-nYckIcOYO0crqDtE6JH1Dxftw4VAGpahfAnYGlk"",""2025-26!AE4"")"),2330000.0)</f>
        <v>2330000</v>
      </c>
      <c r="BN21" s="55">
        <f>IFERROR(__xludf.DUMMYFUNCTION("IMPORTRANGE(""1ix1-nYckIcOYO0crqDtE6JH1Dxftw4VAGpahfAnYGlk"",""2025-26!AE3"")"),37.0)</f>
        <v>37</v>
      </c>
      <c r="BO21" s="55">
        <f>IFERROR(__xludf.DUMMYFUNCTION("IMPORTRANGE(""1ix1-nYckIcOYO0crqDtE6JH1Dxftw4VAGpahfAnYGlk"",""2025-26!AF4"")"),1005073.72)</f>
        <v>1005073.72</v>
      </c>
      <c r="BP21" s="55">
        <f>IFERROR(__xludf.DUMMYFUNCTION("IMPORTRANGE(""1ix1-nYckIcOYO0crqDtE6JH1Dxftw4VAGpahfAnYGlk"",""2025-26!AF3"")"),14.0)</f>
        <v>14</v>
      </c>
      <c r="BQ21" s="59">
        <f t="shared" si="25"/>
        <v>0.4633313305</v>
      </c>
      <c r="BR21" s="55">
        <f>IFERROR(__xludf.DUMMYFUNCTION("IMPORTRANGE(""1ix1-nYckIcOYO0crqDtE6JH1Dxftw4VAGpahfAnYGlk"",""2025-26!AG4"")"),1079562.0)</f>
        <v>1079562</v>
      </c>
      <c r="BS21" s="55">
        <f>IFERROR(__xludf.DUMMYFUNCTION("IMPORTRANGE(""1ix1-nYckIcOYO0crqDtE6JH1Dxftw4VAGpahfAnYGlk"",""2025-26!AG3"")"),15.0)</f>
        <v>15</v>
      </c>
      <c r="BT21" s="55">
        <f>IFERROR(__xludf.DUMMYFUNCTION("IMPORTRANGE(""1ix1-nYckIcOYO0crqDtE6JH1Dxftw4VAGpahfAnYGlk"",""2025-26!AH4"")"),2170000.0)</f>
        <v>2170000</v>
      </c>
      <c r="BU21" s="55">
        <f>IFERROR(__xludf.DUMMYFUNCTION("IMPORTRANGE(""1ix1-nYckIcOYO0crqDtE6JH1Dxftw4VAGpahfAnYGlk"",""2025-26!AH3"")"),37.0)</f>
        <v>37</v>
      </c>
      <c r="BV21" s="55">
        <f>IFERROR(__xludf.DUMMYFUNCTION("IMPORTRANGE(""1ix1-nYckIcOYO0crqDtE6JH1Dxftw4VAGpahfAnYGlk"",""2025-26!AI4"")"),1062752.66)</f>
        <v>1062752.66</v>
      </c>
      <c r="BW21" s="55">
        <f>IFERROR(__xludf.DUMMYFUNCTION("IMPORTRANGE(""1ix1-nYckIcOYO0crqDtE6JH1Dxftw4VAGpahfAnYGlk"",""2025-26!AI3"")"),23.0)</f>
        <v>23</v>
      </c>
      <c r="BX21" s="59">
        <f t="shared" si="26"/>
        <v>0.4954221198</v>
      </c>
      <c r="BY21" s="55">
        <f>IFERROR(__xludf.DUMMYFUNCTION("IMPORTRANGE(""1ix1-nYckIcOYO0crqDtE6JH1Dxftw4VAGpahfAnYGlk"",""2025-26!AJ4"")"),1075066.0)</f>
        <v>1075066</v>
      </c>
      <c r="BZ21" s="55">
        <f>IFERROR(__xludf.DUMMYFUNCTION("IMPORTRANGE(""1ix1-nYckIcOYO0crqDtE6JH1Dxftw4VAGpahfAnYGlk"",""2025-26!AJ3"")"),22.0)</f>
        <v>22</v>
      </c>
      <c r="CA21" s="55">
        <f>IFERROR(__xludf.DUMMYFUNCTION("IMPORTRANGE(""1ix1-nYckIcOYO0crqDtE6JH1Dxftw4VAGpahfAnYGlk"",""2025-26!AK4"")"),1880000.0)</f>
        <v>1880000</v>
      </c>
      <c r="CB21" s="55">
        <f>IFERROR(__xludf.DUMMYFUNCTION("IMPORTRANGE(""1ix1-nYckIcOYO0crqDtE6JH1Dxftw4VAGpahfAnYGlk"",""2025-26!AK3"")"),35.0)</f>
        <v>35</v>
      </c>
      <c r="CC21" s="55">
        <f>IFERROR(__xludf.DUMMYFUNCTION("IMPORTRANGE(""1ix1-nYckIcOYO0crqDtE6JH1Dxftw4VAGpahfAnYGlk"",""2025-26!AL4"")"),877175.45)</f>
        <v>877175.45</v>
      </c>
      <c r="CD21" s="55">
        <f>IFERROR(__xludf.DUMMYFUNCTION("IMPORTRANGE(""1ix1-nYckIcOYO0crqDtE6JH1Dxftw4VAGpahfAnYGlk"",""2025-26!AL3"")"),13.0)</f>
        <v>13</v>
      </c>
      <c r="CE21" s="59">
        <f t="shared" si="27"/>
        <v>0.6087734043</v>
      </c>
      <c r="CF21" s="55">
        <f>IFERROR(__xludf.DUMMYFUNCTION("IMPORTRANGE(""1ix1-nYckIcOYO0crqDtE6JH1Dxftw4VAGpahfAnYGlk"",""2025-26!AM4"")"),1144494.0)</f>
        <v>1144494</v>
      </c>
      <c r="CG21" s="55">
        <f>IFERROR(__xludf.DUMMYFUNCTION("IMPORTRANGE(""1ix1-nYckIcOYO0crqDtE6JH1Dxftw4VAGpahfAnYGlk"",""2025-26!AM3"")"),13.0)</f>
        <v>13</v>
      </c>
      <c r="CH21" s="55">
        <f>IFERROR(__xludf.DUMMYFUNCTION("IMPORTRANGE(""1ix1-nYckIcOYO0crqDtE6JH1Dxftw4VAGpahfAnYGlk"",""2025-26!AN4"")"),1940000.0)</f>
        <v>1940000</v>
      </c>
      <c r="CI21" s="55">
        <f>IFERROR(__xludf.DUMMYFUNCTION("IMPORTRANGE(""1ix1-nYckIcOYO0crqDtE6JH1Dxftw4VAGpahfAnYGlk"",""2025-26!AN3"")"),37.0)</f>
        <v>37</v>
      </c>
      <c r="CJ21" s="55">
        <f>IFERROR(__xludf.DUMMYFUNCTION("IMPORTRANGE(""1ix1-nYckIcOYO0crqDtE6JH1Dxftw4VAGpahfAnYGlk"",""2025-26!AO4"")"),443504.88)</f>
        <v>443504.88</v>
      </c>
      <c r="CK21" s="55">
        <f>IFERROR(__xludf.DUMMYFUNCTION("IMPORTRANGE(""1ix1-nYckIcOYO0crqDtE6JH1Dxftw4VAGpahfAnYGlk"",""2025-26!AO3"")"),8.0)</f>
        <v>8</v>
      </c>
      <c r="CL21" s="59">
        <f t="shared" si="28"/>
        <v>0.3104041237</v>
      </c>
      <c r="CM21" s="55">
        <f>IFERROR(__xludf.DUMMYFUNCTION("IMPORTRANGE(""1ix1-nYckIcOYO0crqDtE6JH1Dxftw4VAGpahfAnYGlk"",""2025-26!AP4"")"),602184.0)</f>
        <v>602184</v>
      </c>
      <c r="CN21" s="55">
        <f>IFERROR(__xludf.DUMMYFUNCTION("IMPORTRANGE(""1ix1-nYckIcOYO0crqDtE6JH1Dxftw4VAGpahfAnYGlk"",""2025-26!AP3"")"),13.0)</f>
        <v>13</v>
      </c>
      <c r="CO21" s="55">
        <f>IFERROR(__xludf.DUMMYFUNCTION("IMPORTRANGE(""1ix1-nYckIcOYO0crqDtE6JH1Dxftw4VAGpahfAnYGlk"",""2025-26!AQ4"")"),2060000.0)</f>
        <v>2060000</v>
      </c>
      <c r="CP21" s="55">
        <f>IFERROR(__xludf.DUMMYFUNCTION("IMPORTRANGE(""1ix1-nYckIcOYO0crqDtE6JH1Dxftw4VAGpahfAnYGlk"",""2025-26!AQ3"")"),37.0)</f>
        <v>37</v>
      </c>
      <c r="CQ21" s="55">
        <f>IFERROR(__xludf.DUMMYFUNCTION("IMPORTRANGE(""1ix1-nYckIcOYO0crqDtE6JH1Dxftw4VAGpahfAnYGlk"",""2025-26!AR4"")"),777116.5599999999)</f>
        <v>777116.56</v>
      </c>
      <c r="CR21" s="55">
        <f>IFERROR(__xludf.DUMMYFUNCTION("IMPORTRANGE(""1ix1-nYckIcOYO0crqDtE6JH1Dxftw4VAGpahfAnYGlk"",""2025-26!AR3"")"),12.0)</f>
        <v>12</v>
      </c>
      <c r="CS21" s="59">
        <f t="shared" si="29"/>
        <v>0.4445567961</v>
      </c>
      <c r="CT21" s="55">
        <f>IFERROR(__xludf.DUMMYFUNCTION("IMPORTRANGE(""1ix1-nYckIcOYO0crqDtE6JH1Dxftw4VAGpahfAnYGlk"",""2025-26!AS4"")"),915787.0)</f>
        <v>915787</v>
      </c>
      <c r="CU21" s="55">
        <f>IFERROR(__xludf.DUMMYFUNCTION("IMPORTRANGE(""1ix1-nYckIcOYO0crqDtE6JH1Dxftw4VAGpahfAnYGlk"",""2025-26!AS3"")"),11.0)</f>
        <v>11</v>
      </c>
      <c r="CV21" s="60" t="s">
        <v>61</v>
      </c>
    </row>
    <row r="22">
      <c r="A22" s="76" t="s">
        <v>53</v>
      </c>
      <c r="B22" s="37"/>
      <c r="C22" s="71" t="s">
        <v>62</v>
      </c>
      <c r="D22" s="65" t="s">
        <v>63</v>
      </c>
      <c r="E22" s="68">
        <v>6.378870243E9</v>
      </c>
      <c r="F22" s="66">
        <v>45733.0</v>
      </c>
      <c r="G22" s="62"/>
      <c r="H22" s="62"/>
      <c r="I22" s="53">
        <v>33550.0</v>
      </c>
      <c r="J22" s="54">
        <v>1500000.0</v>
      </c>
      <c r="K22" s="57">
        <f>IFERROR(__xludf.DUMMYFUNCTION("IMPORTRANGE(""https://docs.google.com/spreadsheets/d/1LxLvfF01hkJjA82h3lUiStXhCiLi6vZmRH5Kc6hYsVY/edit?gid=162659938#gid=162659938"",""2025-26!A3"")"),93.0)</f>
        <v>93</v>
      </c>
      <c r="L22" s="57">
        <f>IFERROR(__xludf.DUMMYFUNCTION("IMPORTRANGE(""https://docs.google.com/spreadsheets/d/1LxLvfF01hkJjA82h3lUiStXhCiLi6vZmRH5Kc6hYsVY/edit?gid=162659938#gid=162659938"",""2025-26!G4"")"),1.17E7)</f>
        <v>11700000</v>
      </c>
      <c r="M22" s="57">
        <f t="shared" ref="M22:M23" si="32">SUM(R22+Y22+AF22+AM22+AT22+BA22+BH22+BO22+BV22+CC22+CJ22+CQ22)</f>
        <v>8305428.6</v>
      </c>
      <c r="N22" s="56">
        <f t="shared" ref="N22:N23" si="33">iferror(O22/L22,"")</f>
        <v>0.5334090598</v>
      </c>
      <c r="O22" s="57">
        <f t="shared" ref="O22:O23" si="34">SUM(U22,AB22,AI22,AP22,AW22,BD22,BK22,BR22,BY22,CF22,CM22,CT22)</f>
        <v>6240886</v>
      </c>
      <c r="P22" s="55">
        <f>IFERROR(__xludf.DUMMYFUNCTION("IMPORTRANGE(""https://docs.google.com/spreadsheets/d/1LxLvfF01hkJjA82h3lUiStXhCiLi6vZmRH5Kc6hYsVY/edit?gid=162659938#gid=162659938"",""2025-26!J4"")"),974965.0)</f>
        <v>974965</v>
      </c>
      <c r="Q22" s="55">
        <f>IFERROR(__xludf.DUMMYFUNCTION("IMPORTRANGE(""https://docs.google.com/spreadsheets/d/1LxLvfF01hkJjA82h3lUiStXhCiLi6vZmRH5Kc6hYsVY/edit?gid=162659938#gid=162659938"",""2025-26!J3"")"),88.0)</f>
        <v>88</v>
      </c>
      <c r="R22" s="55">
        <f>IFERROR(__xludf.DUMMYFUNCTION("IMPORTRANGE(""https://docs.google.com/spreadsheets/d/1LxLvfF01hkJjA82h3lUiStXhCiLi6vZmRH5Kc6hYsVY/edit?gid=162659938#gid=162659938"",""2025-26!K4"")"),819244.6299999999)</f>
        <v>819244.63</v>
      </c>
      <c r="S22" s="55">
        <f>IFERROR(__xludf.DUMMYFUNCTION("IMPORTRANGE(""https://docs.google.com/spreadsheets/d/1LxLvfF01hkJjA82h3lUiStXhCiLi6vZmRH5Kc6hYsVY/edit?gid=162659938#gid=162659938"",""2025-26!K3"")"),22.0)</f>
        <v>22</v>
      </c>
      <c r="T22" s="58">
        <f t="shared" si="18"/>
        <v>0.3971896427</v>
      </c>
      <c r="U22" s="55">
        <f>IFERROR(__xludf.DUMMYFUNCTION("IMPORTRANGE(""https://docs.google.com/spreadsheets/d/1LxLvfF01hkJjA82h3lUiStXhCiLi6vZmRH5Kc6hYsVY/edit?gid=162659938#gid=162659938"",""2025-26!L4"")"),387246.0)</f>
        <v>387246</v>
      </c>
      <c r="V22" s="79">
        <f>IFERROR(__xludf.DUMMYFUNCTION("IMPORTRANGE(""https://docs.google.com/spreadsheets/d/1LxLvfF01hkJjA82h3lUiStXhCiLi6vZmRH5Kc6hYsVY/edit?gid=162659938#gid=162659938"",""2025-26!L3"")"),15.0)</f>
        <v>15</v>
      </c>
      <c r="W22" s="55">
        <f>IFERROR(__xludf.DUMMYFUNCTION("IMPORTRANGE(""https://docs.google.com/spreadsheets/d/1LxLvfF01hkJjA82h3lUiStXhCiLi6vZmRH5Kc6hYsVY/edit?gid=162659938#gid=162659938"",""2025-26!M4"")"),927000.0)</f>
        <v>927000</v>
      </c>
      <c r="X22" s="79">
        <f>IFERROR(__xludf.DUMMYFUNCTION("IMPORTRANGE(""https://docs.google.com/spreadsheets/d/1LxLvfF01hkJjA82h3lUiStXhCiLi6vZmRH5Kc6hYsVY/edit?gid=162659938#gid=162659938"",""2025-26!M3"")"),88.0)</f>
        <v>88</v>
      </c>
      <c r="Y22" s="55">
        <f>IFERROR(__xludf.DUMMYFUNCTION("importrange(""https://docs.google.com/spreadsheets/d/1LxLvfF01hkJjA82h3lUiStXhCiLi6vZmRH5Kc6hYsVY/edit?gid=162659938#gid=162659938"",""2025-26!n4"")"),1149372.7900000003)</f>
        <v>1149372.79</v>
      </c>
      <c r="Z22" s="55">
        <f>IFERROR(__xludf.DUMMYFUNCTION("importrange(""https://docs.google.com/spreadsheets/d/1LxLvfF01hkJjA82h3lUiStXhCiLi6vZmRH5Kc6hYsVY/edit?gid=162659938#gid=162659938"",""2025-26!n3"")"),30.0)</f>
        <v>30</v>
      </c>
      <c r="AA22" s="58">
        <f t="shared" si="19"/>
        <v>1.395186624</v>
      </c>
      <c r="AB22" s="55">
        <f>IFERROR(__xludf.DUMMYFUNCTION("importrange(""https://docs.google.com/spreadsheets/d/1LxLvfF01hkJjA82h3lUiStXhCiLi6vZmRH5Kc6hYsVY/edit?gid=162659938#gid=162659938"",""2025-26!o4"")"),1293338.0)</f>
        <v>1293338</v>
      </c>
      <c r="AC22" s="55">
        <f>IFERROR(__xludf.DUMMYFUNCTION("importrange(""https://docs.google.com/spreadsheets/d/1LxLvfF01hkJjA82h3lUiStXhCiLi6vZmRH5Kc6hYsVY/edit?gid=162659938#gid=162659938"",""2025-26!o3"")"),28.0)</f>
        <v>28</v>
      </c>
      <c r="AD22" s="55">
        <f>IFERROR(__xludf.DUMMYFUNCTION("importrange(""https://docs.google.com/spreadsheets/d/1LxLvfF01hkJjA82h3lUiStXhCiLi6vZmRH5Kc6hYsVY/edit?gid=162659938#gid=162659938"",""2025-26!p4"")"),956700.0)</f>
        <v>956700</v>
      </c>
      <c r="AE22" s="55">
        <f>IFERROR(__xludf.DUMMYFUNCTION("importrange(""https://docs.google.com/spreadsheets/d/1LxLvfF01hkJjA82h3lUiStXhCiLi6vZmRH5Kc6hYsVY/edit?gid=162659938#gid=162659938"",""2025-26!p3"")"),88.0)</f>
        <v>88</v>
      </c>
      <c r="AF22" s="55">
        <f>IFERROR(__xludf.DUMMYFUNCTION("importrange(""https://docs.google.com/spreadsheets/d/1LxLvfF01hkJjA82h3lUiStXhCiLi6vZmRH5Kc6hYsVY/edit?gid=162659938#gid=162659938"",""2025-26!q4"")"),1083369.0000000002)</f>
        <v>1083369</v>
      </c>
      <c r="AG22" s="55">
        <f>IFERROR(__xludf.DUMMYFUNCTION("importrange(""https://docs.google.com/spreadsheets/d/1LxLvfF01hkJjA82h3lUiStXhCiLi6vZmRH5Kc6hYsVY/edit?gid=162659938#gid=162659938"",""2025-26!q3"")"),22.0)</f>
        <v>22</v>
      </c>
      <c r="AH22" s="58">
        <f t="shared" si="20"/>
        <v>0.5490613567</v>
      </c>
      <c r="AI22" s="55">
        <f>IFERROR(__xludf.DUMMYFUNCTION("importrange(""https://docs.google.com/spreadsheets/d/1LxLvfF01hkJjA82h3lUiStXhCiLi6vZmRH5Kc6hYsVY/edit?gid=162659938#gid=162659938"",""2025-26!r4"")"),525287.0)</f>
        <v>525287</v>
      </c>
      <c r="AJ22" s="55">
        <f>IFERROR(__xludf.DUMMYFUNCTION("importrange(""https://docs.google.com/spreadsheets/d/1LxLvfF01hkJjA82h3lUiStXhCiLi6vZmRH5Kc6hYsVY/edit?gid=162659938#gid=162659938"",""2025-26!r3"")"),20.0)</f>
        <v>20</v>
      </c>
      <c r="AK22" s="55">
        <f>IFERROR(__xludf.DUMMYFUNCTION("importrange(""https://docs.google.com/spreadsheets/d/1LxLvfF01hkJjA82h3lUiStXhCiLi6vZmRH5Kc6hYsVY/edit?gid=162659938#gid=162659938"",""2025-26!s4"")"),999000.0)</f>
        <v>999000</v>
      </c>
      <c r="AL22" s="55">
        <f>IFERROR(__xludf.DUMMYFUNCTION("importrange(""https://docs.google.com/spreadsheets/d/1LxLvfF01hkJjA82h3lUiStXhCiLi6vZmRH5Kc6hYsVY/edit?gid=162659938#gid=162659938"",""2025-26!s3"")"),88.0)</f>
        <v>88</v>
      </c>
      <c r="AM22" s="57">
        <f>IFERROR(__xludf.DUMMYFUNCTION("importrange(""https://docs.google.com/spreadsheets/d/1LxLvfF01hkJjA82h3lUiStXhCiLi6vZmRH5Kc6hYsVY/edit?gid=162659938#gid=162659938"",""2025-26!t4"")"),957045.2500000001)</f>
        <v>957045.25</v>
      </c>
      <c r="AN22" s="55">
        <f>IFERROR(__xludf.DUMMYFUNCTION("importrange(""https://docs.google.com/spreadsheets/d/1LxLvfF01hkJjA82h3lUiStXhCiLi6vZmRH5Kc6hYsVY/edit?gid=162659938#gid=162659938"",""2025-26!t3"")"),19.0)</f>
        <v>19</v>
      </c>
      <c r="AO22" s="58">
        <f t="shared" si="21"/>
        <v>0.7775645646</v>
      </c>
      <c r="AP22" s="55">
        <f>IFERROR(__xludf.DUMMYFUNCTION("importrange(""https://docs.google.com/spreadsheets/d/1LxLvfF01hkJjA82h3lUiStXhCiLi6vZmRH5Kc6hYsVY/edit?gid=162659938#gid=162659938"",""2025-26!u4"")"),776787.0)</f>
        <v>776787</v>
      </c>
      <c r="AQ22" s="55">
        <f>IFERROR(__xludf.DUMMYFUNCTION("importrange(""https://docs.google.com/spreadsheets/d/1LxLvfF01hkJjA82h3lUiStXhCiLi6vZmRH5Kc6hYsVY/edit?gid=162659938#gid=162659938"",""2025-26!u3"")"),17.0)</f>
        <v>17</v>
      </c>
      <c r="AR22" s="55">
        <f>IFERROR(__xludf.DUMMYFUNCTION("importrange(""https://docs.google.com/spreadsheets/d/1LxLvfF01hkJjA82h3lUiStXhCiLi6vZmRH5Kc6hYsVY/edit?gid=162659938#gid=162659938"",""2025-26!v4"")"),957000.0)</f>
        <v>957000</v>
      </c>
      <c r="AS22" s="55">
        <f>IFERROR(__xludf.DUMMYFUNCTION("importrange(""https://docs.google.com/spreadsheets/d/1LxLvfF01hkJjA82h3lUiStXhCiLi6vZmRH5Kc6hYsVY/edit?gid=162659938#gid=162659938"",""2025-26!v3"")"),88.0)</f>
        <v>88</v>
      </c>
      <c r="AT22" s="57">
        <f>IFERROR(__xludf.DUMMYFUNCTION("importrange(""https://docs.google.com/spreadsheets/d/1LxLvfF01hkJjA82h3lUiStXhCiLi6vZmRH5Kc6hYsVY/edit?gid=162659938#gid=162659938"",""2025-26!w4"")"),440492.34)</f>
        <v>440492.34</v>
      </c>
      <c r="AU22" s="55">
        <f>IFERROR(__xludf.DUMMYFUNCTION("importrange(""https://docs.google.com/spreadsheets/d/1LxLvfF01hkJjA82h3lUiStXhCiLi6vZmRH5Kc6hYsVY/edit?gid=162659938#gid=162659938"",""2025-26!w3"")"),16.0)</f>
        <v>16</v>
      </c>
      <c r="AV22" s="58">
        <f t="shared" si="22"/>
        <v>0.5276280042</v>
      </c>
      <c r="AW22" s="55">
        <f>IFERROR(__xludf.DUMMYFUNCTION("importrange(""https://docs.google.com/spreadsheets/d/1LxLvfF01hkJjA82h3lUiStXhCiLi6vZmRH5Kc6hYsVY/edit?gid=162659938#gid=162659938"",""2025-26!x4"")"),504940.0)</f>
        <v>504940</v>
      </c>
      <c r="AX22" s="55">
        <f>IFERROR(__xludf.DUMMYFUNCTION("importrange(""https://docs.google.com/spreadsheets/d/1LxLvfF01hkJjA82h3lUiStXhCiLi6vZmRH5Kc6hYsVY/edit?gid=162659938#gid=162659938"",""2025-26!x3"")"),14.0)</f>
        <v>14</v>
      </c>
      <c r="AY22" s="55">
        <f>IFERROR(__xludf.DUMMYFUNCTION("importrange(""https://docs.google.com/spreadsheets/d/1LxLvfF01hkJjA82h3lUiStXhCiLi6vZmRH5Kc6hYsVY/edit?gid=162659938#gid=162659938"",""2025-26!y4"")"),968100.0)</f>
        <v>968100</v>
      </c>
      <c r="AZ22" s="55">
        <f>IFERROR(__xludf.DUMMYFUNCTION("importrange(""https://docs.google.com/spreadsheets/d/1LxLvfF01hkJjA82h3lUiStXhCiLi6vZmRH5Kc6hYsVY/edit?gid=162659938#gid=162659938"",""2025-26!y3"")"),88.0)</f>
        <v>88</v>
      </c>
      <c r="BA22" s="57">
        <f>IFERROR(__xludf.DUMMYFUNCTION("importrange(""https://docs.google.com/spreadsheets/d/1LxLvfF01hkJjA82h3lUiStXhCiLi6vZmRH5Kc6hYsVY/edit?gid=162659938#gid=162659938"",""2025-26!z4"")"),680793.54)</f>
        <v>680793.54</v>
      </c>
      <c r="BB22" s="55">
        <f>IFERROR(__xludf.DUMMYFUNCTION("importrange(""https://docs.google.com/spreadsheets/d/1LxLvfF01hkJjA82h3lUiStXhCiLi6vZmRH5Kc6hYsVY/edit?gid=162659938#gid=162659938"",""2025-26!z3"")"),14.0)</f>
        <v>14</v>
      </c>
      <c r="BC22" s="59">
        <f t="shared" si="23"/>
        <v>0.8395940502</v>
      </c>
      <c r="BD22" s="55">
        <f>IFERROR(__xludf.DUMMYFUNCTION("importrange(""https://docs.google.com/spreadsheets/d/1LxLvfF01hkJjA82h3lUiStXhCiLi6vZmRH5Kc6hYsVY/edit?gid=162659938#gid=162659938"",""2025-26!aa4"")"),812811.0)</f>
        <v>812811</v>
      </c>
      <c r="BE22" s="55">
        <f>IFERROR(__xludf.DUMMYFUNCTION("importrange(""https://docs.google.com/spreadsheets/d/1LxLvfF01hkJjA82h3lUiStXhCiLi6vZmRH5Kc6hYsVY/edit?gid=162659938#gid=162659938"",""2025-26!aa3"")"),22.0)</f>
        <v>22</v>
      </c>
      <c r="BF22" s="55">
        <f>IFERROR(__xludf.DUMMYFUNCTION("importrange(""https://docs.google.com/spreadsheets/d/1LxLvfF01hkJjA82h3lUiStXhCiLi6vZmRH5Kc6hYsVY/edit?gid=162659938#gid=162659938"",""2025-26!ab4"")"),999000.0)</f>
        <v>999000</v>
      </c>
      <c r="BG22" s="55">
        <f>IFERROR(__xludf.DUMMYFUNCTION("importrange(""https://docs.google.com/spreadsheets/d/1LxLvfF01hkJjA82h3lUiStXhCiLi6vZmRH5Kc6hYsVY/edit?gid=162659938#gid=162659938"",""2025-26!ab3"")"),88.0)</f>
        <v>88</v>
      </c>
      <c r="BH22" s="55">
        <f>IFERROR(__xludf.DUMMYFUNCTION("importrange(""https://docs.google.com/spreadsheets/d/1LxLvfF01hkJjA82h3lUiStXhCiLi6vZmRH5Kc6hYsVY/edit?gid=162659938#gid=162659938"",""2025-26!ac4"")"),604116.9499999998)</f>
        <v>604116.95</v>
      </c>
      <c r="BI22" s="55">
        <f>IFERROR(__xludf.DUMMYFUNCTION("importrange(""https://docs.google.com/spreadsheets/d/1LxLvfF01hkJjA82h3lUiStXhCiLi6vZmRH5Kc6hYsVY/edit?gid=162659938#gid=162659938"",""2025-26!ac3"")"),21.0)</f>
        <v>21</v>
      </c>
      <c r="BJ22" s="59">
        <f t="shared" si="24"/>
        <v>0.09176976977</v>
      </c>
      <c r="BK22" s="55">
        <f>IFERROR(__xludf.DUMMYFUNCTION("importrange(""https://docs.google.com/spreadsheets/d/1LxLvfF01hkJjA82h3lUiStXhCiLi6vZmRH5Kc6hYsVY/edit?gid=162659938#gid=162659938"",""2025-26!ad4"")"),91678.0)</f>
        <v>91678</v>
      </c>
      <c r="BL22" s="55">
        <f>IFERROR(__xludf.DUMMYFUNCTION("importrange(""https://docs.google.com/spreadsheets/d/1LxLvfF01hkJjA82h3lUiStXhCiLi6vZmRH5Kc6hYsVY/edit?gid=162659938#gid=162659938"",""2025-26!ad3"")"),6.0)</f>
        <v>6</v>
      </c>
      <c r="BM22" s="55">
        <f>IFERROR(__xludf.DUMMYFUNCTION("importrange(""https://docs.google.com/spreadsheets/d/1LxLvfF01hkJjA82h3lUiStXhCiLi6vZmRH5Kc6hYsVY/edit?gid=162659938#gid=162659938"",""2025-26!ae4"")"),957000.0)</f>
        <v>957000</v>
      </c>
      <c r="BN22" s="55">
        <f>IFERROR(__xludf.DUMMYFUNCTION("importrange(""https://docs.google.com/spreadsheets/d/1LxLvfF01hkJjA82h3lUiStXhCiLi6vZmRH5Kc6hYsVY/edit?gid=162659938#gid=162659938"",""2025-26!ae3"")"),88.0)</f>
        <v>88</v>
      </c>
      <c r="BO22" s="55">
        <f>IFERROR(__xludf.DUMMYFUNCTION("importrange(""https://docs.google.com/spreadsheets/d/1LxLvfF01hkJjA82h3lUiStXhCiLi6vZmRH5Kc6hYsVY/edit?gid=162659938#gid=162659938"",""2025-26!af4"")"),590286.44)</f>
        <v>590286.44</v>
      </c>
      <c r="BP22" s="55">
        <f>IFERROR(__xludf.DUMMYFUNCTION("importrange(""https://docs.google.com/spreadsheets/d/1LxLvfF01hkJjA82h3lUiStXhCiLi6vZmRH5Kc6hYsVY/edit?gid=162659938#gid=162659938"",""2025-26!af3"")"),21.0)</f>
        <v>21</v>
      </c>
      <c r="BQ22" s="59">
        <f t="shared" si="25"/>
        <v>0.66276907</v>
      </c>
      <c r="BR22" s="55">
        <f>IFERROR(__xludf.DUMMYFUNCTION("importrange(""https://docs.google.com/spreadsheets/d/1LxLvfF01hkJjA82h3lUiStXhCiLi6vZmRH5Kc6hYsVY/edit?gid=162659938#gid=162659938"",""2025-26!ag4"")"),634270.0)</f>
        <v>634270</v>
      </c>
      <c r="BS22" s="55">
        <f>IFERROR(__xludf.DUMMYFUNCTION("importrange(""https://docs.google.com/spreadsheets/d/1LxLvfF01hkJjA82h3lUiStXhCiLi6vZmRH5Kc6hYsVY/edit?gid=162659938#gid=162659938"",""2025-26!ag3"")"),18.0)</f>
        <v>18</v>
      </c>
      <c r="BT22" s="55">
        <f>IFERROR(__xludf.DUMMYFUNCTION("importrange(""https://docs.google.com/spreadsheets/d/1LxLvfF01hkJjA82h3lUiStXhCiLi6vZmRH5Kc6hYsVY/edit?gid=162659938#gid=162659938"",""2025-26!ah4"")"),968100.0)</f>
        <v>968100</v>
      </c>
      <c r="BU22" s="55">
        <f>IFERROR(__xludf.DUMMYFUNCTION("importrange(""https://docs.google.com/spreadsheets/d/1LxLvfF01hkJjA82h3lUiStXhCiLi6vZmRH5Kc6hYsVY/edit?gid=162659938#gid=162659938"",""2025-26!ah3"")"),88.0)</f>
        <v>88</v>
      </c>
      <c r="BV22" s="55">
        <f>IFERROR(__xludf.DUMMYFUNCTION("importrange(""https://docs.google.com/spreadsheets/d/1LxLvfF01hkJjA82h3lUiStXhCiLi6vZmRH5Kc6hYsVY/edit?gid=162659938#gid=162659938"",""2025-26!ai4"")"),539311.28)</f>
        <v>539311.28</v>
      </c>
      <c r="BW22" s="55">
        <f>IFERROR(__xludf.DUMMYFUNCTION("importrange(""https://docs.google.com/spreadsheets/d/1LxLvfF01hkJjA82h3lUiStXhCiLi6vZmRH5Kc6hYsVY/edit?gid=162659938#gid=162659938"",""2025-26!ai3"")"),17.0)</f>
        <v>17</v>
      </c>
      <c r="BX22" s="59">
        <f t="shared" si="26"/>
        <v>0.3606094412</v>
      </c>
      <c r="BY22" s="55">
        <f>IFERROR(__xludf.DUMMYFUNCTION("importrange(""https://docs.google.com/spreadsheets/d/1LxLvfF01hkJjA82h3lUiStXhCiLi6vZmRH5Kc6hYsVY/edit?gid=162659938#gid=162659938"",""2025-26!aj4"")"),349106.0)</f>
        <v>349106</v>
      </c>
      <c r="BZ22" s="55">
        <f>IFERROR(__xludf.DUMMYFUNCTION("importrange(""https://docs.google.com/spreadsheets/d/1LxLvfF01hkJjA82h3lUiStXhCiLi6vZmRH5Kc6hYsVY/edit?gid=162659938#gid=162659938"",""2025-26!aj3"")"),13.0)</f>
        <v>13</v>
      </c>
      <c r="CA22" s="55">
        <f>IFERROR(__xludf.DUMMYFUNCTION("importrange(""https://docs.google.com/spreadsheets/d/1LxLvfF01hkJjA82h3lUiStXhCiLi6vZmRH5Kc6hYsVY/edit?gid=162659938#gid=162659938"",""2025-26!ak4"")"),999000.0)</f>
        <v>999000</v>
      </c>
      <c r="CB22" s="55">
        <f>IFERROR(__xludf.DUMMYFUNCTION("importrange(""https://docs.google.com/spreadsheets/d/1LxLvfF01hkJjA82h3lUiStXhCiLi6vZmRH5Kc6hYsVY/edit?gid=162659938#gid=162659938"",""2025-26!ak3"")"),88.0)</f>
        <v>88</v>
      </c>
      <c r="CC22" s="55">
        <f>IFERROR(__xludf.DUMMYFUNCTION("importrange(""https://docs.google.com/spreadsheets/d/1LxLvfF01hkJjA82h3lUiStXhCiLi6vZmRH5Kc6hYsVY/edit?gid=162659938#gid=162659938"",""2025-26!al4"")"),236006.34000000003)</f>
        <v>236006.34</v>
      </c>
      <c r="CD22" s="55">
        <f>IFERROR(__xludf.DUMMYFUNCTION("importrange(""https://docs.google.com/spreadsheets/d/1LxLvfF01hkJjA82h3lUiStXhCiLi6vZmRH5Kc6hYsVY/edit?gid=162659938#gid=162659938"",""2025-26!ai3"")"),17.0)</f>
        <v>17</v>
      </c>
      <c r="CE22" s="59">
        <f t="shared" si="27"/>
        <v>0.5151691692</v>
      </c>
      <c r="CF22" s="55">
        <f>IFERROR(__xludf.DUMMYFUNCTION("importrange(""https://docs.google.com/spreadsheets/d/1LxLvfF01hkJjA82h3lUiStXhCiLi6vZmRH5Kc6hYsVY/edit?gid=162659938#gid=162659938"",""2025-26!am4"")"),514654.0)</f>
        <v>514654</v>
      </c>
      <c r="CG22" s="55">
        <f>IFERROR(__xludf.DUMMYFUNCTION("importrange(""https://docs.google.com/spreadsheets/d/1LxLvfF01hkJjA82h3lUiStXhCiLi6vZmRH5Kc6hYsVY/edit?gid=162659938#gid=162659938"",""2025-26!am3"")"),14.0)</f>
        <v>14</v>
      </c>
      <c r="CH22" s="55">
        <f>IFERROR(__xludf.DUMMYFUNCTION("importrange(""https://docs.google.com/spreadsheets/d/1LxLvfF01hkJjA82h3lUiStXhCiLi6vZmRH5Kc6hYsVY/edit?gid=162659938#gid=162659938"",""2025-26!an4"")"),957000.0)</f>
        <v>957000</v>
      </c>
      <c r="CI22" s="55">
        <f>IFERROR(__xludf.DUMMYFUNCTION("importrange(""https://docs.google.com/spreadsheets/d/1LxLvfF01hkJjA82h3lUiStXhCiLi6vZmRH5Kc6hYsVY/edit?gid=162659938#gid=162659938"",""2025-26!an3"")"),88.0)</f>
        <v>88</v>
      </c>
      <c r="CJ22" s="55">
        <f>IFERROR(__xludf.DUMMYFUNCTION("importrange(""https://docs.google.com/spreadsheets/d/1LxLvfF01hkJjA82h3lUiStXhCiLi6vZmRH5Kc6hYsVY/edit?gid=162659938#gid=162659938"",""2025-26!ao4"")"),682158.01)</f>
        <v>682158.01</v>
      </c>
      <c r="CK22" s="55">
        <f>IFERROR(__xludf.DUMMYFUNCTION("importrange(""https://docs.google.com/spreadsheets/d/1LxLvfF01hkJjA82h3lUiStXhCiLi6vZmRH5Kc6hYsVY/edit?gid=162659938#gid=162659938"",""2025-26!ao3"")"),14.0)</f>
        <v>14</v>
      </c>
      <c r="CL22" s="59">
        <f t="shared" si="28"/>
        <v>0.2005642633</v>
      </c>
      <c r="CM22" s="55">
        <f>IFERROR(__xludf.DUMMYFUNCTION("importrange(""https://docs.google.com/spreadsheets/d/1LxLvfF01hkJjA82h3lUiStXhCiLi6vZmRH5Kc6hYsVY/edit?gid=162659938#gid=162659938"",""2025-26!ap4"")"),191940.0)</f>
        <v>191940</v>
      </c>
      <c r="CN22" s="55">
        <f>IFERROR(__xludf.DUMMYFUNCTION("importrange(""https://docs.google.com/spreadsheets/d/1LxLvfF01hkJjA82h3lUiStXhCiLi6vZmRH5Kc6hYsVY/edit?gid=162659938#gid=162659938"",""2025-26!ap3"")"),6.0)</f>
        <v>6</v>
      </c>
      <c r="CO22" s="55">
        <f>IFERROR(__xludf.DUMMYFUNCTION("importrange(""https://docs.google.com/spreadsheets/d/1LxLvfF01hkJjA82h3lUiStXhCiLi6vZmRH5Kc6hYsVY/edit?gid=162659938#gid=162659938"",""2025-26!aq4"")"),968100.0)</f>
        <v>968100</v>
      </c>
      <c r="CP22" s="55">
        <f>IFERROR(__xludf.DUMMYFUNCTION("importrange(""https://docs.google.com/spreadsheets/d/1LxLvfF01hkJjA82h3lUiStXhCiLi6vZmRH5Kc6hYsVY/edit?gid=162659938#gid=162659938"",""2025-26!aq3"")"),88.0)</f>
        <v>88</v>
      </c>
      <c r="CQ22" s="55">
        <f>IFERROR(__xludf.DUMMYFUNCTION("importrange(""https://docs.google.com/spreadsheets/d/1LxLvfF01hkJjA82h3lUiStXhCiLi6vZmRH5Kc6hYsVY/edit?gid=162659938#gid=162659938"",""2025-26!ar4"")"),523232.03)</f>
        <v>523232.03</v>
      </c>
      <c r="CR22" s="55">
        <f>IFERROR(__xludf.DUMMYFUNCTION("importrange(""https://docs.google.com/spreadsheets/d/1LxLvfF01hkJjA82h3lUiStXhCiLi6vZmRH5Kc6hYsVY/edit?gid=162659938#gid=162659938"",""2025-26!ar3"")"),15.0)</f>
        <v>15</v>
      </c>
      <c r="CS22" s="59">
        <f t="shared" si="29"/>
        <v>0.1640625968</v>
      </c>
      <c r="CT22" s="55">
        <f>IFERROR(__xludf.DUMMYFUNCTION("importrange(""https://docs.google.com/spreadsheets/d/1LxLvfF01hkJjA82h3lUiStXhCiLi6vZmRH5Kc6hYsVY/edit?gid=162659938#gid=162659938"",""2025-26!as4"")"),158829.0)</f>
        <v>158829</v>
      </c>
      <c r="CU22" s="55">
        <f>IFERROR(__xludf.DUMMYFUNCTION("importrange(""https://docs.google.com/spreadsheets/d/1LxLvfF01hkJjA82h3lUiStXhCiLi6vZmRH5Kc6hYsVY/edit?gid=162659938#gid=162659938"",""2025-26!as3"")"),7.0)</f>
        <v>7</v>
      </c>
      <c r="CV22" s="60" t="s">
        <v>56</v>
      </c>
    </row>
    <row r="23">
      <c r="A23" s="76" t="s">
        <v>53</v>
      </c>
      <c r="B23" s="37"/>
      <c r="C23" s="81" t="s">
        <v>64</v>
      </c>
      <c r="D23" s="49" t="s">
        <v>65</v>
      </c>
      <c r="E23" s="50">
        <v>9.079886609E9</v>
      </c>
      <c r="F23" s="82">
        <v>45861.0</v>
      </c>
      <c r="I23" s="83">
        <v>24120.0</v>
      </c>
      <c r="J23" s="54">
        <v>500000.0</v>
      </c>
      <c r="K23" s="57">
        <f>IFERROR(__xludf.DUMMYFUNCTION("IMPORTRANGE(""https://docs.google.com/spreadsheets/d/15DQ8hh_awzBvwln7i3DA9s8321S_hSqWhFiBmw5ANFI/edit?gid=162659938#gid=162659938"",""2025-26!A3"")"),38.0)</f>
        <v>38</v>
      </c>
      <c r="L23" s="57">
        <f>IFERROR(__xludf.DUMMYFUNCTION("IMPORTRANGE(""https://docs.google.com/spreadsheets/d/15DQ8hh_awzBvwln7i3DA9s8321S_hSqWhFiBmw5ANFI/edit?gid=162659938#gid=162659938"",""2025-26!G4"")"),1155000.0)</f>
        <v>1155000</v>
      </c>
      <c r="M23" s="57">
        <f t="shared" si="32"/>
        <v>2995134.11</v>
      </c>
      <c r="N23" s="56">
        <f t="shared" si="33"/>
        <v>1.107784416</v>
      </c>
      <c r="O23" s="57">
        <f t="shared" si="34"/>
        <v>1279491</v>
      </c>
      <c r="P23" s="55">
        <f>IFERROR(__xludf.DUMMYFUNCTION("IMPORTRANGE(""https://docs.google.com/spreadsheets/d/15DQ8hh_awzBvwln7i3DA9s8321S_hSqWhFiBmw5ANFI/edit?gid=162659938#gid=162659938"",""2025-26!J4"")"),0.0)</f>
        <v>0</v>
      </c>
      <c r="Q23" s="55">
        <f>IFERROR(__xludf.DUMMYFUNCTION("IMPORTRANGE(""https://docs.google.com/spreadsheets/d/15DQ8hh_awzBvwln7i3DA9s8321S_hSqWhFiBmw5ANFI/edit?gid=162659938#gid=162659938"",""2025-26!J3"")"),0.0)</f>
        <v>0</v>
      </c>
      <c r="R23" s="55">
        <f>IFERROR(__xludf.DUMMYFUNCTION("IMPORTRANGE(""https://docs.google.com/spreadsheets/d/15DQ8hh_awzBvwln7i3DA9s8321S_hSqWhFiBmw5ANFI/edit?gid=162659938#gid=162659938"",""2025-26!K4"")"),0.0)</f>
        <v>0</v>
      </c>
      <c r="S23" s="55">
        <f>IFERROR(__xludf.DUMMYFUNCTION("IMPORTRANGE(""https://docs.google.com/spreadsheets/d/15DQ8hh_awzBvwln7i3DA9s8321S_hSqWhFiBmw5ANFI/edit?gid=162659938#gid=162659938"",""2025-26!K3"")"),0.0)</f>
        <v>0</v>
      </c>
      <c r="T23" s="58" t="str">
        <f t="shared" si="18"/>
        <v/>
      </c>
      <c r="U23" s="55">
        <f>IFERROR(__xludf.DUMMYFUNCTION("IMPORTRANGE(""https://docs.google.com/spreadsheets/d/15DQ8hh_awzBvwln7i3DA9s8321S_hSqWhFiBmw5ANFI/edit?gid=162659938#gid=162659938"",""2025-26!L4"")"),0.0)</f>
        <v>0</v>
      </c>
      <c r="V23" s="79">
        <f>IFERROR(__xludf.DUMMYFUNCTION("IMPORTRANGE(""https://docs.google.com/spreadsheets/d/15DQ8hh_awzBvwln7i3DA9s8321S_hSqWhFiBmw5ANFI/edit?gid=162659938#gid=162659938"",""2025-26!L3"")"),0.0)</f>
        <v>0</v>
      </c>
      <c r="W23" s="55">
        <f>IFERROR(__xludf.DUMMYFUNCTION("IMPORTRANGE(""https://docs.google.com/spreadsheets/d/15DQ8hh_awzBvwln7i3DA9s8321S_hSqWhFiBmw5ANFI/edit?gid=162659938#gid=162659938"",""2025-26!M4"")"),0.0)</f>
        <v>0</v>
      </c>
      <c r="X23" s="79">
        <f>IFERROR(__xludf.DUMMYFUNCTION("IMPORTRANGE(""https://docs.google.com/spreadsheets/d/15DQ8hh_awzBvwln7i3DA9s8321S_hSqWhFiBmw5ANFI/edit?gid=162659938#gid=162659938"",""2025-26!M3"")"),0.0)</f>
        <v>0</v>
      </c>
      <c r="Y23" s="55">
        <f>IFERROR(__xludf.DUMMYFUNCTION("importrange(""https://docs.google.com/spreadsheets/d/15DQ8hh_awzBvwln7i3DA9s8321S_hSqWhFiBmw5ANFI/edit?gid=162659938#gid=162659938"",""2025-26!n4"")"),0.0)</f>
        <v>0</v>
      </c>
      <c r="Z23" s="55">
        <f>IFERROR(__xludf.DUMMYFUNCTION("importrange(""https://docs.google.com/spreadsheets/d/15DQ8hh_awzBvwln7i3DA9s8321S_hSqWhFiBmw5ANFI/edit?gid=162659938#gid=162659938"",""2025-26!n3"")"),0.0)</f>
        <v>0</v>
      </c>
      <c r="AA23" s="58" t="str">
        <f t="shared" si="19"/>
        <v/>
      </c>
      <c r="AB23" s="55">
        <f>IFERROR(__xludf.DUMMYFUNCTION("importrange(""https://docs.google.com/spreadsheets/d/15DQ8hh_awzBvwln7i3DA9s8321S_hSqWhFiBmw5ANFI/edit?gid=162659938#gid=162659938"",""2025-26!o4"")"),0.0)</f>
        <v>0</v>
      </c>
      <c r="AC23" s="55">
        <f>IFERROR(__xludf.DUMMYFUNCTION("importrange(""https://docs.google.com/spreadsheets/d/15DQ8hh_awzBvwln7i3DA9s8321S_hSqWhFiBmw5ANFI/edit?gid=162659938#gid=162659938"",""2025-26!o3"")"),0.0)</f>
        <v>0</v>
      </c>
      <c r="AD23" s="55">
        <f>IFERROR(__xludf.DUMMYFUNCTION("importrange(""https://docs.google.com/spreadsheets/d/15DQ8hh_awzBvwln7i3DA9s8321S_hSqWhFiBmw5ANFI/edit?gid=162659938#gid=162659938"",""2025-26!p4"")"),0.0)</f>
        <v>0</v>
      </c>
      <c r="AE23" s="55">
        <f>IFERROR(__xludf.DUMMYFUNCTION("importrange(""https://docs.google.com/spreadsheets/d/15DQ8hh_awzBvwln7i3DA9s8321S_hSqWhFiBmw5ANFI/edit?gid=162659938#gid=162659938"",""2025-26!p3"")"),0.0)</f>
        <v>0</v>
      </c>
      <c r="AF23" s="55">
        <f>IFERROR(__xludf.DUMMYFUNCTION("importrange(""https://docs.google.com/spreadsheets/d/15DQ8hh_awzBvwln7i3DA9s8321S_hSqWhFiBmw5ANFI/edit?gid=162659938#gid=162659938"",""2025-26!q4"")"),0.0)</f>
        <v>0</v>
      </c>
      <c r="AG23" s="55">
        <f>IFERROR(__xludf.DUMMYFUNCTION("importrange(""https://docs.google.com/spreadsheets/d/15DQ8hh_awzBvwln7i3DA9s8321S_hSqWhFiBmw5ANFI/edit?gid=162659938#gid=162659938"",""2025-26!q3"")"),0.0)</f>
        <v>0</v>
      </c>
      <c r="AH23" s="58" t="str">
        <f t="shared" si="20"/>
        <v/>
      </c>
      <c r="AI23" s="55">
        <f>IFERROR(__xludf.DUMMYFUNCTION("importrange(""https://docs.google.com/spreadsheets/d/15DQ8hh_awzBvwln7i3DA9s8321S_hSqWhFiBmw5ANFI/edit?gid=162659938#gid=162659938"",""2025-26!r4"")"),0.0)</f>
        <v>0</v>
      </c>
      <c r="AJ23" s="55">
        <f>IFERROR(__xludf.DUMMYFUNCTION("importrange(""https://docs.google.com/spreadsheets/d/15DQ8hh_awzBvwln7i3DA9s8321S_hSqWhFiBmw5ANFI/edit?gid=162659938#gid=162659938"",""2025-26!r3"")"),0.0)</f>
        <v>0</v>
      </c>
      <c r="AK23" s="55">
        <f>IFERROR(__xludf.DUMMYFUNCTION("importrange(""https://docs.google.com/spreadsheets/d/15DQ8hh_awzBvwln7i3DA9s8321S_hSqWhFiBmw5ANFI/edit?gid=162659938#gid=162659938"",""2025-26!s4"")"),0.0)</f>
        <v>0</v>
      </c>
      <c r="AL23" s="55">
        <f>IFERROR(__xludf.DUMMYFUNCTION("importrange(""https://docs.google.com/spreadsheets/d/15DQ8hh_awzBvwln7i3DA9s8321S_hSqWhFiBmw5ANFI/edit?gid=162659938#gid=162659938"",""2025-26!s3"")"),0.0)</f>
        <v>0</v>
      </c>
      <c r="AM23" s="57">
        <f>IFERROR(__xludf.DUMMYFUNCTION("importrange(""https://docs.google.com/spreadsheets/d/15DQ8hh_awzBvwln7i3DA9s8321S_hSqWhFiBmw5ANFI/edit?gid=162659938#gid=162659938"",""2025-26!t4"")"),0.0)</f>
        <v>0</v>
      </c>
      <c r="AN23" s="55">
        <f>IFERROR(__xludf.DUMMYFUNCTION("importrange(""https://docs.google.com/spreadsheets/d/15DQ8hh_awzBvwln7i3DA9s8321S_hSqWhFiBmw5ANFI/edit?gid=162659938#gid=162659938"",""2025-26!t3"")"),0.0)</f>
        <v>0</v>
      </c>
      <c r="AO23" s="58" t="str">
        <f t="shared" si="21"/>
        <v/>
      </c>
      <c r="AP23" s="55">
        <f>IFERROR(__xludf.DUMMYFUNCTION("importrange(""https://docs.google.com/spreadsheets/d/15DQ8hh_awzBvwln7i3DA9s8321S_hSqWhFiBmw5ANFI/edit?gid=162659938#gid=162659938"",""2025-26!u4"")"),0.0)</f>
        <v>0</v>
      </c>
      <c r="AQ23" s="55">
        <f>IFERROR(__xludf.DUMMYFUNCTION("importrange(""https://docs.google.com/spreadsheets/d/15DQ8hh_awzBvwln7i3DA9s8321S_hSqWhFiBmw5ANFI/edit?gid=162659938#gid=162659938"",""2025-26!u3"")"),0.0)</f>
        <v>0</v>
      </c>
      <c r="AR23" s="55">
        <f>IFERROR(__xludf.DUMMYFUNCTION("importrange(""https://docs.google.com/spreadsheets/d/15DQ8hh_awzBvwln7i3DA9s8321S_hSqWhFiBmw5ANFI/edit?gid=162659938#gid=162659938"",""2025-26!v4"")"),0.0)</f>
        <v>0</v>
      </c>
      <c r="AS23" s="55">
        <f>IFERROR(__xludf.DUMMYFUNCTION("importrange(""https://docs.google.com/spreadsheets/d/15DQ8hh_awzBvwln7i3DA9s8321S_hSqWhFiBmw5ANFI/edit?gid=162659938#gid=162659938"",""2025-26!v3"")"),0.0)</f>
        <v>0</v>
      </c>
      <c r="AT23" s="57">
        <f>IFERROR(__xludf.DUMMYFUNCTION("importrange(""https://docs.google.com/spreadsheets/d/15DQ8hh_awzBvwln7i3DA9s8321S_hSqWhFiBmw5ANFI/edit?gid=162659938#gid=162659938"",""2025-26!w4"")"),0.0)</f>
        <v>0</v>
      </c>
      <c r="AU23" s="55">
        <f>IFERROR(__xludf.DUMMYFUNCTION("importrange(""https://docs.google.com/spreadsheets/d/15DQ8hh_awzBvwln7i3DA9s8321S_hSqWhFiBmw5ANFI/edit?gid=162659938#gid=162659938"",""2025-26!w3"")"),0.0)</f>
        <v>0</v>
      </c>
      <c r="AV23" s="58" t="str">
        <f t="shared" si="22"/>
        <v/>
      </c>
      <c r="AW23" s="55">
        <f>IFERROR(__xludf.DUMMYFUNCTION("importrange(""https://docs.google.com/spreadsheets/d/15DQ8hh_awzBvwln7i3DA9s8321S_hSqWhFiBmw5ANFI/edit?gid=162659938#gid=162659938"",""2025-26!x4"")"),0.0)</f>
        <v>0</v>
      </c>
      <c r="AX23" s="55">
        <f>IFERROR(__xludf.DUMMYFUNCTION("importrange(""https://docs.google.com/spreadsheets/d/15DQ8hh_awzBvwln7i3DA9s8321S_hSqWhFiBmw5ANFI/edit?gid=162659938#gid=162659938"",""2025-26!x3"")"),0.0)</f>
        <v>0</v>
      </c>
      <c r="AY23" s="55">
        <f>IFERROR(__xludf.DUMMYFUNCTION("importrange(""https://docs.google.com/spreadsheets/d/15DQ8hh_awzBvwln7i3DA9s8321S_hSqWhFiBmw5ANFI/edit?gid=162659938#gid=162659938"",""2025-26!y4"")"),0.0)</f>
        <v>0</v>
      </c>
      <c r="AZ23" s="55">
        <f>IFERROR(__xludf.DUMMYFUNCTION("importrange(""https://docs.google.com/spreadsheets/d/15DQ8hh_awzBvwln7i3DA9s8321S_hSqWhFiBmw5ANFI/edit?gid=162659938#gid=162659938"",""2025-26!y3"")"),0.0)</f>
        <v>0</v>
      </c>
      <c r="BA23" s="57">
        <f>IFERROR(__xludf.DUMMYFUNCTION("importrange(""https://docs.google.com/spreadsheets/d/15DQ8hh_awzBvwln7i3DA9s8321S_hSqWhFiBmw5ANFI/edit?gid=162659938#gid=162659938"",""2025-26!z4"")"),73202.0)</f>
        <v>73202</v>
      </c>
      <c r="BB23" s="55">
        <f>IFERROR(__xludf.DUMMYFUNCTION("importrange(""https://docs.google.com/spreadsheets/d/15DQ8hh_awzBvwln7i3DA9s8321S_hSqWhFiBmw5ANFI/edit?gid=162659938#gid=162659938"",""2025-26!z3"")"),3.0)</f>
        <v>3</v>
      </c>
      <c r="BC23" s="59" t="str">
        <f t="shared" si="23"/>
        <v/>
      </c>
      <c r="BD23" s="55">
        <f>IFERROR(__xludf.DUMMYFUNCTION("importrange(""https://docs.google.com/spreadsheets/d/15DQ8hh_awzBvwln7i3DA9s8321S_hSqWhFiBmw5ANFI/edit?gid=162659938#gid=162659938"",""2025-26!aa4"")"),0.0)</f>
        <v>0</v>
      </c>
      <c r="BE23" s="55">
        <f>IFERROR(__xludf.DUMMYFUNCTION("importrange(""https://docs.google.com/spreadsheets/d/15DQ8hh_awzBvwln7i3DA9s8321S_hSqWhFiBmw5ANFI/edit?gid=162659938#gid=162659938"",""2025-26!aa3"")"),0.0)</f>
        <v>0</v>
      </c>
      <c r="BF23" s="55">
        <f>IFERROR(__xludf.DUMMYFUNCTION("importrange(""https://docs.google.com/spreadsheets/d/15DQ8hh_awzBvwln7i3DA9s8321S_hSqWhFiBmw5ANFI/edit?gid=162659938#gid=162659938"",""2025-26!ab4"")"),0.0)</f>
        <v>0</v>
      </c>
      <c r="BG23" s="55">
        <f>IFERROR(__xludf.DUMMYFUNCTION("importrange(""https://docs.google.com/spreadsheets/d/15DQ8hh_awzBvwln7i3DA9s8321S_hSqWhFiBmw5ANFI/edit?gid=162659938#gid=162659938"",""2025-26!ab3"")"),0.0)</f>
        <v>0</v>
      </c>
      <c r="BH23" s="55">
        <f>IFERROR(__xludf.DUMMYFUNCTION("importrange(""https://docs.google.com/spreadsheets/d/15DQ8hh_awzBvwln7i3DA9s8321S_hSqWhFiBmw5ANFI/edit?gid=162659938#gid=162659938"",""2025-26!ac4"")"),68180.08)</f>
        <v>68180.08</v>
      </c>
      <c r="BI23" s="55">
        <f>IFERROR(__xludf.DUMMYFUNCTION("importrange(""https://docs.google.com/spreadsheets/d/15DQ8hh_awzBvwln7i3DA9s8321S_hSqWhFiBmw5ANFI/edit?gid=162659938#gid=162659938"",""2025-26!ac3"")"),4.0)</f>
        <v>4</v>
      </c>
      <c r="BJ23" s="59" t="str">
        <f t="shared" si="24"/>
        <v/>
      </c>
      <c r="BK23" s="55">
        <f>IFERROR(__xludf.DUMMYFUNCTION("importrange(""https://docs.google.com/spreadsheets/d/15DQ8hh_awzBvwln7i3DA9s8321S_hSqWhFiBmw5ANFI/edit?gid=162659938#gid=162659938"",""2025-26!ad4"")"),0.0)</f>
        <v>0</v>
      </c>
      <c r="BL23" s="55">
        <f>IFERROR(__xludf.DUMMYFUNCTION("importrange(""https://docs.google.com/spreadsheets/d/15DQ8hh_awzBvwln7i3DA9s8321S_hSqWhFiBmw5ANFI/edit?gid=162659938#gid=162659938"",""2025-26!ad3"")"),0.0)</f>
        <v>0</v>
      </c>
      <c r="BM23" s="55">
        <f>IFERROR(__xludf.DUMMYFUNCTION("importrange(""https://docs.google.com/spreadsheets/d/15DQ8hh_awzBvwln7i3DA9s8321S_hSqWhFiBmw5ANFI/edit?gid=162659938#gid=162659938"",""2025-26!ae4"")"),0.0)</f>
        <v>0</v>
      </c>
      <c r="BN23" s="55">
        <f>IFERROR(__xludf.DUMMYFUNCTION("importrange(""https://docs.google.com/spreadsheets/d/15DQ8hh_awzBvwln7i3DA9s8321S_hSqWhFiBmw5ANFI/edit?gid=162659938#gid=162659938"",""2025-26!ae3"")"),0.0)</f>
        <v>0</v>
      </c>
      <c r="BO23" s="55">
        <f>IFERROR(__xludf.DUMMYFUNCTION("importrange(""https://docs.google.com/spreadsheets/d/15DQ8hh_awzBvwln7i3DA9s8321S_hSqWhFiBmw5ANFI/edit?gid=162659938#gid=162659938"",""2025-26!af4"")"),1115293.74)</f>
        <v>1115293.74</v>
      </c>
      <c r="BP23" s="55">
        <f>IFERROR(__xludf.DUMMYFUNCTION("importrange(""https://docs.google.com/spreadsheets/d/15DQ8hh_awzBvwln7i3DA9s8321S_hSqWhFiBmw5ANFI/edit?gid=162659938#gid=162659938"",""2025-26!af3"")"),7.0)</f>
        <v>7</v>
      </c>
      <c r="BQ23" s="59" t="str">
        <f t="shared" si="25"/>
        <v/>
      </c>
      <c r="BR23" s="55">
        <f>IFERROR(__xludf.DUMMYFUNCTION("importrange(""https://docs.google.com/spreadsheets/d/15DQ8hh_awzBvwln7i3DA9s8321S_hSqWhFiBmw5ANFI/edit?gid=162659938#gid=162659938"",""2025-26!ag4"")"),0.0)</f>
        <v>0</v>
      </c>
      <c r="BS23" s="55">
        <f>IFERROR(__xludf.DUMMYFUNCTION("importrange(""https://docs.google.com/spreadsheets/d/15DQ8hh_awzBvwln7i3DA9s8321S_hSqWhFiBmw5ANFI/edit?gid=162659938#gid=162659938"",""2025-26!ag3"")"),0.0)</f>
        <v>0</v>
      </c>
      <c r="BT23" s="55">
        <f>IFERROR(__xludf.DUMMYFUNCTION("importrange(""https://docs.google.com/spreadsheets/d/15DQ8hh_awzBvwln7i3DA9s8321S_hSqWhFiBmw5ANFI/edit?gid=162659938#gid=162659938"",""2025-26!ah4"")"),0.0)</f>
        <v>0</v>
      </c>
      <c r="BU23" s="55">
        <f>IFERROR(__xludf.DUMMYFUNCTION("importrange(""https://docs.google.com/spreadsheets/d/15DQ8hh_awzBvwln7i3DA9s8321S_hSqWhFiBmw5ANFI/edit?gid=162659938#gid=162659938"",""2025-26!ah3"")"),0.0)</f>
        <v>0</v>
      </c>
      <c r="BV23" s="55">
        <f>IFERROR(__xludf.DUMMYFUNCTION("importrange(""https://docs.google.com/spreadsheets/d/15DQ8hh_awzBvwln7i3DA9s8321S_hSqWhFiBmw5ANFI/edit?gid=162659938#gid=162659938"",""2025-26!ai4"")"),429386.48000000004)</f>
        <v>429386.48</v>
      </c>
      <c r="BW23" s="55">
        <f>IFERROR(__xludf.DUMMYFUNCTION("importrange(""https://docs.google.com/spreadsheets/d/15DQ8hh_awzBvwln7i3DA9s8321S_hSqWhFiBmw5ANFI/edit?gid=162659938#gid=162659938"",""2025-26!ai3"")"),18.0)</f>
        <v>18</v>
      </c>
      <c r="BX23" s="59" t="str">
        <f t="shared" si="26"/>
        <v/>
      </c>
      <c r="BY23" s="55">
        <f>IFERROR(__xludf.DUMMYFUNCTION("importrange(""https://docs.google.com/spreadsheets/d/15DQ8hh_awzBvwln7i3DA9s8321S_hSqWhFiBmw5ANFI/edit?gid=162659938#gid=162659938"",""2025-26!aj4"")"),0.0)</f>
        <v>0</v>
      </c>
      <c r="BZ23" s="55">
        <f>IFERROR(__xludf.DUMMYFUNCTION("importrange(""https://docs.google.com/spreadsheets/d/15DQ8hh_awzBvwln7i3DA9s8321S_hSqWhFiBmw5ANFI/edit?gid=162659938#gid=162659938"",""2025-26!aj3"")"),0.0)</f>
        <v>0</v>
      </c>
      <c r="CA23" s="55">
        <f>IFERROR(__xludf.DUMMYFUNCTION("importrange(""https://docs.google.com/spreadsheets/d/15DQ8hh_awzBvwln7i3DA9s8321S_hSqWhFiBmw5ANFI/edit?gid=162659938#gid=162659938"",""2025-26!ak4"")"),395000.0)</f>
        <v>395000</v>
      </c>
      <c r="CB23" s="55">
        <f>IFERROR(__xludf.DUMMYFUNCTION("importrange(""https://docs.google.com/spreadsheets/d/15DQ8hh_awzBvwln7i3DA9s8321S_hSqWhFiBmw5ANFI/edit?gid=162659938#gid=162659938"",""2025-26!ak3"")"),25.0)</f>
        <v>25</v>
      </c>
      <c r="CC23" s="55">
        <f>IFERROR(__xludf.DUMMYFUNCTION("importrange(""https://docs.google.com/spreadsheets/d/15DQ8hh_awzBvwln7i3DA9s8321S_hSqWhFiBmw5ANFI/edit?gid=162659938#gid=162659938"",""2025-26!al4"")"),517506.91000000003)</f>
        <v>517506.91</v>
      </c>
      <c r="CD23" s="55">
        <f>IFERROR(__xludf.DUMMYFUNCTION("importrange(""https://docs.google.com/spreadsheets/d/15DQ8hh_awzBvwln7i3DA9s8321S_hSqWhFiBmw5ANFI/edit?gid=162659938#gid=162659938"",""2025-26!ai3"")"),18.0)</f>
        <v>18</v>
      </c>
      <c r="CE23" s="59">
        <f t="shared" si="27"/>
        <v>1.488868354</v>
      </c>
      <c r="CF23" s="55">
        <f>IFERROR(__xludf.DUMMYFUNCTION("importrange(""https://docs.google.com/spreadsheets/d/15DQ8hh_awzBvwln7i3DA9s8321S_hSqWhFiBmw5ANFI/edit?gid=162659938#gid=162659938"",""2025-26!am4"")"),588103.0)</f>
        <v>588103</v>
      </c>
      <c r="CG23" s="55">
        <f>IFERROR(__xludf.DUMMYFUNCTION("importrange(""https://docs.google.com/spreadsheets/d/15DQ8hh_awzBvwln7i3DA9s8321S_hSqWhFiBmw5ANFI/edit?gid=162659938#gid=162659938"",""2025-26!am3"")"),20.0)</f>
        <v>20</v>
      </c>
      <c r="CH23" s="55">
        <f>IFERROR(__xludf.DUMMYFUNCTION("importrange(""https://docs.google.com/spreadsheets/d/15DQ8hh_awzBvwln7i3DA9s8321S_hSqWhFiBmw5ANFI/edit?gid=162659938#gid=162659938"",""2025-26!an4"")"),320000.0)</f>
        <v>320000</v>
      </c>
      <c r="CI23" s="55">
        <f>IFERROR(__xludf.DUMMYFUNCTION("importrange(""https://docs.google.com/spreadsheets/d/15DQ8hh_awzBvwln7i3DA9s8321S_hSqWhFiBmw5ANFI/edit?gid=162659938#gid=162659938"",""2025-26!an3"")"),25.0)</f>
        <v>25</v>
      </c>
      <c r="CJ23" s="55">
        <f>IFERROR(__xludf.DUMMYFUNCTION("importrange(""https://docs.google.com/spreadsheets/d/15DQ8hh_awzBvwln7i3DA9s8321S_hSqWhFiBmw5ANFI/edit?gid=162659938#gid=162659938"",""2025-26!ao4"")"),382993.8400000001)</f>
        <v>382993.84</v>
      </c>
      <c r="CK23" s="55">
        <f>IFERROR(__xludf.DUMMYFUNCTION("importrange(""https://docs.google.com/spreadsheets/d/15DQ8hh_awzBvwln7i3DA9s8321S_hSqWhFiBmw5ANFI/edit?gid=162659938#gid=162659938"",""2025-26!ao3"")"),18.0)</f>
        <v>18</v>
      </c>
      <c r="CL23" s="59">
        <f t="shared" si="28"/>
        <v>0.883796875</v>
      </c>
      <c r="CM23" s="55">
        <f>IFERROR(__xludf.DUMMYFUNCTION("importrange(""https://docs.google.com/spreadsheets/d/15DQ8hh_awzBvwln7i3DA9s8321S_hSqWhFiBmw5ANFI/edit?gid=162659938#gid=162659938"",""2025-26!ap4"")"),282815.0)</f>
        <v>282815</v>
      </c>
      <c r="CN23" s="55">
        <f>IFERROR(__xludf.DUMMYFUNCTION("importrange(""https://docs.google.com/spreadsheets/d/15DQ8hh_awzBvwln7i3DA9s8321S_hSqWhFiBmw5ANFI/edit?gid=162659938#gid=162659938"",""2025-26!ap3"")"),15.0)</f>
        <v>15</v>
      </c>
      <c r="CO23" s="55">
        <f>IFERROR(__xludf.DUMMYFUNCTION("importrange(""https://docs.google.com/spreadsheets/d/15DQ8hh_awzBvwln7i3DA9s8321S_hSqWhFiBmw5ANFI/edit?gid=162659938#gid=162659938"",""2025-26!aq4"")"),440000.0)</f>
        <v>440000</v>
      </c>
      <c r="CP23" s="55">
        <f>IFERROR(__xludf.DUMMYFUNCTION("importrange(""https://docs.google.com/spreadsheets/d/15DQ8hh_awzBvwln7i3DA9s8321S_hSqWhFiBmw5ANFI/edit?gid=162659938#gid=162659938"",""2025-26!aq3"")"),25.0)</f>
        <v>25</v>
      </c>
      <c r="CQ23" s="55">
        <f>IFERROR(__xludf.DUMMYFUNCTION("importrange(""https://docs.google.com/spreadsheets/d/15DQ8hh_awzBvwln7i3DA9s8321S_hSqWhFiBmw5ANFI/edit?gid=162659938#gid=162659938"",""2025-26!ar4"")"),408571.06)</f>
        <v>408571.06</v>
      </c>
      <c r="CR23" s="55">
        <f>IFERROR(__xludf.DUMMYFUNCTION("importrange(""https://docs.google.com/spreadsheets/d/15DQ8hh_awzBvwln7i3DA9s8321S_hSqWhFiBmw5ANFI/edit?gid=162659938#gid=162659938"",""2025-26!ar3"")"),13.0)</f>
        <v>13</v>
      </c>
      <c r="CS23" s="59">
        <f t="shared" si="29"/>
        <v>0.928575</v>
      </c>
      <c r="CT23" s="55">
        <f>IFERROR(__xludf.DUMMYFUNCTION("importrange(""https://docs.google.com/spreadsheets/d/15DQ8hh_awzBvwln7i3DA9s8321S_hSqWhFiBmw5ANFI/edit?gid=162659938#gid=162659938"",""2025-26!as4"")"),408573.0)</f>
        <v>408573</v>
      </c>
      <c r="CU23" s="55">
        <f>IFERROR(__xludf.DUMMYFUNCTION("importrange(""https://docs.google.com/spreadsheets/d/15DQ8hh_awzBvwln7i3DA9s8321S_hSqWhFiBmw5ANFI/edit?gid=162659938#gid=162659938"",""2025-26!as3"")"),13.0)</f>
        <v>13</v>
      </c>
      <c r="CV23" s="60" t="s">
        <v>56</v>
      </c>
    </row>
    <row r="24">
      <c r="A24" s="76" t="s">
        <v>53</v>
      </c>
      <c r="B24" s="37"/>
      <c r="C24" s="71" t="s">
        <v>66</v>
      </c>
      <c r="D24" s="65" t="s">
        <v>67</v>
      </c>
      <c r="E24" s="68">
        <v>7.827171718E9</v>
      </c>
      <c r="F24" s="66">
        <v>45979.0</v>
      </c>
      <c r="G24" s="5"/>
      <c r="H24" s="5"/>
      <c r="I24" s="70">
        <v>37740.0</v>
      </c>
      <c r="J24" s="54">
        <v>1000000.0</v>
      </c>
      <c r="K24" s="55">
        <f>IFERROR(__xludf.DUMMYFUNCTION("IMPORTRANGE(""1OTBjdj7HKLUdboQDmQulWdk3sem1C_Gc1u9CgZqoPZk"",""2025-26!A3"")"),38.0)</f>
        <v>38</v>
      </c>
      <c r="L24" s="55">
        <f>IFERROR(__xludf.DUMMYFUNCTION("IMPORTRANGE(""1OTBjdj7HKLUdboQDmQulWdk3sem1C_Gc1u9CgZqoPZk"",""2025-26!G4"")"),1500000.0)</f>
        <v>1500000</v>
      </c>
      <c r="M24" s="55">
        <f t="shared" ref="M24:M25" si="35">R24+Y24+AF24+AM24+AT24+BA24+BH24+BO24+BV24+CC24+CJ24+CQ24</f>
        <v>471673.53</v>
      </c>
      <c r="N24" s="56">
        <f t="shared" ref="N24:N25" si="36">O24/L24</f>
        <v>0.31767</v>
      </c>
      <c r="O24" s="57">
        <f t="shared" ref="O24:O25" si="37">U24+AB24+AI24+AP24+AW24+BD24+BK24+BR24+BY24+CF24+CM24+CT24</f>
        <v>476505</v>
      </c>
      <c r="P24" s="55">
        <f>IFERROR(__xludf.DUMMYFUNCTION("IMPORTRANGE(""1OTBjdj7HKLUdboQDmQulWdk3sem1C_Gc1u9CgZqoPZk"",""2025-26!J4"")"),0.0)</f>
        <v>0</v>
      </c>
      <c r="Q24" s="55">
        <f>IFERROR(__xludf.DUMMYFUNCTION("IMPORTRANGE(""1OTBjdj7HKLUdboQDmQulWdk3sem1C_Gc1u9CgZqoPZk"",""2025-26!J3"")"),0.0)</f>
        <v>0</v>
      </c>
      <c r="R24" s="55">
        <f>IFERROR(__xludf.DUMMYFUNCTION("IMPORTRANGE(""1OTBjdj7HKLUdboQDmQulWdk3sem1C_Gc1u9CgZqoPZk"",""2025-26!K4"")"),0.0)</f>
        <v>0</v>
      </c>
      <c r="S24" s="55">
        <f>IFERROR(__xludf.DUMMYFUNCTION("IMPORTRANGE(""1OTBjdj7HKLUdboQDmQulWdk3sem1C_Gc1u9CgZqoPZk"",""2025-26!K3"")"),0.0)</f>
        <v>0</v>
      </c>
      <c r="T24" s="58" t="str">
        <f t="shared" si="18"/>
        <v/>
      </c>
      <c r="U24" s="55">
        <f>IFERROR(__xludf.DUMMYFUNCTION("IMPORTRANGE(""1OTBjdj7HKLUdboQDmQulWdk3sem1C_Gc1u9CgZqoPZk"",""2025-26!L4"")"),0.0)</f>
        <v>0</v>
      </c>
      <c r="V24" s="55">
        <f>IFERROR(__xludf.DUMMYFUNCTION("IMPORTRANGE(""1OTBjdj7HKLUdboQDmQulWdk3sem1C_Gc1u9CgZqoPZk"",""2025-26!L3"")"),0.0)</f>
        <v>0</v>
      </c>
      <c r="W24" s="55">
        <f>IFERROR(__xludf.DUMMYFUNCTION("IMPORTRANGE(""1OTBjdj7HKLUdboQDmQulWdk3sem1C_Gc1u9CgZqoPZk"",""2025-26!m4"")"),0.0)</f>
        <v>0</v>
      </c>
      <c r="X24" s="55">
        <f>IFERROR(__xludf.DUMMYFUNCTION("IMPORTRANGE(""1OTBjdj7HKLUdboQDmQulWdk3sem1C_Gc1u9CgZqoPZk"",""2025-26!m3"")"),0.0)</f>
        <v>0</v>
      </c>
      <c r="Y24" s="55">
        <f>IFERROR(__xludf.DUMMYFUNCTION("IMPORTRANGE(""1OTBjdj7HKLUdboQDmQulWdk3sem1C_Gc1u9CgZqoPZk"",""2025-26!N4"")"),0.0)</f>
        <v>0</v>
      </c>
      <c r="Z24" s="55">
        <f>IFERROR(__xludf.DUMMYFUNCTION("IMPORTRANGE(""1OTBjdj7HKLUdboQDmQulWdk3sem1C_Gc1u9CgZqoPZk"",""2025-26!N3"")"),0.0)</f>
        <v>0</v>
      </c>
      <c r="AA24" s="58" t="str">
        <f t="shared" si="19"/>
        <v/>
      </c>
      <c r="AB24" s="55">
        <f>IFERROR(__xludf.DUMMYFUNCTION("IMPORTRANGE(""1OTBjdj7HKLUdboQDmQulWdk3sem1C_Gc1u9CgZqoPZk"",""2025-26!O4"")"),0.0)</f>
        <v>0</v>
      </c>
      <c r="AC24" s="55">
        <f>IFERROR(__xludf.DUMMYFUNCTION("IMPORTRANGE(""1OTBjdj7HKLUdboQDmQulWdk3sem1C_Gc1u9CgZqoPZk"",""2025-26!O3"")"),0.0)</f>
        <v>0</v>
      </c>
      <c r="AD24" s="55">
        <f>IFERROR(__xludf.DUMMYFUNCTION("IMPORTRANGE(""1OTBjdj7HKLUdboQDmQulWdk3sem1C_Gc1u9CgZqoPZk"",""2025-26!P4"")"),0.0)</f>
        <v>0</v>
      </c>
      <c r="AE24" s="55">
        <f>IFERROR(__xludf.DUMMYFUNCTION("IMPORTRANGE(""1OTBjdj7HKLUdboQDmQulWdk3sem1C_Gc1u9CgZqoPZk"",""2025-26!P3"")"),0.0)</f>
        <v>0</v>
      </c>
      <c r="AF24" s="55">
        <f>IFERROR(__xludf.DUMMYFUNCTION("IMPORTRANGE(""1OTBjdj7HKLUdboQDmQulWdk3sem1C_Gc1u9CgZqoPZk"",""2025-26!Q4"")"),0.0)</f>
        <v>0</v>
      </c>
      <c r="AG24" s="55">
        <f>IFERROR(__xludf.DUMMYFUNCTION("IMPORTRANGE(""1OTBjdj7HKLUdboQDmQulWdk3sem1C_Gc1u9CgZqoPZk"",""2025-26!Q3"")"),0.0)</f>
        <v>0</v>
      </c>
      <c r="AH24" s="58" t="str">
        <f t="shared" si="20"/>
        <v/>
      </c>
      <c r="AI24" s="55">
        <f>IFERROR(__xludf.DUMMYFUNCTION("IMPORTRANGE(""1OTBjdj7HKLUdboQDmQulWdk3sem1C_Gc1u9CgZqoPZk"",""2025-26!R4"")"),0.0)</f>
        <v>0</v>
      </c>
      <c r="AJ24" s="55">
        <f>IFERROR(__xludf.DUMMYFUNCTION("IMPORTRANGE(""1OTBjdj7HKLUdboQDmQulWdk3sem1C_Gc1u9CgZqoPZk"",""2025-26!R3"")"),0.0)</f>
        <v>0</v>
      </c>
      <c r="AK24" s="55">
        <f>IFERROR(__xludf.DUMMYFUNCTION("IMPORTRANGE(""1OTBjdj7HKLUdboQDmQulWdk3sem1C_Gc1u9CgZqoPZk"",""2025-26!S4"")"),0.0)</f>
        <v>0</v>
      </c>
      <c r="AL24" s="55">
        <f>IFERROR(__xludf.DUMMYFUNCTION("IMPORTRANGE(""1OTBjdj7HKLUdboQDmQulWdk3sem1C_Gc1u9CgZqoPZk"",""2025-26!S3"")"),0.0)</f>
        <v>0</v>
      </c>
      <c r="AM24" s="55">
        <f>IFERROR(__xludf.DUMMYFUNCTION("IMPORTRANGE(""1OTBjdj7HKLUdboQDmQulWdk3sem1C_Gc1u9CgZqoPZk"",""2025-26!T4"")"),0.0)</f>
        <v>0</v>
      </c>
      <c r="AN24" s="55">
        <f>IFERROR(__xludf.DUMMYFUNCTION("IMPORTRANGE(""1OTBjdj7HKLUdboQDmQulWdk3sem1C_Gc1u9CgZqoPZk"",""2025-26!T3"")"),0.0)</f>
        <v>0</v>
      </c>
      <c r="AO24" s="58" t="str">
        <f t="shared" si="21"/>
        <v/>
      </c>
      <c r="AP24" s="55">
        <f>IFERROR(__xludf.DUMMYFUNCTION("IMPORTRANGE(""1OTBjdj7HKLUdboQDmQulWdk3sem1C_Gc1u9CgZqoPZk"",""2025-26!U4"")"),0.0)</f>
        <v>0</v>
      </c>
      <c r="AQ24" s="55">
        <f>IFERROR(__xludf.DUMMYFUNCTION("IMPORTRANGE(""1OTBjdj7HKLUdboQDmQulWdk3sem1C_Gc1u9CgZqoPZk"",""2025-26!U3"")"),0.0)</f>
        <v>0</v>
      </c>
      <c r="AR24" s="55">
        <f>IFERROR(__xludf.DUMMYFUNCTION("IMPORTRANGE(""1OTBjdj7HKLUdboQDmQulWdk3sem1C_Gc1u9CgZqoPZk"",""2025-26!V4"")"),0.0)</f>
        <v>0</v>
      </c>
      <c r="AS24" s="55">
        <f>IFERROR(__xludf.DUMMYFUNCTION("IMPORTRANGE(""1OTBjdj7HKLUdboQDmQulWdk3sem1C_Gc1u9CgZqoPZk"",""2025-26!V3"")"),0.0)</f>
        <v>0</v>
      </c>
      <c r="AT24" s="55">
        <f>IFERROR(__xludf.DUMMYFUNCTION("IMPORTRANGE(""1OTBjdj7HKLUdboQDmQulWdk3sem1C_Gc1u9CgZqoPZk"",""2025-26!W4"")"),0.0)</f>
        <v>0</v>
      </c>
      <c r="AU24" s="55">
        <f>IFERROR(__xludf.DUMMYFUNCTION("IMPORTRANGE(""1OTBjdj7HKLUdboQDmQulWdk3sem1C_Gc1u9CgZqoPZk"",""2025-26!W3"")"),0.0)</f>
        <v>0</v>
      </c>
      <c r="AV24" s="58" t="str">
        <f t="shared" si="22"/>
        <v/>
      </c>
      <c r="AW24" s="55">
        <f>IFERROR(__xludf.DUMMYFUNCTION("IMPORTRANGE(""1OTBjdj7HKLUdboQDmQulWdk3sem1C_Gc1u9CgZqoPZk"",""2025-26!X4"")"),0.0)</f>
        <v>0</v>
      </c>
      <c r="AX24" s="55">
        <f>IFERROR(__xludf.DUMMYFUNCTION("IMPORTRANGE(""1OTBjdj7HKLUdboQDmQulWdk3sem1C_Gc1u9CgZqoPZk"",""2025-26!X3"")"),0.0)</f>
        <v>0</v>
      </c>
      <c r="AY24" s="55">
        <f>IFERROR(__xludf.DUMMYFUNCTION("IMPORTRANGE(""1OTBjdj7HKLUdboQDmQulWdk3sem1C_Gc1u9CgZqoPZk"",""2025-26!Y4"")"),0.0)</f>
        <v>0</v>
      </c>
      <c r="AZ24" s="55">
        <f>IFERROR(__xludf.DUMMYFUNCTION("IMPORTRANGE(""1OTBjdj7HKLUdboQDmQulWdk3sem1C_Gc1u9CgZqoPZk"",""2025-26!Y3"")"),0.0)</f>
        <v>0</v>
      </c>
      <c r="BA24" s="55">
        <f>IFERROR(__xludf.DUMMYFUNCTION("IMPORTRANGE(""1OTBjdj7HKLUdboQDmQulWdk3sem1C_Gc1u9CgZqoPZk"",""2025-26!Z4"")"),0.0)</f>
        <v>0</v>
      </c>
      <c r="BB24" s="55">
        <f>IFERROR(__xludf.DUMMYFUNCTION("IMPORTRANGE(""1OTBjdj7HKLUdboQDmQulWdk3sem1C_Gc1u9CgZqoPZk"",""2025-26!Z3"")"),0.0)</f>
        <v>0</v>
      </c>
      <c r="BC24" s="59" t="str">
        <f t="shared" si="23"/>
        <v/>
      </c>
      <c r="BD24" s="55">
        <f>IFERROR(__xludf.DUMMYFUNCTION("IMPORTRANGE(""1OTBjdj7HKLUdboQDmQulWdk3sem1C_Gc1u9CgZqoPZk"",""2025-26!AA4"")"),0.0)</f>
        <v>0</v>
      </c>
      <c r="BE24" s="55">
        <f>IFERROR(__xludf.DUMMYFUNCTION("IMPORTRANGE(""1OTBjdj7HKLUdboQDmQulWdk3sem1C_Gc1u9CgZqoPZk"",""2025-26!AA3"")"),0.0)</f>
        <v>0</v>
      </c>
      <c r="BF24" s="55">
        <f>IFERROR(__xludf.DUMMYFUNCTION("IMPORTRANGE(""1OTBjdj7HKLUdboQDmQulWdk3sem1C_Gc1u9CgZqoPZk"",""2025-26!AB4"")"),0.0)</f>
        <v>0</v>
      </c>
      <c r="BG24" s="55">
        <f>IFERROR(__xludf.DUMMYFUNCTION("IMPORTRANGE(""1OTBjdj7HKLUdboQDmQulWdk3sem1C_Gc1u9CgZqoPZk"",""2025-26!AB3"")"),0.0)</f>
        <v>0</v>
      </c>
      <c r="BH24" s="55">
        <f>IFERROR(__xludf.DUMMYFUNCTION("IMPORTRANGE(""1OTBjdj7HKLUdboQDmQulWdk3sem1C_Gc1u9CgZqoPZk"",""2025-26!AC4"")"),0.0)</f>
        <v>0</v>
      </c>
      <c r="BI24" s="55">
        <f>IFERROR(__xludf.DUMMYFUNCTION("IMPORTRANGE(""1OTBjdj7HKLUdboQDmQulWdk3sem1C_Gc1u9CgZqoPZk"",""2025-26!AC3"")"),0.0)</f>
        <v>0</v>
      </c>
      <c r="BJ24" s="59" t="str">
        <f t="shared" si="24"/>
        <v/>
      </c>
      <c r="BK24" s="55">
        <f>IFERROR(__xludf.DUMMYFUNCTION("IMPORTRANGE(""1OTBjdj7HKLUdboQDmQulWdk3sem1C_Gc1u9CgZqoPZk"",""2025-26!AD4"")"),0.0)</f>
        <v>0</v>
      </c>
      <c r="BL24" s="55">
        <f>IFERROR(__xludf.DUMMYFUNCTION("IMPORTRANGE(""1OTBjdj7HKLUdboQDmQulWdk3sem1C_Gc1u9CgZqoPZk"",""2025-26!AD3"")"),0.0)</f>
        <v>0</v>
      </c>
      <c r="BM24" s="55">
        <f>IFERROR(__xludf.DUMMYFUNCTION("IMPORTRANGE(""1OTBjdj7HKLUdboQDmQulWdk3sem1C_Gc1u9CgZqoPZk"",""2025-26!AE4"")"),0.0)</f>
        <v>0</v>
      </c>
      <c r="BN24" s="55">
        <f>IFERROR(__xludf.DUMMYFUNCTION("IMPORTRANGE(""1OTBjdj7HKLUdboQDmQulWdk3sem1C_Gc1u9CgZqoPZk"",""2025-26!AE3"")"),0.0)</f>
        <v>0</v>
      </c>
      <c r="BO24" s="55">
        <f>IFERROR(__xludf.DUMMYFUNCTION("IMPORTRANGE(""1OTBjdj7HKLUdboQDmQulWdk3sem1C_Gc1u9CgZqoPZk"",""2025-26!AF4"")"),0.0)</f>
        <v>0</v>
      </c>
      <c r="BP24" s="55">
        <f>IFERROR(__xludf.DUMMYFUNCTION("IMPORTRANGE(""1OTBjdj7HKLUdboQDmQulWdk3sem1C_Gc1u9CgZqoPZk"",""2025-26!AF3"")"),0.0)</f>
        <v>0</v>
      </c>
      <c r="BQ24" s="59" t="str">
        <f t="shared" si="25"/>
        <v/>
      </c>
      <c r="BR24" s="55">
        <f>IFERROR(__xludf.DUMMYFUNCTION("IMPORTRANGE(""1OTBjdj7HKLUdboQDmQulWdk3sem1C_Gc1u9CgZqoPZk"",""2025-26!AG4"")"),0.0)</f>
        <v>0</v>
      </c>
      <c r="BS24" s="55">
        <f>IFERROR(__xludf.DUMMYFUNCTION("IMPORTRANGE(""1OTBjdj7HKLUdboQDmQulWdk3sem1C_Gc1u9CgZqoPZk"",""2025-26!AG3"")"),0.0)</f>
        <v>0</v>
      </c>
      <c r="BT24" s="55">
        <f>IFERROR(__xludf.DUMMYFUNCTION("IMPORTRANGE(""1OTBjdj7HKLUdboQDmQulWdk3sem1C_Gc1u9CgZqoPZk"",""2025-26!AH4"")"),120000.0)</f>
        <v>120000</v>
      </c>
      <c r="BU24" s="55">
        <f>IFERROR(__xludf.DUMMYFUNCTION("IMPORTRANGE(""1OTBjdj7HKLUdboQDmQulWdk3sem1C_Gc1u9CgZqoPZk"",""2025-26!AH3"")"),3.0)</f>
        <v>3</v>
      </c>
      <c r="BV24" s="55">
        <f>IFERROR(__xludf.DUMMYFUNCTION("IMPORTRANGE(""1OTBjdj7HKLUdboQDmQulWdk3sem1C_Gc1u9CgZqoPZk"",""2025-26!AI4"")"),61777.659999999996)</f>
        <v>61777.66</v>
      </c>
      <c r="BW24" s="55">
        <f>IFERROR(__xludf.DUMMYFUNCTION("IMPORTRANGE(""1OTBjdj7HKLUdboQDmQulWdk3sem1C_Gc1u9CgZqoPZk"",""2025-26!AI3"")"),4.0)</f>
        <v>4</v>
      </c>
      <c r="BX24" s="59">
        <f t="shared" si="26"/>
        <v>0.5123416667</v>
      </c>
      <c r="BY24" s="55">
        <f>IFERROR(__xludf.DUMMYFUNCTION("IMPORTRANGE(""1OTBjdj7HKLUdboQDmQulWdk3sem1C_Gc1u9CgZqoPZk"",""2025-26!AJ4"")"),61481.0)</f>
        <v>61481</v>
      </c>
      <c r="BZ24" s="55">
        <f>IFERROR(__xludf.DUMMYFUNCTION("IMPORTRANGE(""1OTBjdj7HKLUdboQDmQulWdk3sem1C_Gc1u9CgZqoPZk"",""2025-26!AJ3"")"),4.0)</f>
        <v>4</v>
      </c>
      <c r="CA24" s="55">
        <f>IFERROR(__xludf.DUMMYFUNCTION("IMPORTRANGE(""1OTBjdj7HKLUdboQDmQulWdk3sem1C_Gc1u9CgZqoPZk"",""2025-26!AK4"")"),225000.0)</f>
        <v>225000</v>
      </c>
      <c r="CB24" s="55">
        <f>IFERROR(__xludf.DUMMYFUNCTION("IMPORTRANGE(""1OTBjdj7HKLUdboQDmQulWdk3sem1C_Gc1u9CgZqoPZk"",""2025-26!AK3"")"),6.0)</f>
        <v>6</v>
      </c>
      <c r="CC24" s="55">
        <f>IFERROR(__xludf.DUMMYFUNCTION("IMPORTRANGE(""1OTBjdj7HKLUdboQDmQulWdk3sem1C_Gc1u9CgZqoPZk"",""2025-26!AL4"")"),169389.66999999998)</f>
        <v>169389.67</v>
      </c>
      <c r="CD24" s="55">
        <f>IFERROR(__xludf.DUMMYFUNCTION("IMPORTRANGE(""1OTBjdj7HKLUdboQDmQulWdk3sem1C_Gc1u9CgZqoPZk"",""2025-26!AL3"")"),5.0)</f>
        <v>5</v>
      </c>
      <c r="CE24" s="59">
        <f t="shared" si="27"/>
        <v>0.7794044444</v>
      </c>
      <c r="CF24" s="55">
        <f>IFERROR(__xludf.DUMMYFUNCTION("IMPORTRANGE(""1OTBjdj7HKLUdboQDmQulWdk3sem1C_Gc1u9CgZqoPZk"",""2025-26!AM4"")"),175366.0)</f>
        <v>175366</v>
      </c>
      <c r="CG24" s="55">
        <f>IFERROR(__xludf.DUMMYFUNCTION("IMPORTRANGE(""1OTBjdj7HKLUdboQDmQulWdk3sem1C_Gc1u9CgZqoPZk"",""2025-26!AM3"")"),5.0)</f>
        <v>5</v>
      </c>
      <c r="CH24" s="55">
        <f>IFERROR(__xludf.DUMMYFUNCTION("IMPORTRANGE(""1OTBjdj7HKLUdboQDmQulWdk3sem1C_Gc1u9CgZqoPZk"",""2025-26!AN4"")"),325000.0)</f>
        <v>325000</v>
      </c>
      <c r="CI24" s="55">
        <f>IFERROR(__xludf.DUMMYFUNCTION("IMPORTRANGE(""1OTBjdj7HKLUdboQDmQulWdk3sem1C_Gc1u9CgZqoPZk"",""2025-26!AN3"")"),12.0)</f>
        <v>12</v>
      </c>
      <c r="CJ24" s="55">
        <f>IFERROR(__xludf.DUMMYFUNCTION("IMPORTRANGE(""1OTBjdj7HKLUdboQDmQulWdk3sem1C_Gc1u9CgZqoPZk"",""2025-26!AO4"")"),22760.8)</f>
        <v>22760.8</v>
      </c>
      <c r="CK24" s="55">
        <f>IFERROR(__xludf.DUMMYFUNCTION("IMPORTRANGE(""1OTBjdj7HKLUdboQDmQulWdk3sem1C_Gc1u9CgZqoPZk"",""2025-26!AO3"")"),2.0)</f>
        <v>2</v>
      </c>
      <c r="CL24" s="59">
        <f t="shared" si="28"/>
        <v>0.07003384615</v>
      </c>
      <c r="CM24" s="55">
        <f>IFERROR(__xludf.DUMMYFUNCTION("IMPORTRANGE(""1OTBjdj7HKLUdboQDmQulWdk3sem1C_Gc1u9CgZqoPZk"",""2025-26!AP4"")"),22761.0)</f>
        <v>22761</v>
      </c>
      <c r="CN24" s="55">
        <f>IFERROR(__xludf.DUMMYFUNCTION("IMPORTRANGE(""1OTBjdj7HKLUdboQDmQulWdk3sem1C_Gc1u9CgZqoPZk"",""2025-26!AP3"")"),2.0)</f>
        <v>2</v>
      </c>
      <c r="CO24" s="55">
        <f>IFERROR(__xludf.DUMMYFUNCTION("IMPORTRANGE(""1OTBjdj7HKLUdboQDmQulWdk3sem1C_Gc1u9CgZqoPZk"",""2025-26!AQ4"")"),630000.0)</f>
        <v>630000</v>
      </c>
      <c r="CP24" s="55">
        <f>IFERROR(__xludf.DUMMYFUNCTION("IMPORTRANGE(""1OTBjdj7HKLUdboQDmQulWdk3sem1C_Gc1u9CgZqoPZk"",""2025-26!AQ3"")"),13.0)</f>
        <v>13</v>
      </c>
      <c r="CQ24" s="55">
        <f>IFERROR(__xludf.DUMMYFUNCTION("IMPORTRANGE(""1OTBjdj7HKLUdboQDmQulWdk3sem1C_Gc1u9CgZqoPZk"",""2025-26!AR4"")"),217745.4)</f>
        <v>217745.4</v>
      </c>
      <c r="CR24" s="55">
        <f>IFERROR(__xludf.DUMMYFUNCTION("IMPORTRANGE(""1OTBjdj7HKLUdboQDmQulWdk3sem1C_Gc1u9CgZqoPZk"",""2025-26!AR3"")"),4.0)</f>
        <v>4</v>
      </c>
      <c r="CS24" s="59">
        <f t="shared" si="29"/>
        <v>0.3442809524</v>
      </c>
      <c r="CT24" s="55">
        <f>IFERROR(__xludf.DUMMYFUNCTION("IMPORTRANGE(""1OTBjdj7HKLUdboQDmQulWdk3sem1C_Gc1u9CgZqoPZk"",""2025-26!AS4"")"),216897.0)</f>
        <v>216897</v>
      </c>
      <c r="CU24" s="55">
        <f>IFERROR(__xludf.DUMMYFUNCTION("IMPORTRANGE(""1OTBjdj7HKLUdboQDmQulWdk3sem1C_Gc1u9CgZqoPZk"",""2025-26!AS3"")"),4.0)</f>
        <v>4</v>
      </c>
      <c r="CV24" s="60" t="s">
        <v>61</v>
      </c>
    </row>
    <row r="25">
      <c r="A25" s="76" t="s">
        <v>53</v>
      </c>
      <c r="B25" s="37"/>
      <c r="C25" s="71" t="s">
        <v>68</v>
      </c>
      <c r="D25" s="65" t="s">
        <v>69</v>
      </c>
      <c r="E25" s="68">
        <v>8.930359466E9</v>
      </c>
      <c r="F25" s="66">
        <v>45992.0</v>
      </c>
      <c r="G25" s="5"/>
      <c r="H25" s="5"/>
      <c r="I25" s="70">
        <v>24116.0</v>
      </c>
      <c r="J25" s="54">
        <v>500000.0</v>
      </c>
      <c r="K25" s="55">
        <f>IFERROR(__xludf.DUMMYFUNCTION("IMPORTRANGE(""1hBER3zTZpkPEdxBS-u7qW1ycgJwvdCYaiyqb9HCWGHk"",""2025-26!A3"")"),38.0)</f>
        <v>38</v>
      </c>
      <c r="L25" s="55">
        <f>IFERROR(__xludf.DUMMYFUNCTION("IMPORTRANGE(""1hBER3zTZpkPEdxBS-u7qW1ycgJwvdCYaiyqb9HCWGHk"",""2025-26!G4"")"),1700000.0)</f>
        <v>1700000</v>
      </c>
      <c r="M25" s="55">
        <f t="shared" si="35"/>
        <v>0</v>
      </c>
      <c r="N25" s="56">
        <f t="shared" si="36"/>
        <v>0</v>
      </c>
      <c r="O25" s="57">
        <f t="shared" si="37"/>
        <v>0</v>
      </c>
      <c r="P25" s="55">
        <f>IFERROR(__xludf.DUMMYFUNCTION("IMPORTRANGE(""1hBER3zTZpkPEdxBS-u7qW1ycgJwvdCYaiyqb9HCWGHk"",""2025-26!J4"")"),0.0)</f>
        <v>0</v>
      </c>
      <c r="Q25" s="55">
        <f>IFERROR(__xludf.DUMMYFUNCTION("IMPORTRANGE(""1hBER3zTZpkPEdxBS-u7qW1ycgJwvdCYaiyqb9HCWGHk"",""2025-26!J3"")"),0.0)</f>
        <v>0</v>
      </c>
      <c r="R25" s="55">
        <f>IFERROR(__xludf.DUMMYFUNCTION("IMPORTRANGE(""1hBER3zTZpkPEdxBS-u7qW1ycgJwvdCYaiyqb9HCWGHk"",""2025-26!K4"")"),0.0)</f>
        <v>0</v>
      </c>
      <c r="S25" s="55">
        <f>IFERROR(__xludf.DUMMYFUNCTION("IMPORTRANGE(""1hBER3zTZpkPEdxBS-u7qW1ycgJwvdCYaiyqb9HCWGHk"",""2025-26!K3"")"),0.0)</f>
        <v>0</v>
      </c>
      <c r="T25" s="58" t="str">
        <f t="shared" si="18"/>
        <v/>
      </c>
      <c r="U25" s="55">
        <f>IFERROR(__xludf.DUMMYFUNCTION("IMPORTRANGE(""1hBER3zTZpkPEdxBS-u7qW1ycgJwvdCYaiyqb9HCWGHk"",""2025-26!L4"")"),0.0)</f>
        <v>0</v>
      </c>
      <c r="V25" s="55">
        <f>IFERROR(__xludf.DUMMYFUNCTION("IMPORTRANGE(""1hBER3zTZpkPEdxBS-u7qW1ycgJwvdCYaiyqb9HCWGHk"",""2025-26!L3"")"),0.0)</f>
        <v>0</v>
      </c>
      <c r="W25" s="55">
        <f>IFERROR(__xludf.DUMMYFUNCTION("IMPORTRANGE(""1hBER3zTZpkPEdxBS-u7qW1ycgJwvdCYaiyqb9HCWGHk"",""2025-26!m4"")"),0.0)</f>
        <v>0</v>
      </c>
      <c r="X25" s="55">
        <f>IFERROR(__xludf.DUMMYFUNCTION("IMPORTRANGE(""1hBER3zTZpkPEdxBS-u7qW1ycgJwvdCYaiyqb9HCWGHk"",""2025-26!m3"")"),0.0)</f>
        <v>0</v>
      </c>
      <c r="Y25" s="55">
        <f>IFERROR(__xludf.DUMMYFUNCTION("IMPORTRANGE(""1hBER3zTZpkPEdxBS-u7qW1ycgJwvdCYaiyqb9HCWGHk"",""2025-26!N4"")"),0.0)</f>
        <v>0</v>
      </c>
      <c r="Z25" s="55">
        <f>IFERROR(__xludf.DUMMYFUNCTION("IMPORTRANGE(""1hBER3zTZpkPEdxBS-u7qW1ycgJwvdCYaiyqb9HCWGHk"",""2025-26!N3"")"),0.0)</f>
        <v>0</v>
      </c>
      <c r="AA25" s="58" t="str">
        <f t="shared" si="19"/>
        <v/>
      </c>
      <c r="AB25" s="55">
        <f>IFERROR(__xludf.DUMMYFUNCTION("IMPORTRANGE(""1hBER3zTZpkPEdxBS-u7qW1ycgJwvdCYaiyqb9HCWGHk"",""2025-26!O4"")"),0.0)</f>
        <v>0</v>
      </c>
      <c r="AC25" s="55">
        <f>IFERROR(__xludf.DUMMYFUNCTION("IMPORTRANGE(""1hBER3zTZpkPEdxBS-u7qW1ycgJwvdCYaiyqb9HCWGHk"",""2025-26!O3"")"),0.0)</f>
        <v>0</v>
      </c>
      <c r="AD25" s="55">
        <f>IFERROR(__xludf.DUMMYFUNCTION("IMPORTRANGE(""1hBER3zTZpkPEdxBS-u7qW1ycgJwvdCYaiyqb9HCWGHk"",""2025-26!P4"")"),0.0)</f>
        <v>0</v>
      </c>
      <c r="AE25" s="55">
        <f>IFERROR(__xludf.DUMMYFUNCTION("IMPORTRANGE(""1hBER3zTZpkPEdxBS-u7qW1ycgJwvdCYaiyqb9HCWGHk"",""2025-26!P3"")"),0.0)</f>
        <v>0</v>
      </c>
      <c r="AF25" s="55">
        <f>IFERROR(__xludf.DUMMYFUNCTION("IMPORTRANGE(""1hBER3zTZpkPEdxBS-u7qW1ycgJwvdCYaiyqb9HCWGHk"",""2025-26!Q4"")"),0.0)</f>
        <v>0</v>
      </c>
      <c r="AG25" s="55">
        <f>IFERROR(__xludf.DUMMYFUNCTION("IMPORTRANGE(""1hBER3zTZpkPEdxBS-u7qW1ycgJwvdCYaiyqb9HCWGHk"",""2025-26!Q3"")"),0.0)</f>
        <v>0</v>
      </c>
      <c r="AH25" s="58" t="str">
        <f t="shared" si="20"/>
        <v/>
      </c>
      <c r="AI25" s="55">
        <f>IFERROR(__xludf.DUMMYFUNCTION("IMPORTRANGE(""1hBER3zTZpkPEdxBS-u7qW1ycgJwvdCYaiyqb9HCWGHk"",""2025-26!R4"")"),0.0)</f>
        <v>0</v>
      </c>
      <c r="AJ25" s="55">
        <f>IFERROR(__xludf.DUMMYFUNCTION("IMPORTRANGE(""1hBER3zTZpkPEdxBS-u7qW1ycgJwvdCYaiyqb9HCWGHk"",""2025-26!R3"")"),0.0)</f>
        <v>0</v>
      </c>
      <c r="AK25" s="55">
        <f>IFERROR(__xludf.DUMMYFUNCTION("IMPORTRANGE(""1hBER3zTZpkPEdxBS-u7qW1ycgJwvdCYaiyqb9HCWGHk"",""2025-26!S4"")"),0.0)</f>
        <v>0</v>
      </c>
      <c r="AL25" s="55">
        <f>IFERROR(__xludf.DUMMYFUNCTION("IMPORTRANGE(""1hBER3zTZpkPEdxBS-u7qW1ycgJwvdCYaiyqb9HCWGHk"",""2025-26!S3"")"),0.0)</f>
        <v>0</v>
      </c>
      <c r="AM25" s="55">
        <f>IFERROR(__xludf.DUMMYFUNCTION("IMPORTRANGE(""1hBER3zTZpkPEdxBS-u7qW1ycgJwvdCYaiyqb9HCWGHk"",""2025-26!T4"")"),0.0)</f>
        <v>0</v>
      </c>
      <c r="AN25" s="55">
        <f>IFERROR(__xludf.DUMMYFUNCTION("IMPORTRANGE(""1hBER3zTZpkPEdxBS-u7qW1ycgJwvdCYaiyqb9HCWGHk"",""2025-26!T3"")"),0.0)</f>
        <v>0</v>
      </c>
      <c r="AO25" s="58" t="str">
        <f t="shared" si="21"/>
        <v/>
      </c>
      <c r="AP25" s="55">
        <f>IFERROR(__xludf.DUMMYFUNCTION("IMPORTRANGE(""1hBER3zTZpkPEdxBS-u7qW1ycgJwvdCYaiyqb9HCWGHk"",""2025-26!U4"")"),0.0)</f>
        <v>0</v>
      </c>
      <c r="AQ25" s="55">
        <f>IFERROR(__xludf.DUMMYFUNCTION("IMPORTRANGE(""1hBER3zTZpkPEdxBS-u7qW1ycgJwvdCYaiyqb9HCWGHk"",""2025-26!U3"")"),0.0)</f>
        <v>0</v>
      </c>
      <c r="AR25" s="55">
        <f>IFERROR(__xludf.DUMMYFUNCTION("IMPORTRANGE(""1hBER3zTZpkPEdxBS-u7qW1ycgJwvdCYaiyqb9HCWGHk"",""2025-26!V4"")"),0.0)</f>
        <v>0</v>
      </c>
      <c r="AS25" s="55">
        <f>IFERROR(__xludf.DUMMYFUNCTION("IMPORTRANGE(""1hBER3zTZpkPEdxBS-u7qW1ycgJwvdCYaiyqb9HCWGHk"",""2025-26!V3"")"),0.0)</f>
        <v>0</v>
      </c>
      <c r="AT25" s="55">
        <f>IFERROR(__xludf.DUMMYFUNCTION("IMPORTRANGE(""1hBER3zTZpkPEdxBS-u7qW1ycgJwvdCYaiyqb9HCWGHk"",""2025-26!W4"")"),0.0)</f>
        <v>0</v>
      </c>
      <c r="AU25" s="55">
        <f>IFERROR(__xludf.DUMMYFUNCTION("IMPORTRANGE(""1hBER3zTZpkPEdxBS-u7qW1ycgJwvdCYaiyqb9HCWGHk"",""2025-26!W3"")"),0.0)</f>
        <v>0</v>
      </c>
      <c r="AV25" s="58" t="str">
        <f t="shared" si="22"/>
        <v/>
      </c>
      <c r="AW25" s="55">
        <f>IFERROR(__xludf.DUMMYFUNCTION("IMPORTRANGE(""1hBER3zTZpkPEdxBS-u7qW1ycgJwvdCYaiyqb9HCWGHk"",""2025-26!X4"")"),0.0)</f>
        <v>0</v>
      </c>
      <c r="AX25" s="55">
        <f>IFERROR(__xludf.DUMMYFUNCTION("IMPORTRANGE(""1hBER3zTZpkPEdxBS-u7qW1ycgJwvdCYaiyqb9HCWGHk"",""2025-26!X3"")"),0.0)</f>
        <v>0</v>
      </c>
      <c r="AY25" s="55">
        <f>IFERROR(__xludf.DUMMYFUNCTION("IMPORTRANGE(""1hBER3zTZpkPEdxBS-u7qW1ycgJwvdCYaiyqb9HCWGHk"",""2025-26!Y4"")"),0.0)</f>
        <v>0</v>
      </c>
      <c r="AZ25" s="55">
        <f>IFERROR(__xludf.DUMMYFUNCTION("IMPORTRANGE(""1hBER3zTZpkPEdxBS-u7qW1ycgJwvdCYaiyqb9HCWGHk"",""2025-26!Y3"")"),0.0)</f>
        <v>0</v>
      </c>
      <c r="BA25" s="55">
        <f>IFERROR(__xludf.DUMMYFUNCTION("IMPORTRANGE(""1hBER3zTZpkPEdxBS-u7qW1ycgJwvdCYaiyqb9HCWGHk"",""2025-26!Z4"")"),0.0)</f>
        <v>0</v>
      </c>
      <c r="BB25" s="55">
        <f>IFERROR(__xludf.DUMMYFUNCTION("IMPORTRANGE(""1hBER3zTZpkPEdxBS-u7qW1ycgJwvdCYaiyqb9HCWGHk"",""2025-26!Z3"")"),0.0)</f>
        <v>0</v>
      </c>
      <c r="BC25" s="59" t="str">
        <f t="shared" si="23"/>
        <v/>
      </c>
      <c r="BD25" s="55">
        <f>IFERROR(__xludf.DUMMYFUNCTION("IMPORTRANGE(""1hBER3zTZpkPEdxBS-u7qW1ycgJwvdCYaiyqb9HCWGHk"",""2025-26!AA4"")"),0.0)</f>
        <v>0</v>
      </c>
      <c r="BE25" s="55">
        <f>IFERROR(__xludf.DUMMYFUNCTION("IMPORTRANGE(""1hBER3zTZpkPEdxBS-u7qW1ycgJwvdCYaiyqb9HCWGHk"",""2025-26!AA3"")"),0.0)</f>
        <v>0</v>
      </c>
      <c r="BF25" s="55">
        <f>IFERROR(__xludf.DUMMYFUNCTION("IMPORTRANGE(""1hBER3zTZpkPEdxBS-u7qW1ycgJwvdCYaiyqb9HCWGHk"",""2025-26!AB4"")"),0.0)</f>
        <v>0</v>
      </c>
      <c r="BG25" s="55">
        <f>IFERROR(__xludf.DUMMYFUNCTION("IMPORTRANGE(""1hBER3zTZpkPEdxBS-u7qW1ycgJwvdCYaiyqb9HCWGHk"",""2025-26!AB3"")"),0.0)</f>
        <v>0</v>
      </c>
      <c r="BH25" s="55">
        <f>IFERROR(__xludf.DUMMYFUNCTION("IMPORTRANGE(""1hBER3zTZpkPEdxBS-u7qW1ycgJwvdCYaiyqb9HCWGHk"",""2025-26!AC4"")"),0.0)</f>
        <v>0</v>
      </c>
      <c r="BI25" s="55">
        <f>IFERROR(__xludf.DUMMYFUNCTION("IMPORTRANGE(""1hBER3zTZpkPEdxBS-u7qW1ycgJwvdCYaiyqb9HCWGHk"",""2025-26!AC3"")"),0.0)</f>
        <v>0</v>
      </c>
      <c r="BJ25" s="59" t="str">
        <f t="shared" si="24"/>
        <v/>
      </c>
      <c r="BK25" s="55">
        <f>IFERROR(__xludf.DUMMYFUNCTION("IMPORTRANGE(""1hBER3zTZpkPEdxBS-u7qW1ycgJwvdCYaiyqb9HCWGHk"",""2025-26!AD4"")"),0.0)</f>
        <v>0</v>
      </c>
      <c r="BL25" s="55">
        <f>IFERROR(__xludf.DUMMYFUNCTION("IMPORTRANGE(""1hBER3zTZpkPEdxBS-u7qW1ycgJwvdCYaiyqb9HCWGHk"",""2025-26!AD3"")"),0.0)</f>
        <v>0</v>
      </c>
      <c r="BM25" s="55">
        <f>IFERROR(__xludf.DUMMYFUNCTION("IMPORTRANGE(""1hBER3zTZpkPEdxBS-u7qW1ycgJwvdCYaiyqb9HCWGHk"",""2025-26!AE4"")"),0.0)</f>
        <v>0</v>
      </c>
      <c r="BN25" s="55">
        <f>IFERROR(__xludf.DUMMYFUNCTION("IMPORTRANGE(""1hBER3zTZpkPEdxBS-u7qW1ycgJwvdCYaiyqb9HCWGHk"",""2025-26!AE3"")"),0.0)</f>
        <v>0</v>
      </c>
      <c r="BO25" s="55">
        <f>IFERROR(__xludf.DUMMYFUNCTION("IMPORTRANGE(""1hBER3zTZpkPEdxBS-u7qW1ycgJwvdCYaiyqb9HCWGHk"",""2025-26!AF4"")"),0.0)</f>
        <v>0</v>
      </c>
      <c r="BP25" s="55">
        <f>IFERROR(__xludf.DUMMYFUNCTION("IMPORTRANGE(""1hBER3zTZpkPEdxBS-u7qW1ycgJwvdCYaiyqb9HCWGHk"",""2025-26!AF3"")"),0.0)</f>
        <v>0</v>
      </c>
      <c r="BQ25" s="59" t="str">
        <f t="shared" si="25"/>
        <v/>
      </c>
      <c r="BR25" s="55">
        <f>IFERROR(__xludf.DUMMYFUNCTION("IMPORTRANGE(""1hBER3zTZpkPEdxBS-u7qW1ycgJwvdCYaiyqb9HCWGHk"",""2025-26!AG4"")"),0.0)</f>
        <v>0</v>
      </c>
      <c r="BS25" s="55">
        <f>IFERROR(__xludf.DUMMYFUNCTION("IMPORTRANGE(""1hBER3zTZpkPEdxBS-u7qW1ycgJwvdCYaiyqb9HCWGHk"",""2025-26!AG3"")"),0.0)</f>
        <v>0</v>
      </c>
      <c r="BT25" s="55">
        <f>IFERROR(__xludf.DUMMYFUNCTION("IMPORTRANGE(""1hBER3zTZpkPEdxBS-u7qW1ycgJwvdCYaiyqb9HCWGHk"",""2025-26!AH4"")"),139600.0)</f>
        <v>139600</v>
      </c>
      <c r="BU25" s="55">
        <f>IFERROR(__xludf.DUMMYFUNCTION("IMPORTRANGE(""1hBER3zTZpkPEdxBS-u7qW1ycgJwvdCYaiyqb9HCWGHk"",""2025-26!AH3"")"),15.0)</f>
        <v>15</v>
      </c>
      <c r="BV25" s="55">
        <f>IFERROR(__xludf.DUMMYFUNCTION("IMPORTRANGE(""1hBER3zTZpkPEdxBS-u7qW1ycgJwvdCYaiyqb9HCWGHk"",""2025-26!AI4"")"),0.0)</f>
        <v>0</v>
      </c>
      <c r="BW25" s="55">
        <f>IFERROR(__xludf.DUMMYFUNCTION("IMPORTRANGE(""1hBER3zTZpkPEdxBS-u7qW1ycgJwvdCYaiyqb9HCWGHk"",""2025-26!AI3"")"),0.0)</f>
        <v>0</v>
      </c>
      <c r="BX25" s="59">
        <f t="shared" si="26"/>
        <v>0</v>
      </c>
      <c r="BY25" s="55">
        <f>IFERROR(__xludf.DUMMYFUNCTION("IMPORTRANGE(""1hBER3zTZpkPEdxBS-u7qW1ycgJwvdCYaiyqb9HCWGHk"",""2025-26!AJ4"")"),0.0)</f>
        <v>0</v>
      </c>
      <c r="BZ25" s="55">
        <f>IFERROR(__xludf.DUMMYFUNCTION("IMPORTRANGE(""1hBER3zTZpkPEdxBS-u7qW1ycgJwvdCYaiyqb9HCWGHk"",""2025-26!AJ3"")"),0.0)</f>
        <v>0</v>
      </c>
      <c r="CA25" s="55">
        <f>IFERROR(__xludf.DUMMYFUNCTION("IMPORTRANGE(""1hBER3zTZpkPEdxBS-u7qW1ycgJwvdCYaiyqb9HCWGHk"",""2025-26!AK4"")"),141900.0)</f>
        <v>141900</v>
      </c>
      <c r="CB25" s="55">
        <f>IFERROR(__xludf.DUMMYFUNCTION("IMPORTRANGE(""1hBER3zTZpkPEdxBS-u7qW1ycgJwvdCYaiyqb9HCWGHk"",""2025-26!AK3"")"),15.0)</f>
        <v>15</v>
      </c>
      <c r="CC25" s="55">
        <f>IFERROR(__xludf.DUMMYFUNCTION("IMPORTRANGE(""1hBER3zTZpkPEdxBS-u7qW1ycgJwvdCYaiyqb9HCWGHk"",""2025-26!AL4"")"),0.0)</f>
        <v>0</v>
      </c>
      <c r="CD25" s="55">
        <f>IFERROR(__xludf.DUMMYFUNCTION("IMPORTRANGE(""1hBER3zTZpkPEdxBS-u7qW1ycgJwvdCYaiyqb9HCWGHk"",""2025-26!AL3"")"),0.0)</f>
        <v>0</v>
      </c>
      <c r="CE25" s="59">
        <f t="shared" si="27"/>
        <v>0</v>
      </c>
      <c r="CF25" s="55">
        <f>IFERROR(__xludf.DUMMYFUNCTION("IMPORTRANGE(""1hBER3zTZpkPEdxBS-u7qW1ycgJwvdCYaiyqb9HCWGHk"",""2025-26!AM4"")"),0.0)</f>
        <v>0</v>
      </c>
      <c r="CG25" s="55">
        <f>IFERROR(__xludf.DUMMYFUNCTION("IMPORTRANGE(""1hBER3zTZpkPEdxBS-u7qW1ycgJwvdCYaiyqb9HCWGHk"",""2025-26!AM3"")"),0.0)</f>
        <v>0</v>
      </c>
      <c r="CH25" s="55">
        <f>IFERROR(__xludf.DUMMYFUNCTION("IMPORTRANGE(""1hBER3zTZpkPEdxBS-u7qW1ycgJwvdCYaiyqb9HCWGHk"",""2025-26!AN4"")"),141500.0)</f>
        <v>141500</v>
      </c>
      <c r="CI25" s="55">
        <f>IFERROR(__xludf.DUMMYFUNCTION("IMPORTRANGE(""1hBER3zTZpkPEdxBS-u7qW1ycgJwvdCYaiyqb9HCWGHk"",""2025-26!AN3"")"),15.0)</f>
        <v>15</v>
      </c>
      <c r="CJ25" s="55">
        <f>IFERROR(__xludf.DUMMYFUNCTION("IMPORTRANGE(""1hBER3zTZpkPEdxBS-u7qW1ycgJwvdCYaiyqb9HCWGHk"",""2025-26!AO4"")"),0.0)</f>
        <v>0</v>
      </c>
      <c r="CK25" s="55">
        <f>IFERROR(__xludf.DUMMYFUNCTION("IMPORTRANGE(""1hBER3zTZpkPEdxBS-u7qW1ycgJwvdCYaiyqb9HCWGHk"",""2025-26!AO3"")"),0.0)</f>
        <v>0</v>
      </c>
      <c r="CL25" s="59">
        <f t="shared" si="28"/>
        <v>0</v>
      </c>
      <c r="CM25" s="55">
        <f>IFERROR(__xludf.DUMMYFUNCTION("IMPORTRANGE(""1hBER3zTZpkPEdxBS-u7qW1ycgJwvdCYaiyqb9HCWGHk"",""2025-26!AP4"")"),0.0)</f>
        <v>0</v>
      </c>
      <c r="CN25" s="55">
        <f>IFERROR(__xludf.DUMMYFUNCTION("IMPORTRANGE(""1hBER3zTZpkPEdxBS-u7qW1ycgJwvdCYaiyqb9HCWGHk"",""2025-26!AP3"")"),0.0)</f>
        <v>0</v>
      </c>
      <c r="CO25" s="55">
        <f>IFERROR(__xludf.DUMMYFUNCTION("IMPORTRANGE(""1hBER3zTZpkPEdxBS-u7qW1ycgJwvdCYaiyqb9HCWGHk"",""2025-26!AQ4"")"),140300.0)</f>
        <v>140300</v>
      </c>
      <c r="CP25" s="55">
        <f>IFERROR(__xludf.DUMMYFUNCTION("IMPORTRANGE(""1hBER3zTZpkPEdxBS-u7qW1ycgJwvdCYaiyqb9HCWGHk"",""2025-26!AQ3"")"),15.0)</f>
        <v>15</v>
      </c>
      <c r="CQ25" s="55">
        <f>IFERROR(__xludf.DUMMYFUNCTION("IMPORTRANGE(""1hBER3zTZpkPEdxBS-u7qW1ycgJwvdCYaiyqb9HCWGHk"",""2025-26!AR4"")"),0.0)</f>
        <v>0</v>
      </c>
      <c r="CR25" s="55">
        <f>IFERROR(__xludf.DUMMYFUNCTION("IMPORTRANGE(""1hBER3zTZpkPEdxBS-u7qW1ycgJwvdCYaiyqb9HCWGHk"",""2025-26!AR3"")"),0.0)</f>
        <v>0</v>
      </c>
      <c r="CS25" s="59">
        <f t="shared" si="29"/>
        <v>0</v>
      </c>
      <c r="CT25" s="55">
        <f>IFERROR(__xludf.DUMMYFUNCTION("IMPORTRANGE(""1hBER3zTZpkPEdxBS-u7qW1ycgJwvdCYaiyqb9HCWGHk"",""2025-26!AS4"")"),0.0)</f>
        <v>0</v>
      </c>
      <c r="CU25" s="55">
        <f>IFERROR(__xludf.DUMMYFUNCTION("IMPORTRANGE(""1hBER3zTZpkPEdxBS-u7qW1ycgJwvdCYaiyqb9HCWGHk"",""2025-26!AS3"")"),0.0)</f>
        <v>0</v>
      </c>
      <c r="CV25" s="60" t="s">
        <v>61</v>
      </c>
    </row>
    <row r="26">
      <c r="A26" s="84" t="s">
        <v>53</v>
      </c>
      <c r="B26" s="37"/>
      <c r="C26" s="81" t="s">
        <v>70</v>
      </c>
      <c r="D26" s="65" t="s">
        <v>71</v>
      </c>
      <c r="E26" s="68">
        <v>8.290293604E9</v>
      </c>
      <c r="F26" s="66">
        <v>45992.0</v>
      </c>
      <c r="G26" s="62"/>
      <c r="H26" s="62"/>
      <c r="I26" s="70">
        <v>28834.0</v>
      </c>
      <c r="J26" s="54">
        <v>600000.0</v>
      </c>
      <c r="K26" s="57">
        <f>IFERROR(__xludf.DUMMYFUNCTION("IMPORTRANGE(""https://docs.google.com/spreadsheets/u/0/d/1wgoE9YmekdfKzULca0LbO2VFRLCTKVsd9GkdeFDZMrU/edit"",""2025-26!A3"")"),21.0)</f>
        <v>21</v>
      </c>
      <c r="L26" s="57">
        <f>IFERROR(__xludf.DUMMYFUNCTION("IMPORTRANGE(""https://docs.google.com/spreadsheets/u/0/d/1wgoE9YmekdfKzULca0LbO2VFRLCTKVsd9GkdeFDZMrU/edit"",""2025-26!G4"")"),0.0)</f>
        <v>0</v>
      </c>
      <c r="M26" s="57">
        <f t="shared" ref="M26:M27" si="38">SUM(R26+Y26+AF26+AM26+AT26+BA26+BH26+BO26+BV26+CC26+CJ26+CQ26)</f>
        <v>634214.71</v>
      </c>
      <c r="N26" s="56" t="str">
        <f t="shared" ref="N26:N27" si="39">iferror(O26/L26,"")</f>
        <v/>
      </c>
      <c r="O26" s="57">
        <f t="shared" ref="O26:O27" si="40">SUM(U26,AB26,AI26,AP26,AW26,BD26,BK26,BR26,BY26,CF26,CM26,CT26)</f>
        <v>0</v>
      </c>
      <c r="P26" s="55">
        <f>IFERROR(__xludf.DUMMYFUNCTION("IMPORTRANGE(""https://docs.google.com/spreadsheets/u/0/d/1wgoE9YmekdfKzULca0LbO2VFRLCTKVsd9GkdeFDZMrU/edit"",""2025-26!J4"")"),0.0)</f>
        <v>0</v>
      </c>
      <c r="Q26" s="55">
        <f>IFERROR(__xludf.DUMMYFUNCTION("IMPORTRANGE(""https://docs.google.com/spreadsheets/u/0/d/1wgoE9YmekdfKzULca0LbO2VFRLCTKVsd9GkdeFDZMrU/edit"",""2025-26!J3"")"),0.0)</f>
        <v>0</v>
      </c>
      <c r="R26" s="55">
        <f>IFERROR(__xludf.DUMMYFUNCTION("IMPORTRANGE(""https://docs.google.com/spreadsheets/u/0/d/1wgoE9YmekdfKzULca0LbO2VFRLCTKVsd9GkdeFDZMrU/edit"",""2025-26!K4"")"),0.0)</f>
        <v>0</v>
      </c>
      <c r="S26" s="55">
        <f>IFERROR(__xludf.DUMMYFUNCTION("IMPORTRANGE(""https://docs.google.com/spreadsheets/u/0/d/1wgoE9YmekdfKzULca0LbO2VFRLCTKVsd9GkdeFDZMrU/edit"",""2025-26!K3"")"),0.0)</f>
        <v>0</v>
      </c>
      <c r="T26" s="58" t="str">
        <f t="shared" si="18"/>
        <v/>
      </c>
      <c r="U26" s="55">
        <f>IFERROR(__xludf.DUMMYFUNCTION("IMPORTRANGE(""https://docs.google.com/spreadsheets/u/0/d/1wgoE9YmekdfKzULca0LbO2VFRLCTKVsd9GkdeFDZMrU/edit"",""2025-26!L4"")"),0.0)</f>
        <v>0</v>
      </c>
      <c r="V26" s="79">
        <f>IFERROR(__xludf.DUMMYFUNCTION("IMPORTRANGE(""https://docs.google.com/spreadsheets/u/0/d/1wgoE9YmekdfKzULca0LbO2VFRLCTKVsd9GkdeFDZMrU/edit"",""2025-26!L3"")"),0.0)</f>
        <v>0</v>
      </c>
      <c r="W26" s="55">
        <f>IFERROR(__xludf.DUMMYFUNCTION("IMPORTRANGE(""https://docs.google.com/spreadsheets/u/0/d/1wgoE9YmekdfKzULca0LbO2VFRLCTKVsd9GkdeFDZMrU/edit"",""2025-26!M4"")"),0.0)</f>
        <v>0</v>
      </c>
      <c r="X26" s="79">
        <f>IFERROR(__xludf.DUMMYFUNCTION("IMPORTRANGE(""https://docs.google.com/spreadsheets/u/0/d/1wgoE9YmekdfKzULca0LbO2VFRLCTKVsd9GkdeFDZMrU/edit"",""2025-26!M3"")"),0.0)</f>
        <v>0</v>
      </c>
      <c r="Y26" s="55">
        <f>IFERROR(__xludf.DUMMYFUNCTION("importrange(""https://docs.google.com/spreadsheets/u/0/d/1wgoE9YmekdfKzULca0LbO2VFRLCTKVsd9GkdeFDZMrU/edit"",""2025-26!n4"")"),0.0)</f>
        <v>0</v>
      </c>
      <c r="Z26" s="55">
        <f>IFERROR(__xludf.DUMMYFUNCTION("importrange(""https://docs.google.com/spreadsheets/u/0/d/1wgoE9YmekdfKzULca0LbO2VFRLCTKVsd9GkdeFDZMrU/edit"",""2025-26!n3"")"),0.0)</f>
        <v>0</v>
      </c>
      <c r="AA26" s="58" t="str">
        <f t="shared" si="19"/>
        <v/>
      </c>
      <c r="AB26" s="55">
        <f>IFERROR(__xludf.DUMMYFUNCTION("importrange(""https://docs.google.com/spreadsheets/u/0/d/1wgoE9YmekdfKzULca0LbO2VFRLCTKVsd9GkdeFDZMrU/edit"",""2025-26!o4"")"),0.0)</f>
        <v>0</v>
      </c>
      <c r="AC26" s="55">
        <f>IFERROR(__xludf.DUMMYFUNCTION("importrange(""https://docs.google.com/spreadsheets/u/0/d/1wgoE9YmekdfKzULca0LbO2VFRLCTKVsd9GkdeFDZMrU/edit"",""2025-26!o3"")"),0.0)</f>
        <v>0</v>
      </c>
      <c r="AD26" s="55">
        <f>IFERROR(__xludf.DUMMYFUNCTION("importrange(""https://docs.google.com/spreadsheets/u/0/d/1wgoE9YmekdfKzULca0LbO2VFRLCTKVsd9GkdeFDZMrU/edit"",""2025-26!p4"")"),0.0)</f>
        <v>0</v>
      </c>
      <c r="AE26" s="55">
        <f>IFERROR(__xludf.DUMMYFUNCTION("importrange(""https://docs.google.com/spreadsheets/u/0/d/1wgoE9YmekdfKzULca0LbO2VFRLCTKVsd9GkdeFDZMrU/edit"",""2025-26!p3"")"),0.0)</f>
        <v>0</v>
      </c>
      <c r="AF26" s="55">
        <f>IFERROR(__xludf.DUMMYFUNCTION("importrange(""https://docs.google.com/spreadsheets/u/0/d/1wgoE9YmekdfKzULca0LbO2VFRLCTKVsd9GkdeFDZMrU/edit"",""2025-26!q4"")"),0.0)</f>
        <v>0</v>
      </c>
      <c r="AG26" s="55">
        <f>IFERROR(__xludf.DUMMYFUNCTION("importrange(""https://docs.google.com/spreadsheets/u/0/d/1wgoE9YmekdfKzULca0LbO2VFRLCTKVsd9GkdeFDZMrU/edit"",""2025-26!q3"")"),0.0)</f>
        <v>0</v>
      </c>
      <c r="AH26" s="58" t="str">
        <f t="shared" si="20"/>
        <v/>
      </c>
      <c r="AI26" s="55">
        <f>IFERROR(__xludf.DUMMYFUNCTION("importrange(""https://docs.google.com/spreadsheets/u/0/d/1wgoE9YmekdfKzULca0LbO2VFRLCTKVsd9GkdeFDZMrU/edit"",""2025-26!r4"")"),0.0)</f>
        <v>0</v>
      </c>
      <c r="AJ26" s="55">
        <f>IFERROR(__xludf.DUMMYFUNCTION("importrange(""https://docs.google.com/spreadsheets/u/0/d/1wgoE9YmekdfKzULca0LbO2VFRLCTKVsd9GkdeFDZMrU/edit"",""2025-26!r3"")"),0.0)</f>
        <v>0</v>
      </c>
      <c r="AK26" s="55">
        <f>IFERROR(__xludf.DUMMYFUNCTION("importrange(""https://docs.google.com/spreadsheets/u/0/d/1wgoE9YmekdfKzULca0LbO2VFRLCTKVsd9GkdeFDZMrU/edit"",""2025-26!s4"")"),0.0)</f>
        <v>0</v>
      </c>
      <c r="AL26" s="55">
        <f>IFERROR(__xludf.DUMMYFUNCTION("importrange(""https://docs.google.com/spreadsheets/u/0/d/1wgoE9YmekdfKzULca0LbO2VFRLCTKVsd9GkdeFDZMrU/edit"",""2025-26!s3"")"),0.0)</f>
        <v>0</v>
      </c>
      <c r="AM26" s="57">
        <f>IFERROR(__xludf.DUMMYFUNCTION("importrange(""https://docs.google.com/spreadsheets/u/0/d/1wgoE9YmekdfKzULca0LbO2VFRLCTKVsd9GkdeFDZMrU/edit"",""2025-26!t4"")"),0.0)</f>
        <v>0</v>
      </c>
      <c r="AN26" s="55">
        <f>IFERROR(__xludf.DUMMYFUNCTION("importrange(""https://docs.google.com/spreadsheets/u/0/d/1wgoE9YmekdfKzULca0LbO2VFRLCTKVsd9GkdeFDZMrU/edit"",""2025-26!t3"")"),0.0)</f>
        <v>0</v>
      </c>
      <c r="AO26" s="58" t="str">
        <f t="shared" si="21"/>
        <v/>
      </c>
      <c r="AP26" s="55">
        <f>IFERROR(__xludf.DUMMYFUNCTION("importrange(""https://docs.google.com/spreadsheets/u/0/d/1wgoE9YmekdfKzULca0LbO2VFRLCTKVsd9GkdeFDZMrU/edit"",""2025-26!u4"")"),0.0)</f>
        <v>0</v>
      </c>
      <c r="AQ26" s="55">
        <f>IFERROR(__xludf.DUMMYFUNCTION("importrange(""https://docs.google.com/spreadsheets/u/0/d/1wgoE9YmekdfKzULca0LbO2VFRLCTKVsd9GkdeFDZMrU/edit"",""2025-26!u3"")"),0.0)</f>
        <v>0</v>
      </c>
      <c r="AR26" s="55">
        <f>IFERROR(__xludf.DUMMYFUNCTION("importrange(""https://docs.google.com/spreadsheets/u/0/d/1wgoE9YmekdfKzULca0LbO2VFRLCTKVsd9GkdeFDZMrU/edit"",""2025-26!v4"")"),0.0)</f>
        <v>0</v>
      </c>
      <c r="AS26" s="55">
        <f>IFERROR(__xludf.DUMMYFUNCTION("importrange(""https://docs.google.com/spreadsheets/u/0/d/1wgoE9YmekdfKzULca0LbO2VFRLCTKVsd9GkdeFDZMrU/edit"",""2025-26!v3"")"),0.0)</f>
        <v>0</v>
      </c>
      <c r="AT26" s="57">
        <f>IFERROR(__xludf.DUMMYFUNCTION("importrange(""https://docs.google.com/spreadsheets/u/0/d/1wgoE9YmekdfKzULca0LbO2VFRLCTKVsd9GkdeFDZMrU/edit"",""2025-26!w4"")"),0.0)</f>
        <v>0</v>
      </c>
      <c r="AU26" s="55">
        <f>IFERROR(__xludf.DUMMYFUNCTION("importrange(""https://docs.google.com/spreadsheets/u/0/d/1wgoE9YmekdfKzULca0LbO2VFRLCTKVsd9GkdeFDZMrU/edit"",""2025-26!w3"")"),0.0)</f>
        <v>0</v>
      </c>
      <c r="AV26" s="58" t="str">
        <f t="shared" si="22"/>
        <v/>
      </c>
      <c r="AW26" s="55">
        <f>IFERROR(__xludf.DUMMYFUNCTION("importrange(""https://docs.google.com/spreadsheets/u/0/d/1wgoE9YmekdfKzULca0LbO2VFRLCTKVsd9GkdeFDZMrU/edit"",""2025-26!x4"")"),0.0)</f>
        <v>0</v>
      </c>
      <c r="AX26" s="55">
        <f>IFERROR(__xludf.DUMMYFUNCTION("importrange(""https://docs.google.com/spreadsheets/u/0/d/1wgoE9YmekdfKzULca0LbO2VFRLCTKVsd9GkdeFDZMrU/edit"",""2025-26!x3"")"),0.0)</f>
        <v>0</v>
      </c>
      <c r="AY26" s="55">
        <f>IFERROR(__xludf.DUMMYFUNCTION("importrange(""https://docs.google.com/spreadsheets/u/0/d/1wgoE9YmekdfKzULca0LbO2VFRLCTKVsd9GkdeFDZMrU/edit"",""2025-26!y4"")"),0.0)</f>
        <v>0</v>
      </c>
      <c r="AZ26" s="55">
        <f>IFERROR(__xludf.DUMMYFUNCTION("importrange(""https://docs.google.com/spreadsheets/u/0/d/1wgoE9YmekdfKzULca0LbO2VFRLCTKVsd9GkdeFDZMrU/edit"",""2025-26!y3"")"),0.0)</f>
        <v>0</v>
      </c>
      <c r="BA26" s="57">
        <f>IFERROR(__xludf.DUMMYFUNCTION("importrange(""https://docs.google.com/spreadsheets/u/0/d/1wgoE9YmekdfKzULca0LbO2VFRLCTKVsd9GkdeFDZMrU/edit"",""2025-26!z4"")"),0.0)</f>
        <v>0</v>
      </c>
      <c r="BB26" s="55">
        <f>IFERROR(__xludf.DUMMYFUNCTION("importrange(""https://docs.google.com/spreadsheets/u/0/d/1wgoE9YmekdfKzULca0LbO2VFRLCTKVsd9GkdeFDZMrU/edit"",""2025-26!z3"")"),0.0)</f>
        <v>0</v>
      </c>
      <c r="BC26" s="59" t="str">
        <f t="shared" si="23"/>
        <v/>
      </c>
      <c r="BD26" s="55">
        <f>IFERROR(__xludf.DUMMYFUNCTION("importrange(""https://docs.google.com/spreadsheets/u/0/d/1wgoE9YmekdfKzULca0LbO2VFRLCTKVsd9GkdeFDZMrU/edit"",""2025-26!aa4"")"),0.0)</f>
        <v>0</v>
      </c>
      <c r="BE26" s="55">
        <f>IFERROR(__xludf.DUMMYFUNCTION("importrange(""https://docs.google.com/spreadsheets/u/0/d/1wgoE9YmekdfKzULca0LbO2VFRLCTKVsd9GkdeFDZMrU/edit"",""2025-26!aa3"")"),0.0)</f>
        <v>0</v>
      </c>
      <c r="BF26" s="55">
        <f>IFERROR(__xludf.DUMMYFUNCTION("importrange(""https://docs.google.com/spreadsheets/u/0/d/1wgoE9YmekdfKzULca0LbO2VFRLCTKVsd9GkdeFDZMrU/edit"",""2025-26!ab4"")"),0.0)</f>
        <v>0</v>
      </c>
      <c r="BG26" s="55">
        <f>IFERROR(__xludf.DUMMYFUNCTION("importrange(""https://docs.google.com/spreadsheets/u/0/d/1wgoE9YmekdfKzULca0LbO2VFRLCTKVsd9GkdeFDZMrU/edit"",""2025-26!ab3"")"),0.0)</f>
        <v>0</v>
      </c>
      <c r="BH26" s="55">
        <f>IFERROR(__xludf.DUMMYFUNCTION("importrange(""https://docs.google.com/spreadsheets/u/0/d/1wgoE9YmekdfKzULca0LbO2VFRLCTKVsd9GkdeFDZMrU/edit"",""2025-26!ac4"")"),0.0)</f>
        <v>0</v>
      </c>
      <c r="BI26" s="55">
        <f>IFERROR(__xludf.DUMMYFUNCTION("importrange(""https://docs.google.com/spreadsheets/u/0/d/1wgoE9YmekdfKzULca0LbO2VFRLCTKVsd9GkdeFDZMrU/edit"",""2025-26!ac3"")"),0.0)</f>
        <v>0</v>
      </c>
      <c r="BJ26" s="59" t="str">
        <f t="shared" si="24"/>
        <v/>
      </c>
      <c r="BK26" s="55">
        <f>IFERROR(__xludf.DUMMYFUNCTION("importrange(""https://docs.google.com/spreadsheets/u/0/d/1wgoE9YmekdfKzULca0LbO2VFRLCTKVsd9GkdeFDZMrU/edit"",""2025-26!ad4"")"),0.0)</f>
        <v>0</v>
      </c>
      <c r="BL26" s="55">
        <f>IFERROR(__xludf.DUMMYFUNCTION("importrange(""https://docs.google.com/spreadsheets/u/0/d/1wgoE9YmekdfKzULca0LbO2VFRLCTKVsd9GkdeFDZMrU/edit"",""2025-26!ad3"")"),0.0)</f>
        <v>0</v>
      </c>
      <c r="BM26" s="55">
        <f>IFERROR(__xludf.DUMMYFUNCTION("importrange(""https://docs.google.com/spreadsheets/u/0/d/1wgoE9YmekdfKzULca0LbO2VFRLCTKVsd9GkdeFDZMrU/edit"",""2025-26!ae4"")"),0.0)</f>
        <v>0</v>
      </c>
      <c r="BN26" s="55">
        <f>IFERROR(__xludf.DUMMYFUNCTION("importrange(""https://docs.google.com/spreadsheets/u/0/d/1wgoE9YmekdfKzULca0LbO2VFRLCTKVsd9GkdeFDZMrU/edit"",""2025-26!ae3"")"),0.0)</f>
        <v>0</v>
      </c>
      <c r="BO26" s="55">
        <f>IFERROR(__xludf.DUMMYFUNCTION("importrange(""https://docs.google.com/spreadsheets/u/0/d/1wgoE9YmekdfKzULca0LbO2VFRLCTKVsd9GkdeFDZMrU/edit"",""2025-26!af4"")"),0.0)</f>
        <v>0</v>
      </c>
      <c r="BP26" s="55">
        <f>IFERROR(__xludf.DUMMYFUNCTION("importrange(""https://docs.google.com/spreadsheets/u/0/d/1wgoE9YmekdfKzULca0LbO2VFRLCTKVsd9GkdeFDZMrU/edit"",""2025-26!af3"")"),0.0)</f>
        <v>0</v>
      </c>
      <c r="BQ26" s="59" t="str">
        <f t="shared" si="25"/>
        <v/>
      </c>
      <c r="BR26" s="55">
        <f>IFERROR(__xludf.DUMMYFUNCTION("importrange(""https://docs.google.com/spreadsheets/u/0/d/1wgoE9YmekdfKzULca0LbO2VFRLCTKVsd9GkdeFDZMrU/edit"",""2025-26!ag4"")"),0.0)</f>
        <v>0</v>
      </c>
      <c r="BS26" s="55">
        <f>IFERROR(__xludf.DUMMYFUNCTION("importrange(""https://docs.google.com/spreadsheets/u/0/d/1wgoE9YmekdfKzULca0LbO2VFRLCTKVsd9GkdeFDZMrU/edit"",""2025-26!ag3"")"),0.0)</f>
        <v>0</v>
      </c>
      <c r="BT26" s="55">
        <f>IFERROR(__xludf.DUMMYFUNCTION("importrange(""https://docs.google.com/spreadsheets/u/0/d/1wgoE9YmekdfKzULca0LbO2VFRLCTKVsd9GkdeFDZMrU/edit"",""2025-26!ah4"")"),0.0)</f>
        <v>0</v>
      </c>
      <c r="BU26" s="55">
        <f>IFERROR(__xludf.DUMMYFUNCTION("importrange(""https://docs.google.com/spreadsheets/u/0/d/1wgoE9YmekdfKzULca0LbO2VFRLCTKVsd9GkdeFDZMrU/edit"",""2025-26!ah3"")"),0.0)</f>
        <v>0</v>
      </c>
      <c r="BV26" s="55">
        <f>IFERROR(__xludf.DUMMYFUNCTION("importrange(""https://docs.google.com/spreadsheets/u/0/d/1wgoE9YmekdfKzULca0LbO2VFRLCTKVsd9GkdeFDZMrU/edit"",""2025-26!ai4"")"),57493.990000000005)</f>
        <v>57493.99</v>
      </c>
      <c r="BW26" s="55">
        <f>IFERROR(__xludf.DUMMYFUNCTION("importrange(""https://docs.google.com/spreadsheets/u/0/d/1wgoE9YmekdfKzULca0LbO2VFRLCTKVsd9GkdeFDZMrU/edit"",""2025-26!ai3"")"),2.0)</f>
        <v>2</v>
      </c>
      <c r="BX26" s="59" t="str">
        <f t="shared" si="26"/>
        <v/>
      </c>
      <c r="BY26" s="55">
        <f>IFERROR(__xludf.DUMMYFUNCTION("importrange(""https://docs.google.com/spreadsheets/u/0/d/1wgoE9YmekdfKzULca0LbO2VFRLCTKVsd9GkdeFDZMrU/edit"",""2025-26!aj4"")"),0.0)</f>
        <v>0</v>
      </c>
      <c r="BZ26" s="55">
        <f>IFERROR(__xludf.DUMMYFUNCTION("importrange(""https://docs.google.com/spreadsheets/u/0/d/1wgoE9YmekdfKzULca0LbO2VFRLCTKVsd9GkdeFDZMrU/edit"",""2025-26!aj3"")"),0.0)</f>
        <v>0</v>
      </c>
      <c r="CA26" s="55">
        <f>IFERROR(__xludf.DUMMYFUNCTION("importrange(""https://docs.google.com/spreadsheets/u/0/d/1wgoE9YmekdfKzULca0LbO2VFRLCTKVsd9GkdeFDZMrU/edit"",""2025-26!ak4"")"),0.0)</f>
        <v>0</v>
      </c>
      <c r="CB26" s="55">
        <f>IFERROR(__xludf.DUMMYFUNCTION("importrange(""https://docs.google.com/spreadsheets/u/0/d/1wgoE9YmekdfKzULca0LbO2VFRLCTKVsd9GkdeFDZMrU/edit"",""2025-26!ak3"")"),0.0)</f>
        <v>0</v>
      </c>
      <c r="CC26" s="55">
        <f>IFERROR(__xludf.DUMMYFUNCTION("importrange(""https://docs.google.com/spreadsheets/u/0/d/1wgoE9YmekdfKzULca0LbO2VFRLCTKVsd9GkdeFDZMrU/edit"",""2025-26!al4"")"),269411.82999999996)</f>
        <v>269411.83</v>
      </c>
      <c r="CD26" s="55">
        <f>IFERROR(__xludf.DUMMYFUNCTION("importrange(""https://docs.google.com/spreadsheets/u/0/d/1wgoE9YmekdfKzULca0LbO2VFRLCTKVsd9GkdeFDZMrU/edit"",""2025-26!ai3"")"),2.0)</f>
        <v>2</v>
      </c>
      <c r="CE26" s="59" t="str">
        <f t="shared" si="27"/>
        <v/>
      </c>
      <c r="CF26" s="55">
        <f>IFERROR(__xludf.DUMMYFUNCTION("importrange(""https://docs.google.com/spreadsheets/u/0/d/1wgoE9YmekdfKzULca0LbO2VFRLCTKVsd9GkdeFDZMrU/edit"",""2025-26!am4"")"),0.0)</f>
        <v>0</v>
      </c>
      <c r="CG26" s="55">
        <f>IFERROR(__xludf.DUMMYFUNCTION("importrange(""https://docs.google.com/spreadsheets/u/0/d/1wgoE9YmekdfKzULca0LbO2VFRLCTKVsd9GkdeFDZMrU/edit"",""2025-26!am3"")"),0.0)</f>
        <v>0</v>
      </c>
      <c r="CH26" s="55">
        <f>IFERROR(__xludf.DUMMYFUNCTION("importrange(""https://docs.google.com/spreadsheets/u/0/d/1wgoE9YmekdfKzULca0LbO2VFRLCTKVsd9GkdeFDZMrU/edit"",""2025-26!an4"")"),0.0)</f>
        <v>0</v>
      </c>
      <c r="CI26" s="55">
        <f>IFERROR(__xludf.DUMMYFUNCTION("importrange(""https://docs.google.com/spreadsheets/u/0/d/1wgoE9YmekdfKzULca0LbO2VFRLCTKVsd9GkdeFDZMrU/edit"",""2025-26!an3"")"),0.0)</f>
        <v>0</v>
      </c>
      <c r="CJ26" s="55">
        <f>IFERROR(__xludf.DUMMYFUNCTION("importrange(""https://docs.google.com/spreadsheets/u/0/d/1wgoE9YmekdfKzULca0LbO2VFRLCTKVsd9GkdeFDZMrU/edit"",""2025-26!ao4"")"),193772.09)</f>
        <v>193772.09</v>
      </c>
      <c r="CK26" s="55">
        <f>IFERROR(__xludf.DUMMYFUNCTION("importrange(""https://docs.google.com/spreadsheets/u/0/d/1wgoE9YmekdfKzULca0LbO2VFRLCTKVsd9GkdeFDZMrU/edit"",""2025-26!ao3"")"),4.0)</f>
        <v>4</v>
      </c>
      <c r="CL26" s="59" t="str">
        <f t="shared" si="28"/>
        <v/>
      </c>
      <c r="CM26" s="55">
        <f>IFERROR(__xludf.DUMMYFUNCTION("importrange(""https://docs.google.com/spreadsheets/u/0/d/1wgoE9YmekdfKzULca0LbO2VFRLCTKVsd9GkdeFDZMrU/edit"",""2025-26!ap4"")"),0.0)</f>
        <v>0</v>
      </c>
      <c r="CN26" s="55">
        <f>IFERROR(__xludf.DUMMYFUNCTION("importrange(""https://docs.google.com/spreadsheets/u/0/d/1wgoE9YmekdfKzULca0LbO2VFRLCTKVsd9GkdeFDZMrU/edit"",""2025-26!ap3"")"),0.0)</f>
        <v>0</v>
      </c>
      <c r="CO26" s="55">
        <f>IFERROR(__xludf.DUMMYFUNCTION("importrange(""https://docs.google.com/spreadsheets/u/0/d/1wgoE9YmekdfKzULca0LbO2VFRLCTKVsd9GkdeFDZMrU/edit"",""2025-26!aq4"")"),0.0)</f>
        <v>0</v>
      </c>
      <c r="CP26" s="55">
        <f>IFERROR(__xludf.DUMMYFUNCTION("importrange(""https://docs.google.com/spreadsheets/u/0/d/1wgoE9YmekdfKzULca0LbO2VFRLCTKVsd9GkdeFDZMrU/edit"",""2025-26!aq3"")"),0.0)</f>
        <v>0</v>
      </c>
      <c r="CQ26" s="55">
        <f>IFERROR(__xludf.DUMMYFUNCTION("importrange(""https://docs.google.com/spreadsheets/u/0/d/1wgoE9YmekdfKzULca0LbO2VFRLCTKVsd9GkdeFDZMrU/edit"",""2025-26!ar4"")"),113536.8)</f>
        <v>113536.8</v>
      </c>
      <c r="CR26" s="55">
        <f>IFERROR(__xludf.DUMMYFUNCTION("importrange(""https://docs.google.com/spreadsheets/u/0/d/1wgoE9YmekdfKzULca0LbO2VFRLCTKVsd9GkdeFDZMrU/edit"",""2025-26!ar3"")"),2.0)</f>
        <v>2</v>
      </c>
      <c r="CS26" s="59" t="str">
        <f t="shared" si="29"/>
        <v/>
      </c>
      <c r="CT26" s="55">
        <f>IFERROR(__xludf.DUMMYFUNCTION("importrange(""https://docs.google.com/spreadsheets/u/0/d/1wgoE9YmekdfKzULca0LbO2VFRLCTKVsd9GkdeFDZMrU/edit"",""2025-26!as4"")"),0.0)</f>
        <v>0</v>
      </c>
      <c r="CU26" s="55">
        <f>IFERROR(__xludf.DUMMYFUNCTION("importrange(""https://docs.google.com/spreadsheets/u/0/d/1wgoE9YmekdfKzULca0LbO2VFRLCTKVsd9GkdeFDZMrU/edit"",""2025-26!as3"")"),0.0)</f>
        <v>0</v>
      </c>
      <c r="CV26" s="60" t="s">
        <v>56</v>
      </c>
    </row>
    <row r="27">
      <c r="A27" s="84" t="s">
        <v>53</v>
      </c>
      <c r="B27" s="43"/>
      <c r="C27" s="61" t="s">
        <v>72</v>
      </c>
      <c r="D27" s="65" t="s">
        <v>67</v>
      </c>
      <c r="E27" s="68">
        <v>9.991976829E9</v>
      </c>
      <c r="F27" s="66">
        <v>46099.0</v>
      </c>
      <c r="G27" s="62"/>
      <c r="H27" s="62"/>
      <c r="I27" s="70">
        <v>33050.0</v>
      </c>
      <c r="J27" s="54">
        <v>200000.0</v>
      </c>
      <c r="K27" s="57" t="str">
        <f>IFERROR(__xludf.DUMMYFUNCTION("IMPORTRANGE(""11pFFApGA7S_oLWWaBAH_IHu_-3C3t_PEHqBcOZme5lQ"",""2025-26!A3"")"),"")</f>
        <v/>
      </c>
      <c r="L27" s="57" t="str">
        <f>IFERROR(__xludf.DUMMYFUNCTION("IMPORTRANGE(""11pFFApGA7S_oLWWaBAH_IHu_-3C3t_PEHqBcOZme5lQ"",""2025-26!G4"")"),"")</f>
        <v/>
      </c>
      <c r="M27" s="57">
        <f t="shared" si="38"/>
        <v>0</v>
      </c>
      <c r="N27" s="56" t="str">
        <f t="shared" si="39"/>
        <v/>
      </c>
      <c r="O27" s="57">
        <f t="shared" si="40"/>
        <v>0</v>
      </c>
      <c r="P27" s="55" t="str">
        <f>IFERROR(__xludf.DUMMYFUNCTION("IMPORTRANGE(""11pFFApGA7S_oLWWaBAH_IHu_-3C3t_PEHqBcOZme5lQ"",""2025-26!J4"")"),"")</f>
        <v/>
      </c>
      <c r="Q27" s="55" t="str">
        <f>IFERROR(__xludf.DUMMYFUNCTION("IMPORTRANGE(""11pFFApGA7S_oLWWaBAH_IHu_-3C3t_PEHqBcOZme5lQ"",""2025-26!J3"")"),"")</f>
        <v/>
      </c>
      <c r="R27" s="55" t="str">
        <f>IFERROR(__xludf.DUMMYFUNCTION("IMPORTRANGE(""11pFFApGA7S_oLWWaBAH_IHu_-3C3t_PEHqBcOZme5lQ"",""2025-26!K4"")"),"")</f>
        <v/>
      </c>
      <c r="S27" s="55" t="str">
        <f>IFERROR(__xludf.DUMMYFUNCTION("IMPORTRANGE(""11pFFApGA7S_oLWWaBAH_IHu_-3C3t_PEHqBcOZme5lQ"",""2025-26!K3"")"),"")</f>
        <v/>
      </c>
      <c r="T27" s="58" t="str">
        <f t="shared" si="18"/>
        <v/>
      </c>
      <c r="U27" s="55" t="str">
        <f>IFERROR(__xludf.DUMMYFUNCTION("IMPORTRANGE(""11pFFApGA7S_oLWWaBAH_IHu_-3C3t_PEHqBcOZme5lQ"",""2025-26!L4"")"),"")</f>
        <v/>
      </c>
      <c r="V27" s="79" t="str">
        <f>IFERROR(__xludf.DUMMYFUNCTION("IMPORTRANGE(""11pFFApGA7S_oLWWaBAH_IHu_-3C3t_PEHqBcOZme5lQ"",""2025-26!L3"")"),"")</f>
        <v/>
      </c>
      <c r="W27" s="55" t="str">
        <f>IFERROR(__xludf.DUMMYFUNCTION("IMPORTRANGE(""11pFFApGA7S_oLWWaBAH_IHu_-3C3t_PEHqBcOZme5lQ"",""2025-26!M4"")"),"")</f>
        <v/>
      </c>
      <c r="X27" s="79" t="str">
        <f>IFERROR(__xludf.DUMMYFUNCTION("IMPORTRANGE(""11pFFApGA7S_oLWWaBAH_IHu_-3C3t_PEHqBcOZme5lQ"",""2025-26!M3"")"),"")</f>
        <v/>
      </c>
      <c r="Y27" s="55" t="str">
        <f>IFERROR(__xludf.DUMMYFUNCTION("importrange(""11pFFApGA7S_oLWWaBAH_IHu_-3C3t_PEHqBcOZme5lQ"",""2025-26!n4"")"),"")</f>
        <v/>
      </c>
      <c r="Z27" s="55" t="str">
        <f>IFERROR(__xludf.DUMMYFUNCTION("importrange(""11pFFApGA7S_oLWWaBAH_IHu_-3C3t_PEHqBcOZme5lQ"",""2025-26!n3"")"),"")</f>
        <v/>
      </c>
      <c r="AA27" s="58" t="str">
        <f t="shared" si="19"/>
        <v/>
      </c>
      <c r="AB27" s="55" t="str">
        <f>IFERROR(__xludf.DUMMYFUNCTION("importrange(""11pFFApGA7S_oLWWaBAH_IHu_-3C3t_PEHqBcOZme5lQ"",""2025-26!o4"")"),"")</f>
        <v/>
      </c>
      <c r="AC27" s="55" t="str">
        <f>IFERROR(__xludf.DUMMYFUNCTION("importrange(""11pFFApGA7S_oLWWaBAH_IHu_-3C3t_PEHqBcOZme5lQ"",""2025-26!o3"")"),"")</f>
        <v/>
      </c>
      <c r="AD27" s="55" t="str">
        <f>IFERROR(__xludf.DUMMYFUNCTION("importrange(""11pFFApGA7S_oLWWaBAH_IHu_-3C3t_PEHqBcOZme5lQ"",""2025-26!p4"")"),"")</f>
        <v/>
      </c>
      <c r="AE27" s="55" t="str">
        <f>IFERROR(__xludf.DUMMYFUNCTION("importrange(""11pFFApGA7S_oLWWaBAH_IHu_-3C3t_PEHqBcOZme5lQ"",""2025-26!p3"")"),"")</f>
        <v/>
      </c>
      <c r="AF27" s="55" t="str">
        <f>IFERROR(__xludf.DUMMYFUNCTION("importrange(""11pFFApGA7S_oLWWaBAH_IHu_-3C3t_PEHqBcOZme5lQ"",""2025-26!q4"")"),"")</f>
        <v/>
      </c>
      <c r="AG27" s="55" t="str">
        <f>IFERROR(__xludf.DUMMYFUNCTION("importrange(""11pFFApGA7S_oLWWaBAH_IHu_-3C3t_PEHqBcOZme5lQ"",""2025-26!q3"")"),"")</f>
        <v/>
      </c>
      <c r="AH27" s="58" t="str">
        <f t="shared" si="20"/>
        <v/>
      </c>
      <c r="AI27" s="55" t="str">
        <f>IFERROR(__xludf.DUMMYFUNCTION("importrange(""11pFFApGA7S_oLWWaBAH_IHu_-3C3t_PEHqBcOZme5lQ"",""2025-26!r4"")"),"")</f>
        <v/>
      </c>
      <c r="AJ27" s="55" t="str">
        <f>IFERROR(__xludf.DUMMYFUNCTION("importrange(""11pFFApGA7S_oLWWaBAH_IHu_-3C3t_PEHqBcOZme5lQ"",""2025-26!r3"")"),"")</f>
        <v/>
      </c>
      <c r="AK27" s="55" t="str">
        <f>IFERROR(__xludf.DUMMYFUNCTION("importrange(""11pFFApGA7S_oLWWaBAH_IHu_-3C3t_PEHqBcOZme5lQ"",""2025-26!s4"")"),"")</f>
        <v/>
      </c>
      <c r="AL27" s="55" t="str">
        <f>IFERROR(__xludf.DUMMYFUNCTION("importrange(""11pFFApGA7S_oLWWaBAH_IHu_-3C3t_PEHqBcOZme5lQ"",""2025-26!s3"")"),"")</f>
        <v/>
      </c>
      <c r="AM27" s="57" t="str">
        <f>IFERROR(__xludf.DUMMYFUNCTION("importrange(""11pFFApGA7S_oLWWaBAH_IHu_-3C3t_PEHqBcOZme5lQ"",""2025-26!t4"")"),"")</f>
        <v/>
      </c>
      <c r="AN27" s="55" t="str">
        <f>IFERROR(__xludf.DUMMYFUNCTION("importrange(""11pFFApGA7S_oLWWaBAH_IHu_-3C3t_PEHqBcOZme5lQ"",""2025-26!t3"")"),"")</f>
        <v/>
      </c>
      <c r="AO27" s="58" t="str">
        <f t="shared" si="21"/>
        <v/>
      </c>
      <c r="AP27" s="55" t="str">
        <f>IFERROR(__xludf.DUMMYFUNCTION("importrange(""11pFFApGA7S_oLWWaBAH_IHu_-3C3t_PEHqBcOZme5lQ"",""2025-26!u4"")"),"")</f>
        <v/>
      </c>
      <c r="AQ27" s="55" t="str">
        <f>IFERROR(__xludf.DUMMYFUNCTION("importrange(""11pFFApGA7S_oLWWaBAH_IHu_-3C3t_PEHqBcOZme5lQ"",""2025-26!u3"")"),"")</f>
        <v/>
      </c>
      <c r="AR27" s="55" t="str">
        <f>IFERROR(__xludf.DUMMYFUNCTION("importrange(""11pFFApGA7S_oLWWaBAH_IHu_-3C3t_PEHqBcOZme5lQ"",""2025-26!v4"")"),"")</f>
        <v/>
      </c>
      <c r="AS27" s="55" t="str">
        <f>IFERROR(__xludf.DUMMYFUNCTION("importrange(""11pFFApGA7S_oLWWaBAH_IHu_-3C3t_PEHqBcOZme5lQ"",""2025-26!v3"")"),"")</f>
        <v/>
      </c>
      <c r="AT27" s="57" t="str">
        <f>IFERROR(__xludf.DUMMYFUNCTION("importrange(""11pFFApGA7S_oLWWaBAH_IHu_-3C3t_PEHqBcOZme5lQ"",""2025-26!w4"")"),"")</f>
        <v/>
      </c>
      <c r="AU27" s="55" t="str">
        <f>IFERROR(__xludf.DUMMYFUNCTION("importrange(""11pFFApGA7S_oLWWaBAH_IHu_-3C3t_PEHqBcOZme5lQ"",""2025-26!w3"")"),"")</f>
        <v/>
      </c>
      <c r="AV27" s="58" t="str">
        <f t="shared" si="22"/>
        <v/>
      </c>
      <c r="AW27" s="55" t="str">
        <f>IFERROR(__xludf.DUMMYFUNCTION("importrange(""11pFFApGA7S_oLWWaBAH_IHu_-3C3t_PEHqBcOZme5lQ"",""2025-26!x4"")"),"")</f>
        <v/>
      </c>
      <c r="AX27" s="55" t="str">
        <f>IFERROR(__xludf.DUMMYFUNCTION("importrange(""11pFFApGA7S_oLWWaBAH_IHu_-3C3t_PEHqBcOZme5lQ"",""2025-26!x3"")"),"")</f>
        <v/>
      </c>
      <c r="AY27" s="55" t="str">
        <f>IFERROR(__xludf.DUMMYFUNCTION("importrange(""11pFFApGA7S_oLWWaBAH_IHu_-3C3t_PEHqBcOZme5lQ"",""2025-26!y4"")"),"")</f>
        <v/>
      </c>
      <c r="AZ27" s="55" t="str">
        <f>IFERROR(__xludf.DUMMYFUNCTION("importrange(""11pFFApGA7S_oLWWaBAH_IHu_-3C3t_PEHqBcOZme5lQ"",""2025-26!y3"")"),"")</f>
        <v/>
      </c>
      <c r="BA27" s="57" t="str">
        <f>IFERROR(__xludf.DUMMYFUNCTION("importrange(""11pFFApGA7S_oLWWaBAH_IHu_-3C3t_PEHqBcOZme5lQ"",""2025-26!z4"")"),"")</f>
        <v/>
      </c>
      <c r="BB27" s="55" t="str">
        <f>IFERROR(__xludf.DUMMYFUNCTION("importrange(""11pFFApGA7S_oLWWaBAH_IHu_-3C3t_PEHqBcOZme5lQ"",""2025-26!z3"")"),"")</f>
        <v/>
      </c>
      <c r="BC27" s="59" t="str">
        <f t="shared" si="23"/>
        <v/>
      </c>
      <c r="BD27" s="55" t="str">
        <f>IFERROR(__xludf.DUMMYFUNCTION("importrange(""11pFFApGA7S_oLWWaBAH_IHu_-3C3t_PEHqBcOZme5lQ"",""2025-26!aa4"")"),"")</f>
        <v/>
      </c>
      <c r="BE27" s="55" t="str">
        <f>IFERROR(__xludf.DUMMYFUNCTION("importrange(""11pFFApGA7S_oLWWaBAH_IHu_-3C3t_PEHqBcOZme5lQ"",""2025-26!aa3"")"),"")</f>
        <v/>
      </c>
      <c r="BF27" s="55" t="str">
        <f>IFERROR(__xludf.DUMMYFUNCTION("importrange(""11pFFApGA7S_oLWWaBAH_IHu_-3C3t_PEHqBcOZme5lQ"",""2025-26!ab4"")"),"")</f>
        <v/>
      </c>
      <c r="BG27" s="55" t="str">
        <f>IFERROR(__xludf.DUMMYFUNCTION("importrange(""11pFFApGA7S_oLWWaBAH_IHu_-3C3t_PEHqBcOZme5lQ"",""2025-26!ab3"")"),"")</f>
        <v/>
      </c>
      <c r="BH27" s="55" t="str">
        <f>IFERROR(__xludf.DUMMYFUNCTION("importrange(""11pFFApGA7S_oLWWaBAH_IHu_-3C3t_PEHqBcOZme5lQ"",""2025-26!ac4"")"),"")</f>
        <v/>
      </c>
      <c r="BI27" s="55" t="str">
        <f>IFERROR(__xludf.DUMMYFUNCTION("importrange(""11pFFApGA7S_oLWWaBAH_IHu_-3C3t_PEHqBcOZme5lQ"",""2025-26!ac3"")"),"")</f>
        <v/>
      </c>
      <c r="BJ27" s="59" t="str">
        <f t="shared" si="24"/>
        <v/>
      </c>
      <c r="BK27" s="55" t="str">
        <f>IFERROR(__xludf.DUMMYFUNCTION("importrange(""11pFFApGA7S_oLWWaBAH_IHu_-3C3t_PEHqBcOZme5lQ"",""2025-26!ad4"")"),"")</f>
        <v/>
      </c>
      <c r="BL27" s="55" t="str">
        <f>IFERROR(__xludf.DUMMYFUNCTION("importrange(""11pFFApGA7S_oLWWaBAH_IHu_-3C3t_PEHqBcOZme5lQ"",""2025-26!ad3"")"),"")</f>
        <v/>
      </c>
      <c r="BM27" s="55" t="str">
        <f>IFERROR(__xludf.DUMMYFUNCTION("importrange(""11pFFApGA7S_oLWWaBAH_IHu_-3C3t_PEHqBcOZme5lQ"",""2025-26!ae4"")"),"")</f>
        <v/>
      </c>
      <c r="BN27" s="55" t="str">
        <f>IFERROR(__xludf.DUMMYFUNCTION("importrange(""11pFFApGA7S_oLWWaBAH_IHu_-3C3t_PEHqBcOZme5lQ"",""2025-26!ae3"")"),"")</f>
        <v/>
      </c>
      <c r="BO27" s="55" t="str">
        <f>IFERROR(__xludf.DUMMYFUNCTION("importrange(""11pFFApGA7S_oLWWaBAH_IHu_-3C3t_PEHqBcOZme5lQ"",""2025-26!af4"")"),"")</f>
        <v/>
      </c>
      <c r="BP27" s="55" t="str">
        <f>IFERROR(__xludf.DUMMYFUNCTION("importrange(""11pFFApGA7S_oLWWaBAH_IHu_-3C3t_PEHqBcOZme5lQ"",""2025-26!af3"")"),"")</f>
        <v/>
      </c>
      <c r="BQ27" s="59" t="str">
        <f t="shared" si="25"/>
        <v/>
      </c>
      <c r="BR27" s="55" t="str">
        <f>IFERROR(__xludf.DUMMYFUNCTION("importrange(""11pFFApGA7S_oLWWaBAH_IHu_-3C3t_PEHqBcOZme5lQ"",""2025-26!ag4"")"),"")</f>
        <v/>
      </c>
      <c r="BS27" s="55" t="str">
        <f>IFERROR(__xludf.DUMMYFUNCTION("importrange(""11pFFApGA7S_oLWWaBAH_IHu_-3C3t_PEHqBcOZme5lQ"",""2025-26!ag3"")"),"")</f>
        <v/>
      </c>
      <c r="BT27" s="55" t="str">
        <f>IFERROR(__xludf.DUMMYFUNCTION("importrange(""11pFFApGA7S_oLWWaBAH_IHu_-3C3t_PEHqBcOZme5lQ"",""2025-26!ah4"")"),"")</f>
        <v/>
      </c>
      <c r="BU27" s="55" t="str">
        <f>IFERROR(__xludf.DUMMYFUNCTION("importrange(""11pFFApGA7S_oLWWaBAH_IHu_-3C3t_PEHqBcOZme5lQ"",""2025-26!ah3"")"),"")</f>
        <v/>
      </c>
      <c r="BV27" s="55" t="str">
        <f>IFERROR(__xludf.DUMMYFUNCTION("importrange(""11pFFApGA7S_oLWWaBAH_IHu_-3C3t_PEHqBcOZme5lQ"",""2025-26!ai4"")"),"")</f>
        <v/>
      </c>
      <c r="BW27" s="55" t="str">
        <f>IFERROR(__xludf.DUMMYFUNCTION("importrange(""11pFFApGA7S_oLWWaBAH_IHu_-3C3t_PEHqBcOZme5lQ"",""2025-26!ai3"")"),"")</f>
        <v/>
      </c>
      <c r="BX27" s="59" t="str">
        <f t="shared" si="26"/>
        <v/>
      </c>
      <c r="BY27" s="55" t="str">
        <f>IFERROR(__xludf.DUMMYFUNCTION("importrange(""11pFFApGA7S_oLWWaBAH_IHu_-3C3t_PEHqBcOZme5lQ"",""2025-26!aj4"")"),"")</f>
        <v/>
      </c>
      <c r="BZ27" s="55" t="str">
        <f>IFERROR(__xludf.DUMMYFUNCTION("importrange(""11pFFApGA7S_oLWWaBAH_IHu_-3C3t_PEHqBcOZme5lQ"",""2025-26!aj3"")"),"")</f>
        <v/>
      </c>
      <c r="CA27" s="55" t="str">
        <f>IFERROR(__xludf.DUMMYFUNCTION("importrange(""11pFFApGA7S_oLWWaBAH_IHu_-3C3t_PEHqBcOZme5lQ"",""2025-26!ak4"")"),"")</f>
        <v/>
      </c>
      <c r="CB27" s="55" t="str">
        <f>IFERROR(__xludf.DUMMYFUNCTION("importrange(""11pFFApGA7S_oLWWaBAH_IHu_-3C3t_PEHqBcOZme5lQ"",""2025-26!ak3"")"),"")</f>
        <v/>
      </c>
      <c r="CC27" s="55" t="str">
        <f>IFERROR(__xludf.DUMMYFUNCTION("importrange(""11pFFApGA7S_oLWWaBAH_IHu_-3C3t_PEHqBcOZme5lQ"",""2025-26!al4"")"),"")</f>
        <v/>
      </c>
      <c r="CD27" s="55" t="str">
        <f>IFERROR(__xludf.DUMMYFUNCTION("importrange(""11pFFApGA7S_oLWWaBAH_IHu_-3C3t_PEHqBcOZme5lQ"",""2025-26!ai3"")"),"")</f>
        <v/>
      </c>
      <c r="CE27" s="59" t="str">
        <f t="shared" si="27"/>
        <v/>
      </c>
      <c r="CF27" s="55" t="str">
        <f>IFERROR(__xludf.DUMMYFUNCTION("importrange(""11pFFApGA7S_oLWWaBAH_IHu_-3C3t_PEHqBcOZme5lQ"",""2025-26!am4"")"),"")</f>
        <v/>
      </c>
      <c r="CG27" s="55" t="str">
        <f>IFERROR(__xludf.DUMMYFUNCTION("importrange(""11pFFApGA7S_oLWWaBAH_IHu_-3C3t_PEHqBcOZme5lQ"",""2025-26!am3"")"),"")</f>
        <v/>
      </c>
      <c r="CH27" s="55" t="str">
        <f>IFERROR(__xludf.DUMMYFUNCTION("importrange(""11pFFApGA7S_oLWWaBAH_IHu_-3C3t_PEHqBcOZme5lQ"",""2025-26!an4"")"),"")</f>
        <v/>
      </c>
      <c r="CI27" s="55" t="str">
        <f>IFERROR(__xludf.DUMMYFUNCTION("importrange(""11pFFApGA7S_oLWWaBAH_IHu_-3C3t_PEHqBcOZme5lQ"",""2025-26!an3"")"),"")</f>
        <v/>
      </c>
      <c r="CJ27" s="55" t="str">
        <f>IFERROR(__xludf.DUMMYFUNCTION("importrange(""11pFFApGA7S_oLWWaBAH_IHu_-3C3t_PEHqBcOZme5lQ"",""2025-26!ao4"")"),"")</f>
        <v/>
      </c>
      <c r="CK27" s="55" t="str">
        <f>IFERROR(__xludf.DUMMYFUNCTION("importrange(""11pFFApGA7S_oLWWaBAH_IHu_-3C3t_PEHqBcOZme5lQ"",""2025-26!ao3"")"),"")</f>
        <v/>
      </c>
      <c r="CL27" s="59" t="str">
        <f t="shared" si="28"/>
        <v/>
      </c>
      <c r="CM27" s="55" t="str">
        <f>IFERROR(__xludf.DUMMYFUNCTION("importrange(""11pFFApGA7S_oLWWaBAH_IHu_-3C3t_PEHqBcOZme5lQ"",""2025-26!ap4"")"),"")</f>
        <v/>
      </c>
      <c r="CN27" s="55" t="str">
        <f>IFERROR(__xludf.DUMMYFUNCTION("importrange(""11pFFApGA7S_oLWWaBAH_IHu_-3C3t_PEHqBcOZme5lQ"",""2025-26!ap3"")"),"")</f>
        <v/>
      </c>
      <c r="CO27" s="55" t="str">
        <f>IFERROR(__xludf.DUMMYFUNCTION("importrange(""11pFFApGA7S_oLWWaBAH_IHu_-3C3t_PEHqBcOZme5lQ"",""2025-26!aq4"")"),"")</f>
        <v/>
      </c>
      <c r="CP27" s="55" t="str">
        <f>IFERROR(__xludf.DUMMYFUNCTION("importrange(""11pFFApGA7S_oLWWaBAH_IHu_-3C3t_PEHqBcOZme5lQ"",""2025-26!aq3"")"),"")</f>
        <v/>
      </c>
      <c r="CQ27" s="55" t="str">
        <f>IFERROR(__xludf.DUMMYFUNCTION("importrange(""11pFFApGA7S_oLWWaBAH_IHu_-3C3t_PEHqBcOZme5lQ"",""2025-26!ar4"")"),"")</f>
        <v/>
      </c>
      <c r="CR27" s="55" t="str">
        <f>IFERROR(__xludf.DUMMYFUNCTION("importrange(""11pFFApGA7S_oLWWaBAH_IHu_-3C3t_PEHqBcOZme5lQ"",""2025-26!ar3"")"),"")</f>
        <v/>
      </c>
      <c r="CS27" s="59" t="str">
        <f t="shared" si="29"/>
        <v/>
      </c>
      <c r="CT27" s="55" t="str">
        <f>IFERROR(__xludf.DUMMYFUNCTION("importrange(""11pFFApGA7S_oLWWaBAH_IHu_-3C3t_PEHqBcOZme5lQ"",""2025-26!as4"")"),"")</f>
        <v/>
      </c>
      <c r="CU27" s="55" t="str">
        <f>IFERROR(__xludf.DUMMYFUNCTION("importrange(""11pFFApGA7S_oLWWaBAH_IHu_-3C3t_PEHqBcOZme5lQ"",""2025-26!as3"")"),"")</f>
        <v/>
      </c>
      <c r="CV27" s="60" t="s">
        <v>61</v>
      </c>
    </row>
    <row r="28">
      <c r="A28" s="1" t="s">
        <v>73</v>
      </c>
      <c r="B28" s="77" t="s">
        <v>73</v>
      </c>
      <c r="C28" s="48" t="s">
        <v>74</v>
      </c>
      <c r="D28" s="49" t="s">
        <v>75</v>
      </c>
      <c r="E28" s="50">
        <v>6.005583186E9</v>
      </c>
      <c r="F28" s="51">
        <v>44684.0</v>
      </c>
      <c r="G28" s="62"/>
      <c r="H28" s="62"/>
      <c r="I28" s="53">
        <f>VLOOKUP($C28,Data!$C:$BV,72,0)</f>
        <v>43505</v>
      </c>
      <c r="J28" s="54">
        <f>2000000+333333</f>
        <v>2333333</v>
      </c>
      <c r="K28" s="55">
        <f>IFERROR(__xludf.DUMMYFUNCTION("IMPORTRANGE(""1w-3KAp1up5hLV6GlsNUXDHIiGxvCfYJy6ATEQaQp3Rw"",""2025-26!A3"")"),31.0)</f>
        <v>31</v>
      </c>
      <c r="L28" s="55">
        <f>IFERROR(__xludf.DUMMYFUNCTION("IMPORTRANGE(""1w-3KAp1up5hLV6GlsNUXDHIiGxvCfYJy6ATEQaQp3Rw"",""2025-26!G4"")"),1.8875E7)</f>
        <v>18875000</v>
      </c>
      <c r="M28" s="55">
        <f t="shared" ref="M28:M55" si="41">R28+Y28+AF28+AM28+AT28+BA28+BH28+BO28+BV28+CC28+CJ28+CQ28</f>
        <v>12982378.21</v>
      </c>
      <c r="N28" s="56">
        <f t="shared" ref="N28:N55" si="42">O28/L28</f>
        <v>0.6430195497</v>
      </c>
      <c r="O28" s="57">
        <f t="shared" ref="O28:O55" si="43">U28+AB28+AI28+AP28+AW28+BD28+BK28+BR28+BY28+CF28+CM28+CT28</f>
        <v>12136994</v>
      </c>
      <c r="P28" s="55">
        <f>IFERROR(__xludf.DUMMYFUNCTION("IMPORTRANGE(""1w-3KAp1up5hLV6GlsNUXDHIiGxvCfYJy6ATEQaQp3Rw"",""2025-26!J4"")"),1663331.0)</f>
        <v>1663331</v>
      </c>
      <c r="Q28" s="55">
        <f>IFERROR(__xludf.DUMMYFUNCTION("IMPORTRANGE(""1w-3KAp1up5hLV6GlsNUXDHIiGxvCfYJy6ATEQaQp3Rw"",""2025-26!J3"")"),19.0)</f>
        <v>19</v>
      </c>
      <c r="R28" s="55">
        <f>IFERROR(__xludf.DUMMYFUNCTION("IMPORTRANGE(""1w-3KAp1up5hLV6GlsNUXDHIiGxvCfYJy6ATEQaQp3Rw"",""2025-26!K4"")"),521531.1)</f>
        <v>521531.1</v>
      </c>
      <c r="S28" s="55">
        <f>IFERROR(__xludf.DUMMYFUNCTION("IMPORTRANGE(""1w-3KAp1up5hLV6GlsNUXDHIiGxvCfYJy6ATEQaQp3Rw"",""2025-26!K3"")"),8.0)</f>
        <v>8</v>
      </c>
      <c r="T28" s="58">
        <f t="shared" si="18"/>
        <v>0.3135449288</v>
      </c>
      <c r="U28" s="55">
        <f>IFERROR(__xludf.DUMMYFUNCTION("IMPORTRANGE(""1w-3KAp1up5hLV6GlsNUXDHIiGxvCfYJy6ATEQaQp3Rw"",""2025-26!L4"")"),521529.0)</f>
        <v>521529</v>
      </c>
      <c r="V28" s="55">
        <f>IFERROR(__xludf.DUMMYFUNCTION("IMPORTRANGE(""1w-3KAp1up5hLV6GlsNUXDHIiGxvCfYJy6ATEQaQp3Rw"",""2025-26!L3"")"),8.0)</f>
        <v>8</v>
      </c>
      <c r="W28" s="55">
        <f>IFERROR(__xludf.DUMMYFUNCTION("IMPORTRANGE(""1w-3KAp1up5hLV6GlsNUXDHIiGxvCfYJy6ATEQaQp3Rw"",""2025-26!m4"")"),1616248.0)</f>
        <v>1616248</v>
      </c>
      <c r="X28" s="55">
        <f>IFERROR(__xludf.DUMMYFUNCTION("IMPORTRANGE(""1w-3KAp1up5hLV6GlsNUXDHIiGxvCfYJy6ATEQaQp3Rw"",""2025-26!m3"")"),19.0)</f>
        <v>19</v>
      </c>
      <c r="Y28" s="55">
        <f>IFERROR(__xludf.DUMMYFUNCTION("IMPORTRANGE(""1w-3KAp1up5hLV6GlsNUXDHIiGxvCfYJy6ATEQaQp3Rw"",""2025-26!N4"")"),448462.19999999995)</f>
        <v>448462.2</v>
      </c>
      <c r="Z28" s="55">
        <f>IFERROR(__xludf.DUMMYFUNCTION("IMPORTRANGE(""1w-3KAp1up5hLV6GlsNUXDHIiGxvCfYJy6ATEQaQp3Rw"",""2025-26!N3"")"),6.0)</f>
        <v>6</v>
      </c>
      <c r="AA28" s="58">
        <f t="shared" si="19"/>
        <v>0.2396946508</v>
      </c>
      <c r="AB28" s="55">
        <f>IFERROR(__xludf.DUMMYFUNCTION("IMPORTRANGE(""1w-3KAp1up5hLV6GlsNUXDHIiGxvCfYJy6ATEQaQp3Rw"",""2025-26!O4"")"),387406.0)</f>
        <v>387406</v>
      </c>
      <c r="AC28" s="55">
        <f>IFERROR(__xludf.DUMMYFUNCTION("IMPORTRANGE(""1w-3KAp1up5hLV6GlsNUXDHIiGxvCfYJy6ATEQaQp3Rw"",""2025-26!O3"")"),5.0)</f>
        <v>5</v>
      </c>
      <c r="AD28" s="55">
        <f>IFERROR(__xludf.DUMMYFUNCTION("IMPORTRANGE(""1w-3KAp1up5hLV6GlsNUXDHIiGxvCfYJy6ATEQaQp3Rw"",""2025-26!P4"")"),1425414.0)</f>
        <v>1425414</v>
      </c>
      <c r="AE28" s="55">
        <f>IFERROR(__xludf.DUMMYFUNCTION("IMPORTRANGE(""1w-3KAp1up5hLV6GlsNUXDHIiGxvCfYJy6ATEQaQp3Rw"",""2025-26!P3"")"),19.0)</f>
        <v>19</v>
      </c>
      <c r="AF28" s="55">
        <f>IFERROR(__xludf.DUMMYFUNCTION("IMPORTRANGE(""1w-3KAp1up5hLV6GlsNUXDHIiGxvCfYJy6ATEQaQp3Rw"",""2025-26!Q4"")"),1378722.41015625)</f>
        <v>1378722.41</v>
      </c>
      <c r="AG28" s="55">
        <f>IFERROR(__xludf.DUMMYFUNCTION("IMPORTRANGE(""1w-3KAp1up5hLV6GlsNUXDHIiGxvCfYJy6ATEQaQp3Rw"",""2025-26!Q3"")"),12.0)</f>
        <v>12</v>
      </c>
      <c r="AH28" s="58">
        <f t="shared" si="20"/>
        <v>0.06471803981</v>
      </c>
      <c r="AI28" s="55">
        <f>IFERROR(__xludf.DUMMYFUNCTION("IMPORTRANGE(""1w-3KAp1up5hLV6GlsNUXDHIiGxvCfYJy6ATEQaQp3Rw"",""2025-26!R4"")"),92250.0)</f>
        <v>92250</v>
      </c>
      <c r="AJ28" s="55">
        <f>IFERROR(__xludf.DUMMYFUNCTION("IMPORTRANGE(""1w-3KAp1up5hLV6GlsNUXDHIiGxvCfYJy6ATEQaQp3Rw"",""2025-26!R3"")"),1.0)</f>
        <v>1</v>
      </c>
      <c r="AK28" s="55">
        <f>IFERROR(__xludf.DUMMYFUNCTION("IMPORTRANGE(""1w-3KAp1up5hLV6GlsNUXDHIiGxvCfYJy6ATEQaQp3Rw"",""2025-26!S4"")"),1257083.0)</f>
        <v>1257083</v>
      </c>
      <c r="AL28" s="55">
        <f>IFERROR(__xludf.DUMMYFUNCTION("IMPORTRANGE(""1w-3KAp1up5hLV6GlsNUXDHIiGxvCfYJy6ATEQaQp3Rw"",""2025-26!S3"")"),21.0)</f>
        <v>21</v>
      </c>
      <c r="AM28" s="55">
        <f>IFERROR(__xludf.DUMMYFUNCTION("IMPORTRANGE(""1w-3KAp1up5hLV6GlsNUXDHIiGxvCfYJy6ATEQaQp3Rw"",""2025-26!T4"")"),1403156.58)</f>
        <v>1403156.58</v>
      </c>
      <c r="AN28" s="55">
        <f>IFERROR(__xludf.DUMMYFUNCTION("IMPORTRANGE(""1w-3KAp1up5hLV6GlsNUXDHIiGxvCfYJy6ATEQaQp3Rw"",""2025-26!T3"")"),10.0)</f>
        <v>10</v>
      </c>
      <c r="AO28" s="58">
        <f t="shared" si="21"/>
        <v>1.116246899</v>
      </c>
      <c r="AP28" s="55">
        <f>IFERROR(__xludf.DUMMYFUNCTION("IMPORTRANGE(""1w-3KAp1up5hLV6GlsNUXDHIiGxvCfYJy6ATEQaQp3Rw"",""2025-26!U4"")"),1403215.0)</f>
        <v>1403215</v>
      </c>
      <c r="AQ28" s="55">
        <f>IFERROR(__xludf.DUMMYFUNCTION("IMPORTRANGE(""1w-3KAp1up5hLV6GlsNUXDHIiGxvCfYJy6ATEQaQp3Rw"",""2025-26!U3"")"),10.0)</f>
        <v>10</v>
      </c>
      <c r="AR28" s="55">
        <f>IFERROR(__xludf.DUMMYFUNCTION("IMPORTRANGE(""1w-3KAp1up5hLV6GlsNUXDHIiGxvCfYJy6ATEQaQp3Rw"",""2025-26!V4"")"),1325833.0)</f>
        <v>1325833</v>
      </c>
      <c r="AS28" s="55">
        <f>IFERROR(__xludf.DUMMYFUNCTION("IMPORTRANGE(""1w-3KAp1up5hLV6GlsNUXDHIiGxvCfYJy6ATEQaQp3Rw"",""2025-26!V3"")"),21.0)</f>
        <v>21</v>
      </c>
      <c r="AT28" s="55">
        <f>IFERROR(__xludf.DUMMYFUNCTION("IMPORTRANGE(""1w-3KAp1up5hLV6GlsNUXDHIiGxvCfYJy6ATEQaQp3Rw"",""2025-26!W4"")"),1261257.37)</f>
        <v>1261257.37</v>
      </c>
      <c r="AU28" s="55">
        <f>IFERROR(__xludf.DUMMYFUNCTION("IMPORTRANGE(""1w-3KAp1up5hLV6GlsNUXDHIiGxvCfYJy6ATEQaQp3Rw"",""2025-26!W3"")"),9.0)</f>
        <v>9</v>
      </c>
      <c r="AV28" s="58">
        <f t="shared" si="22"/>
        <v>1.399297649</v>
      </c>
      <c r="AW28" s="55">
        <f>IFERROR(__xludf.DUMMYFUNCTION("IMPORTRANGE(""1w-3KAp1up5hLV6GlsNUXDHIiGxvCfYJy6ATEQaQp3Rw"",""2025-26!X4"")"),1855235.0)</f>
        <v>1855235</v>
      </c>
      <c r="AX28" s="55">
        <f>IFERROR(__xludf.DUMMYFUNCTION("IMPORTRANGE(""1w-3KAp1up5hLV6GlsNUXDHIiGxvCfYJy6ATEQaQp3Rw"",""2025-26!X3"")"),10.0)</f>
        <v>10</v>
      </c>
      <c r="AY28" s="55">
        <f>IFERROR(__xludf.DUMMYFUNCTION("IMPORTRANGE(""1w-3KAp1up5hLV6GlsNUXDHIiGxvCfYJy6ATEQaQp3Rw"",""2025-26!Y4"")"),1660833.0)</f>
        <v>1660833</v>
      </c>
      <c r="AZ28" s="55">
        <f>IFERROR(__xludf.DUMMYFUNCTION("IMPORTRANGE(""1w-3KAp1up5hLV6GlsNUXDHIiGxvCfYJy6ATEQaQp3Rw"",""2025-26!Y3"")"),21.0)</f>
        <v>21</v>
      </c>
      <c r="BA28" s="55">
        <f>IFERROR(__xludf.DUMMYFUNCTION("IMPORTRANGE(""1w-3KAp1up5hLV6GlsNUXDHIiGxvCfYJy6ATEQaQp3Rw"",""2025-26!Z4"")"),476876.0)</f>
        <v>476876</v>
      </c>
      <c r="BB28" s="55">
        <f>IFERROR(__xludf.DUMMYFUNCTION("IMPORTRANGE(""1w-3KAp1up5hLV6GlsNUXDHIiGxvCfYJy6ATEQaQp3Rw"",""2025-26!Z3"")"),3.0)</f>
        <v>3</v>
      </c>
      <c r="BC28" s="59">
        <f t="shared" si="23"/>
        <v>0.6839224654</v>
      </c>
      <c r="BD28" s="55">
        <f>IFERROR(__xludf.DUMMYFUNCTION("IMPORTRANGE(""1w-3KAp1up5hLV6GlsNUXDHIiGxvCfYJy6ATEQaQp3Rw"",""2025-26!AA4"")"),1135881.0)</f>
        <v>1135881</v>
      </c>
      <c r="BE28" s="55">
        <f>IFERROR(__xludf.DUMMYFUNCTION("IMPORTRANGE(""1w-3KAp1up5hLV6GlsNUXDHIiGxvCfYJy6ATEQaQp3Rw"",""2025-26!AA3"")"),4.0)</f>
        <v>4</v>
      </c>
      <c r="BF28" s="55">
        <f>IFERROR(__xludf.DUMMYFUNCTION("IMPORTRANGE(""1w-3KAp1up5hLV6GlsNUXDHIiGxvCfYJy6ATEQaQp3Rw"",""2025-26!AB4"")"),1297333.0)</f>
        <v>1297333</v>
      </c>
      <c r="BG28" s="55">
        <f>IFERROR(__xludf.DUMMYFUNCTION("IMPORTRANGE(""1w-3KAp1up5hLV6GlsNUXDHIiGxvCfYJy6ATEQaQp3Rw"",""2025-26!AB3"")"),21.0)</f>
        <v>21</v>
      </c>
      <c r="BH28" s="55">
        <f>IFERROR(__xludf.DUMMYFUNCTION("IMPORTRANGE(""1w-3KAp1up5hLV6GlsNUXDHIiGxvCfYJy6ATEQaQp3Rw"",""2025-26!AC4"")"),1283706.9400000002)</f>
        <v>1283706.94</v>
      </c>
      <c r="BI28" s="55">
        <f>IFERROR(__xludf.DUMMYFUNCTION("IMPORTRANGE(""1w-3KAp1up5hLV6GlsNUXDHIiGxvCfYJy6ATEQaQp3Rw"",""2025-26!AC3"")"),10.0)</f>
        <v>10</v>
      </c>
      <c r="BJ28" s="59">
        <f t="shared" si="24"/>
        <v>1.392692547</v>
      </c>
      <c r="BK28" s="55">
        <f>IFERROR(__xludf.DUMMYFUNCTION("IMPORTRANGE(""1w-3KAp1up5hLV6GlsNUXDHIiGxvCfYJy6ATEQaQp3Rw"",""2025-26!AD4"")"),1806786.0)</f>
        <v>1806786</v>
      </c>
      <c r="BL28" s="55">
        <f>IFERROR(__xludf.DUMMYFUNCTION("IMPORTRANGE(""1w-3KAp1up5hLV6GlsNUXDHIiGxvCfYJy6ATEQaQp3Rw"",""2025-26!AD3"")"),11.0)</f>
        <v>11</v>
      </c>
      <c r="BM28" s="55">
        <f>IFERROR(__xludf.DUMMYFUNCTION("IMPORTRANGE(""1w-3KAp1up5hLV6GlsNUXDHIiGxvCfYJy6ATEQaQp3Rw"",""2025-26!AE4"")"),1371000.0)</f>
        <v>1371000</v>
      </c>
      <c r="BN28" s="55">
        <f>IFERROR(__xludf.DUMMYFUNCTION("IMPORTRANGE(""1w-3KAp1up5hLV6GlsNUXDHIiGxvCfYJy6ATEQaQp3Rw"",""2025-26!AE3"")"),21.0)</f>
        <v>21</v>
      </c>
      <c r="BO28" s="55">
        <f>IFERROR(__xludf.DUMMYFUNCTION("IMPORTRANGE(""1w-3KAp1up5hLV6GlsNUXDHIiGxvCfYJy6ATEQaQp3Rw"",""2025-26!AF4"")"),1515291.64)</f>
        <v>1515291.64</v>
      </c>
      <c r="BP28" s="55">
        <f>IFERROR(__xludf.DUMMYFUNCTION("IMPORTRANGE(""1w-3KAp1up5hLV6GlsNUXDHIiGxvCfYJy6ATEQaQp3Rw"",""2025-26!AF3"")"),6.0)</f>
        <v>6</v>
      </c>
      <c r="BQ28" s="59">
        <f t="shared" si="25"/>
        <v>0.7778796499</v>
      </c>
      <c r="BR28" s="55">
        <f>IFERROR(__xludf.DUMMYFUNCTION("IMPORTRANGE(""1w-3KAp1up5hLV6GlsNUXDHIiGxvCfYJy6ATEQaQp3Rw"",""2025-26!AG4"")"),1066473.0)</f>
        <v>1066473</v>
      </c>
      <c r="BS28" s="55">
        <f>IFERROR(__xludf.DUMMYFUNCTION("IMPORTRANGE(""1w-3KAp1up5hLV6GlsNUXDHIiGxvCfYJy6ATEQaQp3Rw"",""2025-26!AG3"")"),5.0)</f>
        <v>5</v>
      </c>
      <c r="BT28" s="55">
        <f>IFERROR(__xludf.DUMMYFUNCTION("IMPORTRANGE(""1w-3KAp1up5hLV6GlsNUXDHIiGxvCfYJy6ATEQaQp3Rw"",""2025-26!AH4"")"),1361000.0)</f>
        <v>1361000</v>
      </c>
      <c r="BU28" s="55">
        <f>IFERROR(__xludf.DUMMYFUNCTION("IMPORTRANGE(""1w-3KAp1up5hLV6GlsNUXDHIiGxvCfYJy6ATEQaQp3Rw"",""2025-26!AH3"")"),21.0)</f>
        <v>21</v>
      </c>
      <c r="BV28" s="55">
        <f>IFERROR(__xludf.DUMMYFUNCTION("IMPORTRANGE(""1w-3KAp1up5hLV6GlsNUXDHIiGxvCfYJy6ATEQaQp3Rw"",""2025-26!AI4"")"),1035137.2899999999)</f>
        <v>1035137.29</v>
      </c>
      <c r="BW28" s="55">
        <f>IFERROR(__xludf.DUMMYFUNCTION("IMPORTRANGE(""1w-3KAp1up5hLV6GlsNUXDHIiGxvCfYJy6ATEQaQp3Rw"",""2025-26!AI3"")"),7.0)</f>
        <v>7</v>
      </c>
      <c r="BX28" s="59">
        <f t="shared" si="26"/>
        <v>0.8950154298</v>
      </c>
      <c r="BY28" s="55">
        <f>IFERROR(__xludf.DUMMYFUNCTION("IMPORTRANGE(""1w-3KAp1up5hLV6GlsNUXDHIiGxvCfYJy6ATEQaQp3Rw"",""2025-26!AJ4"")"),1218116.0)</f>
        <v>1218116</v>
      </c>
      <c r="BZ28" s="55">
        <f>IFERROR(__xludf.DUMMYFUNCTION("IMPORTRANGE(""1w-3KAp1up5hLV6GlsNUXDHIiGxvCfYJy6ATEQaQp3Rw"",""2025-26!AJ3"")"),8.0)</f>
        <v>8</v>
      </c>
      <c r="CA28" s="55">
        <f>IFERROR(__xludf.DUMMYFUNCTION("IMPORTRANGE(""1w-3KAp1up5hLV6GlsNUXDHIiGxvCfYJy6ATEQaQp3Rw"",""2025-26!AK4"")"),1295333.0)</f>
        <v>1295333</v>
      </c>
      <c r="CB28" s="55">
        <f>IFERROR(__xludf.DUMMYFUNCTION("IMPORTRANGE(""1w-3KAp1up5hLV6GlsNUXDHIiGxvCfYJy6ATEQaQp3Rw"",""2025-26!AK3"")"),21.0)</f>
        <v>21</v>
      </c>
      <c r="CC28" s="55">
        <f>IFERROR(__xludf.DUMMYFUNCTION("IMPORTRANGE(""1w-3KAp1up5hLV6GlsNUXDHIiGxvCfYJy6ATEQaQp3Rw"",""2025-26!AL4"")"),1201809.41)</f>
        <v>1201809.41</v>
      </c>
      <c r="CD28" s="55">
        <f>IFERROR(__xludf.DUMMYFUNCTION("IMPORTRANGE(""1w-3KAp1up5hLV6GlsNUXDHIiGxvCfYJy6ATEQaQp3Rw"",""2025-26!AL3"")"),7.0)</f>
        <v>7</v>
      </c>
      <c r="CE28" s="59">
        <f t="shared" si="27"/>
        <v>0.9277984889</v>
      </c>
      <c r="CF28" s="55">
        <f>IFERROR(__xludf.DUMMYFUNCTION("IMPORTRANGE(""1w-3KAp1up5hLV6GlsNUXDHIiGxvCfYJy6ATEQaQp3Rw"",""2025-26!AM4"")"),1201808.0)</f>
        <v>1201808</v>
      </c>
      <c r="CG28" s="55">
        <f>IFERROR(__xludf.DUMMYFUNCTION("IMPORTRANGE(""1w-3KAp1up5hLV6GlsNUXDHIiGxvCfYJy6ATEQaQp3Rw"",""2025-26!AM3"")"),7.0)</f>
        <v>7</v>
      </c>
      <c r="CH28" s="55">
        <f>IFERROR(__xludf.DUMMYFUNCTION("IMPORTRANGE(""1w-3KAp1up5hLV6GlsNUXDHIiGxvCfYJy6ATEQaQp3Rw"",""2025-26!AN4"")"),1372000.0)</f>
        <v>1372000</v>
      </c>
      <c r="CI28" s="55">
        <f>IFERROR(__xludf.DUMMYFUNCTION("IMPORTRANGE(""1w-3KAp1up5hLV6GlsNUXDHIiGxvCfYJy6ATEQaQp3Rw"",""2025-26!AN3"")"),21.0)</f>
        <v>21</v>
      </c>
      <c r="CJ28" s="55">
        <f>IFERROR(__xludf.DUMMYFUNCTION("IMPORTRANGE(""1w-3KAp1up5hLV6GlsNUXDHIiGxvCfYJy6ATEQaQp3Rw"",""2025-26!AO4"")"),1457884.4999999998)</f>
        <v>1457884.5</v>
      </c>
      <c r="CK28" s="55">
        <f>IFERROR(__xludf.DUMMYFUNCTION("IMPORTRANGE(""1w-3KAp1up5hLV6GlsNUXDHIiGxvCfYJy6ATEQaQp3Rw"",""2025-26!AO3"")"),8.0)</f>
        <v>8</v>
      </c>
      <c r="CL28" s="59">
        <f t="shared" si="28"/>
        <v>1.055608601</v>
      </c>
      <c r="CM28" s="55">
        <f>IFERROR(__xludf.DUMMYFUNCTION("IMPORTRANGE(""1w-3KAp1up5hLV6GlsNUXDHIiGxvCfYJy6ATEQaQp3Rw"",""2025-26!AP4"")"),1448295.0)</f>
        <v>1448295</v>
      </c>
      <c r="CN28" s="55">
        <f>IFERROR(__xludf.DUMMYFUNCTION("IMPORTRANGE(""1w-3KAp1up5hLV6GlsNUXDHIiGxvCfYJy6ATEQaQp3Rw"",""2025-26!AP3"")"),8.0)</f>
        <v>8</v>
      </c>
      <c r="CO28" s="55">
        <f>IFERROR(__xludf.DUMMYFUNCTION("IMPORTRANGE(""1w-3KAp1up5hLV6GlsNUXDHIiGxvCfYJy6ATEQaQp3Rw"",""2025-26!AQ4"")"),1373000.0)</f>
        <v>1373000</v>
      </c>
      <c r="CP28" s="55">
        <f>IFERROR(__xludf.DUMMYFUNCTION("IMPORTRANGE(""1w-3KAp1up5hLV6GlsNUXDHIiGxvCfYJy6ATEQaQp3Rw"",""2025-26!AQ3"")"),21.0)</f>
        <v>21</v>
      </c>
      <c r="CQ28" s="55">
        <f>IFERROR(__xludf.DUMMYFUNCTION("IMPORTRANGE(""1w-3KAp1up5hLV6GlsNUXDHIiGxvCfYJy6ATEQaQp3Rw"",""2025-26!AR4"")"),998542.7699999999)</f>
        <v>998542.77</v>
      </c>
      <c r="CR28" s="55">
        <f>IFERROR(__xludf.DUMMYFUNCTION("IMPORTRANGE(""1w-3KAp1up5hLV6GlsNUXDHIiGxvCfYJy6ATEQaQp3Rw"",""2025-26!AR3"")"),5.0)</f>
        <v>5</v>
      </c>
      <c r="CS28" s="59">
        <f t="shared" si="29"/>
        <v>0</v>
      </c>
      <c r="CT28" s="55">
        <f>IFERROR(__xludf.DUMMYFUNCTION("IMPORTRANGE(""1w-3KAp1up5hLV6GlsNUXDHIiGxvCfYJy6ATEQaQp3Rw"",""2025-26!AS4"")"),0.0)</f>
        <v>0</v>
      </c>
      <c r="CU28" s="55">
        <f>IFERROR(__xludf.DUMMYFUNCTION("IMPORTRANGE(""1w-3KAp1up5hLV6GlsNUXDHIiGxvCfYJy6ATEQaQp3Rw"",""2025-26!AS3"")"),0.0)</f>
        <v>0</v>
      </c>
      <c r="CV28" s="60" t="s">
        <v>76</v>
      </c>
    </row>
    <row r="29">
      <c r="A29" s="1" t="s">
        <v>73</v>
      </c>
      <c r="B29" s="37"/>
      <c r="C29" s="85" t="s">
        <v>77</v>
      </c>
      <c r="D29" s="49" t="s">
        <v>78</v>
      </c>
      <c r="E29" s="50">
        <v>7.889728275E9</v>
      </c>
      <c r="F29" s="51">
        <v>45068.0</v>
      </c>
      <c r="G29" s="86"/>
      <c r="H29" s="86"/>
      <c r="I29" s="53">
        <f>VLOOKUP($C29,Data!$C:$BV,72,0)</f>
        <v>31660</v>
      </c>
      <c r="J29" s="54">
        <f>2000000+125000</f>
        <v>2125000</v>
      </c>
      <c r="K29" s="55">
        <f>IFERROR(__xludf.DUMMYFUNCTION("IMPORTRANGE(""1qTONJRlBa-WVOcjo_gO-Pc4UYQPCdFt2w4TVrB12iZM"",""2025-26!A3"")"),66.0)</f>
        <v>66</v>
      </c>
      <c r="L29" s="55">
        <f>IFERROR(__xludf.DUMMYFUNCTION("IMPORTRANGE(""1qTONJRlBa-WVOcjo_gO-Pc4UYQPCdFt2w4TVrB12iZM"",""2025-26!G4"")"),2.0E7)</f>
        <v>20000000</v>
      </c>
      <c r="M29" s="55">
        <f t="shared" si="41"/>
        <v>11134309.13</v>
      </c>
      <c r="N29" s="56">
        <f t="shared" si="42"/>
        <v>0.53887795</v>
      </c>
      <c r="O29" s="57">
        <f t="shared" si="43"/>
        <v>10777559</v>
      </c>
      <c r="P29" s="55">
        <f>IFERROR(__xludf.DUMMYFUNCTION("IMPORTRANGE(""1qTONJRlBa-WVOcjo_gO-Pc4UYQPCdFt2w4TVrB12iZM"",""2025-26!J4"")"),1255000.0)</f>
        <v>1255000</v>
      </c>
      <c r="Q29" s="55">
        <f>IFERROR(__xludf.DUMMYFUNCTION("IMPORTRANGE(""1qTONJRlBa-WVOcjo_gO-Pc4UYQPCdFt2w4TVrB12iZM"",""2025-26!J3"")"),16.0)</f>
        <v>16</v>
      </c>
      <c r="R29" s="55">
        <f>IFERROR(__xludf.DUMMYFUNCTION("IMPORTRANGE(""1qTONJRlBa-WVOcjo_gO-Pc4UYQPCdFt2w4TVrB12iZM"",""2025-26!K4"")"),1002915.6)</f>
        <v>1002915.6</v>
      </c>
      <c r="S29" s="55">
        <f>IFERROR(__xludf.DUMMYFUNCTION("IMPORTRANGE(""1qTONJRlBa-WVOcjo_gO-Pc4UYQPCdFt2w4TVrB12iZM"",""2025-26!K3"")"),16.0)</f>
        <v>16</v>
      </c>
      <c r="T29" s="58">
        <f t="shared" si="18"/>
        <v>0.7535298805</v>
      </c>
      <c r="U29" s="55">
        <f>IFERROR(__xludf.DUMMYFUNCTION("IMPORTRANGE(""1qTONJRlBa-WVOcjo_gO-Pc4UYQPCdFt2w4TVrB12iZM"",""2025-26!L4"")"),945680.0)</f>
        <v>945680</v>
      </c>
      <c r="V29" s="55">
        <f>IFERROR(__xludf.DUMMYFUNCTION("IMPORTRANGE(""1qTONJRlBa-WVOcjo_gO-Pc4UYQPCdFt2w4TVrB12iZM"",""2025-26!L3"")"),16.0)</f>
        <v>16</v>
      </c>
      <c r="W29" s="55">
        <f>IFERROR(__xludf.DUMMYFUNCTION("IMPORTRANGE(""1qTONJRlBa-WVOcjo_gO-Pc4UYQPCdFt2w4TVrB12iZM"",""2025-26!m4"")"),1450000.0)</f>
        <v>1450000</v>
      </c>
      <c r="X29" s="55">
        <f>IFERROR(__xludf.DUMMYFUNCTION("IMPORTRANGE(""1qTONJRlBa-WVOcjo_gO-Pc4UYQPCdFt2w4TVrB12iZM"",""2025-26!m3"")"),25.0)</f>
        <v>25</v>
      </c>
      <c r="Y29" s="55">
        <f>IFERROR(__xludf.DUMMYFUNCTION("IMPORTRANGE(""1qTONJRlBa-WVOcjo_gO-Pc4UYQPCdFt2w4TVrB12iZM"",""2025-26!N4"")"),1090939.5999999999)</f>
        <v>1090939.6</v>
      </c>
      <c r="Z29" s="55">
        <f>IFERROR(__xludf.DUMMYFUNCTION("IMPORTRANGE(""1qTONJRlBa-WVOcjo_gO-Pc4UYQPCdFt2w4TVrB12iZM"",""2025-26!N3"")"),18.0)</f>
        <v>18</v>
      </c>
      <c r="AA29" s="58">
        <f t="shared" si="19"/>
        <v>0.72142</v>
      </c>
      <c r="AB29" s="55">
        <f>IFERROR(__xludf.DUMMYFUNCTION("IMPORTRANGE(""1qTONJRlBa-WVOcjo_gO-Pc4UYQPCdFt2w4TVrB12iZM"",""2025-26!O4"")"),1046059.0)</f>
        <v>1046059</v>
      </c>
      <c r="AC29" s="55">
        <f>IFERROR(__xludf.DUMMYFUNCTION("IMPORTRANGE(""1qTONJRlBa-WVOcjo_gO-Pc4UYQPCdFt2w4TVrB12iZM"",""2025-26!O3"")"),18.0)</f>
        <v>18</v>
      </c>
      <c r="AD29" s="55">
        <f>IFERROR(__xludf.DUMMYFUNCTION("IMPORTRANGE(""1qTONJRlBa-WVOcjo_gO-Pc4UYQPCdFt2w4TVrB12iZM"",""2025-26!P4"")"),1980000.0)</f>
        <v>1980000</v>
      </c>
      <c r="AE29" s="55">
        <f>IFERROR(__xludf.DUMMYFUNCTION("IMPORTRANGE(""1qTONJRlBa-WVOcjo_gO-Pc4UYQPCdFt2w4TVrB12iZM"",""2025-26!P3"")"),32.0)</f>
        <v>32</v>
      </c>
      <c r="AF29" s="55">
        <f>IFERROR(__xludf.DUMMYFUNCTION("IMPORTRANGE(""1qTONJRlBa-WVOcjo_gO-Pc4UYQPCdFt2w4TVrB12iZM"",""2025-26!Q4"")"),1240379.60234375)</f>
        <v>1240379.602</v>
      </c>
      <c r="AG29" s="55">
        <f>IFERROR(__xludf.DUMMYFUNCTION("IMPORTRANGE(""1qTONJRlBa-WVOcjo_gO-Pc4UYQPCdFt2w4TVrB12iZM"",""2025-26!Q3"")"),17.0)</f>
        <v>17</v>
      </c>
      <c r="AH29" s="58">
        <f t="shared" si="20"/>
        <v>0.618910101</v>
      </c>
      <c r="AI29" s="55">
        <f>IFERROR(__xludf.DUMMYFUNCTION("IMPORTRANGE(""1qTONJRlBa-WVOcjo_gO-Pc4UYQPCdFt2w4TVrB12iZM"",""2025-26!R4"")"),1225442.0)</f>
        <v>1225442</v>
      </c>
      <c r="AJ29" s="55">
        <f>IFERROR(__xludf.DUMMYFUNCTION("IMPORTRANGE(""1qTONJRlBa-WVOcjo_gO-Pc4UYQPCdFt2w4TVrB12iZM"",""2025-26!R3"")"),14.0)</f>
        <v>14</v>
      </c>
      <c r="AK29" s="55">
        <f>IFERROR(__xludf.DUMMYFUNCTION("IMPORTRANGE(""1qTONJRlBa-WVOcjo_gO-Pc4UYQPCdFt2w4TVrB12iZM"",""2025-26!S4"")"),1575000.0)</f>
        <v>1575000</v>
      </c>
      <c r="AL29" s="55">
        <f>IFERROR(__xludf.DUMMYFUNCTION("IMPORTRANGE(""1qTONJRlBa-WVOcjo_gO-Pc4UYQPCdFt2w4TVrB12iZM"",""2025-26!S3"")"),30.0)</f>
        <v>30</v>
      </c>
      <c r="AM29" s="55">
        <f>IFERROR(__xludf.DUMMYFUNCTION("IMPORTRANGE(""1qTONJRlBa-WVOcjo_gO-Pc4UYQPCdFt2w4TVrB12iZM"",""2025-26!T4"")"),1037859.8499999999)</f>
        <v>1037859.85</v>
      </c>
      <c r="AN29" s="55">
        <f>IFERROR(__xludf.DUMMYFUNCTION("IMPORTRANGE(""1qTONJRlBa-WVOcjo_gO-Pc4UYQPCdFt2w4TVrB12iZM"",""2025-26!T3"")"),14.0)</f>
        <v>14</v>
      </c>
      <c r="AO29" s="58">
        <f t="shared" si="21"/>
        <v>0.6428</v>
      </c>
      <c r="AP29" s="55">
        <f>IFERROR(__xludf.DUMMYFUNCTION("IMPORTRANGE(""1qTONJRlBa-WVOcjo_gO-Pc4UYQPCdFt2w4TVrB12iZM"",""2025-26!U4"")"),1012410.0)</f>
        <v>1012410</v>
      </c>
      <c r="AQ29" s="55">
        <f>IFERROR(__xludf.DUMMYFUNCTION("IMPORTRANGE(""1qTONJRlBa-WVOcjo_gO-Pc4UYQPCdFt2w4TVrB12iZM"",""2025-26!U3"")"),11.0)</f>
        <v>11</v>
      </c>
      <c r="AR29" s="55">
        <f>IFERROR(__xludf.DUMMYFUNCTION("IMPORTRANGE(""1qTONJRlBa-WVOcjo_gO-Pc4UYQPCdFt2w4TVrB12iZM"",""2025-26!V4"")"),2000000.0)</f>
        <v>2000000</v>
      </c>
      <c r="AS29" s="55">
        <f>IFERROR(__xludf.DUMMYFUNCTION("IMPORTRANGE(""1qTONJRlBa-WVOcjo_gO-Pc4UYQPCdFt2w4TVrB12iZM"",""2025-26!V3"")"),28.0)</f>
        <v>28</v>
      </c>
      <c r="AT29" s="55">
        <f>IFERROR(__xludf.DUMMYFUNCTION("IMPORTRANGE(""1qTONJRlBa-WVOcjo_gO-Pc4UYQPCdFt2w4TVrB12iZM"",""2025-26!W4"")"),1552399.8999999997)</f>
        <v>1552399.9</v>
      </c>
      <c r="AU29" s="55">
        <f>IFERROR(__xludf.DUMMYFUNCTION("IMPORTRANGE(""1qTONJRlBa-WVOcjo_gO-Pc4UYQPCdFt2w4TVrB12iZM"",""2025-26!W3"")"),16.0)</f>
        <v>16</v>
      </c>
      <c r="AV29" s="58">
        <f t="shared" si="22"/>
        <v>0.7585995</v>
      </c>
      <c r="AW29" s="55">
        <f>IFERROR(__xludf.DUMMYFUNCTION("IMPORTRANGE(""1qTONJRlBa-WVOcjo_gO-Pc4UYQPCdFt2w4TVrB12iZM"",""2025-26!X4"")"),1517199.0)</f>
        <v>1517199</v>
      </c>
      <c r="AX29" s="55">
        <f>IFERROR(__xludf.DUMMYFUNCTION("IMPORTRANGE(""1qTONJRlBa-WVOcjo_gO-Pc4UYQPCdFt2w4TVrB12iZM"",""2025-26!X3"")"),16.0)</f>
        <v>16</v>
      </c>
      <c r="AY29" s="55">
        <f>IFERROR(__xludf.DUMMYFUNCTION("IMPORTRANGE(""1qTONJRlBa-WVOcjo_gO-Pc4UYQPCdFt2w4TVrB12iZM"",""2025-26!Y4"")"),1970000.0)</f>
        <v>1970000</v>
      </c>
      <c r="AZ29" s="55">
        <f>IFERROR(__xludf.DUMMYFUNCTION("IMPORTRANGE(""1qTONJRlBa-WVOcjo_gO-Pc4UYQPCdFt2w4TVrB12iZM"",""2025-26!Y3"")"),27.0)</f>
        <v>27</v>
      </c>
      <c r="BA29" s="55">
        <f>IFERROR(__xludf.DUMMYFUNCTION("IMPORTRANGE(""1qTONJRlBa-WVOcjo_gO-Pc4UYQPCdFt2w4TVrB12iZM"",""2025-26!Z4"")"),1247440.7999999998)</f>
        <v>1247440.8</v>
      </c>
      <c r="BB29" s="55">
        <f>IFERROR(__xludf.DUMMYFUNCTION("IMPORTRANGE(""1qTONJRlBa-WVOcjo_gO-Pc4UYQPCdFt2w4TVrB12iZM"",""2025-26!Z3"")"),14.0)</f>
        <v>14</v>
      </c>
      <c r="BC29" s="59">
        <f t="shared" si="23"/>
        <v>0.6030167513</v>
      </c>
      <c r="BD29" s="55">
        <f>IFERROR(__xludf.DUMMYFUNCTION("IMPORTRANGE(""1qTONJRlBa-WVOcjo_gO-Pc4UYQPCdFt2w4TVrB12iZM"",""2025-26!AA4"")"),1187943.0)</f>
        <v>1187943</v>
      </c>
      <c r="BE29" s="55">
        <f>IFERROR(__xludf.DUMMYFUNCTION("IMPORTRANGE(""1qTONJRlBa-WVOcjo_gO-Pc4UYQPCdFt2w4TVrB12iZM"",""2025-26!AA3"")"),14.0)</f>
        <v>14</v>
      </c>
      <c r="BF29" s="55">
        <f>IFERROR(__xludf.DUMMYFUNCTION("IMPORTRANGE(""1qTONJRlBa-WVOcjo_gO-Pc4UYQPCdFt2w4TVrB12iZM"",""2025-26!AB4"")"),2000000.0)</f>
        <v>2000000</v>
      </c>
      <c r="BG29" s="55">
        <f>IFERROR(__xludf.DUMMYFUNCTION("IMPORTRANGE(""1qTONJRlBa-WVOcjo_gO-Pc4UYQPCdFt2w4TVrB12iZM"",""2025-26!AB3"")"),27.0)</f>
        <v>27</v>
      </c>
      <c r="BH29" s="55">
        <f>IFERROR(__xludf.DUMMYFUNCTION("IMPORTRANGE(""1qTONJRlBa-WVOcjo_gO-Pc4UYQPCdFt2w4TVrB12iZM"",""2025-26!AC4"")"),766428.799999999)</f>
        <v>766428.8</v>
      </c>
      <c r="BI29" s="55">
        <f>IFERROR(__xludf.DUMMYFUNCTION("IMPORTRANGE(""1qTONJRlBa-WVOcjo_gO-Pc4UYQPCdFt2w4TVrB12iZM"",""2025-26!AC3"")"),10.0)</f>
        <v>10</v>
      </c>
      <c r="BJ29" s="59">
        <f t="shared" si="24"/>
        <v>0.3760915</v>
      </c>
      <c r="BK29" s="55">
        <f>IFERROR(__xludf.DUMMYFUNCTION("IMPORTRANGE(""1qTONJRlBa-WVOcjo_gO-Pc4UYQPCdFt2w4TVrB12iZM"",""2025-26!AD4"")"),752183.0)</f>
        <v>752183</v>
      </c>
      <c r="BL29" s="55">
        <f>IFERROR(__xludf.DUMMYFUNCTION("IMPORTRANGE(""1qTONJRlBa-WVOcjo_gO-Pc4UYQPCdFt2w4TVrB12iZM"",""2025-26!AD3"")"),10.0)</f>
        <v>10</v>
      </c>
      <c r="BM29" s="55">
        <f>IFERROR(__xludf.DUMMYFUNCTION("IMPORTRANGE(""1qTONJRlBa-WVOcjo_gO-Pc4UYQPCdFt2w4TVrB12iZM"",""2025-26!AE4"")"),2000000.0)</f>
        <v>2000000</v>
      </c>
      <c r="BN29" s="55">
        <f>IFERROR(__xludf.DUMMYFUNCTION("IMPORTRANGE(""1qTONJRlBa-WVOcjo_gO-Pc4UYQPCdFt2w4TVrB12iZM"",""2025-26!AE3"")"),27.0)</f>
        <v>27</v>
      </c>
      <c r="BO29" s="55">
        <f>IFERROR(__xludf.DUMMYFUNCTION("IMPORTRANGE(""1qTONJRlBa-WVOcjo_gO-Pc4UYQPCdFt2w4TVrB12iZM"",""2025-26!AF4"")"),1026874.5)</f>
        <v>1026874.5</v>
      </c>
      <c r="BP29" s="55">
        <f>IFERROR(__xludf.DUMMYFUNCTION("IMPORTRANGE(""1qTONJRlBa-WVOcjo_gO-Pc4UYQPCdFt2w4TVrB12iZM"",""2025-26!AF3"")"),14.0)</f>
        <v>14</v>
      </c>
      <c r="BQ29" s="59">
        <f t="shared" si="25"/>
        <v>0.4548345</v>
      </c>
      <c r="BR29" s="55">
        <f>IFERROR(__xludf.DUMMYFUNCTION("IMPORTRANGE(""1qTONJRlBa-WVOcjo_gO-Pc4UYQPCdFt2w4TVrB12iZM"",""2025-26!AG4"")"),909669.0)</f>
        <v>909669</v>
      </c>
      <c r="BS29" s="55">
        <f>IFERROR(__xludf.DUMMYFUNCTION("IMPORTRANGE(""1qTONJRlBa-WVOcjo_gO-Pc4UYQPCdFt2w4TVrB12iZM"",""2025-26!AG3"")"),12.0)</f>
        <v>12</v>
      </c>
      <c r="BT29" s="55">
        <f>IFERROR(__xludf.DUMMYFUNCTION("IMPORTRANGE(""1qTONJRlBa-WVOcjo_gO-Pc4UYQPCdFt2w4TVrB12iZM"",""2025-26!AH4"")"),2200000.0)</f>
        <v>2200000</v>
      </c>
      <c r="BU29" s="55">
        <f>IFERROR(__xludf.DUMMYFUNCTION("IMPORTRANGE(""1qTONJRlBa-WVOcjo_gO-Pc4UYQPCdFt2w4TVrB12iZM"",""2025-26!AH3"")"),29.0)</f>
        <v>29</v>
      </c>
      <c r="BV29" s="55">
        <f>IFERROR(__xludf.DUMMYFUNCTION("IMPORTRANGE(""1qTONJRlBa-WVOcjo_gO-Pc4UYQPCdFt2w4TVrB12iZM"",""2025-26!AI4"")"),866737.26)</f>
        <v>866737.26</v>
      </c>
      <c r="BW29" s="55">
        <f>IFERROR(__xludf.DUMMYFUNCTION("IMPORTRANGE(""1qTONJRlBa-WVOcjo_gO-Pc4UYQPCdFt2w4TVrB12iZM"",""2025-26!AI3"")"),13.0)</f>
        <v>13</v>
      </c>
      <c r="BX29" s="59">
        <f t="shared" si="26"/>
        <v>0.4189890909</v>
      </c>
      <c r="BY29" s="55">
        <f>IFERROR(__xludf.DUMMYFUNCTION("IMPORTRANGE(""1qTONJRlBa-WVOcjo_gO-Pc4UYQPCdFt2w4TVrB12iZM"",""2025-26!AJ4"")"),921776.0)</f>
        <v>921776</v>
      </c>
      <c r="BZ29" s="55">
        <f>IFERROR(__xludf.DUMMYFUNCTION("IMPORTRANGE(""1qTONJRlBa-WVOcjo_gO-Pc4UYQPCdFt2w4TVrB12iZM"",""2025-26!AJ3"")"),14.0)</f>
        <v>14</v>
      </c>
      <c r="CA29" s="55">
        <f>IFERROR(__xludf.DUMMYFUNCTION("IMPORTRANGE(""1qTONJRlBa-WVOcjo_gO-Pc4UYQPCdFt2w4TVrB12iZM"",""2025-26!AK4"")"),2000000.0)</f>
        <v>2000000</v>
      </c>
      <c r="CB29" s="55">
        <f>IFERROR(__xludf.DUMMYFUNCTION("IMPORTRANGE(""1qTONJRlBa-WVOcjo_gO-Pc4UYQPCdFt2w4TVrB12iZM"",""2025-26!AK3"")"),18.0)</f>
        <v>18</v>
      </c>
      <c r="CC29" s="55">
        <f>IFERROR(__xludf.DUMMYFUNCTION("IMPORTRANGE(""1qTONJRlBa-WVOcjo_gO-Pc4UYQPCdFt2w4TVrB12iZM"",""2025-26!AL4"")"),729792.1100000001)</f>
        <v>729792.11</v>
      </c>
      <c r="CD29" s="55">
        <f>IFERROR(__xludf.DUMMYFUNCTION("IMPORTRANGE(""1qTONJRlBa-WVOcjo_gO-Pc4UYQPCdFt2w4TVrB12iZM"",""2025-26!AL3"")"),10.0)</f>
        <v>10</v>
      </c>
      <c r="CE29" s="59">
        <f t="shared" si="27"/>
        <v>0.3487595</v>
      </c>
      <c r="CF29" s="55">
        <f>IFERROR(__xludf.DUMMYFUNCTION("IMPORTRANGE(""1qTONJRlBa-WVOcjo_gO-Pc4UYQPCdFt2w4TVrB12iZM"",""2025-26!AM4"")"),697519.0)</f>
        <v>697519</v>
      </c>
      <c r="CG29" s="55">
        <f>IFERROR(__xludf.DUMMYFUNCTION("IMPORTRANGE(""1qTONJRlBa-WVOcjo_gO-Pc4UYQPCdFt2w4TVrB12iZM"",""2025-26!AM3"")"),9.0)</f>
        <v>9</v>
      </c>
      <c r="CH29" s="55">
        <f>IFERROR(__xludf.DUMMYFUNCTION("IMPORTRANGE(""1qTONJRlBa-WVOcjo_gO-Pc4UYQPCdFt2w4TVrB12iZM"",""2025-26!AN4"")"),2000000.0)</f>
        <v>2000000</v>
      </c>
      <c r="CI29" s="55">
        <f>IFERROR(__xludf.DUMMYFUNCTION("IMPORTRANGE(""1qTONJRlBa-WVOcjo_gO-Pc4UYQPCdFt2w4TVrB12iZM"",""2025-26!AN3"")"),23.0)</f>
        <v>23</v>
      </c>
      <c r="CJ29" s="55">
        <f>IFERROR(__xludf.DUMMYFUNCTION("IMPORTRANGE(""1qTONJRlBa-WVOcjo_gO-Pc4UYQPCdFt2w4TVrB12iZM"",""2025-26!AO4"")"),176556.0)</f>
        <v>176556</v>
      </c>
      <c r="CK29" s="55">
        <f>IFERROR(__xludf.DUMMYFUNCTION("IMPORTRANGE(""1qTONJRlBa-WVOcjo_gO-Pc4UYQPCdFt2w4TVrB12iZM"",""2025-26!AO3"")"),3.0)</f>
        <v>3</v>
      </c>
      <c r="CL29" s="59">
        <f t="shared" si="28"/>
        <v>0.0888705</v>
      </c>
      <c r="CM29" s="55">
        <f>IFERROR(__xludf.DUMMYFUNCTION("IMPORTRANGE(""1qTONJRlBa-WVOcjo_gO-Pc4UYQPCdFt2w4TVrB12iZM"",""2025-26!AP4"")"),177741.0)</f>
        <v>177741</v>
      </c>
      <c r="CN29" s="55">
        <f>IFERROR(__xludf.DUMMYFUNCTION("IMPORTRANGE(""1qTONJRlBa-WVOcjo_gO-Pc4UYQPCdFt2w4TVrB12iZM"",""2025-26!AP3"")"),3.0)</f>
        <v>3</v>
      </c>
      <c r="CO29" s="55">
        <f>IFERROR(__xludf.DUMMYFUNCTION("IMPORTRANGE(""1qTONJRlBa-WVOcjo_gO-Pc4UYQPCdFt2w4TVrB12iZM"",""2025-26!AQ4"")"),2000000.0)</f>
        <v>2000000</v>
      </c>
      <c r="CP29" s="55">
        <f>IFERROR(__xludf.DUMMYFUNCTION("IMPORTRANGE(""1qTONJRlBa-WVOcjo_gO-Pc4UYQPCdFt2w4TVrB12iZM"",""2025-26!AQ3"")"),18.0)</f>
        <v>18</v>
      </c>
      <c r="CQ29" s="55">
        <f>IFERROR(__xludf.DUMMYFUNCTION("IMPORTRANGE(""1qTONJRlBa-WVOcjo_gO-Pc4UYQPCdFt2w4TVrB12iZM"",""2025-26!AR4"")"),395985.11)</f>
        <v>395985.11</v>
      </c>
      <c r="CR29" s="55">
        <f>IFERROR(__xludf.DUMMYFUNCTION("IMPORTRANGE(""1qTONJRlBa-WVOcjo_gO-Pc4UYQPCdFt2w4TVrB12iZM"",""2025-26!AR3"")"),4.0)</f>
        <v>4</v>
      </c>
      <c r="CS29" s="59">
        <f t="shared" si="29"/>
        <v>0.191969</v>
      </c>
      <c r="CT29" s="55">
        <f>IFERROR(__xludf.DUMMYFUNCTION("IMPORTRANGE(""1qTONJRlBa-WVOcjo_gO-Pc4UYQPCdFt2w4TVrB12iZM"",""2025-26!AS4"")"),383938.0)</f>
        <v>383938</v>
      </c>
      <c r="CU29" s="55">
        <f>IFERROR(__xludf.DUMMYFUNCTION("IMPORTRANGE(""1qTONJRlBa-WVOcjo_gO-Pc4UYQPCdFt2w4TVrB12iZM"",""2025-26!AS3"")"),4.0)</f>
        <v>4</v>
      </c>
      <c r="CV29" s="60" t="s">
        <v>76</v>
      </c>
    </row>
    <row r="30">
      <c r="A30" s="1" t="s">
        <v>73</v>
      </c>
      <c r="B30" s="37"/>
      <c r="C30" s="64" t="s">
        <v>79</v>
      </c>
      <c r="D30" s="87" t="s">
        <v>80</v>
      </c>
      <c r="E30" s="50">
        <v>7.006676793E9</v>
      </c>
      <c r="F30" s="51">
        <v>45208.0</v>
      </c>
      <c r="G30" s="86"/>
      <c r="H30" s="86"/>
      <c r="I30" s="53">
        <f>VLOOKUP($C30,Data!$C:$BV,72,0)</f>
        <v>24226</v>
      </c>
      <c r="J30" s="54">
        <f>1000000+166667</f>
        <v>1166667</v>
      </c>
      <c r="K30" s="55">
        <f>IFERROR(__xludf.DUMMYFUNCTION("IMPORTRANGE(""1YMf8VfbkH6lTtQQ7aEH-rvtJbFw__osbRSbSExrslWo"",""2025-26!A3"")"),29.0)</f>
        <v>29</v>
      </c>
      <c r="L30" s="55">
        <f>IFERROR(__xludf.DUMMYFUNCTION("IMPORTRANGE(""1YMf8VfbkH6lTtQQ7aEH-rvtJbFw__osbRSbSExrslWo"",""2025-26!G4"")"),6170000.0)</f>
        <v>6170000</v>
      </c>
      <c r="M30" s="55">
        <f t="shared" si="41"/>
        <v>3051120.44</v>
      </c>
      <c r="N30" s="56">
        <f t="shared" si="42"/>
        <v>0.4818970827</v>
      </c>
      <c r="O30" s="57">
        <f t="shared" si="43"/>
        <v>2973305</v>
      </c>
      <c r="P30" s="55">
        <f>IFERROR(__xludf.DUMMYFUNCTION("IMPORTRANGE(""1YMf8VfbkH6lTtQQ7aEH-rvtJbFw__osbRSbSExrslWo"",""2025-26!J4"")"),434582.6)</f>
        <v>434582.6</v>
      </c>
      <c r="Q30" s="55">
        <f>IFERROR(__xludf.DUMMYFUNCTION("IMPORTRANGE(""1YMf8VfbkH6lTtQQ7aEH-rvtJbFw__osbRSbSExrslWo"",""2025-26!J3"")"),21.0)</f>
        <v>21</v>
      </c>
      <c r="R30" s="55">
        <f>IFERROR(__xludf.DUMMYFUNCTION("IMPORTRANGE(""1YMf8VfbkH6lTtQQ7aEH-rvtJbFw__osbRSbSExrslWo"",""2025-26!K4"")"),149806.5)</f>
        <v>149806.5</v>
      </c>
      <c r="S30" s="55">
        <f>IFERROR(__xludf.DUMMYFUNCTION("IMPORTRANGE(""1YMf8VfbkH6lTtQQ7aEH-rvtJbFw__osbRSbSExrslWo"",""2025-26!K3"")"),2.0)</f>
        <v>2</v>
      </c>
      <c r="T30" s="58">
        <f t="shared" si="18"/>
        <v>0.3447146756</v>
      </c>
      <c r="U30" s="55">
        <f>IFERROR(__xludf.DUMMYFUNCTION("IMPORTRANGE(""1YMf8VfbkH6lTtQQ7aEH-rvtJbFw__osbRSbSExrslWo"",""2025-26!L4"")"),149807.0)</f>
        <v>149807</v>
      </c>
      <c r="V30" s="55">
        <f>IFERROR(__xludf.DUMMYFUNCTION("IMPORTRANGE(""1YMf8VfbkH6lTtQQ7aEH-rvtJbFw__osbRSbSExrslWo"",""2025-26!L3"")"),2.0)</f>
        <v>2</v>
      </c>
      <c r="W30" s="55">
        <f>IFERROR(__xludf.DUMMYFUNCTION("IMPORTRANGE(""1YMf8VfbkH6lTtQQ7aEH-rvtJbFw__osbRSbSExrslWo"",""2025-26!m4"")"),434582.6)</f>
        <v>434582.6</v>
      </c>
      <c r="X30" s="55">
        <f>IFERROR(__xludf.DUMMYFUNCTION("IMPORTRANGE(""1YMf8VfbkH6lTtQQ7aEH-rvtJbFw__osbRSbSExrslWo"",""2025-26!m3"")"),21.0)</f>
        <v>21</v>
      </c>
      <c r="Y30" s="55">
        <f>IFERROR(__xludf.DUMMYFUNCTION("IMPORTRANGE(""1YMf8VfbkH6lTtQQ7aEH-rvtJbFw__osbRSbSExrslWo"",""2025-26!N4"")"),307235.5)</f>
        <v>307235.5</v>
      </c>
      <c r="Z30" s="55">
        <f>IFERROR(__xludf.DUMMYFUNCTION("IMPORTRANGE(""1YMf8VfbkH6lTtQQ7aEH-rvtJbFw__osbRSbSExrslWo"",""2025-26!N3"")"),2.0)</f>
        <v>2</v>
      </c>
      <c r="AA30" s="58">
        <f t="shared" si="19"/>
        <v>0.02831682631</v>
      </c>
      <c r="AB30" s="55">
        <f>IFERROR(__xludf.DUMMYFUNCTION("IMPORTRANGE(""1YMf8VfbkH6lTtQQ7aEH-rvtJbFw__osbRSbSExrslWo"",""2025-26!O4"")"),12306.0)</f>
        <v>12306</v>
      </c>
      <c r="AC30" s="55">
        <f>IFERROR(__xludf.DUMMYFUNCTION("IMPORTRANGE(""1YMf8VfbkH6lTtQQ7aEH-rvtJbFw__osbRSbSExrslWo"",""2025-26!O3"")"),1.0)</f>
        <v>1</v>
      </c>
      <c r="AD30" s="55">
        <f>IFERROR(__xludf.DUMMYFUNCTION("IMPORTRANGE(""1YMf8VfbkH6lTtQQ7aEH-rvtJbFw__osbRSbSExrslWo"",""2025-26!P4"")"),434582.6)</f>
        <v>434582.6</v>
      </c>
      <c r="AE30" s="55">
        <f>IFERROR(__xludf.DUMMYFUNCTION("IMPORTRANGE(""1YMf8VfbkH6lTtQQ7aEH-rvtJbFw__osbRSbSExrslWo"",""2025-26!P3"")"),21.0)</f>
        <v>21</v>
      </c>
      <c r="AF30" s="55">
        <f>IFERROR(__xludf.DUMMYFUNCTION("IMPORTRANGE(""1YMf8VfbkH6lTtQQ7aEH-rvtJbFw__osbRSbSExrslWo"",""2025-26!Q4"")"),16660.35)</f>
        <v>16660.35</v>
      </c>
      <c r="AG30" s="55">
        <f>IFERROR(__xludf.DUMMYFUNCTION("IMPORTRANGE(""1YMf8VfbkH6lTtQQ7aEH-rvtJbFw__osbRSbSExrslWo"",""2025-26!Q3"")"),1.0)</f>
        <v>1</v>
      </c>
      <c r="AH30" s="58">
        <f t="shared" si="20"/>
        <v>0.03833563516</v>
      </c>
      <c r="AI30" s="55">
        <f>IFERROR(__xludf.DUMMYFUNCTION("IMPORTRANGE(""1YMf8VfbkH6lTtQQ7aEH-rvtJbFw__osbRSbSExrslWo"",""2025-26!R4"")"),16660.0)</f>
        <v>16660</v>
      </c>
      <c r="AJ30" s="55">
        <f>IFERROR(__xludf.DUMMYFUNCTION("IMPORTRANGE(""1YMf8VfbkH6lTtQQ7aEH-rvtJbFw__osbRSbSExrslWo"",""2025-26!R3"")"),1.0)</f>
        <v>1</v>
      </c>
      <c r="AK30" s="55">
        <f>IFERROR(__xludf.DUMMYFUNCTION("IMPORTRANGE(""1YMf8VfbkH6lTtQQ7aEH-rvtJbFw__osbRSbSExrslWo"",""2025-26!S4"")"),491000.0)</f>
        <v>491000</v>
      </c>
      <c r="AL30" s="55">
        <f>IFERROR(__xludf.DUMMYFUNCTION("IMPORTRANGE(""1YMf8VfbkH6lTtQQ7aEH-rvtJbFw__osbRSbSExrslWo"",""2025-26!S3"")"),21.0)</f>
        <v>21</v>
      </c>
      <c r="AM30" s="55">
        <f>IFERROR(__xludf.DUMMYFUNCTION("IMPORTRANGE(""1YMf8VfbkH6lTtQQ7aEH-rvtJbFw__osbRSbSExrslWo"",""2025-26!T4"")"),126287.56)</f>
        <v>126287.56</v>
      </c>
      <c r="AN30" s="55">
        <f>IFERROR(__xludf.DUMMYFUNCTION("IMPORTRANGE(""1YMf8VfbkH6lTtQQ7aEH-rvtJbFw__osbRSbSExrslWo"",""2025-26!T3"")"),7.0)</f>
        <v>7</v>
      </c>
      <c r="AO30" s="58">
        <f t="shared" si="21"/>
        <v>0.3451873727</v>
      </c>
      <c r="AP30" s="55">
        <f>IFERROR(__xludf.DUMMYFUNCTION("IMPORTRANGE(""1YMf8VfbkH6lTtQQ7aEH-rvtJbFw__osbRSbSExrslWo"",""2025-26!U4"")"),169487.0)</f>
        <v>169487</v>
      </c>
      <c r="AQ30" s="55">
        <f>IFERROR(__xludf.DUMMYFUNCTION("IMPORTRANGE(""1YMf8VfbkH6lTtQQ7aEH-rvtJbFw__osbRSbSExrslWo"",""2025-26!U3"")"),7.0)</f>
        <v>7</v>
      </c>
      <c r="AR30" s="55">
        <f>IFERROR(__xludf.DUMMYFUNCTION("IMPORTRANGE(""1YMf8VfbkH6lTtQQ7aEH-rvtJbFw__osbRSbSExrslWo"",""2025-26!V4"")"),381500.0)</f>
        <v>381500</v>
      </c>
      <c r="AS30" s="55">
        <f>IFERROR(__xludf.DUMMYFUNCTION("IMPORTRANGE(""1YMf8VfbkH6lTtQQ7aEH-rvtJbFw__osbRSbSExrslWo"",""2025-26!V3"")"),21.0)</f>
        <v>21</v>
      </c>
      <c r="AT30" s="55">
        <f>IFERROR(__xludf.DUMMYFUNCTION("IMPORTRANGE(""1YMf8VfbkH6lTtQQ7aEH-rvtJbFw__osbRSbSExrslWo"",""2025-26!W4"")"),52222.25)</f>
        <v>52222.25</v>
      </c>
      <c r="AU30" s="55">
        <f>IFERROR(__xludf.DUMMYFUNCTION("IMPORTRANGE(""1YMf8VfbkH6lTtQQ7aEH-rvtJbFw__osbRSbSExrslWo"",""2025-26!W3"")"),2.0)</f>
        <v>2</v>
      </c>
      <c r="AV30" s="58">
        <f t="shared" si="22"/>
        <v>0.5540891219</v>
      </c>
      <c r="AW30" s="55">
        <f>IFERROR(__xludf.DUMMYFUNCTION("IMPORTRANGE(""1YMf8VfbkH6lTtQQ7aEH-rvtJbFw__osbRSbSExrslWo"",""2025-26!X4"")"),211385.0)</f>
        <v>211385</v>
      </c>
      <c r="AX30" s="55">
        <f>IFERROR(__xludf.DUMMYFUNCTION("IMPORTRANGE(""1YMf8VfbkH6lTtQQ7aEH-rvtJbFw__osbRSbSExrslWo"",""2025-26!X3"")"),5.0)</f>
        <v>5</v>
      </c>
      <c r="AY30" s="55">
        <f>IFERROR(__xludf.DUMMYFUNCTION("IMPORTRANGE(""1YMf8VfbkH6lTtQQ7aEH-rvtJbFw__osbRSbSExrslWo"",""2025-26!Y4"")"),431249.0)</f>
        <v>431249</v>
      </c>
      <c r="AZ30" s="55">
        <f>IFERROR(__xludf.DUMMYFUNCTION("IMPORTRANGE(""1YMf8VfbkH6lTtQQ7aEH-rvtJbFw__osbRSbSExrslWo"",""2025-26!Y3"")"),21.0)</f>
        <v>21</v>
      </c>
      <c r="BA30" s="55">
        <f>IFERROR(__xludf.DUMMYFUNCTION("IMPORTRANGE(""1YMf8VfbkH6lTtQQ7aEH-rvtJbFw__osbRSbSExrslWo"",""2025-26!Z4"")"),352935.21)</f>
        <v>352935.21</v>
      </c>
      <c r="BB30" s="55">
        <f>IFERROR(__xludf.DUMMYFUNCTION("IMPORTRANGE(""1YMf8VfbkH6lTtQQ7aEH-rvtJbFw__osbRSbSExrslWo"",""2025-26!Z3"")"),5.0)</f>
        <v>5</v>
      </c>
      <c r="BC30" s="59">
        <f t="shared" si="23"/>
        <v>0.7303924183</v>
      </c>
      <c r="BD30" s="55">
        <f>IFERROR(__xludf.DUMMYFUNCTION("IMPORTRANGE(""1YMf8VfbkH6lTtQQ7aEH-rvtJbFw__osbRSbSExrslWo"",""2025-26!AA4"")"),314981.0)</f>
        <v>314981</v>
      </c>
      <c r="BE30" s="55">
        <f>IFERROR(__xludf.DUMMYFUNCTION("IMPORTRANGE(""1YMf8VfbkH6lTtQQ7aEH-rvtJbFw__osbRSbSExrslWo"",""2025-26!AA3"")"),5.0)</f>
        <v>5</v>
      </c>
      <c r="BF30" s="55">
        <f>IFERROR(__xludf.DUMMYFUNCTION("IMPORTRANGE(""1YMf8VfbkH6lTtQQ7aEH-rvtJbFw__osbRSbSExrslWo"",""2025-26!AB4"")"),109166.0)</f>
        <v>109166</v>
      </c>
      <c r="BG30" s="55">
        <f>IFERROR(__xludf.DUMMYFUNCTION("IMPORTRANGE(""1YMf8VfbkH6lTtQQ7aEH-rvtJbFw__osbRSbSExrslWo"",""2025-26!AB3"")"),22.0)</f>
        <v>22</v>
      </c>
      <c r="BH30" s="55">
        <f>IFERROR(__xludf.DUMMYFUNCTION("IMPORTRANGE(""1YMf8VfbkH6lTtQQ7aEH-rvtJbFw__osbRSbSExrslWo"",""2025-26!AC4"")"),272893.73)</f>
        <v>272893.73</v>
      </c>
      <c r="BI30" s="55">
        <f>IFERROR(__xludf.DUMMYFUNCTION("IMPORTRANGE(""1YMf8VfbkH6lTtQQ7aEH-rvtJbFw__osbRSbSExrslWo"",""2025-26!AC3"")"),6.0)</f>
        <v>6</v>
      </c>
      <c r="BJ30" s="59">
        <f t="shared" si="24"/>
        <v>2.499807632</v>
      </c>
      <c r="BK30" s="55">
        <f>IFERROR(__xludf.DUMMYFUNCTION("IMPORTRANGE(""1YMf8VfbkH6lTtQQ7aEH-rvtJbFw__osbRSbSExrslWo"",""2025-26!AD4"")"),272894.0)</f>
        <v>272894</v>
      </c>
      <c r="BL30" s="55">
        <f>IFERROR(__xludf.DUMMYFUNCTION("IMPORTRANGE(""1YMf8VfbkH6lTtQQ7aEH-rvtJbFw__osbRSbSExrslWo"",""2025-26!AD3"")"),6.0)</f>
        <v>6</v>
      </c>
      <c r="BM30" s="55">
        <f>IFERROR(__xludf.DUMMYFUNCTION("IMPORTRANGE(""1YMf8VfbkH6lTtQQ7aEH-rvtJbFw__osbRSbSExrslWo"",""2025-26!AE4"")"),104416.0)</f>
        <v>104416</v>
      </c>
      <c r="BN30" s="55">
        <f>IFERROR(__xludf.DUMMYFUNCTION("IMPORTRANGE(""1YMf8VfbkH6lTtQQ7aEH-rvtJbFw__osbRSbSExrslWo"",""2025-26!AE3"")"),22.0)</f>
        <v>22</v>
      </c>
      <c r="BO30" s="55">
        <f>IFERROR(__xludf.DUMMYFUNCTION("IMPORTRANGE(""1YMf8VfbkH6lTtQQ7aEH-rvtJbFw__osbRSbSExrslWo"",""2025-26!AF4"")"),164927.5)</f>
        <v>164927.5</v>
      </c>
      <c r="BP30" s="55">
        <f>IFERROR(__xludf.DUMMYFUNCTION("IMPORTRANGE(""1YMf8VfbkH6lTtQQ7aEH-rvtJbFw__osbRSbSExrslWo"",""2025-26!AF3"")"),4.0)</f>
        <v>4</v>
      </c>
      <c r="BQ30" s="59">
        <f t="shared" si="25"/>
        <v>1.579518465</v>
      </c>
      <c r="BR30" s="55">
        <f>IFERROR(__xludf.DUMMYFUNCTION("IMPORTRANGE(""1YMf8VfbkH6lTtQQ7aEH-rvtJbFw__osbRSbSExrslWo"",""2025-26!AG4"")"),164927.0)</f>
        <v>164927</v>
      </c>
      <c r="BS30" s="55">
        <f>IFERROR(__xludf.DUMMYFUNCTION("IMPORTRANGE(""1YMf8VfbkH6lTtQQ7aEH-rvtJbFw__osbRSbSExrslWo"",""2025-26!AG3"")"),4.0)</f>
        <v>4</v>
      </c>
      <c r="BT30" s="55">
        <f>IFERROR(__xludf.DUMMYFUNCTION("IMPORTRANGE(""1YMf8VfbkH6lTtQQ7aEH-rvtJbFw__osbRSbSExrslWo"",""2025-26!AH4"")"),173410.0)</f>
        <v>173410</v>
      </c>
      <c r="BU30" s="55">
        <f>IFERROR(__xludf.DUMMYFUNCTION("IMPORTRANGE(""1YMf8VfbkH6lTtQQ7aEH-rvtJbFw__osbRSbSExrslWo"",""2025-26!AH3"")"),26.0)</f>
        <v>26</v>
      </c>
      <c r="BV30" s="55">
        <f>IFERROR(__xludf.DUMMYFUNCTION("IMPORTRANGE(""1YMf8VfbkH6lTtQQ7aEH-rvtJbFw__osbRSbSExrslWo"",""2025-26!AI4"")"),514874.27999999997)</f>
        <v>514874.28</v>
      </c>
      <c r="BW30" s="55">
        <f>IFERROR(__xludf.DUMMYFUNCTION("IMPORTRANGE(""1YMf8VfbkH6lTtQQ7aEH-rvtJbFw__osbRSbSExrslWo"",""2025-26!AI3"")"),6.0)</f>
        <v>6</v>
      </c>
      <c r="BX30" s="59">
        <f t="shared" si="26"/>
        <v>2.969638429</v>
      </c>
      <c r="BY30" s="55">
        <f>IFERROR(__xludf.DUMMYFUNCTION("IMPORTRANGE(""1YMf8VfbkH6lTtQQ7aEH-rvtJbFw__osbRSbSExrslWo"",""2025-26!AJ4"")"),514965.0)</f>
        <v>514965</v>
      </c>
      <c r="BZ30" s="55">
        <f>IFERROR(__xludf.DUMMYFUNCTION("IMPORTRANGE(""1YMf8VfbkH6lTtQQ7aEH-rvtJbFw__osbRSbSExrslWo"",""2025-26!AJ3"")"),6.0)</f>
        <v>6</v>
      </c>
      <c r="CA30" s="55">
        <f>IFERROR(__xludf.DUMMYFUNCTION("IMPORTRANGE(""1YMf8VfbkH6lTtQQ7aEH-rvtJbFw__osbRSbSExrslWo"",""2025-26!AK4"")"),172500.0)</f>
        <v>172500</v>
      </c>
      <c r="CB30" s="55">
        <f>IFERROR(__xludf.DUMMYFUNCTION("IMPORTRANGE(""1YMf8VfbkH6lTtQQ7aEH-rvtJbFw__osbRSbSExrslWo"",""2025-26!AK3"")"),26.0)</f>
        <v>26</v>
      </c>
      <c r="CC30" s="55">
        <f>IFERROR(__xludf.DUMMYFUNCTION("IMPORTRANGE(""1YMf8VfbkH6lTtQQ7aEH-rvtJbFw__osbRSbSExrslWo"",""2025-26!AL4"")"),313611.55)</f>
        <v>313611.55</v>
      </c>
      <c r="CD30" s="55">
        <f>IFERROR(__xludf.DUMMYFUNCTION("IMPORTRANGE(""1YMf8VfbkH6lTtQQ7aEH-rvtJbFw__osbRSbSExrslWo"",""2025-26!AL3"")"),5.0)</f>
        <v>5</v>
      </c>
      <c r="CE30" s="59">
        <f t="shared" si="27"/>
        <v>1.81804058</v>
      </c>
      <c r="CF30" s="55">
        <f>IFERROR(__xludf.DUMMYFUNCTION("IMPORTRANGE(""1YMf8VfbkH6lTtQQ7aEH-rvtJbFw__osbRSbSExrslWo"",""2025-26!AM4"")"),313612.0)</f>
        <v>313612</v>
      </c>
      <c r="CG30" s="55">
        <f>IFERROR(__xludf.DUMMYFUNCTION("IMPORTRANGE(""1YMf8VfbkH6lTtQQ7aEH-rvtJbFw__osbRSbSExrslWo"",""2025-26!AM3"")"),5.0)</f>
        <v>5</v>
      </c>
      <c r="CH30" s="55">
        <f>IFERROR(__xludf.DUMMYFUNCTION("IMPORTRANGE(""1YMf8VfbkH6lTtQQ7aEH-rvtJbFw__osbRSbSExrslWo"",""2025-26!AN4"")"),182666.00000000003)</f>
        <v>182666</v>
      </c>
      <c r="CI30" s="55">
        <f>IFERROR(__xludf.DUMMYFUNCTION("IMPORTRANGE(""1YMf8VfbkH6lTtQQ7aEH-rvtJbFw__osbRSbSExrslWo"",""2025-26!AN3"")"),26.0)</f>
        <v>26</v>
      </c>
      <c r="CJ30" s="55">
        <f>IFERROR(__xludf.DUMMYFUNCTION("IMPORTRANGE(""1YMf8VfbkH6lTtQQ7aEH-rvtJbFw__osbRSbSExrslWo"",""2025-26!AO4"")"),91023.05)</f>
        <v>91023.05</v>
      </c>
      <c r="CK30" s="55">
        <f>IFERROR(__xludf.DUMMYFUNCTION("IMPORTRANGE(""1YMf8VfbkH6lTtQQ7aEH-rvtJbFw__osbRSbSExrslWo"",""2025-26!AO3"")"),4.0)</f>
        <v>4</v>
      </c>
      <c r="CL30" s="59">
        <f t="shared" si="28"/>
        <v>0.808946383</v>
      </c>
      <c r="CM30" s="55">
        <f>IFERROR(__xludf.DUMMYFUNCTION("IMPORTRANGE(""1YMf8VfbkH6lTtQQ7aEH-rvtJbFw__osbRSbSExrslWo"",""2025-26!AP4"")"),147767.0)</f>
        <v>147767</v>
      </c>
      <c r="CN30" s="55">
        <f>IFERROR(__xludf.DUMMYFUNCTION("IMPORTRANGE(""1YMf8VfbkH6lTtQQ7aEH-rvtJbFw__osbRSbSExrslWo"",""2025-26!AP3"")"),7.0)</f>
        <v>7</v>
      </c>
      <c r="CO30" s="55">
        <f>IFERROR(__xludf.DUMMYFUNCTION("IMPORTRANGE(""1YMf8VfbkH6lTtQQ7aEH-rvtJbFw__osbRSbSExrslWo"",""2025-26!AQ4"")"),158999.8)</f>
        <v>158999.8</v>
      </c>
      <c r="CP30" s="55">
        <f>IFERROR(__xludf.DUMMYFUNCTION("IMPORTRANGE(""1YMf8VfbkH6lTtQQ7aEH-rvtJbFw__osbRSbSExrslWo"",""2025-26!AQ3"")"),26.0)</f>
        <v>26</v>
      </c>
      <c r="CQ30" s="55">
        <f>IFERROR(__xludf.DUMMYFUNCTION("IMPORTRANGE(""1YMf8VfbkH6lTtQQ7aEH-rvtJbFw__osbRSbSExrslWo"",""2025-26!AR4"")"),688642.96)</f>
        <v>688642.96</v>
      </c>
      <c r="CR30" s="55">
        <f>IFERROR(__xludf.DUMMYFUNCTION("IMPORTRANGE(""1YMf8VfbkH6lTtQQ7aEH-rvtJbFw__osbRSbSExrslWo"",""2025-26!AR3"")"),9.0)</f>
        <v>9</v>
      </c>
      <c r="CS30" s="59">
        <f t="shared" si="29"/>
        <v>4.305124912</v>
      </c>
      <c r="CT30" s="55">
        <f>IFERROR(__xludf.DUMMYFUNCTION("IMPORTRANGE(""1YMf8VfbkH6lTtQQ7aEH-rvtJbFw__osbRSbSExrslWo"",""2025-26!AS4"")"),684514.0)</f>
        <v>684514</v>
      </c>
      <c r="CU30" s="55">
        <f>IFERROR(__xludf.DUMMYFUNCTION("IMPORTRANGE(""1YMf8VfbkH6lTtQQ7aEH-rvtJbFw__osbRSbSExrslWo"",""2025-26!AS3"")"),9.0)</f>
        <v>9</v>
      </c>
      <c r="CV30" s="60" t="s">
        <v>76</v>
      </c>
    </row>
    <row r="31">
      <c r="A31" s="1" t="s">
        <v>73</v>
      </c>
      <c r="B31" s="37"/>
      <c r="C31" s="88" t="s">
        <v>81</v>
      </c>
      <c r="D31" s="89" t="s">
        <v>82</v>
      </c>
      <c r="E31" s="68">
        <v>7.006748023E9</v>
      </c>
      <c r="F31" s="66">
        <v>45964.0</v>
      </c>
      <c r="G31" s="86"/>
      <c r="H31" s="86"/>
      <c r="I31" s="70">
        <v>27260.0</v>
      </c>
      <c r="J31" s="54">
        <v>700000.0</v>
      </c>
      <c r="K31" s="55">
        <f>IFERROR(__xludf.DUMMYFUNCTION("IMPORTRANGE(""15vuWdE3tvOWMvAItA2lx50EAGi5e91LahWnrIBHKchE"",""2025-26!A3"")"),33.0)</f>
        <v>33</v>
      </c>
      <c r="L31" s="55">
        <f>IFERROR(__xludf.DUMMYFUNCTION("IMPORTRANGE(""15vuWdE3tvOWMvAItA2lx50EAGi5e91LahWnrIBHKchE"",""2025-26!G4"")"),4230000.0)</f>
        <v>4230000</v>
      </c>
      <c r="M31" s="55">
        <f t="shared" si="41"/>
        <v>1814688.6</v>
      </c>
      <c r="N31" s="56">
        <f t="shared" si="42"/>
        <v>0.4534078014</v>
      </c>
      <c r="O31" s="57">
        <f t="shared" si="43"/>
        <v>1917915</v>
      </c>
      <c r="P31" s="55">
        <f>IFERROR(__xludf.DUMMYFUNCTION("IMPORTRANGE(""15vuWdE3tvOWMvAItA2lx50EAGi5e91LahWnrIBHKchE"",""2025-26!J4"")"),0.0)</f>
        <v>0</v>
      </c>
      <c r="Q31" s="55">
        <f>IFERROR(__xludf.DUMMYFUNCTION("IMPORTRANGE(""15vuWdE3tvOWMvAItA2lx50EAGi5e91LahWnrIBHKchE"",""2025-26!J3"")"),0.0)</f>
        <v>0</v>
      </c>
      <c r="R31" s="55">
        <f>IFERROR(__xludf.DUMMYFUNCTION("IMPORTRANGE(""15vuWdE3tvOWMvAItA2lx50EAGi5e91LahWnrIBHKchE"",""2025-26!K4"")"),0.0)</f>
        <v>0</v>
      </c>
      <c r="S31" s="55">
        <f>IFERROR(__xludf.DUMMYFUNCTION("IMPORTRANGE(""15vuWdE3tvOWMvAItA2lx50EAGi5e91LahWnrIBHKchE"",""2025-26!K3"")"),0.0)</f>
        <v>0</v>
      </c>
      <c r="T31" s="58" t="str">
        <f t="shared" si="18"/>
        <v/>
      </c>
      <c r="U31" s="55">
        <f>IFERROR(__xludf.DUMMYFUNCTION("IMPORTRANGE(""15vuWdE3tvOWMvAItA2lx50EAGi5e91LahWnrIBHKchE"",""2025-26!L4"")"),0.0)</f>
        <v>0</v>
      </c>
      <c r="V31" s="55">
        <f>IFERROR(__xludf.DUMMYFUNCTION("IMPORTRANGE(""15vuWdE3tvOWMvAItA2lx50EAGi5e91LahWnrIBHKchE"",""2025-26!L3"")"),0.0)</f>
        <v>0</v>
      </c>
      <c r="W31" s="55">
        <f>IFERROR(__xludf.DUMMYFUNCTION("IMPORTRANGE(""15vuWdE3tvOWMvAItA2lx50EAGi5e91LahWnrIBHKchE"",""2025-26!m4"")"),0.0)</f>
        <v>0</v>
      </c>
      <c r="X31" s="55">
        <f>IFERROR(__xludf.DUMMYFUNCTION("IMPORTRANGE(""15vuWdE3tvOWMvAItA2lx50EAGi5e91LahWnrIBHKchE"",""2025-26!m3"")"),0.0)</f>
        <v>0</v>
      </c>
      <c r="Y31" s="55">
        <f>IFERROR(__xludf.DUMMYFUNCTION("IMPORTRANGE(""15vuWdE3tvOWMvAItA2lx50EAGi5e91LahWnrIBHKchE"",""2025-26!N4"")"),0.0)</f>
        <v>0</v>
      </c>
      <c r="Z31" s="55">
        <f>IFERROR(__xludf.DUMMYFUNCTION("IMPORTRANGE(""15vuWdE3tvOWMvAItA2lx50EAGi5e91LahWnrIBHKchE"",""2025-26!N3"")"),0.0)</f>
        <v>0</v>
      </c>
      <c r="AA31" s="58" t="str">
        <f t="shared" si="19"/>
        <v/>
      </c>
      <c r="AB31" s="55">
        <f>IFERROR(__xludf.DUMMYFUNCTION("IMPORTRANGE(""15vuWdE3tvOWMvAItA2lx50EAGi5e91LahWnrIBHKchE"",""2025-26!O4"")"),0.0)</f>
        <v>0</v>
      </c>
      <c r="AC31" s="55">
        <f>IFERROR(__xludf.DUMMYFUNCTION("IMPORTRANGE(""15vuWdE3tvOWMvAItA2lx50EAGi5e91LahWnrIBHKchE"",""2025-26!O3"")"),0.0)</f>
        <v>0</v>
      </c>
      <c r="AD31" s="55">
        <f>IFERROR(__xludf.DUMMYFUNCTION("IMPORTRANGE(""15vuWdE3tvOWMvAItA2lx50EAGi5e91LahWnrIBHKchE"",""2025-26!P4"")"),0.0)</f>
        <v>0</v>
      </c>
      <c r="AE31" s="55">
        <f>IFERROR(__xludf.DUMMYFUNCTION("IMPORTRANGE(""15vuWdE3tvOWMvAItA2lx50EAGi5e91LahWnrIBHKchE"",""2025-26!P3"")"),0.0)</f>
        <v>0</v>
      </c>
      <c r="AF31" s="55">
        <f>IFERROR(__xludf.DUMMYFUNCTION("IMPORTRANGE(""15vuWdE3tvOWMvAItA2lx50EAGi5e91LahWnrIBHKchE"",""2025-26!Q4"")"),0.0)</f>
        <v>0</v>
      </c>
      <c r="AG31" s="55">
        <f>IFERROR(__xludf.DUMMYFUNCTION("IMPORTRANGE(""15vuWdE3tvOWMvAItA2lx50EAGi5e91LahWnrIBHKchE"",""2025-26!Q3"")"),0.0)</f>
        <v>0</v>
      </c>
      <c r="AH31" s="58" t="str">
        <f t="shared" si="20"/>
        <v/>
      </c>
      <c r="AI31" s="55">
        <f>IFERROR(__xludf.DUMMYFUNCTION("IMPORTRANGE(""15vuWdE3tvOWMvAItA2lx50EAGi5e91LahWnrIBHKchE"",""2025-26!R4"")"),0.0)</f>
        <v>0</v>
      </c>
      <c r="AJ31" s="55">
        <f>IFERROR(__xludf.DUMMYFUNCTION("IMPORTRANGE(""15vuWdE3tvOWMvAItA2lx50EAGi5e91LahWnrIBHKchE"",""2025-26!R3"")"),0.0)</f>
        <v>0</v>
      </c>
      <c r="AK31" s="55">
        <f>IFERROR(__xludf.DUMMYFUNCTION("IMPORTRANGE(""15vuWdE3tvOWMvAItA2lx50EAGi5e91LahWnrIBHKchE"",""2025-26!S4"")"),0.0)</f>
        <v>0</v>
      </c>
      <c r="AL31" s="55">
        <f>IFERROR(__xludf.DUMMYFUNCTION("IMPORTRANGE(""15vuWdE3tvOWMvAItA2lx50EAGi5e91LahWnrIBHKchE"",""2025-26!S3"")"),0.0)</f>
        <v>0</v>
      </c>
      <c r="AM31" s="55">
        <f>IFERROR(__xludf.DUMMYFUNCTION("IMPORTRANGE(""15vuWdE3tvOWMvAItA2lx50EAGi5e91LahWnrIBHKchE"",""2025-26!T4"")"),0.0)</f>
        <v>0</v>
      </c>
      <c r="AN31" s="55">
        <f>IFERROR(__xludf.DUMMYFUNCTION("IMPORTRANGE(""15vuWdE3tvOWMvAItA2lx50EAGi5e91LahWnrIBHKchE"",""2025-26!T3"")"),0.0)</f>
        <v>0</v>
      </c>
      <c r="AO31" s="58" t="str">
        <f t="shared" si="21"/>
        <v/>
      </c>
      <c r="AP31" s="55">
        <f>IFERROR(__xludf.DUMMYFUNCTION("IMPORTRANGE(""15vuWdE3tvOWMvAItA2lx50EAGi5e91LahWnrIBHKchE"",""2025-26!U4"")"),0.0)</f>
        <v>0</v>
      </c>
      <c r="AQ31" s="55">
        <f>IFERROR(__xludf.DUMMYFUNCTION("IMPORTRANGE(""15vuWdE3tvOWMvAItA2lx50EAGi5e91LahWnrIBHKchE"",""2025-26!U3"")"),0.0)</f>
        <v>0</v>
      </c>
      <c r="AR31" s="55">
        <f>IFERROR(__xludf.DUMMYFUNCTION("IMPORTRANGE(""15vuWdE3tvOWMvAItA2lx50EAGi5e91LahWnrIBHKchE"",""2025-26!V4"")"),0.0)</f>
        <v>0</v>
      </c>
      <c r="AS31" s="55">
        <f>IFERROR(__xludf.DUMMYFUNCTION("IMPORTRANGE(""15vuWdE3tvOWMvAItA2lx50EAGi5e91LahWnrIBHKchE"",""2025-26!V3"")"),0.0)</f>
        <v>0</v>
      </c>
      <c r="AT31" s="55">
        <f>IFERROR(__xludf.DUMMYFUNCTION("IMPORTRANGE(""15vuWdE3tvOWMvAItA2lx50EAGi5e91LahWnrIBHKchE"",""2025-26!W4"")"),0.0)</f>
        <v>0</v>
      </c>
      <c r="AU31" s="55">
        <f>IFERROR(__xludf.DUMMYFUNCTION("IMPORTRANGE(""15vuWdE3tvOWMvAItA2lx50EAGi5e91LahWnrIBHKchE"",""2025-26!W3"")"),0.0)</f>
        <v>0</v>
      </c>
      <c r="AV31" s="58" t="str">
        <f t="shared" si="22"/>
        <v/>
      </c>
      <c r="AW31" s="55">
        <f>IFERROR(__xludf.DUMMYFUNCTION("IMPORTRANGE(""15vuWdE3tvOWMvAItA2lx50EAGi5e91LahWnrIBHKchE"",""2025-26!X4"")"),0.0)</f>
        <v>0</v>
      </c>
      <c r="AX31" s="55">
        <f>IFERROR(__xludf.DUMMYFUNCTION("IMPORTRANGE(""15vuWdE3tvOWMvAItA2lx50EAGi5e91LahWnrIBHKchE"",""2025-26!X3"")"),0.0)</f>
        <v>0</v>
      </c>
      <c r="AY31" s="55">
        <f>IFERROR(__xludf.DUMMYFUNCTION("IMPORTRANGE(""15vuWdE3tvOWMvAItA2lx50EAGi5e91LahWnrIBHKchE"",""2025-26!Y4"")"),0.0)</f>
        <v>0</v>
      </c>
      <c r="AZ31" s="55">
        <f>IFERROR(__xludf.DUMMYFUNCTION("IMPORTRANGE(""15vuWdE3tvOWMvAItA2lx50EAGi5e91LahWnrIBHKchE"",""2025-26!Y3"")"),0.0)</f>
        <v>0</v>
      </c>
      <c r="BA31" s="55">
        <f>IFERROR(__xludf.DUMMYFUNCTION("IMPORTRANGE(""15vuWdE3tvOWMvAItA2lx50EAGi5e91LahWnrIBHKchE"",""2025-26!Z4"")"),0.0)</f>
        <v>0</v>
      </c>
      <c r="BB31" s="55">
        <f>IFERROR(__xludf.DUMMYFUNCTION("IMPORTRANGE(""15vuWdE3tvOWMvAItA2lx50EAGi5e91LahWnrIBHKchE"",""2025-26!Z3"")"),0.0)</f>
        <v>0</v>
      </c>
      <c r="BC31" s="59" t="str">
        <f t="shared" si="23"/>
        <v/>
      </c>
      <c r="BD31" s="55">
        <f>IFERROR(__xludf.DUMMYFUNCTION("IMPORTRANGE(""15vuWdE3tvOWMvAItA2lx50EAGi5e91LahWnrIBHKchE"",""2025-26!AA4"")"),0.0)</f>
        <v>0</v>
      </c>
      <c r="BE31" s="55">
        <f>IFERROR(__xludf.DUMMYFUNCTION("IMPORTRANGE(""15vuWdE3tvOWMvAItA2lx50EAGi5e91LahWnrIBHKchE"",""2025-26!AA3"")"),0.0)</f>
        <v>0</v>
      </c>
      <c r="BF31" s="55">
        <f>IFERROR(__xludf.DUMMYFUNCTION("IMPORTRANGE(""15vuWdE3tvOWMvAItA2lx50EAGi5e91LahWnrIBHKchE"",""2025-26!AB4"")"),0.0)</f>
        <v>0</v>
      </c>
      <c r="BG31" s="55">
        <f>IFERROR(__xludf.DUMMYFUNCTION("IMPORTRANGE(""15vuWdE3tvOWMvAItA2lx50EAGi5e91LahWnrIBHKchE"",""2025-26!AB3"")"),0.0)</f>
        <v>0</v>
      </c>
      <c r="BH31" s="55">
        <f>IFERROR(__xludf.DUMMYFUNCTION("IMPORTRANGE(""15vuWdE3tvOWMvAItA2lx50EAGi5e91LahWnrIBHKchE"",""2025-26!AC4"")"),0.0)</f>
        <v>0</v>
      </c>
      <c r="BI31" s="55">
        <f>IFERROR(__xludf.DUMMYFUNCTION("IMPORTRANGE(""15vuWdE3tvOWMvAItA2lx50EAGi5e91LahWnrIBHKchE"",""2025-26!AC3"")"),0.0)</f>
        <v>0</v>
      </c>
      <c r="BJ31" s="59" t="str">
        <f t="shared" si="24"/>
        <v/>
      </c>
      <c r="BK31" s="55">
        <f>IFERROR(__xludf.DUMMYFUNCTION("IMPORTRANGE(""15vuWdE3tvOWMvAItA2lx50EAGi5e91LahWnrIBHKchE"",""2025-26!AD4"")"),0.0)</f>
        <v>0</v>
      </c>
      <c r="BL31" s="55">
        <f>IFERROR(__xludf.DUMMYFUNCTION("IMPORTRANGE(""15vuWdE3tvOWMvAItA2lx50EAGi5e91LahWnrIBHKchE"",""2025-26!AD3"")"),0.0)</f>
        <v>0</v>
      </c>
      <c r="BM31" s="55">
        <f>IFERROR(__xludf.DUMMYFUNCTION("IMPORTRANGE(""15vuWdE3tvOWMvAItA2lx50EAGi5e91LahWnrIBHKchE"",""2025-26!AE4"")"),0.0)</f>
        <v>0</v>
      </c>
      <c r="BN31" s="55">
        <f>IFERROR(__xludf.DUMMYFUNCTION("IMPORTRANGE(""15vuWdE3tvOWMvAItA2lx50EAGi5e91LahWnrIBHKchE"",""2025-26!AE3"")"),0.0)</f>
        <v>0</v>
      </c>
      <c r="BO31" s="55">
        <f>IFERROR(__xludf.DUMMYFUNCTION("IMPORTRANGE(""15vuWdE3tvOWMvAItA2lx50EAGi5e91LahWnrIBHKchE"",""2025-26!AF4"")"),483951.0)</f>
        <v>483951</v>
      </c>
      <c r="BP31" s="55">
        <f>IFERROR(__xludf.DUMMYFUNCTION("IMPORTRANGE(""15vuWdE3tvOWMvAItA2lx50EAGi5e91LahWnrIBHKchE"",""2025-26!AF3"")"),10.0)</f>
        <v>10</v>
      </c>
      <c r="BQ31" s="59" t="str">
        <f t="shared" si="25"/>
        <v/>
      </c>
      <c r="BR31" s="55">
        <f>IFERROR(__xludf.DUMMYFUNCTION("IMPORTRANGE(""15vuWdE3tvOWMvAItA2lx50EAGi5e91LahWnrIBHKchE"",""2025-26!AG4"")"),560549.0)</f>
        <v>560549</v>
      </c>
      <c r="BS31" s="55">
        <f>IFERROR(__xludf.DUMMYFUNCTION("IMPORTRANGE(""15vuWdE3tvOWMvAItA2lx50EAGi5e91LahWnrIBHKchE"",""2025-26!AG3"")"),10.0)</f>
        <v>10</v>
      </c>
      <c r="BT31" s="55">
        <f>IFERROR(__xludf.DUMMYFUNCTION("IMPORTRANGE(""15vuWdE3tvOWMvAItA2lx50EAGi5e91LahWnrIBHKchE"",""2025-26!AH4"")"),1109000.0)</f>
        <v>1109000</v>
      </c>
      <c r="BU31" s="55">
        <f>IFERROR(__xludf.DUMMYFUNCTION("IMPORTRANGE(""15vuWdE3tvOWMvAItA2lx50EAGi5e91LahWnrIBHKchE"",""2025-26!AH3"")"),30.0)</f>
        <v>30</v>
      </c>
      <c r="BV31" s="55">
        <f>IFERROR(__xludf.DUMMYFUNCTION("IMPORTRANGE(""15vuWdE3tvOWMvAItA2lx50EAGi5e91LahWnrIBHKchE"",""2025-26!AI4"")"),443695.4)</f>
        <v>443695.4</v>
      </c>
      <c r="BW31" s="55">
        <f>IFERROR(__xludf.DUMMYFUNCTION("IMPORTRANGE(""15vuWdE3tvOWMvAItA2lx50EAGi5e91LahWnrIBHKchE"",""2025-26!AI3"")"),11.0)</f>
        <v>11</v>
      </c>
      <c r="BX31" s="59">
        <f t="shared" si="26"/>
        <v>0.3999395852</v>
      </c>
      <c r="BY31" s="55">
        <f>IFERROR(__xludf.DUMMYFUNCTION("IMPORTRANGE(""15vuWdE3tvOWMvAItA2lx50EAGi5e91LahWnrIBHKchE"",""2025-26!AJ4"")"),443533.0)</f>
        <v>443533</v>
      </c>
      <c r="BZ31" s="55">
        <f>IFERROR(__xludf.DUMMYFUNCTION("IMPORTRANGE(""15vuWdE3tvOWMvAItA2lx50EAGi5e91LahWnrIBHKchE"",""2025-26!AJ3"")"),11.0)</f>
        <v>11</v>
      </c>
      <c r="CA31" s="55">
        <f>IFERROR(__xludf.DUMMYFUNCTION("IMPORTRANGE(""15vuWdE3tvOWMvAItA2lx50EAGi5e91LahWnrIBHKchE"",""2025-26!AK4"")"),994000.0)</f>
        <v>994000</v>
      </c>
      <c r="CB31" s="55">
        <f>IFERROR(__xludf.DUMMYFUNCTION("IMPORTRANGE(""15vuWdE3tvOWMvAItA2lx50EAGi5e91LahWnrIBHKchE"",""2025-26!AK3"")"),30.0)</f>
        <v>30</v>
      </c>
      <c r="CC31" s="55">
        <f>IFERROR(__xludf.DUMMYFUNCTION("IMPORTRANGE(""15vuWdE3tvOWMvAItA2lx50EAGi5e91LahWnrIBHKchE"",""2025-26!AL4"")"),392464.6)</f>
        <v>392464.6</v>
      </c>
      <c r="CD31" s="55">
        <f>IFERROR(__xludf.DUMMYFUNCTION("IMPORTRANGE(""15vuWdE3tvOWMvAItA2lx50EAGi5e91LahWnrIBHKchE"",""2025-26!AL3"")"),9.0)</f>
        <v>9</v>
      </c>
      <c r="CE31" s="59">
        <f t="shared" si="27"/>
        <v>0.4151338028</v>
      </c>
      <c r="CF31" s="55">
        <f>IFERROR(__xludf.DUMMYFUNCTION("IMPORTRANGE(""15vuWdE3tvOWMvAItA2lx50EAGi5e91LahWnrIBHKchE"",""2025-26!AM4"")"),412643.0)</f>
        <v>412643</v>
      </c>
      <c r="CG31" s="55">
        <f>IFERROR(__xludf.DUMMYFUNCTION("IMPORTRANGE(""15vuWdE3tvOWMvAItA2lx50EAGi5e91LahWnrIBHKchE"",""2025-26!AM3"")"),9.0)</f>
        <v>9</v>
      </c>
      <c r="CH31" s="55">
        <f>IFERROR(__xludf.DUMMYFUNCTION("IMPORTRANGE(""15vuWdE3tvOWMvAItA2lx50EAGi5e91LahWnrIBHKchE"",""2025-26!AN4"")"),1077000.0)</f>
        <v>1077000</v>
      </c>
      <c r="CI31" s="55">
        <f>IFERROR(__xludf.DUMMYFUNCTION("IMPORTRANGE(""15vuWdE3tvOWMvAItA2lx50EAGi5e91LahWnrIBHKchE"",""2025-26!AN3"")"),30.0)</f>
        <v>30</v>
      </c>
      <c r="CJ31" s="55">
        <f>IFERROR(__xludf.DUMMYFUNCTION("IMPORTRANGE(""15vuWdE3tvOWMvAItA2lx50EAGi5e91LahWnrIBHKchE"",""2025-26!AO4"")"),136885.1)</f>
        <v>136885.1</v>
      </c>
      <c r="CK31" s="55">
        <f>IFERROR(__xludf.DUMMYFUNCTION("IMPORTRANGE(""15vuWdE3tvOWMvAItA2lx50EAGi5e91LahWnrIBHKchE"",""2025-26!AO3"")"),5.0)</f>
        <v>5</v>
      </c>
      <c r="CL31" s="59">
        <f t="shared" si="28"/>
        <v>0.1270984215</v>
      </c>
      <c r="CM31" s="55">
        <f>IFERROR(__xludf.DUMMYFUNCTION("IMPORTRANGE(""15vuWdE3tvOWMvAItA2lx50EAGi5e91LahWnrIBHKchE"",""2025-26!AP4"")"),136885.0)</f>
        <v>136885</v>
      </c>
      <c r="CN31" s="55">
        <f>IFERROR(__xludf.DUMMYFUNCTION("IMPORTRANGE(""15vuWdE3tvOWMvAItA2lx50EAGi5e91LahWnrIBHKchE"",""2025-26!AP3"")"),5.0)</f>
        <v>5</v>
      </c>
      <c r="CO31" s="55">
        <f>IFERROR(__xludf.DUMMYFUNCTION("IMPORTRANGE(""15vuWdE3tvOWMvAItA2lx50EAGi5e91LahWnrIBHKchE"",""2025-26!AQ4"")"),892000.0)</f>
        <v>892000</v>
      </c>
      <c r="CP31" s="55">
        <f>IFERROR(__xludf.DUMMYFUNCTION("IMPORTRANGE(""15vuWdE3tvOWMvAItA2lx50EAGi5e91LahWnrIBHKchE"",""2025-26!AQ3"")"),29.0)</f>
        <v>29</v>
      </c>
      <c r="CQ31" s="55">
        <f>IFERROR(__xludf.DUMMYFUNCTION("IMPORTRANGE(""15vuWdE3tvOWMvAItA2lx50EAGi5e91LahWnrIBHKchE"",""2025-26!AR4"")"),357692.5)</f>
        <v>357692.5</v>
      </c>
      <c r="CR31" s="55">
        <f>IFERROR(__xludf.DUMMYFUNCTION("IMPORTRANGE(""15vuWdE3tvOWMvAItA2lx50EAGi5e91LahWnrIBHKchE"",""2025-26!AR3"")"),4.0)</f>
        <v>4</v>
      </c>
      <c r="CS31" s="59">
        <f t="shared" si="29"/>
        <v>0.4084136771</v>
      </c>
      <c r="CT31" s="55">
        <f>IFERROR(__xludf.DUMMYFUNCTION("IMPORTRANGE(""15vuWdE3tvOWMvAItA2lx50EAGi5e91LahWnrIBHKchE"",""2025-26!AS4"")"),364305.0)</f>
        <v>364305</v>
      </c>
      <c r="CU31" s="55">
        <f>IFERROR(__xludf.DUMMYFUNCTION("IMPORTRANGE(""15vuWdE3tvOWMvAItA2lx50EAGi5e91LahWnrIBHKchE"",""2025-26!AS3"")"),4.0)</f>
        <v>4</v>
      </c>
      <c r="CV31" s="60" t="s">
        <v>76</v>
      </c>
    </row>
    <row r="32">
      <c r="A32" s="1" t="s">
        <v>73</v>
      </c>
      <c r="B32" s="43"/>
      <c r="C32" s="90" t="s">
        <v>83</v>
      </c>
      <c r="D32" s="89" t="s">
        <v>75</v>
      </c>
      <c r="E32" s="68">
        <v>8.825024366E9</v>
      </c>
      <c r="F32" s="66">
        <v>46086.0</v>
      </c>
      <c r="G32" s="86"/>
      <c r="H32" s="86"/>
      <c r="I32" s="70">
        <v>27260.0</v>
      </c>
      <c r="J32" s="54">
        <v>700000.0</v>
      </c>
      <c r="K32" s="55">
        <f>IFERROR(__xludf.DUMMYFUNCTION("IMPORTRANGE(""1bKzAjnffVfLhVGh4t5v_Vu2blA9yWMcWrMSSSkWyfww"",""2025-26!A3"")"),7.0)</f>
        <v>7</v>
      </c>
      <c r="L32" s="55">
        <f>IFERROR(__xludf.DUMMYFUNCTION("IMPORTRANGE(""1bKzAjnffVfLhVGh4t5v_Vu2blA9yWMcWrMSSSkWyfww"",""2025-26!G4"")"),0.0)</f>
        <v>0</v>
      </c>
      <c r="M32" s="55">
        <f t="shared" si="41"/>
        <v>50841.5</v>
      </c>
      <c r="N32" s="56" t="str">
        <f t="shared" si="42"/>
        <v>#DIV/0!</v>
      </c>
      <c r="O32" s="57">
        <f t="shared" si="43"/>
        <v>0</v>
      </c>
      <c r="P32" s="55">
        <f>IFERROR(__xludf.DUMMYFUNCTION("IMPORTRANGE(""1bKzAjnffVfLhVGh4t5v_Vu2blA9yWMcWrMSSSkWyfww"",""2025-26!J4"")"),0.0)</f>
        <v>0</v>
      </c>
      <c r="Q32" s="55">
        <f>IFERROR(__xludf.DUMMYFUNCTION("IMPORTRANGE(""1bKzAjnffVfLhVGh4t5v_Vu2blA9yWMcWrMSSSkWyfww"",""2025-26!J3"")"),0.0)</f>
        <v>0</v>
      </c>
      <c r="R32" s="55">
        <f>IFERROR(__xludf.DUMMYFUNCTION("IMPORTRANGE(""1bKzAjnffVfLhVGh4t5v_Vu2blA9yWMcWrMSSSkWyfww"",""2025-26!K4"")"),0.0)</f>
        <v>0</v>
      </c>
      <c r="S32" s="55">
        <f>IFERROR(__xludf.DUMMYFUNCTION("IMPORTRANGE(""1bKzAjnffVfLhVGh4t5v_Vu2blA9yWMcWrMSSSkWyfww"",""2025-26!K3"")"),0.0)</f>
        <v>0</v>
      </c>
      <c r="T32" s="58" t="str">
        <f t="shared" si="18"/>
        <v/>
      </c>
      <c r="U32" s="55">
        <f>IFERROR(__xludf.DUMMYFUNCTION("IMPORTRANGE(""1bKzAjnffVfLhVGh4t5v_Vu2blA9yWMcWrMSSSkWyfww"",""2025-26!L4"")"),0.0)</f>
        <v>0</v>
      </c>
      <c r="V32" s="55">
        <f>IFERROR(__xludf.DUMMYFUNCTION("IMPORTRANGE(""1bKzAjnffVfLhVGh4t5v_Vu2blA9yWMcWrMSSSkWyfww"",""2025-26!L3"")"),0.0)</f>
        <v>0</v>
      </c>
      <c r="W32" s="55">
        <f>IFERROR(__xludf.DUMMYFUNCTION("IMPORTRANGE(""1bKzAjnffVfLhVGh4t5v_Vu2blA9yWMcWrMSSSkWyfww"",""2025-26!m4"")"),0.0)</f>
        <v>0</v>
      </c>
      <c r="X32" s="55">
        <f>IFERROR(__xludf.DUMMYFUNCTION("IMPORTRANGE(""1bKzAjnffVfLhVGh4t5v_Vu2blA9yWMcWrMSSSkWyfww"",""2025-26!m3"")"),0.0)</f>
        <v>0</v>
      </c>
      <c r="Y32" s="55">
        <f>IFERROR(__xludf.DUMMYFUNCTION("IMPORTRANGE(""1bKzAjnffVfLhVGh4t5v_Vu2blA9yWMcWrMSSSkWyfww"",""2025-26!N4"")"),0.0)</f>
        <v>0</v>
      </c>
      <c r="Z32" s="55">
        <f>IFERROR(__xludf.DUMMYFUNCTION("IMPORTRANGE(""1bKzAjnffVfLhVGh4t5v_Vu2blA9yWMcWrMSSSkWyfww"",""2025-26!N3"")"),0.0)</f>
        <v>0</v>
      </c>
      <c r="AA32" s="58" t="str">
        <f t="shared" si="19"/>
        <v/>
      </c>
      <c r="AB32" s="55">
        <f>IFERROR(__xludf.DUMMYFUNCTION("IMPORTRANGE(""1bKzAjnffVfLhVGh4t5v_Vu2blA9yWMcWrMSSSkWyfww"",""2025-26!O4"")"),0.0)</f>
        <v>0</v>
      </c>
      <c r="AC32" s="55">
        <f>IFERROR(__xludf.DUMMYFUNCTION("IMPORTRANGE(""1bKzAjnffVfLhVGh4t5v_Vu2blA9yWMcWrMSSSkWyfww"",""2025-26!O3"")"),0.0)</f>
        <v>0</v>
      </c>
      <c r="AD32" s="55">
        <f>IFERROR(__xludf.DUMMYFUNCTION("IMPORTRANGE(""1bKzAjnffVfLhVGh4t5v_Vu2blA9yWMcWrMSSSkWyfww"",""2025-26!P4"")"),0.0)</f>
        <v>0</v>
      </c>
      <c r="AE32" s="55">
        <f>IFERROR(__xludf.DUMMYFUNCTION("IMPORTRANGE(""1bKzAjnffVfLhVGh4t5v_Vu2blA9yWMcWrMSSSkWyfww"",""2025-26!P3"")"),0.0)</f>
        <v>0</v>
      </c>
      <c r="AF32" s="55">
        <f>IFERROR(__xludf.DUMMYFUNCTION("IMPORTRANGE(""1bKzAjnffVfLhVGh4t5v_Vu2blA9yWMcWrMSSSkWyfww"",""2025-26!Q4"")"),0.0)</f>
        <v>0</v>
      </c>
      <c r="AG32" s="55">
        <f>IFERROR(__xludf.DUMMYFUNCTION("IMPORTRANGE(""1bKzAjnffVfLhVGh4t5v_Vu2blA9yWMcWrMSSSkWyfww"",""2025-26!Q3"")"),0.0)</f>
        <v>0</v>
      </c>
      <c r="AH32" s="58" t="str">
        <f t="shared" si="20"/>
        <v/>
      </c>
      <c r="AI32" s="55">
        <f>IFERROR(__xludf.DUMMYFUNCTION("IMPORTRANGE(""1bKzAjnffVfLhVGh4t5v_Vu2blA9yWMcWrMSSSkWyfww"",""2025-26!R4"")"),0.0)</f>
        <v>0</v>
      </c>
      <c r="AJ32" s="55">
        <f>IFERROR(__xludf.DUMMYFUNCTION("IMPORTRANGE(""1bKzAjnffVfLhVGh4t5v_Vu2blA9yWMcWrMSSSkWyfww"",""2025-26!R3"")"),0.0)</f>
        <v>0</v>
      </c>
      <c r="AK32" s="55">
        <f>IFERROR(__xludf.DUMMYFUNCTION("IMPORTRANGE(""1bKzAjnffVfLhVGh4t5v_Vu2blA9yWMcWrMSSSkWyfww"",""2025-26!S4"")"),0.0)</f>
        <v>0</v>
      </c>
      <c r="AL32" s="55">
        <f>IFERROR(__xludf.DUMMYFUNCTION("IMPORTRANGE(""1bKzAjnffVfLhVGh4t5v_Vu2blA9yWMcWrMSSSkWyfww"",""2025-26!S3"")"),0.0)</f>
        <v>0</v>
      </c>
      <c r="AM32" s="55">
        <f>IFERROR(__xludf.DUMMYFUNCTION("IMPORTRANGE(""1bKzAjnffVfLhVGh4t5v_Vu2blA9yWMcWrMSSSkWyfww"",""2025-26!T4"")"),0.0)</f>
        <v>0</v>
      </c>
      <c r="AN32" s="55">
        <f>IFERROR(__xludf.DUMMYFUNCTION("IMPORTRANGE(""1bKzAjnffVfLhVGh4t5v_Vu2blA9yWMcWrMSSSkWyfww"",""2025-26!T3"")"),0.0)</f>
        <v>0</v>
      </c>
      <c r="AO32" s="58" t="str">
        <f t="shared" si="21"/>
        <v/>
      </c>
      <c r="AP32" s="55">
        <f>IFERROR(__xludf.DUMMYFUNCTION("IMPORTRANGE(""1bKzAjnffVfLhVGh4t5v_Vu2blA9yWMcWrMSSSkWyfww"",""2025-26!U4"")"),0.0)</f>
        <v>0</v>
      </c>
      <c r="AQ32" s="55">
        <f>IFERROR(__xludf.DUMMYFUNCTION("IMPORTRANGE(""1bKzAjnffVfLhVGh4t5v_Vu2blA9yWMcWrMSSSkWyfww"",""2025-26!U3"")"),0.0)</f>
        <v>0</v>
      </c>
      <c r="AR32" s="55">
        <f>IFERROR(__xludf.DUMMYFUNCTION("IMPORTRANGE(""1bKzAjnffVfLhVGh4t5v_Vu2blA9yWMcWrMSSSkWyfww"",""2025-26!V4"")"),0.0)</f>
        <v>0</v>
      </c>
      <c r="AS32" s="55">
        <f>IFERROR(__xludf.DUMMYFUNCTION("IMPORTRANGE(""1bKzAjnffVfLhVGh4t5v_Vu2blA9yWMcWrMSSSkWyfww"",""2025-26!V3"")"),0.0)</f>
        <v>0</v>
      </c>
      <c r="AT32" s="55">
        <f>IFERROR(__xludf.DUMMYFUNCTION("IMPORTRANGE(""1bKzAjnffVfLhVGh4t5v_Vu2blA9yWMcWrMSSSkWyfww"",""2025-26!W4"")"),0.0)</f>
        <v>0</v>
      </c>
      <c r="AU32" s="55">
        <f>IFERROR(__xludf.DUMMYFUNCTION("IMPORTRANGE(""1bKzAjnffVfLhVGh4t5v_Vu2blA9yWMcWrMSSSkWyfww"",""2025-26!W3"")"),0.0)</f>
        <v>0</v>
      </c>
      <c r="AV32" s="58" t="str">
        <f t="shared" si="22"/>
        <v/>
      </c>
      <c r="AW32" s="55">
        <f>IFERROR(__xludf.DUMMYFUNCTION("IMPORTRANGE(""1bKzAjnffVfLhVGh4t5v_Vu2blA9yWMcWrMSSSkWyfww"",""2025-26!X4"")"),0.0)</f>
        <v>0</v>
      </c>
      <c r="AX32" s="55">
        <f>IFERROR(__xludf.DUMMYFUNCTION("IMPORTRANGE(""1bKzAjnffVfLhVGh4t5v_Vu2blA9yWMcWrMSSSkWyfww"",""2025-26!X3"")"),0.0)</f>
        <v>0</v>
      </c>
      <c r="AY32" s="55">
        <f>IFERROR(__xludf.DUMMYFUNCTION("IMPORTRANGE(""1bKzAjnffVfLhVGh4t5v_Vu2blA9yWMcWrMSSSkWyfww"",""2025-26!Y4"")"),0.0)</f>
        <v>0</v>
      </c>
      <c r="AZ32" s="55">
        <f>IFERROR(__xludf.DUMMYFUNCTION("IMPORTRANGE(""1bKzAjnffVfLhVGh4t5v_Vu2blA9yWMcWrMSSSkWyfww"",""2025-26!Y3"")"),0.0)</f>
        <v>0</v>
      </c>
      <c r="BA32" s="55">
        <f>IFERROR(__xludf.DUMMYFUNCTION("IMPORTRANGE(""1bKzAjnffVfLhVGh4t5v_Vu2blA9yWMcWrMSSSkWyfww"",""2025-26!Z4"")"),0.0)</f>
        <v>0</v>
      </c>
      <c r="BB32" s="55">
        <f>IFERROR(__xludf.DUMMYFUNCTION("IMPORTRANGE(""1bKzAjnffVfLhVGh4t5v_Vu2blA9yWMcWrMSSSkWyfww"",""2025-26!Z3"")"),0.0)</f>
        <v>0</v>
      </c>
      <c r="BC32" s="59" t="str">
        <f t="shared" si="23"/>
        <v/>
      </c>
      <c r="BD32" s="55">
        <f>IFERROR(__xludf.DUMMYFUNCTION("IMPORTRANGE(""1bKzAjnffVfLhVGh4t5v_Vu2blA9yWMcWrMSSSkWyfww"",""2025-26!AA4"")"),0.0)</f>
        <v>0</v>
      </c>
      <c r="BE32" s="55">
        <f>IFERROR(__xludf.DUMMYFUNCTION("IMPORTRANGE(""1bKzAjnffVfLhVGh4t5v_Vu2blA9yWMcWrMSSSkWyfww"",""2025-26!AA3"")"),0.0)</f>
        <v>0</v>
      </c>
      <c r="BF32" s="55">
        <f>IFERROR(__xludf.DUMMYFUNCTION("IMPORTRANGE(""1bKzAjnffVfLhVGh4t5v_Vu2blA9yWMcWrMSSSkWyfww"",""2025-26!AB4"")"),0.0)</f>
        <v>0</v>
      </c>
      <c r="BG32" s="55">
        <f>IFERROR(__xludf.DUMMYFUNCTION("IMPORTRANGE(""1bKzAjnffVfLhVGh4t5v_Vu2blA9yWMcWrMSSSkWyfww"",""2025-26!AB3"")"),0.0)</f>
        <v>0</v>
      </c>
      <c r="BH32" s="55">
        <f>IFERROR(__xludf.DUMMYFUNCTION("IMPORTRANGE(""1bKzAjnffVfLhVGh4t5v_Vu2blA9yWMcWrMSSSkWyfww"",""2025-26!AC4"")"),0.0)</f>
        <v>0</v>
      </c>
      <c r="BI32" s="55">
        <f>IFERROR(__xludf.DUMMYFUNCTION("IMPORTRANGE(""1bKzAjnffVfLhVGh4t5v_Vu2blA9yWMcWrMSSSkWyfww"",""2025-26!AC3"")"),0.0)</f>
        <v>0</v>
      </c>
      <c r="BJ32" s="59" t="str">
        <f t="shared" si="24"/>
        <v/>
      </c>
      <c r="BK32" s="55">
        <f>IFERROR(__xludf.DUMMYFUNCTION("IMPORTRANGE(""1bKzAjnffVfLhVGh4t5v_Vu2blA9yWMcWrMSSSkWyfww"",""2025-26!AD4"")"),0.0)</f>
        <v>0</v>
      </c>
      <c r="BL32" s="55">
        <f>IFERROR(__xludf.DUMMYFUNCTION("IMPORTRANGE(""1bKzAjnffVfLhVGh4t5v_Vu2blA9yWMcWrMSSSkWyfww"",""2025-26!AD3"")"),0.0)</f>
        <v>0</v>
      </c>
      <c r="BM32" s="55">
        <f>IFERROR(__xludf.DUMMYFUNCTION("IMPORTRANGE(""1bKzAjnffVfLhVGh4t5v_Vu2blA9yWMcWrMSSSkWyfww"",""2025-26!AE4"")"),0.0)</f>
        <v>0</v>
      </c>
      <c r="BN32" s="55">
        <f>IFERROR(__xludf.DUMMYFUNCTION("IMPORTRANGE(""1bKzAjnffVfLhVGh4t5v_Vu2blA9yWMcWrMSSSkWyfww"",""2025-26!AE3"")"),0.0)</f>
        <v>0</v>
      </c>
      <c r="BO32" s="55">
        <f>IFERROR(__xludf.DUMMYFUNCTION("IMPORTRANGE(""1bKzAjnffVfLhVGh4t5v_Vu2blA9yWMcWrMSSSkWyfww"",""2025-26!AF4"")"),0.0)</f>
        <v>0</v>
      </c>
      <c r="BP32" s="55">
        <f>IFERROR(__xludf.DUMMYFUNCTION("IMPORTRANGE(""1bKzAjnffVfLhVGh4t5v_Vu2blA9yWMcWrMSSSkWyfww"",""2025-26!AF3"")"),0.0)</f>
        <v>0</v>
      </c>
      <c r="BQ32" s="59" t="str">
        <f t="shared" si="25"/>
        <v/>
      </c>
      <c r="BR32" s="55">
        <f>IFERROR(__xludf.DUMMYFUNCTION("IMPORTRANGE(""1bKzAjnffVfLhVGh4t5v_Vu2blA9yWMcWrMSSSkWyfww"",""2025-26!AG4"")"),0.0)</f>
        <v>0</v>
      </c>
      <c r="BS32" s="55">
        <f>IFERROR(__xludf.DUMMYFUNCTION("IMPORTRANGE(""1bKzAjnffVfLhVGh4t5v_Vu2blA9yWMcWrMSSSkWyfww"",""2025-26!AG3"")"),0.0)</f>
        <v>0</v>
      </c>
      <c r="BT32" s="55">
        <f>IFERROR(__xludf.DUMMYFUNCTION("IMPORTRANGE(""1bKzAjnffVfLhVGh4t5v_Vu2blA9yWMcWrMSSSkWyfww"",""2025-26!AH4"")"),0.0)</f>
        <v>0</v>
      </c>
      <c r="BU32" s="55">
        <f>IFERROR(__xludf.DUMMYFUNCTION("IMPORTRANGE(""1bKzAjnffVfLhVGh4t5v_Vu2blA9yWMcWrMSSSkWyfww"",""2025-26!AH3"")"),0.0)</f>
        <v>0</v>
      </c>
      <c r="BV32" s="55">
        <f>IFERROR(__xludf.DUMMYFUNCTION("IMPORTRANGE(""1bKzAjnffVfLhVGh4t5v_Vu2blA9yWMcWrMSSSkWyfww"",""2025-26!AI4"")"),0.0)</f>
        <v>0</v>
      </c>
      <c r="BW32" s="55">
        <f>IFERROR(__xludf.DUMMYFUNCTION("IMPORTRANGE(""1bKzAjnffVfLhVGh4t5v_Vu2blA9yWMcWrMSSSkWyfww"",""2025-26!AI3"")"),0.0)</f>
        <v>0</v>
      </c>
      <c r="BX32" s="59" t="str">
        <f t="shared" si="26"/>
        <v/>
      </c>
      <c r="BY32" s="55">
        <f>IFERROR(__xludf.DUMMYFUNCTION("IMPORTRANGE(""1bKzAjnffVfLhVGh4t5v_Vu2blA9yWMcWrMSSSkWyfww"",""2025-26!AJ4"")"),0.0)</f>
        <v>0</v>
      </c>
      <c r="BZ32" s="55">
        <f>IFERROR(__xludf.DUMMYFUNCTION("IMPORTRANGE(""1bKzAjnffVfLhVGh4t5v_Vu2blA9yWMcWrMSSSkWyfww"",""2025-26!AJ3"")"),0.0)</f>
        <v>0</v>
      </c>
      <c r="CA32" s="55">
        <f>IFERROR(__xludf.DUMMYFUNCTION("IMPORTRANGE(""1bKzAjnffVfLhVGh4t5v_Vu2blA9yWMcWrMSSSkWyfww"",""2025-26!AK4"")"),0.0)</f>
        <v>0</v>
      </c>
      <c r="CB32" s="55">
        <f>IFERROR(__xludf.DUMMYFUNCTION("IMPORTRANGE(""1bKzAjnffVfLhVGh4t5v_Vu2blA9yWMcWrMSSSkWyfww"",""2025-26!AK3"")"),0.0)</f>
        <v>0</v>
      </c>
      <c r="CC32" s="55">
        <f>IFERROR(__xludf.DUMMYFUNCTION("IMPORTRANGE(""1bKzAjnffVfLhVGh4t5v_Vu2blA9yWMcWrMSSSkWyfww"",""2025-26!AL4"")"),0.0)</f>
        <v>0</v>
      </c>
      <c r="CD32" s="55">
        <f>IFERROR(__xludf.DUMMYFUNCTION("IMPORTRANGE(""1bKzAjnffVfLhVGh4t5v_Vu2blA9yWMcWrMSSSkWyfww"",""2025-26!AL3"")"),0.0)</f>
        <v>0</v>
      </c>
      <c r="CE32" s="59" t="str">
        <f t="shared" si="27"/>
        <v/>
      </c>
      <c r="CF32" s="55">
        <f>IFERROR(__xludf.DUMMYFUNCTION("IMPORTRANGE(""1bKzAjnffVfLhVGh4t5v_Vu2blA9yWMcWrMSSSkWyfww"",""2025-26!AM4"")"),0.0)</f>
        <v>0</v>
      </c>
      <c r="CG32" s="55">
        <f>IFERROR(__xludf.DUMMYFUNCTION("IMPORTRANGE(""1bKzAjnffVfLhVGh4t5v_Vu2blA9yWMcWrMSSSkWyfww"",""2025-26!AM3"")"),0.0)</f>
        <v>0</v>
      </c>
      <c r="CH32" s="55">
        <f>IFERROR(__xludf.DUMMYFUNCTION("IMPORTRANGE(""1bKzAjnffVfLhVGh4t5v_Vu2blA9yWMcWrMSSSkWyfww"",""2025-26!AN4"")"),0.0)</f>
        <v>0</v>
      </c>
      <c r="CI32" s="55">
        <f>IFERROR(__xludf.DUMMYFUNCTION("IMPORTRANGE(""1bKzAjnffVfLhVGh4t5v_Vu2blA9yWMcWrMSSSkWyfww"",""2025-26!AN3"")"),0.0)</f>
        <v>0</v>
      </c>
      <c r="CJ32" s="55">
        <f>IFERROR(__xludf.DUMMYFUNCTION("IMPORTRANGE(""1bKzAjnffVfLhVGh4t5v_Vu2blA9yWMcWrMSSSkWyfww"",""2025-26!AO4"")"),0.0)</f>
        <v>0</v>
      </c>
      <c r="CK32" s="55">
        <f>IFERROR(__xludf.DUMMYFUNCTION("IMPORTRANGE(""1bKzAjnffVfLhVGh4t5v_Vu2blA9yWMcWrMSSSkWyfww"",""2025-26!AO3"")"),0.0)</f>
        <v>0</v>
      </c>
      <c r="CL32" s="59" t="str">
        <f t="shared" si="28"/>
        <v/>
      </c>
      <c r="CM32" s="55">
        <f>IFERROR(__xludf.DUMMYFUNCTION("IMPORTRANGE(""1bKzAjnffVfLhVGh4t5v_Vu2blA9yWMcWrMSSSkWyfww"",""2025-26!AP4"")"),0.0)</f>
        <v>0</v>
      </c>
      <c r="CN32" s="55">
        <f>IFERROR(__xludf.DUMMYFUNCTION("IMPORTRANGE(""1bKzAjnffVfLhVGh4t5v_Vu2blA9yWMcWrMSSSkWyfww"",""2025-26!AP3"")"),0.0)</f>
        <v>0</v>
      </c>
      <c r="CO32" s="55">
        <f>IFERROR(__xludf.DUMMYFUNCTION("IMPORTRANGE(""1bKzAjnffVfLhVGh4t5v_Vu2blA9yWMcWrMSSSkWyfww"",""2025-26!AQ4"")"),0.0)</f>
        <v>0</v>
      </c>
      <c r="CP32" s="55">
        <f>IFERROR(__xludf.DUMMYFUNCTION("IMPORTRANGE(""1bKzAjnffVfLhVGh4t5v_Vu2blA9yWMcWrMSSSkWyfww"",""2025-26!AQ3"")"),0.0)</f>
        <v>0</v>
      </c>
      <c r="CQ32" s="55">
        <f>IFERROR(__xludf.DUMMYFUNCTION("IMPORTRANGE(""1bKzAjnffVfLhVGh4t5v_Vu2blA9yWMcWrMSSSkWyfww"",""2025-26!AR4"")"),50841.5)</f>
        <v>50841.5</v>
      </c>
      <c r="CR32" s="55">
        <f>IFERROR(__xludf.DUMMYFUNCTION("IMPORTRANGE(""1bKzAjnffVfLhVGh4t5v_Vu2blA9yWMcWrMSSSkWyfww"",""2025-26!AR3"")"),2.0)</f>
        <v>2</v>
      </c>
      <c r="CS32" s="59" t="str">
        <f t="shared" si="29"/>
        <v/>
      </c>
      <c r="CT32" s="55">
        <f>IFERROR(__xludf.DUMMYFUNCTION("IMPORTRANGE(""1bKzAjnffVfLhVGh4t5v_Vu2blA9yWMcWrMSSSkWyfww"",""2025-26!AS4"")"),0.0)</f>
        <v>0</v>
      </c>
      <c r="CU32" s="55">
        <f>IFERROR(__xludf.DUMMYFUNCTION("IMPORTRANGE(""1bKzAjnffVfLhVGh4t5v_Vu2blA9yWMcWrMSSSkWyfww"",""2025-26!AS3"")"),0.0)</f>
        <v>0</v>
      </c>
      <c r="CV32" s="60" t="s">
        <v>76</v>
      </c>
    </row>
    <row r="33">
      <c r="A33" s="91" t="s">
        <v>84</v>
      </c>
      <c r="B33" s="92" t="s">
        <v>85</v>
      </c>
      <c r="C33" s="85" t="s">
        <v>86</v>
      </c>
      <c r="D33" s="87" t="s">
        <v>87</v>
      </c>
      <c r="E33" s="50">
        <v>9.205287026E9</v>
      </c>
      <c r="F33" s="51">
        <v>43557.0</v>
      </c>
      <c r="G33" s="86"/>
      <c r="H33" s="86"/>
      <c r="I33" s="53">
        <f>VLOOKUP($C33,Data!$C:$BV,72,0)</f>
        <v>54510</v>
      </c>
      <c r="J33" s="54">
        <v>1666667.0</v>
      </c>
      <c r="K33" s="55">
        <f>IFERROR(__xludf.DUMMYFUNCTION("IMPORTRANGE(""1_TT4RnsAZgXuAbklftUgfeSBolGqHFrqm00ibq315zk"",""2025-26!A3"")"),173.0)</f>
        <v>173</v>
      </c>
      <c r="L33" s="55">
        <f>IFERROR(__xludf.DUMMYFUNCTION("IMPORTRANGE(""1_TT4RnsAZgXuAbklftUgfeSBolGqHFrqm00ibq315zk"",""2025-26!G4"")"),1.885E7)</f>
        <v>18850000</v>
      </c>
      <c r="M33" s="55">
        <f t="shared" si="41"/>
        <v>13110227.75</v>
      </c>
      <c r="N33" s="56">
        <f t="shared" si="42"/>
        <v>0.8047405836</v>
      </c>
      <c r="O33" s="57">
        <f t="shared" si="43"/>
        <v>15169360</v>
      </c>
      <c r="P33" s="55">
        <f>IFERROR(__xludf.DUMMYFUNCTION("IMPORTRANGE(""1_TT4RnsAZgXuAbklftUgfeSBolGqHFrqm00ibq315zk"",""2025-26!J4"")"),1600000.0)</f>
        <v>1600000</v>
      </c>
      <c r="Q33" s="55">
        <f>IFERROR(__xludf.DUMMYFUNCTION("IMPORTRANGE(""1_TT4RnsAZgXuAbklftUgfeSBolGqHFrqm00ibq315zk"",""2025-26!J3"")"),41.0)</f>
        <v>41</v>
      </c>
      <c r="R33" s="55">
        <f>IFERROR(__xludf.DUMMYFUNCTION("IMPORTRANGE(""1_TT4RnsAZgXuAbklftUgfeSBolGqHFrqm00ibq315zk"",""2025-26!K4"")"),802654.2)</f>
        <v>802654.2</v>
      </c>
      <c r="S33" s="55">
        <f>IFERROR(__xludf.DUMMYFUNCTION("IMPORTRANGE(""1_TT4RnsAZgXuAbklftUgfeSBolGqHFrqm00ibq315zk"",""2025-26!K3"")"),21.0)</f>
        <v>21</v>
      </c>
      <c r="T33" s="58">
        <f t="shared" si="18"/>
        <v>0.533548125</v>
      </c>
      <c r="U33" s="55">
        <f>IFERROR(__xludf.DUMMYFUNCTION("IMPORTRANGE(""1_TT4RnsAZgXuAbklftUgfeSBolGqHFrqm00ibq315zk"",""2025-26!L4"")"),853677.0)</f>
        <v>853677</v>
      </c>
      <c r="V33" s="55">
        <f>IFERROR(__xludf.DUMMYFUNCTION("IMPORTRANGE(""1_TT4RnsAZgXuAbklftUgfeSBolGqHFrqm00ibq315zk"",""2025-26!L3"")"),30.0)</f>
        <v>30</v>
      </c>
      <c r="W33" s="55">
        <f>IFERROR(__xludf.DUMMYFUNCTION("IMPORTRANGE(""1_TT4RnsAZgXuAbklftUgfeSBolGqHFrqm00ibq315zk"",""2025-26!m4"")"),1700000.0)</f>
        <v>1700000</v>
      </c>
      <c r="X33" s="55">
        <f>IFERROR(__xludf.DUMMYFUNCTION("IMPORTRANGE(""1_TT4RnsAZgXuAbklftUgfeSBolGqHFrqm00ibq315zk"",""2025-26!m3"")"),57.0)</f>
        <v>57</v>
      </c>
      <c r="Y33" s="55">
        <f>IFERROR(__xludf.DUMMYFUNCTION("IMPORTRANGE(""1_TT4RnsAZgXuAbklftUgfeSBolGqHFrqm00ibq315zk"",""2025-26!N4"")"),1054741.5)</f>
        <v>1054741.5</v>
      </c>
      <c r="Z33" s="55">
        <f>IFERROR(__xludf.DUMMYFUNCTION("IMPORTRANGE(""1_TT4RnsAZgXuAbklftUgfeSBolGqHFrqm00ibq315zk"",""2025-26!N3"")"),35.0)</f>
        <v>35</v>
      </c>
      <c r="AA33" s="58">
        <f t="shared" si="19"/>
        <v>0.6042911765</v>
      </c>
      <c r="AB33" s="55">
        <f>IFERROR(__xludf.DUMMYFUNCTION("IMPORTRANGE(""1_TT4RnsAZgXuAbklftUgfeSBolGqHFrqm00ibq315zk"",""2025-26!O4"")"),1027295.0)</f>
        <v>1027295</v>
      </c>
      <c r="AC33" s="55">
        <f>IFERROR(__xludf.DUMMYFUNCTION("IMPORTRANGE(""1_TT4RnsAZgXuAbklftUgfeSBolGqHFrqm00ibq315zk"",""2025-26!O3"")"),41.0)</f>
        <v>41</v>
      </c>
      <c r="AD33" s="55">
        <f>IFERROR(__xludf.DUMMYFUNCTION("IMPORTRANGE(""1_TT4RnsAZgXuAbklftUgfeSBolGqHFrqm00ibq315zk"",""2025-26!P4"")"),1700000.0)</f>
        <v>1700000</v>
      </c>
      <c r="AE33" s="55">
        <f>IFERROR(__xludf.DUMMYFUNCTION("IMPORTRANGE(""1_TT4RnsAZgXuAbklftUgfeSBolGqHFrqm00ibq315zk"",""2025-26!P3"")"),65.0)</f>
        <v>65</v>
      </c>
      <c r="AF33" s="55">
        <f>IFERROR(__xludf.DUMMYFUNCTION("IMPORTRANGE(""1_TT4RnsAZgXuAbklftUgfeSBolGqHFrqm00ibq315zk"",""2025-26!Q4"")"),1642553.6000000003)</f>
        <v>1642553.6</v>
      </c>
      <c r="AG33" s="55">
        <f>IFERROR(__xludf.DUMMYFUNCTION("IMPORTRANGE(""1_TT4RnsAZgXuAbklftUgfeSBolGqHFrqm00ibq315zk"",""2025-26!Q3"")"),35.0)</f>
        <v>35</v>
      </c>
      <c r="AH33" s="58">
        <f t="shared" si="20"/>
        <v>1.045123529</v>
      </c>
      <c r="AI33" s="55">
        <f>IFERROR(__xludf.DUMMYFUNCTION("IMPORTRANGE(""1_TT4RnsAZgXuAbklftUgfeSBolGqHFrqm00ibq315zk"",""2025-26!R4"")"),1776710.0)</f>
        <v>1776710</v>
      </c>
      <c r="AJ33" s="55">
        <f>IFERROR(__xludf.DUMMYFUNCTION("IMPORTRANGE(""1_TT4RnsAZgXuAbklftUgfeSBolGqHFrqm00ibq315zk"",""2025-26!R3"")"),37.0)</f>
        <v>37</v>
      </c>
      <c r="AK33" s="55">
        <f>IFERROR(__xludf.DUMMYFUNCTION("IMPORTRANGE(""1_TT4RnsAZgXuAbklftUgfeSBolGqHFrqm00ibq315zk"",""2025-26!S4"")"),1700000.0)</f>
        <v>1700000</v>
      </c>
      <c r="AL33" s="55">
        <f>IFERROR(__xludf.DUMMYFUNCTION("IMPORTRANGE(""1_TT4RnsAZgXuAbklftUgfeSBolGqHFrqm00ibq315zk"",""2025-26!S3"")"),74.0)</f>
        <v>74</v>
      </c>
      <c r="AM33" s="55">
        <f>IFERROR(__xludf.DUMMYFUNCTION("IMPORTRANGE(""1_TT4RnsAZgXuAbklftUgfeSBolGqHFrqm00ibq315zk"",""2025-26!T4"")"),1297270.42)</f>
        <v>1297270.42</v>
      </c>
      <c r="AN33" s="55">
        <f>IFERROR(__xludf.DUMMYFUNCTION("IMPORTRANGE(""1_TT4RnsAZgXuAbklftUgfeSBolGqHFrqm00ibq315zk"",""2025-26!T3"")"),46.0)</f>
        <v>46</v>
      </c>
      <c r="AO33" s="58">
        <f t="shared" si="21"/>
        <v>0.5946564706</v>
      </c>
      <c r="AP33" s="55">
        <f>IFERROR(__xludf.DUMMYFUNCTION("IMPORTRANGE(""1_TT4RnsAZgXuAbklftUgfeSBolGqHFrqm00ibq315zk"",""2025-26!U4"")"),1010916.0)</f>
        <v>1010916</v>
      </c>
      <c r="AQ33" s="55">
        <f>IFERROR(__xludf.DUMMYFUNCTION("IMPORTRANGE(""1_TT4RnsAZgXuAbklftUgfeSBolGqHFrqm00ibq315zk"",""2025-26!U3"")"),42.0)</f>
        <v>42</v>
      </c>
      <c r="AR33" s="55">
        <f>IFERROR(__xludf.DUMMYFUNCTION("IMPORTRANGE(""1_TT4RnsAZgXuAbklftUgfeSBolGqHFrqm00ibq315zk"",""2025-26!V4"")"),1625000.0)</f>
        <v>1625000</v>
      </c>
      <c r="AS33" s="55">
        <f>IFERROR(__xludf.DUMMYFUNCTION("IMPORTRANGE(""1_TT4RnsAZgXuAbklftUgfeSBolGqHFrqm00ibq315zk"",""2025-26!V3"")"),69.0)</f>
        <v>69</v>
      </c>
      <c r="AT33" s="55">
        <f>IFERROR(__xludf.DUMMYFUNCTION("IMPORTRANGE(""1_TT4RnsAZgXuAbklftUgfeSBolGqHFrqm00ibq315zk"",""2025-26!W4"")"),806670.6)</f>
        <v>806670.6</v>
      </c>
      <c r="AU33" s="55">
        <f>IFERROR(__xludf.DUMMYFUNCTION("IMPORTRANGE(""1_TT4RnsAZgXuAbklftUgfeSBolGqHFrqm00ibq315zk"",""2025-26!W3"")"),25.0)</f>
        <v>25</v>
      </c>
      <c r="AV33" s="58">
        <f t="shared" si="22"/>
        <v>0.6043156923</v>
      </c>
      <c r="AW33" s="55">
        <f>IFERROR(__xludf.DUMMYFUNCTION("IMPORTRANGE(""1_TT4RnsAZgXuAbklftUgfeSBolGqHFrqm00ibq315zk"",""2025-26!X4"")"),982013.0)</f>
        <v>982013</v>
      </c>
      <c r="AX33" s="55">
        <f>IFERROR(__xludf.DUMMYFUNCTION("IMPORTRANGE(""1_TT4RnsAZgXuAbklftUgfeSBolGqHFrqm00ibq315zk"",""2025-26!X3"")"),25.0)</f>
        <v>25</v>
      </c>
      <c r="AY33" s="55">
        <f>IFERROR(__xludf.DUMMYFUNCTION("IMPORTRANGE(""1_TT4RnsAZgXuAbklftUgfeSBolGqHFrqm00ibq315zk"",""2025-26!Y4"")"),1700000.0)</f>
        <v>1700000</v>
      </c>
      <c r="AZ33" s="55">
        <f>IFERROR(__xludf.DUMMYFUNCTION("IMPORTRANGE(""1_TT4RnsAZgXuAbklftUgfeSBolGqHFrqm00ibq315zk"",""2025-26!Y3"")"),74.0)</f>
        <v>74</v>
      </c>
      <c r="BA33" s="55">
        <f>IFERROR(__xludf.DUMMYFUNCTION("IMPORTRANGE(""1_TT4RnsAZgXuAbklftUgfeSBolGqHFrqm00ibq315zk"",""2025-26!Z4"")"),1411054.7000000002)</f>
        <v>1411054.7</v>
      </c>
      <c r="BB33" s="55">
        <f>IFERROR(__xludf.DUMMYFUNCTION("IMPORTRANGE(""1_TT4RnsAZgXuAbklftUgfeSBolGqHFrqm00ibq315zk"",""2025-26!Z3"")"),33.0)</f>
        <v>33</v>
      </c>
      <c r="BC33" s="59">
        <f t="shared" si="23"/>
        <v>0.8820341176</v>
      </c>
      <c r="BD33" s="55">
        <f>IFERROR(__xludf.DUMMYFUNCTION("IMPORTRANGE(""1_TT4RnsAZgXuAbklftUgfeSBolGqHFrqm00ibq315zk"",""2025-26!AA4"")"),1499458.0)</f>
        <v>1499458</v>
      </c>
      <c r="BE33" s="55">
        <f>IFERROR(__xludf.DUMMYFUNCTION("IMPORTRANGE(""1_TT4RnsAZgXuAbklftUgfeSBolGqHFrqm00ibq315zk"",""2025-26!AA3"")"),30.0)</f>
        <v>30</v>
      </c>
      <c r="BF33" s="55">
        <f>IFERROR(__xludf.DUMMYFUNCTION("IMPORTRANGE(""1_TT4RnsAZgXuAbklftUgfeSBolGqHFrqm00ibq315zk"",""2025-26!AB4"")"),1700000.0)</f>
        <v>1700000</v>
      </c>
      <c r="BG33" s="55">
        <f>IFERROR(__xludf.DUMMYFUNCTION("IMPORTRANGE(""1_TT4RnsAZgXuAbklftUgfeSBolGqHFrqm00ibq315zk"",""2025-26!AB3"")"),61.0)</f>
        <v>61</v>
      </c>
      <c r="BH33" s="55">
        <f>IFERROR(__xludf.DUMMYFUNCTION("IMPORTRANGE(""1_TT4RnsAZgXuAbklftUgfeSBolGqHFrqm00ibq315zk"",""2025-26!AC4"")"),794198.6500000001)</f>
        <v>794198.65</v>
      </c>
      <c r="BI33" s="55">
        <f>IFERROR(__xludf.DUMMYFUNCTION("IMPORTRANGE(""1_TT4RnsAZgXuAbklftUgfeSBolGqHFrqm00ibq315zk"",""2025-26!AC3"")"),29.0)</f>
        <v>29</v>
      </c>
      <c r="BJ33" s="59">
        <f t="shared" si="24"/>
        <v>0.6245670588</v>
      </c>
      <c r="BK33" s="55">
        <f>IFERROR(__xludf.DUMMYFUNCTION("IMPORTRANGE(""1_TT4RnsAZgXuAbklftUgfeSBolGqHFrqm00ibq315zk"",""2025-26!AD4"")"),1061764.0)</f>
        <v>1061764</v>
      </c>
      <c r="BL33" s="55">
        <f>IFERROR(__xludf.DUMMYFUNCTION("IMPORTRANGE(""1_TT4RnsAZgXuAbklftUgfeSBolGqHFrqm00ibq315zk"",""2025-26!AD3"")"),40.0)</f>
        <v>40</v>
      </c>
      <c r="BM33" s="55">
        <f>IFERROR(__xludf.DUMMYFUNCTION("IMPORTRANGE(""1_TT4RnsAZgXuAbklftUgfeSBolGqHFrqm00ibq315zk"",""2025-26!AE4"")"),1700000.0)</f>
        <v>1700000</v>
      </c>
      <c r="BN33" s="55">
        <f>IFERROR(__xludf.DUMMYFUNCTION("IMPORTRANGE(""1_TT4RnsAZgXuAbklftUgfeSBolGqHFrqm00ibq315zk"",""2025-26!AE3"")"),52.0)</f>
        <v>52</v>
      </c>
      <c r="BO33" s="55">
        <f>IFERROR(__xludf.DUMMYFUNCTION("IMPORTRANGE(""1_TT4RnsAZgXuAbklftUgfeSBolGqHFrqm00ibq315zk"",""2025-26!AF4"")"),866424.82)</f>
        <v>866424.82</v>
      </c>
      <c r="BP33" s="55">
        <f>IFERROR(__xludf.DUMMYFUNCTION("IMPORTRANGE(""1_TT4RnsAZgXuAbklftUgfeSBolGqHFrqm00ibq315zk"",""2025-26!AF3"")"),30.0)</f>
        <v>30</v>
      </c>
      <c r="BQ33" s="59">
        <f t="shared" si="25"/>
        <v>0.6923258824</v>
      </c>
      <c r="BR33" s="55">
        <f>IFERROR(__xludf.DUMMYFUNCTION("IMPORTRANGE(""1_TT4RnsAZgXuAbklftUgfeSBolGqHFrqm00ibq315zk"",""2025-26!AG4"")"),1176954.0)</f>
        <v>1176954</v>
      </c>
      <c r="BS33" s="55">
        <f>IFERROR(__xludf.DUMMYFUNCTION("IMPORTRANGE(""1_TT4RnsAZgXuAbklftUgfeSBolGqHFrqm00ibq315zk"",""2025-26!AG3"")"),36.0)</f>
        <v>36</v>
      </c>
      <c r="BT33" s="55">
        <f>IFERROR(__xludf.DUMMYFUNCTION("IMPORTRANGE(""1_TT4RnsAZgXuAbklftUgfeSBolGqHFrqm00ibq315zk"",""2025-26!AH4"")"),1700000.0)</f>
        <v>1700000</v>
      </c>
      <c r="BU33" s="55">
        <f>IFERROR(__xludf.DUMMYFUNCTION("IMPORTRANGE(""1_TT4RnsAZgXuAbklftUgfeSBolGqHFrqm00ibq315zk"",""2025-26!AH3"")"),70.0)</f>
        <v>70</v>
      </c>
      <c r="BV33" s="55">
        <f>IFERROR(__xludf.DUMMYFUNCTION("IMPORTRANGE(""1_TT4RnsAZgXuAbklftUgfeSBolGqHFrqm00ibq315zk"",""2025-26!AI4"")"),931614.2000000001)</f>
        <v>931614.2</v>
      </c>
      <c r="BW33" s="55">
        <f>IFERROR(__xludf.DUMMYFUNCTION("IMPORTRANGE(""1_TT4RnsAZgXuAbklftUgfeSBolGqHFrqm00ibq315zk"",""2025-26!AI3"")"),30.0)</f>
        <v>30</v>
      </c>
      <c r="BX33" s="59">
        <f t="shared" si="26"/>
        <v>0.6607294118</v>
      </c>
      <c r="BY33" s="55">
        <f>IFERROR(__xludf.DUMMYFUNCTION("IMPORTRANGE(""1_TT4RnsAZgXuAbklftUgfeSBolGqHFrqm00ibq315zk"",""2025-26!AJ4"")"),1123240.0)</f>
        <v>1123240</v>
      </c>
      <c r="BZ33" s="55">
        <f>IFERROR(__xludf.DUMMYFUNCTION("IMPORTRANGE(""1_TT4RnsAZgXuAbklftUgfeSBolGqHFrqm00ibq315zk"",""2025-26!AJ3"")"),34.0)</f>
        <v>34</v>
      </c>
      <c r="CA33" s="55">
        <f>IFERROR(__xludf.DUMMYFUNCTION("IMPORTRANGE(""1_TT4RnsAZgXuAbklftUgfeSBolGqHFrqm00ibq315zk"",""2025-26!AK4"")"),1700000.0)</f>
        <v>1700000</v>
      </c>
      <c r="CB33" s="55">
        <f>IFERROR(__xludf.DUMMYFUNCTION("IMPORTRANGE(""1_TT4RnsAZgXuAbklftUgfeSBolGqHFrqm00ibq315zk"",""2025-26!AK3"")"),44.0)</f>
        <v>44</v>
      </c>
      <c r="CC33" s="55">
        <f>IFERROR(__xludf.DUMMYFUNCTION("IMPORTRANGE(""1_TT4RnsAZgXuAbklftUgfeSBolGqHFrqm00ibq315zk"",""2025-26!AL4"")"),890327.74)</f>
        <v>890327.74</v>
      </c>
      <c r="CD33" s="55">
        <f>IFERROR(__xludf.DUMMYFUNCTION("IMPORTRANGE(""1_TT4RnsAZgXuAbklftUgfeSBolGqHFrqm00ibq315zk"",""2025-26!AL3"")"),27.0)</f>
        <v>27</v>
      </c>
      <c r="CE33" s="59">
        <f t="shared" si="27"/>
        <v>0.82518</v>
      </c>
      <c r="CF33" s="55">
        <f>IFERROR(__xludf.DUMMYFUNCTION("IMPORTRANGE(""1_TT4RnsAZgXuAbklftUgfeSBolGqHFrqm00ibq315zk"",""2025-26!AM4"")"),1402806.0)</f>
        <v>1402806</v>
      </c>
      <c r="CG33" s="55">
        <f>IFERROR(__xludf.DUMMYFUNCTION("IMPORTRANGE(""1_TT4RnsAZgXuAbklftUgfeSBolGqHFrqm00ibq315zk"",""2025-26!AM3"")"),46.0)</f>
        <v>46</v>
      </c>
      <c r="CH33" s="55">
        <f>IFERROR(__xludf.DUMMYFUNCTION("IMPORTRANGE(""1_TT4RnsAZgXuAbklftUgfeSBolGqHFrqm00ibq315zk"",""2025-26!AN4"")"),1700000.0)</f>
        <v>1700000</v>
      </c>
      <c r="CI33" s="55">
        <f>IFERROR(__xludf.DUMMYFUNCTION("IMPORTRANGE(""1_TT4RnsAZgXuAbklftUgfeSBolGqHFrqm00ibq315zk"",""2025-26!AN3"")"),49.0)</f>
        <v>49</v>
      </c>
      <c r="CJ33" s="55">
        <f>IFERROR(__xludf.DUMMYFUNCTION("IMPORTRANGE(""1_TT4RnsAZgXuAbklftUgfeSBolGqHFrqm00ibq315zk"",""2025-26!AO4"")"),1352209.72)</f>
        <v>1352209.72</v>
      </c>
      <c r="CK33" s="55">
        <f>IFERROR(__xludf.DUMMYFUNCTION("IMPORTRANGE(""1_TT4RnsAZgXuAbklftUgfeSBolGqHFrqm00ibq315zk"",""2025-26!AO3"")"),29.0)</f>
        <v>29</v>
      </c>
      <c r="CL33" s="59">
        <f t="shared" si="28"/>
        <v>0.9878941176</v>
      </c>
      <c r="CM33" s="55">
        <f>IFERROR(__xludf.DUMMYFUNCTION("IMPORTRANGE(""1_TT4RnsAZgXuAbklftUgfeSBolGqHFrqm00ibq315zk"",""2025-26!AP4"")"),1679420.0)</f>
        <v>1679420</v>
      </c>
      <c r="CN33" s="55">
        <f>IFERROR(__xludf.DUMMYFUNCTION("IMPORTRANGE(""1_TT4RnsAZgXuAbklftUgfeSBolGqHFrqm00ibq315zk"",""2025-26!AP3"")"),42.0)</f>
        <v>42</v>
      </c>
      <c r="CO33" s="55">
        <f>IFERROR(__xludf.DUMMYFUNCTION("IMPORTRANGE(""1_TT4RnsAZgXuAbklftUgfeSBolGqHFrqm00ibq315zk"",""2025-26!AQ4"")"),1700000.0)</f>
        <v>1700000</v>
      </c>
      <c r="CP33" s="55">
        <f>IFERROR(__xludf.DUMMYFUNCTION("IMPORTRANGE(""1_TT4RnsAZgXuAbklftUgfeSBolGqHFrqm00ibq315zk"",""2025-26!AQ3"")"),59.0)</f>
        <v>59</v>
      </c>
      <c r="CQ33" s="55">
        <f>IFERROR(__xludf.DUMMYFUNCTION("IMPORTRANGE(""1_TT4RnsAZgXuAbklftUgfeSBolGqHFrqm00ibq315zk"",""2025-26!AR4"")"),1260507.6)</f>
        <v>1260507.6</v>
      </c>
      <c r="CR33" s="55">
        <f>IFERROR(__xludf.DUMMYFUNCTION("IMPORTRANGE(""1_TT4RnsAZgXuAbklftUgfeSBolGqHFrqm00ibq315zk"",""2025-26!AR3"")"),26.0)</f>
        <v>26</v>
      </c>
      <c r="CS33" s="59">
        <f t="shared" si="29"/>
        <v>0.9265335294</v>
      </c>
      <c r="CT33" s="55">
        <f>IFERROR(__xludf.DUMMYFUNCTION("IMPORTRANGE(""1_TT4RnsAZgXuAbklftUgfeSBolGqHFrqm00ibq315zk"",""2025-26!AS4"")"),1575107.0)</f>
        <v>1575107</v>
      </c>
      <c r="CU33" s="55">
        <f>IFERROR(__xludf.DUMMYFUNCTION("IMPORTRANGE(""1_TT4RnsAZgXuAbklftUgfeSBolGqHFrqm00ibq315zk"",""2025-26!AS3"")"),31.0)</f>
        <v>31</v>
      </c>
      <c r="CV33" s="60" t="s">
        <v>85</v>
      </c>
    </row>
    <row r="34">
      <c r="A34" s="91" t="s">
        <v>84</v>
      </c>
      <c r="B34" s="37"/>
      <c r="C34" s="93" t="s">
        <v>88</v>
      </c>
      <c r="D34" s="49" t="s">
        <v>89</v>
      </c>
      <c r="E34" s="50">
        <v>9.551555303E9</v>
      </c>
      <c r="F34" s="51">
        <v>44046.0</v>
      </c>
      <c r="G34" s="62"/>
      <c r="H34" s="62"/>
      <c r="I34" s="53">
        <f>VLOOKUP($C34,Data!$C:$BV,72,0)</f>
        <v>40380</v>
      </c>
      <c r="J34" s="54">
        <v>1958333.0</v>
      </c>
      <c r="K34" s="55">
        <f>IFERROR(__xludf.DUMMYFUNCTION("IMPORTRANGE(""1zTUZyCgpe5SHmuI9FrQBt0ogwnCca-y-tNqbAVBNwKA"",""2025-26!A3"")"),115.0)</f>
        <v>115</v>
      </c>
      <c r="L34" s="55">
        <f>IFERROR(__xludf.DUMMYFUNCTION("IMPORTRANGE(""1zTUZyCgpe5SHmuI9FrQBt0ogwnCca-y-tNqbAVBNwKA"",""2025-26!G4"")"),2.34E7)</f>
        <v>23400000</v>
      </c>
      <c r="M34" s="55">
        <f t="shared" si="41"/>
        <v>16007147.95</v>
      </c>
      <c r="N34" s="56">
        <f t="shared" si="42"/>
        <v>0.8100281197</v>
      </c>
      <c r="O34" s="57">
        <f t="shared" si="43"/>
        <v>18954658</v>
      </c>
      <c r="P34" s="55">
        <f>IFERROR(__xludf.DUMMYFUNCTION("IMPORTRANGE(""1zTUZyCgpe5SHmuI9FrQBt0ogwnCca-y-tNqbAVBNwKA"",""2025-26!J4"")"),1600000.0)</f>
        <v>1600000</v>
      </c>
      <c r="Q34" s="55">
        <f>IFERROR(__xludf.DUMMYFUNCTION("IMPORTRANGE(""1zTUZyCgpe5SHmuI9FrQBt0ogwnCca-y-tNqbAVBNwKA"",""2025-26!J3"")"),90.0)</f>
        <v>90</v>
      </c>
      <c r="R34" s="55">
        <f>IFERROR(__xludf.DUMMYFUNCTION("IMPORTRANGE(""1zTUZyCgpe5SHmuI9FrQBt0ogwnCca-y-tNqbAVBNwKA"",""2025-26!K4"")"),1202178.5999999999)</f>
        <v>1202178.6</v>
      </c>
      <c r="S34" s="55">
        <f>IFERROR(__xludf.DUMMYFUNCTION("IMPORTRANGE(""1zTUZyCgpe5SHmuI9FrQBt0ogwnCca-y-tNqbAVBNwKA"",""2025-26!K3"")"),41.0)</f>
        <v>41</v>
      </c>
      <c r="T34" s="58">
        <f t="shared" si="18"/>
        <v>0.89012045</v>
      </c>
      <c r="U34" s="55">
        <f>IFERROR(__xludf.DUMMYFUNCTION("IMPORTRANGE(""1zTUZyCgpe5SHmuI9FrQBt0ogwnCca-y-tNqbAVBNwKA"",""2025-26!L4"")"),1424192.7200000002)</f>
        <v>1424192.72</v>
      </c>
      <c r="V34" s="55">
        <f>IFERROR(__xludf.DUMMYFUNCTION("IMPORTRANGE(""1zTUZyCgpe5SHmuI9FrQBt0ogwnCca-y-tNqbAVBNwKA"",""2025-26!L3"")"),47.0)</f>
        <v>47</v>
      </c>
      <c r="W34" s="55">
        <f>IFERROR(__xludf.DUMMYFUNCTION("IMPORTRANGE(""1zTUZyCgpe5SHmuI9FrQBt0ogwnCca-y-tNqbAVBNwKA"",""2025-26!m4"")"),1600000.0)</f>
        <v>1600000</v>
      </c>
      <c r="X34" s="55">
        <f>IFERROR(__xludf.DUMMYFUNCTION("IMPORTRANGE(""1zTUZyCgpe5SHmuI9FrQBt0ogwnCca-y-tNqbAVBNwKA"",""2025-26!m3"")"),90.0)</f>
        <v>90</v>
      </c>
      <c r="Y34" s="55">
        <f>IFERROR(__xludf.DUMMYFUNCTION("IMPORTRANGE(""1zTUZyCgpe5SHmuI9FrQBt0ogwnCca-y-tNqbAVBNwKA"",""2025-26!N4"")"),1065159.2000000002)</f>
        <v>1065159.2</v>
      </c>
      <c r="Z34" s="55">
        <f>IFERROR(__xludf.DUMMYFUNCTION("IMPORTRANGE(""1zTUZyCgpe5SHmuI9FrQBt0ogwnCca-y-tNqbAVBNwKA"",""2025-26!N3"")"),44.0)</f>
        <v>44</v>
      </c>
      <c r="AA34" s="58">
        <f t="shared" si="19"/>
        <v>0.8450687938</v>
      </c>
      <c r="AB34" s="55">
        <f>IFERROR(__xludf.DUMMYFUNCTION("IMPORTRANGE(""1zTUZyCgpe5SHmuI9FrQBt0ogwnCca-y-tNqbAVBNwKA"",""2025-26!O4"")"),1352110.0699999998)</f>
        <v>1352110.07</v>
      </c>
      <c r="AC34" s="55">
        <f>IFERROR(__xludf.DUMMYFUNCTION("IMPORTRANGE(""1zTUZyCgpe5SHmuI9FrQBt0ogwnCca-y-tNqbAVBNwKA"",""2025-26!O3"")"),44.0)</f>
        <v>44</v>
      </c>
      <c r="AD34" s="55">
        <f>IFERROR(__xludf.DUMMYFUNCTION("IMPORTRANGE(""1zTUZyCgpe5SHmuI9FrQBt0ogwnCca-y-tNqbAVBNwKA"",""2025-26!P4"")"),1600000.0)</f>
        <v>1600000</v>
      </c>
      <c r="AE34" s="55">
        <f>IFERROR(__xludf.DUMMYFUNCTION("IMPORTRANGE(""1zTUZyCgpe5SHmuI9FrQBt0ogwnCca-y-tNqbAVBNwKA"",""2025-26!P3"")"),91.0)</f>
        <v>91</v>
      </c>
      <c r="AF34" s="55">
        <f>IFERROR(__xludf.DUMMYFUNCTION("IMPORTRANGE(""1zTUZyCgpe5SHmuI9FrQBt0ogwnCca-y-tNqbAVBNwKA"",""2025-26!Q4"")"),1253679.9000000001)</f>
        <v>1253679.9</v>
      </c>
      <c r="AG34" s="55">
        <f>IFERROR(__xludf.DUMMYFUNCTION("IMPORTRANGE(""1zTUZyCgpe5SHmuI9FrQBt0ogwnCca-y-tNqbAVBNwKA"",""2025-26!Q3"")"),38.0)</f>
        <v>38</v>
      </c>
      <c r="AH34" s="58">
        <f t="shared" si="20"/>
        <v>0.9163573313</v>
      </c>
      <c r="AI34" s="55">
        <f>IFERROR(__xludf.DUMMYFUNCTION("IMPORTRANGE(""1zTUZyCgpe5SHmuI9FrQBt0ogwnCca-y-tNqbAVBNwKA"",""2025-26!R4"")"),1466171.7299999997)</f>
        <v>1466171.73</v>
      </c>
      <c r="AJ34" s="55">
        <f>IFERROR(__xludf.DUMMYFUNCTION("IMPORTRANGE(""1zTUZyCgpe5SHmuI9FrQBt0ogwnCca-y-tNqbAVBNwKA"",""2025-26!R3"")"),44.0)</f>
        <v>44</v>
      </c>
      <c r="AK34" s="55">
        <f>IFERROR(__xludf.DUMMYFUNCTION("IMPORTRANGE(""1zTUZyCgpe5SHmuI9FrQBt0ogwnCca-y-tNqbAVBNwKA"",""2025-26!S4"")"),1950000.0)</f>
        <v>1950000</v>
      </c>
      <c r="AL34" s="55">
        <f>IFERROR(__xludf.DUMMYFUNCTION("IMPORTRANGE(""1zTUZyCgpe5SHmuI9FrQBt0ogwnCca-y-tNqbAVBNwKA"",""2025-26!S3"")"),96.0)</f>
        <v>96</v>
      </c>
      <c r="AM34" s="55">
        <f>IFERROR(__xludf.DUMMYFUNCTION("IMPORTRANGE(""1zTUZyCgpe5SHmuI9FrQBt0ogwnCca-y-tNqbAVBNwKA"",""2025-26!T4"")"),1374179.95)</f>
        <v>1374179.95</v>
      </c>
      <c r="AN34" s="55">
        <f>IFERROR(__xludf.DUMMYFUNCTION("IMPORTRANGE(""1zTUZyCgpe5SHmuI9FrQBt0ogwnCca-y-tNqbAVBNwKA"",""2025-26!T3"")"),43.0)</f>
        <v>43</v>
      </c>
      <c r="AO34" s="58">
        <f t="shared" si="21"/>
        <v>0.7169885128</v>
      </c>
      <c r="AP34" s="55">
        <f>IFERROR(__xludf.DUMMYFUNCTION("IMPORTRANGE(""1zTUZyCgpe5SHmuI9FrQBt0ogwnCca-y-tNqbAVBNwKA"",""2025-26!U4"")"),1398127.5999999999)</f>
        <v>1398127.6</v>
      </c>
      <c r="AQ34" s="55">
        <f>IFERROR(__xludf.DUMMYFUNCTION("IMPORTRANGE(""1zTUZyCgpe5SHmuI9FrQBt0ogwnCca-y-tNqbAVBNwKA"",""2025-26!U3"")"),45.0)</f>
        <v>45</v>
      </c>
      <c r="AR34" s="55">
        <f>IFERROR(__xludf.DUMMYFUNCTION("IMPORTRANGE(""1zTUZyCgpe5SHmuI9FrQBt0ogwnCca-y-tNqbAVBNwKA"",""2025-26!V4"")"),1950000.0)</f>
        <v>1950000</v>
      </c>
      <c r="AS34" s="55">
        <f>IFERROR(__xludf.DUMMYFUNCTION("IMPORTRANGE(""1zTUZyCgpe5SHmuI9FrQBt0ogwnCca-y-tNqbAVBNwKA"",""2025-26!V3"")"),96.0)</f>
        <v>96</v>
      </c>
      <c r="AT34" s="55">
        <f>IFERROR(__xludf.DUMMYFUNCTION("IMPORTRANGE(""1zTUZyCgpe5SHmuI9FrQBt0ogwnCca-y-tNqbAVBNwKA"",""2025-26!W4"")"),1506715.6499999997)</f>
        <v>1506715.65</v>
      </c>
      <c r="AU34" s="55">
        <f>IFERROR(__xludf.DUMMYFUNCTION("IMPORTRANGE(""1zTUZyCgpe5SHmuI9FrQBt0ogwnCca-y-tNqbAVBNwKA"",""2025-26!W3"")"),45.0)</f>
        <v>45</v>
      </c>
      <c r="AV34" s="58">
        <f t="shared" si="22"/>
        <v>0.8610774821</v>
      </c>
      <c r="AW34" s="55">
        <f>IFERROR(__xludf.DUMMYFUNCTION("IMPORTRANGE(""1zTUZyCgpe5SHmuI9FrQBt0ogwnCca-y-tNqbAVBNwKA"",""2025-26!X4"")"),1679101.09)</f>
        <v>1679101.09</v>
      </c>
      <c r="AX34" s="55">
        <f>IFERROR(__xludf.DUMMYFUNCTION("IMPORTRANGE(""1zTUZyCgpe5SHmuI9FrQBt0ogwnCca-y-tNqbAVBNwKA"",""2025-26!X3"")"),45.0)</f>
        <v>45</v>
      </c>
      <c r="AY34" s="55">
        <f>IFERROR(__xludf.DUMMYFUNCTION("IMPORTRANGE(""1zTUZyCgpe5SHmuI9FrQBt0ogwnCca-y-tNqbAVBNwKA"",""2025-26!Y4"")"),1950000.0)</f>
        <v>1950000</v>
      </c>
      <c r="AZ34" s="55">
        <f>IFERROR(__xludf.DUMMYFUNCTION("IMPORTRANGE(""1zTUZyCgpe5SHmuI9FrQBt0ogwnCca-y-tNqbAVBNwKA"",""2025-26!Y3"")"),95.0)</f>
        <v>95</v>
      </c>
      <c r="BA34" s="55">
        <f>IFERROR(__xludf.DUMMYFUNCTION("IMPORTRANGE(""1zTUZyCgpe5SHmuI9FrQBt0ogwnCca-y-tNqbAVBNwKA"",""2025-26!Z4"")"),1152074.0000000002)</f>
        <v>1152074</v>
      </c>
      <c r="BB34" s="55">
        <f>IFERROR(__xludf.DUMMYFUNCTION("IMPORTRANGE(""1zTUZyCgpe5SHmuI9FrQBt0ogwnCca-y-tNqbAVBNwKA"",""2025-26!Z3"")"),44.0)</f>
        <v>44</v>
      </c>
      <c r="BC34" s="59">
        <f t="shared" si="23"/>
        <v>0.7644023692</v>
      </c>
      <c r="BD34" s="55">
        <f>IFERROR(__xludf.DUMMYFUNCTION("IMPORTRANGE(""1zTUZyCgpe5SHmuI9FrQBt0ogwnCca-y-tNqbAVBNwKA"",""2025-26!AA4"")"),1490584.62)</f>
        <v>1490584.62</v>
      </c>
      <c r="BE34" s="55">
        <f>IFERROR(__xludf.DUMMYFUNCTION("IMPORTRANGE(""1zTUZyCgpe5SHmuI9FrQBt0ogwnCca-y-tNqbAVBNwKA"",""2025-26!AA3"")"),49.0)</f>
        <v>49</v>
      </c>
      <c r="BF34" s="55">
        <f>IFERROR(__xludf.DUMMYFUNCTION("IMPORTRANGE(""1zTUZyCgpe5SHmuI9FrQBt0ogwnCca-y-tNqbAVBNwKA"",""2025-26!AB4"")"),1958000.0)</f>
        <v>1958000</v>
      </c>
      <c r="BG34" s="55">
        <f>IFERROR(__xludf.DUMMYFUNCTION("IMPORTRANGE(""1zTUZyCgpe5SHmuI9FrQBt0ogwnCca-y-tNqbAVBNwKA"",""2025-26!AB3"")"),100.0)</f>
        <v>100</v>
      </c>
      <c r="BH34" s="55">
        <f>IFERROR(__xludf.DUMMYFUNCTION("IMPORTRANGE(""1zTUZyCgpe5SHmuI9FrQBt0ogwnCca-y-tNqbAVBNwKA"",""2025-26!AC4"")"),1025254.9999999999)</f>
        <v>1025255</v>
      </c>
      <c r="BI34" s="55">
        <f>IFERROR(__xludf.DUMMYFUNCTION("IMPORTRANGE(""1zTUZyCgpe5SHmuI9FrQBt0ogwnCca-y-tNqbAVBNwKA"",""2025-26!AC3"")"),33.0)</f>
        <v>33</v>
      </c>
      <c r="BJ34" s="59">
        <f t="shared" si="24"/>
        <v>0.8180230286</v>
      </c>
      <c r="BK34" s="55">
        <f>IFERROR(__xludf.DUMMYFUNCTION("IMPORTRANGE(""1zTUZyCgpe5SHmuI9FrQBt0ogwnCca-y-tNqbAVBNwKA"",""2025-26!AD4"")"),1601689.0899999996)</f>
        <v>1601689.09</v>
      </c>
      <c r="BL34" s="55">
        <f>IFERROR(__xludf.DUMMYFUNCTION("IMPORTRANGE(""1zTUZyCgpe5SHmuI9FrQBt0ogwnCca-y-tNqbAVBNwKA"",""2025-26!AD3"")"),42.0)</f>
        <v>42</v>
      </c>
      <c r="BM34" s="55">
        <f>IFERROR(__xludf.DUMMYFUNCTION("IMPORTRANGE(""1zTUZyCgpe5SHmuI9FrQBt0ogwnCca-y-tNqbAVBNwKA"",""2025-26!AE4"")"),1958000.0)</f>
        <v>1958000</v>
      </c>
      <c r="BN34" s="55">
        <f>IFERROR(__xludf.DUMMYFUNCTION("IMPORTRANGE(""1zTUZyCgpe5SHmuI9FrQBt0ogwnCca-y-tNqbAVBNwKA"",""2025-26!AE3"")"),100.0)</f>
        <v>100</v>
      </c>
      <c r="BO34" s="55">
        <f>IFERROR(__xludf.DUMMYFUNCTION("IMPORTRANGE(""1zTUZyCgpe5SHmuI9FrQBt0ogwnCca-y-tNqbAVBNwKA"",""2025-26!AF4"")"),1875166.7)</f>
        <v>1875166.7</v>
      </c>
      <c r="BP34" s="55">
        <f>IFERROR(__xludf.DUMMYFUNCTION("IMPORTRANGE(""1zTUZyCgpe5SHmuI9FrQBt0ogwnCca-y-tNqbAVBNwKA"",""2025-26!AF3"")"),45.0)</f>
        <v>45</v>
      </c>
      <c r="BQ34" s="59">
        <f t="shared" si="25"/>
        <v>1.044089275</v>
      </c>
      <c r="BR34" s="55">
        <f>IFERROR(__xludf.DUMMYFUNCTION("IMPORTRANGE(""1zTUZyCgpe5SHmuI9FrQBt0ogwnCca-y-tNqbAVBNwKA"",""2025-26!AG4"")"),2044326.8)</f>
        <v>2044326.8</v>
      </c>
      <c r="BS34" s="55">
        <f>IFERROR(__xludf.DUMMYFUNCTION("IMPORTRANGE(""1zTUZyCgpe5SHmuI9FrQBt0ogwnCca-y-tNqbAVBNwKA"",""2025-26!AG3"")"),50.0)</f>
        <v>50</v>
      </c>
      <c r="BT34" s="55">
        <f>IFERROR(__xludf.DUMMYFUNCTION("IMPORTRANGE(""1zTUZyCgpe5SHmuI9FrQBt0ogwnCca-y-tNqbAVBNwKA"",""2025-26!AH4"")"),1958000.0)</f>
        <v>1958000</v>
      </c>
      <c r="BU34" s="55">
        <f>IFERROR(__xludf.DUMMYFUNCTION("IMPORTRANGE(""1zTUZyCgpe5SHmuI9FrQBt0ogwnCca-y-tNqbAVBNwKA"",""2025-26!AH3"")"),101.0)</f>
        <v>101</v>
      </c>
      <c r="BV34" s="55">
        <f>IFERROR(__xludf.DUMMYFUNCTION("IMPORTRANGE(""1zTUZyCgpe5SHmuI9FrQBt0ogwnCca-y-tNqbAVBNwKA"",""2025-26!AI4"")"),1005781.15)</f>
        <v>1005781.15</v>
      </c>
      <c r="BW34" s="55">
        <f>IFERROR(__xludf.DUMMYFUNCTION("IMPORTRANGE(""1zTUZyCgpe5SHmuI9FrQBt0ogwnCca-y-tNqbAVBNwKA"",""2025-26!AI3"")"),31.0)</f>
        <v>31</v>
      </c>
      <c r="BX34" s="59">
        <f t="shared" si="26"/>
        <v>0.7994638917</v>
      </c>
      <c r="BY34" s="55">
        <f>IFERROR(__xludf.DUMMYFUNCTION("IMPORTRANGE(""1zTUZyCgpe5SHmuI9FrQBt0ogwnCca-y-tNqbAVBNwKA"",""2025-26!AJ4"")"),1565350.3)</f>
        <v>1565350.3</v>
      </c>
      <c r="BZ34" s="55">
        <f>IFERROR(__xludf.DUMMYFUNCTION("IMPORTRANGE(""1zTUZyCgpe5SHmuI9FrQBt0ogwnCca-y-tNqbAVBNwKA"",""2025-26!AJ3"")"),39.0)</f>
        <v>39</v>
      </c>
      <c r="CA34" s="55">
        <f>IFERROR(__xludf.DUMMYFUNCTION("IMPORTRANGE(""1zTUZyCgpe5SHmuI9FrQBt0ogwnCca-y-tNqbAVBNwKA"",""2025-26!AK4"")"),465000.0)</f>
        <v>465000</v>
      </c>
      <c r="CB34" s="55">
        <f>IFERROR(__xludf.DUMMYFUNCTION("IMPORTRANGE(""1zTUZyCgpe5SHmuI9FrQBt0ogwnCca-y-tNqbAVBNwKA"",""2025-26!AK3"")"),26.0)</f>
        <v>26</v>
      </c>
      <c r="CC34" s="55">
        <f>IFERROR(__xludf.DUMMYFUNCTION("IMPORTRANGE(""1zTUZyCgpe5SHmuI9FrQBt0ogwnCca-y-tNqbAVBNwKA"",""2025-26!AL4"")"),1819941.2)</f>
        <v>1819941.2</v>
      </c>
      <c r="CD34" s="55">
        <f>IFERROR(__xludf.DUMMYFUNCTION("IMPORTRANGE(""1zTUZyCgpe5SHmuI9FrQBt0ogwnCca-y-tNqbAVBNwKA"",""2025-26!AL3"")"),42.0)</f>
        <v>42</v>
      </c>
      <c r="CE34" s="59">
        <f t="shared" si="27"/>
        <v>3.913133269</v>
      </c>
      <c r="CF34" s="55">
        <f>IFERROR(__xludf.DUMMYFUNCTION("IMPORTRANGE(""1zTUZyCgpe5SHmuI9FrQBt0ogwnCca-y-tNqbAVBNwKA"",""2025-26!AM4"")"),1819606.97)</f>
        <v>1819606.97</v>
      </c>
      <c r="CG34" s="55">
        <f>IFERROR(__xludf.DUMMYFUNCTION("IMPORTRANGE(""1zTUZyCgpe5SHmuI9FrQBt0ogwnCca-y-tNqbAVBNwKA"",""2025-26!AM3"")"),44.0)</f>
        <v>44</v>
      </c>
      <c r="CH34" s="55">
        <f>IFERROR(__xludf.DUMMYFUNCTION("IMPORTRANGE(""1zTUZyCgpe5SHmuI9FrQBt0ogwnCca-y-tNqbAVBNwKA"",""2025-26!AN4"")"),373000.0)</f>
        <v>373000</v>
      </c>
      <c r="CI34" s="55">
        <f>IFERROR(__xludf.DUMMYFUNCTION("IMPORTRANGE(""1zTUZyCgpe5SHmuI9FrQBt0ogwnCca-y-tNqbAVBNwKA"",""2025-26!AN3"")"),27.0)</f>
        <v>27</v>
      </c>
      <c r="CJ34" s="55">
        <f>IFERROR(__xludf.DUMMYFUNCTION("IMPORTRANGE(""1zTUZyCgpe5SHmuI9FrQBt0ogwnCca-y-tNqbAVBNwKA"",""2025-26!AO4"")"),1284892.4000000001)</f>
        <v>1284892.4</v>
      </c>
      <c r="CK34" s="55">
        <f>IFERROR(__xludf.DUMMYFUNCTION("IMPORTRANGE(""1zTUZyCgpe5SHmuI9FrQBt0ogwnCca-y-tNqbAVBNwKA"",""2025-26!AO3"")"),40.0)</f>
        <v>40</v>
      </c>
      <c r="CL34" s="59">
        <f t="shared" si="28"/>
        <v>4.345473941</v>
      </c>
      <c r="CM34" s="55">
        <f>IFERROR(__xludf.DUMMYFUNCTION("IMPORTRANGE(""1zTUZyCgpe5SHmuI9FrQBt0ogwnCca-y-tNqbAVBNwKA"",""2025-26!AP4"")"),1620861.7799999998)</f>
        <v>1620861.78</v>
      </c>
      <c r="CN34" s="55">
        <f>IFERROR(__xludf.DUMMYFUNCTION("IMPORTRANGE(""1zTUZyCgpe5SHmuI9FrQBt0ogwnCca-y-tNqbAVBNwKA"",""2025-26!AP3"")"),49.0)</f>
        <v>49</v>
      </c>
      <c r="CO34" s="55">
        <f>IFERROR(__xludf.DUMMYFUNCTION("IMPORTRANGE(""1zTUZyCgpe5SHmuI9FrQBt0ogwnCca-y-tNqbAVBNwKA"",""2025-26!AQ4"")"),585000.0)</f>
        <v>585000</v>
      </c>
      <c r="CP34" s="55">
        <f>IFERROR(__xludf.DUMMYFUNCTION("IMPORTRANGE(""1zTUZyCgpe5SHmuI9FrQBt0ogwnCca-y-tNqbAVBNwKA"",""2025-26!AQ3"")"),24.0)</f>
        <v>24</v>
      </c>
      <c r="CQ34" s="55">
        <f>IFERROR(__xludf.DUMMYFUNCTION("IMPORTRANGE(""1zTUZyCgpe5SHmuI9FrQBt0ogwnCca-y-tNqbAVBNwKA"",""2025-26!AR4"")"),1442124.2)</f>
        <v>1442124.2</v>
      </c>
      <c r="CR34" s="55">
        <f>IFERROR(__xludf.DUMMYFUNCTION("IMPORTRANGE(""1zTUZyCgpe5SHmuI9FrQBt0ogwnCca-y-tNqbAVBNwKA"",""2025-26!AR3"")"),36.0)</f>
        <v>36</v>
      </c>
      <c r="CS34" s="59">
        <f t="shared" si="29"/>
        <v>2.551342274</v>
      </c>
      <c r="CT34" s="55">
        <f>IFERROR(__xludf.DUMMYFUNCTION("IMPORTRANGE(""1zTUZyCgpe5SHmuI9FrQBt0ogwnCca-y-tNqbAVBNwKA"",""2025-26!AS4"")"),1492535.23)</f>
        <v>1492535.23</v>
      </c>
      <c r="CU34" s="55">
        <f>IFERROR(__xludf.DUMMYFUNCTION("IMPORTRANGE(""1zTUZyCgpe5SHmuI9FrQBt0ogwnCca-y-tNqbAVBNwKA"",""2025-26!AS3"")"),34.0)</f>
        <v>34</v>
      </c>
      <c r="CV34" s="60" t="s">
        <v>85</v>
      </c>
    </row>
    <row r="35">
      <c r="A35" s="91" t="s">
        <v>84</v>
      </c>
      <c r="B35" s="37"/>
      <c r="C35" s="61" t="s">
        <v>90</v>
      </c>
      <c r="D35" s="65" t="s">
        <v>91</v>
      </c>
      <c r="E35" s="68">
        <v>9.585780682E9</v>
      </c>
      <c r="F35" s="66">
        <v>45635.0</v>
      </c>
      <c r="G35" s="62"/>
      <c r="H35" s="62"/>
      <c r="I35" s="53">
        <f>VLOOKUP($C35,Data!$C:$BV,72,0)</f>
        <v>36188</v>
      </c>
      <c r="J35" s="54">
        <v>1250000.0</v>
      </c>
      <c r="K35" s="55">
        <f>IFERROR(__xludf.DUMMYFUNCTION("IMPORTRANGE(""1qD_dDXHvafaUuFnZ7gAkyxCmJQoO3BtBbnVLwHgMtpU"",""2025-26!A3"")"),154.0)</f>
        <v>154</v>
      </c>
      <c r="L35" s="55">
        <f>IFERROR(__xludf.DUMMYFUNCTION("IMPORTRANGE(""1qD_dDXHvafaUuFnZ7gAkyxCmJQoO3BtBbnVLwHgMtpU"",""2025-26!G4"")"),4.08E7)</f>
        <v>40800000</v>
      </c>
      <c r="M35" s="55">
        <f t="shared" si="41"/>
        <v>10609300.1</v>
      </c>
      <c r="N35" s="56">
        <f t="shared" si="42"/>
        <v>0.2539844338</v>
      </c>
      <c r="O35" s="57">
        <f t="shared" si="43"/>
        <v>10362564.9</v>
      </c>
      <c r="P35" s="55">
        <f>IFERROR(__xludf.DUMMYFUNCTION("IMPORTRANGE(""1qD_dDXHvafaUuFnZ7gAkyxCmJQoO3BtBbnVLwHgMtpU"",""2025-26!J4"")"),1520000.0)</f>
        <v>1520000</v>
      </c>
      <c r="Q35" s="55">
        <f>IFERROR(__xludf.DUMMYFUNCTION("IMPORTRANGE(""1qD_dDXHvafaUuFnZ7gAkyxCmJQoO3BtBbnVLwHgMtpU"",""2025-26!J3"")"),71.0)</f>
        <v>71</v>
      </c>
      <c r="R35" s="55">
        <f>IFERROR(__xludf.DUMMYFUNCTION("IMPORTRANGE(""1qD_dDXHvafaUuFnZ7gAkyxCmJQoO3BtBbnVLwHgMtpU"",""2025-26!K4"")"),334208.45)</f>
        <v>334208.45</v>
      </c>
      <c r="S35" s="55">
        <f>IFERROR(__xludf.DUMMYFUNCTION("IMPORTRANGE(""1qD_dDXHvafaUuFnZ7gAkyxCmJQoO3BtBbnVLwHgMtpU"",""2025-26!K3"")"),13.0)</f>
        <v>13</v>
      </c>
      <c r="T35" s="58">
        <f t="shared" si="18"/>
        <v>0.2046032895</v>
      </c>
      <c r="U35" s="55">
        <f>IFERROR(__xludf.DUMMYFUNCTION("IMPORTRANGE(""1qD_dDXHvafaUuFnZ7gAkyxCmJQoO3BtBbnVLwHgMtpU"",""2025-26!L4"")"),310997.0)</f>
        <v>310997</v>
      </c>
      <c r="V35" s="55">
        <f>IFERROR(__xludf.DUMMYFUNCTION("IMPORTRANGE(""1qD_dDXHvafaUuFnZ7gAkyxCmJQoO3BtBbnVLwHgMtpU"",""2025-26!L3"")"),12.0)</f>
        <v>12</v>
      </c>
      <c r="W35" s="55">
        <f>IFERROR(__xludf.DUMMYFUNCTION("IMPORTRANGE(""1qD_dDXHvafaUuFnZ7gAkyxCmJQoO3BtBbnVLwHgMtpU"",""2025-26!m4"")"),1520000.0)</f>
        <v>1520000</v>
      </c>
      <c r="X35" s="55">
        <f>IFERROR(__xludf.DUMMYFUNCTION("IMPORTRANGE(""1qD_dDXHvafaUuFnZ7gAkyxCmJQoO3BtBbnVLwHgMtpU"",""2025-26!m3"")"),71.0)</f>
        <v>71</v>
      </c>
      <c r="Y35" s="55">
        <f>IFERROR(__xludf.DUMMYFUNCTION("IMPORTRANGE(""1qD_dDXHvafaUuFnZ7gAkyxCmJQoO3BtBbnVLwHgMtpU"",""2025-26!N4"")"),451077.0)</f>
        <v>451077</v>
      </c>
      <c r="Z35" s="55">
        <f>IFERROR(__xludf.DUMMYFUNCTION("IMPORTRANGE(""1qD_dDXHvafaUuFnZ7gAkyxCmJQoO3BtBbnVLwHgMtpU"",""2025-26!N3"")"),17.0)</f>
        <v>17</v>
      </c>
      <c r="AA35" s="58">
        <f t="shared" si="19"/>
        <v>0.3607747368</v>
      </c>
      <c r="AB35" s="55">
        <f>IFERROR(__xludf.DUMMYFUNCTION("IMPORTRANGE(""1qD_dDXHvafaUuFnZ7gAkyxCmJQoO3BtBbnVLwHgMtpU"",""2025-26!O4"")"),548377.6)</f>
        <v>548377.6</v>
      </c>
      <c r="AC35" s="55">
        <f>IFERROR(__xludf.DUMMYFUNCTION("IMPORTRANGE(""1qD_dDXHvafaUuFnZ7gAkyxCmJQoO3BtBbnVLwHgMtpU"",""2025-26!O3"")"),20.0)</f>
        <v>20</v>
      </c>
      <c r="AD35" s="55">
        <f>IFERROR(__xludf.DUMMYFUNCTION("IMPORTRANGE(""1qD_dDXHvafaUuFnZ7gAkyxCmJQoO3BtBbnVLwHgMtpU"",""2025-26!P4"")"),6000000.0)</f>
        <v>6000000</v>
      </c>
      <c r="AE35" s="55">
        <f>IFERROR(__xludf.DUMMYFUNCTION("IMPORTRANGE(""1qD_dDXHvafaUuFnZ7gAkyxCmJQoO3BtBbnVLwHgMtpU"",""2025-26!P3"")"),59.0)</f>
        <v>59</v>
      </c>
      <c r="AF35" s="55">
        <f>IFERROR(__xludf.DUMMYFUNCTION("IMPORTRANGE(""1qD_dDXHvafaUuFnZ7gAkyxCmJQoO3BtBbnVLwHgMtpU"",""2025-26!Q4"")"),906142.05)</f>
        <v>906142.05</v>
      </c>
      <c r="AG35" s="55">
        <f>IFERROR(__xludf.DUMMYFUNCTION("IMPORTRANGE(""1qD_dDXHvafaUuFnZ7gAkyxCmJQoO3BtBbnVLwHgMtpU"",""2025-26!Q3"")"),27.0)</f>
        <v>27</v>
      </c>
      <c r="AH35" s="58">
        <f t="shared" si="20"/>
        <v>0.1530358333</v>
      </c>
      <c r="AI35" s="55">
        <f>IFERROR(__xludf.DUMMYFUNCTION("IMPORTRANGE(""1qD_dDXHvafaUuFnZ7gAkyxCmJQoO3BtBbnVLwHgMtpU"",""2025-26!R4"")"),918215.0)</f>
        <v>918215</v>
      </c>
      <c r="AJ35" s="55">
        <f>IFERROR(__xludf.DUMMYFUNCTION("IMPORTRANGE(""1qD_dDXHvafaUuFnZ7gAkyxCmJQoO3BtBbnVLwHgMtpU"",""2025-26!R3"")"),28.0)</f>
        <v>28</v>
      </c>
      <c r="AK35" s="55">
        <f>IFERROR(__xludf.DUMMYFUNCTION("IMPORTRANGE(""1qD_dDXHvafaUuFnZ7gAkyxCmJQoO3BtBbnVLwHgMtpU"",""2025-26!S4"")"),1992000.0)</f>
        <v>1992000</v>
      </c>
      <c r="AL35" s="55">
        <f>IFERROR(__xludf.DUMMYFUNCTION("IMPORTRANGE(""1qD_dDXHvafaUuFnZ7gAkyxCmJQoO3BtBbnVLwHgMtpU"",""2025-26!S3"")"),59.0)</f>
        <v>59</v>
      </c>
      <c r="AM35" s="55">
        <f>IFERROR(__xludf.DUMMYFUNCTION("IMPORTRANGE(""1qD_dDXHvafaUuFnZ7gAkyxCmJQoO3BtBbnVLwHgMtpU"",""2025-26!T4"")"),1035527.9)</f>
        <v>1035527.9</v>
      </c>
      <c r="AN35" s="55">
        <f>IFERROR(__xludf.DUMMYFUNCTION("IMPORTRANGE(""1qD_dDXHvafaUuFnZ7gAkyxCmJQoO3BtBbnVLwHgMtpU"",""2025-26!T3"")"),36.0)</f>
        <v>36</v>
      </c>
      <c r="AO35" s="58">
        <f t="shared" si="21"/>
        <v>0.4122565261</v>
      </c>
      <c r="AP35" s="55">
        <f>IFERROR(__xludf.DUMMYFUNCTION("IMPORTRANGE(""1qD_dDXHvafaUuFnZ7gAkyxCmJQoO3BtBbnVLwHgMtpU"",""2025-26!U4"")"),821215.0)</f>
        <v>821215</v>
      </c>
      <c r="AQ35" s="55">
        <f>IFERROR(__xludf.DUMMYFUNCTION("IMPORTRANGE(""1qD_dDXHvafaUuFnZ7gAkyxCmJQoO3BtBbnVLwHgMtpU"",""2025-26!U3"")"),35.0)</f>
        <v>35</v>
      </c>
      <c r="AR35" s="55">
        <f>IFERROR(__xludf.DUMMYFUNCTION("IMPORTRANGE(""1qD_dDXHvafaUuFnZ7gAkyxCmJQoO3BtBbnVLwHgMtpU"",""2025-26!V4"")"),1992000.0)</f>
        <v>1992000</v>
      </c>
      <c r="AS35" s="55">
        <f>IFERROR(__xludf.DUMMYFUNCTION("IMPORTRANGE(""1qD_dDXHvafaUuFnZ7gAkyxCmJQoO3BtBbnVLwHgMtpU"",""2025-26!V3"")"),59.0)</f>
        <v>59</v>
      </c>
      <c r="AT35" s="55">
        <f>IFERROR(__xludf.DUMMYFUNCTION("IMPORTRANGE(""1qD_dDXHvafaUuFnZ7gAkyxCmJQoO3BtBbnVLwHgMtpU"",""2025-26!W4"")"),1181280.0999999999)</f>
        <v>1181280.1</v>
      </c>
      <c r="AU35" s="55">
        <f>IFERROR(__xludf.DUMMYFUNCTION("IMPORTRANGE(""1qD_dDXHvafaUuFnZ7gAkyxCmJQoO3BtBbnVLwHgMtpU"",""2025-26!W3"")"),46.0)</f>
        <v>46</v>
      </c>
      <c r="AV35" s="58">
        <f t="shared" si="22"/>
        <v>0.4726782129</v>
      </c>
      <c r="AW35" s="55">
        <f>IFERROR(__xludf.DUMMYFUNCTION("IMPORTRANGE(""1qD_dDXHvafaUuFnZ7gAkyxCmJQoO3BtBbnVLwHgMtpU"",""2025-26!X4"")"),941575.0)</f>
        <v>941575</v>
      </c>
      <c r="AX35" s="55">
        <f>IFERROR(__xludf.DUMMYFUNCTION("IMPORTRANGE(""1qD_dDXHvafaUuFnZ7gAkyxCmJQoO3BtBbnVLwHgMtpU"",""2025-26!X3"")"),35.0)</f>
        <v>35</v>
      </c>
      <c r="AY35" s="55">
        <f>IFERROR(__xludf.DUMMYFUNCTION("IMPORTRANGE(""1qD_dDXHvafaUuFnZ7gAkyxCmJQoO3BtBbnVLwHgMtpU"",""2025-26!Y4"")"),1992000.0)</f>
        <v>1992000</v>
      </c>
      <c r="AZ35" s="55">
        <f>IFERROR(__xludf.DUMMYFUNCTION("IMPORTRANGE(""1qD_dDXHvafaUuFnZ7gAkyxCmJQoO3BtBbnVLwHgMtpU"",""2025-26!Y3"")"),59.0)</f>
        <v>59</v>
      </c>
      <c r="BA35" s="55">
        <f>IFERROR(__xludf.DUMMYFUNCTION("IMPORTRANGE(""1qD_dDXHvafaUuFnZ7gAkyxCmJQoO3BtBbnVLwHgMtpU"",""2025-26!Z4"")"),934697.7)</f>
        <v>934697.7</v>
      </c>
      <c r="BB35" s="55">
        <f>IFERROR(__xludf.DUMMYFUNCTION("IMPORTRANGE(""1qD_dDXHvafaUuFnZ7gAkyxCmJQoO3BtBbnVLwHgMtpU"",""2025-26!Z3"")"),36.0)</f>
        <v>36</v>
      </c>
      <c r="BC35" s="59">
        <f t="shared" si="23"/>
        <v>0.5935130522</v>
      </c>
      <c r="BD35" s="55">
        <f>IFERROR(__xludf.DUMMYFUNCTION("IMPORTRANGE(""1qD_dDXHvafaUuFnZ7gAkyxCmJQoO3BtBbnVLwHgMtpU"",""2025-26!AA4"")"),1182278.0)</f>
        <v>1182278</v>
      </c>
      <c r="BE35" s="55">
        <f>IFERROR(__xludf.DUMMYFUNCTION("IMPORTRANGE(""1qD_dDXHvafaUuFnZ7gAkyxCmJQoO3BtBbnVLwHgMtpU"",""2025-26!AA3"")"),38.0)</f>
        <v>38</v>
      </c>
      <c r="BF35" s="55">
        <f>IFERROR(__xludf.DUMMYFUNCTION("IMPORTRANGE(""1qD_dDXHvafaUuFnZ7gAkyxCmJQoO3BtBbnVLwHgMtpU"",""2025-26!AB4"")"),4382400.0)</f>
        <v>4382400</v>
      </c>
      <c r="BG35" s="55">
        <f>IFERROR(__xludf.DUMMYFUNCTION("IMPORTRANGE(""1qD_dDXHvafaUuFnZ7gAkyxCmJQoO3BtBbnVLwHgMtpU"",""2025-26!AB3"")"),119.0)</f>
        <v>119</v>
      </c>
      <c r="BH35" s="55">
        <f>IFERROR(__xludf.DUMMYFUNCTION("IMPORTRANGE(""1qD_dDXHvafaUuFnZ7gAkyxCmJQoO3BtBbnVLwHgMtpU"",""2025-26!AC4"")"),829504.3999999999)</f>
        <v>829504.4</v>
      </c>
      <c r="BI35" s="55">
        <f>IFERROR(__xludf.DUMMYFUNCTION("IMPORTRANGE(""1qD_dDXHvafaUuFnZ7gAkyxCmJQoO3BtBbnVLwHgMtpU"",""2025-26!AC3"")"),36.0)</f>
        <v>36</v>
      </c>
      <c r="BJ35" s="59">
        <f t="shared" si="24"/>
        <v>0.1851061062</v>
      </c>
      <c r="BK35" s="55">
        <f>IFERROR(__xludf.DUMMYFUNCTION("IMPORTRANGE(""1qD_dDXHvafaUuFnZ7gAkyxCmJQoO3BtBbnVLwHgMtpU"",""2025-26!AD4"")"),811209.0)</f>
        <v>811209</v>
      </c>
      <c r="BL35" s="55">
        <f>IFERROR(__xludf.DUMMYFUNCTION("IMPORTRANGE(""1qD_dDXHvafaUuFnZ7gAkyxCmJQoO3BtBbnVLwHgMtpU"",""2025-26!AD3"")"),35.0)</f>
        <v>35</v>
      </c>
      <c r="BM35" s="55">
        <f>IFERROR(__xludf.DUMMYFUNCTION("IMPORTRANGE(""1qD_dDXHvafaUuFnZ7gAkyxCmJQoO3BtBbnVLwHgMtpU"",""2025-26!AE4"")"),4382400.0)</f>
        <v>4382400</v>
      </c>
      <c r="BN35" s="55">
        <f>IFERROR(__xludf.DUMMYFUNCTION("IMPORTRANGE(""1qD_dDXHvafaUuFnZ7gAkyxCmJQoO3BtBbnVLwHgMtpU"",""2025-26!AE3"")"),119.0)</f>
        <v>119</v>
      </c>
      <c r="BO35" s="55">
        <f>IFERROR(__xludf.DUMMYFUNCTION("IMPORTRANGE(""1qD_dDXHvafaUuFnZ7gAkyxCmJQoO3BtBbnVLwHgMtpU"",""2025-26!AF4"")"),779133.8499999999)</f>
        <v>779133.85</v>
      </c>
      <c r="BP35" s="55">
        <f>IFERROR(__xludf.DUMMYFUNCTION("IMPORTRANGE(""1qD_dDXHvafaUuFnZ7gAkyxCmJQoO3BtBbnVLwHgMtpU"",""2025-26!AF3"")"),45.0)</f>
        <v>45</v>
      </c>
      <c r="BQ35" s="59">
        <f t="shared" si="25"/>
        <v>0.191753149</v>
      </c>
      <c r="BR35" s="55">
        <f>IFERROR(__xludf.DUMMYFUNCTION("IMPORTRANGE(""1qD_dDXHvafaUuFnZ7gAkyxCmJQoO3BtBbnVLwHgMtpU"",""2025-26!AG4"")"),840339.0)</f>
        <v>840339</v>
      </c>
      <c r="BS35" s="55">
        <f>IFERROR(__xludf.DUMMYFUNCTION("IMPORTRANGE(""1qD_dDXHvafaUuFnZ7gAkyxCmJQoO3BtBbnVLwHgMtpU"",""2025-26!AG3"")"),45.0)</f>
        <v>45</v>
      </c>
      <c r="BT35" s="55">
        <f>IFERROR(__xludf.DUMMYFUNCTION("IMPORTRANGE(""1qD_dDXHvafaUuFnZ7gAkyxCmJQoO3BtBbnVLwHgMtpU"",""2025-26!AH4"")"),4382400.0)</f>
        <v>4382400</v>
      </c>
      <c r="BU35" s="55">
        <f>IFERROR(__xludf.DUMMYFUNCTION("IMPORTRANGE(""1qD_dDXHvafaUuFnZ7gAkyxCmJQoO3BtBbnVLwHgMtpU"",""2025-26!AH3"")"),119.0)</f>
        <v>119</v>
      </c>
      <c r="BV35" s="55">
        <f>IFERROR(__xludf.DUMMYFUNCTION("IMPORTRANGE(""1qD_dDXHvafaUuFnZ7gAkyxCmJQoO3BtBbnVLwHgMtpU"",""2025-26!AI4"")"),1088386.3499999999)</f>
        <v>1088386.35</v>
      </c>
      <c r="BW35" s="55">
        <f>IFERROR(__xludf.DUMMYFUNCTION("IMPORTRANGE(""1qD_dDXHvafaUuFnZ7gAkyxCmJQoO3BtBbnVLwHgMtpU"",""2025-26!AI3"")"),52.0)</f>
        <v>52</v>
      </c>
      <c r="BX35" s="59">
        <f t="shared" si="26"/>
        <v>0.2444879518</v>
      </c>
      <c r="BY35" s="55">
        <f>IFERROR(__xludf.DUMMYFUNCTION("IMPORTRANGE(""1qD_dDXHvafaUuFnZ7gAkyxCmJQoO3BtBbnVLwHgMtpU"",""2025-26!AJ4"")"),1071444.0)</f>
        <v>1071444</v>
      </c>
      <c r="BZ35" s="55">
        <f>IFERROR(__xludf.DUMMYFUNCTION("IMPORTRANGE(""1qD_dDXHvafaUuFnZ7gAkyxCmJQoO3BtBbnVLwHgMtpU"",""2025-26!AJ3"")"),49.0)</f>
        <v>49</v>
      </c>
      <c r="CA35" s="55">
        <f>IFERROR(__xludf.DUMMYFUNCTION("IMPORTRANGE(""1qD_dDXHvafaUuFnZ7gAkyxCmJQoO3BtBbnVLwHgMtpU"",""2025-26!AK4"")"),2025200.0)</f>
        <v>2025200</v>
      </c>
      <c r="CB35" s="55">
        <f>IFERROR(__xludf.DUMMYFUNCTION("IMPORTRANGE(""1qD_dDXHvafaUuFnZ7gAkyxCmJQoO3BtBbnVLwHgMtpU"",""2025-26!AK3"")"),61.0)</f>
        <v>61</v>
      </c>
      <c r="CC35" s="55">
        <f>IFERROR(__xludf.DUMMYFUNCTION("IMPORTRANGE(""1qD_dDXHvafaUuFnZ7gAkyxCmJQoO3BtBbnVLwHgMtpU"",""2025-26!AL4"")"),996096.3)</f>
        <v>996096.3</v>
      </c>
      <c r="CD35" s="55">
        <f>IFERROR(__xludf.DUMMYFUNCTION("IMPORTRANGE(""1qD_dDXHvafaUuFnZ7gAkyxCmJQoO3BtBbnVLwHgMtpU"",""2025-26!AL3"")"),47.0)</f>
        <v>47</v>
      </c>
      <c r="CE35" s="59">
        <f t="shared" si="27"/>
        <v>0.4540549082</v>
      </c>
      <c r="CF35" s="55">
        <f>IFERROR(__xludf.DUMMYFUNCTION("IMPORTRANGE(""1qD_dDXHvafaUuFnZ7gAkyxCmJQoO3BtBbnVLwHgMtpU"",""2025-26!AM4"")"),919552.0)</f>
        <v>919552</v>
      </c>
      <c r="CG35" s="55">
        <f>IFERROR(__xludf.DUMMYFUNCTION("IMPORTRANGE(""1qD_dDXHvafaUuFnZ7gAkyxCmJQoO3BtBbnVLwHgMtpU"",""2025-26!AM3"")"),38.0)</f>
        <v>38</v>
      </c>
      <c r="CH35" s="55">
        <f>IFERROR(__xludf.DUMMYFUNCTION("IMPORTRANGE(""1qD_dDXHvafaUuFnZ7gAkyxCmJQoO3BtBbnVLwHgMtpU"",""2025-26!AN4"")"),1925600.0)</f>
        <v>1925600</v>
      </c>
      <c r="CI35" s="55">
        <f>IFERROR(__xludf.DUMMYFUNCTION("IMPORTRANGE(""1qD_dDXHvafaUuFnZ7gAkyxCmJQoO3BtBbnVLwHgMtpU"",""2025-26!AN3"")"),58.0)</f>
        <v>58</v>
      </c>
      <c r="CJ35" s="55">
        <f>IFERROR(__xludf.DUMMYFUNCTION("IMPORTRANGE(""1qD_dDXHvafaUuFnZ7gAkyxCmJQoO3BtBbnVLwHgMtpU"",""2025-26!AO4"")"),944057.2500000001)</f>
        <v>944057.25</v>
      </c>
      <c r="CK35" s="55">
        <f>IFERROR(__xludf.DUMMYFUNCTION("IMPORTRANGE(""1qD_dDXHvafaUuFnZ7gAkyxCmJQoO3BtBbnVLwHgMtpU"",""2025-26!AO3"")"),48.0)</f>
        <v>48</v>
      </c>
      <c r="CL35" s="59">
        <f t="shared" si="28"/>
        <v>0.4859529497</v>
      </c>
      <c r="CM35" s="55">
        <f>IFERROR(__xludf.DUMMYFUNCTION("IMPORTRANGE(""1qD_dDXHvafaUuFnZ7gAkyxCmJQoO3BtBbnVLwHgMtpU"",""2025-26!AP4"")"),935751.0)</f>
        <v>935751</v>
      </c>
      <c r="CN35" s="55">
        <f>IFERROR(__xludf.DUMMYFUNCTION("IMPORTRANGE(""1qD_dDXHvafaUuFnZ7gAkyxCmJQoO3BtBbnVLwHgMtpU"",""2025-26!AP3"")"),47.0)</f>
        <v>47</v>
      </c>
      <c r="CO35" s="55">
        <f>IFERROR(__xludf.DUMMYFUNCTION("IMPORTRANGE(""1qD_dDXHvafaUuFnZ7gAkyxCmJQoO3BtBbnVLwHgMtpU"",""2025-26!AQ4"")"),2025200.0)</f>
        <v>2025200</v>
      </c>
      <c r="CP35" s="55">
        <f>IFERROR(__xludf.DUMMYFUNCTION("IMPORTRANGE(""1qD_dDXHvafaUuFnZ7gAkyxCmJQoO3BtBbnVLwHgMtpU"",""2025-26!AQ3"")"),61.0)</f>
        <v>61</v>
      </c>
      <c r="CQ35" s="55">
        <f>IFERROR(__xludf.DUMMYFUNCTION("IMPORTRANGE(""1qD_dDXHvafaUuFnZ7gAkyxCmJQoO3BtBbnVLwHgMtpU"",""2025-26!AR4"")"),1129188.75)</f>
        <v>1129188.75</v>
      </c>
      <c r="CR35" s="55">
        <f>IFERROR(__xludf.DUMMYFUNCTION("IMPORTRANGE(""1qD_dDXHvafaUuFnZ7gAkyxCmJQoO3BtBbnVLwHgMtpU"",""2025-26!AR3"")"),51.0)</f>
        <v>51</v>
      </c>
      <c r="CS35" s="59">
        <f t="shared" si="29"/>
        <v>0.5242012147</v>
      </c>
      <c r="CT35" s="55">
        <f>IFERROR(__xludf.DUMMYFUNCTION("IMPORTRANGE(""1qD_dDXHvafaUuFnZ7gAkyxCmJQoO3BtBbnVLwHgMtpU"",""2025-26!AS4"")"),1061612.3)</f>
        <v>1061612.3</v>
      </c>
      <c r="CU35" s="55">
        <f>IFERROR(__xludf.DUMMYFUNCTION("IMPORTRANGE(""1qD_dDXHvafaUuFnZ7gAkyxCmJQoO3BtBbnVLwHgMtpU"",""2025-26!AS3"")"),48.0)</f>
        <v>48</v>
      </c>
      <c r="CV35" s="60" t="s">
        <v>85</v>
      </c>
    </row>
    <row r="36">
      <c r="A36" s="1"/>
      <c r="B36" s="43"/>
      <c r="C36" s="71" t="s">
        <v>92</v>
      </c>
      <c r="D36" s="65" t="s">
        <v>93</v>
      </c>
      <c r="E36" s="68">
        <v>8.681045473E9</v>
      </c>
      <c r="F36" s="66">
        <v>46084.0</v>
      </c>
      <c r="G36" s="62"/>
      <c r="H36" s="62"/>
      <c r="I36" s="70">
        <v>34620.0</v>
      </c>
      <c r="J36" s="54"/>
      <c r="K36" s="55">
        <f>IFERROR(__xludf.DUMMYFUNCTION("IMPORTRANGE(""1sNnFcv3iHIauafka073bWpFaliYW5BNstKqG3FURhGo"",""2025-26!A3"")"),41.0)</f>
        <v>41</v>
      </c>
      <c r="L36" s="55">
        <f>IFERROR(__xludf.DUMMYFUNCTION("IMPORTRANGE(""1sNnFcv3iHIauafka073bWpFaliYW5BNstKqG3FURhGo"",""2025-26!G4"")"),0.0)</f>
        <v>0</v>
      </c>
      <c r="M36" s="55">
        <f t="shared" si="41"/>
        <v>96357.7</v>
      </c>
      <c r="N36" s="56" t="str">
        <f t="shared" si="42"/>
        <v>#DIV/0!</v>
      </c>
      <c r="O36" s="57">
        <f t="shared" si="43"/>
        <v>96360</v>
      </c>
      <c r="P36" s="55">
        <f>IFERROR(__xludf.DUMMYFUNCTION("IMPORTRANGE(""1sNnFcv3iHIauafka073bWpFaliYW5BNstKqG3FURhGo"",""2025-26!J4"")"),0.0)</f>
        <v>0</v>
      </c>
      <c r="Q36" s="55">
        <f>IFERROR(__xludf.DUMMYFUNCTION("IMPORTRANGE(""1sNnFcv3iHIauafka073bWpFaliYW5BNstKqG3FURhGo"",""2025-26!J3"")"),0.0)</f>
        <v>0</v>
      </c>
      <c r="R36" s="55">
        <f>IFERROR(__xludf.DUMMYFUNCTION("IMPORTRANGE(""1sNnFcv3iHIauafka073bWpFaliYW5BNstKqG3FURhGo"",""2025-26!K4"")"),0.0)</f>
        <v>0</v>
      </c>
      <c r="S36" s="55">
        <f>IFERROR(__xludf.DUMMYFUNCTION("IMPORTRANGE(""1sNnFcv3iHIauafka073bWpFaliYW5BNstKqG3FURhGo"",""2025-26!K3"")"),0.0)</f>
        <v>0</v>
      </c>
      <c r="T36" s="58" t="str">
        <f t="shared" si="18"/>
        <v/>
      </c>
      <c r="U36" s="55">
        <f>IFERROR(__xludf.DUMMYFUNCTION("IMPORTRANGE(""1sNnFcv3iHIauafka073bWpFaliYW5BNstKqG3FURhGo"",""2025-26!L4"")"),0.0)</f>
        <v>0</v>
      </c>
      <c r="V36" s="55">
        <f>IFERROR(__xludf.DUMMYFUNCTION("IMPORTRANGE(""1sNnFcv3iHIauafka073bWpFaliYW5BNstKqG3FURhGo"",""2025-26!L3"")"),0.0)</f>
        <v>0</v>
      </c>
      <c r="W36" s="55">
        <f>IFERROR(__xludf.DUMMYFUNCTION("IMPORTRANGE(""1sNnFcv3iHIauafka073bWpFaliYW5BNstKqG3FURhGo"",""2025-26!m4"")"),0.0)</f>
        <v>0</v>
      </c>
      <c r="X36" s="55">
        <f>IFERROR(__xludf.DUMMYFUNCTION("IMPORTRANGE(""1sNnFcv3iHIauafka073bWpFaliYW5BNstKqG3FURhGo"",""2025-26!m3"")"),0.0)</f>
        <v>0</v>
      </c>
      <c r="Y36" s="55">
        <f>IFERROR(__xludf.DUMMYFUNCTION("IMPORTRANGE(""1sNnFcv3iHIauafka073bWpFaliYW5BNstKqG3FURhGo"",""2025-26!N4"")"),0.0)</f>
        <v>0</v>
      </c>
      <c r="Z36" s="55">
        <f>IFERROR(__xludf.DUMMYFUNCTION("IMPORTRANGE(""1sNnFcv3iHIauafka073bWpFaliYW5BNstKqG3FURhGo"",""2025-26!N3"")"),0.0)</f>
        <v>0</v>
      </c>
      <c r="AA36" s="58" t="str">
        <f t="shared" si="19"/>
        <v/>
      </c>
      <c r="AB36" s="55">
        <f>IFERROR(__xludf.DUMMYFUNCTION("IMPORTRANGE(""1sNnFcv3iHIauafka073bWpFaliYW5BNstKqG3FURhGo"",""2025-26!O4"")"),0.0)</f>
        <v>0</v>
      </c>
      <c r="AC36" s="55">
        <f>IFERROR(__xludf.DUMMYFUNCTION("IMPORTRANGE(""1sNnFcv3iHIauafka073bWpFaliYW5BNstKqG3FURhGo"",""2025-26!O3"")"),0.0)</f>
        <v>0</v>
      </c>
      <c r="AD36" s="55">
        <f>IFERROR(__xludf.DUMMYFUNCTION("IMPORTRANGE(""1sNnFcv3iHIauafka073bWpFaliYW5BNstKqG3FURhGo"",""2025-26!P4"")"),0.0)</f>
        <v>0</v>
      </c>
      <c r="AE36" s="55">
        <f>IFERROR(__xludf.DUMMYFUNCTION("IMPORTRANGE(""1sNnFcv3iHIauafka073bWpFaliYW5BNstKqG3FURhGo"",""2025-26!P3"")"),0.0)</f>
        <v>0</v>
      </c>
      <c r="AF36" s="55">
        <f>IFERROR(__xludf.DUMMYFUNCTION("IMPORTRANGE(""1sNnFcv3iHIauafka073bWpFaliYW5BNstKqG3FURhGo"",""2025-26!Q4"")"),0.0)</f>
        <v>0</v>
      </c>
      <c r="AG36" s="55">
        <f>IFERROR(__xludf.DUMMYFUNCTION("IMPORTRANGE(""1sNnFcv3iHIauafka073bWpFaliYW5BNstKqG3FURhGo"",""2025-26!Q3"")"),0.0)</f>
        <v>0</v>
      </c>
      <c r="AH36" s="58" t="str">
        <f t="shared" si="20"/>
        <v/>
      </c>
      <c r="AI36" s="55">
        <f>IFERROR(__xludf.DUMMYFUNCTION("IMPORTRANGE(""1sNnFcv3iHIauafka073bWpFaliYW5BNstKqG3FURhGo"",""2025-26!R4"")"),0.0)</f>
        <v>0</v>
      </c>
      <c r="AJ36" s="55">
        <f>IFERROR(__xludf.DUMMYFUNCTION("IMPORTRANGE(""1sNnFcv3iHIauafka073bWpFaliYW5BNstKqG3FURhGo"",""2025-26!R3"")"),0.0)</f>
        <v>0</v>
      </c>
      <c r="AK36" s="55">
        <f>IFERROR(__xludf.DUMMYFUNCTION("IMPORTRANGE(""1sNnFcv3iHIauafka073bWpFaliYW5BNstKqG3FURhGo"",""2025-26!S4"")"),0.0)</f>
        <v>0</v>
      </c>
      <c r="AL36" s="55">
        <f>IFERROR(__xludf.DUMMYFUNCTION("IMPORTRANGE(""1sNnFcv3iHIauafka073bWpFaliYW5BNstKqG3FURhGo"",""2025-26!S3"")"),0.0)</f>
        <v>0</v>
      </c>
      <c r="AM36" s="55">
        <f>IFERROR(__xludf.DUMMYFUNCTION("IMPORTRANGE(""1sNnFcv3iHIauafka073bWpFaliYW5BNstKqG3FURhGo"",""2025-26!T4"")"),0.0)</f>
        <v>0</v>
      </c>
      <c r="AN36" s="55">
        <f>IFERROR(__xludf.DUMMYFUNCTION("IMPORTRANGE(""1sNnFcv3iHIauafka073bWpFaliYW5BNstKqG3FURhGo"",""2025-26!T3"")"),0.0)</f>
        <v>0</v>
      </c>
      <c r="AO36" s="58" t="str">
        <f t="shared" si="21"/>
        <v/>
      </c>
      <c r="AP36" s="55">
        <f>IFERROR(__xludf.DUMMYFUNCTION("IMPORTRANGE(""1sNnFcv3iHIauafka073bWpFaliYW5BNstKqG3FURhGo"",""2025-26!U4"")"),0.0)</f>
        <v>0</v>
      </c>
      <c r="AQ36" s="55">
        <f>IFERROR(__xludf.DUMMYFUNCTION("IMPORTRANGE(""1sNnFcv3iHIauafka073bWpFaliYW5BNstKqG3FURhGo"",""2025-26!U3"")"),0.0)</f>
        <v>0</v>
      </c>
      <c r="AR36" s="55">
        <f>IFERROR(__xludf.DUMMYFUNCTION("IMPORTRANGE(""1sNnFcv3iHIauafka073bWpFaliYW5BNstKqG3FURhGo"",""2025-26!V4"")"),0.0)</f>
        <v>0</v>
      </c>
      <c r="AS36" s="55">
        <f>IFERROR(__xludf.DUMMYFUNCTION("IMPORTRANGE(""1sNnFcv3iHIauafka073bWpFaliYW5BNstKqG3FURhGo"",""2025-26!V3"")"),0.0)</f>
        <v>0</v>
      </c>
      <c r="AT36" s="55">
        <f>IFERROR(__xludf.DUMMYFUNCTION("IMPORTRANGE(""1sNnFcv3iHIauafka073bWpFaliYW5BNstKqG3FURhGo"",""2025-26!W4"")"),0.0)</f>
        <v>0</v>
      </c>
      <c r="AU36" s="55">
        <f>IFERROR(__xludf.DUMMYFUNCTION("IMPORTRANGE(""1sNnFcv3iHIauafka073bWpFaliYW5BNstKqG3FURhGo"",""2025-26!W3"")"),0.0)</f>
        <v>0</v>
      </c>
      <c r="AV36" s="58" t="str">
        <f t="shared" si="22"/>
        <v/>
      </c>
      <c r="AW36" s="55">
        <f>IFERROR(__xludf.DUMMYFUNCTION("IMPORTRANGE(""1sNnFcv3iHIauafka073bWpFaliYW5BNstKqG3FURhGo"",""2025-26!X4"")"),0.0)</f>
        <v>0</v>
      </c>
      <c r="AX36" s="55">
        <f>IFERROR(__xludf.DUMMYFUNCTION("IMPORTRANGE(""1sNnFcv3iHIauafka073bWpFaliYW5BNstKqG3FURhGo"",""2025-26!X3"")"),0.0)</f>
        <v>0</v>
      </c>
      <c r="AY36" s="55">
        <f>IFERROR(__xludf.DUMMYFUNCTION("IMPORTRANGE(""1sNnFcv3iHIauafka073bWpFaliYW5BNstKqG3FURhGo"",""2025-26!Y4"")"),0.0)</f>
        <v>0</v>
      </c>
      <c r="AZ36" s="55">
        <f>IFERROR(__xludf.DUMMYFUNCTION("IMPORTRANGE(""1sNnFcv3iHIauafka073bWpFaliYW5BNstKqG3FURhGo"",""2025-26!Y3"")"),0.0)</f>
        <v>0</v>
      </c>
      <c r="BA36" s="55">
        <f>IFERROR(__xludf.DUMMYFUNCTION("IMPORTRANGE(""1sNnFcv3iHIauafka073bWpFaliYW5BNstKqG3FURhGo"",""2025-26!Z4"")"),0.0)</f>
        <v>0</v>
      </c>
      <c r="BB36" s="55">
        <f>IFERROR(__xludf.DUMMYFUNCTION("IMPORTRANGE(""1sNnFcv3iHIauafka073bWpFaliYW5BNstKqG3FURhGo"",""2025-26!Z3"")"),0.0)</f>
        <v>0</v>
      </c>
      <c r="BC36" s="59" t="str">
        <f t="shared" si="23"/>
        <v/>
      </c>
      <c r="BD36" s="55">
        <f>IFERROR(__xludf.DUMMYFUNCTION("IMPORTRANGE(""1sNnFcv3iHIauafka073bWpFaliYW5BNstKqG3FURhGo"",""2025-26!AA4"")"),0.0)</f>
        <v>0</v>
      </c>
      <c r="BE36" s="55">
        <f>IFERROR(__xludf.DUMMYFUNCTION("IMPORTRANGE(""1sNnFcv3iHIauafka073bWpFaliYW5BNstKqG3FURhGo"",""2025-26!AA3"")"),0.0)</f>
        <v>0</v>
      </c>
      <c r="BF36" s="55">
        <f>IFERROR(__xludf.DUMMYFUNCTION("IMPORTRANGE(""1sNnFcv3iHIauafka073bWpFaliYW5BNstKqG3FURhGo"",""2025-26!AB4"")"),0.0)</f>
        <v>0</v>
      </c>
      <c r="BG36" s="55">
        <f>IFERROR(__xludf.DUMMYFUNCTION("IMPORTRANGE(""1sNnFcv3iHIauafka073bWpFaliYW5BNstKqG3FURhGo"",""2025-26!AB3"")"),0.0)</f>
        <v>0</v>
      </c>
      <c r="BH36" s="55">
        <f>IFERROR(__xludf.DUMMYFUNCTION("IMPORTRANGE(""1sNnFcv3iHIauafka073bWpFaliYW5BNstKqG3FURhGo"",""2025-26!AC4"")"),0.0)</f>
        <v>0</v>
      </c>
      <c r="BI36" s="55">
        <f>IFERROR(__xludf.DUMMYFUNCTION("IMPORTRANGE(""1sNnFcv3iHIauafka073bWpFaliYW5BNstKqG3FURhGo"",""2025-26!AC3"")"),0.0)</f>
        <v>0</v>
      </c>
      <c r="BJ36" s="59" t="str">
        <f t="shared" si="24"/>
        <v/>
      </c>
      <c r="BK36" s="55">
        <f>IFERROR(__xludf.DUMMYFUNCTION("IMPORTRANGE(""1sNnFcv3iHIauafka073bWpFaliYW5BNstKqG3FURhGo"",""2025-26!AD4"")"),0.0)</f>
        <v>0</v>
      </c>
      <c r="BL36" s="55">
        <f>IFERROR(__xludf.DUMMYFUNCTION("IMPORTRANGE(""1sNnFcv3iHIauafka073bWpFaliYW5BNstKqG3FURhGo"",""2025-26!AD3"")"),0.0)</f>
        <v>0</v>
      </c>
      <c r="BM36" s="55">
        <f>IFERROR(__xludf.DUMMYFUNCTION("IMPORTRANGE(""1sNnFcv3iHIauafka073bWpFaliYW5BNstKqG3FURhGo"",""2025-26!AE4"")"),0.0)</f>
        <v>0</v>
      </c>
      <c r="BN36" s="55">
        <f>IFERROR(__xludf.DUMMYFUNCTION("IMPORTRANGE(""1sNnFcv3iHIauafka073bWpFaliYW5BNstKqG3FURhGo"",""2025-26!AE3"")"),0.0)</f>
        <v>0</v>
      </c>
      <c r="BO36" s="55">
        <f>IFERROR(__xludf.DUMMYFUNCTION("IMPORTRANGE(""1sNnFcv3iHIauafka073bWpFaliYW5BNstKqG3FURhGo"",""2025-26!AF4"")"),0.0)</f>
        <v>0</v>
      </c>
      <c r="BP36" s="55">
        <f>IFERROR(__xludf.DUMMYFUNCTION("IMPORTRANGE(""1sNnFcv3iHIauafka073bWpFaliYW5BNstKqG3FURhGo"",""2025-26!AF3"")"),0.0)</f>
        <v>0</v>
      </c>
      <c r="BQ36" s="59" t="str">
        <f t="shared" si="25"/>
        <v/>
      </c>
      <c r="BR36" s="55">
        <f>IFERROR(__xludf.DUMMYFUNCTION("IMPORTRANGE(""1sNnFcv3iHIauafka073bWpFaliYW5BNstKqG3FURhGo"",""2025-26!AG4"")"),0.0)</f>
        <v>0</v>
      </c>
      <c r="BS36" s="55">
        <f>IFERROR(__xludf.DUMMYFUNCTION("IMPORTRANGE(""1sNnFcv3iHIauafka073bWpFaliYW5BNstKqG3FURhGo"",""2025-26!AG3"")"),0.0)</f>
        <v>0</v>
      </c>
      <c r="BT36" s="55">
        <f>IFERROR(__xludf.DUMMYFUNCTION("IMPORTRANGE(""1sNnFcv3iHIauafka073bWpFaliYW5BNstKqG3FURhGo"",""2025-26!AH4"")"),0.0)</f>
        <v>0</v>
      </c>
      <c r="BU36" s="55">
        <f>IFERROR(__xludf.DUMMYFUNCTION("IMPORTRANGE(""1sNnFcv3iHIauafka073bWpFaliYW5BNstKqG3FURhGo"",""2025-26!AH3"")"),0.0)</f>
        <v>0</v>
      </c>
      <c r="BV36" s="55">
        <f>IFERROR(__xludf.DUMMYFUNCTION("IMPORTRANGE(""1sNnFcv3iHIauafka073bWpFaliYW5BNstKqG3FURhGo"",""2025-26!AI4"")"),0.0)</f>
        <v>0</v>
      </c>
      <c r="BW36" s="55">
        <f>IFERROR(__xludf.DUMMYFUNCTION("IMPORTRANGE(""1sNnFcv3iHIauafka073bWpFaliYW5BNstKqG3FURhGo"",""2025-26!AI3"")"),0.0)</f>
        <v>0</v>
      </c>
      <c r="BX36" s="59" t="str">
        <f t="shared" si="26"/>
        <v/>
      </c>
      <c r="BY36" s="55">
        <f>IFERROR(__xludf.DUMMYFUNCTION("IMPORTRANGE(""1sNnFcv3iHIauafka073bWpFaliYW5BNstKqG3FURhGo"",""2025-26!AJ4"")"),0.0)</f>
        <v>0</v>
      </c>
      <c r="BZ36" s="55">
        <f>IFERROR(__xludf.DUMMYFUNCTION("IMPORTRANGE(""1sNnFcv3iHIauafka073bWpFaliYW5BNstKqG3FURhGo"",""2025-26!AJ3"")"),0.0)</f>
        <v>0</v>
      </c>
      <c r="CA36" s="55">
        <f>IFERROR(__xludf.DUMMYFUNCTION("IMPORTRANGE(""1sNnFcv3iHIauafka073bWpFaliYW5BNstKqG3FURhGo"",""2025-26!AK4"")"),0.0)</f>
        <v>0</v>
      </c>
      <c r="CB36" s="55">
        <f>IFERROR(__xludf.DUMMYFUNCTION("IMPORTRANGE(""1sNnFcv3iHIauafka073bWpFaliYW5BNstKqG3FURhGo"",""2025-26!AK3"")"),0.0)</f>
        <v>0</v>
      </c>
      <c r="CC36" s="55">
        <f>IFERROR(__xludf.DUMMYFUNCTION("IMPORTRANGE(""1sNnFcv3iHIauafka073bWpFaliYW5BNstKqG3FURhGo"",""2025-26!AL4"")"),0.0)</f>
        <v>0</v>
      </c>
      <c r="CD36" s="55">
        <f>IFERROR(__xludf.DUMMYFUNCTION("IMPORTRANGE(""1sNnFcv3iHIauafka073bWpFaliYW5BNstKqG3FURhGo"",""2025-26!AL3"")"),0.0)</f>
        <v>0</v>
      </c>
      <c r="CE36" s="59" t="str">
        <f t="shared" si="27"/>
        <v/>
      </c>
      <c r="CF36" s="55">
        <f>IFERROR(__xludf.DUMMYFUNCTION("IMPORTRANGE(""1sNnFcv3iHIauafka073bWpFaliYW5BNstKqG3FURhGo"",""2025-26!AM4"")"),0.0)</f>
        <v>0</v>
      </c>
      <c r="CG36" s="55">
        <f>IFERROR(__xludf.DUMMYFUNCTION("IMPORTRANGE(""1sNnFcv3iHIauafka073bWpFaliYW5BNstKqG3FURhGo"",""2025-26!AM3"")"),0.0)</f>
        <v>0</v>
      </c>
      <c r="CH36" s="55">
        <f>IFERROR(__xludf.DUMMYFUNCTION("IMPORTRANGE(""1sNnFcv3iHIauafka073bWpFaliYW5BNstKqG3FURhGo"",""2025-26!AN4"")"),0.0)</f>
        <v>0</v>
      </c>
      <c r="CI36" s="55">
        <f>IFERROR(__xludf.DUMMYFUNCTION("IMPORTRANGE(""1sNnFcv3iHIauafka073bWpFaliYW5BNstKqG3FURhGo"",""2025-26!AN3"")"),0.0)</f>
        <v>0</v>
      </c>
      <c r="CJ36" s="55">
        <f>IFERROR(__xludf.DUMMYFUNCTION("IMPORTRANGE(""1sNnFcv3iHIauafka073bWpFaliYW5BNstKqG3FURhGo"",""2025-26!AO4"")"),0.0)</f>
        <v>0</v>
      </c>
      <c r="CK36" s="55">
        <f>IFERROR(__xludf.DUMMYFUNCTION("IMPORTRANGE(""1sNnFcv3iHIauafka073bWpFaliYW5BNstKqG3FURhGo"",""2025-26!AO3"")"),0.0)</f>
        <v>0</v>
      </c>
      <c r="CL36" s="59" t="str">
        <f t="shared" si="28"/>
        <v/>
      </c>
      <c r="CM36" s="55">
        <f>IFERROR(__xludf.DUMMYFUNCTION("IMPORTRANGE(""1sNnFcv3iHIauafka073bWpFaliYW5BNstKqG3FURhGo"",""2025-26!AP4"")"),0.0)</f>
        <v>0</v>
      </c>
      <c r="CN36" s="55">
        <f>IFERROR(__xludf.DUMMYFUNCTION("IMPORTRANGE(""1sNnFcv3iHIauafka073bWpFaliYW5BNstKqG3FURhGo"",""2025-26!AP3"")"),0.0)</f>
        <v>0</v>
      </c>
      <c r="CO36" s="55">
        <f>IFERROR(__xludf.DUMMYFUNCTION("IMPORTRANGE(""1sNnFcv3iHIauafka073bWpFaliYW5BNstKqG3FURhGo"",""2025-26!AQ4"")"),0.0)</f>
        <v>0</v>
      </c>
      <c r="CP36" s="55">
        <f>IFERROR(__xludf.DUMMYFUNCTION("IMPORTRANGE(""1sNnFcv3iHIauafka073bWpFaliYW5BNstKqG3FURhGo"",""2025-26!AQ3"")"),0.0)</f>
        <v>0</v>
      </c>
      <c r="CQ36" s="55">
        <f>IFERROR(__xludf.DUMMYFUNCTION("IMPORTRANGE(""1sNnFcv3iHIauafka073bWpFaliYW5BNstKqG3FURhGo"",""2025-26!AR4"")"),96357.70000000001)</f>
        <v>96357.7</v>
      </c>
      <c r="CR36" s="55">
        <f>IFERROR(__xludf.DUMMYFUNCTION("IMPORTRANGE(""1sNnFcv3iHIauafka073bWpFaliYW5BNstKqG3FURhGo"",""2025-26!AR3"")"),6.0)</f>
        <v>6</v>
      </c>
      <c r="CS36" s="59" t="str">
        <f t="shared" si="29"/>
        <v/>
      </c>
      <c r="CT36" s="55">
        <f>IFERROR(__xludf.DUMMYFUNCTION("IMPORTRANGE(""1sNnFcv3iHIauafka073bWpFaliYW5BNstKqG3FURhGo"",""2025-26!AS4"")"),96360.0)</f>
        <v>96360</v>
      </c>
      <c r="CU36" s="55">
        <f>IFERROR(__xludf.DUMMYFUNCTION("IMPORTRANGE(""1sNnFcv3iHIauafka073bWpFaliYW5BNstKqG3FURhGo"",""2025-26!AS3"")"),6.0)</f>
        <v>6</v>
      </c>
      <c r="CV36" s="60" t="s">
        <v>85</v>
      </c>
    </row>
    <row r="37">
      <c r="A37" s="1"/>
      <c r="B37" s="94"/>
      <c r="C37" s="95" t="s">
        <v>94</v>
      </c>
      <c r="D37" s="65" t="s">
        <v>95</v>
      </c>
      <c r="E37" s="68">
        <v>8.826600493E9</v>
      </c>
      <c r="F37" s="66">
        <v>46041.0</v>
      </c>
      <c r="G37" s="62"/>
      <c r="H37" s="62"/>
      <c r="I37" s="70">
        <v>68112.0</v>
      </c>
      <c r="J37" s="54"/>
      <c r="K37" s="55" t="str">
        <f>IFERROR(__xludf.DUMMYFUNCTION("IMPORTRANGE(""1wsszhlq6_ah5OYzZkVme-nY4menV6_rwzD2vaJvOGhU"",""2025-26!A3"")"),"")</f>
        <v/>
      </c>
      <c r="L37" s="55" t="str">
        <f>IFERROR(__xludf.DUMMYFUNCTION("IMPORTRANGE(""1wsszhlq6_ah5OYzZkVme-nY4menV6_rwzD2vaJvOGhU"",""2025-26!G4"")"),"")</f>
        <v/>
      </c>
      <c r="M37" s="55">
        <f t="shared" si="41"/>
        <v>0</v>
      </c>
      <c r="N37" s="56" t="str">
        <f t="shared" si="42"/>
        <v>#DIV/0!</v>
      </c>
      <c r="O37" s="57">
        <f t="shared" si="43"/>
        <v>0</v>
      </c>
      <c r="P37" s="55" t="str">
        <f>IFERROR(__xludf.DUMMYFUNCTION("IMPORTRANGE(""1wsszhlq6_ah5OYzZkVme-nY4menV6_rwzD2vaJvOGhU"",""2025-26!J4"")"),"")</f>
        <v/>
      </c>
      <c r="Q37" s="55" t="str">
        <f>IFERROR(__xludf.DUMMYFUNCTION("IMPORTRANGE(""1wsszhlq6_ah5OYzZkVme-nY4menV6_rwzD2vaJvOGhU"",""2025-26!J3"")"),"")</f>
        <v/>
      </c>
      <c r="R37" s="55" t="str">
        <f>IFERROR(__xludf.DUMMYFUNCTION("IMPORTRANGE(""1wsszhlq6_ah5OYzZkVme-nY4menV6_rwzD2vaJvOGhU"",""2025-26!K4"")"),"")</f>
        <v/>
      </c>
      <c r="S37" s="55" t="str">
        <f>IFERROR(__xludf.DUMMYFUNCTION("IMPORTRANGE(""1wsszhlq6_ah5OYzZkVme-nY4menV6_rwzD2vaJvOGhU"",""2025-26!K3"")"),"")</f>
        <v/>
      </c>
      <c r="T37" s="58" t="str">
        <f t="shared" si="18"/>
        <v/>
      </c>
      <c r="U37" s="55" t="str">
        <f>IFERROR(__xludf.DUMMYFUNCTION("IMPORTRANGE(""1wsszhlq6_ah5OYzZkVme-nY4menV6_rwzD2vaJvOGhU"",""2025-26!L4"")"),"")</f>
        <v/>
      </c>
      <c r="V37" s="55" t="str">
        <f>IFERROR(__xludf.DUMMYFUNCTION("IMPORTRANGE(""1wsszhlq6_ah5OYzZkVme-nY4menV6_rwzD2vaJvOGhU"",""2025-26!L3"")"),"")</f>
        <v/>
      </c>
      <c r="W37" s="55" t="str">
        <f>IFERROR(__xludf.DUMMYFUNCTION("IMPORTRANGE(""1wsszhlq6_ah5OYzZkVme-nY4menV6_rwzD2vaJvOGhU"",""2025-26!m4"")"),"")</f>
        <v/>
      </c>
      <c r="X37" s="55" t="str">
        <f>IFERROR(__xludf.DUMMYFUNCTION("IMPORTRANGE(""1wsszhlq6_ah5OYzZkVme-nY4menV6_rwzD2vaJvOGhU"",""2025-26!m3"")"),"")</f>
        <v/>
      </c>
      <c r="Y37" s="55" t="str">
        <f>IFERROR(__xludf.DUMMYFUNCTION("IMPORTRANGE(""1wsszhlq6_ah5OYzZkVme-nY4menV6_rwzD2vaJvOGhU"",""2025-26!N4"")"),"")</f>
        <v/>
      </c>
      <c r="Z37" s="55" t="str">
        <f>IFERROR(__xludf.DUMMYFUNCTION("IMPORTRANGE(""1wsszhlq6_ah5OYzZkVme-nY4menV6_rwzD2vaJvOGhU"",""2025-26!N3"")"),"")</f>
        <v/>
      </c>
      <c r="AA37" s="58" t="str">
        <f t="shared" si="19"/>
        <v/>
      </c>
      <c r="AB37" s="55" t="str">
        <f>IFERROR(__xludf.DUMMYFUNCTION("IMPORTRANGE(""1wsszhlq6_ah5OYzZkVme-nY4menV6_rwzD2vaJvOGhU"",""2025-26!O4"")"),"")</f>
        <v/>
      </c>
      <c r="AC37" s="55" t="str">
        <f>IFERROR(__xludf.DUMMYFUNCTION("IMPORTRANGE(""1wsszhlq6_ah5OYzZkVme-nY4menV6_rwzD2vaJvOGhU"",""2025-26!O3"")"),"")</f>
        <v/>
      </c>
      <c r="AD37" s="55" t="str">
        <f>IFERROR(__xludf.DUMMYFUNCTION("IMPORTRANGE(""1wsszhlq6_ah5OYzZkVme-nY4menV6_rwzD2vaJvOGhU"",""2025-26!P4"")"),"")</f>
        <v/>
      </c>
      <c r="AE37" s="55" t="str">
        <f>IFERROR(__xludf.DUMMYFUNCTION("IMPORTRANGE(""1wsszhlq6_ah5OYzZkVme-nY4menV6_rwzD2vaJvOGhU"",""2025-26!P3"")"),"")</f>
        <v/>
      </c>
      <c r="AF37" s="55" t="str">
        <f>IFERROR(__xludf.DUMMYFUNCTION("IMPORTRANGE(""1wsszhlq6_ah5OYzZkVme-nY4menV6_rwzD2vaJvOGhU"",""2025-26!Q4"")"),"")</f>
        <v/>
      </c>
      <c r="AG37" s="55" t="str">
        <f>IFERROR(__xludf.DUMMYFUNCTION("IMPORTRANGE(""1wsszhlq6_ah5OYzZkVme-nY4menV6_rwzD2vaJvOGhU"",""2025-26!Q3"")"),"")</f>
        <v/>
      </c>
      <c r="AH37" s="58" t="str">
        <f t="shared" si="20"/>
        <v/>
      </c>
      <c r="AI37" s="55" t="str">
        <f>IFERROR(__xludf.DUMMYFUNCTION("IMPORTRANGE(""1wsszhlq6_ah5OYzZkVme-nY4menV6_rwzD2vaJvOGhU"",""2025-26!R4"")"),"")</f>
        <v/>
      </c>
      <c r="AJ37" s="55" t="str">
        <f>IFERROR(__xludf.DUMMYFUNCTION("IMPORTRANGE(""1wsszhlq6_ah5OYzZkVme-nY4menV6_rwzD2vaJvOGhU"",""2025-26!R3"")"),"")</f>
        <v/>
      </c>
      <c r="AK37" s="55" t="str">
        <f>IFERROR(__xludf.DUMMYFUNCTION("IMPORTRANGE(""1wsszhlq6_ah5OYzZkVme-nY4menV6_rwzD2vaJvOGhU"",""2025-26!S4"")"),"")</f>
        <v/>
      </c>
      <c r="AL37" s="55" t="str">
        <f>IFERROR(__xludf.DUMMYFUNCTION("IMPORTRANGE(""1wsszhlq6_ah5OYzZkVme-nY4menV6_rwzD2vaJvOGhU"",""2025-26!S3"")"),"")</f>
        <v/>
      </c>
      <c r="AM37" s="55" t="str">
        <f>IFERROR(__xludf.DUMMYFUNCTION("IMPORTRANGE(""1wsszhlq6_ah5OYzZkVme-nY4menV6_rwzD2vaJvOGhU"",""2025-26!T4"")"),"")</f>
        <v/>
      </c>
      <c r="AN37" s="55" t="str">
        <f>IFERROR(__xludf.DUMMYFUNCTION("IMPORTRANGE(""1wsszhlq6_ah5OYzZkVme-nY4menV6_rwzD2vaJvOGhU"",""2025-26!T3"")"),"")</f>
        <v/>
      </c>
      <c r="AO37" s="58" t="str">
        <f t="shared" si="21"/>
        <v/>
      </c>
      <c r="AP37" s="55" t="str">
        <f>IFERROR(__xludf.DUMMYFUNCTION("IMPORTRANGE(""1wsszhlq6_ah5OYzZkVme-nY4menV6_rwzD2vaJvOGhU"",""2025-26!U4"")"),"")</f>
        <v/>
      </c>
      <c r="AQ37" s="55" t="str">
        <f>IFERROR(__xludf.DUMMYFUNCTION("IMPORTRANGE(""1wsszhlq6_ah5OYzZkVme-nY4menV6_rwzD2vaJvOGhU"",""2025-26!U3"")"),"")</f>
        <v/>
      </c>
      <c r="AR37" s="55" t="str">
        <f>IFERROR(__xludf.DUMMYFUNCTION("IMPORTRANGE(""1wsszhlq6_ah5OYzZkVme-nY4menV6_rwzD2vaJvOGhU"",""2025-26!V4"")"),"")</f>
        <v/>
      </c>
      <c r="AS37" s="55" t="str">
        <f>IFERROR(__xludf.DUMMYFUNCTION("IMPORTRANGE(""1wsszhlq6_ah5OYzZkVme-nY4menV6_rwzD2vaJvOGhU"",""2025-26!V3"")"),"")</f>
        <v/>
      </c>
      <c r="AT37" s="55" t="str">
        <f>IFERROR(__xludf.DUMMYFUNCTION("IMPORTRANGE(""1wsszhlq6_ah5OYzZkVme-nY4menV6_rwzD2vaJvOGhU"",""2025-26!W4"")"),"")</f>
        <v/>
      </c>
      <c r="AU37" s="55" t="str">
        <f>IFERROR(__xludf.DUMMYFUNCTION("IMPORTRANGE(""1wsszhlq6_ah5OYzZkVme-nY4menV6_rwzD2vaJvOGhU"",""2025-26!W3"")"),"")</f>
        <v/>
      </c>
      <c r="AV37" s="58" t="str">
        <f t="shared" si="22"/>
        <v/>
      </c>
      <c r="AW37" s="55" t="str">
        <f>IFERROR(__xludf.DUMMYFUNCTION("IMPORTRANGE(""1wsszhlq6_ah5OYzZkVme-nY4menV6_rwzD2vaJvOGhU"",""2025-26!X4"")"),"")</f>
        <v/>
      </c>
      <c r="AX37" s="55" t="str">
        <f>IFERROR(__xludf.DUMMYFUNCTION("IMPORTRANGE(""1wsszhlq6_ah5OYzZkVme-nY4menV6_rwzD2vaJvOGhU"",""2025-26!X3"")"),"")</f>
        <v/>
      </c>
      <c r="AY37" s="55" t="str">
        <f>IFERROR(__xludf.DUMMYFUNCTION("IMPORTRANGE(""1wsszhlq6_ah5OYzZkVme-nY4menV6_rwzD2vaJvOGhU"",""2025-26!Y4"")"),"")</f>
        <v/>
      </c>
      <c r="AZ37" s="55" t="str">
        <f>IFERROR(__xludf.DUMMYFUNCTION("IMPORTRANGE(""1wsszhlq6_ah5OYzZkVme-nY4menV6_rwzD2vaJvOGhU"",""2025-26!Y3"")"),"")</f>
        <v/>
      </c>
      <c r="BA37" s="55" t="str">
        <f>IFERROR(__xludf.DUMMYFUNCTION("IMPORTRANGE(""1wsszhlq6_ah5OYzZkVme-nY4menV6_rwzD2vaJvOGhU"",""2025-26!Z4"")"),"")</f>
        <v/>
      </c>
      <c r="BB37" s="55" t="str">
        <f>IFERROR(__xludf.DUMMYFUNCTION("IMPORTRANGE(""1wsszhlq6_ah5OYzZkVme-nY4menV6_rwzD2vaJvOGhU"",""2025-26!Z3"")"),"")</f>
        <v/>
      </c>
      <c r="BC37" s="59" t="str">
        <f t="shared" si="23"/>
        <v/>
      </c>
      <c r="BD37" s="55" t="str">
        <f>IFERROR(__xludf.DUMMYFUNCTION("IMPORTRANGE(""1wsszhlq6_ah5OYzZkVme-nY4menV6_rwzD2vaJvOGhU"",""2025-26!AA4"")"),"")</f>
        <v/>
      </c>
      <c r="BE37" s="55" t="str">
        <f>IFERROR(__xludf.DUMMYFUNCTION("IMPORTRANGE(""1wsszhlq6_ah5OYzZkVme-nY4menV6_rwzD2vaJvOGhU"",""2025-26!AA3"")"),"")</f>
        <v/>
      </c>
      <c r="BF37" s="55" t="str">
        <f>IFERROR(__xludf.DUMMYFUNCTION("IMPORTRANGE(""1wsszhlq6_ah5OYzZkVme-nY4menV6_rwzD2vaJvOGhU"",""2025-26!AB4"")"),"")</f>
        <v/>
      </c>
      <c r="BG37" s="55" t="str">
        <f>IFERROR(__xludf.DUMMYFUNCTION("IMPORTRANGE(""1wsszhlq6_ah5OYzZkVme-nY4menV6_rwzD2vaJvOGhU"",""2025-26!AB3"")"),"")</f>
        <v/>
      </c>
      <c r="BH37" s="55" t="str">
        <f>IFERROR(__xludf.DUMMYFUNCTION("IMPORTRANGE(""1wsszhlq6_ah5OYzZkVme-nY4menV6_rwzD2vaJvOGhU"",""2025-26!AC4"")"),"")</f>
        <v/>
      </c>
      <c r="BI37" s="55" t="str">
        <f>IFERROR(__xludf.DUMMYFUNCTION("IMPORTRANGE(""1wsszhlq6_ah5OYzZkVme-nY4menV6_rwzD2vaJvOGhU"",""2025-26!AC3"")"),"")</f>
        <v/>
      </c>
      <c r="BJ37" s="59" t="str">
        <f t="shared" si="24"/>
        <v/>
      </c>
      <c r="BK37" s="55" t="str">
        <f>IFERROR(__xludf.DUMMYFUNCTION("IMPORTRANGE(""1wsszhlq6_ah5OYzZkVme-nY4menV6_rwzD2vaJvOGhU"",""2025-26!AD4"")"),"")</f>
        <v/>
      </c>
      <c r="BL37" s="55" t="str">
        <f>IFERROR(__xludf.DUMMYFUNCTION("IMPORTRANGE(""1wsszhlq6_ah5OYzZkVme-nY4menV6_rwzD2vaJvOGhU"",""2025-26!AD3"")"),"")</f>
        <v/>
      </c>
      <c r="BM37" s="55" t="str">
        <f>IFERROR(__xludf.DUMMYFUNCTION("IMPORTRANGE(""1wsszhlq6_ah5OYzZkVme-nY4menV6_rwzD2vaJvOGhU"",""2025-26!AE4"")"),"")</f>
        <v/>
      </c>
      <c r="BN37" s="55" t="str">
        <f>IFERROR(__xludf.DUMMYFUNCTION("IMPORTRANGE(""1wsszhlq6_ah5OYzZkVme-nY4menV6_rwzD2vaJvOGhU"",""2025-26!AE3"")"),"")</f>
        <v/>
      </c>
      <c r="BO37" s="55" t="str">
        <f>IFERROR(__xludf.DUMMYFUNCTION("IMPORTRANGE(""1wsszhlq6_ah5OYzZkVme-nY4menV6_rwzD2vaJvOGhU"",""2025-26!AF4"")"),"")</f>
        <v/>
      </c>
      <c r="BP37" s="55" t="str">
        <f>IFERROR(__xludf.DUMMYFUNCTION("IMPORTRANGE(""1wsszhlq6_ah5OYzZkVme-nY4menV6_rwzD2vaJvOGhU"",""2025-26!AF3"")"),"")</f>
        <v/>
      </c>
      <c r="BQ37" s="59" t="str">
        <f t="shared" si="25"/>
        <v/>
      </c>
      <c r="BR37" s="55" t="str">
        <f>IFERROR(__xludf.DUMMYFUNCTION("IMPORTRANGE(""1wsszhlq6_ah5OYzZkVme-nY4menV6_rwzD2vaJvOGhU"",""2025-26!AG4"")"),"")</f>
        <v/>
      </c>
      <c r="BS37" s="55" t="str">
        <f>IFERROR(__xludf.DUMMYFUNCTION("IMPORTRANGE(""1wsszhlq6_ah5OYzZkVme-nY4menV6_rwzD2vaJvOGhU"",""2025-26!AG3"")"),"")</f>
        <v/>
      </c>
      <c r="BT37" s="55" t="str">
        <f>IFERROR(__xludf.DUMMYFUNCTION("IMPORTRANGE(""1wsszhlq6_ah5OYzZkVme-nY4menV6_rwzD2vaJvOGhU"",""2025-26!AH4"")"),"")</f>
        <v/>
      </c>
      <c r="BU37" s="55" t="str">
        <f>IFERROR(__xludf.DUMMYFUNCTION("IMPORTRANGE(""1wsszhlq6_ah5OYzZkVme-nY4menV6_rwzD2vaJvOGhU"",""2025-26!AH3"")"),"")</f>
        <v/>
      </c>
      <c r="BV37" s="55" t="str">
        <f>IFERROR(__xludf.DUMMYFUNCTION("IMPORTRANGE(""1wsszhlq6_ah5OYzZkVme-nY4menV6_rwzD2vaJvOGhU"",""2025-26!AI4"")"),"")</f>
        <v/>
      </c>
      <c r="BW37" s="55" t="str">
        <f>IFERROR(__xludf.DUMMYFUNCTION("IMPORTRANGE(""1wsszhlq6_ah5OYzZkVme-nY4menV6_rwzD2vaJvOGhU"",""2025-26!AI3"")"),"")</f>
        <v/>
      </c>
      <c r="BX37" s="59" t="str">
        <f t="shared" si="26"/>
        <v/>
      </c>
      <c r="BY37" s="55" t="str">
        <f>IFERROR(__xludf.DUMMYFUNCTION("IMPORTRANGE(""1wsszhlq6_ah5OYzZkVme-nY4menV6_rwzD2vaJvOGhU"",""2025-26!AJ4"")"),"")</f>
        <v/>
      </c>
      <c r="BZ37" s="55" t="str">
        <f>IFERROR(__xludf.DUMMYFUNCTION("IMPORTRANGE(""1wsszhlq6_ah5OYzZkVme-nY4menV6_rwzD2vaJvOGhU"",""2025-26!AJ3"")"),"")</f>
        <v/>
      </c>
      <c r="CA37" s="55" t="str">
        <f>IFERROR(__xludf.DUMMYFUNCTION("IMPORTRANGE(""1wsszhlq6_ah5OYzZkVme-nY4menV6_rwzD2vaJvOGhU"",""2025-26!AK4"")"),"")</f>
        <v/>
      </c>
      <c r="CB37" s="55" t="str">
        <f>IFERROR(__xludf.DUMMYFUNCTION("IMPORTRANGE(""1wsszhlq6_ah5OYzZkVme-nY4menV6_rwzD2vaJvOGhU"",""2025-26!AK3"")"),"")</f>
        <v/>
      </c>
      <c r="CC37" s="55" t="str">
        <f>IFERROR(__xludf.DUMMYFUNCTION("IMPORTRANGE(""1wsszhlq6_ah5OYzZkVme-nY4menV6_rwzD2vaJvOGhU"",""2025-26!AL4"")"),"")</f>
        <v/>
      </c>
      <c r="CD37" s="55" t="str">
        <f>IFERROR(__xludf.DUMMYFUNCTION("IMPORTRANGE(""1wsszhlq6_ah5OYzZkVme-nY4menV6_rwzD2vaJvOGhU"",""2025-26!AL3"")"),"")</f>
        <v/>
      </c>
      <c r="CE37" s="59" t="str">
        <f t="shared" si="27"/>
        <v/>
      </c>
      <c r="CF37" s="55" t="str">
        <f>IFERROR(__xludf.DUMMYFUNCTION("IMPORTRANGE(""1wsszhlq6_ah5OYzZkVme-nY4menV6_rwzD2vaJvOGhU"",""2025-26!AM4"")"),"")</f>
        <v/>
      </c>
      <c r="CG37" s="55" t="str">
        <f>IFERROR(__xludf.DUMMYFUNCTION("IMPORTRANGE(""1wsszhlq6_ah5OYzZkVme-nY4menV6_rwzD2vaJvOGhU"",""2025-26!AM3"")"),"")</f>
        <v/>
      </c>
      <c r="CH37" s="55" t="str">
        <f>IFERROR(__xludf.DUMMYFUNCTION("IMPORTRANGE(""1wsszhlq6_ah5OYzZkVme-nY4menV6_rwzD2vaJvOGhU"",""2025-26!AN4"")"),"")</f>
        <v/>
      </c>
      <c r="CI37" s="55" t="str">
        <f>IFERROR(__xludf.DUMMYFUNCTION("IMPORTRANGE(""1wsszhlq6_ah5OYzZkVme-nY4menV6_rwzD2vaJvOGhU"",""2025-26!AN3"")"),"")</f>
        <v/>
      </c>
      <c r="CJ37" s="55" t="str">
        <f>IFERROR(__xludf.DUMMYFUNCTION("IMPORTRANGE(""1wsszhlq6_ah5OYzZkVme-nY4menV6_rwzD2vaJvOGhU"",""2025-26!AO4"")"),"")</f>
        <v/>
      </c>
      <c r="CK37" s="55" t="str">
        <f>IFERROR(__xludf.DUMMYFUNCTION("IMPORTRANGE(""1wsszhlq6_ah5OYzZkVme-nY4menV6_rwzD2vaJvOGhU"",""2025-26!AO3"")"),"")</f>
        <v/>
      </c>
      <c r="CL37" s="59" t="str">
        <f t="shared" si="28"/>
        <v/>
      </c>
      <c r="CM37" s="55" t="str">
        <f>IFERROR(__xludf.DUMMYFUNCTION("IMPORTRANGE(""1wsszhlq6_ah5OYzZkVme-nY4menV6_rwzD2vaJvOGhU"",""2025-26!AP4"")"),"")</f>
        <v/>
      </c>
      <c r="CN37" s="55" t="str">
        <f>IFERROR(__xludf.DUMMYFUNCTION("IMPORTRANGE(""1wsszhlq6_ah5OYzZkVme-nY4menV6_rwzD2vaJvOGhU"",""2025-26!AP3"")"),"")</f>
        <v/>
      </c>
      <c r="CO37" s="55" t="str">
        <f>IFERROR(__xludf.DUMMYFUNCTION("IMPORTRANGE(""1wsszhlq6_ah5OYzZkVme-nY4menV6_rwzD2vaJvOGhU"",""2025-26!AQ4"")"),"")</f>
        <v/>
      </c>
      <c r="CP37" s="55" t="str">
        <f>IFERROR(__xludf.DUMMYFUNCTION("IMPORTRANGE(""1wsszhlq6_ah5OYzZkVme-nY4menV6_rwzD2vaJvOGhU"",""2025-26!AQ3"")"),"")</f>
        <v/>
      </c>
      <c r="CQ37" s="55" t="str">
        <f>IFERROR(__xludf.DUMMYFUNCTION("IMPORTRANGE(""1wsszhlq6_ah5OYzZkVme-nY4menV6_rwzD2vaJvOGhU"",""2025-26!AR4"")"),"")</f>
        <v/>
      </c>
      <c r="CR37" s="55" t="str">
        <f>IFERROR(__xludf.DUMMYFUNCTION("IMPORTRANGE(""1wsszhlq6_ah5OYzZkVme-nY4menV6_rwzD2vaJvOGhU"",""2025-26!AR3"")"),"")</f>
        <v/>
      </c>
      <c r="CS37" s="59" t="str">
        <f t="shared" si="29"/>
        <v/>
      </c>
      <c r="CT37" s="55" t="str">
        <f>IFERROR(__xludf.DUMMYFUNCTION("IMPORTRANGE(""1wsszhlq6_ah5OYzZkVme-nY4menV6_rwzD2vaJvOGhU"",""2025-26!AS4"")"),"")</f>
        <v/>
      </c>
      <c r="CU37" s="55" t="str">
        <f>IFERROR(__xludf.DUMMYFUNCTION("IMPORTRANGE(""1wsszhlq6_ah5OYzZkVme-nY4menV6_rwzD2vaJvOGhU"",""2025-26!AS3"")"),"")</f>
        <v/>
      </c>
      <c r="CV37" s="60" t="s">
        <v>96</v>
      </c>
    </row>
    <row r="38">
      <c r="A38" s="1" t="s">
        <v>97</v>
      </c>
      <c r="B38" s="77" t="s">
        <v>98</v>
      </c>
      <c r="C38" s="48" t="s">
        <v>99</v>
      </c>
      <c r="D38" s="49" t="s">
        <v>100</v>
      </c>
      <c r="E38" s="50">
        <v>8.07560687E9</v>
      </c>
      <c r="F38" s="51">
        <v>44693.0</v>
      </c>
      <c r="G38" s="62"/>
      <c r="H38" s="62"/>
      <c r="I38" s="53">
        <f>VLOOKUP($C38,Data!$C:$BV,72,0)</f>
        <v>32890</v>
      </c>
      <c r="J38" s="54">
        <v>1333333.333</v>
      </c>
      <c r="K38" s="55">
        <f>IFERROR(__xludf.DUMMYFUNCTION("IMPORTRANGE(""1BOdlvcbAzmhN6MUIGmMKbyx8OGarcJ2uhWJX8ES8y70"",""2025-26!A3"")"),80.0)</f>
        <v>80</v>
      </c>
      <c r="L38" s="55">
        <f>IFERROR(__xludf.DUMMYFUNCTION("IMPORTRANGE(""1BOdlvcbAzmhN6MUIGmMKbyx8OGarcJ2uhWJX8ES8y70"",""2025-26!G4"")"),1.313E7)</f>
        <v>13130000</v>
      </c>
      <c r="M38" s="55">
        <f t="shared" si="41"/>
        <v>11934784.13</v>
      </c>
      <c r="N38" s="56">
        <f t="shared" si="42"/>
        <v>0.8649151561</v>
      </c>
      <c r="O38" s="57">
        <f t="shared" si="43"/>
        <v>11356336</v>
      </c>
      <c r="P38" s="55">
        <f>IFERROR(__xludf.DUMMYFUNCTION("IMPORTRANGE(""1BOdlvcbAzmhN6MUIGmMKbyx8OGarcJ2uhWJX8ES8y70"",""2025-26!J4"")"),637000.0)</f>
        <v>637000</v>
      </c>
      <c r="Q38" s="55">
        <f>IFERROR(__xludf.DUMMYFUNCTION("IMPORTRANGE(""1BOdlvcbAzmhN6MUIGmMKbyx8OGarcJ2uhWJX8ES8y70"",""2025-26!J3"")"),18.0)</f>
        <v>18</v>
      </c>
      <c r="R38" s="55">
        <f>IFERROR(__xludf.DUMMYFUNCTION("IMPORTRANGE(""1BOdlvcbAzmhN6MUIGmMKbyx8OGarcJ2uhWJX8ES8y70"",""2025-26!K4"")"),678487.14)</f>
        <v>678487.14</v>
      </c>
      <c r="S38" s="55">
        <f>IFERROR(__xludf.DUMMYFUNCTION("IMPORTRANGE(""1BOdlvcbAzmhN6MUIGmMKbyx8OGarcJ2uhWJX8ES8y70"",""2025-26!K3"")"),7.0)</f>
        <v>7</v>
      </c>
      <c r="T38" s="58">
        <f t="shared" si="18"/>
        <v>1.291686028</v>
      </c>
      <c r="U38" s="55">
        <f>IFERROR(__xludf.DUMMYFUNCTION("IMPORTRANGE(""1BOdlvcbAzmhN6MUIGmMKbyx8OGarcJ2uhWJX8ES8y70"",""2025-26!L4"")"),822804.0)</f>
        <v>822804</v>
      </c>
      <c r="V38" s="55">
        <f>IFERROR(__xludf.DUMMYFUNCTION("IMPORTRANGE(""1BOdlvcbAzmhN6MUIGmMKbyx8OGarcJ2uhWJX8ES8y70"",""2025-26!L3"")"),25.0)</f>
        <v>25</v>
      </c>
      <c r="W38" s="55">
        <f>IFERROR(__xludf.DUMMYFUNCTION("IMPORTRANGE(""1BOdlvcbAzmhN6MUIGmMKbyx8OGarcJ2uhWJX8ES8y70"",""2025-26!m4"")"),1215000.0)</f>
        <v>1215000</v>
      </c>
      <c r="X38" s="55">
        <f>IFERROR(__xludf.DUMMYFUNCTION("IMPORTRANGE(""1BOdlvcbAzmhN6MUIGmMKbyx8OGarcJ2uhWJX8ES8y70"",""2025-26!m3"")"),33.0)</f>
        <v>33</v>
      </c>
      <c r="Y38" s="55">
        <f>IFERROR(__xludf.DUMMYFUNCTION("IMPORTRANGE(""1BOdlvcbAzmhN6MUIGmMKbyx8OGarcJ2uhWJX8ES8y70"",""2025-26!N4"")"),1127571.6)</f>
        <v>1127571.6</v>
      </c>
      <c r="Z38" s="55">
        <f>IFERROR(__xludf.DUMMYFUNCTION("IMPORTRANGE(""1BOdlvcbAzmhN6MUIGmMKbyx8OGarcJ2uhWJX8ES8y70"",""2025-26!N3"")"),24.0)</f>
        <v>24</v>
      </c>
      <c r="AA38" s="58">
        <f t="shared" si="19"/>
        <v>0.9740312757</v>
      </c>
      <c r="AB38" s="55">
        <f>IFERROR(__xludf.DUMMYFUNCTION("IMPORTRANGE(""1BOdlvcbAzmhN6MUIGmMKbyx8OGarcJ2uhWJX8ES8y70"",""2025-26!O4"")"),1183448.0)</f>
        <v>1183448</v>
      </c>
      <c r="AC38" s="55">
        <f>IFERROR(__xludf.DUMMYFUNCTION("IMPORTRANGE(""1BOdlvcbAzmhN6MUIGmMKbyx8OGarcJ2uhWJX8ES8y70"",""2025-26!O3"")"),30.0)</f>
        <v>30</v>
      </c>
      <c r="AD38" s="55">
        <f>IFERROR(__xludf.DUMMYFUNCTION("IMPORTRANGE(""1BOdlvcbAzmhN6MUIGmMKbyx8OGarcJ2uhWJX8ES8y70"",""2025-26!P4"")"),1280000.0)</f>
        <v>1280000</v>
      </c>
      <c r="AE38" s="55">
        <f>IFERROR(__xludf.DUMMYFUNCTION("IMPORTRANGE(""1BOdlvcbAzmhN6MUIGmMKbyx8OGarcJ2uhWJX8ES8y70"",""2025-26!P3"")"),33.0)</f>
        <v>33</v>
      </c>
      <c r="AF38" s="55">
        <f>IFERROR(__xludf.DUMMYFUNCTION("IMPORTRANGE(""1BOdlvcbAzmhN6MUIGmMKbyx8OGarcJ2uhWJX8ES8y70"",""2025-26!Q4"")"),905703.59)</f>
        <v>905703.59</v>
      </c>
      <c r="AG38" s="55">
        <f>IFERROR(__xludf.DUMMYFUNCTION("IMPORTRANGE(""1BOdlvcbAzmhN6MUIGmMKbyx8OGarcJ2uhWJX8ES8y70"",""2025-26!Q3"")"),8.0)</f>
        <v>8</v>
      </c>
      <c r="AH38" s="58">
        <f t="shared" si="20"/>
        <v>0.5864640625</v>
      </c>
      <c r="AI38" s="55">
        <f>IFERROR(__xludf.DUMMYFUNCTION("IMPORTRANGE(""1BOdlvcbAzmhN6MUIGmMKbyx8OGarcJ2uhWJX8ES8y70"",""2025-26!R4"")"),750674.0)</f>
        <v>750674</v>
      </c>
      <c r="AJ38" s="55">
        <f>IFERROR(__xludf.DUMMYFUNCTION("IMPORTRANGE(""1BOdlvcbAzmhN6MUIGmMKbyx8OGarcJ2uhWJX8ES8y70"",""2025-26!R3"")"),12.0)</f>
        <v>12</v>
      </c>
      <c r="AK38" s="55">
        <f>IFERROR(__xludf.DUMMYFUNCTION("IMPORTRANGE(""1BOdlvcbAzmhN6MUIGmMKbyx8OGarcJ2uhWJX8ES8y70"",""2025-26!S4"")"),880000.0)</f>
        <v>880000</v>
      </c>
      <c r="AL38" s="55">
        <f>IFERROR(__xludf.DUMMYFUNCTION("IMPORTRANGE(""1BOdlvcbAzmhN6MUIGmMKbyx8OGarcJ2uhWJX8ES8y70"",""2025-26!S3"")"),30.0)</f>
        <v>30</v>
      </c>
      <c r="AM38" s="55">
        <f>IFERROR(__xludf.DUMMYFUNCTION("IMPORTRANGE(""1BOdlvcbAzmhN6MUIGmMKbyx8OGarcJ2uhWJX8ES8y70"",""2025-26!T4"")"),549078.0)</f>
        <v>549078</v>
      </c>
      <c r="AN38" s="55">
        <f>IFERROR(__xludf.DUMMYFUNCTION("IMPORTRANGE(""1BOdlvcbAzmhN6MUIGmMKbyx8OGarcJ2uhWJX8ES8y70"",""2025-26!T3"")"),15.0)</f>
        <v>15</v>
      </c>
      <c r="AO38" s="58">
        <f t="shared" si="21"/>
        <v>0.4208306818</v>
      </c>
      <c r="AP38" s="55">
        <f>IFERROR(__xludf.DUMMYFUNCTION("IMPORTRANGE(""1BOdlvcbAzmhN6MUIGmMKbyx8OGarcJ2uhWJX8ES8y70"",""2025-26!U4"")"),370331.0)</f>
        <v>370331</v>
      </c>
      <c r="AQ38" s="55">
        <f>IFERROR(__xludf.DUMMYFUNCTION("IMPORTRANGE(""1BOdlvcbAzmhN6MUIGmMKbyx8OGarcJ2uhWJX8ES8y70"",""2025-26!U3"")"),11.0)</f>
        <v>11</v>
      </c>
      <c r="AR38" s="55">
        <f>IFERROR(__xludf.DUMMYFUNCTION("IMPORTRANGE(""1BOdlvcbAzmhN6MUIGmMKbyx8OGarcJ2uhWJX8ES8y70"",""2025-26!V4"")"),1232000.0)</f>
        <v>1232000</v>
      </c>
      <c r="AS38" s="55">
        <f>IFERROR(__xludf.DUMMYFUNCTION("IMPORTRANGE(""1BOdlvcbAzmhN6MUIGmMKbyx8OGarcJ2uhWJX8ES8y70"",""2025-26!V3"")"),26.0)</f>
        <v>26</v>
      </c>
      <c r="AT38" s="55">
        <f>IFERROR(__xludf.DUMMYFUNCTION("IMPORTRANGE(""1BOdlvcbAzmhN6MUIGmMKbyx8OGarcJ2uhWJX8ES8y70"",""2025-26!W4"")"),1266830.4)</f>
        <v>1266830.4</v>
      </c>
      <c r="AU38" s="55">
        <f>IFERROR(__xludf.DUMMYFUNCTION("IMPORTRANGE(""1BOdlvcbAzmhN6MUIGmMKbyx8OGarcJ2uhWJX8ES8y70"",""2025-26!W3"")"),15.0)</f>
        <v>15</v>
      </c>
      <c r="AV38" s="58">
        <f t="shared" si="22"/>
        <v>0.8533587662</v>
      </c>
      <c r="AW38" s="55">
        <f>IFERROR(__xludf.DUMMYFUNCTION("IMPORTRANGE(""1BOdlvcbAzmhN6MUIGmMKbyx8OGarcJ2uhWJX8ES8y70"",""2025-26!X4"")"),1051338.0)</f>
        <v>1051338</v>
      </c>
      <c r="AX38" s="55">
        <f>IFERROR(__xludf.DUMMYFUNCTION("IMPORTRANGE(""1BOdlvcbAzmhN6MUIGmMKbyx8OGarcJ2uhWJX8ES8y70"",""2025-26!X3"")"),16.0)</f>
        <v>16</v>
      </c>
      <c r="AY38" s="55">
        <f>IFERROR(__xludf.DUMMYFUNCTION("IMPORTRANGE(""1BOdlvcbAzmhN6MUIGmMKbyx8OGarcJ2uhWJX8ES8y70"",""2025-26!Y4"")"),1210000.0)</f>
        <v>1210000</v>
      </c>
      <c r="AZ38" s="55">
        <f>IFERROR(__xludf.DUMMYFUNCTION("IMPORTRANGE(""1BOdlvcbAzmhN6MUIGmMKbyx8OGarcJ2uhWJX8ES8y70"",""2025-26!Y3"")"),28.0)</f>
        <v>28</v>
      </c>
      <c r="BA38" s="55">
        <f>IFERROR(__xludf.DUMMYFUNCTION("IMPORTRANGE(""1BOdlvcbAzmhN6MUIGmMKbyx8OGarcJ2uhWJX8ES8y70"",""2025-26!Z4"")"),906324.01)</f>
        <v>906324.01</v>
      </c>
      <c r="BB38" s="55">
        <f>IFERROR(__xludf.DUMMYFUNCTION("IMPORTRANGE(""1BOdlvcbAzmhN6MUIGmMKbyx8OGarcJ2uhWJX8ES8y70"",""2025-26!Z3"")"),16.0)</f>
        <v>16</v>
      </c>
      <c r="BC38" s="59">
        <f t="shared" si="23"/>
        <v>0.8266024793</v>
      </c>
      <c r="BD38" s="55">
        <f>IFERROR(__xludf.DUMMYFUNCTION("IMPORTRANGE(""1BOdlvcbAzmhN6MUIGmMKbyx8OGarcJ2uhWJX8ES8y70"",""2025-26!AA4"")"),1000189.0)</f>
        <v>1000189</v>
      </c>
      <c r="BE38" s="55">
        <f>IFERROR(__xludf.DUMMYFUNCTION("IMPORTRANGE(""1BOdlvcbAzmhN6MUIGmMKbyx8OGarcJ2uhWJX8ES8y70"",""2025-26!AA3"")"),21.0)</f>
        <v>21</v>
      </c>
      <c r="BF38" s="55">
        <f>IFERROR(__xludf.DUMMYFUNCTION("IMPORTRANGE(""1BOdlvcbAzmhN6MUIGmMKbyx8OGarcJ2uhWJX8ES8y70"",""2025-26!AB4"")"),1040000.0)</f>
        <v>1040000</v>
      </c>
      <c r="BG38" s="55">
        <f>IFERROR(__xludf.DUMMYFUNCTION("IMPORTRANGE(""1BOdlvcbAzmhN6MUIGmMKbyx8OGarcJ2uhWJX8ES8y70"",""2025-26!AB3"")"),24.0)</f>
        <v>24</v>
      </c>
      <c r="BH38" s="55">
        <f>IFERROR(__xludf.DUMMYFUNCTION("IMPORTRANGE(""1BOdlvcbAzmhN6MUIGmMKbyx8OGarcJ2uhWJX8ES8y70"",""2025-26!AC4"")"),863778.0)</f>
        <v>863778</v>
      </c>
      <c r="BI38" s="55">
        <f>IFERROR(__xludf.DUMMYFUNCTION("IMPORTRANGE(""1BOdlvcbAzmhN6MUIGmMKbyx8OGarcJ2uhWJX8ES8y70"",""2025-26!AC3"")"),16.0)</f>
        <v>16</v>
      </c>
      <c r="BJ38" s="59">
        <f t="shared" si="24"/>
        <v>0.8032769231</v>
      </c>
      <c r="BK38" s="55">
        <f>IFERROR(__xludf.DUMMYFUNCTION("IMPORTRANGE(""1BOdlvcbAzmhN6MUIGmMKbyx8OGarcJ2uhWJX8ES8y70"",""2025-26!AD4"")"),835408.0)</f>
        <v>835408</v>
      </c>
      <c r="BL38" s="55">
        <f>IFERROR(__xludf.DUMMYFUNCTION("IMPORTRANGE(""1BOdlvcbAzmhN6MUIGmMKbyx8OGarcJ2uhWJX8ES8y70"",""2025-26!AD3"")"),16.0)</f>
        <v>16</v>
      </c>
      <c r="BM38" s="55">
        <f>IFERROR(__xludf.DUMMYFUNCTION("IMPORTRANGE(""1BOdlvcbAzmhN6MUIGmMKbyx8OGarcJ2uhWJX8ES8y70"",""2025-26!AE4"")"),1500000.0)</f>
        <v>1500000</v>
      </c>
      <c r="BN38" s="55">
        <f>IFERROR(__xludf.DUMMYFUNCTION("IMPORTRANGE(""1BOdlvcbAzmhN6MUIGmMKbyx8OGarcJ2uhWJX8ES8y70"",""2025-26!AE3"")"),27.0)</f>
        <v>27</v>
      </c>
      <c r="BO38" s="55">
        <f>IFERROR(__xludf.DUMMYFUNCTION("IMPORTRANGE(""1BOdlvcbAzmhN6MUIGmMKbyx8OGarcJ2uhWJX8ES8y70"",""2025-26!AF4"")"),1143558.0000000002)</f>
        <v>1143558</v>
      </c>
      <c r="BP38" s="55">
        <f>IFERROR(__xludf.DUMMYFUNCTION("IMPORTRANGE(""1BOdlvcbAzmhN6MUIGmMKbyx8OGarcJ2uhWJX8ES8y70"",""2025-26!AF3"")"),17.0)</f>
        <v>17</v>
      </c>
      <c r="BQ38" s="59">
        <f t="shared" si="25"/>
        <v>0.611614</v>
      </c>
      <c r="BR38" s="55">
        <f>IFERROR(__xludf.DUMMYFUNCTION("IMPORTRANGE(""1BOdlvcbAzmhN6MUIGmMKbyx8OGarcJ2uhWJX8ES8y70"",""2025-26!AG4"")"),917421.0)</f>
        <v>917421</v>
      </c>
      <c r="BS38" s="55">
        <f>IFERROR(__xludf.DUMMYFUNCTION("IMPORTRANGE(""1BOdlvcbAzmhN6MUIGmMKbyx8OGarcJ2uhWJX8ES8y70"",""2025-26!AG3"")"),19.0)</f>
        <v>19</v>
      </c>
      <c r="BT38" s="55">
        <f>IFERROR(__xludf.DUMMYFUNCTION("IMPORTRANGE(""1BOdlvcbAzmhN6MUIGmMKbyx8OGarcJ2uhWJX8ES8y70"",""2025-26!AH4"")"),1580000.0)</f>
        <v>1580000</v>
      </c>
      <c r="BU38" s="55">
        <f>IFERROR(__xludf.DUMMYFUNCTION("IMPORTRANGE(""1BOdlvcbAzmhN6MUIGmMKbyx8OGarcJ2uhWJX8ES8y70"",""2025-26!AH3"")"),28.0)</f>
        <v>28</v>
      </c>
      <c r="BV38" s="55">
        <f>IFERROR(__xludf.DUMMYFUNCTION("IMPORTRANGE(""1BOdlvcbAzmhN6MUIGmMKbyx8OGarcJ2uhWJX8ES8y70"",""2025-26!AI4"")"),1108709.99)</f>
        <v>1108709.99</v>
      </c>
      <c r="BW38" s="55">
        <f>IFERROR(__xludf.DUMMYFUNCTION("IMPORTRANGE(""1BOdlvcbAzmhN6MUIGmMKbyx8OGarcJ2uhWJX8ES8y70"",""2025-26!AI3"")"),15.0)</f>
        <v>15</v>
      </c>
      <c r="BX38" s="59">
        <f t="shared" si="26"/>
        <v>0.6161436709</v>
      </c>
      <c r="BY38" s="55">
        <f>IFERROR(__xludf.DUMMYFUNCTION("IMPORTRANGE(""1BOdlvcbAzmhN6MUIGmMKbyx8OGarcJ2uhWJX8ES8y70"",""2025-26!AJ4"")"),973507.0)</f>
        <v>973507</v>
      </c>
      <c r="BZ38" s="55">
        <f>IFERROR(__xludf.DUMMYFUNCTION("IMPORTRANGE(""1BOdlvcbAzmhN6MUIGmMKbyx8OGarcJ2uhWJX8ES8y70"",""2025-26!AJ3"")"),16.0)</f>
        <v>16</v>
      </c>
      <c r="CA38" s="55">
        <f>IFERROR(__xludf.DUMMYFUNCTION("IMPORTRANGE(""1BOdlvcbAzmhN6MUIGmMKbyx8OGarcJ2uhWJX8ES8y70"",""2025-26!AK4"")"),1500000.0)</f>
        <v>1500000</v>
      </c>
      <c r="CB38" s="55">
        <f>IFERROR(__xludf.DUMMYFUNCTION("IMPORTRANGE(""1BOdlvcbAzmhN6MUIGmMKbyx8OGarcJ2uhWJX8ES8y70"",""2025-26!AK3"")"),27.0)</f>
        <v>27</v>
      </c>
      <c r="CC38" s="55">
        <f>IFERROR(__xludf.DUMMYFUNCTION("IMPORTRANGE(""1BOdlvcbAzmhN6MUIGmMKbyx8OGarcJ2uhWJX8ES8y70"",""2025-26!AL4"")"),1118113.8)</f>
        <v>1118113.8</v>
      </c>
      <c r="CD38" s="55">
        <f>IFERROR(__xludf.DUMMYFUNCTION("IMPORTRANGE(""1BOdlvcbAzmhN6MUIGmMKbyx8OGarcJ2uhWJX8ES8y70"",""2025-26!AL3"")"),14.0)</f>
        <v>14</v>
      </c>
      <c r="CE38" s="59">
        <f t="shared" si="27"/>
        <v>0.6932053333</v>
      </c>
      <c r="CF38" s="55">
        <f>IFERROR(__xludf.DUMMYFUNCTION("IMPORTRANGE(""1BOdlvcbAzmhN6MUIGmMKbyx8OGarcJ2uhWJX8ES8y70"",""2025-26!AM4"")"),1039808.0)</f>
        <v>1039808</v>
      </c>
      <c r="CG38" s="55">
        <f>IFERROR(__xludf.DUMMYFUNCTION("IMPORTRANGE(""1BOdlvcbAzmhN6MUIGmMKbyx8OGarcJ2uhWJX8ES8y70"",""2025-26!AM3"")"),18.0)</f>
        <v>18</v>
      </c>
      <c r="CH38" s="55">
        <f>IFERROR(__xludf.DUMMYFUNCTION("IMPORTRANGE(""1BOdlvcbAzmhN6MUIGmMKbyx8OGarcJ2uhWJX8ES8y70"",""2025-26!AN4"")"),1500000.0)</f>
        <v>1500000</v>
      </c>
      <c r="CI38" s="55">
        <f>IFERROR(__xludf.DUMMYFUNCTION("IMPORTRANGE(""1BOdlvcbAzmhN6MUIGmMKbyx8OGarcJ2uhWJX8ES8y70"",""2025-26!AN3"")"),26.0)</f>
        <v>26</v>
      </c>
      <c r="CJ38" s="55">
        <f>IFERROR(__xludf.DUMMYFUNCTION("IMPORTRANGE(""1BOdlvcbAzmhN6MUIGmMKbyx8OGarcJ2uhWJX8ES8y70"",""2025-26!AO4"")"),735082.8)</f>
        <v>735082.8</v>
      </c>
      <c r="CK38" s="55">
        <f>IFERROR(__xludf.DUMMYFUNCTION("IMPORTRANGE(""1BOdlvcbAzmhN6MUIGmMKbyx8OGarcJ2uhWJX8ES8y70"",""2025-26!AO3"")"),11.0)</f>
        <v>11</v>
      </c>
      <c r="CL38" s="59">
        <f t="shared" si="28"/>
        <v>0.6690266667</v>
      </c>
      <c r="CM38" s="55">
        <f>IFERROR(__xludf.DUMMYFUNCTION("IMPORTRANGE(""1BOdlvcbAzmhN6MUIGmMKbyx8OGarcJ2uhWJX8ES8y70"",""2025-26!AP4"")"),1003540.0)</f>
        <v>1003540</v>
      </c>
      <c r="CN38" s="55">
        <f>IFERROR(__xludf.DUMMYFUNCTION("IMPORTRANGE(""1BOdlvcbAzmhN6MUIGmMKbyx8OGarcJ2uhWJX8ES8y70"",""2025-26!AP3"")"),15.0)</f>
        <v>15</v>
      </c>
      <c r="CO38" s="55">
        <f>IFERROR(__xludf.DUMMYFUNCTION("IMPORTRANGE(""1BOdlvcbAzmhN6MUIGmMKbyx8OGarcJ2uhWJX8ES8y70"",""2025-26!AQ4"")"),1525000.0)</f>
        <v>1525000</v>
      </c>
      <c r="CP38" s="55">
        <f>IFERROR(__xludf.DUMMYFUNCTION("IMPORTRANGE(""1BOdlvcbAzmhN6MUIGmMKbyx8OGarcJ2uhWJX8ES8y70"",""2025-26!AQ3"")"),26.0)</f>
        <v>26</v>
      </c>
      <c r="CQ38" s="55">
        <f>IFERROR(__xludf.DUMMYFUNCTION("IMPORTRANGE(""1BOdlvcbAzmhN6MUIGmMKbyx8OGarcJ2uhWJX8ES8y70"",""2025-26!AR4"")"),1531546.8000000003)</f>
        <v>1531546.8</v>
      </c>
      <c r="CR38" s="55">
        <f>IFERROR(__xludf.DUMMYFUNCTION("IMPORTRANGE(""1BOdlvcbAzmhN6MUIGmMKbyx8OGarcJ2uhWJX8ES8y70"",""2025-26!AR3"")"),14.0)</f>
        <v>14</v>
      </c>
      <c r="CS38" s="59">
        <f t="shared" si="29"/>
        <v>0.9231921311</v>
      </c>
      <c r="CT38" s="55">
        <f>IFERROR(__xludf.DUMMYFUNCTION("IMPORTRANGE(""1BOdlvcbAzmhN6MUIGmMKbyx8OGarcJ2uhWJX8ES8y70"",""2025-26!AS4"")"),1407868.0)</f>
        <v>1407868</v>
      </c>
      <c r="CU38" s="55">
        <f>IFERROR(__xludf.DUMMYFUNCTION("IMPORTRANGE(""1BOdlvcbAzmhN6MUIGmMKbyx8OGarcJ2uhWJX8ES8y70"",""2025-26!AS3"")"),16.0)</f>
        <v>16</v>
      </c>
      <c r="CV38" s="60" t="s">
        <v>101</v>
      </c>
    </row>
    <row r="39">
      <c r="A39" s="1" t="s">
        <v>97</v>
      </c>
      <c r="B39" s="37"/>
      <c r="C39" s="67" t="s">
        <v>102</v>
      </c>
      <c r="D39" s="65" t="s">
        <v>103</v>
      </c>
      <c r="E39" s="50">
        <v>7.736336966E9</v>
      </c>
      <c r="F39" s="66">
        <v>45488.0</v>
      </c>
      <c r="G39" s="62"/>
      <c r="H39" s="62"/>
      <c r="I39" s="53">
        <f>VLOOKUP($C39,Data!$C:$BV,34,0)</f>
        <v>20000</v>
      </c>
      <c r="J39" s="54">
        <v>1055416.792</v>
      </c>
      <c r="K39" s="55">
        <f>IFERROR(__xludf.DUMMYFUNCTION("IMPORTRANGE(""1u3amP6zdTUuwKNSkL2afwBWqTLQOc5-H5_uRmoN1Hog"",""2025-26!A3"")"),109.0)</f>
        <v>109</v>
      </c>
      <c r="L39" s="55">
        <f>IFERROR(__xludf.DUMMYFUNCTION("IMPORTRANGE(""1u3amP6zdTUuwKNSkL2afwBWqTLQOc5-H5_uRmoN1Hog"",""2025-26!G4"")"),1.2565E7)</f>
        <v>12565000</v>
      </c>
      <c r="M39" s="55">
        <f t="shared" si="41"/>
        <v>6662120.4</v>
      </c>
      <c r="N39" s="56">
        <f t="shared" si="42"/>
        <v>0.803088261</v>
      </c>
      <c r="O39" s="57">
        <f t="shared" si="43"/>
        <v>10090804</v>
      </c>
      <c r="P39" s="55">
        <f>IFERROR(__xludf.DUMMYFUNCTION("IMPORTRANGE(""1u3amP6zdTUuwKNSkL2afwBWqTLQOc5-H5_uRmoN1Hog"",""2025-26!J4"")"),607920.0)</f>
        <v>607920</v>
      </c>
      <c r="Q39" s="55">
        <f>IFERROR(__xludf.DUMMYFUNCTION("IMPORTRANGE(""1u3amP6zdTUuwKNSkL2afwBWqTLQOc5-H5_uRmoN1Hog"",""2025-26!J3"")"),45.0)</f>
        <v>45</v>
      </c>
      <c r="R39" s="55">
        <f>IFERROR(__xludf.DUMMYFUNCTION("IMPORTRANGE(""1u3amP6zdTUuwKNSkL2afwBWqTLQOc5-H5_uRmoN1Hog"",""2025-26!K4"")"),345439.5999999999)</f>
        <v>345439.6</v>
      </c>
      <c r="S39" s="55">
        <f>IFERROR(__xludf.DUMMYFUNCTION("IMPORTRANGE(""1u3amP6zdTUuwKNSkL2afwBWqTLQOc5-H5_uRmoN1Hog"",""2025-26!K3"")"),32.0)</f>
        <v>32</v>
      </c>
      <c r="T39" s="58">
        <f t="shared" si="18"/>
        <v>1.094500921</v>
      </c>
      <c r="U39" s="55">
        <f>IFERROR(__xludf.DUMMYFUNCTION("IMPORTRANGE(""1u3amP6zdTUuwKNSkL2afwBWqTLQOc5-H5_uRmoN1Hog"",""2025-26!L4"")"),665369.0)</f>
        <v>665369</v>
      </c>
      <c r="V39" s="55">
        <f>IFERROR(__xludf.DUMMYFUNCTION("IMPORTRANGE(""1u3amP6zdTUuwKNSkL2afwBWqTLQOc5-H5_uRmoN1Hog"",""2025-26!L3"")"),45.0)</f>
        <v>45</v>
      </c>
      <c r="W39" s="55">
        <f>IFERROR(__xludf.DUMMYFUNCTION("IMPORTRANGE(""1u3amP6zdTUuwKNSkL2afwBWqTLQOc5-H5_uRmoN1Hog"",""2025-26!m4"")"),1215840.0)</f>
        <v>1215840</v>
      </c>
      <c r="X39" s="55">
        <f>IFERROR(__xludf.DUMMYFUNCTION("IMPORTRANGE(""1u3amP6zdTUuwKNSkL2afwBWqTLQOc5-H5_uRmoN1Hog"",""2025-26!m3"")"),66.0)</f>
        <v>66</v>
      </c>
      <c r="Y39" s="55">
        <f>IFERROR(__xludf.DUMMYFUNCTION("IMPORTRANGE(""1u3amP6zdTUuwKNSkL2afwBWqTLQOc5-H5_uRmoN1Hog"",""2025-26!N4"")"),653811.8)</f>
        <v>653811.8</v>
      </c>
      <c r="Z39" s="55">
        <f>IFERROR(__xludf.DUMMYFUNCTION("IMPORTRANGE(""1u3amP6zdTUuwKNSkL2afwBWqTLQOc5-H5_uRmoN1Hog"",""2025-26!N3"")"),36.0)</f>
        <v>36</v>
      </c>
      <c r="AA39" s="58">
        <f t="shared" si="19"/>
        <v>0.5799381498</v>
      </c>
      <c r="AB39" s="55">
        <f>IFERROR(__xludf.DUMMYFUNCTION("IMPORTRANGE(""1u3amP6zdTUuwKNSkL2afwBWqTLQOc5-H5_uRmoN1Hog"",""2025-26!O4"")"),705112.0)</f>
        <v>705112</v>
      </c>
      <c r="AC39" s="55">
        <f>IFERROR(__xludf.DUMMYFUNCTION("IMPORTRANGE(""1u3amP6zdTUuwKNSkL2afwBWqTLQOc5-H5_uRmoN1Hog"",""2025-26!O3"")"),48.0)</f>
        <v>48</v>
      </c>
      <c r="AD39" s="55">
        <f>IFERROR(__xludf.DUMMYFUNCTION("IMPORTRANGE(""1u3amP6zdTUuwKNSkL2afwBWqTLQOc5-H5_uRmoN1Hog"",""2025-26!P4"")"),1215840.0)</f>
        <v>1215840</v>
      </c>
      <c r="AE39" s="55">
        <f>IFERROR(__xludf.DUMMYFUNCTION("IMPORTRANGE(""1u3amP6zdTUuwKNSkL2afwBWqTLQOc5-H5_uRmoN1Hog"",""2025-26!P3"")"),61.0)</f>
        <v>61</v>
      </c>
      <c r="AF39" s="55">
        <f>IFERROR(__xludf.DUMMYFUNCTION("IMPORTRANGE(""1u3amP6zdTUuwKNSkL2afwBWqTLQOc5-H5_uRmoN1Hog"",""2025-26!Q4"")"),889815.6)</f>
        <v>889815.6</v>
      </c>
      <c r="AG39" s="55">
        <f>IFERROR(__xludf.DUMMYFUNCTION("IMPORTRANGE(""1u3amP6zdTUuwKNSkL2afwBWqTLQOc5-H5_uRmoN1Hog"",""2025-26!Q3"")"),41.0)</f>
        <v>41</v>
      </c>
      <c r="AH39" s="58">
        <f t="shared" si="20"/>
        <v>0.7461573891</v>
      </c>
      <c r="AI39" s="55">
        <f>IFERROR(__xludf.DUMMYFUNCTION("IMPORTRANGE(""1u3amP6zdTUuwKNSkL2afwBWqTLQOc5-H5_uRmoN1Hog"",""2025-26!R4"")"),907208.0)</f>
        <v>907208</v>
      </c>
      <c r="AJ39" s="55">
        <f>IFERROR(__xludf.DUMMYFUNCTION("IMPORTRANGE(""1u3amP6zdTUuwKNSkL2afwBWqTLQOc5-H5_uRmoN1Hog"",""2025-26!R3"")"),51.0)</f>
        <v>51</v>
      </c>
      <c r="AK39" s="55">
        <f>IFERROR(__xludf.DUMMYFUNCTION("IMPORTRANGE(""1u3amP6zdTUuwKNSkL2afwBWqTLQOc5-H5_uRmoN1Hog"",""2025-26!S4"")"),696575.0)</f>
        <v>696575</v>
      </c>
      <c r="AL39" s="55">
        <f>IFERROR(__xludf.DUMMYFUNCTION("IMPORTRANGE(""1u3amP6zdTUuwKNSkL2afwBWqTLQOc5-H5_uRmoN1Hog"",""2025-26!S3"")"),70.0)</f>
        <v>70</v>
      </c>
      <c r="AM39" s="55">
        <f>IFERROR(__xludf.DUMMYFUNCTION("IMPORTRANGE(""1u3amP6zdTUuwKNSkL2afwBWqTLQOc5-H5_uRmoN1Hog"",""2025-26!T4"")"),690333.6)</f>
        <v>690333.6</v>
      </c>
      <c r="AN39" s="55">
        <f>IFERROR(__xludf.DUMMYFUNCTION("IMPORTRANGE(""1u3amP6zdTUuwKNSkL2afwBWqTLQOc5-H5_uRmoN1Hog"",""2025-26!T3"")"),42.0)</f>
        <v>42</v>
      </c>
      <c r="AO39" s="58">
        <f t="shared" si="21"/>
        <v>1.056408858</v>
      </c>
      <c r="AP39" s="55">
        <f>IFERROR(__xludf.DUMMYFUNCTION("IMPORTRANGE(""1u3amP6zdTUuwKNSkL2afwBWqTLQOc5-H5_uRmoN1Hog"",""2025-26!U4"")"),735868.0)</f>
        <v>735868</v>
      </c>
      <c r="AQ39" s="55">
        <f>IFERROR(__xludf.DUMMYFUNCTION("IMPORTRANGE(""1u3amP6zdTUuwKNSkL2afwBWqTLQOc5-H5_uRmoN1Hog"",""2025-26!U3"")"),50.0)</f>
        <v>50</v>
      </c>
      <c r="AR39" s="55">
        <f>IFERROR(__xludf.DUMMYFUNCTION("IMPORTRANGE(""1u3amP6zdTUuwKNSkL2afwBWqTLQOc5-H5_uRmoN1Hog"",""2025-26!V4"")"),975205.0)</f>
        <v>975205</v>
      </c>
      <c r="AS39" s="55">
        <f>IFERROR(__xludf.DUMMYFUNCTION("IMPORTRANGE(""1u3amP6zdTUuwKNSkL2afwBWqTLQOc5-H5_uRmoN1Hog"",""2025-26!V3"")"),59.0)</f>
        <v>59</v>
      </c>
      <c r="AT39" s="55">
        <f>IFERROR(__xludf.DUMMYFUNCTION("IMPORTRANGE(""1u3amP6zdTUuwKNSkL2afwBWqTLQOc5-H5_uRmoN1Hog"",""2025-26!W4"")"),735249.0)</f>
        <v>735249</v>
      </c>
      <c r="AU39" s="55">
        <f>IFERROR(__xludf.DUMMYFUNCTION("IMPORTRANGE(""1u3amP6zdTUuwKNSkL2afwBWqTLQOc5-H5_uRmoN1Hog"",""2025-26!W3"")"),32.0)</f>
        <v>32</v>
      </c>
      <c r="AV39" s="58">
        <f t="shared" si="22"/>
        <v>0.9487133475</v>
      </c>
      <c r="AW39" s="55">
        <f>IFERROR(__xludf.DUMMYFUNCTION("IMPORTRANGE(""1u3amP6zdTUuwKNSkL2afwBWqTLQOc5-H5_uRmoN1Hog"",""2025-26!X4"")"),925190.0)</f>
        <v>925190</v>
      </c>
      <c r="AX39" s="55">
        <f>IFERROR(__xludf.DUMMYFUNCTION("IMPORTRANGE(""1u3amP6zdTUuwKNSkL2afwBWqTLQOc5-H5_uRmoN1Hog"",""2025-26!X3"")"),47.0)</f>
        <v>47</v>
      </c>
      <c r="AY39" s="55">
        <f>IFERROR(__xludf.DUMMYFUNCTION("IMPORTRANGE(""1u3amP6zdTUuwKNSkL2afwBWqTLQOc5-H5_uRmoN1Hog"",""2025-26!Y4"")"),1114520.0)</f>
        <v>1114520</v>
      </c>
      <c r="AZ39" s="55">
        <f>IFERROR(__xludf.DUMMYFUNCTION("IMPORTRANGE(""1u3amP6zdTUuwKNSkL2afwBWqTLQOc5-H5_uRmoN1Hog"",""2025-26!Y3"")"),70.0)</f>
        <v>70</v>
      </c>
      <c r="BA39" s="55">
        <f>IFERROR(__xludf.DUMMYFUNCTION("IMPORTRANGE(""1u3amP6zdTUuwKNSkL2afwBWqTLQOc5-H5_uRmoN1Hog"",""2025-26!Z4"")"),546622.8)</f>
        <v>546622.8</v>
      </c>
      <c r="BB39" s="55">
        <f>IFERROR(__xludf.DUMMYFUNCTION("IMPORTRANGE(""1u3amP6zdTUuwKNSkL2afwBWqTLQOc5-H5_uRmoN1Hog"",""2025-26!Z3"")"),30.0)</f>
        <v>30</v>
      </c>
      <c r="BC39" s="59">
        <f t="shared" si="23"/>
        <v>0.8848410078</v>
      </c>
      <c r="BD39" s="55">
        <f>IFERROR(__xludf.DUMMYFUNCTION("IMPORTRANGE(""1u3amP6zdTUuwKNSkL2afwBWqTLQOc5-H5_uRmoN1Hog"",""2025-26!AA4"")"),986173.0)</f>
        <v>986173</v>
      </c>
      <c r="BE39" s="55">
        <f>IFERROR(__xludf.DUMMYFUNCTION("IMPORTRANGE(""1u3amP6zdTUuwKNSkL2afwBWqTLQOc5-H5_uRmoN1Hog"",""2025-26!AA3"")"),48.0)</f>
        <v>48</v>
      </c>
      <c r="BF39" s="55">
        <f>IFERROR(__xludf.DUMMYFUNCTION("IMPORTRANGE(""1u3amP6zdTUuwKNSkL2afwBWqTLQOc5-H5_uRmoN1Hog"",""2025-26!AB4"")"),791563.0)</f>
        <v>791563</v>
      </c>
      <c r="BG39" s="55">
        <f>IFERROR(__xludf.DUMMYFUNCTION("IMPORTRANGE(""1u3amP6zdTUuwKNSkL2afwBWqTLQOc5-H5_uRmoN1Hog"",""2025-26!AB3"")"),56.0)</f>
        <v>56</v>
      </c>
      <c r="BH39" s="55">
        <f>IFERROR(__xludf.DUMMYFUNCTION("IMPORTRANGE(""1u3amP6zdTUuwKNSkL2afwBWqTLQOc5-H5_uRmoN1Hog"",""2025-26!AC4"")"),611499.6000000001)</f>
        <v>611499.6</v>
      </c>
      <c r="BI39" s="55">
        <f>IFERROR(__xludf.DUMMYFUNCTION("IMPORTRANGE(""1u3amP6zdTUuwKNSkL2afwBWqTLQOc5-H5_uRmoN1Hog"",""2025-26!AC3"")"),35.0)</f>
        <v>35</v>
      </c>
      <c r="BJ39" s="59">
        <f t="shared" si="24"/>
        <v>0.934998225</v>
      </c>
      <c r="BK39" s="55">
        <f>IFERROR(__xludf.DUMMYFUNCTION("IMPORTRANGE(""1u3amP6zdTUuwKNSkL2afwBWqTLQOc5-H5_uRmoN1Hog"",""2025-26!AD4"")"),740110.0)</f>
        <v>740110</v>
      </c>
      <c r="BL39" s="55">
        <f>IFERROR(__xludf.DUMMYFUNCTION("IMPORTRANGE(""1u3amP6zdTUuwKNSkL2afwBWqTLQOc5-H5_uRmoN1Hog"",""2025-26!AD3"")"),50.0)</f>
        <v>50</v>
      </c>
      <c r="BM39" s="55">
        <f>IFERROR(__xludf.DUMMYFUNCTION("IMPORTRANGE(""1u3amP6zdTUuwKNSkL2afwBWqTLQOc5-H5_uRmoN1Hog"",""2025-26!AE4"")"),1108188.0)</f>
        <v>1108188</v>
      </c>
      <c r="BN39" s="55">
        <f>IFERROR(__xludf.DUMMYFUNCTION("IMPORTRANGE(""1u3amP6zdTUuwKNSkL2afwBWqTLQOc5-H5_uRmoN1Hog"",""2025-26!AE3"")"),72.0)</f>
        <v>72</v>
      </c>
      <c r="BO39" s="55">
        <f>IFERROR(__xludf.DUMMYFUNCTION("IMPORTRANGE(""1u3amP6zdTUuwKNSkL2afwBWqTLQOc5-H5_uRmoN1Hog"",""2025-26!AF4"")"),280257.6)</f>
        <v>280257.6</v>
      </c>
      <c r="BP39" s="55">
        <f>IFERROR(__xludf.DUMMYFUNCTION("IMPORTRANGE(""1u3amP6zdTUuwKNSkL2afwBWqTLQOc5-H5_uRmoN1Hog"",""2025-26!AF3"")"),26.0)</f>
        <v>26</v>
      </c>
      <c r="BQ39" s="59">
        <f t="shared" si="25"/>
        <v>0.4922847026</v>
      </c>
      <c r="BR39" s="55">
        <f>IFERROR(__xludf.DUMMYFUNCTION("IMPORTRANGE(""1u3amP6zdTUuwKNSkL2afwBWqTLQOc5-H5_uRmoN1Hog"",""2025-26!AG4"")"),545544.0)</f>
        <v>545544</v>
      </c>
      <c r="BS39" s="55">
        <f>IFERROR(__xludf.DUMMYFUNCTION("IMPORTRANGE(""1u3amP6zdTUuwKNSkL2afwBWqTLQOc5-H5_uRmoN1Hog"",""2025-26!AG3"")"),32.0)</f>
        <v>32</v>
      </c>
      <c r="BT39" s="55">
        <f>IFERROR(__xludf.DUMMYFUNCTION("IMPORTRANGE(""1u3amP6zdTUuwKNSkL2afwBWqTLQOc5-H5_uRmoN1Hog"",""2025-26!AH4"")"),1266500.0)</f>
        <v>1266500</v>
      </c>
      <c r="BU39" s="55">
        <f>IFERROR(__xludf.DUMMYFUNCTION("IMPORTRANGE(""1u3amP6zdTUuwKNSkL2afwBWqTLQOc5-H5_uRmoN1Hog"",""2025-26!AH3"")"),78.0)</f>
        <v>78</v>
      </c>
      <c r="BV39" s="55">
        <f>IFERROR(__xludf.DUMMYFUNCTION("IMPORTRANGE(""1u3amP6zdTUuwKNSkL2afwBWqTLQOc5-H5_uRmoN1Hog"",""2025-26!AI4"")"),329582.39999999997)</f>
        <v>329582.4</v>
      </c>
      <c r="BW39" s="55">
        <f>IFERROR(__xludf.DUMMYFUNCTION("IMPORTRANGE(""1u3amP6zdTUuwKNSkL2afwBWqTLQOc5-H5_uRmoN1Hog"",""2025-26!AI3"")"),27.0)</f>
        <v>27</v>
      </c>
      <c r="BX39" s="59">
        <f t="shared" si="26"/>
        <v>0.6427903672</v>
      </c>
      <c r="BY39" s="55">
        <f>IFERROR(__xludf.DUMMYFUNCTION("IMPORTRANGE(""1u3amP6zdTUuwKNSkL2afwBWqTLQOc5-H5_uRmoN1Hog"",""2025-26!AJ4"")"),814094.0)</f>
        <v>814094</v>
      </c>
      <c r="BZ39" s="55">
        <f>IFERROR(__xludf.DUMMYFUNCTION("IMPORTRANGE(""1u3amP6zdTUuwKNSkL2afwBWqTLQOc5-H5_uRmoN1Hog"",""2025-26!AJ3"")"),56.0)</f>
        <v>56</v>
      </c>
      <c r="CA39" s="55">
        <f>IFERROR(__xludf.DUMMYFUNCTION("IMPORTRANGE(""1u3amP6zdTUuwKNSkL2afwBWqTLQOc5-H5_uRmoN1Hog"",""2025-26!AK4"")"),918213.0)</f>
        <v>918213</v>
      </c>
      <c r="CB39" s="55">
        <f>IFERROR(__xludf.DUMMYFUNCTION("IMPORTRANGE(""1u3amP6zdTUuwKNSkL2afwBWqTLQOc5-H5_uRmoN1Hog"",""2025-26!AK3"")"),65.0)</f>
        <v>65</v>
      </c>
      <c r="CC39" s="55">
        <f>IFERROR(__xludf.DUMMYFUNCTION("IMPORTRANGE(""1u3amP6zdTUuwKNSkL2afwBWqTLQOc5-H5_uRmoN1Hog"",""2025-26!AL4"")"),558895.2)</f>
        <v>558895.2</v>
      </c>
      <c r="CD39" s="55">
        <f>IFERROR(__xludf.DUMMYFUNCTION("IMPORTRANGE(""1u3amP6zdTUuwKNSkL2afwBWqTLQOc5-H5_uRmoN1Hog"",""2025-26!AL3"")"),25.0)</f>
        <v>25</v>
      </c>
      <c r="CE39" s="59">
        <f t="shared" si="27"/>
        <v>1.138133527</v>
      </c>
      <c r="CF39" s="55">
        <f>IFERROR(__xludf.DUMMYFUNCTION("IMPORTRANGE(""1u3amP6zdTUuwKNSkL2afwBWqTLQOc5-H5_uRmoN1Hog"",""2025-26!AM4"")"),1045049.0)</f>
        <v>1045049</v>
      </c>
      <c r="CG39" s="55">
        <f>IFERROR(__xludf.DUMMYFUNCTION("IMPORTRANGE(""1u3amP6zdTUuwKNSkL2afwBWqTLQOc5-H5_uRmoN1Hog"",""2025-26!AM3"")"),55.0)</f>
        <v>55</v>
      </c>
      <c r="CH39" s="55">
        <f>IFERROR(__xludf.DUMMYFUNCTION("IMPORTRANGE(""1u3amP6zdTUuwKNSkL2afwBWqTLQOc5-H5_uRmoN1Hog"",""2025-26!AN4"")"),1285498.0)</f>
        <v>1285498</v>
      </c>
      <c r="CI39" s="55">
        <f>IFERROR(__xludf.DUMMYFUNCTION("IMPORTRANGE(""1u3amP6zdTUuwKNSkL2afwBWqTLQOc5-H5_uRmoN1Hog"",""2025-26!AN3"")"),74.0)</f>
        <v>74</v>
      </c>
      <c r="CJ39" s="55">
        <f>IFERROR(__xludf.DUMMYFUNCTION("IMPORTRANGE(""1u3amP6zdTUuwKNSkL2afwBWqTLQOc5-H5_uRmoN1Hog"",""2025-26!AO4"")"),545251.2000000001)</f>
        <v>545251.2</v>
      </c>
      <c r="CK39" s="55">
        <f>IFERROR(__xludf.DUMMYFUNCTION("IMPORTRANGE(""1u3amP6zdTUuwKNSkL2afwBWqTLQOc5-H5_uRmoN1Hog"",""2025-26!AO3"")"),24.0)</f>
        <v>24</v>
      </c>
      <c r="CL39" s="59">
        <f t="shared" si="28"/>
        <v>0.7881785892</v>
      </c>
      <c r="CM39" s="55">
        <f>IFERROR(__xludf.DUMMYFUNCTION("IMPORTRANGE(""1u3amP6zdTUuwKNSkL2afwBWqTLQOc5-H5_uRmoN1Hog"",""2025-26!AP4"")"),1013202.0)</f>
        <v>1013202</v>
      </c>
      <c r="CN39" s="55">
        <f>IFERROR(__xludf.DUMMYFUNCTION("IMPORTRANGE(""1u3amP6zdTUuwKNSkL2afwBWqTLQOc5-H5_uRmoN1Hog"",""2025-26!AP3"")"),49.0)</f>
        <v>49</v>
      </c>
      <c r="CO39" s="55">
        <f>IFERROR(__xludf.DUMMYFUNCTION("IMPORTRANGE(""1u3amP6zdTUuwKNSkL2afwBWqTLQOc5-H5_uRmoN1Hog"",""2025-26!AQ4"")"),1469140.0)</f>
        <v>1469140</v>
      </c>
      <c r="CP39" s="55">
        <f>IFERROR(__xludf.DUMMYFUNCTION("IMPORTRANGE(""1u3amP6zdTUuwKNSkL2afwBWqTLQOc5-H5_uRmoN1Hog"",""2025-26!AQ3"")"),73.0)</f>
        <v>73</v>
      </c>
      <c r="CQ39" s="55">
        <f>IFERROR(__xludf.DUMMYFUNCTION("IMPORTRANGE(""1u3amP6zdTUuwKNSkL2afwBWqTLQOc5-H5_uRmoN1Hog"",""2025-26!AR4"")"),475362.0)</f>
        <v>475362</v>
      </c>
      <c r="CR39" s="55">
        <f>IFERROR(__xludf.DUMMYFUNCTION("IMPORTRANGE(""1u3amP6zdTUuwKNSkL2afwBWqTLQOc5-H5_uRmoN1Hog"",""2025-26!AR3"")"),19.0)</f>
        <v>19</v>
      </c>
      <c r="CS39" s="59">
        <f t="shared" si="29"/>
        <v>0.6860374096</v>
      </c>
      <c r="CT39" s="55">
        <f>IFERROR(__xludf.DUMMYFUNCTION("IMPORTRANGE(""1u3amP6zdTUuwKNSkL2afwBWqTLQOc5-H5_uRmoN1Hog"",""2025-26!AS4"")"),1007885.0)</f>
        <v>1007885</v>
      </c>
      <c r="CU39" s="55">
        <f>IFERROR(__xludf.DUMMYFUNCTION("IMPORTRANGE(""1u3amP6zdTUuwKNSkL2afwBWqTLQOc5-H5_uRmoN1Hog"",""2025-26!AS3"")"),41.0)</f>
        <v>41</v>
      </c>
      <c r="CV39" s="60" t="s">
        <v>101</v>
      </c>
    </row>
    <row r="40">
      <c r="A40" s="1" t="s">
        <v>97</v>
      </c>
      <c r="B40" s="37"/>
      <c r="C40" s="67" t="s">
        <v>104</v>
      </c>
      <c r="D40" s="65" t="s">
        <v>105</v>
      </c>
      <c r="E40" s="68">
        <v>9.562231002E9</v>
      </c>
      <c r="F40" s="66">
        <v>45719.0</v>
      </c>
      <c r="G40" s="62"/>
      <c r="H40" s="62"/>
      <c r="I40" s="53">
        <f>VLOOKUP($C40,Data!$C:$BV,34,0)</f>
        <v>23000</v>
      </c>
      <c r="J40" s="54">
        <v>1333333.333</v>
      </c>
      <c r="K40" s="55">
        <f>IFERROR(__xludf.DUMMYFUNCTION("IMPORTRANGE(""1ClLrVOrOm2lRZkxwSRYk28lKgD3AqRr0eB6lbpUoAm8"",""2025-26!A3"")"),119.0)</f>
        <v>119</v>
      </c>
      <c r="L40" s="55">
        <f>IFERROR(__xludf.DUMMYFUNCTION("IMPORTRANGE(""1ClLrVOrOm2lRZkxwSRYk28lKgD3AqRr0eB6lbpUoAm8"",""2025-26!G4"")"),2.16E7)</f>
        <v>21600000</v>
      </c>
      <c r="M40" s="55">
        <f t="shared" si="41"/>
        <v>14154974.78</v>
      </c>
      <c r="N40" s="56">
        <f t="shared" si="42"/>
        <v>0.5660080912</v>
      </c>
      <c r="O40" s="57">
        <f t="shared" si="43"/>
        <v>12225774.77</v>
      </c>
      <c r="P40" s="55">
        <f>IFERROR(__xludf.DUMMYFUNCTION("IMPORTRANGE(""1ClLrVOrOm2lRZkxwSRYk28lKgD3AqRr0eB6lbpUoAm8"",""2025-26!J4"")"),2100000.0)</f>
        <v>2100000</v>
      </c>
      <c r="Q40" s="55">
        <f>IFERROR(__xludf.DUMMYFUNCTION("IMPORTRANGE(""1ClLrVOrOm2lRZkxwSRYk28lKgD3AqRr0eB6lbpUoAm8"",""2025-26!J3"")"),31.0)</f>
        <v>31</v>
      </c>
      <c r="R40" s="55">
        <f>IFERROR(__xludf.DUMMYFUNCTION("IMPORTRANGE(""1ClLrVOrOm2lRZkxwSRYk28lKgD3AqRr0eB6lbpUoAm8"",""2025-26!K4"")"),475665.4)</f>
        <v>475665.4</v>
      </c>
      <c r="S40" s="55">
        <f>IFERROR(__xludf.DUMMYFUNCTION("IMPORTRANGE(""1ClLrVOrOm2lRZkxwSRYk28lKgD3AqRr0eB6lbpUoAm8"",""2025-26!K3"")"),17.0)</f>
        <v>17</v>
      </c>
      <c r="T40" s="58">
        <f t="shared" si="18"/>
        <v>0</v>
      </c>
      <c r="U40" s="55">
        <f>IFERROR(__xludf.DUMMYFUNCTION("IMPORTRANGE(""1ClLrVOrOm2lRZkxwSRYk28lKgD3AqRr0eB6lbpUoAm8"",""2025-26!L4"")"),0.0)</f>
        <v>0</v>
      </c>
      <c r="V40" s="55">
        <f>IFERROR(__xludf.DUMMYFUNCTION("IMPORTRANGE(""1ClLrVOrOm2lRZkxwSRYk28lKgD3AqRr0eB6lbpUoAm8"",""2025-26!L3"")"),0.0)</f>
        <v>0</v>
      </c>
      <c r="W40" s="55">
        <f>IFERROR(__xludf.DUMMYFUNCTION("IMPORTRANGE(""1ClLrVOrOm2lRZkxwSRYk28lKgD3AqRr0eB6lbpUoAm8"",""2025-26!m4"")"),2100000.0)</f>
        <v>2100000</v>
      </c>
      <c r="X40" s="55">
        <f>IFERROR(__xludf.DUMMYFUNCTION("IMPORTRANGE(""1ClLrVOrOm2lRZkxwSRYk28lKgD3AqRr0eB6lbpUoAm8"",""2025-26!m3"")"),31.0)</f>
        <v>31</v>
      </c>
      <c r="Y40" s="55">
        <f>IFERROR(__xludf.DUMMYFUNCTION("IMPORTRANGE(""1ClLrVOrOm2lRZkxwSRYk28lKgD3AqRr0eB6lbpUoAm8"",""2025-26!N4"")"),1574740.5999999999)</f>
        <v>1574740.6</v>
      </c>
      <c r="Z40" s="55">
        <f>IFERROR(__xludf.DUMMYFUNCTION("IMPORTRANGE(""1ClLrVOrOm2lRZkxwSRYk28lKgD3AqRr0eB6lbpUoAm8"",""2025-26!N3"")"),31.0)</f>
        <v>31</v>
      </c>
      <c r="AA40" s="58">
        <f t="shared" si="19"/>
        <v>0.762081919</v>
      </c>
      <c r="AB40" s="55">
        <f>IFERROR(__xludf.DUMMYFUNCTION("IMPORTRANGE(""1ClLrVOrOm2lRZkxwSRYk28lKgD3AqRr0eB6lbpUoAm8"",""2025-26!O4"")"),1600372.03)</f>
        <v>1600372.03</v>
      </c>
      <c r="AC40" s="55">
        <f>IFERROR(__xludf.DUMMYFUNCTION("IMPORTRANGE(""1ClLrVOrOm2lRZkxwSRYk28lKgD3AqRr0eB6lbpUoAm8"",""2025-26!O3"")"),33.0)</f>
        <v>33</v>
      </c>
      <c r="AD40" s="55">
        <f>IFERROR(__xludf.DUMMYFUNCTION("IMPORTRANGE(""1ClLrVOrOm2lRZkxwSRYk28lKgD3AqRr0eB6lbpUoAm8"",""2025-26!P4"")"),2100000.0)</f>
        <v>2100000</v>
      </c>
      <c r="AE40" s="55">
        <f>IFERROR(__xludf.DUMMYFUNCTION("IMPORTRANGE(""1ClLrVOrOm2lRZkxwSRYk28lKgD3AqRr0eB6lbpUoAm8"",""2025-26!P3"")"),31.0)</f>
        <v>31</v>
      </c>
      <c r="AF40" s="55">
        <f>IFERROR(__xludf.DUMMYFUNCTION("IMPORTRANGE(""1ClLrVOrOm2lRZkxwSRYk28lKgD3AqRr0eB6lbpUoAm8"",""2025-26!Q4"")"),1796885.0)</f>
        <v>1796885</v>
      </c>
      <c r="AG40" s="55">
        <f>IFERROR(__xludf.DUMMYFUNCTION("IMPORTRANGE(""1ClLrVOrOm2lRZkxwSRYk28lKgD3AqRr0eB6lbpUoAm8"",""2025-26!Q3"")"),26.0)</f>
        <v>26</v>
      </c>
      <c r="AH40" s="58">
        <f t="shared" si="20"/>
        <v>0.767427619</v>
      </c>
      <c r="AI40" s="55">
        <f>IFERROR(__xludf.DUMMYFUNCTION("IMPORTRANGE(""1ClLrVOrOm2lRZkxwSRYk28lKgD3AqRr0eB6lbpUoAm8"",""2025-26!R4"")"),1611598.0)</f>
        <v>1611598</v>
      </c>
      <c r="AJ40" s="55">
        <f>IFERROR(__xludf.DUMMYFUNCTION("IMPORTRANGE(""1ClLrVOrOm2lRZkxwSRYk28lKgD3AqRr0eB6lbpUoAm8"",""2025-26!R3"")"),27.0)</f>
        <v>27</v>
      </c>
      <c r="AK40" s="55">
        <f>IFERROR(__xludf.DUMMYFUNCTION("IMPORTRANGE(""1ClLrVOrOm2lRZkxwSRYk28lKgD3AqRr0eB6lbpUoAm8"",""2025-26!S4"")"),1900000.0)</f>
        <v>1900000</v>
      </c>
      <c r="AL40" s="55">
        <f>IFERROR(__xludf.DUMMYFUNCTION("IMPORTRANGE(""1ClLrVOrOm2lRZkxwSRYk28lKgD3AqRr0eB6lbpUoAm8"",""2025-26!S3"")"),30.0)</f>
        <v>30</v>
      </c>
      <c r="AM40" s="55">
        <f>IFERROR(__xludf.DUMMYFUNCTION("IMPORTRANGE(""1ClLrVOrOm2lRZkxwSRYk28lKgD3AqRr0eB6lbpUoAm8"",""2025-26!T4"")"),554759.99)</f>
        <v>554759.99</v>
      </c>
      <c r="AN40" s="55">
        <f>IFERROR(__xludf.DUMMYFUNCTION("IMPORTRANGE(""1ClLrVOrOm2lRZkxwSRYk28lKgD3AqRr0eB6lbpUoAm8"",""2025-26!T3"")"),16.0)</f>
        <v>16</v>
      </c>
      <c r="AO40" s="58">
        <f t="shared" si="21"/>
        <v>0.1592673684</v>
      </c>
      <c r="AP40" s="55">
        <f>IFERROR(__xludf.DUMMYFUNCTION("IMPORTRANGE(""1ClLrVOrOm2lRZkxwSRYk28lKgD3AqRr0eB6lbpUoAm8"",""2025-26!U4"")"),302608.0)</f>
        <v>302608</v>
      </c>
      <c r="AQ40" s="55">
        <f>IFERROR(__xludf.DUMMYFUNCTION("IMPORTRANGE(""1ClLrVOrOm2lRZkxwSRYk28lKgD3AqRr0eB6lbpUoAm8"",""2025-26!U3"")"),18.0)</f>
        <v>18</v>
      </c>
      <c r="AR40" s="55">
        <f>IFERROR(__xludf.DUMMYFUNCTION("IMPORTRANGE(""1ClLrVOrOm2lRZkxwSRYk28lKgD3AqRr0eB6lbpUoAm8"",""2025-26!V4"")"),1900000.0)</f>
        <v>1900000</v>
      </c>
      <c r="AS40" s="55">
        <f>IFERROR(__xludf.DUMMYFUNCTION("IMPORTRANGE(""1ClLrVOrOm2lRZkxwSRYk28lKgD3AqRr0eB6lbpUoAm8"",""2025-26!V3"")"),30.0)</f>
        <v>30</v>
      </c>
      <c r="AT40" s="55">
        <f>IFERROR(__xludf.DUMMYFUNCTION("IMPORTRANGE(""1ClLrVOrOm2lRZkxwSRYk28lKgD3AqRr0eB6lbpUoAm8"",""2025-26!W4"")"),970063.7999999999)</f>
        <v>970063.8</v>
      </c>
      <c r="AU40" s="55">
        <f>IFERROR(__xludf.DUMMYFUNCTION("IMPORTRANGE(""1ClLrVOrOm2lRZkxwSRYk28lKgD3AqRr0eB6lbpUoAm8"",""2025-26!W3"")"),29.0)</f>
        <v>29</v>
      </c>
      <c r="AV40" s="58">
        <f t="shared" si="22"/>
        <v>0.7588021053</v>
      </c>
      <c r="AW40" s="55">
        <f>IFERROR(__xludf.DUMMYFUNCTION("IMPORTRANGE(""1ClLrVOrOm2lRZkxwSRYk28lKgD3AqRr0eB6lbpUoAm8"",""2025-26!X4"")"),1441724.0)</f>
        <v>1441724</v>
      </c>
      <c r="AX40" s="55">
        <f>IFERROR(__xludf.DUMMYFUNCTION("IMPORTRANGE(""1ClLrVOrOm2lRZkxwSRYk28lKgD3AqRr0eB6lbpUoAm8"",""2025-26!X3"")"),27.0)</f>
        <v>27</v>
      </c>
      <c r="AY40" s="55">
        <f>IFERROR(__xludf.DUMMYFUNCTION("IMPORTRANGE(""1ClLrVOrOm2lRZkxwSRYk28lKgD3AqRr0eB6lbpUoAm8"",""2025-26!Y4"")"),1900000.0)</f>
        <v>1900000</v>
      </c>
      <c r="AZ40" s="55">
        <f>IFERROR(__xludf.DUMMYFUNCTION("IMPORTRANGE(""1ClLrVOrOm2lRZkxwSRYk28lKgD3AqRr0eB6lbpUoAm8"",""2025-26!Y3"")"),30.0)</f>
        <v>30</v>
      </c>
      <c r="BA40" s="55">
        <f>IFERROR(__xludf.DUMMYFUNCTION("IMPORTRANGE(""1ClLrVOrOm2lRZkxwSRYk28lKgD3AqRr0eB6lbpUoAm8"",""2025-26!Z4"")"),1249201.2)</f>
        <v>1249201.2</v>
      </c>
      <c r="BB40" s="55">
        <f>IFERROR(__xludf.DUMMYFUNCTION("IMPORTRANGE(""1ClLrVOrOm2lRZkxwSRYk28lKgD3AqRr0eB6lbpUoAm8"",""2025-26!Z3"")"),32.0)</f>
        <v>32</v>
      </c>
      <c r="BC40" s="59">
        <f t="shared" si="23"/>
        <v>0.6135526316</v>
      </c>
      <c r="BD40" s="55">
        <f>IFERROR(__xludf.DUMMYFUNCTION("IMPORTRANGE(""1ClLrVOrOm2lRZkxwSRYk28lKgD3AqRr0eB6lbpUoAm8"",""2025-26!AA4"")"),1165750.0)</f>
        <v>1165750</v>
      </c>
      <c r="BE40" s="55">
        <f>IFERROR(__xludf.DUMMYFUNCTION("IMPORTRANGE(""1ClLrVOrOm2lRZkxwSRYk28lKgD3AqRr0eB6lbpUoAm8"",""2025-26!AA3"")"),28.0)</f>
        <v>28</v>
      </c>
      <c r="BF40" s="55">
        <f>IFERROR(__xludf.DUMMYFUNCTION("IMPORTRANGE(""1ClLrVOrOm2lRZkxwSRYk28lKgD3AqRr0eB6lbpUoAm8"",""2025-26!AB4"")"),1525000.0)</f>
        <v>1525000</v>
      </c>
      <c r="BG40" s="55">
        <f>IFERROR(__xludf.DUMMYFUNCTION("IMPORTRANGE(""1ClLrVOrOm2lRZkxwSRYk28lKgD3AqRr0eB6lbpUoAm8"",""2025-26!AB3"")"),29.0)</f>
        <v>29</v>
      </c>
      <c r="BH40" s="55">
        <f>IFERROR(__xludf.DUMMYFUNCTION("IMPORTRANGE(""1ClLrVOrOm2lRZkxwSRYk28lKgD3AqRr0eB6lbpUoAm8"",""2025-26!AC4"")"),777196.8)</f>
        <v>777196.8</v>
      </c>
      <c r="BI40" s="55">
        <f>IFERROR(__xludf.DUMMYFUNCTION("IMPORTRANGE(""1ClLrVOrOm2lRZkxwSRYk28lKgD3AqRr0eB6lbpUoAm8"",""2025-26!AC3"")"),20.0)</f>
        <v>20</v>
      </c>
      <c r="BJ40" s="59">
        <f t="shared" si="24"/>
        <v>0.5001827803</v>
      </c>
      <c r="BK40" s="55">
        <f>IFERROR(__xludf.DUMMYFUNCTION("IMPORTRANGE(""1ClLrVOrOm2lRZkxwSRYk28lKgD3AqRr0eB6lbpUoAm8"",""2025-26!AD4"")"),762778.74)</f>
        <v>762778.74</v>
      </c>
      <c r="BL40" s="55">
        <f>IFERROR(__xludf.DUMMYFUNCTION("IMPORTRANGE(""1ClLrVOrOm2lRZkxwSRYk28lKgD3AqRr0eB6lbpUoAm8"",""2025-26!AD3"")"),26.0)</f>
        <v>26</v>
      </c>
      <c r="BM40" s="55">
        <f>IFERROR(__xludf.DUMMYFUNCTION("IMPORTRANGE(""1ClLrVOrOm2lRZkxwSRYk28lKgD3AqRr0eB6lbpUoAm8"",""2025-26!AE4"")"),1525000.0)</f>
        <v>1525000</v>
      </c>
      <c r="BN40" s="55">
        <f>IFERROR(__xludf.DUMMYFUNCTION("IMPORTRANGE(""1ClLrVOrOm2lRZkxwSRYk28lKgD3AqRr0eB6lbpUoAm8"",""2025-26!AE3"")"),29.0)</f>
        <v>29</v>
      </c>
      <c r="BO40" s="55">
        <f>IFERROR(__xludf.DUMMYFUNCTION("IMPORTRANGE(""1ClLrVOrOm2lRZkxwSRYk28lKgD3AqRr0eB6lbpUoAm8"",""2025-26!AF4"")"),599155.2000000001)</f>
        <v>599155.2</v>
      </c>
      <c r="BP40" s="55">
        <f>IFERROR(__xludf.DUMMYFUNCTION("IMPORTRANGE(""1ClLrVOrOm2lRZkxwSRYk28lKgD3AqRr0eB6lbpUoAm8"",""2025-26!AF3"")"),10.0)</f>
        <v>10</v>
      </c>
      <c r="BQ40" s="59">
        <f t="shared" si="25"/>
        <v>0</v>
      </c>
      <c r="BR40" s="55">
        <f>IFERROR(__xludf.DUMMYFUNCTION("IMPORTRANGE(""1ClLrVOrOm2lRZkxwSRYk28lKgD3AqRr0eB6lbpUoAm8"",""2025-26!AG4"")"),0.0)</f>
        <v>0</v>
      </c>
      <c r="BS40" s="55">
        <f>IFERROR(__xludf.DUMMYFUNCTION("IMPORTRANGE(""1ClLrVOrOm2lRZkxwSRYk28lKgD3AqRr0eB6lbpUoAm8"",""2025-26!AG3"")"),0.0)</f>
        <v>0</v>
      </c>
      <c r="BT40" s="55">
        <f>IFERROR(__xludf.DUMMYFUNCTION("IMPORTRANGE(""1ClLrVOrOm2lRZkxwSRYk28lKgD3AqRr0eB6lbpUoAm8"",""2025-26!AH4"")"),1525000.0)</f>
        <v>1525000</v>
      </c>
      <c r="BU40" s="55">
        <f>IFERROR(__xludf.DUMMYFUNCTION("IMPORTRANGE(""1ClLrVOrOm2lRZkxwSRYk28lKgD3AqRr0eB6lbpUoAm8"",""2025-26!AH3"")"),29.0)</f>
        <v>29</v>
      </c>
      <c r="BV40" s="55">
        <f>IFERROR(__xludf.DUMMYFUNCTION("IMPORTRANGE(""1ClLrVOrOm2lRZkxwSRYk28lKgD3AqRr0eB6lbpUoAm8"",""2025-26!AI4"")"),1400928.0)</f>
        <v>1400928</v>
      </c>
      <c r="BW40" s="55">
        <f>IFERROR(__xludf.DUMMYFUNCTION("IMPORTRANGE(""1ClLrVOrOm2lRZkxwSRYk28lKgD3AqRr0eB6lbpUoAm8"",""2025-26!AI3"")"),29.0)</f>
        <v>29</v>
      </c>
      <c r="BX40" s="59">
        <f t="shared" si="26"/>
        <v>0.8858918033</v>
      </c>
      <c r="BY40" s="55">
        <f>IFERROR(__xludf.DUMMYFUNCTION("IMPORTRANGE(""1ClLrVOrOm2lRZkxwSRYk28lKgD3AqRr0eB6lbpUoAm8"",""2025-26!AJ4"")"),1350985.0)</f>
        <v>1350985</v>
      </c>
      <c r="BZ40" s="55">
        <f>IFERROR(__xludf.DUMMYFUNCTION("IMPORTRANGE(""1ClLrVOrOm2lRZkxwSRYk28lKgD3AqRr0eB6lbpUoAm8"",""2025-26!AJ3"")"),36.0)</f>
        <v>36</v>
      </c>
      <c r="CA40" s="55">
        <f>IFERROR(__xludf.DUMMYFUNCTION("IMPORTRANGE(""1ClLrVOrOm2lRZkxwSRYk28lKgD3AqRr0eB6lbpUoAm8"",""2025-26!AK4"")"),0.0)</f>
        <v>0</v>
      </c>
      <c r="CB40" s="55">
        <f>IFERROR(__xludf.DUMMYFUNCTION("IMPORTRANGE(""1ClLrVOrOm2lRZkxwSRYk28lKgD3AqRr0eB6lbpUoAm8"",""2025-26!AK3"")"),0.0)</f>
        <v>0</v>
      </c>
      <c r="CC40" s="55">
        <f>IFERROR(__xludf.DUMMYFUNCTION("IMPORTRANGE(""1ClLrVOrOm2lRZkxwSRYk28lKgD3AqRr0eB6lbpUoAm8"",""2025-26!AL4"")"),1483765.2)</f>
        <v>1483765.2</v>
      </c>
      <c r="CD40" s="55">
        <f>IFERROR(__xludf.DUMMYFUNCTION("IMPORTRANGE(""1ClLrVOrOm2lRZkxwSRYk28lKgD3AqRr0eB6lbpUoAm8"",""2025-26!AL3"")"),22.0)</f>
        <v>22</v>
      </c>
      <c r="CE40" s="59" t="str">
        <f t="shared" si="27"/>
        <v/>
      </c>
      <c r="CF40" s="55">
        <f>IFERROR(__xludf.DUMMYFUNCTION("IMPORTRANGE(""1ClLrVOrOm2lRZkxwSRYk28lKgD3AqRr0eB6lbpUoAm8"",""2025-26!AM4"")"),1237130.0)</f>
        <v>1237130</v>
      </c>
      <c r="CG40" s="55">
        <f>IFERROR(__xludf.DUMMYFUNCTION("IMPORTRANGE(""1ClLrVOrOm2lRZkxwSRYk28lKgD3AqRr0eB6lbpUoAm8"",""2025-26!AM3"")"),34.0)</f>
        <v>34</v>
      </c>
      <c r="CH40" s="55">
        <f>IFERROR(__xludf.DUMMYFUNCTION("IMPORTRANGE(""1ClLrVOrOm2lRZkxwSRYk28lKgD3AqRr0eB6lbpUoAm8"",""2025-26!AN4"")"),0.0)</f>
        <v>0</v>
      </c>
      <c r="CI40" s="55">
        <f>IFERROR(__xludf.DUMMYFUNCTION("IMPORTRANGE(""1ClLrVOrOm2lRZkxwSRYk28lKgD3AqRr0eB6lbpUoAm8"",""2025-26!AN3"")"),0.0)</f>
        <v>0</v>
      </c>
      <c r="CJ40" s="55">
        <f>IFERROR(__xludf.DUMMYFUNCTION("IMPORTRANGE(""1ClLrVOrOm2lRZkxwSRYk28lKgD3AqRr0eB6lbpUoAm8"",""2025-26!AO4"")"),1189346.4000000001)</f>
        <v>1189346.4</v>
      </c>
      <c r="CK40" s="55">
        <f>IFERROR(__xludf.DUMMYFUNCTION("IMPORTRANGE(""1ClLrVOrOm2lRZkxwSRYk28lKgD3AqRr0eB6lbpUoAm8"",""2025-26!AO3"")"),23.0)</f>
        <v>23</v>
      </c>
      <c r="CL40" s="59" t="str">
        <f t="shared" si="28"/>
        <v/>
      </c>
      <c r="CM40" s="55">
        <f>IFERROR(__xludf.DUMMYFUNCTION("IMPORTRANGE(""1ClLrVOrOm2lRZkxwSRYk28lKgD3AqRr0eB6lbpUoAm8"",""2025-26!AP4"")"),1191417.0)</f>
        <v>1191417</v>
      </c>
      <c r="CN40" s="55">
        <f>IFERROR(__xludf.DUMMYFUNCTION("IMPORTRANGE(""1ClLrVOrOm2lRZkxwSRYk28lKgD3AqRr0eB6lbpUoAm8"",""2025-26!AP3"")"),30.0)</f>
        <v>30</v>
      </c>
      <c r="CO40" s="55">
        <f>IFERROR(__xludf.DUMMYFUNCTION("IMPORTRANGE(""1ClLrVOrOm2lRZkxwSRYk28lKgD3AqRr0eB6lbpUoAm8"",""2025-26!AQ4"")"),0.0)</f>
        <v>0</v>
      </c>
      <c r="CP40" s="55">
        <f>IFERROR(__xludf.DUMMYFUNCTION("IMPORTRANGE(""1ClLrVOrOm2lRZkxwSRYk28lKgD3AqRr0eB6lbpUoAm8"",""2025-26!AQ3"")"),0.0)</f>
        <v>0</v>
      </c>
      <c r="CQ40" s="55">
        <f>IFERROR(__xludf.DUMMYFUNCTION("IMPORTRANGE(""1ClLrVOrOm2lRZkxwSRYk28lKgD3AqRr0eB6lbpUoAm8"",""2025-26!AR4"")"),2083267.1900000002)</f>
        <v>2083267.19</v>
      </c>
      <c r="CR40" s="55">
        <f>IFERROR(__xludf.DUMMYFUNCTION("IMPORTRANGE(""1ClLrVOrOm2lRZkxwSRYk28lKgD3AqRr0eB6lbpUoAm8"",""2025-26!AR3"")"),26.0)</f>
        <v>26</v>
      </c>
      <c r="CS40" s="59" t="str">
        <f t="shared" si="29"/>
        <v/>
      </c>
      <c r="CT40" s="55">
        <f>IFERROR(__xludf.DUMMYFUNCTION("IMPORTRANGE(""1ClLrVOrOm2lRZkxwSRYk28lKgD3AqRr0eB6lbpUoAm8"",""2025-26!AS4"")"),1561412.0)</f>
        <v>1561412</v>
      </c>
      <c r="CU40" s="55">
        <f>IFERROR(__xludf.DUMMYFUNCTION("IMPORTRANGE(""1ClLrVOrOm2lRZkxwSRYk28lKgD3AqRr0eB6lbpUoAm8"",""2025-26!AS3"")"),27.0)</f>
        <v>27</v>
      </c>
      <c r="CV40" s="60" t="s">
        <v>101</v>
      </c>
    </row>
    <row r="41">
      <c r="A41" s="1" t="s">
        <v>97</v>
      </c>
      <c r="B41" s="37"/>
      <c r="C41" s="61" t="s">
        <v>106</v>
      </c>
      <c r="D41" s="65" t="s">
        <v>107</v>
      </c>
      <c r="E41" s="68">
        <v>9.96172926E9</v>
      </c>
      <c r="F41" s="66">
        <v>45793.0</v>
      </c>
      <c r="G41" s="62"/>
      <c r="H41" s="62"/>
      <c r="I41" s="53">
        <f>VLOOKUP($C41,Data!$C:$BV,34,0)</f>
        <v>27000</v>
      </c>
      <c r="J41" s="54">
        <v>1384727.273</v>
      </c>
      <c r="K41" s="55">
        <f>IFERROR(__xludf.DUMMYFUNCTION("IMPORTRANGE(""1FDquPHJI6WZGHFmkKa-RqP1eEgjXcIOR6r4SpB9QkSA"",""2025-26!A3"")"),85.0)</f>
        <v>85</v>
      </c>
      <c r="L41" s="55">
        <f>IFERROR(__xludf.DUMMYFUNCTION("IMPORTRANGE(""1FDquPHJI6WZGHFmkKa-RqP1eEgjXcIOR6r4SpB9QkSA"",""2025-26!G4"")"),1.5232E7)</f>
        <v>15232000</v>
      </c>
      <c r="M41" s="55">
        <f t="shared" si="41"/>
        <v>10690030.2</v>
      </c>
      <c r="N41" s="56">
        <f t="shared" si="42"/>
        <v>0.5680780088</v>
      </c>
      <c r="O41" s="57">
        <f t="shared" si="43"/>
        <v>8652964.23</v>
      </c>
      <c r="P41" s="55">
        <f>IFERROR(__xludf.DUMMYFUNCTION("IMPORTRANGE(""1FDquPHJI6WZGHFmkKa-RqP1eEgjXcIOR6r4SpB9QkSA"",""2025-26!J4"")"),0.0)</f>
        <v>0</v>
      </c>
      <c r="Q41" s="55">
        <f>IFERROR(__xludf.DUMMYFUNCTION("IMPORTRANGE(""1FDquPHJI6WZGHFmkKa-RqP1eEgjXcIOR6r4SpB9QkSA"",""2025-26!J3"")"),0.0)</f>
        <v>0</v>
      </c>
      <c r="R41" s="55">
        <f>IFERROR(__xludf.DUMMYFUNCTION("IMPORTRANGE(""1FDquPHJI6WZGHFmkKa-RqP1eEgjXcIOR6r4SpB9QkSA"",""2025-26!K4"")"),0.0)</f>
        <v>0</v>
      </c>
      <c r="S41" s="55">
        <f>IFERROR(__xludf.DUMMYFUNCTION("IMPORTRANGE(""1FDquPHJI6WZGHFmkKa-RqP1eEgjXcIOR6r4SpB9QkSA"",""2025-26!K3"")"),0.0)</f>
        <v>0</v>
      </c>
      <c r="T41" s="58" t="str">
        <f t="shared" si="18"/>
        <v/>
      </c>
      <c r="U41" s="55">
        <f>IFERROR(__xludf.DUMMYFUNCTION("IMPORTRANGE(""1FDquPHJI6WZGHFmkKa-RqP1eEgjXcIOR6r4SpB9QkSA"",""2025-26!L4"")"),0.0)</f>
        <v>0</v>
      </c>
      <c r="V41" s="55">
        <f>IFERROR(__xludf.DUMMYFUNCTION("IMPORTRANGE(""1FDquPHJI6WZGHFmkKa-RqP1eEgjXcIOR6r4SpB9QkSA"",""2025-26!L3"")"),0.0)</f>
        <v>0</v>
      </c>
      <c r="W41" s="55">
        <f>IFERROR(__xludf.DUMMYFUNCTION("IMPORTRANGE(""1FDquPHJI6WZGHFmkKa-RqP1eEgjXcIOR6r4SpB9QkSA"",""2025-26!m4"")"),0.0)</f>
        <v>0</v>
      </c>
      <c r="X41" s="55">
        <f>IFERROR(__xludf.DUMMYFUNCTION("IMPORTRANGE(""1FDquPHJI6WZGHFmkKa-RqP1eEgjXcIOR6r4SpB9QkSA"",""2025-26!m3"")"),0.0)</f>
        <v>0</v>
      </c>
      <c r="Y41" s="55">
        <f>IFERROR(__xludf.DUMMYFUNCTION("IMPORTRANGE(""1FDquPHJI6WZGHFmkKa-RqP1eEgjXcIOR6r4SpB9QkSA"",""2025-26!N4"")"),147784.8)</f>
        <v>147784.8</v>
      </c>
      <c r="Z41" s="55">
        <f>IFERROR(__xludf.DUMMYFUNCTION("IMPORTRANGE(""1FDquPHJI6WZGHFmkKa-RqP1eEgjXcIOR6r4SpB9QkSA"",""2025-26!N3"")"),4.0)</f>
        <v>4</v>
      </c>
      <c r="AA41" s="58" t="str">
        <f t="shared" si="19"/>
        <v/>
      </c>
      <c r="AB41" s="55">
        <f>IFERROR(__xludf.DUMMYFUNCTION("IMPORTRANGE(""1FDquPHJI6WZGHFmkKa-RqP1eEgjXcIOR6r4SpB9QkSA"",""2025-26!O4"")"),0.0)</f>
        <v>0</v>
      </c>
      <c r="AC41" s="55">
        <f>IFERROR(__xludf.DUMMYFUNCTION("IMPORTRANGE(""1FDquPHJI6WZGHFmkKa-RqP1eEgjXcIOR6r4SpB9QkSA"",""2025-26!O3"")"),0.0)</f>
        <v>0</v>
      </c>
      <c r="AD41" s="55">
        <f>IFERROR(__xludf.DUMMYFUNCTION("IMPORTRANGE(""1FDquPHJI6WZGHFmkKa-RqP1eEgjXcIOR6r4SpB9QkSA"",""2025-26!P4"")"),837760.0)</f>
        <v>837760</v>
      </c>
      <c r="AE41" s="55">
        <f>IFERROR(__xludf.DUMMYFUNCTION("IMPORTRANGE(""1FDquPHJI6WZGHFmkKa-RqP1eEgjXcIOR6r4SpB9QkSA"",""2025-26!P3"")"),58.0)</f>
        <v>58</v>
      </c>
      <c r="AF41" s="55">
        <f>IFERROR(__xludf.DUMMYFUNCTION("IMPORTRANGE(""1FDquPHJI6WZGHFmkKa-RqP1eEgjXcIOR6r4SpB9QkSA"",""2025-26!Q4"")"),876400.2005859374)</f>
        <v>876400.2006</v>
      </c>
      <c r="AG41" s="55">
        <f>IFERROR(__xludf.DUMMYFUNCTION("IMPORTRANGE(""1FDquPHJI6WZGHFmkKa-RqP1eEgjXcIOR6r4SpB9QkSA"",""2025-26!Q3"")"),32.0)</f>
        <v>32</v>
      </c>
      <c r="AH41" s="58">
        <f t="shared" si="20"/>
        <v>0</v>
      </c>
      <c r="AI41" s="55">
        <f>IFERROR(__xludf.DUMMYFUNCTION("IMPORTRANGE(""1FDquPHJI6WZGHFmkKa-RqP1eEgjXcIOR6r4SpB9QkSA"",""2025-26!R4"")"),0.0)</f>
        <v>0</v>
      </c>
      <c r="AJ41" s="55">
        <f>IFERROR(__xludf.DUMMYFUNCTION("IMPORTRANGE(""1FDquPHJI6WZGHFmkKa-RqP1eEgjXcIOR6r4SpB9QkSA"",""2025-26!R3"")"),0.0)</f>
        <v>0</v>
      </c>
      <c r="AK41" s="55">
        <f>IFERROR(__xludf.DUMMYFUNCTION("IMPORTRANGE(""1FDquPHJI6WZGHFmkKa-RqP1eEgjXcIOR6r4SpB9QkSA"",""2025-26!S4"")"),1232000.0)</f>
        <v>1232000</v>
      </c>
      <c r="AL41" s="55">
        <f>IFERROR(__xludf.DUMMYFUNCTION("IMPORTRANGE(""1FDquPHJI6WZGHFmkKa-RqP1eEgjXcIOR6r4SpB9QkSA"",""2025-26!S3"")"),63.0)</f>
        <v>63</v>
      </c>
      <c r="AM41" s="55">
        <f>IFERROR(__xludf.DUMMYFUNCTION("IMPORTRANGE(""1FDquPHJI6WZGHFmkKa-RqP1eEgjXcIOR6r4SpB9QkSA"",""2025-26!T4"")"),467010.6)</f>
        <v>467010.6</v>
      </c>
      <c r="AN41" s="55">
        <f>IFERROR(__xludf.DUMMYFUNCTION("IMPORTRANGE(""1FDquPHJI6WZGHFmkKa-RqP1eEgjXcIOR6r4SpB9QkSA"",""2025-26!T3"")"),27.0)</f>
        <v>27</v>
      </c>
      <c r="AO41" s="58">
        <f t="shared" si="21"/>
        <v>0.2986894156</v>
      </c>
      <c r="AP41" s="55">
        <f>IFERROR(__xludf.DUMMYFUNCTION("IMPORTRANGE(""1FDquPHJI6WZGHFmkKa-RqP1eEgjXcIOR6r4SpB9QkSA"",""2025-26!U4"")"),367985.36000000004)</f>
        <v>367985.36</v>
      </c>
      <c r="AQ41" s="55">
        <f>IFERROR(__xludf.DUMMYFUNCTION("IMPORTRANGE(""1FDquPHJI6WZGHFmkKa-RqP1eEgjXcIOR6r4SpB9QkSA"",""2025-26!U3"")"),22.0)</f>
        <v>22</v>
      </c>
      <c r="AR41" s="55">
        <f>IFERROR(__xludf.DUMMYFUNCTION("IMPORTRANGE(""1FDquPHJI6WZGHFmkKa-RqP1eEgjXcIOR6r4SpB9QkSA"",""2025-26!V4"")"),1340416.0)</f>
        <v>1340416</v>
      </c>
      <c r="AS41" s="55">
        <f>IFERROR(__xludf.DUMMYFUNCTION("IMPORTRANGE(""1FDquPHJI6WZGHFmkKa-RqP1eEgjXcIOR6r4SpB9QkSA"",""2025-26!V3"")"),34.0)</f>
        <v>34</v>
      </c>
      <c r="AT41" s="55">
        <f>IFERROR(__xludf.DUMMYFUNCTION("IMPORTRANGE(""1FDquPHJI6WZGHFmkKa-RqP1eEgjXcIOR6r4SpB9QkSA"",""2025-26!W4"")"),1150523.9899999998)</f>
        <v>1150523.99</v>
      </c>
      <c r="AU41" s="55">
        <f>IFERROR(__xludf.DUMMYFUNCTION("IMPORTRANGE(""1FDquPHJI6WZGHFmkKa-RqP1eEgjXcIOR6r4SpB9QkSA"",""2025-26!W3"")"),38.0)</f>
        <v>38</v>
      </c>
      <c r="AV41" s="58">
        <f t="shared" si="22"/>
        <v>0.7547630363</v>
      </c>
      <c r="AW41" s="55">
        <f>IFERROR(__xludf.DUMMYFUNCTION("IMPORTRANGE(""1FDquPHJI6WZGHFmkKa-RqP1eEgjXcIOR6r4SpB9QkSA"",""2025-26!X4"")"),1011696.45)</f>
        <v>1011696.45</v>
      </c>
      <c r="AX41" s="55">
        <f>IFERROR(__xludf.DUMMYFUNCTION("IMPORTRANGE(""1FDquPHJI6WZGHFmkKa-RqP1eEgjXcIOR6r4SpB9QkSA"",""2025-26!X3"")"),38.0)</f>
        <v>38</v>
      </c>
      <c r="AY41" s="55">
        <f>IFERROR(__xludf.DUMMYFUNCTION("IMPORTRANGE(""1FDquPHJI6WZGHFmkKa-RqP1eEgjXcIOR6r4SpB9QkSA"",""2025-26!Y4"")"),952000.0)</f>
        <v>952000</v>
      </c>
      <c r="AZ41" s="55">
        <f>IFERROR(__xludf.DUMMYFUNCTION("IMPORTRANGE(""1FDquPHJI6WZGHFmkKa-RqP1eEgjXcIOR6r4SpB9QkSA"",""2025-26!Y3"")"),42.0)</f>
        <v>42</v>
      </c>
      <c r="BA41" s="55">
        <f>IFERROR(__xludf.DUMMYFUNCTION("IMPORTRANGE(""1FDquPHJI6WZGHFmkKa-RqP1eEgjXcIOR6r4SpB9QkSA"",""2025-26!Z4"")"),1314218.41)</f>
        <v>1314218.41</v>
      </c>
      <c r="BB41" s="55">
        <f>IFERROR(__xludf.DUMMYFUNCTION("IMPORTRANGE(""1FDquPHJI6WZGHFmkKa-RqP1eEgjXcIOR6r4SpB9QkSA"",""2025-26!Z3"")"),24.0)</f>
        <v>24</v>
      </c>
      <c r="BC41" s="59">
        <f t="shared" si="23"/>
        <v>1.189080063</v>
      </c>
      <c r="BD41" s="55">
        <f>IFERROR(__xludf.DUMMYFUNCTION("IMPORTRANGE(""1FDquPHJI6WZGHFmkKa-RqP1eEgjXcIOR6r4SpB9QkSA"",""2025-26!AA4"")"),1132004.2200000002)</f>
        <v>1132004.22</v>
      </c>
      <c r="BE41" s="55">
        <f>IFERROR(__xludf.DUMMYFUNCTION("IMPORTRANGE(""1FDquPHJI6WZGHFmkKa-RqP1eEgjXcIOR6r4SpB9QkSA"",""2025-26!AA3"")"),25.0)</f>
        <v>25</v>
      </c>
      <c r="BF41" s="55">
        <f>IFERROR(__xludf.DUMMYFUNCTION("IMPORTRANGE(""1FDquPHJI6WZGHFmkKa-RqP1eEgjXcIOR6r4SpB9QkSA"",""2025-26!AB4"")"),1505500.0)</f>
        <v>1505500</v>
      </c>
      <c r="BG41" s="55">
        <f>IFERROR(__xludf.DUMMYFUNCTION("IMPORTRANGE(""1FDquPHJI6WZGHFmkKa-RqP1eEgjXcIOR6r4SpB9QkSA"",""2025-26!AB3"")"),57.0)</f>
        <v>57</v>
      </c>
      <c r="BH41" s="55">
        <f>IFERROR(__xludf.DUMMYFUNCTION("IMPORTRANGE(""1FDquPHJI6WZGHFmkKa-RqP1eEgjXcIOR6r4SpB9QkSA"",""2025-26!AC4"")"),760250.4)</f>
        <v>760250.4</v>
      </c>
      <c r="BI41" s="55">
        <f>IFERROR(__xludf.DUMMYFUNCTION("IMPORTRANGE(""1FDquPHJI6WZGHFmkKa-RqP1eEgjXcIOR6r4SpB9QkSA"",""2025-26!AC3"")"),28.0)</f>
        <v>28</v>
      </c>
      <c r="BJ41" s="59">
        <f t="shared" si="24"/>
        <v>0.5530199668</v>
      </c>
      <c r="BK41" s="55">
        <f>IFERROR(__xludf.DUMMYFUNCTION("IMPORTRANGE(""1FDquPHJI6WZGHFmkKa-RqP1eEgjXcIOR6r4SpB9QkSA"",""2025-26!AD4"")"),832571.5599999999)</f>
        <v>832571.56</v>
      </c>
      <c r="BL41" s="55">
        <f>IFERROR(__xludf.DUMMYFUNCTION("IMPORTRANGE(""1FDquPHJI6WZGHFmkKa-RqP1eEgjXcIOR6r4SpB9QkSA"",""2025-26!AD3"")"),32.0)</f>
        <v>32</v>
      </c>
      <c r="BM41" s="55">
        <f>IFERROR(__xludf.DUMMYFUNCTION("IMPORTRANGE(""1FDquPHJI6WZGHFmkKa-RqP1eEgjXcIOR6r4SpB9QkSA"",""2025-26!AE4"")"),0.0)</f>
        <v>0</v>
      </c>
      <c r="BN41" s="55">
        <f>IFERROR(__xludf.DUMMYFUNCTION("IMPORTRANGE(""1FDquPHJI6WZGHFmkKa-RqP1eEgjXcIOR6r4SpB9QkSA"",""2025-26!AE3"")"),0.0)</f>
        <v>0</v>
      </c>
      <c r="BO41" s="55">
        <f>IFERROR(__xludf.DUMMYFUNCTION("IMPORTRANGE(""1FDquPHJI6WZGHFmkKa-RqP1eEgjXcIOR6r4SpB9QkSA"",""2025-26!AF4"")"),988572.0000000001)</f>
        <v>988572</v>
      </c>
      <c r="BP41" s="55">
        <f>IFERROR(__xludf.DUMMYFUNCTION("IMPORTRANGE(""1FDquPHJI6WZGHFmkKa-RqP1eEgjXcIOR6r4SpB9QkSA"",""2025-26!AF3"")"),26.0)</f>
        <v>26</v>
      </c>
      <c r="BQ41" s="59" t="str">
        <f t="shared" si="25"/>
        <v/>
      </c>
      <c r="BR41" s="55">
        <f>IFERROR(__xludf.DUMMYFUNCTION("IMPORTRANGE(""1FDquPHJI6WZGHFmkKa-RqP1eEgjXcIOR6r4SpB9QkSA"",""2025-26!AG4"")"),861062.6199999998)</f>
        <v>861062.62</v>
      </c>
      <c r="BS41" s="55">
        <f>IFERROR(__xludf.DUMMYFUNCTION("IMPORTRANGE(""1FDquPHJI6WZGHFmkKa-RqP1eEgjXcIOR6r4SpB9QkSA"",""2025-26!AG3"")"),28.0)</f>
        <v>28</v>
      </c>
      <c r="BT41" s="55">
        <f>IFERROR(__xludf.DUMMYFUNCTION("IMPORTRANGE(""1FDquPHJI6WZGHFmkKa-RqP1eEgjXcIOR6r4SpB9QkSA"",""2025-26!AH4"")"),0.0)</f>
        <v>0</v>
      </c>
      <c r="BU41" s="55">
        <f>IFERROR(__xludf.DUMMYFUNCTION("IMPORTRANGE(""1FDquPHJI6WZGHFmkKa-RqP1eEgjXcIOR6r4SpB9QkSA"",""2025-26!AH3"")"),0.0)</f>
        <v>0</v>
      </c>
      <c r="BV41" s="55">
        <f>IFERROR(__xludf.DUMMYFUNCTION("IMPORTRANGE(""1FDquPHJI6WZGHFmkKa-RqP1eEgjXcIOR6r4SpB9QkSA"",""2025-26!AI4"")"),1130047.2000000002)</f>
        <v>1130047.2</v>
      </c>
      <c r="BW41" s="55">
        <f>IFERROR(__xludf.DUMMYFUNCTION("IMPORTRANGE(""1FDquPHJI6WZGHFmkKa-RqP1eEgjXcIOR6r4SpB9QkSA"",""2025-26!AI3"")"),32.0)</f>
        <v>32</v>
      </c>
      <c r="BX41" s="59" t="str">
        <f t="shared" si="26"/>
        <v/>
      </c>
      <c r="BY41" s="55">
        <f>IFERROR(__xludf.DUMMYFUNCTION("IMPORTRANGE(""1FDquPHJI6WZGHFmkKa-RqP1eEgjXcIOR6r4SpB9QkSA"",""2025-26!AJ4"")"),969901.26)</f>
        <v>969901.26</v>
      </c>
      <c r="BZ41" s="55">
        <f>IFERROR(__xludf.DUMMYFUNCTION("IMPORTRANGE(""1FDquPHJI6WZGHFmkKa-RqP1eEgjXcIOR6r4SpB9QkSA"",""2025-26!AJ3"")"),32.0)</f>
        <v>32</v>
      </c>
      <c r="CA41" s="55">
        <f>IFERROR(__xludf.DUMMYFUNCTION("IMPORTRANGE(""1FDquPHJI6WZGHFmkKa-RqP1eEgjXcIOR6r4SpB9QkSA"",""2025-26!AK4"")"),0.0)</f>
        <v>0</v>
      </c>
      <c r="CB41" s="55">
        <f>IFERROR(__xludf.DUMMYFUNCTION("IMPORTRANGE(""1FDquPHJI6WZGHFmkKa-RqP1eEgjXcIOR6r4SpB9QkSA"",""2025-26!AK3"")"),0.0)</f>
        <v>0</v>
      </c>
      <c r="CC41" s="55">
        <f>IFERROR(__xludf.DUMMYFUNCTION("IMPORTRANGE(""1FDquPHJI6WZGHFmkKa-RqP1eEgjXcIOR6r4SpB9QkSA"",""2025-26!AL4"")"),1282235.3900000001)</f>
        <v>1282235.39</v>
      </c>
      <c r="CD41" s="55">
        <f>IFERROR(__xludf.DUMMYFUNCTION("IMPORTRANGE(""1FDquPHJI6WZGHFmkKa-RqP1eEgjXcIOR6r4SpB9QkSA"",""2025-26!AL3"")"),27.0)</f>
        <v>27</v>
      </c>
      <c r="CE41" s="59" t="str">
        <f t="shared" si="27"/>
        <v/>
      </c>
      <c r="CF41" s="55">
        <f>IFERROR(__xludf.DUMMYFUNCTION("IMPORTRANGE(""1FDquPHJI6WZGHFmkKa-RqP1eEgjXcIOR6r4SpB9QkSA"",""2025-26!AM4"")"),1022881.3099999999)</f>
        <v>1022881.31</v>
      </c>
      <c r="CG41" s="55">
        <f>IFERROR(__xludf.DUMMYFUNCTION("IMPORTRANGE(""1FDquPHJI6WZGHFmkKa-RqP1eEgjXcIOR6r4SpB9QkSA"",""2025-26!AM3"")"),28.0)</f>
        <v>28</v>
      </c>
      <c r="CH41" s="55">
        <f>IFERROR(__xludf.DUMMYFUNCTION("IMPORTRANGE(""1FDquPHJI6WZGHFmkKa-RqP1eEgjXcIOR6r4SpB9QkSA"",""2025-26!AN4"")"),0.0)</f>
        <v>0</v>
      </c>
      <c r="CI41" s="55">
        <f>IFERROR(__xludf.DUMMYFUNCTION("IMPORTRANGE(""1FDquPHJI6WZGHFmkKa-RqP1eEgjXcIOR6r4SpB9QkSA"",""2025-26!AN3"")"),0.0)</f>
        <v>0</v>
      </c>
      <c r="CJ41" s="55">
        <f>IFERROR(__xludf.DUMMYFUNCTION("IMPORTRANGE(""1FDquPHJI6WZGHFmkKa-RqP1eEgjXcIOR6r4SpB9QkSA"",""2025-26!AO4"")"),1197280.8)</f>
        <v>1197280.8</v>
      </c>
      <c r="CK41" s="55">
        <f>IFERROR(__xludf.DUMMYFUNCTION("IMPORTRANGE(""1FDquPHJI6WZGHFmkKa-RqP1eEgjXcIOR6r4SpB9QkSA"",""2025-26!AO3"")"),37.0)</f>
        <v>37</v>
      </c>
      <c r="CL41" s="59" t="str">
        <f t="shared" si="28"/>
        <v/>
      </c>
      <c r="CM41" s="55">
        <f>IFERROR(__xludf.DUMMYFUNCTION("IMPORTRANGE(""1FDquPHJI6WZGHFmkKa-RqP1eEgjXcIOR6r4SpB9QkSA"",""2025-26!AP4"")"),1039525.1399999999)</f>
        <v>1039525.14</v>
      </c>
      <c r="CN41" s="55">
        <f>IFERROR(__xludf.DUMMYFUNCTION("IMPORTRANGE(""1FDquPHJI6WZGHFmkKa-RqP1eEgjXcIOR6r4SpB9QkSA"",""2025-26!AP3"")"),40.0)</f>
        <v>40</v>
      </c>
      <c r="CO41" s="55">
        <f>IFERROR(__xludf.DUMMYFUNCTION("IMPORTRANGE(""1FDquPHJI6WZGHFmkKa-RqP1eEgjXcIOR6r4SpB9QkSA"",""2025-26!AQ4"")"),0.0)</f>
        <v>0</v>
      </c>
      <c r="CP41" s="55">
        <f>IFERROR(__xludf.DUMMYFUNCTION("IMPORTRANGE(""1FDquPHJI6WZGHFmkKa-RqP1eEgjXcIOR6r4SpB9QkSA"",""2025-26!AQ3"")"),0.0)</f>
        <v>0</v>
      </c>
      <c r="CQ41" s="55">
        <f>IFERROR(__xludf.DUMMYFUNCTION("IMPORTRANGE(""1FDquPHJI6WZGHFmkKa-RqP1eEgjXcIOR6r4SpB9QkSA"",""2025-26!AR4"")"),1375706.41)</f>
        <v>1375706.41</v>
      </c>
      <c r="CR41" s="55">
        <f>IFERROR(__xludf.DUMMYFUNCTION("IMPORTRANGE(""1FDquPHJI6WZGHFmkKa-RqP1eEgjXcIOR6r4SpB9QkSA"",""2025-26!AR3"")"),24.0)</f>
        <v>24</v>
      </c>
      <c r="CS41" s="59" t="str">
        <f t="shared" si="29"/>
        <v/>
      </c>
      <c r="CT41" s="55">
        <f>IFERROR(__xludf.DUMMYFUNCTION("IMPORTRANGE(""1FDquPHJI6WZGHFmkKa-RqP1eEgjXcIOR6r4SpB9QkSA"",""2025-26!AS4"")"),1415336.3099999998)</f>
        <v>1415336.31</v>
      </c>
      <c r="CU41" s="55">
        <f>IFERROR(__xludf.DUMMYFUNCTION("IMPORTRANGE(""1FDquPHJI6WZGHFmkKa-RqP1eEgjXcIOR6r4SpB9QkSA"",""2025-26!AS3"")"),30.0)</f>
        <v>30</v>
      </c>
      <c r="CV41" s="60" t="s">
        <v>101</v>
      </c>
    </row>
    <row r="42">
      <c r="A42" s="1" t="s">
        <v>97</v>
      </c>
      <c r="B42" s="37"/>
      <c r="C42" s="96" t="s">
        <v>108</v>
      </c>
      <c r="D42" s="65" t="s">
        <v>105</v>
      </c>
      <c r="E42" s="68">
        <v>8.180858481E9</v>
      </c>
      <c r="F42" s="66">
        <v>45842.0</v>
      </c>
      <c r="G42" s="62"/>
      <c r="H42" s="62"/>
      <c r="I42" s="53">
        <f>VLOOKUP($C42,Data!$C:$BV,34,0)</f>
        <v>48765</v>
      </c>
      <c r="J42" s="54">
        <v>1688888.889</v>
      </c>
      <c r="K42" s="55">
        <f>IFERROR(__xludf.DUMMYFUNCTION("IMPORTRANGE(""1o73DJbLFLgOXztUGvACDAPJQLjK9m6M0LmAIH6HjOBg"",""2025-26!A3"")"),123.0)</f>
        <v>123</v>
      </c>
      <c r="L42" s="55">
        <f>IFERROR(__xludf.DUMMYFUNCTION("IMPORTRANGE(""1o73DJbLFLgOXztUGvACDAPJQLjK9m6M0LmAIH6HjOBg"",""2025-26!G4"")"),1.998E7)</f>
        <v>19980000</v>
      </c>
      <c r="M42" s="55">
        <f t="shared" si="41"/>
        <v>9683539.1</v>
      </c>
      <c r="N42" s="56">
        <f t="shared" si="42"/>
        <v>0.3123736737</v>
      </c>
      <c r="O42" s="57">
        <f t="shared" si="43"/>
        <v>6241226</v>
      </c>
      <c r="P42" s="55">
        <f>IFERROR(__xludf.DUMMYFUNCTION("IMPORTRANGE(""1o73DJbLFLgOXztUGvACDAPJQLjK9m6M0LmAIH6HjOBg"",""2025-26!J4"")"),0.0)</f>
        <v>0</v>
      </c>
      <c r="Q42" s="55">
        <f>IFERROR(__xludf.DUMMYFUNCTION("IMPORTRANGE(""1o73DJbLFLgOXztUGvACDAPJQLjK9m6M0LmAIH6HjOBg"",""2025-26!J3"")"),0.0)</f>
        <v>0</v>
      </c>
      <c r="R42" s="55">
        <f>IFERROR(__xludf.DUMMYFUNCTION("IMPORTRANGE(""1o73DJbLFLgOXztUGvACDAPJQLjK9m6M0LmAIH6HjOBg"",""2025-26!K4"")"),0.0)</f>
        <v>0</v>
      </c>
      <c r="S42" s="55">
        <f>IFERROR(__xludf.DUMMYFUNCTION("IMPORTRANGE(""1o73DJbLFLgOXztUGvACDAPJQLjK9m6M0LmAIH6HjOBg"",""2025-26!K3"")"),0.0)</f>
        <v>0</v>
      </c>
      <c r="T42" s="58" t="str">
        <f t="shared" si="18"/>
        <v/>
      </c>
      <c r="U42" s="55">
        <f>IFERROR(__xludf.DUMMYFUNCTION("IMPORTRANGE(""1o73DJbLFLgOXztUGvACDAPJQLjK9m6M0LmAIH6HjOBg"",""2025-26!L4"")"),0.0)</f>
        <v>0</v>
      </c>
      <c r="V42" s="55">
        <f>IFERROR(__xludf.DUMMYFUNCTION("IMPORTRANGE(""1o73DJbLFLgOXztUGvACDAPJQLjK9m6M0LmAIH6HjOBg"",""2025-26!L3"")"),0.0)</f>
        <v>0</v>
      </c>
      <c r="W42" s="55">
        <f>IFERROR(__xludf.DUMMYFUNCTION("IMPORTRANGE(""1o73DJbLFLgOXztUGvACDAPJQLjK9m6M0LmAIH6HjOBg"",""2025-26!m4"")"),0.0)</f>
        <v>0</v>
      </c>
      <c r="X42" s="55">
        <f>IFERROR(__xludf.DUMMYFUNCTION("IMPORTRANGE(""1o73DJbLFLgOXztUGvACDAPJQLjK9m6M0LmAIH6HjOBg"",""2025-26!m3"")"),0.0)</f>
        <v>0</v>
      </c>
      <c r="Y42" s="55">
        <f>IFERROR(__xludf.DUMMYFUNCTION("IMPORTRANGE(""1o73DJbLFLgOXztUGvACDAPJQLjK9m6M0LmAIH6HjOBg"",""2025-26!N4"")"),0.0)</f>
        <v>0</v>
      </c>
      <c r="Z42" s="55">
        <f>IFERROR(__xludf.DUMMYFUNCTION("IMPORTRANGE(""1o73DJbLFLgOXztUGvACDAPJQLjK9m6M0LmAIH6HjOBg"",""2025-26!N3"")"),0.0)</f>
        <v>0</v>
      </c>
      <c r="AA42" s="58" t="str">
        <f t="shared" si="19"/>
        <v/>
      </c>
      <c r="AB42" s="55">
        <f>IFERROR(__xludf.DUMMYFUNCTION("IMPORTRANGE(""1o73DJbLFLgOXztUGvACDAPJQLjK9m6M0LmAIH6HjOBg"",""2025-26!O4"")"),0.0)</f>
        <v>0</v>
      </c>
      <c r="AC42" s="55">
        <f>IFERROR(__xludf.DUMMYFUNCTION("IMPORTRANGE(""1o73DJbLFLgOXztUGvACDAPJQLjK9m6M0LmAIH6HjOBg"",""2025-26!O3"")"),0.0)</f>
        <v>0</v>
      </c>
      <c r="AD42" s="55">
        <f>IFERROR(__xludf.DUMMYFUNCTION("IMPORTRANGE(""1o73DJbLFLgOXztUGvACDAPJQLjK9m6M0LmAIH6HjOBg"",""2025-26!P4"")"),0.0)</f>
        <v>0</v>
      </c>
      <c r="AE42" s="55">
        <f>IFERROR(__xludf.DUMMYFUNCTION("IMPORTRANGE(""1o73DJbLFLgOXztUGvACDAPJQLjK9m6M0LmAIH6HjOBg"",""2025-26!P3"")"),0.0)</f>
        <v>0</v>
      </c>
      <c r="AF42" s="55">
        <f>IFERROR(__xludf.DUMMYFUNCTION("IMPORTRANGE(""1o73DJbLFLgOXztUGvACDAPJQLjK9m6M0LmAIH6HjOBg"",""2025-26!Q4"")"),0.0)</f>
        <v>0</v>
      </c>
      <c r="AG42" s="55">
        <f>IFERROR(__xludf.DUMMYFUNCTION("IMPORTRANGE(""1o73DJbLFLgOXztUGvACDAPJQLjK9m6M0LmAIH6HjOBg"",""2025-26!Q3"")"),0.0)</f>
        <v>0</v>
      </c>
      <c r="AH42" s="58" t="str">
        <f t="shared" si="20"/>
        <v/>
      </c>
      <c r="AI42" s="55">
        <f>IFERROR(__xludf.DUMMYFUNCTION("IMPORTRANGE(""1o73DJbLFLgOXztUGvACDAPJQLjK9m6M0LmAIH6HjOBg"",""2025-26!R4"")"),0.0)</f>
        <v>0</v>
      </c>
      <c r="AJ42" s="55">
        <f>IFERROR(__xludf.DUMMYFUNCTION("IMPORTRANGE(""1o73DJbLFLgOXztUGvACDAPJQLjK9m6M0LmAIH6HjOBg"",""2025-26!R3"")"),0.0)</f>
        <v>0</v>
      </c>
      <c r="AK42" s="55">
        <f>IFERROR(__xludf.DUMMYFUNCTION("IMPORTRANGE(""1o73DJbLFLgOXztUGvACDAPJQLjK9m6M0LmAIH6HjOBg"",""2025-26!S4"")"),0.0)</f>
        <v>0</v>
      </c>
      <c r="AL42" s="55">
        <f>IFERROR(__xludf.DUMMYFUNCTION("IMPORTRANGE(""1o73DJbLFLgOXztUGvACDAPJQLjK9m6M0LmAIH6HjOBg"",""2025-26!S3"")"),0.0)</f>
        <v>0</v>
      </c>
      <c r="AM42" s="55">
        <f>IFERROR(__xludf.DUMMYFUNCTION("IMPORTRANGE(""1o73DJbLFLgOXztUGvACDAPJQLjK9m6M0LmAIH6HjOBg"",""2025-26!T4"")"),688270.0)</f>
        <v>688270</v>
      </c>
      <c r="AN42" s="55">
        <f>IFERROR(__xludf.DUMMYFUNCTION("IMPORTRANGE(""1o73DJbLFLgOXztUGvACDAPJQLjK9m6M0LmAIH6HjOBg"",""2025-26!T3"")"),3.0)</f>
        <v>3</v>
      </c>
      <c r="AO42" s="58" t="str">
        <f t="shared" si="21"/>
        <v/>
      </c>
      <c r="AP42" s="55">
        <f>IFERROR(__xludf.DUMMYFUNCTION("IMPORTRANGE(""1o73DJbLFLgOXztUGvACDAPJQLjK9m6M0LmAIH6HjOBg"",""2025-26!U4"")"),908272.0)</f>
        <v>908272</v>
      </c>
      <c r="AQ42" s="55">
        <f>IFERROR(__xludf.DUMMYFUNCTION("IMPORTRANGE(""1o73DJbLFLgOXztUGvACDAPJQLjK9m6M0LmAIH6HjOBg"",""2025-26!U3"")"),11.0)</f>
        <v>11</v>
      </c>
      <c r="AR42" s="55">
        <f>IFERROR(__xludf.DUMMYFUNCTION("IMPORTRANGE(""1o73DJbLFLgOXztUGvACDAPJQLjK9m6M0LmAIH6HjOBg"",""2025-26!V4"")"),0.0)</f>
        <v>0</v>
      </c>
      <c r="AS42" s="55">
        <f>IFERROR(__xludf.DUMMYFUNCTION("IMPORTRANGE(""1o73DJbLFLgOXztUGvACDAPJQLjK9m6M0LmAIH6HjOBg"",""2025-26!V3"")"),0.0)</f>
        <v>0</v>
      </c>
      <c r="AT42" s="55">
        <f>IFERROR(__xludf.DUMMYFUNCTION("IMPORTRANGE(""1o73DJbLFLgOXztUGvACDAPJQLjK9m6M0LmAIH6HjOBg"",""2025-26!W4"")"),1272596.4)</f>
        <v>1272596.4</v>
      </c>
      <c r="AU42" s="55">
        <f>IFERROR(__xludf.DUMMYFUNCTION("IMPORTRANGE(""1o73DJbLFLgOXztUGvACDAPJQLjK9m6M0LmAIH6HjOBg"",""2025-26!W3"")"),4.0)</f>
        <v>4</v>
      </c>
      <c r="AV42" s="58" t="str">
        <f t="shared" si="22"/>
        <v/>
      </c>
      <c r="AW42" s="55">
        <f>IFERROR(__xludf.DUMMYFUNCTION("IMPORTRANGE(""1o73DJbLFLgOXztUGvACDAPJQLjK9m6M0LmAIH6HjOBg"",""2025-26!X4"")"),1051117.0)</f>
        <v>1051117</v>
      </c>
      <c r="AX42" s="55">
        <f>IFERROR(__xludf.DUMMYFUNCTION("IMPORTRANGE(""1o73DJbLFLgOXztUGvACDAPJQLjK9m6M0LmAIH6HjOBg"",""2025-26!X3"")"),6.0)</f>
        <v>6</v>
      </c>
      <c r="AY42" s="55">
        <f>IFERROR(__xludf.DUMMYFUNCTION("IMPORTRANGE(""1o73DJbLFLgOXztUGvACDAPJQLjK9m6M0LmAIH6HjOBg"",""2025-26!Y4"")"),1670000.0)</f>
        <v>1670000</v>
      </c>
      <c r="AZ42" s="55">
        <f>IFERROR(__xludf.DUMMYFUNCTION("IMPORTRANGE(""1o73DJbLFLgOXztUGvACDAPJQLjK9m6M0LmAIH6HjOBg"",""2025-26!Y3"")"),17.0)</f>
        <v>17</v>
      </c>
      <c r="BA42" s="55">
        <f>IFERROR(__xludf.DUMMYFUNCTION("IMPORTRANGE(""1o73DJbLFLgOXztUGvACDAPJQLjK9m6M0LmAIH6HjOBg"",""2025-26!Z4"")"),799211.7)</f>
        <v>799211.7</v>
      </c>
      <c r="BB42" s="55">
        <f>IFERROR(__xludf.DUMMYFUNCTION("IMPORTRANGE(""1o73DJbLFLgOXztUGvACDAPJQLjK9m6M0LmAIH6HjOBg"",""2025-26!Z3"")"),9.0)</f>
        <v>9</v>
      </c>
      <c r="BC42" s="59">
        <f t="shared" si="23"/>
        <v>0.362494012</v>
      </c>
      <c r="BD42" s="55">
        <f>IFERROR(__xludf.DUMMYFUNCTION("IMPORTRANGE(""1o73DJbLFLgOXztUGvACDAPJQLjK9m6M0LmAIH6HjOBg"",""2025-26!AA4"")"),605365.0)</f>
        <v>605365</v>
      </c>
      <c r="BE42" s="55">
        <f>IFERROR(__xludf.DUMMYFUNCTION("IMPORTRANGE(""1o73DJbLFLgOXztUGvACDAPJQLjK9m6M0LmAIH6HjOBg"",""2025-26!AA3"")"),8.0)</f>
        <v>8</v>
      </c>
      <c r="BF42" s="55">
        <f>IFERROR(__xludf.DUMMYFUNCTION("IMPORTRANGE(""1o73DJbLFLgOXztUGvACDAPJQLjK9m6M0LmAIH6HjOBg"",""2025-26!AB4"")"),1690000.0)</f>
        <v>1690000</v>
      </c>
      <c r="BG42" s="55">
        <f>IFERROR(__xludf.DUMMYFUNCTION("IMPORTRANGE(""1o73DJbLFLgOXztUGvACDAPJQLjK9m6M0LmAIH6HjOBg"",""2025-26!AB3"")"),15.0)</f>
        <v>15</v>
      </c>
      <c r="BH42" s="55">
        <f>IFERROR(__xludf.DUMMYFUNCTION("IMPORTRANGE(""1o73DJbLFLgOXztUGvACDAPJQLjK9m6M0LmAIH6HjOBg"",""2025-26!AC4"")"),1266570.0)</f>
        <v>1266570</v>
      </c>
      <c r="BI42" s="55">
        <f>IFERROR(__xludf.DUMMYFUNCTION("IMPORTRANGE(""1o73DJbLFLgOXztUGvACDAPJQLjK9m6M0LmAIH6HjOBg"",""2025-26!AC3"")"),7.0)</f>
        <v>7</v>
      </c>
      <c r="BJ42" s="59">
        <f t="shared" si="24"/>
        <v>0.5653952663</v>
      </c>
      <c r="BK42" s="55">
        <f>IFERROR(__xludf.DUMMYFUNCTION("IMPORTRANGE(""1o73DJbLFLgOXztUGvACDAPJQLjK9m6M0LmAIH6HjOBg"",""2025-26!AD4"")"),955518.0)</f>
        <v>955518</v>
      </c>
      <c r="BL42" s="55">
        <f>IFERROR(__xludf.DUMMYFUNCTION("IMPORTRANGE(""1o73DJbLFLgOXztUGvACDAPJQLjK9m6M0LmAIH6HjOBg"",""2025-26!AD3"")"),6.0)</f>
        <v>6</v>
      </c>
      <c r="BM42" s="55">
        <f>IFERROR(__xludf.DUMMYFUNCTION("IMPORTRANGE(""1o73DJbLFLgOXztUGvACDAPJQLjK9m6M0LmAIH6HjOBg"",""2025-26!AE4"")"),1750000.0)</f>
        <v>1750000</v>
      </c>
      <c r="BN42" s="55">
        <f>IFERROR(__xludf.DUMMYFUNCTION("IMPORTRANGE(""1o73DJbLFLgOXztUGvACDAPJQLjK9m6M0LmAIH6HjOBg"",""2025-26!AE3"")"),19.0)</f>
        <v>19</v>
      </c>
      <c r="BO42" s="55">
        <f>IFERROR(__xludf.DUMMYFUNCTION("IMPORTRANGE(""1o73DJbLFLgOXztUGvACDAPJQLjK9m6M0LmAIH6HjOBg"",""2025-26!AF4"")"),636894.0)</f>
        <v>636894</v>
      </c>
      <c r="BP42" s="55">
        <f>IFERROR(__xludf.DUMMYFUNCTION("IMPORTRANGE(""1o73DJbLFLgOXztUGvACDAPJQLjK9m6M0LmAIH6HjOBg"",""2025-26!AF3"")"),7.0)</f>
        <v>7</v>
      </c>
      <c r="BQ42" s="59">
        <f t="shared" si="25"/>
        <v>0.2462571429</v>
      </c>
      <c r="BR42" s="55">
        <f>IFERROR(__xludf.DUMMYFUNCTION("IMPORTRANGE(""1o73DJbLFLgOXztUGvACDAPJQLjK9m6M0LmAIH6HjOBg"",""2025-26!AG4"")"),430950.0)</f>
        <v>430950</v>
      </c>
      <c r="BS42" s="55">
        <f>IFERROR(__xludf.DUMMYFUNCTION("IMPORTRANGE(""1o73DJbLFLgOXztUGvACDAPJQLjK9m6M0LmAIH6HjOBg"",""2025-26!AG3"")"),8.0)</f>
        <v>8</v>
      </c>
      <c r="BT42" s="55">
        <f>IFERROR(__xludf.DUMMYFUNCTION("IMPORTRANGE(""1o73DJbLFLgOXztUGvACDAPJQLjK9m6M0LmAIH6HjOBg"",""2025-26!AH4"")"),2020000.0)</f>
        <v>2020000</v>
      </c>
      <c r="BU42" s="55">
        <f>IFERROR(__xludf.DUMMYFUNCTION("IMPORTRANGE(""1o73DJbLFLgOXztUGvACDAPJQLjK9m6M0LmAIH6HjOBg"",""2025-26!AH3"")"),19.0)</f>
        <v>19</v>
      </c>
      <c r="BV42" s="55">
        <f>IFERROR(__xludf.DUMMYFUNCTION("IMPORTRANGE(""1o73DJbLFLgOXztUGvACDAPJQLjK9m6M0LmAIH6HjOBg"",""2025-26!AI4"")"),1037916.0)</f>
        <v>1037916</v>
      </c>
      <c r="BW42" s="55">
        <f>IFERROR(__xludf.DUMMYFUNCTION("IMPORTRANGE(""1o73DJbLFLgOXztUGvACDAPJQLjK9m6M0LmAIH6HjOBg"",""2025-26!AI3"")"),11.0)</f>
        <v>11</v>
      </c>
      <c r="BX42" s="59">
        <f t="shared" si="26"/>
        <v>0.2950178218</v>
      </c>
      <c r="BY42" s="55">
        <f>IFERROR(__xludf.DUMMYFUNCTION("IMPORTRANGE(""1o73DJbLFLgOXztUGvACDAPJQLjK9m6M0LmAIH6HjOBg"",""2025-26!AJ4"")"),595936.0)</f>
        <v>595936</v>
      </c>
      <c r="BZ42" s="55">
        <f>IFERROR(__xludf.DUMMYFUNCTION("IMPORTRANGE(""1o73DJbLFLgOXztUGvACDAPJQLjK9m6M0LmAIH6HjOBg"",""2025-26!AJ3"")"),11.0)</f>
        <v>11</v>
      </c>
      <c r="CA42" s="55">
        <f>IFERROR(__xludf.DUMMYFUNCTION("IMPORTRANGE(""1o73DJbLFLgOXztUGvACDAPJQLjK9m6M0LmAIH6HjOBg"",""2025-26!AK4"")"),1900000.0)</f>
        <v>1900000</v>
      </c>
      <c r="CB42" s="55">
        <f>IFERROR(__xludf.DUMMYFUNCTION("IMPORTRANGE(""1o73DJbLFLgOXztUGvACDAPJQLjK9m6M0LmAIH6HjOBg"",""2025-26!AK3"")"),20.0)</f>
        <v>20</v>
      </c>
      <c r="CC42" s="55">
        <f>IFERROR(__xludf.DUMMYFUNCTION("IMPORTRANGE(""1o73DJbLFLgOXztUGvACDAPJQLjK9m6M0LmAIH6HjOBg"",""2025-26!AL4"")"),1242228.0)</f>
        <v>1242228</v>
      </c>
      <c r="CD42" s="55">
        <f>IFERROR(__xludf.DUMMYFUNCTION("IMPORTRANGE(""1o73DJbLFLgOXztUGvACDAPJQLjK9m6M0LmAIH6HjOBg"",""2025-26!AL3"")"),11.0)</f>
        <v>11</v>
      </c>
      <c r="CE42" s="59">
        <f t="shared" si="27"/>
        <v>0.2218442105</v>
      </c>
      <c r="CF42" s="55">
        <f>IFERROR(__xludf.DUMMYFUNCTION("IMPORTRANGE(""1o73DJbLFLgOXztUGvACDAPJQLjK9m6M0LmAIH6HjOBg"",""2025-26!AM4"")"),421504.0)</f>
        <v>421504</v>
      </c>
      <c r="CG42" s="55">
        <f>IFERROR(__xludf.DUMMYFUNCTION("IMPORTRANGE(""1o73DJbLFLgOXztUGvACDAPJQLjK9m6M0LmAIH6HjOBg"",""2025-26!AM3"")"),8.0)</f>
        <v>8</v>
      </c>
      <c r="CH42" s="55">
        <f>IFERROR(__xludf.DUMMYFUNCTION("IMPORTRANGE(""1o73DJbLFLgOXztUGvACDAPJQLjK9m6M0LmAIH6HjOBg"",""2025-26!AN4"")"),2050000.0)</f>
        <v>2050000</v>
      </c>
      <c r="CI42" s="55">
        <f>IFERROR(__xludf.DUMMYFUNCTION("IMPORTRANGE(""1o73DJbLFLgOXztUGvACDAPJQLjK9m6M0LmAIH6HjOBg"",""2025-26!AN3"")"),20.0)</f>
        <v>20</v>
      </c>
      <c r="CJ42" s="55">
        <f>IFERROR(__xludf.DUMMYFUNCTION("IMPORTRANGE(""1o73DJbLFLgOXztUGvACDAPJQLjK9m6M0LmAIH6HjOBg"",""2025-26!AO4"")"),1115413.0)</f>
        <v>1115413</v>
      </c>
      <c r="CK42" s="55">
        <f>IFERROR(__xludf.DUMMYFUNCTION("IMPORTRANGE(""1o73DJbLFLgOXztUGvACDAPJQLjK9m6M0LmAIH6HjOBg"",""2025-26!AO3"")"),5.0)</f>
        <v>5</v>
      </c>
      <c r="CL42" s="59">
        <f t="shared" si="28"/>
        <v>0.1193531707</v>
      </c>
      <c r="CM42" s="55">
        <f>IFERROR(__xludf.DUMMYFUNCTION("IMPORTRANGE(""1o73DJbLFLgOXztUGvACDAPJQLjK9m6M0LmAIH6HjOBg"",""2025-26!AP4"")"),244674.0)</f>
        <v>244674</v>
      </c>
      <c r="CN42" s="55">
        <f>IFERROR(__xludf.DUMMYFUNCTION("IMPORTRANGE(""1o73DJbLFLgOXztUGvACDAPJQLjK9m6M0LmAIH6HjOBg"",""2025-26!AP3"")"),5.0)</f>
        <v>5</v>
      </c>
      <c r="CO42" s="55">
        <f>IFERROR(__xludf.DUMMYFUNCTION("IMPORTRANGE(""1o73DJbLFLgOXztUGvACDAPJQLjK9m6M0LmAIH6HjOBg"",""2025-26!AQ4"")"),2340000.0)</f>
        <v>2340000</v>
      </c>
      <c r="CP42" s="55">
        <f>IFERROR(__xludf.DUMMYFUNCTION("IMPORTRANGE(""1o73DJbLFLgOXztUGvACDAPJQLjK9m6M0LmAIH6HjOBg"",""2025-26!AQ3"")"),20.0)</f>
        <v>20</v>
      </c>
      <c r="CQ42" s="55">
        <f>IFERROR(__xludf.DUMMYFUNCTION("IMPORTRANGE(""1o73DJbLFLgOXztUGvACDAPJQLjK9m6M0LmAIH6HjOBg"",""2025-26!AR4"")"),1624440.0)</f>
        <v>1624440</v>
      </c>
      <c r="CR42" s="55">
        <f>IFERROR(__xludf.DUMMYFUNCTION("IMPORTRANGE(""1o73DJbLFLgOXztUGvACDAPJQLjK9m6M0LmAIH6HjOBg"",""2025-26!AR3"")"),7.0)</f>
        <v>7</v>
      </c>
      <c r="CS42" s="59">
        <f t="shared" si="29"/>
        <v>0.4392692308</v>
      </c>
      <c r="CT42" s="55">
        <f>IFERROR(__xludf.DUMMYFUNCTION("IMPORTRANGE(""1o73DJbLFLgOXztUGvACDAPJQLjK9m6M0LmAIH6HjOBg"",""2025-26!AS4"")"),1027890.0)</f>
        <v>1027890</v>
      </c>
      <c r="CU42" s="55">
        <f>IFERROR(__xludf.DUMMYFUNCTION("IMPORTRANGE(""1o73DJbLFLgOXztUGvACDAPJQLjK9m6M0LmAIH6HjOBg"",""2025-26!AS3"")"),6.0)</f>
        <v>6</v>
      </c>
      <c r="CV42" s="60" t="s">
        <v>101</v>
      </c>
    </row>
    <row r="43">
      <c r="A43" s="1" t="s">
        <v>97</v>
      </c>
      <c r="B43" s="43"/>
      <c r="C43" s="61" t="s">
        <v>109</v>
      </c>
      <c r="D43" s="65" t="s">
        <v>110</v>
      </c>
      <c r="E43" s="68">
        <v>8.15690004E9</v>
      </c>
      <c r="F43" s="66">
        <v>45933.0</v>
      </c>
      <c r="G43" s="62"/>
      <c r="H43" s="62"/>
      <c r="I43" s="70">
        <v>27000.0</v>
      </c>
      <c r="J43" s="54">
        <v>1500000.0</v>
      </c>
      <c r="K43" s="55">
        <f>IFERROR(__xludf.DUMMYFUNCTION("IMPORTRANGE(""1ubsraNghFvZJ3YRRWKWb8P3SYuDS_RoIg08_j56vs68"",""2025-26!A3"")"),71.0)</f>
        <v>71</v>
      </c>
      <c r="L43" s="55">
        <f>IFERROR(__xludf.DUMMYFUNCTION("IMPORTRANGE(""1ubsraNghFvZJ3YRRWKWb8P3SYuDS_RoIg08_j56vs68"",""2025-26!G4"")"),0.0)</f>
        <v>0</v>
      </c>
      <c r="M43" s="55">
        <f t="shared" si="41"/>
        <v>3681893.4</v>
      </c>
      <c r="N43" s="56" t="str">
        <f t="shared" si="42"/>
        <v>#DIV/0!</v>
      </c>
      <c r="O43" s="57">
        <f t="shared" si="43"/>
        <v>3415793.84</v>
      </c>
      <c r="P43" s="55">
        <f>IFERROR(__xludf.DUMMYFUNCTION("IMPORTRANGE(""1ubsraNghFvZJ3YRRWKWb8P3SYuDS_RoIg08_j56vs68"",""2025-26!J4"")"),0.0)</f>
        <v>0</v>
      </c>
      <c r="Q43" s="55">
        <f>IFERROR(__xludf.DUMMYFUNCTION("IMPORTRANGE(""1ubsraNghFvZJ3YRRWKWb8P3SYuDS_RoIg08_j56vs68"",""2025-26!J3"")"),0.0)</f>
        <v>0</v>
      </c>
      <c r="R43" s="55">
        <f>IFERROR(__xludf.DUMMYFUNCTION("IMPORTRANGE(""1ubsraNghFvZJ3YRRWKWb8P3SYuDS_RoIg08_j56vs68"",""2025-26!K4"")"),0.0)</f>
        <v>0</v>
      </c>
      <c r="S43" s="55">
        <f>IFERROR(__xludf.DUMMYFUNCTION("IMPORTRANGE(""1ubsraNghFvZJ3YRRWKWb8P3SYuDS_RoIg08_j56vs68"",""2025-26!K3"")"),0.0)</f>
        <v>0</v>
      </c>
      <c r="T43" s="58" t="str">
        <f t="shared" si="18"/>
        <v/>
      </c>
      <c r="U43" s="55">
        <f>IFERROR(__xludf.DUMMYFUNCTION("IMPORTRANGE(""1ubsraNghFvZJ3YRRWKWb8P3SYuDS_RoIg08_j56vs68"",""2025-26!L4"")"),0.0)</f>
        <v>0</v>
      </c>
      <c r="V43" s="55">
        <f>IFERROR(__xludf.DUMMYFUNCTION("IMPORTRANGE(""1ubsraNghFvZJ3YRRWKWb8P3SYuDS_RoIg08_j56vs68"",""2025-26!L3"")"),0.0)</f>
        <v>0</v>
      </c>
      <c r="W43" s="55">
        <f>IFERROR(__xludf.DUMMYFUNCTION("IMPORTRANGE(""1ubsraNghFvZJ3YRRWKWb8P3SYuDS_RoIg08_j56vs68"",""2025-26!m4"")"),0.0)</f>
        <v>0</v>
      </c>
      <c r="X43" s="55">
        <f>IFERROR(__xludf.DUMMYFUNCTION("IMPORTRANGE(""1ubsraNghFvZJ3YRRWKWb8P3SYuDS_RoIg08_j56vs68"",""2025-26!m3"")"),0.0)</f>
        <v>0</v>
      </c>
      <c r="Y43" s="55">
        <f>IFERROR(__xludf.DUMMYFUNCTION("IMPORTRANGE(""1ubsraNghFvZJ3YRRWKWb8P3SYuDS_RoIg08_j56vs68"",""2025-26!N4"")"),0.0)</f>
        <v>0</v>
      </c>
      <c r="Z43" s="55">
        <f>IFERROR(__xludf.DUMMYFUNCTION("IMPORTRANGE(""1ubsraNghFvZJ3YRRWKWb8P3SYuDS_RoIg08_j56vs68"",""2025-26!N3"")"),0.0)</f>
        <v>0</v>
      </c>
      <c r="AA43" s="58" t="str">
        <f t="shared" si="19"/>
        <v/>
      </c>
      <c r="AB43" s="55">
        <f>IFERROR(__xludf.DUMMYFUNCTION("IMPORTRANGE(""1ubsraNghFvZJ3YRRWKWb8P3SYuDS_RoIg08_j56vs68"",""2025-26!O4"")"),0.0)</f>
        <v>0</v>
      </c>
      <c r="AC43" s="55">
        <f>IFERROR(__xludf.DUMMYFUNCTION("IMPORTRANGE(""1ubsraNghFvZJ3YRRWKWb8P3SYuDS_RoIg08_j56vs68"",""2025-26!O3"")"),0.0)</f>
        <v>0</v>
      </c>
      <c r="AD43" s="55">
        <f>IFERROR(__xludf.DUMMYFUNCTION("IMPORTRANGE(""1ubsraNghFvZJ3YRRWKWb8P3SYuDS_RoIg08_j56vs68"",""2025-26!P4"")"),0.0)</f>
        <v>0</v>
      </c>
      <c r="AE43" s="55">
        <f>IFERROR(__xludf.DUMMYFUNCTION("IMPORTRANGE(""1ubsraNghFvZJ3YRRWKWb8P3SYuDS_RoIg08_j56vs68"",""2025-26!P3"")"),0.0)</f>
        <v>0</v>
      </c>
      <c r="AF43" s="55">
        <f>IFERROR(__xludf.DUMMYFUNCTION("IMPORTRANGE(""1ubsraNghFvZJ3YRRWKWb8P3SYuDS_RoIg08_j56vs68"",""2025-26!Q4"")"),0.0)</f>
        <v>0</v>
      </c>
      <c r="AG43" s="55">
        <f>IFERROR(__xludf.DUMMYFUNCTION("IMPORTRANGE(""1ubsraNghFvZJ3YRRWKWb8P3SYuDS_RoIg08_j56vs68"",""2025-26!Q3"")"),0.0)</f>
        <v>0</v>
      </c>
      <c r="AH43" s="58" t="str">
        <f t="shared" si="20"/>
        <v/>
      </c>
      <c r="AI43" s="55">
        <f>IFERROR(__xludf.DUMMYFUNCTION("IMPORTRANGE(""1ubsraNghFvZJ3YRRWKWb8P3SYuDS_RoIg08_j56vs68"",""2025-26!R4"")"),0.0)</f>
        <v>0</v>
      </c>
      <c r="AJ43" s="55">
        <f>IFERROR(__xludf.DUMMYFUNCTION("IMPORTRANGE(""1ubsraNghFvZJ3YRRWKWb8P3SYuDS_RoIg08_j56vs68"",""2025-26!R3"")"),0.0)</f>
        <v>0</v>
      </c>
      <c r="AK43" s="55">
        <f>IFERROR(__xludf.DUMMYFUNCTION("IMPORTRANGE(""1ubsraNghFvZJ3YRRWKWb8P3SYuDS_RoIg08_j56vs68"",""2025-26!S4"")"),0.0)</f>
        <v>0</v>
      </c>
      <c r="AL43" s="55">
        <f>IFERROR(__xludf.DUMMYFUNCTION("IMPORTRANGE(""1ubsraNghFvZJ3YRRWKWb8P3SYuDS_RoIg08_j56vs68"",""2025-26!S3"")"),0.0)</f>
        <v>0</v>
      </c>
      <c r="AM43" s="55">
        <f>IFERROR(__xludf.DUMMYFUNCTION("IMPORTRANGE(""1ubsraNghFvZJ3YRRWKWb8P3SYuDS_RoIg08_j56vs68"",""2025-26!T4"")"),0.0)</f>
        <v>0</v>
      </c>
      <c r="AN43" s="55">
        <f>IFERROR(__xludf.DUMMYFUNCTION("IMPORTRANGE(""1ubsraNghFvZJ3YRRWKWb8P3SYuDS_RoIg08_j56vs68"",""2025-26!T3"")"),0.0)</f>
        <v>0</v>
      </c>
      <c r="AO43" s="58" t="str">
        <f t="shared" si="21"/>
        <v/>
      </c>
      <c r="AP43" s="55">
        <f>IFERROR(__xludf.DUMMYFUNCTION("IMPORTRANGE(""1ubsraNghFvZJ3YRRWKWb8P3SYuDS_RoIg08_j56vs68"",""2025-26!U4"")"),0.0)</f>
        <v>0</v>
      </c>
      <c r="AQ43" s="55">
        <f>IFERROR(__xludf.DUMMYFUNCTION("IMPORTRANGE(""1ubsraNghFvZJ3YRRWKWb8P3SYuDS_RoIg08_j56vs68"",""2025-26!U3"")"),0.0)</f>
        <v>0</v>
      </c>
      <c r="AR43" s="55">
        <f>IFERROR(__xludf.DUMMYFUNCTION("IMPORTRANGE(""1ubsraNghFvZJ3YRRWKWb8P3SYuDS_RoIg08_j56vs68"",""2025-26!V4"")"),0.0)</f>
        <v>0</v>
      </c>
      <c r="AS43" s="55">
        <f>IFERROR(__xludf.DUMMYFUNCTION("IMPORTRANGE(""1ubsraNghFvZJ3YRRWKWb8P3SYuDS_RoIg08_j56vs68"",""2025-26!V3"")"),0.0)</f>
        <v>0</v>
      </c>
      <c r="AT43" s="55">
        <f>IFERROR(__xludf.DUMMYFUNCTION("IMPORTRANGE(""1ubsraNghFvZJ3YRRWKWb8P3SYuDS_RoIg08_j56vs68"",""2025-26!W4"")"),0.0)</f>
        <v>0</v>
      </c>
      <c r="AU43" s="55">
        <f>IFERROR(__xludf.DUMMYFUNCTION("IMPORTRANGE(""1ubsraNghFvZJ3YRRWKWb8P3SYuDS_RoIg08_j56vs68"",""2025-26!W3"")"),0.0)</f>
        <v>0</v>
      </c>
      <c r="AV43" s="58" t="str">
        <f t="shared" si="22"/>
        <v/>
      </c>
      <c r="AW43" s="55">
        <f>IFERROR(__xludf.DUMMYFUNCTION("IMPORTRANGE(""1ubsraNghFvZJ3YRRWKWb8P3SYuDS_RoIg08_j56vs68"",""2025-26!X4"")"),0.0)</f>
        <v>0</v>
      </c>
      <c r="AX43" s="55">
        <f>IFERROR(__xludf.DUMMYFUNCTION("IMPORTRANGE(""1ubsraNghFvZJ3YRRWKWb8P3SYuDS_RoIg08_j56vs68"",""2025-26!X3"")"),0.0)</f>
        <v>0</v>
      </c>
      <c r="AY43" s="55">
        <f>IFERROR(__xludf.DUMMYFUNCTION("IMPORTRANGE(""1ubsraNghFvZJ3YRRWKWb8P3SYuDS_RoIg08_j56vs68"",""2025-26!Y4"")"),0.0)</f>
        <v>0</v>
      </c>
      <c r="AZ43" s="55">
        <f>IFERROR(__xludf.DUMMYFUNCTION("IMPORTRANGE(""1ubsraNghFvZJ3YRRWKWb8P3SYuDS_RoIg08_j56vs68"",""2025-26!Y3"")"),0.0)</f>
        <v>0</v>
      </c>
      <c r="BA43" s="55">
        <f>IFERROR(__xludf.DUMMYFUNCTION("IMPORTRANGE(""1ubsraNghFvZJ3YRRWKWb8P3SYuDS_RoIg08_j56vs68"",""2025-26!Z4"")"),0.0)</f>
        <v>0</v>
      </c>
      <c r="BB43" s="55">
        <f>IFERROR(__xludf.DUMMYFUNCTION("IMPORTRANGE(""1ubsraNghFvZJ3YRRWKWb8P3SYuDS_RoIg08_j56vs68"",""2025-26!Z3"")"),0.0)</f>
        <v>0</v>
      </c>
      <c r="BC43" s="59" t="str">
        <f t="shared" si="23"/>
        <v/>
      </c>
      <c r="BD43" s="55">
        <f>IFERROR(__xludf.DUMMYFUNCTION("IMPORTRANGE(""1ubsraNghFvZJ3YRRWKWb8P3SYuDS_RoIg08_j56vs68"",""2025-26!AA4"")"),0.0)</f>
        <v>0</v>
      </c>
      <c r="BE43" s="55">
        <f>IFERROR(__xludf.DUMMYFUNCTION("IMPORTRANGE(""1ubsraNghFvZJ3YRRWKWb8P3SYuDS_RoIg08_j56vs68"",""2025-26!AA3"")"),0.0)</f>
        <v>0</v>
      </c>
      <c r="BF43" s="55">
        <f>IFERROR(__xludf.DUMMYFUNCTION("IMPORTRANGE(""1ubsraNghFvZJ3YRRWKWb8P3SYuDS_RoIg08_j56vs68"",""2025-26!AB4"")"),0.0)</f>
        <v>0</v>
      </c>
      <c r="BG43" s="55">
        <f>IFERROR(__xludf.DUMMYFUNCTION("IMPORTRANGE(""1ubsraNghFvZJ3YRRWKWb8P3SYuDS_RoIg08_j56vs68"",""2025-26!AB3"")"),0.0)</f>
        <v>0</v>
      </c>
      <c r="BH43" s="55">
        <f>IFERROR(__xludf.DUMMYFUNCTION("IMPORTRANGE(""1ubsraNghFvZJ3YRRWKWb8P3SYuDS_RoIg08_j56vs68"",""2025-26!AC4"")"),197227.2)</f>
        <v>197227.2</v>
      </c>
      <c r="BI43" s="55">
        <f>IFERROR(__xludf.DUMMYFUNCTION("IMPORTRANGE(""1ubsraNghFvZJ3YRRWKWb8P3SYuDS_RoIg08_j56vs68"",""2025-26!AC3"")"),10.0)</f>
        <v>10</v>
      </c>
      <c r="BJ43" s="59" t="str">
        <f t="shared" si="24"/>
        <v/>
      </c>
      <c r="BK43" s="55">
        <f>IFERROR(__xludf.DUMMYFUNCTION("IMPORTRANGE(""1ubsraNghFvZJ3YRRWKWb8P3SYuDS_RoIg08_j56vs68"",""2025-26!AD4"")"),0.0)</f>
        <v>0</v>
      </c>
      <c r="BL43" s="55">
        <f>IFERROR(__xludf.DUMMYFUNCTION("IMPORTRANGE(""1ubsraNghFvZJ3YRRWKWb8P3SYuDS_RoIg08_j56vs68"",""2025-26!AD3"")"),0.0)</f>
        <v>0</v>
      </c>
      <c r="BM43" s="55">
        <f>IFERROR(__xludf.DUMMYFUNCTION("IMPORTRANGE(""1ubsraNghFvZJ3YRRWKWb8P3SYuDS_RoIg08_j56vs68"",""2025-26!AE4"")"),0.0)</f>
        <v>0</v>
      </c>
      <c r="BN43" s="55">
        <f>IFERROR(__xludf.DUMMYFUNCTION("IMPORTRANGE(""1ubsraNghFvZJ3YRRWKWb8P3SYuDS_RoIg08_j56vs68"",""2025-26!AE3"")"),0.0)</f>
        <v>0</v>
      </c>
      <c r="BO43" s="55">
        <f>IFERROR(__xludf.DUMMYFUNCTION("IMPORTRANGE(""1ubsraNghFvZJ3YRRWKWb8P3SYuDS_RoIg08_j56vs68"",""2025-26!AF4"")"),420298.8)</f>
        <v>420298.8</v>
      </c>
      <c r="BP43" s="55">
        <f>IFERROR(__xludf.DUMMYFUNCTION("IMPORTRANGE(""1ubsraNghFvZJ3YRRWKWb8P3SYuDS_RoIg08_j56vs68"",""2025-26!AF3"")"),19.0)</f>
        <v>19</v>
      </c>
      <c r="BQ43" s="59" t="str">
        <f t="shared" si="25"/>
        <v/>
      </c>
      <c r="BR43" s="55">
        <f>IFERROR(__xludf.DUMMYFUNCTION("IMPORTRANGE(""1ubsraNghFvZJ3YRRWKWb8P3SYuDS_RoIg08_j56vs68"",""2025-26!AG4"")"),0.0)</f>
        <v>0</v>
      </c>
      <c r="BS43" s="55">
        <f>IFERROR(__xludf.DUMMYFUNCTION("IMPORTRANGE(""1ubsraNghFvZJ3YRRWKWb8P3SYuDS_RoIg08_j56vs68"",""2025-26!AG3"")"),0.0)</f>
        <v>0</v>
      </c>
      <c r="BT43" s="55">
        <f>IFERROR(__xludf.DUMMYFUNCTION("IMPORTRANGE(""1ubsraNghFvZJ3YRRWKWb8P3SYuDS_RoIg08_j56vs68"",""2025-26!AH4"")"),0.0)</f>
        <v>0</v>
      </c>
      <c r="BU43" s="55">
        <f>IFERROR(__xludf.DUMMYFUNCTION("IMPORTRANGE(""1ubsraNghFvZJ3YRRWKWb8P3SYuDS_RoIg08_j56vs68"",""2025-26!AH3"")"),0.0)</f>
        <v>0</v>
      </c>
      <c r="BV43" s="55">
        <f>IFERROR(__xludf.DUMMYFUNCTION("IMPORTRANGE(""1ubsraNghFvZJ3YRRWKWb8P3SYuDS_RoIg08_j56vs68"",""2025-26!AI4"")"),690056.3999999999)</f>
        <v>690056.4</v>
      </c>
      <c r="BW43" s="55">
        <f>IFERROR(__xludf.DUMMYFUNCTION("IMPORTRANGE(""1ubsraNghFvZJ3YRRWKWb8P3SYuDS_RoIg08_j56vs68"",""2025-26!AI3"")"),27.0)</f>
        <v>27</v>
      </c>
      <c r="BX43" s="59" t="str">
        <f t="shared" si="26"/>
        <v/>
      </c>
      <c r="BY43" s="55">
        <f>IFERROR(__xludf.DUMMYFUNCTION("IMPORTRANGE(""1ubsraNghFvZJ3YRRWKWb8P3SYuDS_RoIg08_j56vs68"",""2025-26!AJ4"")"),754998.7599999999)</f>
        <v>754998.76</v>
      </c>
      <c r="BZ43" s="55">
        <f>IFERROR(__xludf.DUMMYFUNCTION("IMPORTRANGE(""1ubsraNghFvZJ3YRRWKWb8P3SYuDS_RoIg08_j56vs68"",""2025-26!AJ3"")"),27.0)</f>
        <v>27</v>
      </c>
      <c r="CA43" s="55">
        <f>IFERROR(__xludf.DUMMYFUNCTION("IMPORTRANGE(""1ubsraNghFvZJ3YRRWKWb8P3SYuDS_RoIg08_j56vs68"",""2025-26!AK4"")"),0.0)</f>
        <v>0</v>
      </c>
      <c r="CB43" s="55">
        <f>IFERROR(__xludf.DUMMYFUNCTION("IMPORTRANGE(""1ubsraNghFvZJ3YRRWKWb8P3SYuDS_RoIg08_j56vs68"",""2025-26!AK3"")"),0.0)</f>
        <v>0</v>
      </c>
      <c r="CC43" s="55">
        <f>IFERROR(__xludf.DUMMYFUNCTION("IMPORTRANGE(""1ubsraNghFvZJ3YRRWKWb8P3SYuDS_RoIg08_j56vs68"",""2025-26!AL4"")"),707224.8)</f>
        <v>707224.8</v>
      </c>
      <c r="CD43" s="55">
        <f>IFERROR(__xludf.DUMMYFUNCTION("IMPORTRANGE(""1ubsraNghFvZJ3YRRWKWb8P3SYuDS_RoIg08_j56vs68"",""2025-26!AL3"")"),32.0)</f>
        <v>32</v>
      </c>
      <c r="CE43" s="59" t="str">
        <f t="shared" si="27"/>
        <v/>
      </c>
      <c r="CF43" s="55">
        <f>IFERROR(__xludf.DUMMYFUNCTION("IMPORTRANGE(""1ubsraNghFvZJ3YRRWKWb8P3SYuDS_RoIg08_j56vs68"",""2025-26!AM4"")"),671233.66)</f>
        <v>671233.66</v>
      </c>
      <c r="CG43" s="55">
        <f>IFERROR(__xludf.DUMMYFUNCTION("IMPORTRANGE(""1ubsraNghFvZJ3YRRWKWb8P3SYuDS_RoIg08_j56vs68"",""2025-26!AM3"")"),27.0)</f>
        <v>27</v>
      </c>
      <c r="CH43" s="55">
        <f>IFERROR(__xludf.DUMMYFUNCTION("IMPORTRANGE(""1ubsraNghFvZJ3YRRWKWb8P3SYuDS_RoIg08_j56vs68"",""2025-26!AN4"")"),0.0)</f>
        <v>0</v>
      </c>
      <c r="CI43" s="55">
        <f>IFERROR(__xludf.DUMMYFUNCTION("IMPORTRANGE(""1ubsraNghFvZJ3YRRWKWb8P3SYuDS_RoIg08_j56vs68"",""2025-26!AN3"")"),0.0)</f>
        <v>0</v>
      </c>
      <c r="CJ43" s="55">
        <f>IFERROR(__xludf.DUMMYFUNCTION("IMPORTRANGE(""1ubsraNghFvZJ3YRRWKWb8P3SYuDS_RoIg08_j56vs68"",""2025-26!AO4"")"),675510.0)</f>
        <v>675510</v>
      </c>
      <c r="CK43" s="55">
        <f>IFERROR(__xludf.DUMMYFUNCTION("IMPORTRANGE(""1ubsraNghFvZJ3YRRWKWb8P3SYuDS_RoIg08_j56vs68"",""2025-26!AO3"")"),18.0)</f>
        <v>18</v>
      </c>
      <c r="CL43" s="59" t="str">
        <f t="shared" si="28"/>
        <v/>
      </c>
      <c r="CM43" s="55">
        <f>IFERROR(__xludf.DUMMYFUNCTION("IMPORTRANGE(""1ubsraNghFvZJ3YRRWKWb8P3SYuDS_RoIg08_j56vs68"",""2025-26!AP4"")"),861579.4199999999)</f>
        <v>861579.42</v>
      </c>
      <c r="CN43" s="55">
        <f>IFERROR(__xludf.DUMMYFUNCTION("IMPORTRANGE(""1ubsraNghFvZJ3YRRWKWb8P3SYuDS_RoIg08_j56vs68"",""2025-26!AP3"")"),29.0)</f>
        <v>29</v>
      </c>
      <c r="CO43" s="55">
        <f>IFERROR(__xludf.DUMMYFUNCTION("IMPORTRANGE(""1ubsraNghFvZJ3YRRWKWb8P3SYuDS_RoIg08_j56vs68"",""2025-26!AQ4"")"),0.0)</f>
        <v>0</v>
      </c>
      <c r="CP43" s="55">
        <f>IFERROR(__xludf.DUMMYFUNCTION("IMPORTRANGE(""1ubsraNghFvZJ3YRRWKWb8P3SYuDS_RoIg08_j56vs68"",""2025-26!AQ3"")"),0.0)</f>
        <v>0</v>
      </c>
      <c r="CQ43" s="55">
        <f>IFERROR(__xludf.DUMMYFUNCTION("IMPORTRANGE(""1ubsraNghFvZJ3YRRWKWb8P3SYuDS_RoIg08_j56vs68"",""2025-26!AR4"")"),991576.2000000001)</f>
        <v>991576.2</v>
      </c>
      <c r="CR43" s="55">
        <f>IFERROR(__xludf.DUMMYFUNCTION("IMPORTRANGE(""1ubsraNghFvZJ3YRRWKWb8P3SYuDS_RoIg08_j56vs68"",""2025-26!AR3"")"),21.0)</f>
        <v>21</v>
      </c>
      <c r="CS43" s="59" t="str">
        <f t="shared" si="29"/>
        <v/>
      </c>
      <c r="CT43" s="55">
        <f>IFERROR(__xludf.DUMMYFUNCTION("IMPORTRANGE(""1ubsraNghFvZJ3YRRWKWb8P3SYuDS_RoIg08_j56vs68"",""2025-26!AS4"")"),1127982.0)</f>
        <v>1127982</v>
      </c>
      <c r="CU43" s="55">
        <f>IFERROR(__xludf.DUMMYFUNCTION("IMPORTRANGE(""1ubsraNghFvZJ3YRRWKWb8P3SYuDS_RoIg08_j56vs68"",""2025-26!AS3"")"),24.0)</f>
        <v>24</v>
      </c>
      <c r="CV43" s="60" t="s">
        <v>101</v>
      </c>
    </row>
    <row r="44">
      <c r="A44" s="1" t="s">
        <v>111</v>
      </c>
      <c r="B44" s="77" t="s">
        <v>111</v>
      </c>
      <c r="C44" s="80" t="s">
        <v>112</v>
      </c>
      <c r="D44" s="49" t="s">
        <v>113</v>
      </c>
      <c r="E44" s="50">
        <v>9.599706206E9</v>
      </c>
      <c r="F44" s="74">
        <v>43185.0</v>
      </c>
      <c r="G44" s="62"/>
      <c r="H44" s="62"/>
      <c r="I44" s="53">
        <f>VLOOKUP($C44,Data!$C:$BV,72,0)</f>
        <v>34650</v>
      </c>
      <c r="J44" s="54">
        <f>1400000+416666.6667</f>
        <v>1816666.667</v>
      </c>
      <c r="K44" s="55">
        <f>IFERROR(__xludf.DUMMYFUNCTION("IMPORTRANGE(""1Hir2BSz1KtNe_zzhtoBurd4NvYToFy3OAbQvUmeocvQ"",""2025-26!A3"")"),113.0)</f>
        <v>113</v>
      </c>
      <c r="L44" s="55">
        <f>IFERROR(__xludf.DUMMYFUNCTION("IMPORTRANGE(""1Hir2BSz1KtNe_zzhtoBurd4NvYToFy3OAbQvUmeocvQ"",""2025-26!G4"")"),0.0)</f>
        <v>0</v>
      </c>
      <c r="M44" s="55">
        <f t="shared" si="41"/>
        <v>4732528.91</v>
      </c>
      <c r="N44" s="56" t="str">
        <f t="shared" si="42"/>
        <v>#DIV/0!</v>
      </c>
      <c r="O44" s="57">
        <f t="shared" si="43"/>
        <v>4796658.88</v>
      </c>
      <c r="P44" s="55">
        <f>IFERROR(__xludf.DUMMYFUNCTION("IMPORTRANGE(""1Hir2BSz1KtNe_zzhtoBurd4NvYToFy3OAbQvUmeocvQ"",""2025-26!J4"")"),0.0)</f>
        <v>0</v>
      </c>
      <c r="Q44" s="55">
        <f>IFERROR(__xludf.DUMMYFUNCTION("IMPORTRANGE(""1Hir2BSz1KtNe_zzhtoBurd4NvYToFy3OAbQvUmeocvQ"",""2025-26!J3"")"),0.0)</f>
        <v>0</v>
      </c>
      <c r="R44" s="55">
        <f>IFERROR(__xludf.DUMMYFUNCTION("IMPORTRANGE(""1Hir2BSz1KtNe_zzhtoBurd4NvYToFy3OAbQvUmeocvQ"",""2025-26!K4"")"),108830.0)</f>
        <v>108830</v>
      </c>
      <c r="S44" s="55">
        <f>IFERROR(__xludf.DUMMYFUNCTION("IMPORTRANGE(""1Hir2BSz1KtNe_zzhtoBurd4NvYToFy3OAbQvUmeocvQ"",""2025-26!K3"")"),7.0)</f>
        <v>7</v>
      </c>
      <c r="T44" s="58" t="str">
        <f t="shared" si="18"/>
        <v/>
      </c>
      <c r="U44" s="55">
        <f>IFERROR(__xludf.DUMMYFUNCTION("IMPORTRANGE(""1Hir2BSz1KtNe_zzhtoBurd4NvYToFy3OAbQvUmeocvQ"",""2025-26!L4"")"),140881.64)</f>
        <v>140881.64</v>
      </c>
      <c r="V44" s="55">
        <f>IFERROR(__xludf.DUMMYFUNCTION("IMPORTRANGE(""1Hir2BSz1KtNe_zzhtoBurd4NvYToFy3OAbQvUmeocvQ"",""2025-26!L3"")"),7.0)</f>
        <v>7</v>
      </c>
      <c r="W44" s="55">
        <f>IFERROR(__xludf.DUMMYFUNCTION("IMPORTRANGE(""1Hir2BSz1KtNe_zzhtoBurd4NvYToFy3OAbQvUmeocvQ"",""2025-26!m4"")"),0.0)</f>
        <v>0</v>
      </c>
      <c r="X44" s="55">
        <f>IFERROR(__xludf.DUMMYFUNCTION("IMPORTRANGE(""1Hir2BSz1KtNe_zzhtoBurd4NvYToFy3OAbQvUmeocvQ"",""2025-26!m3"")"),0.0)</f>
        <v>0</v>
      </c>
      <c r="Y44" s="55">
        <f>IFERROR(__xludf.DUMMYFUNCTION("IMPORTRANGE(""1Hir2BSz1KtNe_zzhtoBurd4NvYToFy3OAbQvUmeocvQ"",""2025-26!N4"")"),0.0)</f>
        <v>0</v>
      </c>
      <c r="Z44" s="55">
        <f>IFERROR(__xludf.DUMMYFUNCTION("IMPORTRANGE(""1Hir2BSz1KtNe_zzhtoBurd4NvYToFy3OAbQvUmeocvQ"",""2025-26!N3"")"),0.0)</f>
        <v>0</v>
      </c>
      <c r="AA44" s="58" t="str">
        <f t="shared" si="19"/>
        <v/>
      </c>
      <c r="AB44" s="55">
        <f>IFERROR(__xludf.DUMMYFUNCTION("IMPORTRANGE(""1Hir2BSz1KtNe_zzhtoBurd4NvYToFy3OAbQvUmeocvQ"",""2025-26!O4"")"),258906.58999999997)</f>
        <v>258906.59</v>
      </c>
      <c r="AC44" s="55">
        <f>IFERROR(__xludf.DUMMYFUNCTION("IMPORTRANGE(""1Hir2BSz1KtNe_zzhtoBurd4NvYToFy3OAbQvUmeocvQ"",""2025-26!O3"")"),13.0)</f>
        <v>13</v>
      </c>
      <c r="AD44" s="55">
        <f>IFERROR(__xludf.DUMMYFUNCTION("IMPORTRANGE(""1Hir2BSz1KtNe_zzhtoBurd4NvYToFy3OAbQvUmeocvQ"",""2025-26!P4"")"),0.0)</f>
        <v>0</v>
      </c>
      <c r="AE44" s="55">
        <f>IFERROR(__xludf.DUMMYFUNCTION("IMPORTRANGE(""1Hir2BSz1KtNe_zzhtoBurd4NvYToFy3OAbQvUmeocvQ"",""2025-26!P3"")"),0.0)</f>
        <v>0</v>
      </c>
      <c r="AF44" s="55">
        <f>IFERROR(__xludf.DUMMYFUNCTION("IMPORTRANGE(""1Hir2BSz1KtNe_zzhtoBurd4NvYToFy3OAbQvUmeocvQ"",""2025-26!Q4"")"),0.0)</f>
        <v>0</v>
      </c>
      <c r="AG44" s="55">
        <f>IFERROR(__xludf.DUMMYFUNCTION("IMPORTRANGE(""1Hir2BSz1KtNe_zzhtoBurd4NvYToFy3OAbQvUmeocvQ"",""2025-26!Q3"")"),0.0)</f>
        <v>0</v>
      </c>
      <c r="AH44" s="58" t="str">
        <f t="shared" si="20"/>
        <v/>
      </c>
      <c r="AI44" s="55">
        <f>IFERROR(__xludf.DUMMYFUNCTION("IMPORTRANGE(""1Hir2BSz1KtNe_zzhtoBurd4NvYToFy3OAbQvUmeocvQ"",""2025-26!R4"")"),143304.19000000003)</f>
        <v>143304.19</v>
      </c>
      <c r="AJ44" s="55">
        <f>IFERROR(__xludf.DUMMYFUNCTION("IMPORTRANGE(""1Hir2BSz1KtNe_zzhtoBurd4NvYToFy3OAbQvUmeocvQ"",""2025-26!R3"")"),12.0)</f>
        <v>12</v>
      </c>
      <c r="AK44" s="55">
        <f>IFERROR(__xludf.DUMMYFUNCTION("IMPORTRANGE(""1Hir2BSz1KtNe_zzhtoBurd4NvYToFy3OAbQvUmeocvQ"",""2025-26!S4"")"),0.0)</f>
        <v>0</v>
      </c>
      <c r="AL44" s="55">
        <f>IFERROR(__xludf.DUMMYFUNCTION("IMPORTRANGE(""1Hir2BSz1KtNe_zzhtoBurd4NvYToFy3OAbQvUmeocvQ"",""2025-26!S3"")"),0.0)</f>
        <v>0</v>
      </c>
      <c r="AM44" s="55">
        <f>IFERROR(__xludf.DUMMYFUNCTION("IMPORTRANGE(""1Hir2BSz1KtNe_zzhtoBurd4NvYToFy3OAbQvUmeocvQ"",""2025-26!T4"")"),0.0)</f>
        <v>0</v>
      </c>
      <c r="AN44" s="55">
        <f>IFERROR(__xludf.DUMMYFUNCTION("IMPORTRANGE(""1Hir2BSz1KtNe_zzhtoBurd4NvYToFy3OAbQvUmeocvQ"",""2025-26!T3"")"),0.0)</f>
        <v>0</v>
      </c>
      <c r="AO44" s="58" t="str">
        <f t="shared" si="21"/>
        <v/>
      </c>
      <c r="AP44" s="55">
        <f>IFERROR(__xludf.DUMMYFUNCTION("IMPORTRANGE(""1Hir2BSz1KtNe_zzhtoBurd4NvYToFy3OAbQvUmeocvQ"",""2025-26!U4"")"),272444.52)</f>
        <v>272444.52</v>
      </c>
      <c r="AQ44" s="55">
        <f>IFERROR(__xludf.DUMMYFUNCTION("IMPORTRANGE(""1Hir2BSz1KtNe_zzhtoBurd4NvYToFy3OAbQvUmeocvQ"",""2025-26!U3"")"),8.0)</f>
        <v>8</v>
      </c>
      <c r="AR44" s="55">
        <f>IFERROR(__xludf.DUMMYFUNCTION("IMPORTRANGE(""1Hir2BSz1KtNe_zzhtoBurd4NvYToFy3OAbQvUmeocvQ"",""2025-26!V4"")"),0.0)</f>
        <v>0</v>
      </c>
      <c r="AS44" s="55">
        <f>IFERROR(__xludf.DUMMYFUNCTION("IMPORTRANGE(""1Hir2BSz1KtNe_zzhtoBurd4NvYToFy3OAbQvUmeocvQ"",""2025-26!V3"")"),0.0)</f>
        <v>0</v>
      </c>
      <c r="AT44" s="55">
        <f>IFERROR(__xludf.DUMMYFUNCTION("IMPORTRANGE(""1Hir2BSz1KtNe_zzhtoBurd4NvYToFy3OAbQvUmeocvQ"",""2025-26!W4"")"),474062.2)</f>
        <v>474062.2</v>
      </c>
      <c r="AU44" s="55">
        <f>IFERROR(__xludf.DUMMYFUNCTION("IMPORTRANGE(""1Hir2BSz1KtNe_zzhtoBurd4NvYToFy3OAbQvUmeocvQ"",""2025-26!W3"")"),18.0)</f>
        <v>18</v>
      </c>
      <c r="AV44" s="58" t="str">
        <f t="shared" si="22"/>
        <v/>
      </c>
      <c r="AW44" s="55">
        <f>IFERROR(__xludf.DUMMYFUNCTION("IMPORTRANGE(""1Hir2BSz1KtNe_zzhtoBurd4NvYToFy3OAbQvUmeocvQ"",""2025-26!X4"")"),481605.95)</f>
        <v>481605.95</v>
      </c>
      <c r="AX44" s="55">
        <f>IFERROR(__xludf.DUMMYFUNCTION("IMPORTRANGE(""1Hir2BSz1KtNe_zzhtoBurd4NvYToFy3OAbQvUmeocvQ"",""2025-26!X3"")"),23.0)</f>
        <v>23</v>
      </c>
      <c r="AY44" s="55">
        <f>IFERROR(__xludf.DUMMYFUNCTION("IMPORTRANGE(""1Hir2BSz1KtNe_zzhtoBurd4NvYToFy3OAbQvUmeocvQ"",""2025-26!Y4"")"),1375009.0)</f>
        <v>1375009</v>
      </c>
      <c r="AZ44" s="55">
        <f>IFERROR(__xludf.DUMMYFUNCTION("IMPORTRANGE(""1Hir2BSz1KtNe_zzhtoBurd4NvYToFy3OAbQvUmeocvQ"",""2025-26!Y3"")"),80.0)</f>
        <v>80</v>
      </c>
      <c r="BA44" s="55">
        <f>IFERROR(__xludf.DUMMYFUNCTION("IMPORTRANGE(""1Hir2BSz1KtNe_zzhtoBurd4NvYToFy3OAbQvUmeocvQ"",""2025-26!Z4"")"),691571.14)</f>
        <v>691571.14</v>
      </c>
      <c r="BB44" s="55">
        <f>IFERROR(__xludf.DUMMYFUNCTION("IMPORTRANGE(""1Hir2BSz1KtNe_zzhtoBurd4NvYToFy3OAbQvUmeocvQ"",""2025-26!Z3"")"),19.0)</f>
        <v>19</v>
      </c>
      <c r="BC44" s="59">
        <f t="shared" si="23"/>
        <v>0.4425248126</v>
      </c>
      <c r="BD44" s="55">
        <f>IFERROR(__xludf.DUMMYFUNCTION("IMPORTRANGE(""1Hir2BSz1KtNe_zzhtoBurd4NvYToFy3OAbQvUmeocvQ"",""2025-26!AA4"")"),608475.6)</f>
        <v>608475.6</v>
      </c>
      <c r="BE44" s="55">
        <f>IFERROR(__xludf.DUMMYFUNCTION("IMPORTRANGE(""1Hir2BSz1KtNe_zzhtoBurd4NvYToFy3OAbQvUmeocvQ"",""2025-26!AA3"")"),19.0)</f>
        <v>19</v>
      </c>
      <c r="BF44" s="55">
        <f>IFERROR(__xludf.DUMMYFUNCTION("IMPORTRANGE(""1Hir2BSz1KtNe_zzhtoBurd4NvYToFy3OAbQvUmeocvQ"",""2025-26!AB4"")"),1410000.0)</f>
        <v>1410000</v>
      </c>
      <c r="BG44" s="55">
        <f>IFERROR(__xludf.DUMMYFUNCTION("IMPORTRANGE(""1Hir2BSz1KtNe_zzhtoBurd4NvYToFy3OAbQvUmeocvQ"",""2025-26!AB3"")"),102.0)</f>
        <v>102</v>
      </c>
      <c r="BH44" s="55">
        <f>IFERROR(__xludf.DUMMYFUNCTION("IMPORTRANGE(""1Hir2BSz1KtNe_zzhtoBurd4NvYToFy3OAbQvUmeocvQ"",""2025-26!AC4"")"),426894.0)</f>
        <v>426894</v>
      </c>
      <c r="BI44" s="55">
        <f>IFERROR(__xludf.DUMMYFUNCTION("IMPORTRANGE(""1Hir2BSz1KtNe_zzhtoBurd4NvYToFy3OAbQvUmeocvQ"",""2025-26!AC3"")"),15.0)</f>
        <v>15</v>
      </c>
      <c r="BJ44" s="59">
        <f t="shared" si="24"/>
        <v>0.2791081773</v>
      </c>
      <c r="BK44" s="55">
        <f>IFERROR(__xludf.DUMMYFUNCTION("IMPORTRANGE(""1Hir2BSz1KtNe_zzhtoBurd4NvYToFy3OAbQvUmeocvQ"",""2025-26!AD4"")"),393542.53)</f>
        <v>393542.53</v>
      </c>
      <c r="BL44" s="55">
        <f>IFERROR(__xludf.DUMMYFUNCTION("IMPORTRANGE(""1Hir2BSz1KtNe_zzhtoBurd4NvYToFy3OAbQvUmeocvQ"",""2025-26!AD3"")"),16.0)</f>
        <v>16</v>
      </c>
      <c r="BM44" s="55">
        <f>IFERROR(__xludf.DUMMYFUNCTION("IMPORTRANGE(""1Hir2BSz1KtNe_zzhtoBurd4NvYToFy3OAbQvUmeocvQ"",""2025-26!AE4"")"),1410000.0)</f>
        <v>1410000</v>
      </c>
      <c r="BN44" s="55">
        <f>IFERROR(__xludf.DUMMYFUNCTION("IMPORTRANGE(""1Hir2BSz1KtNe_zzhtoBurd4NvYToFy3OAbQvUmeocvQ"",""2025-26!AE3"")"),102.0)</f>
        <v>102</v>
      </c>
      <c r="BO44" s="55">
        <f>IFERROR(__xludf.DUMMYFUNCTION("IMPORTRANGE(""1Hir2BSz1KtNe_zzhtoBurd4NvYToFy3OAbQvUmeocvQ"",""2025-26!AF4"")"),740509.5299999999)</f>
        <v>740509.53</v>
      </c>
      <c r="BP44" s="55">
        <f>IFERROR(__xludf.DUMMYFUNCTION("IMPORTRANGE(""1Hir2BSz1KtNe_zzhtoBurd4NvYToFy3OAbQvUmeocvQ"",""2025-26!AF3"")"),17.0)</f>
        <v>17</v>
      </c>
      <c r="BQ44" s="59">
        <f t="shared" si="25"/>
        <v>0.3476987589</v>
      </c>
      <c r="BR44" s="55">
        <f>IFERROR(__xludf.DUMMYFUNCTION("IMPORTRANGE(""1Hir2BSz1KtNe_zzhtoBurd4NvYToFy3OAbQvUmeocvQ"",""2025-26!AG4"")"),490255.24999999994)</f>
        <v>490255.25</v>
      </c>
      <c r="BS44" s="55">
        <f>IFERROR(__xludf.DUMMYFUNCTION("IMPORTRANGE(""1Hir2BSz1KtNe_zzhtoBurd4NvYToFy3OAbQvUmeocvQ"",""2025-26!AG3"")"),13.0)</f>
        <v>13</v>
      </c>
      <c r="BT44" s="55">
        <f>IFERROR(__xludf.DUMMYFUNCTION("IMPORTRANGE(""1Hir2BSz1KtNe_zzhtoBurd4NvYToFy3OAbQvUmeocvQ"",""2025-26!AH4"")"),1410000.0)</f>
        <v>1410000</v>
      </c>
      <c r="BU44" s="55">
        <f>IFERROR(__xludf.DUMMYFUNCTION("IMPORTRANGE(""1Hir2BSz1KtNe_zzhtoBurd4NvYToFy3OAbQvUmeocvQ"",""2025-26!AH3"")"),102.0)</f>
        <v>102</v>
      </c>
      <c r="BV44" s="55">
        <f>IFERROR(__xludf.DUMMYFUNCTION("IMPORTRANGE(""1Hir2BSz1KtNe_zzhtoBurd4NvYToFy3OAbQvUmeocvQ"",""2025-26!AI4"")"),931524.1400000001)</f>
        <v>931524.14</v>
      </c>
      <c r="BW44" s="55">
        <f>IFERROR(__xludf.DUMMYFUNCTION("IMPORTRANGE(""1Hir2BSz1KtNe_zzhtoBurd4NvYToFy3OAbQvUmeocvQ"",""2025-26!AI3"")"),15.0)</f>
        <v>15</v>
      </c>
      <c r="BX44" s="59">
        <f t="shared" si="26"/>
        <v>0.671738695</v>
      </c>
      <c r="BY44" s="55">
        <f>IFERROR(__xludf.DUMMYFUNCTION("IMPORTRANGE(""1Hir2BSz1KtNe_zzhtoBurd4NvYToFy3OAbQvUmeocvQ"",""2025-26!AJ4"")"),947151.5599999998)</f>
        <v>947151.56</v>
      </c>
      <c r="BZ44" s="55">
        <f>IFERROR(__xludf.DUMMYFUNCTION("IMPORTRANGE(""1Hir2BSz1KtNe_zzhtoBurd4NvYToFy3OAbQvUmeocvQ"",""2025-26!AJ3"")"),21.0)</f>
        <v>21</v>
      </c>
      <c r="CA44" s="55">
        <f>IFERROR(__xludf.DUMMYFUNCTION("IMPORTRANGE(""1Hir2BSz1KtNe_zzhtoBurd4NvYToFy3OAbQvUmeocvQ"",""2025-26!AK4"")"),1465000.0)</f>
        <v>1465000</v>
      </c>
      <c r="CB44" s="55">
        <f>IFERROR(__xludf.DUMMYFUNCTION("IMPORTRANGE(""1Hir2BSz1KtNe_zzhtoBurd4NvYToFy3OAbQvUmeocvQ"",""2025-26!AK3"")"),91.0)</f>
        <v>91</v>
      </c>
      <c r="CC44" s="55">
        <f>IFERROR(__xludf.DUMMYFUNCTION("IMPORTRANGE(""1Hir2BSz1KtNe_zzhtoBurd4NvYToFy3OAbQvUmeocvQ"",""2025-26!AL4"")"),189331.2)</f>
        <v>189331.2</v>
      </c>
      <c r="CD44" s="55">
        <f>IFERROR(__xludf.DUMMYFUNCTION("IMPORTRANGE(""1Hir2BSz1KtNe_zzhtoBurd4NvYToFy3OAbQvUmeocvQ"",""2025-26!AL3"")"),11.0)</f>
        <v>11</v>
      </c>
      <c r="CE44" s="59">
        <f t="shared" si="27"/>
        <v>0.06544993174</v>
      </c>
      <c r="CF44" s="55">
        <f>IFERROR(__xludf.DUMMYFUNCTION("IMPORTRANGE(""1Hir2BSz1KtNe_zzhtoBurd4NvYToFy3OAbQvUmeocvQ"",""2025-26!AM4"")"),95884.15)</f>
        <v>95884.15</v>
      </c>
      <c r="CG44" s="55">
        <f>IFERROR(__xludf.DUMMYFUNCTION("IMPORTRANGE(""1Hir2BSz1KtNe_zzhtoBurd4NvYToFy3OAbQvUmeocvQ"",""2025-26!AM3"")"),7.0)</f>
        <v>7</v>
      </c>
      <c r="CH44" s="55">
        <f>IFERROR(__xludf.DUMMYFUNCTION("IMPORTRANGE(""1Hir2BSz1KtNe_zzhtoBurd4NvYToFy3OAbQvUmeocvQ"",""2025-26!AN4"")"),1450000.0)</f>
        <v>1450000</v>
      </c>
      <c r="CI44" s="55">
        <f>IFERROR(__xludf.DUMMYFUNCTION("IMPORTRANGE(""1Hir2BSz1KtNe_zzhtoBurd4NvYToFy3OAbQvUmeocvQ"",""2025-26!AN3"")"),92.0)</f>
        <v>92</v>
      </c>
      <c r="CJ44" s="55">
        <f>IFERROR(__xludf.DUMMYFUNCTION("IMPORTRANGE(""1Hir2BSz1KtNe_zzhtoBurd4NvYToFy3OAbQvUmeocvQ"",""2025-26!AO4"")"),571811.3)</f>
        <v>571811.3</v>
      </c>
      <c r="CK44" s="55">
        <f>IFERROR(__xludf.DUMMYFUNCTION("IMPORTRANGE(""1Hir2BSz1KtNe_zzhtoBurd4NvYToFy3OAbQvUmeocvQ"",""2025-26!AO3"")"),18.0)</f>
        <v>18</v>
      </c>
      <c r="CL44" s="59">
        <f t="shared" si="28"/>
        <v>0.2601288</v>
      </c>
      <c r="CM44" s="55">
        <f>IFERROR(__xludf.DUMMYFUNCTION("IMPORTRANGE(""1Hir2BSz1KtNe_zzhtoBurd4NvYToFy3OAbQvUmeocvQ"",""2025-26!AP4"")"),377186.75999999995)</f>
        <v>377186.76</v>
      </c>
      <c r="CN44" s="55">
        <f>IFERROR(__xludf.DUMMYFUNCTION("IMPORTRANGE(""1Hir2BSz1KtNe_zzhtoBurd4NvYToFy3OAbQvUmeocvQ"",""2025-26!AP3"")"),21.0)</f>
        <v>21</v>
      </c>
      <c r="CO44" s="55">
        <f>IFERROR(__xludf.DUMMYFUNCTION("IMPORTRANGE(""1Hir2BSz1KtNe_zzhtoBurd4NvYToFy3OAbQvUmeocvQ"",""2025-26!AQ4"")"),1430000.0)</f>
        <v>1430000</v>
      </c>
      <c r="CP44" s="55">
        <f>IFERROR(__xludf.DUMMYFUNCTION("IMPORTRANGE(""1Hir2BSz1KtNe_zzhtoBurd4NvYToFy3OAbQvUmeocvQ"",""2025-26!AQ3"")"),89.0)</f>
        <v>89</v>
      </c>
      <c r="CQ44" s="55">
        <f>IFERROR(__xludf.DUMMYFUNCTION("IMPORTRANGE(""1Hir2BSz1KtNe_zzhtoBurd4NvYToFy3OAbQvUmeocvQ"",""2025-26!AR4"")"),597995.4)</f>
        <v>597995.4</v>
      </c>
      <c r="CR44" s="55">
        <f>IFERROR(__xludf.DUMMYFUNCTION("IMPORTRANGE(""1Hir2BSz1KtNe_zzhtoBurd4NvYToFy3OAbQvUmeocvQ"",""2025-26!AR3"")"),15.0)</f>
        <v>15</v>
      </c>
      <c r="CS44" s="59">
        <f t="shared" si="29"/>
        <v>0.4105035944</v>
      </c>
      <c r="CT44" s="55">
        <f>IFERROR(__xludf.DUMMYFUNCTION("IMPORTRANGE(""1Hir2BSz1KtNe_zzhtoBurd4NvYToFy3OAbQvUmeocvQ"",""2025-26!AS4"")"),587020.14)</f>
        <v>587020.14</v>
      </c>
      <c r="CU44" s="55">
        <f>IFERROR(__xludf.DUMMYFUNCTION("IMPORTRANGE(""1Hir2BSz1KtNe_zzhtoBurd4NvYToFy3OAbQvUmeocvQ"",""2025-26!AS3"")"),16.0)</f>
        <v>16</v>
      </c>
      <c r="CV44" s="60" t="s">
        <v>114</v>
      </c>
    </row>
    <row r="45">
      <c r="A45" s="1" t="s">
        <v>111</v>
      </c>
      <c r="B45" s="37"/>
      <c r="C45" s="80" t="s">
        <v>115</v>
      </c>
      <c r="D45" s="49" t="s">
        <v>116</v>
      </c>
      <c r="E45" s="50">
        <v>9.205287011E9</v>
      </c>
      <c r="F45" s="51">
        <v>43393.0</v>
      </c>
      <c r="G45" s="62"/>
      <c r="H45" s="62"/>
      <c r="I45" s="53">
        <f>VLOOKUP($C45,Data!$C:$BV,72,0)</f>
        <v>41430</v>
      </c>
      <c r="J45" s="54">
        <f>2100000+833333.3333</f>
        <v>2933333.333</v>
      </c>
      <c r="K45" s="55">
        <f>IFERROR(__xludf.DUMMYFUNCTION("IMPORTRANGE(""1UwZVGRca4V7QbfCEKzKsInQfTfLYV5gkrTzD89b_gVg"",""2025-26!A3"")"),137.0)</f>
        <v>137</v>
      </c>
      <c r="L45" s="55">
        <f>IFERROR(__xludf.DUMMYFUNCTION("IMPORTRANGE(""1UwZVGRca4V7QbfCEKzKsInQfTfLYV5gkrTzD89b_gVg"",""2025-26!G4"")"),2.823E7)</f>
        <v>28230000</v>
      </c>
      <c r="M45" s="55">
        <f t="shared" si="41"/>
        <v>13289206.03</v>
      </c>
      <c r="N45" s="56">
        <f t="shared" si="42"/>
        <v>0.5370128413</v>
      </c>
      <c r="O45" s="57">
        <f t="shared" si="43"/>
        <v>15159872.51</v>
      </c>
      <c r="P45" s="55">
        <f>IFERROR(__xludf.DUMMYFUNCTION("IMPORTRANGE(""1UwZVGRca4V7QbfCEKzKsInQfTfLYV5gkrTzD89b_gVg"",""2025-26!J4"")"),1355000.0)</f>
        <v>1355000</v>
      </c>
      <c r="Q45" s="55">
        <f>IFERROR(__xludf.DUMMYFUNCTION("IMPORTRANGE(""1UwZVGRca4V7QbfCEKzKsInQfTfLYV5gkrTzD89b_gVg"",""2025-26!J3"")"),70.0)</f>
        <v>70</v>
      </c>
      <c r="R45" s="55">
        <f>IFERROR(__xludf.DUMMYFUNCTION("IMPORTRANGE(""1UwZVGRca4V7QbfCEKzKsInQfTfLYV5gkrTzD89b_gVg"",""2025-26!K4"")"),882915.1499999999)</f>
        <v>882915.15</v>
      </c>
      <c r="S45" s="55">
        <f>IFERROR(__xludf.DUMMYFUNCTION("IMPORTRANGE(""1UwZVGRca4V7QbfCEKzKsInQfTfLYV5gkrTzD89b_gVg"",""2025-26!K3"")"),38.0)</f>
        <v>38</v>
      </c>
      <c r="T45" s="58">
        <f t="shared" si="18"/>
        <v>0.798439321</v>
      </c>
      <c r="U45" s="55">
        <f>IFERROR(__xludf.DUMMYFUNCTION("IMPORTRANGE(""1UwZVGRca4V7QbfCEKzKsInQfTfLYV5gkrTzD89b_gVg"",""2025-26!L4"")"),1081885.2799999998)</f>
        <v>1081885.28</v>
      </c>
      <c r="V45" s="55">
        <f>IFERROR(__xludf.DUMMYFUNCTION("IMPORTRANGE(""1UwZVGRca4V7QbfCEKzKsInQfTfLYV5gkrTzD89b_gVg"",""2025-26!L3"")"),40.0)</f>
        <v>40</v>
      </c>
      <c r="W45" s="55">
        <f>IFERROR(__xludf.DUMMYFUNCTION("IMPORTRANGE(""1UwZVGRca4V7QbfCEKzKsInQfTfLYV5gkrTzD89b_gVg"",""2025-26!m4"")"),2135000.0)</f>
        <v>2135000</v>
      </c>
      <c r="X45" s="55">
        <f>IFERROR(__xludf.DUMMYFUNCTION("IMPORTRANGE(""1UwZVGRca4V7QbfCEKzKsInQfTfLYV5gkrTzD89b_gVg"",""2025-26!m3"")"),88.0)</f>
        <v>88</v>
      </c>
      <c r="Y45" s="55">
        <f>IFERROR(__xludf.DUMMYFUNCTION("IMPORTRANGE(""1UwZVGRca4V7QbfCEKzKsInQfTfLYV5gkrTzD89b_gVg"",""2025-26!N4"")"),1109162.5)</f>
        <v>1109162.5</v>
      </c>
      <c r="Z45" s="55">
        <f>IFERROR(__xludf.DUMMYFUNCTION("IMPORTRANGE(""1UwZVGRca4V7QbfCEKzKsInQfTfLYV5gkrTzD89b_gVg"",""2025-26!N3"")"),43.0)</f>
        <v>43</v>
      </c>
      <c r="AA45" s="58">
        <f t="shared" si="19"/>
        <v>0.6015925667</v>
      </c>
      <c r="AB45" s="55">
        <f>IFERROR(__xludf.DUMMYFUNCTION("IMPORTRANGE(""1UwZVGRca4V7QbfCEKzKsInQfTfLYV5gkrTzD89b_gVg"",""2025-26!O4"")"),1284400.1300000001)</f>
        <v>1284400.13</v>
      </c>
      <c r="AC45" s="55">
        <f>IFERROR(__xludf.DUMMYFUNCTION("IMPORTRANGE(""1UwZVGRca4V7QbfCEKzKsInQfTfLYV5gkrTzD89b_gVg"",""2025-26!O3"")"),45.0)</f>
        <v>45</v>
      </c>
      <c r="AD45" s="55">
        <f>IFERROR(__xludf.DUMMYFUNCTION("IMPORTRANGE(""1UwZVGRca4V7QbfCEKzKsInQfTfLYV5gkrTzD89b_gVg"",""2025-26!P4"")"),2100000.0)</f>
        <v>2100000</v>
      </c>
      <c r="AE45" s="55">
        <f>IFERROR(__xludf.DUMMYFUNCTION("IMPORTRANGE(""1UwZVGRca4V7QbfCEKzKsInQfTfLYV5gkrTzD89b_gVg"",""2025-26!P3"")"),91.0)</f>
        <v>91</v>
      </c>
      <c r="AF45" s="55">
        <f>IFERROR(__xludf.DUMMYFUNCTION("IMPORTRANGE(""1UwZVGRca4V7QbfCEKzKsInQfTfLYV5gkrTzD89b_gVg"",""2025-26!Q4"")"),1042316.1000000001)</f>
        <v>1042316.1</v>
      </c>
      <c r="AG45" s="55">
        <f>IFERROR(__xludf.DUMMYFUNCTION("IMPORTRANGE(""1UwZVGRca4V7QbfCEKzKsInQfTfLYV5gkrTzD89b_gVg"",""2025-26!Q3"")"),48.0)</f>
        <v>48</v>
      </c>
      <c r="AH45" s="58">
        <f t="shared" si="20"/>
        <v>0.5874752</v>
      </c>
      <c r="AI45" s="55">
        <f>IFERROR(__xludf.DUMMYFUNCTION("IMPORTRANGE(""1UwZVGRca4V7QbfCEKzKsInQfTfLYV5gkrTzD89b_gVg"",""2025-26!R4"")"),1233697.92)</f>
        <v>1233697.92</v>
      </c>
      <c r="AJ45" s="55">
        <f>IFERROR(__xludf.DUMMYFUNCTION("IMPORTRANGE(""1UwZVGRca4V7QbfCEKzKsInQfTfLYV5gkrTzD89b_gVg"",""2025-26!R3"")"),50.0)</f>
        <v>50</v>
      </c>
      <c r="AK45" s="55">
        <f>IFERROR(__xludf.DUMMYFUNCTION("IMPORTRANGE(""1UwZVGRca4V7QbfCEKzKsInQfTfLYV5gkrTzD89b_gVg"",""2025-26!S4"")"),2100000.0)</f>
        <v>2100000</v>
      </c>
      <c r="AL45" s="55">
        <f>IFERROR(__xludf.DUMMYFUNCTION("IMPORTRANGE(""1UwZVGRca4V7QbfCEKzKsInQfTfLYV5gkrTzD89b_gVg"",""2025-26!S3"")"),91.0)</f>
        <v>91</v>
      </c>
      <c r="AM45" s="55">
        <f>IFERROR(__xludf.DUMMYFUNCTION("IMPORTRANGE(""1UwZVGRca4V7QbfCEKzKsInQfTfLYV5gkrTzD89b_gVg"",""2025-26!T4"")"),908687.5099999999)</f>
        <v>908687.51</v>
      </c>
      <c r="AN45" s="55">
        <f>IFERROR(__xludf.DUMMYFUNCTION("IMPORTRANGE(""1UwZVGRca4V7QbfCEKzKsInQfTfLYV5gkrTzD89b_gVg"",""2025-26!T3"")"),35.0)</f>
        <v>35</v>
      </c>
      <c r="AO45" s="58">
        <f t="shared" si="21"/>
        <v>0.4820784524</v>
      </c>
      <c r="AP45" s="55">
        <f>IFERROR(__xludf.DUMMYFUNCTION("IMPORTRANGE(""1UwZVGRca4V7QbfCEKzKsInQfTfLYV5gkrTzD89b_gVg"",""2025-26!U4"")"),1012364.7500000001)</f>
        <v>1012364.75</v>
      </c>
      <c r="AQ45" s="55">
        <f>IFERROR(__xludf.DUMMYFUNCTION("IMPORTRANGE(""1UwZVGRca4V7QbfCEKzKsInQfTfLYV5gkrTzD89b_gVg"",""2025-26!U3"")"),38.0)</f>
        <v>38</v>
      </c>
      <c r="AR45" s="55">
        <f>IFERROR(__xludf.DUMMYFUNCTION("IMPORTRANGE(""1UwZVGRca4V7QbfCEKzKsInQfTfLYV5gkrTzD89b_gVg"",""2025-26!V4"")"),2100000.0)</f>
        <v>2100000</v>
      </c>
      <c r="AS45" s="55">
        <f>IFERROR(__xludf.DUMMYFUNCTION("IMPORTRANGE(""1UwZVGRca4V7QbfCEKzKsInQfTfLYV5gkrTzD89b_gVg"",""2025-26!V3"")"),100.0)</f>
        <v>100</v>
      </c>
      <c r="AT45" s="55">
        <f>IFERROR(__xludf.DUMMYFUNCTION("IMPORTRANGE(""1UwZVGRca4V7QbfCEKzKsInQfTfLYV5gkrTzD89b_gVg"",""2025-26!W4"")"),1006755.6399999998)</f>
        <v>1006755.64</v>
      </c>
      <c r="AU45" s="55">
        <f>IFERROR(__xludf.DUMMYFUNCTION("IMPORTRANGE(""1UwZVGRca4V7QbfCEKzKsInQfTfLYV5gkrTzD89b_gVg"",""2025-26!W3"")"),42.0)</f>
        <v>42</v>
      </c>
      <c r="AV45" s="58">
        <f t="shared" si="22"/>
        <v>0.5503347857</v>
      </c>
      <c r="AW45" s="55">
        <f>IFERROR(__xludf.DUMMYFUNCTION("IMPORTRANGE(""1UwZVGRca4V7QbfCEKzKsInQfTfLYV5gkrTzD89b_gVg"",""2025-26!X4"")"),1155703.0500000003)</f>
        <v>1155703.05</v>
      </c>
      <c r="AX45" s="55">
        <f>IFERROR(__xludf.DUMMYFUNCTION("IMPORTRANGE(""1UwZVGRca4V7QbfCEKzKsInQfTfLYV5gkrTzD89b_gVg"",""2025-26!X3"")"),43.0)</f>
        <v>43</v>
      </c>
      <c r="AY45" s="55">
        <f>IFERROR(__xludf.DUMMYFUNCTION("IMPORTRANGE(""1UwZVGRca4V7QbfCEKzKsInQfTfLYV5gkrTzD89b_gVg"",""2025-26!Y4"")"),2100000.0)</f>
        <v>2100000</v>
      </c>
      <c r="AZ45" s="55">
        <f>IFERROR(__xludf.DUMMYFUNCTION("IMPORTRANGE(""1UwZVGRca4V7QbfCEKzKsInQfTfLYV5gkrTzD89b_gVg"",""2025-26!Y3"")"),106.0)</f>
        <v>106</v>
      </c>
      <c r="BA45" s="55">
        <f>IFERROR(__xludf.DUMMYFUNCTION("IMPORTRANGE(""1UwZVGRca4V7QbfCEKzKsInQfTfLYV5gkrTzD89b_gVg"",""2025-26!Z4"")"),1372155.1400000001)</f>
        <v>1372155.14</v>
      </c>
      <c r="BB45" s="55">
        <f>IFERROR(__xludf.DUMMYFUNCTION("IMPORTRANGE(""1UwZVGRca4V7QbfCEKzKsInQfTfLYV5gkrTzD89b_gVg"",""2025-26!Z3"")"),41.0)</f>
        <v>41</v>
      </c>
      <c r="BC45" s="59">
        <f t="shared" si="23"/>
        <v>0.6375548</v>
      </c>
      <c r="BD45" s="55">
        <f>IFERROR(__xludf.DUMMYFUNCTION("IMPORTRANGE(""1UwZVGRca4V7QbfCEKzKsInQfTfLYV5gkrTzD89b_gVg"",""2025-26!AA4"")"),1338865.08)</f>
        <v>1338865.08</v>
      </c>
      <c r="BE45" s="55">
        <f>IFERROR(__xludf.DUMMYFUNCTION("IMPORTRANGE(""1UwZVGRca4V7QbfCEKzKsInQfTfLYV5gkrTzD89b_gVg"",""2025-26!AA3"")"),39.0)</f>
        <v>39</v>
      </c>
      <c r="BF45" s="55">
        <f>IFERROR(__xludf.DUMMYFUNCTION("IMPORTRANGE(""1UwZVGRca4V7QbfCEKzKsInQfTfLYV5gkrTzD89b_gVg"",""2025-26!AB4"")"),2100000.0)</f>
        <v>2100000</v>
      </c>
      <c r="BG45" s="55">
        <f>IFERROR(__xludf.DUMMYFUNCTION("IMPORTRANGE(""1UwZVGRca4V7QbfCEKzKsInQfTfLYV5gkrTzD89b_gVg"",""2025-26!AB3"")"),99.0)</f>
        <v>99</v>
      </c>
      <c r="BH45" s="55">
        <f>IFERROR(__xludf.DUMMYFUNCTION("IMPORTRANGE(""1UwZVGRca4V7QbfCEKzKsInQfTfLYV5gkrTzD89b_gVg"",""2025-26!AC4"")"),927905.07)</f>
        <v>927905.07</v>
      </c>
      <c r="BI45" s="55">
        <f>IFERROR(__xludf.DUMMYFUNCTION("IMPORTRANGE(""1UwZVGRca4V7QbfCEKzKsInQfTfLYV5gkrTzD89b_gVg"",""2025-26!AC3"")"),40.0)</f>
        <v>40</v>
      </c>
      <c r="BJ45" s="59">
        <f t="shared" si="24"/>
        <v>0.5086415048</v>
      </c>
      <c r="BK45" s="55">
        <f>IFERROR(__xludf.DUMMYFUNCTION("IMPORTRANGE(""1UwZVGRca4V7QbfCEKzKsInQfTfLYV5gkrTzD89b_gVg"",""2025-26!AD4"")"),1068147.1600000004)</f>
        <v>1068147.16</v>
      </c>
      <c r="BL45" s="55">
        <f>IFERROR(__xludf.DUMMYFUNCTION("IMPORTRANGE(""1UwZVGRca4V7QbfCEKzKsInQfTfLYV5gkrTzD89b_gVg"",""2025-26!AD3"")"),43.0)</f>
        <v>43</v>
      </c>
      <c r="BM45" s="55">
        <f>IFERROR(__xludf.DUMMYFUNCTION("IMPORTRANGE(""1UwZVGRca4V7QbfCEKzKsInQfTfLYV5gkrTzD89b_gVg"",""2025-26!AE4"")"),2100000.0)</f>
        <v>2100000</v>
      </c>
      <c r="BN45" s="55">
        <f>IFERROR(__xludf.DUMMYFUNCTION("IMPORTRANGE(""1UwZVGRca4V7QbfCEKzKsInQfTfLYV5gkrTzD89b_gVg"",""2025-26!AE3"")"),99.0)</f>
        <v>99</v>
      </c>
      <c r="BO45" s="55">
        <f>IFERROR(__xludf.DUMMYFUNCTION("IMPORTRANGE(""1UwZVGRca4V7QbfCEKzKsInQfTfLYV5gkrTzD89b_gVg"",""2025-26!AF4"")"),1124294.4800000002)</f>
        <v>1124294.48</v>
      </c>
      <c r="BP45" s="55">
        <f>IFERROR(__xludf.DUMMYFUNCTION("IMPORTRANGE(""1UwZVGRca4V7QbfCEKzKsInQfTfLYV5gkrTzD89b_gVg"",""2025-26!AF3"")"),43.0)</f>
        <v>43</v>
      </c>
      <c r="BQ45" s="59">
        <f t="shared" si="25"/>
        <v>0.6464639667</v>
      </c>
      <c r="BR45" s="55">
        <f>IFERROR(__xludf.DUMMYFUNCTION("IMPORTRANGE(""1UwZVGRca4V7QbfCEKzKsInQfTfLYV5gkrTzD89b_gVg"",""2025-26!AG4"")"),1357574.3300000003)</f>
        <v>1357574.33</v>
      </c>
      <c r="BS45" s="55">
        <f>IFERROR(__xludf.DUMMYFUNCTION("IMPORTRANGE(""1UwZVGRca4V7QbfCEKzKsInQfTfLYV5gkrTzD89b_gVg"",""2025-26!AG3"")"),48.0)</f>
        <v>48</v>
      </c>
      <c r="BT45" s="55">
        <f>IFERROR(__xludf.DUMMYFUNCTION("IMPORTRANGE(""1UwZVGRca4V7QbfCEKzKsInQfTfLYV5gkrTzD89b_gVg"",""2025-26!AH4"")"),2100000.0)</f>
        <v>2100000</v>
      </c>
      <c r="BU45" s="55">
        <f>IFERROR(__xludf.DUMMYFUNCTION("IMPORTRANGE(""1UwZVGRca4V7QbfCEKzKsInQfTfLYV5gkrTzD89b_gVg"",""2025-26!AH3"")"),99.0)</f>
        <v>99</v>
      </c>
      <c r="BV45" s="55">
        <f>IFERROR(__xludf.DUMMYFUNCTION("IMPORTRANGE(""1UwZVGRca4V7QbfCEKzKsInQfTfLYV5gkrTzD89b_gVg"",""2025-26!AI4"")"),1134135.5000000005)</f>
        <v>1134135.5</v>
      </c>
      <c r="BW45" s="55">
        <f>IFERROR(__xludf.DUMMYFUNCTION("IMPORTRANGE(""1UwZVGRca4V7QbfCEKzKsInQfTfLYV5gkrTzD89b_gVg"",""2025-26!AI3"")"),48.0)</f>
        <v>48</v>
      </c>
      <c r="BX45" s="59">
        <f t="shared" si="26"/>
        <v>0.5251052571</v>
      </c>
      <c r="BY45" s="55">
        <f>IFERROR(__xludf.DUMMYFUNCTION("IMPORTRANGE(""1UwZVGRca4V7QbfCEKzKsInQfTfLYV5gkrTzD89b_gVg"",""2025-26!AJ4"")"),1102721.04)</f>
        <v>1102721.04</v>
      </c>
      <c r="BZ45" s="55">
        <f>IFERROR(__xludf.DUMMYFUNCTION("IMPORTRANGE(""1UwZVGRca4V7QbfCEKzKsInQfTfLYV5gkrTzD89b_gVg"",""2025-26!AJ3"")"),43.0)</f>
        <v>43</v>
      </c>
      <c r="CA45" s="55">
        <f>IFERROR(__xludf.DUMMYFUNCTION("IMPORTRANGE(""1UwZVGRca4V7QbfCEKzKsInQfTfLYV5gkrTzD89b_gVg"",""2025-26!AK4"")"),2010000.0)</f>
        <v>2010000</v>
      </c>
      <c r="CB45" s="55">
        <f>IFERROR(__xludf.DUMMYFUNCTION("IMPORTRANGE(""1UwZVGRca4V7QbfCEKzKsInQfTfLYV5gkrTzD89b_gVg"",""2025-26!AK3"")"),97.0)</f>
        <v>97</v>
      </c>
      <c r="CC45" s="55">
        <f>IFERROR(__xludf.DUMMYFUNCTION("IMPORTRANGE(""1UwZVGRca4V7QbfCEKzKsInQfTfLYV5gkrTzD89b_gVg"",""2025-26!AL4"")"),775508.18)</f>
        <v>775508.18</v>
      </c>
      <c r="CD45" s="55">
        <f>IFERROR(__xludf.DUMMYFUNCTION("IMPORTRANGE(""1UwZVGRca4V7QbfCEKzKsInQfTfLYV5gkrTzD89b_gVg"",""2025-26!AL3"")"),35.0)</f>
        <v>35</v>
      </c>
      <c r="CE45" s="59">
        <f t="shared" si="27"/>
        <v>0.4574961194</v>
      </c>
      <c r="CF45" s="55">
        <f>IFERROR(__xludf.DUMMYFUNCTION("IMPORTRANGE(""1UwZVGRca4V7QbfCEKzKsInQfTfLYV5gkrTzD89b_gVg"",""2025-26!AM4"")"),919567.2)</f>
        <v>919567.2</v>
      </c>
      <c r="CG45" s="55">
        <f>IFERROR(__xludf.DUMMYFUNCTION("IMPORTRANGE(""1UwZVGRca4V7QbfCEKzKsInQfTfLYV5gkrTzD89b_gVg"",""2025-26!AM3"")"),40.0)</f>
        <v>40</v>
      </c>
      <c r="CH45" s="55">
        <f>IFERROR(__xludf.DUMMYFUNCTION("IMPORTRANGE(""1UwZVGRca4V7QbfCEKzKsInQfTfLYV5gkrTzD89b_gVg"",""2025-26!AN4"")"),2000000.0)</f>
        <v>2000000</v>
      </c>
      <c r="CI45" s="55">
        <f>IFERROR(__xludf.DUMMYFUNCTION("IMPORTRANGE(""1UwZVGRca4V7QbfCEKzKsInQfTfLYV5gkrTzD89b_gVg"",""2025-26!AN3"")"),97.0)</f>
        <v>97</v>
      </c>
      <c r="CJ45" s="55">
        <f>IFERROR(__xludf.DUMMYFUNCTION("IMPORTRANGE(""1UwZVGRca4V7QbfCEKzKsInQfTfLYV5gkrTzD89b_gVg"",""2025-26!AO4"")"),1023626.8799999999)</f>
        <v>1023626.88</v>
      </c>
      <c r="CK45" s="55">
        <f>IFERROR(__xludf.DUMMYFUNCTION("IMPORTRANGE(""1UwZVGRca4V7QbfCEKzKsInQfTfLYV5gkrTzD89b_gVg"",""2025-26!AO3"")"),36.0)</f>
        <v>36</v>
      </c>
      <c r="CL45" s="59">
        <f t="shared" si="28"/>
        <v>0.69569924</v>
      </c>
      <c r="CM45" s="55">
        <f>IFERROR(__xludf.DUMMYFUNCTION("IMPORTRANGE(""1UwZVGRca4V7QbfCEKzKsInQfTfLYV5gkrTzD89b_gVg"",""2025-26!AP4"")"),1391398.48)</f>
        <v>1391398.48</v>
      </c>
      <c r="CN45" s="55">
        <f>IFERROR(__xludf.DUMMYFUNCTION("IMPORTRANGE(""1UwZVGRca4V7QbfCEKzKsInQfTfLYV5gkrTzD89b_gVg"",""2025-26!AP3"")"),43.0)</f>
        <v>43</v>
      </c>
      <c r="CO45" s="55">
        <f>IFERROR(__xludf.DUMMYFUNCTION("IMPORTRANGE(""1UwZVGRca4V7QbfCEKzKsInQfTfLYV5gkrTzD89b_gVg"",""2025-26!AQ4"")"),2000000.0)</f>
        <v>2000000</v>
      </c>
      <c r="CP45" s="55">
        <f>IFERROR(__xludf.DUMMYFUNCTION("IMPORTRANGE(""1UwZVGRca4V7QbfCEKzKsInQfTfLYV5gkrTzD89b_gVg"",""2025-26!AQ3"")"),97.0)</f>
        <v>97</v>
      </c>
      <c r="CQ45" s="55">
        <f>IFERROR(__xludf.DUMMYFUNCTION("IMPORTRANGE(""1UwZVGRca4V7QbfCEKzKsInQfTfLYV5gkrTzD89b_gVg"",""2025-26!AR4"")"),1981743.88)</f>
        <v>1981743.88</v>
      </c>
      <c r="CR45" s="55">
        <f>IFERROR(__xludf.DUMMYFUNCTION("IMPORTRANGE(""1UwZVGRca4V7QbfCEKzKsInQfTfLYV5gkrTzD89b_gVg"",""2025-26!AR3"")"),45.0)</f>
        <v>45</v>
      </c>
      <c r="CS45" s="59">
        <f t="shared" si="29"/>
        <v>1.106774045</v>
      </c>
      <c r="CT45" s="55">
        <f>IFERROR(__xludf.DUMMYFUNCTION("IMPORTRANGE(""1UwZVGRca4V7QbfCEKzKsInQfTfLYV5gkrTzD89b_gVg"",""2025-26!AS4"")"),2213548.09)</f>
        <v>2213548.09</v>
      </c>
      <c r="CU45" s="55">
        <f>IFERROR(__xludf.DUMMYFUNCTION("IMPORTRANGE(""1UwZVGRca4V7QbfCEKzKsInQfTfLYV5gkrTzD89b_gVg"",""2025-26!AS3"")"),46.0)</f>
        <v>46</v>
      </c>
      <c r="CV45" s="60" t="s">
        <v>117</v>
      </c>
    </row>
    <row r="46">
      <c r="A46" s="1" t="s">
        <v>111</v>
      </c>
      <c r="B46" s="37"/>
      <c r="C46" s="48" t="s">
        <v>118</v>
      </c>
      <c r="D46" s="49" t="s">
        <v>119</v>
      </c>
      <c r="E46" s="50">
        <v>9.391684072E9</v>
      </c>
      <c r="F46" s="51">
        <v>44743.0</v>
      </c>
      <c r="G46" s="62"/>
      <c r="H46" s="62"/>
      <c r="I46" s="53">
        <f>VLOOKUP($C46,Data!$C:$BV,72,0)</f>
        <v>24445</v>
      </c>
      <c r="J46" s="54">
        <v>1200000.0</v>
      </c>
      <c r="K46" s="55">
        <f>IFERROR(__xludf.DUMMYFUNCTION("IMPORTRANGE(""1mt75vIKJmjJpjC3XhdItkTMn04Duusc2QWxpLJYvWbs"",""2025-26!A3"")"),76.0)</f>
        <v>76</v>
      </c>
      <c r="L46" s="55">
        <f>IFERROR(__xludf.DUMMYFUNCTION("IMPORTRANGE(""1mt75vIKJmjJpjC3XhdItkTMn04Duusc2QWxpLJYvWbs"",""2025-26!G4"")"),1.44E7)</f>
        <v>14400000</v>
      </c>
      <c r="M46" s="55">
        <f t="shared" si="41"/>
        <v>3864459.85</v>
      </c>
      <c r="N46" s="56">
        <f t="shared" si="42"/>
        <v>0.2709751389</v>
      </c>
      <c r="O46" s="57">
        <f t="shared" si="43"/>
        <v>3902042</v>
      </c>
      <c r="P46" s="55">
        <f>IFERROR(__xludf.DUMMYFUNCTION("IMPORTRANGE(""1mt75vIKJmjJpjC3XhdItkTMn04Duusc2QWxpLJYvWbs"",""2025-26!J4"")"),1200000.0)</f>
        <v>1200000</v>
      </c>
      <c r="Q46" s="55">
        <f>IFERROR(__xludf.DUMMYFUNCTION("IMPORTRANGE(""1mt75vIKJmjJpjC3XhdItkTMn04Duusc2QWxpLJYvWbs"",""2025-26!J3"")"),73.0)</f>
        <v>73</v>
      </c>
      <c r="R46" s="55">
        <f>IFERROR(__xludf.DUMMYFUNCTION("IMPORTRANGE(""1mt75vIKJmjJpjC3XhdItkTMn04Duusc2QWxpLJYvWbs"",""2025-26!K4"")"),361212.99999999994)</f>
        <v>361213</v>
      </c>
      <c r="S46" s="55">
        <f>IFERROR(__xludf.DUMMYFUNCTION("IMPORTRANGE(""1mt75vIKJmjJpjC3XhdItkTMn04Duusc2QWxpLJYvWbs"",""2025-26!K3"")"),21.0)</f>
        <v>21</v>
      </c>
      <c r="T46" s="58">
        <f t="shared" si="18"/>
        <v>0.28595</v>
      </c>
      <c r="U46" s="55">
        <f>IFERROR(__xludf.DUMMYFUNCTION("IMPORTRANGE(""1mt75vIKJmjJpjC3XhdItkTMn04Duusc2QWxpLJYvWbs"",""2025-26!L4"")"),343140.0)</f>
        <v>343140</v>
      </c>
      <c r="V46" s="55">
        <f>IFERROR(__xludf.DUMMYFUNCTION("IMPORTRANGE(""1mt75vIKJmjJpjC3XhdItkTMn04Duusc2QWxpLJYvWbs"",""2025-26!L3"")"),20.0)</f>
        <v>20</v>
      </c>
      <c r="W46" s="55">
        <f>IFERROR(__xludf.DUMMYFUNCTION("IMPORTRANGE(""1mt75vIKJmjJpjC3XhdItkTMn04Duusc2QWxpLJYvWbs"",""2025-26!m4"")"),1200000.0)</f>
        <v>1200000</v>
      </c>
      <c r="X46" s="55">
        <f>IFERROR(__xludf.DUMMYFUNCTION("IMPORTRANGE(""1mt75vIKJmjJpjC3XhdItkTMn04Duusc2QWxpLJYvWbs"",""2025-26!m3"")"),73.0)</f>
        <v>73</v>
      </c>
      <c r="Y46" s="55">
        <f>IFERROR(__xludf.DUMMYFUNCTION("IMPORTRANGE(""1mt75vIKJmjJpjC3XhdItkTMn04Duusc2QWxpLJYvWbs"",""2025-26!N4"")"),441133.6)</f>
        <v>441133.6</v>
      </c>
      <c r="Z46" s="55">
        <f>IFERROR(__xludf.DUMMYFUNCTION("IMPORTRANGE(""1mt75vIKJmjJpjC3XhdItkTMn04Duusc2QWxpLJYvWbs"",""2025-26!N3"")"),19.0)</f>
        <v>19</v>
      </c>
      <c r="AA46" s="58">
        <f t="shared" si="19"/>
        <v>0.3649533333</v>
      </c>
      <c r="AB46" s="55">
        <f>IFERROR(__xludf.DUMMYFUNCTION("IMPORTRANGE(""1mt75vIKJmjJpjC3XhdItkTMn04Duusc2QWxpLJYvWbs"",""2025-26!O4"")"),437944.0)</f>
        <v>437944</v>
      </c>
      <c r="AC46" s="55">
        <f>IFERROR(__xludf.DUMMYFUNCTION("IMPORTRANGE(""1mt75vIKJmjJpjC3XhdItkTMn04Duusc2QWxpLJYvWbs"",""2025-26!O3"")"),19.0)</f>
        <v>19</v>
      </c>
      <c r="AD46" s="55">
        <f>IFERROR(__xludf.DUMMYFUNCTION("IMPORTRANGE(""1mt75vIKJmjJpjC3XhdItkTMn04Duusc2QWxpLJYvWbs"",""2025-26!P4"")"),1200000.0)</f>
        <v>1200000</v>
      </c>
      <c r="AE46" s="55">
        <f>IFERROR(__xludf.DUMMYFUNCTION("IMPORTRANGE(""1mt75vIKJmjJpjC3XhdItkTMn04Duusc2QWxpLJYvWbs"",""2025-26!P3"")"),73.0)</f>
        <v>73</v>
      </c>
      <c r="AF46" s="55">
        <f>IFERROR(__xludf.DUMMYFUNCTION("IMPORTRANGE(""1mt75vIKJmjJpjC3XhdItkTMn04Duusc2QWxpLJYvWbs"",""2025-26!Q4"")"),319169.39999999997)</f>
        <v>319169.4</v>
      </c>
      <c r="AG46" s="55">
        <f>IFERROR(__xludf.DUMMYFUNCTION("IMPORTRANGE(""1mt75vIKJmjJpjC3XhdItkTMn04Duusc2QWxpLJYvWbs"",""2025-26!Q3"")"),14.0)</f>
        <v>14</v>
      </c>
      <c r="AH46" s="58">
        <f t="shared" si="20"/>
        <v>0.3013558333</v>
      </c>
      <c r="AI46" s="55">
        <f>IFERROR(__xludf.DUMMYFUNCTION("IMPORTRANGE(""1mt75vIKJmjJpjC3XhdItkTMn04Duusc2QWxpLJYvWbs"",""2025-26!R4"")"),361627.0)</f>
        <v>361627</v>
      </c>
      <c r="AJ46" s="55">
        <f>IFERROR(__xludf.DUMMYFUNCTION("IMPORTRANGE(""1mt75vIKJmjJpjC3XhdItkTMn04Duusc2QWxpLJYvWbs"",""2025-26!R3"")"),15.0)</f>
        <v>15</v>
      </c>
      <c r="AK46" s="55">
        <f>IFERROR(__xludf.DUMMYFUNCTION("IMPORTRANGE(""1mt75vIKJmjJpjC3XhdItkTMn04Duusc2QWxpLJYvWbs"",""2025-26!S4"")"),1200000.0)</f>
        <v>1200000</v>
      </c>
      <c r="AL46" s="55">
        <f>IFERROR(__xludf.DUMMYFUNCTION("IMPORTRANGE(""1mt75vIKJmjJpjC3XhdItkTMn04Duusc2QWxpLJYvWbs"",""2025-26!S3"")"),73.0)</f>
        <v>73</v>
      </c>
      <c r="AM46" s="55">
        <f>IFERROR(__xludf.DUMMYFUNCTION("IMPORTRANGE(""1mt75vIKJmjJpjC3XhdItkTMn04Duusc2QWxpLJYvWbs"",""2025-26!T4"")"),498491.33)</f>
        <v>498491.33</v>
      </c>
      <c r="AN46" s="55">
        <f>IFERROR(__xludf.DUMMYFUNCTION("IMPORTRANGE(""1mt75vIKJmjJpjC3XhdItkTMn04Duusc2QWxpLJYvWbs"",""2025-26!T3"")"),16.0)</f>
        <v>16</v>
      </c>
      <c r="AO46" s="58">
        <f t="shared" si="21"/>
        <v>0.3957158333</v>
      </c>
      <c r="AP46" s="55">
        <f>IFERROR(__xludf.DUMMYFUNCTION("IMPORTRANGE(""1mt75vIKJmjJpjC3XhdItkTMn04Duusc2QWxpLJYvWbs"",""2025-26!U4"")"),474859.0)</f>
        <v>474859</v>
      </c>
      <c r="AQ46" s="55">
        <f>IFERROR(__xludf.DUMMYFUNCTION("IMPORTRANGE(""1mt75vIKJmjJpjC3XhdItkTMn04Duusc2QWxpLJYvWbs"",""2025-26!U3"")"),16.0)</f>
        <v>16</v>
      </c>
      <c r="AR46" s="55">
        <f>IFERROR(__xludf.DUMMYFUNCTION("IMPORTRANGE(""1mt75vIKJmjJpjC3XhdItkTMn04Duusc2QWxpLJYvWbs"",""2025-26!V4"")"),1200000.0)</f>
        <v>1200000</v>
      </c>
      <c r="AS46" s="55">
        <f>IFERROR(__xludf.DUMMYFUNCTION("IMPORTRANGE(""1mt75vIKJmjJpjC3XhdItkTMn04Duusc2QWxpLJYvWbs"",""2025-26!V3"")"),73.0)</f>
        <v>73</v>
      </c>
      <c r="AT46" s="55">
        <f>IFERROR(__xludf.DUMMYFUNCTION("IMPORTRANGE(""1mt75vIKJmjJpjC3XhdItkTMn04Duusc2QWxpLJYvWbs"",""2025-26!W4"")"),260637.47000000003)</f>
        <v>260637.47</v>
      </c>
      <c r="AU46" s="55">
        <f>IFERROR(__xludf.DUMMYFUNCTION("IMPORTRANGE(""1mt75vIKJmjJpjC3XhdItkTMn04Duusc2QWxpLJYvWbs"",""2025-26!W3"")"),15.0)</f>
        <v>15</v>
      </c>
      <c r="AV46" s="58">
        <f t="shared" si="22"/>
        <v>0.2191358333</v>
      </c>
      <c r="AW46" s="55">
        <f>IFERROR(__xludf.DUMMYFUNCTION("IMPORTRANGE(""1mt75vIKJmjJpjC3XhdItkTMn04Duusc2QWxpLJYvWbs"",""2025-26!X4"")"),262963.0)</f>
        <v>262963</v>
      </c>
      <c r="AX46" s="55">
        <f>IFERROR(__xludf.DUMMYFUNCTION("IMPORTRANGE(""1mt75vIKJmjJpjC3XhdItkTMn04Duusc2QWxpLJYvWbs"",""2025-26!X3"")"),15.0)</f>
        <v>15</v>
      </c>
      <c r="AY46" s="55">
        <f>IFERROR(__xludf.DUMMYFUNCTION("IMPORTRANGE(""1mt75vIKJmjJpjC3XhdItkTMn04Duusc2QWxpLJYvWbs"",""2025-26!Y4"")"),1200000.0)</f>
        <v>1200000</v>
      </c>
      <c r="AZ46" s="55">
        <f>IFERROR(__xludf.DUMMYFUNCTION("IMPORTRANGE(""1mt75vIKJmjJpjC3XhdItkTMn04Duusc2QWxpLJYvWbs"",""2025-26!Y3"")"),73.0)</f>
        <v>73</v>
      </c>
      <c r="BA46" s="55">
        <f>IFERROR(__xludf.DUMMYFUNCTION("IMPORTRANGE(""1mt75vIKJmjJpjC3XhdItkTMn04Duusc2QWxpLJYvWbs"",""2025-26!Z4"")"),380442.54000000004)</f>
        <v>380442.54</v>
      </c>
      <c r="BB46" s="55">
        <f>IFERROR(__xludf.DUMMYFUNCTION("IMPORTRANGE(""1mt75vIKJmjJpjC3XhdItkTMn04Duusc2QWxpLJYvWbs"",""2025-26!Z3"")"),14.0)</f>
        <v>14</v>
      </c>
      <c r="BC46" s="59">
        <f t="shared" si="23"/>
        <v>0.31555</v>
      </c>
      <c r="BD46" s="55">
        <f>IFERROR(__xludf.DUMMYFUNCTION("IMPORTRANGE(""1mt75vIKJmjJpjC3XhdItkTMn04Duusc2QWxpLJYvWbs"",""2025-26!AA4"")"),378660.0)</f>
        <v>378660</v>
      </c>
      <c r="BE46" s="55">
        <f>IFERROR(__xludf.DUMMYFUNCTION("IMPORTRANGE(""1mt75vIKJmjJpjC3XhdItkTMn04Duusc2QWxpLJYvWbs"",""2025-26!AA3"")"),14.0)</f>
        <v>14</v>
      </c>
      <c r="BF46" s="55">
        <f>IFERROR(__xludf.DUMMYFUNCTION("IMPORTRANGE(""1mt75vIKJmjJpjC3XhdItkTMn04Duusc2QWxpLJYvWbs"",""2025-26!AB4"")"),1504000.0)</f>
        <v>1504000</v>
      </c>
      <c r="BG46" s="55">
        <f>IFERROR(__xludf.DUMMYFUNCTION("IMPORTRANGE(""1mt75vIKJmjJpjC3XhdItkTMn04Duusc2QWxpLJYvWbs"",""2025-26!AB3"")"),76.0)</f>
        <v>76</v>
      </c>
      <c r="BH46" s="55">
        <f>IFERROR(__xludf.DUMMYFUNCTION("IMPORTRANGE(""1mt75vIKJmjJpjC3XhdItkTMn04Duusc2QWxpLJYvWbs"",""2025-26!AC4"")"),279069.89999999997)</f>
        <v>279069.9</v>
      </c>
      <c r="BI46" s="55">
        <f>IFERROR(__xludf.DUMMYFUNCTION("IMPORTRANGE(""1mt75vIKJmjJpjC3XhdItkTMn04Duusc2QWxpLJYvWbs"",""2025-26!AC3"")"),15.0)</f>
        <v>15</v>
      </c>
      <c r="BJ46" s="59">
        <f t="shared" si="24"/>
        <v>0.1520631649</v>
      </c>
      <c r="BK46" s="55">
        <f>IFERROR(__xludf.DUMMYFUNCTION("IMPORTRANGE(""1mt75vIKJmjJpjC3XhdItkTMn04Duusc2QWxpLJYvWbs"",""2025-26!AD4"")"),228703.0)</f>
        <v>228703</v>
      </c>
      <c r="BL46" s="55">
        <f>IFERROR(__xludf.DUMMYFUNCTION("IMPORTRANGE(""1mt75vIKJmjJpjC3XhdItkTMn04Duusc2QWxpLJYvWbs"",""2025-26!AD3"")"),14.0)</f>
        <v>14</v>
      </c>
      <c r="BM46" s="55">
        <f>IFERROR(__xludf.DUMMYFUNCTION("IMPORTRANGE(""1mt75vIKJmjJpjC3XhdItkTMn04Duusc2QWxpLJYvWbs"",""2025-26!AE4"")"),1499000.0)</f>
        <v>1499000</v>
      </c>
      <c r="BN46" s="55">
        <f>IFERROR(__xludf.DUMMYFUNCTION("IMPORTRANGE(""1mt75vIKJmjJpjC3XhdItkTMn04Duusc2QWxpLJYvWbs"",""2025-26!AE3"")"),76.0)</f>
        <v>76</v>
      </c>
      <c r="BO46" s="55">
        <f>IFERROR(__xludf.DUMMYFUNCTION("IMPORTRANGE(""1mt75vIKJmjJpjC3XhdItkTMn04Duusc2QWxpLJYvWbs"",""2025-26!AF4"")"),276447.5)</f>
        <v>276447.5</v>
      </c>
      <c r="BP46" s="55">
        <f>IFERROR(__xludf.DUMMYFUNCTION("IMPORTRANGE(""1mt75vIKJmjJpjC3XhdItkTMn04Duusc2QWxpLJYvWbs"",""2025-26!AF3"")"),12.0)</f>
        <v>12</v>
      </c>
      <c r="BQ46" s="59">
        <f t="shared" si="25"/>
        <v>0.1671501001</v>
      </c>
      <c r="BR46" s="55">
        <f>IFERROR(__xludf.DUMMYFUNCTION("IMPORTRANGE(""1mt75vIKJmjJpjC3XhdItkTMn04Duusc2QWxpLJYvWbs"",""2025-26!AG4"")"),250558.0)</f>
        <v>250558</v>
      </c>
      <c r="BS46" s="55">
        <f>IFERROR(__xludf.DUMMYFUNCTION("IMPORTRANGE(""1mt75vIKJmjJpjC3XhdItkTMn04Duusc2QWxpLJYvWbs"",""2025-26!AG3"")"),12.0)</f>
        <v>12</v>
      </c>
      <c r="BT46" s="55">
        <f>IFERROR(__xludf.DUMMYFUNCTION("IMPORTRANGE(""1mt75vIKJmjJpjC3XhdItkTMn04Duusc2QWxpLJYvWbs"",""2025-26!AH4"")"),1489000.0)</f>
        <v>1489000</v>
      </c>
      <c r="BU46" s="55">
        <f>IFERROR(__xludf.DUMMYFUNCTION("IMPORTRANGE(""1mt75vIKJmjJpjC3XhdItkTMn04Duusc2QWxpLJYvWbs"",""2025-26!AH3"")"),75.0)</f>
        <v>75</v>
      </c>
      <c r="BV46" s="55">
        <f>IFERROR(__xludf.DUMMYFUNCTION("IMPORTRANGE(""1mt75vIKJmjJpjC3XhdItkTMn04Duusc2QWxpLJYvWbs"",""2025-26!AI4"")"),357823.23)</f>
        <v>357823.23</v>
      </c>
      <c r="BW46" s="55">
        <f>IFERROR(__xludf.DUMMYFUNCTION("IMPORTRANGE(""1mt75vIKJmjJpjC3XhdItkTMn04Duusc2QWxpLJYvWbs"",""2025-26!AI3"")"),11.0)</f>
        <v>11</v>
      </c>
      <c r="BX46" s="59">
        <f t="shared" si="26"/>
        <v>0.2584378778</v>
      </c>
      <c r="BY46" s="55">
        <f>IFERROR(__xludf.DUMMYFUNCTION("IMPORTRANGE(""1mt75vIKJmjJpjC3XhdItkTMn04Duusc2QWxpLJYvWbs"",""2025-26!AJ4"")"),384814.0)</f>
        <v>384814</v>
      </c>
      <c r="BZ46" s="55">
        <f>IFERROR(__xludf.DUMMYFUNCTION("IMPORTRANGE(""1mt75vIKJmjJpjC3XhdItkTMn04Duusc2QWxpLJYvWbs"",""2025-26!AJ3"")"),12.0)</f>
        <v>12</v>
      </c>
      <c r="CA46" s="55">
        <f>IFERROR(__xludf.DUMMYFUNCTION("IMPORTRANGE(""1mt75vIKJmjJpjC3XhdItkTMn04Duusc2QWxpLJYvWbs"",""2025-26!AK4"")"),1486000.0)</f>
        <v>1486000</v>
      </c>
      <c r="CB46" s="55">
        <f>IFERROR(__xludf.DUMMYFUNCTION("IMPORTRANGE(""1mt75vIKJmjJpjC3XhdItkTMn04Duusc2QWxpLJYvWbs"",""2025-26!AK3"")"),75.0)</f>
        <v>75</v>
      </c>
      <c r="CC46" s="55">
        <f>IFERROR(__xludf.DUMMYFUNCTION("IMPORTRANGE(""1mt75vIKJmjJpjC3XhdItkTMn04Duusc2QWxpLJYvWbs"",""2025-26!AL4"")"),211778.38)</f>
        <v>211778.38</v>
      </c>
      <c r="CD46" s="55">
        <f>IFERROR(__xludf.DUMMYFUNCTION("IMPORTRANGE(""1mt75vIKJmjJpjC3XhdItkTMn04Duusc2QWxpLJYvWbs"",""2025-26!AL3"")"),11.0)</f>
        <v>11</v>
      </c>
      <c r="CE46" s="59">
        <f t="shared" si="27"/>
        <v>0.1846823688</v>
      </c>
      <c r="CF46" s="55">
        <f>IFERROR(__xludf.DUMMYFUNCTION("IMPORTRANGE(""1mt75vIKJmjJpjC3XhdItkTMn04Duusc2QWxpLJYvWbs"",""2025-26!AM4"")"),274438.0)</f>
        <v>274438</v>
      </c>
      <c r="CG46" s="55">
        <f>IFERROR(__xludf.DUMMYFUNCTION("IMPORTRANGE(""1mt75vIKJmjJpjC3XhdItkTMn04Duusc2QWxpLJYvWbs"",""2025-26!AM3"")"),12.0)</f>
        <v>12</v>
      </c>
      <c r="CH46" s="55">
        <f>IFERROR(__xludf.DUMMYFUNCTION("IMPORTRANGE(""1mt75vIKJmjJpjC3XhdItkTMn04Duusc2QWxpLJYvWbs"",""2025-26!AN4"")"),1486000.0)</f>
        <v>1486000</v>
      </c>
      <c r="CI46" s="55">
        <f>IFERROR(__xludf.DUMMYFUNCTION("IMPORTRANGE(""1mt75vIKJmjJpjC3XhdItkTMn04Duusc2QWxpLJYvWbs"",""2025-26!AN3"")"),75.0)</f>
        <v>75</v>
      </c>
      <c r="CJ46" s="55">
        <f>IFERROR(__xludf.DUMMYFUNCTION("IMPORTRANGE(""1mt75vIKJmjJpjC3XhdItkTMn04Duusc2QWxpLJYvWbs"",""2025-26!AO4"")"),232198.96)</f>
        <v>232198.96</v>
      </c>
      <c r="CK46" s="55">
        <f>IFERROR(__xludf.DUMMYFUNCTION("IMPORTRANGE(""1mt75vIKJmjJpjC3XhdItkTMn04Duusc2QWxpLJYvWbs"",""2025-26!AO3"")"),11.0)</f>
        <v>11</v>
      </c>
      <c r="CL46" s="59">
        <f t="shared" si="28"/>
        <v>0.1688990579</v>
      </c>
      <c r="CM46" s="55">
        <f>IFERROR(__xludf.DUMMYFUNCTION("IMPORTRANGE(""1mt75vIKJmjJpjC3XhdItkTMn04Duusc2QWxpLJYvWbs"",""2025-26!AP4"")"),250984.0)</f>
        <v>250984</v>
      </c>
      <c r="CN46" s="55">
        <f>IFERROR(__xludf.DUMMYFUNCTION("IMPORTRANGE(""1mt75vIKJmjJpjC3XhdItkTMn04Duusc2QWxpLJYvWbs"",""2025-26!AP3"")"),12.0)</f>
        <v>12</v>
      </c>
      <c r="CO46" s="55">
        <f>IFERROR(__xludf.DUMMYFUNCTION("IMPORTRANGE(""1mt75vIKJmjJpjC3XhdItkTMn04Duusc2QWxpLJYvWbs"",""2025-26!AQ4"")"),1486000.0)</f>
        <v>1486000</v>
      </c>
      <c r="CP46" s="55">
        <f>IFERROR(__xludf.DUMMYFUNCTION("IMPORTRANGE(""1mt75vIKJmjJpjC3XhdItkTMn04Duusc2QWxpLJYvWbs"",""2025-26!AQ3"")"),75.0)</f>
        <v>75</v>
      </c>
      <c r="CQ46" s="55">
        <f>IFERROR(__xludf.DUMMYFUNCTION("IMPORTRANGE(""1mt75vIKJmjJpjC3XhdItkTMn04Duusc2QWxpLJYvWbs"",""2025-26!AR4"")"),246054.54)</f>
        <v>246054.54</v>
      </c>
      <c r="CR46" s="55">
        <f>IFERROR(__xludf.DUMMYFUNCTION("IMPORTRANGE(""1mt75vIKJmjJpjC3XhdItkTMn04Duusc2QWxpLJYvWbs"",""2025-26!AR3"")"),11.0)</f>
        <v>11</v>
      </c>
      <c r="CS46" s="59">
        <f t="shared" si="29"/>
        <v>0.1704925976</v>
      </c>
      <c r="CT46" s="55">
        <f>IFERROR(__xludf.DUMMYFUNCTION("IMPORTRANGE(""1mt75vIKJmjJpjC3XhdItkTMn04Duusc2QWxpLJYvWbs"",""2025-26!AS4"")"),253352.0)</f>
        <v>253352</v>
      </c>
      <c r="CU46" s="55">
        <f>IFERROR(__xludf.DUMMYFUNCTION("IMPORTRANGE(""1mt75vIKJmjJpjC3XhdItkTMn04Duusc2QWxpLJYvWbs"",""2025-26!AS3"")"),11.0)</f>
        <v>11</v>
      </c>
      <c r="CV46" s="60" t="s">
        <v>117</v>
      </c>
    </row>
    <row r="47">
      <c r="A47" s="1" t="s">
        <v>111</v>
      </c>
      <c r="B47" s="37"/>
      <c r="C47" s="80" t="s">
        <v>120</v>
      </c>
      <c r="D47" s="49" t="s">
        <v>121</v>
      </c>
      <c r="E47" s="50">
        <v>9.397303436E9</v>
      </c>
      <c r="F47" s="51">
        <v>44953.0</v>
      </c>
      <c r="G47" s="62"/>
      <c r="H47" s="62"/>
      <c r="I47" s="53">
        <f>VLOOKUP($C47,Data!$C:$BV,72,0)</f>
        <v>34920</v>
      </c>
      <c r="J47" s="54">
        <v>1400000.0</v>
      </c>
      <c r="K47" s="55">
        <f>IFERROR(__xludf.DUMMYFUNCTION("IMPORTRANGE(""1h3OkZUk2XSA0l8e-AWxaJmXe7Z1U0attMzXCN4SdOQ8"",""2025-26!A3"")"),143.0)</f>
        <v>143</v>
      </c>
      <c r="L47" s="55">
        <f>IFERROR(__xludf.DUMMYFUNCTION("IMPORTRANGE(""1h3OkZUk2XSA0l8e-AWxaJmXe7Z1U0attMzXCN4SdOQ8"",""2025-26!G4"")"),1.855E7)</f>
        <v>18550000</v>
      </c>
      <c r="M47" s="55">
        <f t="shared" si="41"/>
        <v>7713644.54</v>
      </c>
      <c r="N47" s="56">
        <f t="shared" si="42"/>
        <v>0.4705092722</v>
      </c>
      <c r="O47" s="57">
        <f t="shared" si="43"/>
        <v>8727947</v>
      </c>
      <c r="P47" s="55">
        <f>IFERROR(__xludf.DUMMYFUNCTION("IMPORTRANGE(""1h3OkZUk2XSA0l8e-AWxaJmXe7Z1U0attMzXCN4SdOQ8"",""2025-26!J4"")"),1512000.0)</f>
        <v>1512000</v>
      </c>
      <c r="Q47" s="55">
        <f>IFERROR(__xludf.DUMMYFUNCTION("IMPORTRANGE(""1h3OkZUk2XSA0l8e-AWxaJmXe7Z1U0attMzXCN4SdOQ8"",""2025-26!J3"")"),136.0)</f>
        <v>136</v>
      </c>
      <c r="R47" s="55">
        <f>IFERROR(__xludf.DUMMYFUNCTION("IMPORTRANGE(""1h3OkZUk2XSA0l8e-AWxaJmXe7Z1U0attMzXCN4SdOQ8"",""2025-26!K4"")"),773267.3600000001)</f>
        <v>773267.36</v>
      </c>
      <c r="S47" s="55">
        <f>IFERROR(__xludf.DUMMYFUNCTION("IMPORTRANGE(""1h3OkZUk2XSA0l8e-AWxaJmXe7Z1U0attMzXCN4SdOQ8"",""2025-26!K3"")"),52.0)</f>
        <v>52</v>
      </c>
      <c r="T47" s="58">
        <f t="shared" si="18"/>
        <v>0.5336342593</v>
      </c>
      <c r="U47" s="55">
        <f>IFERROR(__xludf.DUMMYFUNCTION("IMPORTRANGE(""1h3OkZUk2XSA0l8e-AWxaJmXe7Z1U0attMzXCN4SdOQ8"",""2025-26!L4"")"),806855.0)</f>
        <v>806855</v>
      </c>
      <c r="V47" s="55">
        <f>IFERROR(__xludf.DUMMYFUNCTION("IMPORTRANGE(""1h3OkZUk2XSA0l8e-AWxaJmXe7Z1U0attMzXCN4SdOQ8"",""2025-26!L3"")"),49.0)</f>
        <v>49</v>
      </c>
      <c r="W47" s="55">
        <f>IFERROR(__xludf.DUMMYFUNCTION("IMPORTRANGE(""1h3OkZUk2XSA0l8e-AWxaJmXe7Z1U0attMzXCN4SdOQ8"",""2025-26!m4"")"),1508300.0)</f>
        <v>1508300</v>
      </c>
      <c r="X47" s="55">
        <f>IFERROR(__xludf.DUMMYFUNCTION("IMPORTRANGE(""1h3OkZUk2XSA0l8e-AWxaJmXe7Z1U0attMzXCN4SdOQ8"",""2025-26!m3"")"),136.0)</f>
        <v>136</v>
      </c>
      <c r="Y47" s="55">
        <f>IFERROR(__xludf.DUMMYFUNCTION("IMPORTRANGE(""1h3OkZUk2XSA0l8e-AWxaJmXe7Z1U0attMzXCN4SdOQ8"",""2025-26!N4"")"),595945.77)</f>
        <v>595945.77</v>
      </c>
      <c r="Z47" s="55">
        <f>IFERROR(__xludf.DUMMYFUNCTION("IMPORTRANGE(""1h3OkZUk2XSA0l8e-AWxaJmXe7Z1U0attMzXCN4SdOQ8"",""2025-26!N3"")"),41.0)</f>
        <v>41</v>
      </c>
      <c r="AA47" s="58">
        <f t="shared" si="19"/>
        <v>0.4685765431</v>
      </c>
      <c r="AB47" s="55">
        <f>IFERROR(__xludf.DUMMYFUNCTION("IMPORTRANGE(""1h3OkZUk2XSA0l8e-AWxaJmXe7Z1U0attMzXCN4SdOQ8"",""2025-26!O4"")"),706754.0)</f>
        <v>706754</v>
      </c>
      <c r="AC47" s="55">
        <f>IFERROR(__xludf.DUMMYFUNCTION("IMPORTRANGE(""1h3OkZUk2XSA0l8e-AWxaJmXe7Z1U0attMzXCN4SdOQ8"",""2025-26!O3"")"),42.0)</f>
        <v>42</v>
      </c>
      <c r="AD47" s="55">
        <f>IFERROR(__xludf.DUMMYFUNCTION("IMPORTRANGE(""1h3OkZUk2XSA0l8e-AWxaJmXe7Z1U0attMzXCN4SdOQ8"",""2025-26!P4"")"),1517200.0)</f>
        <v>1517200</v>
      </c>
      <c r="AE47" s="55">
        <f>IFERROR(__xludf.DUMMYFUNCTION("IMPORTRANGE(""1h3OkZUk2XSA0l8e-AWxaJmXe7Z1U0attMzXCN4SdOQ8"",""2025-26!P3"")"),136.0)</f>
        <v>136</v>
      </c>
      <c r="AF47" s="55">
        <f>IFERROR(__xludf.DUMMYFUNCTION("IMPORTRANGE(""1h3OkZUk2XSA0l8e-AWxaJmXe7Z1U0attMzXCN4SdOQ8"",""2025-26!Q4"")"),560609.5499999999)</f>
        <v>560609.55</v>
      </c>
      <c r="AG47" s="55">
        <f>IFERROR(__xludf.DUMMYFUNCTION("IMPORTRANGE(""1h3OkZUk2XSA0l8e-AWxaJmXe7Z1U0attMzXCN4SdOQ8"",""2025-26!Q3"")"),36.0)</f>
        <v>36</v>
      </c>
      <c r="AH47" s="58">
        <f t="shared" si="20"/>
        <v>0.3906129713</v>
      </c>
      <c r="AI47" s="55">
        <f>IFERROR(__xludf.DUMMYFUNCTION("IMPORTRANGE(""1h3OkZUk2XSA0l8e-AWxaJmXe7Z1U0attMzXCN4SdOQ8"",""2025-26!R4"")"),592638.0)</f>
        <v>592638</v>
      </c>
      <c r="AJ47" s="55">
        <f>IFERROR(__xludf.DUMMYFUNCTION("IMPORTRANGE(""1h3OkZUk2XSA0l8e-AWxaJmXe7Z1U0attMzXCN4SdOQ8"",""2025-26!R3"")"),31.0)</f>
        <v>31</v>
      </c>
      <c r="AK47" s="55">
        <f>IFERROR(__xludf.DUMMYFUNCTION("IMPORTRANGE(""1h3OkZUk2XSA0l8e-AWxaJmXe7Z1U0attMzXCN4SdOQ8"",""2025-26!S4"")"),1551500.0)</f>
        <v>1551500</v>
      </c>
      <c r="AL47" s="55">
        <f>IFERROR(__xludf.DUMMYFUNCTION("IMPORTRANGE(""1h3OkZUk2XSA0l8e-AWxaJmXe7Z1U0attMzXCN4SdOQ8"",""2025-26!S3"")"),139.0)</f>
        <v>139</v>
      </c>
      <c r="AM47" s="55">
        <f>IFERROR(__xludf.DUMMYFUNCTION("IMPORTRANGE(""1h3OkZUk2XSA0l8e-AWxaJmXe7Z1U0attMzXCN4SdOQ8"",""2025-26!T4"")"),931301.9300000002)</f>
        <v>931301.93</v>
      </c>
      <c r="AN47" s="55">
        <f>IFERROR(__xludf.DUMMYFUNCTION("IMPORTRANGE(""1h3OkZUk2XSA0l8e-AWxaJmXe7Z1U0attMzXCN4SdOQ8"",""2025-26!T3"")"),50.0)</f>
        <v>50</v>
      </c>
      <c r="AO47" s="58">
        <f t="shared" si="21"/>
        <v>0.6733896229</v>
      </c>
      <c r="AP47" s="55">
        <f>IFERROR(__xludf.DUMMYFUNCTION("IMPORTRANGE(""1h3OkZUk2XSA0l8e-AWxaJmXe7Z1U0attMzXCN4SdOQ8"",""2025-26!U4"")"),1044764.0)</f>
        <v>1044764</v>
      </c>
      <c r="AQ47" s="55">
        <f>IFERROR(__xludf.DUMMYFUNCTION("IMPORTRANGE(""1h3OkZUk2XSA0l8e-AWxaJmXe7Z1U0attMzXCN4SdOQ8"",""2025-26!U3"")"),47.0)</f>
        <v>47</v>
      </c>
      <c r="AR47" s="55">
        <f>IFERROR(__xludf.DUMMYFUNCTION("IMPORTRANGE(""1h3OkZUk2XSA0l8e-AWxaJmXe7Z1U0attMzXCN4SdOQ8"",""2025-26!V4"")"),1510000.0)</f>
        <v>1510000</v>
      </c>
      <c r="AS47" s="55">
        <f>IFERROR(__xludf.DUMMYFUNCTION("IMPORTRANGE(""1h3OkZUk2XSA0l8e-AWxaJmXe7Z1U0attMzXCN4SdOQ8"",""2025-26!V3"")"),139.0)</f>
        <v>139</v>
      </c>
      <c r="AT47" s="55">
        <f>IFERROR(__xludf.DUMMYFUNCTION("IMPORTRANGE(""1h3OkZUk2XSA0l8e-AWxaJmXe7Z1U0attMzXCN4SdOQ8"",""2025-26!W4"")"),569643.1299999999)</f>
        <v>569643.13</v>
      </c>
      <c r="AU47" s="55">
        <f>IFERROR(__xludf.DUMMYFUNCTION("IMPORTRANGE(""1h3OkZUk2XSA0l8e-AWxaJmXe7Z1U0attMzXCN4SdOQ8"",""2025-26!W3"")"),40.0)</f>
        <v>40</v>
      </c>
      <c r="AV47" s="58">
        <f t="shared" si="22"/>
        <v>0.4749377483</v>
      </c>
      <c r="AW47" s="55">
        <f>IFERROR(__xludf.DUMMYFUNCTION("IMPORTRANGE(""1h3OkZUk2XSA0l8e-AWxaJmXe7Z1U0attMzXCN4SdOQ8"",""2025-26!X4"")"),717156.0)</f>
        <v>717156</v>
      </c>
      <c r="AX47" s="55">
        <f>IFERROR(__xludf.DUMMYFUNCTION("IMPORTRANGE(""1h3OkZUk2XSA0l8e-AWxaJmXe7Z1U0attMzXCN4SdOQ8"",""2025-26!X3"")"),43.0)</f>
        <v>43</v>
      </c>
      <c r="AY47" s="55">
        <f>IFERROR(__xludf.DUMMYFUNCTION("IMPORTRANGE(""1h3OkZUk2XSA0l8e-AWxaJmXe7Z1U0attMzXCN4SdOQ8"",""2025-26!Y4"")"),1551000.0)</f>
        <v>1551000</v>
      </c>
      <c r="AZ47" s="55">
        <f>IFERROR(__xludf.DUMMYFUNCTION("IMPORTRANGE(""1h3OkZUk2XSA0l8e-AWxaJmXe7Z1U0attMzXCN4SdOQ8"",""2025-26!Y3"")"),139.0)</f>
        <v>139</v>
      </c>
      <c r="BA47" s="55">
        <f>IFERROR(__xludf.DUMMYFUNCTION("IMPORTRANGE(""1h3OkZUk2XSA0l8e-AWxaJmXe7Z1U0attMzXCN4SdOQ8"",""2025-26!Z4"")"),812705.7200000004)</f>
        <v>812705.72</v>
      </c>
      <c r="BB47" s="55">
        <f>IFERROR(__xludf.DUMMYFUNCTION("IMPORTRANGE(""1h3OkZUk2XSA0l8e-AWxaJmXe7Z1U0attMzXCN4SdOQ8"",""2025-26!Z3"")"),46.0)</f>
        <v>46</v>
      </c>
      <c r="BC47" s="59">
        <f t="shared" si="23"/>
        <v>0.6066950355</v>
      </c>
      <c r="BD47" s="55">
        <f>IFERROR(__xludf.DUMMYFUNCTION("IMPORTRANGE(""1h3OkZUk2XSA0l8e-AWxaJmXe7Z1U0attMzXCN4SdOQ8"",""2025-26!AA4"")"),940984.0)</f>
        <v>940984</v>
      </c>
      <c r="BE47" s="55">
        <f>IFERROR(__xludf.DUMMYFUNCTION("IMPORTRANGE(""1h3OkZUk2XSA0l8e-AWxaJmXe7Z1U0attMzXCN4SdOQ8"",""2025-26!AA3"")"),44.0)</f>
        <v>44</v>
      </c>
      <c r="BF47" s="55">
        <f>IFERROR(__xludf.DUMMYFUNCTION("IMPORTRANGE(""1h3OkZUk2XSA0l8e-AWxaJmXe7Z1U0attMzXCN4SdOQ8"",""2025-26!AB4"")"),1538200.0)</f>
        <v>1538200</v>
      </c>
      <c r="BG47" s="55">
        <f>IFERROR(__xludf.DUMMYFUNCTION("IMPORTRANGE(""1h3OkZUk2XSA0l8e-AWxaJmXe7Z1U0attMzXCN4SdOQ8"",""2025-26!AB3"")"),140.0)</f>
        <v>140</v>
      </c>
      <c r="BH47" s="55">
        <f>IFERROR(__xludf.DUMMYFUNCTION("IMPORTRANGE(""1h3OkZUk2XSA0l8e-AWxaJmXe7Z1U0attMzXCN4SdOQ8"",""2025-26!AC4"")"),590170.5499999999)</f>
        <v>590170.55</v>
      </c>
      <c r="BI47" s="55">
        <f>IFERROR(__xludf.DUMMYFUNCTION("IMPORTRANGE(""1h3OkZUk2XSA0l8e-AWxaJmXe7Z1U0attMzXCN4SdOQ8"",""2025-26!AC3"")"),36.0)</f>
        <v>36</v>
      </c>
      <c r="BJ47" s="59">
        <f t="shared" si="24"/>
        <v>0.4475081264</v>
      </c>
      <c r="BK47" s="55">
        <f>IFERROR(__xludf.DUMMYFUNCTION("IMPORTRANGE(""1h3OkZUk2XSA0l8e-AWxaJmXe7Z1U0attMzXCN4SdOQ8"",""2025-26!AD4"")"),688357.0)</f>
        <v>688357</v>
      </c>
      <c r="BL47" s="55">
        <f>IFERROR(__xludf.DUMMYFUNCTION("IMPORTRANGE(""1h3OkZUk2XSA0l8e-AWxaJmXe7Z1U0attMzXCN4SdOQ8"",""2025-26!AD3"")"),36.0)</f>
        <v>36</v>
      </c>
      <c r="BM47" s="55">
        <f>IFERROR(__xludf.DUMMYFUNCTION("IMPORTRANGE(""1h3OkZUk2XSA0l8e-AWxaJmXe7Z1U0attMzXCN4SdOQ8"",""2025-26!AE4"")"),1554100.0)</f>
        <v>1554100</v>
      </c>
      <c r="BN47" s="55">
        <f>IFERROR(__xludf.DUMMYFUNCTION("IMPORTRANGE(""1h3OkZUk2XSA0l8e-AWxaJmXe7Z1U0attMzXCN4SdOQ8"",""2025-26!AE3"")"),140.0)</f>
        <v>140</v>
      </c>
      <c r="BO47" s="55">
        <f>IFERROR(__xludf.DUMMYFUNCTION("IMPORTRANGE(""1h3OkZUk2XSA0l8e-AWxaJmXe7Z1U0attMzXCN4SdOQ8"",""2025-26!AF4"")"),507321.17)</f>
        <v>507321.17</v>
      </c>
      <c r="BP47" s="55">
        <f>IFERROR(__xludf.DUMMYFUNCTION("IMPORTRANGE(""1h3OkZUk2XSA0l8e-AWxaJmXe7Z1U0attMzXCN4SdOQ8"",""2025-26!AF3"")"),40.0)</f>
        <v>40</v>
      </c>
      <c r="BQ47" s="59">
        <f t="shared" si="25"/>
        <v>0.2864744868</v>
      </c>
      <c r="BR47" s="55">
        <f>IFERROR(__xludf.DUMMYFUNCTION("IMPORTRANGE(""1h3OkZUk2XSA0l8e-AWxaJmXe7Z1U0attMzXCN4SdOQ8"",""2025-26!AG4"")"),445210.0)</f>
        <v>445210</v>
      </c>
      <c r="BS47" s="55">
        <f>IFERROR(__xludf.DUMMYFUNCTION("IMPORTRANGE(""1h3OkZUk2XSA0l8e-AWxaJmXe7Z1U0attMzXCN4SdOQ8"",""2025-26!AG3"")"),36.0)</f>
        <v>36</v>
      </c>
      <c r="BT47" s="55">
        <f>IFERROR(__xludf.DUMMYFUNCTION("IMPORTRANGE(""1h3OkZUk2XSA0l8e-AWxaJmXe7Z1U0attMzXCN4SdOQ8"",""2025-26!AH4"")"),1545200.0)</f>
        <v>1545200</v>
      </c>
      <c r="BU47" s="55">
        <f>IFERROR(__xludf.DUMMYFUNCTION("IMPORTRANGE(""1h3OkZUk2XSA0l8e-AWxaJmXe7Z1U0attMzXCN4SdOQ8"",""2025-26!AH3"")"),140.0)</f>
        <v>140</v>
      </c>
      <c r="BV47" s="55">
        <f>IFERROR(__xludf.DUMMYFUNCTION("IMPORTRANGE(""1h3OkZUk2XSA0l8e-AWxaJmXe7Z1U0attMzXCN4SdOQ8"",""2025-26!AI4"")"),685486.3800000002)</f>
        <v>685486.38</v>
      </c>
      <c r="BW47" s="55">
        <f>IFERROR(__xludf.DUMMYFUNCTION("IMPORTRANGE(""1h3OkZUk2XSA0l8e-AWxaJmXe7Z1U0attMzXCN4SdOQ8"",""2025-26!AI3"")"),49.0)</f>
        <v>49</v>
      </c>
      <c r="BX47" s="59">
        <f t="shared" si="26"/>
        <v>0.5435186384</v>
      </c>
      <c r="BY47" s="55">
        <f>IFERROR(__xludf.DUMMYFUNCTION("IMPORTRANGE(""1h3OkZUk2XSA0l8e-AWxaJmXe7Z1U0attMzXCN4SdOQ8"",""2025-26!AJ4"")"),839845.0)</f>
        <v>839845</v>
      </c>
      <c r="BZ47" s="55">
        <f>IFERROR(__xludf.DUMMYFUNCTION("IMPORTRANGE(""1h3OkZUk2XSA0l8e-AWxaJmXe7Z1U0attMzXCN4SdOQ8"",""2025-26!AJ3"")"),50.0)</f>
        <v>50</v>
      </c>
      <c r="CA47" s="55">
        <f>IFERROR(__xludf.DUMMYFUNCTION("IMPORTRANGE(""1h3OkZUk2XSA0l8e-AWxaJmXe7Z1U0attMzXCN4SdOQ8"",""2025-26!AK4"")"),1554900.0)</f>
        <v>1554900</v>
      </c>
      <c r="CB47" s="55">
        <f>IFERROR(__xludf.DUMMYFUNCTION("IMPORTRANGE(""1h3OkZUk2XSA0l8e-AWxaJmXe7Z1U0attMzXCN4SdOQ8"",""2025-26!AK3"")"),140.0)</f>
        <v>140</v>
      </c>
      <c r="CC47" s="55">
        <f>IFERROR(__xludf.DUMMYFUNCTION("IMPORTRANGE(""1h3OkZUk2XSA0l8e-AWxaJmXe7Z1U0attMzXCN4SdOQ8"",""2025-26!AL4"")"),564345.42)</f>
        <v>564345.42</v>
      </c>
      <c r="CD47" s="55">
        <f>IFERROR(__xludf.DUMMYFUNCTION("IMPORTRANGE(""1h3OkZUk2XSA0l8e-AWxaJmXe7Z1U0attMzXCN4SdOQ8"",""2025-26!AL3"")"),38.0)</f>
        <v>38</v>
      </c>
      <c r="CE47" s="59">
        <f t="shared" si="27"/>
        <v>0.4332857418</v>
      </c>
      <c r="CF47" s="55">
        <f>IFERROR(__xludf.DUMMYFUNCTION("IMPORTRANGE(""1h3OkZUk2XSA0l8e-AWxaJmXe7Z1U0attMzXCN4SdOQ8"",""2025-26!AM4"")"),673716.0)</f>
        <v>673716</v>
      </c>
      <c r="CG47" s="55">
        <f>IFERROR(__xludf.DUMMYFUNCTION("IMPORTRANGE(""1h3OkZUk2XSA0l8e-AWxaJmXe7Z1U0attMzXCN4SdOQ8"",""2025-26!AM3"")"),38.0)</f>
        <v>38</v>
      </c>
      <c r="CH47" s="55">
        <f>IFERROR(__xludf.DUMMYFUNCTION("IMPORTRANGE(""1h3OkZUk2XSA0l8e-AWxaJmXe7Z1U0attMzXCN4SdOQ8"",""2025-26!AN4"")"),1537500.0)</f>
        <v>1537500</v>
      </c>
      <c r="CI47" s="55">
        <f>IFERROR(__xludf.DUMMYFUNCTION("IMPORTRANGE(""1h3OkZUk2XSA0l8e-AWxaJmXe7Z1U0attMzXCN4SdOQ8"",""2025-26!AN3"")"),140.0)</f>
        <v>140</v>
      </c>
      <c r="CJ47" s="55">
        <f>IFERROR(__xludf.DUMMYFUNCTION("IMPORTRANGE(""1h3OkZUk2XSA0l8e-AWxaJmXe7Z1U0attMzXCN4SdOQ8"",""2025-26!AO4"")"),565117.3999999999)</f>
        <v>565117.4</v>
      </c>
      <c r="CK47" s="55">
        <f>IFERROR(__xludf.DUMMYFUNCTION("IMPORTRANGE(""1h3OkZUk2XSA0l8e-AWxaJmXe7Z1U0attMzXCN4SdOQ8"",""2025-26!AO3"")"),40.0)</f>
        <v>40</v>
      </c>
      <c r="CL47" s="59">
        <f t="shared" si="28"/>
        <v>0.4263434146</v>
      </c>
      <c r="CM47" s="55">
        <f>IFERROR(__xludf.DUMMYFUNCTION("IMPORTRANGE(""1h3OkZUk2XSA0l8e-AWxaJmXe7Z1U0attMzXCN4SdOQ8"",""2025-26!AP4"")"),655503.0)</f>
        <v>655503</v>
      </c>
      <c r="CN47" s="55">
        <f>IFERROR(__xludf.DUMMYFUNCTION("IMPORTRANGE(""1h3OkZUk2XSA0l8e-AWxaJmXe7Z1U0attMzXCN4SdOQ8"",""2025-26!AP3"")"),41.0)</f>
        <v>41</v>
      </c>
      <c r="CO47" s="55">
        <f>IFERROR(__xludf.DUMMYFUNCTION("IMPORTRANGE(""1h3OkZUk2XSA0l8e-AWxaJmXe7Z1U0attMzXCN4SdOQ8"",""2025-26!AQ4"")"),1545100.0)</f>
        <v>1545100</v>
      </c>
      <c r="CP47" s="55">
        <f>IFERROR(__xludf.DUMMYFUNCTION("IMPORTRANGE(""1h3OkZUk2XSA0l8e-AWxaJmXe7Z1U0attMzXCN4SdOQ8"",""2025-26!AQ3"")"),140.0)</f>
        <v>140</v>
      </c>
      <c r="CQ47" s="55">
        <f>IFERROR(__xludf.DUMMYFUNCTION("IMPORTRANGE(""1h3OkZUk2XSA0l8e-AWxaJmXe7Z1U0attMzXCN4SdOQ8"",""2025-26!AR4"")"),557730.1599999999)</f>
        <v>557730.16</v>
      </c>
      <c r="CR47" s="55">
        <f>IFERROR(__xludf.DUMMYFUNCTION("IMPORTRANGE(""1h3OkZUk2XSA0l8e-AWxaJmXe7Z1U0attMzXCN4SdOQ8"",""2025-26!AR3"")"),35.0)</f>
        <v>35</v>
      </c>
      <c r="CS47" s="59">
        <f t="shared" si="29"/>
        <v>0.3987864863</v>
      </c>
      <c r="CT47" s="55">
        <f>IFERROR(__xludf.DUMMYFUNCTION("IMPORTRANGE(""1h3OkZUk2XSA0l8e-AWxaJmXe7Z1U0attMzXCN4SdOQ8"",""2025-26!AS4"")"),616165.0)</f>
        <v>616165</v>
      </c>
      <c r="CU47" s="55">
        <f>IFERROR(__xludf.DUMMYFUNCTION("IMPORTRANGE(""1h3OkZUk2XSA0l8e-AWxaJmXe7Z1U0attMzXCN4SdOQ8"",""2025-26!AS3"")"),33.0)</f>
        <v>33</v>
      </c>
      <c r="CV47" s="60" t="s">
        <v>117</v>
      </c>
    </row>
    <row r="48">
      <c r="A48" s="1" t="s">
        <v>111</v>
      </c>
      <c r="B48" s="37"/>
      <c r="C48" s="97" t="s">
        <v>122</v>
      </c>
      <c r="D48" s="65" t="s">
        <v>123</v>
      </c>
      <c r="E48" s="50">
        <v>6.300840082E9</v>
      </c>
      <c r="F48" s="66">
        <v>45453.0</v>
      </c>
      <c r="G48" s="62"/>
      <c r="H48" s="62"/>
      <c r="I48" s="53">
        <f>VLOOKUP($C48,Data!$C:$BV,72,0)</f>
        <v>36925</v>
      </c>
      <c r="J48" s="54">
        <v>1200000.0</v>
      </c>
      <c r="K48" s="55">
        <f>IFERROR(__xludf.DUMMYFUNCTION("IMPORTRANGE(""15AqdQm5YkAFRfu2r5LTF0YinlxQl1irlVpAkdhrGbJ0"",""2025-26!A3"")"),142.0)</f>
        <v>142</v>
      </c>
      <c r="L48" s="55">
        <f>IFERROR(__xludf.DUMMYFUNCTION("IMPORTRANGE(""15AqdQm5YkAFRfu2r5LTF0YinlxQl1irlVpAkdhrGbJ0"",""2025-26!G4"")"),1.55E7)</f>
        <v>15500000</v>
      </c>
      <c r="M48" s="55">
        <f t="shared" si="41"/>
        <v>9775545.81</v>
      </c>
      <c r="N48" s="56">
        <f t="shared" si="42"/>
        <v>0.4797139477</v>
      </c>
      <c r="O48" s="57">
        <f t="shared" si="43"/>
        <v>7435566.19</v>
      </c>
      <c r="P48" s="55">
        <f>IFERROR(__xludf.DUMMYFUNCTION("IMPORTRANGE(""15AqdQm5YkAFRfu2r5LTF0YinlxQl1irlVpAkdhrGbJ0"",""2025-26!J4"")"),1190000.0)</f>
        <v>1190000</v>
      </c>
      <c r="Q48" s="55">
        <f>IFERROR(__xludf.DUMMYFUNCTION("IMPORTRANGE(""15AqdQm5YkAFRfu2r5LTF0YinlxQl1irlVpAkdhrGbJ0"",""2025-26!J3"")"),116.0)</f>
        <v>116</v>
      </c>
      <c r="R48" s="55">
        <f>IFERROR(__xludf.DUMMYFUNCTION("IMPORTRANGE(""15AqdQm5YkAFRfu2r5LTF0YinlxQl1irlVpAkdhrGbJ0"",""2025-26!K4"")"),814415.3)</f>
        <v>814415.3</v>
      </c>
      <c r="S48" s="55">
        <f>IFERROR(__xludf.DUMMYFUNCTION("IMPORTRANGE(""15AqdQm5YkAFRfu2r5LTF0YinlxQl1irlVpAkdhrGbJ0"",""2025-26!K3"")"),36.0)</f>
        <v>36</v>
      </c>
      <c r="T48" s="58">
        <f t="shared" si="18"/>
        <v>0.603544916</v>
      </c>
      <c r="U48" s="55">
        <f>IFERROR(__xludf.DUMMYFUNCTION("IMPORTRANGE(""15AqdQm5YkAFRfu2r5LTF0YinlxQl1irlVpAkdhrGbJ0"",""2025-26!L4"")"),718218.45)</f>
        <v>718218.45</v>
      </c>
      <c r="V48" s="55">
        <f>IFERROR(__xludf.DUMMYFUNCTION("IMPORTRANGE(""15AqdQm5YkAFRfu2r5LTF0YinlxQl1irlVpAkdhrGbJ0"",""2025-26!L3"")"),38.0)</f>
        <v>38</v>
      </c>
      <c r="W48" s="55">
        <f>IFERROR(__xludf.DUMMYFUNCTION("IMPORTRANGE(""15AqdQm5YkAFRfu2r5LTF0YinlxQl1irlVpAkdhrGbJ0"",""2025-26!m4"")"),1190000.0)</f>
        <v>1190000</v>
      </c>
      <c r="X48" s="55">
        <f>IFERROR(__xludf.DUMMYFUNCTION("IMPORTRANGE(""15AqdQm5YkAFRfu2r5LTF0YinlxQl1irlVpAkdhrGbJ0"",""2025-26!m3"")"),116.0)</f>
        <v>116</v>
      </c>
      <c r="Y48" s="55">
        <f>IFERROR(__xludf.DUMMYFUNCTION("IMPORTRANGE(""15AqdQm5YkAFRfu2r5LTF0YinlxQl1irlVpAkdhrGbJ0"",""2025-26!N4"")"),1342238.3)</f>
        <v>1342238.3</v>
      </c>
      <c r="Z48" s="55">
        <f>IFERROR(__xludf.DUMMYFUNCTION("IMPORTRANGE(""15AqdQm5YkAFRfu2r5LTF0YinlxQl1irlVpAkdhrGbJ0"",""2025-26!N3"")"),41.0)</f>
        <v>41</v>
      </c>
      <c r="AA48" s="58">
        <f t="shared" si="19"/>
        <v>0.8327865546</v>
      </c>
      <c r="AB48" s="55">
        <f>IFERROR(__xludf.DUMMYFUNCTION("IMPORTRANGE(""15AqdQm5YkAFRfu2r5LTF0YinlxQl1irlVpAkdhrGbJ0"",""2025-26!O4"")"),991016.0)</f>
        <v>991016</v>
      </c>
      <c r="AC48" s="55">
        <f>IFERROR(__xludf.DUMMYFUNCTION("IMPORTRANGE(""15AqdQm5YkAFRfu2r5LTF0YinlxQl1irlVpAkdhrGbJ0"",""2025-26!O3"")"),37.0)</f>
        <v>37</v>
      </c>
      <c r="AD48" s="55">
        <f>IFERROR(__xludf.DUMMYFUNCTION("IMPORTRANGE(""15AqdQm5YkAFRfu2r5LTF0YinlxQl1irlVpAkdhrGbJ0"",""2025-26!P4"")"),1190000.0)</f>
        <v>1190000</v>
      </c>
      <c r="AE48" s="55">
        <f>IFERROR(__xludf.DUMMYFUNCTION("IMPORTRANGE(""15AqdQm5YkAFRfu2r5LTF0YinlxQl1irlVpAkdhrGbJ0"",""2025-26!P3"")"),116.0)</f>
        <v>116</v>
      </c>
      <c r="AF48" s="55">
        <f>IFERROR(__xludf.DUMMYFUNCTION("IMPORTRANGE(""15AqdQm5YkAFRfu2r5LTF0YinlxQl1irlVpAkdhrGbJ0"",""2025-26!Q4"")"),791004.5)</f>
        <v>791004.5</v>
      </c>
      <c r="AG48" s="55">
        <f>IFERROR(__xludf.DUMMYFUNCTION("IMPORTRANGE(""15AqdQm5YkAFRfu2r5LTF0YinlxQl1irlVpAkdhrGbJ0"",""2025-26!Q3"")"),38.0)</f>
        <v>38</v>
      </c>
      <c r="AH48" s="58">
        <f t="shared" si="20"/>
        <v>0.5361426555</v>
      </c>
      <c r="AI48" s="55">
        <f>IFERROR(__xludf.DUMMYFUNCTION("IMPORTRANGE(""15AqdQm5YkAFRfu2r5LTF0YinlxQl1irlVpAkdhrGbJ0"",""2025-26!R4"")"),638009.76)</f>
        <v>638009.76</v>
      </c>
      <c r="AJ48" s="55">
        <f>IFERROR(__xludf.DUMMYFUNCTION("IMPORTRANGE(""15AqdQm5YkAFRfu2r5LTF0YinlxQl1irlVpAkdhrGbJ0"",""2025-26!R3"")"),35.0)</f>
        <v>35</v>
      </c>
      <c r="AK48" s="55">
        <f>IFERROR(__xludf.DUMMYFUNCTION("IMPORTRANGE(""15AqdQm5YkAFRfu2r5LTF0YinlxQl1irlVpAkdhrGbJ0"",""2025-26!S4"")"),1220000.0)</f>
        <v>1220000</v>
      </c>
      <c r="AL48" s="55">
        <f>IFERROR(__xludf.DUMMYFUNCTION("IMPORTRANGE(""15AqdQm5YkAFRfu2r5LTF0YinlxQl1irlVpAkdhrGbJ0"",""2025-26!S3"")"),122.0)</f>
        <v>122</v>
      </c>
      <c r="AM48" s="55">
        <f>IFERROR(__xludf.DUMMYFUNCTION("IMPORTRANGE(""15AqdQm5YkAFRfu2r5LTF0YinlxQl1irlVpAkdhrGbJ0"",""2025-26!T4"")"),970621.2999999999)</f>
        <v>970621.3</v>
      </c>
      <c r="AN48" s="55">
        <f>IFERROR(__xludf.DUMMYFUNCTION("IMPORTRANGE(""15AqdQm5YkAFRfu2r5LTF0YinlxQl1irlVpAkdhrGbJ0"",""2025-26!T3"")"),39.0)</f>
        <v>39</v>
      </c>
      <c r="AO48" s="58">
        <f t="shared" si="21"/>
        <v>0.5692196557</v>
      </c>
      <c r="AP48" s="55">
        <f>IFERROR(__xludf.DUMMYFUNCTION("IMPORTRANGE(""15AqdQm5YkAFRfu2r5LTF0YinlxQl1irlVpAkdhrGbJ0"",""2025-26!U4"")"),694447.98)</f>
        <v>694447.98</v>
      </c>
      <c r="AQ48" s="55">
        <f>IFERROR(__xludf.DUMMYFUNCTION("IMPORTRANGE(""15AqdQm5YkAFRfu2r5LTF0YinlxQl1irlVpAkdhrGbJ0"",""2025-26!U3"")"),32.0)</f>
        <v>32</v>
      </c>
      <c r="AR48" s="55">
        <f>IFERROR(__xludf.DUMMYFUNCTION("IMPORTRANGE(""15AqdQm5YkAFRfu2r5LTF0YinlxQl1irlVpAkdhrGbJ0"",""2025-26!V4"")"),1300000.0)</f>
        <v>1300000</v>
      </c>
      <c r="AS48" s="55">
        <f>IFERROR(__xludf.DUMMYFUNCTION("IMPORTRANGE(""15AqdQm5YkAFRfu2r5LTF0YinlxQl1irlVpAkdhrGbJ0"",""2025-26!V3"")"),130.0)</f>
        <v>130</v>
      </c>
      <c r="AT48" s="55">
        <f>IFERROR(__xludf.DUMMYFUNCTION("IMPORTRANGE(""15AqdQm5YkAFRfu2r5LTF0YinlxQl1irlVpAkdhrGbJ0"",""2025-26!W4"")"),591635.55)</f>
        <v>591635.55</v>
      </c>
      <c r="AU48" s="55">
        <f>IFERROR(__xludf.DUMMYFUNCTION("IMPORTRANGE(""15AqdQm5YkAFRfu2r5LTF0YinlxQl1irlVpAkdhrGbJ0"",""2025-26!W3"")"),26.0)</f>
        <v>26</v>
      </c>
      <c r="AV48" s="58">
        <f t="shared" si="22"/>
        <v>0.3635107692</v>
      </c>
      <c r="AW48" s="55">
        <f>IFERROR(__xludf.DUMMYFUNCTION("IMPORTRANGE(""15AqdQm5YkAFRfu2r5LTF0YinlxQl1irlVpAkdhrGbJ0"",""2025-26!X4"")"),472564.0)</f>
        <v>472564</v>
      </c>
      <c r="AX48" s="55">
        <f>IFERROR(__xludf.DUMMYFUNCTION("IMPORTRANGE(""15AqdQm5YkAFRfu2r5LTF0YinlxQl1irlVpAkdhrGbJ0"",""2025-26!X3"")"),26.0)</f>
        <v>26</v>
      </c>
      <c r="AY48" s="55">
        <f>IFERROR(__xludf.DUMMYFUNCTION("IMPORTRANGE(""15AqdQm5YkAFRfu2r5LTF0YinlxQl1irlVpAkdhrGbJ0"",""2025-26!Y4"")"),1330000.0)</f>
        <v>1330000</v>
      </c>
      <c r="AZ48" s="55">
        <f>IFERROR(__xludf.DUMMYFUNCTION("IMPORTRANGE(""15AqdQm5YkAFRfu2r5LTF0YinlxQl1irlVpAkdhrGbJ0"",""2025-26!Y3"")"),133.0)</f>
        <v>133</v>
      </c>
      <c r="BA48" s="55">
        <f>IFERROR(__xludf.DUMMYFUNCTION("IMPORTRANGE(""15AqdQm5YkAFRfu2r5LTF0YinlxQl1irlVpAkdhrGbJ0"",""2025-26!Z4"")"),636208.1)</f>
        <v>636208.1</v>
      </c>
      <c r="BB48" s="55">
        <f>IFERROR(__xludf.DUMMYFUNCTION("IMPORTRANGE(""15AqdQm5YkAFRfu2r5LTF0YinlxQl1irlVpAkdhrGbJ0"",""2025-26!Z3"")"),21.0)</f>
        <v>21</v>
      </c>
      <c r="BC48" s="59">
        <f t="shared" si="23"/>
        <v>0.2367406015</v>
      </c>
      <c r="BD48" s="55">
        <f>IFERROR(__xludf.DUMMYFUNCTION("IMPORTRANGE(""15AqdQm5YkAFRfu2r5LTF0YinlxQl1irlVpAkdhrGbJ0"",""2025-26!AA4"")"),314865.0)</f>
        <v>314865</v>
      </c>
      <c r="BE48" s="55">
        <f>IFERROR(__xludf.DUMMYFUNCTION("IMPORTRANGE(""15AqdQm5YkAFRfu2r5LTF0YinlxQl1irlVpAkdhrGbJ0"",""2025-26!AA3"")"),15.0)</f>
        <v>15</v>
      </c>
      <c r="BF48" s="55">
        <f>IFERROR(__xludf.DUMMYFUNCTION("IMPORTRANGE(""15AqdQm5YkAFRfu2r5LTF0YinlxQl1irlVpAkdhrGbJ0"",""2025-26!AB4"")"),1340000.0)</f>
        <v>1340000</v>
      </c>
      <c r="BG48" s="55">
        <f>IFERROR(__xludf.DUMMYFUNCTION("IMPORTRANGE(""15AqdQm5YkAFRfu2r5LTF0YinlxQl1irlVpAkdhrGbJ0"",""2025-26!AB3"")"),134.0)</f>
        <v>134</v>
      </c>
      <c r="BH48" s="55">
        <f>IFERROR(__xludf.DUMMYFUNCTION("IMPORTRANGE(""15AqdQm5YkAFRfu2r5LTF0YinlxQl1irlVpAkdhrGbJ0"",""2025-26!AC4"")"),964467.9000000001)</f>
        <v>964467.9</v>
      </c>
      <c r="BI48" s="55">
        <f>IFERROR(__xludf.DUMMYFUNCTION("IMPORTRANGE(""15AqdQm5YkAFRfu2r5LTF0YinlxQl1irlVpAkdhrGbJ0"",""2025-26!AC3"")"),27.0)</f>
        <v>27</v>
      </c>
      <c r="BJ48" s="59">
        <f t="shared" si="24"/>
        <v>0.6313738806</v>
      </c>
      <c r="BK48" s="55">
        <f>IFERROR(__xludf.DUMMYFUNCTION("IMPORTRANGE(""15AqdQm5YkAFRfu2r5LTF0YinlxQl1irlVpAkdhrGbJ0"",""2025-26!AD4"")"),846041.0)</f>
        <v>846041</v>
      </c>
      <c r="BL48" s="55">
        <f>IFERROR(__xludf.DUMMYFUNCTION("IMPORTRANGE(""15AqdQm5YkAFRfu2r5LTF0YinlxQl1irlVpAkdhrGbJ0"",""2025-26!AD3"")"),26.0)</f>
        <v>26</v>
      </c>
      <c r="BM48" s="55">
        <f>IFERROR(__xludf.DUMMYFUNCTION("IMPORTRANGE(""15AqdQm5YkAFRfu2r5LTF0YinlxQl1irlVpAkdhrGbJ0"",""2025-26!AE4"")"),1350000.0)</f>
        <v>1350000</v>
      </c>
      <c r="BN48" s="55">
        <f>IFERROR(__xludf.DUMMYFUNCTION("IMPORTRANGE(""15AqdQm5YkAFRfu2r5LTF0YinlxQl1irlVpAkdhrGbJ0"",""2025-26!AE3"")"),135.0)</f>
        <v>135</v>
      </c>
      <c r="BO48" s="55">
        <f>IFERROR(__xludf.DUMMYFUNCTION("IMPORTRANGE(""15AqdQm5YkAFRfu2r5LTF0YinlxQl1irlVpAkdhrGbJ0"",""2025-26!AF4"")"),762580.5599999999)</f>
        <v>762580.56</v>
      </c>
      <c r="BP48" s="55">
        <f>IFERROR(__xludf.DUMMYFUNCTION("IMPORTRANGE(""15AqdQm5YkAFRfu2r5LTF0YinlxQl1irlVpAkdhrGbJ0"",""2025-26!AF3"")"),24.0)</f>
        <v>24</v>
      </c>
      <c r="BQ48" s="59">
        <f t="shared" si="25"/>
        <v>0.4355377778</v>
      </c>
      <c r="BR48" s="55">
        <f>IFERROR(__xludf.DUMMYFUNCTION("IMPORTRANGE(""15AqdQm5YkAFRfu2r5LTF0YinlxQl1irlVpAkdhrGbJ0"",""2025-26!AG4"")"),587976.0)</f>
        <v>587976</v>
      </c>
      <c r="BS48" s="55">
        <f>IFERROR(__xludf.DUMMYFUNCTION("IMPORTRANGE(""15AqdQm5YkAFRfu2r5LTF0YinlxQl1irlVpAkdhrGbJ0"",""2025-26!AG3"")"),25.0)</f>
        <v>25</v>
      </c>
      <c r="BT48" s="55">
        <f>IFERROR(__xludf.DUMMYFUNCTION("IMPORTRANGE(""15AqdQm5YkAFRfu2r5LTF0YinlxQl1irlVpAkdhrGbJ0"",""2025-26!AH4"")"),1370000.0)</f>
        <v>1370000</v>
      </c>
      <c r="BU48" s="55">
        <f>IFERROR(__xludf.DUMMYFUNCTION("IMPORTRANGE(""15AqdQm5YkAFRfu2r5LTF0YinlxQl1irlVpAkdhrGbJ0"",""2025-26!AH3"")"),137.0)</f>
        <v>137</v>
      </c>
      <c r="BV48" s="55">
        <f>IFERROR(__xludf.DUMMYFUNCTION("IMPORTRANGE(""15AqdQm5YkAFRfu2r5LTF0YinlxQl1irlVpAkdhrGbJ0"",""2025-26!AI4"")"),789900.1)</f>
        <v>789900.1</v>
      </c>
      <c r="BW48" s="55">
        <f>IFERROR(__xludf.DUMMYFUNCTION("IMPORTRANGE(""15AqdQm5YkAFRfu2r5LTF0YinlxQl1irlVpAkdhrGbJ0"",""2025-26!AI3"")"),27.0)</f>
        <v>27</v>
      </c>
      <c r="BX48" s="59">
        <f t="shared" si="26"/>
        <v>0.4568737226</v>
      </c>
      <c r="BY48" s="55">
        <f>IFERROR(__xludf.DUMMYFUNCTION("IMPORTRANGE(""15AqdQm5YkAFRfu2r5LTF0YinlxQl1irlVpAkdhrGbJ0"",""2025-26!AJ4"")"),625917.0)</f>
        <v>625917</v>
      </c>
      <c r="BZ48" s="55">
        <f>IFERROR(__xludf.DUMMYFUNCTION("IMPORTRANGE(""15AqdQm5YkAFRfu2r5LTF0YinlxQl1irlVpAkdhrGbJ0"",""2025-26!AJ3"")"),24.0)</f>
        <v>24</v>
      </c>
      <c r="CA48" s="55">
        <f>IFERROR(__xludf.DUMMYFUNCTION("IMPORTRANGE(""15AqdQm5YkAFRfu2r5LTF0YinlxQl1irlVpAkdhrGbJ0"",""2025-26!AK4"")"),1420000.0)</f>
        <v>1420000</v>
      </c>
      <c r="CB48" s="55">
        <f>IFERROR(__xludf.DUMMYFUNCTION("IMPORTRANGE(""15AqdQm5YkAFRfu2r5LTF0YinlxQl1irlVpAkdhrGbJ0"",""2025-26!AK3"")"),142.0)</f>
        <v>142</v>
      </c>
      <c r="CC48" s="55">
        <f>IFERROR(__xludf.DUMMYFUNCTION("IMPORTRANGE(""15AqdQm5YkAFRfu2r5LTF0YinlxQl1irlVpAkdhrGbJ0"",""2025-26!AL4"")"),479351.4)</f>
        <v>479351.4</v>
      </c>
      <c r="CD48" s="55">
        <f>IFERROR(__xludf.DUMMYFUNCTION("IMPORTRANGE(""15AqdQm5YkAFRfu2r5LTF0YinlxQl1irlVpAkdhrGbJ0"",""2025-26!AL3"")"),24.0)</f>
        <v>24</v>
      </c>
      <c r="CE48" s="59">
        <f t="shared" si="27"/>
        <v>0.2317253521</v>
      </c>
      <c r="CF48" s="55">
        <f>IFERROR(__xludf.DUMMYFUNCTION("IMPORTRANGE(""15AqdQm5YkAFRfu2r5LTF0YinlxQl1irlVpAkdhrGbJ0"",""2025-26!AM4"")"),329050.0)</f>
        <v>329050</v>
      </c>
      <c r="CG48" s="55">
        <f>IFERROR(__xludf.DUMMYFUNCTION("IMPORTRANGE(""15AqdQm5YkAFRfu2r5LTF0YinlxQl1irlVpAkdhrGbJ0"",""2025-26!AM3"")"),18.0)</f>
        <v>18</v>
      </c>
      <c r="CH48" s="55">
        <f>IFERROR(__xludf.DUMMYFUNCTION("IMPORTRANGE(""15AqdQm5YkAFRfu2r5LTF0YinlxQl1irlVpAkdhrGbJ0"",""2025-26!AN4"")"),1420000.0)</f>
        <v>1420000</v>
      </c>
      <c r="CI48" s="55">
        <f>IFERROR(__xludf.DUMMYFUNCTION("IMPORTRANGE(""15AqdQm5YkAFRfu2r5LTF0YinlxQl1irlVpAkdhrGbJ0"",""2025-26!AN3"")"),142.0)</f>
        <v>142</v>
      </c>
      <c r="CJ48" s="55">
        <f>IFERROR(__xludf.DUMMYFUNCTION("IMPORTRANGE(""15AqdQm5YkAFRfu2r5LTF0YinlxQl1irlVpAkdhrGbJ0"",""2025-26!AO4"")"),843477.8000000003)</f>
        <v>843477.8</v>
      </c>
      <c r="CK48" s="55">
        <f>IFERROR(__xludf.DUMMYFUNCTION("IMPORTRANGE(""15AqdQm5YkAFRfu2r5LTF0YinlxQl1irlVpAkdhrGbJ0"",""2025-26!AO3"")"),31.0)</f>
        <v>31</v>
      </c>
      <c r="CL48" s="59">
        <f t="shared" si="28"/>
        <v>0.4221584507</v>
      </c>
      <c r="CM48" s="55">
        <f>IFERROR(__xludf.DUMMYFUNCTION("IMPORTRANGE(""15AqdQm5YkAFRfu2r5LTF0YinlxQl1irlVpAkdhrGbJ0"",""2025-26!AP4"")"),599465.0)</f>
        <v>599465</v>
      </c>
      <c r="CN48" s="55">
        <f>IFERROR(__xludf.DUMMYFUNCTION("IMPORTRANGE(""15AqdQm5YkAFRfu2r5LTF0YinlxQl1irlVpAkdhrGbJ0"",""2025-26!AP3"")"),28.0)</f>
        <v>28</v>
      </c>
      <c r="CO48" s="55">
        <f>IFERROR(__xludf.DUMMYFUNCTION("IMPORTRANGE(""15AqdQm5YkAFRfu2r5LTF0YinlxQl1irlVpAkdhrGbJ0"",""2025-26!AQ4"")"),1420000.0)</f>
        <v>1420000</v>
      </c>
      <c r="CP48" s="55">
        <f>IFERROR(__xludf.DUMMYFUNCTION("IMPORTRANGE(""15AqdQm5YkAFRfu2r5LTF0YinlxQl1irlVpAkdhrGbJ0"",""2025-26!AQ3"")"),142.0)</f>
        <v>142</v>
      </c>
      <c r="CQ48" s="55">
        <f>IFERROR(__xludf.DUMMYFUNCTION("IMPORTRANGE(""15AqdQm5YkAFRfu2r5LTF0YinlxQl1irlVpAkdhrGbJ0"",""2025-26!AR4"")"),789645.0)</f>
        <v>789645</v>
      </c>
      <c r="CR48" s="55">
        <f>IFERROR(__xludf.DUMMYFUNCTION("IMPORTRANGE(""15AqdQm5YkAFRfu2r5LTF0YinlxQl1irlVpAkdhrGbJ0"",""2025-26!AR3"")"),22.0)</f>
        <v>22</v>
      </c>
      <c r="CS48" s="59">
        <f t="shared" si="29"/>
        <v>0.4352084507</v>
      </c>
      <c r="CT48" s="55">
        <f>IFERROR(__xludf.DUMMYFUNCTION("IMPORTRANGE(""15AqdQm5YkAFRfu2r5LTF0YinlxQl1irlVpAkdhrGbJ0"",""2025-26!AS4"")"),617996.0)</f>
        <v>617996</v>
      </c>
      <c r="CU48" s="55">
        <f>IFERROR(__xludf.DUMMYFUNCTION("IMPORTRANGE(""15AqdQm5YkAFRfu2r5LTF0YinlxQl1irlVpAkdhrGbJ0"",""2025-26!AS3"")"),22.0)</f>
        <v>22</v>
      </c>
      <c r="CV48" s="60" t="s">
        <v>114</v>
      </c>
    </row>
    <row r="49">
      <c r="A49" s="1" t="s">
        <v>111</v>
      </c>
      <c r="B49" s="43"/>
      <c r="C49" s="64" t="s">
        <v>124</v>
      </c>
      <c r="D49" s="65" t="s">
        <v>125</v>
      </c>
      <c r="E49" s="68">
        <v>9.700864755E9</v>
      </c>
      <c r="F49" s="66">
        <v>45636.0</v>
      </c>
      <c r="G49" s="62"/>
      <c r="H49" s="62"/>
      <c r="I49" s="53">
        <f>VLOOKUP($C49,Data!$C:$BV,72,0)</f>
        <v>51910</v>
      </c>
      <c r="J49" s="54">
        <v>2125000.0</v>
      </c>
      <c r="K49" s="55">
        <f>IFERROR(__xludf.DUMMYFUNCTION("IMPORTRANGE(""1ocgsSn3L-88dzzTXvjPnm-mRwf9KNXUnPd--lUdR6oc"",""2025-26!A3"")"),205.0)</f>
        <v>205</v>
      </c>
      <c r="L49" s="55">
        <f>IFERROR(__xludf.DUMMYFUNCTION("IMPORTRANGE(""1ocgsSn3L-88dzzTXvjPnm-mRwf9KNXUnPd--lUdR6oc"",""2025-26!G4"")"),3.64E7)</f>
        <v>36400000</v>
      </c>
      <c r="M49" s="55">
        <f t="shared" si="41"/>
        <v>20718919.15</v>
      </c>
      <c r="N49" s="56">
        <f t="shared" si="42"/>
        <v>0.472551978</v>
      </c>
      <c r="O49" s="57">
        <f t="shared" si="43"/>
        <v>17200892</v>
      </c>
      <c r="P49" s="55">
        <f>IFERROR(__xludf.DUMMYFUNCTION("IMPORTRANGE(""1ocgsSn3L-88dzzTXvjPnm-mRwf9KNXUnPd--lUdR6oc"",""2025-26!J4"")"),1486000.0)</f>
        <v>1486000</v>
      </c>
      <c r="Q49" s="55">
        <f>IFERROR(__xludf.DUMMYFUNCTION("IMPORTRANGE(""1ocgsSn3L-88dzzTXvjPnm-mRwf9KNXUnPd--lUdR6oc"",""2025-26!J3"")"),110.0)</f>
        <v>110</v>
      </c>
      <c r="R49" s="55">
        <f>IFERROR(__xludf.DUMMYFUNCTION("IMPORTRANGE(""1ocgsSn3L-88dzzTXvjPnm-mRwf9KNXUnPd--lUdR6oc"",""2025-26!K4"")"),1034842.5000000001)</f>
        <v>1034842.5</v>
      </c>
      <c r="S49" s="55">
        <f>IFERROR(__xludf.DUMMYFUNCTION("IMPORTRANGE(""1ocgsSn3L-88dzzTXvjPnm-mRwf9KNXUnPd--lUdR6oc"",""2025-26!K3"")"),30.0)</f>
        <v>30</v>
      </c>
      <c r="T49" s="58">
        <f t="shared" si="18"/>
        <v>0.4822039031</v>
      </c>
      <c r="U49" s="55">
        <f>IFERROR(__xludf.DUMMYFUNCTION("IMPORTRANGE(""1ocgsSn3L-88dzzTXvjPnm-mRwf9KNXUnPd--lUdR6oc"",""2025-26!L4"")"),716555.0)</f>
        <v>716555</v>
      </c>
      <c r="V49" s="55">
        <f>IFERROR(__xludf.DUMMYFUNCTION("IMPORTRANGE(""1ocgsSn3L-88dzzTXvjPnm-mRwf9KNXUnPd--lUdR6oc"",""2025-26!L3"")"),19.0)</f>
        <v>19</v>
      </c>
      <c r="W49" s="55">
        <f>IFERROR(__xludf.DUMMYFUNCTION("IMPORTRANGE(""1ocgsSn3L-88dzzTXvjPnm-mRwf9KNXUnPd--lUdR6oc"",""2025-26!m4"")"),2208500.0)</f>
        <v>2208500</v>
      </c>
      <c r="X49" s="55">
        <f>IFERROR(__xludf.DUMMYFUNCTION("IMPORTRANGE(""1ocgsSn3L-88dzzTXvjPnm-mRwf9KNXUnPd--lUdR6oc"",""2025-26!m3"")"),110.0)</f>
        <v>110</v>
      </c>
      <c r="Y49" s="55">
        <f>IFERROR(__xludf.DUMMYFUNCTION("IMPORTRANGE(""1ocgsSn3L-88dzzTXvjPnm-mRwf9KNXUnPd--lUdR6oc"",""2025-26!N4"")"),1623207.1)</f>
        <v>1623207.1</v>
      </c>
      <c r="Z49" s="55">
        <f>IFERROR(__xludf.DUMMYFUNCTION("IMPORTRANGE(""1ocgsSn3L-88dzzTXvjPnm-mRwf9KNXUnPd--lUdR6oc"",""2025-26!N3"")"),43.0)</f>
        <v>43</v>
      </c>
      <c r="AA49" s="58">
        <f t="shared" si="19"/>
        <v>0.5961788544</v>
      </c>
      <c r="AB49" s="55">
        <f>IFERROR(__xludf.DUMMYFUNCTION("IMPORTRANGE(""1ocgsSn3L-88dzzTXvjPnm-mRwf9KNXUnPd--lUdR6oc"",""2025-26!O4"")"),1316661.0)</f>
        <v>1316661</v>
      </c>
      <c r="AC49" s="55">
        <f>IFERROR(__xludf.DUMMYFUNCTION("IMPORTRANGE(""1ocgsSn3L-88dzzTXvjPnm-mRwf9KNXUnPd--lUdR6oc"",""2025-26!O3"")"),40.0)</f>
        <v>40</v>
      </c>
      <c r="AD49" s="55">
        <f>IFERROR(__xludf.DUMMYFUNCTION("IMPORTRANGE(""1ocgsSn3L-88dzzTXvjPnm-mRwf9KNXUnPd--lUdR6oc"",""2025-26!P4"")"),3155500.0)</f>
        <v>3155500</v>
      </c>
      <c r="AE49" s="55">
        <f>IFERROR(__xludf.DUMMYFUNCTION("IMPORTRANGE(""1ocgsSn3L-88dzzTXvjPnm-mRwf9KNXUnPd--lUdR6oc"",""2025-26!P3"")"),111.0)</f>
        <v>111</v>
      </c>
      <c r="AF49" s="55">
        <f>IFERROR(__xludf.DUMMYFUNCTION("IMPORTRANGE(""1ocgsSn3L-88dzzTXvjPnm-mRwf9KNXUnPd--lUdR6oc"",""2025-26!Q4"")"),1448871.5599999998)</f>
        <v>1448871.56</v>
      </c>
      <c r="AG49" s="55">
        <f>IFERROR(__xludf.DUMMYFUNCTION("IMPORTRANGE(""1ocgsSn3L-88dzzTXvjPnm-mRwf9KNXUnPd--lUdR6oc"",""2025-26!Q3"")"),37.0)</f>
        <v>37</v>
      </c>
      <c r="AH49" s="58">
        <f t="shared" si="20"/>
        <v>0.4291053716</v>
      </c>
      <c r="AI49" s="55">
        <f>IFERROR(__xludf.DUMMYFUNCTION("IMPORTRANGE(""1ocgsSn3L-88dzzTXvjPnm-mRwf9KNXUnPd--lUdR6oc"",""2025-26!R4"")"),1354042.0)</f>
        <v>1354042</v>
      </c>
      <c r="AJ49" s="55">
        <f>IFERROR(__xludf.DUMMYFUNCTION("IMPORTRANGE(""1ocgsSn3L-88dzzTXvjPnm-mRwf9KNXUnPd--lUdR6oc"",""2025-26!R3"")"),39.0)</f>
        <v>39</v>
      </c>
      <c r="AK49" s="55">
        <f>IFERROR(__xludf.DUMMYFUNCTION("IMPORTRANGE(""1ocgsSn3L-88dzzTXvjPnm-mRwf9KNXUnPd--lUdR6oc"",""2025-26!S4"")"),2916597.0)</f>
        <v>2916597</v>
      </c>
      <c r="AL49" s="55">
        <f>IFERROR(__xludf.DUMMYFUNCTION("IMPORTRANGE(""1ocgsSn3L-88dzzTXvjPnm-mRwf9KNXUnPd--lUdR6oc"",""2025-26!S3"")"),181.0)</f>
        <v>181</v>
      </c>
      <c r="AM49" s="55">
        <f>IFERROR(__xludf.DUMMYFUNCTION("IMPORTRANGE(""1ocgsSn3L-88dzzTXvjPnm-mRwf9KNXUnPd--lUdR6oc"",""2025-26!T4"")"),891662.08)</f>
        <v>891662.08</v>
      </c>
      <c r="AN49" s="55">
        <f>IFERROR(__xludf.DUMMYFUNCTION("IMPORTRANGE(""1ocgsSn3L-88dzzTXvjPnm-mRwf9KNXUnPd--lUdR6oc"",""2025-26!T3"")"),27.0)</f>
        <v>27</v>
      </c>
      <c r="AO49" s="58">
        <f t="shared" si="21"/>
        <v>0.3022402478</v>
      </c>
      <c r="AP49" s="55">
        <f>IFERROR(__xludf.DUMMYFUNCTION("IMPORTRANGE(""1ocgsSn3L-88dzzTXvjPnm-mRwf9KNXUnPd--lUdR6oc"",""2025-26!U4"")"),881513.0)</f>
        <v>881513</v>
      </c>
      <c r="AQ49" s="55">
        <f>IFERROR(__xludf.DUMMYFUNCTION("IMPORTRANGE(""1ocgsSn3L-88dzzTXvjPnm-mRwf9KNXUnPd--lUdR6oc"",""2025-26!U3"")"),30.0)</f>
        <v>30</v>
      </c>
      <c r="AR49" s="55">
        <f>IFERROR(__xludf.DUMMYFUNCTION("IMPORTRANGE(""1ocgsSn3L-88dzzTXvjPnm-mRwf9KNXUnPd--lUdR6oc"",""2025-26!V4"")"),2916732.0)</f>
        <v>2916732</v>
      </c>
      <c r="AS49" s="55">
        <f>IFERROR(__xludf.DUMMYFUNCTION("IMPORTRANGE(""1ocgsSn3L-88dzzTXvjPnm-mRwf9KNXUnPd--lUdR6oc"",""2025-26!V3"")"),181.0)</f>
        <v>181</v>
      </c>
      <c r="AT49" s="55">
        <f>IFERROR(__xludf.DUMMYFUNCTION("IMPORTRANGE(""1ocgsSn3L-88dzzTXvjPnm-mRwf9KNXUnPd--lUdR6oc"",""2025-26!W4"")"),0.0)</f>
        <v>0</v>
      </c>
      <c r="AU49" s="55">
        <f>IFERROR(__xludf.DUMMYFUNCTION("IMPORTRANGE(""1ocgsSn3L-88dzzTXvjPnm-mRwf9KNXUnPd--lUdR6oc"",""2025-26!W3"")"),0.0)</f>
        <v>0</v>
      </c>
      <c r="AV49" s="58">
        <f t="shared" si="22"/>
        <v>0.1825327113</v>
      </c>
      <c r="AW49" s="55">
        <f>IFERROR(__xludf.DUMMYFUNCTION("IMPORTRANGE(""1ocgsSn3L-88dzzTXvjPnm-mRwf9KNXUnPd--lUdR6oc"",""2025-26!X4"")"),532399.0)</f>
        <v>532399</v>
      </c>
      <c r="AX49" s="55">
        <f>IFERROR(__xludf.DUMMYFUNCTION("IMPORTRANGE(""1ocgsSn3L-88dzzTXvjPnm-mRwf9KNXUnPd--lUdR6oc"",""2025-26!X3"")"),15.0)</f>
        <v>15</v>
      </c>
      <c r="AY49" s="55">
        <f>IFERROR(__xludf.DUMMYFUNCTION("IMPORTRANGE(""1ocgsSn3L-88dzzTXvjPnm-mRwf9KNXUnPd--lUdR6oc"",""2025-26!Y4"")"),2916626.0)</f>
        <v>2916626</v>
      </c>
      <c r="AZ49" s="55">
        <f>IFERROR(__xludf.DUMMYFUNCTION("IMPORTRANGE(""1ocgsSn3L-88dzzTXvjPnm-mRwf9KNXUnPd--lUdR6oc"",""2025-26!Y3"")"),181.0)</f>
        <v>181</v>
      </c>
      <c r="BA49" s="55">
        <f>IFERROR(__xludf.DUMMYFUNCTION("IMPORTRANGE(""1ocgsSn3L-88dzzTXvjPnm-mRwf9KNXUnPd--lUdR6oc"",""2025-26!Z4"")"),2531143.05)</f>
        <v>2531143.05</v>
      </c>
      <c r="BB49" s="55">
        <f>IFERROR(__xludf.DUMMYFUNCTION("IMPORTRANGE(""1ocgsSn3L-88dzzTXvjPnm-mRwf9KNXUnPd--lUdR6oc"",""2025-26!Z3"")"),46.0)</f>
        <v>46</v>
      </c>
      <c r="BC49" s="59">
        <f t="shared" si="23"/>
        <v>0.6744766041</v>
      </c>
      <c r="BD49" s="55">
        <f>IFERROR(__xludf.DUMMYFUNCTION("IMPORTRANGE(""1ocgsSn3L-88dzzTXvjPnm-mRwf9KNXUnPd--lUdR6oc"",""2025-26!AA4"")"),1967196.0)</f>
        <v>1967196</v>
      </c>
      <c r="BE49" s="55">
        <f>IFERROR(__xludf.DUMMYFUNCTION("IMPORTRANGE(""1ocgsSn3L-88dzzTXvjPnm-mRwf9KNXUnPd--lUdR6oc"",""2025-26!AA3"")"),43.0)</f>
        <v>43</v>
      </c>
      <c r="BF49" s="55">
        <f>IFERROR(__xludf.DUMMYFUNCTION("IMPORTRANGE(""1ocgsSn3L-88dzzTXvjPnm-mRwf9KNXUnPd--lUdR6oc"",""2025-26!AB4"")"),2924959.0)</f>
        <v>2924959</v>
      </c>
      <c r="BG49" s="55">
        <f>IFERROR(__xludf.DUMMYFUNCTION("IMPORTRANGE(""1ocgsSn3L-88dzzTXvjPnm-mRwf9KNXUnPd--lUdR6oc"",""2025-26!AB3"")"),181.0)</f>
        <v>181</v>
      </c>
      <c r="BH49" s="55">
        <f>IFERROR(__xludf.DUMMYFUNCTION("IMPORTRANGE(""1ocgsSn3L-88dzzTXvjPnm-mRwf9KNXUnPd--lUdR6oc"",""2025-26!AC4"")"),2477986.8299999996)</f>
        <v>2477986.83</v>
      </c>
      <c r="BI49" s="55">
        <f>IFERROR(__xludf.DUMMYFUNCTION("IMPORTRANGE(""1ocgsSn3L-88dzzTXvjPnm-mRwf9KNXUnPd--lUdR6oc"",""2025-26!AC3"")"),47.0)</f>
        <v>47</v>
      </c>
      <c r="BJ49" s="59">
        <f t="shared" si="24"/>
        <v>0.7215567808</v>
      </c>
      <c r="BK49" s="55">
        <f>IFERROR(__xludf.DUMMYFUNCTION("IMPORTRANGE(""1ocgsSn3L-88dzzTXvjPnm-mRwf9KNXUnPd--lUdR6oc"",""2025-26!AD4"")"),2110524.0)</f>
        <v>2110524</v>
      </c>
      <c r="BL49" s="55">
        <f>IFERROR(__xludf.DUMMYFUNCTION("IMPORTRANGE(""1ocgsSn3L-88dzzTXvjPnm-mRwf9KNXUnPd--lUdR6oc"",""2025-26!AD3"")"),46.0)</f>
        <v>46</v>
      </c>
      <c r="BM49" s="55">
        <f>IFERROR(__xludf.DUMMYFUNCTION("IMPORTRANGE(""1ocgsSn3L-88dzzTXvjPnm-mRwf9KNXUnPd--lUdR6oc"",""2025-26!AE4"")"),2666655.0)</f>
        <v>2666655</v>
      </c>
      <c r="BN49" s="55">
        <f>IFERROR(__xludf.DUMMYFUNCTION("IMPORTRANGE(""1ocgsSn3L-88dzzTXvjPnm-mRwf9KNXUnPd--lUdR6oc"",""2025-26!AE3"")"),175.0)</f>
        <v>175</v>
      </c>
      <c r="BO49" s="55">
        <f>IFERROR(__xludf.DUMMYFUNCTION("IMPORTRANGE(""1ocgsSn3L-88dzzTXvjPnm-mRwf9KNXUnPd--lUdR6oc"",""2025-26!AF4"")"),2136905.79)</f>
        <v>2136905.79</v>
      </c>
      <c r="BP49" s="55">
        <f>IFERROR(__xludf.DUMMYFUNCTION("IMPORTRANGE(""1ocgsSn3L-88dzzTXvjPnm-mRwf9KNXUnPd--lUdR6oc"",""2025-26!AF3"")"),40.0)</f>
        <v>40</v>
      </c>
      <c r="BQ49" s="59">
        <f t="shared" si="25"/>
        <v>0.4884081368</v>
      </c>
      <c r="BR49" s="55">
        <f>IFERROR(__xludf.DUMMYFUNCTION("IMPORTRANGE(""1ocgsSn3L-88dzzTXvjPnm-mRwf9KNXUnPd--lUdR6oc"",""2025-26!AG4"")"),1302416.0)</f>
        <v>1302416</v>
      </c>
      <c r="BS49" s="55">
        <f>IFERROR(__xludf.DUMMYFUNCTION("IMPORTRANGE(""1ocgsSn3L-88dzzTXvjPnm-mRwf9KNXUnPd--lUdR6oc"",""2025-26!AG3"")"),32.0)</f>
        <v>32</v>
      </c>
      <c r="BT49" s="55">
        <f>IFERROR(__xludf.DUMMYFUNCTION("IMPORTRANGE(""1ocgsSn3L-88dzzTXvjPnm-mRwf9KNXUnPd--lUdR6oc"",""2025-26!AH4"")"),2666734.0)</f>
        <v>2666734</v>
      </c>
      <c r="BU49" s="55">
        <f>IFERROR(__xludf.DUMMYFUNCTION("IMPORTRANGE(""1ocgsSn3L-88dzzTXvjPnm-mRwf9KNXUnPd--lUdR6oc"",""2025-26!AH3"")"),175.0)</f>
        <v>175</v>
      </c>
      <c r="BV49" s="55">
        <f>IFERROR(__xludf.DUMMYFUNCTION("IMPORTRANGE(""1ocgsSn3L-88dzzTXvjPnm-mRwf9KNXUnPd--lUdR6oc"",""2025-26!AI4"")"),1903814.5000000002)</f>
        <v>1903814.5</v>
      </c>
      <c r="BW49" s="55">
        <f>IFERROR(__xludf.DUMMYFUNCTION("IMPORTRANGE(""1ocgsSn3L-88dzzTXvjPnm-mRwf9KNXUnPd--lUdR6oc"",""2025-26!AI3"")"),38.0)</f>
        <v>38</v>
      </c>
      <c r="BX49" s="59">
        <f t="shared" si="26"/>
        <v>0.5778315348</v>
      </c>
      <c r="BY49" s="55">
        <f>IFERROR(__xludf.DUMMYFUNCTION("IMPORTRANGE(""1ocgsSn3L-88dzzTXvjPnm-mRwf9KNXUnPd--lUdR6oc"",""2025-26!AJ4"")"),1540923.0)</f>
        <v>1540923</v>
      </c>
      <c r="BZ49" s="55">
        <f>IFERROR(__xludf.DUMMYFUNCTION("IMPORTRANGE(""1ocgsSn3L-88dzzTXvjPnm-mRwf9KNXUnPd--lUdR6oc"",""2025-26!AJ3"")"),36.0)</f>
        <v>36</v>
      </c>
      <c r="CA49" s="55">
        <f>IFERROR(__xludf.DUMMYFUNCTION("IMPORTRANGE(""1ocgsSn3L-88dzzTXvjPnm-mRwf9KNXUnPd--lUdR6oc"",""2025-26!AK4"")"),3033320.0)</f>
        <v>3033320</v>
      </c>
      <c r="CB49" s="55">
        <f>IFERROR(__xludf.DUMMYFUNCTION("IMPORTRANGE(""1ocgsSn3L-88dzzTXvjPnm-mRwf9KNXUnPd--lUdR6oc"",""2025-26!AK3"")"),193.0)</f>
        <v>193</v>
      </c>
      <c r="CC49" s="55">
        <f>IFERROR(__xludf.DUMMYFUNCTION("IMPORTRANGE(""1ocgsSn3L-88dzzTXvjPnm-mRwf9KNXUnPd--lUdR6oc"",""2025-26!AL4"")"),2052994.6100000003)</f>
        <v>2052994.61</v>
      </c>
      <c r="CD49" s="55">
        <f>IFERROR(__xludf.DUMMYFUNCTION("IMPORTRANGE(""1ocgsSn3L-88dzzTXvjPnm-mRwf9KNXUnPd--lUdR6oc"",""2025-26!AL3"")"),40.0)</f>
        <v>40</v>
      </c>
      <c r="CE49" s="59">
        <f t="shared" si="27"/>
        <v>0.5638574235</v>
      </c>
      <c r="CF49" s="55">
        <f>IFERROR(__xludf.DUMMYFUNCTION("IMPORTRANGE(""1ocgsSn3L-88dzzTXvjPnm-mRwf9KNXUnPd--lUdR6oc"",""2025-26!AM4"")"),1710360.0)</f>
        <v>1710360</v>
      </c>
      <c r="CG49" s="55">
        <f>IFERROR(__xludf.DUMMYFUNCTION("IMPORTRANGE(""1ocgsSn3L-88dzzTXvjPnm-mRwf9KNXUnPd--lUdR6oc"",""2025-26!AM3"")"),39.0)</f>
        <v>39</v>
      </c>
      <c r="CH49" s="55">
        <f>IFERROR(__xludf.DUMMYFUNCTION("IMPORTRANGE(""1ocgsSn3L-88dzzTXvjPnm-mRwf9KNXUnPd--lUdR6oc"",""2025-26!AN4"")"),3033320.0)</f>
        <v>3033320</v>
      </c>
      <c r="CI49" s="55">
        <f>IFERROR(__xludf.DUMMYFUNCTION("IMPORTRANGE(""1ocgsSn3L-88dzzTXvjPnm-mRwf9KNXUnPd--lUdR6oc"",""2025-26!AN3"")"),193.0)</f>
        <v>193</v>
      </c>
      <c r="CJ49" s="55">
        <f>IFERROR(__xludf.DUMMYFUNCTION("IMPORTRANGE(""1ocgsSn3L-88dzzTXvjPnm-mRwf9KNXUnPd--lUdR6oc"",""2025-26!AO4"")"),2194759.29)</f>
        <v>2194759.29</v>
      </c>
      <c r="CK49" s="55">
        <f>IFERROR(__xludf.DUMMYFUNCTION("IMPORTRANGE(""1ocgsSn3L-88dzzTXvjPnm-mRwf9KNXUnPd--lUdR6oc"",""2025-26!AO3"")"),39.0)</f>
        <v>39</v>
      </c>
      <c r="CL49" s="59">
        <f t="shared" si="28"/>
        <v>0.6506049477</v>
      </c>
      <c r="CM49" s="55">
        <f>IFERROR(__xludf.DUMMYFUNCTION("IMPORTRANGE(""1ocgsSn3L-88dzzTXvjPnm-mRwf9KNXUnPd--lUdR6oc"",""2025-26!AP4"")"),1973493.0)</f>
        <v>1973493</v>
      </c>
      <c r="CN49" s="55">
        <f>IFERROR(__xludf.DUMMYFUNCTION("IMPORTRANGE(""1ocgsSn3L-88dzzTXvjPnm-mRwf9KNXUnPd--lUdR6oc"",""2025-26!AP3"")"),52.0)</f>
        <v>52</v>
      </c>
      <c r="CO49" s="55">
        <f>IFERROR(__xludf.DUMMYFUNCTION("IMPORTRANGE(""1ocgsSn3L-88dzzTXvjPnm-mRwf9KNXUnPd--lUdR6oc"",""2025-26!AQ4"")"),3033259.0)</f>
        <v>3033259</v>
      </c>
      <c r="CP49" s="55">
        <f>IFERROR(__xludf.DUMMYFUNCTION("IMPORTRANGE(""1ocgsSn3L-88dzzTXvjPnm-mRwf9KNXUnPd--lUdR6oc"",""2025-26!AQ3"")"),193.0)</f>
        <v>193</v>
      </c>
      <c r="CQ49" s="55">
        <f>IFERROR(__xludf.DUMMYFUNCTION("IMPORTRANGE(""1ocgsSn3L-88dzzTXvjPnm-mRwf9KNXUnPd--lUdR6oc"",""2025-26!AR4"")"),2422731.8400000003)</f>
        <v>2422731.84</v>
      </c>
      <c r="CR49" s="55">
        <f>IFERROR(__xludf.DUMMYFUNCTION("IMPORTRANGE(""1ocgsSn3L-88dzzTXvjPnm-mRwf9KNXUnPd--lUdR6oc"",""2025-26!AR3"")"),38.0)</f>
        <v>38</v>
      </c>
      <c r="CS49" s="59">
        <f t="shared" si="29"/>
        <v>0.5917101045</v>
      </c>
      <c r="CT49" s="55">
        <f>IFERROR(__xludf.DUMMYFUNCTION("IMPORTRANGE(""1ocgsSn3L-88dzzTXvjPnm-mRwf9KNXUnPd--lUdR6oc"",""2025-26!AS4"")"),1794810.0)</f>
        <v>1794810</v>
      </c>
      <c r="CU49" s="55">
        <f>IFERROR(__xludf.DUMMYFUNCTION("IMPORTRANGE(""1ocgsSn3L-88dzzTXvjPnm-mRwf9KNXUnPd--lUdR6oc"",""2025-26!AS3"")"),33.0)</f>
        <v>33</v>
      </c>
      <c r="CV49" s="60" t="s">
        <v>114</v>
      </c>
    </row>
    <row r="50">
      <c r="A50" s="1" t="s">
        <v>126</v>
      </c>
      <c r="B50" s="77" t="s">
        <v>127</v>
      </c>
      <c r="C50" s="80" t="s">
        <v>128</v>
      </c>
      <c r="D50" s="49" t="s">
        <v>129</v>
      </c>
      <c r="E50" s="50">
        <v>9.305013426E9</v>
      </c>
      <c r="F50" s="74">
        <v>41004.0</v>
      </c>
      <c r="G50" s="62"/>
      <c r="H50" s="62"/>
      <c r="I50" s="53">
        <f>VLOOKUP($C50,Data!$C:$BV,72,0)</f>
        <v>95834</v>
      </c>
      <c r="J50" s="57">
        <f>3866667+300000</f>
        <v>4166667</v>
      </c>
      <c r="K50" s="55">
        <f>IFERROR(__xludf.DUMMYFUNCTION("IMPORTRANGE(""1qB0wLF6n06Xjuz33RbhM7IXLGi5siQLFWFLO-uO9I_g"",""2025-26!A3"")"),82.0)</f>
        <v>82</v>
      </c>
      <c r="L50" s="55">
        <f>IFERROR(__xludf.DUMMYFUNCTION("IMPORTRANGE(""1qB0wLF6n06Xjuz33RbhM7IXLGi5siQLFWFLO-uO9I_g"",""2025-26!G4"")"),4.021E7)</f>
        <v>40210000</v>
      </c>
      <c r="M50" s="55">
        <f t="shared" si="41"/>
        <v>43631025.02</v>
      </c>
      <c r="N50" s="56">
        <f t="shared" si="42"/>
        <v>1.068529147</v>
      </c>
      <c r="O50" s="57">
        <f t="shared" si="43"/>
        <v>42965557</v>
      </c>
      <c r="P50" s="55">
        <f>IFERROR(__xludf.DUMMYFUNCTION("IMPORTRANGE(""1qB0wLF6n06Xjuz33RbhM7IXLGi5siQLFWFLO-uO9I_g"",""2025-26!J4"")"),1835000.0)</f>
        <v>1835000</v>
      </c>
      <c r="Q50" s="55">
        <f>IFERROR(__xludf.DUMMYFUNCTION("IMPORTRANGE(""1qB0wLF6n06Xjuz33RbhM7IXLGi5siQLFWFLO-uO9I_g"",""2025-26!J3"")"),20.0)</f>
        <v>20</v>
      </c>
      <c r="R50" s="55">
        <f>IFERROR(__xludf.DUMMYFUNCTION("IMPORTRANGE(""1qB0wLF6n06Xjuz33RbhM7IXLGi5siQLFWFLO-uO9I_g"",""2025-26!K4"")"),1936174.2000000004)</f>
        <v>1936174.2</v>
      </c>
      <c r="S50" s="55">
        <f>IFERROR(__xludf.DUMMYFUNCTION("IMPORTRANGE(""1qB0wLF6n06Xjuz33RbhM7IXLGi5siQLFWFLO-uO9I_g"",""2025-26!K3"")"),19.0)</f>
        <v>19</v>
      </c>
      <c r="T50" s="58">
        <f t="shared" si="18"/>
        <v>1.071009264</v>
      </c>
      <c r="U50" s="55">
        <f>IFERROR(__xludf.DUMMYFUNCTION("IMPORTRANGE(""1qB0wLF6n06Xjuz33RbhM7IXLGi5siQLFWFLO-uO9I_g"",""2025-26!L4"")"),1965302.0)</f>
        <v>1965302</v>
      </c>
      <c r="V50" s="55">
        <f>IFERROR(__xludf.DUMMYFUNCTION("IMPORTRANGE(""1qB0wLF6n06Xjuz33RbhM7IXLGi5siQLFWFLO-uO9I_g"",""2025-26!L3"")"),21.0)</f>
        <v>21</v>
      </c>
      <c r="W50" s="55">
        <f>IFERROR(__xludf.DUMMYFUNCTION("IMPORTRANGE(""1qB0wLF6n06Xjuz33RbhM7IXLGi5siQLFWFLO-uO9I_g"",""2025-26!m4"")"),3355000.0)</f>
        <v>3355000</v>
      </c>
      <c r="X50" s="55">
        <f>IFERROR(__xludf.DUMMYFUNCTION("IMPORTRANGE(""1qB0wLF6n06Xjuz33RbhM7IXLGi5siQLFWFLO-uO9I_g"",""2025-26!m3"")"),48.0)</f>
        <v>48</v>
      </c>
      <c r="Y50" s="55">
        <f>IFERROR(__xludf.DUMMYFUNCTION("IMPORTRANGE(""1qB0wLF6n06Xjuz33RbhM7IXLGi5siQLFWFLO-uO9I_g"",""2025-26!N4"")"),3760136.9999999995)</f>
        <v>3760137</v>
      </c>
      <c r="Z50" s="55">
        <f>IFERROR(__xludf.DUMMYFUNCTION("IMPORTRANGE(""1qB0wLF6n06Xjuz33RbhM7IXLGi5siQLFWFLO-uO9I_g"",""2025-26!N3"")"),34.0)</f>
        <v>34</v>
      </c>
      <c r="AA50" s="58">
        <f t="shared" si="19"/>
        <v>1.015984203</v>
      </c>
      <c r="AB50" s="55">
        <f>IFERROR(__xludf.DUMMYFUNCTION("IMPORTRANGE(""1qB0wLF6n06Xjuz33RbhM7IXLGi5siQLFWFLO-uO9I_g"",""2025-26!O4"")"),3408627.0)</f>
        <v>3408627</v>
      </c>
      <c r="AC50" s="55">
        <f>IFERROR(__xludf.DUMMYFUNCTION("IMPORTRANGE(""1qB0wLF6n06Xjuz33RbhM7IXLGi5siQLFWFLO-uO9I_g"",""2025-26!O3"")"),36.0)</f>
        <v>36</v>
      </c>
      <c r="AD50" s="55">
        <f>IFERROR(__xludf.DUMMYFUNCTION("IMPORTRANGE(""1qB0wLF6n06Xjuz33RbhM7IXLGi5siQLFWFLO-uO9I_g"",""2025-26!P4"")"),2385000.0)</f>
        <v>2385000</v>
      </c>
      <c r="AE50" s="55">
        <f>IFERROR(__xludf.DUMMYFUNCTION("IMPORTRANGE(""1qB0wLF6n06Xjuz33RbhM7IXLGi5siQLFWFLO-uO9I_g"",""2025-26!P3"")"),46.0)</f>
        <v>46</v>
      </c>
      <c r="AF50" s="55">
        <f>IFERROR(__xludf.DUMMYFUNCTION("IMPORTRANGE(""1qB0wLF6n06Xjuz33RbhM7IXLGi5siQLFWFLO-uO9I_g"",""2025-26!Q4"")"),3692420.3000000007)</f>
        <v>3692420.3</v>
      </c>
      <c r="AG50" s="55">
        <f>IFERROR(__xludf.DUMMYFUNCTION("IMPORTRANGE(""1qB0wLF6n06Xjuz33RbhM7IXLGi5siQLFWFLO-uO9I_g"",""2025-26!Q3"")"),30.0)</f>
        <v>30</v>
      </c>
      <c r="AH50" s="58">
        <f t="shared" si="20"/>
        <v>1.833859958</v>
      </c>
      <c r="AI50" s="55">
        <f>IFERROR(__xludf.DUMMYFUNCTION("IMPORTRANGE(""1qB0wLF6n06Xjuz33RbhM7IXLGi5siQLFWFLO-uO9I_g"",""2025-26!R4"")"),4373756.0)</f>
        <v>4373756</v>
      </c>
      <c r="AJ50" s="55">
        <f>IFERROR(__xludf.DUMMYFUNCTION("IMPORTRANGE(""1qB0wLF6n06Xjuz33RbhM7IXLGi5siQLFWFLO-uO9I_g"",""2025-26!R3"")"),40.0)</f>
        <v>40</v>
      </c>
      <c r="AK50" s="55">
        <f>IFERROR(__xludf.DUMMYFUNCTION("IMPORTRANGE(""1qB0wLF6n06Xjuz33RbhM7IXLGi5siQLFWFLO-uO9I_g"",""2025-26!S4"")"),4025000.0)</f>
        <v>4025000</v>
      </c>
      <c r="AL50" s="55">
        <f>IFERROR(__xludf.DUMMYFUNCTION("IMPORTRANGE(""1qB0wLF6n06Xjuz33RbhM7IXLGi5siQLFWFLO-uO9I_g"",""2025-26!S3"")"),46.0)</f>
        <v>46</v>
      </c>
      <c r="AM50" s="55">
        <f>IFERROR(__xludf.DUMMYFUNCTION("IMPORTRANGE(""1qB0wLF6n06Xjuz33RbhM7IXLGi5siQLFWFLO-uO9I_g"",""2025-26!T4"")"),2583976.87)</f>
        <v>2583976.87</v>
      </c>
      <c r="AN50" s="55">
        <f>IFERROR(__xludf.DUMMYFUNCTION("IMPORTRANGE(""1qB0wLF6n06Xjuz33RbhM7IXLGi5siQLFWFLO-uO9I_g"",""2025-26!T3"")"),24.0)</f>
        <v>24</v>
      </c>
      <c r="AO50" s="58">
        <f t="shared" si="21"/>
        <v>0.6301778882</v>
      </c>
      <c r="AP50" s="55">
        <f>IFERROR(__xludf.DUMMYFUNCTION("IMPORTRANGE(""1qB0wLF6n06Xjuz33RbhM7IXLGi5siQLFWFLO-uO9I_g"",""2025-26!U4"")"),2536466.0)</f>
        <v>2536466</v>
      </c>
      <c r="AQ50" s="55">
        <f>IFERROR(__xludf.DUMMYFUNCTION("IMPORTRANGE(""1qB0wLF6n06Xjuz33RbhM7IXLGi5siQLFWFLO-uO9I_g"",""2025-26!U3"")"),27.0)</f>
        <v>27</v>
      </c>
      <c r="AR50" s="55">
        <f>IFERROR(__xludf.DUMMYFUNCTION("IMPORTRANGE(""1qB0wLF6n06Xjuz33RbhM7IXLGi5siQLFWFLO-uO9I_g"",""2025-26!V4"")"),4385000.0)</f>
        <v>4385000</v>
      </c>
      <c r="AS50" s="55">
        <f>IFERROR(__xludf.DUMMYFUNCTION("IMPORTRANGE(""1qB0wLF6n06Xjuz33RbhM7IXLGi5siQLFWFLO-uO9I_g"",""2025-26!V3"")"),50.0)</f>
        <v>50</v>
      </c>
      <c r="AT50" s="55">
        <f>IFERROR(__xludf.DUMMYFUNCTION("IMPORTRANGE(""1qB0wLF6n06Xjuz33RbhM7IXLGi5siQLFWFLO-uO9I_g"",""2025-26!W4"")"),2935363.339999999)</f>
        <v>2935363.34</v>
      </c>
      <c r="AU50" s="55">
        <f>IFERROR(__xludf.DUMMYFUNCTION("IMPORTRANGE(""1qB0wLF6n06Xjuz33RbhM7IXLGi5siQLFWFLO-uO9I_g"",""2025-26!W3"")"),30.0)</f>
        <v>30</v>
      </c>
      <c r="AV50" s="58">
        <f t="shared" si="22"/>
        <v>0.6552738883</v>
      </c>
      <c r="AW50" s="55">
        <f>IFERROR(__xludf.DUMMYFUNCTION("IMPORTRANGE(""1qB0wLF6n06Xjuz33RbhM7IXLGi5siQLFWFLO-uO9I_g"",""2025-26!X4"")"),2873376.0)</f>
        <v>2873376</v>
      </c>
      <c r="AX50" s="55">
        <f>IFERROR(__xludf.DUMMYFUNCTION("IMPORTRANGE(""1qB0wLF6n06Xjuz33RbhM7IXLGi5siQLFWFLO-uO9I_g"",""2025-26!X3"")"),32.0)</f>
        <v>32</v>
      </c>
      <c r="AY50" s="55">
        <f>IFERROR(__xludf.DUMMYFUNCTION("IMPORTRANGE(""1qB0wLF6n06Xjuz33RbhM7IXLGi5siQLFWFLO-uO9I_g"",""2025-26!Y4"")"),3965000.0)</f>
        <v>3965000</v>
      </c>
      <c r="AZ50" s="55">
        <f>IFERROR(__xludf.DUMMYFUNCTION("IMPORTRANGE(""1qB0wLF6n06Xjuz33RbhM7IXLGi5siQLFWFLO-uO9I_g"",""2025-26!Y3"")"),51.0)</f>
        <v>51</v>
      </c>
      <c r="BA50" s="55">
        <f>IFERROR(__xludf.DUMMYFUNCTION("IMPORTRANGE(""1qB0wLF6n06Xjuz33RbhM7IXLGi5siQLFWFLO-uO9I_g"",""2025-26!Z4"")"),3225692.4599999995)</f>
        <v>3225692.46</v>
      </c>
      <c r="BB50" s="55">
        <f>IFERROR(__xludf.DUMMYFUNCTION("IMPORTRANGE(""1qB0wLF6n06Xjuz33RbhM7IXLGi5siQLFWFLO-uO9I_g"",""2025-26!Z3"")"),32.0)</f>
        <v>32</v>
      </c>
      <c r="BC50" s="59">
        <f t="shared" si="23"/>
        <v>0.7344945776</v>
      </c>
      <c r="BD50" s="55">
        <f>IFERROR(__xludf.DUMMYFUNCTION("IMPORTRANGE(""1qB0wLF6n06Xjuz33RbhM7IXLGi5siQLFWFLO-uO9I_g"",""2025-26!AA4"")"),2912271.0)</f>
        <v>2912271</v>
      </c>
      <c r="BE50" s="55">
        <f>IFERROR(__xludf.DUMMYFUNCTION("IMPORTRANGE(""1qB0wLF6n06Xjuz33RbhM7IXLGi5siQLFWFLO-uO9I_g"",""2025-26!AA3"")"),33.0)</f>
        <v>33</v>
      </c>
      <c r="BF50" s="55">
        <f>IFERROR(__xludf.DUMMYFUNCTION("IMPORTRANGE(""1qB0wLF6n06Xjuz33RbhM7IXLGi5siQLFWFLO-uO9I_g"",""2025-26!AB4"")"),4215000.0)</f>
        <v>4215000</v>
      </c>
      <c r="BG50" s="55">
        <f>IFERROR(__xludf.DUMMYFUNCTION("IMPORTRANGE(""1qB0wLF6n06Xjuz33RbhM7IXLGi5siQLFWFLO-uO9I_g"",""2025-26!AB3"")"),51.0)</f>
        <v>51</v>
      </c>
      <c r="BH50" s="55">
        <f>IFERROR(__xludf.DUMMYFUNCTION("IMPORTRANGE(""1qB0wLF6n06Xjuz33RbhM7IXLGi5siQLFWFLO-uO9I_g"",""2025-26!AC4"")"),3862150.329999999)</f>
        <v>3862150.33</v>
      </c>
      <c r="BI50" s="55">
        <f>IFERROR(__xludf.DUMMYFUNCTION("IMPORTRANGE(""1qB0wLF6n06Xjuz33RbhM7IXLGi5siQLFWFLO-uO9I_g"",""2025-26!AC3"")"),40.0)</f>
        <v>40</v>
      </c>
      <c r="BJ50" s="59">
        <f t="shared" si="24"/>
        <v>0.8598327402</v>
      </c>
      <c r="BK50" s="55">
        <f>IFERROR(__xludf.DUMMYFUNCTION("IMPORTRANGE(""1qB0wLF6n06Xjuz33RbhM7IXLGi5siQLFWFLO-uO9I_g"",""2025-26!AD4"")"),3624195.0)</f>
        <v>3624195</v>
      </c>
      <c r="BL50" s="55">
        <f>IFERROR(__xludf.DUMMYFUNCTION("IMPORTRANGE(""1qB0wLF6n06Xjuz33RbhM7IXLGi5siQLFWFLO-uO9I_g"",""2025-26!AD3"")"),42.0)</f>
        <v>42</v>
      </c>
      <c r="BM50" s="55">
        <f>IFERROR(__xludf.DUMMYFUNCTION("IMPORTRANGE(""1qB0wLF6n06Xjuz33RbhM7IXLGi5siQLFWFLO-uO9I_g"",""2025-26!AE4"")"),4195000.0)</f>
        <v>4195000</v>
      </c>
      <c r="BN50" s="55">
        <f>IFERROR(__xludf.DUMMYFUNCTION("IMPORTRANGE(""1qB0wLF6n06Xjuz33RbhM7IXLGi5siQLFWFLO-uO9I_g"",""2025-26!AE3"")"),50.0)</f>
        <v>50</v>
      </c>
      <c r="BO50" s="55">
        <f>IFERROR(__xludf.DUMMYFUNCTION("IMPORTRANGE(""1qB0wLF6n06Xjuz33RbhM7IXLGi5siQLFWFLO-uO9I_g"",""2025-26!AF4"")"),3851705.409999999)</f>
        <v>3851705.41</v>
      </c>
      <c r="BP50" s="55">
        <f>IFERROR(__xludf.DUMMYFUNCTION("IMPORTRANGE(""1qB0wLF6n06Xjuz33RbhM7IXLGi5siQLFWFLO-uO9I_g"",""2025-26!AF3"")"),38.0)</f>
        <v>38</v>
      </c>
      <c r="BQ50" s="59">
        <f t="shared" si="25"/>
        <v>0.9058579261</v>
      </c>
      <c r="BR50" s="55">
        <f>IFERROR(__xludf.DUMMYFUNCTION("IMPORTRANGE(""1qB0wLF6n06Xjuz33RbhM7IXLGi5siQLFWFLO-uO9I_g"",""2025-26!AG4"")"),3800074.0)</f>
        <v>3800074</v>
      </c>
      <c r="BS50" s="55">
        <f>IFERROR(__xludf.DUMMYFUNCTION("IMPORTRANGE(""1qB0wLF6n06Xjuz33RbhM7IXLGi5siQLFWFLO-uO9I_g"",""2025-26!AG3"")"),40.0)</f>
        <v>40</v>
      </c>
      <c r="BT50" s="55">
        <f>IFERROR(__xludf.DUMMYFUNCTION("IMPORTRANGE(""1qB0wLF6n06Xjuz33RbhM7IXLGi5siQLFWFLO-uO9I_g"",""2025-26!AH4"")"),4290000.0)</f>
        <v>4290000</v>
      </c>
      <c r="BU50" s="55">
        <f>IFERROR(__xludf.DUMMYFUNCTION("IMPORTRANGE(""1qB0wLF6n06Xjuz33RbhM7IXLGi5siQLFWFLO-uO9I_g"",""2025-26!AH3"")"),52.0)</f>
        <v>52</v>
      </c>
      <c r="BV50" s="55">
        <f>IFERROR(__xludf.DUMMYFUNCTION("IMPORTRANGE(""1qB0wLF6n06Xjuz33RbhM7IXLGi5siQLFWFLO-uO9I_g"",""2025-26!AI4"")"),4917138.900000001)</f>
        <v>4917138.9</v>
      </c>
      <c r="BW50" s="55">
        <f>IFERROR(__xludf.DUMMYFUNCTION("IMPORTRANGE(""1qB0wLF6n06Xjuz33RbhM7IXLGi5siQLFWFLO-uO9I_g"",""2025-26!AI3"")"),36.0)</f>
        <v>36</v>
      </c>
      <c r="BX50" s="59">
        <f t="shared" si="26"/>
        <v>1.117908392</v>
      </c>
      <c r="BY50" s="55">
        <f>IFERROR(__xludf.DUMMYFUNCTION("IMPORTRANGE(""1qB0wLF6n06Xjuz33RbhM7IXLGi5siQLFWFLO-uO9I_g"",""2025-26!AJ4"")"),4795827.0)</f>
        <v>4795827</v>
      </c>
      <c r="BZ50" s="55">
        <f>IFERROR(__xludf.DUMMYFUNCTION("IMPORTRANGE(""1qB0wLF6n06Xjuz33RbhM7IXLGi5siQLFWFLO-uO9I_g"",""2025-26!AJ3"")"),40.0)</f>
        <v>40</v>
      </c>
      <c r="CA50" s="55">
        <f>IFERROR(__xludf.DUMMYFUNCTION("IMPORTRANGE(""1qB0wLF6n06Xjuz33RbhM7IXLGi5siQLFWFLO-uO9I_g"",""2025-26!AK4"")"),4190000.0)</f>
        <v>4190000</v>
      </c>
      <c r="CB50" s="55">
        <f>IFERROR(__xludf.DUMMYFUNCTION("IMPORTRANGE(""1qB0wLF6n06Xjuz33RbhM7IXLGi5siQLFWFLO-uO9I_g"",""2025-26!AK3"")"),53.0)</f>
        <v>53</v>
      </c>
      <c r="CC50" s="55">
        <f>IFERROR(__xludf.DUMMYFUNCTION("IMPORTRANGE(""1qB0wLF6n06Xjuz33RbhM7IXLGi5siQLFWFLO-uO9I_g"",""2025-26!AL4"")"),3565079.3299999996)</f>
        <v>3565079.33</v>
      </c>
      <c r="CD50" s="55">
        <f>IFERROR(__xludf.DUMMYFUNCTION("IMPORTRANGE(""1qB0wLF6n06Xjuz33RbhM7IXLGi5siQLFWFLO-uO9I_g"",""2025-26!AL3"")"),36.0)</f>
        <v>36</v>
      </c>
      <c r="CE50" s="59">
        <f t="shared" si="27"/>
        <v>0.8172665871</v>
      </c>
      <c r="CF50" s="55">
        <f>IFERROR(__xludf.DUMMYFUNCTION("IMPORTRANGE(""1qB0wLF6n06Xjuz33RbhM7IXLGi5siQLFWFLO-uO9I_g"",""2025-26!AM4"")"),3424347.0)</f>
        <v>3424347</v>
      </c>
      <c r="CG50" s="55">
        <f>IFERROR(__xludf.DUMMYFUNCTION("IMPORTRANGE(""1qB0wLF6n06Xjuz33RbhM7IXLGi5siQLFWFLO-uO9I_g"",""2025-26!AM3"")"),38.0)</f>
        <v>38</v>
      </c>
      <c r="CH50" s="55">
        <f>IFERROR(__xludf.DUMMYFUNCTION("IMPORTRANGE(""1qB0wLF6n06Xjuz33RbhM7IXLGi5siQLFWFLO-uO9I_g"",""2025-26!AN4"")"),4345000.0)</f>
        <v>4345000</v>
      </c>
      <c r="CI50" s="55">
        <f>IFERROR(__xludf.DUMMYFUNCTION("IMPORTRANGE(""1qB0wLF6n06Xjuz33RbhM7IXLGi5siQLFWFLO-uO9I_g"",""2025-26!AN3"")"),48.0)</f>
        <v>48</v>
      </c>
      <c r="CJ50" s="55">
        <f>IFERROR(__xludf.DUMMYFUNCTION("IMPORTRANGE(""1qB0wLF6n06Xjuz33RbhM7IXLGi5siQLFWFLO-uO9I_g"",""2025-26!AO4"")"),4144871.0600000015)</f>
        <v>4144871.06</v>
      </c>
      <c r="CK50" s="55">
        <f>IFERROR(__xludf.DUMMYFUNCTION("IMPORTRANGE(""1qB0wLF6n06Xjuz33RbhM7IXLGi5siQLFWFLO-uO9I_g"",""2025-26!AO3"")"),42.0)</f>
        <v>42</v>
      </c>
      <c r="CL50" s="59">
        <f t="shared" si="28"/>
        <v>0.9103705409</v>
      </c>
      <c r="CM50" s="55">
        <f>IFERROR(__xludf.DUMMYFUNCTION("IMPORTRANGE(""1qB0wLF6n06Xjuz33RbhM7IXLGi5siQLFWFLO-uO9I_g"",""2025-26!AP4"")"),3955560.0)</f>
        <v>3955560</v>
      </c>
      <c r="CN50" s="55">
        <f>IFERROR(__xludf.DUMMYFUNCTION("IMPORTRANGE(""1qB0wLF6n06Xjuz33RbhM7IXLGi5siQLFWFLO-uO9I_g"",""2025-26!AP3"")"),42.0)</f>
        <v>42</v>
      </c>
      <c r="CO50" s="55">
        <f>IFERROR(__xludf.DUMMYFUNCTION("IMPORTRANGE(""1qB0wLF6n06Xjuz33RbhM7IXLGi5siQLFWFLO-uO9I_g"",""2025-26!AQ4"")"),5020000.0)</f>
        <v>5020000</v>
      </c>
      <c r="CP50" s="55">
        <f>IFERROR(__xludf.DUMMYFUNCTION("IMPORTRANGE(""1qB0wLF6n06Xjuz33RbhM7IXLGi5siQLFWFLO-uO9I_g"",""2025-26!AQ3"")"),50.0)</f>
        <v>50</v>
      </c>
      <c r="CQ50" s="55">
        <f>IFERROR(__xludf.DUMMYFUNCTION("IMPORTRANGE(""1qB0wLF6n06Xjuz33RbhM7IXLGi5siQLFWFLO-uO9I_g"",""2025-26!AR4"")"),5156315.82)</f>
        <v>5156315.82</v>
      </c>
      <c r="CR50" s="55">
        <f>IFERROR(__xludf.DUMMYFUNCTION("IMPORTRANGE(""1qB0wLF6n06Xjuz33RbhM7IXLGi5siQLFWFLO-uO9I_g"",""2025-26!AR3"")"),44.0)</f>
        <v>44</v>
      </c>
      <c r="CS50" s="59">
        <f t="shared" si="29"/>
        <v>1.054931474</v>
      </c>
      <c r="CT50" s="55">
        <f>IFERROR(__xludf.DUMMYFUNCTION("IMPORTRANGE(""1qB0wLF6n06Xjuz33RbhM7IXLGi5siQLFWFLO-uO9I_g"",""2025-26!AS4"")"),5295756.0)</f>
        <v>5295756</v>
      </c>
      <c r="CU50" s="55">
        <f>IFERROR(__xludf.DUMMYFUNCTION("IMPORTRANGE(""1qB0wLF6n06Xjuz33RbhM7IXLGi5siQLFWFLO-uO9I_g"",""2025-26!AS3"")"),44.0)</f>
        <v>44</v>
      </c>
      <c r="CV50" s="60" t="s">
        <v>130</v>
      </c>
    </row>
    <row r="51">
      <c r="A51" s="1" t="s">
        <v>126</v>
      </c>
      <c r="B51" s="37"/>
      <c r="C51" s="80" t="s">
        <v>131</v>
      </c>
      <c r="D51" s="49" t="s">
        <v>132</v>
      </c>
      <c r="E51" s="50">
        <v>9.889225789E9</v>
      </c>
      <c r="F51" s="74">
        <v>42619.0</v>
      </c>
      <c r="G51" s="62"/>
      <c r="H51" s="62"/>
      <c r="I51" s="53">
        <f>VLOOKUP($C51,Data!$C:$BV,72,0)</f>
        <v>76210</v>
      </c>
      <c r="J51" s="57">
        <v>3125000.0</v>
      </c>
      <c r="K51" s="55">
        <f>IFERROR(__xludf.DUMMYFUNCTION("IMPORTRANGE(""1782y0Ibe1yvSMN3u9Xl6eOr76HRhRm0OHFWC8W9DhHQ"",""2025-26!A3"")"),102.0)</f>
        <v>102</v>
      </c>
      <c r="L51" s="55">
        <f>IFERROR(__xludf.DUMMYFUNCTION("IMPORTRANGE(""1782y0Ibe1yvSMN3u9Xl6eOr76HRhRm0OHFWC8W9DhHQ"",""2025-26!G4"")"),3.42E7)</f>
        <v>34200000</v>
      </c>
      <c r="M51" s="55">
        <f t="shared" si="41"/>
        <v>20294788.37</v>
      </c>
      <c r="N51" s="56">
        <f t="shared" si="42"/>
        <v>0.6094532398</v>
      </c>
      <c r="O51" s="57">
        <f t="shared" si="43"/>
        <v>20843300.8</v>
      </c>
      <c r="P51" s="55">
        <f>IFERROR(__xludf.DUMMYFUNCTION("IMPORTRANGE(""1782y0Ibe1yvSMN3u9Xl6eOr76HRhRm0OHFWC8W9DhHQ"",""2025-26!J4"")"),2830000.0)</f>
        <v>2830000</v>
      </c>
      <c r="Q51" s="55">
        <f>IFERROR(__xludf.DUMMYFUNCTION("IMPORTRANGE(""1782y0Ibe1yvSMN3u9Xl6eOr76HRhRm0OHFWC8W9DhHQ"",""2025-26!J3"")"),63.0)</f>
        <v>63</v>
      </c>
      <c r="R51" s="55">
        <f>IFERROR(__xludf.DUMMYFUNCTION("IMPORTRANGE(""1782y0Ibe1yvSMN3u9Xl6eOr76HRhRm0OHFWC8W9DhHQ"",""2025-26!K4"")"),1516971.6)</f>
        <v>1516971.6</v>
      </c>
      <c r="S51" s="55">
        <f>IFERROR(__xludf.DUMMYFUNCTION("IMPORTRANGE(""1782y0Ibe1yvSMN3u9Xl6eOr76HRhRm0OHFWC8W9DhHQ"",""2025-26!K3"")"),20.0)</f>
        <v>20</v>
      </c>
      <c r="T51" s="58">
        <f t="shared" si="18"/>
        <v>0.5695376325</v>
      </c>
      <c r="U51" s="55">
        <f>IFERROR(__xludf.DUMMYFUNCTION("IMPORTRANGE(""1782y0Ibe1yvSMN3u9Xl6eOr76HRhRm0OHFWC8W9DhHQ"",""2025-26!L4"")"),1611791.5)</f>
        <v>1611791.5</v>
      </c>
      <c r="V51" s="55">
        <f>IFERROR(__xludf.DUMMYFUNCTION("IMPORTRANGE(""1782y0Ibe1yvSMN3u9Xl6eOr76HRhRm0OHFWC8W9DhHQ"",""2025-26!L3"")"),25.0)</f>
        <v>25</v>
      </c>
      <c r="W51" s="55">
        <f>IFERROR(__xludf.DUMMYFUNCTION("IMPORTRANGE(""1782y0Ibe1yvSMN3u9Xl6eOr76HRhRm0OHFWC8W9DhHQ"",""2025-26!m4"")"),3530000.0)</f>
        <v>3530000</v>
      </c>
      <c r="X51" s="55">
        <f>IFERROR(__xludf.DUMMYFUNCTION("IMPORTRANGE(""1782y0Ibe1yvSMN3u9Xl6eOr76HRhRm0OHFWC8W9DhHQ"",""2025-26!m3"")"),63.0)</f>
        <v>63</v>
      </c>
      <c r="Y51" s="55">
        <f>IFERROR(__xludf.DUMMYFUNCTION("IMPORTRANGE(""1782y0Ibe1yvSMN3u9Xl6eOr76HRhRm0OHFWC8W9DhHQ"",""2025-26!N4"")"),2103328.04)</f>
        <v>2103328.04</v>
      </c>
      <c r="Z51" s="55">
        <f>IFERROR(__xludf.DUMMYFUNCTION("IMPORTRANGE(""1782y0Ibe1yvSMN3u9Xl6eOr76HRhRm0OHFWC8W9DhHQ"",""2025-26!N3"")"),26.0)</f>
        <v>26</v>
      </c>
      <c r="AA51" s="58">
        <f t="shared" si="19"/>
        <v>0.569384221</v>
      </c>
      <c r="AB51" s="55">
        <f>IFERROR(__xludf.DUMMYFUNCTION("IMPORTRANGE(""1782y0Ibe1yvSMN3u9Xl6eOr76HRhRm0OHFWC8W9DhHQ"",""2025-26!O4"")"),2009926.2999999998)</f>
        <v>2009926.3</v>
      </c>
      <c r="AC51" s="55">
        <f>IFERROR(__xludf.DUMMYFUNCTION("IMPORTRANGE(""1782y0Ibe1yvSMN3u9Xl6eOr76HRhRm0OHFWC8W9DhHQ"",""2025-26!O3"")"),25.0)</f>
        <v>25</v>
      </c>
      <c r="AD51" s="55">
        <f>IFERROR(__xludf.DUMMYFUNCTION("IMPORTRANGE(""1782y0Ibe1yvSMN3u9Xl6eOr76HRhRm0OHFWC8W9DhHQ"",""2025-26!P4"")"),3170000.0)</f>
        <v>3170000</v>
      </c>
      <c r="AE51" s="55">
        <f>IFERROR(__xludf.DUMMYFUNCTION("IMPORTRANGE(""1782y0Ibe1yvSMN3u9Xl6eOr76HRhRm0OHFWC8W9DhHQ"",""2025-26!P3"")"),65.0)</f>
        <v>65</v>
      </c>
      <c r="AF51" s="55">
        <f>IFERROR(__xludf.DUMMYFUNCTION("IMPORTRANGE(""1782y0Ibe1yvSMN3u9Xl6eOr76HRhRm0OHFWC8W9DhHQ"",""2025-26!Q4"")"),1943511.1829687497)</f>
        <v>1943511.183</v>
      </c>
      <c r="AG51" s="55">
        <f>IFERROR(__xludf.DUMMYFUNCTION("IMPORTRANGE(""1782y0Ibe1yvSMN3u9Xl6eOr76HRhRm0OHFWC8W9DhHQ"",""2025-26!Q3"")"),25.0)</f>
        <v>25</v>
      </c>
      <c r="AH51" s="58">
        <f t="shared" si="20"/>
        <v>0.6820476341</v>
      </c>
      <c r="AI51" s="55">
        <f>IFERROR(__xludf.DUMMYFUNCTION("IMPORTRANGE(""1782y0Ibe1yvSMN3u9Xl6eOr76HRhRm0OHFWC8W9DhHQ"",""2025-26!R4"")"),2162091.0)</f>
        <v>2162091</v>
      </c>
      <c r="AJ51" s="55">
        <f>IFERROR(__xludf.DUMMYFUNCTION("IMPORTRANGE(""1782y0Ibe1yvSMN3u9Xl6eOr76HRhRm0OHFWC8W9DhHQ"",""2025-26!R3"")"),30.0)</f>
        <v>30</v>
      </c>
      <c r="AK51" s="55">
        <f>IFERROR(__xludf.DUMMYFUNCTION("IMPORTRANGE(""1782y0Ibe1yvSMN3u9Xl6eOr76HRhRm0OHFWC8W9DhHQ"",""2025-26!S4"")"),2615000.0)</f>
        <v>2615000</v>
      </c>
      <c r="AL51" s="55">
        <f>IFERROR(__xludf.DUMMYFUNCTION("IMPORTRANGE(""1782y0Ibe1yvSMN3u9Xl6eOr76HRhRm0OHFWC8W9DhHQ"",""2025-26!S3"")"),62.0)</f>
        <v>62</v>
      </c>
      <c r="AM51" s="55">
        <f>IFERROR(__xludf.DUMMYFUNCTION("IMPORTRANGE(""1782y0Ibe1yvSMN3u9Xl6eOr76HRhRm0OHFWC8W9DhHQ"",""2025-26!T4"")"),2721396.2299999995)</f>
        <v>2721396.23</v>
      </c>
      <c r="AN51" s="55">
        <f>IFERROR(__xludf.DUMMYFUNCTION("IMPORTRANGE(""1782y0Ibe1yvSMN3u9Xl6eOr76HRhRm0OHFWC8W9DhHQ"",""2025-26!T3"")"),23.0)</f>
        <v>23</v>
      </c>
      <c r="AO51" s="58">
        <f t="shared" si="21"/>
        <v>1.043016061</v>
      </c>
      <c r="AP51" s="55">
        <f>IFERROR(__xludf.DUMMYFUNCTION("IMPORTRANGE(""1782y0Ibe1yvSMN3u9Xl6eOr76HRhRm0OHFWC8W9DhHQ"",""2025-26!U4"")"),2727487.0)</f>
        <v>2727487</v>
      </c>
      <c r="AQ51" s="55">
        <f>IFERROR(__xludf.DUMMYFUNCTION("IMPORTRANGE(""1782y0Ibe1yvSMN3u9Xl6eOr76HRhRm0OHFWC8W9DhHQ"",""2025-26!U3"")"),23.0)</f>
        <v>23</v>
      </c>
      <c r="AR51" s="55">
        <f>IFERROR(__xludf.DUMMYFUNCTION("IMPORTRANGE(""1782y0Ibe1yvSMN3u9Xl6eOr76HRhRm0OHFWC8W9DhHQ"",""2025-26!V4"")"),2615000.0)</f>
        <v>2615000</v>
      </c>
      <c r="AS51" s="55">
        <f>IFERROR(__xludf.DUMMYFUNCTION("IMPORTRANGE(""1782y0Ibe1yvSMN3u9Xl6eOr76HRhRm0OHFWC8W9DhHQ"",""2025-26!V3"")"),62.0)</f>
        <v>62</v>
      </c>
      <c r="AT51" s="55">
        <f>IFERROR(__xludf.DUMMYFUNCTION("IMPORTRANGE(""1782y0Ibe1yvSMN3u9Xl6eOr76HRhRm0OHFWC8W9DhHQ"",""2025-26!W4"")"),1462023.0699999998)</f>
        <v>1462023.07</v>
      </c>
      <c r="AU51" s="55">
        <f>IFERROR(__xludf.DUMMYFUNCTION("IMPORTRANGE(""1782y0Ibe1yvSMN3u9Xl6eOr76HRhRm0OHFWC8W9DhHQ"",""2025-26!W3"")"),21.0)</f>
        <v>21</v>
      </c>
      <c r="AV51" s="58">
        <f t="shared" si="22"/>
        <v>0.5713422562</v>
      </c>
      <c r="AW51" s="55">
        <f>IFERROR(__xludf.DUMMYFUNCTION("IMPORTRANGE(""1782y0Ibe1yvSMN3u9Xl6eOr76HRhRm0OHFWC8W9DhHQ"",""2025-26!X4"")"),1494060.0)</f>
        <v>1494060</v>
      </c>
      <c r="AX51" s="55">
        <f>IFERROR(__xludf.DUMMYFUNCTION("IMPORTRANGE(""1782y0Ibe1yvSMN3u9Xl6eOr76HRhRm0OHFWC8W9DhHQ"",""2025-26!X3"")"),21.0)</f>
        <v>21</v>
      </c>
      <c r="AY51" s="55">
        <f>IFERROR(__xludf.DUMMYFUNCTION("IMPORTRANGE(""1782y0Ibe1yvSMN3u9Xl6eOr76HRhRm0OHFWC8W9DhHQ"",""2025-26!Y4"")"),2615000.0)</f>
        <v>2615000</v>
      </c>
      <c r="AZ51" s="55">
        <f>IFERROR(__xludf.DUMMYFUNCTION("IMPORTRANGE(""1782y0Ibe1yvSMN3u9Xl6eOr76HRhRm0OHFWC8W9DhHQ"",""2025-26!Y3"")"),62.0)</f>
        <v>62</v>
      </c>
      <c r="BA51" s="55">
        <f>IFERROR(__xludf.DUMMYFUNCTION("IMPORTRANGE(""1782y0Ibe1yvSMN3u9Xl6eOr76HRhRm0OHFWC8W9DhHQ"",""2025-26!Z4"")"),1516251.4)</f>
        <v>1516251.4</v>
      </c>
      <c r="BB51" s="55">
        <f>IFERROR(__xludf.DUMMYFUNCTION("IMPORTRANGE(""1782y0Ibe1yvSMN3u9Xl6eOr76HRhRm0OHFWC8W9DhHQ"",""2025-26!Z3"")"),20.0)</f>
        <v>20</v>
      </c>
      <c r="BC51" s="59">
        <f t="shared" si="23"/>
        <v>0.5801422562</v>
      </c>
      <c r="BD51" s="55">
        <f>IFERROR(__xludf.DUMMYFUNCTION("IMPORTRANGE(""1782y0Ibe1yvSMN3u9Xl6eOr76HRhRm0OHFWC8W9DhHQ"",""2025-26!AA4"")"),1517072.0)</f>
        <v>1517072</v>
      </c>
      <c r="BE51" s="55">
        <f>IFERROR(__xludf.DUMMYFUNCTION("IMPORTRANGE(""1782y0Ibe1yvSMN3u9Xl6eOr76HRhRm0OHFWC8W9DhHQ"",""2025-26!AA3"")"),20.0)</f>
        <v>20</v>
      </c>
      <c r="BF51" s="55">
        <f>IFERROR(__xludf.DUMMYFUNCTION("IMPORTRANGE(""1782y0Ibe1yvSMN3u9Xl6eOr76HRhRm0OHFWC8W9DhHQ"",""2025-26!AB4"")"),2605000.0)</f>
        <v>2605000</v>
      </c>
      <c r="BG51" s="55">
        <f>IFERROR(__xludf.DUMMYFUNCTION("IMPORTRANGE(""1782y0Ibe1yvSMN3u9Xl6eOr76HRhRm0OHFWC8W9DhHQ"",""2025-26!AB3"")"),39.0)</f>
        <v>39</v>
      </c>
      <c r="BH51" s="55">
        <f>IFERROR(__xludf.DUMMYFUNCTION("IMPORTRANGE(""1782y0Ibe1yvSMN3u9Xl6eOr76HRhRm0OHFWC8W9DhHQ"",""2025-26!AC4"")"),712568.0)</f>
        <v>712568</v>
      </c>
      <c r="BI51" s="55">
        <f>IFERROR(__xludf.DUMMYFUNCTION("IMPORTRANGE(""1782y0Ibe1yvSMN3u9Xl6eOr76HRhRm0OHFWC8W9DhHQ"",""2025-26!AC3"")"),4.0)</f>
        <v>4</v>
      </c>
      <c r="BJ51" s="59">
        <f t="shared" si="24"/>
        <v>0.3560479846</v>
      </c>
      <c r="BK51" s="55">
        <f>IFERROR(__xludf.DUMMYFUNCTION("IMPORTRANGE(""1782y0Ibe1yvSMN3u9Xl6eOr76HRhRm0OHFWC8W9DhHQ"",""2025-26!AD4"")"),927505.0)</f>
        <v>927505</v>
      </c>
      <c r="BL51" s="55">
        <f>IFERROR(__xludf.DUMMYFUNCTION("IMPORTRANGE(""1782y0Ibe1yvSMN3u9Xl6eOr76HRhRm0OHFWC8W9DhHQ"",""2025-26!AD3"")"),6.0)</f>
        <v>6</v>
      </c>
      <c r="BM51" s="55">
        <f>IFERROR(__xludf.DUMMYFUNCTION("IMPORTRANGE(""1782y0Ibe1yvSMN3u9Xl6eOr76HRhRm0OHFWC8W9DhHQ"",""2025-26!AE4"")"),2655000.0)</f>
        <v>2655000</v>
      </c>
      <c r="BN51" s="55">
        <f>IFERROR(__xludf.DUMMYFUNCTION("IMPORTRANGE(""1782y0Ibe1yvSMN3u9Xl6eOr76HRhRm0OHFWC8W9DhHQ"",""2025-26!AE3"")"),40.0)</f>
        <v>40</v>
      </c>
      <c r="BO51" s="55">
        <f>IFERROR(__xludf.DUMMYFUNCTION("IMPORTRANGE(""1782y0Ibe1yvSMN3u9Xl6eOr76HRhRm0OHFWC8W9DhHQ"",""2025-26!AF4"")"),1439134.15)</f>
        <v>1439134.15</v>
      </c>
      <c r="BP51" s="55">
        <f>IFERROR(__xludf.DUMMYFUNCTION("IMPORTRANGE(""1782y0Ibe1yvSMN3u9Xl6eOr76HRhRm0OHFWC8W9DhHQ"",""2025-26!AF3"")"),11.0)</f>
        <v>11</v>
      </c>
      <c r="BQ51" s="59">
        <f t="shared" si="25"/>
        <v>0.5695743879</v>
      </c>
      <c r="BR51" s="55">
        <f>IFERROR(__xludf.DUMMYFUNCTION("IMPORTRANGE(""1782y0Ibe1yvSMN3u9Xl6eOr76HRhRm0OHFWC8W9DhHQ"",""2025-26!AG4"")"),1512220.0)</f>
        <v>1512220</v>
      </c>
      <c r="BS51" s="55">
        <f>IFERROR(__xludf.DUMMYFUNCTION("IMPORTRANGE(""1782y0Ibe1yvSMN3u9Xl6eOr76HRhRm0OHFWC8W9DhHQ"",""2025-26!AG3"")"),11.0)</f>
        <v>11</v>
      </c>
      <c r="BT51" s="55">
        <f>IFERROR(__xludf.DUMMYFUNCTION("IMPORTRANGE(""1782y0Ibe1yvSMN3u9Xl6eOr76HRhRm0OHFWC8W9DhHQ"",""2025-26!AH4"")"),2655000.0)</f>
        <v>2655000</v>
      </c>
      <c r="BU51" s="55">
        <f>IFERROR(__xludf.DUMMYFUNCTION("IMPORTRANGE(""1782y0Ibe1yvSMN3u9Xl6eOr76HRhRm0OHFWC8W9DhHQ"",""2025-26!AH3"")"),39.0)</f>
        <v>39</v>
      </c>
      <c r="BV51" s="55">
        <f>IFERROR(__xludf.DUMMYFUNCTION("IMPORTRANGE(""1782y0Ibe1yvSMN3u9Xl6eOr76HRhRm0OHFWC8W9DhHQ"",""2025-26!AI4"")"),1503161.8)</f>
        <v>1503161.8</v>
      </c>
      <c r="BW51" s="55">
        <f>IFERROR(__xludf.DUMMYFUNCTION("IMPORTRANGE(""1782y0Ibe1yvSMN3u9Xl6eOr76HRhRm0OHFWC8W9DhHQ"",""2025-26!AI3"")"),13.0)</f>
        <v>13</v>
      </c>
      <c r="BX51" s="59">
        <f t="shared" si="26"/>
        <v>0.6028120527</v>
      </c>
      <c r="BY51" s="55">
        <f>IFERROR(__xludf.DUMMYFUNCTION("IMPORTRANGE(""1782y0Ibe1yvSMN3u9Xl6eOr76HRhRm0OHFWC8W9DhHQ"",""2025-26!AJ4"")"),1600466.0)</f>
        <v>1600466</v>
      </c>
      <c r="BZ51" s="55">
        <f>IFERROR(__xludf.DUMMYFUNCTION("IMPORTRANGE(""1782y0Ibe1yvSMN3u9Xl6eOr76HRhRm0OHFWC8W9DhHQ"",""2025-26!AJ3"")"),13.0)</f>
        <v>13</v>
      </c>
      <c r="CA51" s="55">
        <f>IFERROR(__xludf.DUMMYFUNCTION("IMPORTRANGE(""1782y0Ibe1yvSMN3u9Xl6eOr76HRhRm0OHFWC8W9DhHQ"",""2025-26!AK4"")"),2655000.0)</f>
        <v>2655000</v>
      </c>
      <c r="CB51" s="55">
        <f>IFERROR(__xludf.DUMMYFUNCTION("IMPORTRANGE(""1782y0Ibe1yvSMN3u9Xl6eOr76HRhRm0OHFWC8W9DhHQ"",""2025-26!AK3"")"),39.0)</f>
        <v>39</v>
      </c>
      <c r="CC51" s="55">
        <f>IFERROR(__xludf.DUMMYFUNCTION("IMPORTRANGE(""1782y0Ibe1yvSMN3u9Xl6eOr76HRhRm0OHFWC8W9DhHQ"",""2025-26!AL4"")"),1501159.53)</f>
        <v>1501159.53</v>
      </c>
      <c r="CD51" s="55">
        <f>IFERROR(__xludf.DUMMYFUNCTION("IMPORTRANGE(""1782y0Ibe1yvSMN3u9Xl6eOr76HRhRm0OHFWC8W9DhHQ"",""2025-26!AL3"")"),18.0)</f>
        <v>18</v>
      </c>
      <c r="CE51" s="59">
        <f t="shared" si="27"/>
        <v>0.5701514124</v>
      </c>
      <c r="CF51" s="55">
        <f>IFERROR(__xludf.DUMMYFUNCTION("IMPORTRANGE(""1782y0Ibe1yvSMN3u9Xl6eOr76HRhRm0OHFWC8W9DhHQ"",""2025-26!AM4"")"),1513752.0)</f>
        <v>1513752</v>
      </c>
      <c r="CG51" s="55">
        <f>IFERROR(__xludf.DUMMYFUNCTION("IMPORTRANGE(""1782y0Ibe1yvSMN3u9Xl6eOr76HRhRm0OHFWC8W9DhHQ"",""2025-26!AM3"")"),18.0)</f>
        <v>18</v>
      </c>
      <c r="CH51" s="55">
        <f>IFERROR(__xludf.DUMMYFUNCTION("IMPORTRANGE(""1782y0Ibe1yvSMN3u9Xl6eOr76HRhRm0OHFWC8W9DhHQ"",""2025-26!AN4"")"),2655000.0)</f>
        <v>2655000</v>
      </c>
      <c r="CI51" s="55">
        <f>IFERROR(__xludf.DUMMYFUNCTION("IMPORTRANGE(""1782y0Ibe1yvSMN3u9Xl6eOr76HRhRm0OHFWC8W9DhHQ"",""2025-26!AN3"")"),39.0)</f>
        <v>39</v>
      </c>
      <c r="CJ51" s="55">
        <f>IFERROR(__xludf.DUMMYFUNCTION("IMPORTRANGE(""1782y0Ibe1yvSMN3u9Xl6eOr76HRhRm0OHFWC8W9DhHQ"",""2025-26!AO4"")"),1168184.0)</f>
        <v>1168184</v>
      </c>
      <c r="CK51" s="55">
        <f>IFERROR(__xludf.DUMMYFUNCTION("IMPORTRANGE(""1782y0Ibe1yvSMN3u9Xl6eOr76HRhRm0OHFWC8W9DhHQ"",""2025-26!AO3"")"),7.0)</f>
        <v>7</v>
      </c>
      <c r="CL51" s="59">
        <f t="shared" si="28"/>
        <v>0.4747638418</v>
      </c>
      <c r="CM51" s="55">
        <f>IFERROR(__xludf.DUMMYFUNCTION("IMPORTRANGE(""1782y0Ibe1yvSMN3u9Xl6eOr76HRhRm0OHFWC8W9DhHQ"",""2025-26!AP4"")"),1260498.0)</f>
        <v>1260498</v>
      </c>
      <c r="CN51" s="55">
        <f>IFERROR(__xludf.DUMMYFUNCTION("IMPORTRANGE(""1782y0Ibe1yvSMN3u9Xl6eOr76HRhRm0OHFWC8W9DhHQ"",""2025-26!AP3"")"),7.0)</f>
        <v>7</v>
      </c>
      <c r="CO51" s="55">
        <f>IFERROR(__xludf.DUMMYFUNCTION("IMPORTRANGE(""1782y0Ibe1yvSMN3u9Xl6eOr76HRhRm0OHFWC8W9DhHQ"",""2025-26!AQ4"")"),2655000.0)</f>
        <v>2655000</v>
      </c>
      <c r="CP51" s="55">
        <f>IFERROR(__xludf.DUMMYFUNCTION("IMPORTRANGE(""1782y0Ibe1yvSMN3u9Xl6eOr76HRhRm0OHFWC8W9DhHQ"",""2025-26!AQ3"")"),39.0)</f>
        <v>39</v>
      </c>
      <c r="CQ51" s="55">
        <f>IFERROR(__xludf.DUMMYFUNCTION("IMPORTRANGE(""1782y0Ibe1yvSMN3u9Xl6eOr76HRhRm0OHFWC8W9DhHQ"",""2025-26!AR4"")"),2707099.37)</f>
        <v>2707099.37</v>
      </c>
      <c r="CR51" s="55">
        <f>IFERROR(__xludf.DUMMYFUNCTION("IMPORTRANGE(""1782y0Ibe1yvSMN3u9Xl6eOr76HRhRm0OHFWC8W9DhHQ"",""2025-26!AR3"")"),18.0)</f>
        <v>18</v>
      </c>
      <c r="CS51" s="59">
        <f t="shared" si="29"/>
        <v>0.9440421846</v>
      </c>
      <c r="CT51" s="55">
        <f>IFERROR(__xludf.DUMMYFUNCTION("IMPORTRANGE(""1782y0Ibe1yvSMN3u9Xl6eOr76HRhRm0OHFWC8W9DhHQ"",""2025-26!AS4"")"),2506432.0)</f>
        <v>2506432</v>
      </c>
      <c r="CU51" s="55">
        <f>IFERROR(__xludf.DUMMYFUNCTION("IMPORTRANGE(""1782y0Ibe1yvSMN3u9Xl6eOr76HRhRm0OHFWC8W9DhHQ"",""2025-26!AS3"")"),17.0)</f>
        <v>17</v>
      </c>
      <c r="CV51" s="60" t="s">
        <v>130</v>
      </c>
    </row>
    <row r="52">
      <c r="A52" s="1" t="s">
        <v>126</v>
      </c>
      <c r="B52" s="37"/>
      <c r="C52" s="98" t="s">
        <v>133</v>
      </c>
      <c r="D52" s="49" t="s">
        <v>134</v>
      </c>
      <c r="E52" s="50">
        <v>9.754902778E9</v>
      </c>
      <c r="F52" s="74">
        <v>42720.0</v>
      </c>
      <c r="G52" s="62"/>
      <c r="H52" s="62"/>
      <c r="I52" s="53">
        <f>VLOOKUP($C52,Data!$C:$BV,72,0)</f>
        <v>61850</v>
      </c>
      <c r="J52" s="57">
        <f>2706000+419000</f>
        <v>3125000</v>
      </c>
      <c r="K52" s="55">
        <f>IFERROR(__xludf.DUMMYFUNCTION("IMPORTRANGE(""1HDGA-F4B-GDBBUlnJZi2PMo2Yy--hq6dG-YFM90rIzw"",""2025-26!A3"")"),97.0)</f>
        <v>97</v>
      </c>
      <c r="L52" s="55">
        <f>IFERROR(__xludf.DUMMYFUNCTION("IMPORTRANGE(""1HDGA-F4B-GDBBUlnJZi2PMo2Yy--hq6dG-YFM90rIzw"",""2025-26!G4"")"),2.465E7)</f>
        <v>24650000</v>
      </c>
      <c r="M52" s="55">
        <f t="shared" si="41"/>
        <v>27270478.98</v>
      </c>
      <c r="N52" s="56">
        <f t="shared" si="42"/>
        <v>1.099246491</v>
      </c>
      <c r="O52" s="57">
        <f t="shared" si="43"/>
        <v>27096426</v>
      </c>
      <c r="P52" s="55">
        <f>IFERROR(__xludf.DUMMYFUNCTION("IMPORTRANGE(""1HDGA-F4B-GDBBUlnJZi2PMo2Yy--hq6dG-YFM90rIzw"",""2025-26!J4"")"),3060000.0)</f>
        <v>3060000</v>
      </c>
      <c r="Q52" s="55">
        <f>IFERROR(__xludf.DUMMYFUNCTION("IMPORTRANGE(""1HDGA-F4B-GDBBUlnJZi2PMo2Yy--hq6dG-YFM90rIzw"",""2025-26!J3"")"),54.0)</f>
        <v>54</v>
      </c>
      <c r="R52" s="55">
        <f>IFERROR(__xludf.DUMMYFUNCTION("IMPORTRANGE(""1HDGA-F4B-GDBBUlnJZi2PMo2Yy--hq6dG-YFM90rIzw"",""2025-26!K4"")"),1335853.8399999999)</f>
        <v>1335853.84</v>
      </c>
      <c r="S52" s="55">
        <f>IFERROR(__xludf.DUMMYFUNCTION("IMPORTRANGE(""1HDGA-F4B-GDBBUlnJZi2PMo2Yy--hq6dG-YFM90rIzw"",""2025-26!K3"")"),13.0)</f>
        <v>13</v>
      </c>
      <c r="T52" s="58">
        <f t="shared" si="18"/>
        <v>0.4500300654</v>
      </c>
      <c r="U52" s="55">
        <f>IFERROR(__xludf.DUMMYFUNCTION("IMPORTRANGE(""1HDGA-F4B-GDBBUlnJZi2PMo2Yy--hq6dG-YFM90rIzw"",""2025-26!L4"")"),1377092.0)</f>
        <v>1377092</v>
      </c>
      <c r="V52" s="55">
        <f>IFERROR(__xludf.DUMMYFUNCTION("IMPORTRANGE(""1HDGA-F4B-GDBBUlnJZi2PMo2Yy--hq6dG-YFM90rIzw"",""2025-26!L3"")"),13.0)</f>
        <v>13</v>
      </c>
      <c r="W52" s="55">
        <f>IFERROR(__xludf.DUMMYFUNCTION("IMPORTRANGE(""1HDGA-F4B-GDBBUlnJZi2PMo2Yy--hq6dG-YFM90rIzw"",""2025-26!m4"")"),3060000.0)</f>
        <v>3060000</v>
      </c>
      <c r="X52" s="55">
        <f>IFERROR(__xludf.DUMMYFUNCTION("IMPORTRANGE(""1HDGA-F4B-GDBBUlnJZi2PMo2Yy--hq6dG-YFM90rIzw"",""2025-26!m3"")"),54.0)</f>
        <v>54</v>
      </c>
      <c r="Y52" s="55">
        <f>IFERROR(__xludf.DUMMYFUNCTION("IMPORTRANGE(""1HDGA-F4B-GDBBUlnJZi2PMo2Yy--hq6dG-YFM90rIzw"",""2025-26!N4"")"),1137508.04)</f>
        <v>1137508.04</v>
      </c>
      <c r="Z52" s="55">
        <f>IFERROR(__xludf.DUMMYFUNCTION("IMPORTRANGE(""1HDGA-F4B-GDBBUlnJZi2PMo2Yy--hq6dG-YFM90rIzw"",""2025-26!N3"")"),17.0)</f>
        <v>17</v>
      </c>
      <c r="AA52" s="58">
        <f t="shared" si="19"/>
        <v>0.3671267974</v>
      </c>
      <c r="AB52" s="55">
        <f>IFERROR(__xludf.DUMMYFUNCTION("IMPORTRANGE(""1HDGA-F4B-GDBBUlnJZi2PMo2Yy--hq6dG-YFM90rIzw"",""2025-26!O4"")"),1123408.0)</f>
        <v>1123408</v>
      </c>
      <c r="AC52" s="55">
        <f>IFERROR(__xludf.DUMMYFUNCTION("IMPORTRANGE(""1HDGA-F4B-GDBBUlnJZi2PMo2Yy--hq6dG-YFM90rIzw"",""2025-26!O3"")"),19.0)</f>
        <v>19</v>
      </c>
      <c r="AD52" s="55">
        <f>IFERROR(__xludf.DUMMYFUNCTION("IMPORTRANGE(""1HDGA-F4B-GDBBUlnJZi2PMo2Yy--hq6dG-YFM90rIzw"",""2025-26!P4"")"),3060000.0)</f>
        <v>3060000</v>
      </c>
      <c r="AE52" s="55">
        <f>IFERROR(__xludf.DUMMYFUNCTION("IMPORTRANGE(""1HDGA-F4B-GDBBUlnJZi2PMo2Yy--hq6dG-YFM90rIzw"",""2025-26!P3"")"),54.0)</f>
        <v>54</v>
      </c>
      <c r="AF52" s="55">
        <f>IFERROR(__xludf.DUMMYFUNCTION("IMPORTRANGE(""1HDGA-F4B-GDBBUlnJZi2PMo2Yy--hq6dG-YFM90rIzw"",""2025-26!Q4"")"),1861278.0700000003)</f>
        <v>1861278.07</v>
      </c>
      <c r="AG52" s="55">
        <f>IFERROR(__xludf.DUMMYFUNCTION("IMPORTRANGE(""1HDGA-F4B-GDBBUlnJZi2PMo2Yy--hq6dG-YFM90rIzw"",""2025-26!Q3"")"),21.0)</f>
        <v>21</v>
      </c>
      <c r="AH52" s="58">
        <f t="shared" si="20"/>
        <v>0.6293911765</v>
      </c>
      <c r="AI52" s="55">
        <f>IFERROR(__xludf.DUMMYFUNCTION("IMPORTRANGE(""1HDGA-F4B-GDBBUlnJZi2PMo2Yy--hq6dG-YFM90rIzw"",""2025-26!R4"")"),1925937.0)</f>
        <v>1925937</v>
      </c>
      <c r="AJ52" s="55">
        <f>IFERROR(__xludf.DUMMYFUNCTION("IMPORTRANGE(""1HDGA-F4B-GDBBUlnJZi2PMo2Yy--hq6dG-YFM90rIzw"",""2025-26!R3"")"),21.0)</f>
        <v>21</v>
      </c>
      <c r="AK52" s="55">
        <f>IFERROR(__xludf.DUMMYFUNCTION("IMPORTRANGE(""1HDGA-F4B-GDBBUlnJZi2PMo2Yy--hq6dG-YFM90rIzw"",""2025-26!S4"")"),2800000.0)</f>
        <v>2800000</v>
      </c>
      <c r="AL52" s="55">
        <f>IFERROR(__xludf.DUMMYFUNCTION("IMPORTRANGE(""1HDGA-F4B-GDBBUlnJZi2PMo2Yy--hq6dG-YFM90rIzw"",""2025-26!S3"")"),63.0)</f>
        <v>63</v>
      </c>
      <c r="AM52" s="55">
        <f>IFERROR(__xludf.DUMMYFUNCTION("IMPORTRANGE(""1HDGA-F4B-GDBBUlnJZi2PMo2Yy--hq6dG-YFM90rIzw"",""2025-26!T4"")"),2442918.7200000007)</f>
        <v>2442918.72</v>
      </c>
      <c r="AN52" s="55">
        <f>IFERROR(__xludf.DUMMYFUNCTION("IMPORTRANGE(""1HDGA-F4B-GDBBUlnJZi2PMo2Yy--hq6dG-YFM90rIzw"",""2025-26!T3"")"),25.0)</f>
        <v>25</v>
      </c>
      <c r="AO52" s="58">
        <f t="shared" si="21"/>
        <v>0.9048328571</v>
      </c>
      <c r="AP52" s="55">
        <f>IFERROR(__xludf.DUMMYFUNCTION("IMPORTRANGE(""1HDGA-F4B-GDBBUlnJZi2PMo2Yy--hq6dG-YFM90rIzw"",""2025-26!U4"")"),2533532.0)</f>
        <v>2533532</v>
      </c>
      <c r="AQ52" s="55">
        <f>IFERROR(__xludf.DUMMYFUNCTION("IMPORTRANGE(""1HDGA-F4B-GDBBUlnJZi2PMo2Yy--hq6dG-YFM90rIzw"",""2025-26!U3"")"),25.0)</f>
        <v>25</v>
      </c>
      <c r="AR52" s="55">
        <f>IFERROR(__xludf.DUMMYFUNCTION("IMPORTRANGE(""1HDGA-F4B-GDBBUlnJZi2PMo2Yy--hq6dG-YFM90rIzw"",""2025-26!V4"")"),2800000.0)</f>
        <v>2800000</v>
      </c>
      <c r="AS52" s="55">
        <f>IFERROR(__xludf.DUMMYFUNCTION("IMPORTRANGE(""1HDGA-F4B-GDBBUlnJZi2PMo2Yy--hq6dG-YFM90rIzw"",""2025-26!V3"")"),63.0)</f>
        <v>63</v>
      </c>
      <c r="AT52" s="55">
        <f>IFERROR(__xludf.DUMMYFUNCTION("IMPORTRANGE(""1HDGA-F4B-GDBBUlnJZi2PMo2Yy--hq6dG-YFM90rIzw"",""2025-26!W4"")"),2942423.73)</f>
        <v>2942423.73</v>
      </c>
      <c r="AU52" s="55">
        <f>IFERROR(__xludf.DUMMYFUNCTION("IMPORTRANGE(""1HDGA-F4B-GDBBUlnJZi2PMo2Yy--hq6dG-YFM90rIzw"",""2025-26!W3"")"),29.0)</f>
        <v>29</v>
      </c>
      <c r="AV52" s="58">
        <f t="shared" si="22"/>
        <v>1.042966429</v>
      </c>
      <c r="AW52" s="55">
        <f>IFERROR(__xludf.DUMMYFUNCTION("IMPORTRANGE(""1HDGA-F4B-GDBBUlnJZi2PMo2Yy--hq6dG-YFM90rIzw"",""2025-26!X4"")"),2920306.0)</f>
        <v>2920306</v>
      </c>
      <c r="AX52" s="55">
        <f>IFERROR(__xludf.DUMMYFUNCTION("IMPORTRANGE(""1HDGA-F4B-GDBBUlnJZi2PMo2Yy--hq6dG-YFM90rIzw"",""2025-26!X3"")"),30.0)</f>
        <v>30</v>
      </c>
      <c r="AY52" s="55">
        <f>IFERROR(__xludf.DUMMYFUNCTION("IMPORTRANGE(""1HDGA-F4B-GDBBUlnJZi2PMo2Yy--hq6dG-YFM90rIzw"",""2025-26!Y4"")"),2890000.0)</f>
        <v>2890000</v>
      </c>
      <c r="AZ52" s="55">
        <f>IFERROR(__xludf.DUMMYFUNCTION("IMPORTRANGE(""1HDGA-F4B-GDBBUlnJZi2PMo2Yy--hq6dG-YFM90rIzw"",""2025-26!Y3"")"),63.0)</f>
        <v>63</v>
      </c>
      <c r="BA52" s="55">
        <f>IFERROR(__xludf.DUMMYFUNCTION("IMPORTRANGE(""1HDGA-F4B-GDBBUlnJZi2PMo2Yy--hq6dG-YFM90rIzw"",""2025-26!Z4"")"),2219597.689999999)</f>
        <v>2219597.69</v>
      </c>
      <c r="BB52" s="55">
        <f>IFERROR(__xludf.DUMMYFUNCTION("IMPORTRANGE(""1HDGA-F4B-GDBBUlnJZi2PMo2Yy--hq6dG-YFM90rIzw"",""2025-26!Z3"")"),30.0)</f>
        <v>30</v>
      </c>
      <c r="BC52" s="59">
        <f t="shared" si="23"/>
        <v>0.8416529412</v>
      </c>
      <c r="BD52" s="55">
        <f>IFERROR(__xludf.DUMMYFUNCTION("IMPORTRANGE(""1HDGA-F4B-GDBBUlnJZi2PMo2Yy--hq6dG-YFM90rIzw"",""2025-26!AA4"")"),2432377.0)</f>
        <v>2432377</v>
      </c>
      <c r="BE52" s="55">
        <f>IFERROR(__xludf.DUMMYFUNCTION("IMPORTRANGE(""1HDGA-F4B-GDBBUlnJZi2PMo2Yy--hq6dG-YFM90rIzw"",""2025-26!AA3"")"),30.0)</f>
        <v>30</v>
      </c>
      <c r="BF52" s="55">
        <f>IFERROR(__xludf.DUMMYFUNCTION("IMPORTRANGE(""1HDGA-F4B-GDBBUlnJZi2PMo2Yy--hq6dG-YFM90rIzw"",""2025-26!AB4"")"),2440000.0)</f>
        <v>2440000</v>
      </c>
      <c r="BG52" s="55">
        <f>IFERROR(__xludf.DUMMYFUNCTION("IMPORTRANGE(""1HDGA-F4B-GDBBUlnJZi2PMo2Yy--hq6dG-YFM90rIzw"",""2025-26!AB3"")"),58.0)</f>
        <v>58</v>
      </c>
      <c r="BH52" s="55">
        <f>IFERROR(__xludf.DUMMYFUNCTION("IMPORTRANGE(""1HDGA-F4B-GDBBUlnJZi2PMo2Yy--hq6dG-YFM90rIzw"",""2025-26!AC4"")"),1600618.7899999993)</f>
        <v>1600618.79</v>
      </c>
      <c r="BI52" s="55">
        <f>IFERROR(__xludf.DUMMYFUNCTION("IMPORTRANGE(""1HDGA-F4B-GDBBUlnJZi2PMo2Yy--hq6dG-YFM90rIzw"",""2025-26!AC3"")"),31.0)</f>
        <v>31</v>
      </c>
      <c r="BJ52" s="59">
        <f t="shared" si="24"/>
        <v>0.6604077869</v>
      </c>
      <c r="BK52" s="55">
        <f>IFERROR(__xludf.DUMMYFUNCTION("IMPORTRANGE(""1HDGA-F4B-GDBBUlnJZi2PMo2Yy--hq6dG-YFM90rIzw"",""2025-26!AD4"")"),1611395.0)</f>
        <v>1611395</v>
      </c>
      <c r="BL52" s="55">
        <f>IFERROR(__xludf.DUMMYFUNCTION("IMPORTRANGE(""1HDGA-F4B-GDBBUlnJZi2PMo2Yy--hq6dG-YFM90rIzw"",""2025-26!AD3"")"),31.0)</f>
        <v>31</v>
      </c>
      <c r="BM52" s="55">
        <f>IFERROR(__xludf.DUMMYFUNCTION("IMPORTRANGE(""1HDGA-F4B-GDBBUlnJZi2PMo2Yy--hq6dG-YFM90rIzw"",""2025-26!AE4"")"),2440000.0)</f>
        <v>2440000</v>
      </c>
      <c r="BN52" s="55">
        <f>IFERROR(__xludf.DUMMYFUNCTION("IMPORTRANGE(""1HDGA-F4B-GDBBUlnJZi2PMo2Yy--hq6dG-YFM90rIzw"",""2025-26!AE3"")"),58.0)</f>
        <v>58</v>
      </c>
      <c r="BO52" s="55">
        <f>IFERROR(__xludf.DUMMYFUNCTION("IMPORTRANGE(""1HDGA-F4B-GDBBUlnJZi2PMo2Yy--hq6dG-YFM90rIzw"",""2025-26!AF4"")"),1738186.2200000002)</f>
        <v>1738186.22</v>
      </c>
      <c r="BP52" s="55">
        <f>IFERROR(__xludf.DUMMYFUNCTION("IMPORTRANGE(""1HDGA-F4B-GDBBUlnJZi2PMo2Yy--hq6dG-YFM90rIzw"",""2025-26!AF3"")"),34.0)</f>
        <v>34</v>
      </c>
      <c r="BQ52" s="59">
        <f t="shared" si="25"/>
        <v>0.691992623</v>
      </c>
      <c r="BR52" s="55">
        <f>IFERROR(__xludf.DUMMYFUNCTION("IMPORTRANGE(""1HDGA-F4B-GDBBUlnJZi2PMo2Yy--hq6dG-YFM90rIzw"",""2025-26!AG4"")"),1688462.0)</f>
        <v>1688462</v>
      </c>
      <c r="BS52" s="55">
        <f>IFERROR(__xludf.DUMMYFUNCTION("IMPORTRANGE(""1HDGA-F4B-GDBBUlnJZi2PMo2Yy--hq6dG-YFM90rIzw"",""2025-26!AG3"")"),33.0)</f>
        <v>33</v>
      </c>
      <c r="BT52" s="55">
        <f>IFERROR(__xludf.DUMMYFUNCTION("IMPORTRANGE(""1HDGA-F4B-GDBBUlnJZi2PMo2Yy--hq6dG-YFM90rIzw"",""2025-26!AH4"")"),2440000.0)</f>
        <v>2440000</v>
      </c>
      <c r="BU52" s="55">
        <f>IFERROR(__xludf.DUMMYFUNCTION("IMPORTRANGE(""1HDGA-F4B-GDBBUlnJZi2PMo2Yy--hq6dG-YFM90rIzw"",""2025-26!AH3"")"),58.0)</f>
        <v>58</v>
      </c>
      <c r="BV52" s="55">
        <f>IFERROR(__xludf.DUMMYFUNCTION("IMPORTRANGE(""1HDGA-F4B-GDBBUlnJZi2PMo2Yy--hq6dG-YFM90rIzw"",""2025-26!AI4"")"),3365303.03)</f>
        <v>3365303.03</v>
      </c>
      <c r="BW52" s="55">
        <f>IFERROR(__xludf.DUMMYFUNCTION("IMPORTRANGE(""1HDGA-F4B-GDBBUlnJZi2PMo2Yy--hq6dG-YFM90rIzw"",""2025-26!AI3"")"),25.0)</f>
        <v>25</v>
      </c>
      <c r="BX52" s="59">
        <f t="shared" si="26"/>
        <v>1.544965984</v>
      </c>
      <c r="BY52" s="55">
        <f>IFERROR(__xludf.DUMMYFUNCTION("IMPORTRANGE(""1HDGA-F4B-GDBBUlnJZi2PMo2Yy--hq6dG-YFM90rIzw"",""2025-26!AJ4"")"),3769717.0)</f>
        <v>3769717</v>
      </c>
      <c r="BZ52" s="55">
        <f>IFERROR(__xludf.DUMMYFUNCTION("IMPORTRANGE(""1HDGA-F4B-GDBBUlnJZi2PMo2Yy--hq6dG-YFM90rIzw"",""2025-26!AJ3"")"),27.0)</f>
        <v>27</v>
      </c>
      <c r="CA52" s="55">
        <f>IFERROR(__xludf.DUMMYFUNCTION("IMPORTRANGE(""1HDGA-F4B-GDBBUlnJZi2PMo2Yy--hq6dG-YFM90rIzw"",""2025-26!AK4"")"),735000.0)</f>
        <v>735000</v>
      </c>
      <c r="CB52" s="55">
        <f>IFERROR(__xludf.DUMMYFUNCTION("IMPORTRANGE(""1HDGA-F4B-GDBBUlnJZi2PMo2Yy--hq6dG-YFM90rIzw"",""2025-26!AK3"")"),23.0)</f>
        <v>23</v>
      </c>
      <c r="CC52" s="55">
        <f>IFERROR(__xludf.DUMMYFUNCTION("IMPORTRANGE(""1HDGA-F4B-GDBBUlnJZi2PMo2Yy--hq6dG-YFM90rIzw"",""2025-26!AL4"")"),2986560.8899999997)</f>
        <v>2986560.89</v>
      </c>
      <c r="CD52" s="55">
        <f>IFERROR(__xludf.DUMMYFUNCTION("IMPORTRANGE(""1HDGA-F4B-GDBBUlnJZi2PMo2Yy--hq6dG-YFM90rIzw"",""2025-26!AL3"")"),42.0)</f>
        <v>42</v>
      </c>
      <c r="CE52" s="59">
        <f t="shared" si="27"/>
        <v>3.377761905</v>
      </c>
      <c r="CF52" s="55">
        <f>IFERROR(__xludf.DUMMYFUNCTION("IMPORTRANGE(""1HDGA-F4B-GDBBUlnJZi2PMo2Yy--hq6dG-YFM90rIzw"",""2025-26!AM4"")"),2482655.0)</f>
        <v>2482655</v>
      </c>
      <c r="CG52" s="55">
        <f>IFERROR(__xludf.DUMMYFUNCTION("IMPORTRANGE(""1HDGA-F4B-GDBBUlnJZi2PMo2Yy--hq6dG-YFM90rIzw"",""2025-26!AM3"")"),39.0)</f>
        <v>39</v>
      </c>
      <c r="CH52" s="55">
        <f>IFERROR(__xludf.DUMMYFUNCTION("IMPORTRANGE(""1HDGA-F4B-GDBBUlnJZi2PMo2Yy--hq6dG-YFM90rIzw"",""2025-26!AN4"")"),0.0)</f>
        <v>0</v>
      </c>
      <c r="CI52" s="55">
        <f>IFERROR(__xludf.DUMMYFUNCTION("IMPORTRANGE(""1HDGA-F4B-GDBBUlnJZi2PMo2Yy--hq6dG-YFM90rIzw"",""2025-26!AN3"")"),0.0)</f>
        <v>0</v>
      </c>
      <c r="CJ52" s="55">
        <f>IFERROR(__xludf.DUMMYFUNCTION("IMPORTRANGE(""1HDGA-F4B-GDBBUlnJZi2PMo2Yy--hq6dG-YFM90rIzw"",""2025-26!AO4"")"),2645510.7099999995)</f>
        <v>2645510.71</v>
      </c>
      <c r="CK52" s="55">
        <f>IFERROR(__xludf.DUMMYFUNCTION("IMPORTRANGE(""1HDGA-F4B-GDBBUlnJZi2PMo2Yy--hq6dG-YFM90rIzw"",""2025-26!AO3"")"),32.0)</f>
        <v>32</v>
      </c>
      <c r="CL52" s="59" t="str">
        <f t="shared" si="28"/>
        <v/>
      </c>
      <c r="CM52" s="55">
        <f>IFERROR(__xludf.DUMMYFUNCTION("IMPORTRANGE(""1HDGA-F4B-GDBBUlnJZi2PMo2Yy--hq6dG-YFM90rIzw"",""2025-26!AP4"")"),2326573.0)</f>
        <v>2326573</v>
      </c>
      <c r="CN52" s="55">
        <f>IFERROR(__xludf.DUMMYFUNCTION("IMPORTRANGE(""1HDGA-F4B-GDBBUlnJZi2PMo2Yy--hq6dG-YFM90rIzw"",""2025-26!AP3"")"),31.0)</f>
        <v>31</v>
      </c>
      <c r="CO52" s="55">
        <f>IFERROR(__xludf.DUMMYFUNCTION("IMPORTRANGE(""1HDGA-F4B-GDBBUlnJZi2PMo2Yy--hq6dG-YFM90rIzw"",""2025-26!AQ4"")"),180000.0)</f>
        <v>180000</v>
      </c>
      <c r="CP52" s="55">
        <f>IFERROR(__xludf.DUMMYFUNCTION("IMPORTRANGE(""1HDGA-F4B-GDBBUlnJZi2PMo2Yy--hq6dG-YFM90rIzw"",""2025-26!AQ3"")"),9.0)</f>
        <v>9</v>
      </c>
      <c r="CQ52" s="55">
        <f>IFERROR(__xludf.DUMMYFUNCTION("IMPORTRANGE(""1HDGA-F4B-GDBBUlnJZi2PMo2Yy--hq6dG-YFM90rIzw"",""2025-26!AR4"")"),2994719.25)</f>
        <v>2994719.25</v>
      </c>
      <c r="CR52" s="55">
        <f>IFERROR(__xludf.DUMMYFUNCTION("IMPORTRANGE(""1HDGA-F4B-GDBBUlnJZi2PMo2Yy--hq6dG-YFM90rIzw"",""2025-26!AR3"")"),34.0)</f>
        <v>34</v>
      </c>
      <c r="CS52" s="59">
        <f t="shared" si="29"/>
        <v>16.13873333</v>
      </c>
      <c r="CT52" s="55">
        <f>IFERROR(__xludf.DUMMYFUNCTION("IMPORTRANGE(""1HDGA-F4B-GDBBUlnJZi2PMo2Yy--hq6dG-YFM90rIzw"",""2025-26!AS4"")"),2904972.0)</f>
        <v>2904972</v>
      </c>
      <c r="CU52" s="55">
        <f>IFERROR(__xludf.DUMMYFUNCTION("IMPORTRANGE(""1HDGA-F4B-GDBBUlnJZi2PMo2Yy--hq6dG-YFM90rIzw"",""2025-26!AS3"")"),30.0)</f>
        <v>30</v>
      </c>
      <c r="CV52" s="60" t="s">
        <v>135</v>
      </c>
    </row>
    <row r="53">
      <c r="A53" s="1" t="s">
        <v>126</v>
      </c>
      <c r="B53" s="37"/>
      <c r="C53" s="80" t="s">
        <v>136</v>
      </c>
      <c r="D53" s="49" t="s">
        <v>137</v>
      </c>
      <c r="E53" s="50">
        <v>9.926642562E9</v>
      </c>
      <c r="F53" s="74">
        <v>43315.0</v>
      </c>
      <c r="G53" s="62"/>
      <c r="H53" s="62"/>
      <c r="I53" s="53">
        <f>VLOOKUP($C53,Data!$C:$BV,72,0)</f>
        <v>140000</v>
      </c>
      <c r="J53" s="57">
        <f>3866667+300000</f>
        <v>4166667</v>
      </c>
      <c r="K53" s="55">
        <f>IFERROR(__xludf.DUMMYFUNCTION("IMPORTRANGE(""160qastmdA75nF7eZOKHiYx2-dg1tDT-CE6L7D1M1stU"",""2025-26!A3"")"),129.0)</f>
        <v>129</v>
      </c>
      <c r="L53" s="55">
        <f>IFERROR(__xludf.DUMMYFUNCTION("IMPORTRANGE(""160qastmdA75nF7eZOKHiYx2-dg1tDT-CE6L7D1M1stU"",""2025-26!G4"")"),5.69E7)</f>
        <v>56900000</v>
      </c>
      <c r="M53" s="55">
        <f t="shared" si="41"/>
        <v>47312946.4</v>
      </c>
      <c r="N53" s="56">
        <f t="shared" si="42"/>
        <v>0.8155949912</v>
      </c>
      <c r="O53" s="57">
        <f t="shared" si="43"/>
        <v>46407355</v>
      </c>
      <c r="P53" s="55">
        <f>IFERROR(__xludf.DUMMYFUNCTION("IMPORTRANGE(""160qastmdA75nF7eZOKHiYx2-dg1tDT-CE6L7D1M1stU"",""2025-26!J4"")"),4525000.0)</f>
        <v>4525000</v>
      </c>
      <c r="Q53" s="55">
        <f>IFERROR(__xludf.DUMMYFUNCTION("IMPORTRANGE(""160qastmdA75nF7eZOKHiYx2-dg1tDT-CE6L7D1M1stU"",""2025-26!J3"")"),106.0)</f>
        <v>106</v>
      </c>
      <c r="R53" s="55">
        <f>IFERROR(__xludf.DUMMYFUNCTION("IMPORTRANGE(""160qastmdA75nF7eZOKHiYx2-dg1tDT-CE6L7D1M1stU"",""2025-26!K4"")"),2156155.4)</f>
        <v>2156155.4</v>
      </c>
      <c r="S53" s="55">
        <f>IFERROR(__xludf.DUMMYFUNCTION("IMPORTRANGE(""160qastmdA75nF7eZOKHiYx2-dg1tDT-CE6L7D1M1stU"",""2025-26!K3"")"),47.0)</f>
        <v>47</v>
      </c>
      <c r="T53" s="58">
        <f t="shared" si="18"/>
        <v>0.4676506077</v>
      </c>
      <c r="U53" s="55">
        <f>IFERROR(__xludf.DUMMYFUNCTION("IMPORTRANGE(""160qastmdA75nF7eZOKHiYx2-dg1tDT-CE6L7D1M1stU"",""2025-26!L4"")"),2116119.0)</f>
        <v>2116119</v>
      </c>
      <c r="V53" s="55">
        <f>IFERROR(__xludf.DUMMYFUNCTION("IMPORTRANGE(""160qastmdA75nF7eZOKHiYx2-dg1tDT-CE6L7D1M1stU"",""2025-26!L3"")"),48.0)</f>
        <v>48</v>
      </c>
      <c r="W53" s="55">
        <f>IFERROR(__xludf.DUMMYFUNCTION("IMPORTRANGE(""160qastmdA75nF7eZOKHiYx2-dg1tDT-CE6L7D1M1stU"",""2025-26!m4"")"),4775000.0)</f>
        <v>4775000</v>
      </c>
      <c r="X53" s="55">
        <f>IFERROR(__xludf.DUMMYFUNCTION("IMPORTRANGE(""160qastmdA75nF7eZOKHiYx2-dg1tDT-CE6L7D1M1stU"",""2025-26!m3"")"),105.0)</f>
        <v>105</v>
      </c>
      <c r="Y53" s="55">
        <f>IFERROR(__xludf.DUMMYFUNCTION("IMPORTRANGE(""160qastmdA75nF7eZOKHiYx2-dg1tDT-CE6L7D1M1stU"",""2025-26!N4"")"),3438387.74)</f>
        <v>3438387.74</v>
      </c>
      <c r="Z53" s="55">
        <f>IFERROR(__xludf.DUMMYFUNCTION("IMPORTRANGE(""160qastmdA75nF7eZOKHiYx2-dg1tDT-CE6L7D1M1stU"",""2025-26!N3"")"),64.0)</f>
        <v>64</v>
      </c>
      <c r="AA53" s="58">
        <f t="shared" si="19"/>
        <v>0.708732356</v>
      </c>
      <c r="AB53" s="55">
        <f>IFERROR(__xludf.DUMMYFUNCTION("IMPORTRANGE(""160qastmdA75nF7eZOKHiYx2-dg1tDT-CE6L7D1M1stU"",""2025-26!O4"")"),3384197.0)</f>
        <v>3384197</v>
      </c>
      <c r="AC53" s="55">
        <f>IFERROR(__xludf.DUMMYFUNCTION("IMPORTRANGE(""160qastmdA75nF7eZOKHiYx2-dg1tDT-CE6L7D1M1stU"",""2025-26!O3"")"),65.0)</f>
        <v>65</v>
      </c>
      <c r="AD53" s="55">
        <f>IFERROR(__xludf.DUMMYFUNCTION("IMPORTRANGE(""160qastmdA75nF7eZOKHiYx2-dg1tDT-CE6L7D1M1stU"",""2025-26!P4"")"),4900000.0)</f>
        <v>4900000</v>
      </c>
      <c r="AE53" s="55">
        <f>IFERROR(__xludf.DUMMYFUNCTION("IMPORTRANGE(""160qastmdA75nF7eZOKHiYx2-dg1tDT-CE6L7D1M1stU"",""2025-26!P3"")"),106.0)</f>
        <v>106</v>
      </c>
      <c r="AF53" s="55">
        <f>IFERROR(__xludf.DUMMYFUNCTION("IMPORTRANGE(""160qastmdA75nF7eZOKHiYx2-dg1tDT-CE6L7D1M1stU"",""2025-26!Q4"")"),5659963.62)</f>
        <v>5659963.62</v>
      </c>
      <c r="AG53" s="55">
        <f>IFERROR(__xludf.DUMMYFUNCTION("IMPORTRANGE(""160qastmdA75nF7eZOKHiYx2-dg1tDT-CE6L7D1M1stU"",""2025-26!Q3"")"),50.0)</f>
        <v>50</v>
      </c>
      <c r="AH53" s="58">
        <f t="shared" si="20"/>
        <v>1.14702102</v>
      </c>
      <c r="AI53" s="55">
        <f>IFERROR(__xludf.DUMMYFUNCTION("IMPORTRANGE(""160qastmdA75nF7eZOKHiYx2-dg1tDT-CE6L7D1M1stU"",""2025-26!R4"")"),5620403.0)</f>
        <v>5620403</v>
      </c>
      <c r="AJ53" s="55">
        <f>IFERROR(__xludf.DUMMYFUNCTION("IMPORTRANGE(""160qastmdA75nF7eZOKHiYx2-dg1tDT-CE6L7D1M1stU"",""2025-26!R3"")"),51.0)</f>
        <v>51</v>
      </c>
      <c r="AK53" s="55">
        <f>IFERROR(__xludf.DUMMYFUNCTION("IMPORTRANGE(""160qastmdA75nF7eZOKHiYx2-dg1tDT-CE6L7D1M1stU"",""2025-26!S4"")"),3695000.0)</f>
        <v>3695000</v>
      </c>
      <c r="AL53" s="55">
        <f>IFERROR(__xludf.DUMMYFUNCTION("IMPORTRANGE(""160qastmdA75nF7eZOKHiYx2-dg1tDT-CE6L7D1M1stU"",""2025-26!S3"")"),107.0)</f>
        <v>107</v>
      </c>
      <c r="AM53" s="55">
        <f>IFERROR(__xludf.DUMMYFUNCTION("IMPORTRANGE(""160qastmdA75nF7eZOKHiYx2-dg1tDT-CE6L7D1M1stU"",""2025-26!T4"")"),2638935.9900000007)</f>
        <v>2638935.99</v>
      </c>
      <c r="AN53" s="55">
        <f>IFERROR(__xludf.DUMMYFUNCTION("IMPORTRANGE(""160qastmdA75nF7eZOKHiYx2-dg1tDT-CE6L7D1M1stU"",""2025-26!T3"")"),54.0)</f>
        <v>54</v>
      </c>
      <c r="AO53" s="58">
        <f t="shared" si="21"/>
        <v>0.7059612991</v>
      </c>
      <c r="AP53" s="55">
        <f>IFERROR(__xludf.DUMMYFUNCTION("IMPORTRANGE(""160qastmdA75nF7eZOKHiYx2-dg1tDT-CE6L7D1M1stU"",""2025-26!U4"")"),2608527.0)</f>
        <v>2608527</v>
      </c>
      <c r="AQ53" s="55">
        <f>IFERROR(__xludf.DUMMYFUNCTION("IMPORTRANGE(""160qastmdA75nF7eZOKHiYx2-dg1tDT-CE6L7D1M1stU"",""2025-26!U3"")"),55.0)</f>
        <v>55</v>
      </c>
      <c r="AR53" s="55">
        <f>IFERROR(__xludf.DUMMYFUNCTION("IMPORTRANGE(""160qastmdA75nF7eZOKHiYx2-dg1tDT-CE6L7D1M1stU"",""2025-26!V4"")"),3445000.0)</f>
        <v>3445000</v>
      </c>
      <c r="AS53" s="55">
        <f>IFERROR(__xludf.DUMMYFUNCTION("IMPORTRANGE(""160qastmdA75nF7eZOKHiYx2-dg1tDT-CE6L7D1M1stU"",""2025-26!V3"")"),107.0)</f>
        <v>107</v>
      </c>
      <c r="AT53" s="55">
        <f>IFERROR(__xludf.DUMMYFUNCTION("IMPORTRANGE(""160qastmdA75nF7eZOKHiYx2-dg1tDT-CE6L7D1M1stU"",""2025-26!W4"")"),3773675.8399999994)</f>
        <v>3773675.84</v>
      </c>
      <c r="AU53" s="55">
        <f>IFERROR(__xludf.DUMMYFUNCTION("IMPORTRANGE(""160qastmdA75nF7eZOKHiYx2-dg1tDT-CE6L7D1M1stU"",""2025-26!W3"")"),59.0)</f>
        <v>59</v>
      </c>
      <c r="AV53" s="58">
        <f t="shared" si="22"/>
        <v>1.08239971</v>
      </c>
      <c r="AW53" s="55">
        <f>IFERROR(__xludf.DUMMYFUNCTION("IMPORTRANGE(""160qastmdA75nF7eZOKHiYx2-dg1tDT-CE6L7D1M1stU"",""2025-26!X4"")"),3728867.0)</f>
        <v>3728867</v>
      </c>
      <c r="AX53" s="55">
        <f>IFERROR(__xludf.DUMMYFUNCTION("IMPORTRANGE(""160qastmdA75nF7eZOKHiYx2-dg1tDT-CE6L7D1M1stU"",""2025-26!X3"")"),61.0)</f>
        <v>61</v>
      </c>
      <c r="AY53" s="55">
        <f>IFERROR(__xludf.DUMMYFUNCTION("IMPORTRANGE(""160qastmdA75nF7eZOKHiYx2-dg1tDT-CE6L7D1M1stU"",""2025-26!Y4"")"),3695000.0)</f>
        <v>3695000</v>
      </c>
      <c r="AZ53" s="55">
        <f>IFERROR(__xludf.DUMMYFUNCTION("IMPORTRANGE(""160qastmdA75nF7eZOKHiYx2-dg1tDT-CE6L7D1M1stU"",""2025-26!Y3"")"),107.0)</f>
        <v>107</v>
      </c>
      <c r="BA53" s="55">
        <f>IFERROR(__xludf.DUMMYFUNCTION("IMPORTRANGE(""160qastmdA75nF7eZOKHiYx2-dg1tDT-CE6L7D1M1stU"",""2025-26!Z4"")"),3037218.1899999995)</f>
        <v>3037218.19</v>
      </c>
      <c r="BB53" s="55">
        <f>IFERROR(__xludf.DUMMYFUNCTION("IMPORTRANGE(""160qastmdA75nF7eZOKHiYx2-dg1tDT-CE6L7D1M1stU"",""2025-26!Z3"")"),58.0)</f>
        <v>58</v>
      </c>
      <c r="BC53" s="59">
        <f t="shared" si="23"/>
        <v>0.7893212449</v>
      </c>
      <c r="BD53" s="55">
        <f>IFERROR(__xludf.DUMMYFUNCTION("IMPORTRANGE(""160qastmdA75nF7eZOKHiYx2-dg1tDT-CE6L7D1M1stU"",""2025-26!AA4"")"),2916542.0)</f>
        <v>2916542</v>
      </c>
      <c r="BE53" s="55">
        <f>IFERROR(__xludf.DUMMYFUNCTION("IMPORTRANGE(""160qastmdA75nF7eZOKHiYx2-dg1tDT-CE6L7D1M1stU"",""2025-26!AA3"")"),59.0)</f>
        <v>59</v>
      </c>
      <c r="BF53" s="55">
        <f>IFERROR(__xludf.DUMMYFUNCTION("IMPORTRANGE(""160qastmdA75nF7eZOKHiYx2-dg1tDT-CE6L7D1M1stU"",""2025-26!AB4"")"),6220000.0)</f>
        <v>6220000</v>
      </c>
      <c r="BG53" s="55">
        <f>IFERROR(__xludf.DUMMYFUNCTION("IMPORTRANGE(""160qastmdA75nF7eZOKHiYx2-dg1tDT-CE6L7D1M1stU"",""2025-26!AB3"")"),105.0)</f>
        <v>105</v>
      </c>
      <c r="BH53" s="55">
        <f>IFERROR(__xludf.DUMMYFUNCTION("IMPORTRANGE(""160qastmdA75nF7eZOKHiYx2-dg1tDT-CE6L7D1M1stU"",""2025-26!AC4"")"),2762335.08)</f>
        <v>2762335.08</v>
      </c>
      <c r="BI53" s="55">
        <f>IFERROR(__xludf.DUMMYFUNCTION("IMPORTRANGE(""160qastmdA75nF7eZOKHiYx2-dg1tDT-CE6L7D1M1stU"",""2025-26!AC3"")"),60.0)</f>
        <v>60</v>
      </c>
      <c r="BJ53" s="59">
        <f t="shared" si="24"/>
        <v>0.4246934084</v>
      </c>
      <c r="BK53" s="55">
        <f>IFERROR(__xludf.DUMMYFUNCTION("IMPORTRANGE(""160qastmdA75nF7eZOKHiYx2-dg1tDT-CE6L7D1M1stU"",""2025-26!AD4"")"),2641593.0)</f>
        <v>2641593</v>
      </c>
      <c r="BL53" s="55">
        <f>IFERROR(__xludf.DUMMYFUNCTION("IMPORTRANGE(""160qastmdA75nF7eZOKHiYx2-dg1tDT-CE6L7D1M1stU"",""2025-26!AD3"")"),60.0)</f>
        <v>60</v>
      </c>
      <c r="BM53" s="55">
        <f>IFERROR(__xludf.DUMMYFUNCTION("IMPORTRANGE(""160qastmdA75nF7eZOKHiYx2-dg1tDT-CE6L7D1M1stU"",""2025-26!AE4"")"),8065000.0)</f>
        <v>8065000</v>
      </c>
      <c r="BN53" s="55">
        <f>IFERROR(__xludf.DUMMYFUNCTION("IMPORTRANGE(""160qastmdA75nF7eZOKHiYx2-dg1tDT-CE6L7D1M1stU"",""2025-26!AE3"")"),105.0)</f>
        <v>105</v>
      </c>
      <c r="BO53" s="55">
        <f>IFERROR(__xludf.DUMMYFUNCTION("IMPORTRANGE(""160qastmdA75nF7eZOKHiYx2-dg1tDT-CE6L7D1M1stU"",""2025-26!AF4"")"),3308162.04)</f>
        <v>3308162.04</v>
      </c>
      <c r="BP53" s="55">
        <f>IFERROR(__xludf.DUMMYFUNCTION("IMPORTRANGE(""160qastmdA75nF7eZOKHiYx2-dg1tDT-CE6L7D1M1stU"",""2025-26!AF3"")"),53.0)</f>
        <v>53</v>
      </c>
      <c r="BQ53" s="59">
        <f t="shared" si="25"/>
        <v>0.4095709857</v>
      </c>
      <c r="BR53" s="55">
        <f>IFERROR(__xludf.DUMMYFUNCTION("IMPORTRANGE(""160qastmdA75nF7eZOKHiYx2-dg1tDT-CE6L7D1M1stU"",""2025-26!AG4"")"),3303190.0)</f>
        <v>3303190</v>
      </c>
      <c r="BS53" s="55">
        <f>IFERROR(__xludf.DUMMYFUNCTION("IMPORTRANGE(""160qastmdA75nF7eZOKHiYx2-dg1tDT-CE6L7D1M1stU"",""2025-26!AG3"")"),54.0)</f>
        <v>54</v>
      </c>
      <c r="BT53" s="55">
        <f>IFERROR(__xludf.DUMMYFUNCTION("IMPORTRANGE(""160qastmdA75nF7eZOKHiYx2-dg1tDT-CE6L7D1M1stU"",""2025-26!AH4"")"),1.264E7)</f>
        <v>12640000</v>
      </c>
      <c r="BU53" s="55">
        <f>IFERROR(__xludf.DUMMYFUNCTION("IMPORTRANGE(""160qastmdA75nF7eZOKHiYx2-dg1tDT-CE6L7D1M1stU"",""2025-26!AH3"")"),105.0)</f>
        <v>105</v>
      </c>
      <c r="BV53" s="55">
        <f>IFERROR(__xludf.DUMMYFUNCTION("IMPORTRANGE(""160qastmdA75nF7eZOKHiYx2-dg1tDT-CE6L7D1M1stU"",""2025-26!AI4"")"),5922437.3599999985)</f>
        <v>5922437.36</v>
      </c>
      <c r="BW53" s="55">
        <f>IFERROR(__xludf.DUMMYFUNCTION("IMPORTRANGE(""160qastmdA75nF7eZOKHiYx2-dg1tDT-CE6L7D1M1stU"",""2025-26!AI3"")"),61.0)</f>
        <v>61</v>
      </c>
      <c r="BX53" s="59">
        <f t="shared" si="26"/>
        <v>0.4672935127</v>
      </c>
      <c r="BY53" s="55">
        <f>IFERROR(__xludf.DUMMYFUNCTION("IMPORTRANGE(""160qastmdA75nF7eZOKHiYx2-dg1tDT-CE6L7D1M1stU"",""2025-26!AJ4"")"),5906590.0)</f>
        <v>5906590</v>
      </c>
      <c r="BZ53" s="55">
        <f>IFERROR(__xludf.DUMMYFUNCTION("IMPORTRANGE(""160qastmdA75nF7eZOKHiYx2-dg1tDT-CE6L7D1M1stU"",""2025-26!AJ3"")"),61.0)</f>
        <v>61</v>
      </c>
      <c r="CA53" s="55">
        <f>IFERROR(__xludf.DUMMYFUNCTION("IMPORTRANGE(""160qastmdA75nF7eZOKHiYx2-dg1tDT-CE6L7D1M1stU"",""2025-26!AK4"")"),3590000.0)</f>
        <v>3590000</v>
      </c>
      <c r="CB53" s="55">
        <f>IFERROR(__xludf.DUMMYFUNCTION("IMPORTRANGE(""160qastmdA75nF7eZOKHiYx2-dg1tDT-CE6L7D1M1stU"",""2025-26!AK3"")"),112.0)</f>
        <v>112</v>
      </c>
      <c r="CC53" s="55">
        <f>IFERROR(__xludf.DUMMYFUNCTION("IMPORTRANGE(""160qastmdA75nF7eZOKHiYx2-dg1tDT-CE6L7D1M1stU"",""2025-26!AL4"")"),4513105.000000001)</f>
        <v>4513105</v>
      </c>
      <c r="CD53" s="55">
        <f>IFERROR(__xludf.DUMMYFUNCTION("IMPORTRANGE(""160qastmdA75nF7eZOKHiYx2-dg1tDT-CE6L7D1M1stU"",""2025-26!AL3"")"),67.0)</f>
        <v>67</v>
      </c>
      <c r="CE53" s="59">
        <f t="shared" si="27"/>
        <v>1.217652646</v>
      </c>
      <c r="CF53" s="55">
        <f>IFERROR(__xludf.DUMMYFUNCTION("IMPORTRANGE(""160qastmdA75nF7eZOKHiYx2-dg1tDT-CE6L7D1M1stU"",""2025-26!AM4"")"),4371373.0)</f>
        <v>4371373</v>
      </c>
      <c r="CG53" s="55">
        <f>IFERROR(__xludf.DUMMYFUNCTION("IMPORTRANGE(""160qastmdA75nF7eZOKHiYx2-dg1tDT-CE6L7D1M1stU"",""2025-26!AM3"")"),67.0)</f>
        <v>67</v>
      </c>
      <c r="CH53" s="55">
        <f>IFERROR(__xludf.DUMMYFUNCTION("IMPORTRANGE(""160qastmdA75nF7eZOKHiYx2-dg1tDT-CE6L7D1M1stU"",""2025-26!AN4"")"),3590000.0)</f>
        <v>3590000</v>
      </c>
      <c r="CI53" s="55">
        <f>IFERROR(__xludf.DUMMYFUNCTION("IMPORTRANGE(""160qastmdA75nF7eZOKHiYx2-dg1tDT-CE6L7D1M1stU"",""2025-26!AN3"")"),112.0)</f>
        <v>112</v>
      </c>
      <c r="CJ53" s="55">
        <f>IFERROR(__xludf.DUMMYFUNCTION("IMPORTRANGE(""160qastmdA75nF7eZOKHiYx2-dg1tDT-CE6L7D1M1stU"",""2025-26!AO4"")"),4080998.2299999995)</f>
        <v>4080998.23</v>
      </c>
      <c r="CK53" s="55">
        <f>IFERROR(__xludf.DUMMYFUNCTION("IMPORTRANGE(""160qastmdA75nF7eZOKHiYx2-dg1tDT-CE6L7D1M1stU"",""2025-26!AO3"")"),66.0)</f>
        <v>66</v>
      </c>
      <c r="CL53" s="59">
        <f t="shared" si="28"/>
        <v>1.11679805</v>
      </c>
      <c r="CM53" s="55">
        <f>IFERROR(__xludf.DUMMYFUNCTION("IMPORTRANGE(""160qastmdA75nF7eZOKHiYx2-dg1tDT-CE6L7D1M1stU"",""2025-26!AP4"")"),4009305.0)</f>
        <v>4009305</v>
      </c>
      <c r="CN53" s="55">
        <f>IFERROR(__xludf.DUMMYFUNCTION("IMPORTRANGE(""160qastmdA75nF7eZOKHiYx2-dg1tDT-CE6L7D1M1stU"",""2025-26!AP3"")"),66.0)</f>
        <v>66</v>
      </c>
      <c r="CO53" s="55">
        <f>IFERROR(__xludf.DUMMYFUNCTION("IMPORTRANGE(""160qastmdA75nF7eZOKHiYx2-dg1tDT-CE6L7D1M1stU"",""2025-26!AQ4"")"),4770000.0)</f>
        <v>4770000</v>
      </c>
      <c r="CP53" s="55">
        <f>IFERROR(__xludf.DUMMYFUNCTION("IMPORTRANGE(""160qastmdA75nF7eZOKHiYx2-dg1tDT-CE6L7D1M1stU"",""2025-26!AQ3"")"),112.0)</f>
        <v>112</v>
      </c>
      <c r="CQ53" s="55">
        <f>IFERROR(__xludf.DUMMYFUNCTION("IMPORTRANGE(""160qastmdA75nF7eZOKHiYx2-dg1tDT-CE6L7D1M1stU"",""2025-26!AR4"")"),6021571.91)</f>
        <v>6021571.91</v>
      </c>
      <c r="CR53" s="55">
        <f>IFERROR(__xludf.DUMMYFUNCTION("IMPORTRANGE(""160qastmdA75nF7eZOKHiYx2-dg1tDT-CE6L7D1M1stU"",""2025-26!AR3"")"),58.0)</f>
        <v>58</v>
      </c>
      <c r="CS53" s="59">
        <f t="shared" si="29"/>
        <v>1.216068973</v>
      </c>
      <c r="CT53" s="55">
        <f>IFERROR(__xludf.DUMMYFUNCTION("IMPORTRANGE(""160qastmdA75nF7eZOKHiYx2-dg1tDT-CE6L7D1M1stU"",""2025-26!AS4"")"),5800649.0)</f>
        <v>5800649</v>
      </c>
      <c r="CU53" s="55">
        <f>IFERROR(__xludf.DUMMYFUNCTION("IMPORTRANGE(""160qastmdA75nF7eZOKHiYx2-dg1tDT-CE6L7D1M1stU"",""2025-26!AS3"")"),60.0)</f>
        <v>60</v>
      </c>
      <c r="CV53" s="60" t="s">
        <v>135</v>
      </c>
    </row>
    <row r="54">
      <c r="A54" s="1" t="s">
        <v>126</v>
      </c>
      <c r="B54" s="37"/>
      <c r="C54" s="80" t="s">
        <v>138</v>
      </c>
      <c r="D54" s="49" t="s">
        <v>139</v>
      </c>
      <c r="E54" s="50">
        <v>8.889494782E9</v>
      </c>
      <c r="F54" s="74">
        <v>44245.0</v>
      </c>
      <c r="G54" s="62"/>
      <c r="H54" s="62"/>
      <c r="I54" s="53">
        <f>VLOOKUP($C54,Data!$C:$BV,72,0)</f>
        <v>41690</v>
      </c>
      <c r="J54" s="57">
        <v>2333333.0</v>
      </c>
      <c r="K54" s="55">
        <f>IFERROR(__xludf.DUMMYFUNCTION("IMPORTRANGE(""1zZrQzeo-pLQodYi6Jw--fNVDOKrSmQL1Jd3GjTKt7z8"",""2025-26!A3"")"),127.0)</f>
        <v>127</v>
      </c>
      <c r="L54" s="55">
        <f>IFERROR(__xludf.DUMMYFUNCTION("IMPORTRANGE(""1zZrQzeo-pLQodYi6Jw--fNVDOKrSmQL1Jd3GjTKt7z8"",""2025-26!G4"")"),2.511E7)</f>
        <v>25110000</v>
      </c>
      <c r="M54" s="55">
        <f t="shared" si="41"/>
        <v>14192529.61</v>
      </c>
      <c r="N54" s="56">
        <f t="shared" si="42"/>
        <v>0.6726876543</v>
      </c>
      <c r="O54" s="57">
        <f t="shared" si="43"/>
        <v>16891187</v>
      </c>
      <c r="P54" s="55">
        <f>IFERROR(__xludf.DUMMYFUNCTION("IMPORTRANGE(""1zZrQzeo-pLQodYi6Jw--fNVDOKrSmQL1Jd3GjTKt7z8"",""2025-26!J4"")"),2004000.0)</f>
        <v>2004000</v>
      </c>
      <c r="Q54" s="55">
        <f>IFERROR(__xludf.DUMMYFUNCTION("IMPORTRANGE(""1zZrQzeo-pLQodYi6Jw--fNVDOKrSmQL1Jd3GjTKt7z8"",""2025-26!J3"")"),100.0)</f>
        <v>100</v>
      </c>
      <c r="R54" s="55">
        <f>IFERROR(__xludf.DUMMYFUNCTION("IMPORTRANGE(""1zZrQzeo-pLQodYi6Jw--fNVDOKrSmQL1Jd3GjTKt7z8"",""2025-26!K4"")"),1277111.8)</f>
        <v>1277111.8</v>
      </c>
      <c r="S54" s="55">
        <f>IFERROR(__xludf.DUMMYFUNCTION("IMPORTRANGE(""1zZrQzeo-pLQodYi6Jw--fNVDOKrSmQL1Jd3GjTKt7z8"",""2025-26!K3"")"),37.0)</f>
        <v>37</v>
      </c>
      <c r="T54" s="58">
        <f t="shared" si="18"/>
        <v>0.6573872255</v>
      </c>
      <c r="U54" s="55">
        <f>IFERROR(__xludf.DUMMYFUNCTION("IMPORTRANGE(""1zZrQzeo-pLQodYi6Jw--fNVDOKrSmQL1Jd3GjTKt7z8"",""2025-26!L4"")"),1317404.0)</f>
        <v>1317404</v>
      </c>
      <c r="V54" s="55">
        <f>IFERROR(__xludf.DUMMYFUNCTION("IMPORTRANGE(""1zZrQzeo-pLQodYi6Jw--fNVDOKrSmQL1Jd3GjTKt7z8"",""2025-26!L3"")"),38.0)</f>
        <v>38</v>
      </c>
      <c r="W54" s="55">
        <f>IFERROR(__xludf.DUMMYFUNCTION("IMPORTRANGE(""1zZrQzeo-pLQodYi6Jw--fNVDOKrSmQL1Jd3GjTKt7z8"",""2025-26!m4"")"),2006000.0)</f>
        <v>2006000</v>
      </c>
      <c r="X54" s="55">
        <f>IFERROR(__xludf.DUMMYFUNCTION("IMPORTRANGE(""1zZrQzeo-pLQodYi6Jw--fNVDOKrSmQL1Jd3GjTKt7z8"",""2025-26!m3"")"),100.0)</f>
        <v>100</v>
      </c>
      <c r="Y54" s="55">
        <f>IFERROR(__xludf.DUMMYFUNCTION("IMPORTRANGE(""1zZrQzeo-pLQodYi6Jw--fNVDOKrSmQL1Jd3GjTKt7z8"",""2025-26!N4"")"),927265.6000000001)</f>
        <v>927265.6</v>
      </c>
      <c r="Z54" s="55">
        <f>IFERROR(__xludf.DUMMYFUNCTION("IMPORTRANGE(""1zZrQzeo-pLQodYi6Jw--fNVDOKrSmQL1Jd3GjTKt7z8"",""2025-26!N3"")"),18.0)</f>
        <v>18</v>
      </c>
      <c r="AA54" s="58">
        <f t="shared" si="19"/>
        <v>0.703224327</v>
      </c>
      <c r="AB54" s="55">
        <f>IFERROR(__xludf.DUMMYFUNCTION("IMPORTRANGE(""1zZrQzeo-pLQodYi6Jw--fNVDOKrSmQL1Jd3GjTKt7z8"",""2025-26!O4"")"),1410668.0)</f>
        <v>1410668</v>
      </c>
      <c r="AC54" s="55">
        <f>IFERROR(__xludf.DUMMYFUNCTION("IMPORTRANGE(""1zZrQzeo-pLQodYi6Jw--fNVDOKrSmQL1Jd3GjTKt7z8"",""2025-26!O3"")"),34.0)</f>
        <v>34</v>
      </c>
      <c r="AD54" s="55">
        <f>IFERROR(__xludf.DUMMYFUNCTION("IMPORTRANGE(""1zZrQzeo-pLQodYi6Jw--fNVDOKrSmQL1Jd3GjTKt7z8"",""2025-26!P4"")"),2001000.0)</f>
        <v>2001000</v>
      </c>
      <c r="AE54" s="55">
        <f>IFERROR(__xludf.DUMMYFUNCTION("IMPORTRANGE(""1zZrQzeo-pLQodYi6Jw--fNVDOKrSmQL1Jd3GjTKt7z8"",""2025-26!P3"")"),100.0)</f>
        <v>100</v>
      </c>
      <c r="AF54" s="55">
        <f>IFERROR(__xludf.DUMMYFUNCTION("IMPORTRANGE(""1zZrQzeo-pLQodYi6Jw--fNVDOKrSmQL1Jd3GjTKt7z8"",""2025-26!Q4"")"),1077559.2000000002)</f>
        <v>1077559.2</v>
      </c>
      <c r="AG54" s="55">
        <f>IFERROR(__xludf.DUMMYFUNCTION("IMPORTRANGE(""1zZrQzeo-pLQodYi6Jw--fNVDOKrSmQL1Jd3GjTKt7z8"",""2025-26!Q3"")"),21.0)</f>
        <v>21</v>
      </c>
      <c r="AH54" s="58">
        <f t="shared" si="20"/>
        <v>0.6454372814</v>
      </c>
      <c r="AI54" s="55">
        <f>IFERROR(__xludf.DUMMYFUNCTION("IMPORTRANGE(""1zZrQzeo-pLQodYi6Jw--fNVDOKrSmQL1Jd3GjTKt7z8"",""2025-26!R4"")"),1291520.0)</f>
        <v>1291520</v>
      </c>
      <c r="AJ54" s="55">
        <f>IFERROR(__xludf.DUMMYFUNCTION("IMPORTRANGE(""1zZrQzeo-pLQodYi6Jw--fNVDOKrSmQL1Jd3GjTKt7z8"",""2025-26!R3"")"),29.0)</f>
        <v>29</v>
      </c>
      <c r="AK54" s="55">
        <f>IFERROR(__xludf.DUMMYFUNCTION("IMPORTRANGE(""1zZrQzeo-pLQodYi6Jw--fNVDOKrSmQL1Jd3GjTKt7z8"",""2025-26!S4"")"),2337000.0)</f>
        <v>2337000</v>
      </c>
      <c r="AL54" s="55">
        <f>IFERROR(__xludf.DUMMYFUNCTION("IMPORTRANGE(""1zZrQzeo-pLQodYi6Jw--fNVDOKrSmQL1Jd3GjTKt7z8"",""2025-26!S3"")"),103.0)</f>
        <v>103</v>
      </c>
      <c r="AM54" s="55">
        <f>IFERROR(__xludf.DUMMYFUNCTION("IMPORTRANGE(""1zZrQzeo-pLQodYi6Jw--fNVDOKrSmQL1Jd3GjTKt7z8"",""2025-26!T4"")"),1045405.4199999999)</f>
        <v>1045405.42</v>
      </c>
      <c r="AN54" s="55">
        <f>IFERROR(__xludf.DUMMYFUNCTION("IMPORTRANGE(""1zZrQzeo-pLQodYi6Jw--fNVDOKrSmQL1Jd3GjTKt7z8"",""2025-26!T3"")"),18.0)</f>
        <v>18</v>
      </c>
      <c r="AO54" s="58">
        <f t="shared" si="21"/>
        <v>0.5777642276</v>
      </c>
      <c r="AP54" s="55">
        <f>IFERROR(__xludf.DUMMYFUNCTION("IMPORTRANGE(""1zZrQzeo-pLQodYi6Jw--fNVDOKrSmQL1Jd3GjTKt7z8"",""2025-26!U4"")"),1350235.0)</f>
        <v>1350235</v>
      </c>
      <c r="AQ54" s="55">
        <f>IFERROR(__xludf.DUMMYFUNCTION("IMPORTRANGE(""1zZrQzeo-pLQodYi6Jw--fNVDOKrSmQL1Jd3GjTKt7z8"",""2025-26!U3"")"),31.0)</f>
        <v>31</v>
      </c>
      <c r="AR54" s="55">
        <f>IFERROR(__xludf.DUMMYFUNCTION("IMPORTRANGE(""1zZrQzeo-pLQodYi6Jw--fNVDOKrSmQL1Jd3GjTKt7z8"",""2025-26!V4"")"),2338000.0)</f>
        <v>2338000</v>
      </c>
      <c r="AS54" s="55">
        <f>IFERROR(__xludf.DUMMYFUNCTION("IMPORTRANGE(""1zZrQzeo-pLQodYi6Jw--fNVDOKrSmQL1Jd3GjTKt7z8"",""2025-26!V3"")"),103.0)</f>
        <v>103</v>
      </c>
      <c r="AT54" s="55">
        <f>IFERROR(__xludf.DUMMYFUNCTION("IMPORTRANGE(""1zZrQzeo-pLQodYi6Jw--fNVDOKrSmQL1Jd3GjTKt7z8"",""2025-26!W4"")"),1220624.61)</f>
        <v>1220624.61</v>
      </c>
      <c r="AU54" s="55">
        <f>IFERROR(__xludf.DUMMYFUNCTION("IMPORTRANGE(""1zZrQzeo-pLQodYi6Jw--fNVDOKrSmQL1Jd3GjTKt7z8"",""2025-26!W3"")"),24.0)</f>
        <v>24</v>
      </c>
      <c r="AV54" s="58">
        <f t="shared" si="22"/>
        <v>0.4861890505</v>
      </c>
      <c r="AW54" s="55">
        <f>IFERROR(__xludf.DUMMYFUNCTION("IMPORTRANGE(""1zZrQzeo-pLQodYi6Jw--fNVDOKrSmQL1Jd3GjTKt7z8"",""2025-26!X4"")"),1136710.0)</f>
        <v>1136710</v>
      </c>
      <c r="AX54" s="55">
        <f>IFERROR(__xludf.DUMMYFUNCTION("IMPORTRANGE(""1zZrQzeo-pLQodYi6Jw--fNVDOKrSmQL1Jd3GjTKt7z8"",""2025-26!X3"")"),23.0)</f>
        <v>23</v>
      </c>
      <c r="AY54" s="55">
        <f>IFERROR(__xludf.DUMMYFUNCTION("IMPORTRANGE(""1zZrQzeo-pLQodYi6Jw--fNVDOKrSmQL1Jd3GjTKt7z8"",""2025-26!Y4"")"),2443000.0)</f>
        <v>2443000</v>
      </c>
      <c r="AZ54" s="55">
        <f>IFERROR(__xludf.DUMMYFUNCTION("IMPORTRANGE(""1zZrQzeo-pLQodYi6Jw--fNVDOKrSmQL1Jd3GjTKt7z8"",""2025-26!Y3"")"),111.0)</f>
        <v>111</v>
      </c>
      <c r="BA54" s="55">
        <f>IFERROR(__xludf.DUMMYFUNCTION("IMPORTRANGE(""1zZrQzeo-pLQodYi6Jw--fNVDOKrSmQL1Jd3GjTKt7z8"",""2025-26!Z4"")"),896178.5700000001)</f>
        <v>896178.57</v>
      </c>
      <c r="BB54" s="55">
        <f>IFERROR(__xludf.DUMMYFUNCTION("IMPORTRANGE(""1zZrQzeo-pLQodYi6Jw--fNVDOKrSmQL1Jd3GjTKt7z8"",""2025-26!Z3"")"),15.0)</f>
        <v>15</v>
      </c>
      <c r="BC54" s="59">
        <f t="shared" si="23"/>
        <v>0.4888174376</v>
      </c>
      <c r="BD54" s="55">
        <f>IFERROR(__xludf.DUMMYFUNCTION("IMPORTRANGE(""1zZrQzeo-pLQodYi6Jw--fNVDOKrSmQL1Jd3GjTKt7z8"",""2025-26!AA4"")"),1194181.0)</f>
        <v>1194181</v>
      </c>
      <c r="BE54" s="55">
        <f>IFERROR(__xludf.DUMMYFUNCTION("IMPORTRANGE(""1zZrQzeo-pLQodYi6Jw--fNVDOKrSmQL1Jd3GjTKt7z8"",""2025-26!AA3"")"),28.0)</f>
        <v>28</v>
      </c>
      <c r="BF54" s="55">
        <f>IFERROR(__xludf.DUMMYFUNCTION("IMPORTRANGE(""1zZrQzeo-pLQodYi6Jw--fNVDOKrSmQL1Jd3GjTKt7z8"",""2025-26!AB4"")"),2346000.0)</f>
        <v>2346000</v>
      </c>
      <c r="BG54" s="55">
        <f>IFERROR(__xludf.DUMMYFUNCTION("IMPORTRANGE(""1zZrQzeo-pLQodYi6Jw--fNVDOKrSmQL1Jd3GjTKt7z8"",""2025-26!AB3"")"),113.0)</f>
        <v>113</v>
      </c>
      <c r="BH54" s="55">
        <f>IFERROR(__xludf.DUMMYFUNCTION("IMPORTRANGE(""1zZrQzeo-pLQodYi6Jw--fNVDOKrSmQL1Jd3GjTKt7z8"",""2025-26!AC4"")"),938969.97)</f>
        <v>938969.97</v>
      </c>
      <c r="BI54" s="55">
        <f>IFERROR(__xludf.DUMMYFUNCTION("IMPORTRANGE(""1zZrQzeo-pLQodYi6Jw--fNVDOKrSmQL1Jd3GjTKt7z8"",""2025-26!AC3"")"),25.0)</f>
        <v>25</v>
      </c>
      <c r="BJ54" s="59">
        <f t="shared" si="24"/>
        <v>0.4672084399</v>
      </c>
      <c r="BK54" s="55">
        <f>IFERROR(__xludf.DUMMYFUNCTION("IMPORTRANGE(""1zZrQzeo-pLQodYi6Jw--fNVDOKrSmQL1Jd3GjTKt7z8"",""2025-26!AD4"")"),1096071.0)</f>
        <v>1096071</v>
      </c>
      <c r="BL54" s="55">
        <f>IFERROR(__xludf.DUMMYFUNCTION("IMPORTRANGE(""1zZrQzeo-pLQodYi6Jw--fNVDOKrSmQL1Jd3GjTKt7z8"",""2025-26!AD3"")"),29.0)</f>
        <v>29</v>
      </c>
      <c r="BM54" s="55">
        <f>IFERROR(__xludf.DUMMYFUNCTION("IMPORTRANGE(""1zZrQzeo-pLQodYi6Jw--fNVDOKrSmQL1Jd3GjTKt7z8"",""2025-26!AE4"")"),2350000.0)</f>
        <v>2350000</v>
      </c>
      <c r="BN54" s="55">
        <f>IFERROR(__xludf.DUMMYFUNCTION("IMPORTRANGE(""1zZrQzeo-pLQodYi6Jw--fNVDOKrSmQL1Jd3GjTKt7z8"",""2025-26!AE3"")"),113.0)</f>
        <v>113</v>
      </c>
      <c r="BO54" s="55">
        <f>IFERROR(__xludf.DUMMYFUNCTION("IMPORTRANGE(""1zZrQzeo-pLQodYi6Jw--fNVDOKrSmQL1Jd3GjTKt7z8"",""2025-26!AF4"")"),1229457.39)</f>
        <v>1229457.39</v>
      </c>
      <c r="BP54" s="55">
        <f>IFERROR(__xludf.DUMMYFUNCTION("IMPORTRANGE(""1zZrQzeo-pLQodYi6Jw--fNVDOKrSmQL1Jd3GjTKt7z8"",""2025-26!AF3"")"),26.0)</f>
        <v>26</v>
      </c>
      <c r="BQ54" s="59">
        <f t="shared" si="25"/>
        <v>0.708252766</v>
      </c>
      <c r="BR54" s="55">
        <f>IFERROR(__xludf.DUMMYFUNCTION("IMPORTRANGE(""1zZrQzeo-pLQodYi6Jw--fNVDOKrSmQL1Jd3GjTKt7z8"",""2025-26!AG4"")"),1664394.0)</f>
        <v>1664394</v>
      </c>
      <c r="BS54" s="55">
        <f>IFERROR(__xludf.DUMMYFUNCTION("IMPORTRANGE(""1zZrQzeo-pLQodYi6Jw--fNVDOKrSmQL1Jd3GjTKt7z8"",""2025-26!AG3"")"),40.0)</f>
        <v>40</v>
      </c>
      <c r="BT54" s="55">
        <f>IFERROR(__xludf.DUMMYFUNCTION("IMPORTRANGE(""1zZrQzeo-pLQodYi6Jw--fNVDOKrSmQL1Jd3GjTKt7z8"",""2025-26!AH4"")"),2356000.0)</f>
        <v>2356000</v>
      </c>
      <c r="BU54" s="55">
        <f>IFERROR(__xludf.DUMMYFUNCTION("IMPORTRANGE(""1zZrQzeo-pLQodYi6Jw--fNVDOKrSmQL1Jd3GjTKt7z8"",""2025-26!AH3"")"),113.0)</f>
        <v>113</v>
      </c>
      <c r="BV54" s="55">
        <f>IFERROR(__xludf.DUMMYFUNCTION("IMPORTRANGE(""1zZrQzeo-pLQodYi6Jw--fNVDOKrSmQL1Jd3GjTKt7z8"",""2025-26!AI4"")"),1466284.1199999999)</f>
        <v>1466284.12</v>
      </c>
      <c r="BW54" s="55">
        <f>IFERROR(__xludf.DUMMYFUNCTION("IMPORTRANGE(""1zZrQzeo-pLQodYi6Jw--fNVDOKrSmQL1Jd3GjTKt7z8"",""2025-26!AI3"")"),23.0)</f>
        <v>23</v>
      </c>
      <c r="BX54" s="59">
        <f t="shared" si="26"/>
        <v>0.7170360781</v>
      </c>
      <c r="BY54" s="55">
        <f>IFERROR(__xludf.DUMMYFUNCTION("IMPORTRANGE(""1zZrQzeo-pLQodYi6Jw--fNVDOKrSmQL1Jd3GjTKt7z8"",""2025-26!AJ4"")"),1689337.0)</f>
        <v>1689337</v>
      </c>
      <c r="BZ54" s="55">
        <f>IFERROR(__xludf.DUMMYFUNCTION("IMPORTRANGE(""1zZrQzeo-pLQodYi6Jw--fNVDOKrSmQL1Jd3GjTKt7z8"",""2025-26!AJ3"")"),28.0)</f>
        <v>28</v>
      </c>
      <c r="CA54" s="55">
        <f>IFERROR(__xludf.DUMMYFUNCTION("IMPORTRANGE(""1zZrQzeo-pLQodYi6Jw--fNVDOKrSmQL1Jd3GjTKt7z8"",""2025-26!AK4"")"),2366000.0)</f>
        <v>2366000</v>
      </c>
      <c r="CB54" s="55">
        <f>IFERROR(__xludf.DUMMYFUNCTION("IMPORTRANGE(""1zZrQzeo-pLQodYi6Jw--fNVDOKrSmQL1Jd3GjTKt7z8"",""2025-26!AK3"")"),114.0)</f>
        <v>114</v>
      </c>
      <c r="CC54" s="55">
        <f>IFERROR(__xludf.DUMMYFUNCTION("IMPORTRANGE(""1zZrQzeo-pLQodYi6Jw--fNVDOKrSmQL1Jd3GjTKt7z8"",""2025-26!AL4"")"),989490.8200000001)</f>
        <v>989490.82</v>
      </c>
      <c r="CD54" s="55">
        <f>IFERROR(__xludf.DUMMYFUNCTION("IMPORTRANGE(""1zZrQzeo-pLQodYi6Jw--fNVDOKrSmQL1Jd3GjTKt7z8"",""2025-26!AL3"")"),18.0)</f>
        <v>18</v>
      </c>
      <c r="CE54" s="59">
        <f t="shared" si="27"/>
        <v>0.5140604396</v>
      </c>
      <c r="CF54" s="55">
        <f>IFERROR(__xludf.DUMMYFUNCTION("IMPORTRANGE(""1zZrQzeo-pLQodYi6Jw--fNVDOKrSmQL1Jd3GjTKt7z8"",""2025-26!AM4"")"),1216267.0)</f>
        <v>1216267</v>
      </c>
      <c r="CG54" s="55">
        <f>IFERROR(__xludf.DUMMYFUNCTION("IMPORTRANGE(""1zZrQzeo-pLQodYi6Jw--fNVDOKrSmQL1Jd3GjTKt7z8"",""2025-26!AM3"")"),22.0)</f>
        <v>22</v>
      </c>
      <c r="CH54" s="55">
        <f>IFERROR(__xludf.DUMMYFUNCTION("IMPORTRANGE(""1zZrQzeo-pLQodYi6Jw--fNVDOKrSmQL1Jd3GjTKt7z8"",""2025-26!AN4"")"),2369000.0)</f>
        <v>2369000</v>
      </c>
      <c r="CI54" s="55">
        <f>IFERROR(__xludf.DUMMYFUNCTION("IMPORTRANGE(""1zZrQzeo-pLQodYi6Jw--fNVDOKrSmQL1Jd3GjTKt7z8"",""2025-26!AN3"")"),114.0)</f>
        <v>114</v>
      </c>
      <c r="CJ54" s="55">
        <f>IFERROR(__xludf.DUMMYFUNCTION("IMPORTRANGE(""1zZrQzeo-pLQodYi6Jw--fNVDOKrSmQL1Jd3GjTKt7z8"",""2025-26!AO4"")"),1382339.4400000002)</f>
        <v>1382339.44</v>
      </c>
      <c r="CK54" s="55">
        <f>IFERROR(__xludf.DUMMYFUNCTION("IMPORTRANGE(""1zZrQzeo-pLQodYi6Jw--fNVDOKrSmQL1Jd3GjTKt7z8"",""2025-26!AO3"")"),24.0)</f>
        <v>24</v>
      </c>
      <c r="CL54" s="59">
        <f t="shared" si="28"/>
        <v>0.6089759392</v>
      </c>
      <c r="CM54" s="55">
        <f>IFERROR(__xludf.DUMMYFUNCTION("IMPORTRANGE(""1zZrQzeo-pLQodYi6Jw--fNVDOKrSmQL1Jd3GjTKt7z8"",""2025-26!AP4"")"),1442664.0)</f>
        <v>1442664</v>
      </c>
      <c r="CN54" s="55">
        <f>IFERROR(__xludf.DUMMYFUNCTION("IMPORTRANGE(""1zZrQzeo-pLQodYi6Jw--fNVDOKrSmQL1Jd3GjTKt7z8"",""2025-26!AP3"")"),24.0)</f>
        <v>24</v>
      </c>
      <c r="CO54" s="55">
        <f>IFERROR(__xludf.DUMMYFUNCTION("IMPORTRANGE(""1zZrQzeo-pLQodYi6Jw--fNVDOKrSmQL1Jd3GjTKt7z8"",""2025-26!AQ4"")"),2366000.0)</f>
        <v>2366000</v>
      </c>
      <c r="CP54" s="55">
        <f>IFERROR(__xludf.DUMMYFUNCTION("IMPORTRANGE(""1zZrQzeo-pLQodYi6Jw--fNVDOKrSmQL1Jd3GjTKt7z8"",""2025-26!AQ3"")"),114.0)</f>
        <v>114</v>
      </c>
      <c r="CQ54" s="55">
        <f>IFERROR(__xludf.DUMMYFUNCTION("IMPORTRANGE(""1zZrQzeo-pLQodYi6Jw--fNVDOKrSmQL1Jd3GjTKt7z8"",""2025-26!AR4"")"),1741842.67)</f>
        <v>1741842.67</v>
      </c>
      <c r="CR54" s="55">
        <f>IFERROR(__xludf.DUMMYFUNCTION("IMPORTRANGE(""1zZrQzeo-pLQodYi6Jw--fNVDOKrSmQL1Jd3GjTKt7z8"",""2025-26!AR3"")"),32.0)</f>
        <v>32</v>
      </c>
      <c r="CS54" s="59">
        <f t="shared" si="29"/>
        <v>0.8798546069</v>
      </c>
      <c r="CT54" s="55">
        <f>IFERROR(__xludf.DUMMYFUNCTION("IMPORTRANGE(""1zZrQzeo-pLQodYi6Jw--fNVDOKrSmQL1Jd3GjTKt7z8"",""2025-26!AS4"")"),2081736.0)</f>
        <v>2081736</v>
      </c>
      <c r="CU54" s="55">
        <f>IFERROR(__xludf.DUMMYFUNCTION("IMPORTRANGE(""1zZrQzeo-pLQodYi6Jw--fNVDOKrSmQL1Jd3GjTKt7z8"",""2025-26!AS3"")"),34.0)</f>
        <v>34</v>
      </c>
      <c r="CV54" s="60" t="s">
        <v>140</v>
      </c>
    </row>
    <row r="55">
      <c r="A55" s="1" t="s">
        <v>126</v>
      </c>
      <c r="B55" s="37"/>
      <c r="C55" s="80" t="s">
        <v>141</v>
      </c>
      <c r="D55" s="49" t="s">
        <v>142</v>
      </c>
      <c r="E55" s="50">
        <v>8.081770985E9</v>
      </c>
      <c r="F55" s="74">
        <v>44247.0</v>
      </c>
      <c r="G55" s="62"/>
      <c r="H55" s="62"/>
      <c r="I55" s="53">
        <f>VLOOKUP($C55,Data!$C:$BV,72,0)</f>
        <v>45515</v>
      </c>
      <c r="J55" s="57">
        <v>3333333.0</v>
      </c>
      <c r="K55" s="55">
        <f>IFERROR(__xludf.DUMMYFUNCTION("IMPORTRANGE(""168rO1noAjXUXPyctkxWsPdyeGBTsdn824sOiP-z2cWY"",""2025-26!A3"")"),125.0)</f>
        <v>125</v>
      </c>
      <c r="L55" s="55">
        <f>IFERROR(__xludf.DUMMYFUNCTION("IMPORTRANGE(""168rO1noAjXUXPyctkxWsPdyeGBTsdn824sOiP-z2cWY"",""2025-26!G4"")"),4.86E7)</f>
        <v>48600000</v>
      </c>
      <c r="M55" s="55">
        <f t="shared" si="41"/>
        <v>28197453.03</v>
      </c>
      <c r="N55" s="56">
        <f t="shared" si="42"/>
        <v>0.3545564678</v>
      </c>
      <c r="O55" s="57">
        <f t="shared" si="43"/>
        <v>17231444.34</v>
      </c>
      <c r="P55" s="55">
        <f>IFERROR(__xludf.DUMMYFUNCTION("IMPORTRANGE(""168rO1noAjXUXPyctkxWsPdyeGBTsdn824sOiP-z2cWY"",""2025-26!J4"")"),3675000.0)</f>
        <v>3675000</v>
      </c>
      <c r="Q55" s="55">
        <f>IFERROR(__xludf.DUMMYFUNCTION("IMPORTRANGE(""168rO1noAjXUXPyctkxWsPdyeGBTsdn824sOiP-z2cWY"",""2025-26!J3"")"),85.0)</f>
        <v>85</v>
      </c>
      <c r="R55" s="55">
        <f>IFERROR(__xludf.DUMMYFUNCTION("IMPORTRANGE(""168rO1noAjXUXPyctkxWsPdyeGBTsdn824sOiP-z2cWY"",""2025-26!K4"")"),2514190.4)</f>
        <v>2514190.4</v>
      </c>
      <c r="S55" s="55">
        <f>IFERROR(__xludf.DUMMYFUNCTION("IMPORTRANGE(""168rO1noAjXUXPyctkxWsPdyeGBTsdn824sOiP-z2cWY"",""2025-26!K3"")"),37.0)</f>
        <v>37</v>
      </c>
      <c r="T55" s="58">
        <f t="shared" si="18"/>
        <v>0.3571160054</v>
      </c>
      <c r="U55" s="55">
        <f>IFERROR(__xludf.DUMMYFUNCTION("IMPORTRANGE(""168rO1noAjXUXPyctkxWsPdyeGBTsdn824sOiP-z2cWY"",""2025-26!L4"")"),1312401.3200000003)</f>
        <v>1312401.32</v>
      </c>
      <c r="V55" s="55">
        <f>IFERROR(__xludf.DUMMYFUNCTION("IMPORTRANGE(""168rO1noAjXUXPyctkxWsPdyeGBTsdn824sOiP-z2cWY"",""2025-26!L3"")"),25.0)</f>
        <v>25</v>
      </c>
      <c r="W55" s="55">
        <f>IFERROR(__xludf.DUMMYFUNCTION("IMPORTRANGE(""168rO1noAjXUXPyctkxWsPdyeGBTsdn824sOiP-z2cWY"",""2025-26!m4"")"),3925000.0)</f>
        <v>3925000</v>
      </c>
      <c r="X55" s="55">
        <f>IFERROR(__xludf.DUMMYFUNCTION("IMPORTRANGE(""168rO1noAjXUXPyctkxWsPdyeGBTsdn824sOiP-z2cWY"",""2025-26!m3"")"),85.0)</f>
        <v>85</v>
      </c>
      <c r="Y55" s="55">
        <f>IFERROR(__xludf.DUMMYFUNCTION("IMPORTRANGE(""168rO1noAjXUXPyctkxWsPdyeGBTsdn824sOiP-z2cWY"",""2025-26!N4"")"),2132024.15)</f>
        <v>2132024.15</v>
      </c>
      <c r="Z55" s="55">
        <f>IFERROR(__xludf.DUMMYFUNCTION("IMPORTRANGE(""168rO1noAjXUXPyctkxWsPdyeGBTsdn824sOiP-z2cWY"",""2025-26!N3"")"),28.0)</f>
        <v>28</v>
      </c>
      <c r="AA55" s="58">
        <f t="shared" si="19"/>
        <v>0.2703937223</v>
      </c>
      <c r="AB55" s="55">
        <f>IFERROR(__xludf.DUMMYFUNCTION("IMPORTRANGE(""168rO1noAjXUXPyctkxWsPdyeGBTsdn824sOiP-z2cWY"",""2025-26!O4"")"),1061295.3599999999)</f>
        <v>1061295.36</v>
      </c>
      <c r="AC55" s="55">
        <f>IFERROR(__xludf.DUMMYFUNCTION("IMPORTRANGE(""168rO1noAjXUXPyctkxWsPdyeGBTsdn824sOiP-z2cWY"",""2025-26!O3"")"),20.0)</f>
        <v>20</v>
      </c>
      <c r="AD55" s="55">
        <f>IFERROR(__xludf.DUMMYFUNCTION("IMPORTRANGE(""168rO1noAjXUXPyctkxWsPdyeGBTsdn824sOiP-z2cWY"",""2025-26!P4"")"),4325000.0)</f>
        <v>4325000</v>
      </c>
      <c r="AE55" s="55">
        <f>IFERROR(__xludf.DUMMYFUNCTION("IMPORTRANGE(""168rO1noAjXUXPyctkxWsPdyeGBTsdn824sOiP-z2cWY"",""2025-26!P3"")"),85.0)</f>
        <v>85</v>
      </c>
      <c r="AF55" s="55">
        <f>IFERROR(__xludf.DUMMYFUNCTION("IMPORTRANGE(""168rO1noAjXUXPyctkxWsPdyeGBTsdn824sOiP-z2cWY"",""2025-26!Q4"")"),1724408.422999998)</f>
        <v>1724408.423</v>
      </c>
      <c r="AG55" s="55">
        <f>IFERROR(__xludf.DUMMYFUNCTION("IMPORTRANGE(""168rO1noAjXUXPyctkxWsPdyeGBTsdn824sOiP-z2cWY"",""2025-26!Q3"")"),27.0)</f>
        <v>27</v>
      </c>
      <c r="AH55" s="58">
        <f t="shared" si="20"/>
        <v>0.1867243607</v>
      </c>
      <c r="AI55" s="55">
        <f>IFERROR(__xludf.DUMMYFUNCTION("IMPORTRANGE(""168rO1noAjXUXPyctkxWsPdyeGBTsdn824sOiP-z2cWY"",""2025-26!R4"")"),807582.8600000001)</f>
        <v>807582.86</v>
      </c>
      <c r="AJ55" s="55">
        <f>IFERROR(__xludf.DUMMYFUNCTION("IMPORTRANGE(""168rO1noAjXUXPyctkxWsPdyeGBTsdn824sOiP-z2cWY"",""2025-26!R3"")"),15.0)</f>
        <v>15</v>
      </c>
      <c r="AK55" s="55">
        <f>IFERROR(__xludf.DUMMYFUNCTION("IMPORTRANGE(""168rO1noAjXUXPyctkxWsPdyeGBTsdn824sOiP-z2cWY"",""2025-26!S4"")"),4050000.0)</f>
        <v>4050000</v>
      </c>
      <c r="AL55" s="55">
        <f>IFERROR(__xludf.DUMMYFUNCTION("IMPORTRANGE(""168rO1noAjXUXPyctkxWsPdyeGBTsdn824sOiP-z2cWY"",""2025-26!S3"")"),116.0)</f>
        <v>116</v>
      </c>
      <c r="AM55" s="55">
        <f>IFERROR(__xludf.DUMMYFUNCTION("IMPORTRANGE(""168rO1noAjXUXPyctkxWsPdyeGBTsdn824sOiP-z2cWY"",""2025-26!T4"")"),2681980.39)</f>
        <v>2681980.39</v>
      </c>
      <c r="AN55" s="55">
        <f>IFERROR(__xludf.DUMMYFUNCTION("IMPORTRANGE(""168rO1noAjXUXPyctkxWsPdyeGBTsdn824sOiP-z2cWY"",""2025-26!T3"")"),41.0)</f>
        <v>41</v>
      </c>
      <c r="AO55" s="58">
        <f t="shared" si="21"/>
        <v>0.3960964198</v>
      </c>
      <c r="AP55" s="55">
        <f>IFERROR(__xludf.DUMMYFUNCTION("IMPORTRANGE(""168rO1noAjXUXPyctkxWsPdyeGBTsdn824sOiP-z2cWY"",""2025-26!U4"")"),1604190.5000000002)</f>
        <v>1604190.5</v>
      </c>
      <c r="AQ55" s="55">
        <f>IFERROR(__xludf.DUMMYFUNCTION("IMPORTRANGE(""168rO1noAjXUXPyctkxWsPdyeGBTsdn824sOiP-z2cWY"",""2025-26!U3"")"),27.0)</f>
        <v>27</v>
      </c>
      <c r="AR55" s="55">
        <f>IFERROR(__xludf.DUMMYFUNCTION("IMPORTRANGE(""168rO1noAjXUXPyctkxWsPdyeGBTsdn824sOiP-z2cWY"",""2025-26!V4"")"),4050000.0)</f>
        <v>4050000</v>
      </c>
      <c r="AS55" s="55">
        <f>IFERROR(__xludf.DUMMYFUNCTION("IMPORTRANGE(""168rO1noAjXUXPyctkxWsPdyeGBTsdn824sOiP-z2cWY"",""2025-26!V3"")"),116.0)</f>
        <v>116</v>
      </c>
      <c r="AT55" s="55">
        <f>IFERROR(__xludf.DUMMYFUNCTION("IMPORTRANGE(""168rO1noAjXUXPyctkxWsPdyeGBTsdn824sOiP-z2cWY"",""2025-26!W4"")"),1976704.2399999998)</f>
        <v>1976704.24</v>
      </c>
      <c r="AU55" s="55">
        <f>IFERROR(__xludf.DUMMYFUNCTION("IMPORTRANGE(""168rO1noAjXUXPyctkxWsPdyeGBTsdn824sOiP-z2cWY"",""2025-26!W3"")"),36.0)</f>
        <v>36</v>
      </c>
      <c r="AV55" s="58">
        <f t="shared" si="22"/>
        <v>0.3148119481</v>
      </c>
      <c r="AW55" s="55">
        <f>IFERROR(__xludf.DUMMYFUNCTION("IMPORTRANGE(""168rO1noAjXUXPyctkxWsPdyeGBTsdn824sOiP-z2cWY"",""2025-26!X4"")"),1274988.39)</f>
        <v>1274988.39</v>
      </c>
      <c r="AX55" s="55">
        <f>IFERROR(__xludf.DUMMYFUNCTION("IMPORTRANGE(""168rO1noAjXUXPyctkxWsPdyeGBTsdn824sOiP-z2cWY"",""2025-26!X3"")"),25.0)</f>
        <v>25</v>
      </c>
      <c r="AY55" s="55">
        <f>IFERROR(__xludf.DUMMYFUNCTION("IMPORTRANGE(""168rO1noAjXUXPyctkxWsPdyeGBTsdn824sOiP-z2cWY"",""2025-26!Y4"")"),4050000.0)</f>
        <v>4050000</v>
      </c>
      <c r="AZ55" s="55">
        <f>IFERROR(__xludf.DUMMYFUNCTION("IMPORTRANGE(""168rO1noAjXUXPyctkxWsPdyeGBTsdn824sOiP-z2cWY"",""2025-26!Y3"")"),116.0)</f>
        <v>116</v>
      </c>
      <c r="BA55" s="55">
        <f>IFERROR(__xludf.DUMMYFUNCTION("IMPORTRANGE(""168rO1noAjXUXPyctkxWsPdyeGBTsdn824sOiP-z2cWY"",""2025-26!Z4"")"),2689633.33)</f>
        <v>2689633.33</v>
      </c>
      <c r="BB55" s="55">
        <f>IFERROR(__xludf.DUMMYFUNCTION("IMPORTRANGE(""168rO1noAjXUXPyctkxWsPdyeGBTsdn824sOiP-z2cWY"",""2025-26!Z3"")"),44.0)</f>
        <v>44</v>
      </c>
      <c r="BC55" s="59">
        <f t="shared" si="23"/>
        <v>0.3023668904</v>
      </c>
      <c r="BD55" s="55">
        <f>IFERROR(__xludf.DUMMYFUNCTION("IMPORTRANGE(""168rO1noAjXUXPyctkxWsPdyeGBTsdn824sOiP-z2cWY"",""2025-26!AA4"")"),1224585.906)</f>
        <v>1224585.906</v>
      </c>
      <c r="BE55" s="55">
        <f>IFERROR(__xludf.DUMMYFUNCTION("IMPORTRANGE(""168rO1noAjXUXPyctkxWsPdyeGBTsdn824sOiP-z2cWY"",""2025-26!AA3"")"),24.0)</f>
        <v>24</v>
      </c>
      <c r="BF55" s="55">
        <f>IFERROR(__xludf.DUMMYFUNCTION("IMPORTRANGE(""168rO1noAjXUXPyctkxWsPdyeGBTsdn824sOiP-z2cWY"",""2025-26!AB4"")"),4050000.0)</f>
        <v>4050000</v>
      </c>
      <c r="BG55" s="55">
        <f>IFERROR(__xludf.DUMMYFUNCTION("IMPORTRANGE(""168rO1noAjXUXPyctkxWsPdyeGBTsdn824sOiP-z2cWY"",""2025-26!AB3"")"),116.0)</f>
        <v>116</v>
      </c>
      <c r="BH55" s="55">
        <f>IFERROR(__xludf.DUMMYFUNCTION("IMPORTRANGE(""168rO1noAjXUXPyctkxWsPdyeGBTsdn824sOiP-z2cWY"",""2025-26!AC4"")"),2288297.85)</f>
        <v>2288297.85</v>
      </c>
      <c r="BI55" s="55">
        <f>IFERROR(__xludf.DUMMYFUNCTION("IMPORTRANGE(""168rO1noAjXUXPyctkxWsPdyeGBTsdn824sOiP-z2cWY"",""2025-26!AC3"")"),38.0)</f>
        <v>38</v>
      </c>
      <c r="BJ55" s="59">
        <f t="shared" si="24"/>
        <v>0.4235758025</v>
      </c>
      <c r="BK55" s="55">
        <f>IFERROR(__xludf.DUMMYFUNCTION("IMPORTRANGE(""168rO1noAjXUXPyctkxWsPdyeGBTsdn824sOiP-z2cWY"",""2025-26!AD4"")"),1715482.0)</f>
        <v>1715482</v>
      </c>
      <c r="BL55" s="55">
        <f>IFERROR(__xludf.DUMMYFUNCTION("IMPORTRANGE(""168rO1noAjXUXPyctkxWsPdyeGBTsdn824sOiP-z2cWY"",""2025-26!AD3"")"),29.0)</f>
        <v>29</v>
      </c>
      <c r="BM55" s="55">
        <f>IFERROR(__xludf.DUMMYFUNCTION("IMPORTRANGE(""168rO1noAjXUXPyctkxWsPdyeGBTsdn824sOiP-z2cWY"",""2025-26!AE4"")"),4050000.0)</f>
        <v>4050000</v>
      </c>
      <c r="BN55" s="55">
        <f>IFERROR(__xludf.DUMMYFUNCTION("IMPORTRANGE(""168rO1noAjXUXPyctkxWsPdyeGBTsdn824sOiP-z2cWY"",""2025-26!AE3"")"),116.0)</f>
        <v>116</v>
      </c>
      <c r="BO55" s="55">
        <f>IFERROR(__xludf.DUMMYFUNCTION("IMPORTRANGE(""168rO1noAjXUXPyctkxWsPdyeGBTsdn824sOiP-z2cWY"",""2025-26!AF4"")"),2433141.59)</f>
        <v>2433141.59</v>
      </c>
      <c r="BP55" s="55">
        <f>IFERROR(__xludf.DUMMYFUNCTION("IMPORTRANGE(""168rO1noAjXUXPyctkxWsPdyeGBTsdn824sOiP-z2cWY"",""2025-26!AF3"")"),41.0)</f>
        <v>41</v>
      </c>
      <c r="BQ55" s="59">
        <f t="shared" si="25"/>
        <v>0.4570202469</v>
      </c>
      <c r="BR55" s="55">
        <f>IFERROR(__xludf.DUMMYFUNCTION("IMPORTRANGE(""168rO1noAjXUXPyctkxWsPdyeGBTsdn824sOiP-z2cWY"",""2025-26!AG4"")"),1850932.0)</f>
        <v>1850932</v>
      </c>
      <c r="BS55" s="55">
        <f>IFERROR(__xludf.DUMMYFUNCTION("IMPORTRANGE(""168rO1noAjXUXPyctkxWsPdyeGBTsdn824sOiP-z2cWY"",""2025-26!AG3"")"),35.0)</f>
        <v>35</v>
      </c>
      <c r="BT55" s="55">
        <f>IFERROR(__xludf.DUMMYFUNCTION("IMPORTRANGE(""168rO1noAjXUXPyctkxWsPdyeGBTsdn824sOiP-z2cWY"",""2025-26!AH4"")"),4050000.0)</f>
        <v>4050000</v>
      </c>
      <c r="BU55" s="55">
        <f>IFERROR(__xludf.DUMMYFUNCTION("IMPORTRANGE(""168rO1noAjXUXPyctkxWsPdyeGBTsdn824sOiP-z2cWY"",""2025-26!AH3"")"),116.0)</f>
        <v>116</v>
      </c>
      <c r="BV55" s="55">
        <f>IFERROR(__xludf.DUMMYFUNCTION("IMPORTRANGE(""168rO1noAjXUXPyctkxWsPdyeGBTsdn824sOiP-z2cWY"",""2025-26!AI4"")"),2525858.6099999985)</f>
        <v>2525858.61</v>
      </c>
      <c r="BW55" s="55">
        <f>IFERROR(__xludf.DUMMYFUNCTION("IMPORTRANGE(""168rO1noAjXUXPyctkxWsPdyeGBTsdn824sOiP-z2cWY"",""2025-26!AI3"")"),39.0)</f>
        <v>39</v>
      </c>
      <c r="BX55" s="59">
        <f t="shared" si="26"/>
        <v>0.4879451852</v>
      </c>
      <c r="BY55" s="55">
        <f>IFERROR(__xludf.DUMMYFUNCTION("IMPORTRANGE(""168rO1noAjXUXPyctkxWsPdyeGBTsdn824sOiP-z2cWY"",""2025-26!AJ4"")"),1976178.0)</f>
        <v>1976178</v>
      </c>
      <c r="BZ55" s="55">
        <f>IFERROR(__xludf.DUMMYFUNCTION("IMPORTRANGE(""168rO1noAjXUXPyctkxWsPdyeGBTsdn824sOiP-z2cWY"",""2025-26!AJ3"")"),33.0)</f>
        <v>33</v>
      </c>
      <c r="CA55" s="55">
        <f>IFERROR(__xludf.DUMMYFUNCTION("IMPORTRANGE(""168rO1noAjXUXPyctkxWsPdyeGBTsdn824sOiP-z2cWY"",""2025-26!AK4"")"),4050000.0)</f>
        <v>4050000</v>
      </c>
      <c r="CB55" s="55">
        <f>IFERROR(__xludf.DUMMYFUNCTION("IMPORTRANGE(""168rO1noAjXUXPyctkxWsPdyeGBTsdn824sOiP-z2cWY"",""2025-26!AK3"")"),116.0)</f>
        <v>116</v>
      </c>
      <c r="CC55" s="55">
        <f>IFERROR(__xludf.DUMMYFUNCTION("IMPORTRANGE(""168rO1noAjXUXPyctkxWsPdyeGBTsdn824sOiP-z2cWY"",""2025-26!AL4"")"),2003246.0300000005)</f>
        <v>2003246.03</v>
      </c>
      <c r="CD55" s="55">
        <f>IFERROR(__xludf.DUMMYFUNCTION("IMPORTRANGE(""168rO1noAjXUXPyctkxWsPdyeGBTsdn824sOiP-z2cWY"",""2025-26!AL3"")"),32.0)</f>
        <v>32</v>
      </c>
      <c r="CE55" s="59">
        <f t="shared" si="27"/>
        <v>0.3675582716</v>
      </c>
      <c r="CF55" s="55">
        <f>IFERROR(__xludf.DUMMYFUNCTION("IMPORTRANGE(""168rO1noAjXUXPyctkxWsPdyeGBTsdn824sOiP-z2cWY"",""2025-26!AM4"")"),1488611.0)</f>
        <v>1488611</v>
      </c>
      <c r="CG55" s="55">
        <f>IFERROR(__xludf.DUMMYFUNCTION("IMPORTRANGE(""168rO1noAjXUXPyctkxWsPdyeGBTsdn824sOiP-z2cWY"",""2025-26!AM3"")"),25.0)</f>
        <v>25</v>
      </c>
      <c r="CH55" s="55">
        <f>IFERROR(__xludf.DUMMYFUNCTION("IMPORTRANGE(""168rO1noAjXUXPyctkxWsPdyeGBTsdn824sOiP-z2cWY"",""2025-26!AN4"")"),4050000.0)</f>
        <v>4050000</v>
      </c>
      <c r="CI55" s="55">
        <f>IFERROR(__xludf.DUMMYFUNCTION("IMPORTRANGE(""168rO1noAjXUXPyctkxWsPdyeGBTsdn824sOiP-z2cWY"",""2025-26!AN3"")"),116.0)</f>
        <v>116</v>
      </c>
      <c r="CJ55" s="55">
        <f>IFERROR(__xludf.DUMMYFUNCTION("IMPORTRANGE(""168rO1noAjXUXPyctkxWsPdyeGBTsdn824sOiP-z2cWY"",""2025-26!AO4"")"),1885583.88)</f>
        <v>1885583.88</v>
      </c>
      <c r="CK55" s="55">
        <f>IFERROR(__xludf.DUMMYFUNCTION("IMPORTRANGE(""168rO1noAjXUXPyctkxWsPdyeGBTsdn824sOiP-z2cWY"",""2025-26!AO3"")"),33.0)</f>
        <v>33</v>
      </c>
      <c r="CL55" s="59">
        <f t="shared" si="28"/>
        <v>0.2563706173</v>
      </c>
      <c r="CM55" s="55">
        <f>IFERROR(__xludf.DUMMYFUNCTION("IMPORTRANGE(""168rO1noAjXUXPyctkxWsPdyeGBTsdn824sOiP-z2cWY"",""2025-26!AP4"")"),1038301.0)</f>
        <v>1038301</v>
      </c>
      <c r="CN55" s="55">
        <f>IFERROR(__xludf.DUMMYFUNCTION("IMPORTRANGE(""168rO1noAjXUXPyctkxWsPdyeGBTsdn824sOiP-z2cWY"",""2025-26!AP3"")"),26.0)</f>
        <v>26</v>
      </c>
      <c r="CO55" s="55">
        <f>IFERROR(__xludf.DUMMYFUNCTION("IMPORTRANGE(""168rO1noAjXUXPyctkxWsPdyeGBTsdn824sOiP-z2cWY"",""2025-26!AQ4"")"),4050000.0)</f>
        <v>4050000</v>
      </c>
      <c r="CP55" s="55">
        <f>IFERROR(__xludf.DUMMYFUNCTION("IMPORTRANGE(""168rO1noAjXUXPyctkxWsPdyeGBTsdn824sOiP-z2cWY"",""2025-26!AQ3"")"),116.0)</f>
        <v>116</v>
      </c>
      <c r="CQ55" s="55">
        <f>IFERROR(__xludf.DUMMYFUNCTION("IMPORTRANGE(""168rO1noAjXUXPyctkxWsPdyeGBTsdn824sOiP-z2cWY"",""2025-26!AR4"")"),3342384.1399999997)</f>
        <v>3342384.14</v>
      </c>
      <c r="CR55" s="55">
        <f>IFERROR(__xludf.DUMMYFUNCTION("IMPORTRANGE(""168rO1noAjXUXPyctkxWsPdyeGBTsdn824sOiP-z2cWY"",""2025-26!AR3"")"),35.0)</f>
        <v>35</v>
      </c>
      <c r="CS55" s="59">
        <f t="shared" si="29"/>
        <v>0.4634311111</v>
      </c>
      <c r="CT55" s="55">
        <f>IFERROR(__xludf.DUMMYFUNCTION("IMPORTRANGE(""168rO1noAjXUXPyctkxWsPdyeGBTsdn824sOiP-z2cWY"",""2025-26!AS4"")"),1876896.0)</f>
        <v>1876896</v>
      </c>
      <c r="CU55" s="55">
        <f>IFERROR(__xludf.DUMMYFUNCTION("IMPORTRANGE(""168rO1noAjXUXPyctkxWsPdyeGBTsdn824sOiP-z2cWY"",""2025-26!AS3"")"),27.0)</f>
        <v>27</v>
      </c>
      <c r="CV55" s="60" t="s">
        <v>130</v>
      </c>
    </row>
    <row r="56">
      <c r="A56" s="1" t="s">
        <v>126</v>
      </c>
      <c r="B56" s="37"/>
      <c r="C56" s="90" t="s">
        <v>143</v>
      </c>
      <c r="D56" s="50" t="s">
        <v>144</v>
      </c>
      <c r="E56" s="50">
        <v>9.860457616E9</v>
      </c>
      <c r="F56" s="74">
        <v>44501.0</v>
      </c>
      <c r="G56" s="62"/>
      <c r="H56" s="62"/>
      <c r="I56" s="53">
        <v>25835.0</v>
      </c>
      <c r="J56" s="54">
        <v>1760000.0</v>
      </c>
      <c r="K56" s="57">
        <f>IFERROR(__xludf.DUMMYFUNCTION("IMPORTRANGE(""https://docs.google.com/spreadsheets/d/14pr0LWS4yWvsbcpEvNucTxJa2rYb_R0kLM3icaSL2uY/edit#gid=1059240066"",""2025-26!A3"")"),85.0)</f>
        <v>85</v>
      </c>
      <c r="L56" s="57">
        <f>IFERROR(__xludf.DUMMYFUNCTION("IMPORTRANGE(""https://docs.google.com/spreadsheets/d/14pr0LWS4yWvsbcpEvNucTxJa2rYb_R0kLM3icaSL2uY/edit#gid=1059240066"",""2025-26!G4"")"),1.865E7)</f>
        <v>18650000</v>
      </c>
      <c r="M56" s="57">
        <f>SUM(R56+Y56+AF56+AM56+AT56+BA56+BH56+BO56+BV56+CC56+CJ56+CQ56)</f>
        <v>9779119.53</v>
      </c>
      <c r="N56" s="56">
        <f>iferror(O56/L56,"")</f>
        <v>0.4349576311</v>
      </c>
      <c r="O56" s="57">
        <f>SUM(U56,AB56,AI56,AP56,AW56,BD56,BK56,BR56,BY56,CF56,CM56,CT56)</f>
        <v>8111959.82</v>
      </c>
      <c r="P56" s="55">
        <f>IFERROR(__xludf.DUMMYFUNCTION("IMPORTRANGE(""https://docs.google.com/spreadsheets/d/14pr0LWS4yWvsbcpEvNucTxJa2rYb_R0kLM3icaSL2uY/edit#gid=1059240066"",""2025-26!J4"")"),1520833.333333333)</f>
        <v>1520833.333</v>
      </c>
      <c r="Q56" s="55">
        <f>IFERROR(__xludf.DUMMYFUNCTION("IMPORTRANGE(""https://docs.google.com/spreadsheets/d/14pr0LWS4yWvsbcpEvNucTxJa2rYb_R0kLM3icaSL2uY/edit#gid=1059240066"",""2025-26!J3"")"),68.0)</f>
        <v>68</v>
      </c>
      <c r="R56" s="55">
        <f>IFERROR(__xludf.DUMMYFUNCTION("IMPORTRANGE(""https://docs.google.com/spreadsheets/d/14pr0LWS4yWvsbcpEvNucTxJa2rYb_R0kLM3icaSL2uY/edit#gid=1059240066"",""2025-26!K4"")"),533310.2999999999)</f>
        <v>533310.3</v>
      </c>
      <c r="S56" s="55">
        <f>IFERROR(__xludf.DUMMYFUNCTION("IMPORTRANGE(""https://docs.google.com/spreadsheets/d/14pr0LWS4yWvsbcpEvNucTxJa2rYb_R0kLM3icaSL2uY/edit#gid=1059240066"",""2025-26!K3"")"),19.0)</f>
        <v>19</v>
      </c>
      <c r="T56" s="58">
        <f t="shared" si="18"/>
        <v>0.25128</v>
      </c>
      <c r="U56" s="55">
        <f>IFERROR(__xludf.DUMMYFUNCTION("IMPORTRANGE(""https://docs.google.com/spreadsheets/d/14pr0LWS4yWvsbcpEvNucTxJa2rYb_R0kLM3icaSL2uY/edit#gid=1059240066"",""2025-26!L4"")"),382155.0)</f>
        <v>382155</v>
      </c>
      <c r="V56" s="79">
        <f>IFERROR(__xludf.DUMMYFUNCTION("IMPORTRANGE(""https://docs.google.com/spreadsheets/d/14pr0LWS4yWvsbcpEvNucTxJa2rYb_R0kLM3icaSL2uY/edit#gid=1059240066"",""2025-26!L3"")"),16.0)</f>
        <v>16</v>
      </c>
      <c r="W56" s="55">
        <f>IFERROR(__xludf.DUMMYFUNCTION("IMPORTRANGE(""https://docs.google.com/spreadsheets/d/14pr0LWS4yWvsbcpEvNucTxJa2rYb_R0kLM3icaSL2uY/edit#gid=1059240066"",""2025-26!M4"")"),1462499.9999999995)</f>
        <v>1462500</v>
      </c>
      <c r="X56" s="79">
        <f>IFERROR(__xludf.DUMMYFUNCTION("IMPORTRANGE(""https://docs.google.com/spreadsheets/d/14pr0LWS4yWvsbcpEvNucTxJa2rYb_R0kLM3icaSL2uY/edit#gid=1059240066"",""2025-26!M3"")"),68.0)</f>
        <v>68</v>
      </c>
      <c r="Y56" s="55">
        <f>IFERROR(__xludf.DUMMYFUNCTION("importrange(""https://docs.google.com/spreadsheets/d/14pr0LWS4yWvsbcpEvNucTxJa2rYb_R0kLM3icaSL2uY/edit#gid=1059240066"",""2025-26!n4"")"),650576.22)</f>
        <v>650576.22</v>
      </c>
      <c r="Z56" s="55">
        <f>IFERROR(__xludf.DUMMYFUNCTION("importrange(""https://docs.google.com/spreadsheets/d/14pr0LWS4yWvsbcpEvNucTxJa2rYb_R0kLM3icaSL2uY/edit#gid=1059240066"",""2025-26!n3"")"),17.0)</f>
        <v>17</v>
      </c>
      <c r="AA56" s="58">
        <f t="shared" si="19"/>
        <v>0.2406584068</v>
      </c>
      <c r="AB56" s="55">
        <f>IFERROR(__xludf.DUMMYFUNCTION("importrange(""https://docs.google.com/spreadsheets/d/14pr0LWS4yWvsbcpEvNucTxJa2rYb_R0kLM3icaSL2uY/edit#gid=1059240066"",""2025-26!o4"")"),351962.92)</f>
        <v>351962.92</v>
      </c>
      <c r="AC56" s="55">
        <f>IFERROR(__xludf.DUMMYFUNCTION("importrange(""https://docs.google.com/spreadsheets/d/14pr0LWS4yWvsbcpEvNucTxJa2rYb_R0kLM3icaSL2uY/edit#gid=1059240066"",""2025-26!o3"")"),20.0)</f>
        <v>20</v>
      </c>
      <c r="AD56" s="55">
        <f>IFERROR(__xludf.DUMMYFUNCTION("importrange(""https://docs.google.com/spreadsheets/d/14pr0LWS4yWvsbcpEvNucTxJa2rYb_R0kLM3icaSL2uY/edit#gid=1059240066"",""2025-26!p4"")"),1462499.9999999995)</f>
        <v>1462500</v>
      </c>
      <c r="AE56" s="55">
        <f>IFERROR(__xludf.DUMMYFUNCTION("importrange(""https://docs.google.com/spreadsheets/d/14pr0LWS4yWvsbcpEvNucTxJa2rYb_R0kLM3icaSL2uY/edit#gid=1059240066"",""2025-26!p3"")"),68.0)</f>
        <v>68</v>
      </c>
      <c r="AF56" s="55">
        <f>IFERROR(__xludf.DUMMYFUNCTION("importrange(""https://docs.google.com/spreadsheets/d/14pr0LWS4yWvsbcpEvNucTxJa2rYb_R0kLM3icaSL2uY/edit#gid=1059240066"",""2025-26!q4"")"),796213.46)</f>
        <v>796213.46</v>
      </c>
      <c r="AG56" s="55">
        <f>IFERROR(__xludf.DUMMYFUNCTION("importrange(""https://docs.google.com/spreadsheets/d/14pr0LWS4yWvsbcpEvNucTxJa2rYb_R0kLM3icaSL2uY/edit#gid=1059240066"",""2025-26!q3"")"),14.0)</f>
        <v>14</v>
      </c>
      <c r="AH56" s="58">
        <f t="shared" si="20"/>
        <v>0.6233852991</v>
      </c>
      <c r="AI56" s="55">
        <f>IFERROR(__xludf.DUMMYFUNCTION("importrange(""https://docs.google.com/spreadsheets/d/14pr0LWS4yWvsbcpEvNucTxJa2rYb_R0kLM3icaSL2uY/edit#gid=1059240066"",""2025-26!r4"")"),911701.0)</f>
        <v>911701</v>
      </c>
      <c r="AJ56" s="55">
        <f>IFERROR(__xludf.DUMMYFUNCTION("importrange(""https://docs.google.com/spreadsheets/d/14pr0LWS4yWvsbcpEvNucTxJa2rYb_R0kLM3icaSL2uY/edit#gid=1059240066"",""2025-26!r3"")"),13.0)</f>
        <v>13</v>
      </c>
      <c r="AK56" s="55">
        <f>IFERROR(__xludf.DUMMYFUNCTION("importrange(""https://docs.google.com/spreadsheets/d/14pr0LWS4yWvsbcpEvNucTxJa2rYb_R0kLM3icaSL2uY/edit#gid=1059240066"",""2025-26!s4"")"),1462499.9999999995)</f>
        <v>1462500</v>
      </c>
      <c r="AL56" s="55">
        <f>IFERROR(__xludf.DUMMYFUNCTION("importrange(""https://docs.google.com/spreadsheets/d/14pr0LWS4yWvsbcpEvNucTxJa2rYb_R0kLM3icaSL2uY/edit#gid=1059240066"",""2025-26!s3"")"),68.0)</f>
        <v>68</v>
      </c>
      <c r="AM56" s="57">
        <f>IFERROR(__xludf.DUMMYFUNCTION("importrange(""https://docs.google.com/spreadsheets/d/14pr0LWS4yWvsbcpEvNucTxJa2rYb_R0kLM3icaSL2uY/edit#gid=1059240066"",""2025-26!t4"")"),983906.2700000001)</f>
        <v>983906.27</v>
      </c>
      <c r="AN56" s="55">
        <f>IFERROR(__xludf.DUMMYFUNCTION("importrange(""https://docs.google.com/spreadsheets/d/14pr0LWS4yWvsbcpEvNucTxJa2rYb_R0kLM3icaSL2uY/edit#gid=1059240066"",""2025-26!t3"")"),20.0)</f>
        <v>20</v>
      </c>
      <c r="AO56" s="58">
        <f t="shared" si="21"/>
        <v>0.4633381197</v>
      </c>
      <c r="AP56" s="55">
        <f>IFERROR(__xludf.DUMMYFUNCTION("importrange(""https://docs.google.com/spreadsheets/d/14pr0LWS4yWvsbcpEvNucTxJa2rYb_R0kLM3icaSL2uY/edit#gid=1059240066"",""2025-26!u4"")"),677632.0)</f>
        <v>677632</v>
      </c>
      <c r="AQ56" s="55">
        <f>IFERROR(__xludf.DUMMYFUNCTION("importrange(""https://docs.google.com/spreadsheets/d/14pr0LWS4yWvsbcpEvNucTxJa2rYb_R0kLM3icaSL2uY/edit#gid=1059240066"",""2025-26!u3"")"),20.0)</f>
        <v>20</v>
      </c>
      <c r="AR56" s="55">
        <f>IFERROR(__xludf.DUMMYFUNCTION("importrange(""https://docs.google.com/spreadsheets/d/14pr0LWS4yWvsbcpEvNucTxJa2rYb_R0kLM3icaSL2uY/edit#gid=1059240066"",""2025-26!v4"")"),1462499.9999999995)</f>
        <v>1462500</v>
      </c>
      <c r="AS56" s="55">
        <f>IFERROR(__xludf.DUMMYFUNCTION("importrange(""https://docs.google.com/spreadsheets/d/14pr0LWS4yWvsbcpEvNucTxJa2rYb_R0kLM3icaSL2uY/edit#gid=1059240066"",""2025-26!v3"")"),68.0)</f>
        <v>68</v>
      </c>
      <c r="AT56" s="57">
        <f>IFERROR(__xludf.DUMMYFUNCTION("importrange(""https://docs.google.com/spreadsheets/d/14pr0LWS4yWvsbcpEvNucTxJa2rYb_R0kLM3icaSL2uY/edit#gid=1059240066"",""2025-26!w4"")"),764143.61)</f>
        <v>764143.61</v>
      </c>
      <c r="AU56" s="55">
        <f>IFERROR(__xludf.DUMMYFUNCTION("importrange(""https://docs.google.com/spreadsheets/d/14pr0LWS4yWvsbcpEvNucTxJa2rYb_R0kLM3icaSL2uY/edit#gid=1059240066"",""2025-26!w3"")"),16.0)</f>
        <v>16</v>
      </c>
      <c r="AV56" s="58">
        <f t="shared" si="22"/>
        <v>0.5181080342</v>
      </c>
      <c r="AW56" s="55">
        <f>IFERROR(__xludf.DUMMYFUNCTION("importrange(""https://docs.google.com/spreadsheets/d/14pr0LWS4yWvsbcpEvNucTxJa2rYb_R0kLM3icaSL2uY/edit#gid=1059240066"",""2025-26!x4"")"),757733.0)</f>
        <v>757733</v>
      </c>
      <c r="AX56" s="55">
        <f>IFERROR(__xludf.DUMMYFUNCTION("importrange(""https://docs.google.com/spreadsheets/d/14pr0LWS4yWvsbcpEvNucTxJa2rYb_R0kLM3icaSL2uY/edit#gid=1059240066"",""2025-26!x3"")"),20.0)</f>
        <v>20</v>
      </c>
      <c r="AY56" s="55">
        <f>IFERROR(__xludf.DUMMYFUNCTION("importrange(""https://docs.google.com/spreadsheets/d/14pr0LWS4yWvsbcpEvNucTxJa2rYb_R0kLM3icaSL2uY/edit#gid=1059240066"",""2025-26!y4"")"),1462499.9999999995)</f>
        <v>1462500</v>
      </c>
      <c r="AZ56" s="55">
        <f>IFERROR(__xludf.DUMMYFUNCTION("importrange(""https://docs.google.com/spreadsheets/d/14pr0LWS4yWvsbcpEvNucTxJa2rYb_R0kLM3icaSL2uY/edit#gid=1059240066"",""2025-26!y3"")"),68.0)</f>
        <v>68</v>
      </c>
      <c r="BA56" s="57">
        <f>IFERROR(__xludf.DUMMYFUNCTION("importrange(""https://docs.google.com/spreadsheets/d/14pr0LWS4yWvsbcpEvNucTxJa2rYb_R0kLM3icaSL2uY/edit#gid=1059240066"",""2025-26!z4"")"),964174.4100000001)</f>
        <v>964174.41</v>
      </c>
      <c r="BB56" s="55">
        <f>IFERROR(__xludf.DUMMYFUNCTION("importrange(""https://docs.google.com/spreadsheets/d/14pr0LWS4yWvsbcpEvNucTxJa2rYb_R0kLM3icaSL2uY/edit#gid=1059240066"",""2025-26!z3"")"),21.0)</f>
        <v>21</v>
      </c>
      <c r="BC56" s="59">
        <f t="shared" si="23"/>
        <v>0.6745217094</v>
      </c>
      <c r="BD56" s="55">
        <f>IFERROR(__xludf.DUMMYFUNCTION("importrange(""https://docs.google.com/spreadsheets/d/14pr0LWS4yWvsbcpEvNucTxJa2rYb_R0kLM3icaSL2uY/edit#gid=1059240066"",""2025-26!aa4"")"),986488.0)</f>
        <v>986488</v>
      </c>
      <c r="BE56" s="55">
        <f>IFERROR(__xludf.DUMMYFUNCTION("importrange(""https://docs.google.com/spreadsheets/d/14pr0LWS4yWvsbcpEvNucTxJa2rYb_R0kLM3icaSL2uY/edit#gid=1059240066"",""2025-26!aa3"")"),23.0)</f>
        <v>23</v>
      </c>
      <c r="BF56" s="55">
        <f>IFERROR(__xludf.DUMMYFUNCTION("importrange(""https://docs.google.com/spreadsheets/d/14pr0LWS4yWvsbcpEvNucTxJa2rYb_R0kLM3icaSL2uY/edit#gid=1059240066"",""2025-26!ab4"")"),1462499.9999999995)</f>
        <v>1462500</v>
      </c>
      <c r="BG56" s="55">
        <f>IFERROR(__xludf.DUMMYFUNCTION("importrange(""https://docs.google.com/spreadsheets/d/14pr0LWS4yWvsbcpEvNucTxJa2rYb_R0kLM3icaSL2uY/edit#gid=1059240066"",""2025-26!ab3"")"),68.0)</f>
        <v>68</v>
      </c>
      <c r="BH56" s="55">
        <f>IFERROR(__xludf.DUMMYFUNCTION("importrange(""https://docs.google.com/spreadsheets/d/14pr0LWS4yWvsbcpEvNucTxJa2rYb_R0kLM3icaSL2uY/edit#gid=1059240066"",""2025-26!ac4"")"),755307.2799999999)</f>
        <v>755307.28</v>
      </c>
      <c r="BI56" s="55">
        <f>IFERROR(__xludf.DUMMYFUNCTION("importrange(""https://docs.google.com/spreadsheets/d/14pr0LWS4yWvsbcpEvNucTxJa2rYb_R0kLM3icaSL2uY/edit#gid=1059240066"",""2025-26!ac3"")"),21.0)</f>
        <v>21</v>
      </c>
      <c r="BJ56" s="59">
        <f t="shared" si="24"/>
        <v>0.3227060513</v>
      </c>
      <c r="BK56" s="55">
        <f>IFERROR(__xludf.DUMMYFUNCTION("importrange(""https://docs.google.com/spreadsheets/d/14pr0LWS4yWvsbcpEvNucTxJa2rYb_R0kLM3icaSL2uY/edit#gid=1059240066"",""2025-26!ad4"")"),471957.6)</f>
        <v>471957.6</v>
      </c>
      <c r="BL56" s="55">
        <f>IFERROR(__xludf.DUMMYFUNCTION("importrange(""https://docs.google.com/spreadsheets/d/14pr0LWS4yWvsbcpEvNucTxJa2rYb_R0kLM3icaSL2uY/edit#gid=1059240066"",""2025-26!ad3"")"),14.0)</f>
        <v>14</v>
      </c>
      <c r="BM56" s="55">
        <f>IFERROR(__xludf.DUMMYFUNCTION("importrange(""https://docs.google.com/spreadsheets/d/14pr0LWS4yWvsbcpEvNucTxJa2rYb_R0kLM3icaSL2uY/edit#gid=1059240066"",""2025-26!ae4"")"),1462499.9999999995)</f>
        <v>1462500</v>
      </c>
      <c r="BN56" s="55">
        <f>IFERROR(__xludf.DUMMYFUNCTION("importrange(""https://docs.google.com/spreadsheets/d/14pr0LWS4yWvsbcpEvNucTxJa2rYb_R0kLM3icaSL2uY/edit#gid=1059240066"",""2025-26!ae3"")"),68.0)</f>
        <v>68</v>
      </c>
      <c r="BO56" s="55">
        <f>IFERROR(__xludf.DUMMYFUNCTION("importrange(""https://docs.google.com/spreadsheets/d/14pr0LWS4yWvsbcpEvNucTxJa2rYb_R0kLM3icaSL2uY/edit#gid=1059240066"",""2025-26!af4"")"),708003.36)</f>
        <v>708003.36</v>
      </c>
      <c r="BP56" s="55">
        <f>IFERROR(__xludf.DUMMYFUNCTION("importrange(""https://docs.google.com/spreadsheets/d/14pr0LWS4yWvsbcpEvNucTxJa2rYb_R0kLM3icaSL2uY/edit#gid=1059240066"",""2025-26!af3"")"),20.0)</f>
        <v>20</v>
      </c>
      <c r="BQ56" s="59">
        <f t="shared" si="25"/>
        <v>0.335178947</v>
      </c>
      <c r="BR56" s="55">
        <f>IFERROR(__xludf.DUMMYFUNCTION("importrange(""https://docs.google.com/spreadsheets/d/14pr0LWS4yWvsbcpEvNucTxJa2rYb_R0kLM3icaSL2uY/edit#gid=1059240066"",""2025-26!ag4"")"),490199.21)</f>
        <v>490199.21</v>
      </c>
      <c r="BS56" s="55">
        <f>IFERROR(__xludf.DUMMYFUNCTION("importrange(""https://docs.google.com/spreadsheets/d/14pr0LWS4yWvsbcpEvNucTxJa2rYb_R0kLM3icaSL2uY/edit#gid=1059240066"",""2025-26!ag3"")"),15.0)</f>
        <v>15</v>
      </c>
      <c r="BT56" s="55">
        <f>IFERROR(__xludf.DUMMYFUNCTION("importrange(""https://docs.google.com/spreadsheets/d/14pr0LWS4yWvsbcpEvNucTxJa2rYb_R0kLM3icaSL2uY/edit#gid=1059240066"",""2025-26!ah4"")"),1487499.9999999993)</f>
        <v>1487500</v>
      </c>
      <c r="BU56" s="55">
        <f>IFERROR(__xludf.DUMMYFUNCTION("importrange(""https://docs.google.com/spreadsheets/d/14pr0LWS4yWvsbcpEvNucTxJa2rYb_R0kLM3icaSL2uY/edit#gid=1059240066"",""2025-26!ah3"")"),71.0)</f>
        <v>71</v>
      </c>
      <c r="BV56" s="55">
        <f>IFERROR(__xludf.DUMMYFUNCTION("importrange(""https://docs.google.com/spreadsheets/d/14pr0LWS4yWvsbcpEvNucTxJa2rYb_R0kLM3icaSL2uY/edit#gid=1059240066"",""2025-26!ai4"")"),948066.74)</f>
        <v>948066.74</v>
      </c>
      <c r="BW56" s="55">
        <f>IFERROR(__xludf.DUMMYFUNCTION("importrange(""https://docs.google.com/spreadsheets/d/14pr0LWS4yWvsbcpEvNucTxJa2rYb_R0kLM3icaSL2uY/edit#gid=1059240066"",""2025-26!ai3"")"),26.0)</f>
        <v>26</v>
      </c>
      <c r="BX56" s="59">
        <f t="shared" si="26"/>
        <v>0.488588679</v>
      </c>
      <c r="BY56" s="55">
        <f>IFERROR(__xludf.DUMMYFUNCTION("importrange(""https://docs.google.com/spreadsheets/d/14pr0LWS4yWvsbcpEvNucTxJa2rYb_R0kLM3icaSL2uY/edit#gid=1059240066"",""2025-26!aj4"")"),726775.66)</f>
        <v>726775.66</v>
      </c>
      <c r="BZ56" s="55">
        <f>IFERROR(__xludf.DUMMYFUNCTION("importrange(""https://docs.google.com/spreadsheets/d/14pr0LWS4yWvsbcpEvNucTxJa2rYb_R0kLM3icaSL2uY/edit#gid=1059240066"",""2025-26!aj3"")"),20.0)</f>
        <v>20</v>
      </c>
      <c r="CA56" s="55">
        <f>IFERROR(__xludf.DUMMYFUNCTION("importrange(""https://docs.google.com/spreadsheets/d/14pr0LWS4yWvsbcpEvNucTxJa2rYb_R0kLM3icaSL2uY/edit#gid=1059240066"",""2025-26!ak4"")"),1495833.3333333326)</f>
        <v>1495833.333</v>
      </c>
      <c r="CB56" s="55">
        <f>IFERROR(__xludf.DUMMYFUNCTION("importrange(""https://docs.google.com/spreadsheets/d/14pr0LWS4yWvsbcpEvNucTxJa2rYb_R0kLM3icaSL2uY/edit#gid=1059240066"",""2025-26!ak3"")"),72.0)</f>
        <v>72</v>
      </c>
      <c r="CC56" s="55">
        <f>IFERROR(__xludf.DUMMYFUNCTION("importrange(""https://docs.google.com/spreadsheets/d/14pr0LWS4yWvsbcpEvNucTxJa2rYb_R0kLM3icaSL2uY/edit#gid=1059240066"",""2025-26!al4"")"),490120.68999999994)</f>
        <v>490120.69</v>
      </c>
      <c r="CD56" s="55">
        <f>IFERROR(__xludf.DUMMYFUNCTION("importrange(""https://docs.google.com/spreadsheets/d/14pr0LWS4yWvsbcpEvNucTxJa2rYb_R0kLM3icaSL2uY/edit#gid=1059240066"",""2025-26!ai3"")"),26.0)</f>
        <v>26</v>
      </c>
      <c r="CE56" s="59">
        <f t="shared" si="27"/>
        <v>0.4969877549</v>
      </c>
      <c r="CF56" s="55">
        <f>IFERROR(__xludf.DUMMYFUNCTION("importrange(""https://docs.google.com/spreadsheets/d/14pr0LWS4yWvsbcpEvNucTxJa2rYb_R0kLM3icaSL2uY/edit#gid=1059240066"",""2025-26!am4"")"),743410.8500000001)</f>
        <v>743410.85</v>
      </c>
      <c r="CG56" s="55">
        <f>IFERROR(__xludf.DUMMYFUNCTION("importrange(""https://docs.google.com/spreadsheets/d/14pr0LWS4yWvsbcpEvNucTxJa2rYb_R0kLM3icaSL2uY/edit#gid=1059240066"",""2025-26!am3"")"),22.0)</f>
        <v>22</v>
      </c>
      <c r="CH56" s="55">
        <f>IFERROR(__xludf.DUMMYFUNCTION("importrange(""https://docs.google.com/spreadsheets/d/14pr0LWS4yWvsbcpEvNucTxJa2rYb_R0kLM3icaSL2uY/edit#gid=1059240066"",""2025-26!an4"")"),1495833.3333333326)</f>
        <v>1495833.333</v>
      </c>
      <c r="CI56" s="55">
        <f>IFERROR(__xludf.DUMMYFUNCTION("importrange(""https://docs.google.com/spreadsheets/d/14pr0LWS4yWvsbcpEvNucTxJa2rYb_R0kLM3icaSL2uY/edit#gid=1059240066"",""2025-26!an3"")"),72.0)</f>
        <v>72</v>
      </c>
      <c r="CJ56" s="55">
        <f>IFERROR(__xludf.DUMMYFUNCTION("importrange(""https://docs.google.com/spreadsheets/d/14pr0LWS4yWvsbcpEvNucTxJa2rYb_R0kLM3icaSL2uY/edit#gid=1059240066"",""2025-26!ao4"")"),1240643.83)</f>
        <v>1240643.83</v>
      </c>
      <c r="CK56" s="55">
        <f>IFERROR(__xludf.DUMMYFUNCTION("importrange(""https://docs.google.com/spreadsheets/d/14pr0LWS4yWvsbcpEvNucTxJa2rYb_R0kLM3icaSL2uY/edit#gid=1059240066"",""2025-26!ao3"")"),27.0)</f>
        <v>27</v>
      </c>
      <c r="CL56" s="59">
        <f t="shared" si="28"/>
        <v>0.5223643454</v>
      </c>
      <c r="CM56" s="55">
        <f>IFERROR(__xludf.DUMMYFUNCTION("importrange(""https://docs.google.com/spreadsheets/d/14pr0LWS4yWvsbcpEvNucTxJa2rYb_R0kLM3icaSL2uY/edit#gid=1059240066"",""2025-26!ap4"")"),781370.0)</f>
        <v>781370</v>
      </c>
      <c r="CN56" s="55">
        <f>IFERROR(__xludf.DUMMYFUNCTION("importrange(""https://docs.google.com/spreadsheets/d/14pr0LWS4yWvsbcpEvNucTxJa2rYb_R0kLM3icaSL2uY/edit#gid=1059240066"",""2025-26!ap3"")"),26.0)</f>
        <v>26</v>
      </c>
      <c r="CO56" s="55">
        <f>IFERROR(__xludf.DUMMYFUNCTION("importrange(""https://docs.google.com/spreadsheets/d/14pr0LWS4yWvsbcpEvNucTxJa2rYb_R0kLM3icaSL2uY/edit#gid=1059240066"",""2025-26!aq4"")"),1495833.3333333326)</f>
        <v>1495833.333</v>
      </c>
      <c r="CP56" s="55">
        <f>IFERROR(__xludf.DUMMYFUNCTION("importrange(""https://docs.google.com/spreadsheets/d/14pr0LWS4yWvsbcpEvNucTxJa2rYb_R0kLM3icaSL2uY/edit#gid=1059240066"",""2025-26!aq3"")"),72.0)</f>
        <v>72</v>
      </c>
      <c r="CQ56" s="55">
        <f>IFERROR(__xludf.DUMMYFUNCTION("importrange(""https://docs.google.com/spreadsheets/d/14pr0LWS4yWvsbcpEvNucTxJa2rYb_R0kLM3icaSL2uY/edit#gid=1059240066"",""2025-26!ar4"")"),944653.3600000002)</f>
        <v>944653.36</v>
      </c>
      <c r="CR56" s="55">
        <f>IFERROR(__xludf.DUMMYFUNCTION("importrange(""https://docs.google.com/spreadsheets/d/14pr0LWS4yWvsbcpEvNucTxJa2rYb_R0kLM3icaSL2uY/edit#gid=1059240066"",""2025-26!ar3"")"),23.0)</f>
        <v>23</v>
      </c>
      <c r="CS56" s="59">
        <f t="shared" si="29"/>
        <v>0.5552587721</v>
      </c>
      <c r="CT56" s="55">
        <f>IFERROR(__xludf.DUMMYFUNCTION("importrange(""https://docs.google.com/spreadsheets/d/14pr0LWS4yWvsbcpEvNucTxJa2rYb_R0kLM3icaSL2uY/edit#gid=1059240066"",""2025-26!as4"")"),830574.5800000002)</f>
        <v>830574.58</v>
      </c>
      <c r="CU56" s="55">
        <f>IFERROR(__xludf.DUMMYFUNCTION("importrange(""https://docs.google.com/spreadsheets/d/14pr0LWS4yWvsbcpEvNucTxJa2rYb_R0kLM3icaSL2uY/edit#gid=1059240066"",""2025-26!as3"")"),21.0)</f>
        <v>21</v>
      </c>
      <c r="CV56" s="60" t="s">
        <v>145</v>
      </c>
    </row>
    <row r="57">
      <c r="A57" s="1" t="s">
        <v>126</v>
      </c>
      <c r="B57" s="37"/>
      <c r="C57" s="48" t="s">
        <v>146</v>
      </c>
      <c r="D57" s="49" t="s">
        <v>147</v>
      </c>
      <c r="E57" s="50">
        <v>9.83862871E9</v>
      </c>
      <c r="F57" s="74">
        <v>44511.0</v>
      </c>
      <c r="G57" s="62"/>
      <c r="H57" s="62"/>
      <c r="I57" s="53">
        <f>VLOOKUP($C57,Data!$C:$BV,72,0)</f>
        <v>44000</v>
      </c>
      <c r="J57" s="57">
        <f>1966667+200000</f>
        <v>2166667</v>
      </c>
      <c r="K57" s="55">
        <f>IFERROR(__xludf.DUMMYFUNCTION("IMPORTRANGE(""1MvzyJLe5oScOl4KjmrXr4bF1shHNP7m3u_KrVvJNGq8"",""2025-26!A3"")"),94.0)</f>
        <v>94</v>
      </c>
      <c r="L57" s="55">
        <f>IFERROR(__xludf.DUMMYFUNCTION("IMPORTRANGE(""1MvzyJLe5oScOl4KjmrXr4bF1shHNP7m3u_KrVvJNGq8"",""2025-26!G4"")"),2.45E7)</f>
        <v>24500000</v>
      </c>
      <c r="M57" s="55">
        <f t="shared" ref="M57:M62" si="44">R57+Y57+AF57+AM57+AT57+BA57+BH57+BO57+BV57+CC57+CJ57+CQ57</f>
        <v>17110473.7</v>
      </c>
      <c r="N57" s="56">
        <f t="shared" ref="N57:N62" si="45">O57/L57</f>
        <v>0.6508336735</v>
      </c>
      <c r="O57" s="57">
        <f t="shared" ref="O57:O62" si="46">U57+AB57+AI57+AP57+AW57+BD57+BK57+BR57+BY57+CF57+CM57+CT57</f>
        <v>15945425</v>
      </c>
      <c r="P57" s="55">
        <f>IFERROR(__xludf.DUMMYFUNCTION("IMPORTRANGE(""1MvzyJLe5oScOl4KjmrXr4bF1shHNP7m3u_KrVvJNGq8"",""2025-26!J4"")"),2440000.0)</f>
        <v>2440000</v>
      </c>
      <c r="Q57" s="55">
        <f>IFERROR(__xludf.DUMMYFUNCTION("IMPORTRANGE(""1MvzyJLe5oScOl4KjmrXr4bF1shHNP7m3u_KrVvJNGq8"",""2025-26!J3"")"),69.0)</f>
        <v>69</v>
      </c>
      <c r="R57" s="55">
        <f>IFERROR(__xludf.DUMMYFUNCTION("IMPORTRANGE(""1MvzyJLe5oScOl4KjmrXr4bF1shHNP7m3u_KrVvJNGq8"",""2025-26!K4"")"),933669.9999999998)</f>
        <v>933670</v>
      </c>
      <c r="S57" s="55">
        <f>IFERROR(__xludf.DUMMYFUNCTION("IMPORTRANGE(""1MvzyJLe5oScOl4KjmrXr4bF1shHNP7m3u_KrVvJNGq8"",""2025-26!K3"")"),12.0)</f>
        <v>12</v>
      </c>
      <c r="T57" s="58">
        <f t="shared" si="18"/>
        <v>0.3308254098</v>
      </c>
      <c r="U57" s="55">
        <f>IFERROR(__xludf.DUMMYFUNCTION("IMPORTRANGE(""1MvzyJLe5oScOl4KjmrXr4bF1shHNP7m3u_KrVvJNGq8"",""2025-26!L4"")"),807214.0)</f>
        <v>807214</v>
      </c>
      <c r="V57" s="55">
        <f>IFERROR(__xludf.DUMMYFUNCTION("IMPORTRANGE(""1MvzyJLe5oScOl4KjmrXr4bF1shHNP7m3u_KrVvJNGq8"",""2025-26!L3"")"),12.0)</f>
        <v>12</v>
      </c>
      <c r="W57" s="55">
        <f>IFERROR(__xludf.DUMMYFUNCTION("IMPORTRANGE(""1MvzyJLe5oScOl4KjmrXr4bF1shHNP7m3u_KrVvJNGq8"",""2025-26!m4"")"),2440000.0)</f>
        <v>2440000</v>
      </c>
      <c r="X57" s="55">
        <f>IFERROR(__xludf.DUMMYFUNCTION("IMPORTRANGE(""1MvzyJLe5oScOl4KjmrXr4bF1shHNP7m3u_KrVvJNGq8"",""2025-26!m3"")"),69.0)</f>
        <v>69</v>
      </c>
      <c r="Y57" s="55">
        <f>IFERROR(__xludf.DUMMYFUNCTION("IMPORTRANGE(""1MvzyJLe5oScOl4KjmrXr4bF1shHNP7m3u_KrVvJNGq8"",""2025-26!N4"")"),1769013.2000000004)</f>
        <v>1769013.2</v>
      </c>
      <c r="Z57" s="55">
        <f>IFERROR(__xludf.DUMMYFUNCTION("IMPORTRANGE(""1MvzyJLe5oScOl4KjmrXr4bF1shHNP7m3u_KrVvJNGq8"",""2025-26!N3"")"),30.0)</f>
        <v>30</v>
      </c>
      <c r="AA57" s="58">
        <f t="shared" si="19"/>
        <v>0.6292401639</v>
      </c>
      <c r="AB57" s="55">
        <f>IFERROR(__xludf.DUMMYFUNCTION("IMPORTRANGE(""1MvzyJLe5oScOl4KjmrXr4bF1shHNP7m3u_KrVvJNGq8"",""2025-26!O4"")"),1535346.0)</f>
        <v>1535346</v>
      </c>
      <c r="AC57" s="55">
        <f>IFERROR(__xludf.DUMMYFUNCTION("IMPORTRANGE(""1MvzyJLe5oScOl4KjmrXr4bF1shHNP7m3u_KrVvJNGq8"",""2025-26!O3"")"),30.0)</f>
        <v>30</v>
      </c>
      <c r="AD57" s="55">
        <f>IFERROR(__xludf.DUMMYFUNCTION("IMPORTRANGE(""1MvzyJLe5oScOl4KjmrXr4bF1shHNP7m3u_KrVvJNGq8"",""2025-26!P4"")"),2440000.0)</f>
        <v>2440000</v>
      </c>
      <c r="AE57" s="55">
        <f>IFERROR(__xludf.DUMMYFUNCTION("IMPORTRANGE(""1MvzyJLe5oScOl4KjmrXr4bF1shHNP7m3u_KrVvJNGq8"",""2025-26!P3"")"),69.0)</f>
        <v>69</v>
      </c>
      <c r="AF57" s="55">
        <f>IFERROR(__xludf.DUMMYFUNCTION("IMPORTRANGE(""1MvzyJLe5oScOl4KjmrXr4bF1shHNP7m3u_KrVvJNGq8"",""2025-26!Q4"")"),2243392.9384375)</f>
        <v>2243392.938</v>
      </c>
      <c r="AG57" s="55">
        <f>IFERROR(__xludf.DUMMYFUNCTION("IMPORTRANGE(""1MvzyJLe5oScOl4KjmrXr4bF1shHNP7m3u_KrVvJNGq8"",""2025-26!Q3"")"),28.0)</f>
        <v>28</v>
      </c>
      <c r="AH57" s="58">
        <f t="shared" si="20"/>
        <v>0.7783266393</v>
      </c>
      <c r="AI57" s="55">
        <f>IFERROR(__xludf.DUMMYFUNCTION("IMPORTRANGE(""1MvzyJLe5oScOl4KjmrXr4bF1shHNP7m3u_KrVvJNGq8"",""2025-26!R4"")"),1899117.0)</f>
        <v>1899117</v>
      </c>
      <c r="AJ57" s="55">
        <f>IFERROR(__xludf.DUMMYFUNCTION("IMPORTRANGE(""1MvzyJLe5oScOl4KjmrXr4bF1shHNP7m3u_KrVvJNGq8"",""2025-26!R3"")"),28.0)</f>
        <v>28</v>
      </c>
      <c r="AK57" s="55">
        <f>IFERROR(__xludf.DUMMYFUNCTION("IMPORTRANGE(""1MvzyJLe5oScOl4KjmrXr4bF1shHNP7m3u_KrVvJNGq8"",""2025-26!S4"")"),2175000.0)</f>
        <v>2175000</v>
      </c>
      <c r="AL57" s="55">
        <f>IFERROR(__xludf.DUMMYFUNCTION("IMPORTRANGE(""1MvzyJLe5oScOl4KjmrXr4bF1shHNP7m3u_KrVvJNGq8"",""2025-26!S3"")"),70.0)</f>
        <v>70</v>
      </c>
      <c r="AM57" s="55">
        <f>IFERROR(__xludf.DUMMYFUNCTION("IMPORTRANGE(""1MvzyJLe5oScOl4KjmrXr4bF1shHNP7m3u_KrVvJNGq8"",""2025-26!T4"")"),1361072.99)</f>
        <v>1361072.99</v>
      </c>
      <c r="AN57" s="55">
        <f>IFERROR(__xludf.DUMMYFUNCTION("IMPORTRANGE(""1MvzyJLe5oScOl4KjmrXr4bF1shHNP7m3u_KrVvJNGq8"",""2025-26!T3"")"),25.0)</f>
        <v>25</v>
      </c>
      <c r="AO57" s="58">
        <f t="shared" si="21"/>
        <v>0.5489167816</v>
      </c>
      <c r="AP57" s="55">
        <f>IFERROR(__xludf.DUMMYFUNCTION("IMPORTRANGE(""1MvzyJLe5oScOl4KjmrXr4bF1shHNP7m3u_KrVvJNGq8"",""2025-26!U4"")"),1193894.0)</f>
        <v>1193894</v>
      </c>
      <c r="AQ57" s="55">
        <f>IFERROR(__xludf.DUMMYFUNCTION("IMPORTRANGE(""1MvzyJLe5oScOl4KjmrXr4bF1shHNP7m3u_KrVvJNGq8"",""2025-26!U3"")"),26.0)</f>
        <v>26</v>
      </c>
      <c r="AR57" s="55">
        <f>IFERROR(__xludf.DUMMYFUNCTION("IMPORTRANGE(""1MvzyJLe5oScOl4KjmrXr4bF1shHNP7m3u_KrVvJNGq8"",""2025-26!V4"")"),2175000.0)</f>
        <v>2175000</v>
      </c>
      <c r="AS57" s="55">
        <f>IFERROR(__xludf.DUMMYFUNCTION("IMPORTRANGE(""1MvzyJLe5oScOl4KjmrXr4bF1shHNP7m3u_KrVvJNGq8"",""2025-26!V3"")"),70.0)</f>
        <v>70</v>
      </c>
      <c r="AT57" s="55">
        <f>IFERROR(__xludf.DUMMYFUNCTION("IMPORTRANGE(""1MvzyJLe5oScOl4KjmrXr4bF1shHNP7m3u_KrVvJNGq8"",""2025-26!W4"")"),851441.26)</f>
        <v>851441.26</v>
      </c>
      <c r="AU57" s="55">
        <f>IFERROR(__xludf.DUMMYFUNCTION("IMPORTRANGE(""1MvzyJLe5oScOl4KjmrXr4bF1shHNP7m3u_KrVvJNGq8"",""2025-26!W3"")"),18.0)</f>
        <v>18</v>
      </c>
      <c r="AV57" s="58">
        <f t="shared" si="22"/>
        <v>0.3218588506</v>
      </c>
      <c r="AW57" s="55">
        <f>IFERROR(__xludf.DUMMYFUNCTION("IMPORTRANGE(""1MvzyJLe5oScOl4KjmrXr4bF1shHNP7m3u_KrVvJNGq8"",""2025-26!X4"")"),700043.0)</f>
        <v>700043</v>
      </c>
      <c r="AX57" s="55">
        <f>IFERROR(__xludf.DUMMYFUNCTION("IMPORTRANGE(""1MvzyJLe5oScOl4KjmrXr4bF1shHNP7m3u_KrVvJNGq8"",""2025-26!X3"")"),17.0)</f>
        <v>17</v>
      </c>
      <c r="AY57" s="55">
        <f>IFERROR(__xludf.DUMMYFUNCTION("IMPORTRANGE(""1MvzyJLe5oScOl4KjmrXr4bF1shHNP7m3u_KrVvJNGq8"",""2025-26!Y4"")"),2050000.0)</f>
        <v>2050000</v>
      </c>
      <c r="AZ57" s="55">
        <f>IFERROR(__xludf.DUMMYFUNCTION("IMPORTRANGE(""1MvzyJLe5oScOl4KjmrXr4bF1shHNP7m3u_KrVvJNGq8"",""2025-26!Y3"")"),65.0)</f>
        <v>65</v>
      </c>
      <c r="BA57" s="55">
        <f>IFERROR(__xludf.DUMMYFUNCTION("IMPORTRANGE(""1MvzyJLe5oScOl4KjmrXr4bF1shHNP7m3u_KrVvJNGq8"",""2025-26!Z4"")"),993183.29)</f>
        <v>993183.29</v>
      </c>
      <c r="BB57" s="55">
        <f>IFERROR(__xludf.DUMMYFUNCTION("IMPORTRANGE(""1MvzyJLe5oScOl4KjmrXr4bF1shHNP7m3u_KrVvJNGq8"",""2025-26!Z3"")"),19.0)</f>
        <v>19</v>
      </c>
      <c r="BC57" s="59">
        <f t="shared" si="23"/>
        <v>0.4196136585</v>
      </c>
      <c r="BD57" s="55">
        <f>IFERROR(__xludf.DUMMYFUNCTION("IMPORTRANGE(""1MvzyJLe5oScOl4KjmrXr4bF1shHNP7m3u_KrVvJNGq8"",""2025-26!AA4"")"),860208.0)</f>
        <v>860208</v>
      </c>
      <c r="BE57" s="55">
        <f>IFERROR(__xludf.DUMMYFUNCTION("IMPORTRANGE(""1MvzyJLe5oScOl4KjmrXr4bF1shHNP7m3u_KrVvJNGq8"",""2025-26!AA3"")"),19.0)</f>
        <v>19</v>
      </c>
      <c r="BF57" s="55">
        <f>IFERROR(__xludf.DUMMYFUNCTION("IMPORTRANGE(""1MvzyJLe5oScOl4KjmrXr4bF1shHNP7m3u_KrVvJNGq8"",""2025-26!AB4"")"),2375000.0)</f>
        <v>2375000</v>
      </c>
      <c r="BG57" s="55">
        <f>IFERROR(__xludf.DUMMYFUNCTION("IMPORTRANGE(""1MvzyJLe5oScOl4KjmrXr4bF1shHNP7m3u_KrVvJNGq8"",""2025-26!AB3"")"),69.0)</f>
        <v>69</v>
      </c>
      <c r="BH57" s="55">
        <f>IFERROR(__xludf.DUMMYFUNCTION("IMPORTRANGE(""1MvzyJLe5oScOl4KjmrXr4bF1shHNP7m3u_KrVvJNGq8"",""2025-26!AC4"")"),1325096.4900000002)</f>
        <v>1325096.49</v>
      </c>
      <c r="BI57" s="55">
        <f>IFERROR(__xludf.DUMMYFUNCTION("IMPORTRANGE(""1MvzyJLe5oScOl4KjmrXr4bF1shHNP7m3u_KrVvJNGq8"",""2025-26!AC3"")"),23.0)</f>
        <v>23</v>
      </c>
      <c r="BJ57" s="59">
        <f t="shared" si="24"/>
        <v>0.4128846316</v>
      </c>
      <c r="BK57" s="55">
        <f>IFERROR(__xludf.DUMMYFUNCTION("IMPORTRANGE(""1MvzyJLe5oScOl4KjmrXr4bF1shHNP7m3u_KrVvJNGq8"",""2025-26!AD4"")"),980601.0)</f>
        <v>980601</v>
      </c>
      <c r="BL57" s="55">
        <f>IFERROR(__xludf.DUMMYFUNCTION("IMPORTRANGE(""1MvzyJLe5oScOl4KjmrXr4bF1shHNP7m3u_KrVvJNGq8"",""2025-26!AD3"")"),21.0)</f>
        <v>21</v>
      </c>
      <c r="BM57" s="55">
        <f>IFERROR(__xludf.DUMMYFUNCTION("IMPORTRANGE(""1MvzyJLe5oScOl4KjmrXr4bF1shHNP7m3u_KrVvJNGq8"",""2025-26!AE4"")"),2375000.0)</f>
        <v>2375000</v>
      </c>
      <c r="BN57" s="55">
        <f>IFERROR(__xludf.DUMMYFUNCTION("IMPORTRANGE(""1MvzyJLe5oScOl4KjmrXr4bF1shHNP7m3u_KrVvJNGq8"",""2025-26!AE3"")"),69.0)</f>
        <v>69</v>
      </c>
      <c r="BO57" s="55">
        <f>IFERROR(__xludf.DUMMYFUNCTION("IMPORTRANGE(""1MvzyJLe5oScOl4KjmrXr4bF1shHNP7m3u_KrVvJNGq8"",""2025-26!AF4"")"),1139426.4499999997)</f>
        <v>1139426.45</v>
      </c>
      <c r="BP57" s="55">
        <f>IFERROR(__xludf.DUMMYFUNCTION("IMPORTRANGE(""1MvzyJLe5oScOl4KjmrXr4bF1shHNP7m3u_KrVvJNGq8"",""2025-26!AF3"")"),22.0)</f>
        <v>22</v>
      </c>
      <c r="BQ57" s="59">
        <f t="shared" si="25"/>
        <v>0.4459810526</v>
      </c>
      <c r="BR57" s="55">
        <f>IFERROR(__xludf.DUMMYFUNCTION("IMPORTRANGE(""1MvzyJLe5oScOl4KjmrXr4bF1shHNP7m3u_KrVvJNGq8"",""2025-26!AG4"")"),1059205.0)</f>
        <v>1059205</v>
      </c>
      <c r="BS57" s="55">
        <f>IFERROR(__xludf.DUMMYFUNCTION("IMPORTRANGE(""1MvzyJLe5oScOl4KjmrXr4bF1shHNP7m3u_KrVvJNGq8"",""2025-26!AG3"")"),22.0)</f>
        <v>22</v>
      </c>
      <c r="BT57" s="55">
        <f>IFERROR(__xludf.DUMMYFUNCTION("IMPORTRANGE(""1MvzyJLe5oScOl4KjmrXr4bF1shHNP7m3u_KrVvJNGq8"",""2025-26!AH4"")"),2675000.0)</f>
        <v>2675000</v>
      </c>
      <c r="BU57" s="55">
        <f>IFERROR(__xludf.DUMMYFUNCTION("IMPORTRANGE(""1MvzyJLe5oScOl4KjmrXr4bF1shHNP7m3u_KrVvJNGq8"",""2025-26!AH3"")"),72.0)</f>
        <v>72</v>
      </c>
      <c r="BV57" s="55">
        <f>IFERROR(__xludf.DUMMYFUNCTION("IMPORTRANGE(""1MvzyJLe5oScOl4KjmrXr4bF1shHNP7m3u_KrVvJNGq8"",""2025-26!AI4"")"),1795219.1199999994)</f>
        <v>1795219.12</v>
      </c>
      <c r="BW57" s="55">
        <f>IFERROR(__xludf.DUMMYFUNCTION("IMPORTRANGE(""1MvzyJLe5oScOl4KjmrXr4bF1shHNP7m3u_KrVvJNGq8"",""2025-26!AI3"")"),26.0)</f>
        <v>26</v>
      </c>
      <c r="BX57" s="59">
        <f t="shared" si="26"/>
        <v>0.702151028</v>
      </c>
      <c r="BY57" s="55">
        <f>IFERROR(__xludf.DUMMYFUNCTION("IMPORTRANGE(""1MvzyJLe5oScOl4KjmrXr4bF1shHNP7m3u_KrVvJNGq8"",""2025-26!AJ4"")"),1878254.0)</f>
        <v>1878254</v>
      </c>
      <c r="BZ57" s="55">
        <f>IFERROR(__xludf.DUMMYFUNCTION("IMPORTRANGE(""1MvzyJLe5oScOl4KjmrXr4bF1shHNP7m3u_KrVvJNGq8"",""2025-26!AJ3"")"),27.0)</f>
        <v>27</v>
      </c>
      <c r="CA57" s="55">
        <f>IFERROR(__xludf.DUMMYFUNCTION("IMPORTRANGE(""1MvzyJLe5oScOl4KjmrXr4bF1shHNP7m3u_KrVvJNGq8"",""2025-26!AK4"")"),2675000.0)</f>
        <v>2675000</v>
      </c>
      <c r="CB57" s="55">
        <f>IFERROR(__xludf.DUMMYFUNCTION("IMPORTRANGE(""1MvzyJLe5oScOl4KjmrXr4bF1shHNP7m3u_KrVvJNGq8"",""2025-26!AK3"")"),72.0)</f>
        <v>72</v>
      </c>
      <c r="CC57" s="55">
        <f>IFERROR(__xludf.DUMMYFUNCTION("IMPORTRANGE(""1MvzyJLe5oScOl4KjmrXr4bF1shHNP7m3u_KrVvJNGq8"",""2025-26!AL4"")"),1346496.4799999997)</f>
        <v>1346496.48</v>
      </c>
      <c r="CD57" s="55">
        <f>IFERROR(__xludf.DUMMYFUNCTION("IMPORTRANGE(""1MvzyJLe5oScOl4KjmrXr4bF1shHNP7m3u_KrVvJNGq8"",""2025-26!AL3"")"),19.0)</f>
        <v>19</v>
      </c>
      <c r="CE57" s="59">
        <f t="shared" si="27"/>
        <v>0.5411596262</v>
      </c>
      <c r="CF57" s="55">
        <f>IFERROR(__xludf.DUMMYFUNCTION("IMPORTRANGE(""1MvzyJLe5oScOl4KjmrXr4bF1shHNP7m3u_KrVvJNGq8"",""2025-26!AM4"")"),1447602.0)</f>
        <v>1447602</v>
      </c>
      <c r="CG57" s="55">
        <f>IFERROR(__xludf.DUMMYFUNCTION("IMPORTRANGE(""1MvzyJLe5oScOl4KjmrXr4bF1shHNP7m3u_KrVvJNGq8"",""2025-26!AM3"")"),19.0)</f>
        <v>19</v>
      </c>
      <c r="CH57" s="55">
        <f>IFERROR(__xludf.DUMMYFUNCTION("IMPORTRANGE(""1MvzyJLe5oScOl4KjmrXr4bF1shHNP7m3u_KrVvJNGq8"",""2025-26!AN4"")"),2675000.0)</f>
        <v>2675000</v>
      </c>
      <c r="CI57" s="55">
        <f>IFERROR(__xludf.DUMMYFUNCTION("IMPORTRANGE(""1MvzyJLe5oScOl4KjmrXr4bF1shHNP7m3u_KrVvJNGq8"",""2025-26!AN3"")"),72.0)</f>
        <v>72</v>
      </c>
      <c r="CJ57" s="55">
        <f>IFERROR(__xludf.DUMMYFUNCTION("IMPORTRANGE(""1MvzyJLe5oScOl4KjmrXr4bF1shHNP7m3u_KrVvJNGq8"",""2025-26!AO4"")"),1778781.2800000003)</f>
        <v>1778781.28</v>
      </c>
      <c r="CK57" s="55">
        <f>IFERROR(__xludf.DUMMYFUNCTION("IMPORTRANGE(""1MvzyJLe5oScOl4KjmrXr4bF1shHNP7m3u_KrVvJNGq8"",""2025-26!AO3"")"),26.0)</f>
        <v>26</v>
      </c>
      <c r="CL57" s="59">
        <f t="shared" si="28"/>
        <v>0.6990964486</v>
      </c>
      <c r="CM57" s="55">
        <f>IFERROR(__xludf.DUMMYFUNCTION("IMPORTRANGE(""1MvzyJLe5oScOl4KjmrXr4bF1shHNP7m3u_KrVvJNGq8"",""2025-26!AP4"")"),1870083.0)</f>
        <v>1870083</v>
      </c>
      <c r="CN57" s="55">
        <f>IFERROR(__xludf.DUMMYFUNCTION("IMPORTRANGE(""1MvzyJLe5oScOl4KjmrXr4bF1shHNP7m3u_KrVvJNGq8"",""2025-26!AP3"")"),26.0)</f>
        <v>26</v>
      </c>
      <c r="CO57" s="55">
        <f>IFERROR(__xludf.DUMMYFUNCTION("IMPORTRANGE(""1MvzyJLe5oScOl4KjmrXr4bF1shHNP7m3u_KrVvJNGq8"",""2025-26!AQ4"")"),2675000.0)</f>
        <v>2675000</v>
      </c>
      <c r="CP57" s="55">
        <f>IFERROR(__xludf.DUMMYFUNCTION("IMPORTRANGE(""1MvzyJLe5oScOl4KjmrXr4bF1shHNP7m3u_KrVvJNGq8"",""2025-26!AQ3"")"),72.0)</f>
        <v>72</v>
      </c>
      <c r="CQ57" s="55">
        <f>IFERROR(__xludf.DUMMYFUNCTION("IMPORTRANGE(""1MvzyJLe5oScOl4KjmrXr4bF1shHNP7m3u_KrVvJNGq8"",""2025-26!AR4"")"),1573680.2)</f>
        <v>1573680.2</v>
      </c>
      <c r="CR57" s="55">
        <f>IFERROR(__xludf.DUMMYFUNCTION("IMPORTRANGE(""1MvzyJLe5oScOl4KjmrXr4bF1shHNP7m3u_KrVvJNGq8"",""2025-26!AR3"")"),22.0)</f>
        <v>22</v>
      </c>
      <c r="CS57" s="59">
        <f t="shared" si="29"/>
        <v>0.6406945794</v>
      </c>
      <c r="CT57" s="55">
        <f>IFERROR(__xludf.DUMMYFUNCTION("IMPORTRANGE(""1MvzyJLe5oScOl4KjmrXr4bF1shHNP7m3u_KrVvJNGq8"",""2025-26!AS4"")"),1713858.0)</f>
        <v>1713858</v>
      </c>
      <c r="CU57" s="55">
        <f>IFERROR(__xludf.DUMMYFUNCTION("IMPORTRANGE(""1MvzyJLe5oScOl4KjmrXr4bF1shHNP7m3u_KrVvJNGq8"",""2025-26!AS3"")"),22.0)</f>
        <v>22</v>
      </c>
      <c r="CV57" s="60" t="s">
        <v>130</v>
      </c>
    </row>
    <row r="58">
      <c r="A58" s="1" t="s">
        <v>126</v>
      </c>
      <c r="B58" s="37"/>
      <c r="C58" s="48" t="s">
        <v>148</v>
      </c>
      <c r="D58" s="65" t="s">
        <v>149</v>
      </c>
      <c r="E58" s="50">
        <v>9.111237181E9</v>
      </c>
      <c r="F58" s="74">
        <v>44662.0</v>
      </c>
      <c r="G58" s="62"/>
      <c r="H58" s="62"/>
      <c r="I58" s="53">
        <f>VLOOKUP($C58,Data!$C:$BV,72,0)</f>
        <v>51950</v>
      </c>
      <c r="J58" s="57">
        <f>1633333+100000</f>
        <v>1733333</v>
      </c>
      <c r="K58" s="55">
        <f>IFERROR(__xludf.DUMMYFUNCTION("IMPORTRANGE(""1vvfCDjQh1LBVwkUUB7ZEeku1dM6x_yzeXavvI--pPRg"",""2025-26!A3"")"),69.0)</f>
        <v>69</v>
      </c>
      <c r="L58" s="55">
        <f>IFERROR(__xludf.DUMMYFUNCTION("IMPORTRANGE(""1vvfCDjQh1LBVwkUUB7ZEeku1dM6x_yzeXavvI--pPRg"",""2025-26!G4"")"),1.57E7)</f>
        <v>15700000</v>
      </c>
      <c r="M58" s="55">
        <f t="shared" si="44"/>
        <v>10642240.2</v>
      </c>
      <c r="N58" s="56">
        <f t="shared" si="45"/>
        <v>0.7124193236</v>
      </c>
      <c r="O58" s="57">
        <f t="shared" si="46"/>
        <v>11184983.38</v>
      </c>
      <c r="P58" s="55">
        <f>IFERROR(__xludf.DUMMYFUNCTION("IMPORTRANGE(""1vvfCDjQh1LBVwkUUB7ZEeku1dM6x_yzeXavvI--pPRg"",""2025-26!J4"")"),1269000.0)</f>
        <v>1269000</v>
      </c>
      <c r="Q58" s="55">
        <f>IFERROR(__xludf.DUMMYFUNCTION("IMPORTRANGE(""1vvfCDjQh1LBVwkUUB7ZEeku1dM6x_yzeXavvI--pPRg"",""2025-26!J3"")"),34.0)</f>
        <v>34</v>
      </c>
      <c r="R58" s="55">
        <f>IFERROR(__xludf.DUMMYFUNCTION("IMPORTRANGE(""1vvfCDjQh1LBVwkUUB7ZEeku1dM6x_yzeXavvI--pPRg"",""2025-26!K4"")"),212122.80000000002)</f>
        <v>212122.8</v>
      </c>
      <c r="S58" s="55">
        <f>IFERROR(__xludf.DUMMYFUNCTION("IMPORTRANGE(""1vvfCDjQh1LBVwkUUB7ZEeku1dM6x_yzeXavvI--pPRg"",""2025-26!K3"")"),4.0)</f>
        <v>4</v>
      </c>
      <c r="T58" s="58">
        <f t="shared" si="18"/>
        <v>0.44658974</v>
      </c>
      <c r="U58" s="55">
        <f>IFERROR(__xludf.DUMMYFUNCTION("IMPORTRANGE(""1vvfCDjQh1LBVwkUUB7ZEeku1dM6x_yzeXavvI--pPRg"",""2025-26!L4"")"),566722.38)</f>
        <v>566722.38</v>
      </c>
      <c r="V58" s="55">
        <f>IFERROR(__xludf.DUMMYFUNCTION("IMPORTRANGE(""1vvfCDjQh1LBVwkUUB7ZEeku1dM6x_yzeXavvI--pPRg"",""2025-26!L3"")"),13.0)</f>
        <v>13</v>
      </c>
      <c r="W58" s="55">
        <f>IFERROR(__xludf.DUMMYFUNCTION("IMPORTRANGE(""1vvfCDjQh1LBVwkUUB7ZEeku1dM6x_yzeXavvI--pPRg"",""2025-26!m4"")"),1269000.0)</f>
        <v>1269000</v>
      </c>
      <c r="X58" s="55">
        <f>IFERROR(__xludf.DUMMYFUNCTION("IMPORTRANGE(""1vvfCDjQh1LBVwkUUB7ZEeku1dM6x_yzeXavvI--pPRg"",""2025-26!m3"")"),34.0)</f>
        <v>34</v>
      </c>
      <c r="Y58" s="55">
        <f>IFERROR(__xludf.DUMMYFUNCTION("IMPORTRANGE(""1vvfCDjQh1LBVwkUUB7ZEeku1dM6x_yzeXavvI--pPRg"",""2025-26!N4"")"),649044.0)</f>
        <v>649044</v>
      </c>
      <c r="Z58" s="55">
        <f>IFERROR(__xludf.DUMMYFUNCTION("IMPORTRANGE(""1vvfCDjQh1LBVwkUUB7ZEeku1dM6x_yzeXavvI--pPRg"",""2025-26!N3"")"),8.0)</f>
        <v>8</v>
      </c>
      <c r="AA58" s="58">
        <f t="shared" si="19"/>
        <v>0.4694144996</v>
      </c>
      <c r="AB58" s="55">
        <f>IFERROR(__xludf.DUMMYFUNCTION("IMPORTRANGE(""1vvfCDjQh1LBVwkUUB7ZEeku1dM6x_yzeXavvI--pPRg"",""2025-26!O4"")"),595687.0)</f>
        <v>595687</v>
      </c>
      <c r="AC58" s="55">
        <f>IFERROR(__xludf.DUMMYFUNCTION("IMPORTRANGE(""1vvfCDjQh1LBVwkUUB7ZEeku1dM6x_yzeXavvI--pPRg"",""2025-26!O3"")"),8.0)</f>
        <v>8</v>
      </c>
      <c r="AD58" s="55">
        <f>IFERROR(__xludf.DUMMYFUNCTION("IMPORTRANGE(""1vvfCDjQh1LBVwkUUB7ZEeku1dM6x_yzeXavvI--pPRg"",""2025-26!P4"")"),1269000.0)</f>
        <v>1269000</v>
      </c>
      <c r="AE58" s="55">
        <f>IFERROR(__xludf.DUMMYFUNCTION("IMPORTRANGE(""1vvfCDjQh1LBVwkUUB7ZEeku1dM6x_yzeXavvI--pPRg"",""2025-26!P3"")"),34.0)</f>
        <v>34</v>
      </c>
      <c r="AF58" s="55">
        <f>IFERROR(__xludf.DUMMYFUNCTION("IMPORTRANGE(""1vvfCDjQh1LBVwkUUB7ZEeku1dM6x_yzeXavvI--pPRg"",""2025-26!Q4"")"),776896.3)</f>
        <v>776896.3</v>
      </c>
      <c r="AG58" s="55">
        <f>IFERROR(__xludf.DUMMYFUNCTION("IMPORTRANGE(""1vvfCDjQh1LBVwkUUB7ZEeku1dM6x_yzeXavvI--pPRg"",""2025-26!Q3"")"),12.0)</f>
        <v>12</v>
      </c>
      <c r="AH58" s="58">
        <f t="shared" si="20"/>
        <v>0.7712797478</v>
      </c>
      <c r="AI58" s="55">
        <f>IFERROR(__xludf.DUMMYFUNCTION("IMPORTRANGE(""1vvfCDjQh1LBVwkUUB7ZEeku1dM6x_yzeXavvI--pPRg"",""2025-26!R4"")"),978754.0)</f>
        <v>978754</v>
      </c>
      <c r="AJ58" s="55">
        <f>IFERROR(__xludf.DUMMYFUNCTION("IMPORTRANGE(""1vvfCDjQh1LBVwkUUB7ZEeku1dM6x_yzeXavvI--pPRg"",""2025-26!R3"")"),11.0)</f>
        <v>11</v>
      </c>
      <c r="AK58" s="55">
        <f>IFERROR(__xludf.DUMMYFUNCTION("IMPORTRANGE(""1vvfCDjQh1LBVwkUUB7ZEeku1dM6x_yzeXavvI--pPRg"",""2025-26!S4"")"),1306250.0)</f>
        <v>1306250</v>
      </c>
      <c r="AL58" s="55">
        <f>IFERROR(__xludf.DUMMYFUNCTION("IMPORTRANGE(""1vvfCDjQh1LBVwkUUB7ZEeku1dM6x_yzeXavvI--pPRg"",""2025-26!S3"")"),36.0)</f>
        <v>36</v>
      </c>
      <c r="AM58" s="55">
        <f>IFERROR(__xludf.DUMMYFUNCTION("IMPORTRANGE(""1vvfCDjQh1LBVwkUUB7ZEeku1dM6x_yzeXavvI--pPRg"",""2025-26!T4"")"),584302.28)</f>
        <v>584302.28</v>
      </c>
      <c r="AN58" s="55">
        <f>IFERROR(__xludf.DUMMYFUNCTION("IMPORTRANGE(""1vvfCDjQh1LBVwkUUB7ZEeku1dM6x_yzeXavvI--pPRg"",""2025-26!T3"")"),12.0)</f>
        <v>12</v>
      </c>
      <c r="AO58" s="58">
        <f t="shared" si="21"/>
        <v>0.9501971292</v>
      </c>
      <c r="AP58" s="55">
        <f>IFERROR(__xludf.DUMMYFUNCTION("IMPORTRANGE(""1vvfCDjQh1LBVwkUUB7ZEeku1dM6x_yzeXavvI--pPRg"",""2025-26!U4"")"),1241195.0)</f>
        <v>1241195</v>
      </c>
      <c r="AQ58" s="55">
        <f>IFERROR(__xludf.DUMMYFUNCTION("IMPORTRANGE(""1vvfCDjQh1LBVwkUUB7ZEeku1dM6x_yzeXavvI--pPRg"",""2025-26!U3"")"),12.0)</f>
        <v>12</v>
      </c>
      <c r="AR58" s="55">
        <f>IFERROR(__xludf.DUMMYFUNCTION("IMPORTRANGE(""1vvfCDjQh1LBVwkUUB7ZEeku1dM6x_yzeXavvI--pPRg"",""2025-26!V4"")"),1306250.0)</f>
        <v>1306250</v>
      </c>
      <c r="AS58" s="55">
        <f>IFERROR(__xludf.DUMMYFUNCTION("IMPORTRANGE(""1vvfCDjQh1LBVwkUUB7ZEeku1dM6x_yzeXavvI--pPRg"",""2025-26!V3"")"),36.0)</f>
        <v>36</v>
      </c>
      <c r="AT58" s="55">
        <f>IFERROR(__xludf.DUMMYFUNCTION("IMPORTRANGE(""1vvfCDjQh1LBVwkUUB7ZEeku1dM6x_yzeXavvI--pPRg"",""2025-26!W4"")"),722271.4500000001)</f>
        <v>722271.45</v>
      </c>
      <c r="AU58" s="55">
        <f>IFERROR(__xludf.DUMMYFUNCTION("IMPORTRANGE(""1vvfCDjQh1LBVwkUUB7ZEeku1dM6x_yzeXavvI--pPRg"",""2025-26!W3"")"),10.0)</f>
        <v>10</v>
      </c>
      <c r="AV58" s="58">
        <f t="shared" si="22"/>
        <v>0.5608252632</v>
      </c>
      <c r="AW58" s="55">
        <f>IFERROR(__xludf.DUMMYFUNCTION("IMPORTRANGE(""1vvfCDjQh1LBVwkUUB7ZEeku1dM6x_yzeXavvI--pPRg"",""2025-26!X4"")"),732578.0)</f>
        <v>732578</v>
      </c>
      <c r="AX58" s="55">
        <f>IFERROR(__xludf.DUMMYFUNCTION("IMPORTRANGE(""1vvfCDjQh1LBVwkUUB7ZEeku1dM6x_yzeXavvI--pPRg"",""2025-26!X3"")"),10.0)</f>
        <v>10</v>
      </c>
      <c r="AY58" s="55">
        <f>IFERROR(__xludf.DUMMYFUNCTION("IMPORTRANGE(""1vvfCDjQh1LBVwkUUB7ZEeku1dM6x_yzeXavvI--pPRg"",""2025-26!Y4"")"),1306250.0)</f>
        <v>1306250</v>
      </c>
      <c r="AZ58" s="55">
        <f>IFERROR(__xludf.DUMMYFUNCTION("IMPORTRANGE(""1vvfCDjQh1LBVwkUUB7ZEeku1dM6x_yzeXavvI--pPRg"",""2025-26!Y3"")"),36.0)</f>
        <v>36</v>
      </c>
      <c r="BA58" s="55">
        <f>IFERROR(__xludf.DUMMYFUNCTION("IMPORTRANGE(""1vvfCDjQh1LBVwkUUB7ZEeku1dM6x_yzeXavvI--pPRg"",""2025-26!Z4"")"),820148.5799999998)</f>
        <v>820148.58</v>
      </c>
      <c r="BB58" s="55">
        <f>IFERROR(__xludf.DUMMYFUNCTION("IMPORTRANGE(""1vvfCDjQh1LBVwkUUB7ZEeku1dM6x_yzeXavvI--pPRg"",""2025-26!Z3"")"),11.0)</f>
        <v>11</v>
      </c>
      <c r="BC58" s="59">
        <f t="shared" si="23"/>
        <v>0.6590989474</v>
      </c>
      <c r="BD58" s="55">
        <f>IFERROR(__xludf.DUMMYFUNCTION("IMPORTRANGE(""1vvfCDjQh1LBVwkUUB7ZEeku1dM6x_yzeXavvI--pPRg"",""2025-26!AA4"")"),860948.0)</f>
        <v>860948</v>
      </c>
      <c r="BE58" s="55">
        <f>IFERROR(__xludf.DUMMYFUNCTION("IMPORTRANGE(""1vvfCDjQh1LBVwkUUB7ZEeku1dM6x_yzeXavvI--pPRg"",""2025-26!AA3"")"),12.0)</f>
        <v>12</v>
      </c>
      <c r="BF58" s="55">
        <f>IFERROR(__xludf.DUMMYFUNCTION("IMPORTRANGE(""1vvfCDjQh1LBVwkUUB7ZEeku1dM6x_yzeXavvI--pPRg"",""2025-26!AB4"")"),1825000.0)</f>
        <v>1825000</v>
      </c>
      <c r="BG58" s="55">
        <f>IFERROR(__xludf.DUMMYFUNCTION("IMPORTRANGE(""1vvfCDjQh1LBVwkUUB7ZEeku1dM6x_yzeXavvI--pPRg"",""2025-26!AB3"")"),47.0)</f>
        <v>47</v>
      </c>
      <c r="BH58" s="55">
        <f>IFERROR(__xludf.DUMMYFUNCTION("IMPORTRANGE(""1vvfCDjQh1LBVwkUUB7ZEeku1dM6x_yzeXavvI--pPRg"",""2025-26!AC4"")"),546538.54)</f>
        <v>546538.54</v>
      </c>
      <c r="BI58" s="55">
        <f>IFERROR(__xludf.DUMMYFUNCTION("IMPORTRANGE(""1vvfCDjQh1LBVwkUUB7ZEeku1dM6x_yzeXavvI--pPRg"",""2025-26!AC3"")"),18.0)</f>
        <v>18</v>
      </c>
      <c r="BJ58" s="59">
        <f t="shared" si="24"/>
        <v>0.2910060274</v>
      </c>
      <c r="BK58" s="55">
        <f>IFERROR(__xludf.DUMMYFUNCTION("IMPORTRANGE(""1vvfCDjQh1LBVwkUUB7ZEeku1dM6x_yzeXavvI--pPRg"",""2025-26!AD4"")"),531086.0)</f>
        <v>531086</v>
      </c>
      <c r="BL58" s="55">
        <f>IFERROR(__xludf.DUMMYFUNCTION("IMPORTRANGE(""1vvfCDjQh1LBVwkUUB7ZEeku1dM6x_yzeXavvI--pPRg"",""2025-26!AD3"")"),15.0)</f>
        <v>15</v>
      </c>
      <c r="BM58" s="55">
        <f>IFERROR(__xludf.DUMMYFUNCTION("IMPORTRANGE(""1vvfCDjQh1LBVwkUUB7ZEeku1dM6x_yzeXavvI--pPRg"",""2025-26!AE4"")"),1825000.0)</f>
        <v>1825000</v>
      </c>
      <c r="BN58" s="55">
        <f>IFERROR(__xludf.DUMMYFUNCTION("IMPORTRANGE(""1vvfCDjQh1LBVwkUUB7ZEeku1dM6x_yzeXavvI--pPRg"",""2025-26!AE3"")"),47.0)</f>
        <v>47</v>
      </c>
      <c r="BO58" s="55">
        <f>IFERROR(__xludf.DUMMYFUNCTION("IMPORTRANGE(""1vvfCDjQh1LBVwkUUB7ZEeku1dM6x_yzeXavvI--pPRg"",""2025-26!AF4"")"),1849105.77)</f>
        <v>1849105.77</v>
      </c>
      <c r="BP58" s="55">
        <f>IFERROR(__xludf.DUMMYFUNCTION("IMPORTRANGE(""1vvfCDjQh1LBVwkUUB7ZEeku1dM6x_yzeXavvI--pPRg"",""2025-26!AF3"")"),22.0)</f>
        <v>22</v>
      </c>
      <c r="BQ58" s="59">
        <f t="shared" si="25"/>
        <v>0.4622843836</v>
      </c>
      <c r="BR58" s="55">
        <f>IFERROR(__xludf.DUMMYFUNCTION("IMPORTRANGE(""1vvfCDjQh1LBVwkUUB7ZEeku1dM6x_yzeXavvI--pPRg"",""2025-26!AG4"")"),843669.0)</f>
        <v>843669</v>
      </c>
      <c r="BS58" s="55">
        <f>IFERROR(__xludf.DUMMYFUNCTION("IMPORTRANGE(""1vvfCDjQh1LBVwkUUB7ZEeku1dM6x_yzeXavvI--pPRg"",""2025-26!AG3"")"),22.0)</f>
        <v>22</v>
      </c>
      <c r="BT58" s="55">
        <f>IFERROR(__xludf.DUMMYFUNCTION("IMPORTRANGE(""1vvfCDjQh1LBVwkUUB7ZEeku1dM6x_yzeXavvI--pPRg"",""2025-26!AH4"")"),1825000.0)</f>
        <v>1825000</v>
      </c>
      <c r="BU58" s="55">
        <f>IFERROR(__xludf.DUMMYFUNCTION("IMPORTRANGE(""1vvfCDjQh1LBVwkUUB7ZEeku1dM6x_yzeXavvI--pPRg"",""2025-26!AH3"")"),47.0)</f>
        <v>47</v>
      </c>
      <c r="BV58" s="55">
        <f>IFERROR(__xludf.DUMMYFUNCTION("IMPORTRANGE(""1vvfCDjQh1LBVwkUUB7ZEeku1dM6x_yzeXavvI--pPRg"",""2025-26!AI4"")"),797614.6799999999)</f>
        <v>797614.68</v>
      </c>
      <c r="BW58" s="55">
        <f>IFERROR(__xludf.DUMMYFUNCTION("IMPORTRANGE(""1vvfCDjQh1LBVwkUUB7ZEeku1dM6x_yzeXavvI--pPRg"",""2025-26!AI3"")"),11.0)</f>
        <v>11</v>
      </c>
      <c r="BX58" s="59">
        <f t="shared" si="26"/>
        <v>1.24841589</v>
      </c>
      <c r="BY58" s="55">
        <f>IFERROR(__xludf.DUMMYFUNCTION("IMPORTRANGE(""1vvfCDjQh1LBVwkUUB7ZEeku1dM6x_yzeXavvI--pPRg"",""2025-26!AJ4"")"),2278359.0)</f>
        <v>2278359</v>
      </c>
      <c r="BZ58" s="55">
        <f>IFERROR(__xludf.DUMMYFUNCTION("IMPORTRANGE(""1vvfCDjQh1LBVwkUUB7ZEeku1dM6x_yzeXavvI--pPRg"",""2025-26!AJ3"")"),12.0)</f>
        <v>12</v>
      </c>
      <c r="CA58" s="55">
        <f>IFERROR(__xludf.DUMMYFUNCTION("IMPORTRANGE(""1vvfCDjQh1LBVwkUUB7ZEeku1dM6x_yzeXavvI--pPRg"",""2025-26!AK4"")"),1800000.0)</f>
        <v>1800000</v>
      </c>
      <c r="CB58" s="55">
        <f>IFERROR(__xludf.DUMMYFUNCTION("IMPORTRANGE(""1vvfCDjQh1LBVwkUUB7ZEeku1dM6x_yzeXavvI--pPRg"",""2025-26!AK3"")"),37.0)</f>
        <v>37</v>
      </c>
      <c r="CC58" s="55">
        <f>IFERROR(__xludf.DUMMYFUNCTION("IMPORTRANGE(""1vvfCDjQh1LBVwkUUB7ZEeku1dM6x_yzeXavvI--pPRg"",""2025-26!AL4"")"),987385.57)</f>
        <v>987385.57</v>
      </c>
      <c r="CD58" s="55">
        <f>IFERROR(__xludf.DUMMYFUNCTION("IMPORTRANGE(""1vvfCDjQh1LBVwkUUB7ZEeku1dM6x_yzeXavvI--pPRg"",""2025-26!AL3"")"),15.0)</f>
        <v>15</v>
      </c>
      <c r="CE58" s="59">
        <f t="shared" si="27"/>
        <v>0.4401555556</v>
      </c>
      <c r="CF58" s="55">
        <f>IFERROR(__xludf.DUMMYFUNCTION("IMPORTRANGE(""1vvfCDjQh1LBVwkUUB7ZEeku1dM6x_yzeXavvI--pPRg"",""2025-26!AM4"")"),792280.0)</f>
        <v>792280</v>
      </c>
      <c r="CG58" s="55">
        <f>IFERROR(__xludf.DUMMYFUNCTION("IMPORTRANGE(""1vvfCDjQh1LBVwkUUB7ZEeku1dM6x_yzeXavvI--pPRg"",""2025-26!AM3"")"),17.0)</f>
        <v>17</v>
      </c>
      <c r="CH58" s="55">
        <f>IFERROR(__xludf.DUMMYFUNCTION("IMPORTRANGE(""1vvfCDjQh1LBVwkUUB7ZEeku1dM6x_yzeXavvI--pPRg"",""2025-26!AN4"")"),1800000.0)</f>
        <v>1800000</v>
      </c>
      <c r="CI58" s="55">
        <f>IFERROR(__xludf.DUMMYFUNCTION("IMPORTRANGE(""1vvfCDjQh1LBVwkUUB7ZEeku1dM6x_yzeXavvI--pPRg"",""2025-26!AN3"")"),37.0)</f>
        <v>37</v>
      </c>
      <c r="CJ58" s="55">
        <f>IFERROR(__xludf.DUMMYFUNCTION("IMPORTRANGE(""1vvfCDjQh1LBVwkUUB7ZEeku1dM6x_yzeXavvI--pPRg"",""2025-26!AO4"")"),664552.24)</f>
        <v>664552.24</v>
      </c>
      <c r="CK58" s="55">
        <f>IFERROR(__xludf.DUMMYFUNCTION("IMPORTRANGE(""1vvfCDjQh1LBVwkUUB7ZEeku1dM6x_yzeXavvI--pPRg"",""2025-26!AO3"")"),16.0)</f>
        <v>16</v>
      </c>
      <c r="CL58" s="59">
        <f t="shared" si="28"/>
        <v>0.1907477778</v>
      </c>
      <c r="CM58" s="55">
        <f>IFERROR(__xludf.DUMMYFUNCTION("IMPORTRANGE(""1vvfCDjQh1LBVwkUUB7ZEeku1dM6x_yzeXavvI--pPRg"",""2025-26!AP4"")"),343346.0)</f>
        <v>343346</v>
      </c>
      <c r="CN58" s="55">
        <f>IFERROR(__xludf.DUMMYFUNCTION("IMPORTRANGE(""1vvfCDjQh1LBVwkUUB7ZEeku1dM6x_yzeXavvI--pPRg"",""2025-26!AP3"")"),7.0)</f>
        <v>7</v>
      </c>
      <c r="CO58" s="55">
        <f>IFERROR(__xludf.DUMMYFUNCTION("IMPORTRANGE(""1vvfCDjQh1LBVwkUUB7ZEeku1dM6x_yzeXavvI--pPRg"",""2025-26!AQ4"")"),1800000.0)</f>
        <v>1800000</v>
      </c>
      <c r="CP58" s="55">
        <f>IFERROR(__xludf.DUMMYFUNCTION("IMPORTRANGE(""1vvfCDjQh1LBVwkUUB7ZEeku1dM6x_yzeXavvI--pPRg"",""2025-26!AQ3"")"),37.0)</f>
        <v>37</v>
      </c>
      <c r="CQ58" s="55">
        <f>IFERROR(__xludf.DUMMYFUNCTION("IMPORTRANGE(""1vvfCDjQh1LBVwkUUB7ZEeku1dM6x_yzeXavvI--pPRg"",""2025-26!AR4"")"),2032257.99)</f>
        <v>2032257.99</v>
      </c>
      <c r="CR58" s="55">
        <f>IFERROR(__xludf.DUMMYFUNCTION("IMPORTRANGE(""1vvfCDjQh1LBVwkUUB7ZEeku1dM6x_yzeXavvI--pPRg"",""2025-26!AR3"")"),18.0)</f>
        <v>18</v>
      </c>
      <c r="CS58" s="59">
        <f t="shared" si="29"/>
        <v>0.7890883333</v>
      </c>
      <c r="CT58" s="55">
        <f>IFERROR(__xludf.DUMMYFUNCTION("IMPORTRANGE(""1vvfCDjQh1LBVwkUUB7ZEeku1dM6x_yzeXavvI--pPRg"",""2025-26!AS4"")"),1420359.0)</f>
        <v>1420359</v>
      </c>
      <c r="CU58" s="55">
        <f>IFERROR(__xludf.DUMMYFUNCTION("IMPORTRANGE(""1vvfCDjQh1LBVwkUUB7ZEeku1dM6x_yzeXavvI--pPRg"",""2025-26!AS3"")"),20.0)</f>
        <v>20</v>
      </c>
      <c r="CV58" s="60" t="s">
        <v>135</v>
      </c>
    </row>
    <row r="59">
      <c r="A59" s="1" t="s">
        <v>126</v>
      </c>
      <c r="B59" s="37"/>
      <c r="C59" s="48" t="s">
        <v>150</v>
      </c>
      <c r="D59" s="49" t="s">
        <v>151</v>
      </c>
      <c r="E59" s="50">
        <v>6.3069155E9</v>
      </c>
      <c r="F59" s="74">
        <v>44911.0</v>
      </c>
      <c r="G59" s="62"/>
      <c r="H59" s="62"/>
      <c r="I59" s="53">
        <f>VLOOKUP($C59,Data!$C:$BV,72,0)</f>
        <v>45935</v>
      </c>
      <c r="J59" s="57">
        <v>1666667.0</v>
      </c>
      <c r="K59" s="55">
        <f>IFERROR(__xludf.DUMMYFUNCTION("IMPORTRANGE(""1VEbI85GIACBzK7Fr53MA8H90fnc5xOBzkIV_G3O2R84"",""2025-26!A3"")"),273.0)</f>
        <v>273</v>
      </c>
      <c r="L59" s="55">
        <f>IFERROR(__xludf.DUMMYFUNCTION("IMPORTRANGE(""1VEbI85GIACBzK7Fr53MA8H90fnc5xOBzkIV_G3O2R84"",""2025-26!G4"")"),2.23E7)</f>
        <v>22300000</v>
      </c>
      <c r="M59" s="55">
        <f t="shared" si="44"/>
        <v>21038038.8</v>
      </c>
      <c r="N59" s="56">
        <f t="shared" si="45"/>
        <v>0.9753336771</v>
      </c>
      <c r="O59" s="57">
        <f t="shared" si="46"/>
        <v>21749941</v>
      </c>
      <c r="P59" s="55">
        <f>IFERROR(__xludf.DUMMYFUNCTION("IMPORTRANGE(""1VEbI85GIACBzK7Fr53MA8H90fnc5xOBzkIV_G3O2R84"",""2025-26!J4"")"),1196000.0)</f>
        <v>1196000</v>
      </c>
      <c r="Q59" s="55">
        <f>IFERROR(__xludf.DUMMYFUNCTION("IMPORTRANGE(""1VEbI85GIACBzK7Fr53MA8H90fnc5xOBzkIV_G3O2R84"",""2025-26!J3"")"),92.0)</f>
        <v>92</v>
      </c>
      <c r="R59" s="55">
        <f>IFERROR(__xludf.DUMMYFUNCTION("IMPORTRANGE(""1VEbI85GIACBzK7Fr53MA8H90fnc5xOBzkIV_G3O2R84"",""2025-26!K4"")"),1070973.9500000002)</f>
        <v>1070973.95</v>
      </c>
      <c r="S59" s="55">
        <f>IFERROR(__xludf.DUMMYFUNCTION("IMPORTRANGE(""1VEbI85GIACBzK7Fr53MA8H90fnc5xOBzkIV_G3O2R84"",""2025-26!K3"")"),56.0)</f>
        <v>56</v>
      </c>
      <c r="T59" s="58">
        <f t="shared" si="18"/>
        <v>0.9141070234</v>
      </c>
      <c r="U59" s="55">
        <f>IFERROR(__xludf.DUMMYFUNCTION("IMPORTRANGE(""1VEbI85GIACBzK7Fr53MA8H90fnc5xOBzkIV_G3O2R84"",""2025-26!L4"")"),1093272.0)</f>
        <v>1093272</v>
      </c>
      <c r="V59" s="55">
        <f>IFERROR(__xludf.DUMMYFUNCTION("IMPORTRANGE(""1VEbI85GIACBzK7Fr53MA8H90fnc5xOBzkIV_G3O2R84"",""2025-26!L3"")"),60.0)</f>
        <v>60</v>
      </c>
      <c r="W59" s="55">
        <f>IFERROR(__xludf.DUMMYFUNCTION("IMPORTRANGE(""1VEbI85GIACBzK7Fr53MA8H90fnc5xOBzkIV_G3O2R84"",""2025-26!m4"")"),1760000.0)</f>
        <v>1760000</v>
      </c>
      <c r="X59" s="55">
        <f>IFERROR(__xludf.DUMMYFUNCTION("IMPORTRANGE(""1VEbI85GIACBzK7Fr53MA8H90fnc5xOBzkIV_G3O2R84"",""2025-26!m3"")"),120.0)</f>
        <v>120</v>
      </c>
      <c r="Y59" s="55">
        <f>IFERROR(__xludf.DUMMYFUNCTION("IMPORTRANGE(""1VEbI85GIACBzK7Fr53MA8H90fnc5xOBzkIV_G3O2R84"",""2025-26!N4"")"),1919992.0999999996)</f>
        <v>1919992.1</v>
      </c>
      <c r="Z59" s="55">
        <f>IFERROR(__xludf.DUMMYFUNCTION("IMPORTRANGE(""1VEbI85GIACBzK7Fr53MA8H90fnc5xOBzkIV_G3O2R84"",""2025-26!N3"")"),74.0)</f>
        <v>74</v>
      </c>
      <c r="AA59" s="58">
        <f t="shared" si="19"/>
        <v>1.024408523</v>
      </c>
      <c r="AB59" s="55">
        <f>IFERROR(__xludf.DUMMYFUNCTION("IMPORTRANGE(""1VEbI85GIACBzK7Fr53MA8H90fnc5xOBzkIV_G3O2R84"",""2025-26!O4"")"),1802959.0)</f>
        <v>1802959</v>
      </c>
      <c r="AC59" s="55">
        <f>IFERROR(__xludf.DUMMYFUNCTION("IMPORTRANGE(""1VEbI85GIACBzK7Fr53MA8H90fnc5xOBzkIV_G3O2R84"",""2025-26!O3"")"),73.0)</f>
        <v>73</v>
      </c>
      <c r="AD59" s="55">
        <f>IFERROR(__xludf.DUMMYFUNCTION("IMPORTRANGE(""1VEbI85GIACBzK7Fr53MA8H90fnc5xOBzkIV_G3O2R84"",""2025-26!P4"")"),2394000.0)</f>
        <v>2394000</v>
      </c>
      <c r="AE59" s="55">
        <f>IFERROR(__xludf.DUMMYFUNCTION("IMPORTRANGE(""1VEbI85GIACBzK7Fr53MA8H90fnc5xOBzkIV_G3O2R84"",""2025-26!P3"")"),126.0)</f>
        <v>126</v>
      </c>
      <c r="AF59" s="55">
        <f>IFERROR(__xludf.DUMMYFUNCTION("IMPORTRANGE(""1VEbI85GIACBzK7Fr53MA8H90fnc5xOBzkIV_G3O2R84"",""2025-26!Q4"")"),2121461.390517578)</f>
        <v>2121461.391</v>
      </c>
      <c r="AG59" s="55">
        <f>IFERROR(__xludf.DUMMYFUNCTION("IMPORTRANGE(""1VEbI85GIACBzK7Fr53MA8H90fnc5xOBzkIV_G3O2R84"",""2025-26!Q3"")"),62.0)</f>
        <v>62</v>
      </c>
      <c r="AH59" s="58">
        <f t="shared" si="20"/>
        <v>0.9492130326</v>
      </c>
      <c r="AI59" s="55">
        <f>IFERROR(__xludf.DUMMYFUNCTION("IMPORTRANGE(""1VEbI85GIACBzK7Fr53MA8H90fnc5xOBzkIV_G3O2R84"",""2025-26!R4"")"),2272416.0)</f>
        <v>2272416</v>
      </c>
      <c r="AJ59" s="55">
        <f>IFERROR(__xludf.DUMMYFUNCTION("IMPORTRANGE(""1VEbI85GIACBzK7Fr53MA8H90fnc5xOBzkIV_G3O2R84"",""2025-26!R3"")"),77.0)</f>
        <v>77</v>
      </c>
      <c r="AK59" s="55">
        <f>IFERROR(__xludf.DUMMYFUNCTION("IMPORTRANGE(""1VEbI85GIACBzK7Fr53MA8H90fnc5xOBzkIV_G3O2R84"",""2025-26!S4"")"),1879000.0)</f>
        <v>1879000</v>
      </c>
      <c r="AL59" s="55">
        <f>IFERROR(__xludf.DUMMYFUNCTION("IMPORTRANGE(""1VEbI85GIACBzK7Fr53MA8H90fnc5xOBzkIV_G3O2R84"",""2025-26!S3"")"),141.0)</f>
        <v>141</v>
      </c>
      <c r="AM59" s="55">
        <f>IFERROR(__xludf.DUMMYFUNCTION("IMPORTRANGE(""1VEbI85GIACBzK7Fr53MA8H90fnc5xOBzkIV_G3O2R84"",""2025-26!T4"")"),1334796.03)</f>
        <v>1334796.03</v>
      </c>
      <c r="AN59" s="55">
        <f>IFERROR(__xludf.DUMMYFUNCTION("IMPORTRANGE(""1VEbI85GIACBzK7Fr53MA8H90fnc5xOBzkIV_G3O2R84"",""2025-26!T3"")"),69.0)</f>
        <v>69</v>
      </c>
      <c r="AO59" s="58">
        <f t="shared" si="21"/>
        <v>0.7940596062</v>
      </c>
      <c r="AP59" s="55">
        <f>IFERROR(__xludf.DUMMYFUNCTION("IMPORTRANGE(""1VEbI85GIACBzK7Fr53MA8H90fnc5xOBzkIV_G3O2R84"",""2025-26!U4"")"),1492038.0)</f>
        <v>1492038</v>
      </c>
      <c r="AQ59" s="55">
        <f>IFERROR(__xludf.DUMMYFUNCTION("IMPORTRANGE(""1VEbI85GIACBzK7Fr53MA8H90fnc5xOBzkIV_G3O2R84"",""2025-26!U3"")"),83.0)</f>
        <v>83</v>
      </c>
      <c r="AR59" s="55">
        <f>IFERROR(__xludf.DUMMYFUNCTION("IMPORTRANGE(""1VEbI85GIACBzK7Fr53MA8H90fnc5xOBzkIV_G3O2R84"",""2025-26!V4"")"),2002000.0)</f>
        <v>2002000</v>
      </c>
      <c r="AS59" s="55">
        <f>IFERROR(__xludf.DUMMYFUNCTION("IMPORTRANGE(""1VEbI85GIACBzK7Fr53MA8H90fnc5xOBzkIV_G3O2R84"",""2025-26!V3"")"),136.0)</f>
        <v>136</v>
      </c>
      <c r="AT59" s="55">
        <f>IFERROR(__xludf.DUMMYFUNCTION("IMPORTRANGE(""1VEbI85GIACBzK7Fr53MA8H90fnc5xOBzkIV_G3O2R84"",""2025-26!W4"")"),1672808.2699999998)</f>
        <v>1672808.27</v>
      </c>
      <c r="AU59" s="55">
        <f>IFERROR(__xludf.DUMMYFUNCTION("IMPORTRANGE(""1VEbI85GIACBzK7Fr53MA8H90fnc5xOBzkIV_G3O2R84"",""2025-26!W3"")"),76.0)</f>
        <v>76</v>
      </c>
      <c r="AV59" s="58">
        <f t="shared" si="22"/>
        <v>0.8361703297</v>
      </c>
      <c r="AW59" s="55">
        <f>IFERROR(__xludf.DUMMYFUNCTION("IMPORTRANGE(""1VEbI85GIACBzK7Fr53MA8H90fnc5xOBzkIV_G3O2R84"",""2025-26!X4"")"),1674013.0)</f>
        <v>1674013</v>
      </c>
      <c r="AX59" s="55">
        <f>IFERROR(__xludf.DUMMYFUNCTION("IMPORTRANGE(""1VEbI85GIACBzK7Fr53MA8H90fnc5xOBzkIV_G3O2R84"",""2025-26!X3"")"),82.0)</f>
        <v>82</v>
      </c>
      <c r="AY59" s="55">
        <f>IFERROR(__xludf.DUMMYFUNCTION("IMPORTRANGE(""1VEbI85GIACBzK7Fr53MA8H90fnc5xOBzkIV_G3O2R84"",""2025-26!Y4"")"),2185009.0)</f>
        <v>2185009</v>
      </c>
      <c r="AZ59" s="55">
        <f>IFERROR(__xludf.DUMMYFUNCTION("IMPORTRANGE(""1VEbI85GIACBzK7Fr53MA8H90fnc5xOBzkIV_G3O2R84"",""2025-26!Y3"")"),141.0)</f>
        <v>141</v>
      </c>
      <c r="BA59" s="55">
        <f>IFERROR(__xludf.DUMMYFUNCTION("IMPORTRANGE(""1VEbI85GIACBzK7Fr53MA8H90fnc5xOBzkIV_G3O2R84"",""2025-26!Z4"")"),1520210.3999999997)</f>
        <v>1520210.4</v>
      </c>
      <c r="BB59" s="55">
        <f>IFERROR(__xludf.DUMMYFUNCTION("IMPORTRANGE(""1VEbI85GIACBzK7Fr53MA8H90fnc5xOBzkIV_G3O2R84"",""2025-26!Z3"")"),73.0)</f>
        <v>73</v>
      </c>
      <c r="BC59" s="59">
        <f t="shared" si="23"/>
        <v>0.7527337416</v>
      </c>
      <c r="BD59" s="55">
        <f>IFERROR(__xludf.DUMMYFUNCTION("IMPORTRANGE(""1VEbI85GIACBzK7Fr53MA8H90fnc5xOBzkIV_G3O2R84"",""2025-26!AA4"")"),1644730.0)</f>
        <v>1644730</v>
      </c>
      <c r="BE59" s="55">
        <f>IFERROR(__xludf.DUMMYFUNCTION("IMPORTRANGE(""1VEbI85GIACBzK7Fr53MA8H90fnc5xOBzkIV_G3O2R84"",""2025-26!AA3"")"),77.0)</f>
        <v>77</v>
      </c>
      <c r="BF59" s="55">
        <f>IFERROR(__xludf.DUMMYFUNCTION("IMPORTRANGE(""1VEbI85GIACBzK7Fr53MA8H90fnc5xOBzkIV_G3O2R84"",""2025-26!AB4"")"),1729000.0)</f>
        <v>1729000</v>
      </c>
      <c r="BG59" s="55">
        <f>IFERROR(__xludf.DUMMYFUNCTION("IMPORTRANGE(""1VEbI85GIACBzK7Fr53MA8H90fnc5xOBzkIV_G3O2R84"",""2025-26!AB3"")"),128.0)</f>
        <v>128</v>
      </c>
      <c r="BH59" s="55">
        <f>IFERROR(__xludf.DUMMYFUNCTION("IMPORTRANGE(""1VEbI85GIACBzK7Fr53MA8H90fnc5xOBzkIV_G3O2R84"",""2025-26!AC4"")"),1940620.86)</f>
        <v>1940620.86</v>
      </c>
      <c r="BI59" s="55">
        <f>IFERROR(__xludf.DUMMYFUNCTION("IMPORTRANGE(""1VEbI85GIACBzK7Fr53MA8H90fnc5xOBzkIV_G3O2R84"",""2025-26!AC3"")"),81.0)</f>
        <v>81</v>
      </c>
      <c r="BJ59" s="59">
        <f t="shared" si="24"/>
        <v>1.157371313</v>
      </c>
      <c r="BK59" s="55">
        <f>IFERROR(__xludf.DUMMYFUNCTION("IMPORTRANGE(""1VEbI85GIACBzK7Fr53MA8H90fnc5xOBzkIV_G3O2R84"",""2025-26!AD4"")"),2001095.0)</f>
        <v>2001095</v>
      </c>
      <c r="BL59" s="55">
        <f>IFERROR(__xludf.DUMMYFUNCTION("IMPORTRANGE(""1VEbI85GIACBzK7Fr53MA8H90fnc5xOBzkIV_G3O2R84"",""2025-26!AD3"")"),94.0)</f>
        <v>94</v>
      </c>
      <c r="BM59" s="55">
        <f>IFERROR(__xludf.DUMMYFUNCTION("IMPORTRANGE(""1VEbI85GIACBzK7Fr53MA8H90fnc5xOBzkIV_G3O2R84"",""2025-26!AE4"")"),1635000.0)</f>
        <v>1635000</v>
      </c>
      <c r="BN59" s="55">
        <f>IFERROR(__xludf.DUMMYFUNCTION("IMPORTRANGE(""1VEbI85GIACBzK7Fr53MA8H90fnc5xOBzkIV_G3O2R84"",""2025-26!AE3"")"),123.0)</f>
        <v>123</v>
      </c>
      <c r="BO59" s="55">
        <f>IFERROR(__xludf.DUMMYFUNCTION("IMPORTRANGE(""1VEbI85GIACBzK7Fr53MA8H90fnc5xOBzkIV_G3O2R84"",""2025-26!AF4"")"),1359109.5600000003)</f>
        <v>1359109.56</v>
      </c>
      <c r="BP59" s="55">
        <f>IFERROR(__xludf.DUMMYFUNCTION("IMPORTRANGE(""1VEbI85GIACBzK7Fr53MA8H90fnc5xOBzkIV_G3O2R84"",""2025-26!AF3"")"),70.0)</f>
        <v>70</v>
      </c>
      <c r="BQ59" s="59">
        <f t="shared" si="25"/>
        <v>0.8813480122</v>
      </c>
      <c r="BR59" s="55">
        <f>IFERROR(__xludf.DUMMYFUNCTION("IMPORTRANGE(""1VEbI85GIACBzK7Fr53MA8H90fnc5xOBzkIV_G3O2R84"",""2025-26!AG4"")"),1441004.0)</f>
        <v>1441004</v>
      </c>
      <c r="BS59" s="55">
        <f>IFERROR(__xludf.DUMMYFUNCTION("IMPORTRANGE(""1VEbI85GIACBzK7Fr53MA8H90fnc5xOBzkIV_G3O2R84"",""2025-26!AG3"")"),78.0)</f>
        <v>78</v>
      </c>
      <c r="BT59" s="55">
        <f>IFERROR(__xludf.DUMMYFUNCTION("IMPORTRANGE(""1VEbI85GIACBzK7Fr53MA8H90fnc5xOBzkIV_G3O2R84"",""2025-26!AH4"")"),1785500.0)</f>
        <v>1785500</v>
      </c>
      <c r="BU59" s="55">
        <f>IFERROR(__xludf.DUMMYFUNCTION("IMPORTRANGE(""1VEbI85GIACBzK7Fr53MA8H90fnc5xOBzkIV_G3O2R84"",""2025-26!AH3"")"),126.0)</f>
        <v>126</v>
      </c>
      <c r="BV59" s="55">
        <f>IFERROR(__xludf.DUMMYFUNCTION("IMPORTRANGE(""1VEbI85GIACBzK7Fr53MA8H90fnc5xOBzkIV_G3O2R84"",""2025-26!AI4"")"),2188764.34)</f>
        <v>2188764.34</v>
      </c>
      <c r="BW59" s="55">
        <f>IFERROR(__xludf.DUMMYFUNCTION("IMPORTRANGE(""1VEbI85GIACBzK7Fr53MA8H90fnc5xOBzkIV_G3O2R84"",""2025-26!AI3"")"),100.0)</f>
        <v>100</v>
      </c>
      <c r="BX59" s="59">
        <f t="shared" si="26"/>
        <v>1.349449454</v>
      </c>
      <c r="BY59" s="55">
        <f>IFERROR(__xludf.DUMMYFUNCTION("IMPORTRANGE(""1VEbI85GIACBzK7Fr53MA8H90fnc5xOBzkIV_G3O2R84"",""2025-26!AJ4"")"),2409442.0)</f>
        <v>2409442</v>
      </c>
      <c r="BZ59" s="55">
        <f>IFERROR(__xludf.DUMMYFUNCTION("IMPORTRANGE(""1VEbI85GIACBzK7Fr53MA8H90fnc5xOBzkIV_G3O2R84"",""2025-26!AJ3"")"),108.0)</f>
        <v>108</v>
      </c>
      <c r="CA59" s="55">
        <f>IFERROR(__xludf.DUMMYFUNCTION("IMPORTRANGE(""1VEbI85GIACBzK7Fr53MA8H90fnc5xOBzkIV_G3O2R84"",""2025-26!AK4"")"),1998000.0)</f>
        <v>1998000</v>
      </c>
      <c r="CB59" s="55">
        <f>IFERROR(__xludf.DUMMYFUNCTION("IMPORTRANGE(""1VEbI85GIACBzK7Fr53MA8H90fnc5xOBzkIV_G3O2R84"",""2025-26!AK3"")"),182.0)</f>
        <v>182</v>
      </c>
      <c r="CC59" s="55">
        <f>IFERROR(__xludf.DUMMYFUNCTION("IMPORTRANGE(""1VEbI85GIACBzK7Fr53MA8H90fnc5xOBzkIV_G3O2R84"",""2025-26!AL4"")"),1924473.5000000007)</f>
        <v>1924473.5</v>
      </c>
      <c r="CD59" s="55">
        <f>IFERROR(__xludf.DUMMYFUNCTION("IMPORTRANGE(""1VEbI85GIACBzK7Fr53MA8H90fnc5xOBzkIV_G3O2R84"",""2025-26!AL3"")"),72.0)</f>
        <v>72</v>
      </c>
      <c r="CE59" s="59">
        <f t="shared" si="27"/>
        <v>0.9058018018</v>
      </c>
      <c r="CF59" s="55">
        <f>IFERROR(__xludf.DUMMYFUNCTION("IMPORTRANGE(""1VEbI85GIACBzK7Fr53MA8H90fnc5xOBzkIV_G3O2R84"",""2025-26!AM4"")"),1809792.0)</f>
        <v>1809792</v>
      </c>
      <c r="CG59" s="55">
        <f>IFERROR(__xludf.DUMMYFUNCTION("IMPORTRANGE(""1VEbI85GIACBzK7Fr53MA8H90fnc5xOBzkIV_G3O2R84"",""2025-26!AM3"")"),86.0)</f>
        <v>86</v>
      </c>
      <c r="CH59" s="55">
        <f>IFERROR(__xludf.DUMMYFUNCTION("IMPORTRANGE(""1VEbI85GIACBzK7Fr53MA8H90fnc5xOBzkIV_G3O2R84"",""2025-26!AN4"")"),1977500.0)</f>
        <v>1977500</v>
      </c>
      <c r="CI59" s="55">
        <f>IFERROR(__xludf.DUMMYFUNCTION("IMPORTRANGE(""1VEbI85GIACBzK7Fr53MA8H90fnc5xOBzkIV_G3O2R84"",""2025-26!AN3"")"),182.0)</f>
        <v>182</v>
      </c>
      <c r="CJ59" s="55">
        <f>IFERROR(__xludf.DUMMYFUNCTION("IMPORTRANGE(""1VEbI85GIACBzK7Fr53MA8H90fnc5xOBzkIV_G3O2R84"",""2025-26!AO4"")"),1866615.6500000004)</f>
        <v>1866615.65</v>
      </c>
      <c r="CK59" s="55">
        <f>IFERROR(__xludf.DUMMYFUNCTION("IMPORTRANGE(""1VEbI85GIACBzK7Fr53MA8H90fnc5xOBzkIV_G3O2R84"",""2025-26!AO3"")"),75.0)</f>
        <v>75</v>
      </c>
      <c r="CL59" s="59">
        <f t="shared" si="28"/>
        <v>0.9860642225</v>
      </c>
      <c r="CM59" s="55">
        <f>IFERROR(__xludf.DUMMYFUNCTION("IMPORTRANGE(""1VEbI85GIACBzK7Fr53MA8H90fnc5xOBzkIV_G3O2R84"",""2025-26!AP4"")"),1949942.0)</f>
        <v>1949942</v>
      </c>
      <c r="CN59" s="55">
        <f>IFERROR(__xludf.DUMMYFUNCTION("IMPORTRANGE(""1VEbI85GIACBzK7Fr53MA8H90fnc5xOBzkIV_G3O2R84"",""2025-26!AP3"")"),83.0)</f>
        <v>83</v>
      </c>
      <c r="CO59" s="55">
        <f>IFERROR(__xludf.DUMMYFUNCTION("IMPORTRANGE(""1VEbI85GIACBzK7Fr53MA8H90fnc5xOBzkIV_G3O2R84"",""2025-26!AQ4"")"),2102000.0)</f>
        <v>2102000</v>
      </c>
      <c r="CP59" s="55">
        <f>IFERROR(__xludf.DUMMYFUNCTION("IMPORTRANGE(""1VEbI85GIACBzK7Fr53MA8H90fnc5xOBzkIV_G3O2R84"",""2025-26!AQ3"")"),183.0)</f>
        <v>183</v>
      </c>
      <c r="CQ59" s="55">
        <f>IFERROR(__xludf.DUMMYFUNCTION("IMPORTRANGE(""1VEbI85GIACBzK7Fr53MA8H90fnc5xOBzkIV_G3O2R84"",""2025-26!AR4"")"),2118212.75)</f>
        <v>2118212.75</v>
      </c>
      <c r="CR59" s="55">
        <f>IFERROR(__xludf.DUMMYFUNCTION("IMPORTRANGE(""1VEbI85GIACBzK7Fr53MA8H90fnc5xOBzkIV_G3O2R84"",""2025-26!AR3"")"),71.0)</f>
        <v>71</v>
      </c>
      <c r="CS59" s="59">
        <f t="shared" si="29"/>
        <v>1.027230257</v>
      </c>
      <c r="CT59" s="55">
        <f>IFERROR(__xludf.DUMMYFUNCTION("IMPORTRANGE(""1VEbI85GIACBzK7Fr53MA8H90fnc5xOBzkIV_G3O2R84"",""2025-26!AS4"")"),2159238.0)</f>
        <v>2159238</v>
      </c>
      <c r="CU59" s="55">
        <f>IFERROR(__xludf.DUMMYFUNCTION("IMPORTRANGE(""1VEbI85GIACBzK7Fr53MA8H90fnc5xOBzkIV_G3O2R84"",""2025-26!AS3"")"),76.0)</f>
        <v>76</v>
      </c>
      <c r="CV59" s="60" t="s">
        <v>130</v>
      </c>
    </row>
    <row r="60">
      <c r="A60" s="1" t="s">
        <v>126</v>
      </c>
      <c r="B60" s="37"/>
      <c r="C60" s="98" t="s">
        <v>152</v>
      </c>
      <c r="D60" s="49" t="s">
        <v>153</v>
      </c>
      <c r="E60" s="50">
        <v>9.795362536E9</v>
      </c>
      <c r="F60" s="74">
        <v>45080.0</v>
      </c>
      <c r="G60" s="62"/>
      <c r="H60" s="62"/>
      <c r="I60" s="53">
        <f>VLOOKUP($C60,Data!$C:$BV,72,0)</f>
        <v>57990</v>
      </c>
      <c r="J60" s="57">
        <f>2100000+400000</f>
        <v>2500000</v>
      </c>
      <c r="K60" s="55">
        <f>IFERROR(__xludf.DUMMYFUNCTION("IMPORTRANGE(""1Aj8bWFTL-YpgmLeRYIHRh9VWv_x0tdoFK37SvSkVoMA"",""2025-26!A3"")"),148.0)</f>
        <v>148</v>
      </c>
      <c r="L60" s="55">
        <f>IFERROR(__xludf.DUMMYFUNCTION("IMPORTRANGE(""1Aj8bWFTL-YpgmLeRYIHRh9VWv_x0tdoFK37SvSkVoMA"",""2025-26!G4"")"),3.13E7)</f>
        <v>31300000</v>
      </c>
      <c r="M60" s="55">
        <f t="shared" si="44"/>
        <v>22380923.71</v>
      </c>
      <c r="N60" s="56">
        <f t="shared" si="45"/>
        <v>0.6306488498</v>
      </c>
      <c r="O60" s="57">
        <f t="shared" si="46"/>
        <v>19739309</v>
      </c>
      <c r="P60" s="55">
        <f>IFERROR(__xludf.DUMMYFUNCTION("IMPORTRANGE(""1Aj8bWFTL-YpgmLeRYIHRh9VWv_x0tdoFK37SvSkVoMA"",""2025-26!J4"")"),2160000.0)</f>
        <v>2160000</v>
      </c>
      <c r="Q60" s="55">
        <f>IFERROR(__xludf.DUMMYFUNCTION("IMPORTRANGE(""1Aj8bWFTL-YpgmLeRYIHRh9VWv_x0tdoFK37SvSkVoMA"",""2025-26!J3"")"),42.0)</f>
        <v>42</v>
      </c>
      <c r="R60" s="55">
        <f>IFERROR(__xludf.DUMMYFUNCTION("IMPORTRANGE(""1Aj8bWFTL-YpgmLeRYIHRh9VWv_x0tdoFK37SvSkVoMA"",""2025-26!K4"")"),1059558.1)</f>
        <v>1059558.1</v>
      </c>
      <c r="S60" s="55">
        <f>IFERROR(__xludf.DUMMYFUNCTION("IMPORTRANGE(""1Aj8bWFTL-YpgmLeRYIHRh9VWv_x0tdoFK37SvSkVoMA"",""2025-26!K3"")"),19.0)</f>
        <v>19</v>
      </c>
      <c r="T60" s="58">
        <f t="shared" si="18"/>
        <v>0.3799893519</v>
      </c>
      <c r="U60" s="55">
        <f>IFERROR(__xludf.DUMMYFUNCTION("IMPORTRANGE(""1Aj8bWFTL-YpgmLeRYIHRh9VWv_x0tdoFK37SvSkVoMA"",""2025-26!L4"")"),820777.0)</f>
        <v>820777</v>
      </c>
      <c r="V60" s="55">
        <f>IFERROR(__xludf.DUMMYFUNCTION("IMPORTRANGE(""1Aj8bWFTL-YpgmLeRYIHRh9VWv_x0tdoFK37SvSkVoMA"",""2025-26!L3"")"),21.0)</f>
        <v>21</v>
      </c>
      <c r="W60" s="55">
        <f>IFERROR(__xludf.DUMMYFUNCTION("IMPORTRANGE(""1Aj8bWFTL-YpgmLeRYIHRh9VWv_x0tdoFK37SvSkVoMA"",""2025-26!m4"")"),2120000.0)</f>
        <v>2120000</v>
      </c>
      <c r="X60" s="55">
        <f>IFERROR(__xludf.DUMMYFUNCTION("IMPORTRANGE(""1Aj8bWFTL-YpgmLeRYIHRh9VWv_x0tdoFK37SvSkVoMA"",""2025-26!m3"")"),39.0)</f>
        <v>39</v>
      </c>
      <c r="Y60" s="55">
        <f>IFERROR(__xludf.DUMMYFUNCTION("IMPORTRANGE(""1Aj8bWFTL-YpgmLeRYIHRh9VWv_x0tdoFK37SvSkVoMA"",""2025-26!N4"")"),1451312.5399999989)</f>
        <v>1451312.54</v>
      </c>
      <c r="Z60" s="55">
        <f>IFERROR(__xludf.DUMMYFUNCTION("IMPORTRANGE(""1Aj8bWFTL-YpgmLeRYIHRh9VWv_x0tdoFK37SvSkVoMA"",""2025-26!N3"")"),19.0)</f>
        <v>19</v>
      </c>
      <c r="AA60" s="58">
        <f t="shared" si="19"/>
        <v>0.4256264151</v>
      </c>
      <c r="AB60" s="55">
        <f>IFERROR(__xludf.DUMMYFUNCTION("IMPORTRANGE(""1Aj8bWFTL-YpgmLeRYIHRh9VWv_x0tdoFK37SvSkVoMA"",""2025-26!O4"")"),902328.0)</f>
        <v>902328</v>
      </c>
      <c r="AC60" s="55">
        <f>IFERROR(__xludf.DUMMYFUNCTION("IMPORTRANGE(""1Aj8bWFTL-YpgmLeRYIHRh9VWv_x0tdoFK37SvSkVoMA"",""2025-26!O3"")"),20.0)</f>
        <v>20</v>
      </c>
      <c r="AD60" s="55">
        <f>IFERROR(__xludf.DUMMYFUNCTION("IMPORTRANGE(""1Aj8bWFTL-YpgmLeRYIHRh9VWv_x0tdoFK37SvSkVoMA"",""2025-26!P4"")"),1880000.0)</f>
        <v>1880000</v>
      </c>
      <c r="AE60" s="55">
        <f>IFERROR(__xludf.DUMMYFUNCTION("IMPORTRANGE(""1Aj8bWFTL-YpgmLeRYIHRh9VWv_x0tdoFK37SvSkVoMA"",""2025-26!P3"")"),28.0)</f>
        <v>28</v>
      </c>
      <c r="AF60" s="55">
        <f>IFERROR(__xludf.DUMMYFUNCTION("IMPORTRANGE(""1Aj8bWFTL-YpgmLeRYIHRh9VWv_x0tdoFK37SvSkVoMA"",""2025-26!Q4"")"),2552359.69)</f>
        <v>2552359.69</v>
      </c>
      <c r="AG60" s="55">
        <f>IFERROR(__xludf.DUMMYFUNCTION("IMPORTRANGE(""1Aj8bWFTL-YpgmLeRYIHRh9VWv_x0tdoFK37SvSkVoMA"",""2025-26!Q3"")"),20.0)</f>
        <v>20</v>
      </c>
      <c r="AH60" s="58">
        <f t="shared" si="20"/>
        <v>1.207176064</v>
      </c>
      <c r="AI60" s="55">
        <f>IFERROR(__xludf.DUMMYFUNCTION("IMPORTRANGE(""1Aj8bWFTL-YpgmLeRYIHRh9VWv_x0tdoFK37SvSkVoMA"",""2025-26!R4"")"),2269491.0)</f>
        <v>2269491</v>
      </c>
      <c r="AJ60" s="55">
        <f>IFERROR(__xludf.DUMMYFUNCTION("IMPORTRANGE(""1Aj8bWFTL-YpgmLeRYIHRh9VWv_x0tdoFK37SvSkVoMA"",""2025-26!R3"")"),22.0)</f>
        <v>22</v>
      </c>
      <c r="AK60" s="55">
        <f>IFERROR(__xludf.DUMMYFUNCTION("IMPORTRANGE(""1Aj8bWFTL-YpgmLeRYIHRh9VWv_x0tdoFK37SvSkVoMA"",""2025-26!S4"")"),2425000.0)</f>
        <v>2425000</v>
      </c>
      <c r="AL60" s="55">
        <f>IFERROR(__xludf.DUMMYFUNCTION("IMPORTRANGE(""1Aj8bWFTL-YpgmLeRYIHRh9VWv_x0tdoFK37SvSkVoMA"",""2025-26!S3"")"),41.0)</f>
        <v>41</v>
      </c>
      <c r="AM60" s="55">
        <f>IFERROR(__xludf.DUMMYFUNCTION("IMPORTRANGE(""1Aj8bWFTL-YpgmLeRYIHRh9VWv_x0tdoFK37SvSkVoMA"",""2025-26!T4"")"),2012299.8499999999)</f>
        <v>2012299.85</v>
      </c>
      <c r="AN60" s="55">
        <f>IFERROR(__xludf.DUMMYFUNCTION("IMPORTRANGE(""1Aj8bWFTL-YpgmLeRYIHRh9VWv_x0tdoFK37SvSkVoMA"",""2025-26!T3"")"),34.0)</f>
        <v>34</v>
      </c>
      <c r="AO60" s="58">
        <f t="shared" si="21"/>
        <v>0.7796441237</v>
      </c>
      <c r="AP60" s="55">
        <f>IFERROR(__xludf.DUMMYFUNCTION("IMPORTRANGE(""1Aj8bWFTL-YpgmLeRYIHRh9VWv_x0tdoFK37SvSkVoMA"",""2025-26!U4"")"),1890637.0)</f>
        <v>1890637</v>
      </c>
      <c r="AQ60" s="55">
        <f>IFERROR(__xludf.DUMMYFUNCTION("IMPORTRANGE(""1Aj8bWFTL-YpgmLeRYIHRh9VWv_x0tdoFK37SvSkVoMA"",""2025-26!U3"")"),36.0)</f>
        <v>36</v>
      </c>
      <c r="AR60" s="55">
        <f>IFERROR(__xludf.DUMMYFUNCTION("IMPORTRANGE(""1Aj8bWFTL-YpgmLeRYIHRh9VWv_x0tdoFK37SvSkVoMA"",""2025-26!V4"")"),2120000.0)</f>
        <v>2120000</v>
      </c>
      <c r="AS60" s="55">
        <f>IFERROR(__xludf.DUMMYFUNCTION("IMPORTRANGE(""1Aj8bWFTL-YpgmLeRYIHRh9VWv_x0tdoFK37SvSkVoMA"",""2025-26!V3"")"),32.0)</f>
        <v>32</v>
      </c>
      <c r="AT60" s="55">
        <f>IFERROR(__xludf.DUMMYFUNCTION("IMPORTRANGE(""1Aj8bWFTL-YpgmLeRYIHRh9VWv_x0tdoFK37SvSkVoMA"",""2025-26!W4"")"),1943931.3399999999)</f>
        <v>1943931.34</v>
      </c>
      <c r="AU60" s="55">
        <f>IFERROR(__xludf.DUMMYFUNCTION("IMPORTRANGE(""1Aj8bWFTL-YpgmLeRYIHRh9VWv_x0tdoFK37SvSkVoMA"",""2025-26!W3"")"),19.0)</f>
        <v>19</v>
      </c>
      <c r="AV60" s="58">
        <f t="shared" si="22"/>
        <v>0.8621773585</v>
      </c>
      <c r="AW60" s="55">
        <f>IFERROR(__xludf.DUMMYFUNCTION("IMPORTRANGE(""1Aj8bWFTL-YpgmLeRYIHRh9VWv_x0tdoFK37SvSkVoMA"",""2025-26!X4"")"),1827816.0)</f>
        <v>1827816</v>
      </c>
      <c r="AX60" s="55">
        <f>IFERROR(__xludf.DUMMYFUNCTION("IMPORTRANGE(""1Aj8bWFTL-YpgmLeRYIHRh9VWv_x0tdoFK37SvSkVoMA"",""2025-26!X3"")"),18.0)</f>
        <v>18</v>
      </c>
      <c r="AY60" s="55">
        <f>IFERROR(__xludf.DUMMYFUNCTION("IMPORTRANGE(""1Aj8bWFTL-YpgmLeRYIHRh9VWv_x0tdoFK37SvSkVoMA"",""2025-26!Y4"")"),2190000.0)</f>
        <v>2190000</v>
      </c>
      <c r="AZ60" s="55">
        <f>IFERROR(__xludf.DUMMYFUNCTION("IMPORTRANGE(""1Aj8bWFTL-YpgmLeRYIHRh9VWv_x0tdoFK37SvSkVoMA"",""2025-26!Y3"")"),35.0)</f>
        <v>35</v>
      </c>
      <c r="BA60" s="55">
        <f>IFERROR(__xludf.DUMMYFUNCTION("IMPORTRANGE(""1Aj8bWFTL-YpgmLeRYIHRh9VWv_x0tdoFK37SvSkVoMA"",""2025-26!Z4"")"),1986312.98)</f>
        <v>1986312.98</v>
      </c>
      <c r="BB60" s="55">
        <f>IFERROR(__xludf.DUMMYFUNCTION("IMPORTRANGE(""1Aj8bWFTL-YpgmLeRYIHRh9VWv_x0tdoFK37SvSkVoMA"",""2025-26!Z3"")"),17.0)</f>
        <v>17</v>
      </c>
      <c r="BC60" s="59">
        <f t="shared" si="23"/>
        <v>0.9035164384</v>
      </c>
      <c r="BD60" s="55">
        <f>IFERROR(__xludf.DUMMYFUNCTION("IMPORTRANGE(""1Aj8bWFTL-YpgmLeRYIHRh9VWv_x0tdoFK37SvSkVoMA"",""2025-26!AA4"")"),1978701.0)</f>
        <v>1978701</v>
      </c>
      <c r="BE60" s="55">
        <f>IFERROR(__xludf.DUMMYFUNCTION("IMPORTRANGE(""1Aj8bWFTL-YpgmLeRYIHRh9VWv_x0tdoFK37SvSkVoMA"",""2025-26!AA3"")"),17.0)</f>
        <v>17</v>
      </c>
      <c r="BF60" s="55">
        <f>IFERROR(__xludf.DUMMYFUNCTION("IMPORTRANGE(""1Aj8bWFTL-YpgmLeRYIHRh9VWv_x0tdoFK37SvSkVoMA"",""2025-26!AB4"")"),2565000.0)</f>
        <v>2565000</v>
      </c>
      <c r="BG60" s="55">
        <f>IFERROR(__xludf.DUMMYFUNCTION("IMPORTRANGE(""1Aj8bWFTL-YpgmLeRYIHRh9VWv_x0tdoFK37SvSkVoMA"",""2025-26!AB3"")"),43.0)</f>
        <v>43</v>
      </c>
      <c r="BH60" s="55">
        <f>IFERROR(__xludf.DUMMYFUNCTION("IMPORTRANGE(""1Aj8bWFTL-YpgmLeRYIHRh9VWv_x0tdoFK37SvSkVoMA"",""2025-26!AC4"")"),1658004.8299999998)</f>
        <v>1658004.83</v>
      </c>
      <c r="BI60" s="55">
        <f>IFERROR(__xludf.DUMMYFUNCTION("IMPORTRANGE(""1Aj8bWFTL-YpgmLeRYIHRh9VWv_x0tdoFK37SvSkVoMA"",""2025-26!AC3"")"),15.0)</f>
        <v>15</v>
      </c>
      <c r="BJ60" s="59">
        <f t="shared" si="24"/>
        <v>0.658211306</v>
      </c>
      <c r="BK60" s="55">
        <f>IFERROR(__xludf.DUMMYFUNCTION("IMPORTRANGE(""1Aj8bWFTL-YpgmLeRYIHRh9VWv_x0tdoFK37SvSkVoMA"",""2025-26!AD4"")"),1688312.0)</f>
        <v>1688312</v>
      </c>
      <c r="BL60" s="55">
        <f>IFERROR(__xludf.DUMMYFUNCTION("IMPORTRANGE(""1Aj8bWFTL-YpgmLeRYIHRh9VWv_x0tdoFK37SvSkVoMA"",""2025-26!AD3"")"),17.0)</f>
        <v>17</v>
      </c>
      <c r="BM60" s="55">
        <f>IFERROR(__xludf.DUMMYFUNCTION("IMPORTRANGE(""1Aj8bWFTL-YpgmLeRYIHRh9VWv_x0tdoFK37SvSkVoMA"",""2025-26!AE4"")"),2535000.0)</f>
        <v>2535000</v>
      </c>
      <c r="BN60" s="55">
        <f>IFERROR(__xludf.DUMMYFUNCTION("IMPORTRANGE(""1Aj8bWFTL-YpgmLeRYIHRh9VWv_x0tdoFK37SvSkVoMA"",""2025-26!AE3"")"),48.0)</f>
        <v>48</v>
      </c>
      <c r="BO60" s="55">
        <f>IFERROR(__xludf.DUMMYFUNCTION("IMPORTRANGE(""1Aj8bWFTL-YpgmLeRYIHRh9VWv_x0tdoFK37SvSkVoMA"",""2025-26!AF4"")"),1055836.87)</f>
        <v>1055836.87</v>
      </c>
      <c r="BP60" s="55">
        <f>IFERROR(__xludf.DUMMYFUNCTION("IMPORTRANGE(""1Aj8bWFTL-YpgmLeRYIHRh9VWv_x0tdoFK37SvSkVoMA"",""2025-26!AF3"")"),17.0)</f>
        <v>17</v>
      </c>
      <c r="BQ60" s="59">
        <f t="shared" si="25"/>
        <v>0.409365286</v>
      </c>
      <c r="BR60" s="55">
        <f>IFERROR(__xludf.DUMMYFUNCTION("IMPORTRANGE(""1Aj8bWFTL-YpgmLeRYIHRh9VWv_x0tdoFK37SvSkVoMA"",""2025-26!AG4"")"),1037741.0)</f>
        <v>1037741</v>
      </c>
      <c r="BS60" s="55">
        <f>IFERROR(__xludf.DUMMYFUNCTION("IMPORTRANGE(""1Aj8bWFTL-YpgmLeRYIHRh9VWv_x0tdoFK37SvSkVoMA"",""2025-26!AG3"")"),17.0)</f>
        <v>17</v>
      </c>
      <c r="BT60" s="55">
        <f>IFERROR(__xludf.DUMMYFUNCTION("IMPORTRANGE(""1Aj8bWFTL-YpgmLeRYIHRh9VWv_x0tdoFK37SvSkVoMA"",""2025-26!AH4"")"),2520000.0)</f>
        <v>2520000</v>
      </c>
      <c r="BU60" s="55">
        <f>IFERROR(__xludf.DUMMYFUNCTION("IMPORTRANGE(""1Aj8bWFTL-YpgmLeRYIHRh9VWv_x0tdoFK37SvSkVoMA"",""2025-26!AH3"")"),46.0)</f>
        <v>46</v>
      </c>
      <c r="BV60" s="55">
        <f>IFERROR(__xludf.DUMMYFUNCTION("IMPORTRANGE(""1Aj8bWFTL-YpgmLeRYIHRh9VWv_x0tdoFK37SvSkVoMA"",""2025-26!AI4"")"),2026621.92)</f>
        <v>2026621.92</v>
      </c>
      <c r="BW60" s="55">
        <f>IFERROR(__xludf.DUMMYFUNCTION("IMPORTRANGE(""1Aj8bWFTL-YpgmLeRYIHRh9VWv_x0tdoFK37SvSkVoMA"",""2025-26!AI3"")"),20.0)</f>
        <v>20</v>
      </c>
      <c r="BX60" s="59">
        <f t="shared" si="26"/>
        <v>0.8664261905</v>
      </c>
      <c r="BY60" s="55">
        <f>IFERROR(__xludf.DUMMYFUNCTION("IMPORTRANGE(""1Aj8bWFTL-YpgmLeRYIHRh9VWv_x0tdoFK37SvSkVoMA"",""2025-26!AJ4"")"),2183394.0)</f>
        <v>2183394</v>
      </c>
      <c r="BZ60" s="55">
        <f>IFERROR(__xludf.DUMMYFUNCTION("IMPORTRANGE(""1Aj8bWFTL-YpgmLeRYIHRh9VWv_x0tdoFK37SvSkVoMA"",""2025-26!AJ3"")"),19.0)</f>
        <v>19</v>
      </c>
      <c r="CA60" s="55">
        <f>IFERROR(__xludf.DUMMYFUNCTION("IMPORTRANGE(""1Aj8bWFTL-YpgmLeRYIHRh9VWv_x0tdoFK37SvSkVoMA"",""2025-26!AK4"")"),2590000.0)</f>
        <v>2590000</v>
      </c>
      <c r="CB60" s="55">
        <f>IFERROR(__xludf.DUMMYFUNCTION("IMPORTRANGE(""1Aj8bWFTL-YpgmLeRYIHRh9VWv_x0tdoFK37SvSkVoMA"",""2025-26!AK3"")"),37.0)</f>
        <v>37</v>
      </c>
      <c r="CC60" s="55">
        <f>IFERROR(__xludf.DUMMYFUNCTION("IMPORTRANGE(""1Aj8bWFTL-YpgmLeRYIHRh9VWv_x0tdoFK37SvSkVoMA"",""2025-26!AL4"")"),2009166.02)</f>
        <v>2009166.02</v>
      </c>
      <c r="CD60" s="55">
        <f>IFERROR(__xludf.DUMMYFUNCTION("IMPORTRANGE(""1Aj8bWFTL-YpgmLeRYIHRh9VWv_x0tdoFK37SvSkVoMA"",""2025-26!AL3"")"),22.0)</f>
        <v>22</v>
      </c>
      <c r="CE60" s="59">
        <f t="shared" si="27"/>
        <v>0.5231629344</v>
      </c>
      <c r="CF60" s="55">
        <f>IFERROR(__xludf.DUMMYFUNCTION("IMPORTRANGE(""1Aj8bWFTL-YpgmLeRYIHRh9VWv_x0tdoFK37SvSkVoMA"",""2025-26!AM4"")"),1354992.0)</f>
        <v>1354992</v>
      </c>
      <c r="CG60" s="55">
        <f>IFERROR(__xludf.DUMMYFUNCTION("IMPORTRANGE(""1Aj8bWFTL-YpgmLeRYIHRh9VWv_x0tdoFK37SvSkVoMA"",""2025-26!AM3"")"),20.0)</f>
        <v>20</v>
      </c>
      <c r="CH60" s="55">
        <f>IFERROR(__xludf.DUMMYFUNCTION("IMPORTRANGE(""1Aj8bWFTL-YpgmLeRYIHRh9VWv_x0tdoFK37SvSkVoMA"",""2025-26!AN4"")"),2565000.0)</f>
        <v>2565000</v>
      </c>
      <c r="CI60" s="55">
        <f>IFERROR(__xludf.DUMMYFUNCTION("IMPORTRANGE(""1Aj8bWFTL-YpgmLeRYIHRh9VWv_x0tdoFK37SvSkVoMA"",""2025-26!AN3"")"),42.0)</f>
        <v>42</v>
      </c>
      <c r="CJ60" s="55">
        <f>IFERROR(__xludf.DUMMYFUNCTION("IMPORTRANGE(""1Aj8bWFTL-YpgmLeRYIHRh9VWv_x0tdoFK37SvSkVoMA"",""2025-26!AO4"")"),1870229.42)</f>
        <v>1870229.42</v>
      </c>
      <c r="CK60" s="55">
        <f>IFERROR(__xludf.DUMMYFUNCTION("IMPORTRANGE(""1Aj8bWFTL-YpgmLeRYIHRh9VWv_x0tdoFK37SvSkVoMA"",""2025-26!AO3"")"),21.0)</f>
        <v>21</v>
      </c>
      <c r="CL60" s="59">
        <f t="shared" si="28"/>
        <v>0.648279922</v>
      </c>
      <c r="CM60" s="55">
        <f>IFERROR(__xludf.DUMMYFUNCTION("IMPORTRANGE(""1Aj8bWFTL-YpgmLeRYIHRh9VWv_x0tdoFK37SvSkVoMA"",""2025-26!AP4"")"),1662838.0)</f>
        <v>1662838</v>
      </c>
      <c r="CN60" s="55">
        <f>IFERROR(__xludf.DUMMYFUNCTION("IMPORTRANGE(""1Aj8bWFTL-YpgmLeRYIHRh9VWv_x0tdoFK37SvSkVoMA"",""2025-26!AP3"")"),24.0)</f>
        <v>24</v>
      </c>
      <c r="CO60" s="55">
        <f>IFERROR(__xludf.DUMMYFUNCTION("IMPORTRANGE(""1Aj8bWFTL-YpgmLeRYIHRh9VWv_x0tdoFK37SvSkVoMA"",""2025-26!AQ4"")"),2810000.0)</f>
        <v>2810000</v>
      </c>
      <c r="CP60" s="55">
        <f>IFERROR(__xludf.DUMMYFUNCTION("IMPORTRANGE(""1Aj8bWFTL-YpgmLeRYIHRh9VWv_x0tdoFK37SvSkVoMA"",""2025-26!AQ3"")"),38.0)</f>
        <v>38</v>
      </c>
      <c r="CQ60" s="55">
        <f>IFERROR(__xludf.DUMMYFUNCTION("IMPORTRANGE(""1Aj8bWFTL-YpgmLeRYIHRh9VWv_x0tdoFK37SvSkVoMA"",""2025-26!AR4"")"),2755290.1500000004)</f>
        <v>2755290.15</v>
      </c>
      <c r="CR60" s="55">
        <f>IFERROR(__xludf.DUMMYFUNCTION("IMPORTRANGE(""1Aj8bWFTL-YpgmLeRYIHRh9VWv_x0tdoFK37SvSkVoMA"",""2025-26!AR3"")"),21.0)</f>
        <v>21</v>
      </c>
      <c r="CS60" s="59">
        <f t="shared" si="29"/>
        <v>0.7552604982</v>
      </c>
      <c r="CT60" s="55">
        <f>IFERROR(__xludf.DUMMYFUNCTION("IMPORTRANGE(""1Aj8bWFTL-YpgmLeRYIHRh9VWv_x0tdoFK37SvSkVoMA"",""2025-26!AS4"")"),2122282.0)</f>
        <v>2122282</v>
      </c>
      <c r="CU60" s="55">
        <f>IFERROR(__xludf.DUMMYFUNCTION("IMPORTRANGE(""1Aj8bWFTL-YpgmLeRYIHRh9VWv_x0tdoFK37SvSkVoMA"",""2025-26!AS3"")"),21.0)</f>
        <v>21</v>
      </c>
      <c r="CV60" s="60" t="s">
        <v>130</v>
      </c>
    </row>
    <row r="61">
      <c r="A61" s="1" t="s">
        <v>126</v>
      </c>
      <c r="B61" s="37"/>
      <c r="C61" s="98" t="s">
        <v>154</v>
      </c>
      <c r="D61" s="49" t="s">
        <v>155</v>
      </c>
      <c r="E61" s="50">
        <v>7.068809048E9</v>
      </c>
      <c r="F61" s="74">
        <v>45121.0</v>
      </c>
      <c r="G61" s="62"/>
      <c r="H61" s="62"/>
      <c r="I61" s="53">
        <f>VLOOKUP($C61,Data!$C:$BV,72,0)</f>
        <v>27784</v>
      </c>
      <c r="J61" s="57">
        <v>2208333.0</v>
      </c>
      <c r="K61" s="55">
        <f>IFERROR(__xludf.DUMMYFUNCTION("IMPORTRANGE(""1Rxe7z3t_XfrfvmDl_1EhXw1OSPwOK642EiaRHONm2Oc"",""2025-26!A3"")"),75.0)</f>
        <v>75</v>
      </c>
      <c r="L61" s="55">
        <f>IFERROR(__xludf.DUMMYFUNCTION("IMPORTRANGE(""1Rxe7z3t_XfrfvmDl_1EhXw1OSPwOK642EiaRHONm2Oc"",""2025-26!G4"")"),2.615E7)</f>
        <v>26150000</v>
      </c>
      <c r="M61" s="55">
        <f t="shared" si="44"/>
        <v>27448809.92</v>
      </c>
      <c r="N61" s="56">
        <f t="shared" si="45"/>
        <v>0.9529483365</v>
      </c>
      <c r="O61" s="57">
        <f t="shared" si="46"/>
        <v>24919599</v>
      </c>
      <c r="P61" s="55">
        <f>IFERROR(__xludf.DUMMYFUNCTION("IMPORTRANGE(""1Rxe7z3t_XfrfvmDl_1EhXw1OSPwOK642EiaRHONm2Oc"",""2025-26!J4"")"),2180000.0)</f>
        <v>2180000</v>
      </c>
      <c r="Q61" s="55">
        <f>IFERROR(__xludf.DUMMYFUNCTION("IMPORTRANGE(""1Rxe7z3t_XfrfvmDl_1EhXw1OSPwOK642EiaRHONm2Oc"",""2025-26!J3"")"),11.0)</f>
        <v>11</v>
      </c>
      <c r="R61" s="55">
        <f>IFERROR(__xludf.DUMMYFUNCTION("IMPORTRANGE(""1Rxe7z3t_XfrfvmDl_1EhXw1OSPwOK642EiaRHONm2Oc"",""2025-26!K4"")"),1754268.5)</f>
        <v>1754268.5</v>
      </c>
      <c r="S61" s="55">
        <f>IFERROR(__xludf.DUMMYFUNCTION("IMPORTRANGE(""1Rxe7z3t_XfrfvmDl_1EhXw1OSPwOK642EiaRHONm2Oc"",""2025-26!K3"")"),10.0)</f>
        <v>10</v>
      </c>
      <c r="T61" s="58">
        <f t="shared" si="18"/>
        <v>0.8301119266</v>
      </c>
      <c r="U61" s="55">
        <f>IFERROR(__xludf.DUMMYFUNCTION("IMPORTRANGE(""1Rxe7z3t_XfrfvmDl_1EhXw1OSPwOK642EiaRHONm2Oc"",""2025-26!L4"")"),1809644.0)</f>
        <v>1809644</v>
      </c>
      <c r="V61" s="55">
        <f>IFERROR(__xludf.DUMMYFUNCTION("IMPORTRANGE(""1Rxe7z3t_XfrfvmDl_1EhXw1OSPwOK642EiaRHONm2Oc"",""2025-26!L3"")"),10.0)</f>
        <v>10</v>
      </c>
      <c r="W61" s="55">
        <f>IFERROR(__xludf.DUMMYFUNCTION("IMPORTRANGE(""1Rxe7z3t_XfrfvmDl_1EhXw1OSPwOK642EiaRHONm2Oc"",""2025-26!m4"")"),2390000.0)</f>
        <v>2390000</v>
      </c>
      <c r="X61" s="55">
        <f>IFERROR(__xludf.DUMMYFUNCTION("IMPORTRANGE(""1Rxe7z3t_XfrfvmDl_1EhXw1OSPwOK642EiaRHONm2Oc"",""2025-26!m3"")"),18.0)</f>
        <v>18</v>
      </c>
      <c r="Y61" s="55">
        <f>IFERROR(__xludf.DUMMYFUNCTION("IMPORTRANGE(""1Rxe7z3t_XfrfvmDl_1EhXw1OSPwOK642EiaRHONm2Oc"",""2025-26!N4"")"),2443593.1000000006)</f>
        <v>2443593.1</v>
      </c>
      <c r="Z61" s="55">
        <f>IFERROR(__xludf.DUMMYFUNCTION("IMPORTRANGE(""1Rxe7z3t_XfrfvmDl_1EhXw1OSPwOK642EiaRHONm2Oc"",""2025-26!N3"")"),20.0)</f>
        <v>20</v>
      </c>
      <c r="AA61" s="58">
        <f t="shared" si="19"/>
        <v>0.9968736402</v>
      </c>
      <c r="AB61" s="55">
        <f>IFERROR(__xludf.DUMMYFUNCTION("IMPORTRANGE(""1Rxe7z3t_XfrfvmDl_1EhXw1OSPwOK642EiaRHONm2Oc"",""2025-26!O4"")"),2382528.0)</f>
        <v>2382528</v>
      </c>
      <c r="AC61" s="55">
        <f>IFERROR(__xludf.DUMMYFUNCTION("IMPORTRANGE(""1Rxe7z3t_XfrfvmDl_1EhXw1OSPwOK642EiaRHONm2Oc"",""2025-26!O3"")"),20.0)</f>
        <v>20</v>
      </c>
      <c r="AD61" s="55">
        <f>IFERROR(__xludf.DUMMYFUNCTION("IMPORTRANGE(""1Rxe7z3t_XfrfvmDl_1EhXw1OSPwOK642EiaRHONm2Oc"",""2025-26!P4"")"),2460000.0)</f>
        <v>2460000</v>
      </c>
      <c r="AE61" s="55">
        <f>IFERROR(__xludf.DUMMYFUNCTION("IMPORTRANGE(""1Rxe7z3t_XfrfvmDl_1EhXw1OSPwOK642EiaRHONm2Oc"",""2025-26!P3"")"),22.0)</f>
        <v>22</v>
      </c>
      <c r="AF61" s="55">
        <f>IFERROR(__xludf.DUMMYFUNCTION("IMPORTRANGE(""1Rxe7z3t_XfrfvmDl_1EhXw1OSPwOK642EiaRHONm2Oc"",""2025-26!Q4"")"),2265179.8)</f>
        <v>2265179.8</v>
      </c>
      <c r="AG61" s="55">
        <f>IFERROR(__xludf.DUMMYFUNCTION("IMPORTRANGE(""1Rxe7z3t_XfrfvmDl_1EhXw1OSPwOK642EiaRHONm2Oc"",""2025-26!Q3"")"),11.0)</f>
        <v>11</v>
      </c>
      <c r="AH61" s="58">
        <f t="shared" si="20"/>
        <v>0.9023390244</v>
      </c>
      <c r="AI61" s="55">
        <f>IFERROR(__xludf.DUMMYFUNCTION("IMPORTRANGE(""1Rxe7z3t_XfrfvmDl_1EhXw1OSPwOK642EiaRHONm2Oc"",""2025-26!R4"")"),2219754.0)</f>
        <v>2219754</v>
      </c>
      <c r="AJ61" s="55">
        <f>IFERROR(__xludf.DUMMYFUNCTION("IMPORTRANGE(""1Rxe7z3t_XfrfvmDl_1EhXw1OSPwOK642EiaRHONm2Oc"",""2025-26!R3"")"),11.0)</f>
        <v>11</v>
      </c>
      <c r="AK61" s="55">
        <f>IFERROR(__xludf.DUMMYFUNCTION("IMPORTRANGE(""1Rxe7z3t_XfrfvmDl_1EhXw1OSPwOK642EiaRHONm2Oc"",""2025-26!S4"")"),2210000.0)</f>
        <v>2210000</v>
      </c>
      <c r="AL61" s="55">
        <f>IFERROR(__xludf.DUMMYFUNCTION("IMPORTRANGE(""1Rxe7z3t_XfrfvmDl_1EhXw1OSPwOK642EiaRHONm2Oc"",""2025-26!S3"")"),13.0)</f>
        <v>13</v>
      </c>
      <c r="AM61" s="55">
        <f>IFERROR(__xludf.DUMMYFUNCTION("IMPORTRANGE(""1Rxe7z3t_XfrfvmDl_1EhXw1OSPwOK642EiaRHONm2Oc"",""2025-26!T4"")"),2214153.42)</f>
        <v>2214153.42</v>
      </c>
      <c r="AN61" s="55">
        <f>IFERROR(__xludf.DUMMYFUNCTION("IMPORTRANGE(""1Rxe7z3t_XfrfvmDl_1EhXw1OSPwOK642EiaRHONm2Oc"",""2025-26!T3"")"),10.0)</f>
        <v>10</v>
      </c>
      <c r="AO61" s="58">
        <f t="shared" si="21"/>
        <v>0.9917402715</v>
      </c>
      <c r="AP61" s="55">
        <f>IFERROR(__xludf.DUMMYFUNCTION("IMPORTRANGE(""1Rxe7z3t_XfrfvmDl_1EhXw1OSPwOK642EiaRHONm2Oc"",""2025-26!U4"")"),2191746.0)</f>
        <v>2191746</v>
      </c>
      <c r="AQ61" s="55">
        <f>IFERROR(__xludf.DUMMYFUNCTION("IMPORTRANGE(""1Rxe7z3t_XfrfvmDl_1EhXw1OSPwOK642EiaRHONm2Oc"",""2025-26!U3"")"),10.0)</f>
        <v>10</v>
      </c>
      <c r="AR61" s="55">
        <f>IFERROR(__xludf.DUMMYFUNCTION("IMPORTRANGE(""1Rxe7z3t_XfrfvmDl_1EhXw1OSPwOK642EiaRHONm2Oc"",""2025-26!V4"")"),2400000.0)</f>
        <v>2400000</v>
      </c>
      <c r="AS61" s="55">
        <f>IFERROR(__xludf.DUMMYFUNCTION("IMPORTRANGE(""1Rxe7z3t_XfrfvmDl_1EhXw1OSPwOK642EiaRHONm2Oc"",""2025-26!V3"")"),31.0)</f>
        <v>31</v>
      </c>
      <c r="AT61" s="55">
        <f>IFERROR(__xludf.DUMMYFUNCTION("IMPORTRANGE(""1Rxe7z3t_XfrfvmDl_1EhXw1OSPwOK642EiaRHONm2Oc"",""2025-26!W4"")"),2441945.8699999996)</f>
        <v>2441945.87</v>
      </c>
      <c r="AU61" s="55">
        <f>IFERROR(__xludf.DUMMYFUNCTION("IMPORTRANGE(""1Rxe7z3t_XfrfvmDl_1EhXw1OSPwOK642EiaRHONm2Oc"",""2025-26!W3"")"),25.0)</f>
        <v>25</v>
      </c>
      <c r="AV61" s="58">
        <f t="shared" si="22"/>
        <v>0.9932475</v>
      </c>
      <c r="AW61" s="55">
        <f>IFERROR(__xludf.DUMMYFUNCTION("IMPORTRANGE(""1Rxe7z3t_XfrfvmDl_1EhXw1OSPwOK642EiaRHONm2Oc"",""2025-26!X4"")"),2383794.0)</f>
        <v>2383794</v>
      </c>
      <c r="AX61" s="55">
        <f>IFERROR(__xludf.DUMMYFUNCTION("IMPORTRANGE(""1Rxe7z3t_XfrfvmDl_1EhXw1OSPwOK642EiaRHONm2Oc"",""2025-26!X3"")"),24.0)</f>
        <v>24</v>
      </c>
      <c r="AY61" s="55">
        <f>IFERROR(__xludf.DUMMYFUNCTION("IMPORTRANGE(""1Rxe7z3t_XfrfvmDl_1EhXw1OSPwOK642EiaRHONm2Oc"",""2025-26!Y4"")"),2240000.0)</f>
        <v>2240000</v>
      </c>
      <c r="AZ61" s="55">
        <f>IFERROR(__xludf.DUMMYFUNCTION("IMPORTRANGE(""1Rxe7z3t_XfrfvmDl_1EhXw1OSPwOK642EiaRHONm2Oc"",""2025-26!Y3"")"),26.0)</f>
        <v>26</v>
      </c>
      <c r="BA61" s="55">
        <f>IFERROR(__xludf.DUMMYFUNCTION("IMPORTRANGE(""1Rxe7z3t_XfrfvmDl_1EhXw1OSPwOK642EiaRHONm2Oc"",""2025-26!Z4"")"),2412210.2800000007)</f>
        <v>2412210.28</v>
      </c>
      <c r="BB61" s="55">
        <f>IFERROR(__xludf.DUMMYFUNCTION("IMPORTRANGE(""1Rxe7z3t_XfrfvmDl_1EhXw1OSPwOK642EiaRHONm2Oc"",""2025-26!Z3"")"),21.0)</f>
        <v>21</v>
      </c>
      <c r="BC61" s="59">
        <f t="shared" si="23"/>
        <v>1.066971875</v>
      </c>
      <c r="BD61" s="55">
        <f>IFERROR(__xludf.DUMMYFUNCTION("IMPORTRANGE(""1Rxe7z3t_XfrfvmDl_1EhXw1OSPwOK642EiaRHONm2Oc"",""2025-26!AA4"")"),2390017.0)</f>
        <v>2390017</v>
      </c>
      <c r="BE61" s="55">
        <f>IFERROR(__xludf.DUMMYFUNCTION("IMPORTRANGE(""1Rxe7z3t_XfrfvmDl_1EhXw1OSPwOK642EiaRHONm2Oc"",""2025-26!AA3"")"),21.0)</f>
        <v>21</v>
      </c>
      <c r="BF61" s="55">
        <f>IFERROR(__xludf.DUMMYFUNCTION("IMPORTRANGE(""1Rxe7z3t_XfrfvmDl_1EhXw1OSPwOK642EiaRHONm2Oc"",""2025-26!AB4"")"),2210000.0)</f>
        <v>2210000</v>
      </c>
      <c r="BG61" s="55">
        <f>IFERROR(__xludf.DUMMYFUNCTION("IMPORTRANGE(""1Rxe7z3t_XfrfvmDl_1EhXw1OSPwOK642EiaRHONm2Oc"",""2025-26!AB3"")"),19.0)</f>
        <v>19</v>
      </c>
      <c r="BH61" s="55">
        <f>IFERROR(__xludf.DUMMYFUNCTION("IMPORTRANGE(""1Rxe7z3t_XfrfvmDl_1EhXw1OSPwOK642EiaRHONm2Oc"",""2025-26!AC4"")"),2316481.5999999996)</f>
        <v>2316481.6</v>
      </c>
      <c r="BI61" s="55">
        <f>IFERROR(__xludf.DUMMYFUNCTION("IMPORTRANGE(""1Rxe7z3t_XfrfvmDl_1EhXw1OSPwOK642EiaRHONm2Oc"",""2025-26!AC3"")"),21.0)</f>
        <v>21</v>
      </c>
      <c r="BJ61" s="59">
        <f t="shared" si="24"/>
        <v>1.001995928</v>
      </c>
      <c r="BK61" s="55">
        <f>IFERROR(__xludf.DUMMYFUNCTION("IMPORTRANGE(""1Rxe7z3t_XfrfvmDl_1EhXw1OSPwOK642EiaRHONm2Oc"",""2025-26!AD4"")"),2214411.0)</f>
        <v>2214411</v>
      </c>
      <c r="BL61" s="55">
        <f>IFERROR(__xludf.DUMMYFUNCTION("IMPORTRANGE(""1Rxe7z3t_XfrfvmDl_1EhXw1OSPwOK642EiaRHONm2Oc"",""2025-26!AD3"")"),20.0)</f>
        <v>20</v>
      </c>
      <c r="BM61" s="55">
        <f>IFERROR(__xludf.DUMMYFUNCTION("IMPORTRANGE(""1Rxe7z3t_XfrfvmDl_1EhXw1OSPwOK642EiaRHONm2Oc"",""2025-26!AE4"")"),2230000.0)</f>
        <v>2230000</v>
      </c>
      <c r="BN61" s="55">
        <f>IFERROR(__xludf.DUMMYFUNCTION("IMPORTRANGE(""1Rxe7z3t_XfrfvmDl_1EhXw1OSPwOK642EiaRHONm2Oc"",""2025-26!AE3"")"),25.0)</f>
        <v>25</v>
      </c>
      <c r="BO61" s="55">
        <f>IFERROR(__xludf.DUMMYFUNCTION("IMPORTRANGE(""1Rxe7z3t_XfrfvmDl_1EhXw1OSPwOK642EiaRHONm2Oc"",""2025-26!AF4"")"),2245171.79)</f>
        <v>2245171.79</v>
      </c>
      <c r="BP61" s="55">
        <f>IFERROR(__xludf.DUMMYFUNCTION("IMPORTRANGE(""1Rxe7z3t_XfrfvmDl_1EhXw1OSPwOK642EiaRHONm2Oc"",""2025-26!AF3"")"),20.0)</f>
        <v>20</v>
      </c>
      <c r="BQ61" s="59">
        <f t="shared" si="25"/>
        <v>0.9979623318</v>
      </c>
      <c r="BR61" s="55">
        <f>IFERROR(__xludf.DUMMYFUNCTION("IMPORTRANGE(""1Rxe7z3t_XfrfvmDl_1EhXw1OSPwOK642EiaRHONm2Oc"",""2025-26!AG4"")"),2225456.0)</f>
        <v>2225456</v>
      </c>
      <c r="BS61" s="55">
        <f>IFERROR(__xludf.DUMMYFUNCTION("IMPORTRANGE(""1Rxe7z3t_XfrfvmDl_1EhXw1OSPwOK642EiaRHONm2Oc"",""2025-26!AG3"")"),20.0)</f>
        <v>20</v>
      </c>
      <c r="BT61" s="55">
        <f>IFERROR(__xludf.DUMMYFUNCTION("IMPORTRANGE(""1Rxe7z3t_XfrfvmDl_1EhXw1OSPwOK642EiaRHONm2Oc"",""2025-26!AH4"")"),2250000.0)</f>
        <v>2250000</v>
      </c>
      <c r="BU61" s="55">
        <f>IFERROR(__xludf.DUMMYFUNCTION("IMPORTRANGE(""1Rxe7z3t_XfrfvmDl_1EhXw1OSPwOK642EiaRHONm2Oc"",""2025-26!AH3"")"),24.0)</f>
        <v>24</v>
      </c>
      <c r="BV61" s="55">
        <f>IFERROR(__xludf.DUMMYFUNCTION("IMPORTRANGE(""1Rxe7z3t_XfrfvmDl_1EhXw1OSPwOK642EiaRHONm2Oc"",""2025-26!AI4"")"),2134820.0)</f>
        <v>2134820</v>
      </c>
      <c r="BW61" s="55">
        <f>IFERROR(__xludf.DUMMYFUNCTION("IMPORTRANGE(""1Rxe7z3t_XfrfvmDl_1EhXw1OSPwOK642EiaRHONm2Oc"",""2025-26!AI3"")"),21.0)</f>
        <v>21</v>
      </c>
      <c r="BX61" s="59">
        <f t="shared" si="26"/>
        <v>0.938156</v>
      </c>
      <c r="BY61" s="55">
        <f>IFERROR(__xludf.DUMMYFUNCTION("IMPORTRANGE(""1Rxe7z3t_XfrfvmDl_1EhXw1OSPwOK642EiaRHONm2Oc"",""2025-26!AJ4"")"),2110851.0)</f>
        <v>2110851</v>
      </c>
      <c r="BZ61" s="55">
        <f>IFERROR(__xludf.DUMMYFUNCTION("IMPORTRANGE(""1Rxe7z3t_XfrfvmDl_1EhXw1OSPwOK642EiaRHONm2Oc"",""2025-26!AJ3"")"),21.0)</f>
        <v>21</v>
      </c>
      <c r="CA61" s="55">
        <f>IFERROR(__xludf.DUMMYFUNCTION("IMPORTRANGE(""1Rxe7z3t_XfrfvmDl_1EhXw1OSPwOK642EiaRHONm2Oc"",""2025-26!AK4"")"),2315000.0)</f>
        <v>2315000</v>
      </c>
      <c r="CB61" s="55">
        <f>IFERROR(__xludf.DUMMYFUNCTION("IMPORTRANGE(""1Rxe7z3t_XfrfvmDl_1EhXw1OSPwOK642EiaRHONm2Oc"",""2025-26!AK3"")"),11.0)</f>
        <v>11</v>
      </c>
      <c r="CC61" s="55">
        <f>IFERROR(__xludf.DUMMYFUNCTION("IMPORTRANGE(""1Rxe7z3t_XfrfvmDl_1EhXw1OSPwOK642EiaRHONm2Oc"",""2025-26!AL4"")"),2333879.7600000002)</f>
        <v>2333879.76</v>
      </c>
      <c r="CD61" s="55">
        <f>IFERROR(__xludf.DUMMYFUNCTION("IMPORTRANGE(""1Rxe7z3t_XfrfvmDl_1EhXw1OSPwOK642EiaRHONm2Oc"",""2025-26!AL3"")"),12.0)</f>
        <v>12</v>
      </c>
      <c r="CE61" s="59">
        <f t="shared" si="27"/>
        <v>0.9903222462</v>
      </c>
      <c r="CF61" s="55">
        <f>IFERROR(__xludf.DUMMYFUNCTION("IMPORTRANGE(""1Rxe7z3t_XfrfvmDl_1EhXw1OSPwOK642EiaRHONm2Oc"",""2025-26!AM4"")"),2292596.0)</f>
        <v>2292596</v>
      </c>
      <c r="CG61" s="55">
        <f>IFERROR(__xludf.DUMMYFUNCTION("IMPORTRANGE(""1Rxe7z3t_XfrfvmDl_1EhXw1OSPwOK642EiaRHONm2Oc"",""2025-26!AM3"")"),12.0)</f>
        <v>12</v>
      </c>
      <c r="CH61" s="55">
        <f>IFERROR(__xludf.DUMMYFUNCTION("IMPORTRANGE(""1Rxe7z3t_XfrfvmDl_1EhXw1OSPwOK642EiaRHONm2Oc"",""2025-26!AN4"")"),2245000.0)</f>
        <v>2245000</v>
      </c>
      <c r="CI61" s="55">
        <f>IFERROR(__xludf.DUMMYFUNCTION("IMPORTRANGE(""1Rxe7z3t_XfrfvmDl_1EhXw1OSPwOK642EiaRHONm2Oc"",""2025-26!AN3"")"),18.0)</f>
        <v>18</v>
      </c>
      <c r="CJ61" s="55">
        <f>IFERROR(__xludf.DUMMYFUNCTION("IMPORTRANGE(""1Rxe7z3t_XfrfvmDl_1EhXw1OSPwOK642EiaRHONm2Oc"",""2025-26!AO4"")"),2363090.63)</f>
        <v>2363090.63</v>
      </c>
      <c r="CK61" s="55">
        <f>IFERROR(__xludf.DUMMYFUNCTION("IMPORTRANGE(""1Rxe7z3t_XfrfvmDl_1EhXw1OSPwOK642EiaRHONm2Oc"",""2025-26!AO3"")"),15.0)</f>
        <v>15</v>
      </c>
      <c r="CL61" s="59">
        <f t="shared" si="28"/>
        <v>0.9913024499</v>
      </c>
      <c r="CM61" s="55">
        <f>IFERROR(__xludf.DUMMYFUNCTION("IMPORTRANGE(""1Rxe7z3t_XfrfvmDl_1EhXw1OSPwOK642EiaRHONm2Oc"",""2025-26!AP4"")"),2225474.0)</f>
        <v>2225474</v>
      </c>
      <c r="CN61" s="55">
        <f>IFERROR(__xludf.DUMMYFUNCTION("IMPORTRANGE(""1Rxe7z3t_XfrfvmDl_1EhXw1OSPwOK642EiaRHONm2Oc"",""2025-26!AP3"")"),16.0)</f>
        <v>16</v>
      </c>
      <c r="CO61" s="55">
        <f>IFERROR(__xludf.DUMMYFUNCTION("IMPORTRANGE(""1Rxe7z3t_XfrfvmDl_1EhXw1OSPwOK642EiaRHONm2Oc"",""2025-26!AQ4"")"),835000.0)</f>
        <v>835000</v>
      </c>
      <c r="CP61" s="55">
        <f>IFERROR(__xludf.DUMMYFUNCTION("IMPORTRANGE(""1Rxe7z3t_XfrfvmDl_1EhXw1OSPwOK642EiaRHONm2Oc"",""2025-26!AQ3"")"),9.0)</f>
        <v>9</v>
      </c>
      <c r="CQ61" s="55">
        <f>IFERROR(__xludf.DUMMYFUNCTION("IMPORTRANGE(""1Rxe7z3t_XfrfvmDl_1EhXw1OSPwOK642EiaRHONm2Oc"",""2025-26!AR4"")"),2524015.17)</f>
        <v>2524015.17</v>
      </c>
      <c r="CR61" s="55">
        <f>IFERROR(__xludf.DUMMYFUNCTION("IMPORTRANGE(""1Rxe7z3t_XfrfvmDl_1EhXw1OSPwOK642EiaRHONm2Oc"",""2025-26!AR3"")"),19.0)</f>
        <v>19</v>
      </c>
      <c r="CS61" s="59">
        <f t="shared" si="29"/>
        <v>0.5668598802</v>
      </c>
      <c r="CT61" s="55">
        <f>IFERROR(__xludf.DUMMYFUNCTION("IMPORTRANGE(""1Rxe7z3t_XfrfvmDl_1EhXw1OSPwOK642EiaRHONm2Oc"",""2025-26!AS4"")"),473328.0)</f>
        <v>473328</v>
      </c>
      <c r="CU61" s="55">
        <f>IFERROR(__xludf.DUMMYFUNCTION("IMPORTRANGE(""1Rxe7z3t_XfrfvmDl_1EhXw1OSPwOK642EiaRHONm2Oc"",""2025-26!AS3"")"),6.0)</f>
        <v>6</v>
      </c>
      <c r="CV61" s="60" t="s">
        <v>130</v>
      </c>
    </row>
    <row r="62">
      <c r="A62" s="1" t="s">
        <v>126</v>
      </c>
      <c r="B62" s="37"/>
      <c r="C62" s="98" t="s">
        <v>156</v>
      </c>
      <c r="D62" s="49" t="s">
        <v>157</v>
      </c>
      <c r="E62" s="50">
        <v>9.506977281E9</v>
      </c>
      <c r="F62" s="74">
        <v>45122.0</v>
      </c>
      <c r="G62" s="62"/>
      <c r="H62" s="62"/>
      <c r="I62" s="53">
        <f>VLOOKUP($C62,Data!$C:$BV,72,0)</f>
        <v>24182</v>
      </c>
      <c r="J62" s="57">
        <v>1791667.0</v>
      </c>
      <c r="K62" s="55">
        <f>IFERROR(__xludf.DUMMYFUNCTION("IMPORTRANGE(""14M5jXuQsrQnNmVEk4qaGhkFZmAEG0r9kxepMstmBo44"",""2025-26!A3"")"),62.0)</f>
        <v>62</v>
      </c>
      <c r="L62" s="55">
        <f>IFERROR(__xludf.DUMMYFUNCTION("IMPORTRANGE(""14M5jXuQsrQnNmVEk4qaGhkFZmAEG0r9kxepMstmBo44"",""2025-26!G4"")"),2.265E7)</f>
        <v>22650000</v>
      </c>
      <c r="M62" s="55">
        <f t="shared" si="44"/>
        <v>12834541.46</v>
      </c>
      <c r="N62" s="56">
        <f t="shared" si="45"/>
        <v>0.5582299779</v>
      </c>
      <c r="O62" s="57">
        <f t="shared" si="46"/>
        <v>12643909</v>
      </c>
      <c r="P62" s="55">
        <f>IFERROR(__xludf.DUMMYFUNCTION("IMPORTRANGE(""14M5jXuQsrQnNmVEk4qaGhkFZmAEG0r9kxepMstmBo44"",""2025-26!J4"")"),1620500.0)</f>
        <v>1620500</v>
      </c>
      <c r="Q62" s="55">
        <f>IFERROR(__xludf.DUMMYFUNCTION("IMPORTRANGE(""14M5jXuQsrQnNmVEk4qaGhkFZmAEG0r9kxepMstmBo44"",""2025-26!J3"")"),48.0)</f>
        <v>48</v>
      </c>
      <c r="R62" s="55">
        <f>IFERROR(__xludf.DUMMYFUNCTION("IMPORTRANGE(""14M5jXuQsrQnNmVEk4qaGhkFZmAEG0r9kxepMstmBo44"",""2025-26!K4"")"),1006264.5)</f>
        <v>1006264.5</v>
      </c>
      <c r="S62" s="55">
        <f>IFERROR(__xludf.DUMMYFUNCTION("IMPORTRANGE(""14M5jXuQsrQnNmVEk4qaGhkFZmAEG0r9kxepMstmBo44"",""2025-26!K3"")"),17.0)</f>
        <v>17</v>
      </c>
      <c r="T62" s="58">
        <f t="shared" si="18"/>
        <v>0.6196359148</v>
      </c>
      <c r="U62" s="55">
        <f>IFERROR(__xludf.DUMMYFUNCTION("IMPORTRANGE(""14M5jXuQsrQnNmVEk4qaGhkFZmAEG0r9kxepMstmBo44"",""2025-26!L4"")"),1004120.0)</f>
        <v>1004120</v>
      </c>
      <c r="V62" s="55">
        <f>IFERROR(__xludf.DUMMYFUNCTION("IMPORTRANGE(""14M5jXuQsrQnNmVEk4qaGhkFZmAEG0r9kxepMstmBo44"",""2025-26!L3"")"),17.0)</f>
        <v>17</v>
      </c>
      <c r="W62" s="55">
        <f>IFERROR(__xludf.DUMMYFUNCTION("IMPORTRANGE(""14M5jXuQsrQnNmVEk4qaGhkFZmAEG0r9kxepMstmBo44"",""2025-26!m4"")"),1865000.0)</f>
        <v>1865000</v>
      </c>
      <c r="X62" s="55">
        <f>IFERROR(__xludf.DUMMYFUNCTION("IMPORTRANGE(""14M5jXuQsrQnNmVEk4qaGhkFZmAEG0r9kxepMstmBo44"",""2025-26!m3"")"),48.0)</f>
        <v>48</v>
      </c>
      <c r="Y62" s="55">
        <f>IFERROR(__xludf.DUMMYFUNCTION("IMPORTRANGE(""14M5jXuQsrQnNmVEk4qaGhkFZmAEG0r9kxepMstmBo44"",""2025-26!N4"")"),1015448.9999999999)</f>
        <v>1015449</v>
      </c>
      <c r="Z62" s="55">
        <f>IFERROR(__xludf.DUMMYFUNCTION("IMPORTRANGE(""14M5jXuQsrQnNmVEk4qaGhkFZmAEG0r9kxepMstmBo44"",""2025-26!N3"")"),19.0)</f>
        <v>19</v>
      </c>
      <c r="AA62" s="58">
        <f t="shared" si="19"/>
        <v>0.544630563</v>
      </c>
      <c r="AB62" s="55">
        <f>IFERROR(__xludf.DUMMYFUNCTION("IMPORTRANGE(""14M5jXuQsrQnNmVEk4qaGhkFZmAEG0r9kxepMstmBo44"",""2025-26!O4"")"),1015736.0)</f>
        <v>1015736</v>
      </c>
      <c r="AC62" s="55">
        <f>IFERROR(__xludf.DUMMYFUNCTION("IMPORTRANGE(""14M5jXuQsrQnNmVEk4qaGhkFZmAEG0r9kxepMstmBo44"",""2025-26!O3"")"),19.0)</f>
        <v>19</v>
      </c>
      <c r="AD62" s="55">
        <f>IFERROR(__xludf.DUMMYFUNCTION("IMPORTRANGE(""14M5jXuQsrQnNmVEk4qaGhkFZmAEG0r9kxepMstmBo44"",""2025-26!P4"")"),1889500.0)</f>
        <v>1889500</v>
      </c>
      <c r="AE62" s="55">
        <f>IFERROR(__xludf.DUMMYFUNCTION("IMPORTRANGE(""14M5jXuQsrQnNmVEk4qaGhkFZmAEG0r9kxepMstmBo44"",""2025-26!P3"")"),48.0)</f>
        <v>48</v>
      </c>
      <c r="AF62" s="55">
        <f>IFERROR(__xludf.DUMMYFUNCTION("IMPORTRANGE(""14M5jXuQsrQnNmVEk4qaGhkFZmAEG0r9kxepMstmBo44"",""2025-26!Q4"")"),1050593.4899999998)</f>
        <v>1050593.49</v>
      </c>
      <c r="AG62" s="55">
        <f>IFERROR(__xludf.DUMMYFUNCTION("IMPORTRANGE(""14M5jXuQsrQnNmVEk4qaGhkFZmAEG0r9kxepMstmBo44"",""2025-26!Q3"")"),23.0)</f>
        <v>23</v>
      </c>
      <c r="AH62" s="58">
        <f t="shared" si="20"/>
        <v>0.5562937285</v>
      </c>
      <c r="AI62" s="55">
        <f>IFERROR(__xludf.DUMMYFUNCTION("IMPORTRANGE(""14M5jXuQsrQnNmVEk4qaGhkFZmAEG0r9kxepMstmBo44"",""2025-26!R4"")"),1051117.0)</f>
        <v>1051117</v>
      </c>
      <c r="AJ62" s="55">
        <f>IFERROR(__xludf.DUMMYFUNCTION("IMPORTRANGE(""14M5jXuQsrQnNmVEk4qaGhkFZmAEG0r9kxepMstmBo44"",""2025-26!R3"")"),22.0)</f>
        <v>22</v>
      </c>
      <c r="AK62" s="55">
        <f>IFERROR(__xludf.DUMMYFUNCTION("IMPORTRANGE(""14M5jXuQsrQnNmVEk4qaGhkFZmAEG0r9kxepMstmBo44"",""2025-26!S4"")"),1780600.0)</f>
        <v>1780600</v>
      </c>
      <c r="AL62" s="55">
        <f>IFERROR(__xludf.DUMMYFUNCTION("IMPORTRANGE(""14M5jXuQsrQnNmVEk4qaGhkFZmAEG0r9kxepMstmBo44"",""2025-26!S3"")"),48.0)</f>
        <v>48</v>
      </c>
      <c r="AM62" s="55">
        <f>IFERROR(__xludf.DUMMYFUNCTION("IMPORTRANGE(""14M5jXuQsrQnNmVEk4qaGhkFZmAEG0r9kxepMstmBo44"",""2025-26!T4"")"),1032737.5900000001)</f>
        <v>1032737.59</v>
      </c>
      <c r="AN62" s="55">
        <f>IFERROR(__xludf.DUMMYFUNCTION("IMPORTRANGE(""14M5jXuQsrQnNmVEk4qaGhkFZmAEG0r9kxepMstmBo44"",""2025-26!T3"")"),20.0)</f>
        <v>20</v>
      </c>
      <c r="AO62" s="58">
        <f t="shared" si="21"/>
        <v>0.5506065371</v>
      </c>
      <c r="AP62" s="55">
        <f>IFERROR(__xludf.DUMMYFUNCTION("IMPORTRANGE(""14M5jXuQsrQnNmVEk4qaGhkFZmAEG0r9kxepMstmBo44"",""2025-26!U4"")"),980410.0)</f>
        <v>980410</v>
      </c>
      <c r="AQ62" s="55">
        <f>IFERROR(__xludf.DUMMYFUNCTION("IMPORTRANGE(""14M5jXuQsrQnNmVEk4qaGhkFZmAEG0r9kxepMstmBo44"",""2025-26!U3"")"),19.0)</f>
        <v>19</v>
      </c>
      <c r="AR62" s="55">
        <f>IFERROR(__xludf.DUMMYFUNCTION("IMPORTRANGE(""14M5jXuQsrQnNmVEk4qaGhkFZmAEG0r9kxepMstmBo44"",""2025-26!V4"")"),1825800.0)</f>
        <v>1825800</v>
      </c>
      <c r="AS62" s="55">
        <f>IFERROR(__xludf.DUMMYFUNCTION("IMPORTRANGE(""14M5jXuQsrQnNmVEk4qaGhkFZmAEG0r9kxepMstmBo44"",""2025-26!V3"")"),55.0)</f>
        <v>55</v>
      </c>
      <c r="AT62" s="55">
        <f>IFERROR(__xludf.DUMMYFUNCTION("IMPORTRANGE(""14M5jXuQsrQnNmVEk4qaGhkFZmAEG0r9kxepMstmBo44"",""2025-26!W4"")"),1016117.5)</f>
        <v>1016117.5</v>
      </c>
      <c r="AU62" s="55">
        <f>IFERROR(__xludf.DUMMYFUNCTION("IMPORTRANGE(""14M5jXuQsrQnNmVEk4qaGhkFZmAEG0r9kxepMstmBo44"",""2025-26!W3"")"),18.0)</f>
        <v>18</v>
      </c>
      <c r="AV62" s="58">
        <f t="shared" si="22"/>
        <v>0.5457103735</v>
      </c>
      <c r="AW62" s="55">
        <f>IFERROR(__xludf.DUMMYFUNCTION("IMPORTRANGE(""14M5jXuQsrQnNmVEk4qaGhkFZmAEG0r9kxepMstmBo44"",""2025-26!X4"")"),996358.0)</f>
        <v>996358</v>
      </c>
      <c r="AX62" s="55">
        <f>IFERROR(__xludf.DUMMYFUNCTION("IMPORTRANGE(""14M5jXuQsrQnNmVEk4qaGhkFZmAEG0r9kxepMstmBo44"",""2025-26!X3"")"),19.0)</f>
        <v>19</v>
      </c>
      <c r="AY62" s="55">
        <f>IFERROR(__xludf.DUMMYFUNCTION("IMPORTRANGE(""14M5jXuQsrQnNmVEk4qaGhkFZmAEG0r9kxepMstmBo44"",""2025-26!Y4"")"),1820300.0)</f>
        <v>1820300</v>
      </c>
      <c r="AZ62" s="55">
        <f>IFERROR(__xludf.DUMMYFUNCTION("IMPORTRANGE(""14M5jXuQsrQnNmVEk4qaGhkFZmAEG0r9kxepMstmBo44"",""2025-26!Y3"")"),55.0)</f>
        <v>55</v>
      </c>
      <c r="BA62" s="55">
        <f>IFERROR(__xludf.DUMMYFUNCTION("IMPORTRANGE(""14M5jXuQsrQnNmVEk4qaGhkFZmAEG0r9kxepMstmBo44"",""2025-26!Z4"")"),1003556.1299999999)</f>
        <v>1003556.13</v>
      </c>
      <c r="BB62" s="55">
        <f>IFERROR(__xludf.DUMMYFUNCTION("IMPORTRANGE(""14M5jXuQsrQnNmVEk4qaGhkFZmAEG0r9kxepMstmBo44"",""2025-26!Z3"")"),22.0)</f>
        <v>22</v>
      </c>
      <c r="BC62" s="59">
        <f t="shared" si="23"/>
        <v>0.5268208537</v>
      </c>
      <c r="BD62" s="55">
        <f>IFERROR(__xludf.DUMMYFUNCTION("IMPORTRANGE(""14M5jXuQsrQnNmVEk4qaGhkFZmAEG0r9kxepMstmBo44"",""2025-26!AA4"")"),958972.0)</f>
        <v>958972</v>
      </c>
      <c r="BE62" s="55">
        <f>IFERROR(__xludf.DUMMYFUNCTION("IMPORTRANGE(""14M5jXuQsrQnNmVEk4qaGhkFZmAEG0r9kxepMstmBo44"",""2025-26!AA3"")"),21.0)</f>
        <v>21</v>
      </c>
      <c r="BF62" s="55">
        <f>IFERROR(__xludf.DUMMYFUNCTION("IMPORTRANGE(""14M5jXuQsrQnNmVEk4qaGhkFZmAEG0r9kxepMstmBo44"",""2025-26!AB4"")"),1805500.0)</f>
        <v>1805500</v>
      </c>
      <c r="BG62" s="55">
        <f>IFERROR(__xludf.DUMMYFUNCTION("IMPORTRANGE(""14M5jXuQsrQnNmVEk4qaGhkFZmAEG0r9kxepMstmBo44"",""2025-26!AB3"")"),55.0)</f>
        <v>55</v>
      </c>
      <c r="BH62" s="55">
        <f>IFERROR(__xludf.DUMMYFUNCTION("IMPORTRANGE(""14M5jXuQsrQnNmVEk4qaGhkFZmAEG0r9kxepMstmBo44"",""2025-26!AC4"")"),1074543.31)</f>
        <v>1074543.31</v>
      </c>
      <c r="BI62" s="55">
        <f>IFERROR(__xludf.DUMMYFUNCTION("IMPORTRANGE(""14M5jXuQsrQnNmVEk4qaGhkFZmAEG0r9kxepMstmBo44"",""2025-26!AC3"")"),22.0)</f>
        <v>22</v>
      </c>
      <c r="BJ62" s="59">
        <f t="shared" si="24"/>
        <v>0.5921484353</v>
      </c>
      <c r="BK62" s="55">
        <f>IFERROR(__xludf.DUMMYFUNCTION("IMPORTRANGE(""14M5jXuQsrQnNmVEk4qaGhkFZmAEG0r9kxepMstmBo44"",""2025-26!AD4"")"),1069124.0)</f>
        <v>1069124</v>
      </c>
      <c r="BL62" s="55">
        <f>IFERROR(__xludf.DUMMYFUNCTION("IMPORTRANGE(""14M5jXuQsrQnNmVEk4qaGhkFZmAEG0r9kxepMstmBo44"",""2025-26!AD3"")"),22.0)</f>
        <v>22</v>
      </c>
      <c r="BM62" s="55">
        <f>IFERROR(__xludf.DUMMYFUNCTION("IMPORTRANGE(""14M5jXuQsrQnNmVEk4qaGhkFZmAEG0r9kxepMstmBo44"",""2025-26!AE4"")"),1858500.0)</f>
        <v>1858500</v>
      </c>
      <c r="BN62" s="55">
        <f>IFERROR(__xludf.DUMMYFUNCTION("IMPORTRANGE(""14M5jXuQsrQnNmVEk4qaGhkFZmAEG0r9kxepMstmBo44"",""2025-26!AE3"")"),57.0)</f>
        <v>57</v>
      </c>
      <c r="BO62" s="55">
        <f>IFERROR(__xludf.DUMMYFUNCTION("IMPORTRANGE(""14M5jXuQsrQnNmVEk4qaGhkFZmAEG0r9kxepMstmBo44"",""2025-26!AF4"")"),966109.5000000001)</f>
        <v>966109.5</v>
      </c>
      <c r="BP62" s="55">
        <f>IFERROR(__xludf.DUMMYFUNCTION("IMPORTRANGE(""14M5jXuQsrQnNmVEk4qaGhkFZmAEG0r9kxepMstmBo44"",""2025-26!AF3"")"),19.0)</f>
        <v>19</v>
      </c>
      <c r="BQ62" s="59">
        <f t="shared" si="25"/>
        <v>0.5176820016</v>
      </c>
      <c r="BR62" s="55">
        <f>IFERROR(__xludf.DUMMYFUNCTION("IMPORTRANGE(""14M5jXuQsrQnNmVEk4qaGhkFZmAEG0r9kxepMstmBo44"",""2025-26!AG4"")"),962112.0)</f>
        <v>962112</v>
      </c>
      <c r="BS62" s="55">
        <f>IFERROR(__xludf.DUMMYFUNCTION("IMPORTRANGE(""14M5jXuQsrQnNmVEk4qaGhkFZmAEG0r9kxepMstmBo44"",""2025-26!AG3"")"),19.0)</f>
        <v>19</v>
      </c>
      <c r="BT62" s="55">
        <f>IFERROR(__xludf.DUMMYFUNCTION("IMPORTRANGE(""14M5jXuQsrQnNmVEk4qaGhkFZmAEG0r9kxepMstmBo44"",""2025-26!AH4"")"),1829500.0)</f>
        <v>1829500</v>
      </c>
      <c r="BU62" s="55">
        <f>IFERROR(__xludf.DUMMYFUNCTION("IMPORTRANGE(""14M5jXuQsrQnNmVEk4qaGhkFZmAEG0r9kxepMstmBo44"",""2025-26!AH3"")"),57.0)</f>
        <v>57</v>
      </c>
      <c r="BV62" s="55">
        <f>IFERROR(__xludf.DUMMYFUNCTION("IMPORTRANGE(""14M5jXuQsrQnNmVEk4qaGhkFZmAEG0r9kxepMstmBo44"",""2025-26!AI4"")"),1018984.1599999999)</f>
        <v>1018984.16</v>
      </c>
      <c r="BW62" s="55">
        <f>IFERROR(__xludf.DUMMYFUNCTION("IMPORTRANGE(""14M5jXuQsrQnNmVEk4qaGhkFZmAEG0r9kxepMstmBo44"",""2025-26!AI3"")"),23.0)</f>
        <v>23</v>
      </c>
      <c r="BX62" s="59">
        <f t="shared" si="26"/>
        <v>0.5866406122</v>
      </c>
      <c r="BY62" s="55">
        <f>IFERROR(__xludf.DUMMYFUNCTION("IMPORTRANGE(""14M5jXuQsrQnNmVEk4qaGhkFZmAEG0r9kxepMstmBo44"",""2025-26!AJ4"")"),1073259.0)</f>
        <v>1073259</v>
      </c>
      <c r="BZ62" s="55">
        <f>IFERROR(__xludf.DUMMYFUNCTION("IMPORTRANGE(""14M5jXuQsrQnNmVEk4qaGhkFZmAEG0r9kxepMstmBo44"",""2025-26!AJ3"")"),24.0)</f>
        <v>24</v>
      </c>
      <c r="CA62" s="55">
        <f>IFERROR(__xludf.DUMMYFUNCTION("IMPORTRANGE(""14M5jXuQsrQnNmVEk4qaGhkFZmAEG0r9kxepMstmBo44"",""2025-26!AK4"")"),1802000.0)</f>
        <v>1802000</v>
      </c>
      <c r="CB62" s="55">
        <f>IFERROR(__xludf.DUMMYFUNCTION("IMPORTRANGE(""14M5jXuQsrQnNmVEk4qaGhkFZmAEG0r9kxepMstmBo44"",""2025-26!AK3"")"),57.0)</f>
        <v>57</v>
      </c>
      <c r="CC62" s="55">
        <f>IFERROR(__xludf.DUMMYFUNCTION("IMPORTRANGE(""14M5jXuQsrQnNmVEk4qaGhkFZmAEG0r9kxepMstmBo44"",""2025-26!AL4"")"),1034134.3000000002)</f>
        <v>1034134.3</v>
      </c>
      <c r="CD62" s="55">
        <f>IFERROR(__xludf.DUMMYFUNCTION("IMPORTRANGE(""14M5jXuQsrQnNmVEk4qaGhkFZmAEG0r9kxepMstmBo44"",""2025-26!AL3"")"),23.0)</f>
        <v>23</v>
      </c>
      <c r="CE62" s="59">
        <f t="shared" si="27"/>
        <v>0.5307441731</v>
      </c>
      <c r="CF62" s="55">
        <f>IFERROR(__xludf.DUMMYFUNCTION("IMPORTRANGE(""14M5jXuQsrQnNmVEk4qaGhkFZmAEG0r9kxepMstmBo44"",""2025-26!AM4"")"),956401.0)</f>
        <v>956401</v>
      </c>
      <c r="CG62" s="55">
        <f>IFERROR(__xludf.DUMMYFUNCTION("IMPORTRANGE(""14M5jXuQsrQnNmVEk4qaGhkFZmAEG0r9kxepMstmBo44"",""2025-26!AM3"")"),20.0)</f>
        <v>20</v>
      </c>
      <c r="CH62" s="55">
        <f>IFERROR(__xludf.DUMMYFUNCTION("IMPORTRANGE(""14M5jXuQsrQnNmVEk4qaGhkFZmAEG0r9kxepMstmBo44"",""2025-26!AN4"")"),1808500.0)</f>
        <v>1808500</v>
      </c>
      <c r="CI62" s="55">
        <f>IFERROR(__xludf.DUMMYFUNCTION("IMPORTRANGE(""14M5jXuQsrQnNmVEk4qaGhkFZmAEG0r9kxepMstmBo44"",""2025-26!AN3"")"),57.0)</f>
        <v>57</v>
      </c>
      <c r="CJ62" s="55">
        <f>IFERROR(__xludf.DUMMYFUNCTION("IMPORTRANGE(""14M5jXuQsrQnNmVEk4qaGhkFZmAEG0r9kxepMstmBo44"",""2025-26!AO4"")"),1084780.31)</f>
        <v>1084780.31</v>
      </c>
      <c r="CK62" s="55">
        <f>IFERROR(__xludf.DUMMYFUNCTION("IMPORTRANGE(""14M5jXuQsrQnNmVEk4qaGhkFZmAEG0r9kxepMstmBo44"",""2025-26!AO3"")"),16.0)</f>
        <v>16</v>
      </c>
      <c r="CL62" s="59">
        <f t="shared" si="28"/>
        <v>0.5779513409</v>
      </c>
      <c r="CM62" s="55">
        <f>IFERROR(__xludf.DUMMYFUNCTION("IMPORTRANGE(""14M5jXuQsrQnNmVEk4qaGhkFZmAEG0r9kxepMstmBo44"",""2025-26!AP4"")"),1045225.0)</f>
        <v>1045225</v>
      </c>
      <c r="CN62" s="55">
        <f>IFERROR(__xludf.DUMMYFUNCTION("IMPORTRANGE(""14M5jXuQsrQnNmVEk4qaGhkFZmAEG0r9kxepMstmBo44"",""2025-26!AP3"")"),16.0)</f>
        <v>16</v>
      </c>
      <c r="CO62" s="55">
        <f>IFERROR(__xludf.DUMMYFUNCTION("IMPORTRANGE(""14M5jXuQsrQnNmVEk4qaGhkFZmAEG0r9kxepMstmBo44"",""2025-26!AQ4"")"),1808000.0)</f>
        <v>1808000</v>
      </c>
      <c r="CP62" s="55">
        <f>IFERROR(__xludf.DUMMYFUNCTION("IMPORTRANGE(""14M5jXuQsrQnNmVEk4qaGhkFZmAEG0r9kxepMstmBo44"",""2025-26!AQ3"")"),57.0)</f>
        <v>57</v>
      </c>
      <c r="CQ62" s="55">
        <f>IFERROR(__xludf.DUMMYFUNCTION("IMPORTRANGE(""14M5jXuQsrQnNmVEk4qaGhkFZmAEG0r9kxepMstmBo44"",""2025-26!AR4"")"),1531271.6699999997)</f>
        <v>1531271.67</v>
      </c>
      <c r="CR62" s="55">
        <f>IFERROR(__xludf.DUMMYFUNCTION("IMPORTRANGE(""14M5jXuQsrQnNmVEk4qaGhkFZmAEG0r9kxepMstmBo44"",""2025-26!AR3"")"),27.0)</f>
        <v>27</v>
      </c>
      <c r="CS62" s="59">
        <f t="shared" si="29"/>
        <v>0.8468335177</v>
      </c>
      <c r="CT62" s="55">
        <f>IFERROR(__xludf.DUMMYFUNCTION("IMPORTRANGE(""14M5jXuQsrQnNmVEk4qaGhkFZmAEG0r9kxepMstmBo44"",""2025-26!AS4"")"),1531075.0)</f>
        <v>1531075</v>
      </c>
      <c r="CU62" s="55">
        <f>IFERROR(__xludf.DUMMYFUNCTION("IMPORTRANGE(""14M5jXuQsrQnNmVEk4qaGhkFZmAEG0r9kxepMstmBo44"",""2025-26!AS3"")"),27.0)</f>
        <v>27</v>
      </c>
      <c r="CV62" s="60" t="s">
        <v>130</v>
      </c>
    </row>
    <row r="63">
      <c r="A63" s="1" t="s">
        <v>126</v>
      </c>
      <c r="B63" s="37"/>
      <c r="C63" s="90" t="s">
        <v>158</v>
      </c>
      <c r="D63" s="50" t="s">
        <v>159</v>
      </c>
      <c r="E63" s="50">
        <v>8.087808089E9</v>
      </c>
      <c r="F63" s="74">
        <v>45124.0</v>
      </c>
      <c r="G63" s="62"/>
      <c r="H63" s="62"/>
      <c r="I63" s="53">
        <v>26500.0</v>
      </c>
      <c r="J63" s="54">
        <v>1650000.0</v>
      </c>
      <c r="K63" s="57">
        <f>IFERROR(__xludf.DUMMYFUNCTION("IMPORTRANGE(""https://docs.google.com/spreadsheets/d/1KQTVmJDcGi8nV3_t1mE9kcnETLPWhuSu5rpSaRf3Hf4/edit#gid=997576875"",""2025-26!A3"")"),43.0)</f>
        <v>43</v>
      </c>
      <c r="L63" s="57">
        <f>IFERROR(__xludf.DUMMYFUNCTION("IMPORTRANGE(""https://docs.google.com/spreadsheets/d/1KQTVmJDcGi8nV3_t1mE9kcnETLPWhuSu5rpSaRf3Hf4/edit#gid=997576875"",""2025-26!G4"")"),1.0650435E7)</f>
        <v>10650435</v>
      </c>
      <c r="M63" s="57">
        <f>SUM(R63+Y63+AF63+AM63+AT63+BA63+BH63+BO63+BV63+CC63+CJ63+CQ63)</f>
        <v>9911745.63</v>
      </c>
      <c r="N63" s="56">
        <f>iferror(O63/L63,"")</f>
        <v>0.9397312326</v>
      </c>
      <c r="O63" s="57">
        <f>SUM(U63,AB63,AI63,AP63,AW63,BD63,BK63,BR63,BY63,CF63,CM63,CT63)</f>
        <v>10008546.41</v>
      </c>
      <c r="P63" s="55">
        <f>IFERROR(__xludf.DUMMYFUNCTION("IMPORTRANGE(""https://docs.google.com/spreadsheets/d/1KQTVmJDcGi8nV3_t1mE9kcnETLPWhuSu5rpSaRf3Hf4/edit#gid=997576875"",""2025-26!J4"")"),710434.0)</f>
        <v>710434</v>
      </c>
      <c r="Q63" s="55">
        <f>IFERROR(__xludf.DUMMYFUNCTION("IMPORTRANGE(""https://docs.google.com/spreadsheets/d/1KQTVmJDcGi8nV3_t1mE9kcnETLPWhuSu5rpSaRf3Hf4/edit#gid=997576875"",""2025-26!J3"")"),21.0)</f>
        <v>21</v>
      </c>
      <c r="R63" s="55">
        <f>IFERROR(__xludf.DUMMYFUNCTION("IMPORTRANGE(""https://docs.google.com/spreadsheets/d/1KQTVmJDcGi8nV3_t1mE9kcnETLPWhuSu5rpSaRf3Hf4/edit#gid=997576875"",""2025-26!K4"")"),779416.32)</f>
        <v>779416.32</v>
      </c>
      <c r="S63" s="55">
        <f>IFERROR(__xludf.DUMMYFUNCTION("IMPORTRANGE(""https://docs.google.com/spreadsheets/d/1KQTVmJDcGi8nV3_t1mE9kcnETLPWhuSu5rpSaRf3Hf4/edit#gid=997576875"",""2025-26!K3"")"),16.0)</f>
        <v>16</v>
      </c>
      <c r="T63" s="58">
        <f t="shared" si="18"/>
        <v>0.4940923436</v>
      </c>
      <c r="U63" s="55">
        <f>IFERROR(__xludf.DUMMYFUNCTION("IMPORTRANGE(""https://docs.google.com/spreadsheets/d/1KQTVmJDcGi8nV3_t1mE9kcnETLPWhuSu5rpSaRf3Hf4/edit#gid=997576875"",""2025-26!L4"")"),351020.0)</f>
        <v>351020</v>
      </c>
      <c r="V63" s="79">
        <f>IFERROR(__xludf.DUMMYFUNCTION("IMPORTRANGE(""https://docs.google.com/spreadsheets/d/1KQTVmJDcGi8nV3_t1mE9kcnETLPWhuSu5rpSaRf3Hf4/edit#gid=997576875"",""2025-26!L3"")"),14.0)</f>
        <v>14</v>
      </c>
      <c r="W63" s="55">
        <f>IFERROR(__xludf.DUMMYFUNCTION("IMPORTRANGE(""https://docs.google.com/spreadsheets/d/1KQTVmJDcGi8nV3_t1mE9kcnETLPWhuSu5rpSaRf3Hf4/edit#gid=997576875"",""2025-26!M4"")"),767884.0)</f>
        <v>767884</v>
      </c>
      <c r="X63" s="79">
        <f>IFERROR(__xludf.DUMMYFUNCTION("IMPORTRANGE(""https://docs.google.com/spreadsheets/d/1KQTVmJDcGi8nV3_t1mE9kcnETLPWhuSu5rpSaRf3Hf4/edit#gid=997576875"",""2025-26!M3"")"),21.0)</f>
        <v>21</v>
      </c>
      <c r="Y63" s="55">
        <f>IFERROR(__xludf.DUMMYFUNCTION("importrange(""https://docs.google.com/spreadsheets/d/1KQTVmJDcGi8nV3_t1mE9kcnETLPWhuSu5rpSaRf3Hf4/edit#gid=997576875"",""2025-26!n4"")"),778918.9600000001)</f>
        <v>778918.96</v>
      </c>
      <c r="Z63" s="55">
        <f>IFERROR(__xludf.DUMMYFUNCTION("importrange(""https://docs.google.com/spreadsheets/d/1KQTVmJDcGi8nV3_t1mE9kcnETLPWhuSu5rpSaRf3Hf4/edit#gid=997576875"",""2025-26!n3"")"),17.0)</f>
        <v>17</v>
      </c>
      <c r="AA63" s="58">
        <f t="shared" si="19"/>
        <v>1.002407916</v>
      </c>
      <c r="AB63" s="55">
        <f>IFERROR(__xludf.DUMMYFUNCTION("importrange(""https://docs.google.com/spreadsheets/d/1KQTVmJDcGi8nV3_t1mE9kcnETLPWhuSu5rpSaRf3Hf4/edit#gid=997576875"",""2025-26!o4"")"),769733.0)</f>
        <v>769733</v>
      </c>
      <c r="AC63" s="55">
        <f>IFERROR(__xludf.DUMMYFUNCTION("importrange(""https://docs.google.com/spreadsheets/d/1KQTVmJDcGi8nV3_t1mE9kcnETLPWhuSu5rpSaRf3Hf4/edit#gid=997576875"",""2025-26!o3"")"),17.0)</f>
        <v>17</v>
      </c>
      <c r="AD63" s="55">
        <f>IFERROR(__xludf.DUMMYFUNCTION("importrange(""https://docs.google.com/spreadsheets/d/1KQTVmJDcGi8nV3_t1mE9kcnETLPWhuSu5rpSaRf3Hf4/edit#gid=997576875"",""2025-26!p4"")"),863254.0)</f>
        <v>863254</v>
      </c>
      <c r="AE63" s="55">
        <f>IFERROR(__xludf.DUMMYFUNCTION("importrange(""https://docs.google.com/spreadsheets/d/1KQTVmJDcGi8nV3_t1mE9kcnETLPWhuSu5rpSaRf3Hf4/edit#gid=997576875"",""2025-26!p3"")"),22.0)</f>
        <v>22</v>
      </c>
      <c r="AF63" s="55">
        <f>IFERROR(__xludf.DUMMYFUNCTION("importrange(""https://docs.google.com/spreadsheets/d/1KQTVmJDcGi8nV3_t1mE9kcnETLPWhuSu5rpSaRf3Hf4/edit#gid=997576875"",""2025-26!q4"")"),898924.44)</f>
        <v>898924.44</v>
      </c>
      <c r="AG63" s="55">
        <f>IFERROR(__xludf.DUMMYFUNCTION("importrange(""https://docs.google.com/spreadsheets/d/1KQTVmJDcGi8nV3_t1mE9kcnETLPWhuSu5rpSaRf3Hf4/edit#gid=997576875"",""2025-26!q3"")"),19.0)</f>
        <v>19</v>
      </c>
      <c r="AH63" s="58">
        <f t="shared" si="20"/>
        <v>1.176544794</v>
      </c>
      <c r="AI63" s="55">
        <f>IFERROR(__xludf.DUMMYFUNCTION("importrange(""https://docs.google.com/spreadsheets/d/1KQTVmJDcGi8nV3_t1mE9kcnETLPWhuSu5rpSaRf3Hf4/edit#gid=997576875"",""2025-26!r4"")"),1015657.0)</f>
        <v>1015657</v>
      </c>
      <c r="AJ63" s="55">
        <f>IFERROR(__xludf.DUMMYFUNCTION("importrange(""https://docs.google.com/spreadsheets/d/1KQTVmJDcGi8nV3_t1mE9kcnETLPWhuSu5rpSaRf3Hf4/edit#gid=997576875"",""2025-26!r3"")"),21.0)</f>
        <v>21</v>
      </c>
      <c r="AK63" s="55">
        <f>IFERROR(__xludf.DUMMYFUNCTION("importrange(""https://docs.google.com/spreadsheets/d/1KQTVmJDcGi8nV3_t1mE9kcnETLPWhuSu5rpSaRf3Hf4/edit#gid=997576875"",""2025-26!s4"")"),895633.0)</f>
        <v>895633</v>
      </c>
      <c r="AL63" s="55">
        <f>IFERROR(__xludf.DUMMYFUNCTION("importrange(""https://docs.google.com/spreadsheets/d/1KQTVmJDcGi8nV3_t1mE9kcnETLPWhuSu5rpSaRf3Hf4/edit#gid=997576875"",""2025-26!s3"")"),23.0)</f>
        <v>23</v>
      </c>
      <c r="AM63" s="57">
        <f>IFERROR(__xludf.DUMMYFUNCTION("importrange(""https://docs.google.com/spreadsheets/d/1KQTVmJDcGi8nV3_t1mE9kcnETLPWhuSu5rpSaRf3Hf4/edit#gid=997576875"",""2025-26!t4"")"),964604.3)</f>
        <v>964604.3</v>
      </c>
      <c r="AN63" s="55">
        <f>IFERROR(__xludf.DUMMYFUNCTION("importrange(""https://docs.google.com/spreadsheets/d/1KQTVmJDcGi8nV3_t1mE9kcnETLPWhuSu5rpSaRf3Hf4/edit#gid=997576875"",""2025-26!t3"")"),19.0)</f>
        <v>19</v>
      </c>
      <c r="AO63" s="58">
        <f t="shared" si="21"/>
        <v>0.9450332893</v>
      </c>
      <c r="AP63" s="55">
        <f>IFERROR(__xludf.DUMMYFUNCTION("importrange(""https://docs.google.com/spreadsheets/d/1KQTVmJDcGi8nV3_t1mE9kcnETLPWhuSu5rpSaRf3Hf4/edit#gid=997576875"",""2025-26!u4"")"),846403.0)</f>
        <v>846403</v>
      </c>
      <c r="AQ63" s="55">
        <f>IFERROR(__xludf.DUMMYFUNCTION("importrange(""https://docs.google.com/spreadsheets/d/1KQTVmJDcGi8nV3_t1mE9kcnETLPWhuSu5rpSaRf3Hf4/edit#gid=997576875"",""2025-26!u3"")"),21.0)</f>
        <v>21</v>
      </c>
      <c r="AR63" s="55">
        <f>IFERROR(__xludf.DUMMYFUNCTION("importrange(""https://docs.google.com/spreadsheets/d/1KQTVmJDcGi8nV3_t1mE9kcnETLPWhuSu5rpSaRf3Hf4/edit#gid=997576875"",""2025-26!v4"")"),879733.0)</f>
        <v>879733</v>
      </c>
      <c r="AS63" s="55">
        <f>IFERROR(__xludf.DUMMYFUNCTION("importrange(""https://docs.google.com/spreadsheets/d/1KQTVmJDcGi8nV3_t1mE9kcnETLPWhuSu5rpSaRf3Hf4/edit#gid=997576875"",""2025-26!v3"")"),23.0)</f>
        <v>23</v>
      </c>
      <c r="AT63" s="57">
        <f>IFERROR(__xludf.DUMMYFUNCTION("importrange(""https://docs.google.com/spreadsheets/d/1KQTVmJDcGi8nV3_t1mE9kcnETLPWhuSu5rpSaRf3Hf4/edit#gid=997576875"",""2025-26!w4"")"),611304.97)</f>
        <v>611304.97</v>
      </c>
      <c r="AU63" s="55">
        <f>IFERROR(__xludf.DUMMYFUNCTION("importrange(""https://docs.google.com/spreadsheets/d/1KQTVmJDcGi8nV3_t1mE9kcnETLPWhuSu5rpSaRf3Hf4/edit#gid=997576875"",""2025-26!w3"")"),15.0)</f>
        <v>15</v>
      </c>
      <c r="AV63" s="58">
        <f t="shared" si="22"/>
        <v>0.8299552251</v>
      </c>
      <c r="AW63" s="55">
        <f>IFERROR(__xludf.DUMMYFUNCTION("importrange(""https://docs.google.com/spreadsheets/d/1KQTVmJDcGi8nV3_t1mE9kcnETLPWhuSu5rpSaRf3Hf4/edit#gid=997576875"",""2025-26!x4"")"),730139.0)</f>
        <v>730139</v>
      </c>
      <c r="AX63" s="55">
        <f>IFERROR(__xludf.DUMMYFUNCTION("importrange(""https://docs.google.com/spreadsheets/d/1KQTVmJDcGi8nV3_t1mE9kcnETLPWhuSu5rpSaRf3Hf4/edit#gid=997576875"",""2025-26!x3"")"),16.0)</f>
        <v>16</v>
      </c>
      <c r="AY63" s="55">
        <f>IFERROR(__xludf.DUMMYFUNCTION("importrange(""https://docs.google.com/spreadsheets/d/1KQTVmJDcGi8nV3_t1mE9kcnETLPWhuSu5rpSaRf3Hf4/edit#gid=997576875"",""2025-26!y4"")"),901713.0)</f>
        <v>901713</v>
      </c>
      <c r="AZ63" s="55">
        <f>IFERROR(__xludf.DUMMYFUNCTION("importrange(""https://docs.google.com/spreadsheets/d/1KQTVmJDcGi8nV3_t1mE9kcnETLPWhuSu5rpSaRf3Hf4/edit#gid=997576875"",""2025-26!y3"")"),23.0)</f>
        <v>23</v>
      </c>
      <c r="BA63" s="57">
        <f>IFERROR(__xludf.DUMMYFUNCTION("importrange(""https://docs.google.com/spreadsheets/d/1KQTVmJDcGi8nV3_t1mE9kcnETLPWhuSu5rpSaRf3Hf4/edit#gid=997576875"",""2025-26!z4"")"),989586.01)</f>
        <v>989586.01</v>
      </c>
      <c r="BB63" s="55">
        <f>IFERROR(__xludf.DUMMYFUNCTION("importrange(""https://docs.google.com/spreadsheets/d/1KQTVmJDcGi8nV3_t1mE9kcnETLPWhuSu5rpSaRf3Hf4/edit#gid=997576875"",""2025-26!z3"")"),17.0)</f>
        <v>17</v>
      </c>
      <c r="BC63" s="59">
        <f t="shared" si="23"/>
        <v>1.150014472</v>
      </c>
      <c r="BD63" s="55">
        <f>IFERROR(__xludf.DUMMYFUNCTION("importrange(""https://docs.google.com/spreadsheets/d/1KQTVmJDcGi8nV3_t1mE9kcnETLPWhuSu5rpSaRf3Hf4/edit#gid=997576875"",""2025-26!aa4"")"),1036983.0)</f>
        <v>1036983</v>
      </c>
      <c r="BE63" s="55">
        <f>IFERROR(__xludf.DUMMYFUNCTION("importrange(""https://docs.google.com/spreadsheets/d/1KQTVmJDcGi8nV3_t1mE9kcnETLPWhuSu5rpSaRf3Hf4/edit#gid=997576875"",""2025-26!aa3"")"),19.0)</f>
        <v>19</v>
      </c>
      <c r="BF63" s="55">
        <f>IFERROR(__xludf.DUMMYFUNCTION("importrange(""https://docs.google.com/spreadsheets/d/1KQTVmJDcGi8nV3_t1mE9kcnETLPWhuSu5rpSaRf3Hf4/edit#gid=997576875"",""2025-26!ab4"")"),946723.0)</f>
        <v>946723</v>
      </c>
      <c r="BG63" s="55">
        <f>IFERROR(__xludf.DUMMYFUNCTION("importrange(""https://docs.google.com/spreadsheets/d/1KQTVmJDcGi8nV3_t1mE9kcnETLPWhuSu5rpSaRf3Hf4/edit#gid=997576875"",""2025-26!ab3"")"),24.0)</f>
        <v>24</v>
      </c>
      <c r="BH63" s="55">
        <f>IFERROR(__xludf.DUMMYFUNCTION("importrange(""https://docs.google.com/spreadsheets/d/1KQTVmJDcGi8nV3_t1mE9kcnETLPWhuSu5rpSaRf3Hf4/edit#gid=997576875"",""2025-26!ac4"")"),797514.3000000002)</f>
        <v>797514.3</v>
      </c>
      <c r="BI63" s="55">
        <f>IFERROR(__xludf.DUMMYFUNCTION("importrange(""https://docs.google.com/spreadsheets/d/1KQTVmJDcGi8nV3_t1mE9kcnETLPWhuSu5rpSaRf3Hf4/edit#gid=997576875"",""2025-26!ac3"")"),17.0)</f>
        <v>17</v>
      </c>
      <c r="BJ63" s="59">
        <f t="shared" si="24"/>
        <v>0.6172327175</v>
      </c>
      <c r="BK63" s="55">
        <f>IFERROR(__xludf.DUMMYFUNCTION("importrange(""https://docs.google.com/spreadsheets/d/1KQTVmJDcGi8nV3_t1mE9kcnETLPWhuSu5rpSaRf3Hf4/edit#gid=997576875"",""2025-26!ad4"")"),584348.41)</f>
        <v>584348.41</v>
      </c>
      <c r="BL63" s="55">
        <f>IFERROR(__xludf.DUMMYFUNCTION("importrange(""https://docs.google.com/spreadsheets/d/1KQTVmJDcGi8nV3_t1mE9kcnETLPWhuSu5rpSaRf3Hf4/edit#gid=997576875"",""2025-26!ad3"")"),15.0)</f>
        <v>15</v>
      </c>
      <c r="BM63" s="55">
        <f>IFERROR(__xludf.DUMMYFUNCTION("importrange(""https://docs.google.com/spreadsheets/d/1KQTVmJDcGi8nV3_t1mE9kcnETLPWhuSu5rpSaRf3Hf4/edit#gid=997576875"",""2025-26!ae4"")"),955943.0)</f>
        <v>955943</v>
      </c>
      <c r="BN63" s="55">
        <f>IFERROR(__xludf.DUMMYFUNCTION("importrange(""https://docs.google.com/spreadsheets/d/1KQTVmJDcGi8nV3_t1mE9kcnETLPWhuSu5rpSaRf3Hf4/edit#gid=997576875"",""2025-26!ae3"")"),24.0)</f>
        <v>24</v>
      </c>
      <c r="BO63" s="55">
        <f>IFERROR(__xludf.DUMMYFUNCTION("importrange(""https://docs.google.com/spreadsheets/d/1KQTVmJDcGi8nV3_t1mE9kcnETLPWhuSu5rpSaRf3Hf4/edit#gid=997576875"",""2025-26!af4"")"),523929.35)</f>
        <v>523929.35</v>
      </c>
      <c r="BP63" s="55">
        <f>IFERROR(__xludf.DUMMYFUNCTION("importrange(""https://docs.google.com/spreadsheets/d/1KQTVmJDcGi8nV3_t1mE9kcnETLPWhuSu5rpSaRf3Hf4/edit#gid=997576875"",""2025-26!af3"")"),13.0)</f>
        <v>13</v>
      </c>
      <c r="BQ63" s="59">
        <f t="shared" si="25"/>
        <v>0.5588753723</v>
      </c>
      <c r="BR63" s="55">
        <f>IFERROR(__xludf.DUMMYFUNCTION("importrange(""https://docs.google.com/spreadsheets/d/1KQTVmJDcGi8nV3_t1mE9kcnETLPWhuSu5rpSaRf3Hf4/edit#gid=997576875"",""2025-26!ag4"")"),534253.0)</f>
        <v>534253</v>
      </c>
      <c r="BS63" s="55">
        <f>IFERROR(__xludf.DUMMYFUNCTION("importrange(""https://docs.google.com/spreadsheets/d/1KQTVmJDcGi8nV3_t1mE9kcnETLPWhuSu5rpSaRf3Hf4/edit#gid=997576875"",""2025-26!ag3"")"),14.0)</f>
        <v>14</v>
      </c>
      <c r="BT63" s="55">
        <f>IFERROR(__xludf.DUMMYFUNCTION("importrange(""https://docs.google.com/spreadsheets/d/1KQTVmJDcGi8nV3_t1mE9kcnETLPWhuSu5rpSaRf3Hf4/edit#gid=997576875"",""2025-26!ah4"")"),845063.0)</f>
        <v>845063</v>
      </c>
      <c r="BU63" s="55">
        <f>IFERROR(__xludf.DUMMYFUNCTION("importrange(""https://docs.google.com/spreadsheets/d/1KQTVmJDcGi8nV3_t1mE9kcnETLPWhuSu5rpSaRf3Hf4/edit#gid=997576875"",""2025-26!ah3"")"),24.0)</f>
        <v>24</v>
      </c>
      <c r="BV63" s="55">
        <f>IFERROR(__xludf.DUMMYFUNCTION("importrange(""https://docs.google.com/spreadsheets/d/1KQTVmJDcGi8nV3_t1mE9kcnETLPWhuSu5rpSaRf3Hf4/edit#gid=997576875"",""2025-26!ai4"")"),623382.62)</f>
        <v>623382.62</v>
      </c>
      <c r="BW63" s="55">
        <f>IFERROR(__xludf.DUMMYFUNCTION("importrange(""https://docs.google.com/spreadsheets/d/1KQTVmJDcGi8nV3_t1mE9kcnETLPWhuSu5rpSaRf3Hf4/edit#gid=997576875"",""2025-26!ai3"")"),16.0)</f>
        <v>16</v>
      </c>
      <c r="BX63" s="59">
        <f t="shared" si="26"/>
        <v>1.272950064</v>
      </c>
      <c r="BY63" s="55">
        <f>IFERROR(__xludf.DUMMYFUNCTION("importrange(""https://docs.google.com/spreadsheets/d/1KQTVmJDcGi8nV3_t1mE9kcnETLPWhuSu5rpSaRf3Hf4/edit#gid=997576875"",""2025-26!aj4"")"),1075723.0)</f>
        <v>1075723</v>
      </c>
      <c r="BZ63" s="55">
        <f>IFERROR(__xludf.DUMMYFUNCTION("importrange(""https://docs.google.com/spreadsheets/d/1KQTVmJDcGi8nV3_t1mE9kcnETLPWhuSu5rpSaRf3Hf4/edit#gid=997576875"",""2025-26!aj3"")"),17.0)</f>
        <v>17</v>
      </c>
      <c r="CA63" s="55">
        <f>IFERROR(__xludf.DUMMYFUNCTION("importrange(""https://docs.google.com/spreadsheets/d/1KQTVmJDcGi8nV3_t1mE9kcnETLPWhuSu5rpSaRf3Hf4/edit#gid=997576875"",""2025-26!ak4"")"),981073.0)</f>
        <v>981073</v>
      </c>
      <c r="CB63" s="55">
        <f>IFERROR(__xludf.DUMMYFUNCTION("importrange(""https://docs.google.com/spreadsheets/d/1KQTVmJDcGi8nV3_t1mE9kcnETLPWhuSu5rpSaRf3Hf4/edit#gid=997576875"",""2025-26!ak3"")"),24.0)</f>
        <v>24</v>
      </c>
      <c r="CC63" s="55">
        <f>IFERROR(__xludf.DUMMYFUNCTION("importrange(""https://docs.google.com/spreadsheets/d/1KQTVmJDcGi8nV3_t1mE9kcnETLPWhuSu5rpSaRf3Hf4/edit#gid=997576875"",""2025-26!al4"")"),895705.18)</f>
        <v>895705.18</v>
      </c>
      <c r="CD63" s="55">
        <f>IFERROR(__xludf.DUMMYFUNCTION("importrange(""https://docs.google.com/spreadsheets/d/1KQTVmJDcGi8nV3_t1mE9kcnETLPWhuSu5rpSaRf3Hf4/edit#gid=997576875"",""2025-26!ai3"")"),16.0)</f>
        <v>16</v>
      </c>
      <c r="CE63" s="59">
        <f t="shared" si="27"/>
        <v>0.7734246075</v>
      </c>
      <c r="CF63" s="55">
        <f>IFERROR(__xludf.DUMMYFUNCTION("importrange(""https://docs.google.com/spreadsheets/d/1KQTVmJDcGi8nV3_t1mE9kcnETLPWhuSu5rpSaRf3Hf4/edit#gid=997576875"",""2025-26!am4"")"),758786.0)</f>
        <v>758786</v>
      </c>
      <c r="CG63" s="55">
        <f>IFERROR(__xludf.DUMMYFUNCTION("importrange(""https://docs.google.com/spreadsheets/d/1KQTVmJDcGi8nV3_t1mE9kcnETLPWhuSu5rpSaRf3Hf4/edit#gid=997576875"",""2025-26!am3"")"),19.0)</f>
        <v>19</v>
      </c>
      <c r="CH63" s="55">
        <f>IFERROR(__xludf.DUMMYFUNCTION("importrange(""https://docs.google.com/spreadsheets/d/1KQTVmJDcGi8nV3_t1mE9kcnETLPWhuSu5rpSaRf3Hf4/edit#gid=997576875"",""2025-26!an4"")"),1037363.0)</f>
        <v>1037363</v>
      </c>
      <c r="CI63" s="55">
        <f>IFERROR(__xludf.DUMMYFUNCTION("importrange(""https://docs.google.com/spreadsheets/d/1KQTVmJDcGi8nV3_t1mE9kcnETLPWhuSu5rpSaRf3Hf4/edit#gid=997576875"",""2025-26!an3"")"),24.0)</f>
        <v>24</v>
      </c>
      <c r="CJ63" s="55">
        <f>IFERROR(__xludf.DUMMYFUNCTION("importrange(""https://docs.google.com/spreadsheets/d/1KQTVmJDcGi8nV3_t1mE9kcnETLPWhuSu5rpSaRf3Hf4/edit#gid=997576875"",""2025-26!ao4"")"),636583.5299999999)</f>
        <v>636583.53</v>
      </c>
      <c r="CK63" s="55">
        <f>IFERROR(__xludf.DUMMYFUNCTION("importrange(""https://docs.google.com/spreadsheets/d/1KQTVmJDcGi8nV3_t1mE9kcnETLPWhuSu5rpSaRf3Hf4/edit#gid=997576875"",""2025-26!ao3"")"),15.0)</f>
        <v>15</v>
      </c>
      <c r="CL63" s="59">
        <f t="shared" si="28"/>
        <v>0.5991200766</v>
      </c>
      <c r="CM63" s="55">
        <f>IFERROR(__xludf.DUMMYFUNCTION("importrange(""https://docs.google.com/spreadsheets/d/1KQTVmJDcGi8nV3_t1mE9kcnETLPWhuSu5rpSaRf3Hf4/edit#gid=997576875"",""2025-26!ap4"")"),621505.0)</f>
        <v>621505</v>
      </c>
      <c r="CN63" s="55">
        <f>IFERROR(__xludf.DUMMYFUNCTION("importrange(""https://docs.google.com/spreadsheets/d/1KQTVmJDcGi8nV3_t1mE9kcnETLPWhuSu5rpSaRf3Hf4/edit#gid=997576875"",""2025-26!ap3"")"),16.0)</f>
        <v>16</v>
      </c>
      <c r="CO63" s="55">
        <f>IFERROR(__xludf.DUMMYFUNCTION("importrange(""https://docs.google.com/spreadsheets/d/1KQTVmJDcGi8nV3_t1mE9kcnETLPWhuSu5rpSaRf3Hf4/edit#gid=997576875"",""2025-26!aq4"")"),1201117.0)</f>
        <v>1201117</v>
      </c>
      <c r="CP63" s="55">
        <f>IFERROR(__xludf.DUMMYFUNCTION("importrange(""https://docs.google.com/spreadsheets/d/1KQTVmJDcGi8nV3_t1mE9kcnETLPWhuSu5rpSaRf3Hf4/edit#gid=997576875"",""2025-26!aq3"")"),24.0)</f>
        <v>24</v>
      </c>
      <c r="CQ63" s="55">
        <f>IFERROR(__xludf.DUMMYFUNCTION("importrange(""https://docs.google.com/spreadsheets/d/1KQTVmJDcGi8nV3_t1mE9kcnETLPWhuSu5rpSaRf3Hf4/edit#gid=997576875"",""2025-26!ar4"")"),1411875.65)</f>
        <v>1411875.65</v>
      </c>
      <c r="CR63" s="55">
        <f>IFERROR(__xludf.DUMMYFUNCTION("importrange(""https://docs.google.com/spreadsheets/d/1KQTVmJDcGi8nV3_t1mE9kcnETLPWhuSu5rpSaRf3Hf4/edit#gid=997576875"",""2025-26!ar3"")"),18.0)</f>
        <v>18</v>
      </c>
      <c r="CS63" s="59">
        <f t="shared" si="29"/>
        <v>1.402024948</v>
      </c>
      <c r="CT63" s="55">
        <f>IFERROR(__xludf.DUMMYFUNCTION("importrange(""https://docs.google.com/spreadsheets/d/1KQTVmJDcGi8nV3_t1mE9kcnETLPWhuSu5rpSaRf3Hf4/edit#gid=997576875"",""2025-26!as4"")"),1683996.0)</f>
        <v>1683996</v>
      </c>
      <c r="CU63" s="55">
        <f>IFERROR(__xludf.DUMMYFUNCTION("importrange(""https://docs.google.com/spreadsheets/d/1KQTVmJDcGi8nV3_t1mE9kcnETLPWhuSu5rpSaRf3Hf4/edit#gid=997576875"",""2025-26!as3"")"),22.0)</f>
        <v>22</v>
      </c>
      <c r="CV63" s="60" t="s">
        <v>145</v>
      </c>
    </row>
    <row r="64">
      <c r="A64" s="1" t="s">
        <v>126</v>
      </c>
      <c r="B64" s="37"/>
      <c r="C64" s="80" t="s">
        <v>160</v>
      </c>
      <c r="D64" s="49" t="s">
        <v>161</v>
      </c>
      <c r="E64" s="50">
        <v>9.755719217E9</v>
      </c>
      <c r="F64" s="74">
        <v>45145.0</v>
      </c>
      <c r="G64" s="62"/>
      <c r="H64" s="62"/>
      <c r="I64" s="53">
        <f>VLOOKUP($C64,Data!$C:$BV,72,0)</f>
        <v>36187</v>
      </c>
      <c r="J64" s="57">
        <v>1833333.0</v>
      </c>
      <c r="K64" s="55">
        <f>IFERROR(__xludf.DUMMYFUNCTION("IMPORTRANGE(""1I8z6Xfl0SZLMgBnWxBRKoVK18zG4drUtjIQybtuJzxE"",""2025-26!A3"")"),76.0)</f>
        <v>76</v>
      </c>
      <c r="L64" s="55">
        <f>IFERROR(__xludf.DUMMYFUNCTION("IMPORTRANGE(""1I8z6Xfl0SZLMgBnWxBRKoVK18zG4drUtjIQybtuJzxE"",""2025-26!G4"")"),2.31E7)</f>
        <v>23100000</v>
      </c>
      <c r="M64" s="55">
        <f t="shared" ref="M64:M79" si="47">R64+Y64+AF64+AM64+AT64+BA64+BH64+BO64+BV64+CC64+CJ64+CQ64</f>
        <v>12834572.34</v>
      </c>
      <c r="N64" s="56">
        <f t="shared" ref="N64:N79" si="48">O64/L64</f>
        <v>0.4820621939</v>
      </c>
      <c r="O64" s="57">
        <f t="shared" ref="O64:O79" si="49">U64+AB64+AI64+AP64+AW64+BD64+BK64+BR64+BY64+CF64+CM64+CT64</f>
        <v>11135636.68</v>
      </c>
      <c r="P64" s="55">
        <f>IFERROR(__xludf.DUMMYFUNCTION("IMPORTRANGE(""1I8z6Xfl0SZLMgBnWxBRKoVK18zG4drUtjIQybtuJzxE"",""2025-26!J4"")"),1125000.0)</f>
        <v>1125000</v>
      </c>
      <c r="Q64" s="55">
        <f>IFERROR(__xludf.DUMMYFUNCTION("IMPORTRANGE(""1I8z6Xfl0SZLMgBnWxBRKoVK18zG4drUtjIQybtuJzxE"",""2025-26!J3"")"),20.0)</f>
        <v>20</v>
      </c>
      <c r="R64" s="55">
        <f>IFERROR(__xludf.DUMMYFUNCTION("IMPORTRANGE(""1I8z6Xfl0SZLMgBnWxBRKoVK18zG4drUtjIQybtuJzxE"",""2025-26!K4"")"),914707.44)</f>
        <v>914707.44</v>
      </c>
      <c r="S64" s="55">
        <f>IFERROR(__xludf.DUMMYFUNCTION("IMPORTRANGE(""1I8z6Xfl0SZLMgBnWxBRKoVK18zG4drUtjIQybtuJzxE"",""2025-26!K3"")"),22.0)</f>
        <v>22</v>
      </c>
      <c r="T64" s="58">
        <f t="shared" si="18"/>
        <v>0.7355128889</v>
      </c>
      <c r="U64" s="55">
        <f>IFERROR(__xludf.DUMMYFUNCTION("IMPORTRANGE(""1I8z6Xfl0SZLMgBnWxBRKoVK18zG4drUtjIQybtuJzxE"",""2025-26!L4"")"),827451.9999999999)</f>
        <v>827452</v>
      </c>
      <c r="V64" s="55">
        <f>IFERROR(__xludf.DUMMYFUNCTION("IMPORTRANGE(""1I8z6Xfl0SZLMgBnWxBRKoVK18zG4drUtjIQybtuJzxE"",""2025-26!L3"")"),21.0)</f>
        <v>21</v>
      </c>
      <c r="W64" s="55">
        <f>IFERROR(__xludf.DUMMYFUNCTION("IMPORTRANGE(""1I8z6Xfl0SZLMgBnWxBRKoVK18zG4drUtjIQybtuJzxE"",""2025-26!m4"")"),1715000.0)</f>
        <v>1715000</v>
      </c>
      <c r="X64" s="55">
        <f>IFERROR(__xludf.DUMMYFUNCTION("IMPORTRANGE(""1I8z6Xfl0SZLMgBnWxBRKoVK18zG4drUtjIQybtuJzxE"",""2025-26!m3"")"),60.0)</f>
        <v>60</v>
      </c>
      <c r="Y64" s="55">
        <f>IFERROR(__xludf.DUMMYFUNCTION("IMPORTRANGE(""1I8z6Xfl0SZLMgBnWxBRKoVK18zG4drUtjIQybtuJzxE"",""2025-26!N4"")"),757983.5299999999)</f>
        <v>757983.53</v>
      </c>
      <c r="Z64" s="55">
        <f>IFERROR(__xludf.DUMMYFUNCTION("IMPORTRANGE(""1I8z6Xfl0SZLMgBnWxBRKoVK18zG4drUtjIQybtuJzxE"",""2025-26!N3"")"),18.0)</f>
        <v>18</v>
      </c>
      <c r="AA64" s="58">
        <f t="shared" si="19"/>
        <v>0.268777172</v>
      </c>
      <c r="AB64" s="55">
        <f>IFERROR(__xludf.DUMMYFUNCTION("IMPORTRANGE(""1I8z6Xfl0SZLMgBnWxBRKoVK18zG4drUtjIQybtuJzxE"",""2025-26!O4"")"),460952.85000000003)</f>
        <v>460952.85</v>
      </c>
      <c r="AC64" s="55">
        <f>IFERROR(__xludf.DUMMYFUNCTION("IMPORTRANGE(""1I8z6Xfl0SZLMgBnWxBRKoVK18zG4drUtjIQybtuJzxE"",""2025-26!O3"")"),16.0)</f>
        <v>16</v>
      </c>
      <c r="AD64" s="55">
        <f>IFERROR(__xludf.DUMMYFUNCTION("IMPORTRANGE(""1I8z6Xfl0SZLMgBnWxBRKoVK18zG4drUtjIQybtuJzxE"",""2025-26!P4"")"),1500000.0)</f>
        <v>1500000</v>
      </c>
      <c r="AE64" s="55">
        <f>IFERROR(__xludf.DUMMYFUNCTION("IMPORTRANGE(""1I8z6Xfl0SZLMgBnWxBRKoVK18zG4drUtjIQybtuJzxE"",""2025-26!P3"")"),36.0)</f>
        <v>36</v>
      </c>
      <c r="AF64" s="55">
        <f>IFERROR(__xludf.DUMMYFUNCTION("IMPORTRANGE(""1I8z6Xfl0SZLMgBnWxBRKoVK18zG4drUtjIQybtuJzxE"",""2025-26!Q4"")"),1126750.5)</f>
        <v>1126750.5</v>
      </c>
      <c r="AG64" s="55">
        <f>IFERROR(__xludf.DUMMYFUNCTION("IMPORTRANGE(""1I8z6Xfl0SZLMgBnWxBRKoVK18zG4drUtjIQybtuJzxE"",""2025-26!Q3"")"),18.0)</f>
        <v>18</v>
      </c>
      <c r="AH64" s="58">
        <f t="shared" si="20"/>
        <v>0.737175</v>
      </c>
      <c r="AI64" s="55">
        <f>IFERROR(__xludf.DUMMYFUNCTION("IMPORTRANGE(""1I8z6Xfl0SZLMgBnWxBRKoVK18zG4drUtjIQybtuJzxE"",""2025-26!R4"")"),1105762.5)</f>
        <v>1105762.5</v>
      </c>
      <c r="AJ64" s="55">
        <f>IFERROR(__xludf.DUMMYFUNCTION("IMPORTRANGE(""1I8z6Xfl0SZLMgBnWxBRKoVK18zG4drUtjIQybtuJzxE"",""2025-26!R3"")"),21.0)</f>
        <v>21</v>
      </c>
      <c r="AK64" s="55">
        <f>IFERROR(__xludf.DUMMYFUNCTION("IMPORTRANGE(""1I8z6Xfl0SZLMgBnWxBRKoVK18zG4drUtjIQybtuJzxE"",""2025-26!S4"")"),727000.0)</f>
        <v>727000</v>
      </c>
      <c r="AL64" s="55">
        <f>IFERROR(__xludf.DUMMYFUNCTION("IMPORTRANGE(""1I8z6Xfl0SZLMgBnWxBRKoVK18zG4drUtjIQybtuJzxE"",""2025-26!S3"")"),23.0)</f>
        <v>23</v>
      </c>
      <c r="AM64" s="55">
        <f>IFERROR(__xludf.DUMMYFUNCTION("IMPORTRANGE(""1I8z6Xfl0SZLMgBnWxBRKoVK18zG4drUtjIQybtuJzxE"",""2025-26!T4"")"),1404138.0100000002)</f>
        <v>1404138.01</v>
      </c>
      <c r="AN64" s="55">
        <f>IFERROR(__xludf.DUMMYFUNCTION("IMPORTRANGE(""1I8z6Xfl0SZLMgBnWxBRKoVK18zG4drUtjIQybtuJzxE"",""2025-26!T3"")"),32.0)</f>
        <v>32</v>
      </c>
      <c r="AO64" s="58">
        <f t="shared" si="21"/>
        <v>1.646475227</v>
      </c>
      <c r="AP64" s="55">
        <f>IFERROR(__xludf.DUMMYFUNCTION("IMPORTRANGE(""1I8z6Xfl0SZLMgBnWxBRKoVK18zG4drUtjIQybtuJzxE"",""2025-26!U4"")"),1196987.4900000002)</f>
        <v>1196987.49</v>
      </c>
      <c r="AQ64" s="55">
        <f>IFERROR(__xludf.DUMMYFUNCTION("IMPORTRANGE(""1I8z6Xfl0SZLMgBnWxBRKoVK18zG4drUtjIQybtuJzxE"",""2025-26!U3"")"),27.0)</f>
        <v>27</v>
      </c>
      <c r="AR64" s="55">
        <f>IFERROR(__xludf.DUMMYFUNCTION("IMPORTRANGE(""1I8z6Xfl0SZLMgBnWxBRKoVK18zG4drUtjIQybtuJzxE"",""2025-26!V4"")"),1187000.0)</f>
        <v>1187000</v>
      </c>
      <c r="AS64" s="55">
        <f>IFERROR(__xludf.DUMMYFUNCTION("IMPORTRANGE(""1I8z6Xfl0SZLMgBnWxBRKoVK18zG4drUtjIQybtuJzxE"",""2025-26!V3"")"),59.0)</f>
        <v>59</v>
      </c>
      <c r="AT64" s="55">
        <f>IFERROR(__xludf.DUMMYFUNCTION("IMPORTRANGE(""1I8z6Xfl0SZLMgBnWxBRKoVK18zG4drUtjIQybtuJzxE"",""2025-26!W4"")"),522391.65)</f>
        <v>522391.65</v>
      </c>
      <c r="AU64" s="55">
        <f>IFERROR(__xludf.DUMMYFUNCTION("IMPORTRANGE(""1I8z6Xfl0SZLMgBnWxBRKoVK18zG4drUtjIQybtuJzxE"",""2025-26!W3"")"),15.0)</f>
        <v>15</v>
      </c>
      <c r="AV64" s="58">
        <f t="shared" si="22"/>
        <v>0.4779413648</v>
      </c>
      <c r="AW64" s="55">
        <f>IFERROR(__xludf.DUMMYFUNCTION("IMPORTRANGE(""1I8z6Xfl0SZLMgBnWxBRKoVK18zG4drUtjIQybtuJzxE"",""2025-26!X4"")"),567316.4)</f>
        <v>567316.4</v>
      </c>
      <c r="AX64" s="55">
        <f>IFERROR(__xludf.DUMMYFUNCTION("IMPORTRANGE(""1I8z6Xfl0SZLMgBnWxBRKoVK18zG4drUtjIQybtuJzxE"",""2025-26!X3"")"),17.0)</f>
        <v>17</v>
      </c>
      <c r="AY64" s="55">
        <f>IFERROR(__xludf.DUMMYFUNCTION("IMPORTRANGE(""1I8z6Xfl0SZLMgBnWxBRKoVK18zG4drUtjIQybtuJzxE"",""2025-26!Y4"")"),921000.0)</f>
        <v>921000</v>
      </c>
      <c r="AZ64" s="55">
        <f>IFERROR(__xludf.DUMMYFUNCTION("IMPORTRANGE(""1I8z6Xfl0SZLMgBnWxBRKoVK18zG4drUtjIQybtuJzxE"",""2025-26!Y3"")"),35.0)</f>
        <v>35</v>
      </c>
      <c r="BA64" s="55">
        <f>IFERROR(__xludf.DUMMYFUNCTION("IMPORTRANGE(""1I8z6Xfl0SZLMgBnWxBRKoVK18zG4drUtjIQybtuJzxE"",""2025-26!Z4"")"),1051637.75)</f>
        <v>1051637.75</v>
      </c>
      <c r="BB64" s="55">
        <f>IFERROR(__xludf.DUMMYFUNCTION("IMPORTRANGE(""1I8z6Xfl0SZLMgBnWxBRKoVK18zG4drUtjIQybtuJzxE"",""2025-26!Z3"")"),29.0)</f>
        <v>29</v>
      </c>
      <c r="BC64" s="59">
        <f t="shared" si="23"/>
        <v>0.646472671</v>
      </c>
      <c r="BD64" s="55">
        <f>IFERROR(__xludf.DUMMYFUNCTION("IMPORTRANGE(""1I8z6Xfl0SZLMgBnWxBRKoVK18zG4drUtjIQybtuJzxE"",""2025-26!AA4"")"),595401.3300000001)</f>
        <v>595401.33</v>
      </c>
      <c r="BE64" s="55">
        <f>IFERROR(__xludf.DUMMYFUNCTION("IMPORTRANGE(""1I8z6Xfl0SZLMgBnWxBRKoVK18zG4drUtjIQybtuJzxE"",""2025-26!AA3"")"),19.0)</f>
        <v>19</v>
      </c>
      <c r="BF64" s="55">
        <f>IFERROR(__xludf.DUMMYFUNCTION("IMPORTRANGE(""1I8z6Xfl0SZLMgBnWxBRKoVK18zG4drUtjIQybtuJzxE"",""2025-26!AB4"")"),1012000.0)</f>
        <v>1012000</v>
      </c>
      <c r="BG64" s="55">
        <f>IFERROR(__xludf.DUMMYFUNCTION("IMPORTRANGE(""1I8z6Xfl0SZLMgBnWxBRKoVK18zG4drUtjIQybtuJzxE"",""2025-26!AB3"")"),29.0)</f>
        <v>29</v>
      </c>
      <c r="BH64" s="55">
        <f>IFERROR(__xludf.DUMMYFUNCTION("IMPORTRANGE(""1I8z6Xfl0SZLMgBnWxBRKoVK18zG4drUtjIQybtuJzxE"",""2025-26!AC4"")"),857734.8400000001)</f>
        <v>857734.84</v>
      </c>
      <c r="BI64" s="55">
        <f>IFERROR(__xludf.DUMMYFUNCTION("IMPORTRANGE(""1I8z6Xfl0SZLMgBnWxBRKoVK18zG4drUtjIQybtuJzxE"",""2025-26!AC3"")"),17.0)</f>
        <v>17</v>
      </c>
      <c r="BJ64" s="59">
        <f t="shared" si="24"/>
        <v>0.871659753</v>
      </c>
      <c r="BK64" s="55">
        <f>IFERROR(__xludf.DUMMYFUNCTION("IMPORTRANGE(""1I8z6Xfl0SZLMgBnWxBRKoVK18zG4drUtjIQybtuJzxE"",""2025-26!AD4"")"),882119.6700000003)</f>
        <v>882119.67</v>
      </c>
      <c r="BL64" s="55">
        <f>IFERROR(__xludf.DUMMYFUNCTION("IMPORTRANGE(""1I8z6Xfl0SZLMgBnWxBRKoVK18zG4drUtjIQybtuJzxE"",""2025-26!AD3"")"),18.0)</f>
        <v>18</v>
      </c>
      <c r="BM64" s="55">
        <f>IFERROR(__xludf.DUMMYFUNCTION("IMPORTRANGE(""1I8z6Xfl0SZLMgBnWxBRKoVK18zG4drUtjIQybtuJzxE"",""2025-26!AE4"")"),1902000.0)</f>
        <v>1902000</v>
      </c>
      <c r="BN64" s="55">
        <f>IFERROR(__xludf.DUMMYFUNCTION("IMPORTRANGE(""1I8z6Xfl0SZLMgBnWxBRKoVK18zG4drUtjIQybtuJzxE"",""2025-26!AE3"")"),66.0)</f>
        <v>66</v>
      </c>
      <c r="BO64" s="55">
        <f>IFERROR(__xludf.DUMMYFUNCTION("IMPORTRANGE(""1I8z6Xfl0SZLMgBnWxBRKoVK18zG4drUtjIQybtuJzxE"",""2025-26!AF4"")"),1037646.6799999989)</f>
        <v>1037646.68</v>
      </c>
      <c r="BP64" s="55">
        <f>IFERROR(__xludf.DUMMYFUNCTION("IMPORTRANGE(""1I8z6Xfl0SZLMgBnWxBRKoVK18zG4drUtjIQybtuJzxE"",""2025-26!AF3"")"),17.0)</f>
        <v>17</v>
      </c>
      <c r="BQ64" s="59">
        <f t="shared" si="25"/>
        <v>0.4623277445</v>
      </c>
      <c r="BR64" s="55">
        <f>IFERROR(__xludf.DUMMYFUNCTION("IMPORTRANGE(""1I8z6Xfl0SZLMgBnWxBRKoVK18zG4drUtjIQybtuJzxE"",""2025-26!AG4"")"),879347.37)</f>
        <v>879347.37</v>
      </c>
      <c r="BS64" s="55">
        <f>IFERROR(__xludf.DUMMYFUNCTION("IMPORTRANGE(""1I8z6Xfl0SZLMgBnWxBRKoVK18zG4drUtjIQybtuJzxE"",""2025-26!AG3"")"),18.0)</f>
        <v>18</v>
      </c>
      <c r="BT64" s="55">
        <f>IFERROR(__xludf.DUMMYFUNCTION("IMPORTRANGE(""1I8z6Xfl0SZLMgBnWxBRKoVK18zG4drUtjIQybtuJzxE"",""2025-26!AH4"")"),1920000.0)</f>
        <v>1920000</v>
      </c>
      <c r="BU64" s="55">
        <f>IFERROR(__xludf.DUMMYFUNCTION("IMPORTRANGE(""1I8z6Xfl0SZLMgBnWxBRKoVK18zG4drUtjIQybtuJzxE"",""2025-26!AH3"")"),66.0)</f>
        <v>66</v>
      </c>
      <c r="BV64" s="55">
        <f>IFERROR(__xludf.DUMMYFUNCTION("IMPORTRANGE(""1I8z6Xfl0SZLMgBnWxBRKoVK18zG4drUtjIQybtuJzxE"",""2025-26!AI4"")"),697388.2799999998)</f>
        <v>697388.28</v>
      </c>
      <c r="BW64" s="55">
        <f>IFERROR(__xludf.DUMMYFUNCTION("IMPORTRANGE(""1I8z6Xfl0SZLMgBnWxBRKoVK18zG4drUtjIQybtuJzxE"",""2025-26!AI3"")"),21.0)</f>
        <v>21</v>
      </c>
      <c r="BX64" s="59">
        <f t="shared" si="26"/>
        <v>0.3491918385</v>
      </c>
      <c r="BY64" s="55">
        <f>IFERROR(__xludf.DUMMYFUNCTION("IMPORTRANGE(""1I8z6Xfl0SZLMgBnWxBRKoVK18zG4drUtjIQybtuJzxE"",""2025-26!AJ4"")"),670448.33)</f>
        <v>670448.33</v>
      </c>
      <c r="BZ64" s="55">
        <f>IFERROR(__xludf.DUMMYFUNCTION("IMPORTRANGE(""1I8z6Xfl0SZLMgBnWxBRKoVK18zG4drUtjIQybtuJzxE"",""2025-26!AJ3"")"),21.0)</f>
        <v>21</v>
      </c>
      <c r="CA64" s="55">
        <f>IFERROR(__xludf.DUMMYFUNCTION("IMPORTRANGE(""1I8z6Xfl0SZLMgBnWxBRKoVK18zG4drUtjIQybtuJzxE"",""2025-26!AK4"")"),1960000.0)</f>
        <v>1960000</v>
      </c>
      <c r="CB64" s="55">
        <f>IFERROR(__xludf.DUMMYFUNCTION("IMPORTRANGE(""1I8z6Xfl0SZLMgBnWxBRKoVK18zG4drUtjIQybtuJzxE"",""2025-26!AK3"")"),66.0)</f>
        <v>66</v>
      </c>
      <c r="CC64" s="55">
        <f>IFERROR(__xludf.DUMMYFUNCTION("IMPORTRANGE(""1I8z6Xfl0SZLMgBnWxBRKoVK18zG4drUtjIQybtuJzxE"",""2025-26!AL4"")"),850158.5899999999)</f>
        <v>850158.59</v>
      </c>
      <c r="CD64" s="55">
        <f>IFERROR(__xludf.DUMMYFUNCTION("IMPORTRANGE(""1I8z6Xfl0SZLMgBnWxBRKoVK18zG4drUtjIQybtuJzxE"",""2025-26!AL3"")"),19.0)</f>
        <v>19</v>
      </c>
      <c r="CE64" s="59">
        <f t="shared" si="27"/>
        <v>0.4936074745</v>
      </c>
      <c r="CF64" s="55">
        <f>IFERROR(__xludf.DUMMYFUNCTION("IMPORTRANGE(""1I8z6Xfl0SZLMgBnWxBRKoVK18zG4drUtjIQybtuJzxE"",""2025-26!AM4"")"),967470.6500000001)</f>
        <v>967470.65</v>
      </c>
      <c r="CG64" s="55">
        <f>IFERROR(__xludf.DUMMYFUNCTION("IMPORTRANGE(""1I8z6Xfl0SZLMgBnWxBRKoVK18zG4drUtjIQybtuJzxE"",""2025-26!AM3"")"),20.0)</f>
        <v>20</v>
      </c>
      <c r="CH64" s="55">
        <f>IFERROR(__xludf.DUMMYFUNCTION("IMPORTRANGE(""1I8z6Xfl0SZLMgBnWxBRKoVK18zG4drUtjIQybtuJzxE"",""2025-26!AN4"")"),2060000.0)</f>
        <v>2060000</v>
      </c>
      <c r="CI64" s="55">
        <f>IFERROR(__xludf.DUMMYFUNCTION("IMPORTRANGE(""1I8z6Xfl0SZLMgBnWxBRKoVK18zG4drUtjIQybtuJzxE"",""2025-26!AN3"")"),67.0)</f>
        <v>67</v>
      </c>
      <c r="CJ64" s="55">
        <f>IFERROR(__xludf.DUMMYFUNCTION("IMPORTRANGE(""1I8z6Xfl0SZLMgBnWxBRKoVK18zG4drUtjIQybtuJzxE"",""2025-26!AO4"")"),1977492.1199999996)</f>
        <v>1977492.12</v>
      </c>
      <c r="CK64" s="55">
        <f>IFERROR(__xludf.DUMMYFUNCTION("IMPORTRANGE(""1I8z6Xfl0SZLMgBnWxBRKoVK18zG4drUtjIQybtuJzxE"",""2025-26!AO3"")"),28.0)</f>
        <v>28</v>
      </c>
      <c r="CL64" s="59">
        <f t="shared" si="28"/>
        <v>0.8898040146</v>
      </c>
      <c r="CM64" s="55">
        <f>IFERROR(__xludf.DUMMYFUNCTION("IMPORTRANGE(""1I8z6Xfl0SZLMgBnWxBRKoVK18zG4drUtjIQybtuJzxE"",""2025-26!AP4"")"),1832996.27)</f>
        <v>1832996.27</v>
      </c>
      <c r="CN64" s="55">
        <f>IFERROR(__xludf.DUMMYFUNCTION("IMPORTRANGE(""1I8z6Xfl0SZLMgBnWxBRKoVK18zG4drUtjIQybtuJzxE"",""2025-26!AP3"")"),27.0)</f>
        <v>27</v>
      </c>
      <c r="CO64" s="55">
        <f>IFERROR(__xludf.DUMMYFUNCTION("IMPORTRANGE(""1I8z6Xfl0SZLMgBnWxBRKoVK18zG4drUtjIQybtuJzxE"",""2025-26!AQ4"")"),2010000.0)</f>
        <v>2010000</v>
      </c>
      <c r="CP64" s="55">
        <f>IFERROR(__xludf.DUMMYFUNCTION("IMPORTRANGE(""1I8z6Xfl0SZLMgBnWxBRKoVK18zG4drUtjIQybtuJzxE"",""2025-26!AQ3"")"),67.0)</f>
        <v>67</v>
      </c>
      <c r="CQ64" s="55">
        <f>IFERROR(__xludf.DUMMYFUNCTION("IMPORTRANGE(""1I8z6Xfl0SZLMgBnWxBRKoVK18zG4drUtjIQybtuJzxE"",""2025-26!AR4"")"),1636542.9499999997)</f>
        <v>1636542.95</v>
      </c>
      <c r="CR64" s="55">
        <f>IFERROR(__xludf.DUMMYFUNCTION("IMPORTRANGE(""1I8z6Xfl0SZLMgBnWxBRKoVK18zG4drUtjIQybtuJzxE"",""2025-26!AR3"")"),24.0)</f>
        <v>24</v>
      </c>
      <c r="CS64" s="59">
        <f t="shared" si="29"/>
        <v>0.5718317512</v>
      </c>
      <c r="CT64" s="55">
        <f>IFERROR(__xludf.DUMMYFUNCTION("IMPORTRANGE(""1I8z6Xfl0SZLMgBnWxBRKoVK18zG4drUtjIQybtuJzxE"",""2025-26!AS4"")"),1149381.8200000003)</f>
        <v>1149381.82</v>
      </c>
      <c r="CU64" s="55">
        <f>IFERROR(__xludf.DUMMYFUNCTION("IMPORTRANGE(""1I8z6Xfl0SZLMgBnWxBRKoVK18zG4drUtjIQybtuJzxE"",""2025-26!AS3"")"),21.0)</f>
        <v>21</v>
      </c>
      <c r="CV64" s="60" t="s">
        <v>135</v>
      </c>
    </row>
    <row r="65">
      <c r="A65" s="1" t="s">
        <v>126</v>
      </c>
      <c r="B65" s="37"/>
      <c r="C65" s="80" t="s">
        <v>162</v>
      </c>
      <c r="D65" s="49" t="s">
        <v>134</v>
      </c>
      <c r="E65" s="50">
        <v>8.60201435E9</v>
      </c>
      <c r="F65" s="74">
        <v>45152.0</v>
      </c>
      <c r="G65" s="62"/>
      <c r="H65" s="62"/>
      <c r="I65" s="53">
        <f>VLOOKUP($C65,Data!$C:$BV,72,0)</f>
        <v>43314</v>
      </c>
      <c r="J65" s="57">
        <v>2000000.0</v>
      </c>
      <c r="K65" s="55">
        <f>IFERROR(__xludf.DUMMYFUNCTION("IMPORTRANGE(""152AECjMPz2mnH4mgBJ75E4ggGRK2pwMrpTycQwGhS9o"",""2025-26!A3"")"),138.0)</f>
        <v>138</v>
      </c>
      <c r="L65" s="55">
        <f>IFERROR(__xludf.DUMMYFUNCTION("IMPORTRANGE(""152AECjMPz2mnH4mgBJ75E4ggGRK2pwMrpTycQwGhS9o"",""2025-26!G4"")"),2.98E7)</f>
        <v>29800000</v>
      </c>
      <c r="M65" s="55">
        <f t="shared" si="47"/>
        <v>23083016.31</v>
      </c>
      <c r="N65" s="56">
        <f t="shared" si="48"/>
        <v>0.7337289933</v>
      </c>
      <c r="O65" s="57">
        <f t="shared" si="49"/>
        <v>21865124</v>
      </c>
      <c r="P65" s="55">
        <f>IFERROR(__xludf.DUMMYFUNCTION("IMPORTRANGE(""152AECjMPz2mnH4mgBJ75E4ggGRK2pwMrpTycQwGhS9o"",""2025-26!J4"")"),1583000.0)</f>
        <v>1583000</v>
      </c>
      <c r="Q65" s="55">
        <f>IFERROR(__xludf.DUMMYFUNCTION("IMPORTRANGE(""152AECjMPz2mnH4mgBJ75E4ggGRK2pwMrpTycQwGhS9o"",""2025-26!J3"")"),94.0)</f>
        <v>94</v>
      </c>
      <c r="R65" s="55">
        <f>IFERROR(__xludf.DUMMYFUNCTION("IMPORTRANGE(""152AECjMPz2mnH4mgBJ75E4ggGRK2pwMrpTycQwGhS9o"",""2025-26!K4"")"),892671.8899999999)</f>
        <v>892671.89</v>
      </c>
      <c r="S65" s="55">
        <f>IFERROR(__xludf.DUMMYFUNCTION("IMPORTRANGE(""152AECjMPz2mnH4mgBJ75E4ggGRK2pwMrpTycQwGhS9o"",""2025-26!K3"")"),23.0)</f>
        <v>23</v>
      </c>
      <c r="T65" s="58">
        <f t="shared" si="18"/>
        <v>0.416585597</v>
      </c>
      <c r="U65" s="55">
        <f>IFERROR(__xludf.DUMMYFUNCTION("IMPORTRANGE(""152AECjMPz2mnH4mgBJ75E4ggGRK2pwMrpTycQwGhS9o"",""2025-26!L4"")"),659455.0)</f>
        <v>659455</v>
      </c>
      <c r="V65" s="55">
        <f>IFERROR(__xludf.DUMMYFUNCTION("IMPORTRANGE(""152AECjMPz2mnH4mgBJ75E4ggGRK2pwMrpTycQwGhS9o"",""2025-26!L3"")"),19.0)</f>
        <v>19</v>
      </c>
      <c r="W65" s="55">
        <f>IFERROR(__xludf.DUMMYFUNCTION("IMPORTRANGE(""152AECjMPz2mnH4mgBJ75E4ggGRK2pwMrpTycQwGhS9o"",""2025-26!m4"")"),1803000.0)</f>
        <v>1803000</v>
      </c>
      <c r="X65" s="55">
        <f>IFERROR(__xludf.DUMMYFUNCTION("IMPORTRANGE(""152AECjMPz2mnH4mgBJ75E4ggGRK2pwMrpTycQwGhS9o"",""2025-26!m3"")"),98.0)</f>
        <v>98</v>
      </c>
      <c r="Y65" s="55">
        <f>IFERROR(__xludf.DUMMYFUNCTION("IMPORTRANGE(""152AECjMPz2mnH4mgBJ75E4ggGRK2pwMrpTycQwGhS9o"",""2025-26!N4"")"),1129936.2)</f>
        <v>1129936.2</v>
      </c>
      <c r="Z65" s="55">
        <f>IFERROR(__xludf.DUMMYFUNCTION("IMPORTRANGE(""152AECjMPz2mnH4mgBJ75E4ggGRK2pwMrpTycQwGhS9o"",""2025-26!N3"")"),32.0)</f>
        <v>32</v>
      </c>
      <c r="AA65" s="58">
        <f t="shared" si="19"/>
        <v>0.5559123683</v>
      </c>
      <c r="AB65" s="55">
        <f>IFERROR(__xludf.DUMMYFUNCTION("IMPORTRANGE(""152AECjMPz2mnH4mgBJ75E4ggGRK2pwMrpTycQwGhS9o"",""2025-26!O4"")"),1002310.0)</f>
        <v>1002310</v>
      </c>
      <c r="AC65" s="55">
        <f>IFERROR(__xludf.DUMMYFUNCTION("IMPORTRANGE(""152AECjMPz2mnH4mgBJ75E4ggGRK2pwMrpTycQwGhS9o"",""2025-26!O3"")"),29.0)</f>
        <v>29</v>
      </c>
      <c r="AD65" s="55">
        <f>IFERROR(__xludf.DUMMYFUNCTION("IMPORTRANGE(""152AECjMPz2mnH4mgBJ75E4ggGRK2pwMrpTycQwGhS9o"",""2025-26!P4"")"),3403000.0)</f>
        <v>3403000</v>
      </c>
      <c r="AE65" s="55">
        <f>IFERROR(__xludf.DUMMYFUNCTION("IMPORTRANGE(""152AECjMPz2mnH4mgBJ75E4ggGRK2pwMrpTycQwGhS9o"",""2025-26!P3"")"),99.0)</f>
        <v>99</v>
      </c>
      <c r="AF65" s="55">
        <f>IFERROR(__xludf.DUMMYFUNCTION("IMPORTRANGE(""152AECjMPz2mnH4mgBJ75E4ggGRK2pwMrpTycQwGhS9o"",""2025-26!Q4"")"),2880104.615830075)</f>
        <v>2880104.616</v>
      </c>
      <c r="AG65" s="55">
        <f>IFERROR(__xludf.DUMMYFUNCTION("IMPORTRANGE(""152AECjMPz2mnH4mgBJ75E4ggGRK2pwMrpTycQwGhS9o"",""2025-26!Q3"")"),39.0)</f>
        <v>39</v>
      </c>
      <c r="AH65" s="58">
        <f t="shared" si="20"/>
        <v>0.7399591537</v>
      </c>
      <c r="AI65" s="55">
        <f>IFERROR(__xludf.DUMMYFUNCTION("IMPORTRANGE(""152AECjMPz2mnH4mgBJ75E4ggGRK2pwMrpTycQwGhS9o"",""2025-26!R4"")"),2518081.0)</f>
        <v>2518081</v>
      </c>
      <c r="AJ65" s="55">
        <f>IFERROR(__xludf.DUMMYFUNCTION("IMPORTRANGE(""152AECjMPz2mnH4mgBJ75E4ggGRK2pwMrpTycQwGhS9o"",""2025-26!R3"")"),38.0)</f>
        <v>38</v>
      </c>
      <c r="AK65" s="55">
        <f>IFERROR(__xludf.DUMMYFUNCTION("IMPORTRANGE(""152AECjMPz2mnH4mgBJ75E4ggGRK2pwMrpTycQwGhS9o"",""2025-26!S4"")"),2260000.0)</f>
        <v>2260000</v>
      </c>
      <c r="AL65" s="55">
        <f>IFERROR(__xludf.DUMMYFUNCTION("IMPORTRANGE(""152AECjMPz2mnH4mgBJ75E4ggGRK2pwMrpTycQwGhS9o"",""2025-26!S3"")"),97.0)</f>
        <v>97</v>
      </c>
      <c r="AM65" s="55">
        <f>IFERROR(__xludf.DUMMYFUNCTION("IMPORTRANGE(""152AECjMPz2mnH4mgBJ75E4ggGRK2pwMrpTycQwGhS9o"",""2025-26!T4"")"),1958940.3999999997)</f>
        <v>1958940.4</v>
      </c>
      <c r="AN65" s="55">
        <f>IFERROR(__xludf.DUMMYFUNCTION("IMPORTRANGE(""152AECjMPz2mnH4mgBJ75E4ggGRK2pwMrpTycQwGhS9o"",""2025-26!T3"")"),39.0)</f>
        <v>39</v>
      </c>
      <c r="AO65" s="58">
        <f t="shared" si="21"/>
        <v>0.8398230088</v>
      </c>
      <c r="AP65" s="55">
        <f>IFERROR(__xludf.DUMMYFUNCTION("IMPORTRANGE(""152AECjMPz2mnH4mgBJ75E4ggGRK2pwMrpTycQwGhS9o"",""2025-26!U4"")"),1898000.0)</f>
        <v>1898000</v>
      </c>
      <c r="AQ65" s="55">
        <f>IFERROR(__xludf.DUMMYFUNCTION("IMPORTRANGE(""152AECjMPz2mnH4mgBJ75E4ggGRK2pwMrpTycQwGhS9o"",""2025-26!U3"")"),40.0)</f>
        <v>40</v>
      </c>
      <c r="AR65" s="55">
        <f>IFERROR(__xludf.DUMMYFUNCTION("IMPORTRANGE(""152AECjMPz2mnH4mgBJ75E4ggGRK2pwMrpTycQwGhS9o"",""2025-26!V4"")"),2420000.0)</f>
        <v>2420000</v>
      </c>
      <c r="AS65" s="55">
        <f>IFERROR(__xludf.DUMMYFUNCTION("IMPORTRANGE(""152AECjMPz2mnH4mgBJ75E4ggGRK2pwMrpTycQwGhS9o"",""2025-26!V3"")"),99.0)</f>
        <v>99</v>
      </c>
      <c r="AT65" s="55">
        <f>IFERROR(__xludf.DUMMYFUNCTION("IMPORTRANGE(""152AECjMPz2mnH4mgBJ75E4ggGRK2pwMrpTycQwGhS9o"",""2025-26!W4"")"),1936004.2899999993)</f>
        <v>1936004.29</v>
      </c>
      <c r="AU65" s="55">
        <f>IFERROR(__xludf.DUMMYFUNCTION("IMPORTRANGE(""152AECjMPz2mnH4mgBJ75E4ggGRK2pwMrpTycQwGhS9o"",""2025-26!W3"")"),48.0)</f>
        <v>48</v>
      </c>
      <c r="AV65" s="58">
        <f t="shared" si="22"/>
        <v>0.7495450413</v>
      </c>
      <c r="AW65" s="55">
        <f>IFERROR(__xludf.DUMMYFUNCTION("IMPORTRANGE(""152AECjMPz2mnH4mgBJ75E4ggGRK2pwMrpTycQwGhS9o"",""2025-26!X4"")"),1813899.0)</f>
        <v>1813899</v>
      </c>
      <c r="AX65" s="55">
        <f>IFERROR(__xludf.DUMMYFUNCTION("IMPORTRANGE(""152AECjMPz2mnH4mgBJ75E4ggGRK2pwMrpTycQwGhS9o"",""2025-26!X3"")"),47.0)</f>
        <v>47</v>
      </c>
      <c r="AY65" s="55">
        <f>IFERROR(__xludf.DUMMYFUNCTION("IMPORTRANGE(""152AECjMPz2mnH4mgBJ75E4ggGRK2pwMrpTycQwGhS9o"",""2025-26!Y4"")"),2560000.0)</f>
        <v>2560000</v>
      </c>
      <c r="AZ65" s="55">
        <f>IFERROR(__xludf.DUMMYFUNCTION("IMPORTRANGE(""152AECjMPz2mnH4mgBJ75E4ggGRK2pwMrpTycQwGhS9o"",""2025-26!Y3"")"),99.0)</f>
        <v>99</v>
      </c>
      <c r="BA65" s="55">
        <f>IFERROR(__xludf.DUMMYFUNCTION("IMPORTRANGE(""152AECjMPz2mnH4mgBJ75E4ggGRK2pwMrpTycQwGhS9o"",""2025-26!Z4"")"),1750914.17)</f>
        <v>1750914.17</v>
      </c>
      <c r="BB65" s="55">
        <f>IFERROR(__xludf.DUMMYFUNCTION("IMPORTRANGE(""152AECjMPz2mnH4mgBJ75E4ggGRK2pwMrpTycQwGhS9o"",""2025-26!Z3"")"),53.0)</f>
        <v>53</v>
      </c>
      <c r="BC65" s="59">
        <f t="shared" si="23"/>
        <v>0.6705210938</v>
      </c>
      <c r="BD65" s="55">
        <f>IFERROR(__xludf.DUMMYFUNCTION("IMPORTRANGE(""152AECjMPz2mnH4mgBJ75E4ggGRK2pwMrpTycQwGhS9o"",""2025-26!AA4"")"),1716534.0)</f>
        <v>1716534</v>
      </c>
      <c r="BE65" s="55">
        <f>IFERROR(__xludf.DUMMYFUNCTION("IMPORTRANGE(""152AECjMPz2mnH4mgBJ75E4ggGRK2pwMrpTycQwGhS9o"",""2025-26!AA3"")"),52.0)</f>
        <v>52</v>
      </c>
      <c r="BF65" s="55">
        <f>IFERROR(__xludf.DUMMYFUNCTION("IMPORTRANGE(""152AECjMPz2mnH4mgBJ75E4ggGRK2pwMrpTycQwGhS9o"",""2025-26!AB4"")"),2500000.0)</f>
        <v>2500000</v>
      </c>
      <c r="BG65" s="55">
        <f>IFERROR(__xludf.DUMMYFUNCTION("IMPORTRANGE(""152AECjMPz2mnH4mgBJ75E4ggGRK2pwMrpTycQwGhS9o"",""2025-26!AB3"")"),103.0)</f>
        <v>103</v>
      </c>
      <c r="BH65" s="55">
        <f>IFERROR(__xludf.DUMMYFUNCTION("IMPORTRANGE(""152AECjMPz2mnH4mgBJ75E4ggGRK2pwMrpTycQwGhS9o"",""2025-26!AC4"")"),1549492.58)</f>
        <v>1549492.58</v>
      </c>
      <c r="BI65" s="55">
        <f>IFERROR(__xludf.DUMMYFUNCTION("IMPORTRANGE(""152AECjMPz2mnH4mgBJ75E4ggGRK2pwMrpTycQwGhS9o"",""2025-26!AC3"")"),36.0)</f>
        <v>36</v>
      </c>
      <c r="BJ65" s="59">
        <f t="shared" si="24"/>
        <v>0.7920536</v>
      </c>
      <c r="BK65" s="55">
        <f>IFERROR(__xludf.DUMMYFUNCTION("IMPORTRANGE(""152AECjMPz2mnH4mgBJ75E4ggGRK2pwMrpTycQwGhS9o"",""2025-26!AD4"")"),1980134.0)</f>
        <v>1980134</v>
      </c>
      <c r="BL65" s="55">
        <f>IFERROR(__xludf.DUMMYFUNCTION("IMPORTRANGE(""152AECjMPz2mnH4mgBJ75E4ggGRK2pwMrpTycQwGhS9o"",""2025-26!AD3"")"),37.0)</f>
        <v>37</v>
      </c>
      <c r="BM65" s="55">
        <f>IFERROR(__xludf.DUMMYFUNCTION("IMPORTRANGE(""152AECjMPz2mnH4mgBJ75E4ggGRK2pwMrpTycQwGhS9o"",""2025-26!AE4"")"),2545000.0)</f>
        <v>2545000</v>
      </c>
      <c r="BN65" s="55">
        <f>IFERROR(__xludf.DUMMYFUNCTION("IMPORTRANGE(""152AECjMPz2mnH4mgBJ75E4ggGRK2pwMrpTycQwGhS9o"",""2025-26!AE3"")"),105.0)</f>
        <v>105</v>
      </c>
      <c r="BO65" s="55">
        <f>IFERROR(__xludf.DUMMYFUNCTION("IMPORTRANGE(""152AECjMPz2mnH4mgBJ75E4ggGRK2pwMrpTycQwGhS9o"",""2025-26!AF4"")"),1609456.0600000003)</f>
        <v>1609456.06</v>
      </c>
      <c r="BP65" s="55">
        <f>IFERROR(__xludf.DUMMYFUNCTION("IMPORTRANGE(""152AECjMPz2mnH4mgBJ75E4ggGRK2pwMrpTycQwGhS9o"",""2025-26!AF3"")"),46.0)</f>
        <v>46</v>
      </c>
      <c r="BQ65" s="59">
        <f t="shared" si="25"/>
        <v>0.5227375246</v>
      </c>
      <c r="BR65" s="55">
        <f>IFERROR(__xludf.DUMMYFUNCTION("IMPORTRANGE(""152AECjMPz2mnH4mgBJ75E4ggGRK2pwMrpTycQwGhS9o"",""2025-26!AG4"")"),1330367.0)</f>
        <v>1330367</v>
      </c>
      <c r="BS65" s="55">
        <f>IFERROR(__xludf.DUMMYFUNCTION("IMPORTRANGE(""152AECjMPz2mnH4mgBJ75E4ggGRK2pwMrpTycQwGhS9o"",""2025-26!AG3"")"),37.0)</f>
        <v>37</v>
      </c>
      <c r="BT65" s="55">
        <f>IFERROR(__xludf.DUMMYFUNCTION("IMPORTRANGE(""152AECjMPz2mnH4mgBJ75E4ggGRK2pwMrpTycQwGhS9o"",""2025-26!AH4"")"),2975000.0)</f>
        <v>2975000</v>
      </c>
      <c r="BU65" s="55">
        <f>IFERROR(__xludf.DUMMYFUNCTION("IMPORTRANGE(""152AECjMPz2mnH4mgBJ75E4ggGRK2pwMrpTycQwGhS9o"",""2025-26!AH3"")"),109.0)</f>
        <v>109</v>
      </c>
      <c r="BV65" s="55">
        <f>IFERROR(__xludf.DUMMYFUNCTION("IMPORTRANGE(""152AECjMPz2mnH4mgBJ75E4ggGRK2pwMrpTycQwGhS9o"",""2025-26!AI4"")"),2527748.9899999998)</f>
        <v>2527748.99</v>
      </c>
      <c r="BW65" s="55">
        <f>IFERROR(__xludf.DUMMYFUNCTION("IMPORTRANGE(""152AECjMPz2mnH4mgBJ75E4ggGRK2pwMrpTycQwGhS9o"",""2025-26!AI3"")"),48.0)</f>
        <v>48</v>
      </c>
      <c r="BX65" s="59">
        <f t="shared" si="26"/>
        <v>0.9053462185</v>
      </c>
      <c r="BY65" s="55">
        <f>IFERROR(__xludf.DUMMYFUNCTION("IMPORTRANGE(""152AECjMPz2mnH4mgBJ75E4ggGRK2pwMrpTycQwGhS9o"",""2025-26!AJ4"")"),2693405.0)</f>
        <v>2693405</v>
      </c>
      <c r="BZ65" s="55">
        <f>IFERROR(__xludf.DUMMYFUNCTION("IMPORTRANGE(""152AECjMPz2mnH4mgBJ75E4ggGRK2pwMrpTycQwGhS9o"",""2025-26!AJ3"")"),48.0)</f>
        <v>48</v>
      </c>
      <c r="CA65" s="55">
        <f>IFERROR(__xludf.DUMMYFUNCTION("IMPORTRANGE(""152AECjMPz2mnH4mgBJ75E4ggGRK2pwMrpTycQwGhS9o"",""2025-26!AK4"")"),2915000.0)</f>
        <v>2915000</v>
      </c>
      <c r="CB65" s="55">
        <f>IFERROR(__xludf.DUMMYFUNCTION("IMPORTRANGE(""152AECjMPz2mnH4mgBJ75E4ggGRK2pwMrpTycQwGhS9o"",""2025-26!AK3"")"),108.0)</f>
        <v>108</v>
      </c>
      <c r="CC65" s="55">
        <f>IFERROR(__xludf.DUMMYFUNCTION("IMPORTRANGE(""152AECjMPz2mnH4mgBJ75E4ggGRK2pwMrpTycQwGhS9o"",""2025-26!AL4"")"),2611704.7700000005)</f>
        <v>2611704.77</v>
      </c>
      <c r="CD65" s="55">
        <f>IFERROR(__xludf.DUMMYFUNCTION("IMPORTRANGE(""152AECjMPz2mnH4mgBJ75E4ggGRK2pwMrpTycQwGhS9o"",""2025-26!AL3"")"),50.0)</f>
        <v>50</v>
      </c>
      <c r="CE65" s="59">
        <f t="shared" si="27"/>
        <v>0.7794682676</v>
      </c>
      <c r="CF65" s="55">
        <f>IFERROR(__xludf.DUMMYFUNCTION("IMPORTRANGE(""152AECjMPz2mnH4mgBJ75E4ggGRK2pwMrpTycQwGhS9o"",""2025-26!AM4"")"),2272150.0)</f>
        <v>2272150</v>
      </c>
      <c r="CG65" s="55">
        <f>IFERROR(__xludf.DUMMYFUNCTION("IMPORTRANGE(""152AECjMPz2mnH4mgBJ75E4ggGRK2pwMrpTycQwGhS9o"",""2025-26!AM3"")"),49.0)</f>
        <v>49</v>
      </c>
      <c r="CH65" s="55">
        <f>IFERROR(__xludf.DUMMYFUNCTION("IMPORTRANGE(""152AECjMPz2mnH4mgBJ75E4ggGRK2pwMrpTycQwGhS9o"",""2025-26!AN4"")"),2940000.0)</f>
        <v>2940000</v>
      </c>
      <c r="CI65" s="55">
        <f>IFERROR(__xludf.DUMMYFUNCTION("IMPORTRANGE(""152AECjMPz2mnH4mgBJ75E4ggGRK2pwMrpTycQwGhS9o"",""2025-26!AN3"")"),108.0)</f>
        <v>108</v>
      </c>
      <c r="CJ65" s="55">
        <f>IFERROR(__xludf.DUMMYFUNCTION("IMPORTRANGE(""152AECjMPz2mnH4mgBJ75E4ggGRK2pwMrpTycQwGhS9o"",""2025-26!AO4"")"),1639754.6999999993)</f>
        <v>1639754.7</v>
      </c>
      <c r="CK65" s="55">
        <f>IFERROR(__xludf.DUMMYFUNCTION("IMPORTRANGE(""152AECjMPz2mnH4mgBJ75E4ggGRK2pwMrpTycQwGhS9o"",""2025-26!AO3"")"),48.0)</f>
        <v>48</v>
      </c>
      <c r="CL65" s="59">
        <f t="shared" si="28"/>
        <v>0.5552044218</v>
      </c>
      <c r="CM65" s="55">
        <f>IFERROR(__xludf.DUMMYFUNCTION("IMPORTRANGE(""152AECjMPz2mnH4mgBJ75E4ggGRK2pwMrpTycQwGhS9o"",""2025-26!AP4"")"),1632301.0)</f>
        <v>1632301</v>
      </c>
      <c r="CN65" s="55">
        <f>IFERROR(__xludf.DUMMYFUNCTION("IMPORTRANGE(""152AECjMPz2mnH4mgBJ75E4ggGRK2pwMrpTycQwGhS9o"",""2025-26!AP3"")"),46.0)</f>
        <v>46</v>
      </c>
      <c r="CO65" s="55">
        <f>IFERROR(__xludf.DUMMYFUNCTION("IMPORTRANGE(""152AECjMPz2mnH4mgBJ75E4ggGRK2pwMrpTycQwGhS9o"",""2025-26!AQ4"")"),2945000.0)</f>
        <v>2945000</v>
      </c>
      <c r="CP65" s="55">
        <f>IFERROR(__xludf.DUMMYFUNCTION("IMPORTRANGE(""152AECjMPz2mnH4mgBJ75E4ggGRK2pwMrpTycQwGhS9o"",""2025-26!AQ3"")"),108.0)</f>
        <v>108</v>
      </c>
      <c r="CQ65" s="55">
        <f>IFERROR(__xludf.DUMMYFUNCTION("IMPORTRANGE(""152AECjMPz2mnH4mgBJ75E4ggGRK2pwMrpTycQwGhS9o"",""2025-26!AR4"")"),2596287.64)</f>
        <v>2596287.64</v>
      </c>
      <c r="CR65" s="55">
        <f>IFERROR(__xludf.DUMMYFUNCTION("IMPORTRANGE(""152AECjMPz2mnH4mgBJ75E4ggGRK2pwMrpTycQwGhS9o"",""2025-26!AR3"")"),40.0)</f>
        <v>40</v>
      </c>
      <c r="CS65" s="59">
        <f t="shared" si="29"/>
        <v>0.797449236</v>
      </c>
      <c r="CT65" s="55">
        <f>IFERROR(__xludf.DUMMYFUNCTION("IMPORTRANGE(""152AECjMPz2mnH4mgBJ75E4ggGRK2pwMrpTycQwGhS9o"",""2025-26!AS4"")"),2348488.0)</f>
        <v>2348488</v>
      </c>
      <c r="CU65" s="55">
        <f>IFERROR(__xludf.DUMMYFUNCTION("IMPORTRANGE(""152AECjMPz2mnH4mgBJ75E4ggGRK2pwMrpTycQwGhS9o"",""2025-26!AS3"")"),37.0)</f>
        <v>37</v>
      </c>
      <c r="CV65" s="60" t="s">
        <v>135</v>
      </c>
    </row>
    <row r="66">
      <c r="A66" s="1" t="s">
        <v>126</v>
      </c>
      <c r="B66" s="37"/>
      <c r="C66" s="98" t="s">
        <v>163</v>
      </c>
      <c r="D66" s="49" t="s">
        <v>151</v>
      </c>
      <c r="E66" s="50">
        <v>7.668110084E9</v>
      </c>
      <c r="F66" s="74">
        <v>45187.0</v>
      </c>
      <c r="G66" s="62"/>
      <c r="H66" s="62"/>
      <c r="I66" s="53">
        <f>VLOOKUP($C66,Data!$C:$BV,72,0)</f>
        <v>47925</v>
      </c>
      <c r="J66" s="57">
        <v>1833333.0</v>
      </c>
      <c r="K66" s="55">
        <f>IFERROR(__xludf.DUMMYFUNCTION("IMPORTRANGE(""1jmBFvxVGKQdmVHp9imrnhkW5r-SmJ28k6LqBFIGDm6A"",""2025-26!A3"")"),160.0)</f>
        <v>160</v>
      </c>
      <c r="L66" s="55">
        <f>IFERROR(__xludf.DUMMYFUNCTION("IMPORTRANGE(""1jmBFvxVGKQdmVHp9imrnhkW5r-SmJ28k6LqBFIGDm6A"",""2025-26!G4"")"),2.565E7)</f>
        <v>25650000</v>
      </c>
      <c r="M66" s="55">
        <f t="shared" si="47"/>
        <v>11589685.48</v>
      </c>
      <c r="N66" s="56">
        <f t="shared" si="48"/>
        <v>0.4261010136</v>
      </c>
      <c r="O66" s="57">
        <f t="shared" si="49"/>
        <v>10929491</v>
      </c>
      <c r="P66" s="55">
        <f>IFERROR(__xludf.DUMMYFUNCTION("IMPORTRANGE(""1jmBFvxVGKQdmVHp9imrnhkW5r-SmJ28k6LqBFIGDm6A"",""2025-26!J4"")"),1835000.0)</f>
        <v>1835000</v>
      </c>
      <c r="Q66" s="55">
        <f>IFERROR(__xludf.DUMMYFUNCTION("IMPORTRANGE(""1jmBFvxVGKQdmVHp9imrnhkW5r-SmJ28k6LqBFIGDm6A"",""2025-26!J3"")"),82.0)</f>
        <v>82</v>
      </c>
      <c r="R66" s="55">
        <f>IFERROR(__xludf.DUMMYFUNCTION("IMPORTRANGE(""1jmBFvxVGKQdmVHp9imrnhkW5r-SmJ28k6LqBFIGDm6A"",""2025-26!K4"")"),624884.0)</f>
        <v>624884</v>
      </c>
      <c r="S66" s="55">
        <f>IFERROR(__xludf.DUMMYFUNCTION("IMPORTRANGE(""1jmBFvxVGKQdmVHp9imrnhkW5r-SmJ28k6LqBFIGDm6A"",""2025-26!K3"")"),22.0)</f>
        <v>22</v>
      </c>
      <c r="T66" s="58">
        <f t="shared" si="18"/>
        <v>0.3406583106</v>
      </c>
      <c r="U66" s="55">
        <f>IFERROR(__xludf.DUMMYFUNCTION("IMPORTRANGE(""1jmBFvxVGKQdmVHp9imrnhkW5r-SmJ28k6LqBFIGDm6A"",""2025-26!L4"")"),625108.0)</f>
        <v>625108</v>
      </c>
      <c r="V66" s="55">
        <f>IFERROR(__xludf.DUMMYFUNCTION("IMPORTRANGE(""1jmBFvxVGKQdmVHp9imrnhkW5r-SmJ28k6LqBFIGDm6A"",""2025-26!L3"")"),22.0)</f>
        <v>22</v>
      </c>
      <c r="W66" s="55">
        <f>IFERROR(__xludf.DUMMYFUNCTION("IMPORTRANGE(""1jmBFvxVGKQdmVHp9imrnhkW5r-SmJ28k6LqBFIGDm6A"",""2025-26!m4"")"),1840000.0)</f>
        <v>1840000</v>
      </c>
      <c r="X66" s="55">
        <f>IFERROR(__xludf.DUMMYFUNCTION("IMPORTRANGE(""1jmBFvxVGKQdmVHp9imrnhkW5r-SmJ28k6LqBFIGDm6A"",""2025-26!m3"")"),82.0)</f>
        <v>82</v>
      </c>
      <c r="Y66" s="55">
        <f>IFERROR(__xludf.DUMMYFUNCTION("IMPORTRANGE(""1jmBFvxVGKQdmVHp9imrnhkW5r-SmJ28k6LqBFIGDm6A"",""2025-26!N4"")"),743038.1000000001)</f>
        <v>743038.1</v>
      </c>
      <c r="Z66" s="55">
        <f>IFERROR(__xludf.DUMMYFUNCTION("IMPORTRANGE(""1jmBFvxVGKQdmVHp9imrnhkW5r-SmJ28k6LqBFIGDm6A"",""2025-26!N3"")"),34.0)</f>
        <v>34</v>
      </c>
      <c r="AA66" s="58">
        <f t="shared" si="19"/>
        <v>0.4045233696</v>
      </c>
      <c r="AB66" s="55">
        <f>IFERROR(__xludf.DUMMYFUNCTION("IMPORTRANGE(""1jmBFvxVGKQdmVHp9imrnhkW5r-SmJ28k6LqBFIGDm6A"",""2025-26!O4"")"),744323.0)</f>
        <v>744323</v>
      </c>
      <c r="AC66" s="55">
        <f>IFERROR(__xludf.DUMMYFUNCTION("IMPORTRANGE(""1jmBFvxVGKQdmVHp9imrnhkW5r-SmJ28k6LqBFIGDm6A"",""2025-26!O3"")"),34.0)</f>
        <v>34</v>
      </c>
      <c r="AD66" s="55">
        <f>IFERROR(__xludf.DUMMYFUNCTION("IMPORTRANGE(""1jmBFvxVGKQdmVHp9imrnhkW5r-SmJ28k6LqBFIGDm6A"",""2025-26!P4"")"),1888000.0)</f>
        <v>1888000</v>
      </c>
      <c r="AE66" s="55">
        <f>IFERROR(__xludf.DUMMYFUNCTION("IMPORTRANGE(""1jmBFvxVGKQdmVHp9imrnhkW5r-SmJ28k6LqBFIGDm6A"",""2025-26!P3"")"),82.0)</f>
        <v>82</v>
      </c>
      <c r="AF66" s="55">
        <f>IFERROR(__xludf.DUMMYFUNCTION("IMPORTRANGE(""1jmBFvxVGKQdmVHp9imrnhkW5r-SmJ28k6LqBFIGDm6A"",""2025-26!Q4"")"),746235.5)</f>
        <v>746235.5</v>
      </c>
      <c r="AG66" s="55">
        <f>IFERROR(__xludf.DUMMYFUNCTION("IMPORTRANGE(""1jmBFvxVGKQdmVHp9imrnhkW5r-SmJ28k6LqBFIGDm6A"",""2025-26!Q3"")"),24.0)</f>
        <v>24</v>
      </c>
      <c r="AH66" s="58">
        <f t="shared" si="20"/>
        <v>0.4043564619</v>
      </c>
      <c r="AI66" s="55">
        <f>IFERROR(__xludf.DUMMYFUNCTION("IMPORTRANGE(""1jmBFvxVGKQdmVHp9imrnhkW5r-SmJ28k6LqBFIGDm6A"",""2025-26!R4"")"),763425.0)</f>
        <v>763425</v>
      </c>
      <c r="AJ66" s="55">
        <f>IFERROR(__xludf.DUMMYFUNCTION("IMPORTRANGE(""1jmBFvxVGKQdmVHp9imrnhkW5r-SmJ28k6LqBFIGDm6A"",""2025-26!R3"")"),24.0)</f>
        <v>24</v>
      </c>
      <c r="AK66" s="55">
        <f>IFERROR(__xludf.DUMMYFUNCTION("IMPORTRANGE(""1jmBFvxVGKQdmVHp9imrnhkW5r-SmJ28k6LqBFIGDm6A"",""2025-26!S4"")"),1987000.0)</f>
        <v>1987000</v>
      </c>
      <c r="AL66" s="55">
        <f>IFERROR(__xludf.DUMMYFUNCTION("IMPORTRANGE(""1jmBFvxVGKQdmVHp9imrnhkW5r-SmJ28k6LqBFIGDm6A"",""2025-26!S3"")"),96.0)</f>
        <v>96</v>
      </c>
      <c r="AM66" s="55">
        <f>IFERROR(__xludf.DUMMYFUNCTION("IMPORTRANGE(""1jmBFvxVGKQdmVHp9imrnhkW5r-SmJ28k6LqBFIGDm6A"",""2025-26!T4"")"),733867.51)</f>
        <v>733867.51</v>
      </c>
      <c r="AN66" s="55">
        <f>IFERROR(__xludf.DUMMYFUNCTION("IMPORTRANGE(""1jmBFvxVGKQdmVHp9imrnhkW5r-SmJ28k6LqBFIGDm6A"",""2025-26!T3"")"),36.0)</f>
        <v>36</v>
      </c>
      <c r="AO66" s="58">
        <f t="shared" si="21"/>
        <v>0.3708127831</v>
      </c>
      <c r="AP66" s="55">
        <f>IFERROR(__xludf.DUMMYFUNCTION("IMPORTRANGE(""1jmBFvxVGKQdmVHp9imrnhkW5r-SmJ28k6LqBFIGDm6A"",""2025-26!U4"")"),736805.0)</f>
        <v>736805</v>
      </c>
      <c r="AQ66" s="55">
        <f>IFERROR(__xludf.DUMMYFUNCTION("IMPORTRANGE(""1jmBFvxVGKQdmVHp9imrnhkW5r-SmJ28k6LqBFIGDm6A"",""2025-26!U3"")"),35.0)</f>
        <v>35</v>
      </c>
      <c r="AR66" s="55">
        <f>IFERROR(__xludf.DUMMYFUNCTION("IMPORTRANGE(""1jmBFvxVGKQdmVHp9imrnhkW5r-SmJ28k6LqBFIGDm6A"",""2025-26!V4"")"),1995000.0)</f>
        <v>1995000</v>
      </c>
      <c r="AS66" s="55">
        <f>IFERROR(__xludf.DUMMYFUNCTION("IMPORTRANGE(""1jmBFvxVGKQdmVHp9imrnhkW5r-SmJ28k6LqBFIGDm6A"",""2025-26!V3"")"),96.0)</f>
        <v>96</v>
      </c>
      <c r="AT66" s="55">
        <f>IFERROR(__xludf.DUMMYFUNCTION("IMPORTRANGE(""1jmBFvxVGKQdmVHp9imrnhkW5r-SmJ28k6LqBFIGDm6A"",""2025-26!W4"")"),1000131.3)</f>
        <v>1000131.3</v>
      </c>
      <c r="AU66" s="55">
        <f>IFERROR(__xludf.DUMMYFUNCTION("IMPORTRANGE(""1jmBFvxVGKQdmVHp9imrnhkW5r-SmJ28k6LqBFIGDm6A"",""2025-26!W3"")"),37.0)</f>
        <v>37</v>
      </c>
      <c r="AV66" s="58">
        <f t="shared" si="22"/>
        <v>0.5004581454</v>
      </c>
      <c r="AW66" s="55">
        <f>IFERROR(__xludf.DUMMYFUNCTION("IMPORTRANGE(""1jmBFvxVGKQdmVHp9imrnhkW5r-SmJ28k6LqBFIGDm6A"",""2025-26!X4"")"),998414.0)</f>
        <v>998414</v>
      </c>
      <c r="AX66" s="55">
        <f>IFERROR(__xludf.DUMMYFUNCTION("IMPORTRANGE(""1jmBFvxVGKQdmVHp9imrnhkW5r-SmJ28k6LqBFIGDm6A"",""2025-26!X3"")"),38.0)</f>
        <v>38</v>
      </c>
      <c r="AY66" s="55">
        <f>IFERROR(__xludf.DUMMYFUNCTION("IMPORTRANGE(""1jmBFvxVGKQdmVHp9imrnhkW5r-SmJ28k6LqBFIGDm6A"",""2025-26!Y4"")"),1995000.0)</f>
        <v>1995000</v>
      </c>
      <c r="AZ66" s="55">
        <f>IFERROR(__xludf.DUMMYFUNCTION("IMPORTRANGE(""1jmBFvxVGKQdmVHp9imrnhkW5r-SmJ28k6LqBFIGDm6A"",""2025-26!Y3"")"),96.0)</f>
        <v>96</v>
      </c>
      <c r="BA66" s="55">
        <f>IFERROR(__xludf.DUMMYFUNCTION("IMPORTRANGE(""1jmBFvxVGKQdmVHp9imrnhkW5r-SmJ28k6LqBFIGDm6A"",""2025-26!Z4"")"),1108498.02)</f>
        <v>1108498.02</v>
      </c>
      <c r="BB66" s="55">
        <f>IFERROR(__xludf.DUMMYFUNCTION("IMPORTRANGE(""1jmBFvxVGKQdmVHp9imrnhkW5r-SmJ28k6LqBFIGDm6A"",""2025-26!Z3"")"),40.0)</f>
        <v>40</v>
      </c>
      <c r="BC66" s="59">
        <f t="shared" si="23"/>
        <v>0.5358105263</v>
      </c>
      <c r="BD66" s="55">
        <f>IFERROR(__xludf.DUMMYFUNCTION("IMPORTRANGE(""1jmBFvxVGKQdmVHp9imrnhkW5r-SmJ28k6LqBFIGDm6A"",""2025-26!AA4"")"),1068942.0)</f>
        <v>1068942</v>
      </c>
      <c r="BE66" s="55">
        <f>IFERROR(__xludf.DUMMYFUNCTION("IMPORTRANGE(""1jmBFvxVGKQdmVHp9imrnhkW5r-SmJ28k6LqBFIGDm6A"",""2025-26!AA3"")"),40.0)</f>
        <v>40</v>
      </c>
      <c r="BF66" s="55">
        <f>IFERROR(__xludf.DUMMYFUNCTION("IMPORTRANGE(""1jmBFvxVGKQdmVHp9imrnhkW5r-SmJ28k6LqBFIGDm6A"",""2025-26!AB4"")"),2232000.0)</f>
        <v>2232000</v>
      </c>
      <c r="BG66" s="55">
        <f>IFERROR(__xludf.DUMMYFUNCTION("IMPORTRANGE(""1jmBFvxVGKQdmVHp9imrnhkW5r-SmJ28k6LqBFIGDm6A"",""2025-26!AB3"")"),120.0)</f>
        <v>120</v>
      </c>
      <c r="BH66" s="55">
        <f>IFERROR(__xludf.DUMMYFUNCTION("IMPORTRANGE(""1jmBFvxVGKQdmVHp9imrnhkW5r-SmJ28k6LqBFIGDm6A"",""2025-26!AC4"")"),1642745.61)</f>
        <v>1642745.61</v>
      </c>
      <c r="BI66" s="55">
        <f>IFERROR(__xludf.DUMMYFUNCTION("IMPORTRANGE(""1jmBFvxVGKQdmVHp9imrnhkW5r-SmJ28k6LqBFIGDm6A"",""2025-26!AC3"")"),38.0)</f>
        <v>38</v>
      </c>
      <c r="BJ66" s="59">
        <f t="shared" si="24"/>
        <v>0.7216998208</v>
      </c>
      <c r="BK66" s="55">
        <f>IFERROR(__xludf.DUMMYFUNCTION("IMPORTRANGE(""1jmBFvxVGKQdmVHp9imrnhkW5r-SmJ28k6LqBFIGDm6A"",""2025-26!AD4"")"),1610834.0)</f>
        <v>1610834</v>
      </c>
      <c r="BL66" s="55">
        <f>IFERROR(__xludf.DUMMYFUNCTION("IMPORTRANGE(""1jmBFvxVGKQdmVHp9imrnhkW5r-SmJ28k6LqBFIGDm6A"",""2025-26!AD3"")"),37.0)</f>
        <v>37</v>
      </c>
      <c r="BM66" s="55">
        <f>IFERROR(__xludf.DUMMYFUNCTION("IMPORTRANGE(""1jmBFvxVGKQdmVHp9imrnhkW5r-SmJ28k6LqBFIGDm6A"",""2025-26!AE4"")"),2160000.0)</f>
        <v>2160000</v>
      </c>
      <c r="BN66" s="55">
        <f>IFERROR(__xludf.DUMMYFUNCTION("IMPORTRANGE(""1jmBFvxVGKQdmVHp9imrnhkW5r-SmJ28k6LqBFIGDm6A"",""2025-26!AE3"")"),120.0)</f>
        <v>120</v>
      </c>
      <c r="BO66" s="55">
        <f>IFERROR(__xludf.DUMMYFUNCTION("IMPORTRANGE(""1jmBFvxVGKQdmVHp9imrnhkW5r-SmJ28k6LqBFIGDm6A"",""2025-26!AF4"")"),742450.7999999999)</f>
        <v>742450.8</v>
      </c>
      <c r="BP66" s="55">
        <f>IFERROR(__xludf.DUMMYFUNCTION("IMPORTRANGE(""1jmBFvxVGKQdmVHp9imrnhkW5r-SmJ28k6LqBFIGDm6A"",""2025-26!AF3"")"),32.0)</f>
        <v>32</v>
      </c>
      <c r="BQ66" s="59">
        <f t="shared" si="25"/>
        <v>0.3299560185</v>
      </c>
      <c r="BR66" s="55">
        <f>IFERROR(__xludf.DUMMYFUNCTION("IMPORTRANGE(""1jmBFvxVGKQdmVHp9imrnhkW5r-SmJ28k6LqBFIGDm6A"",""2025-26!AG4"")"),712705.0)</f>
        <v>712705</v>
      </c>
      <c r="BS66" s="55">
        <f>IFERROR(__xludf.DUMMYFUNCTION("IMPORTRANGE(""1jmBFvxVGKQdmVHp9imrnhkW5r-SmJ28k6LqBFIGDm6A"",""2025-26!AG3"")"),31.0)</f>
        <v>31</v>
      </c>
      <c r="BT66" s="55">
        <f>IFERROR(__xludf.DUMMYFUNCTION("IMPORTRANGE(""1jmBFvxVGKQdmVHp9imrnhkW5r-SmJ28k6LqBFIGDm6A"",""2025-26!AH4"")"),2355000.0)</f>
        <v>2355000</v>
      </c>
      <c r="BU66" s="55">
        <f>IFERROR(__xludf.DUMMYFUNCTION("IMPORTRANGE(""1jmBFvxVGKQdmVHp9imrnhkW5r-SmJ28k6LqBFIGDm6A"",""2025-26!AH3"")"),124.0)</f>
        <v>124</v>
      </c>
      <c r="BV66" s="55">
        <f>IFERROR(__xludf.DUMMYFUNCTION("IMPORTRANGE(""1jmBFvxVGKQdmVHp9imrnhkW5r-SmJ28k6LqBFIGDm6A"",""2025-26!AI4"")"),1153519.5)</f>
        <v>1153519.5</v>
      </c>
      <c r="BW66" s="55">
        <f>IFERROR(__xludf.DUMMYFUNCTION("IMPORTRANGE(""1jmBFvxVGKQdmVHp9imrnhkW5r-SmJ28k6LqBFIGDm6A"",""2025-26!AI3"")"),38.0)</f>
        <v>38</v>
      </c>
      <c r="BX66" s="59">
        <f t="shared" si="26"/>
        <v>0.4896921444</v>
      </c>
      <c r="BY66" s="55">
        <f>IFERROR(__xludf.DUMMYFUNCTION("IMPORTRANGE(""1jmBFvxVGKQdmVHp9imrnhkW5r-SmJ28k6LqBFIGDm6A"",""2025-26!AJ4"")"),1153225.0)</f>
        <v>1153225</v>
      </c>
      <c r="BZ66" s="55">
        <f>IFERROR(__xludf.DUMMYFUNCTION("IMPORTRANGE(""1jmBFvxVGKQdmVHp9imrnhkW5r-SmJ28k6LqBFIGDm6A"",""2025-26!AJ3"")"),39.0)</f>
        <v>39</v>
      </c>
      <c r="CA66" s="55">
        <f>IFERROR(__xludf.DUMMYFUNCTION("IMPORTRANGE(""1jmBFvxVGKQdmVHp9imrnhkW5r-SmJ28k6LqBFIGDm6A"",""2025-26!AK4"")"),2305000.0)</f>
        <v>2305000</v>
      </c>
      <c r="CB66" s="55">
        <f>IFERROR(__xludf.DUMMYFUNCTION("IMPORTRANGE(""1jmBFvxVGKQdmVHp9imrnhkW5r-SmJ28k6LqBFIGDm6A"",""2025-26!AK3"")"),124.0)</f>
        <v>124</v>
      </c>
      <c r="CC66" s="55">
        <f>IFERROR(__xludf.DUMMYFUNCTION("IMPORTRANGE(""1jmBFvxVGKQdmVHp9imrnhkW5r-SmJ28k6LqBFIGDm6A"",""2025-26!AL4"")"),951432.7400000001)</f>
        <v>951432.74</v>
      </c>
      <c r="CD66" s="55">
        <f>IFERROR(__xludf.DUMMYFUNCTION("IMPORTRANGE(""1jmBFvxVGKQdmVHp9imrnhkW5r-SmJ28k6LqBFIGDm6A"",""2025-26!AL3"")"),27.0)</f>
        <v>27</v>
      </c>
      <c r="CE66" s="59">
        <f t="shared" si="27"/>
        <v>0.3245232104</v>
      </c>
      <c r="CF66" s="55">
        <f>IFERROR(__xludf.DUMMYFUNCTION("IMPORTRANGE(""1jmBFvxVGKQdmVHp9imrnhkW5r-SmJ28k6LqBFIGDm6A"",""2025-26!AM4"")"),748026.0)</f>
        <v>748026</v>
      </c>
      <c r="CG66" s="55">
        <f>IFERROR(__xludf.DUMMYFUNCTION("IMPORTRANGE(""1jmBFvxVGKQdmVHp9imrnhkW5r-SmJ28k6LqBFIGDm6A"",""2025-26!AM3"")"),27.0)</f>
        <v>27</v>
      </c>
      <c r="CH66" s="55">
        <f>IFERROR(__xludf.DUMMYFUNCTION("IMPORTRANGE(""1jmBFvxVGKQdmVHp9imrnhkW5r-SmJ28k6LqBFIGDm6A"",""2025-26!AN4"")"),2405000.0)</f>
        <v>2405000</v>
      </c>
      <c r="CI66" s="55">
        <f>IFERROR(__xludf.DUMMYFUNCTION("IMPORTRANGE(""1jmBFvxVGKQdmVHp9imrnhkW5r-SmJ28k6LqBFIGDm6A"",""2025-26!AN3"")"),125.0)</f>
        <v>125</v>
      </c>
      <c r="CJ66" s="55">
        <f>IFERROR(__xludf.DUMMYFUNCTION("IMPORTRANGE(""1jmBFvxVGKQdmVHp9imrnhkW5r-SmJ28k6LqBFIGDm6A"",""2025-26!AO4"")"),941604.8)</f>
        <v>941604.8</v>
      </c>
      <c r="CK66" s="55">
        <f>IFERROR(__xludf.DUMMYFUNCTION("IMPORTRANGE(""1jmBFvxVGKQdmVHp9imrnhkW5r-SmJ28k6LqBFIGDm6A"",""2025-26!AO3"")"),21.0)</f>
        <v>21</v>
      </c>
      <c r="CL66" s="59">
        <f t="shared" si="28"/>
        <v>0.3608407484</v>
      </c>
      <c r="CM66" s="55">
        <f>IFERROR(__xludf.DUMMYFUNCTION("IMPORTRANGE(""1jmBFvxVGKQdmVHp9imrnhkW5r-SmJ28k6LqBFIGDm6A"",""2025-26!AP4"")"),867822.0)</f>
        <v>867822</v>
      </c>
      <c r="CN66" s="55">
        <f>IFERROR(__xludf.DUMMYFUNCTION("IMPORTRANGE(""1jmBFvxVGKQdmVHp9imrnhkW5r-SmJ28k6LqBFIGDm6A"",""2025-26!AP3"")"),21.0)</f>
        <v>21</v>
      </c>
      <c r="CO66" s="55">
        <f>IFERROR(__xludf.DUMMYFUNCTION("IMPORTRANGE(""1jmBFvxVGKQdmVHp9imrnhkW5r-SmJ28k6LqBFIGDm6A"",""2025-26!AQ4"")"),2390000.0)</f>
        <v>2390000</v>
      </c>
      <c r="CP66" s="55">
        <f>IFERROR(__xludf.DUMMYFUNCTION("IMPORTRANGE(""1jmBFvxVGKQdmVHp9imrnhkW5r-SmJ28k6LqBFIGDm6A"",""2025-26!AQ3"")"),125.0)</f>
        <v>125</v>
      </c>
      <c r="CQ66" s="55">
        <f>IFERROR(__xludf.DUMMYFUNCTION("IMPORTRANGE(""1jmBFvxVGKQdmVHp9imrnhkW5r-SmJ28k6LqBFIGDm6A"",""2025-26!AR4"")"),1201277.6)</f>
        <v>1201277.6</v>
      </c>
      <c r="CR66" s="55">
        <f>IFERROR(__xludf.DUMMYFUNCTION("IMPORTRANGE(""1jmBFvxVGKQdmVHp9imrnhkW5r-SmJ28k6LqBFIGDm6A"",""2025-26!AR3"")"),29.0)</f>
        <v>29</v>
      </c>
      <c r="CS66" s="59">
        <f t="shared" si="29"/>
        <v>0.3765112971</v>
      </c>
      <c r="CT66" s="55">
        <f>IFERROR(__xludf.DUMMYFUNCTION("IMPORTRANGE(""1jmBFvxVGKQdmVHp9imrnhkW5r-SmJ28k6LqBFIGDm6A"",""2025-26!AS4"")"),899862.0)</f>
        <v>899862</v>
      </c>
      <c r="CU66" s="55">
        <f>IFERROR(__xludf.DUMMYFUNCTION("IMPORTRANGE(""1jmBFvxVGKQdmVHp9imrnhkW5r-SmJ28k6LqBFIGDm6A"",""2025-26!AS3"")"),25.0)</f>
        <v>25</v>
      </c>
      <c r="CV66" s="60" t="s">
        <v>130</v>
      </c>
    </row>
    <row r="67">
      <c r="A67" s="1" t="s">
        <v>126</v>
      </c>
      <c r="B67" s="37"/>
      <c r="C67" s="98" t="s">
        <v>164</v>
      </c>
      <c r="D67" s="49" t="s">
        <v>153</v>
      </c>
      <c r="E67" s="50">
        <v>9.839706875E9</v>
      </c>
      <c r="F67" s="74">
        <v>45323.0</v>
      </c>
      <c r="G67" s="62"/>
      <c r="H67" s="62"/>
      <c r="I67" s="53">
        <f>VLOOKUP($C67,Data!$C:$BV,72,0)</f>
        <v>56000</v>
      </c>
      <c r="J67" s="57">
        <f>2100000+400000</f>
        <v>2500000</v>
      </c>
      <c r="K67" s="55">
        <f>IFERROR(__xludf.DUMMYFUNCTION("IMPORTRANGE(""1eZTb0NOMQD308IrvgRFKi0-gbtKGrUXc1Qg96NLMbgk"",""2025-26!A3"")"),144.0)</f>
        <v>144</v>
      </c>
      <c r="L67" s="55">
        <f>IFERROR(__xludf.DUMMYFUNCTION("IMPORTRANGE(""1eZTb0NOMQD308IrvgRFKi0-gbtKGrUXc1Qg96NLMbgk"",""2025-26!G4"")"),4.43E7)</f>
        <v>44300000</v>
      </c>
      <c r="M67" s="55">
        <f t="shared" si="47"/>
        <v>19776686.6</v>
      </c>
      <c r="N67" s="56">
        <f t="shared" si="48"/>
        <v>0.4779067269</v>
      </c>
      <c r="O67" s="57">
        <f t="shared" si="49"/>
        <v>21171268</v>
      </c>
      <c r="P67" s="55">
        <f>IFERROR(__xludf.DUMMYFUNCTION("IMPORTRANGE(""1eZTb0NOMQD308IrvgRFKi0-gbtKGrUXc1Qg96NLMbgk"",""2025-26!J4"")"),1500000.0)</f>
        <v>1500000</v>
      </c>
      <c r="Q67" s="55">
        <f>IFERROR(__xludf.DUMMYFUNCTION("IMPORTRANGE(""1eZTb0NOMQD308IrvgRFKi0-gbtKGrUXc1Qg96NLMbgk"",""2025-26!J3"")"),54.0)</f>
        <v>54</v>
      </c>
      <c r="R67" s="55">
        <f>IFERROR(__xludf.DUMMYFUNCTION("IMPORTRANGE(""1eZTb0NOMQD308IrvgRFKi0-gbtKGrUXc1Qg96NLMbgk"",""2025-26!K4"")"),1130150.2600000002)</f>
        <v>1130150.26</v>
      </c>
      <c r="S67" s="55">
        <f>IFERROR(__xludf.DUMMYFUNCTION("IMPORTRANGE(""1eZTb0NOMQD308IrvgRFKi0-gbtKGrUXc1Qg96NLMbgk"",""2025-26!K3"")"),31.0)</f>
        <v>31</v>
      </c>
      <c r="T67" s="58">
        <f t="shared" si="18"/>
        <v>0.7057326667</v>
      </c>
      <c r="U67" s="55">
        <f>IFERROR(__xludf.DUMMYFUNCTION("IMPORTRANGE(""1eZTb0NOMQD308IrvgRFKi0-gbtKGrUXc1Qg96NLMbgk"",""2025-26!L4"")"),1058599.0)</f>
        <v>1058599</v>
      </c>
      <c r="V67" s="55">
        <f>IFERROR(__xludf.DUMMYFUNCTION("IMPORTRANGE(""1eZTb0NOMQD308IrvgRFKi0-gbtKGrUXc1Qg96NLMbgk"",""2025-26!L3"")"),37.0)</f>
        <v>37</v>
      </c>
      <c r="W67" s="55">
        <f>IFERROR(__xludf.DUMMYFUNCTION("IMPORTRANGE(""1eZTb0NOMQD308IrvgRFKi0-gbtKGrUXc1Qg96NLMbgk"",""2025-26!m4"")"),2135000.0)</f>
        <v>2135000</v>
      </c>
      <c r="X67" s="55">
        <f>IFERROR(__xludf.DUMMYFUNCTION("IMPORTRANGE(""1eZTb0NOMQD308IrvgRFKi0-gbtKGrUXc1Qg96NLMbgk"",""2025-26!m3"")"),80.0)</f>
        <v>80</v>
      </c>
      <c r="Y67" s="55">
        <f>IFERROR(__xludf.DUMMYFUNCTION("IMPORTRANGE(""1eZTb0NOMQD308IrvgRFKi0-gbtKGrUXc1Qg96NLMbgk"",""2025-26!N4"")"),1901757.2)</f>
        <v>1901757.2</v>
      </c>
      <c r="Z67" s="55">
        <f>IFERROR(__xludf.DUMMYFUNCTION("IMPORTRANGE(""1eZTb0NOMQD308IrvgRFKi0-gbtKGrUXc1Qg96NLMbgk"",""2025-26!N3"")"),42.0)</f>
        <v>42</v>
      </c>
      <c r="AA67" s="58">
        <f t="shared" si="19"/>
        <v>0.9541648712</v>
      </c>
      <c r="AB67" s="55">
        <f>IFERROR(__xludf.DUMMYFUNCTION("IMPORTRANGE(""1eZTb0NOMQD308IrvgRFKi0-gbtKGrUXc1Qg96NLMbgk"",""2025-26!O4"")"),2037142.0)</f>
        <v>2037142</v>
      </c>
      <c r="AC67" s="55">
        <f>IFERROR(__xludf.DUMMYFUNCTION("IMPORTRANGE(""1eZTb0NOMQD308IrvgRFKi0-gbtKGrUXc1Qg96NLMbgk"",""2025-26!O3"")"),61.0)</f>
        <v>61</v>
      </c>
      <c r="AD67" s="55">
        <f>IFERROR(__xludf.DUMMYFUNCTION("IMPORTRANGE(""1eZTb0NOMQD308IrvgRFKi0-gbtKGrUXc1Qg96NLMbgk"",""2025-26!P4"")"),2585000.0)</f>
        <v>2585000</v>
      </c>
      <c r="AE67" s="55">
        <f>IFERROR(__xludf.DUMMYFUNCTION("IMPORTRANGE(""1eZTb0NOMQD308IrvgRFKi0-gbtKGrUXc1Qg96NLMbgk"",""2025-26!P3"")"),90.0)</f>
        <v>90</v>
      </c>
      <c r="AF67" s="55">
        <f>IFERROR(__xludf.DUMMYFUNCTION("IMPORTRANGE(""1eZTb0NOMQD308IrvgRFKi0-gbtKGrUXc1Qg96NLMbgk"",""2025-26!Q4"")"),1397565.6)</f>
        <v>1397565.6</v>
      </c>
      <c r="AG67" s="55">
        <f>IFERROR(__xludf.DUMMYFUNCTION("IMPORTRANGE(""1eZTb0NOMQD308IrvgRFKi0-gbtKGrUXc1Qg96NLMbgk"",""2025-26!Q3"")"),24.0)</f>
        <v>24</v>
      </c>
      <c r="AH67" s="58">
        <f t="shared" si="20"/>
        <v>0.5912816248</v>
      </c>
      <c r="AI67" s="55">
        <f>IFERROR(__xludf.DUMMYFUNCTION("IMPORTRANGE(""1eZTb0NOMQD308IrvgRFKi0-gbtKGrUXc1Qg96NLMbgk"",""2025-26!R4"")"),1528463.0)</f>
        <v>1528463</v>
      </c>
      <c r="AJ67" s="55">
        <f>IFERROR(__xludf.DUMMYFUNCTION("IMPORTRANGE(""1eZTb0NOMQD308IrvgRFKi0-gbtKGrUXc1Qg96NLMbgk"",""2025-26!R3"")"),36.0)</f>
        <v>36</v>
      </c>
      <c r="AK67" s="55">
        <f>IFERROR(__xludf.DUMMYFUNCTION("IMPORTRANGE(""1eZTb0NOMQD308IrvgRFKi0-gbtKGrUXc1Qg96NLMbgk"",""2025-26!S4"")"),945000.0)</f>
        <v>945000</v>
      </c>
      <c r="AL67" s="55">
        <f>IFERROR(__xludf.DUMMYFUNCTION("IMPORTRANGE(""1eZTb0NOMQD308IrvgRFKi0-gbtKGrUXc1Qg96NLMbgk"",""2025-26!S3"")"),37.0)</f>
        <v>37</v>
      </c>
      <c r="AM67" s="55">
        <f>IFERROR(__xludf.DUMMYFUNCTION("IMPORTRANGE(""1eZTb0NOMQD308IrvgRFKi0-gbtKGrUXc1Qg96NLMbgk"",""2025-26!T4"")"),1734361.13)</f>
        <v>1734361.13</v>
      </c>
      <c r="AN67" s="55">
        <f>IFERROR(__xludf.DUMMYFUNCTION("IMPORTRANGE(""1eZTb0NOMQD308IrvgRFKi0-gbtKGrUXc1Qg96NLMbgk"",""2025-26!T3"")"),29.0)</f>
        <v>29</v>
      </c>
      <c r="AO67" s="58">
        <f t="shared" si="21"/>
        <v>2.332299471</v>
      </c>
      <c r="AP67" s="55">
        <f>IFERROR(__xludf.DUMMYFUNCTION("IMPORTRANGE(""1eZTb0NOMQD308IrvgRFKi0-gbtKGrUXc1Qg96NLMbgk"",""2025-26!U4"")"),2204023.0)</f>
        <v>2204023</v>
      </c>
      <c r="AQ67" s="55">
        <f>IFERROR(__xludf.DUMMYFUNCTION("IMPORTRANGE(""1eZTb0NOMQD308IrvgRFKi0-gbtKGrUXc1Qg96NLMbgk"",""2025-26!U3"")"),54.0)</f>
        <v>54</v>
      </c>
      <c r="AR67" s="55">
        <f>IFERROR(__xludf.DUMMYFUNCTION("IMPORTRANGE(""1eZTb0NOMQD308IrvgRFKi0-gbtKGrUXc1Qg96NLMbgk"",""2025-26!V4"")"),1725000.0)</f>
        <v>1725000</v>
      </c>
      <c r="AS67" s="55">
        <f>IFERROR(__xludf.DUMMYFUNCTION("IMPORTRANGE(""1eZTb0NOMQD308IrvgRFKi0-gbtKGrUXc1Qg96NLMbgk"",""2025-26!V3"")"),86.0)</f>
        <v>86</v>
      </c>
      <c r="AT67" s="55">
        <f>IFERROR(__xludf.DUMMYFUNCTION("IMPORTRANGE(""1eZTb0NOMQD308IrvgRFKi0-gbtKGrUXc1Qg96NLMbgk"",""2025-26!W4"")"),1211547.6900000002)</f>
        <v>1211547.69</v>
      </c>
      <c r="AU67" s="55">
        <f>IFERROR(__xludf.DUMMYFUNCTION("IMPORTRANGE(""1eZTb0NOMQD308IrvgRFKi0-gbtKGrUXc1Qg96NLMbgk"",""2025-26!W3"")"),18.0)</f>
        <v>18</v>
      </c>
      <c r="AV67" s="58">
        <f t="shared" si="22"/>
        <v>0.8996655072</v>
      </c>
      <c r="AW67" s="55">
        <f>IFERROR(__xludf.DUMMYFUNCTION("IMPORTRANGE(""1eZTb0NOMQD308IrvgRFKi0-gbtKGrUXc1Qg96NLMbgk"",""2025-26!X4"")"),1551923.0)</f>
        <v>1551923</v>
      </c>
      <c r="AX67" s="55">
        <f>IFERROR(__xludf.DUMMYFUNCTION("IMPORTRANGE(""1eZTb0NOMQD308IrvgRFKi0-gbtKGrUXc1Qg96NLMbgk"",""2025-26!X3"")"),45.0)</f>
        <v>45</v>
      </c>
      <c r="AY67" s="55">
        <f>IFERROR(__xludf.DUMMYFUNCTION("IMPORTRANGE(""1eZTb0NOMQD308IrvgRFKi0-gbtKGrUXc1Qg96NLMbgk"",""2025-26!Y4"")"),2550000.0)</f>
        <v>2550000</v>
      </c>
      <c r="AZ67" s="55">
        <f>IFERROR(__xludf.DUMMYFUNCTION("IMPORTRANGE(""1eZTb0NOMQD308IrvgRFKi0-gbtKGrUXc1Qg96NLMbgk"",""2025-26!Y3"")"),103.0)</f>
        <v>103</v>
      </c>
      <c r="BA67" s="55">
        <f>IFERROR(__xludf.DUMMYFUNCTION("IMPORTRANGE(""1eZTb0NOMQD308IrvgRFKi0-gbtKGrUXc1Qg96NLMbgk"",""2025-26!Z4"")"),1795911.7500000002)</f>
        <v>1795911.75</v>
      </c>
      <c r="BB67" s="55">
        <f>IFERROR(__xludf.DUMMYFUNCTION("IMPORTRANGE(""1eZTb0NOMQD308IrvgRFKi0-gbtKGrUXc1Qg96NLMbgk"",""2025-26!Z3"")"),35.0)</f>
        <v>35</v>
      </c>
      <c r="BC67" s="59">
        <f t="shared" si="23"/>
        <v>0.8024631373</v>
      </c>
      <c r="BD67" s="55">
        <f>IFERROR(__xludf.DUMMYFUNCTION("IMPORTRANGE(""1eZTb0NOMQD308IrvgRFKi0-gbtKGrUXc1Qg96NLMbgk"",""2025-26!AA4"")"),2046281.0)</f>
        <v>2046281</v>
      </c>
      <c r="BE67" s="55">
        <f>IFERROR(__xludf.DUMMYFUNCTION("IMPORTRANGE(""1eZTb0NOMQD308IrvgRFKi0-gbtKGrUXc1Qg96NLMbgk"",""2025-26!AA3"")"),50.0)</f>
        <v>50</v>
      </c>
      <c r="BF67" s="55">
        <f>IFERROR(__xludf.DUMMYFUNCTION("IMPORTRANGE(""1eZTb0NOMQD308IrvgRFKi0-gbtKGrUXc1Qg96NLMbgk"",""2025-26!AB4"")"),2105000.0)</f>
        <v>2105000</v>
      </c>
      <c r="BG67" s="55">
        <f>IFERROR(__xludf.DUMMYFUNCTION("IMPORTRANGE(""1eZTb0NOMQD308IrvgRFKi0-gbtKGrUXc1Qg96NLMbgk"",""2025-26!AB3"")"),63.0)</f>
        <v>63</v>
      </c>
      <c r="BH67" s="55">
        <f>IFERROR(__xludf.DUMMYFUNCTION("IMPORTRANGE(""1eZTb0NOMQD308IrvgRFKi0-gbtKGrUXc1Qg96NLMbgk"",""2025-26!AC4"")"),1163195.2900000003)</f>
        <v>1163195.29</v>
      </c>
      <c r="BI67" s="55">
        <f>IFERROR(__xludf.DUMMYFUNCTION("IMPORTRANGE(""1eZTb0NOMQD308IrvgRFKi0-gbtKGrUXc1Qg96NLMbgk"",""2025-26!AC3"")"),22.0)</f>
        <v>22</v>
      </c>
      <c r="BJ67" s="59">
        <f t="shared" si="24"/>
        <v>0.6873534442</v>
      </c>
      <c r="BK67" s="55">
        <f>IFERROR(__xludf.DUMMYFUNCTION("IMPORTRANGE(""1eZTb0NOMQD308IrvgRFKi0-gbtKGrUXc1Qg96NLMbgk"",""2025-26!AD4"")"),1446879.0)</f>
        <v>1446879</v>
      </c>
      <c r="BL67" s="55">
        <f>IFERROR(__xludf.DUMMYFUNCTION("IMPORTRANGE(""1eZTb0NOMQD308IrvgRFKi0-gbtKGrUXc1Qg96NLMbgk"",""2025-26!AD3"")"),47.0)</f>
        <v>47</v>
      </c>
      <c r="BM67" s="55">
        <f>IFERROR(__xludf.DUMMYFUNCTION("IMPORTRANGE(""1eZTb0NOMQD308IrvgRFKi0-gbtKGrUXc1Qg96NLMbgk"",""2025-26!AE4"")"),2425000.0)</f>
        <v>2425000</v>
      </c>
      <c r="BN67" s="55">
        <f>IFERROR(__xludf.DUMMYFUNCTION("IMPORTRANGE(""1eZTb0NOMQD308IrvgRFKi0-gbtKGrUXc1Qg96NLMbgk"",""2025-26!AE3"")"),94.0)</f>
        <v>94</v>
      </c>
      <c r="BO67" s="55">
        <f>IFERROR(__xludf.DUMMYFUNCTION("IMPORTRANGE(""1eZTb0NOMQD308IrvgRFKi0-gbtKGrUXc1Qg96NLMbgk"",""2025-26!AF4"")"),2199100.96)</f>
        <v>2199100.96</v>
      </c>
      <c r="BP67" s="55">
        <f>IFERROR(__xludf.DUMMYFUNCTION("IMPORTRANGE(""1eZTb0NOMQD308IrvgRFKi0-gbtKGrUXc1Qg96NLMbgk"",""2025-26!AF3"")"),41.0)</f>
        <v>41</v>
      </c>
      <c r="BQ67" s="59">
        <f t="shared" si="25"/>
        <v>0.9902989691</v>
      </c>
      <c r="BR67" s="55">
        <f>IFERROR(__xludf.DUMMYFUNCTION("IMPORTRANGE(""1eZTb0NOMQD308IrvgRFKi0-gbtKGrUXc1Qg96NLMbgk"",""2025-26!AG4"")"),2401475.0)</f>
        <v>2401475</v>
      </c>
      <c r="BS67" s="55">
        <f>IFERROR(__xludf.DUMMYFUNCTION("IMPORTRANGE(""1eZTb0NOMQD308IrvgRFKi0-gbtKGrUXc1Qg96NLMbgk"",""2025-26!AG3"")"),53.0)</f>
        <v>53</v>
      </c>
      <c r="BT67" s="55">
        <f>IFERROR(__xludf.DUMMYFUNCTION("IMPORTRANGE(""1eZTb0NOMQD308IrvgRFKi0-gbtKGrUXc1Qg96NLMbgk"",""2025-26!AH4"")"),2405000.0)</f>
        <v>2405000</v>
      </c>
      <c r="BU67" s="55">
        <f>IFERROR(__xludf.DUMMYFUNCTION("IMPORTRANGE(""1eZTb0NOMQD308IrvgRFKi0-gbtKGrUXc1Qg96NLMbgk"",""2025-26!AH3"")"),97.0)</f>
        <v>97</v>
      </c>
      <c r="BV67" s="55">
        <f>IFERROR(__xludf.DUMMYFUNCTION("IMPORTRANGE(""1eZTb0NOMQD308IrvgRFKi0-gbtKGrUXc1Qg96NLMbgk"",""2025-26!AI4"")"),1897878.8699999996)</f>
        <v>1897878.87</v>
      </c>
      <c r="BW67" s="55">
        <f>IFERROR(__xludf.DUMMYFUNCTION("IMPORTRANGE(""1eZTb0NOMQD308IrvgRFKi0-gbtKGrUXc1Qg96NLMbgk"",""2025-26!AI3"")"),39.0)</f>
        <v>39</v>
      </c>
      <c r="BX67" s="59">
        <f t="shared" si="26"/>
        <v>0.6810898129</v>
      </c>
      <c r="BY67" s="55">
        <f>IFERROR(__xludf.DUMMYFUNCTION("IMPORTRANGE(""1eZTb0NOMQD308IrvgRFKi0-gbtKGrUXc1Qg96NLMbgk"",""2025-26!AJ4"")"),1638021.0)</f>
        <v>1638021</v>
      </c>
      <c r="BZ67" s="55">
        <f>IFERROR(__xludf.DUMMYFUNCTION("IMPORTRANGE(""1eZTb0NOMQD308IrvgRFKi0-gbtKGrUXc1Qg96NLMbgk"",""2025-26!AJ3"")"),47.0)</f>
        <v>47</v>
      </c>
      <c r="CA67" s="55">
        <f>IFERROR(__xludf.DUMMYFUNCTION("IMPORTRANGE(""1eZTb0NOMQD308IrvgRFKi0-gbtKGrUXc1Qg96NLMbgk"",""2025-26!AK4"")"),5080000.0)</f>
        <v>5080000</v>
      </c>
      <c r="CB67" s="55">
        <f>IFERROR(__xludf.DUMMYFUNCTION("IMPORTRANGE(""1eZTb0NOMQD308IrvgRFKi0-gbtKGrUXc1Qg96NLMbgk"",""2025-26!AK3"")"),100.0)</f>
        <v>100</v>
      </c>
      <c r="CC67" s="55">
        <f>IFERROR(__xludf.DUMMYFUNCTION("IMPORTRANGE(""1eZTb0NOMQD308IrvgRFKi0-gbtKGrUXc1Qg96NLMbgk"",""2025-26!AL4"")"),1843236.5)</f>
        <v>1843236.5</v>
      </c>
      <c r="CD67" s="55">
        <f>IFERROR(__xludf.DUMMYFUNCTION("IMPORTRANGE(""1eZTb0NOMQD308IrvgRFKi0-gbtKGrUXc1Qg96NLMbgk"",""2025-26!AL3"")"),45.0)</f>
        <v>45</v>
      </c>
      <c r="CE67" s="59">
        <f t="shared" si="27"/>
        <v>0.3526769685</v>
      </c>
      <c r="CF67" s="55">
        <f>IFERROR(__xludf.DUMMYFUNCTION("IMPORTRANGE(""1eZTb0NOMQD308IrvgRFKi0-gbtKGrUXc1Qg96NLMbgk"",""2025-26!AM4"")"),1791599.0)</f>
        <v>1791599</v>
      </c>
      <c r="CG67" s="55">
        <f>IFERROR(__xludf.DUMMYFUNCTION("IMPORTRANGE(""1eZTb0NOMQD308IrvgRFKi0-gbtKGrUXc1Qg96NLMbgk"",""2025-26!AM3"")"),57.0)</f>
        <v>57</v>
      </c>
      <c r="CH67" s="55">
        <f>IFERROR(__xludf.DUMMYFUNCTION("IMPORTRANGE(""1eZTb0NOMQD308IrvgRFKi0-gbtKGrUXc1Qg96NLMbgk"",""2025-26!AN4"")"),4830000.0)</f>
        <v>4830000</v>
      </c>
      <c r="CI67" s="55">
        <f>IFERROR(__xludf.DUMMYFUNCTION("IMPORTRANGE(""1eZTb0NOMQD308IrvgRFKi0-gbtKGrUXc1Qg96NLMbgk"",""2025-26!AN3"")"),99.0)</f>
        <v>99</v>
      </c>
      <c r="CJ67" s="55">
        <f>IFERROR(__xludf.DUMMYFUNCTION("IMPORTRANGE(""1eZTb0NOMQD308IrvgRFKi0-gbtKGrUXc1Qg96NLMbgk"",""2025-26!AO4"")"),1263928.2000000002)</f>
        <v>1263928.2</v>
      </c>
      <c r="CK67" s="55">
        <f>IFERROR(__xludf.DUMMYFUNCTION("IMPORTRANGE(""1eZTb0NOMQD308IrvgRFKi0-gbtKGrUXc1Qg96NLMbgk"",""2025-26!AO3"")"),35.0)</f>
        <v>35</v>
      </c>
      <c r="CL67" s="59">
        <f t="shared" si="28"/>
        <v>0.3177167702</v>
      </c>
      <c r="CM67" s="55">
        <f>IFERROR(__xludf.DUMMYFUNCTION("IMPORTRANGE(""1eZTb0NOMQD308IrvgRFKi0-gbtKGrUXc1Qg96NLMbgk"",""2025-26!AP4"")"),1534572.0)</f>
        <v>1534572</v>
      </c>
      <c r="CN67" s="55">
        <f>IFERROR(__xludf.DUMMYFUNCTION("IMPORTRANGE(""1eZTb0NOMQD308IrvgRFKi0-gbtKGrUXc1Qg96NLMbgk"",""2025-26!AP3"")"),60.0)</f>
        <v>60</v>
      </c>
      <c r="CO67" s="55">
        <f>IFERROR(__xludf.DUMMYFUNCTION("IMPORTRANGE(""1eZTb0NOMQD308IrvgRFKi0-gbtKGrUXc1Qg96NLMbgk"",""2025-26!AQ4"")"),6150000.0)</f>
        <v>6150000</v>
      </c>
      <c r="CP67" s="55">
        <f>IFERROR(__xludf.DUMMYFUNCTION("IMPORTRANGE(""1eZTb0NOMQD308IrvgRFKi0-gbtKGrUXc1Qg96NLMbgk"",""2025-26!AQ3"")"),100.0)</f>
        <v>100</v>
      </c>
      <c r="CQ67" s="55">
        <f>IFERROR(__xludf.DUMMYFUNCTION("IMPORTRANGE(""1eZTb0NOMQD308IrvgRFKi0-gbtKGrUXc1Qg96NLMbgk"",""2025-26!AR4"")"),2238053.15)</f>
        <v>2238053.15</v>
      </c>
      <c r="CR67" s="55">
        <f>IFERROR(__xludf.DUMMYFUNCTION("IMPORTRANGE(""1eZTb0NOMQD308IrvgRFKi0-gbtKGrUXc1Qg96NLMbgk"",""2025-26!AR3"")"),51.0)</f>
        <v>51</v>
      </c>
      <c r="CS67" s="59">
        <f t="shared" si="29"/>
        <v>0.3141936585</v>
      </c>
      <c r="CT67" s="55">
        <f>IFERROR(__xludf.DUMMYFUNCTION("IMPORTRANGE(""1eZTb0NOMQD308IrvgRFKi0-gbtKGrUXc1Qg96NLMbgk"",""2025-26!AS4"")"),1932291.0)</f>
        <v>1932291</v>
      </c>
      <c r="CU67" s="55">
        <f>IFERROR(__xludf.DUMMYFUNCTION("IMPORTRANGE(""1eZTb0NOMQD308IrvgRFKi0-gbtKGrUXc1Qg96NLMbgk"",""2025-26!AS3"")"),44.0)</f>
        <v>44</v>
      </c>
      <c r="CV67" s="60" t="s">
        <v>130</v>
      </c>
    </row>
    <row r="68">
      <c r="A68" s="1" t="s">
        <v>126</v>
      </c>
      <c r="B68" s="37"/>
      <c r="C68" s="99" t="s">
        <v>165</v>
      </c>
      <c r="D68" s="49" t="s">
        <v>166</v>
      </c>
      <c r="E68" s="50">
        <v>6.386698666E9</v>
      </c>
      <c r="F68" s="100">
        <v>45482.0</v>
      </c>
      <c r="G68" s="62"/>
      <c r="H68" s="62"/>
      <c r="I68" s="53">
        <f>VLOOKUP($C68,Data!$C:$BV,72,0)</f>
        <v>28940</v>
      </c>
      <c r="J68" s="54">
        <v>1583333.0</v>
      </c>
      <c r="K68" s="55">
        <f>IFERROR(__xludf.DUMMYFUNCTION("IMPORTRANGE(""1pcIpQIFPR-YUVv9ATwQfIVPOInmgM9-9wy6F6PXI-Q8"",""2025-26!A3"")"),77.0)</f>
        <v>77</v>
      </c>
      <c r="L68" s="55">
        <f>IFERROR(__xludf.DUMMYFUNCTION("IMPORTRANGE(""1pcIpQIFPR-YUVv9ATwQfIVPOInmgM9-9wy6F6PXI-Q8"",""2025-26!G4"")"),1.401E7)</f>
        <v>14010000</v>
      </c>
      <c r="M68" s="55">
        <f t="shared" si="47"/>
        <v>13646292.25</v>
      </c>
      <c r="N68" s="56">
        <f t="shared" si="48"/>
        <v>0.9592384011</v>
      </c>
      <c r="O68" s="57">
        <f t="shared" si="49"/>
        <v>13438930</v>
      </c>
      <c r="P68" s="55">
        <f>IFERROR(__xludf.DUMMYFUNCTION("IMPORTRANGE(""1pcIpQIFPR-YUVv9ATwQfIVPOInmgM9-9wy6F6PXI-Q8"",""2025-26!J4"")"),1150000.0)</f>
        <v>1150000</v>
      </c>
      <c r="Q68" s="55">
        <f>IFERROR(__xludf.DUMMYFUNCTION("IMPORTRANGE(""1pcIpQIFPR-YUVv9ATwQfIVPOInmgM9-9wy6F6PXI-Q8"",""2025-26!J3"")"),60.0)</f>
        <v>60</v>
      </c>
      <c r="R68" s="55">
        <f>IFERROR(__xludf.DUMMYFUNCTION("IMPORTRANGE(""1pcIpQIFPR-YUVv9ATwQfIVPOInmgM9-9wy6F6PXI-Q8"",""2025-26!K4"")"),804585.0199999999)</f>
        <v>804585.02</v>
      </c>
      <c r="S68" s="55">
        <f>IFERROR(__xludf.DUMMYFUNCTION("IMPORTRANGE(""1pcIpQIFPR-YUVv9ATwQfIVPOInmgM9-9wy6F6PXI-Q8"",""2025-26!K3"")"),24.0)</f>
        <v>24</v>
      </c>
      <c r="T68" s="58">
        <f t="shared" si="18"/>
        <v>0.6996417391</v>
      </c>
      <c r="U68" s="55">
        <f>IFERROR(__xludf.DUMMYFUNCTION("IMPORTRANGE(""1pcIpQIFPR-YUVv9ATwQfIVPOInmgM9-9wy6F6PXI-Q8"",""2025-26!L4"")"),804588.0)</f>
        <v>804588</v>
      </c>
      <c r="V68" s="55">
        <f>IFERROR(__xludf.DUMMYFUNCTION("IMPORTRANGE(""1pcIpQIFPR-YUVv9ATwQfIVPOInmgM9-9wy6F6PXI-Q8"",""2025-26!L3"")"),24.0)</f>
        <v>24</v>
      </c>
      <c r="W68" s="55">
        <f>IFERROR(__xludf.DUMMYFUNCTION("IMPORTRANGE(""1pcIpQIFPR-YUVv9ATwQfIVPOInmgM9-9wy6F6PXI-Q8"",""2025-26!m4"")"),1328000.0)</f>
        <v>1328000</v>
      </c>
      <c r="X68" s="55">
        <f>IFERROR(__xludf.DUMMYFUNCTION("IMPORTRANGE(""1pcIpQIFPR-YUVv9ATwQfIVPOInmgM9-9wy6F6PXI-Q8"",""2025-26!m3"")"),60.0)</f>
        <v>60</v>
      </c>
      <c r="Y68" s="55">
        <f>IFERROR(__xludf.DUMMYFUNCTION("IMPORTRANGE(""1pcIpQIFPR-YUVv9ATwQfIVPOInmgM9-9wy6F6PXI-Q8"",""2025-26!N4"")"),977538.19)</f>
        <v>977538.19</v>
      </c>
      <c r="Z68" s="55">
        <f>IFERROR(__xludf.DUMMYFUNCTION("IMPORTRANGE(""1pcIpQIFPR-YUVv9ATwQfIVPOInmgM9-9wy6F6PXI-Q8"",""2025-26!N3"")"),22.0)</f>
        <v>22</v>
      </c>
      <c r="AA68" s="58">
        <f t="shared" si="19"/>
        <v>0.7360978916</v>
      </c>
      <c r="AB68" s="55">
        <f>IFERROR(__xludf.DUMMYFUNCTION("IMPORTRANGE(""1pcIpQIFPR-YUVv9ATwQfIVPOInmgM9-9wy6F6PXI-Q8"",""2025-26!O4"")"),977538.0)</f>
        <v>977538</v>
      </c>
      <c r="AC68" s="55">
        <f>IFERROR(__xludf.DUMMYFUNCTION("IMPORTRANGE(""1pcIpQIFPR-YUVv9ATwQfIVPOInmgM9-9wy6F6PXI-Q8"",""2025-26!O3"")"),22.0)</f>
        <v>22</v>
      </c>
      <c r="AD68" s="55">
        <f>IFERROR(__xludf.DUMMYFUNCTION("IMPORTRANGE(""1pcIpQIFPR-YUVv9ATwQfIVPOInmgM9-9wy6F6PXI-Q8"",""2025-26!P4"")"),1610000.0)</f>
        <v>1610000</v>
      </c>
      <c r="AE68" s="55">
        <f>IFERROR(__xludf.DUMMYFUNCTION("IMPORTRANGE(""1pcIpQIFPR-YUVv9ATwQfIVPOInmgM9-9wy6F6PXI-Q8"",""2025-26!P3"")"),60.0)</f>
        <v>60</v>
      </c>
      <c r="AF68" s="55">
        <f>IFERROR(__xludf.DUMMYFUNCTION("IMPORTRANGE(""1pcIpQIFPR-YUVv9ATwQfIVPOInmgM9-9wy6F6PXI-Q8"",""2025-26!Q4"")"),918301.3400000001)</f>
        <v>918301.34</v>
      </c>
      <c r="AG68" s="55">
        <f>IFERROR(__xludf.DUMMYFUNCTION("IMPORTRANGE(""1pcIpQIFPR-YUVv9ATwQfIVPOInmgM9-9wy6F6PXI-Q8"",""2025-26!Q3"")"),14.0)</f>
        <v>14</v>
      </c>
      <c r="AH68" s="58">
        <f t="shared" si="20"/>
        <v>0.570373913</v>
      </c>
      <c r="AI68" s="55">
        <f>IFERROR(__xludf.DUMMYFUNCTION("IMPORTRANGE(""1pcIpQIFPR-YUVv9ATwQfIVPOInmgM9-9wy6F6PXI-Q8"",""2025-26!R4"")"),918302.0)</f>
        <v>918302</v>
      </c>
      <c r="AJ68" s="55">
        <f>IFERROR(__xludf.DUMMYFUNCTION("IMPORTRANGE(""1pcIpQIFPR-YUVv9ATwQfIVPOInmgM9-9wy6F6PXI-Q8"",""2025-26!R3"")"),14.0)</f>
        <v>14</v>
      </c>
      <c r="AK68" s="55">
        <f>IFERROR(__xludf.DUMMYFUNCTION("IMPORTRANGE(""1pcIpQIFPR-YUVv9ATwQfIVPOInmgM9-9wy6F6PXI-Q8"",""2025-26!S4"")"),2115000.0)</f>
        <v>2115000</v>
      </c>
      <c r="AL68" s="55">
        <f>IFERROR(__xludf.DUMMYFUNCTION("IMPORTRANGE(""1pcIpQIFPR-YUVv9ATwQfIVPOInmgM9-9wy6F6PXI-Q8"",""2025-26!S3"")"),66.0)</f>
        <v>66</v>
      </c>
      <c r="AM68" s="55">
        <f>IFERROR(__xludf.DUMMYFUNCTION("IMPORTRANGE(""1pcIpQIFPR-YUVv9ATwQfIVPOInmgM9-9wy6F6PXI-Q8"",""2025-26!T4"")"),765124.53)</f>
        <v>765124.53</v>
      </c>
      <c r="AN68" s="55">
        <f>IFERROR(__xludf.DUMMYFUNCTION("IMPORTRANGE(""1pcIpQIFPR-YUVv9ATwQfIVPOInmgM9-9wy6F6PXI-Q8"",""2025-26!T3"")"),15.0)</f>
        <v>15</v>
      </c>
      <c r="AO68" s="58">
        <f t="shared" si="21"/>
        <v>0.3617626478</v>
      </c>
      <c r="AP68" s="55">
        <f>IFERROR(__xludf.DUMMYFUNCTION("IMPORTRANGE(""1pcIpQIFPR-YUVv9ATwQfIVPOInmgM9-9wy6F6PXI-Q8"",""2025-26!U4"")"),765128.0)</f>
        <v>765128</v>
      </c>
      <c r="AQ68" s="55">
        <f>IFERROR(__xludf.DUMMYFUNCTION("IMPORTRANGE(""1pcIpQIFPR-YUVv9ATwQfIVPOInmgM9-9wy6F6PXI-Q8"",""2025-26!U3"")"),15.0)</f>
        <v>15</v>
      </c>
      <c r="AR68" s="55">
        <f>IFERROR(__xludf.DUMMYFUNCTION("IMPORTRANGE(""1pcIpQIFPR-YUVv9ATwQfIVPOInmgM9-9wy6F6PXI-Q8"",""2025-26!V4"")"),2245000.0)</f>
        <v>2245000</v>
      </c>
      <c r="AS68" s="55">
        <f>IFERROR(__xludf.DUMMYFUNCTION("IMPORTRANGE(""1pcIpQIFPR-YUVv9ATwQfIVPOInmgM9-9wy6F6PXI-Q8"",""2025-26!V3"")"),66.0)</f>
        <v>66</v>
      </c>
      <c r="AT68" s="55">
        <f>IFERROR(__xludf.DUMMYFUNCTION("IMPORTRANGE(""1pcIpQIFPR-YUVv9ATwQfIVPOInmgM9-9wy6F6PXI-Q8"",""2025-26!W4"")"),1586617.7799999998)</f>
        <v>1586617.78</v>
      </c>
      <c r="AU68" s="55">
        <f>IFERROR(__xludf.DUMMYFUNCTION("IMPORTRANGE(""1pcIpQIFPR-YUVv9ATwQfIVPOInmgM9-9wy6F6PXI-Q8"",""2025-26!W3"")"),23.0)</f>
        <v>23</v>
      </c>
      <c r="AV68" s="58">
        <f t="shared" si="22"/>
        <v>0.7067340757</v>
      </c>
      <c r="AW68" s="55">
        <f>IFERROR(__xludf.DUMMYFUNCTION("IMPORTRANGE(""1pcIpQIFPR-YUVv9ATwQfIVPOInmgM9-9wy6F6PXI-Q8"",""2025-26!X4"")"),1586618.0)</f>
        <v>1586618</v>
      </c>
      <c r="AX68" s="55">
        <f>IFERROR(__xludf.DUMMYFUNCTION("IMPORTRANGE(""1pcIpQIFPR-YUVv9ATwQfIVPOInmgM9-9wy6F6PXI-Q8"",""2025-26!X3"")"),23.0)</f>
        <v>23</v>
      </c>
      <c r="AY68" s="55">
        <f>IFERROR(__xludf.DUMMYFUNCTION("IMPORTRANGE(""1pcIpQIFPR-YUVv9ATwQfIVPOInmgM9-9wy6F6PXI-Q8"",""2025-26!Y4"")"),2160000.0)</f>
        <v>2160000</v>
      </c>
      <c r="AZ68" s="55">
        <f>IFERROR(__xludf.DUMMYFUNCTION("IMPORTRANGE(""1pcIpQIFPR-YUVv9ATwQfIVPOInmgM9-9wy6F6PXI-Q8"",""2025-26!Y3"")"),66.0)</f>
        <v>66</v>
      </c>
      <c r="BA68" s="55">
        <f>IFERROR(__xludf.DUMMYFUNCTION("IMPORTRANGE(""1pcIpQIFPR-YUVv9ATwQfIVPOInmgM9-9wy6F6PXI-Q8"",""2025-26!Z4"")"),1465325.6400000001)</f>
        <v>1465325.64</v>
      </c>
      <c r="BB68" s="55">
        <f>IFERROR(__xludf.DUMMYFUNCTION("IMPORTRANGE(""1pcIpQIFPR-YUVv9ATwQfIVPOInmgM9-9wy6F6PXI-Q8"",""2025-26!Z3"")"),22.0)</f>
        <v>22</v>
      </c>
      <c r="BC68" s="59">
        <f t="shared" si="23"/>
        <v>0.6783884259</v>
      </c>
      <c r="BD68" s="55">
        <f>IFERROR(__xludf.DUMMYFUNCTION("IMPORTRANGE(""1pcIpQIFPR-YUVv9ATwQfIVPOInmgM9-9wy6F6PXI-Q8"",""2025-26!AA4"")"),1465319.0)</f>
        <v>1465319</v>
      </c>
      <c r="BE68" s="55">
        <f>IFERROR(__xludf.DUMMYFUNCTION("IMPORTRANGE(""1pcIpQIFPR-YUVv9ATwQfIVPOInmgM9-9wy6F6PXI-Q8"",""2025-26!AA3"")"),22.0)</f>
        <v>22</v>
      </c>
      <c r="BF68" s="55">
        <f>IFERROR(__xludf.DUMMYFUNCTION("IMPORTRANGE(""1pcIpQIFPR-YUVv9ATwQfIVPOInmgM9-9wy6F6PXI-Q8"",""2025-26!AB4"")"),3895000.0)</f>
        <v>3895000</v>
      </c>
      <c r="BG68" s="55">
        <f>IFERROR(__xludf.DUMMYFUNCTION("IMPORTRANGE(""1pcIpQIFPR-YUVv9ATwQfIVPOInmgM9-9wy6F6PXI-Q8"",""2025-26!AB3"")"),66.0)</f>
        <v>66</v>
      </c>
      <c r="BH68" s="55">
        <f>IFERROR(__xludf.DUMMYFUNCTION("IMPORTRANGE(""1pcIpQIFPR-YUVv9ATwQfIVPOInmgM9-9wy6F6PXI-Q8"",""2025-26!AC4"")"),1301209.82)</f>
        <v>1301209.82</v>
      </c>
      <c r="BI68" s="55">
        <f>IFERROR(__xludf.DUMMYFUNCTION("IMPORTRANGE(""1pcIpQIFPR-YUVv9ATwQfIVPOInmgM9-9wy6F6PXI-Q8"",""2025-26!AC3"")"),22.0)</f>
        <v>22</v>
      </c>
      <c r="BJ68" s="59">
        <f t="shared" si="24"/>
        <v>0.3340033376</v>
      </c>
      <c r="BK68" s="55">
        <f>IFERROR(__xludf.DUMMYFUNCTION("IMPORTRANGE(""1pcIpQIFPR-YUVv9ATwQfIVPOInmgM9-9wy6F6PXI-Q8"",""2025-26!AD4"")"),1300943.0)</f>
        <v>1300943</v>
      </c>
      <c r="BL68" s="55">
        <f>IFERROR(__xludf.DUMMYFUNCTION("IMPORTRANGE(""1pcIpQIFPR-YUVv9ATwQfIVPOInmgM9-9wy6F6PXI-Q8"",""2025-26!AD3"")"),22.0)</f>
        <v>22</v>
      </c>
      <c r="BM68" s="55">
        <f>IFERROR(__xludf.DUMMYFUNCTION("IMPORTRANGE(""1pcIpQIFPR-YUVv9ATwQfIVPOInmgM9-9wy6F6PXI-Q8"",""2025-26!AE4"")"),3140000.0)</f>
        <v>3140000</v>
      </c>
      <c r="BN68" s="55">
        <f>IFERROR(__xludf.DUMMYFUNCTION("IMPORTRANGE(""1pcIpQIFPR-YUVv9ATwQfIVPOInmgM9-9wy6F6PXI-Q8"",""2025-26!AE3"")"),66.0)</f>
        <v>66</v>
      </c>
      <c r="BO68" s="55">
        <f>IFERROR(__xludf.DUMMYFUNCTION("IMPORTRANGE(""1pcIpQIFPR-YUVv9ATwQfIVPOInmgM9-9wy6F6PXI-Q8"",""2025-26!AF4"")"),1023159.5599999999)</f>
        <v>1023159.56</v>
      </c>
      <c r="BP68" s="55">
        <f>IFERROR(__xludf.DUMMYFUNCTION("IMPORTRANGE(""1pcIpQIFPR-YUVv9ATwQfIVPOInmgM9-9wy6F6PXI-Q8"",""2025-26!AF3"")"),23.0)</f>
        <v>23</v>
      </c>
      <c r="BQ68" s="59">
        <f t="shared" si="25"/>
        <v>0.2553942675</v>
      </c>
      <c r="BR68" s="55">
        <f>IFERROR(__xludf.DUMMYFUNCTION("IMPORTRANGE(""1pcIpQIFPR-YUVv9ATwQfIVPOInmgM9-9wy6F6PXI-Q8"",""2025-26!AG4"")"),801938.0)</f>
        <v>801938</v>
      </c>
      <c r="BS68" s="55">
        <f>IFERROR(__xludf.DUMMYFUNCTION("IMPORTRANGE(""1pcIpQIFPR-YUVv9ATwQfIVPOInmgM9-9wy6F6PXI-Q8"",""2025-26!AG3"")"),20.0)</f>
        <v>20</v>
      </c>
      <c r="BT68" s="55">
        <f>IFERROR(__xludf.DUMMYFUNCTION("IMPORTRANGE(""1pcIpQIFPR-YUVv9ATwQfIVPOInmgM9-9wy6F6PXI-Q8"",""2025-26!AH4"")"),2770000.0)</f>
        <v>2770000</v>
      </c>
      <c r="BU68" s="55">
        <f>IFERROR(__xludf.DUMMYFUNCTION("IMPORTRANGE(""1pcIpQIFPR-YUVv9ATwQfIVPOInmgM9-9wy6F6PXI-Q8"",""2025-26!AH3"")"),66.0)</f>
        <v>66</v>
      </c>
      <c r="BV68" s="55">
        <f>IFERROR(__xludf.DUMMYFUNCTION("IMPORTRANGE(""1pcIpQIFPR-YUVv9ATwQfIVPOInmgM9-9wy6F6PXI-Q8"",""2025-26!AI4"")"),979792.3600000002)</f>
        <v>979792.36</v>
      </c>
      <c r="BW68" s="55">
        <f>IFERROR(__xludf.DUMMYFUNCTION("IMPORTRANGE(""1pcIpQIFPR-YUVv9ATwQfIVPOInmgM9-9wy6F6PXI-Q8"",""2025-26!AI3"")"),28.0)</f>
        <v>28</v>
      </c>
      <c r="BX68" s="59">
        <f t="shared" si="26"/>
        <v>0.3510483755</v>
      </c>
      <c r="BY68" s="55">
        <f>IFERROR(__xludf.DUMMYFUNCTION("IMPORTRANGE(""1pcIpQIFPR-YUVv9ATwQfIVPOInmgM9-9wy6F6PXI-Q8"",""2025-26!AJ4"")"),972404.0)</f>
        <v>972404</v>
      </c>
      <c r="BZ68" s="55">
        <f>IFERROR(__xludf.DUMMYFUNCTION("IMPORTRANGE(""1pcIpQIFPR-YUVv9ATwQfIVPOInmgM9-9wy6F6PXI-Q8"",""2025-26!AJ3"")"),29.0)</f>
        <v>29</v>
      </c>
      <c r="CA68" s="55">
        <f>IFERROR(__xludf.DUMMYFUNCTION("IMPORTRANGE(""1pcIpQIFPR-YUVv9ATwQfIVPOInmgM9-9wy6F6PXI-Q8"",""2025-26!AK4"")"),1925000.0)</f>
        <v>1925000</v>
      </c>
      <c r="CB68" s="55">
        <f>IFERROR(__xludf.DUMMYFUNCTION("IMPORTRANGE(""1pcIpQIFPR-YUVv9ATwQfIVPOInmgM9-9wy6F6PXI-Q8"",""2025-26!AK3"")"),66.0)</f>
        <v>66</v>
      </c>
      <c r="CC68" s="55">
        <f>IFERROR(__xludf.DUMMYFUNCTION("IMPORTRANGE(""1pcIpQIFPR-YUVv9ATwQfIVPOInmgM9-9wy6F6PXI-Q8"",""2025-26!AL4"")"),1201875.54)</f>
        <v>1201875.54</v>
      </c>
      <c r="CD68" s="55">
        <f>IFERROR(__xludf.DUMMYFUNCTION("IMPORTRANGE(""1pcIpQIFPR-YUVv9ATwQfIVPOInmgM9-9wy6F6PXI-Q8"",""2025-26!AL3"")"),29.0)</f>
        <v>29</v>
      </c>
      <c r="CE68" s="59">
        <f t="shared" si="27"/>
        <v>0.6240924675</v>
      </c>
      <c r="CF68" s="55">
        <f>IFERROR(__xludf.DUMMYFUNCTION("IMPORTRANGE(""1pcIpQIFPR-YUVv9ATwQfIVPOInmgM9-9wy6F6PXI-Q8"",""2025-26!AM4"")"),1201378.0)</f>
        <v>1201378</v>
      </c>
      <c r="CG68" s="55">
        <f>IFERROR(__xludf.DUMMYFUNCTION("IMPORTRANGE(""1pcIpQIFPR-YUVv9ATwQfIVPOInmgM9-9wy6F6PXI-Q8"",""2025-26!AM3"")"),29.0)</f>
        <v>29</v>
      </c>
      <c r="CH68" s="55">
        <f>IFERROR(__xludf.DUMMYFUNCTION("IMPORTRANGE(""1pcIpQIFPR-YUVv9ATwQfIVPOInmgM9-9wy6F6PXI-Q8"",""2025-26!AN4"")"),2805000.0)</f>
        <v>2805000</v>
      </c>
      <c r="CI68" s="55">
        <f>IFERROR(__xludf.DUMMYFUNCTION("IMPORTRANGE(""1pcIpQIFPR-YUVv9ATwQfIVPOInmgM9-9wy6F6PXI-Q8"",""2025-26!AN3"")"),66.0)</f>
        <v>66</v>
      </c>
      <c r="CJ68" s="55">
        <f>IFERROR(__xludf.DUMMYFUNCTION("IMPORTRANGE(""1pcIpQIFPR-YUVv9ATwQfIVPOInmgM9-9wy6F6PXI-Q8"",""2025-26!AO4"")"),1165470.41)</f>
        <v>1165470.41</v>
      </c>
      <c r="CK68" s="55">
        <f>IFERROR(__xludf.DUMMYFUNCTION("IMPORTRANGE(""1pcIpQIFPR-YUVv9ATwQfIVPOInmgM9-9wy6F6PXI-Q8"",""2025-26!AO3"")"),32.0)</f>
        <v>32</v>
      </c>
      <c r="CL68" s="59">
        <f t="shared" si="28"/>
        <v>0.4163657754</v>
      </c>
      <c r="CM68" s="55">
        <f>IFERROR(__xludf.DUMMYFUNCTION("IMPORTRANGE(""1pcIpQIFPR-YUVv9ATwQfIVPOInmgM9-9wy6F6PXI-Q8"",""2025-26!AP4"")"),1167906.0)</f>
        <v>1167906</v>
      </c>
      <c r="CN68" s="55">
        <f>IFERROR(__xludf.DUMMYFUNCTION("IMPORTRANGE(""1pcIpQIFPR-YUVv9ATwQfIVPOInmgM9-9wy6F6PXI-Q8"",""2025-26!AP3"")"),32.0)</f>
        <v>32</v>
      </c>
      <c r="CO68" s="55">
        <f>IFERROR(__xludf.DUMMYFUNCTION("IMPORTRANGE(""1pcIpQIFPR-YUVv9ATwQfIVPOInmgM9-9wy6F6PXI-Q8"",""2025-26!AQ4"")"),2295000.0)</f>
        <v>2295000</v>
      </c>
      <c r="CP68" s="55">
        <f>IFERROR(__xludf.DUMMYFUNCTION("IMPORTRANGE(""1pcIpQIFPR-YUVv9ATwQfIVPOInmgM9-9wy6F6PXI-Q8"",""2025-26!AQ3"")"),66.0)</f>
        <v>66</v>
      </c>
      <c r="CQ68" s="55">
        <f>IFERROR(__xludf.DUMMYFUNCTION("IMPORTRANGE(""1pcIpQIFPR-YUVv9ATwQfIVPOInmgM9-9wy6F6PXI-Q8"",""2025-26!AR4"")"),1457292.0599999998)</f>
        <v>1457292.06</v>
      </c>
      <c r="CR68" s="55">
        <f>IFERROR(__xludf.DUMMYFUNCTION("IMPORTRANGE(""1pcIpQIFPR-YUVv9ATwQfIVPOInmgM9-9wy6F6PXI-Q8"",""2025-26!AR3"")"),21.0)</f>
        <v>21</v>
      </c>
      <c r="CS68" s="59">
        <f t="shared" si="29"/>
        <v>0.6435154684</v>
      </c>
      <c r="CT68" s="55">
        <f>IFERROR(__xludf.DUMMYFUNCTION("IMPORTRANGE(""1pcIpQIFPR-YUVv9ATwQfIVPOInmgM9-9wy6F6PXI-Q8"",""2025-26!AS4"")"),1476868.0)</f>
        <v>1476868</v>
      </c>
      <c r="CU68" s="55">
        <f>IFERROR(__xludf.DUMMYFUNCTION("IMPORTRANGE(""1pcIpQIFPR-YUVv9ATwQfIVPOInmgM9-9wy6F6PXI-Q8"",""2025-26!AS3"")"),22.0)</f>
        <v>22</v>
      </c>
      <c r="CV68" s="60" t="s">
        <v>130</v>
      </c>
    </row>
    <row r="69">
      <c r="A69" s="1" t="s">
        <v>126</v>
      </c>
      <c r="B69" s="37"/>
      <c r="C69" s="67" t="s">
        <v>167</v>
      </c>
      <c r="D69" s="49" t="s">
        <v>168</v>
      </c>
      <c r="E69" s="50">
        <v>8.806812158E9</v>
      </c>
      <c r="F69" s="78">
        <v>45331.0</v>
      </c>
      <c r="G69" s="62"/>
      <c r="H69" s="62"/>
      <c r="I69" s="53">
        <v>24425.0</v>
      </c>
      <c r="J69" s="54">
        <v>1150000.0</v>
      </c>
      <c r="K69" s="55">
        <f>IFERROR(__xludf.DUMMYFUNCTION("IMPORTRANGE(""https://docs.google.com/spreadsheets/d/1MWp85DrwBNK7tQ1tlVLrCDUimILFTDnvvv6FtNhbiEA/edit?gid=1397978039#gid=1397978039"",""2025-26!A3"")"),34.0)</f>
        <v>34</v>
      </c>
      <c r="L69" s="55">
        <f>IFERROR(__xludf.DUMMYFUNCTION("IMPORTRANGE(""https://docs.google.com/spreadsheets/d/1MWp85DrwBNK7tQ1tlVLrCDUimILFTDnvvv6FtNhbiEA/edit?gid=1397978039#gid=1397978039"",""2025-26!G4"")"),1.488E7)</f>
        <v>14880000</v>
      </c>
      <c r="M69" s="55">
        <f t="shared" si="47"/>
        <v>7966662.36</v>
      </c>
      <c r="N69" s="56">
        <f t="shared" si="48"/>
        <v>0.5182477823</v>
      </c>
      <c r="O69" s="57">
        <f t="shared" si="49"/>
        <v>7711527</v>
      </c>
      <c r="P69" s="55">
        <f>IFERROR(__xludf.DUMMYFUNCTION("IMPORTRANGE(""1pcIpQIFPR-YUVv9ATwQfIVPOInmgM9-9wy6F6PXI-Q8"",""2025-26!J4"")"),1150000.0)</f>
        <v>1150000</v>
      </c>
      <c r="Q69" s="55">
        <f>IFERROR(__xludf.DUMMYFUNCTION("IMPORTRANGE(""https://docs.google.com/spreadsheets/d/1MWp85DrwBNK7tQ1tlVLrCDUimILFTDnvvv6FtNhbiEA/edit?gid=1397978039#gid=1397978039"",""2025-26!J3"")"),30.0)</f>
        <v>30</v>
      </c>
      <c r="R69" s="55">
        <f>IFERROR(__xludf.DUMMYFUNCTION("IMPORTRANGE(""https://docs.google.com/spreadsheets/d/1MWp85DrwBNK7tQ1tlVLrCDUimILFTDnvvv6FtNhbiEA/edit?gid=1397978039#gid=1397978039"",""2025-26!K4"")"),308272.3)</f>
        <v>308272.3</v>
      </c>
      <c r="S69" s="55">
        <f>IFERROR(__xludf.DUMMYFUNCTION("IMPORTRANGE(""https://docs.google.com/spreadsheets/d/1MWp85DrwBNK7tQ1tlVLrCDUimILFTDnvvv6FtNhbiEA/edit?gid=1397978039#gid=1397978039"",""2025-26!K3"")"),8.0)</f>
        <v>8</v>
      </c>
      <c r="T69" s="58">
        <f t="shared" si="18"/>
        <v>0.2138730435</v>
      </c>
      <c r="U69" s="55">
        <f>IFERROR(__xludf.DUMMYFUNCTION("IMPORTRANGE(""https://docs.google.com/spreadsheets/d/1MWp85DrwBNK7tQ1tlVLrCDUimILFTDnvvv6FtNhbiEA/edit?gid=1397978039#gid=1397978039"",""2025-26!L4"")"),245954.0)</f>
        <v>245954</v>
      </c>
      <c r="V69" s="55">
        <f>IFERROR(__xludf.DUMMYFUNCTION("IMPORTRANGE(""https://docs.google.com/spreadsheets/d/1MWp85DrwBNK7tQ1tlVLrCDUimILFTDnvvv6FtNhbiEA/edit?gid=1397978039#gid=1397978039"",""2025-26!L3"")"),8.0)</f>
        <v>8</v>
      </c>
      <c r="W69" s="55">
        <f>IFERROR(__xludf.DUMMYFUNCTION("IMPORTRANGE(""https://docs.google.com/spreadsheets/d/1MWp85DrwBNK7tQ1tlVLrCDUimILFTDnvvv6FtNhbiEA/edit?gid=1397978039#gid=1397978039"",""2025-26!m4"")"),803496.0)</f>
        <v>803496</v>
      </c>
      <c r="X69" s="55">
        <f>IFERROR(__xludf.DUMMYFUNCTION("IMPORTRANGE(""https://docs.google.com/spreadsheets/d/1MWp85DrwBNK7tQ1tlVLrCDUimILFTDnvvv6FtNhbiEA/edit?gid=1397978039#gid=1397978039"",""2025-26!m3"")"),30.0)</f>
        <v>30</v>
      </c>
      <c r="Y69" s="55">
        <f>IFERROR(__xludf.DUMMYFUNCTION("IMPORTRANGE(""https://docs.google.com/spreadsheets/d/1MWp85DrwBNK7tQ1tlVLrCDUimILFTDnvvv6FtNhbiEA/edit?gid=1397978039#gid=1397978039"",""2025-26!N4"")"),457384.62)</f>
        <v>457384.62</v>
      </c>
      <c r="Z69" s="55">
        <f>IFERROR(__xludf.DUMMYFUNCTION("IMPORTRANGE(""https://docs.google.com/spreadsheets/d/1MWp85DrwBNK7tQ1tlVLrCDUimILFTDnvvv6FtNhbiEA/edit?gid=1397978039#gid=1397978039"",""2025-26!N3"")"),11.0)</f>
        <v>11</v>
      </c>
      <c r="AA69" s="58">
        <f t="shared" si="19"/>
        <v>0.5153591306</v>
      </c>
      <c r="AB69" s="55">
        <f>IFERROR(__xludf.DUMMYFUNCTION("IMPORTRANGE(""https://docs.google.com/spreadsheets/d/1MWp85DrwBNK7tQ1tlVLrCDUimILFTDnvvv6FtNhbiEA/edit?gid=1397978039#gid=1397978039"",""2025-26!O4"")"),414089.0)</f>
        <v>414089</v>
      </c>
      <c r="AC69" s="55">
        <f>IFERROR(__xludf.DUMMYFUNCTION("IMPORTRANGE(""https://docs.google.com/spreadsheets/d/1MWp85DrwBNK7tQ1tlVLrCDUimILFTDnvvv6FtNhbiEA/edit?gid=1397978039#gid=1397978039"",""2025-26!O3"")"),10.0)</f>
        <v>10</v>
      </c>
      <c r="AD69" s="55">
        <f>IFERROR(__xludf.DUMMYFUNCTION("IMPORTRANGE(""https://docs.google.com/spreadsheets/d/1MWp85DrwBNK7tQ1tlVLrCDUimILFTDnvvv6FtNhbiEA/edit?gid=1397978039#gid=1397978039"",""2025-26!P4"")"),1118496.0)</f>
        <v>1118496</v>
      </c>
      <c r="AE69" s="55">
        <f>IFERROR(__xludf.DUMMYFUNCTION("IMPORTRANGE(""https://docs.google.com/spreadsheets/d/1MWp85DrwBNK7tQ1tlVLrCDUimILFTDnvvv6FtNhbiEA/edit?gid=1397978039#gid=1397978039"",""2025-26!P3"")"),30.0)</f>
        <v>30</v>
      </c>
      <c r="AF69" s="55">
        <f>IFERROR(__xludf.DUMMYFUNCTION("IMPORTRANGE(""https://docs.google.com/spreadsheets/d/1MWp85DrwBNK7tQ1tlVLrCDUimILFTDnvvv6FtNhbiEA/edit?gid=1397978039#gid=1397978039"",""2025-26!Q4"")"),527464.54)</f>
        <v>527464.54</v>
      </c>
      <c r="AG69" s="55">
        <f>IFERROR(__xludf.DUMMYFUNCTION("IMPORTRANGE(""https://docs.google.com/spreadsheets/d/1MWp85DrwBNK7tQ1tlVLrCDUimILFTDnvvv6FtNhbiEA/edit?gid=1397978039#gid=1397978039"",""2025-26!Q3"")"),13.0)</f>
        <v>13</v>
      </c>
      <c r="AH69" s="58">
        <f t="shared" si="20"/>
        <v>0.4306819157</v>
      </c>
      <c r="AI69" s="55">
        <f>IFERROR(__xludf.DUMMYFUNCTION("IMPORTRANGE(""https://docs.google.com/spreadsheets/d/1MWp85DrwBNK7tQ1tlVLrCDUimILFTDnvvv6FtNhbiEA/edit?gid=1397978039#gid=1397978039"",""2025-26!R4"")"),481716.0)</f>
        <v>481716</v>
      </c>
      <c r="AJ69" s="55">
        <f>IFERROR(__xludf.DUMMYFUNCTION("IMPORTRANGE(""https://docs.google.com/spreadsheets/d/1MWp85DrwBNK7tQ1tlVLrCDUimILFTDnvvv6FtNhbiEA/edit?gid=1397978039#gid=1397978039"",""2025-26!R3"")"),12.0)</f>
        <v>12</v>
      </c>
      <c r="AK69" s="55">
        <f>IFERROR(__xludf.DUMMYFUNCTION("IMPORTRANGE(""https://docs.google.com/spreadsheets/d/1MWp85DrwBNK7tQ1tlVLrCDUimILFTDnvvv6FtNhbiEA/edit?gid=1397978039#gid=1397978039"",""2025-26!S4"")"),873496.0)</f>
        <v>873496</v>
      </c>
      <c r="AL69" s="55">
        <f>IFERROR(__xludf.DUMMYFUNCTION("IMPORTRANGE(""https://docs.google.com/spreadsheets/d/1MWp85DrwBNK7tQ1tlVLrCDUimILFTDnvvv6FtNhbiEA/edit?gid=1397978039#gid=1397978039"",""2025-26!S3"")"),30.0)</f>
        <v>30</v>
      </c>
      <c r="AM69" s="55">
        <f>IFERROR(__xludf.DUMMYFUNCTION("IMPORTRANGE(""https://docs.google.com/spreadsheets/d/1MWp85DrwBNK7tQ1tlVLrCDUimILFTDnvvv6FtNhbiEA/edit?gid=1397978039#gid=1397978039"",""2025-26!T4"")"),586579.55)</f>
        <v>586579.55</v>
      </c>
      <c r="AN69" s="55">
        <f>IFERROR(__xludf.DUMMYFUNCTION("IMPORTRANGE(""https://docs.google.com/spreadsheets/d/1MWp85DrwBNK7tQ1tlVLrCDUimILFTDnvvv6FtNhbiEA/edit?gid=1397978039#gid=1397978039"",""2025-26!T3"")"),14.0)</f>
        <v>14</v>
      </c>
      <c r="AO69" s="58">
        <f t="shared" si="21"/>
        <v>0.6173125006</v>
      </c>
      <c r="AP69" s="55">
        <f>IFERROR(__xludf.DUMMYFUNCTION("IMPORTRANGE(""https://docs.google.com/spreadsheets/d/1MWp85DrwBNK7tQ1tlVLrCDUimILFTDnvvv6FtNhbiEA/edit?gid=1397978039#gid=1397978039"",""2025-26!U4"")"),539220.0)</f>
        <v>539220</v>
      </c>
      <c r="AQ69" s="55">
        <f>IFERROR(__xludf.DUMMYFUNCTION("IMPORTRANGE(""https://docs.google.com/spreadsheets/d/1MWp85DrwBNK7tQ1tlVLrCDUimILFTDnvvv6FtNhbiEA/edit?gid=1397978039#gid=1397978039"",""2025-26!U3"")"),16.0)</f>
        <v>16</v>
      </c>
      <c r="AR69" s="55">
        <f>IFERROR(__xludf.DUMMYFUNCTION("IMPORTRANGE(""https://docs.google.com/spreadsheets/d/1MWp85DrwBNK7tQ1tlVLrCDUimILFTDnvvv6FtNhbiEA/edit?gid=1397978039#gid=1397978039"",""2025-26!V4"")"),988496.0)</f>
        <v>988496</v>
      </c>
      <c r="AS69" s="55">
        <f>IFERROR(__xludf.DUMMYFUNCTION("IMPORTRANGE(""https://docs.google.com/spreadsheets/d/1MWp85DrwBNK7tQ1tlVLrCDUimILFTDnvvv6FtNhbiEA/edit?gid=1397978039#gid=1397978039"",""2025-26!V3"")"),30.0)</f>
        <v>30</v>
      </c>
      <c r="AT69" s="55">
        <f>IFERROR(__xludf.DUMMYFUNCTION("IMPORTRANGE(""https://docs.google.com/spreadsheets/d/1MWp85DrwBNK7tQ1tlVLrCDUimILFTDnvvv6FtNhbiEA/edit?gid=1397978039#gid=1397978039"",""2025-26!W4"")"),606283.45)</f>
        <v>606283.45</v>
      </c>
      <c r="AU69" s="55">
        <f>IFERROR(__xludf.DUMMYFUNCTION("IMPORTRANGE(""https://docs.google.com/spreadsheets/d/1MWp85DrwBNK7tQ1tlVLrCDUimILFTDnvvv6FtNhbiEA/edit?gid=1397978039#gid=1397978039"",""2025-26!W3"")"),11.0)</f>
        <v>11</v>
      </c>
      <c r="AV69" s="58">
        <f t="shared" si="22"/>
        <v>0.6188199042</v>
      </c>
      <c r="AW69" s="55">
        <f>IFERROR(__xludf.DUMMYFUNCTION("IMPORTRANGE(""https://docs.google.com/spreadsheets/d/1MWp85DrwBNK7tQ1tlVLrCDUimILFTDnvvv6FtNhbiEA/edit?gid=1397978039#gid=1397978039"",""2025-26!X4"")"),611701.0)</f>
        <v>611701</v>
      </c>
      <c r="AX69" s="55">
        <f>IFERROR(__xludf.DUMMYFUNCTION("IMPORTRANGE(""https://docs.google.com/spreadsheets/d/1MWp85DrwBNK7tQ1tlVLrCDUimILFTDnvvv6FtNhbiEA/edit?gid=1397978039#gid=1397978039"",""2025-26!X3"")"),12.0)</f>
        <v>12</v>
      </c>
      <c r="AY69" s="55">
        <f>IFERROR(__xludf.DUMMYFUNCTION("IMPORTRANGE(""https://docs.google.com/spreadsheets/d/1MWp85DrwBNK7tQ1tlVLrCDUimILFTDnvvv6FtNhbiEA/edit?gid=1397978039#gid=1397978039"",""2025-26!Y4"")"),1233496.0)</f>
        <v>1233496</v>
      </c>
      <c r="AZ69" s="55">
        <f>IFERROR(__xludf.DUMMYFUNCTION("IMPORTRANGE(""https://docs.google.com/spreadsheets/d/1MWp85DrwBNK7tQ1tlVLrCDUimILFTDnvvv6FtNhbiEA/edit?gid=1397978039#gid=1397978039"",""2025-26!Y3"")"),30.0)</f>
        <v>30</v>
      </c>
      <c r="BA69" s="55">
        <f>IFERROR(__xludf.DUMMYFUNCTION("IMPORTRANGE(""https://docs.google.com/spreadsheets/d/1MWp85DrwBNK7tQ1tlVLrCDUimILFTDnvvv6FtNhbiEA/edit?gid=1397978039#gid=1397978039"",""2025-26!Z4"")"),883640.64)</f>
        <v>883640.64</v>
      </c>
      <c r="BB69" s="55">
        <f>IFERROR(__xludf.DUMMYFUNCTION("IMPORTRANGE(""https://docs.google.com/spreadsheets/d/1MWp85DrwBNK7tQ1tlVLrCDUimILFTDnvvv6FtNhbiEA/edit?gid=1397978039#gid=1397978039"",""2025-26!Z3"")"),13.0)</f>
        <v>13</v>
      </c>
      <c r="BC69" s="59">
        <f t="shared" si="23"/>
        <v>0.6785388846</v>
      </c>
      <c r="BD69" s="55">
        <f>IFERROR(__xludf.DUMMYFUNCTION("IMPORTRANGE(""https://docs.google.com/spreadsheets/d/1MWp85DrwBNK7tQ1tlVLrCDUimILFTDnvvv6FtNhbiEA/edit?gid=1397978039#gid=1397978039"",""2025-26!AA4"")"),836975.0)</f>
        <v>836975</v>
      </c>
      <c r="BE69" s="55">
        <f>IFERROR(__xludf.DUMMYFUNCTION("IMPORTRANGE(""https://docs.google.com/spreadsheets/d/1MWp85DrwBNK7tQ1tlVLrCDUimILFTDnvvv6FtNhbiEA/edit?gid=1397978039#gid=1397978039"",""2025-26!AA3"")"),15.0)</f>
        <v>15</v>
      </c>
      <c r="BF69" s="55">
        <f>IFERROR(__xludf.DUMMYFUNCTION("IMPORTRANGE(""https://docs.google.com/spreadsheets/d/1MWp85DrwBNK7tQ1tlVLrCDUimILFTDnvvv6FtNhbiEA/edit?gid=1397978039#gid=1397978039"",""2025-26!AB4"")"),1003496.0)</f>
        <v>1003496</v>
      </c>
      <c r="BG69" s="55">
        <f>IFERROR(__xludf.DUMMYFUNCTION("IMPORTRANGE(""https://docs.google.com/spreadsheets/d/1MWp85DrwBNK7tQ1tlVLrCDUimILFTDnvvv6FtNhbiEA/edit?gid=1397978039#gid=1397978039"",""2025-26!AB3"")"),30.0)</f>
        <v>30</v>
      </c>
      <c r="BH69" s="55">
        <f>IFERROR(__xludf.DUMMYFUNCTION("IMPORTRANGE(""https://docs.google.com/spreadsheets/d/1MWp85DrwBNK7tQ1tlVLrCDUimILFTDnvvv6FtNhbiEA/edit?gid=1397978039#gid=1397978039"",""2025-26!AC4"")"),446199.82)</f>
        <v>446199.82</v>
      </c>
      <c r="BI69" s="55">
        <f>IFERROR(__xludf.DUMMYFUNCTION("IMPORTRANGE(""https://docs.google.com/spreadsheets/d/1MWp85DrwBNK7tQ1tlVLrCDUimILFTDnvvv6FtNhbiEA/edit?gid=1397978039#gid=1397978039"",""2025-26!AC3"")"),13.0)</f>
        <v>13</v>
      </c>
      <c r="BJ69" s="59">
        <f t="shared" si="24"/>
        <v>0.4178252828</v>
      </c>
      <c r="BK69" s="55">
        <f>IFERROR(__xludf.DUMMYFUNCTION("IMPORTRANGE(""https://docs.google.com/spreadsheets/d/1MWp85DrwBNK7tQ1tlVLrCDUimILFTDnvvv6FtNhbiEA/edit?gid=1397978039#gid=1397978039"",""2025-26!AD4"")"),419286.0)</f>
        <v>419286</v>
      </c>
      <c r="BL69" s="55">
        <f>IFERROR(__xludf.DUMMYFUNCTION("IMPORTRANGE(""https://docs.google.com/spreadsheets/d/1MWp85DrwBNK7tQ1tlVLrCDUimILFTDnvvv6FtNhbiEA/edit?gid=1397978039#gid=1397978039"",""2025-26!AD3"")"),11.0)</f>
        <v>11</v>
      </c>
      <c r="BM69" s="55">
        <f>IFERROR(__xludf.DUMMYFUNCTION("IMPORTRANGE(""https://docs.google.com/spreadsheets/d/1MWp85DrwBNK7tQ1tlVLrCDUimILFTDnvvv6FtNhbiEA/edit?gid=1397978039#gid=1397978039"",""2025-26!AE4"")"),1263496.0)</f>
        <v>1263496</v>
      </c>
      <c r="BN69" s="55">
        <f>IFERROR(__xludf.DUMMYFUNCTION("IMPORTRANGE(""https://docs.google.com/spreadsheets/d/1MWp85DrwBNK7tQ1tlVLrCDUimILFTDnvvv6FtNhbiEA/edit?gid=1397978039#gid=1397978039"",""2025-26!AE3"")"),30.0)</f>
        <v>30</v>
      </c>
      <c r="BO69" s="55">
        <f>IFERROR(__xludf.DUMMYFUNCTION("IMPORTRANGE(""https://docs.google.com/spreadsheets/d/1MWp85DrwBNK7tQ1tlVLrCDUimILFTDnvvv6FtNhbiEA/edit?gid=1397978039#gid=1397978039"",""2025-26!AF4"")"),523358.74)</f>
        <v>523358.74</v>
      </c>
      <c r="BP69" s="55">
        <f>IFERROR(__xludf.DUMMYFUNCTION("IMPORTRANGE(""https://docs.google.com/spreadsheets/d/1MWp85DrwBNK7tQ1tlVLrCDUimILFTDnvvv6FtNhbiEA/edit?gid=1397978039#gid=1397978039"",""2025-26!AF3"")"),13.0)</f>
        <v>13</v>
      </c>
      <c r="BQ69" s="59">
        <f t="shared" si="25"/>
        <v>0.4119965556</v>
      </c>
      <c r="BR69" s="55">
        <f>IFERROR(__xludf.DUMMYFUNCTION("IMPORTRANGE(""https://docs.google.com/spreadsheets/d/1MWp85DrwBNK7tQ1tlVLrCDUimILFTDnvvv6FtNhbiEA/edit?gid=1397978039#gid=1397978039"",""2025-26!AG4"")"),520556.0)</f>
        <v>520556</v>
      </c>
      <c r="BS69" s="55">
        <f>IFERROR(__xludf.DUMMYFUNCTION("IMPORTRANGE(""https://docs.google.com/spreadsheets/d/1MWp85DrwBNK7tQ1tlVLrCDUimILFTDnvvv6FtNhbiEA/edit?gid=1397978039#gid=1397978039"",""2025-26!AG3"")"),14.0)</f>
        <v>14</v>
      </c>
      <c r="BT69" s="55">
        <f>IFERROR(__xludf.DUMMYFUNCTION("IMPORTRANGE(""https://docs.google.com/spreadsheets/d/1MWp85DrwBNK7tQ1tlVLrCDUimILFTDnvvv6FtNhbiEA/edit?gid=1397978039#gid=1397978039"",""2025-26!AH4"")"),1403496.0)</f>
        <v>1403496</v>
      </c>
      <c r="BU69" s="55">
        <f>IFERROR(__xludf.DUMMYFUNCTION("IMPORTRANGE(""https://docs.google.com/spreadsheets/d/1MWp85DrwBNK7tQ1tlVLrCDUimILFTDnvvv6FtNhbiEA/edit?gid=1397978039#gid=1397978039"",""2025-26!AH3"")"),30.0)</f>
        <v>30</v>
      </c>
      <c r="BV69" s="55">
        <f>IFERROR(__xludf.DUMMYFUNCTION("IMPORTRANGE(""https://docs.google.com/spreadsheets/d/1MWp85DrwBNK7tQ1tlVLrCDUimILFTDnvvv6FtNhbiEA/edit?gid=1397978039#gid=1397978039"",""2025-26!AI4"")"),1014807.69)</f>
        <v>1014807.69</v>
      </c>
      <c r="BW69" s="55">
        <f>IFERROR(__xludf.DUMMYFUNCTION("IMPORTRANGE(""https://docs.google.com/spreadsheets/d/1MWp85DrwBNK7tQ1tlVLrCDUimILFTDnvvv6FtNhbiEA/edit?gid=1397978039#gid=1397978039"",""2025-26!AI3"")"),14.0)</f>
        <v>14</v>
      </c>
      <c r="BX69" s="59">
        <f t="shared" si="26"/>
        <v>0.6778929188</v>
      </c>
      <c r="BY69" s="55">
        <f>IFERROR(__xludf.DUMMYFUNCTION("IMPORTRANGE(""https://docs.google.com/spreadsheets/d/1MWp85DrwBNK7tQ1tlVLrCDUimILFTDnvvv6FtNhbiEA/edit?gid=1397978039#gid=1397978039"",""2025-26!AJ4"")"),951420.0)</f>
        <v>951420</v>
      </c>
      <c r="BZ69" s="55">
        <f>IFERROR(__xludf.DUMMYFUNCTION("IMPORTRANGE(""https://docs.google.com/spreadsheets/d/1MWp85DrwBNK7tQ1tlVLrCDUimILFTDnvvv6FtNhbiEA/edit?gid=1397978039#gid=1397978039"",""2025-26!AJ3"")"),16.0)</f>
        <v>16</v>
      </c>
      <c r="CA69" s="55">
        <f>IFERROR(__xludf.DUMMYFUNCTION("IMPORTRANGE(""https://docs.google.com/spreadsheets/d/1MWp85DrwBNK7tQ1tlVLrCDUimILFTDnvvv6FtNhbiEA/edit?gid=1397978039#gid=1397978039"",""2025-26!AK4"")"),1148496.0)</f>
        <v>1148496</v>
      </c>
      <c r="CB69" s="55">
        <f>IFERROR(__xludf.DUMMYFUNCTION("IMPORTRANGE(""https://docs.google.com/spreadsheets/d/1MWp85DrwBNK7tQ1tlVLrCDUimILFTDnvvv6FtNhbiEA/edit?gid=1397978039#gid=1397978039"",""2025-26!AK3"")"),30.0)</f>
        <v>30</v>
      </c>
      <c r="CC69" s="55">
        <f>IFERROR(__xludf.DUMMYFUNCTION("IMPORTRANGE(""https://docs.google.com/spreadsheets/d/1MWp85DrwBNK7tQ1tlVLrCDUimILFTDnvvv6FtNhbiEA/edit?gid=1397978039#gid=1397978039"",""2025-26!AL4"")"),520918.77)</f>
        <v>520918.77</v>
      </c>
      <c r="CD69" s="55">
        <f>IFERROR(__xludf.DUMMYFUNCTION("IMPORTRANGE(""https://docs.google.com/spreadsheets/d/1MWp85DrwBNK7tQ1tlVLrCDUimILFTDnvvv6FtNhbiEA/edit?gid=1397978039#gid=1397978039"",""2025-26!AL3"")"),12.0)</f>
        <v>12</v>
      </c>
      <c r="CE69" s="59">
        <f t="shared" si="27"/>
        <v>0.4734444003</v>
      </c>
      <c r="CF69" s="55">
        <f>IFERROR(__xludf.DUMMYFUNCTION("IMPORTRANGE(""https://docs.google.com/spreadsheets/d/1MWp85DrwBNK7tQ1tlVLrCDUimILFTDnvvv6FtNhbiEA/edit?gid=1397978039#gid=1397978039"",""2025-26!AM4"")"),543749.0)</f>
        <v>543749</v>
      </c>
      <c r="CG69" s="55">
        <f>IFERROR(__xludf.DUMMYFUNCTION("IMPORTRANGE(""https://docs.google.com/spreadsheets/d/1MWp85DrwBNK7tQ1tlVLrCDUimILFTDnvvv6FtNhbiEA/edit?gid=1397978039#gid=1397978039"",""2025-26!AM3"")"),15.0)</f>
        <v>15</v>
      </c>
      <c r="CH69" s="55">
        <f>IFERROR(__xludf.DUMMYFUNCTION("IMPORTRANGE(""https://docs.google.com/spreadsheets/d/1MWp85DrwBNK7tQ1tlVLrCDUimILFTDnvvv6FtNhbiEA/edit?gid=1397978039#gid=1397978039"",""2025-26!AN4"")"),1433496.0)</f>
        <v>1433496</v>
      </c>
      <c r="CI69" s="55">
        <f>IFERROR(__xludf.DUMMYFUNCTION("IMPORTRANGE(""https://docs.google.com/spreadsheets/d/1MWp85DrwBNK7tQ1tlVLrCDUimILFTDnvvv6FtNhbiEA/edit?gid=1397978039#gid=1397978039"",""2025-26!AN3"")"),30.0)</f>
        <v>30</v>
      </c>
      <c r="CJ69" s="55">
        <f>IFERROR(__xludf.DUMMYFUNCTION("IMPORTRANGE(""https://docs.google.com/spreadsheets/d/1MWp85DrwBNK7tQ1tlVLrCDUimILFTDnvvv6FtNhbiEA/edit?gid=1397978039#gid=1397978039"",""2025-26!AO4"")"),722616.2300000001)</f>
        <v>722616.23</v>
      </c>
      <c r="CK69" s="55">
        <f>IFERROR(__xludf.DUMMYFUNCTION("IMPORTRANGE(""https://docs.google.com/spreadsheets/d/1MWp85DrwBNK7tQ1tlVLrCDUimILFTDnvvv6FtNhbiEA/edit?gid=1397978039#gid=1397978039"",""2025-26!AO3"")"),16.0)</f>
        <v>16</v>
      </c>
      <c r="CL69" s="59">
        <f t="shared" si="28"/>
        <v>0.4857725449</v>
      </c>
      <c r="CM69" s="55">
        <f>IFERROR(__xludf.DUMMYFUNCTION("IMPORTRANGE(""https://docs.google.com/spreadsheets/d/1MWp85DrwBNK7tQ1tlVLrCDUimILFTDnvvv6FtNhbiEA/edit?gid=1397978039#gid=1397978039"",""2025-26!AP4"")"),696353.0)</f>
        <v>696353</v>
      </c>
      <c r="CN69" s="55">
        <f>IFERROR(__xludf.DUMMYFUNCTION("IMPORTRANGE(""https://docs.google.com/spreadsheets/d/1MWp85DrwBNK7tQ1tlVLrCDUimILFTDnvvv6FtNhbiEA/edit?gid=1397978039#gid=1397978039"",""2025-26!AP3"")"),17.0)</f>
        <v>17</v>
      </c>
      <c r="CO69" s="55">
        <f>IFERROR(__xludf.DUMMYFUNCTION("IMPORTRANGE(""https://docs.google.com/spreadsheets/d/1MWp85DrwBNK7tQ1tlVLrCDUimILFTDnvvv6FtNhbiEA/edit?gid=1397978039#gid=1397978039"",""2025-26!AQ4"")"),2674496.0)</f>
        <v>2674496</v>
      </c>
      <c r="CP69" s="55">
        <f>IFERROR(__xludf.DUMMYFUNCTION("IMPORTRANGE(""https://docs.google.com/spreadsheets/d/1MWp85DrwBNK7tQ1tlVLrCDUimILFTDnvvv6FtNhbiEA/edit?gid=1397978039#gid=1397978039"",""2025-26!AQ3"")"),30.0)</f>
        <v>30</v>
      </c>
      <c r="CQ69" s="55">
        <f>IFERROR(__xludf.DUMMYFUNCTION("IMPORTRANGE(""https://docs.google.com/spreadsheets/d/1MWp85DrwBNK7tQ1tlVLrCDUimILFTDnvvv6FtNhbiEA/edit?gid=1397978039#gid=1397978039"",""2025-26!AR4"")"),1369136.01)</f>
        <v>1369136.01</v>
      </c>
      <c r="CR69" s="55">
        <f>IFERROR(__xludf.DUMMYFUNCTION("IMPORTRANGE(""https://docs.google.com/spreadsheets/d/1MWp85DrwBNK7tQ1tlVLrCDUimILFTDnvvv6FtNhbiEA/edit?gid=1397978039#gid=1397978039"",""2025-26!AR3"")"),12.0)</f>
        <v>12</v>
      </c>
      <c r="CS69" s="59">
        <f t="shared" si="29"/>
        <v>0.5423481658</v>
      </c>
      <c r="CT69" s="55">
        <f>IFERROR(__xludf.DUMMYFUNCTION("IMPORTRANGE(""https://docs.google.com/spreadsheets/d/1MWp85DrwBNK7tQ1tlVLrCDUimILFTDnvvv6FtNhbiEA/edit?gid=1397978039#gid=1397978039"",""2025-26!AS4"")"),1450508.0)</f>
        <v>1450508</v>
      </c>
      <c r="CU69" s="55">
        <f>IFERROR(__xludf.DUMMYFUNCTION("IMPORTRANGE(""https://docs.google.com/spreadsheets/d/1MWp85DrwBNK7tQ1tlVLrCDUimILFTDnvvv6FtNhbiEA/edit?gid=1397978039#gid=1397978039"",""2025-26!AS3"")"),13.0)</f>
        <v>13</v>
      </c>
      <c r="CV69" s="60" t="s">
        <v>145</v>
      </c>
    </row>
    <row r="70">
      <c r="A70" s="1" t="s">
        <v>126</v>
      </c>
      <c r="B70" s="37"/>
      <c r="C70" s="64" t="s">
        <v>169</v>
      </c>
      <c r="D70" s="68" t="s">
        <v>151</v>
      </c>
      <c r="E70" s="50">
        <v>7.905595896E9</v>
      </c>
      <c r="F70" s="78">
        <v>45600.0</v>
      </c>
      <c r="G70" s="62"/>
      <c r="H70" s="62"/>
      <c r="I70" s="53">
        <f>VLOOKUP($C70,Data!$C:$BV,72,0)</f>
        <v>51910</v>
      </c>
      <c r="J70" s="54">
        <v>2083333.0</v>
      </c>
      <c r="K70" s="55">
        <f>IFERROR(__xludf.DUMMYFUNCTION("IMPORTRANGE(""18LfbnJvue8ABkZqR8NiXNEy_rJ_H-rZcZ-ip9KE1ZmQ"",""2025-26!A3"")"),150.0)</f>
        <v>150</v>
      </c>
      <c r="L70" s="55">
        <f>IFERROR(__xludf.DUMMYFUNCTION("IMPORTRANGE(""18LfbnJvue8ABkZqR8NiXNEy_rJ_H-rZcZ-ip9KE1ZmQ"",""2025-26!G4"")"),2.5E7)</f>
        <v>25000000</v>
      </c>
      <c r="M70" s="55">
        <f t="shared" si="47"/>
        <v>20009612.56</v>
      </c>
      <c r="N70" s="56">
        <f t="shared" si="48"/>
        <v>0.79363232</v>
      </c>
      <c r="O70" s="57">
        <f t="shared" si="49"/>
        <v>19840808</v>
      </c>
      <c r="P70" s="55">
        <f>IFERROR(__xludf.DUMMYFUNCTION("IMPORTRANGE(""18LfbnJvue8ABkZqR8NiXNEy_rJ_H-rZcZ-ip9KE1ZmQ"",""2025-26!J4"")"),2790000.0)</f>
        <v>2790000</v>
      </c>
      <c r="Q70" s="55">
        <f>IFERROR(__xludf.DUMMYFUNCTION("IMPORTRANGE(""18LfbnJvue8ABkZqR8NiXNEy_rJ_H-rZcZ-ip9KE1ZmQ"",""2025-26!J3"")"),49.0)</f>
        <v>49</v>
      </c>
      <c r="R70" s="55">
        <f>IFERROR(__xludf.DUMMYFUNCTION("IMPORTRANGE(""18LfbnJvue8ABkZqR8NiXNEy_rJ_H-rZcZ-ip9KE1ZmQ"",""2025-26!K4"")"),892326.8200000002)</f>
        <v>892326.82</v>
      </c>
      <c r="S70" s="55">
        <f>IFERROR(__xludf.DUMMYFUNCTION("IMPORTRANGE(""18LfbnJvue8ABkZqR8NiXNEy_rJ_H-rZcZ-ip9KE1ZmQ"",""2025-26!K3"")"),23.0)</f>
        <v>23</v>
      </c>
      <c r="T70" s="58">
        <f t="shared" si="18"/>
        <v>0.3289258065</v>
      </c>
      <c r="U70" s="55">
        <f>IFERROR(__xludf.DUMMYFUNCTION("IMPORTRANGE(""18LfbnJvue8ABkZqR8NiXNEy_rJ_H-rZcZ-ip9KE1ZmQ"",""2025-26!L4"")"),917703.0)</f>
        <v>917703</v>
      </c>
      <c r="V70" s="55">
        <f>IFERROR(__xludf.DUMMYFUNCTION("IMPORTRANGE(""18LfbnJvue8ABkZqR8NiXNEy_rJ_H-rZcZ-ip9KE1ZmQ"",""2025-26!L3"")"),24.0)</f>
        <v>24</v>
      </c>
      <c r="W70" s="55">
        <f>IFERROR(__xludf.DUMMYFUNCTION("IMPORTRANGE(""18LfbnJvue8ABkZqR8NiXNEy_rJ_H-rZcZ-ip9KE1ZmQ"",""2025-26!m4"")"),2010000.0)</f>
        <v>2010000</v>
      </c>
      <c r="X70" s="55">
        <f>IFERROR(__xludf.DUMMYFUNCTION("IMPORTRANGE(""18LfbnJvue8ABkZqR8NiXNEy_rJ_H-rZcZ-ip9KE1ZmQ"",""2025-26!m3"")"),44.0)</f>
        <v>44</v>
      </c>
      <c r="Y70" s="55">
        <f>IFERROR(__xludf.DUMMYFUNCTION("IMPORTRANGE(""18LfbnJvue8ABkZqR8NiXNEy_rJ_H-rZcZ-ip9KE1ZmQ"",""2025-26!N4"")"),1612441.3)</f>
        <v>1612441.3</v>
      </c>
      <c r="Z70" s="55">
        <f>IFERROR(__xludf.DUMMYFUNCTION("IMPORTRANGE(""18LfbnJvue8ABkZqR8NiXNEy_rJ_H-rZcZ-ip9KE1ZmQ"",""2025-26!N3"")"),32.0)</f>
        <v>32</v>
      </c>
      <c r="AA70" s="58">
        <f t="shared" si="19"/>
        <v>0.7955850746</v>
      </c>
      <c r="AB70" s="55">
        <f>IFERROR(__xludf.DUMMYFUNCTION("IMPORTRANGE(""18LfbnJvue8ABkZqR8NiXNEy_rJ_H-rZcZ-ip9KE1ZmQ"",""2025-26!O4"")"),1599126.0)</f>
        <v>1599126</v>
      </c>
      <c r="AC70" s="55">
        <f>IFERROR(__xludf.DUMMYFUNCTION("IMPORTRANGE(""18LfbnJvue8ABkZqR8NiXNEy_rJ_H-rZcZ-ip9KE1ZmQ"",""2025-26!O3"")"),30.0)</f>
        <v>30</v>
      </c>
      <c r="AD70" s="55">
        <f>IFERROR(__xludf.DUMMYFUNCTION("IMPORTRANGE(""18LfbnJvue8ABkZqR8NiXNEy_rJ_H-rZcZ-ip9KE1ZmQ"",""2025-26!P4"")"),2600000.0)</f>
        <v>2600000</v>
      </c>
      <c r="AE70" s="55">
        <f>IFERROR(__xludf.DUMMYFUNCTION("IMPORTRANGE(""18LfbnJvue8ABkZqR8NiXNEy_rJ_H-rZcZ-ip9KE1ZmQ"",""2025-26!P3"")"),52.0)</f>
        <v>52</v>
      </c>
      <c r="AF70" s="55">
        <f>IFERROR(__xludf.DUMMYFUNCTION("IMPORTRANGE(""18LfbnJvue8ABkZqR8NiXNEy_rJ_H-rZcZ-ip9KE1ZmQ"",""2025-26!Q4"")"),2152220.72)</f>
        <v>2152220.72</v>
      </c>
      <c r="AG70" s="55">
        <f>IFERROR(__xludf.DUMMYFUNCTION("IMPORTRANGE(""18LfbnJvue8ABkZqR8NiXNEy_rJ_H-rZcZ-ip9KE1ZmQ"",""2025-26!Q3"")"),27.0)</f>
        <v>27</v>
      </c>
      <c r="AH70" s="58">
        <f t="shared" si="20"/>
        <v>0.8277611538</v>
      </c>
      <c r="AI70" s="55">
        <f>IFERROR(__xludf.DUMMYFUNCTION("IMPORTRANGE(""18LfbnJvue8ABkZqR8NiXNEy_rJ_H-rZcZ-ip9KE1ZmQ"",""2025-26!R4"")"),2152179.0)</f>
        <v>2152179</v>
      </c>
      <c r="AJ70" s="55">
        <f>IFERROR(__xludf.DUMMYFUNCTION("IMPORTRANGE(""18LfbnJvue8ABkZqR8NiXNEy_rJ_H-rZcZ-ip9KE1ZmQ"",""2025-26!R3"")"),27.0)</f>
        <v>27</v>
      </c>
      <c r="AK70" s="55">
        <f>IFERROR(__xludf.DUMMYFUNCTION("IMPORTRANGE(""18LfbnJvue8ABkZqR8NiXNEy_rJ_H-rZcZ-ip9KE1ZmQ"",""2025-26!S4"")"),2083333.0)</f>
        <v>2083333</v>
      </c>
      <c r="AL70" s="55">
        <f>IFERROR(__xludf.DUMMYFUNCTION("IMPORTRANGE(""18LfbnJvue8ABkZqR8NiXNEy_rJ_H-rZcZ-ip9KE1ZmQ"",""2025-26!S3"")"),53.0)</f>
        <v>53</v>
      </c>
      <c r="AM70" s="55">
        <f>IFERROR(__xludf.DUMMYFUNCTION("IMPORTRANGE(""18LfbnJvue8ABkZqR8NiXNEy_rJ_H-rZcZ-ip9KE1ZmQ"",""2025-26!T4"")"),3957570.9200000004)</f>
        <v>3957570.92</v>
      </c>
      <c r="AN70" s="55">
        <f>IFERROR(__xludf.DUMMYFUNCTION("IMPORTRANGE(""18LfbnJvue8ABkZqR8NiXNEy_rJ_H-rZcZ-ip9KE1ZmQ"",""2025-26!T3"")"),29.0)</f>
        <v>29</v>
      </c>
      <c r="AO70" s="58">
        <f t="shared" si="21"/>
        <v>1.826186692</v>
      </c>
      <c r="AP70" s="55">
        <f>IFERROR(__xludf.DUMMYFUNCTION("IMPORTRANGE(""18LfbnJvue8ABkZqR8NiXNEy_rJ_H-rZcZ-ip9KE1ZmQ"",""2025-26!U4"")"),3804555.0)</f>
        <v>3804555</v>
      </c>
      <c r="AQ70" s="55">
        <f>IFERROR(__xludf.DUMMYFUNCTION("IMPORTRANGE(""18LfbnJvue8ABkZqR8NiXNEy_rJ_H-rZcZ-ip9KE1ZmQ"",""2025-26!U3"")"),28.0)</f>
        <v>28</v>
      </c>
      <c r="AR70" s="55">
        <f>IFERROR(__xludf.DUMMYFUNCTION("IMPORTRANGE(""18LfbnJvue8ABkZqR8NiXNEy_rJ_H-rZcZ-ip9KE1ZmQ"",""2025-26!V4"")"),2083333.0)</f>
        <v>2083333</v>
      </c>
      <c r="AS70" s="55">
        <f>IFERROR(__xludf.DUMMYFUNCTION("IMPORTRANGE(""18LfbnJvue8ABkZqR8NiXNEy_rJ_H-rZcZ-ip9KE1ZmQ"",""2025-26!V3"")"),53.0)</f>
        <v>53</v>
      </c>
      <c r="AT70" s="55">
        <f>IFERROR(__xludf.DUMMYFUNCTION("IMPORTRANGE(""18LfbnJvue8ABkZqR8NiXNEy_rJ_H-rZcZ-ip9KE1ZmQ"",""2025-26!W4"")"),1074164.87)</f>
        <v>1074164.87</v>
      </c>
      <c r="AU70" s="55">
        <f>IFERROR(__xludf.DUMMYFUNCTION("IMPORTRANGE(""18LfbnJvue8ABkZqR8NiXNEy_rJ_H-rZcZ-ip9KE1ZmQ"",""2025-26!W3"")"),24.0)</f>
        <v>24</v>
      </c>
      <c r="AV70" s="58">
        <f t="shared" si="22"/>
        <v>0.4969901595</v>
      </c>
      <c r="AW70" s="55">
        <f>IFERROR(__xludf.DUMMYFUNCTION("IMPORTRANGE(""18LfbnJvue8ABkZqR8NiXNEy_rJ_H-rZcZ-ip9KE1ZmQ"",""2025-26!X4"")"),1035396.0)</f>
        <v>1035396</v>
      </c>
      <c r="AX70" s="55">
        <f>IFERROR(__xludf.DUMMYFUNCTION("IMPORTRANGE(""18LfbnJvue8ABkZqR8NiXNEy_rJ_H-rZcZ-ip9KE1ZmQ"",""2025-26!X3"")"),23.0)</f>
        <v>23</v>
      </c>
      <c r="AY70" s="55">
        <f>IFERROR(__xludf.DUMMYFUNCTION("IMPORTRANGE(""18LfbnJvue8ABkZqR8NiXNEy_rJ_H-rZcZ-ip9KE1ZmQ"",""2025-26!Y4"")"),2203333.0)</f>
        <v>2203333</v>
      </c>
      <c r="AZ70" s="55">
        <f>IFERROR(__xludf.DUMMYFUNCTION("IMPORTRANGE(""18LfbnJvue8ABkZqR8NiXNEy_rJ_H-rZcZ-ip9KE1ZmQ"",""2025-26!Y3"")"),54.0)</f>
        <v>54</v>
      </c>
      <c r="BA70" s="55">
        <f>IFERROR(__xludf.DUMMYFUNCTION("IMPORTRANGE(""18LfbnJvue8ABkZqR8NiXNEy_rJ_H-rZcZ-ip9KE1ZmQ"",""2025-26!Z4"")"),2113937.06)</f>
        <v>2113937.06</v>
      </c>
      <c r="BB70" s="55">
        <f>IFERROR(__xludf.DUMMYFUNCTION("IMPORTRANGE(""18LfbnJvue8ABkZqR8NiXNEy_rJ_H-rZcZ-ip9KE1ZmQ"",""2025-26!Z3"")"),32.0)</f>
        <v>32</v>
      </c>
      <c r="BC70" s="59">
        <f t="shared" si="23"/>
        <v>0.9721481047</v>
      </c>
      <c r="BD70" s="55">
        <f>IFERROR(__xludf.DUMMYFUNCTION("IMPORTRANGE(""18LfbnJvue8ABkZqR8NiXNEy_rJ_H-rZcZ-ip9KE1ZmQ"",""2025-26!AA4"")"),2141966.0)</f>
        <v>2141966</v>
      </c>
      <c r="BE70" s="55">
        <f>IFERROR(__xludf.DUMMYFUNCTION("IMPORTRANGE(""18LfbnJvue8ABkZqR8NiXNEy_rJ_H-rZcZ-ip9KE1ZmQ"",""2025-26!AA3"")"),33.0)</f>
        <v>33</v>
      </c>
      <c r="BF70" s="55">
        <f>IFERROR(__xludf.DUMMYFUNCTION("IMPORTRANGE(""18LfbnJvue8ABkZqR8NiXNEy_rJ_H-rZcZ-ip9KE1ZmQ"",""2025-26!AB4"")"),2083333.0)</f>
        <v>2083333</v>
      </c>
      <c r="BG70" s="55">
        <f>IFERROR(__xludf.DUMMYFUNCTION("IMPORTRANGE(""18LfbnJvue8ABkZqR8NiXNEy_rJ_H-rZcZ-ip9KE1ZmQ"",""2025-26!AB3"")"),49.0)</f>
        <v>49</v>
      </c>
      <c r="BH70" s="55">
        <f>IFERROR(__xludf.DUMMYFUNCTION("IMPORTRANGE(""18LfbnJvue8ABkZqR8NiXNEy_rJ_H-rZcZ-ip9KE1ZmQ"",""2025-26!AC4"")"),2216189.19)</f>
        <v>2216189.19</v>
      </c>
      <c r="BI70" s="55">
        <f>IFERROR(__xludf.DUMMYFUNCTION("IMPORTRANGE(""18LfbnJvue8ABkZqR8NiXNEy_rJ_H-rZcZ-ip9KE1ZmQ"",""2025-26!AC3"")"),25.0)</f>
        <v>25</v>
      </c>
      <c r="BJ70" s="59">
        <f t="shared" si="24"/>
        <v>1.06388561</v>
      </c>
      <c r="BK70" s="55">
        <f>IFERROR(__xludf.DUMMYFUNCTION("IMPORTRANGE(""18LfbnJvue8ABkZqR8NiXNEy_rJ_H-rZcZ-ip9KE1ZmQ"",""2025-26!AD4"")"),2216428.0)</f>
        <v>2216428</v>
      </c>
      <c r="BL70" s="55">
        <f>IFERROR(__xludf.DUMMYFUNCTION("IMPORTRANGE(""18LfbnJvue8ABkZqR8NiXNEy_rJ_H-rZcZ-ip9KE1ZmQ"",""2025-26!AD3"")"),25.0)</f>
        <v>25</v>
      </c>
      <c r="BM70" s="55">
        <f>IFERROR(__xludf.DUMMYFUNCTION("IMPORTRANGE(""18LfbnJvue8ABkZqR8NiXNEy_rJ_H-rZcZ-ip9KE1ZmQ"",""2025-26!AE4"")"),2083333.0)</f>
        <v>2083333</v>
      </c>
      <c r="BN70" s="55">
        <f>IFERROR(__xludf.DUMMYFUNCTION("IMPORTRANGE(""18LfbnJvue8ABkZqR8NiXNEy_rJ_H-rZcZ-ip9KE1ZmQ"",""2025-26!AE3"")"),40.0)</f>
        <v>40</v>
      </c>
      <c r="BO70" s="55">
        <f>IFERROR(__xludf.DUMMYFUNCTION("IMPORTRANGE(""18LfbnJvue8ABkZqR8NiXNEy_rJ_H-rZcZ-ip9KE1ZmQ"",""2025-26!AF4"")"),732815.29)</f>
        <v>732815.29</v>
      </c>
      <c r="BP70" s="55">
        <f>IFERROR(__xludf.DUMMYFUNCTION("IMPORTRANGE(""18LfbnJvue8ABkZqR8NiXNEy_rJ_H-rZcZ-ip9KE1ZmQ"",""2025-26!AF3"")"),23.0)</f>
        <v>23</v>
      </c>
      <c r="BQ70" s="59">
        <f t="shared" si="25"/>
        <v>0.3517406963</v>
      </c>
      <c r="BR70" s="55">
        <f>IFERROR(__xludf.DUMMYFUNCTION("IMPORTRANGE(""18LfbnJvue8ABkZqR8NiXNEy_rJ_H-rZcZ-ip9KE1ZmQ"",""2025-26!AG4"")"),732793.0)</f>
        <v>732793</v>
      </c>
      <c r="BS70" s="55">
        <f>IFERROR(__xludf.DUMMYFUNCTION("IMPORTRANGE(""18LfbnJvue8ABkZqR8NiXNEy_rJ_H-rZcZ-ip9KE1ZmQ"",""2025-26!AG3"")"),23.0)</f>
        <v>23</v>
      </c>
      <c r="BT70" s="55">
        <f>IFERROR(__xludf.DUMMYFUNCTION("IMPORTRANGE(""18LfbnJvue8ABkZqR8NiXNEy_rJ_H-rZcZ-ip9KE1ZmQ"",""2025-26!AH4"")"),2083333.0)</f>
        <v>2083333</v>
      </c>
      <c r="BU70" s="55">
        <f>IFERROR(__xludf.DUMMYFUNCTION("IMPORTRANGE(""18LfbnJvue8ABkZqR8NiXNEy_rJ_H-rZcZ-ip9KE1ZmQ"",""2025-26!AH3"")"),40.0)</f>
        <v>40</v>
      </c>
      <c r="BV70" s="55">
        <f>IFERROR(__xludf.DUMMYFUNCTION("IMPORTRANGE(""18LfbnJvue8ABkZqR8NiXNEy_rJ_H-rZcZ-ip9KE1ZmQ"",""2025-26!AI4"")"),1098116.67)</f>
        <v>1098116.67</v>
      </c>
      <c r="BW70" s="55">
        <f>IFERROR(__xludf.DUMMYFUNCTION("IMPORTRANGE(""18LfbnJvue8ABkZqR8NiXNEy_rJ_H-rZcZ-ip9KE1ZmQ"",""2025-26!AI3"")"),32.0)</f>
        <v>32</v>
      </c>
      <c r="BX70" s="59">
        <f t="shared" si="26"/>
        <v>0.5388884062</v>
      </c>
      <c r="BY70" s="55">
        <f>IFERROR(__xludf.DUMMYFUNCTION("IMPORTRANGE(""18LfbnJvue8ABkZqR8NiXNEy_rJ_H-rZcZ-ip9KE1ZmQ"",""2025-26!AJ4"")"),1122684.0)</f>
        <v>1122684</v>
      </c>
      <c r="BZ70" s="55">
        <f>IFERROR(__xludf.DUMMYFUNCTION("IMPORTRANGE(""18LfbnJvue8ABkZqR8NiXNEy_rJ_H-rZcZ-ip9KE1ZmQ"",""2025-26!AJ3"")"),33.0)</f>
        <v>33</v>
      </c>
      <c r="CA70" s="55">
        <f>IFERROR(__xludf.DUMMYFUNCTION("IMPORTRANGE(""18LfbnJvue8ABkZqR8NiXNEy_rJ_H-rZcZ-ip9KE1ZmQ"",""2025-26!AK4"")"),2083333.0)</f>
        <v>2083333</v>
      </c>
      <c r="CB70" s="55">
        <f>IFERROR(__xludf.DUMMYFUNCTION("IMPORTRANGE(""18LfbnJvue8ABkZqR8NiXNEy_rJ_H-rZcZ-ip9KE1ZmQ"",""2025-26!AK3"")"),39.0)</f>
        <v>39</v>
      </c>
      <c r="CC70" s="55">
        <f>IFERROR(__xludf.DUMMYFUNCTION("IMPORTRANGE(""18LfbnJvue8ABkZqR8NiXNEy_rJ_H-rZcZ-ip9KE1ZmQ"",""2025-26!AL4"")"),1464110.7500000002)</f>
        <v>1464110.75</v>
      </c>
      <c r="CD70" s="55">
        <f>IFERROR(__xludf.DUMMYFUNCTION("IMPORTRANGE(""18LfbnJvue8ABkZqR8NiXNEy_rJ_H-rZcZ-ip9KE1ZmQ"",""2025-26!AL3"")"),29.0)</f>
        <v>29</v>
      </c>
      <c r="CE70" s="59">
        <f t="shared" si="27"/>
        <v>0.6827108292</v>
      </c>
      <c r="CF70" s="55">
        <f>IFERROR(__xludf.DUMMYFUNCTION("IMPORTRANGE(""18LfbnJvue8ABkZqR8NiXNEy_rJ_H-rZcZ-ip9KE1ZmQ"",""2025-26!AM4"")"),1422314.0)</f>
        <v>1422314</v>
      </c>
      <c r="CG70" s="55">
        <f>IFERROR(__xludf.DUMMYFUNCTION("IMPORTRANGE(""18LfbnJvue8ABkZqR8NiXNEy_rJ_H-rZcZ-ip9KE1ZmQ"",""2025-26!AM3"")"),29.0)</f>
        <v>29</v>
      </c>
      <c r="CH70" s="55">
        <f>IFERROR(__xludf.DUMMYFUNCTION("IMPORTRANGE(""18LfbnJvue8ABkZqR8NiXNEy_rJ_H-rZcZ-ip9KE1ZmQ"",""2025-26!AN4"")"),2083333.0)</f>
        <v>2083333</v>
      </c>
      <c r="CI70" s="55">
        <f>IFERROR(__xludf.DUMMYFUNCTION("IMPORTRANGE(""18LfbnJvue8ABkZqR8NiXNEy_rJ_H-rZcZ-ip9KE1ZmQ"",""2025-26!AN3"")"),31.0)</f>
        <v>31</v>
      </c>
      <c r="CJ70" s="55">
        <f>IFERROR(__xludf.DUMMYFUNCTION("IMPORTRANGE(""18LfbnJvue8ABkZqR8NiXNEy_rJ_H-rZcZ-ip9KE1ZmQ"",""2025-26!AO4"")"),1178953.58)</f>
        <v>1178953.58</v>
      </c>
      <c r="CK70" s="55">
        <f>IFERROR(__xludf.DUMMYFUNCTION("IMPORTRANGE(""18LfbnJvue8ABkZqR8NiXNEy_rJ_H-rZcZ-ip9KE1ZmQ"",""2025-26!AO3"")"),21.0)</f>
        <v>21</v>
      </c>
      <c r="CL70" s="59">
        <f t="shared" si="28"/>
        <v>0.5658744905</v>
      </c>
      <c r="CM70" s="55">
        <f>IFERROR(__xludf.DUMMYFUNCTION("IMPORTRANGE(""18LfbnJvue8ABkZqR8NiXNEy_rJ_H-rZcZ-ip9KE1ZmQ"",""2025-26!AP4"")"),1178905.0)</f>
        <v>1178905</v>
      </c>
      <c r="CN70" s="55">
        <f>IFERROR(__xludf.DUMMYFUNCTION("IMPORTRANGE(""18LfbnJvue8ABkZqR8NiXNEy_rJ_H-rZcZ-ip9KE1ZmQ"",""2025-26!AP3"")"),21.0)</f>
        <v>21</v>
      </c>
      <c r="CO70" s="55">
        <f>IFERROR(__xludf.DUMMYFUNCTION("IMPORTRANGE(""18LfbnJvue8ABkZqR8NiXNEy_rJ_H-rZcZ-ip9KE1ZmQ"",""2025-26!AQ4"")"),2083333.0)</f>
        <v>2083333</v>
      </c>
      <c r="CP70" s="55">
        <f>IFERROR(__xludf.DUMMYFUNCTION("IMPORTRANGE(""18LfbnJvue8ABkZqR8NiXNEy_rJ_H-rZcZ-ip9KE1ZmQ"",""2025-26!AQ3"")"),21.0)</f>
        <v>21</v>
      </c>
      <c r="CQ70" s="55">
        <f>IFERROR(__xludf.DUMMYFUNCTION("IMPORTRANGE(""18LfbnJvue8ABkZqR8NiXNEy_rJ_H-rZcZ-ip9KE1ZmQ"",""2025-26!AR4"")"),1516765.3900000001)</f>
        <v>1516765.39</v>
      </c>
      <c r="CR70" s="55">
        <f>IFERROR(__xludf.DUMMYFUNCTION("IMPORTRANGE(""18LfbnJvue8ABkZqR8NiXNEy_rJ_H-rZcZ-ip9KE1ZmQ"",""2025-26!AR3"")"),16.0)</f>
        <v>16</v>
      </c>
      <c r="CS70" s="59">
        <f t="shared" si="29"/>
        <v>0.7280444365</v>
      </c>
      <c r="CT70" s="55">
        <f>IFERROR(__xludf.DUMMYFUNCTION("IMPORTRANGE(""18LfbnJvue8ABkZqR8NiXNEy_rJ_H-rZcZ-ip9KE1ZmQ"",""2025-26!AS4"")"),1516759.0)</f>
        <v>1516759</v>
      </c>
      <c r="CU70" s="55">
        <f>IFERROR(__xludf.DUMMYFUNCTION("IMPORTRANGE(""18LfbnJvue8ABkZqR8NiXNEy_rJ_H-rZcZ-ip9KE1ZmQ"",""2025-26!AS3"")"),16.0)</f>
        <v>16</v>
      </c>
      <c r="CV70" s="60" t="s">
        <v>130</v>
      </c>
    </row>
    <row r="71">
      <c r="A71" s="1" t="s">
        <v>126</v>
      </c>
      <c r="B71" s="37"/>
      <c r="C71" s="64" t="s">
        <v>170</v>
      </c>
      <c r="D71" s="68" t="s">
        <v>151</v>
      </c>
      <c r="E71" s="68">
        <v>7.007595454E9</v>
      </c>
      <c r="F71" s="78">
        <v>45607.0</v>
      </c>
      <c r="G71" s="62"/>
      <c r="H71" s="62"/>
      <c r="I71" s="53">
        <f>VLOOKUP($C71,Data!$C:$BV,72,0)</f>
        <v>33043</v>
      </c>
      <c r="J71" s="54">
        <v>1833333.0</v>
      </c>
      <c r="K71" s="55">
        <f>IFERROR(__xludf.DUMMYFUNCTION("IMPORTRANGE(""1BRUajD0ljy0AGH7V6VApyhC8CYImP4SFkM_02NmsTfQ"",""2025-26!A3"")"),155.0)</f>
        <v>155</v>
      </c>
      <c r="L71" s="55">
        <f>IFERROR(__xludf.DUMMYFUNCTION("IMPORTRANGE(""1BRUajD0ljy0AGH7V6VApyhC8CYImP4SFkM_02NmsTfQ"",""2025-26!G4"")"),2.1999996E7)</f>
        <v>21999996</v>
      </c>
      <c r="M71" s="55">
        <f t="shared" si="47"/>
        <v>10214659.8</v>
      </c>
      <c r="N71" s="56">
        <f t="shared" si="48"/>
        <v>0.4711788129</v>
      </c>
      <c r="O71" s="57">
        <f t="shared" si="49"/>
        <v>10365932</v>
      </c>
      <c r="P71" s="55">
        <f>IFERROR(__xludf.DUMMYFUNCTION("IMPORTRANGE(""1BRUajD0ljy0AGH7V6VApyhC8CYImP4SFkM_02NmsTfQ"",""2025-26!J4"")"),1295832.9999999993)</f>
        <v>1295833</v>
      </c>
      <c r="Q71" s="55">
        <f>IFERROR(__xludf.DUMMYFUNCTION("IMPORTRANGE(""1BRUajD0ljy0AGH7V6VApyhC8CYImP4SFkM_02NmsTfQ"",""2025-26!J3"")"),74.0)</f>
        <v>74</v>
      </c>
      <c r="R71" s="55">
        <f>IFERROR(__xludf.DUMMYFUNCTION("IMPORTRANGE(""1BRUajD0ljy0AGH7V6VApyhC8CYImP4SFkM_02NmsTfQ"",""2025-26!K4"")"),375676.69999999995)</f>
        <v>375676.7</v>
      </c>
      <c r="S71" s="55">
        <f>IFERROR(__xludf.DUMMYFUNCTION("IMPORTRANGE(""1BRUajD0ljy0AGH7V6VApyhC8CYImP4SFkM_02NmsTfQ"",""2025-26!K3"")"),9.0)</f>
        <v>9</v>
      </c>
      <c r="T71" s="58">
        <f t="shared" si="18"/>
        <v>0.3311969984</v>
      </c>
      <c r="U71" s="55">
        <f>IFERROR(__xludf.DUMMYFUNCTION("IMPORTRANGE(""1BRUajD0ljy0AGH7V6VApyhC8CYImP4SFkM_02NmsTfQ"",""2025-26!L4"")"),429176.0)</f>
        <v>429176</v>
      </c>
      <c r="V71" s="55">
        <f>IFERROR(__xludf.DUMMYFUNCTION("IMPORTRANGE(""1BRUajD0ljy0AGH7V6VApyhC8CYImP4SFkM_02NmsTfQ"",""2025-26!L3"")"),12.0)</f>
        <v>12</v>
      </c>
      <c r="W71" s="55">
        <f>IFERROR(__xludf.DUMMYFUNCTION("IMPORTRANGE(""1BRUajD0ljy0AGH7V6VApyhC8CYImP4SFkM_02NmsTfQ"",""2025-26!m4"")"),1416666.333333332)</f>
        <v>1416666.333</v>
      </c>
      <c r="X71" s="55">
        <f>IFERROR(__xludf.DUMMYFUNCTION("IMPORTRANGE(""1BRUajD0ljy0AGH7V6VApyhC8CYImP4SFkM_02NmsTfQ"",""2025-26!m3"")"),86.0)</f>
        <v>86</v>
      </c>
      <c r="Y71" s="55">
        <f>IFERROR(__xludf.DUMMYFUNCTION("IMPORTRANGE(""1BRUajD0ljy0AGH7V6VApyhC8CYImP4SFkM_02NmsTfQ"",""2025-26!N4"")"),607386.2000000001)</f>
        <v>607386.2</v>
      </c>
      <c r="Z71" s="55">
        <f>IFERROR(__xludf.DUMMYFUNCTION("IMPORTRANGE(""1BRUajD0ljy0AGH7V6VApyhC8CYImP4SFkM_02NmsTfQ"",""2025-26!N3"")"),16.0)</f>
        <v>16</v>
      </c>
      <c r="AA71" s="58">
        <f t="shared" si="19"/>
        <v>0.4536685773</v>
      </c>
      <c r="AB71" s="55">
        <f>IFERROR(__xludf.DUMMYFUNCTION("IMPORTRANGE(""1BRUajD0ljy0AGH7V6VApyhC8CYImP4SFkM_02NmsTfQ"",""2025-26!O4"")"),642697.0)</f>
        <v>642697</v>
      </c>
      <c r="AC71" s="55">
        <f>IFERROR(__xludf.DUMMYFUNCTION("IMPORTRANGE(""1BRUajD0ljy0AGH7V6VApyhC8CYImP4SFkM_02NmsTfQ"",""2025-26!O3"")"),18.0)</f>
        <v>18</v>
      </c>
      <c r="AD71" s="55">
        <f>IFERROR(__xludf.DUMMYFUNCTION("IMPORTRANGE(""1BRUajD0ljy0AGH7V6VApyhC8CYImP4SFkM_02NmsTfQ"",""2025-26!P4"")"),1416666.333333332)</f>
        <v>1416666.333</v>
      </c>
      <c r="AE71" s="55">
        <f>IFERROR(__xludf.DUMMYFUNCTION("IMPORTRANGE(""1BRUajD0ljy0AGH7V6VApyhC8CYImP4SFkM_02NmsTfQ"",""2025-26!P3"")"),86.0)</f>
        <v>86</v>
      </c>
      <c r="AF71" s="55">
        <f>IFERROR(__xludf.DUMMYFUNCTION("IMPORTRANGE(""1BRUajD0ljy0AGH7V6VApyhC8CYImP4SFkM_02NmsTfQ"",""2025-26!Q4"")"),741391.0)</f>
        <v>741391</v>
      </c>
      <c r="AG71" s="55">
        <f>IFERROR(__xludf.DUMMYFUNCTION("IMPORTRANGE(""1BRUajD0ljy0AGH7V6VApyhC8CYImP4SFkM_02NmsTfQ"",""2025-26!Q3"")"),16.0)</f>
        <v>16</v>
      </c>
      <c r="AH71" s="58">
        <f t="shared" si="20"/>
        <v>0.5254533001</v>
      </c>
      <c r="AI71" s="55">
        <f>IFERROR(__xludf.DUMMYFUNCTION("IMPORTRANGE(""1BRUajD0ljy0AGH7V6VApyhC8CYImP4SFkM_02NmsTfQ"",""2025-26!R4"")"),744392.0)</f>
        <v>744392</v>
      </c>
      <c r="AJ71" s="55">
        <f>IFERROR(__xludf.DUMMYFUNCTION("IMPORTRANGE(""1BRUajD0ljy0AGH7V6VApyhC8CYImP4SFkM_02NmsTfQ"",""2025-26!R3"")"),16.0)</f>
        <v>16</v>
      </c>
      <c r="AK71" s="55">
        <f>IFERROR(__xludf.DUMMYFUNCTION("IMPORTRANGE(""1BRUajD0ljy0AGH7V6VApyhC8CYImP4SFkM_02NmsTfQ"",""2025-26!S4"")"),1416666.333333332)</f>
        <v>1416666.333</v>
      </c>
      <c r="AL71" s="55">
        <f>IFERROR(__xludf.DUMMYFUNCTION("IMPORTRANGE(""1BRUajD0ljy0AGH7V6VApyhC8CYImP4SFkM_02NmsTfQ"",""2025-26!S3"")"),86.0)</f>
        <v>86</v>
      </c>
      <c r="AM71" s="55">
        <f>IFERROR(__xludf.DUMMYFUNCTION("IMPORTRANGE(""1BRUajD0ljy0AGH7V6VApyhC8CYImP4SFkM_02NmsTfQ"",""2025-26!T4"")"),649111.8600000001)</f>
        <v>649111.86</v>
      </c>
      <c r="AN71" s="55">
        <f>IFERROR(__xludf.DUMMYFUNCTION("IMPORTRANGE(""1BRUajD0ljy0AGH7V6VApyhC8CYImP4SFkM_02NmsTfQ"",""2025-26!T3"")"),15.0)</f>
        <v>15</v>
      </c>
      <c r="AO71" s="58">
        <f t="shared" si="21"/>
        <v>0.4581982255</v>
      </c>
      <c r="AP71" s="55">
        <f>IFERROR(__xludf.DUMMYFUNCTION("IMPORTRANGE(""1BRUajD0ljy0AGH7V6VApyhC8CYImP4SFkM_02NmsTfQ"",""2025-26!U4"")"),649114.0)</f>
        <v>649114</v>
      </c>
      <c r="AQ71" s="55">
        <f>IFERROR(__xludf.DUMMYFUNCTION("IMPORTRANGE(""1BRUajD0ljy0AGH7V6VApyhC8CYImP4SFkM_02NmsTfQ"",""2025-26!U3"")"),15.0)</f>
        <v>15</v>
      </c>
      <c r="AR71" s="55">
        <f>IFERROR(__xludf.DUMMYFUNCTION("IMPORTRANGE(""1BRUajD0ljy0AGH7V6VApyhC8CYImP4SFkM_02NmsTfQ"",""2025-26!V4"")"),1416666.333333332)</f>
        <v>1416666.333</v>
      </c>
      <c r="AS71" s="55">
        <f>IFERROR(__xludf.DUMMYFUNCTION("IMPORTRANGE(""1BRUajD0ljy0AGH7V6VApyhC8CYImP4SFkM_02NmsTfQ"",""2025-26!V3"")"),86.0)</f>
        <v>86</v>
      </c>
      <c r="AT71" s="55">
        <f>IFERROR(__xludf.DUMMYFUNCTION("IMPORTRANGE(""1BRUajD0ljy0AGH7V6VApyhC8CYImP4SFkM_02NmsTfQ"",""2025-26!W4"")"),775862.0100000001)</f>
        <v>775862.01</v>
      </c>
      <c r="AU71" s="55">
        <f>IFERROR(__xludf.DUMMYFUNCTION("IMPORTRANGE(""1BRUajD0ljy0AGH7V6VApyhC8CYImP4SFkM_02NmsTfQ"",""2025-26!W3"")"),25.0)</f>
        <v>25</v>
      </c>
      <c r="AV71" s="58">
        <f t="shared" si="22"/>
        <v>0.547667423</v>
      </c>
      <c r="AW71" s="55">
        <f>IFERROR(__xludf.DUMMYFUNCTION("IMPORTRANGE(""1BRUajD0ljy0AGH7V6VApyhC8CYImP4SFkM_02NmsTfQ"",""2025-26!X4"")"),775862.0)</f>
        <v>775862</v>
      </c>
      <c r="AX71" s="55">
        <f>IFERROR(__xludf.DUMMYFUNCTION("IMPORTRANGE(""1BRUajD0ljy0AGH7V6VApyhC8CYImP4SFkM_02NmsTfQ"",""2025-26!X3"")"),25.0)</f>
        <v>25</v>
      </c>
      <c r="AY71" s="55">
        <f>IFERROR(__xludf.DUMMYFUNCTION("IMPORTRANGE(""1BRUajD0ljy0AGH7V6VApyhC8CYImP4SFkM_02NmsTfQ"",""2025-26!Y4"")"),1749999.6666666623)</f>
        <v>1749999.667</v>
      </c>
      <c r="AZ71" s="55">
        <f>IFERROR(__xludf.DUMMYFUNCTION("IMPORTRANGE(""1BRUajD0ljy0AGH7V6VApyhC8CYImP4SFkM_02NmsTfQ"",""2025-26!Y3"")"),126.0)</f>
        <v>126</v>
      </c>
      <c r="BA71" s="55">
        <f>IFERROR(__xludf.DUMMYFUNCTION("IMPORTRANGE(""1BRUajD0ljy0AGH7V6VApyhC8CYImP4SFkM_02NmsTfQ"",""2025-26!Z4"")"),981140.5999999999)</f>
        <v>981140.6</v>
      </c>
      <c r="BB71" s="55">
        <f>IFERROR(__xludf.DUMMYFUNCTION("IMPORTRANGE(""1BRUajD0ljy0AGH7V6VApyhC8CYImP4SFkM_02NmsTfQ"",""2025-26!Z3"")"),18.0)</f>
        <v>18</v>
      </c>
      <c r="BC71" s="59">
        <f t="shared" si="23"/>
        <v>0.5867772546</v>
      </c>
      <c r="BD71" s="55">
        <f>IFERROR(__xludf.DUMMYFUNCTION("IMPORTRANGE(""1BRUajD0ljy0AGH7V6VApyhC8CYImP4SFkM_02NmsTfQ"",""2025-26!AA4"")"),1026860.0)</f>
        <v>1026860</v>
      </c>
      <c r="BE71" s="55">
        <f>IFERROR(__xludf.DUMMYFUNCTION("IMPORTRANGE(""1BRUajD0ljy0AGH7V6VApyhC8CYImP4SFkM_02NmsTfQ"",""2025-26!AA3"")"),19.0)</f>
        <v>19</v>
      </c>
      <c r="BF71" s="55">
        <f>IFERROR(__xludf.DUMMYFUNCTION("IMPORTRANGE(""1BRUajD0ljy0AGH7V6VApyhC8CYImP4SFkM_02NmsTfQ"",""2025-26!AB4"")"),1749999.6666666623)</f>
        <v>1749999.667</v>
      </c>
      <c r="BG71" s="55">
        <f>IFERROR(__xludf.DUMMYFUNCTION("IMPORTRANGE(""1BRUajD0ljy0AGH7V6VApyhC8CYImP4SFkM_02NmsTfQ"",""2025-26!AB3"")"),126.0)</f>
        <v>126</v>
      </c>
      <c r="BH71" s="55">
        <f>IFERROR(__xludf.DUMMYFUNCTION("IMPORTRANGE(""1BRUajD0ljy0AGH7V6VApyhC8CYImP4SFkM_02NmsTfQ"",""2025-26!AC4"")"),806942.78)</f>
        <v>806942.78</v>
      </c>
      <c r="BI71" s="55">
        <f>IFERROR(__xludf.DUMMYFUNCTION("IMPORTRANGE(""1BRUajD0ljy0AGH7V6VApyhC8CYImP4SFkM_02NmsTfQ"",""2025-26!AC3"")"),20.0)</f>
        <v>20</v>
      </c>
      <c r="BJ71" s="59">
        <f t="shared" si="24"/>
        <v>0.43498694</v>
      </c>
      <c r="BK71" s="55">
        <f>IFERROR(__xludf.DUMMYFUNCTION("IMPORTRANGE(""1BRUajD0ljy0AGH7V6VApyhC8CYImP4SFkM_02NmsTfQ"",""2025-26!AD4"")"),761227.0)</f>
        <v>761227</v>
      </c>
      <c r="BL71" s="55">
        <f>IFERROR(__xludf.DUMMYFUNCTION("IMPORTRANGE(""1BRUajD0ljy0AGH7V6VApyhC8CYImP4SFkM_02NmsTfQ"",""2025-26!AD3"")"),19.0)</f>
        <v>19</v>
      </c>
      <c r="BM71" s="55">
        <f>IFERROR(__xludf.DUMMYFUNCTION("IMPORTRANGE(""1BRUajD0ljy0AGH7V6VApyhC8CYImP4SFkM_02NmsTfQ"",""2025-26!AE4"")"),1791666.3333333286)</f>
        <v>1791666.333</v>
      </c>
      <c r="BN71" s="55">
        <f>IFERROR(__xludf.DUMMYFUNCTION("IMPORTRANGE(""1BRUajD0ljy0AGH7V6VApyhC8CYImP4SFkM_02NmsTfQ"",""2025-26!AE3"")"),131.0)</f>
        <v>131</v>
      </c>
      <c r="BO71" s="55">
        <f>IFERROR(__xludf.DUMMYFUNCTION("IMPORTRANGE(""1BRUajD0ljy0AGH7V6VApyhC8CYImP4SFkM_02NmsTfQ"",""2025-26!AF4"")"),743356.7)</f>
        <v>743356.7</v>
      </c>
      <c r="BP71" s="55">
        <f>IFERROR(__xludf.DUMMYFUNCTION("IMPORTRANGE(""1BRUajD0ljy0AGH7V6VApyhC8CYImP4SFkM_02NmsTfQ"",""2025-26!AF3"")"),15.0)</f>
        <v>15</v>
      </c>
      <c r="BQ71" s="59">
        <f t="shared" si="25"/>
        <v>0.4148964493</v>
      </c>
      <c r="BR71" s="55">
        <f>IFERROR(__xludf.DUMMYFUNCTION("IMPORTRANGE(""1BRUajD0ljy0AGH7V6VApyhC8CYImP4SFkM_02NmsTfQ"",""2025-26!AG4"")"),743356.0)</f>
        <v>743356</v>
      </c>
      <c r="BS71" s="55">
        <f>IFERROR(__xludf.DUMMYFUNCTION("IMPORTRANGE(""1BRUajD0ljy0AGH7V6VApyhC8CYImP4SFkM_02NmsTfQ"",""2025-26!AG3"")"),15.0)</f>
        <v>15</v>
      </c>
      <c r="BT71" s="55">
        <f>IFERROR(__xludf.DUMMYFUNCTION("IMPORTRANGE(""1BRUajD0ljy0AGH7V6VApyhC8CYImP4SFkM_02NmsTfQ"",""2025-26!AH4"")"),1791666.3333333286)</f>
        <v>1791666.333</v>
      </c>
      <c r="BU71" s="55">
        <f>IFERROR(__xludf.DUMMYFUNCTION("IMPORTRANGE(""1BRUajD0ljy0AGH7V6VApyhC8CYImP4SFkM_02NmsTfQ"",""2025-26!AH3"")"),131.0)</f>
        <v>131</v>
      </c>
      <c r="BV71" s="55">
        <f>IFERROR(__xludf.DUMMYFUNCTION("IMPORTRANGE(""1BRUajD0ljy0AGH7V6VApyhC8CYImP4SFkM_02NmsTfQ"",""2025-26!AI4"")"),1081294.9999999998)</f>
        <v>1081295</v>
      </c>
      <c r="BW71" s="55">
        <f>IFERROR(__xludf.DUMMYFUNCTION("IMPORTRANGE(""1BRUajD0ljy0AGH7V6VApyhC8CYImP4SFkM_02NmsTfQ"",""2025-26!AI3"")"),24.0)</f>
        <v>24</v>
      </c>
      <c r="BX71" s="59">
        <f t="shared" si="26"/>
        <v>0.6366950022</v>
      </c>
      <c r="BY71" s="55">
        <f>IFERROR(__xludf.DUMMYFUNCTION("IMPORTRANGE(""1BRUajD0ljy0AGH7V6VApyhC8CYImP4SFkM_02NmsTfQ"",""2025-26!AJ4"")"),1140745.0)</f>
        <v>1140745</v>
      </c>
      <c r="BZ71" s="55">
        <f>IFERROR(__xludf.DUMMYFUNCTION("IMPORTRANGE(""1BRUajD0ljy0AGH7V6VApyhC8CYImP4SFkM_02NmsTfQ"",""2025-26!AJ3"")"),23.0)</f>
        <v>23</v>
      </c>
      <c r="CA71" s="55">
        <f>IFERROR(__xludf.DUMMYFUNCTION("IMPORTRANGE(""1BRUajD0ljy0AGH7V6VApyhC8CYImP4SFkM_02NmsTfQ"",""2025-26!AK4"")"),1791666.3333333286)</f>
        <v>1791666.333</v>
      </c>
      <c r="CB71" s="55">
        <f>IFERROR(__xludf.DUMMYFUNCTION("IMPORTRANGE(""1BRUajD0ljy0AGH7V6VApyhC8CYImP4SFkM_02NmsTfQ"",""2025-26!AK3"")"),131.0)</f>
        <v>131</v>
      </c>
      <c r="CC71" s="55">
        <f>IFERROR(__xludf.DUMMYFUNCTION("IMPORTRANGE(""1BRUajD0ljy0AGH7V6VApyhC8CYImP4SFkM_02NmsTfQ"",""2025-26!AL4"")"),1243956.05)</f>
        <v>1243956.05</v>
      </c>
      <c r="CD71" s="55">
        <f>IFERROR(__xludf.DUMMYFUNCTION("IMPORTRANGE(""1BRUajD0ljy0AGH7V6VApyhC8CYImP4SFkM_02NmsTfQ"",""2025-26!AL3"")"),21.0)</f>
        <v>21</v>
      </c>
      <c r="CE71" s="59">
        <f t="shared" si="27"/>
        <v>0.6943028268</v>
      </c>
      <c r="CF71" s="55">
        <f>IFERROR(__xludf.DUMMYFUNCTION("IMPORTRANGE(""1BRUajD0ljy0AGH7V6VApyhC8CYImP4SFkM_02NmsTfQ"",""2025-26!AM4"")"),1243959.0)</f>
        <v>1243959</v>
      </c>
      <c r="CG71" s="55">
        <f>IFERROR(__xludf.DUMMYFUNCTION("IMPORTRANGE(""1BRUajD0ljy0AGH7V6VApyhC8CYImP4SFkM_02NmsTfQ"",""2025-26!AM3"")"),21.0)</f>
        <v>21</v>
      </c>
      <c r="CH71" s="55">
        <f>IFERROR(__xludf.DUMMYFUNCTION("IMPORTRANGE(""1BRUajD0ljy0AGH7V6VApyhC8CYImP4SFkM_02NmsTfQ"",""2025-26!AN4"")"),1824999.6666666616)</f>
        <v>1824999.667</v>
      </c>
      <c r="CI71" s="55">
        <f>IFERROR(__xludf.DUMMYFUNCTION("IMPORTRANGE(""1BRUajD0ljy0AGH7V6VApyhC8CYImP4SFkM_02NmsTfQ"",""2025-26!AN3"")"),135.0)</f>
        <v>135</v>
      </c>
      <c r="CJ71" s="55">
        <f>IFERROR(__xludf.DUMMYFUNCTION("IMPORTRANGE(""1BRUajD0ljy0AGH7V6VApyhC8CYImP4SFkM_02NmsTfQ"",""2025-26!AO4"")"),1036270.1099999999)</f>
        <v>1036270.11</v>
      </c>
      <c r="CK71" s="55">
        <f>IFERROR(__xludf.DUMMYFUNCTION("IMPORTRANGE(""1BRUajD0ljy0AGH7V6VApyhC8CYImP4SFkM_02NmsTfQ"",""2025-26!AO3"")"),22.0)</f>
        <v>22</v>
      </c>
      <c r="CL71" s="59">
        <f t="shared" si="28"/>
        <v>0.5678192818</v>
      </c>
      <c r="CM71" s="55">
        <f>IFERROR(__xludf.DUMMYFUNCTION("IMPORTRANGE(""1BRUajD0ljy0AGH7V6VApyhC8CYImP4SFkM_02NmsTfQ"",""2025-26!AP4"")"),1036270.0)</f>
        <v>1036270</v>
      </c>
      <c r="CN71" s="55">
        <f>IFERROR(__xludf.DUMMYFUNCTION("IMPORTRANGE(""1BRUajD0ljy0AGH7V6VApyhC8CYImP4SFkM_02NmsTfQ"",""2025-26!AP3"")"),22.0)</f>
        <v>22</v>
      </c>
      <c r="CO71" s="55">
        <f>IFERROR(__xludf.DUMMYFUNCTION("IMPORTRANGE(""1BRUajD0ljy0AGH7V6VApyhC8CYImP4SFkM_02NmsTfQ"",""2025-26!AQ4"")"),1833332.9999999949)</f>
        <v>1833333</v>
      </c>
      <c r="CP71" s="55">
        <f>IFERROR(__xludf.DUMMYFUNCTION("IMPORTRANGE(""1BRUajD0ljy0AGH7V6VApyhC8CYImP4SFkM_02NmsTfQ"",""2025-26!AQ3"")"),136.0)</f>
        <v>136</v>
      </c>
      <c r="CQ71" s="55">
        <f>IFERROR(__xludf.DUMMYFUNCTION("IMPORTRANGE(""1BRUajD0ljy0AGH7V6VApyhC8CYImP4SFkM_02NmsTfQ"",""2025-26!AR4"")"),1172270.7899999998)</f>
        <v>1172270.79</v>
      </c>
      <c r="CR71" s="55">
        <f>IFERROR(__xludf.DUMMYFUNCTION("IMPORTRANGE(""1BRUajD0ljy0AGH7V6VApyhC8CYImP4SFkM_02NmsTfQ"",""2025-26!AR3"")"),25.0)</f>
        <v>25</v>
      </c>
      <c r="CS71" s="59">
        <f t="shared" si="29"/>
        <v>0.6394222981</v>
      </c>
      <c r="CT71" s="55">
        <f>IFERROR(__xludf.DUMMYFUNCTION("IMPORTRANGE(""1BRUajD0ljy0AGH7V6VApyhC8CYImP4SFkM_02NmsTfQ"",""2025-26!AS4"")"),1172274.0)</f>
        <v>1172274</v>
      </c>
      <c r="CU71" s="55">
        <f>IFERROR(__xludf.DUMMYFUNCTION("IMPORTRANGE(""1BRUajD0ljy0AGH7V6VApyhC8CYImP4SFkM_02NmsTfQ"",""2025-26!AS3"")"),25.0)</f>
        <v>25</v>
      </c>
      <c r="CV71" s="60" t="s">
        <v>130</v>
      </c>
    </row>
    <row r="72">
      <c r="A72" s="1" t="s">
        <v>126</v>
      </c>
      <c r="B72" s="37"/>
      <c r="C72" s="64" t="s">
        <v>171</v>
      </c>
      <c r="D72" s="68" t="s">
        <v>137</v>
      </c>
      <c r="E72" s="68">
        <v>9.993996692E9</v>
      </c>
      <c r="F72" s="78">
        <v>45658.0</v>
      </c>
      <c r="G72" s="62"/>
      <c r="H72" s="62"/>
      <c r="I72" s="53">
        <f>VLOOKUP($C72,Data!$C:$BV,72,0)</f>
        <v>36188</v>
      </c>
      <c r="J72" s="54">
        <v>1166667.0</v>
      </c>
      <c r="K72" s="55">
        <f>IFERROR(__xludf.DUMMYFUNCTION("IMPORTRANGE(""1C8zFo8Wr-G2dpe4FzFhr8ObF-1C64JPU2sDH3LNGo_Y"",""2025-26!A3"")"),58.0)</f>
        <v>58</v>
      </c>
      <c r="L72" s="55">
        <f>IFERROR(__xludf.DUMMYFUNCTION("IMPORTRANGE(""1C8zFo8Wr-G2dpe4FzFhr8ObF-1C64JPU2sDH3LNGo_Y"",""2025-26!G4"")"),1.488E7)</f>
        <v>14880000</v>
      </c>
      <c r="M72" s="55">
        <f t="shared" si="47"/>
        <v>6786619.64</v>
      </c>
      <c r="N72" s="56">
        <f t="shared" si="48"/>
        <v>0.3516622312</v>
      </c>
      <c r="O72" s="57">
        <f t="shared" si="49"/>
        <v>5232734</v>
      </c>
      <c r="P72" s="55">
        <f>IFERROR(__xludf.DUMMYFUNCTION("IMPORTRANGE(""1C8zFo8Wr-G2dpe4FzFhr8ObF-1C64JPU2sDH3LNGo_Y"",""2025-26!J4"")"),286000.0)</f>
        <v>286000</v>
      </c>
      <c r="Q72" s="55">
        <f>IFERROR(__xludf.DUMMYFUNCTION("IMPORTRANGE(""1C8zFo8Wr-G2dpe4FzFhr8ObF-1C64JPU2sDH3LNGo_Y"",""2025-26!J3"")"),9.0)</f>
        <v>9</v>
      </c>
      <c r="R72" s="55">
        <f>IFERROR(__xludf.DUMMYFUNCTION("IMPORTRANGE(""1C8zFo8Wr-G2dpe4FzFhr8ObF-1C64JPU2sDH3LNGo_Y"",""2025-26!K4"")"),371079.72000000003)</f>
        <v>371079.72</v>
      </c>
      <c r="S72" s="55">
        <f>IFERROR(__xludf.DUMMYFUNCTION("IMPORTRANGE(""1C8zFo8Wr-G2dpe4FzFhr8ObF-1C64JPU2sDH3LNGo_Y"",""2025-26!K3"")"),14.0)</f>
        <v>14</v>
      </c>
      <c r="T72" s="58">
        <f t="shared" si="18"/>
        <v>0.6658776224</v>
      </c>
      <c r="U72" s="55">
        <f>IFERROR(__xludf.DUMMYFUNCTION("IMPORTRANGE(""1C8zFo8Wr-G2dpe4FzFhr8ObF-1C64JPU2sDH3LNGo_Y"",""2025-26!L4"")"),190441.0)</f>
        <v>190441</v>
      </c>
      <c r="V72" s="55">
        <f>IFERROR(__xludf.DUMMYFUNCTION("IMPORTRANGE(""1C8zFo8Wr-G2dpe4FzFhr8ObF-1C64JPU2sDH3LNGo_Y"",""2025-26!L3"")"),8.0)</f>
        <v>8</v>
      </c>
      <c r="W72" s="55">
        <f>IFERROR(__xludf.DUMMYFUNCTION("IMPORTRANGE(""1C8zFo8Wr-G2dpe4FzFhr8ObF-1C64JPU2sDH3LNGo_Y"",""2025-26!m4"")"),796000.0)</f>
        <v>796000</v>
      </c>
      <c r="X72" s="55">
        <f>IFERROR(__xludf.DUMMYFUNCTION("IMPORTRANGE(""1C8zFo8Wr-G2dpe4FzFhr8ObF-1C64JPU2sDH3LNGo_Y"",""2025-26!m3"")"),23.0)</f>
        <v>23</v>
      </c>
      <c r="Y72" s="55">
        <f>IFERROR(__xludf.DUMMYFUNCTION("IMPORTRANGE(""1C8zFo8Wr-G2dpe4FzFhr8ObF-1C64JPU2sDH3LNGo_Y"",""2025-26!N4"")"),513228.74000000005)</f>
        <v>513228.74</v>
      </c>
      <c r="Z72" s="55">
        <f>IFERROR(__xludf.DUMMYFUNCTION("IMPORTRANGE(""1C8zFo8Wr-G2dpe4FzFhr8ObF-1C64JPU2sDH3LNGo_Y"",""2025-26!N3"")"),16.0)</f>
        <v>16</v>
      </c>
      <c r="AA72" s="58">
        <f t="shared" si="19"/>
        <v>0.3015703518</v>
      </c>
      <c r="AB72" s="55">
        <f>IFERROR(__xludf.DUMMYFUNCTION("IMPORTRANGE(""1C8zFo8Wr-G2dpe4FzFhr8ObF-1C64JPU2sDH3LNGo_Y"",""2025-26!O4"")"),240050.0)</f>
        <v>240050</v>
      </c>
      <c r="AC72" s="55">
        <f>IFERROR(__xludf.DUMMYFUNCTION("IMPORTRANGE(""1C8zFo8Wr-G2dpe4FzFhr8ObF-1C64JPU2sDH3LNGo_Y"",""2025-26!O3"")"),16.0)</f>
        <v>16</v>
      </c>
      <c r="AD72" s="55">
        <f>IFERROR(__xludf.DUMMYFUNCTION("IMPORTRANGE(""1C8zFo8Wr-G2dpe4FzFhr8ObF-1C64JPU2sDH3LNGo_Y"",""2025-26!P4"")"),723000.0)</f>
        <v>723000</v>
      </c>
      <c r="AE72" s="55">
        <f>IFERROR(__xludf.DUMMYFUNCTION("IMPORTRANGE(""1C8zFo8Wr-G2dpe4FzFhr8ObF-1C64JPU2sDH3LNGo_Y"",""2025-26!P3"")"),23.0)</f>
        <v>23</v>
      </c>
      <c r="AF72" s="55">
        <f>IFERROR(__xludf.DUMMYFUNCTION("IMPORTRANGE(""1C8zFo8Wr-G2dpe4FzFhr8ObF-1C64JPU2sDH3LNGo_Y"",""2025-26!Q4"")"),504537.99999999994)</f>
        <v>504538</v>
      </c>
      <c r="AG72" s="55">
        <f>IFERROR(__xludf.DUMMYFUNCTION("IMPORTRANGE(""1C8zFo8Wr-G2dpe4FzFhr8ObF-1C64JPU2sDH3LNGo_Y"",""2025-26!Q3"")"),12.0)</f>
        <v>12</v>
      </c>
      <c r="AH72" s="58">
        <f t="shared" si="20"/>
        <v>0.4048838174</v>
      </c>
      <c r="AI72" s="55">
        <f>IFERROR(__xludf.DUMMYFUNCTION("IMPORTRANGE(""1C8zFo8Wr-G2dpe4FzFhr8ObF-1C64JPU2sDH3LNGo_Y"",""2025-26!R4"")"),292731.0)</f>
        <v>292731</v>
      </c>
      <c r="AJ72" s="55">
        <f>IFERROR(__xludf.DUMMYFUNCTION("IMPORTRANGE(""1C8zFo8Wr-G2dpe4FzFhr8ObF-1C64JPU2sDH3LNGo_Y"",""2025-26!R3"")"),11.0)</f>
        <v>11</v>
      </c>
      <c r="AK72" s="55">
        <f>IFERROR(__xludf.DUMMYFUNCTION("IMPORTRANGE(""1C8zFo8Wr-G2dpe4FzFhr8ObF-1C64JPU2sDH3LNGo_Y"",""2025-26!S4"")"),1170000.0)</f>
        <v>1170000</v>
      </c>
      <c r="AL72" s="55">
        <f>IFERROR(__xludf.DUMMYFUNCTION("IMPORTRANGE(""1C8zFo8Wr-G2dpe4FzFhr8ObF-1C64JPU2sDH3LNGo_Y"",""2025-26!S3"")"),33.0)</f>
        <v>33</v>
      </c>
      <c r="AM72" s="55">
        <f>IFERROR(__xludf.DUMMYFUNCTION("IMPORTRANGE(""1C8zFo8Wr-G2dpe4FzFhr8ObF-1C64JPU2sDH3LNGo_Y"",""2025-26!T4"")"),406439.31999999995)</f>
        <v>406439.32</v>
      </c>
      <c r="AN72" s="55">
        <f>IFERROR(__xludf.DUMMYFUNCTION("IMPORTRANGE(""1C8zFo8Wr-G2dpe4FzFhr8ObF-1C64JPU2sDH3LNGo_Y"",""2025-26!T3"")"),11.0)</f>
        <v>11</v>
      </c>
      <c r="AO72" s="58">
        <f t="shared" si="21"/>
        <v>0.3140769231</v>
      </c>
      <c r="AP72" s="55">
        <f>IFERROR(__xludf.DUMMYFUNCTION("IMPORTRANGE(""1C8zFo8Wr-G2dpe4FzFhr8ObF-1C64JPU2sDH3LNGo_Y"",""2025-26!U4"")"),367470.0)</f>
        <v>367470</v>
      </c>
      <c r="AQ72" s="55">
        <f>IFERROR(__xludf.DUMMYFUNCTION("IMPORTRANGE(""1C8zFo8Wr-G2dpe4FzFhr8ObF-1C64JPU2sDH3LNGo_Y"",""2025-26!U3"")"),10.0)</f>
        <v>10</v>
      </c>
      <c r="AR72" s="55">
        <f>IFERROR(__xludf.DUMMYFUNCTION("IMPORTRANGE(""1C8zFo8Wr-G2dpe4FzFhr8ObF-1C64JPU2sDH3LNGo_Y"",""2025-26!V4"")"),1170000.0)</f>
        <v>1170000</v>
      </c>
      <c r="AS72" s="55">
        <f>IFERROR(__xludf.DUMMYFUNCTION("IMPORTRANGE(""1C8zFo8Wr-G2dpe4FzFhr8ObF-1C64JPU2sDH3LNGo_Y"",""2025-26!V3"")"),33.0)</f>
        <v>33</v>
      </c>
      <c r="AT72" s="55">
        <f>IFERROR(__xludf.DUMMYFUNCTION("IMPORTRANGE(""1C8zFo8Wr-G2dpe4FzFhr8ObF-1C64JPU2sDH3LNGo_Y"",""2025-26!W4"")"),452591.25000000006)</f>
        <v>452591.25</v>
      </c>
      <c r="AU72" s="55">
        <f>IFERROR(__xludf.DUMMYFUNCTION("IMPORTRANGE(""1C8zFo8Wr-G2dpe4FzFhr8ObF-1C64JPU2sDH3LNGo_Y"",""2025-26!W3"")"),12.0)</f>
        <v>12</v>
      </c>
      <c r="AV72" s="58">
        <f t="shared" si="22"/>
        <v>0.356817094</v>
      </c>
      <c r="AW72" s="55">
        <f>IFERROR(__xludf.DUMMYFUNCTION("IMPORTRANGE(""1C8zFo8Wr-G2dpe4FzFhr8ObF-1C64JPU2sDH3LNGo_Y"",""2025-26!X4"")"),417476.0)</f>
        <v>417476</v>
      </c>
      <c r="AX72" s="55">
        <f>IFERROR(__xludf.DUMMYFUNCTION("IMPORTRANGE(""1C8zFo8Wr-G2dpe4FzFhr8ObF-1C64JPU2sDH3LNGo_Y"",""2025-26!X3"")"),11.0)</f>
        <v>11</v>
      </c>
      <c r="AY72" s="55">
        <f>IFERROR(__xludf.DUMMYFUNCTION("IMPORTRANGE(""1C8zFo8Wr-G2dpe4FzFhr8ObF-1C64JPU2sDH3LNGo_Y"",""2025-26!Y4"")"),1170000.0)</f>
        <v>1170000</v>
      </c>
      <c r="AZ72" s="55">
        <f>IFERROR(__xludf.DUMMYFUNCTION("IMPORTRANGE(""1C8zFo8Wr-G2dpe4FzFhr8ObF-1C64JPU2sDH3LNGo_Y"",""2025-26!Y3"")"),33.0)</f>
        <v>33</v>
      </c>
      <c r="BA72" s="55">
        <f>IFERROR(__xludf.DUMMYFUNCTION("IMPORTRANGE(""1C8zFo8Wr-G2dpe4FzFhr8ObF-1C64JPU2sDH3LNGo_Y"",""2025-26!Z4"")"),390615.92999999993)</f>
        <v>390615.93</v>
      </c>
      <c r="BB72" s="55">
        <f>IFERROR(__xludf.DUMMYFUNCTION("IMPORTRANGE(""1C8zFo8Wr-G2dpe4FzFhr8ObF-1C64JPU2sDH3LNGo_Y"",""2025-26!Z3"")"),14.0)</f>
        <v>14</v>
      </c>
      <c r="BC72" s="59">
        <f t="shared" si="23"/>
        <v>0.3382495726</v>
      </c>
      <c r="BD72" s="55">
        <f>IFERROR(__xludf.DUMMYFUNCTION("IMPORTRANGE(""1C8zFo8Wr-G2dpe4FzFhr8ObF-1C64JPU2sDH3LNGo_Y"",""2025-26!AA4"")"),395752.0)</f>
        <v>395752</v>
      </c>
      <c r="BE72" s="55">
        <f>IFERROR(__xludf.DUMMYFUNCTION("IMPORTRANGE(""1C8zFo8Wr-G2dpe4FzFhr8ObF-1C64JPU2sDH3LNGo_Y"",""2025-26!AA3"")"),13.0)</f>
        <v>13</v>
      </c>
      <c r="BF72" s="55">
        <f>IFERROR(__xludf.DUMMYFUNCTION("IMPORTRANGE(""1C8zFo8Wr-G2dpe4FzFhr8ObF-1C64JPU2sDH3LNGo_Y"",""2025-26!AB4"")"),1185000.0)</f>
        <v>1185000</v>
      </c>
      <c r="BG72" s="55">
        <f>IFERROR(__xludf.DUMMYFUNCTION("IMPORTRANGE(""1C8zFo8Wr-G2dpe4FzFhr8ObF-1C64JPU2sDH3LNGo_Y"",""2025-26!AB3"")"),38.0)</f>
        <v>38</v>
      </c>
      <c r="BH72" s="55">
        <f>IFERROR(__xludf.DUMMYFUNCTION("IMPORTRANGE(""1C8zFo8Wr-G2dpe4FzFhr8ObF-1C64JPU2sDH3LNGo_Y"",""2025-26!AC4"")"),207339.65)</f>
        <v>207339.65</v>
      </c>
      <c r="BI72" s="55">
        <f>IFERROR(__xludf.DUMMYFUNCTION("IMPORTRANGE(""1C8zFo8Wr-G2dpe4FzFhr8ObF-1C64JPU2sDH3LNGo_Y"",""2025-26!AC3"")"),6.0)</f>
        <v>6</v>
      </c>
      <c r="BJ72" s="59">
        <f t="shared" si="24"/>
        <v>0.2073881857</v>
      </c>
      <c r="BK72" s="55">
        <f>IFERROR(__xludf.DUMMYFUNCTION("IMPORTRANGE(""1C8zFo8Wr-G2dpe4FzFhr8ObF-1C64JPU2sDH3LNGo_Y"",""2025-26!AD4"")"),245755.0)</f>
        <v>245755</v>
      </c>
      <c r="BL72" s="55">
        <f>IFERROR(__xludf.DUMMYFUNCTION("IMPORTRANGE(""1C8zFo8Wr-G2dpe4FzFhr8ObF-1C64JPU2sDH3LNGo_Y"",""2025-26!AD3"")"),9.0)</f>
        <v>9</v>
      </c>
      <c r="BM72" s="55">
        <f>IFERROR(__xludf.DUMMYFUNCTION("IMPORTRANGE(""1C8zFo8Wr-G2dpe4FzFhr8ObF-1C64JPU2sDH3LNGo_Y"",""2025-26!AE4"")"),1185000.0)</f>
        <v>1185000</v>
      </c>
      <c r="BN72" s="55">
        <f>IFERROR(__xludf.DUMMYFUNCTION("IMPORTRANGE(""1C8zFo8Wr-G2dpe4FzFhr8ObF-1C64JPU2sDH3LNGo_Y"",""2025-26!AE3"")"),38.0)</f>
        <v>38</v>
      </c>
      <c r="BO72" s="55">
        <f>IFERROR(__xludf.DUMMYFUNCTION("IMPORTRANGE(""1C8zFo8Wr-G2dpe4FzFhr8ObF-1C64JPU2sDH3LNGo_Y"",""2025-26!AF4"")"),496794.69999999995)</f>
        <v>496794.7</v>
      </c>
      <c r="BP72" s="55">
        <f>IFERROR(__xludf.DUMMYFUNCTION("IMPORTRANGE(""1C8zFo8Wr-G2dpe4FzFhr8ObF-1C64JPU2sDH3LNGo_Y"",""2025-26!AF3"")"),14.0)</f>
        <v>14</v>
      </c>
      <c r="BQ72" s="59">
        <f t="shared" si="25"/>
        <v>0.2256843882</v>
      </c>
      <c r="BR72" s="55">
        <f>IFERROR(__xludf.DUMMYFUNCTION("IMPORTRANGE(""1C8zFo8Wr-G2dpe4FzFhr8ObF-1C64JPU2sDH3LNGo_Y"",""2025-26!AG4"")"),267436.0)</f>
        <v>267436</v>
      </c>
      <c r="BS72" s="55">
        <f>IFERROR(__xludf.DUMMYFUNCTION("IMPORTRANGE(""1C8zFo8Wr-G2dpe4FzFhr8ObF-1C64JPU2sDH3LNGo_Y"",""2025-26!AG3"")"),11.0)</f>
        <v>11</v>
      </c>
      <c r="BT72" s="55">
        <f>IFERROR(__xludf.DUMMYFUNCTION("IMPORTRANGE(""1C8zFo8Wr-G2dpe4FzFhr8ObF-1C64JPU2sDH3LNGo_Y"",""2025-26!AH4"")"),1185000.0)</f>
        <v>1185000</v>
      </c>
      <c r="BU72" s="55">
        <f>IFERROR(__xludf.DUMMYFUNCTION("IMPORTRANGE(""1C8zFo8Wr-G2dpe4FzFhr8ObF-1C64JPU2sDH3LNGo_Y"",""2025-26!AH3"")"),38.0)</f>
        <v>38</v>
      </c>
      <c r="BV72" s="55">
        <f>IFERROR(__xludf.DUMMYFUNCTION("IMPORTRANGE(""1C8zFo8Wr-G2dpe4FzFhr8ObF-1C64JPU2sDH3LNGo_Y"",""2025-26!AI4"")"),979983.37)</f>
        <v>979983.37</v>
      </c>
      <c r="BW72" s="55">
        <f>IFERROR(__xludf.DUMMYFUNCTION("IMPORTRANGE(""1C8zFo8Wr-G2dpe4FzFhr8ObF-1C64JPU2sDH3LNGo_Y"",""2025-26!AI3"")"),17.0)</f>
        <v>17</v>
      </c>
      <c r="BX72" s="59">
        <f t="shared" si="26"/>
        <v>0.7286565401</v>
      </c>
      <c r="BY72" s="55">
        <f>IFERROR(__xludf.DUMMYFUNCTION("IMPORTRANGE(""1C8zFo8Wr-G2dpe4FzFhr8ObF-1C64JPU2sDH3LNGo_Y"",""2025-26!AJ4"")"),863458.0)</f>
        <v>863458</v>
      </c>
      <c r="BZ72" s="55">
        <f>IFERROR(__xludf.DUMMYFUNCTION("IMPORTRANGE(""1C8zFo8Wr-G2dpe4FzFhr8ObF-1C64JPU2sDH3LNGo_Y"",""2025-26!AJ3"")"),17.0)</f>
        <v>17</v>
      </c>
      <c r="CA72" s="55">
        <f>IFERROR(__xludf.DUMMYFUNCTION("IMPORTRANGE(""1C8zFo8Wr-G2dpe4FzFhr8ObF-1C64JPU2sDH3LNGo_Y"",""2025-26!AK4"")"),1245000.0)</f>
        <v>1245000</v>
      </c>
      <c r="CB72" s="55">
        <f>IFERROR(__xludf.DUMMYFUNCTION("IMPORTRANGE(""1C8zFo8Wr-G2dpe4FzFhr8ObF-1C64JPU2sDH3LNGo_Y"",""2025-26!AK3"")"),41.0)</f>
        <v>41</v>
      </c>
      <c r="CC72" s="55">
        <f>IFERROR(__xludf.DUMMYFUNCTION("IMPORTRANGE(""1C8zFo8Wr-G2dpe4FzFhr8ObF-1C64JPU2sDH3LNGo_Y"",""2025-26!AL4"")"),548119.1300000001)</f>
        <v>548119.13</v>
      </c>
      <c r="CD72" s="55">
        <f>IFERROR(__xludf.DUMMYFUNCTION("IMPORTRANGE(""1C8zFo8Wr-G2dpe4FzFhr8ObF-1C64JPU2sDH3LNGo_Y"",""2025-26!AL3"")"),12.0)</f>
        <v>12</v>
      </c>
      <c r="CE72" s="59">
        <f t="shared" si="27"/>
        <v>0.3393726908</v>
      </c>
      <c r="CF72" s="55">
        <f>IFERROR(__xludf.DUMMYFUNCTION("IMPORTRANGE(""1C8zFo8Wr-G2dpe4FzFhr8ObF-1C64JPU2sDH3LNGo_Y"",""2025-26!AM4"")"),422519.0)</f>
        <v>422519</v>
      </c>
      <c r="CG72" s="55">
        <f>IFERROR(__xludf.DUMMYFUNCTION("IMPORTRANGE(""1C8zFo8Wr-G2dpe4FzFhr8ObF-1C64JPU2sDH3LNGo_Y"",""2025-26!AM3"")"),11.0)</f>
        <v>11</v>
      </c>
      <c r="CH72" s="55">
        <f>IFERROR(__xludf.DUMMYFUNCTION("IMPORTRANGE(""1C8zFo8Wr-G2dpe4FzFhr8ObF-1C64JPU2sDH3LNGo_Y"",""2025-26!AN4"")"),1245000.0)</f>
        <v>1245000</v>
      </c>
      <c r="CI72" s="55">
        <f>IFERROR(__xludf.DUMMYFUNCTION("IMPORTRANGE(""1C8zFo8Wr-G2dpe4FzFhr8ObF-1C64JPU2sDH3LNGo_Y"",""2025-26!AN3"")"),41.0)</f>
        <v>41</v>
      </c>
      <c r="CJ72" s="55">
        <f>IFERROR(__xludf.DUMMYFUNCTION("IMPORTRANGE(""1C8zFo8Wr-G2dpe4FzFhr8ObF-1C64JPU2sDH3LNGo_Y"",""2025-26!AO4"")"),436139.27999999997)</f>
        <v>436139.28</v>
      </c>
      <c r="CK72" s="55">
        <f>IFERROR(__xludf.DUMMYFUNCTION("IMPORTRANGE(""1C8zFo8Wr-G2dpe4FzFhr8ObF-1C64JPU2sDH3LNGo_Y"",""2025-26!AO3"")"),16.0)</f>
        <v>16</v>
      </c>
      <c r="CL72" s="59">
        <f t="shared" si="28"/>
        <v>0.3193951807</v>
      </c>
      <c r="CM72" s="55">
        <f>IFERROR(__xludf.DUMMYFUNCTION("IMPORTRANGE(""1C8zFo8Wr-G2dpe4FzFhr8ObF-1C64JPU2sDH3LNGo_Y"",""2025-26!AP4"")"),397647.0)</f>
        <v>397647</v>
      </c>
      <c r="CN72" s="55">
        <f>IFERROR(__xludf.DUMMYFUNCTION("IMPORTRANGE(""1C8zFo8Wr-G2dpe4FzFhr8ObF-1C64JPU2sDH3LNGo_Y"",""2025-26!AP3"")"),15.0)</f>
        <v>15</v>
      </c>
      <c r="CO72" s="55">
        <f>IFERROR(__xludf.DUMMYFUNCTION("IMPORTRANGE(""1C8zFo8Wr-G2dpe4FzFhr8ObF-1C64JPU2sDH3LNGo_Y"",""2025-26!AQ4"")"),1245000.0)</f>
        <v>1245000</v>
      </c>
      <c r="CP72" s="55">
        <f>IFERROR(__xludf.DUMMYFUNCTION("IMPORTRANGE(""1C8zFo8Wr-G2dpe4FzFhr8ObF-1C64JPU2sDH3LNGo_Y"",""2025-26!AQ3"")"),41.0)</f>
        <v>41</v>
      </c>
      <c r="CQ72" s="55">
        <f>IFERROR(__xludf.DUMMYFUNCTION("IMPORTRANGE(""1C8zFo8Wr-G2dpe4FzFhr8ObF-1C64JPU2sDH3LNGo_Y"",""2025-26!AR4"")"),1479750.55)</f>
        <v>1479750.55</v>
      </c>
      <c r="CR72" s="55">
        <f>IFERROR(__xludf.DUMMYFUNCTION("IMPORTRANGE(""1C8zFo8Wr-G2dpe4FzFhr8ObF-1C64JPU2sDH3LNGo_Y"",""2025-26!AR3"")"),13.0)</f>
        <v>13</v>
      </c>
      <c r="CS72" s="59">
        <f t="shared" si="29"/>
        <v>0.9092361446</v>
      </c>
      <c r="CT72" s="55">
        <f>IFERROR(__xludf.DUMMYFUNCTION("IMPORTRANGE(""1C8zFo8Wr-G2dpe4FzFhr8ObF-1C64JPU2sDH3LNGo_Y"",""2025-26!AS4"")"),1131999.0)</f>
        <v>1131999</v>
      </c>
      <c r="CU72" s="55">
        <f>IFERROR(__xludf.DUMMYFUNCTION("IMPORTRANGE(""1C8zFo8Wr-G2dpe4FzFhr8ObF-1C64JPU2sDH3LNGo_Y"",""2025-26!AS3"")"),14.0)</f>
        <v>14</v>
      </c>
      <c r="CV72" s="60" t="s">
        <v>135</v>
      </c>
    </row>
    <row r="73">
      <c r="A73" s="1" t="s">
        <v>126</v>
      </c>
      <c r="B73" s="37"/>
      <c r="C73" s="64" t="s">
        <v>172</v>
      </c>
      <c r="D73" s="68" t="s">
        <v>142</v>
      </c>
      <c r="E73" s="68">
        <v>7.903888032E9</v>
      </c>
      <c r="F73" s="78">
        <v>45843.0</v>
      </c>
      <c r="G73" s="62"/>
      <c r="H73" s="62"/>
      <c r="I73" s="53">
        <f>VLOOKUP($C73,Data!$C:$BV,34,0)</f>
        <v>41430</v>
      </c>
      <c r="J73" s="54">
        <v>2000000.0</v>
      </c>
      <c r="K73" s="55">
        <f>IFERROR(__xludf.DUMMYFUNCTION("IMPORTRANGE(""171w6KRBV2rba0q9n8Gbz_2pG5V9aYcwOZTrmc_2SUsg"",""2025-26!A3"")"),91.0)</f>
        <v>91</v>
      </c>
      <c r="L73" s="55">
        <f>IFERROR(__xludf.DUMMYFUNCTION("IMPORTRANGE(""171w6KRBV2rba0q9n8Gbz_2pG5V9aYcwOZTrmc_2SUsg"",""2025-26!G4"")"),1.63E7)</f>
        <v>16300000</v>
      </c>
      <c r="M73" s="55">
        <f t="shared" si="47"/>
        <v>6669494.85</v>
      </c>
      <c r="N73" s="56">
        <f t="shared" si="48"/>
        <v>0.4003641718</v>
      </c>
      <c r="O73" s="57">
        <f t="shared" si="49"/>
        <v>6525936</v>
      </c>
      <c r="P73" s="55">
        <f>IFERROR(__xludf.DUMMYFUNCTION("IMPORTRANGE(""171w6KRBV2rba0q9n8Gbz_2pG5V9aYcwOZTrmc_2SUsg"",""2025-26!J4"")"),0.0)</f>
        <v>0</v>
      </c>
      <c r="Q73" s="55">
        <f>IFERROR(__xludf.DUMMYFUNCTION("IMPORTRANGE(""171w6KRBV2rba0q9n8Gbz_2pG5V9aYcwOZTrmc_2SUsg"",""2025-26!J3"")"),0.0)</f>
        <v>0</v>
      </c>
      <c r="R73" s="55">
        <f>IFERROR(__xludf.DUMMYFUNCTION("IMPORTRANGE(""171w6KRBV2rba0q9n8Gbz_2pG5V9aYcwOZTrmc_2SUsg"",""2025-26!K4"")"),0.0)</f>
        <v>0</v>
      </c>
      <c r="S73" s="55">
        <f>IFERROR(__xludf.DUMMYFUNCTION("IMPORTRANGE(""171w6KRBV2rba0q9n8Gbz_2pG5V9aYcwOZTrmc_2SUsg"",""2025-26!K3"")"),0.0)</f>
        <v>0</v>
      </c>
      <c r="T73" s="58" t="str">
        <f t="shared" si="18"/>
        <v/>
      </c>
      <c r="U73" s="55">
        <f>IFERROR(__xludf.DUMMYFUNCTION("IMPORTRANGE(""171w6KRBV2rba0q9n8Gbz_2pG5V9aYcwOZTrmc_2SUsg"",""2025-26!L4"")"),0.0)</f>
        <v>0</v>
      </c>
      <c r="V73" s="55">
        <f>IFERROR(__xludf.DUMMYFUNCTION("IMPORTRANGE(""171w6KRBV2rba0q9n8Gbz_2pG5V9aYcwOZTrmc_2SUsg"",""2025-26!L3"")"),0.0)</f>
        <v>0</v>
      </c>
      <c r="W73" s="55">
        <f>IFERROR(__xludf.DUMMYFUNCTION("IMPORTRANGE(""171w6KRBV2rba0q9n8Gbz_2pG5V9aYcwOZTrmc_2SUsg"",""2025-26!m4"")"),0.0)</f>
        <v>0</v>
      </c>
      <c r="X73" s="55">
        <f>IFERROR(__xludf.DUMMYFUNCTION("IMPORTRANGE(""171w6KRBV2rba0q9n8Gbz_2pG5V9aYcwOZTrmc_2SUsg"",""2025-26!m3"")"),0.0)</f>
        <v>0</v>
      </c>
      <c r="Y73" s="55">
        <f>IFERROR(__xludf.DUMMYFUNCTION("IMPORTRANGE(""171w6KRBV2rba0q9n8Gbz_2pG5V9aYcwOZTrmc_2SUsg"",""2025-26!N4"")"),0.0)</f>
        <v>0</v>
      </c>
      <c r="Z73" s="55">
        <f>IFERROR(__xludf.DUMMYFUNCTION("IMPORTRANGE(""171w6KRBV2rba0q9n8Gbz_2pG5V9aYcwOZTrmc_2SUsg"",""2025-26!N3"")"),0.0)</f>
        <v>0</v>
      </c>
      <c r="AA73" s="58" t="str">
        <f t="shared" si="19"/>
        <v/>
      </c>
      <c r="AB73" s="55">
        <f>IFERROR(__xludf.DUMMYFUNCTION("IMPORTRANGE(""171w6KRBV2rba0q9n8Gbz_2pG5V9aYcwOZTrmc_2SUsg"",""2025-26!O4"")"),0.0)</f>
        <v>0</v>
      </c>
      <c r="AC73" s="55">
        <f>IFERROR(__xludf.DUMMYFUNCTION("IMPORTRANGE(""171w6KRBV2rba0q9n8Gbz_2pG5V9aYcwOZTrmc_2SUsg"",""2025-26!O3"")"),0.0)</f>
        <v>0</v>
      </c>
      <c r="AD73" s="55">
        <f>IFERROR(__xludf.DUMMYFUNCTION("IMPORTRANGE(""171w6KRBV2rba0q9n8Gbz_2pG5V9aYcwOZTrmc_2SUsg"",""2025-26!P4"")"),0.0)</f>
        <v>0</v>
      </c>
      <c r="AE73" s="55">
        <f>IFERROR(__xludf.DUMMYFUNCTION("IMPORTRANGE(""171w6KRBV2rba0q9n8Gbz_2pG5V9aYcwOZTrmc_2SUsg"",""2025-26!P3"")"),0.0)</f>
        <v>0</v>
      </c>
      <c r="AF73" s="55">
        <f>IFERROR(__xludf.DUMMYFUNCTION("IMPORTRANGE(""171w6KRBV2rba0q9n8Gbz_2pG5V9aYcwOZTrmc_2SUsg"",""2025-26!Q4"")"),0.0)</f>
        <v>0</v>
      </c>
      <c r="AG73" s="55">
        <f>IFERROR(__xludf.DUMMYFUNCTION("IMPORTRANGE(""171w6KRBV2rba0q9n8Gbz_2pG5V9aYcwOZTrmc_2SUsg"",""2025-26!Q3"")"),0.0)</f>
        <v>0</v>
      </c>
      <c r="AH73" s="58" t="str">
        <f t="shared" si="20"/>
        <v/>
      </c>
      <c r="AI73" s="55">
        <f>IFERROR(__xludf.DUMMYFUNCTION("IMPORTRANGE(""171w6KRBV2rba0q9n8Gbz_2pG5V9aYcwOZTrmc_2SUsg"",""2025-26!R4"")"),0.0)</f>
        <v>0</v>
      </c>
      <c r="AJ73" s="55">
        <f>IFERROR(__xludf.DUMMYFUNCTION("IMPORTRANGE(""171w6KRBV2rba0q9n8Gbz_2pG5V9aYcwOZTrmc_2SUsg"",""2025-26!R3"")"),0.0)</f>
        <v>0</v>
      </c>
      <c r="AK73" s="55">
        <f>IFERROR(__xludf.DUMMYFUNCTION("IMPORTRANGE(""171w6KRBV2rba0q9n8Gbz_2pG5V9aYcwOZTrmc_2SUsg"",""2025-26!S4"")"),0.0)</f>
        <v>0</v>
      </c>
      <c r="AL73" s="55">
        <f>IFERROR(__xludf.DUMMYFUNCTION("IMPORTRANGE(""171w6KRBV2rba0q9n8Gbz_2pG5V9aYcwOZTrmc_2SUsg"",""2025-26!S3"")"),0.0)</f>
        <v>0</v>
      </c>
      <c r="AM73" s="55">
        <f>IFERROR(__xludf.DUMMYFUNCTION("IMPORTRANGE(""171w6KRBV2rba0q9n8Gbz_2pG5V9aYcwOZTrmc_2SUsg"",""2025-26!T4"")"),50008.0)</f>
        <v>50008</v>
      </c>
      <c r="AN73" s="55">
        <f>IFERROR(__xludf.DUMMYFUNCTION("IMPORTRANGE(""171w6KRBV2rba0q9n8Gbz_2pG5V9aYcwOZTrmc_2SUsg"",""2025-26!T3"")"),1.0)</f>
        <v>1</v>
      </c>
      <c r="AO73" s="58" t="str">
        <f t="shared" si="21"/>
        <v/>
      </c>
      <c r="AP73" s="55">
        <f>IFERROR(__xludf.DUMMYFUNCTION("IMPORTRANGE(""171w6KRBV2rba0q9n8Gbz_2pG5V9aYcwOZTrmc_2SUsg"",""2025-26!U4"")"),50008.0)</f>
        <v>50008</v>
      </c>
      <c r="AQ73" s="55">
        <f>IFERROR(__xludf.DUMMYFUNCTION("IMPORTRANGE(""171w6KRBV2rba0q9n8Gbz_2pG5V9aYcwOZTrmc_2SUsg"",""2025-26!U3"")"),1.0)</f>
        <v>1</v>
      </c>
      <c r="AR73" s="55">
        <f>IFERROR(__xludf.DUMMYFUNCTION("IMPORTRANGE(""171w6KRBV2rba0q9n8Gbz_2pG5V9aYcwOZTrmc_2SUsg"",""2025-26!V4"")"),0.0)</f>
        <v>0</v>
      </c>
      <c r="AS73" s="55">
        <f>IFERROR(__xludf.DUMMYFUNCTION("IMPORTRANGE(""171w6KRBV2rba0q9n8Gbz_2pG5V9aYcwOZTrmc_2SUsg"",""2025-26!V3"")"),0.0)</f>
        <v>0</v>
      </c>
      <c r="AT73" s="55">
        <f>IFERROR(__xludf.DUMMYFUNCTION("IMPORTRANGE(""171w6KRBV2rba0q9n8Gbz_2pG5V9aYcwOZTrmc_2SUsg"",""2025-26!W4"")"),435676.8)</f>
        <v>435676.8</v>
      </c>
      <c r="AU73" s="55">
        <f>IFERROR(__xludf.DUMMYFUNCTION("IMPORTRANGE(""171w6KRBV2rba0q9n8Gbz_2pG5V9aYcwOZTrmc_2SUsg"",""2025-26!W3"")"),7.0)</f>
        <v>7</v>
      </c>
      <c r="AV73" s="58" t="str">
        <f t="shared" si="22"/>
        <v/>
      </c>
      <c r="AW73" s="55">
        <f>IFERROR(__xludf.DUMMYFUNCTION("IMPORTRANGE(""171w6KRBV2rba0q9n8Gbz_2pG5V9aYcwOZTrmc_2SUsg"",""2025-26!X4"")"),532484.0)</f>
        <v>532484</v>
      </c>
      <c r="AX73" s="55">
        <f>IFERROR(__xludf.DUMMYFUNCTION("IMPORTRANGE(""171w6KRBV2rba0q9n8Gbz_2pG5V9aYcwOZTrmc_2SUsg"",""2025-26!X3"")"),8.0)</f>
        <v>8</v>
      </c>
      <c r="AY73" s="55">
        <f>IFERROR(__xludf.DUMMYFUNCTION("IMPORTRANGE(""171w6KRBV2rba0q9n8Gbz_2pG5V9aYcwOZTrmc_2SUsg"",""2025-26!Y4"")"),0.0)</f>
        <v>0</v>
      </c>
      <c r="AZ73" s="55">
        <f>IFERROR(__xludf.DUMMYFUNCTION("IMPORTRANGE(""171w6KRBV2rba0q9n8Gbz_2pG5V9aYcwOZTrmc_2SUsg"",""2025-26!Y3"")"),0.0)</f>
        <v>0</v>
      </c>
      <c r="BA73" s="55">
        <f>IFERROR(__xludf.DUMMYFUNCTION("IMPORTRANGE(""171w6KRBV2rba0q9n8Gbz_2pG5V9aYcwOZTrmc_2SUsg"",""2025-26!Z4"")"),557304.82)</f>
        <v>557304.82</v>
      </c>
      <c r="BB73" s="55">
        <f>IFERROR(__xludf.DUMMYFUNCTION("IMPORTRANGE(""171w6KRBV2rba0q9n8Gbz_2pG5V9aYcwOZTrmc_2SUsg"",""2025-26!Z3"")"),20.0)</f>
        <v>20</v>
      </c>
      <c r="BC73" s="59" t="str">
        <f t="shared" si="23"/>
        <v/>
      </c>
      <c r="BD73" s="55">
        <f>IFERROR(__xludf.DUMMYFUNCTION("IMPORTRANGE(""171w6KRBV2rba0q9n8Gbz_2pG5V9aYcwOZTrmc_2SUsg"",""2025-26!AA4"")"),557307.0)</f>
        <v>557307</v>
      </c>
      <c r="BE73" s="55">
        <f>IFERROR(__xludf.DUMMYFUNCTION("IMPORTRANGE(""171w6KRBV2rba0q9n8Gbz_2pG5V9aYcwOZTrmc_2SUsg"",""2025-26!AA3"")"),20.0)</f>
        <v>20</v>
      </c>
      <c r="BF73" s="55">
        <f>IFERROR(__xludf.DUMMYFUNCTION("IMPORTRANGE(""171w6KRBV2rba0q9n8Gbz_2pG5V9aYcwOZTrmc_2SUsg"",""2025-26!AB4"")"),0.0)</f>
        <v>0</v>
      </c>
      <c r="BG73" s="55">
        <f>IFERROR(__xludf.DUMMYFUNCTION("IMPORTRANGE(""171w6KRBV2rba0q9n8Gbz_2pG5V9aYcwOZTrmc_2SUsg"",""2025-26!AB3"")"),0.0)</f>
        <v>0</v>
      </c>
      <c r="BH73" s="55">
        <f>IFERROR(__xludf.DUMMYFUNCTION("IMPORTRANGE(""171w6KRBV2rba0q9n8Gbz_2pG5V9aYcwOZTrmc_2SUsg"",""2025-26!AC4"")"),740861.0200000001)</f>
        <v>740861.02</v>
      </c>
      <c r="BI73" s="55">
        <f>IFERROR(__xludf.DUMMYFUNCTION("IMPORTRANGE(""171w6KRBV2rba0q9n8Gbz_2pG5V9aYcwOZTrmc_2SUsg"",""2025-26!AC3"")"),18.0)</f>
        <v>18</v>
      </c>
      <c r="BJ73" s="59" t="str">
        <f t="shared" si="24"/>
        <v/>
      </c>
      <c r="BK73" s="55">
        <f>IFERROR(__xludf.DUMMYFUNCTION("IMPORTRANGE(""171w6KRBV2rba0q9n8Gbz_2pG5V9aYcwOZTrmc_2SUsg"",""2025-26!AD4"")"),740963.0)</f>
        <v>740963</v>
      </c>
      <c r="BL73" s="55">
        <f>IFERROR(__xludf.DUMMYFUNCTION("IMPORTRANGE(""171w6KRBV2rba0q9n8Gbz_2pG5V9aYcwOZTrmc_2SUsg"",""2025-26!AD3"")"),18.0)</f>
        <v>18</v>
      </c>
      <c r="BM73" s="55">
        <f>IFERROR(__xludf.DUMMYFUNCTION("IMPORTRANGE(""171w6KRBV2rba0q9n8Gbz_2pG5V9aYcwOZTrmc_2SUsg"",""2025-26!AE4"")"),0.0)</f>
        <v>0</v>
      </c>
      <c r="BN73" s="55">
        <f>IFERROR(__xludf.DUMMYFUNCTION("IMPORTRANGE(""171w6KRBV2rba0q9n8Gbz_2pG5V9aYcwOZTrmc_2SUsg"",""2025-26!AE3"")"),0.0)</f>
        <v>0</v>
      </c>
      <c r="BO73" s="55">
        <f>IFERROR(__xludf.DUMMYFUNCTION("IMPORTRANGE(""171w6KRBV2rba0q9n8Gbz_2pG5V9aYcwOZTrmc_2SUsg"",""2025-26!AF4"")"),857198.7000000002)</f>
        <v>857198.7</v>
      </c>
      <c r="BP73" s="55">
        <f>IFERROR(__xludf.DUMMYFUNCTION("IMPORTRANGE(""171w6KRBV2rba0q9n8Gbz_2pG5V9aYcwOZTrmc_2SUsg"",""2025-26!AF3"")"),18.0)</f>
        <v>18</v>
      </c>
      <c r="BQ73" s="59" t="str">
        <f t="shared" si="25"/>
        <v/>
      </c>
      <c r="BR73" s="55">
        <f>IFERROR(__xludf.DUMMYFUNCTION("IMPORTRANGE(""171w6KRBV2rba0q9n8Gbz_2pG5V9aYcwOZTrmc_2SUsg"",""2025-26!AG4"")"),857198.0)</f>
        <v>857198</v>
      </c>
      <c r="BS73" s="55">
        <f>IFERROR(__xludf.DUMMYFUNCTION("IMPORTRANGE(""171w6KRBV2rba0q9n8Gbz_2pG5V9aYcwOZTrmc_2SUsg"",""2025-26!AG3"")"),18.0)</f>
        <v>18</v>
      </c>
      <c r="BT73" s="55">
        <f>IFERROR(__xludf.DUMMYFUNCTION("IMPORTRANGE(""171w6KRBV2rba0q9n8Gbz_2pG5V9aYcwOZTrmc_2SUsg"",""2025-26!AH4"")"),0.0)</f>
        <v>0</v>
      </c>
      <c r="BU73" s="55">
        <f>IFERROR(__xludf.DUMMYFUNCTION("IMPORTRANGE(""171w6KRBV2rba0q9n8Gbz_2pG5V9aYcwOZTrmc_2SUsg"",""2025-26!AH3"")"),0.0)</f>
        <v>0</v>
      </c>
      <c r="BV73" s="55">
        <f>IFERROR(__xludf.DUMMYFUNCTION("IMPORTRANGE(""171w6KRBV2rba0q9n8Gbz_2pG5V9aYcwOZTrmc_2SUsg"",""2025-26!AI4"")"),1057090.2699999998)</f>
        <v>1057090.27</v>
      </c>
      <c r="BW73" s="55">
        <f>IFERROR(__xludf.DUMMYFUNCTION("IMPORTRANGE(""171w6KRBV2rba0q9n8Gbz_2pG5V9aYcwOZTrmc_2SUsg"",""2025-26!AI3"")"),22.0)</f>
        <v>22</v>
      </c>
      <c r="BX73" s="59" t="str">
        <f t="shared" si="26"/>
        <v/>
      </c>
      <c r="BY73" s="55">
        <f>IFERROR(__xludf.DUMMYFUNCTION("IMPORTRANGE(""171w6KRBV2rba0q9n8Gbz_2pG5V9aYcwOZTrmc_2SUsg"",""2025-26!AJ4"")"),857198.0)</f>
        <v>857198</v>
      </c>
      <c r="BZ73" s="55">
        <f>IFERROR(__xludf.DUMMYFUNCTION("IMPORTRANGE(""171w6KRBV2rba0q9n8Gbz_2pG5V9aYcwOZTrmc_2SUsg"",""2025-26!AJ3"")"),18.0)</f>
        <v>18</v>
      </c>
      <c r="CA73" s="55">
        <f>IFERROR(__xludf.DUMMYFUNCTION("IMPORTRANGE(""171w6KRBV2rba0q9n8Gbz_2pG5V9aYcwOZTrmc_2SUsg"",""2025-26!AK4"")"),0.0)</f>
        <v>0</v>
      </c>
      <c r="CB73" s="55">
        <f>IFERROR(__xludf.DUMMYFUNCTION("IMPORTRANGE(""171w6KRBV2rba0q9n8Gbz_2pG5V9aYcwOZTrmc_2SUsg"",""2025-26!AK3"")"),0.0)</f>
        <v>0</v>
      </c>
      <c r="CC73" s="55">
        <f>IFERROR(__xludf.DUMMYFUNCTION("IMPORTRANGE(""171w6KRBV2rba0q9n8Gbz_2pG5V9aYcwOZTrmc_2SUsg"",""2025-26!AL4"")"),936531.6199999999)</f>
        <v>936531.62</v>
      </c>
      <c r="CD73" s="55">
        <f>IFERROR(__xludf.DUMMYFUNCTION("IMPORTRANGE(""171w6KRBV2rba0q9n8Gbz_2pG5V9aYcwOZTrmc_2SUsg"",""2025-26!AL3"")"),16.0)</f>
        <v>16</v>
      </c>
      <c r="CE73" s="59" t="str">
        <f t="shared" si="27"/>
        <v/>
      </c>
      <c r="CF73" s="55">
        <f>IFERROR(__xludf.DUMMYFUNCTION("IMPORTRANGE(""171w6KRBV2rba0q9n8Gbz_2pG5V9aYcwOZTrmc_2SUsg"",""2025-26!AM4"")"),1057092.0)</f>
        <v>1057092</v>
      </c>
      <c r="CG73" s="55">
        <f>IFERROR(__xludf.DUMMYFUNCTION("IMPORTRANGE(""171w6KRBV2rba0q9n8Gbz_2pG5V9aYcwOZTrmc_2SUsg"",""2025-26!AM3"")"),22.0)</f>
        <v>22</v>
      </c>
      <c r="CH73" s="55">
        <f>IFERROR(__xludf.DUMMYFUNCTION("IMPORTRANGE(""171w6KRBV2rba0q9n8Gbz_2pG5V9aYcwOZTrmc_2SUsg"",""2025-26!AN4"")"),0.0)</f>
        <v>0</v>
      </c>
      <c r="CI73" s="55">
        <f>IFERROR(__xludf.DUMMYFUNCTION("IMPORTRANGE(""171w6KRBV2rba0q9n8Gbz_2pG5V9aYcwOZTrmc_2SUsg"",""2025-26!AN3"")"),0.0)</f>
        <v>0</v>
      </c>
      <c r="CJ73" s="55">
        <f>IFERROR(__xludf.DUMMYFUNCTION("IMPORTRANGE(""171w6KRBV2rba0q9n8Gbz_2pG5V9aYcwOZTrmc_2SUsg"",""2025-26!AO4"")"),923971.2199999999)</f>
        <v>923971.22</v>
      </c>
      <c r="CK73" s="55">
        <f>IFERROR(__xludf.DUMMYFUNCTION("IMPORTRANGE(""171w6KRBV2rba0q9n8Gbz_2pG5V9aYcwOZTrmc_2SUsg"",""2025-26!AO3"")"),23.0)</f>
        <v>23</v>
      </c>
      <c r="CL73" s="59" t="str">
        <f t="shared" si="28"/>
        <v/>
      </c>
      <c r="CM73" s="55">
        <f>IFERROR(__xludf.DUMMYFUNCTION("IMPORTRANGE(""171w6KRBV2rba0q9n8Gbz_2pG5V9aYcwOZTrmc_2SUsg"",""2025-26!AP4"")"),936534.0)</f>
        <v>936534</v>
      </c>
      <c r="CN73" s="55">
        <f>IFERROR(__xludf.DUMMYFUNCTION("IMPORTRANGE(""171w6KRBV2rba0q9n8Gbz_2pG5V9aYcwOZTrmc_2SUsg"",""2025-26!AP3"")"),16.0)</f>
        <v>16</v>
      </c>
      <c r="CO73" s="55">
        <f>IFERROR(__xludf.DUMMYFUNCTION("IMPORTRANGE(""171w6KRBV2rba0q9n8Gbz_2pG5V9aYcwOZTrmc_2SUsg"",""2025-26!AQ4"")"),0.0)</f>
        <v>0</v>
      </c>
      <c r="CP73" s="55">
        <f>IFERROR(__xludf.DUMMYFUNCTION("IMPORTRANGE(""171w6KRBV2rba0q9n8Gbz_2pG5V9aYcwOZTrmc_2SUsg"",""2025-26!AQ3"")"),0.0)</f>
        <v>0</v>
      </c>
      <c r="CQ73" s="55">
        <f>IFERROR(__xludf.DUMMYFUNCTION("IMPORTRANGE(""171w6KRBV2rba0q9n8Gbz_2pG5V9aYcwOZTrmc_2SUsg"",""2025-26!AR4"")"),1110852.4)</f>
        <v>1110852.4</v>
      </c>
      <c r="CR73" s="55">
        <f>IFERROR(__xludf.DUMMYFUNCTION("IMPORTRANGE(""171w6KRBV2rba0q9n8Gbz_2pG5V9aYcwOZTrmc_2SUsg"",""2025-26!AR3"")"),19.0)</f>
        <v>19</v>
      </c>
      <c r="CS73" s="59" t="str">
        <f t="shared" si="29"/>
        <v/>
      </c>
      <c r="CT73" s="55">
        <f>IFERROR(__xludf.DUMMYFUNCTION("IMPORTRANGE(""171w6KRBV2rba0q9n8Gbz_2pG5V9aYcwOZTrmc_2SUsg"",""2025-26!AS4"")"),937152.0)</f>
        <v>937152</v>
      </c>
      <c r="CU73" s="55">
        <f>IFERROR(__xludf.DUMMYFUNCTION("IMPORTRANGE(""171w6KRBV2rba0q9n8Gbz_2pG5V9aYcwOZTrmc_2SUsg"",""2025-26!AS3"")"),23.0)</f>
        <v>23</v>
      </c>
      <c r="CV73" s="60" t="s">
        <v>130</v>
      </c>
    </row>
    <row r="74">
      <c r="A74" s="1" t="s">
        <v>126</v>
      </c>
      <c r="B74" s="37"/>
      <c r="C74" s="101" t="s">
        <v>173</v>
      </c>
      <c r="D74" s="68" t="s">
        <v>174</v>
      </c>
      <c r="E74" s="68">
        <v>7.000720053E9</v>
      </c>
      <c r="F74" s="78">
        <v>45839.0</v>
      </c>
      <c r="G74" s="62"/>
      <c r="H74" s="62"/>
      <c r="I74" s="53">
        <f>VLOOKUP($C74,Data!$C:$BV,34,0)</f>
        <v>27800</v>
      </c>
      <c r="J74" s="54">
        <v>1650000.0</v>
      </c>
      <c r="K74" s="55">
        <f>IFERROR(__xludf.DUMMYFUNCTION("IMPORTRANGE(""1dUp9H9fQ-eRdYYXUl4RfyqoZHopWcp6rvHiswO-8olc"",""2025-26!A3"")"),88.0)</f>
        <v>88</v>
      </c>
      <c r="L74" s="55">
        <f>IFERROR(__xludf.DUMMYFUNCTION("IMPORTRANGE(""1dUp9H9fQ-eRdYYXUl4RfyqoZHopWcp6rvHiswO-8olc"",""2025-26!G4"")"),2.435E7)</f>
        <v>24350000</v>
      </c>
      <c r="M74" s="55">
        <f t="shared" si="47"/>
        <v>6654740.52</v>
      </c>
      <c r="N74" s="56">
        <f t="shared" si="48"/>
        <v>0.2301595072</v>
      </c>
      <c r="O74" s="57">
        <f t="shared" si="49"/>
        <v>5604384</v>
      </c>
      <c r="P74" s="55">
        <f>IFERROR(__xludf.DUMMYFUNCTION("IMPORTRANGE(""1dUp9H9fQ-eRdYYXUl4RfyqoZHopWcp6rvHiswO-8olc"",""2025-26!J4"")"),0.0)</f>
        <v>0</v>
      </c>
      <c r="Q74" s="55">
        <f>IFERROR(__xludf.DUMMYFUNCTION("IMPORTRANGE(""1dUp9H9fQ-eRdYYXUl4RfyqoZHopWcp6rvHiswO-8olc"",""2025-26!J3"")"),0.0)</f>
        <v>0</v>
      </c>
      <c r="R74" s="55">
        <f>IFERROR(__xludf.DUMMYFUNCTION("IMPORTRANGE(""1dUp9H9fQ-eRdYYXUl4RfyqoZHopWcp6rvHiswO-8olc"",""2025-26!K4"")"),0.0)</f>
        <v>0</v>
      </c>
      <c r="S74" s="55">
        <f>IFERROR(__xludf.DUMMYFUNCTION("IMPORTRANGE(""1dUp9H9fQ-eRdYYXUl4RfyqoZHopWcp6rvHiswO-8olc"",""2025-26!K3"")"),0.0)</f>
        <v>0</v>
      </c>
      <c r="T74" s="58" t="str">
        <f t="shared" si="18"/>
        <v/>
      </c>
      <c r="U74" s="55">
        <f>IFERROR(__xludf.DUMMYFUNCTION("IMPORTRANGE(""1dUp9H9fQ-eRdYYXUl4RfyqoZHopWcp6rvHiswO-8olc"",""2025-26!L4"")"),0.0)</f>
        <v>0</v>
      </c>
      <c r="V74" s="55">
        <f>IFERROR(__xludf.DUMMYFUNCTION("IMPORTRANGE(""1dUp9H9fQ-eRdYYXUl4RfyqoZHopWcp6rvHiswO-8olc"",""2025-26!L3"")"),0.0)</f>
        <v>0</v>
      </c>
      <c r="W74" s="55">
        <f>IFERROR(__xludf.DUMMYFUNCTION("IMPORTRANGE(""1dUp9H9fQ-eRdYYXUl4RfyqoZHopWcp6rvHiswO-8olc"",""2025-26!m4"")"),0.0)</f>
        <v>0</v>
      </c>
      <c r="X74" s="55">
        <f>IFERROR(__xludf.DUMMYFUNCTION("IMPORTRANGE(""1dUp9H9fQ-eRdYYXUl4RfyqoZHopWcp6rvHiswO-8olc"",""2025-26!m3"")"),0.0)</f>
        <v>0</v>
      </c>
      <c r="Y74" s="55">
        <f>IFERROR(__xludf.DUMMYFUNCTION("IMPORTRANGE(""1dUp9H9fQ-eRdYYXUl4RfyqoZHopWcp6rvHiswO-8olc"",""2025-26!N4"")"),0.0)</f>
        <v>0</v>
      </c>
      <c r="Z74" s="55">
        <f>IFERROR(__xludf.DUMMYFUNCTION("IMPORTRANGE(""1dUp9H9fQ-eRdYYXUl4RfyqoZHopWcp6rvHiswO-8olc"",""2025-26!N3"")"),0.0)</f>
        <v>0</v>
      </c>
      <c r="AA74" s="58" t="str">
        <f t="shared" si="19"/>
        <v/>
      </c>
      <c r="AB74" s="55">
        <f>IFERROR(__xludf.DUMMYFUNCTION("IMPORTRANGE(""1dUp9H9fQ-eRdYYXUl4RfyqoZHopWcp6rvHiswO-8olc"",""2025-26!O4"")"),0.0)</f>
        <v>0</v>
      </c>
      <c r="AC74" s="55">
        <f>IFERROR(__xludf.DUMMYFUNCTION("IMPORTRANGE(""1dUp9H9fQ-eRdYYXUl4RfyqoZHopWcp6rvHiswO-8olc"",""2025-26!O3"")"),0.0)</f>
        <v>0</v>
      </c>
      <c r="AD74" s="55">
        <f>IFERROR(__xludf.DUMMYFUNCTION("IMPORTRANGE(""1dUp9H9fQ-eRdYYXUl4RfyqoZHopWcp6rvHiswO-8olc"",""2025-26!P4"")"),0.0)</f>
        <v>0</v>
      </c>
      <c r="AE74" s="55">
        <f>IFERROR(__xludf.DUMMYFUNCTION("IMPORTRANGE(""1dUp9H9fQ-eRdYYXUl4RfyqoZHopWcp6rvHiswO-8olc"",""2025-26!P3"")"),0.0)</f>
        <v>0</v>
      </c>
      <c r="AF74" s="55">
        <f>IFERROR(__xludf.DUMMYFUNCTION("IMPORTRANGE(""1dUp9H9fQ-eRdYYXUl4RfyqoZHopWcp6rvHiswO-8olc"",""2025-26!Q4"")"),0.0)</f>
        <v>0</v>
      </c>
      <c r="AG74" s="55">
        <f>IFERROR(__xludf.DUMMYFUNCTION("IMPORTRANGE(""1dUp9H9fQ-eRdYYXUl4RfyqoZHopWcp6rvHiswO-8olc"",""2025-26!Q3"")"),0.0)</f>
        <v>0</v>
      </c>
      <c r="AH74" s="58" t="str">
        <f t="shared" si="20"/>
        <v/>
      </c>
      <c r="AI74" s="55">
        <f>IFERROR(__xludf.DUMMYFUNCTION("IMPORTRANGE(""1dUp9H9fQ-eRdYYXUl4RfyqoZHopWcp6rvHiswO-8olc"",""2025-26!R4"")"),0.0)</f>
        <v>0</v>
      </c>
      <c r="AJ74" s="55">
        <f>IFERROR(__xludf.DUMMYFUNCTION("IMPORTRANGE(""1dUp9H9fQ-eRdYYXUl4RfyqoZHopWcp6rvHiswO-8olc"",""2025-26!R3"")"),0.0)</f>
        <v>0</v>
      </c>
      <c r="AK74" s="55">
        <f>IFERROR(__xludf.DUMMYFUNCTION("IMPORTRANGE(""1dUp9H9fQ-eRdYYXUl4RfyqoZHopWcp6rvHiswO-8olc"",""2025-26!S4"")"),0.0)</f>
        <v>0</v>
      </c>
      <c r="AL74" s="55">
        <f>IFERROR(__xludf.DUMMYFUNCTION("IMPORTRANGE(""1dUp9H9fQ-eRdYYXUl4RfyqoZHopWcp6rvHiswO-8olc"",""2025-26!S3"")"),0.0)</f>
        <v>0</v>
      </c>
      <c r="AM74" s="55">
        <f>IFERROR(__xludf.DUMMYFUNCTION("IMPORTRANGE(""1dUp9H9fQ-eRdYYXUl4RfyqoZHopWcp6rvHiswO-8olc"",""2025-26!T4"")"),180806.36)</f>
        <v>180806.36</v>
      </c>
      <c r="AN74" s="55">
        <f>IFERROR(__xludf.DUMMYFUNCTION("IMPORTRANGE(""1dUp9H9fQ-eRdYYXUl4RfyqoZHopWcp6rvHiswO-8olc"",""2025-26!T3"")"),11.0)</f>
        <v>11</v>
      </c>
      <c r="AO74" s="58" t="str">
        <f t="shared" si="21"/>
        <v/>
      </c>
      <c r="AP74" s="55">
        <f>IFERROR(__xludf.DUMMYFUNCTION("IMPORTRANGE(""1dUp9H9fQ-eRdYYXUl4RfyqoZHopWcp6rvHiswO-8olc"",""2025-26!U4"")"),568686.0)</f>
        <v>568686</v>
      </c>
      <c r="AQ74" s="55">
        <f>IFERROR(__xludf.DUMMYFUNCTION("IMPORTRANGE(""1dUp9H9fQ-eRdYYXUl4RfyqoZHopWcp6rvHiswO-8olc"",""2025-26!U3"")"),30.0)</f>
        <v>30</v>
      </c>
      <c r="AR74" s="55">
        <f>IFERROR(__xludf.DUMMYFUNCTION("IMPORTRANGE(""1dUp9H9fQ-eRdYYXUl4RfyqoZHopWcp6rvHiswO-8olc"",""2025-26!V4"")"),1487000.0)</f>
        <v>1487000</v>
      </c>
      <c r="AS74" s="55">
        <f>IFERROR(__xludf.DUMMYFUNCTION("IMPORTRANGE(""1dUp9H9fQ-eRdYYXUl4RfyqoZHopWcp6rvHiswO-8olc"",""2025-26!V3"")"),51.0)</f>
        <v>51</v>
      </c>
      <c r="AT74" s="55">
        <f>IFERROR(__xludf.DUMMYFUNCTION("IMPORTRANGE(""1dUp9H9fQ-eRdYYXUl4RfyqoZHopWcp6rvHiswO-8olc"",""2025-26!W4"")"),516369.98)</f>
        <v>516369.98</v>
      </c>
      <c r="AU74" s="55">
        <f>IFERROR(__xludf.DUMMYFUNCTION("IMPORTRANGE(""1dUp9H9fQ-eRdYYXUl4RfyqoZHopWcp6rvHiswO-8olc"",""2025-26!W3"")"),22.0)</f>
        <v>22</v>
      </c>
      <c r="AV74" s="58">
        <f t="shared" si="22"/>
        <v>0.3112784129</v>
      </c>
      <c r="AW74" s="55">
        <f>IFERROR(__xludf.DUMMYFUNCTION("IMPORTRANGE(""1dUp9H9fQ-eRdYYXUl4RfyqoZHopWcp6rvHiswO-8olc"",""2025-26!X4"")"),462871.0)</f>
        <v>462871</v>
      </c>
      <c r="AX74" s="55">
        <f>IFERROR(__xludf.DUMMYFUNCTION("IMPORTRANGE(""1dUp9H9fQ-eRdYYXUl4RfyqoZHopWcp6rvHiswO-8olc"",""2025-26!X3"")"),20.0)</f>
        <v>20</v>
      </c>
      <c r="AY74" s="55">
        <f>IFERROR(__xludf.DUMMYFUNCTION("IMPORTRANGE(""1dUp9H9fQ-eRdYYXUl4RfyqoZHopWcp6rvHiswO-8olc"",""2025-26!Y4"")"),1547000.0)</f>
        <v>1547000</v>
      </c>
      <c r="AZ74" s="55">
        <f>IFERROR(__xludf.DUMMYFUNCTION("IMPORTRANGE(""1dUp9H9fQ-eRdYYXUl4RfyqoZHopWcp6rvHiswO-8olc"",""2025-26!Y3"")"),51.0)</f>
        <v>51</v>
      </c>
      <c r="BA74" s="55">
        <f>IFERROR(__xludf.DUMMYFUNCTION("IMPORTRANGE(""1dUp9H9fQ-eRdYYXUl4RfyqoZHopWcp6rvHiswO-8olc"",""2025-26!Z4"")"),736011.3500000001)</f>
        <v>736011.35</v>
      </c>
      <c r="BB74" s="55">
        <f>IFERROR(__xludf.DUMMYFUNCTION("IMPORTRANGE(""1dUp9H9fQ-eRdYYXUl4RfyqoZHopWcp6rvHiswO-8olc"",""2025-26!Z3"")"),24.0)</f>
        <v>24</v>
      </c>
      <c r="BC74" s="59">
        <f t="shared" si="23"/>
        <v>0.3067802198</v>
      </c>
      <c r="BD74" s="55">
        <f>IFERROR(__xludf.DUMMYFUNCTION("IMPORTRANGE(""1dUp9H9fQ-eRdYYXUl4RfyqoZHopWcp6rvHiswO-8olc"",""2025-26!AA4"")"),474589.0)</f>
        <v>474589</v>
      </c>
      <c r="BE74" s="55">
        <f>IFERROR(__xludf.DUMMYFUNCTION("IMPORTRANGE(""1dUp9H9fQ-eRdYYXUl4RfyqoZHopWcp6rvHiswO-8olc"",""2025-26!AA3"")"),22.0)</f>
        <v>22</v>
      </c>
      <c r="BF74" s="55">
        <f>IFERROR(__xludf.DUMMYFUNCTION("IMPORTRANGE(""1dUp9H9fQ-eRdYYXUl4RfyqoZHopWcp6rvHiswO-8olc"",""2025-26!AB4"")"),1700000.0)</f>
        <v>1700000</v>
      </c>
      <c r="BG74" s="55">
        <f>IFERROR(__xludf.DUMMYFUNCTION("IMPORTRANGE(""1dUp9H9fQ-eRdYYXUl4RfyqoZHopWcp6rvHiswO-8olc"",""2025-26!AB3"")"),69.0)</f>
        <v>69</v>
      </c>
      <c r="BH74" s="55">
        <f>IFERROR(__xludf.DUMMYFUNCTION("IMPORTRANGE(""1dUp9H9fQ-eRdYYXUl4RfyqoZHopWcp6rvHiswO-8olc"",""2025-26!AC4"")"),701775.2)</f>
        <v>701775.2</v>
      </c>
      <c r="BI74" s="55">
        <f>IFERROR(__xludf.DUMMYFUNCTION("IMPORTRANGE(""1dUp9H9fQ-eRdYYXUl4RfyqoZHopWcp6rvHiswO-8olc"",""2025-26!AC3"")"),24.0)</f>
        <v>24</v>
      </c>
      <c r="BJ74" s="59">
        <f t="shared" si="24"/>
        <v>0.3202076471</v>
      </c>
      <c r="BK74" s="55">
        <f>IFERROR(__xludf.DUMMYFUNCTION("IMPORTRANGE(""1dUp9H9fQ-eRdYYXUl4RfyqoZHopWcp6rvHiswO-8olc"",""2025-26!AD4"")"),544353.0)</f>
        <v>544353</v>
      </c>
      <c r="BL74" s="55">
        <f>IFERROR(__xludf.DUMMYFUNCTION("IMPORTRANGE(""1dUp9H9fQ-eRdYYXUl4RfyqoZHopWcp6rvHiswO-8olc"",""2025-26!AD3"")"),25.0)</f>
        <v>25</v>
      </c>
      <c r="BM74" s="55">
        <f>IFERROR(__xludf.DUMMYFUNCTION("IMPORTRANGE(""1dUp9H9fQ-eRdYYXUl4RfyqoZHopWcp6rvHiswO-8olc"",""2025-26!AE4"")"),1727000.0)</f>
        <v>1727000</v>
      </c>
      <c r="BN74" s="55">
        <f>IFERROR(__xludf.DUMMYFUNCTION("IMPORTRANGE(""1dUp9H9fQ-eRdYYXUl4RfyqoZHopWcp6rvHiswO-8olc"",""2025-26!AE3"")"),69.0)</f>
        <v>69</v>
      </c>
      <c r="BO74" s="55">
        <f>IFERROR(__xludf.DUMMYFUNCTION("IMPORTRANGE(""1dUp9H9fQ-eRdYYXUl4RfyqoZHopWcp6rvHiswO-8olc"",""2025-26!AF4"")"),541548.8999999999)</f>
        <v>541548.9</v>
      </c>
      <c r="BP74" s="55">
        <f>IFERROR(__xludf.DUMMYFUNCTION("IMPORTRANGE(""1dUp9H9fQ-eRdYYXUl4RfyqoZHopWcp6rvHiswO-8olc"",""2025-26!AF3"")"),19.0)</f>
        <v>19</v>
      </c>
      <c r="BQ74" s="59">
        <f t="shared" si="25"/>
        <v>0.2659368848</v>
      </c>
      <c r="BR74" s="55">
        <f>IFERROR(__xludf.DUMMYFUNCTION("IMPORTRANGE(""1dUp9H9fQ-eRdYYXUl4RfyqoZHopWcp6rvHiswO-8olc"",""2025-26!AG4"")"),459273.0)</f>
        <v>459273</v>
      </c>
      <c r="BS74" s="55">
        <f>IFERROR(__xludf.DUMMYFUNCTION("IMPORTRANGE(""1dUp9H9fQ-eRdYYXUl4RfyqoZHopWcp6rvHiswO-8olc"",""2025-26!AG3"")"),19.0)</f>
        <v>19</v>
      </c>
      <c r="BT74" s="55">
        <f>IFERROR(__xludf.DUMMYFUNCTION("IMPORTRANGE(""1dUp9H9fQ-eRdYYXUl4RfyqoZHopWcp6rvHiswO-8olc"",""2025-26!AH4"")"),1659000.0)</f>
        <v>1659000</v>
      </c>
      <c r="BU74" s="55">
        <f>IFERROR(__xludf.DUMMYFUNCTION("IMPORTRANGE(""1dUp9H9fQ-eRdYYXUl4RfyqoZHopWcp6rvHiswO-8olc"",""2025-26!AH3"")"),69.0)</f>
        <v>69</v>
      </c>
      <c r="BV74" s="55">
        <f>IFERROR(__xludf.DUMMYFUNCTION("IMPORTRANGE(""1dUp9H9fQ-eRdYYXUl4RfyqoZHopWcp6rvHiswO-8olc"",""2025-26!AI4"")"),763366.7999999999)</f>
        <v>763366.8</v>
      </c>
      <c r="BW74" s="55">
        <f>IFERROR(__xludf.DUMMYFUNCTION("IMPORTRANGE(""1dUp9H9fQ-eRdYYXUl4RfyqoZHopWcp6rvHiswO-8olc"",""2025-26!AI3"")"),32.0)</f>
        <v>32</v>
      </c>
      <c r="BX74" s="59">
        <f t="shared" si="26"/>
        <v>0.2768372514</v>
      </c>
      <c r="BY74" s="55">
        <f>IFERROR(__xludf.DUMMYFUNCTION("IMPORTRANGE(""1dUp9H9fQ-eRdYYXUl4RfyqoZHopWcp6rvHiswO-8olc"",""2025-26!AJ4"")"),459273.0)</f>
        <v>459273</v>
      </c>
      <c r="BZ74" s="55">
        <f>IFERROR(__xludf.DUMMYFUNCTION("IMPORTRANGE(""1dUp9H9fQ-eRdYYXUl4RfyqoZHopWcp6rvHiswO-8olc"",""2025-26!AJ3"")"),19.0)</f>
        <v>19</v>
      </c>
      <c r="CA74" s="55">
        <f>IFERROR(__xludf.DUMMYFUNCTION("IMPORTRANGE(""1dUp9H9fQ-eRdYYXUl4RfyqoZHopWcp6rvHiswO-8olc"",""2025-26!AK4"")"),1825000.0)</f>
        <v>1825000</v>
      </c>
      <c r="CB74" s="55">
        <f>IFERROR(__xludf.DUMMYFUNCTION("IMPORTRANGE(""1dUp9H9fQ-eRdYYXUl4RfyqoZHopWcp6rvHiswO-8olc"",""2025-26!AK3"")"),84.0)</f>
        <v>84</v>
      </c>
      <c r="CC74" s="55">
        <f>IFERROR(__xludf.DUMMYFUNCTION("IMPORTRANGE(""1dUp9H9fQ-eRdYYXUl4RfyqoZHopWcp6rvHiswO-8olc"",""2025-26!AL4"")"),922483.77)</f>
        <v>922483.77</v>
      </c>
      <c r="CD74" s="55">
        <f>IFERROR(__xludf.DUMMYFUNCTION("IMPORTRANGE(""1dUp9H9fQ-eRdYYXUl4RfyqoZHopWcp6rvHiswO-8olc"",""2025-26!AL3"")"),29.0)</f>
        <v>29</v>
      </c>
      <c r="CE74" s="59">
        <f t="shared" si="27"/>
        <v>0.4157243836</v>
      </c>
      <c r="CF74" s="55">
        <f>IFERROR(__xludf.DUMMYFUNCTION("IMPORTRANGE(""1dUp9H9fQ-eRdYYXUl4RfyqoZHopWcp6rvHiswO-8olc"",""2025-26!AM4"")"),758697.0)</f>
        <v>758697</v>
      </c>
      <c r="CG74" s="55">
        <f>IFERROR(__xludf.DUMMYFUNCTION("IMPORTRANGE(""1dUp9H9fQ-eRdYYXUl4RfyqoZHopWcp6rvHiswO-8olc"",""2025-26!AM3"")"),32.0)</f>
        <v>32</v>
      </c>
      <c r="CH74" s="55">
        <f>IFERROR(__xludf.DUMMYFUNCTION("IMPORTRANGE(""1dUp9H9fQ-eRdYYXUl4RfyqoZHopWcp6rvHiswO-8olc"",""2025-26!AN4"")"),1823000.0)</f>
        <v>1823000</v>
      </c>
      <c r="CI74" s="55">
        <f>IFERROR(__xludf.DUMMYFUNCTION("IMPORTRANGE(""1dUp9H9fQ-eRdYYXUl4RfyqoZHopWcp6rvHiswO-8olc"",""2025-26!AN3"")"),86.0)</f>
        <v>86</v>
      </c>
      <c r="CJ74" s="55">
        <f>IFERROR(__xludf.DUMMYFUNCTION("IMPORTRANGE(""1dUp9H9fQ-eRdYYXUl4RfyqoZHopWcp6rvHiswO-8olc"",""2025-26!AO4"")"),942899.5499999999)</f>
        <v>942899.55</v>
      </c>
      <c r="CK74" s="55">
        <f>IFERROR(__xludf.DUMMYFUNCTION("IMPORTRANGE(""1dUp9H9fQ-eRdYYXUl4RfyqoZHopWcp6rvHiswO-8olc"",""2025-26!AO3"")"),32.0)</f>
        <v>32</v>
      </c>
      <c r="CL74" s="59">
        <f t="shared" si="28"/>
        <v>0.512200768</v>
      </c>
      <c r="CM74" s="55">
        <f>IFERROR(__xludf.DUMMYFUNCTION("IMPORTRANGE(""1dUp9H9fQ-eRdYYXUl4RfyqoZHopWcp6rvHiswO-8olc"",""2025-26!AP4"")"),933742.0)</f>
        <v>933742</v>
      </c>
      <c r="CN74" s="55">
        <f>IFERROR(__xludf.DUMMYFUNCTION("IMPORTRANGE(""1dUp9H9fQ-eRdYYXUl4RfyqoZHopWcp6rvHiswO-8olc"",""2025-26!AP3"")"),29.0)</f>
        <v>29</v>
      </c>
      <c r="CO74" s="55">
        <f>IFERROR(__xludf.DUMMYFUNCTION("IMPORTRANGE(""1dUp9H9fQ-eRdYYXUl4RfyqoZHopWcp6rvHiswO-8olc"",""2025-26!AQ4"")"),1836000.0)</f>
        <v>1836000</v>
      </c>
      <c r="CP74" s="55">
        <f>IFERROR(__xludf.DUMMYFUNCTION("IMPORTRANGE(""1dUp9H9fQ-eRdYYXUl4RfyqoZHopWcp6rvHiswO-8olc"",""2025-26!AQ3"")"),86.0)</f>
        <v>86</v>
      </c>
      <c r="CQ74" s="55">
        <f>IFERROR(__xludf.DUMMYFUNCTION("IMPORTRANGE(""1dUp9H9fQ-eRdYYXUl4RfyqoZHopWcp6rvHiswO-8olc"",""2025-26!AR4"")"),1349478.6099999996)</f>
        <v>1349478.61</v>
      </c>
      <c r="CR74" s="55">
        <f>IFERROR(__xludf.DUMMYFUNCTION("IMPORTRANGE(""1dUp9H9fQ-eRdYYXUl4RfyqoZHopWcp6rvHiswO-8olc"",""2025-26!AR3"")"),38.0)</f>
        <v>38</v>
      </c>
      <c r="CS74" s="59">
        <f t="shared" si="29"/>
        <v>0.5135620915</v>
      </c>
      <c r="CT74" s="55">
        <f>IFERROR(__xludf.DUMMYFUNCTION("IMPORTRANGE(""1dUp9H9fQ-eRdYYXUl4RfyqoZHopWcp6rvHiswO-8olc"",""2025-26!AS4"")"),942900.0)</f>
        <v>942900</v>
      </c>
      <c r="CU74" s="55">
        <f>IFERROR(__xludf.DUMMYFUNCTION("IMPORTRANGE(""1dUp9H9fQ-eRdYYXUl4RfyqoZHopWcp6rvHiswO-8olc"",""2025-26!AS3"")"),32.0)</f>
        <v>32</v>
      </c>
      <c r="CV74" s="60" t="s">
        <v>140</v>
      </c>
    </row>
    <row r="75">
      <c r="A75" s="1" t="s">
        <v>126</v>
      </c>
      <c r="B75" s="37"/>
      <c r="C75" s="64" t="s">
        <v>175</v>
      </c>
      <c r="D75" s="68" t="s">
        <v>176</v>
      </c>
      <c r="E75" s="68">
        <v>9.755144809E9</v>
      </c>
      <c r="F75" s="78">
        <v>45964.0</v>
      </c>
      <c r="G75" s="62"/>
      <c r="H75" s="62"/>
      <c r="I75" s="70">
        <v>36190.0</v>
      </c>
      <c r="J75" s="54">
        <v>1400000.0</v>
      </c>
      <c r="K75" s="55">
        <f>IFERROR(__xludf.DUMMYFUNCTION("IMPORTRANGE(""1cOCCtQejZMOc5M-X_uBY6P5Whx2uTl85m-_57_mUQg0"",""2025-26!A3"")"),81.0)</f>
        <v>81</v>
      </c>
      <c r="L75" s="55">
        <f>IFERROR(__xludf.DUMMYFUNCTION("IMPORTRANGE(""1cOCCtQejZMOc5M-X_uBY6P5Whx2uTl85m-_57_mUQg0"",""2025-26!G4"")"),1500000.0)</f>
        <v>1500000</v>
      </c>
      <c r="M75" s="55">
        <f t="shared" si="47"/>
        <v>1828924.7</v>
      </c>
      <c r="N75" s="56">
        <f t="shared" si="48"/>
        <v>0.891032</v>
      </c>
      <c r="O75" s="57">
        <f t="shared" si="49"/>
        <v>1336548</v>
      </c>
      <c r="P75" s="55">
        <f>IFERROR(__xludf.DUMMYFUNCTION("IMPORTRANGE(""1cOCCtQejZMOc5M-X_uBY6P5Whx2uTl85m-_57_mUQg0"",""2025-26!J4"")"),0.0)</f>
        <v>0</v>
      </c>
      <c r="Q75" s="55">
        <f>IFERROR(__xludf.DUMMYFUNCTION("IMPORTRANGE(""1cOCCtQejZMOc5M-X_uBY6P5Whx2uTl85m-_57_mUQg0"",""2025-26!J3"")"),0.0)</f>
        <v>0</v>
      </c>
      <c r="R75" s="55">
        <f>IFERROR(__xludf.DUMMYFUNCTION("IMPORTRANGE(""1cOCCtQejZMOc5M-X_uBY6P5Whx2uTl85m-_57_mUQg0"",""2025-26!K4"")"),0.0)</f>
        <v>0</v>
      </c>
      <c r="S75" s="55">
        <f>IFERROR(__xludf.DUMMYFUNCTION("IMPORTRANGE(""1cOCCtQejZMOc5M-X_uBY6P5Whx2uTl85m-_57_mUQg0"",""2025-26!K3"")"),0.0)</f>
        <v>0</v>
      </c>
      <c r="T75" s="58" t="str">
        <f t="shared" si="18"/>
        <v/>
      </c>
      <c r="U75" s="55">
        <f>IFERROR(__xludf.DUMMYFUNCTION("IMPORTRANGE(""1cOCCtQejZMOc5M-X_uBY6P5Whx2uTl85m-_57_mUQg0"",""2025-26!L4"")"),0.0)</f>
        <v>0</v>
      </c>
      <c r="V75" s="55">
        <f>IFERROR(__xludf.DUMMYFUNCTION("IMPORTRANGE(""1cOCCtQejZMOc5M-X_uBY6P5Whx2uTl85m-_57_mUQg0"",""2025-26!L3"")"),0.0)</f>
        <v>0</v>
      </c>
      <c r="W75" s="55">
        <f>IFERROR(__xludf.DUMMYFUNCTION("IMPORTRANGE(""1cOCCtQejZMOc5M-X_uBY6P5Whx2uTl85m-_57_mUQg0"",""2025-26!m4"")"),0.0)</f>
        <v>0</v>
      </c>
      <c r="X75" s="55">
        <f>IFERROR(__xludf.DUMMYFUNCTION("IMPORTRANGE(""1cOCCtQejZMOc5M-X_uBY6P5Whx2uTl85m-_57_mUQg0"",""2025-26!m3"")"),0.0)</f>
        <v>0</v>
      </c>
      <c r="Y75" s="55">
        <f>IFERROR(__xludf.DUMMYFUNCTION("IMPORTRANGE(""1cOCCtQejZMOc5M-X_uBY6P5Whx2uTl85m-_57_mUQg0"",""2025-26!N4"")"),0.0)</f>
        <v>0</v>
      </c>
      <c r="Z75" s="55">
        <f>IFERROR(__xludf.DUMMYFUNCTION("IMPORTRANGE(""1cOCCtQejZMOc5M-X_uBY6P5Whx2uTl85m-_57_mUQg0"",""2025-26!N3"")"),0.0)</f>
        <v>0</v>
      </c>
      <c r="AA75" s="58" t="str">
        <f t="shared" si="19"/>
        <v/>
      </c>
      <c r="AB75" s="55">
        <f>IFERROR(__xludf.DUMMYFUNCTION("IMPORTRANGE(""1cOCCtQejZMOc5M-X_uBY6P5Whx2uTl85m-_57_mUQg0"",""2025-26!O4"")"),1320.0)</f>
        <v>1320</v>
      </c>
      <c r="AC75" s="55">
        <f>IFERROR(__xludf.DUMMYFUNCTION("IMPORTRANGE(""1cOCCtQejZMOc5M-X_uBY6P5Whx2uTl85m-_57_mUQg0"",""2025-26!O3"")"),1.0)</f>
        <v>1</v>
      </c>
      <c r="AD75" s="55">
        <f>IFERROR(__xludf.DUMMYFUNCTION("IMPORTRANGE(""1cOCCtQejZMOc5M-X_uBY6P5Whx2uTl85m-_57_mUQg0"",""2025-26!P4"")"),0.0)</f>
        <v>0</v>
      </c>
      <c r="AE75" s="55">
        <f>IFERROR(__xludf.DUMMYFUNCTION("IMPORTRANGE(""1cOCCtQejZMOc5M-X_uBY6P5Whx2uTl85m-_57_mUQg0"",""2025-26!P3"")"),0.0)</f>
        <v>0</v>
      </c>
      <c r="AF75" s="55">
        <f>IFERROR(__xludf.DUMMYFUNCTION("IMPORTRANGE(""1cOCCtQejZMOc5M-X_uBY6P5Whx2uTl85m-_57_mUQg0"",""2025-26!Q4"")"),0.0)</f>
        <v>0</v>
      </c>
      <c r="AG75" s="55">
        <f>IFERROR(__xludf.DUMMYFUNCTION("IMPORTRANGE(""1cOCCtQejZMOc5M-X_uBY6P5Whx2uTl85m-_57_mUQg0"",""2025-26!Q3"")"),0.0)</f>
        <v>0</v>
      </c>
      <c r="AH75" s="58" t="str">
        <f t="shared" si="20"/>
        <v/>
      </c>
      <c r="AI75" s="55">
        <f>IFERROR(__xludf.DUMMYFUNCTION("IMPORTRANGE(""1cOCCtQejZMOc5M-X_uBY6P5Whx2uTl85m-_57_mUQg0"",""2025-26!R4"")"),0.0)</f>
        <v>0</v>
      </c>
      <c r="AJ75" s="55">
        <f>IFERROR(__xludf.DUMMYFUNCTION("IMPORTRANGE(""1cOCCtQejZMOc5M-X_uBY6P5Whx2uTl85m-_57_mUQg0"",""2025-26!R3"")"),0.0)</f>
        <v>0</v>
      </c>
      <c r="AK75" s="55">
        <f>IFERROR(__xludf.DUMMYFUNCTION("IMPORTRANGE(""1cOCCtQejZMOc5M-X_uBY6P5Whx2uTl85m-_57_mUQg0"",""2025-26!S4"")"),0.0)</f>
        <v>0</v>
      </c>
      <c r="AL75" s="55">
        <f>IFERROR(__xludf.DUMMYFUNCTION("IMPORTRANGE(""1cOCCtQejZMOc5M-X_uBY6P5Whx2uTl85m-_57_mUQg0"",""2025-26!S3"")"),0.0)</f>
        <v>0</v>
      </c>
      <c r="AM75" s="55">
        <f>IFERROR(__xludf.DUMMYFUNCTION("IMPORTRANGE(""1cOCCtQejZMOc5M-X_uBY6P5Whx2uTl85m-_57_mUQg0"",""2025-26!T4"")"),0.0)</f>
        <v>0</v>
      </c>
      <c r="AN75" s="55">
        <f>IFERROR(__xludf.DUMMYFUNCTION("IMPORTRANGE(""1cOCCtQejZMOc5M-X_uBY6P5Whx2uTl85m-_57_mUQg0"",""2025-26!T3"")"),0.0)</f>
        <v>0</v>
      </c>
      <c r="AO75" s="58" t="str">
        <f t="shared" si="21"/>
        <v/>
      </c>
      <c r="AP75" s="55">
        <f>IFERROR(__xludf.DUMMYFUNCTION("IMPORTRANGE(""1cOCCtQejZMOc5M-X_uBY6P5Whx2uTl85m-_57_mUQg0"",""2025-26!U4"")"),0.0)</f>
        <v>0</v>
      </c>
      <c r="AQ75" s="55">
        <f>IFERROR(__xludf.DUMMYFUNCTION("IMPORTRANGE(""1cOCCtQejZMOc5M-X_uBY6P5Whx2uTl85m-_57_mUQg0"",""2025-26!U3"")"),0.0)</f>
        <v>0</v>
      </c>
      <c r="AR75" s="55">
        <f>IFERROR(__xludf.DUMMYFUNCTION("IMPORTRANGE(""1cOCCtQejZMOc5M-X_uBY6P5Whx2uTl85m-_57_mUQg0"",""2025-26!V4"")"),0.0)</f>
        <v>0</v>
      </c>
      <c r="AS75" s="55">
        <f>IFERROR(__xludf.DUMMYFUNCTION("IMPORTRANGE(""1cOCCtQejZMOc5M-X_uBY6P5Whx2uTl85m-_57_mUQg0"",""2025-26!V3"")"),0.0)</f>
        <v>0</v>
      </c>
      <c r="AT75" s="55">
        <f>IFERROR(__xludf.DUMMYFUNCTION("IMPORTRANGE(""1cOCCtQejZMOc5M-X_uBY6P5Whx2uTl85m-_57_mUQg0"",""2025-26!W4"")"),0.0)</f>
        <v>0</v>
      </c>
      <c r="AU75" s="55">
        <f>IFERROR(__xludf.DUMMYFUNCTION("IMPORTRANGE(""1cOCCtQejZMOc5M-X_uBY6P5Whx2uTl85m-_57_mUQg0"",""2025-26!W3"")"),0.0)</f>
        <v>0</v>
      </c>
      <c r="AV75" s="58" t="str">
        <f t="shared" si="22"/>
        <v/>
      </c>
      <c r="AW75" s="55">
        <f>IFERROR(__xludf.DUMMYFUNCTION("IMPORTRANGE(""1cOCCtQejZMOc5M-X_uBY6P5Whx2uTl85m-_57_mUQg0"",""2025-26!X4"")"),0.0)</f>
        <v>0</v>
      </c>
      <c r="AX75" s="55">
        <f>IFERROR(__xludf.DUMMYFUNCTION("IMPORTRANGE(""1cOCCtQejZMOc5M-X_uBY6P5Whx2uTl85m-_57_mUQg0"",""2025-26!X3"")"),0.0)</f>
        <v>0</v>
      </c>
      <c r="AY75" s="55">
        <f>IFERROR(__xludf.DUMMYFUNCTION("IMPORTRANGE(""1cOCCtQejZMOc5M-X_uBY6P5Whx2uTl85m-_57_mUQg0"",""2025-26!Y4"")"),0.0)</f>
        <v>0</v>
      </c>
      <c r="AZ75" s="55">
        <f>IFERROR(__xludf.DUMMYFUNCTION("IMPORTRANGE(""1cOCCtQejZMOc5M-X_uBY6P5Whx2uTl85m-_57_mUQg0"",""2025-26!Y3"")"),0.0)</f>
        <v>0</v>
      </c>
      <c r="BA75" s="55">
        <f>IFERROR(__xludf.DUMMYFUNCTION("IMPORTRANGE(""1cOCCtQejZMOc5M-X_uBY6P5Whx2uTl85m-_57_mUQg0"",""2025-26!Z4"")"),0.0)</f>
        <v>0</v>
      </c>
      <c r="BB75" s="55">
        <f>IFERROR(__xludf.DUMMYFUNCTION("IMPORTRANGE(""1cOCCtQejZMOc5M-X_uBY6P5Whx2uTl85m-_57_mUQg0"",""2025-26!Z3"")"),0.0)</f>
        <v>0</v>
      </c>
      <c r="BC75" s="59" t="str">
        <f t="shared" si="23"/>
        <v/>
      </c>
      <c r="BD75" s="55">
        <f>IFERROR(__xludf.DUMMYFUNCTION("IMPORTRANGE(""1cOCCtQejZMOc5M-X_uBY6P5Whx2uTl85m-_57_mUQg0"",""2025-26!AA4"")"),0.0)</f>
        <v>0</v>
      </c>
      <c r="BE75" s="55">
        <f>IFERROR(__xludf.DUMMYFUNCTION("IMPORTRANGE(""1cOCCtQejZMOc5M-X_uBY6P5Whx2uTl85m-_57_mUQg0"",""2025-26!AA3"")"),0.0)</f>
        <v>0</v>
      </c>
      <c r="BF75" s="55">
        <f>IFERROR(__xludf.DUMMYFUNCTION("IMPORTRANGE(""1cOCCtQejZMOc5M-X_uBY6P5Whx2uTl85m-_57_mUQg0"",""2025-26!AB4"")"),0.0)</f>
        <v>0</v>
      </c>
      <c r="BG75" s="55">
        <f>IFERROR(__xludf.DUMMYFUNCTION("IMPORTRANGE(""1cOCCtQejZMOc5M-X_uBY6P5Whx2uTl85m-_57_mUQg0"",""2025-26!AB3"")"),0.0)</f>
        <v>0</v>
      </c>
      <c r="BH75" s="55">
        <f>IFERROR(__xludf.DUMMYFUNCTION("IMPORTRANGE(""1cOCCtQejZMOc5M-X_uBY6P5Whx2uTl85m-_57_mUQg0"",""2025-26!AC4"")"),0.0)</f>
        <v>0</v>
      </c>
      <c r="BI75" s="55">
        <f>IFERROR(__xludf.DUMMYFUNCTION("IMPORTRANGE(""1cOCCtQejZMOc5M-X_uBY6P5Whx2uTl85m-_57_mUQg0"",""2025-26!AC3"")"),0.0)</f>
        <v>0</v>
      </c>
      <c r="BJ75" s="59" t="str">
        <f t="shared" si="24"/>
        <v/>
      </c>
      <c r="BK75" s="55">
        <f>IFERROR(__xludf.DUMMYFUNCTION("IMPORTRANGE(""1cOCCtQejZMOc5M-X_uBY6P5Whx2uTl85m-_57_mUQg0"",""2025-26!AD4"")"),0.0)</f>
        <v>0</v>
      </c>
      <c r="BL75" s="55">
        <f>IFERROR(__xludf.DUMMYFUNCTION("IMPORTRANGE(""1cOCCtQejZMOc5M-X_uBY6P5Whx2uTl85m-_57_mUQg0"",""2025-26!AD3"")"),0.0)</f>
        <v>0</v>
      </c>
      <c r="BM75" s="55">
        <f>IFERROR(__xludf.DUMMYFUNCTION("IMPORTRANGE(""1cOCCtQejZMOc5M-X_uBY6P5Whx2uTl85m-_57_mUQg0"",""2025-26!AE4"")"),0.0)</f>
        <v>0</v>
      </c>
      <c r="BN75" s="55">
        <f>IFERROR(__xludf.DUMMYFUNCTION("IMPORTRANGE(""1cOCCtQejZMOc5M-X_uBY6P5Whx2uTl85m-_57_mUQg0"",""2025-26!AE3"")"),0.0)</f>
        <v>0</v>
      </c>
      <c r="BO75" s="55">
        <f>IFERROR(__xludf.DUMMYFUNCTION("IMPORTRANGE(""1cOCCtQejZMOc5M-X_uBY6P5Whx2uTl85m-_57_mUQg0"",""2025-26!AF4"")"),149595.9)</f>
        <v>149595.9</v>
      </c>
      <c r="BP75" s="55">
        <f>IFERROR(__xludf.DUMMYFUNCTION("IMPORTRANGE(""1cOCCtQejZMOc5M-X_uBY6P5Whx2uTl85m-_57_mUQg0"",""2025-26!AF3"")"),15.0)</f>
        <v>15</v>
      </c>
      <c r="BQ75" s="59" t="str">
        <f t="shared" si="25"/>
        <v/>
      </c>
      <c r="BR75" s="55">
        <f>IFERROR(__xludf.DUMMYFUNCTION("IMPORTRANGE(""1cOCCtQejZMOc5M-X_uBY6P5Whx2uTl85m-_57_mUQg0"",""2025-26!AG4"")"),0.0)</f>
        <v>0</v>
      </c>
      <c r="BS75" s="55">
        <f>IFERROR(__xludf.DUMMYFUNCTION("IMPORTRANGE(""1cOCCtQejZMOc5M-X_uBY6P5Whx2uTl85m-_57_mUQg0"",""2025-26!AG3"")"),0.0)</f>
        <v>0</v>
      </c>
      <c r="BT75" s="55">
        <f>IFERROR(__xludf.DUMMYFUNCTION("IMPORTRANGE(""1cOCCtQejZMOc5M-X_uBY6P5Whx2uTl85m-_57_mUQg0"",""2025-26!AH4"")"),375000.0)</f>
        <v>375000</v>
      </c>
      <c r="BU75" s="55">
        <f>IFERROR(__xludf.DUMMYFUNCTION("IMPORTRANGE(""1cOCCtQejZMOc5M-X_uBY6P5Whx2uTl85m-_57_mUQg0"",""2025-26!AH3"")"),27.0)</f>
        <v>27</v>
      </c>
      <c r="BV75" s="55">
        <f>IFERROR(__xludf.DUMMYFUNCTION("IMPORTRANGE(""1cOCCtQejZMOc5M-X_uBY6P5Whx2uTl85m-_57_mUQg0"",""2025-26!AI4"")"),455972.30000000005)</f>
        <v>455972.3</v>
      </c>
      <c r="BW75" s="55">
        <f>IFERROR(__xludf.DUMMYFUNCTION("IMPORTRANGE(""1cOCCtQejZMOc5M-X_uBY6P5Whx2uTl85m-_57_mUQg0"",""2025-26!AI3"")"),23.0)</f>
        <v>23</v>
      </c>
      <c r="BX75" s="59">
        <f t="shared" si="26"/>
        <v>2.099458667</v>
      </c>
      <c r="BY75" s="55">
        <f>IFERROR(__xludf.DUMMYFUNCTION("IMPORTRANGE(""1cOCCtQejZMOc5M-X_uBY6P5Whx2uTl85m-_57_mUQg0"",""2025-26!AJ4"")"),787297.0)</f>
        <v>787297</v>
      </c>
      <c r="BZ75" s="55">
        <f>IFERROR(__xludf.DUMMYFUNCTION("IMPORTRANGE(""1cOCCtQejZMOc5M-X_uBY6P5Whx2uTl85m-_57_mUQg0"",""2025-26!AJ3"")"),19.0)</f>
        <v>19</v>
      </c>
      <c r="CA75" s="55">
        <f>IFERROR(__xludf.DUMMYFUNCTION("IMPORTRANGE(""1cOCCtQejZMOc5M-X_uBY6P5Whx2uTl85m-_57_mUQg0"",""2025-26!AK4"")"),375000.0)</f>
        <v>375000</v>
      </c>
      <c r="CB75" s="55">
        <f>IFERROR(__xludf.DUMMYFUNCTION("IMPORTRANGE(""1cOCCtQejZMOc5M-X_uBY6P5Whx2uTl85m-_57_mUQg0"",""2025-26!AK3"")"),27.0)</f>
        <v>27</v>
      </c>
      <c r="CC75" s="55">
        <f>IFERROR(__xludf.DUMMYFUNCTION("IMPORTRANGE(""1cOCCtQejZMOc5M-X_uBY6P5Whx2uTl85m-_57_mUQg0"",""2025-26!AL4"")"),259846.5)</f>
        <v>259846.5</v>
      </c>
      <c r="CD75" s="55">
        <f>IFERROR(__xludf.DUMMYFUNCTION("IMPORTRANGE(""1cOCCtQejZMOc5M-X_uBY6P5Whx2uTl85m-_57_mUQg0"",""2025-26!AL3"")"),16.0)</f>
        <v>16</v>
      </c>
      <c r="CE75" s="59">
        <f t="shared" si="27"/>
        <v>0.8038026667</v>
      </c>
      <c r="CF75" s="55">
        <f>IFERROR(__xludf.DUMMYFUNCTION("IMPORTRANGE(""1cOCCtQejZMOc5M-X_uBY6P5Whx2uTl85m-_57_mUQg0"",""2025-26!AM4"")"),301426.0)</f>
        <v>301426</v>
      </c>
      <c r="CG75" s="55">
        <f>IFERROR(__xludf.DUMMYFUNCTION("IMPORTRANGE(""1cOCCtQejZMOc5M-X_uBY6P5Whx2uTl85m-_57_mUQg0"",""2025-26!AM3"")"),17.0)</f>
        <v>17</v>
      </c>
      <c r="CH75" s="55">
        <f>IFERROR(__xludf.DUMMYFUNCTION("IMPORTRANGE(""1cOCCtQejZMOc5M-X_uBY6P5Whx2uTl85m-_57_mUQg0"",""2025-26!AN4"")"),375000.0)</f>
        <v>375000</v>
      </c>
      <c r="CI75" s="55">
        <f>IFERROR(__xludf.DUMMYFUNCTION("IMPORTRANGE(""1cOCCtQejZMOc5M-X_uBY6P5Whx2uTl85m-_57_mUQg0"",""2025-26!AN3"")"),27.0)</f>
        <v>27</v>
      </c>
      <c r="CJ75" s="55">
        <f>IFERROR(__xludf.DUMMYFUNCTION("IMPORTRANGE(""1cOCCtQejZMOc5M-X_uBY6P5Whx2uTl85m-_57_mUQg0"",""2025-26!AO4"")"),734188.4000000001)</f>
        <v>734188.4</v>
      </c>
      <c r="CK75" s="55">
        <f>IFERROR(__xludf.DUMMYFUNCTION("IMPORTRANGE(""1cOCCtQejZMOc5M-X_uBY6P5Whx2uTl85m-_57_mUQg0"",""2025-26!AO3"")"),25.0)</f>
        <v>25</v>
      </c>
      <c r="CL75" s="59">
        <f t="shared" si="28"/>
        <v>0</v>
      </c>
      <c r="CM75" s="55">
        <f>IFERROR(__xludf.DUMMYFUNCTION("IMPORTRANGE(""1cOCCtQejZMOc5M-X_uBY6P5Whx2uTl85m-_57_mUQg0"",""2025-26!AP4"")"),0.0)</f>
        <v>0</v>
      </c>
      <c r="CN75" s="55">
        <f>IFERROR(__xludf.DUMMYFUNCTION("IMPORTRANGE(""1cOCCtQejZMOc5M-X_uBY6P5Whx2uTl85m-_57_mUQg0"",""2025-26!AP3"")"),0.0)</f>
        <v>0</v>
      </c>
      <c r="CO75" s="55">
        <f>IFERROR(__xludf.DUMMYFUNCTION("IMPORTRANGE(""1cOCCtQejZMOc5M-X_uBY6P5Whx2uTl85m-_57_mUQg0"",""2025-26!AQ4"")"),375000.0)</f>
        <v>375000</v>
      </c>
      <c r="CP75" s="55">
        <f>IFERROR(__xludf.DUMMYFUNCTION("IMPORTRANGE(""1cOCCtQejZMOc5M-X_uBY6P5Whx2uTl85m-_57_mUQg0"",""2025-26!AQ3"")"),27.0)</f>
        <v>27</v>
      </c>
      <c r="CQ75" s="55">
        <f>IFERROR(__xludf.DUMMYFUNCTION("IMPORTRANGE(""1cOCCtQejZMOc5M-X_uBY6P5Whx2uTl85m-_57_mUQg0"",""2025-26!AR4"")"),229321.6)</f>
        <v>229321.6</v>
      </c>
      <c r="CR75" s="55">
        <f>IFERROR(__xludf.DUMMYFUNCTION("IMPORTRANGE(""1cOCCtQejZMOc5M-X_uBY6P5Whx2uTl85m-_57_mUQg0"",""2025-26!AR3"")"),16.0)</f>
        <v>16</v>
      </c>
      <c r="CS75" s="59">
        <f t="shared" si="29"/>
        <v>0.6573466667</v>
      </c>
      <c r="CT75" s="55">
        <f>IFERROR(__xludf.DUMMYFUNCTION("IMPORTRANGE(""1cOCCtQejZMOc5M-X_uBY6P5Whx2uTl85m-_57_mUQg0"",""2025-26!AS4"")"),246505.0)</f>
        <v>246505</v>
      </c>
      <c r="CU75" s="55">
        <f>IFERROR(__xludf.DUMMYFUNCTION("IMPORTRANGE(""1cOCCtQejZMOc5M-X_uBY6P5Whx2uTl85m-_57_mUQg0"",""2025-26!AS3"")"),10.0)</f>
        <v>10</v>
      </c>
      <c r="CV75" s="60" t="s">
        <v>135</v>
      </c>
    </row>
    <row r="76">
      <c r="A76" s="1" t="s">
        <v>126</v>
      </c>
      <c r="B76" s="37"/>
      <c r="C76" s="64" t="s">
        <v>177</v>
      </c>
      <c r="D76" s="68" t="s">
        <v>178</v>
      </c>
      <c r="E76" s="68">
        <v>9.557381166E9</v>
      </c>
      <c r="F76" s="78">
        <v>45964.0</v>
      </c>
      <c r="G76" s="62"/>
      <c r="H76" s="62"/>
      <c r="I76" s="70">
        <v>65825.0</v>
      </c>
      <c r="J76" s="54">
        <v>2000000.0</v>
      </c>
      <c r="K76" s="55">
        <f>IFERROR(__xludf.DUMMYFUNCTION("IMPORTRANGE(""1xU8paeZ0mv2aDj_IVEGT9OnonuXc8Lhfbz35yExNTVQ"",""2025-26!A3"")"),49.0)</f>
        <v>49</v>
      </c>
      <c r="L76" s="55">
        <f>IFERROR(__xludf.DUMMYFUNCTION("IMPORTRANGE(""1xU8paeZ0mv2aDj_IVEGT9OnonuXc8Lhfbz35yExNTVQ"",""2025-26!G4"")"),1400000.0)</f>
        <v>1400000</v>
      </c>
      <c r="M76" s="55">
        <f t="shared" si="47"/>
        <v>1256855.88</v>
      </c>
      <c r="N76" s="56">
        <f t="shared" si="48"/>
        <v>1.448559286</v>
      </c>
      <c r="O76" s="57">
        <f t="shared" si="49"/>
        <v>2027983</v>
      </c>
      <c r="P76" s="55">
        <f>IFERROR(__xludf.DUMMYFUNCTION("IMPORTRANGE(""1xU8paeZ0mv2aDj_IVEGT9OnonuXc8Lhfbz35yExNTVQ"",""2025-26!J4"")"),0.0)</f>
        <v>0</v>
      </c>
      <c r="Q76" s="55">
        <f>IFERROR(__xludf.DUMMYFUNCTION("IMPORTRANGE(""1xU8paeZ0mv2aDj_IVEGT9OnonuXc8Lhfbz35yExNTVQ"",""2025-26!J3"")"),0.0)</f>
        <v>0</v>
      </c>
      <c r="R76" s="55">
        <f>IFERROR(__xludf.DUMMYFUNCTION("IMPORTRANGE(""1xU8paeZ0mv2aDj_IVEGT9OnonuXc8Lhfbz35yExNTVQ"",""2025-26!K4"")"),0.0)</f>
        <v>0</v>
      </c>
      <c r="S76" s="55">
        <f>IFERROR(__xludf.DUMMYFUNCTION("IMPORTRANGE(""1xU8paeZ0mv2aDj_IVEGT9OnonuXc8Lhfbz35yExNTVQ"",""2025-26!K3"")"),0.0)</f>
        <v>0</v>
      </c>
      <c r="T76" s="58" t="str">
        <f t="shared" si="18"/>
        <v/>
      </c>
      <c r="U76" s="55">
        <f>IFERROR(__xludf.DUMMYFUNCTION("IMPORTRANGE(""1xU8paeZ0mv2aDj_IVEGT9OnonuXc8Lhfbz35yExNTVQ"",""2025-26!L4"")"),0.0)</f>
        <v>0</v>
      </c>
      <c r="V76" s="55">
        <f>IFERROR(__xludf.DUMMYFUNCTION("IMPORTRANGE(""1xU8paeZ0mv2aDj_IVEGT9OnonuXc8Lhfbz35yExNTVQ"",""2025-26!L3"")"),0.0)</f>
        <v>0</v>
      </c>
      <c r="W76" s="55">
        <f>IFERROR(__xludf.DUMMYFUNCTION("IMPORTRANGE(""1xU8paeZ0mv2aDj_IVEGT9OnonuXc8Lhfbz35yExNTVQ"",""2025-26!m4"")"),0.0)</f>
        <v>0</v>
      </c>
      <c r="X76" s="55">
        <f>IFERROR(__xludf.DUMMYFUNCTION("IMPORTRANGE(""1xU8paeZ0mv2aDj_IVEGT9OnonuXc8Lhfbz35yExNTVQ"",""2025-26!m3"")"),0.0)</f>
        <v>0</v>
      </c>
      <c r="Y76" s="55">
        <f>IFERROR(__xludf.DUMMYFUNCTION("IMPORTRANGE(""1xU8paeZ0mv2aDj_IVEGT9OnonuXc8Lhfbz35yExNTVQ"",""2025-26!N4"")"),0.0)</f>
        <v>0</v>
      </c>
      <c r="Z76" s="55">
        <f>IFERROR(__xludf.DUMMYFUNCTION("IMPORTRANGE(""1xU8paeZ0mv2aDj_IVEGT9OnonuXc8Lhfbz35yExNTVQ"",""2025-26!N3"")"),0.0)</f>
        <v>0</v>
      </c>
      <c r="AA76" s="58" t="str">
        <f t="shared" si="19"/>
        <v/>
      </c>
      <c r="AB76" s="55">
        <f>IFERROR(__xludf.DUMMYFUNCTION("IMPORTRANGE(""1xU8paeZ0mv2aDj_IVEGT9OnonuXc8Lhfbz35yExNTVQ"",""2025-26!O4"")"),0.0)</f>
        <v>0</v>
      </c>
      <c r="AC76" s="55">
        <f>IFERROR(__xludf.DUMMYFUNCTION("IMPORTRANGE(""1xU8paeZ0mv2aDj_IVEGT9OnonuXc8Lhfbz35yExNTVQ"",""2025-26!O3"")"),0.0)</f>
        <v>0</v>
      </c>
      <c r="AD76" s="55">
        <f>IFERROR(__xludf.DUMMYFUNCTION("IMPORTRANGE(""1xU8paeZ0mv2aDj_IVEGT9OnonuXc8Lhfbz35yExNTVQ"",""2025-26!P4"")"),0.0)</f>
        <v>0</v>
      </c>
      <c r="AE76" s="55">
        <f>IFERROR(__xludf.DUMMYFUNCTION("IMPORTRANGE(""1xU8paeZ0mv2aDj_IVEGT9OnonuXc8Lhfbz35yExNTVQ"",""2025-26!P3"")"),0.0)</f>
        <v>0</v>
      </c>
      <c r="AF76" s="55">
        <f>IFERROR(__xludf.DUMMYFUNCTION("IMPORTRANGE(""1xU8paeZ0mv2aDj_IVEGT9OnonuXc8Lhfbz35yExNTVQ"",""2025-26!Q4"")"),0.0)</f>
        <v>0</v>
      </c>
      <c r="AG76" s="55">
        <f>IFERROR(__xludf.DUMMYFUNCTION("IMPORTRANGE(""1xU8paeZ0mv2aDj_IVEGT9OnonuXc8Lhfbz35yExNTVQ"",""2025-26!Q3"")"),0.0)</f>
        <v>0</v>
      </c>
      <c r="AH76" s="58" t="str">
        <f t="shared" si="20"/>
        <v/>
      </c>
      <c r="AI76" s="55">
        <f>IFERROR(__xludf.DUMMYFUNCTION("IMPORTRANGE(""1xU8paeZ0mv2aDj_IVEGT9OnonuXc8Lhfbz35yExNTVQ"",""2025-26!R4"")"),0.0)</f>
        <v>0</v>
      </c>
      <c r="AJ76" s="55">
        <f>IFERROR(__xludf.DUMMYFUNCTION("IMPORTRANGE(""1xU8paeZ0mv2aDj_IVEGT9OnonuXc8Lhfbz35yExNTVQ"",""2025-26!R3"")"),0.0)</f>
        <v>0</v>
      </c>
      <c r="AK76" s="55">
        <f>IFERROR(__xludf.DUMMYFUNCTION("IMPORTRANGE(""1xU8paeZ0mv2aDj_IVEGT9OnonuXc8Lhfbz35yExNTVQ"",""2025-26!S4"")"),0.0)</f>
        <v>0</v>
      </c>
      <c r="AL76" s="55">
        <f>IFERROR(__xludf.DUMMYFUNCTION("IMPORTRANGE(""1xU8paeZ0mv2aDj_IVEGT9OnonuXc8Lhfbz35yExNTVQ"",""2025-26!S3"")"),0.0)</f>
        <v>0</v>
      </c>
      <c r="AM76" s="55">
        <f>IFERROR(__xludf.DUMMYFUNCTION("IMPORTRANGE(""1xU8paeZ0mv2aDj_IVEGT9OnonuXc8Lhfbz35yExNTVQ"",""2025-26!T4"")"),0.0)</f>
        <v>0</v>
      </c>
      <c r="AN76" s="55">
        <f>IFERROR(__xludf.DUMMYFUNCTION("IMPORTRANGE(""1xU8paeZ0mv2aDj_IVEGT9OnonuXc8Lhfbz35yExNTVQ"",""2025-26!T3"")"),0.0)</f>
        <v>0</v>
      </c>
      <c r="AO76" s="58" t="str">
        <f t="shared" si="21"/>
        <v/>
      </c>
      <c r="AP76" s="55">
        <f>IFERROR(__xludf.DUMMYFUNCTION("IMPORTRANGE(""1xU8paeZ0mv2aDj_IVEGT9OnonuXc8Lhfbz35yExNTVQ"",""2025-26!U4"")"),0.0)</f>
        <v>0</v>
      </c>
      <c r="AQ76" s="55">
        <f>IFERROR(__xludf.DUMMYFUNCTION("IMPORTRANGE(""1xU8paeZ0mv2aDj_IVEGT9OnonuXc8Lhfbz35yExNTVQ"",""2025-26!U3"")"),0.0)</f>
        <v>0</v>
      </c>
      <c r="AR76" s="55">
        <f>IFERROR(__xludf.DUMMYFUNCTION("IMPORTRANGE(""1xU8paeZ0mv2aDj_IVEGT9OnonuXc8Lhfbz35yExNTVQ"",""2025-26!V4"")"),0.0)</f>
        <v>0</v>
      </c>
      <c r="AS76" s="55">
        <f>IFERROR(__xludf.DUMMYFUNCTION("IMPORTRANGE(""1xU8paeZ0mv2aDj_IVEGT9OnonuXc8Lhfbz35yExNTVQ"",""2025-26!V3"")"),0.0)</f>
        <v>0</v>
      </c>
      <c r="AT76" s="55">
        <f>IFERROR(__xludf.DUMMYFUNCTION("IMPORTRANGE(""1xU8paeZ0mv2aDj_IVEGT9OnonuXc8Lhfbz35yExNTVQ"",""2025-26!W4"")"),0.0)</f>
        <v>0</v>
      </c>
      <c r="AU76" s="55">
        <f>IFERROR(__xludf.DUMMYFUNCTION("IMPORTRANGE(""1xU8paeZ0mv2aDj_IVEGT9OnonuXc8Lhfbz35yExNTVQ"",""2025-26!W3"")"),0.0)</f>
        <v>0</v>
      </c>
      <c r="AV76" s="58" t="str">
        <f t="shared" si="22"/>
        <v/>
      </c>
      <c r="AW76" s="55">
        <f>IFERROR(__xludf.DUMMYFUNCTION("IMPORTRANGE(""1xU8paeZ0mv2aDj_IVEGT9OnonuXc8Lhfbz35yExNTVQ"",""2025-26!X4"")"),0.0)</f>
        <v>0</v>
      </c>
      <c r="AX76" s="55">
        <f>IFERROR(__xludf.DUMMYFUNCTION("IMPORTRANGE(""1xU8paeZ0mv2aDj_IVEGT9OnonuXc8Lhfbz35yExNTVQ"",""2025-26!X3"")"),0.0)</f>
        <v>0</v>
      </c>
      <c r="AY76" s="55">
        <f>IFERROR(__xludf.DUMMYFUNCTION("IMPORTRANGE(""1xU8paeZ0mv2aDj_IVEGT9OnonuXc8Lhfbz35yExNTVQ"",""2025-26!Y4"")"),0.0)</f>
        <v>0</v>
      </c>
      <c r="AZ76" s="55">
        <f>IFERROR(__xludf.DUMMYFUNCTION("IMPORTRANGE(""1xU8paeZ0mv2aDj_IVEGT9OnonuXc8Lhfbz35yExNTVQ"",""2025-26!Y3"")"),0.0)</f>
        <v>0</v>
      </c>
      <c r="BA76" s="55">
        <f>IFERROR(__xludf.DUMMYFUNCTION("IMPORTRANGE(""1xU8paeZ0mv2aDj_IVEGT9OnonuXc8Lhfbz35yExNTVQ"",""2025-26!Z4"")"),0.0)</f>
        <v>0</v>
      </c>
      <c r="BB76" s="55">
        <f>IFERROR(__xludf.DUMMYFUNCTION("IMPORTRANGE(""1xU8paeZ0mv2aDj_IVEGT9OnonuXc8Lhfbz35yExNTVQ"",""2025-26!Z3"")"),0.0)</f>
        <v>0</v>
      </c>
      <c r="BC76" s="59" t="str">
        <f t="shared" si="23"/>
        <v/>
      </c>
      <c r="BD76" s="55">
        <f>IFERROR(__xludf.DUMMYFUNCTION("IMPORTRANGE(""1xU8paeZ0mv2aDj_IVEGT9OnonuXc8Lhfbz35yExNTVQ"",""2025-26!AA4"")"),0.0)</f>
        <v>0</v>
      </c>
      <c r="BE76" s="55">
        <f>IFERROR(__xludf.DUMMYFUNCTION("IMPORTRANGE(""1xU8paeZ0mv2aDj_IVEGT9OnonuXc8Lhfbz35yExNTVQ"",""2025-26!AA3"")"),0.0)</f>
        <v>0</v>
      </c>
      <c r="BF76" s="55">
        <f>IFERROR(__xludf.DUMMYFUNCTION("IMPORTRANGE(""1xU8paeZ0mv2aDj_IVEGT9OnonuXc8Lhfbz35yExNTVQ"",""2025-26!AB4"")"),0.0)</f>
        <v>0</v>
      </c>
      <c r="BG76" s="55">
        <f>IFERROR(__xludf.DUMMYFUNCTION("IMPORTRANGE(""1xU8paeZ0mv2aDj_IVEGT9OnonuXc8Lhfbz35yExNTVQ"",""2025-26!AB3"")"),0.0)</f>
        <v>0</v>
      </c>
      <c r="BH76" s="55">
        <f>IFERROR(__xludf.DUMMYFUNCTION("IMPORTRANGE(""1xU8paeZ0mv2aDj_IVEGT9OnonuXc8Lhfbz35yExNTVQ"",""2025-26!AC4"")"),0.0)</f>
        <v>0</v>
      </c>
      <c r="BI76" s="55">
        <f>IFERROR(__xludf.DUMMYFUNCTION("IMPORTRANGE(""1xU8paeZ0mv2aDj_IVEGT9OnonuXc8Lhfbz35yExNTVQ"",""2025-26!AC3"")"),0.0)</f>
        <v>0</v>
      </c>
      <c r="BJ76" s="59" t="str">
        <f t="shared" si="24"/>
        <v/>
      </c>
      <c r="BK76" s="55">
        <f>IFERROR(__xludf.DUMMYFUNCTION("IMPORTRANGE(""1xU8paeZ0mv2aDj_IVEGT9OnonuXc8Lhfbz35yExNTVQ"",""2025-26!AD4"")"),0.0)</f>
        <v>0</v>
      </c>
      <c r="BL76" s="55">
        <f>IFERROR(__xludf.DUMMYFUNCTION("IMPORTRANGE(""1xU8paeZ0mv2aDj_IVEGT9OnonuXc8Lhfbz35yExNTVQ"",""2025-26!AD3"")"),0.0)</f>
        <v>0</v>
      </c>
      <c r="BM76" s="55">
        <f>IFERROR(__xludf.DUMMYFUNCTION("IMPORTRANGE(""1xU8paeZ0mv2aDj_IVEGT9OnonuXc8Lhfbz35yExNTVQ"",""2025-26!AE4"")"),0.0)</f>
        <v>0</v>
      </c>
      <c r="BN76" s="55">
        <f>IFERROR(__xludf.DUMMYFUNCTION("IMPORTRANGE(""1xU8paeZ0mv2aDj_IVEGT9OnonuXc8Lhfbz35yExNTVQ"",""2025-26!AE3"")"),0.0)</f>
        <v>0</v>
      </c>
      <c r="BO76" s="55">
        <f>IFERROR(__xludf.DUMMYFUNCTION("IMPORTRANGE(""1xU8paeZ0mv2aDj_IVEGT9OnonuXc8Lhfbz35yExNTVQ"",""2025-26!AF4"")"),0.0)</f>
        <v>0</v>
      </c>
      <c r="BP76" s="55">
        <f>IFERROR(__xludf.DUMMYFUNCTION("IMPORTRANGE(""1xU8paeZ0mv2aDj_IVEGT9OnonuXc8Lhfbz35yExNTVQ"",""2025-26!AF3"")"),0.0)</f>
        <v>0</v>
      </c>
      <c r="BQ76" s="59" t="str">
        <f t="shared" si="25"/>
        <v/>
      </c>
      <c r="BR76" s="55">
        <f>IFERROR(__xludf.DUMMYFUNCTION("IMPORTRANGE(""1xU8paeZ0mv2aDj_IVEGT9OnonuXc8Lhfbz35yExNTVQ"",""2025-26!AG4"")"),0.0)</f>
        <v>0</v>
      </c>
      <c r="BS76" s="55">
        <f>IFERROR(__xludf.DUMMYFUNCTION("IMPORTRANGE(""1xU8paeZ0mv2aDj_IVEGT9OnonuXc8Lhfbz35yExNTVQ"",""2025-26!AG3"")"),0.0)</f>
        <v>0</v>
      </c>
      <c r="BT76" s="55">
        <f>IFERROR(__xludf.DUMMYFUNCTION("IMPORTRANGE(""1xU8paeZ0mv2aDj_IVEGT9OnonuXc8Lhfbz35yExNTVQ"",""2025-26!AH4"")"),0.0)</f>
        <v>0</v>
      </c>
      <c r="BU76" s="55">
        <f>IFERROR(__xludf.DUMMYFUNCTION("IMPORTRANGE(""1xU8paeZ0mv2aDj_IVEGT9OnonuXc8Lhfbz35yExNTVQ"",""2025-26!AH3"")"),0.0)</f>
        <v>0</v>
      </c>
      <c r="BV76" s="55">
        <f>IFERROR(__xludf.DUMMYFUNCTION("IMPORTRANGE(""1xU8paeZ0mv2aDj_IVEGT9OnonuXc8Lhfbz35yExNTVQ"",""2025-26!AI4"")"),83318.75)</f>
        <v>83318.75</v>
      </c>
      <c r="BW76" s="55">
        <f>IFERROR(__xludf.DUMMYFUNCTION("IMPORTRANGE(""1xU8paeZ0mv2aDj_IVEGT9OnonuXc8Lhfbz35yExNTVQ"",""2025-26!AI3"")"),7.0)</f>
        <v>7</v>
      </c>
      <c r="BX76" s="59" t="str">
        <f t="shared" si="26"/>
        <v/>
      </c>
      <c r="BY76" s="55">
        <f>IFERROR(__xludf.DUMMYFUNCTION("IMPORTRANGE(""1xU8paeZ0mv2aDj_IVEGT9OnonuXc8Lhfbz35yExNTVQ"",""2025-26!AJ4"")"),335576.0)</f>
        <v>335576</v>
      </c>
      <c r="BZ76" s="55">
        <f>IFERROR(__xludf.DUMMYFUNCTION("IMPORTRANGE(""1xU8paeZ0mv2aDj_IVEGT9OnonuXc8Lhfbz35yExNTVQ"",""2025-26!AJ3"")"),15.0)</f>
        <v>15</v>
      </c>
      <c r="CA76" s="55">
        <f>IFERROR(__xludf.DUMMYFUNCTION("IMPORTRANGE(""1xU8paeZ0mv2aDj_IVEGT9OnonuXc8Lhfbz35yExNTVQ"",""2025-26!AK4"")"),0.0)</f>
        <v>0</v>
      </c>
      <c r="CB76" s="55">
        <f>IFERROR(__xludf.DUMMYFUNCTION("IMPORTRANGE(""1xU8paeZ0mv2aDj_IVEGT9OnonuXc8Lhfbz35yExNTVQ"",""2025-26!AK3"")"),0.0)</f>
        <v>0</v>
      </c>
      <c r="CC76" s="55">
        <f>IFERROR(__xludf.DUMMYFUNCTION("IMPORTRANGE(""1xU8paeZ0mv2aDj_IVEGT9OnonuXc8Lhfbz35yExNTVQ"",""2025-26!AL4"")"),312964.68)</f>
        <v>312964.68</v>
      </c>
      <c r="CD76" s="55">
        <f>IFERROR(__xludf.DUMMYFUNCTION("IMPORTRANGE(""1xU8paeZ0mv2aDj_IVEGT9OnonuXc8Lhfbz35yExNTVQ"",""2025-26!AL3"")"),15.0)</f>
        <v>15</v>
      </c>
      <c r="CE76" s="59" t="str">
        <f t="shared" si="27"/>
        <v/>
      </c>
      <c r="CF76" s="55">
        <f>IFERROR(__xludf.DUMMYFUNCTION("IMPORTRANGE(""1xU8paeZ0mv2aDj_IVEGT9OnonuXc8Lhfbz35yExNTVQ"",""2025-26!AM4"")"),278177.0)</f>
        <v>278177</v>
      </c>
      <c r="CG76" s="55">
        <f>IFERROR(__xludf.DUMMYFUNCTION("IMPORTRANGE(""1xU8paeZ0mv2aDj_IVEGT9OnonuXc8Lhfbz35yExNTVQ"",""2025-26!AM3"")"),11.0)</f>
        <v>11</v>
      </c>
      <c r="CH76" s="55">
        <f>IFERROR(__xludf.DUMMYFUNCTION("IMPORTRANGE(""1xU8paeZ0mv2aDj_IVEGT9OnonuXc8Lhfbz35yExNTVQ"",""2025-26!AN4"")"),0.0)</f>
        <v>0</v>
      </c>
      <c r="CI76" s="55">
        <f>IFERROR(__xludf.DUMMYFUNCTION("IMPORTRANGE(""1xU8paeZ0mv2aDj_IVEGT9OnonuXc8Lhfbz35yExNTVQ"",""2025-26!AN3"")"),0.0)</f>
        <v>0</v>
      </c>
      <c r="CJ76" s="55">
        <f>IFERROR(__xludf.DUMMYFUNCTION("IMPORTRANGE(""1xU8paeZ0mv2aDj_IVEGT9OnonuXc8Lhfbz35yExNTVQ"",""2025-26!AO4"")"),436223.43999999994)</f>
        <v>436223.44</v>
      </c>
      <c r="CK76" s="55">
        <f>IFERROR(__xludf.DUMMYFUNCTION("IMPORTRANGE(""1xU8paeZ0mv2aDj_IVEGT9OnonuXc8Lhfbz35yExNTVQ"",""2025-26!AO3"")"),22.0)</f>
        <v>22</v>
      </c>
      <c r="CL76" s="59" t="str">
        <f t="shared" si="28"/>
        <v/>
      </c>
      <c r="CM76" s="55">
        <f>IFERROR(__xludf.DUMMYFUNCTION("IMPORTRANGE(""1xU8paeZ0mv2aDj_IVEGT9OnonuXc8Lhfbz35yExNTVQ"",""2025-26!AP4"")"),618712.0)</f>
        <v>618712</v>
      </c>
      <c r="CN76" s="55">
        <f>IFERROR(__xludf.DUMMYFUNCTION("IMPORTRANGE(""1xU8paeZ0mv2aDj_IVEGT9OnonuXc8Lhfbz35yExNTVQ"",""2025-26!AP3"")"),18.0)</f>
        <v>18</v>
      </c>
      <c r="CO76" s="55">
        <f>IFERROR(__xludf.DUMMYFUNCTION("IMPORTRANGE(""1xU8paeZ0mv2aDj_IVEGT9OnonuXc8Lhfbz35yExNTVQ"",""2025-26!AQ4"")"),0.0)</f>
        <v>0</v>
      </c>
      <c r="CP76" s="55">
        <f>IFERROR(__xludf.DUMMYFUNCTION("IMPORTRANGE(""1xU8paeZ0mv2aDj_IVEGT9OnonuXc8Lhfbz35yExNTVQ"",""2025-26!AQ3"")"),0.0)</f>
        <v>0</v>
      </c>
      <c r="CQ76" s="55">
        <f>IFERROR(__xludf.DUMMYFUNCTION("IMPORTRANGE(""1xU8paeZ0mv2aDj_IVEGT9OnonuXc8Lhfbz35yExNTVQ"",""2025-26!AR4"")"),424349.00999999995)</f>
        <v>424349.01</v>
      </c>
      <c r="CR76" s="55">
        <f>IFERROR(__xludf.DUMMYFUNCTION("IMPORTRANGE(""1xU8paeZ0mv2aDj_IVEGT9OnonuXc8Lhfbz35yExNTVQ"",""2025-26!AR3"")"),22.0)</f>
        <v>22</v>
      </c>
      <c r="CS76" s="59" t="str">
        <f t="shared" si="29"/>
        <v/>
      </c>
      <c r="CT76" s="55">
        <f>IFERROR(__xludf.DUMMYFUNCTION("IMPORTRANGE(""1xU8paeZ0mv2aDj_IVEGT9OnonuXc8Lhfbz35yExNTVQ"",""2025-26!AS4"")"),795518.0)</f>
        <v>795518</v>
      </c>
      <c r="CU76" s="55">
        <f>IFERROR(__xludf.DUMMYFUNCTION("IMPORTRANGE(""1xU8paeZ0mv2aDj_IVEGT9OnonuXc8Lhfbz35yExNTVQ"",""2025-26!AS3"")"),20.0)</f>
        <v>20</v>
      </c>
      <c r="CV76" s="60" t="s">
        <v>130</v>
      </c>
    </row>
    <row r="77">
      <c r="A77" s="1" t="s">
        <v>126</v>
      </c>
      <c r="B77" s="37"/>
      <c r="C77" s="64" t="s">
        <v>179</v>
      </c>
      <c r="D77" s="68" t="s">
        <v>180</v>
      </c>
      <c r="E77" s="68">
        <v>8.234912901E9</v>
      </c>
      <c r="F77" s="78">
        <v>45971.0</v>
      </c>
      <c r="G77" s="62"/>
      <c r="H77" s="62"/>
      <c r="I77" s="70">
        <v>32500.0</v>
      </c>
      <c r="J77" s="54">
        <v>1200000.0</v>
      </c>
      <c r="K77" s="55">
        <f>IFERROR(__xludf.DUMMYFUNCTION("IMPORTRANGE(""1ii7mSZuwFsDeSKThBBKb777jYLe6wyBkEiBUpLVItGw"",""2025-26!A3"")"),32.0)</f>
        <v>32</v>
      </c>
      <c r="L77" s="55">
        <f>IFERROR(__xludf.DUMMYFUNCTION("IMPORTRANGE(""1ii7mSZuwFsDeSKThBBKb777jYLe6wyBkEiBUpLVItGw"",""2025-26!G4"")"),1100000.0)</f>
        <v>1100000</v>
      </c>
      <c r="M77" s="55">
        <f t="shared" si="47"/>
        <v>1311479.66</v>
      </c>
      <c r="N77" s="56">
        <f t="shared" si="48"/>
        <v>1.571866864</v>
      </c>
      <c r="O77" s="57">
        <f t="shared" si="49"/>
        <v>1729053.55</v>
      </c>
      <c r="P77" s="55">
        <f>IFERROR(__xludf.DUMMYFUNCTION("IMPORTRANGE(""1ii7mSZuwFsDeSKThBBKb777jYLe6wyBkEiBUpLVItGw"",""2025-26!J4"")"),0.0)</f>
        <v>0</v>
      </c>
      <c r="Q77" s="55">
        <f>IFERROR(__xludf.DUMMYFUNCTION("IMPORTRANGE(""1ii7mSZuwFsDeSKThBBKb777jYLe6wyBkEiBUpLVItGw"",""2025-26!J3"")"),0.0)</f>
        <v>0</v>
      </c>
      <c r="R77" s="55">
        <f>IFERROR(__xludf.DUMMYFUNCTION("IMPORTRANGE(""1ii7mSZuwFsDeSKThBBKb777jYLe6wyBkEiBUpLVItGw"",""2025-26!K4"")"),0.0)</f>
        <v>0</v>
      </c>
      <c r="S77" s="55">
        <f>IFERROR(__xludf.DUMMYFUNCTION("IMPORTRANGE(""1ii7mSZuwFsDeSKThBBKb777jYLe6wyBkEiBUpLVItGw"",""2025-26!K3"")"),0.0)</f>
        <v>0</v>
      </c>
      <c r="T77" s="58" t="str">
        <f t="shared" si="18"/>
        <v/>
      </c>
      <c r="U77" s="55">
        <f>IFERROR(__xludf.DUMMYFUNCTION("IMPORTRANGE(""1ii7mSZuwFsDeSKThBBKb777jYLe6wyBkEiBUpLVItGw"",""2025-26!L4"")"),0.0)</f>
        <v>0</v>
      </c>
      <c r="V77" s="55">
        <f>IFERROR(__xludf.DUMMYFUNCTION("IMPORTRANGE(""1ii7mSZuwFsDeSKThBBKb777jYLe6wyBkEiBUpLVItGw"",""2025-26!L3"")"),0.0)</f>
        <v>0</v>
      </c>
      <c r="W77" s="55">
        <f>IFERROR(__xludf.DUMMYFUNCTION("IMPORTRANGE(""1ii7mSZuwFsDeSKThBBKb777jYLe6wyBkEiBUpLVItGw"",""2025-26!m4"")"),0.0)</f>
        <v>0</v>
      </c>
      <c r="X77" s="55">
        <f>IFERROR(__xludf.DUMMYFUNCTION("IMPORTRANGE(""1ii7mSZuwFsDeSKThBBKb777jYLe6wyBkEiBUpLVItGw"",""2025-26!m3"")"),0.0)</f>
        <v>0</v>
      </c>
      <c r="Y77" s="55">
        <f>IFERROR(__xludf.DUMMYFUNCTION("IMPORTRANGE(""1ii7mSZuwFsDeSKThBBKb777jYLe6wyBkEiBUpLVItGw"",""2025-26!N4"")"),0.0)</f>
        <v>0</v>
      </c>
      <c r="Z77" s="55">
        <f>IFERROR(__xludf.DUMMYFUNCTION("IMPORTRANGE(""1ii7mSZuwFsDeSKThBBKb777jYLe6wyBkEiBUpLVItGw"",""2025-26!N3"")"),0.0)</f>
        <v>0</v>
      </c>
      <c r="AA77" s="58" t="str">
        <f t="shared" si="19"/>
        <v/>
      </c>
      <c r="AB77" s="55">
        <f>IFERROR(__xludf.DUMMYFUNCTION("IMPORTRANGE(""1ii7mSZuwFsDeSKThBBKb777jYLe6wyBkEiBUpLVItGw"",""2025-26!O4"")"),0.0)</f>
        <v>0</v>
      </c>
      <c r="AC77" s="55">
        <f>IFERROR(__xludf.DUMMYFUNCTION("IMPORTRANGE(""1ii7mSZuwFsDeSKThBBKb777jYLe6wyBkEiBUpLVItGw"",""2025-26!O3"")"),0.0)</f>
        <v>0</v>
      </c>
      <c r="AD77" s="55">
        <f>IFERROR(__xludf.DUMMYFUNCTION("IMPORTRANGE(""1ii7mSZuwFsDeSKThBBKb777jYLe6wyBkEiBUpLVItGw"",""2025-26!P4"")"),0.0)</f>
        <v>0</v>
      </c>
      <c r="AE77" s="55">
        <f>IFERROR(__xludf.DUMMYFUNCTION("IMPORTRANGE(""1ii7mSZuwFsDeSKThBBKb777jYLe6wyBkEiBUpLVItGw"",""2025-26!P3"")"),0.0)</f>
        <v>0</v>
      </c>
      <c r="AF77" s="55">
        <f>IFERROR(__xludf.DUMMYFUNCTION("IMPORTRANGE(""1ii7mSZuwFsDeSKThBBKb777jYLe6wyBkEiBUpLVItGw"",""2025-26!Q4"")"),0.0)</f>
        <v>0</v>
      </c>
      <c r="AG77" s="55">
        <f>IFERROR(__xludf.DUMMYFUNCTION("IMPORTRANGE(""1ii7mSZuwFsDeSKThBBKb777jYLe6wyBkEiBUpLVItGw"",""2025-26!Q3"")"),0.0)</f>
        <v>0</v>
      </c>
      <c r="AH77" s="58" t="str">
        <f t="shared" si="20"/>
        <v/>
      </c>
      <c r="AI77" s="55">
        <f>IFERROR(__xludf.DUMMYFUNCTION("IMPORTRANGE(""1ii7mSZuwFsDeSKThBBKb777jYLe6wyBkEiBUpLVItGw"",""2025-26!R4"")"),0.0)</f>
        <v>0</v>
      </c>
      <c r="AJ77" s="55">
        <f>IFERROR(__xludf.DUMMYFUNCTION("IMPORTRANGE(""1ii7mSZuwFsDeSKThBBKb777jYLe6wyBkEiBUpLVItGw"",""2025-26!R3"")"),0.0)</f>
        <v>0</v>
      </c>
      <c r="AK77" s="55">
        <f>IFERROR(__xludf.DUMMYFUNCTION("IMPORTRANGE(""1ii7mSZuwFsDeSKThBBKb777jYLe6wyBkEiBUpLVItGw"",""2025-26!S4"")"),0.0)</f>
        <v>0</v>
      </c>
      <c r="AL77" s="55">
        <f>IFERROR(__xludf.DUMMYFUNCTION("IMPORTRANGE(""1ii7mSZuwFsDeSKThBBKb777jYLe6wyBkEiBUpLVItGw"",""2025-26!S3"")"),0.0)</f>
        <v>0</v>
      </c>
      <c r="AM77" s="55">
        <f>IFERROR(__xludf.DUMMYFUNCTION("IMPORTRANGE(""1ii7mSZuwFsDeSKThBBKb777jYLe6wyBkEiBUpLVItGw"",""2025-26!T4"")"),0.0)</f>
        <v>0</v>
      </c>
      <c r="AN77" s="55">
        <f>IFERROR(__xludf.DUMMYFUNCTION("IMPORTRANGE(""1ii7mSZuwFsDeSKThBBKb777jYLe6wyBkEiBUpLVItGw"",""2025-26!T3"")"),0.0)</f>
        <v>0</v>
      </c>
      <c r="AO77" s="58" t="str">
        <f t="shared" si="21"/>
        <v/>
      </c>
      <c r="AP77" s="55">
        <f>IFERROR(__xludf.DUMMYFUNCTION("IMPORTRANGE(""1ii7mSZuwFsDeSKThBBKb777jYLe6wyBkEiBUpLVItGw"",""2025-26!U4"")"),0.0)</f>
        <v>0</v>
      </c>
      <c r="AQ77" s="55">
        <f>IFERROR(__xludf.DUMMYFUNCTION("IMPORTRANGE(""1ii7mSZuwFsDeSKThBBKb777jYLe6wyBkEiBUpLVItGw"",""2025-26!U3"")"),0.0)</f>
        <v>0</v>
      </c>
      <c r="AR77" s="55">
        <f>IFERROR(__xludf.DUMMYFUNCTION("IMPORTRANGE(""1ii7mSZuwFsDeSKThBBKb777jYLe6wyBkEiBUpLVItGw"",""2025-26!V4"")"),0.0)</f>
        <v>0</v>
      </c>
      <c r="AS77" s="55">
        <f>IFERROR(__xludf.DUMMYFUNCTION("IMPORTRANGE(""1ii7mSZuwFsDeSKThBBKb777jYLe6wyBkEiBUpLVItGw"",""2025-26!V3"")"),0.0)</f>
        <v>0</v>
      </c>
      <c r="AT77" s="55">
        <f>IFERROR(__xludf.DUMMYFUNCTION("IMPORTRANGE(""1ii7mSZuwFsDeSKThBBKb777jYLe6wyBkEiBUpLVItGw"",""2025-26!W4"")"),0.0)</f>
        <v>0</v>
      </c>
      <c r="AU77" s="55">
        <f>IFERROR(__xludf.DUMMYFUNCTION("IMPORTRANGE(""1ii7mSZuwFsDeSKThBBKb777jYLe6wyBkEiBUpLVItGw"",""2025-26!W3"")"),0.0)</f>
        <v>0</v>
      </c>
      <c r="AV77" s="58" t="str">
        <f t="shared" si="22"/>
        <v/>
      </c>
      <c r="AW77" s="55">
        <f>IFERROR(__xludf.DUMMYFUNCTION("IMPORTRANGE(""1ii7mSZuwFsDeSKThBBKb777jYLe6wyBkEiBUpLVItGw"",""2025-26!X4"")"),0.0)</f>
        <v>0</v>
      </c>
      <c r="AX77" s="55">
        <f>IFERROR(__xludf.DUMMYFUNCTION("IMPORTRANGE(""1ii7mSZuwFsDeSKThBBKb777jYLe6wyBkEiBUpLVItGw"",""2025-26!X3"")"),0.0)</f>
        <v>0</v>
      </c>
      <c r="AY77" s="55">
        <f>IFERROR(__xludf.DUMMYFUNCTION("IMPORTRANGE(""1ii7mSZuwFsDeSKThBBKb777jYLe6wyBkEiBUpLVItGw"",""2025-26!Y4"")"),0.0)</f>
        <v>0</v>
      </c>
      <c r="AZ77" s="55">
        <f>IFERROR(__xludf.DUMMYFUNCTION("IMPORTRANGE(""1ii7mSZuwFsDeSKThBBKb777jYLe6wyBkEiBUpLVItGw"",""2025-26!Y3"")"),0.0)</f>
        <v>0</v>
      </c>
      <c r="BA77" s="55">
        <f>IFERROR(__xludf.DUMMYFUNCTION("IMPORTRANGE(""1ii7mSZuwFsDeSKThBBKb777jYLe6wyBkEiBUpLVItGw"",""2025-26!Z4"")"),0.0)</f>
        <v>0</v>
      </c>
      <c r="BB77" s="55">
        <f>IFERROR(__xludf.DUMMYFUNCTION("IMPORTRANGE(""1ii7mSZuwFsDeSKThBBKb777jYLe6wyBkEiBUpLVItGw"",""2025-26!Z3"")"),0.0)</f>
        <v>0</v>
      </c>
      <c r="BC77" s="59" t="str">
        <f t="shared" si="23"/>
        <v/>
      </c>
      <c r="BD77" s="55">
        <f>IFERROR(__xludf.DUMMYFUNCTION("IMPORTRANGE(""1ii7mSZuwFsDeSKThBBKb777jYLe6wyBkEiBUpLVItGw"",""2025-26!AA4"")"),0.0)</f>
        <v>0</v>
      </c>
      <c r="BE77" s="55">
        <f>IFERROR(__xludf.DUMMYFUNCTION("IMPORTRANGE(""1ii7mSZuwFsDeSKThBBKb777jYLe6wyBkEiBUpLVItGw"",""2025-26!AA3"")"),0.0)</f>
        <v>0</v>
      </c>
      <c r="BF77" s="55">
        <f>IFERROR(__xludf.DUMMYFUNCTION("IMPORTRANGE(""1ii7mSZuwFsDeSKThBBKb777jYLe6wyBkEiBUpLVItGw"",""2025-26!AB4"")"),0.0)</f>
        <v>0</v>
      </c>
      <c r="BG77" s="55">
        <f>IFERROR(__xludf.DUMMYFUNCTION("IMPORTRANGE(""1ii7mSZuwFsDeSKThBBKb777jYLe6wyBkEiBUpLVItGw"",""2025-26!AB3"")"),0.0)</f>
        <v>0</v>
      </c>
      <c r="BH77" s="55">
        <f>IFERROR(__xludf.DUMMYFUNCTION("IMPORTRANGE(""1ii7mSZuwFsDeSKThBBKb777jYLe6wyBkEiBUpLVItGw"",""2025-26!AC4"")"),0.0)</f>
        <v>0</v>
      </c>
      <c r="BI77" s="55">
        <f>IFERROR(__xludf.DUMMYFUNCTION("IMPORTRANGE(""1ii7mSZuwFsDeSKThBBKb777jYLe6wyBkEiBUpLVItGw"",""2025-26!AC3"")"),0.0)</f>
        <v>0</v>
      </c>
      <c r="BJ77" s="59" t="str">
        <f t="shared" si="24"/>
        <v/>
      </c>
      <c r="BK77" s="55">
        <f>IFERROR(__xludf.DUMMYFUNCTION("IMPORTRANGE(""1ii7mSZuwFsDeSKThBBKb777jYLe6wyBkEiBUpLVItGw"",""2025-26!AD4"")"),0.0)</f>
        <v>0</v>
      </c>
      <c r="BL77" s="55">
        <f>IFERROR(__xludf.DUMMYFUNCTION("IMPORTRANGE(""1ii7mSZuwFsDeSKThBBKb777jYLe6wyBkEiBUpLVItGw"",""2025-26!AD3"")"),0.0)</f>
        <v>0</v>
      </c>
      <c r="BM77" s="55">
        <f>IFERROR(__xludf.DUMMYFUNCTION("IMPORTRANGE(""1ii7mSZuwFsDeSKThBBKb777jYLe6wyBkEiBUpLVItGw"",""2025-26!AE4"")"),0.0)</f>
        <v>0</v>
      </c>
      <c r="BN77" s="55">
        <f>IFERROR(__xludf.DUMMYFUNCTION("IMPORTRANGE(""1ii7mSZuwFsDeSKThBBKb777jYLe6wyBkEiBUpLVItGw"",""2025-26!AE3"")"),0.0)</f>
        <v>0</v>
      </c>
      <c r="BO77" s="55">
        <f>IFERROR(__xludf.DUMMYFUNCTION("IMPORTRANGE(""1ii7mSZuwFsDeSKThBBKb777jYLe6wyBkEiBUpLVItGw"",""2025-26!AF4"")"),0.0)</f>
        <v>0</v>
      </c>
      <c r="BP77" s="55">
        <f>IFERROR(__xludf.DUMMYFUNCTION("IMPORTRANGE(""1ii7mSZuwFsDeSKThBBKb777jYLe6wyBkEiBUpLVItGw"",""2025-26!AF3"")"),0.0)</f>
        <v>0</v>
      </c>
      <c r="BQ77" s="59" t="str">
        <f t="shared" si="25"/>
        <v/>
      </c>
      <c r="BR77" s="55">
        <f>IFERROR(__xludf.DUMMYFUNCTION("IMPORTRANGE(""1ii7mSZuwFsDeSKThBBKb777jYLe6wyBkEiBUpLVItGw"",""2025-26!AG4"")"),0.0)</f>
        <v>0</v>
      </c>
      <c r="BS77" s="55">
        <f>IFERROR(__xludf.DUMMYFUNCTION("IMPORTRANGE(""1ii7mSZuwFsDeSKThBBKb777jYLe6wyBkEiBUpLVItGw"",""2025-26!AG3"")"),0.0)</f>
        <v>0</v>
      </c>
      <c r="BT77" s="55">
        <f>IFERROR(__xludf.DUMMYFUNCTION("IMPORTRANGE(""1ii7mSZuwFsDeSKThBBKb777jYLe6wyBkEiBUpLVItGw"",""2025-26!AH4"")"),0.0)</f>
        <v>0</v>
      </c>
      <c r="BU77" s="55">
        <f>IFERROR(__xludf.DUMMYFUNCTION("IMPORTRANGE(""1ii7mSZuwFsDeSKThBBKb777jYLe6wyBkEiBUpLVItGw"",""2025-26!AH3"")"),0.0)</f>
        <v>0</v>
      </c>
      <c r="BV77" s="55">
        <f>IFERROR(__xludf.DUMMYFUNCTION("IMPORTRANGE(""1ii7mSZuwFsDeSKThBBKb777jYLe6wyBkEiBUpLVItGw"",""2025-26!AI4"")"),8787.279999999999)</f>
        <v>8787.28</v>
      </c>
      <c r="BW77" s="55">
        <f>IFERROR(__xludf.DUMMYFUNCTION("IMPORTRANGE(""1ii7mSZuwFsDeSKThBBKb777jYLe6wyBkEiBUpLVItGw"",""2025-26!AI3"")"),2.0)</f>
        <v>2</v>
      </c>
      <c r="BX77" s="59" t="str">
        <f t="shared" si="26"/>
        <v/>
      </c>
      <c r="BY77" s="55">
        <f>IFERROR(__xludf.DUMMYFUNCTION("IMPORTRANGE(""1ii7mSZuwFsDeSKThBBKb777jYLe6wyBkEiBUpLVItGw"",""2025-26!AJ4"")"),195700.14)</f>
        <v>195700.14</v>
      </c>
      <c r="BZ77" s="55">
        <f>IFERROR(__xludf.DUMMYFUNCTION("IMPORTRANGE(""1ii7mSZuwFsDeSKThBBKb777jYLe6wyBkEiBUpLVItGw"",""2025-26!AJ3"")"),8.0)</f>
        <v>8</v>
      </c>
      <c r="CA77" s="55">
        <f>IFERROR(__xludf.DUMMYFUNCTION("IMPORTRANGE(""1ii7mSZuwFsDeSKThBBKb777jYLe6wyBkEiBUpLVItGw"",""2025-26!AK4"")"),363000.0)</f>
        <v>363000</v>
      </c>
      <c r="CB77" s="55">
        <f>IFERROR(__xludf.DUMMYFUNCTION("IMPORTRANGE(""1ii7mSZuwFsDeSKThBBKb777jYLe6wyBkEiBUpLVItGw"",""2025-26!AK3"")"),11.0)</f>
        <v>11</v>
      </c>
      <c r="CC77" s="55">
        <f>IFERROR(__xludf.DUMMYFUNCTION("IMPORTRANGE(""1ii7mSZuwFsDeSKThBBKb777jYLe6wyBkEiBUpLVItGw"",""2025-26!AL4"")"),346025.28)</f>
        <v>346025.28</v>
      </c>
      <c r="CD77" s="55">
        <f>IFERROR(__xludf.DUMMYFUNCTION("IMPORTRANGE(""1ii7mSZuwFsDeSKThBBKb777jYLe6wyBkEiBUpLVItGw"",""2025-26!AL3"")"),10.0)</f>
        <v>10</v>
      </c>
      <c r="CE77" s="59">
        <f t="shared" si="27"/>
        <v>1.052305372</v>
      </c>
      <c r="CF77" s="55">
        <f>IFERROR(__xludf.DUMMYFUNCTION("IMPORTRANGE(""1ii7mSZuwFsDeSKThBBKb777jYLe6wyBkEiBUpLVItGw"",""2025-26!AM4"")"),381986.85000000003)</f>
        <v>381986.85</v>
      </c>
      <c r="CG77" s="55">
        <f>IFERROR(__xludf.DUMMYFUNCTION("IMPORTRANGE(""1ii7mSZuwFsDeSKThBBKb777jYLe6wyBkEiBUpLVItGw"",""2025-26!AM3"")"),7.0)</f>
        <v>7</v>
      </c>
      <c r="CH77" s="55">
        <f>IFERROR(__xludf.DUMMYFUNCTION("IMPORTRANGE(""1ii7mSZuwFsDeSKThBBKb777jYLe6wyBkEiBUpLVItGw"",""2025-26!AN4"")"),363000.0)</f>
        <v>363000</v>
      </c>
      <c r="CI77" s="55">
        <f>IFERROR(__xludf.DUMMYFUNCTION("IMPORTRANGE(""1ii7mSZuwFsDeSKThBBKb777jYLe6wyBkEiBUpLVItGw"",""2025-26!AN3"")"),11.0)</f>
        <v>11</v>
      </c>
      <c r="CJ77" s="55">
        <f>IFERROR(__xludf.DUMMYFUNCTION("IMPORTRANGE(""1ii7mSZuwFsDeSKThBBKb777jYLe6wyBkEiBUpLVItGw"",""2025-26!AO4"")"),416227.71)</f>
        <v>416227.71</v>
      </c>
      <c r="CK77" s="55">
        <f>IFERROR(__xludf.DUMMYFUNCTION("IMPORTRANGE(""1ii7mSZuwFsDeSKThBBKb777jYLe6wyBkEiBUpLVItGw"",""2025-26!AO3"")"),6.0)</f>
        <v>6</v>
      </c>
      <c r="CL77" s="59">
        <f t="shared" si="28"/>
        <v>1.411882204</v>
      </c>
      <c r="CM77" s="55">
        <f>IFERROR(__xludf.DUMMYFUNCTION("IMPORTRANGE(""1ii7mSZuwFsDeSKThBBKb777jYLe6wyBkEiBUpLVItGw"",""2025-26!AP4"")"),512513.23999999993)</f>
        <v>512513.24</v>
      </c>
      <c r="CN77" s="55">
        <f>IFERROR(__xludf.DUMMYFUNCTION("IMPORTRANGE(""1ii7mSZuwFsDeSKThBBKb777jYLe6wyBkEiBUpLVItGw"",""2025-26!AP3"")"),8.0)</f>
        <v>8</v>
      </c>
      <c r="CO77" s="55">
        <f>IFERROR(__xludf.DUMMYFUNCTION("IMPORTRANGE(""1ii7mSZuwFsDeSKThBBKb777jYLe6wyBkEiBUpLVItGw"",""2025-26!AQ4"")"),374000.0)</f>
        <v>374000</v>
      </c>
      <c r="CP77" s="55">
        <f>IFERROR(__xludf.DUMMYFUNCTION("IMPORTRANGE(""1ii7mSZuwFsDeSKThBBKb777jYLe6wyBkEiBUpLVItGw"",""2025-26!AQ3"")"),11.0)</f>
        <v>11</v>
      </c>
      <c r="CQ77" s="55">
        <f>IFERROR(__xludf.DUMMYFUNCTION("IMPORTRANGE(""1ii7mSZuwFsDeSKThBBKb777jYLe6wyBkEiBUpLVItGw"",""2025-26!AR4"")"),540439.39)</f>
        <v>540439.39</v>
      </c>
      <c r="CR77" s="55">
        <f>IFERROR(__xludf.DUMMYFUNCTION("IMPORTRANGE(""1ii7mSZuwFsDeSKThBBKb777jYLe6wyBkEiBUpLVItGw"",""2025-26!AR3"")"),11.0)</f>
        <v>11</v>
      </c>
      <c r="CS77" s="59">
        <f t="shared" si="29"/>
        <v>1.708163957</v>
      </c>
      <c r="CT77" s="55">
        <f>IFERROR(__xludf.DUMMYFUNCTION("IMPORTRANGE(""1ii7mSZuwFsDeSKThBBKb777jYLe6wyBkEiBUpLVItGw"",""2025-26!AS4"")"),638853.32)</f>
        <v>638853.32</v>
      </c>
      <c r="CU77" s="55">
        <f>IFERROR(__xludf.DUMMYFUNCTION("IMPORTRANGE(""1ii7mSZuwFsDeSKThBBKb777jYLe6wyBkEiBUpLVItGw"",""2025-26!AS3"")"),12.0)</f>
        <v>12</v>
      </c>
      <c r="CV77" s="60" t="s">
        <v>135</v>
      </c>
    </row>
    <row r="78">
      <c r="A78" s="1" t="s">
        <v>126</v>
      </c>
      <c r="B78" s="37"/>
      <c r="C78" s="64" t="s">
        <v>181</v>
      </c>
      <c r="D78" s="68" t="s">
        <v>182</v>
      </c>
      <c r="E78" s="68">
        <v>7.566861687E9</v>
      </c>
      <c r="F78" s="78">
        <v>45999.0</v>
      </c>
      <c r="G78" s="62"/>
      <c r="H78" s="62"/>
      <c r="I78" s="70">
        <v>32500.0</v>
      </c>
      <c r="J78" s="54">
        <v>1500000.0</v>
      </c>
      <c r="K78" s="55">
        <f>IFERROR(__xludf.DUMMYFUNCTION("IMPORTRANGE(""1jDBw_zRV45g4GHvTxYAqTVyIfEtjeL3BgdcT4LOTyuo"",""2025-26!A3"")"),30.0)</f>
        <v>30</v>
      </c>
      <c r="L78" s="55">
        <f>IFERROR(__xludf.DUMMYFUNCTION("IMPORTRANGE(""1jDBw_zRV45g4GHvTxYAqTVyIfEtjeL3BgdcT4LOTyuo"",""2025-26!G4"")"),1620000.0)</f>
        <v>1620000</v>
      </c>
      <c r="M78" s="55">
        <f t="shared" si="47"/>
        <v>1356219.94</v>
      </c>
      <c r="N78" s="56">
        <f t="shared" si="48"/>
        <v>0.5182716049</v>
      </c>
      <c r="O78" s="57">
        <f t="shared" si="49"/>
        <v>839600</v>
      </c>
      <c r="P78" s="55">
        <f>IFERROR(__xludf.DUMMYFUNCTION("IMPORTRANGE(""1jDBw_zRV45g4GHvTxYAqTVyIfEtjeL3BgdcT4LOTyuo"",""2025-26!J4"")"),0.0)</f>
        <v>0</v>
      </c>
      <c r="Q78" s="55">
        <f>IFERROR(__xludf.DUMMYFUNCTION("IMPORTRANGE(""1jDBw_zRV45g4GHvTxYAqTVyIfEtjeL3BgdcT4LOTyuo"",""2025-26!J3"")"),0.0)</f>
        <v>0</v>
      </c>
      <c r="R78" s="55">
        <f>IFERROR(__xludf.DUMMYFUNCTION("IMPORTRANGE(""1jDBw_zRV45g4GHvTxYAqTVyIfEtjeL3BgdcT4LOTyuo"",""2025-26!K4"")"),0.0)</f>
        <v>0</v>
      </c>
      <c r="S78" s="55">
        <f>IFERROR(__xludf.DUMMYFUNCTION("IMPORTRANGE(""1jDBw_zRV45g4GHvTxYAqTVyIfEtjeL3BgdcT4LOTyuo"",""2025-26!K3"")"),0.0)</f>
        <v>0</v>
      </c>
      <c r="T78" s="58" t="str">
        <f t="shared" si="18"/>
        <v/>
      </c>
      <c r="U78" s="55">
        <f>IFERROR(__xludf.DUMMYFUNCTION("IMPORTRANGE(""1jDBw_zRV45g4GHvTxYAqTVyIfEtjeL3BgdcT4LOTyuo"",""2025-26!L4"")"),417064.0)</f>
        <v>417064</v>
      </c>
      <c r="V78" s="55">
        <f>IFERROR(__xludf.DUMMYFUNCTION("IMPORTRANGE(""1jDBw_zRV45g4GHvTxYAqTVyIfEtjeL3BgdcT4LOTyuo"",""2025-26!L3"")"),12.0)</f>
        <v>12</v>
      </c>
      <c r="W78" s="55">
        <f>IFERROR(__xludf.DUMMYFUNCTION("IMPORTRANGE(""1jDBw_zRV45g4GHvTxYAqTVyIfEtjeL3BgdcT4LOTyuo"",""2025-26!m4"")"),0.0)</f>
        <v>0</v>
      </c>
      <c r="X78" s="55">
        <f>IFERROR(__xludf.DUMMYFUNCTION("IMPORTRANGE(""1jDBw_zRV45g4GHvTxYAqTVyIfEtjeL3BgdcT4LOTyuo"",""2025-26!m3"")"),0.0)</f>
        <v>0</v>
      </c>
      <c r="Y78" s="55">
        <f>IFERROR(__xludf.DUMMYFUNCTION("IMPORTRANGE(""1jDBw_zRV45g4GHvTxYAqTVyIfEtjeL3BgdcT4LOTyuo"",""2025-26!N4"")"),0.0)</f>
        <v>0</v>
      </c>
      <c r="Z78" s="55">
        <f>IFERROR(__xludf.DUMMYFUNCTION("IMPORTRANGE(""1jDBw_zRV45g4GHvTxYAqTVyIfEtjeL3BgdcT4LOTyuo"",""2025-26!N3"")"),0.0)</f>
        <v>0</v>
      </c>
      <c r="AA78" s="58" t="str">
        <f t="shared" si="19"/>
        <v/>
      </c>
      <c r="AB78" s="55">
        <f>IFERROR(__xludf.DUMMYFUNCTION("IMPORTRANGE(""1jDBw_zRV45g4GHvTxYAqTVyIfEtjeL3BgdcT4LOTyuo"",""2025-26!O4"")"),177184.0)</f>
        <v>177184</v>
      </c>
      <c r="AC78" s="55">
        <f>IFERROR(__xludf.DUMMYFUNCTION("IMPORTRANGE(""1jDBw_zRV45g4GHvTxYAqTVyIfEtjeL3BgdcT4LOTyuo"",""2025-26!O3"")"),6.0)</f>
        <v>6</v>
      </c>
      <c r="AD78" s="55">
        <f>IFERROR(__xludf.DUMMYFUNCTION("IMPORTRANGE(""1jDBw_zRV45g4GHvTxYAqTVyIfEtjeL3BgdcT4LOTyuo"",""2025-26!P4"")"),0.0)</f>
        <v>0</v>
      </c>
      <c r="AE78" s="55">
        <f>IFERROR(__xludf.DUMMYFUNCTION("IMPORTRANGE(""1jDBw_zRV45g4GHvTxYAqTVyIfEtjeL3BgdcT4LOTyuo"",""2025-26!P3"")"),0.0)</f>
        <v>0</v>
      </c>
      <c r="AF78" s="55">
        <f>IFERROR(__xludf.DUMMYFUNCTION("IMPORTRANGE(""1jDBw_zRV45g4GHvTxYAqTVyIfEtjeL3BgdcT4LOTyuo"",""2025-26!Q4"")"),0.0)</f>
        <v>0</v>
      </c>
      <c r="AG78" s="55">
        <f>IFERROR(__xludf.DUMMYFUNCTION("IMPORTRANGE(""1jDBw_zRV45g4GHvTxYAqTVyIfEtjeL3BgdcT4LOTyuo"",""2025-26!Q3"")"),0.0)</f>
        <v>0</v>
      </c>
      <c r="AH78" s="58" t="str">
        <f t="shared" si="20"/>
        <v/>
      </c>
      <c r="AI78" s="55">
        <f>IFERROR(__xludf.DUMMYFUNCTION("IMPORTRANGE(""1jDBw_zRV45g4GHvTxYAqTVyIfEtjeL3BgdcT4LOTyuo"",""2025-26!R4"")"),212753.0)</f>
        <v>212753</v>
      </c>
      <c r="AJ78" s="55">
        <f>IFERROR(__xludf.DUMMYFUNCTION("IMPORTRANGE(""1jDBw_zRV45g4GHvTxYAqTVyIfEtjeL3BgdcT4LOTyuo"",""2025-26!R3"")"),9.0)</f>
        <v>9</v>
      </c>
      <c r="AK78" s="55">
        <f>IFERROR(__xludf.DUMMYFUNCTION("IMPORTRANGE(""1jDBw_zRV45g4GHvTxYAqTVyIfEtjeL3BgdcT4LOTyuo"",""2025-26!S4"")"),0.0)</f>
        <v>0</v>
      </c>
      <c r="AL78" s="55">
        <f>IFERROR(__xludf.DUMMYFUNCTION("IMPORTRANGE(""1jDBw_zRV45g4GHvTxYAqTVyIfEtjeL3BgdcT4LOTyuo"",""2025-26!S3"")"),0.0)</f>
        <v>0</v>
      </c>
      <c r="AM78" s="55">
        <f>IFERROR(__xludf.DUMMYFUNCTION("IMPORTRANGE(""1jDBw_zRV45g4GHvTxYAqTVyIfEtjeL3BgdcT4LOTyuo"",""2025-26!T4"")"),0.0)</f>
        <v>0</v>
      </c>
      <c r="AN78" s="55">
        <f>IFERROR(__xludf.DUMMYFUNCTION("IMPORTRANGE(""1jDBw_zRV45g4GHvTxYAqTVyIfEtjeL3BgdcT4LOTyuo"",""2025-26!T3"")"),0.0)</f>
        <v>0</v>
      </c>
      <c r="AO78" s="58" t="str">
        <f t="shared" si="21"/>
        <v/>
      </c>
      <c r="AP78" s="55">
        <f>IFERROR(__xludf.DUMMYFUNCTION("IMPORTRANGE(""1jDBw_zRV45g4GHvTxYAqTVyIfEtjeL3BgdcT4LOTyuo"",""2025-26!U4"")"),32599.0)</f>
        <v>32599</v>
      </c>
      <c r="AQ78" s="55">
        <f>IFERROR(__xludf.DUMMYFUNCTION("IMPORTRANGE(""1jDBw_zRV45g4GHvTxYAqTVyIfEtjeL3BgdcT4LOTyuo"",""2025-26!U3"")"),4.0)</f>
        <v>4</v>
      </c>
      <c r="AR78" s="55">
        <f>IFERROR(__xludf.DUMMYFUNCTION("IMPORTRANGE(""1jDBw_zRV45g4GHvTxYAqTVyIfEtjeL3BgdcT4LOTyuo"",""2025-26!V4"")"),0.0)</f>
        <v>0</v>
      </c>
      <c r="AS78" s="55">
        <f>IFERROR(__xludf.DUMMYFUNCTION("IMPORTRANGE(""1jDBw_zRV45g4GHvTxYAqTVyIfEtjeL3BgdcT4LOTyuo"",""2025-26!V3"")"),0.0)</f>
        <v>0</v>
      </c>
      <c r="AT78" s="55">
        <f>IFERROR(__xludf.DUMMYFUNCTION("IMPORTRANGE(""1jDBw_zRV45g4GHvTxYAqTVyIfEtjeL3BgdcT4LOTyuo"",""2025-26!W4"")"),0.0)</f>
        <v>0</v>
      </c>
      <c r="AU78" s="55">
        <f>IFERROR(__xludf.DUMMYFUNCTION("IMPORTRANGE(""1jDBw_zRV45g4GHvTxYAqTVyIfEtjeL3BgdcT4LOTyuo"",""2025-26!W3"")"),0.0)</f>
        <v>0</v>
      </c>
      <c r="AV78" s="58" t="str">
        <f t="shared" si="22"/>
        <v/>
      </c>
      <c r="AW78" s="55">
        <f>IFERROR(__xludf.DUMMYFUNCTION("IMPORTRANGE(""1jDBw_zRV45g4GHvTxYAqTVyIfEtjeL3BgdcT4LOTyuo"",""2025-26!X4"")"),0.0)</f>
        <v>0</v>
      </c>
      <c r="AX78" s="55">
        <f>IFERROR(__xludf.DUMMYFUNCTION("IMPORTRANGE(""1jDBw_zRV45g4GHvTxYAqTVyIfEtjeL3BgdcT4LOTyuo"",""2025-26!X3"")"),0.0)</f>
        <v>0</v>
      </c>
      <c r="AY78" s="55">
        <f>IFERROR(__xludf.DUMMYFUNCTION("IMPORTRANGE(""1jDBw_zRV45g4GHvTxYAqTVyIfEtjeL3BgdcT4LOTyuo"",""2025-26!Y4"")"),0.0)</f>
        <v>0</v>
      </c>
      <c r="AZ78" s="55">
        <f>IFERROR(__xludf.DUMMYFUNCTION("IMPORTRANGE(""1jDBw_zRV45g4GHvTxYAqTVyIfEtjeL3BgdcT4LOTyuo"",""2025-26!Y3"")"),0.0)</f>
        <v>0</v>
      </c>
      <c r="BA78" s="55">
        <f>IFERROR(__xludf.DUMMYFUNCTION("IMPORTRANGE(""1jDBw_zRV45g4GHvTxYAqTVyIfEtjeL3BgdcT4LOTyuo"",""2025-26!Z4"")"),0.0)</f>
        <v>0</v>
      </c>
      <c r="BB78" s="55">
        <f>IFERROR(__xludf.DUMMYFUNCTION("IMPORTRANGE(""1jDBw_zRV45g4GHvTxYAqTVyIfEtjeL3BgdcT4LOTyuo"",""2025-26!Z3"")"),0.0)</f>
        <v>0</v>
      </c>
      <c r="BC78" s="59" t="str">
        <f t="shared" si="23"/>
        <v/>
      </c>
      <c r="BD78" s="55">
        <f>IFERROR(__xludf.DUMMYFUNCTION("IMPORTRANGE(""1jDBw_zRV45g4GHvTxYAqTVyIfEtjeL3BgdcT4LOTyuo"",""2025-26!AA4"")"),0.0)</f>
        <v>0</v>
      </c>
      <c r="BE78" s="55">
        <f>IFERROR(__xludf.DUMMYFUNCTION("IMPORTRANGE(""1jDBw_zRV45g4GHvTxYAqTVyIfEtjeL3BgdcT4LOTyuo"",""2025-26!AA3"")"),0.0)</f>
        <v>0</v>
      </c>
      <c r="BF78" s="55">
        <f>IFERROR(__xludf.DUMMYFUNCTION("IMPORTRANGE(""1jDBw_zRV45g4GHvTxYAqTVyIfEtjeL3BgdcT4LOTyuo"",""2025-26!AB4"")"),0.0)</f>
        <v>0</v>
      </c>
      <c r="BG78" s="55">
        <f>IFERROR(__xludf.DUMMYFUNCTION("IMPORTRANGE(""1jDBw_zRV45g4GHvTxYAqTVyIfEtjeL3BgdcT4LOTyuo"",""2025-26!AB3"")"),0.0)</f>
        <v>0</v>
      </c>
      <c r="BH78" s="55">
        <f>IFERROR(__xludf.DUMMYFUNCTION("IMPORTRANGE(""1jDBw_zRV45g4GHvTxYAqTVyIfEtjeL3BgdcT4LOTyuo"",""2025-26!AC4"")"),0.0)</f>
        <v>0</v>
      </c>
      <c r="BI78" s="55">
        <f>IFERROR(__xludf.DUMMYFUNCTION("IMPORTRANGE(""1jDBw_zRV45g4GHvTxYAqTVyIfEtjeL3BgdcT4LOTyuo"",""2025-26!AC3"")"),0.0)</f>
        <v>0</v>
      </c>
      <c r="BJ78" s="59" t="str">
        <f t="shared" si="24"/>
        <v/>
      </c>
      <c r="BK78" s="55">
        <f>IFERROR(__xludf.DUMMYFUNCTION("IMPORTRANGE(""1jDBw_zRV45g4GHvTxYAqTVyIfEtjeL3BgdcT4LOTyuo"",""2025-26!AD4"")"),0.0)</f>
        <v>0</v>
      </c>
      <c r="BL78" s="55">
        <f>IFERROR(__xludf.DUMMYFUNCTION("IMPORTRANGE(""1jDBw_zRV45g4GHvTxYAqTVyIfEtjeL3BgdcT4LOTyuo"",""2025-26!AD3"")"),0.0)</f>
        <v>0</v>
      </c>
      <c r="BM78" s="55">
        <f>IFERROR(__xludf.DUMMYFUNCTION("IMPORTRANGE(""1jDBw_zRV45g4GHvTxYAqTVyIfEtjeL3BgdcT4LOTyuo"",""2025-26!AE4"")"),0.0)</f>
        <v>0</v>
      </c>
      <c r="BN78" s="55">
        <f>IFERROR(__xludf.DUMMYFUNCTION("IMPORTRANGE(""1jDBw_zRV45g4GHvTxYAqTVyIfEtjeL3BgdcT4LOTyuo"",""2025-26!AE3"")"),0.0)</f>
        <v>0</v>
      </c>
      <c r="BO78" s="55">
        <f>IFERROR(__xludf.DUMMYFUNCTION("IMPORTRANGE(""1jDBw_zRV45g4GHvTxYAqTVyIfEtjeL3BgdcT4LOTyuo"",""2025-26!AF4"")"),0.0)</f>
        <v>0</v>
      </c>
      <c r="BP78" s="55">
        <f>IFERROR(__xludf.DUMMYFUNCTION("IMPORTRANGE(""1jDBw_zRV45g4GHvTxYAqTVyIfEtjeL3BgdcT4LOTyuo"",""2025-26!AF3"")"),0.0)</f>
        <v>0</v>
      </c>
      <c r="BQ78" s="59" t="str">
        <f t="shared" si="25"/>
        <v/>
      </c>
      <c r="BR78" s="55">
        <f>IFERROR(__xludf.DUMMYFUNCTION("IMPORTRANGE(""1jDBw_zRV45g4GHvTxYAqTVyIfEtjeL3BgdcT4LOTyuo"",""2025-26!AG4"")"),0.0)</f>
        <v>0</v>
      </c>
      <c r="BS78" s="55">
        <f>IFERROR(__xludf.DUMMYFUNCTION("IMPORTRANGE(""1jDBw_zRV45g4GHvTxYAqTVyIfEtjeL3BgdcT4LOTyuo"",""2025-26!AG3"")"),0.0)</f>
        <v>0</v>
      </c>
      <c r="BT78" s="55">
        <f>IFERROR(__xludf.DUMMYFUNCTION("IMPORTRANGE(""1jDBw_zRV45g4GHvTxYAqTVyIfEtjeL3BgdcT4LOTyuo"",""2025-26!AH4"")"),0.0)</f>
        <v>0</v>
      </c>
      <c r="BU78" s="55">
        <f>IFERROR(__xludf.DUMMYFUNCTION("IMPORTRANGE(""1jDBw_zRV45g4GHvTxYAqTVyIfEtjeL3BgdcT4LOTyuo"",""2025-26!AH3"")"),0.0)</f>
        <v>0</v>
      </c>
      <c r="BV78" s="55">
        <f>IFERROR(__xludf.DUMMYFUNCTION("IMPORTRANGE(""1jDBw_zRV45g4GHvTxYAqTVyIfEtjeL3BgdcT4LOTyuo"",""2025-26!AI4"")"),52727.52)</f>
        <v>52727.52</v>
      </c>
      <c r="BW78" s="55">
        <f>IFERROR(__xludf.DUMMYFUNCTION("IMPORTRANGE(""1jDBw_zRV45g4GHvTxYAqTVyIfEtjeL3BgdcT4LOTyuo"",""2025-26!AI3"")"),4.0)</f>
        <v>4</v>
      </c>
      <c r="BX78" s="59" t="str">
        <f t="shared" si="26"/>
        <v/>
      </c>
      <c r="BY78" s="55">
        <f>IFERROR(__xludf.DUMMYFUNCTION("IMPORTRANGE(""1jDBw_zRV45g4GHvTxYAqTVyIfEtjeL3BgdcT4LOTyuo"",""2025-26!AJ4"")"),0.0)</f>
        <v>0</v>
      </c>
      <c r="BZ78" s="55">
        <f>IFERROR(__xludf.DUMMYFUNCTION("IMPORTRANGE(""1jDBw_zRV45g4GHvTxYAqTVyIfEtjeL3BgdcT4LOTyuo"",""2025-26!AJ3"")"),0.0)</f>
        <v>0</v>
      </c>
      <c r="CA78" s="55">
        <f>IFERROR(__xludf.DUMMYFUNCTION("IMPORTRANGE(""1jDBw_zRV45g4GHvTxYAqTVyIfEtjeL3BgdcT4LOTyuo"",""2025-26!AK4"")"),55000.0)</f>
        <v>55000</v>
      </c>
      <c r="CB78" s="55">
        <f>IFERROR(__xludf.DUMMYFUNCTION("IMPORTRANGE(""1jDBw_zRV45g4GHvTxYAqTVyIfEtjeL3BgdcT4LOTyuo"",""2025-26!AK3"")"),2.0)</f>
        <v>2</v>
      </c>
      <c r="CC78" s="55">
        <f>IFERROR(__xludf.DUMMYFUNCTION("IMPORTRANGE(""1jDBw_zRV45g4GHvTxYAqTVyIfEtjeL3BgdcT4LOTyuo"",""2025-26!AL4"")"),428479.6400000001)</f>
        <v>428479.64</v>
      </c>
      <c r="CD78" s="55">
        <f>IFERROR(__xludf.DUMMYFUNCTION("IMPORTRANGE(""1jDBw_zRV45g4GHvTxYAqTVyIfEtjeL3BgdcT4LOTyuo"",""2025-26!AL3"")"),15.0)</f>
        <v>15</v>
      </c>
      <c r="CE78" s="59">
        <f t="shared" si="27"/>
        <v>0</v>
      </c>
      <c r="CF78" s="55">
        <f>IFERROR(__xludf.DUMMYFUNCTION("IMPORTRANGE(""1jDBw_zRV45g4GHvTxYAqTVyIfEtjeL3BgdcT4LOTyuo"",""2025-26!AM4"")"),0.0)</f>
        <v>0</v>
      </c>
      <c r="CG78" s="55">
        <f>IFERROR(__xludf.DUMMYFUNCTION("IMPORTRANGE(""1jDBw_zRV45g4GHvTxYAqTVyIfEtjeL3BgdcT4LOTyuo"",""2025-26!AM3"")"),0.0)</f>
        <v>0</v>
      </c>
      <c r="CH78" s="55">
        <f>IFERROR(__xludf.DUMMYFUNCTION("IMPORTRANGE(""1jDBw_zRV45g4GHvTxYAqTVyIfEtjeL3BgdcT4LOTyuo"",""2025-26!AN4"")"),293000.0)</f>
        <v>293000</v>
      </c>
      <c r="CI78" s="55">
        <f>IFERROR(__xludf.DUMMYFUNCTION("IMPORTRANGE(""1jDBw_zRV45g4GHvTxYAqTVyIfEtjeL3BgdcT4LOTyuo"",""2025-26!AN3"")"),13.0)</f>
        <v>13</v>
      </c>
      <c r="CJ78" s="55">
        <f>IFERROR(__xludf.DUMMYFUNCTION("IMPORTRANGE(""1jDBw_zRV45g4GHvTxYAqTVyIfEtjeL3BgdcT4LOTyuo"",""2025-26!AO4"")"),571005.9)</f>
        <v>571005.9</v>
      </c>
      <c r="CK78" s="55">
        <f>IFERROR(__xludf.DUMMYFUNCTION("IMPORTRANGE(""1jDBw_zRV45g4GHvTxYAqTVyIfEtjeL3BgdcT4LOTyuo"",""2025-26!AO3"")"),16.0)</f>
        <v>16</v>
      </c>
      <c r="CL78" s="59">
        <f t="shared" si="28"/>
        <v>0</v>
      </c>
      <c r="CM78" s="55">
        <f>IFERROR(__xludf.DUMMYFUNCTION("IMPORTRANGE(""1jDBw_zRV45g4GHvTxYAqTVyIfEtjeL3BgdcT4LOTyuo"",""2025-26!AP4"")"),0.0)</f>
        <v>0</v>
      </c>
      <c r="CN78" s="55">
        <f>IFERROR(__xludf.DUMMYFUNCTION("IMPORTRANGE(""1jDBw_zRV45g4GHvTxYAqTVyIfEtjeL3BgdcT4LOTyuo"",""2025-26!AP3"")"),0.0)</f>
        <v>0</v>
      </c>
      <c r="CO78" s="55">
        <f>IFERROR(__xludf.DUMMYFUNCTION("IMPORTRANGE(""1jDBw_zRV45g4GHvTxYAqTVyIfEtjeL3BgdcT4LOTyuo"",""2025-26!AQ4"")"),0.0)</f>
        <v>0</v>
      </c>
      <c r="CP78" s="55">
        <f>IFERROR(__xludf.DUMMYFUNCTION("IMPORTRANGE(""1jDBw_zRV45g4GHvTxYAqTVyIfEtjeL3BgdcT4LOTyuo"",""2025-26!AQ3"")"),0.0)</f>
        <v>0</v>
      </c>
      <c r="CQ78" s="55">
        <f>IFERROR(__xludf.DUMMYFUNCTION("IMPORTRANGE(""1jDBw_zRV45g4GHvTxYAqTVyIfEtjeL3BgdcT4LOTyuo"",""2025-26!AR4"")"),304006.88)</f>
        <v>304006.88</v>
      </c>
      <c r="CR78" s="55">
        <f>IFERROR(__xludf.DUMMYFUNCTION("IMPORTRANGE(""1jDBw_zRV45g4GHvTxYAqTVyIfEtjeL3BgdcT4LOTyuo"",""2025-26!AR3"")"),10.0)</f>
        <v>10</v>
      </c>
      <c r="CS78" s="59" t="str">
        <f t="shared" si="29"/>
        <v/>
      </c>
      <c r="CT78" s="55">
        <f>IFERROR(__xludf.DUMMYFUNCTION("IMPORTRANGE(""1jDBw_zRV45g4GHvTxYAqTVyIfEtjeL3BgdcT4LOTyuo"",""2025-26!AS4"")"),0.0)</f>
        <v>0</v>
      </c>
      <c r="CU78" s="55">
        <f>IFERROR(__xludf.DUMMYFUNCTION("IMPORTRANGE(""1jDBw_zRV45g4GHvTxYAqTVyIfEtjeL3BgdcT4LOTyuo"",""2025-26!AS3"")"),0.0)</f>
        <v>0</v>
      </c>
      <c r="CV78" s="60" t="s">
        <v>135</v>
      </c>
    </row>
    <row r="79">
      <c r="A79" s="1" t="s">
        <v>126</v>
      </c>
      <c r="B79" s="43"/>
      <c r="C79" s="64" t="s">
        <v>183</v>
      </c>
      <c r="D79" s="68" t="s">
        <v>184</v>
      </c>
      <c r="E79" s="68">
        <v>7.987037694E9</v>
      </c>
      <c r="F79" s="78">
        <v>46023.0</v>
      </c>
      <c r="G79" s="62"/>
      <c r="H79" s="62"/>
      <c r="I79" s="70">
        <v>36485.0</v>
      </c>
      <c r="J79" s="54">
        <v>1500000.0</v>
      </c>
      <c r="K79" s="55">
        <f>IFERROR(__xludf.DUMMYFUNCTION("IMPORTRANGE(""1PYshLg1OXx1pJptcckl0-wsx1cq1FqXl7CB7pBkMyXw"",""2025-26!A3"")"),38.0)</f>
        <v>38</v>
      </c>
      <c r="L79" s="55">
        <f>IFERROR(__xludf.DUMMYFUNCTION("IMPORTRANGE(""1PYshLg1OXx1pJptcckl0-wsx1cq1FqXl7CB7pBkMyXw"",""2025-26!G4"")"),0.0)</f>
        <v>0</v>
      </c>
      <c r="M79" s="55">
        <f t="shared" si="47"/>
        <v>823085.16</v>
      </c>
      <c r="N79" s="56" t="str">
        <f t="shared" si="48"/>
        <v>#DIV/0!</v>
      </c>
      <c r="O79" s="57">
        <f t="shared" si="49"/>
        <v>822330</v>
      </c>
      <c r="P79" s="55">
        <f>IFERROR(__xludf.DUMMYFUNCTION("IMPORTRANGE(""1PYshLg1OXx1pJptcckl0-wsx1cq1FqXl7CB7pBkMyXw"",""2025-26!J4"")"),0.0)</f>
        <v>0</v>
      </c>
      <c r="Q79" s="55">
        <f>IFERROR(__xludf.DUMMYFUNCTION("IMPORTRANGE(""1PYshLg1OXx1pJptcckl0-wsx1cq1FqXl7CB7pBkMyXw"",""2025-26!J3"")"),0.0)</f>
        <v>0</v>
      </c>
      <c r="R79" s="55">
        <f>IFERROR(__xludf.DUMMYFUNCTION("IMPORTRANGE(""1PYshLg1OXx1pJptcckl0-wsx1cq1FqXl7CB7pBkMyXw"",""2025-26!K4"")"),0.0)</f>
        <v>0</v>
      </c>
      <c r="S79" s="55">
        <f>IFERROR(__xludf.DUMMYFUNCTION("IMPORTRANGE(""1PYshLg1OXx1pJptcckl0-wsx1cq1FqXl7CB7pBkMyXw"",""2025-26!K3"")"),0.0)</f>
        <v>0</v>
      </c>
      <c r="T79" s="58" t="str">
        <f t="shared" si="18"/>
        <v/>
      </c>
      <c r="U79" s="55">
        <f>IFERROR(__xludf.DUMMYFUNCTION("IMPORTRANGE(""1PYshLg1OXx1pJptcckl0-wsx1cq1FqXl7CB7pBkMyXw"",""2025-26!L4"")"),0.0)</f>
        <v>0</v>
      </c>
      <c r="V79" s="55">
        <f>IFERROR(__xludf.DUMMYFUNCTION("IMPORTRANGE(""1PYshLg1OXx1pJptcckl0-wsx1cq1FqXl7CB7pBkMyXw"",""2025-26!L3"")"),0.0)</f>
        <v>0</v>
      </c>
      <c r="W79" s="55">
        <f>IFERROR(__xludf.DUMMYFUNCTION("IMPORTRANGE(""1PYshLg1OXx1pJptcckl0-wsx1cq1FqXl7CB7pBkMyXw"",""2025-26!m4"")"),0.0)</f>
        <v>0</v>
      </c>
      <c r="X79" s="55">
        <f>IFERROR(__xludf.DUMMYFUNCTION("IMPORTRANGE(""1PYshLg1OXx1pJptcckl0-wsx1cq1FqXl7CB7pBkMyXw"",""2025-26!m3"")"),0.0)</f>
        <v>0</v>
      </c>
      <c r="Y79" s="55">
        <f>IFERROR(__xludf.DUMMYFUNCTION("IMPORTRANGE(""1PYshLg1OXx1pJptcckl0-wsx1cq1FqXl7CB7pBkMyXw"",""2025-26!N4"")"),0.0)</f>
        <v>0</v>
      </c>
      <c r="Z79" s="55">
        <f>IFERROR(__xludf.DUMMYFUNCTION("IMPORTRANGE(""1PYshLg1OXx1pJptcckl0-wsx1cq1FqXl7CB7pBkMyXw"",""2025-26!N3"")"),0.0)</f>
        <v>0</v>
      </c>
      <c r="AA79" s="58" t="str">
        <f t="shared" si="19"/>
        <v/>
      </c>
      <c r="AB79" s="55">
        <f>IFERROR(__xludf.DUMMYFUNCTION("IMPORTRANGE(""1PYshLg1OXx1pJptcckl0-wsx1cq1FqXl7CB7pBkMyXw"",""2025-26!O4"")"),0.0)</f>
        <v>0</v>
      </c>
      <c r="AC79" s="55">
        <f>IFERROR(__xludf.DUMMYFUNCTION("IMPORTRANGE(""1PYshLg1OXx1pJptcckl0-wsx1cq1FqXl7CB7pBkMyXw"",""2025-26!O3"")"),0.0)</f>
        <v>0</v>
      </c>
      <c r="AD79" s="55">
        <f>IFERROR(__xludf.DUMMYFUNCTION("IMPORTRANGE(""1PYshLg1OXx1pJptcckl0-wsx1cq1FqXl7CB7pBkMyXw"",""2025-26!P4"")"),0.0)</f>
        <v>0</v>
      </c>
      <c r="AE79" s="55">
        <f>IFERROR(__xludf.DUMMYFUNCTION("IMPORTRANGE(""1PYshLg1OXx1pJptcckl0-wsx1cq1FqXl7CB7pBkMyXw"",""2025-26!P3"")"),0.0)</f>
        <v>0</v>
      </c>
      <c r="AF79" s="55">
        <f>IFERROR(__xludf.DUMMYFUNCTION("IMPORTRANGE(""1PYshLg1OXx1pJptcckl0-wsx1cq1FqXl7CB7pBkMyXw"",""2025-26!Q4"")"),0.0)</f>
        <v>0</v>
      </c>
      <c r="AG79" s="55">
        <f>IFERROR(__xludf.DUMMYFUNCTION("IMPORTRANGE(""1PYshLg1OXx1pJptcckl0-wsx1cq1FqXl7CB7pBkMyXw"",""2025-26!Q3"")"),0.0)</f>
        <v>0</v>
      </c>
      <c r="AH79" s="58" t="str">
        <f t="shared" si="20"/>
        <v/>
      </c>
      <c r="AI79" s="55">
        <f>IFERROR(__xludf.DUMMYFUNCTION("IMPORTRANGE(""1PYshLg1OXx1pJptcckl0-wsx1cq1FqXl7CB7pBkMyXw"",""2025-26!R4"")"),0.0)</f>
        <v>0</v>
      </c>
      <c r="AJ79" s="55">
        <f>IFERROR(__xludf.DUMMYFUNCTION("IMPORTRANGE(""1PYshLg1OXx1pJptcckl0-wsx1cq1FqXl7CB7pBkMyXw"",""2025-26!R3"")"),0.0)</f>
        <v>0</v>
      </c>
      <c r="AK79" s="55">
        <f>IFERROR(__xludf.DUMMYFUNCTION("IMPORTRANGE(""1PYshLg1OXx1pJptcckl0-wsx1cq1FqXl7CB7pBkMyXw"",""2025-26!S4"")"),0.0)</f>
        <v>0</v>
      </c>
      <c r="AL79" s="55">
        <f>IFERROR(__xludf.DUMMYFUNCTION("IMPORTRANGE(""1PYshLg1OXx1pJptcckl0-wsx1cq1FqXl7CB7pBkMyXw"",""2025-26!S3"")"),0.0)</f>
        <v>0</v>
      </c>
      <c r="AM79" s="55">
        <f>IFERROR(__xludf.DUMMYFUNCTION("IMPORTRANGE(""1PYshLg1OXx1pJptcckl0-wsx1cq1FqXl7CB7pBkMyXw"",""2025-26!T4"")"),0.0)</f>
        <v>0</v>
      </c>
      <c r="AN79" s="55">
        <f>IFERROR(__xludf.DUMMYFUNCTION("IMPORTRANGE(""1PYshLg1OXx1pJptcckl0-wsx1cq1FqXl7CB7pBkMyXw"",""2025-26!T3"")"),0.0)</f>
        <v>0</v>
      </c>
      <c r="AO79" s="58" t="str">
        <f t="shared" si="21"/>
        <v/>
      </c>
      <c r="AP79" s="55">
        <f>IFERROR(__xludf.DUMMYFUNCTION("IMPORTRANGE(""1PYshLg1OXx1pJptcckl0-wsx1cq1FqXl7CB7pBkMyXw"",""2025-26!U4"")"),0.0)</f>
        <v>0</v>
      </c>
      <c r="AQ79" s="55">
        <f>IFERROR(__xludf.DUMMYFUNCTION("IMPORTRANGE(""1PYshLg1OXx1pJptcckl0-wsx1cq1FqXl7CB7pBkMyXw"",""2025-26!U3"")"),0.0)</f>
        <v>0</v>
      </c>
      <c r="AR79" s="55">
        <f>IFERROR(__xludf.DUMMYFUNCTION("IMPORTRANGE(""1PYshLg1OXx1pJptcckl0-wsx1cq1FqXl7CB7pBkMyXw"",""2025-26!V4"")"),0.0)</f>
        <v>0</v>
      </c>
      <c r="AS79" s="55">
        <f>IFERROR(__xludf.DUMMYFUNCTION("IMPORTRANGE(""1PYshLg1OXx1pJptcckl0-wsx1cq1FqXl7CB7pBkMyXw"",""2025-26!V3"")"),0.0)</f>
        <v>0</v>
      </c>
      <c r="AT79" s="55">
        <f>IFERROR(__xludf.DUMMYFUNCTION("IMPORTRANGE(""1PYshLg1OXx1pJptcckl0-wsx1cq1FqXl7CB7pBkMyXw"",""2025-26!W4"")"),0.0)</f>
        <v>0</v>
      </c>
      <c r="AU79" s="55">
        <f>IFERROR(__xludf.DUMMYFUNCTION("IMPORTRANGE(""1PYshLg1OXx1pJptcckl0-wsx1cq1FqXl7CB7pBkMyXw"",""2025-26!W3"")"),0.0)</f>
        <v>0</v>
      </c>
      <c r="AV79" s="58" t="str">
        <f t="shared" si="22"/>
        <v/>
      </c>
      <c r="AW79" s="55">
        <f>IFERROR(__xludf.DUMMYFUNCTION("IMPORTRANGE(""1PYshLg1OXx1pJptcckl0-wsx1cq1FqXl7CB7pBkMyXw"",""2025-26!X4"")"),0.0)</f>
        <v>0</v>
      </c>
      <c r="AX79" s="55">
        <f>IFERROR(__xludf.DUMMYFUNCTION("IMPORTRANGE(""1PYshLg1OXx1pJptcckl0-wsx1cq1FqXl7CB7pBkMyXw"",""2025-26!X3"")"),0.0)</f>
        <v>0</v>
      </c>
      <c r="AY79" s="55">
        <f>IFERROR(__xludf.DUMMYFUNCTION("IMPORTRANGE(""1PYshLg1OXx1pJptcckl0-wsx1cq1FqXl7CB7pBkMyXw"",""2025-26!Y4"")"),0.0)</f>
        <v>0</v>
      </c>
      <c r="AZ79" s="55">
        <f>IFERROR(__xludf.DUMMYFUNCTION("IMPORTRANGE(""1PYshLg1OXx1pJptcckl0-wsx1cq1FqXl7CB7pBkMyXw"",""2025-26!Y3"")"),0.0)</f>
        <v>0</v>
      </c>
      <c r="BA79" s="55">
        <f>IFERROR(__xludf.DUMMYFUNCTION("IMPORTRANGE(""1PYshLg1OXx1pJptcckl0-wsx1cq1FqXl7CB7pBkMyXw"",""2025-26!Z4"")"),0.0)</f>
        <v>0</v>
      </c>
      <c r="BB79" s="55">
        <f>IFERROR(__xludf.DUMMYFUNCTION("IMPORTRANGE(""1PYshLg1OXx1pJptcckl0-wsx1cq1FqXl7CB7pBkMyXw"",""2025-26!Z3"")"),0.0)</f>
        <v>0</v>
      </c>
      <c r="BC79" s="59" t="str">
        <f t="shared" si="23"/>
        <v/>
      </c>
      <c r="BD79" s="55">
        <f>IFERROR(__xludf.DUMMYFUNCTION("IMPORTRANGE(""1PYshLg1OXx1pJptcckl0-wsx1cq1FqXl7CB7pBkMyXw"",""2025-26!AA4"")"),0.0)</f>
        <v>0</v>
      </c>
      <c r="BE79" s="55">
        <f>IFERROR(__xludf.DUMMYFUNCTION("IMPORTRANGE(""1PYshLg1OXx1pJptcckl0-wsx1cq1FqXl7CB7pBkMyXw"",""2025-26!AA3"")"),0.0)</f>
        <v>0</v>
      </c>
      <c r="BF79" s="55">
        <f>IFERROR(__xludf.DUMMYFUNCTION("IMPORTRANGE(""1PYshLg1OXx1pJptcckl0-wsx1cq1FqXl7CB7pBkMyXw"",""2025-26!AB4"")"),0.0)</f>
        <v>0</v>
      </c>
      <c r="BG79" s="55">
        <f>IFERROR(__xludf.DUMMYFUNCTION("IMPORTRANGE(""1PYshLg1OXx1pJptcckl0-wsx1cq1FqXl7CB7pBkMyXw"",""2025-26!AB3"")"),0.0)</f>
        <v>0</v>
      </c>
      <c r="BH79" s="55">
        <f>IFERROR(__xludf.DUMMYFUNCTION("IMPORTRANGE(""1PYshLg1OXx1pJptcckl0-wsx1cq1FqXl7CB7pBkMyXw"",""2025-26!AC4"")"),0.0)</f>
        <v>0</v>
      </c>
      <c r="BI79" s="55">
        <f>IFERROR(__xludf.DUMMYFUNCTION("IMPORTRANGE(""1PYshLg1OXx1pJptcckl0-wsx1cq1FqXl7CB7pBkMyXw"",""2025-26!AC3"")"),0.0)</f>
        <v>0</v>
      </c>
      <c r="BJ79" s="59" t="str">
        <f t="shared" si="24"/>
        <v/>
      </c>
      <c r="BK79" s="55">
        <f>IFERROR(__xludf.DUMMYFUNCTION("IMPORTRANGE(""1PYshLg1OXx1pJptcckl0-wsx1cq1FqXl7CB7pBkMyXw"",""2025-26!AD4"")"),0.0)</f>
        <v>0</v>
      </c>
      <c r="BL79" s="55">
        <f>IFERROR(__xludf.DUMMYFUNCTION("IMPORTRANGE(""1PYshLg1OXx1pJptcckl0-wsx1cq1FqXl7CB7pBkMyXw"",""2025-26!AD3"")"),0.0)</f>
        <v>0</v>
      </c>
      <c r="BM79" s="55">
        <f>IFERROR(__xludf.DUMMYFUNCTION("IMPORTRANGE(""1PYshLg1OXx1pJptcckl0-wsx1cq1FqXl7CB7pBkMyXw"",""2025-26!AE4"")"),0.0)</f>
        <v>0</v>
      </c>
      <c r="BN79" s="55">
        <f>IFERROR(__xludf.DUMMYFUNCTION("IMPORTRANGE(""1PYshLg1OXx1pJptcckl0-wsx1cq1FqXl7CB7pBkMyXw"",""2025-26!AE3"")"),0.0)</f>
        <v>0</v>
      </c>
      <c r="BO79" s="55">
        <f>IFERROR(__xludf.DUMMYFUNCTION("IMPORTRANGE(""1PYshLg1OXx1pJptcckl0-wsx1cq1FqXl7CB7pBkMyXw"",""2025-26!AF4"")"),0.0)</f>
        <v>0</v>
      </c>
      <c r="BP79" s="55">
        <f>IFERROR(__xludf.DUMMYFUNCTION("IMPORTRANGE(""1PYshLg1OXx1pJptcckl0-wsx1cq1FqXl7CB7pBkMyXw"",""2025-26!AF3"")"),0.0)</f>
        <v>0</v>
      </c>
      <c r="BQ79" s="59" t="str">
        <f t="shared" si="25"/>
        <v/>
      </c>
      <c r="BR79" s="55">
        <f>IFERROR(__xludf.DUMMYFUNCTION("IMPORTRANGE(""1PYshLg1OXx1pJptcckl0-wsx1cq1FqXl7CB7pBkMyXw"",""2025-26!AG4"")"),0.0)</f>
        <v>0</v>
      </c>
      <c r="BS79" s="55">
        <f>IFERROR(__xludf.DUMMYFUNCTION("IMPORTRANGE(""1PYshLg1OXx1pJptcckl0-wsx1cq1FqXl7CB7pBkMyXw"",""2025-26!AG3"")"),0.0)</f>
        <v>0</v>
      </c>
      <c r="BT79" s="55">
        <f>IFERROR(__xludf.DUMMYFUNCTION("IMPORTRANGE(""1PYshLg1OXx1pJptcckl0-wsx1cq1FqXl7CB7pBkMyXw"",""2025-26!AH4"")"),0.0)</f>
        <v>0</v>
      </c>
      <c r="BU79" s="55">
        <f>IFERROR(__xludf.DUMMYFUNCTION("IMPORTRANGE(""1PYshLg1OXx1pJptcckl0-wsx1cq1FqXl7CB7pBkMyXw"",""2025-26!AH3"")"),0.0)</f>
        <v>0</v>
      </c>
      <c r="BV79" s="55">
        <f>IFERROR(__xludf.DUMMYFUNCTION("IMPORTRANGE(""1PYshLg1OXx1pJptcckl0-wsx1cq1FqXl7CB7pBkMyXw"",""2025-26!AI4"")"),0.0)</f>
        <v>0</v>
      </c>
      <c r="BW79" s="55">
        <f>IFERROR(__xludf.DUMMYFUNCTION("IMPORTRANGE(""1PYshLg1OXx1pJptcckl0-wsx1cq1FqXl7CB7pBkMyXw"",""2025-26!AI3"")"),0.0)</f>
        <v>0</v>
      </c>
      <c r="BX79" s="59" t="str">
        <f t="shared" si="26"/>
        <v/>
      </c>
      <c r="BY79" s="55">
        <f>IFERROR(__xludf.DUMMYFUNCTION("IMPORTRANGE(""1PYshLg1OXx1pJptcckl0-wsx1cq1FqXl7CB7pBkMyXw"",""2025-26!AJ4"")"),175310.0)</f>
        <v>175310</v>
      </c>
      <c r="BZ79" s="55">
        <f>IFERROR(__xludf.DUMMYFUNCTION("IMPORTRANGE(""1PYshLg1OXx1pJptcckl0-wsx1cq1FqXl7CB7pBkMyXw"",""2025-26!AJ3"")"),6.0)</f>
        <v>6</v>
      </c>
      <c r="CA79" s="55">
        <f>IFERROR(__xludf.DUMMYFUNCTION("IMPORTRANGE(""1PYshLg1OXx1pJptcckl0-wsx1cq1FqXl7CB7pBkMyXw"",""2025-26!AK4"")"),0.0)</f>
        <v>0</v>
      </c>
      <c r="CB79" s="55">
        <f>IFERROR(__xludf.DUMMYFUNCTION("IMPORTRANGE(""1PYshLg1OXx1pJptcckl0-wsx1cq1FqXl7CB7pBkMyXw"",""2025-26!AK3"")"),0.0)</f>
        <v>0</v>
      </c>
      <c r="CC79" s="55">
        <f>IFERROR(__xludf.DUMMYFUNCTION("IMPORTRANGE(""1PYshLg1OXx1pJptcckl0-wsx1cq1FqXl7CB7pBkMyXw"",""2025-26!AL4"")"),192310.41)</f>
        <v>192310.41</v>
      </c>
      <c r="CD79" s="55">
        <f>IFERROR(__xludf.DUMMYFUNCTION("IMPORTRANGE(""1PYshLg1OXx1pJptcckl0-wsx1cq1FqXl7CB7pBkMyXw"",""2025-26!AL3"")"),5.0)</f>
        <v>5</v>
      </c>
      <c r="CE79" s="59" t="str">
        <f t="shared" si="27"/>
        <v/>
      </c>
      <c r="CF79" s="55">
        <f>IFERROR(__xludf.DUMMYFUNCTION("IMPORTRANGE(""1PYshLg1OXx1pJptcckl0-wsx1cq1FqXl7CB7pBkMyXw"",""2025-26!AM4"")"),174622.0)</f>
        <v>174622</v>
      </c>
      <c r="CG79" s="55">
        <f>IFERROR(__xludf.DUMMYFUNCTION("IMPORTRANGE(""1PYshLg1OXx1pJptcckl0-wsx1cq1FqXl7CB7pBkMyXw"",""2025-26!AM3"")"),10.0)</f>
        <v>10</v>
      </c>
      <c r="CH79" s="55">
        <f>IFERROR(__xludf.DUMMYFUNCTION("IMPORTRANGE(""1PYshLg1OXx1pJptcckl0-wsx1cq1FqXl7CB7pBkMyXw"",""2025-26!AN4"")"),0.0)</f>
        <v>0</v>
      </c>
      <c r="CI79" s="55">
        <f>IFERROR(__xludf.DUMMYFUNCTION("IMPORTRANGE(""1PYshLg1OXx1pJptcckl0-wsx1cq1FqXl7CB7pBkMyXw"",""2025-26!AN3"")"),0.0)</f>
        <v>0</v>
      </c>
      <c r="CJ79" s="55">
        <f>IFERROR(__xludf.DUMMYFUNCTION("IMPORTRANGE(""1PYshLg1OXx1pJptcckl0-wsx1cq1FqXl7CB7pBkMyXw"",""2025-26!AO4"")"),333151.12)</f>
        <v>333151.12</v>
      </c>
      <c r="CK79" s="55">
        <f>IFERROR(__xludf.DUMMYFUNCTION("IMPORTRANGE(""1PYshLg1OXx1pJptcckl0-wsx1cq1FqXl7CB7pBkMyXw"",""2025-26!AO3"")"),13.0)</f>
        <v>13</v>
      </c>
      <c r="CL79" s="59" t="str">
        <f t="shared" si="28"/>
        <v/>
      </c>
      <c r="CM79" s="55">
        <f>IFERROR(__xludf.DUMMYFUNCTION("IMPORTRANGE(""1PYshLg1OXx1pJptcckl0-wsx1cq1FqXl7CB7pBkMyXw"",""2025-26!AP4"")"),236199.0)</f>
        <v>236199</v>
      </c>
      <c r="CN79" s="55">
        <f>IFERROR(__xludf.DUMMYFUNCTION("IMPORTRANGE(""1PYshLg1OXx1pJptcckl0-wsx1cq1FqXl7CB7pBkMyXw"",""2025-26!AP3"")"),10.0)</f>
        <v>10</v>
      </c>
      <c r="CO79" s="55">
        <f>IFERROR(__xludf.DUMMYFUNCTION("IMPORTRANGE(""1PYshLg1OXx1pJptcckl0-wsx1cq1FqXl7CB7pBkMyXw"",""2025-26!AQ4"")"),0.0)</f>
        <v>0</v>
      </c>
      <c r="CP79" s="55">
        <f>IFERROR(__xludf.DUMMYFUNCTION("IMPORTRANGE(""1PYshLg1OXx1pJptcckl0-wsx1cq1FqXl7CB7pBkMyXw"",""2025-26!AQ3"")"),0.0)</f>
        <v>0</v>
      </c>
      <c r="CQ79" s="55">
        <f>IFERROR(__xludf.DUMMYFUNCTION("IMPORTRANGE(""1PYshLg1OXx1pJptcckl0-wsx1cq1FqXl7CB7pBkMyXw"",""2025-26!AR4"")"),297623.63)</f>
        <v>297623.63</v>
      </c>
      <c r="CR79" s="55">
        <f>IFERROR(__xludf.DUMMYFUNCTION("IMPORTRANGE(""1PYshLg1OXx1pJptcckl0-wsx1cq1FqXl7CB7pBkMyXw"",""2025-26!AR3"")"),12.0)</f>
        <v>12</v>
      </c>
      <c r="CS79" s="59" t="str">
        <f t="shared" si="29"/>
        <v/>
      </c>
      <c r="CT79" s="55">
        <f>IFERROR(__xludf.DUMMYFUNCTION("IMPORTRANGE(""1PYshLg1OXx1pJptcckl0-wsx1cq1FqXl7CB7pBkMyXw"",""2025-26!AS4"")"),236199.0)</f>
        <v>236199</v>
      </c>
      <c r="CU79" s="55">
        <f>IFERROR(__xludf.DUMMYFUNCTION("IMPORTRANGE(""1PYshLg1OXx1pJptcckl0-wsx1cq1FqXl7CB7pBkMyXw"",""2025-26!AS3"")"),10.0)</f>
        <v>10</v>
      </c>
      <c r="CV79" s="60" t="s">
        <v>135</v>
      </c>
    </row>
    <row r="80">
      <c r="A80" s="1" t="s">
        <v>185</v>
      </c>
      <c r="B80" s="102" t="s">
        <v>185</v>
      </c>
      <c r="C80" s="64" t="s">
        <v>186</v>
      </c>
      <c r="D80" s="50" t="s">
        <v>187</v>
      </c>
      <c r="E80" s="50">
        <v>9.332151493E9</v>
      </c>
      <c r="F80" s="74">
        <v>39859.0</v>
      </c>
      <c r="G80" s="62"/>
      <c r="H80" s="62"/>
      <c r="I80" s="53">
        <v>65167.0</v>
      </c>
      <c r="J80" s="54" t="s">
        <v>188</v>
      </c>
      <c r="K80" s="57">
        <f>IFERROR(__xludf.DUMMYFUNCTION("IMPORTRANGE(""1FWoCAr1C7ZSb0vw1vvaBhsS73XL8YWHN3CvvtZ3LLKE"",""2025-26!A3"")"),187.0)</f>
        <v>187</v>
      </c>
      <c r="L80" s="57">
        <f>IFERROR(__xludf.DUMMYFUNCTION("IMPORTRANGE(""1FWoCAr1C7ZSb0vw1vvaBhsS73XL8YWHN3CvvtZ3LLKE"",""2025-26!G4"")"),0.0)</f>
        <v>0</v>
      </c>
      <c r="M80" s="57">
        <f t="shared" ref="M80:M154" si="50">SUM(R80+Y80+AF80+AM80+AT80+BA80+BH80+BO80+BV80+CC80+CJ80+CQ80)</f>
        <v>1199546</v>
      </c>
      <c r="N80" s="56" t="str">
        <f t="shared" ref="N80:N154" si="51">iferror(O80/L80,"")</f>
        <v/>
      </c>
      <c r="O80" s="57">
        <f t="shared" ref="O80:O154" si="52">SUM(U80,AB80,AI80,AP80,AW80,BD80,BK80,BR80,BY80,CF80,CM80,CT80)</f>
        <v>0</v>
      </c>
      <c r="P80" s="55">
        <f>IFERROR(__xludf.DUMMYFUNCTION("IMPORTRANGE(""1FWoCAr1C7ZSb0vw1vvaBhsS73XL8YWHN3CvvtZ3LLKE"",""2025-26!J4"")"),0.0)</f>
        <v>0</v>
      </c>
      <c r="Q80" s="55">
        <f>IFERROR(__xludf.DUMMYFUNCTION("IMPORTRANGE(""1FWoCAr1C7ZSb0vw1vvaBhsS73XL8YWHN3CvvtZ3LLKE"",""2025-26!J3"")"),0.0)</f>
        <v>0</v>
      </c>
      <c r="R80" s="55">
        <f>IFERROR(__xludf.DUMMYFUNCTION("IMPORTRANGE(""1FWoCAr1C7ZSb0vw1vvaBhsS73XL8YWHN3CvvtZ3LLKE"",""2025-26!K4"")"),1023804.8999999999)</f>
        <v>1023804.9</v>
      </c>
      <c r="S80" s="55">
        <f>IFERROR(__xludf.DUMMYFUNCTION("IMPORTRANGE(""1FWoCAr1C7ZSb0vw1vvaBhsS73XL8YWHN3CvvtZ3LLKE"",""2025-26!K3"")"),11.0)</f>
        <v>11</v>
      </c>
      <c r="T80" s="58" t="str">
        <f t="shared" si="18"/>
        <v/>
      </c>
      <c r="U80" s="55">
        <f>IFERROR(__xludf.DUMMYFUNCTION("IMPORTRANGE(""1FWoCAr1C7ZSb0vw1vvaBhsS73XL8YWHN3CvvtZ3LLKE"",""2025-26!L4"")"),0.0)</f>
        <v>0</v>
      </c>
      <c r="V80" s="79">
        <f>IFERROR(__xludf.DUMMYFUNCTION("IMPORTRANGE(""1FWoCAr1C7ZSb0vw1vvaBhsS73XL8YWHN3CvvtZ3LLKE"",""2025-26!L3"")"),0.0)</f>
        <v>0</v>
      </c>
      <c r="W80" s="55">
        <f>IFERROR(__xludf.DUMMYFUNCTION("IMPORTRANGE(""1FWoCAr1C7ZSb0vw1vvaBhsS73XL8YWHN3CvvtZ3LLKE"",""2025-26!M4"")"),0.0)</f>
        <v>0</v>
      </c>
      <c r="X80" s="79">
        <f>IFERROR(__xludf.DUMMYFUNCTION("IMPORTRANGE(""1FWoCAr1C7ZSb0vw1vvaBhsS73XL8YWHN3CvvtZ3LLKE"",""2025-26!M3"")"),0.0)</f>
        <v>0</v>
      </c>
      <c r="Y80" s="55">
        <f>IFERROR(__xludf.DUMMYFUNCTION("importrange(""1FWoCAr1C7ZSb0vw1vvaBhsS73XL8YWHN3CvvtZ3LLKE"",""2025-26!n4"")"),175741.09999999998)</f>
        <v>175741.1</v>
      </c>
      <c r="Z80" s="55">
        <f>IFERROR(__xludf.DUMMYFUNCTION("importrange(""1FWoCAr1C7ZSb0vw1vvaBhsS73XL8YWHN3CvvtZ3LLKE"",""2025-26!n3"")"),5.0)</f>
        <v>5</v>
      </c>
      <c r="AA80" s="58" t="str">
        <f t="shared" si="19"/>
        <v/>
      </c>
      <c r="AB80" s="55">
        <f>IFERROR(__xludf.DUMMYFUNCTION("importrange(""1FWoCAr1C7ZSb0vw1vvaBhsS73XL8YWHN3CvvtZ3LLKE"",""2025-26!o4"")"),0.0)</f>
        <v>0</v>
      </c>
      <c r="AC80" s="55">
        <f>IFERROR(__xludf.DUMMYFUNCTION("importrange(""1FWoCAr1C7ZSb0vw1vvaBhsS73XL8YWHN3CvvtZ3LLKE"",""2025-26!o3"")"),0.0)</f>
        <v>0</v>
      </c>
      <c r="AD80" s="55">
        <f>IFERROR(__xludf.DUMMYFUNCTION("importrange(""1FWoCAr1C7ZSb0vw1vvaBhsS73XL8YWHN3CvvtZ3LLKE"",""2025-26!p4"")"),0.0)</f>
        <v>0</v>
      </c>
      <c r="AE80" s="55">
        <f>IFERROR(__xludf.DUMMYFUNCTION("importrange(""1FWoCAr1C7ZSb0vw1vvaBhsS73XL8YWHN3CvvtZ3LLKE"",""2025-26!p3"")"),0.0)</f>
        <v>0</v>
      </c>
      <c r="AF80" s="55">
        <f>IFERROR(__xludf.DUMMYFUNCTION("importrange(""1FWoCAr1C7ZSb0vw1vvaBhsS73XL8YWHN3CvvtZ3LLKE"",""2025-26!q4"")"),0.0)</f>
        <v>0</v>
      </c>
      <c r="AG80" s="55">
        <f>IFERROR(__xludf.DUMMYFUNCTION("importrange(""1FWoCAr1C7ZSb0vw1vvaBhsS73XL8YWHN3CvvtZ3LLKE"",""2025-26!q3"")"),0.0)</f>
        <v>0</v>
      </c>
      <c r="AH80" s="58" t="str">
        <f t="shared" si="20"/>
        <v/>
      </c>
      <c r="AI80" s="55">
        <f>IFERROR(__xludf.DUMMYFUNCTION("importrange(""1FWoCAr1C7ZSb0vw1vvaBhsS73XL8YWHN3CvvtZ3LLKE"",""2025-26!r4"")"),0.0)</f>
        <v>0</v>
      </c>
      <c r="AJ80" s="55">
        <f>IFERROR(__xludf.DUMMYFUNCTION("importrange(""1FWoCAr1C7ZSb0vw1vvaBhsS73XL8YWHN3CvvtZ3LLKE"",""2025-26!r3"")"),0.0)</f>
        <v>0</v>
      </c>
      <c r="AK80" s="55">
        <f>IFERROR(__xludf.DUMMYFUNCTION("importrange(""1FWoCAr1C7ZSb0vw1vvaBhsS73XL8YWHN3CvvtZ3LLKE"",""2025-26!s4"")"),0.0)</f>
        <v>0</v>
      </c>
      <c r="AL80" s="55">
        <f>IFERROR(__xludf.DUMMYFUNCTION("importrange(""1FWoCAr1C7ZSb0vw1vvaBhsS73XL8YWHN3CvvtZ3LLKE"",""2025-26!s3"")"),0.0)</f>
        <v>0</v>
      </c>
      <c r="AM80" s="57">
        <f>IFERROR(__xludf.DUMMYFUNCTION("importrange(""1FWoCAr1C7ZSb0vw1vvaBhsS73XL8YWHN3CvvtZ3LLKE"",""2025-26!t4"")"),0.0)</f>
        <v>0</v>
      </c>
      <c r="AN80" s="55">
        <f>IFERROR(__xludf.DUMMYFUNCTION("importrange(""1FWoCAr1C7ZSb0vw1vvaBhsS73XL8YWHN3CvvtZ3LLKE"",""2025-26!t3"")"),0.0)</f>
        <v>0</v>
      </c>
      <c r="AO80" s="58" t="str">
        <f t="shared" si="21"/>
        <v/>
      </c>
      <c r="AP80" s="55">
        <f>IFERROR(__xludf.DUMMYFUNCTION("importrange(""1FWoCAr1C7ZSb0vw1vvaBhsS73XL8YWHN3CvvtZ3LLKE"",""2025-26!u4"")"),0.0)</f>
        <v>0</v>
      </c>
      <c r="AQ80" s="55">
        <f>IFERROR(__xludf.DUMMYFUNCTION("importrange(""1FWoCAr1C7ZSb0vw1vvaBhsS73XL8YWHN3CvvtZ3LLKE"",""2025-26!u3"")"),0.0)</f>
        <v>0</v>
      </c>
      <c r="AR80" s="55">
        <f>IFERROR(__xludf.DUMMYFUNCTION("importrange(""1FWoCAr1C7ZSb0vw1vvaBhsS73XL8YWHN3CvvtZ3LLKE"",""2025-26!v4"")"),0.0)</f>
        <v>0</v>
      </c>
      <c r="AS80" s="55">
        <f>IFERROR(__xludf.DUMMYFUNCTION("importrange(""1FWoCAr1C7ZSb0vw1vvaBhsS73XL8YWHN3CvvtZ3LLKE"",""2025-26!v3"")"),0.0)</f>
        <v>0</v>
      </c>
      <c r="AT80" s="57">
        <f>IFERROR(__xludf.DUMMYFUNCTION("importrange(""1FWoCAr1C7ZSb0vw1vvaBhsS73XL8YWHN3CvvtZ3LLKE"",""2025-26!w4"")"),0.0)</f>
        <v>0</v>
      </c>
      <c r="AU80" s="55">
        <f>IFERROR(__xludf.DUMMYFUNCTION("importrange(""1FWoCAr1C7ZSb0vw1vvaBhsS73XL8YWHN3CvvtZ3LLKE"",""2025-26!w3"")"),0.0)</f>
        <v>0</v>
      </c>
      <c r="AV80" s="58" t="str">
        <f t="shared" si="22"/>
        <v/>
      </c>
      <c r="AW80" s="55">
        <f>IFERROR(__xludf.DUMMYFUNCTION("importrange(""1FWoCAr1C7ZSb0vw1vvaBhsS73XL8YWHN3CvvtZ3LLKE"",""2025-26!x4"")"),0.0)</f>
        <v>0</v>
      </c>
      <c r="AX80" s="55">
        <f>IFERROR(__xludf.DUMMYFUNCTION("importrange(""1FWoCAr1C7ZSb0vw1vvaBhsS73XL8YWHN3CvvtZ3LLKE"",""2025-26!x3"")"),0.0)</f>
        <v>0</v>
      </c>
      <c r="AY80" s="55">
        <f>IFERROR(__xludf.DUMMYFUNCTION("importrange(""1FWoCAr1C7ZSb0vw1vvaBhsS73XL8YWHN3CvvtZ3LLKE"",""2025-26!y4"")"),0.0)</f>
        <v>0</v>
      </c>
      <c r="AZ80" s="55">
        <f>IFERROR(__xludf.DUMMYFUNCTION("importrange(""1FWoCAr1C7ZSb0vw1vvaBhsS73XL8YWHN3CvvtZ3LLKE"",""2025-26!y3"")"),0.0)</f>
        <v>0</v>
      </c>
      <c r="BA80" s="57">
        <f>IFERROR(__xludf.DUMMYFUNCTION("importrange(""1FWoCAr1C7ZSb0vw1vvaBhsS73XL8YWHN3CvvtZ3LLKE"",""2025-26!z4"")"),0.0)</f>
        <v>0</v>
      </c>
      <c r="BB80" s="55">
        <f>IFERROR(__xludf.DUMMYFUNCTION("importrange(""1FWoCAr1C7ZSb0vw1vvaBhsS73XL8YWHN3CvvtZ3LLKE"",""2025-26!z3"")"),0.0)</f>
        <v>0</v>
      </c>
      <c r="BC80" s="59" t="str">
        <f t="shared" si="23"/>
        <v/>
      </c>
      <c r="BD80" s="55">
        <f>IFERROR(__xludf.DUMMYFUNCTION("importrange(""1FWoCAr1C7ZSb0vw1vvaBhsS73XL8YWHN3CvvtZ3LLKE"",""2025-26!aa4"")"),0.0)</f>
        <v>0</v>
      </c>
      <c r="BE80" s="55">
        <f>IFERROR(__xludf.DUMMYFUNCTION("importrange(""1FWoCAr1C7ZSb0vw1vvaBhsS73XL8YWHN3CvvtZ3LLKE"",""2025-26!aa3"")"),0.0)</f>
        <v>0</v>
      </c>
      <c r="BF80" s="55">
        <f>IFERROR(__xludf.DUMMYFUNCTION("importrange(""1FWoCAr1C7ZSb0vw1vvaBhsS73XL8YWHN3CvvtZ3LLKE"",""2025-26!ab4"")"),0.0)</f>
        <v>0</v>
      </c>
      <c r="BG80" s="55">
        <f>IFERROR(__xludf.DUMMYFUNCTION("importrange(""1FWoCAr1C7ZSb0vw1vvaBhsS73XL8YWHN3CvvtZ3LLKE"",""2025-26!ab3"")"),0.0)</f>
        <v>0</v>
      </c>
      <c r="BH80" s="55">
        <f>IFERROR(__xludf.DUMMYFUNCTION("importrange(""1FWoCAr1C7ZSb0vw1vvaBhsS73XL8YWHN3CvvtZ3LLKE"",""2025-26!ac4"")"),0.0)</f>
        <v>0</v>
      </c>
      <c r="BI80" s="55">
        <f>IFERROR(__xludf.DUMMYFUNCTION("importrange(""1FWoCAr1C7ZSb0vw1vvaBhsS73XL8YWHN3CvvtZ3LLKE"",""2025-26!ac3"")"),0.0)</f>
        <v>0</v>
      </c>
      <c r="BJ80" s="59" t="str">
        <f t="shared" si="24"/>
        <v/>
      </c>
      <c r="BK80" s="55">
        <f>IFERROR(__xludf.DUMMYFUNCTION("importrange(""1FWoCAr1C7ZSb0vw1vvaBhsS73XL8YWHN3CvvtZ3LLKE"",""2025-26!ad4"")"),0.0)</f>
        <v>0</v>
      </c>
      <c r="BL80" s="55">
        <f>IFERROR(__xludf.DUMMYFUNCTION("importrange(""1FWoCAr1C7ZSb0vw1vvaBhsS73XL8YWHN3CvvtZ3LLKE"",""2025-26!ad3"")"),0.0)</f>
        <v>0</v>
      </c>
      <c r="BM80" s="55">
        <f>IFERROR(__xludf.DUMMYFUNCTION("importrange(""1FWoCAr1C7ZSb0vw1vvaBhsS73XL8YWHN3CvvtZ3LLKE"",""2025-26!ae4"")"),0.0)</f>
        <v>0</v>
      </c>
      <c r="BN80" s="55">
        <f>IFERROR(__xludf.DUMMYFUNCTION("importrange(""1FWoCAr1C7ZSb0vw1vvaBhsS73XL8YWHN3CvvtZ3LLKE"",""2025-26!ae3"")"),0.0)</f>
        <v>0</v>
      </c>
      <c r="BO80" s="55">
        <f>IFERROR(__xludf.DUMMYFUNCTION("importrange(""1FWoCAr1C7ZSb0vw1vvaBhsS73XL8YWHN3CvvtZ3LLKE"",""2025-26!af4"")"),0.0)</f>
        <v>0</v>
      </c>
      <c r="BP80" s="55">
        <f>IFERROR(__xludf.DUMMYFUNCTION("importrange(""1FWoCAr1C7ZSb0vw1vvaBhsS73XL8YWHN3CvvtZ3LLKE"",""2025-26!af3"")"),0.0)</f>
        <v>0</v>
      </c>
      <c r="BQ80" s="59" t="str">
        <f t="shared" si="25"/>
        <v/>
      </c>
      <c r="BR80" s="55">
        <f>IFERROR(__xludf.DUMMYFUNCTION("importrange(""1FWoCAr1C7ZSb0vw1vvaBhsS73XL8YWHN3CvvtZ3LLKE"",""2025-26!ag4"")"),0.0)</f>
        <v>0</v>
      </c>
      <c r="BS80" s="55">
        <f>IFERROR(__xludf.DUMMYFUNCTION("importrange(""1FWoCAr1C7ZSb0vw1vvaBhsS73XL8YWHN3CvvtZ3LLKE"",""2025-26!ag3"")"),0.0)</f>
        <v>0</v>
      </c>
      <c r="BT80" s="55">
        <f>IFERROR(__xludf.DUMMYFUNCTION("importrange(""1FWoCAr1C7ZSb0vw1vvaBhsS73XL8YWHN3CvvtZ3LLKE"",""2025-26!ah4"")"),0.0)</f>
        <v>0</v>
      </c>
      <c r="BU80" s="55">
        <f>IFERROR(__xludf.DUMMYFUNCTION("importrange(""1FWoCAr1C7ZSb0vw1vvaBhsS73XL8YWHN3CvvtZ3LLKE"",""2025-26!ah3"")"),0.0)</f>
        <v>0</v>
      </c>
      <c r="BV80" s="55">
        <f>IFERROR(__xludf.DUMMYFUNCTION("importrange(""1FWoCAr1C7ZSb0vw1vvaBhsS73XL8YWHN3CvvtZ3LLKE"",""2025-26!ai4"")"),0.0)</f>
        <v>0</v>
      </c>
      <c r="BW80" s="55">
        <f>IFERROR(__xludf.DUMMYFUNCTION("importrange(""1FWoCAr1C7ZSb0vw1vvaBhsS73XL8YWHN3CvvtZ3LLKE"",""2025-26!ai3"")"),0.0)</f>
        <v>0</v>
      </c>
      <c r="BX80" s="59" t="str">
        <f t="shared" si="26"/>
        <v/>
      </c>
      <c r="BY80" s="55">
        <f>IFERROR(__xludf.DUMMYFUNCTION("importrange(""1FWoCAr1C7ZSb0vw1vvaBhsS73XL8YWHN3CvvtZ3LLKE"",""2025-26!aj4"")"),0.0)</f>
        <v>0</v>
      </c>
      <c r="BZ80" s="55">
        <f>IFERROR(__xludf.DUMMYFUNCTION("importrange(""1FWoCAr1C7ZSb0vw1vvaBhsS73XL8YWHN3CvvtZ3LLKE"",""2025-26!aj3"")"),0.0)</f>
        <v>0</v>
      </c>
      <c r="CA80" s="55">
        <f>IFERROR(__xludf.DUMMYFUNCTION("importrange(""1FWoCAr1C7ZSb0vw1vvaBhsS73XL8YWHN3CvvtZ3LLKE"",""2025-26!ak4"")"),0.0)</f>
        <v>0</v>
      </c>
      <c r="CB80" s="55">
        <f>IFERROR(__xludf.DUMMYFUNCTION("importrange(""1FWoCAr1C7ZSb0vw1vvaBhsS73XL8YWHN3CvvtZ3LLKE"",""2025-26!ak3"")"),0.0)</f>
        <v>0</v>
      </c>
      <c r="CC80" s="55">
        <f>IFERROR(__xludf.DUMMYFUNCTION("importrange(""1FWoCAr1C7ZSb0vw1vvaBhsS73XL8YWHN3CvvtZ3LLKE"",""2025-26!al4"")"),0.0)</f>
        <v>0</v>
      </c>
      <c r="CD80" s="55">
        <f>IFERROR(__xludf.DUMMYFUNCTION("importrange(""1FWoCAr1C7ZSb0vw1vvaBhsS73XL8YWHN3CvvtZ3LLKE"",""2025-26!ai3"")"),0.0)</f>
        <v>0</v>
      </c>
      <c r="CE80" s="59" t="str">
        <f t="shared" si="27"/>
        <v/>
      </c>
      <c r="CF80" s="55">
        <f>IFERROR(__xludf.DUMMYFUNCTION("importrange(""1FWoCAr1C7ZSb0vw1vvaBhsS73XL8YWHN3CvvtZ3LLKE"",""2025-26!am4"")"),0.0)</f>
        <v>0</v>
      </c>
      <c r="CG80" s="55">
        <f>IFERROR(__xludf.DUMMYFUNCTION("importrange(""1FWoCAr1C7ZSb0vw1vvaBhsS73XL8YWHN3CvvtZ3LLKE"",""2025-26!am3"")"),0.0)</f>
        <v>0</v>
      </c>
      <c r="CH80" s="55">
        <f>IFERROR(__xludf.DUMMYFUNCTION("importrange(""1FWoCAr1C7ZSb0vw1vvaBhsS73XL8YWHN3CvvtZ3LLKE"",""2025-26!an4"")"),0.0)</f>
        <v>0</v>
      </c>
      <c r="CI80" s="55">
        <f>IFERROR(__xludf.DUMMYFUNCTION("importrange(""1FWoCAr1C7ZSb0vw1vvaBhsS73XL8YWHN3CvvtZ3LLKE"",""2025-26!an3"")"),0.0)</f>
        <v>0</v>
      </c>
      <c r="CJ80" s="55">
        <f>IFERROR(__xludf.DUMMYFUNCTION("importrange(""1FWoCAr1C7ZSb0vw1vvaBhsS73XL8YWHN3CvvtZ3LLKE"",""2025-26!ao4"")"),0.0)</f>
        <v>0</v>
      </c>
      <c r="CK80" s="55">
        <f>IFERROR(__xludf.DUMMYFUNCTION("importrange(""1FWoCAr1C7ZSb0vw1vvaBhsS73XL8YWHN3CvvtZ3LLKE"",""2025-26!ao3"")"),0.0)</f>
        <v>0</v>
      </c>
      <c r="CL80" s="59" t="str">
        <f t="shared" si="28"/>
        <v/>
      </c>
      <c r="CM80" s="55">
        <f>IFERROR(__xludf.DUMMYFUNCTION("importrange(""1FWoCAr1C7ZSb0vw1vvaBhsS73XL8YWHN3CvvtZ3LLKE"",""2025-26!ap4"")"),0.0)</f>
        <v>0</v>
      </c>
      <c r="CN80" s="55">
        <f>IFERROR(__xludf.DUMMYFUNCTION("importrange(""1FWoCAr1C7ZSb0vw1vvaBhsS73XL8YWHN3CvvtZ3LLKE"",""2025-26!ap3"")"),0.0)</f>
        <v>0</v>
      </c>
      <c r="CO80" s="55">
        <f>IFERROR(__xludf.DUMMYFUNCTION("importrange(""1FWoCAr1C7ZSb0vw1vvaBhsS73XL8YWHN3CvvtZ3LLKE"",""2025-26!aq4"")"),0.0)</f>
        <v>0</v>
      </c>
      <c r="CP80" s="55">
        <f>IFERROR(__xludf.DUMMYFUNCTION("importrange(""1FWoCAr1C7ZSb0vw1vvaBhsS73XL8YWHN3CvvtZ3LLKE"",""2025-26!aq3"")"),0.0)</f>
        <v>0</v>
      </c>
      <c r="CQ80" s="55">
        <f>IFERROR(__xludf.DUMMYFUNCTION("importrange(""1FWoCAr1C7ZSb0vw1vvaBhsS73XL8YWHN3CvvtZ3LLKE"",""2025-26!ar4"")"),0.0)</f>
        <v>0</v>
      </c>
      <c r="CR80" s="55">
        <f>IFERROR(__xludf.DUMMYFUNCTION("importrange(""1FWoCAr1C7ZSb0vw1vvaBhsS73XL8YWHN3CvvtZ3LLKE"",""2025-26!ar3"")"),0.0)</f>
        <v>0</v>
      </c>
      <c r="CS80" s="59" t="str">
        <f t="shared" si="29"/>
        <v/>
      </c>
      <c r="CT80" s="55">
        <f>IFERROR(__xludf.DUMMYFUNCTION("importrange(""1FWoCAr1C7ZSb0vw1vvaBhsS73XL8YWHN3CvvtZ3LLKE"",""2025-26!as4"")"),0.0)</f>
        <v>0</v>
      </c>
      <c r="CU80" s="55">
        <f>IFERROR(__xludf.DUMMYFUNCTION("importrange(""1FWoCAr1C7ZSb0vw1vvaBhsS73XL8YWHN3CvvtZ3LLKE"",""2025-26!as3"")"),0.0)</f>
        <v>0</v>
      </c>
      <c r="CV80" s="60" t="s">
        <v>189</v>
      </c>
    </row>
    <row r="81">
      <c r="A81" s="1" t="s">
        <v>185</v>
      </c>
      <c r="B81" s="37"/>
      <c r="C81" s="64" t="s">
        <v>190</v>
      </c>
      <c r="D81" s="50" t="s">
        <v>187</v>
      </c>
      <c r="E81" s="50">
        <v>9.332180661E9</v>
      </c>
      <c r="F81" s="74">
        <v>39859.0</v>
      </c>
      <c r="G81" s="62"/>
      <c r="H81" s="62"/>
      <c r="I81" s="53">
        <v>56000.0</v>
      </c>
      <c r="J81" s="54">
        <v>5050000.0</v>
      </c>
      <c r="K81" s="57">
        <f>IFERROR(__xludf.DUMMYFUNCTION("IMPORTRANGE(""https://docs.google.com/spreadsheets/d/1xiD-ftAMw5fqqFj6Gxi4X1d9CquBqV8fA6bcw0GeCQ8/edit#gid=599214790"",""2025-26!A3"")"),124.0)</f>
        <v>124</v>
      </c>
      <c r="L81" s="57">
        <f>IFERROR(__xludf.DUMMYFUNCTION("IMPORTRANGE(""https://docs.google.com/spreadsheets/d/1xiD-ftAMw5fqqFj6Gxi4X1d9CquBqV8fA6bcw0GeCQ8/edit#gid=599214790"",""2025-26!G4"")"),6.056E7)</f>
        <v>60560000</v>
      </c>
      <c r="M81" s="57">
        <f t="shared" si="50"/>
        <v>41352930.99</v>
      </c>
      <c r="N81" s="56">
        <f t="shared" si="51"/>
        <v>0.7789594452</v>
      </c>
      <c r="O81" s="57">
        <f t="shared" si="52"/>
        <v>47173784</v>
      </c>
      <c r="P81" s="55">
        <f>IFERROR(__xludf.DUMMYFUNCTION("IMPORTRANGE(""https://docs.google.com/spreadsheets/d/1xiD-ftAMw5fqqFj6Gxi4X1d9CquBqV8fA6bcw0GeCQ8/edit#gid=599214790"",""2025-26!J4"")"),4791100.0)</f>
        <v>4791100</v>
      </c>
      <c r="Q81" s="55">
        <f>IFERROR(__xludf.DUMMYFUNCTION("IMPORTRANGE(""https://docs.google.com/spreadsheets/d/1xiD-ftAMw5fqqFj6Gxi4X1d9CquBqV8fA6bcw0GeCQ8/edit#gid=599214790"",""2025-26!J3"")"),101.0)</f>
        <v>101</v>
      </c>
      <c r="R81" s="55">
        <f>IFERROR(__xludf.DUMMYFUNCTION("IMPORTRANGE(""https://docs.google.com/spreadsheets/d/1xiD-ftAMw5fqqFj6Gxi4X1d9CquBqV8fA6bcw0GeCQ8/edit#gid=599214790"",""2025-26!K4"")"),1398964.96)</f>
        <v>1398964.96</v>
      </c>
      <c r="S81" s="55">
        <f>IFERROR(__xludf.DUMMYFUNCTION("IMPORTRANGE(""https://docs.google.com/spreadsheets/d/1xiD-ftAMw5fqqFj6Gxi4X1d9CquBqV8fA6bcw0GeCQ8/edit#gid=599214790"",""2025-26!K3"")"),19.0)</f>
        <v>19</v>
      </c>
      <c r="T81" s="58">
        <f t="shared" si="18"/>
        <v>0.4146321304</v>
      </c>
      <c r="U81" s="55">
        <f>IFERROR(__xludf.DUMMYFUNCTION("IMPORTRANGE(""https://docs.google.com/spreadsheets/d/1xiD-ftAMw5fqqFj6Gxi4X1d9CquBqV8fA6bcw0GeCQ8/edit#gid=599214790"",""2025-26!L4"")"),1986544.0)</f>
        <v>1986544</v>
      </c>
      <c r="V81" s="79">
        <f>IFERROR(__xludf.DUMMYFUNCTION("IMPORTRANGE(""https://docs.google.com/spreadsheets/d/1xiD-ftAMw5fqqFj6Gxi4X1d9CquBqV8fA6bcw0GeCQ8/edit#gid=599214790"",""2025-26!L3"")"),24.0)</f>
        <v>24</v>
      </c>
      <c r="W81" s="55">
        <f>IFERROR(__xludf.DUMMYFUNCTION("IMPORTRANGE(""https://docs.google.com/spreadsheets/d/1xiD-ftAMw5fqqFj6Gxi4X1d9CquBqV8fA6bcw0GeCQ8/edit#gid=599214790"",""2025-26!M4"")"),4791100.0)</f>
        <v>4791100</v>
      </c>
      <c r="X81" s="79">
        <f>IFERROR(__xludf.DUMMYFUNCTION("IMPORTRANGE(""https://docs.google.com/spreadsheets/d/1xiD-ftAMw5fqqFj6Gxi4X1d9CquBqV8fA6bcw0GeCQ8/edit#gid=599214790"",""2025-26!M3"")"),101.0)</f>
        <v>101</v>
      </c>
      <c r="Y81" s="55">
        <f>IFERROR(__xludf.DUMMYFUNCTION("importrange(""https://docs.google.com/spreadsheets/d/1xiD-ftAMw5fqqFj6Gxi4X1d9CquBqV8fA6bcw0GeCQ8/edit#gid=599214790"",""2025-26!n4"")"),4337011.9)</f>
        <v>4337011.9</v>
      </c>
      <c r="Z81" s="55">
        <f>IFERROR(__xludf.DUMMYFUNCTION("importrange(""https://docs.google.com/spreadsheets/d/1xiD-ftAMw5fqqFj6Gxi4X1d9CquBqV8fA6bcw0GeCQ8/edit#gid=599214790"",""2025-26!n3"")"),26.0)</f>
        <v>26</v>
      </c>
      <c r="AA81" s="58">
        <f t="shared" si="19"/>
        <v>0.712645739</v>
      </c>
      <c r="AB81" s="55">
        <f>IFERROR(__xludf.DUMMYFUNCTION("importrange(""https://docs.google.com/spreadsheets/d/1xiD-ftAMw5fqqFj6Gxi4X1d9CquBqV8fA6bcw0GeCQ8/edit#gid=599214790"",""2025-26!o4"")"),3414357.0)</f>
        <v>3414357</v>
      </c>
      <c r="AC81" s="55">
        <f>IFERROR(__xludf.DUMMYFUNCTION("importrange(""https://docs.google.com/spreadsheets/d/1xiD-ftAMw5fqqFj6Gxi4X1d9CquBqV8fA6bcw0GeCQ8/edit#gid=599214790"",""2025-26!o3"")"),36.0)</f>
        <v>36</v>
      </c>
      <c r="AD81" s="55">
        <f>IFERROR(__xludf.DUMMYFUNCTION("importrange(""https://docs.google.com/spreadsheets/d/1xiD-ftAMw5fqqFj6Gxi4X1d9CquBqV8fA6bcw0GeCQ8/edit#gid=599214790"",""2025-26!p4"")"),4791100.0)</f>
        <v>4791100</v>
      </c>
      <c r="AE81" s="55">
        <f>IFERROR(__xludf.DUMMYFUNCTION("importrange(""https://docs.google.com/spreadsheets/d/1xiD-ftAMw5fqqFj6Gxi4X1d9CquBqV8fA6bcw0GeCQ8/edit#gid=599214790"",""2025-26!p3"")"),101.0)</f>
        <v>101</v>
      </c>
      <c r="AF81" s="55">
        <f>IFERROR(__xludf.DUMMYFUNCTION("importrange(""https://docs.google.com/spreadsheets/d/1xiD-ftAMw5fqqFj6Gxi4X1d9CquBqV8fA6bcw0GeCQ8/edit#gid=599214790"",""2025-26!q4"")"),4120444.0300000007)</f>
        <v>4120444.03</v>
      </c>
      <c r="AG81" s="55">
        <f>IFERROR(__xludf.DUMMYFUNCTION("importrange(""https://docs.google.com/spreadsheets/d/1xiD-ftAMw5fqqFj6Gxi4X1d9CquBqV8fA6bcw0GeCQ8/edit#gid=599214790"",""2025-26!q3"")"),26.0)</f>
        <v>26</v>
      </c>
      <c r="AH81" s="58">
        <f t="shared" si="20"/>
        <v>1.13820417</v>
      </c>
      <c r="AI81" s="55">
        <f>IFERROR(__xludf.DUMMYFUNCTION("importrange(""https://docs.google.com/spreadsheets/d/1xiD-ftAMw5fqqFj6Gxi4X1d9CquBqV8fA6bcw0GeCQ8/edit#gid=599214790"",""2025-26!r4"")"),5453250.0)</f>
        <v>5453250</v>
      </c>
      <c r="AJ81" s="55">
        <f>IFERROR(__xludf.DUMMYFUNCTION("importrange(""https://docs.google.com/spreadsheets/d/1xiD-ftAMw5fqqFj6Gxi4X1d9CquBqV8fA6bcw0GeCQ8/edit#gid=599214790"",""2025-26!r3"")"),35.0)</f>
        <v>35</v>
      </c>
      <c r="AK81" s="55">
        <f>IFERROR(__xludf.DUMMYFUNCTION("importrange(""https://docs.google.com/spreadsheets/d/1xiD-ftAMw5fqqFj6Gxi4X1d9CquBqV8fA6bcw0GeCQ8/edit#gid=599214790"",""2025-26!s4"")"),4791100.0)</f>
        <v>4791100</v>
      </c>
      <c r="AL81" s="55">
        <f>IFERROR(__xludf.DUMMYFUNCTION("importrange(""https://docs.google.com/spreadsheets/d/1xiD-ftAMw5fqqFj6Gxi4X1d9CquBqV8fA6bcw0GeCQ8/edit#gid=599214790"",""2025-26!s3"")"),101.0)</f>
        <v>101</v>
      </c>
      <c r="AM81" s="57">
        <f>IFERROR(__xludf.DUMMYFUNCTION("importrange(""https://docs.google.com/spreadsheets/d/1xiD-ftAMw5fqqFj6Gxi4X1d9CquBqV8fA6bcw0GeCQ8/edit#gid=599214790"",""2025-26!t4"")"),2700180.7200000007)</f>
        <v>2700180.72</v>
      </c>
      <c r="AN81" s="55">
        <f>IFERROR(__xludf.DUMMYFUNCTION("importrange(""https://docs.google.com/spreadsheets/d/1xiD-ftAMw5fqqFj6Gxi4X1d9CquBqV8fA6bcw0GeCQ8/edit#gid=599214790"",""2025-26!t3"")"),32.0)</f>
        <v>32</v>
      </c>
      <c r="AO81" s="58">
        <f t="shared" si="21"/>
        <v>0.6663267308</v>
      </c>
      <c r="AP81" s="55">
        <f>IFERROR(__xludf.DUMMYFUNCTION("importrange(""https://docs.google.com/spreadsheets/d/1xiD-ftAMw5fqqFj6Gxi4X1d9CquBqV8fA6bcw0GeCQ8/edit#gid=599214790"",""2025-26!u4"")"),3192438.0)</f>
        <v>3192438</v>
      </c>
      <c r="AQ81" s="55">
        <f>IFERROR(__xludf.DUMMYFUNCTION("importrange(""https://docs.google.com/spreadsheets/d/1xiD-ftAMw5fqqFj6Gxi4X1d9CquBqV8fA6bcw0GeCQ8/edit#gid=599214790"",""2025-26!u3"")"),34.0)</f>
        <v>34</v>
      </c>
      <c r="AR81" s="55">
        <f>IFERROR(__xludf.DUMMYFUNCTION("importrange(""https://docs.google.com/spreadsheets/d/1xiD-ftAMw5fqqFj6Gxi4X1d9CquBqV8fA6bcw0GeCQ8/edit#gid=599214790"",""2025-26!v4"")"),4891100.0)</f>
        <v>4891100</v>
      </c>
      <c r="AS81" s="55">
        <f>IFERROR(__xludf.DUMMYFUNCTION("importrange(""https://docs.google.com/spreadsheets/d/1xiD-ftAMw5fqqFj6Gxi4X1d9CquBqV8fA6bcw0GeCQ8/edit#gid=599214790"",""2025-26!v3"")"),103.0)</f>
        <v>103</v>
      </c>
      <c r="AT81" s="57">
        <f>IFERROR(__xludf.DUMMYFUNCTION("importrange(""https://docs.google.com/spreadsheets/d/1xiD-ftAMw5fqqFj6Gxi4X1d9CquBqV8fA6bcw0GeCQ8/edit#gid=599214790"",""2025-26!w4"")"),3328969.4000000004)</f>
        <v>3328969.4</v>
      </c>
      <c r="AU81" s="55">
        <f>IFERROR(__xludf.DUMMYFUNCTION("importrange(""https://docs.google.com/spreadsheets/d/1xiD-ftAMw5fqqFj6Gxi4X1d9CquBqV8fA6bcw0GeCQ8/edit#gid=599214790"",""2025-26!w3"")"),37.0)</f>
        <v>37</v>
      </c>
      <c r="AV81" s="58">
        <f t="shared" si="22"/>
        <v>0.7045368118</v>
      </c>
      <c r="AW81" s="55">
        <f>IFERROR(__xludf.DUMMYFUNCTION("importrange(""https://docs.google.com/spreadsheets/d/1xiD-ftAMw5fqqFj6Gxi4X1d9CquBqV8fA6bcw0GeCQ8/edit#gid=599214790"",""2025-26!x4"")"),3445960.0)</f>
        <v>3445960</v>
      </c>
      <c r="AX81" s="55">
        <f>IFERROR(__xludf.DUMMYFUNCTION("importrange(""https://docs.google.com/spreadsheets/d/1xiD-ftAMw5fqqFj6Gxi4X1d9CquBqV8fA6bcw0GeCQ8/edit#gid=599214790"",""2025-26!x3"")"),39.0)</f>
        <v>39</v>
      </c>
      <c r="AY81" s="55">
        <f>IFERROR(__xludf.DUMMYFUNCTION("importrange(""https://docs.google.com/spreadsheets/d/1xiD-ftAMw5fqqFj6Gxi4X1d9CquBqV8fA6bcw0GeCQ8/edit#gid=599214790"",""2025-26!y4"")"),4891100.0)</f>
        <v>4891100</v>
      </c>
      <c r="AZ81" s="55">
        <f>IFERROR(__xludf.DUMMYFUNCTION("importrange(""https://docs.google.com/spreadsheets/d/1xiD-ftAMw5fqqFj6Gxi4X1d9CquBqV8fA6bcw0GeCQ8/edit#gid=599214790"",""2025-26!y3"")"),103.0)</f>
        <v>103</v>
      </c>
      <c r="BA81" s="57">
        <f>IFERROR(__xludf.DUMMYFUNCTION("importrange(""https://docs.google.com/spreadsheets/d/1xiD-ftAMw5fqqFj6Gxi4X1d9CquBqV8fA6bcw0GeCQ8/edit#gid=599214790"",""2025-26!z4"")"),2985609.77)</f>
        <v>2985609.77</v>
      </c>
      <c r="BB81" s="55">
        <f>IFERROR(__xludf.DUMMYFUNCTION("importrange(""https://docs.google.com/spreadsheets/d/1xiD-ftAMw5fqqFj6Gxi4X1d9CquBqV8fA6bcw0GeCQ8/edit#gid=599214790"",""2025-26!z3"")"),20.0)</f>
        <v>20</v>
      </c>
      <c r="BC81" s="59">
        <f t="shared" si="23"/>
        <v>0.590852569</v>
      </c>
      <c r="BD81" s="55">
        <f>IFERROR(__xludf.DUMMYFUNCTION("importrange(""https://docs.google.com/spreadsheets/d/1xiD-ftAMw5fqqFj6Gxi4X1d9CquBqV8fA6bcw0GeCQ8/edit#gid=599214790"",""2025-26!aa4"")"),2889919.0)</f>
        <v>2889919</v>
      </c>
      <c r="BE81" s="55">
        <f>IFERROR(__xludf.DUMMYFUNCTION("importrange(""https://docs.google.com/spreadsheets/d/1xiD-ftAMw5fqqFj6Gxi4X1d9CquBqV8fA6bcw0GeCQ8/edit#gid=599214790"",""2025-26!aa3"")"),39.0)</f>
        <v>39</v>
      </c>
      <c r="BF81" s="55">
        <f>IFERROR(__xludf.DUMMYFUNCTION("importrange(""https://docs.google.com/spreadsheets/d/1xiD-ftAMw5fqqFj6Gxi4X1d9CquBqV8fA6bcw0GeCQ8/edit#gid=599214790"",""2025-26!ab4"")"),4891100.0)</f>
        <v>4891100</v>
      </c>
      <c r="BG81" s="55">
        <f>IFERROR(__xludf.DUMMYFUNCTION("importrange(""https://docs.google.com/spreadsheets/d/1xiD-ftAMw5fqqFj6Gxi4X1d9CquBqV8fA6bcw0GeCQ8/edit#gid=599214790"",""2025-26!ab3"")"),103.0)</f>
        <v>103</v>
      </c>
      <c r="BH81" s="55">
        <f>IFERROR(__xludf.DUMMYFUNCTION("importrange(""https://docs.google.com/spreadsheets/d/1xiD-ftAMw5fqqFj6Gxi4X1d9CquBqV8fA6bcw0GeCQ8/edit#gid=599214790"",""2025-26!ac4"")"),2827951.0)</f>
        <v>2827951</v>
      </c>
      <c r="BI81" s="55">
        <f>IFERROR(__xludf.DUMMYFUNCTION("importrange(""https://docs.google.com/spreadsheets/d/1xiD-ftAMw5fqqFj6Gxi4X1d9CquBqV8fA6bcw0GeCQ8/edit#gid=599214790"",""2025-26!ac3"")"),23.0)</f>
        <v>23</v>
      </c>
      <c r="BJ81" s="59">
        <f t="shared" si="24"/>
        <v>0.6531322197</v>
      </c>
      <c r="BK81" s="55">
        <f>IFERROR(__xludf.DUMMYFUNCTION("importrange(""https://docs.google.com/spreadsheets/d/1xiD-ftAMw5fqqFj6Gxi4X1d9CquBqV8fA6bcw0GeCQ8/edit#gid=599214790"",""2025-26!ad4"")"),3194535.0)</f>
        <v>3194535</v>
      </c>
      <c r="BL81" s="55">
        <f>IFERROR(__xludf.DUMMYFUNCTION("importrange(""https://docs.google.com/spreadsheets/d/1xiD-ftAMw5fqqFj6Gxi4X1d9CquBqV8fA6bcw0GeCQ8/edit#gid=599214790"",""2025-26!ad3"")"),28.0)</f>
        <v>28</v>
      </c>
      <c r="BM81" s="55">
        <f>IFERROR(__xludf.DUMMYFUNCTION("importrange(""https://docs.google.com/spreadsheets/d/1xiD-ftAMw5fqqFj6Gxi4X1d9CquBqV8fA6bcw0GeCQ8/edit#gid=599214790"",""2025-26!ae4"")"),4941100.0)</f>
        <v>4941100</v>
      </c>
      <c r="BN81" s="55">
        <f>IFERROR(__xludf.DUMMYFUNCTION("importrange(""https://docs.google.com/spreadsheets/d/1xiD-ftAMw5fqqFj6Gxi4X1d9CquBqV8fA6bcw0GeCQ8/edit#gid=599214790"",""2025-26!ae3"")"),103.0)</f>
        <v>103</v>
      </c>
      <c r="BO81" s="55">
        <f>IFERROR(__xludf.DUMMYFUNCTION("importrange(""https://docs.google.com/spreadsheets/d/1xiD-ftAMw5fqqFj6Gxi4X1d9CquBqV8fA6bcw0GeCQ8/edit#gid=599214790"",""2025-26!af4"")"),3171109.8699999996)</f>
        <v>3171109.87</v>
      </c>
      <c r="BP81" s="55">
        <f>IFERROR(__xludf.DUMMYFUNCTION("importrange(""https://docs.google.com/spreadsheets/d/1xiD-ftAMw5fqqFj6Gxi4X1d9CquBqV8fA6bcw0GeCQ8/edit#gid=599214790"",""2025-26!af3"")"),23.0)</f>
        <v>23</v>
      </c>
      <c r="BQ81" s="59">
        <f t="shared" si="25"/>
        <v>0.9655022161</v>
      </c>
      <c r="BR81" s="55">
        <f>IFERROR(__xludf.DUMMYFUNCTION("importrange(""https://docs.google.com/spreadsheets/d/1xiD-ftAMw5fqqFj6Gxi4X1d9CquBqV8fA6bcw0GeCQ8/edit#gid=599214790"",""2025-26!ag4"")"),4770643.0)</f>
        <v>4770643</v>
      </c>
      <c r="BS81" s="55">
        <f>IFERROR(__xludf.DUMMYFUNCTION("importrange(""https://docs.google.com/spreadsheets/d/1xiD-ftAMw5fqqFj6Gxi4X1d9CquBqV8fA6bcw0GeCQ8/edit#gid=599214790"",""2025-26!ag3"")"),34.0)</f>
        <v>34</v>
      </c>
      <c r="BT81" s="55">
        <f>IFERROR(__xludf.DUMMYFUNCTION("importrange(""https://docs.google.com/spreadsheets/d/1xiD-ftAMw5fqqFj6Gxi4X1d9CquBqV8fA6bcw0GeCQ8/edit#gid=599214790"",""2025-26!ah4"")"),5246100.0)</f>
        <v>5246100</v>
      </c>
      <c r="BU81" s="55">
        <f>IFERROR(__xludf.DUMMYFUNCTION("importrange(""https://docs.google.com/spreadsheets/d/1xiD-ftAMw5fqqFj6Gxi4X1d9CquBqV8fA6bcw0GeCQ8/edit#gid=599214790"",""2025-26!ah3"")"),113.0)</f>
        <v>113</v>
      </c>
      <c r="BV81" s="55">
        <f>IFERROR(__xludf.DUMMYFUNCTION("importrange(""https://docs.google.com/spreadsheets/d/1xiD-ftAMw5fqqFj6Gxi4X1d9CquBqV8fA6bcw0GeCQ8/edit#gid=599214790"",""2025-26!ai4"")"),3369986.9999999995)</f>
        <v>3369987</v>
      </c>
      <c r="BW81" s="55">
        <f>IFERROR(__xludf.DUMMYFUNCTION("importrange(""https://docs.google.com/spreadsheets/d/1xiD-ftAMw5fqqFj6Gxi4X1d9CquBqV8fA6bcw0GeCQ8/edit#gid=599214790"",""2025-26!ai3"")"),23.0)</f>
        <v>23</v>
      </c>
      <c r="BX81" s="59">
        <f t="shared" si="26"/>
        <v>0.8043552353</v>
      </c>
      <c r="BY81" s="55">
        <f>IFERROR(__xludf.DUMMYFUNCTION("importrange(""https://docs.google.com/spreadsheets/d/1xiD-ftAMw5fqqFj6Gxi4X1d9CquBqV8fA6bcw0GeCQ8/edit#gid=599214790"",""2025-26!aj4"")"),4219728.0)</f>
        <v>4219728</v>
      </c>
      <c r="BZ81" s="55">
        <f>IFERROR(__xludf.DUMMYFUNCTION("importrange(""https://docs.google.com/spreadsheets/d/1xiD-ftAMw5fqqFj6Gxi4X1d9CquBqV8fA6bcw0GeCQ8/edit#gid=599214790"",""2025-26!aj3"")"),42.0)</f>
        <v>42</v>
      </c>
      <c r="CA81" s="55">
        <f>IFERROR(__xludf.DUMMYFUNCTION("importrange(""https://docs.google.com/spreadsheets/d/1xiD-ftAMw5fqqFj6Gxi4X1d9CquBqV8fA6bcw0GeCQ8/edit#gid=599214790"",""2025-26!ak4"")"),5196100.0)</f>
        <v>5196100</v>
      </c>
      <c r="CB81" s="55">
        <f>IFERROR(__xludf.DUMMYFUNCTION("importrange(""https://docs.google.com/spreadsheets/d/1xiD-ftAMw5fqqFj6Gxi4X1d9CquBqV8fA6bcw0GeCQ8/edit#gid=599214790"",""2025-26!ak3"")"),113.0)</f>
        <v>113</v>
      </c>
      <c r="CC81" s="55">
        <f>IFERROR(__xludf.DUMMYFUNCTION("importrange(""https://docs.google.com/spreadsheets/d/1xiD-ftAMw5fqqFj6Gxi4X1d9CquBqV8fA6bcw0GeCQ8/edit#gid=599214790"",""2025-26!al4"")"),3641927.19)</f>
        <v>3641927.19</v>
      </c>
      <c r="CD81" s="55">
        <f>IFERROR(__xludf.DUMMYFUNCTION("importrange(""https://docs.google.com/spreadsheets/d/1xiD-ftAMw5fqqFj6Gxi4X1d9CquBqV8fA6bcw0GeCQ8/edit#gid=599214790"",""2025-26!ai3"")"),23.0)</f>
        <v>23</v>
      </c>
      <c r="CE81" s="59">
        <f t="shared" si="27"/>
        <v>0.7704324397</v>
      </c>
      <c r="CF81" s="55">
        <f>IFERROR(__xludf.DUMMYFUNCTION("importrange(""https://docs.google.com/spreadsheets/d/1xiD-ftAMw5fqqFj6Gxi4X1d9CquBqV8fA6bcw0GeCQ8/edit#gid=599214790"",""2025-26!am4"")"),4003244.0)</f>
        <v>4003244</v>
      </c>
      <c r="CG81" s="55">
        <f>IFERROR(__xludf.DUMMYFUNCTION("importrange(""https://docs.google.com/spreadsheets/d/1xiD-ftAMw5fqqFj6Gxi4X1d9CquBqV8fA6bcw0GeCQ8/edit#gid=599214790"",""2025-26!am3"")"),35.0)</f>
        <v>35</v>
      </c>
      <c r="CH81" s="55">
        <f>IFERROR(__xludf.DUMMYFUNCTION("importrange(""https://docs.google.com/spreadsheets/d/1xiD-ftAMw5fqqFj6Gxi4X1d9CquBqV8fA6bcw0GeCQ8/edit#gid=599214790"",""2025-26!an4"")"),5146100.0)</f>
        <v>5146100</v>
      </c>
      <c r="CI81" s="55">
        <f>IFERROR(__xludf.DUMMYFUNCTION("importrange(""https://docs.google.com/spreadsheets/d/1xiD-ftAMw5fqqFj6Gxi4X1d9CquBqV8fA6bcw0GeCQ8/edit#gid=599214790"",""2025-26!an3"")"),113.0)</f>
        <v>113</v>
      </c>
      <c r="CJ81" s="55">
        <f>IFERROR(__xludf.DUMMYFUNCTION("importrange(""https://docs.google.com/spreadsheets/d/1xiD-ftAMw5fqqFj6Gxi4X1d9CquBqV8fA6bcw0GeCQ8/edit#gid=599214790"",""2025-26!ao4"")"),2873337.8400000003)</f>
        <v>2873337.84</v>
      </c>
      <c r="CK81" s="55">
        <f>IFERROR(__xludf.DUMMYFUNCTION("importrange(""https://docs.google.com/spreadsheets/d/1xiD-ftAMw5fqqFj6Gxi4X1d9CquBqV8fA6bcw0GeCQ8/edit#gid=599214790"",""2025-26!ao3"")"),16.0)</f>
        <v>16</v>
      </c>
      <c r="CL81" s="59">
        <f t="shared" si="28"/>
        <v>0.7213340199</v>
      </c>
      <c r="CM81" s="55">
        <f>IFERROR(__xludf.DUMMYFUNCTION("importrange(""https://docs.google.com/spreadsheets/d/1xiD-ftAMw5fqqFj6Gxi4X1d9CquBqV8fA6bcw0GeCQ8/edit#gid=599214790"",""2025-26!ap4"")"),3712057.0)</f>
        <v>3712057</v>
      </c>
      <c r="CN81" s="55">
        <f>IFERROR(__xludf.DUMMYFUNCTION("importrange(""https://docs.google.com/spreadsheets/d/1xiD-ftAMw5fqqFj6Gxi4X1d9CquBqV8fA6bcw0GeCQ8/edit#gid=599214790"",""2025-26!ap3"")"),35.0)</f>
        <v>35</v>
      </c>
      <c r="CO81" s="55">
        <f>IFERROR(__xludf.DUMMYFUNCTION("importrange(""https://docs.google.com/spreadsheets/d/1xiD-ftAMw5fqqFj6Gxi4X1d9CquBqV8fA6bcw0GeCQ8/edit#gid=599214790"",""2025-26!aq4"")"),5952900.0)</f>
        <v>5952900</v>
      </c>
      <c r="CP81" s="55">
        <f>IFERROR(__xludf.DUMMYFUNCTION("importrange(""https://docs.google.com/spreadsheets/d/1xiD-ftAMw5fqqFj6Gxi4X1d9CquBqV8fA6bcw0GeCQ8/edit#gid=599214790"",""2025-26!aq3"")"),113.0)</f>
        <v>113</v>
      </c>
      <c r="CQ81" s="55">
        <f>IFERROR(__xludf.DUMMYFUNCTION("importrange(""https://docs.google.com/spreadsheets/d/1xiD-ftAMw5fqqFj6Gxi4X1d9CquBqV8fA6bcw0GeCQ8/edit#gid=599214790"",""2025-26!ar4"")"),6597437.31)</f>
        <v>6597437.31</v>
      </c>
      <c r="CR81" s="55">
        <f>IFERROR(__xludf.DUMMYFUNCTION("importrange(""https://docs.google.com/spreadsheets/d/1xiD-ftAMw5fqqFj6Gxi4X1d9CquBqV8fA6bcw0GeCQ8/edit#gid=599214790"",""2025-26!ar3"")"),33.0)</f>
        <v>33</v>
      </c>
      <c r="CS81" s="59">
        <f t="shared" si="29"/>
        <v>1.157605369</v>
      </c>
      <c r="CT81" s="55">
        <f>IFERROR(__xludf.DUMMYFUNCTION("importrange(""https://docs.google.com/spreadsheets/d/1xiD-ftAMw5fqqFj6Gxi4X1d9CquBqV8fA6bcw0GeCQ8/edit#gid=599214790"",""2025-26!as4"")"),6891109.0)</f>
        <v>6891109</v>
      </c>
      <c r="CU81" s="55">
        <f>IFERROR(__xludf.DUMMYFUNCTION("importrange(""https://docs.google.com/spreadsheets/d/1xiD-ftAMw5fqqFj6Gxi4X1d9CquBqV8fA6bcw0GeCQ8/edit#gid=599214790"",""2025-26!as3"")"),46.0)</f>
        <v>46</v>
      </c>
      <c r="CV81" s="60" t="s">
        <v>189</v>
      </c>
    </row>
    <row r="82">
      <c r="A82" s="1" t="s">
        <v>185</v>
      </c>
      <c r="B82" s="37"/>
      <c r="C82" s="64" t="s">
        <v>191</v>
      </c>
      <c r="D82" s="50" t="s">
        <v>192</v>
      </c>
      <c r="E82" s="50">
        <v>9.378139552E9</v>
      </c>
      <c r="F82" s="74">
        <v>41159.0</v>
      </c>
      <c r="G82" s="62"/>
      <c r="H82" s="62"/>
      <c r="I82" s="53">
        <v>72335.0</v>
      </c>
      <c r="J82" s="54">
        <v>6833333.0</v>
      </c>
      <c r="K82" s="57">
        <f>IFERROR(__xludf.DUMMYFUNCTION("IMPORTRANGE(""https://docs.google.com/spreadsheets/d/1yLhrKcjt1xaec0PTD-O5wT7tbQk_0C0O53JVUJ107no/edit#gid=79001435"",""2025-26!A3"")"),153.0)</f>
        <v>153</v>
      </c>
      <c r="L82" s="57">
        <f>IFERROR(__xludf.DUMMYFUNCTION("IMPORTRANGE(""https://docs.google.com/spreadsheets/d/1yLhrKcjt1xaec0PTD-O5wT7tbQk_0C0O53JVUJ107no/edit#gid=79001435"",""2025-26!G4"")"),8.009E7)</f>
        <v>80090000</v>
      </c>
      <c r="M82" s="57">
        <f t="shared" si="50"/>
        <v>34910045.61</v>
      </c>
      <c r="N82" s="56">
        <f t="shared" si="51"/>
        <v>0.6455297291</v>
      </c>
      <c r="O82" s="57">
        <f t="shared" si="52"/>
        <v>51700476</v>
      </c>
      <c r="P82" s="55">
        <f>IFERROR(__xludf.DUMMYFUNCTION("IMPORTRANGE(""https://docs.google.com/spreadsheets/d/1yLhrKcjt1xaec0PTD-O5wT7tbQk_0C0O53JVUJ107no/edit#gid=79001435"",""2025-26!J4"")"),6628450.0)</f>
        <v>6628450</v>
      </c>
      <c r="Q82" s="55">
        <f>IFERROR(__xludf.DUMMYFUNCTION("IMPORTRANGE(""https://docs.google.com/spreadsheets/d/1yLhrKcjt1xaec0PTD-O5wT7tbQk_0C0O53JVUJ107no/edit#gid=79001435"",""2025-26!J3"")"),70.0)</f>
        <v>70</v>
      </c>
      <c r="R82" s="55">
        <f>IFERROR(__xludf.DUMMYFUNCTION("IMPORTRANGE(""https://docs.google.com/spreadsheets/d/1yLhrKcjt1xaec0PTD-O5wT7tbQk_0C0O53JVUJ107no/edit#gid=79001435"",""2025-26!K4"")"),2697979.0)</f>
        <v>2697979</v>
      </c>
      <c r="S82" s="55">
        <f>IFERROR(__xludf.DUMMYFUNCTION("IMPORTRANGE(""https://docs.google.com/spreadsheets/d/1yLhrKcjt1xaec0PTD-O5wT7tbQk_0C0O53JVUJ107no/edit#gid=79001435"",""2025-26!K3"")"),23.0)</f>
        <v>23</v>
      </c>
      <c r="T82" s="58">
        <f t="shared" si="18"/>
        <v>0.6772242379</v>
      </c>
      <c r="U82" s="55">
        <f>IFERROR(__xludf.DUMMYFUNCTION("IMPORTRANGE(""https://docs.google.com/spreadsheets/d/1yLhrKcjt1xaec0PTD-O5wT7tbQk_0C0O53JVUJ107no/edit#gid=79001435"",""2025-26!L4"")"),4488947.0)</f>
        <v>4488947</v>
      </c>
      <c r="V82" s="79">
        <f>IFERROR(__xludf.DUMMYFUNCTION("IMPORTRANGE(""https://docs.google.com/spreadsheets/d/1yLhrKcjt1xaec0PTD-O5wT7tbQk_0C0O53JVUJ107no/edit#gid=79001435"",""2025-26!L3"")"),57.0)</f>
        <v>57</v>
      </c>
      <c r="W82" s="55">
        <f>IFERROR(__xludf.DUMMYFUNCTION("IMPORTRANGE(""https://docs.google.com/spreadsheets/d/1yLhrKcjt1xaec0PTD-O5wT7tbQk_0C0O53JVUJ107no/edit#gid=79001435"",""2025-26!M4"")"),6628450.0)</f>
        <v>6628450</v>
      </c>
      <c r="X82" s="79">
        <f>IFERROR(__xludf.DUMMYFUNCTION("IMPORTRANGE(""https://docs.google.com/spreadsheets/d/1yLhrKcjt1xaec0PTD-O5wT7tbQk_0C0O53JVUJ107no/edit#gid=79001435"",""2025-26!M3"")"),70.0)</f>
        <v>70</v>
      </c>
      <c r="Y82" s="55">
        <f>IFERROR(__xludf.DUMMYFUNCTION("importrange(""https://docs.google.com/spreadsheets/d/1yLhrKcjt1xaec0PTD-O5wT7tbQk_0C0O53JVUJ107no/edit#gid=79001435"",""2025-26!n4"")"),4133811.2999999993)</f>
        <v>4133811.3</v>
      </c>
      <c r="Z82" s="55">
        <f>IFERROR(__xludf.DUMMYFUNCTION("importrange(""https://docs.google.com/spreadsheets/d/1yLhrKcjt1xaec0PTD-O5wT7tbQk_0C0O53JVUJ107no/edit#gid=79001435"",""2025-26!n3"")"),33.0)</f>
        <v>33</v>
      </c>
      <c r="AA82" s="58">
        <f t="shared" si="19"/>
        <v>0.9150133138</v>
      </c>
      <c r="AB82" s="55">
        <f>IFERROR(__xludf.DUMMYFUNCTION("importrange(""https://docs.google.com/spreadsheets/d/1yLhrKcjt1xaec0PTD-O5wT7tbQk_0C0O53JVUJ107no/edit#gid=79001435"",""2025-26!o4"")"),6065120.0)</f>
        <v>6065120</v>
      </c>
      <c r="AC82" s="55">
        <f>IFERROR(__xludf.DUMMYFUNCTION("importrange(""https://docs.google.com/spreadsheets/d/1yLhrKcjt1xaec0PTD-O5wT7tbQk_0C0O53JVUJ107no/edit#gid=79001435"",""2025-26!o3"")"),59.0)</f>
        <v>59</v>
      </c>
      <c r="AD82" s="55">
        <f>IFERROR(__xludf.DUMMYFUNCTION("importrange(""https://docs.google.com/spreadsheets/d/1yLhrKcjt1xaec0PTD-O5wT7tbQk_0C0O53JVUJ107no/edit#gid=79001435"",""2025-26!p4"")"),6628450.0)</f>
        <v>6628450</v>
      </c>
      <c r="AE82" s="55">
        <f>IFERROR(__xludf.DUMMYFUNCTION("importrange(""https://docs.google.com/spreadsheets/d/1yLhrKcjt1xaec0PTD-O5wT7tbQk_0C0O53JVUJ107no/edit#gid=79001435"",""2025-26!p3"")"),70.0)</f>
        <v>70</v>
      </c>
      <c r="AF82" s="55">
        <f>IFERROR(__xludf.DUMMYFUNCTION("importrange(""https://docs.google.com/spreadsheets/d/1yLhrKcjt1xaec0PTD-O5wT7tbQk_0C0O53JVUJ107no/edit#gid=79001435"",""2025-26!q4"")"),4504905.829999999)</f>
        <v>4504905.83</v>
      </c>
      <c r="AG82" s="55">
        <f>IFERROR(__xludf.DUMMYFUNCTION("importrange(""https://docs.google.com/spreadsheets/d/1yLhrKcjt1xaec0PTD-O5wT7tbQk_0C0O53JVUJ107no/edit#gid=79001435"",""2025-26!q3"")"),34.0)</f>
        <v>34</v>
      </c>
      <c r="AH82" s="58">
        <f t="shared" si="20"/>
        <v>0.7646618742</v>
      </c>
      <c r="AI82" s="55">
        <f>IFERROR(__xludf.DUMMYFUNCTION("importrange(""https://docs.google.com/spreadsheets/d/1yLhrKcjt1xaec0PTD-O5wT7tbQk_0C0O53JVUJ107no/edit#gid=79001435"",""2025-26!r4"")"),5068523.0)</f>
        <v>5068523</v>
      </c>
      <c r="AJ82" s="55">
        <f>IFERROR(__xludf.DUMMYFUNCTION("importrange(""https://docs.google.com/spreadsheets/d/1yLhrKcjt1xaec0PTD-O5wT7tbQk_0C0O53JVUJ107no/edit#gid=79001435"",""2025-26!r3"")"),52.0)</f>
        <v>52</v>
      </c>
      <c r="AK82" s="55">
        <f>IFERROR(__xludf.DUMMYFUNCTION("importrange(""https://docs.google.com/spreadsheets/d/1yLhrKcjt1xaec0PTD-O5wT7tbQk_0C0O53JVUJ107no/edit#gid=79001435"",""2025-26!s4"")"),6628450.0)</f>
        <v>6628450</v>
      </c>
      <c r="AL82" s="55">
        <f>IFERROR(__xludf.DUMMYFUNCTION("importrange(""https://docs.google.com/spreadsheets/d/1yLhrKcjt1xaec0PTD-O5wT7tbQk_0C0O53JVUJ107no/edit#gid=79001435"",""2025-26!s3"")"),70.0)</f>
        <v>70</v>
      </c>
      <c r="AM82" s="57">
        <f>IFERROR(__xludf.DUMMYFUNCTION("importrange(""https://docs.google.com/spreadsheets/d/1yLhrKcjt1xaec0PTD-O5wT7tbQk_0C0O53JVUJ107no/edit#gid=79001435"",""2025-26!t4"")"),5235191.94)</f>
        <v>5235191.94</v>
      </c>
      <c r="AN82" s="55">
        <f>IFERROR(__xludf.DUMMYFUNCTION("importrange(""https://docs.google.com/spreadsheets/d/1yLhrKcjt1xaec0PTD-O5wT7tbQk_0C0O53JVUJ107no/edit#gid=79001435"",""2025-26!t3"")"),43.0)</f>
        <v>43</v>
      </c>
      <c r="AO82" s="58">
        <f t="shared" si="21"/>
        <v>0.9074540805</v>
      </c>
      <c r="AP82" s="55">
        <f>IFERROR(__xludf.DUMMYFUNCTION("importrange(""https://docs.google.com/spreadsheets/d/1yLhrKcjt1xaec0PTD-O5wT7tbQk_0C0O53JVUJ107no/edit#gid=79001435"",""2025-26!u4"")"),6015014.0)</f>
        <v>6015014</v>
      </c>
      <c r="AQ82" s="55">
        <f>IFERROR(__xludf.DUMMYFUNCTION("importrange(""https://docs.google.com/spreadsheets/d/1yLhrKcjt1xaec0PTD-O5wT7tbQk_0C0O53JVUJ107no/edit#gid=79001435"",""2025-26!u3"")"),47.0)</f>
        <v>47</v>
      </c>
      <c r="AR82" s="55">
        <f>IFERROR(__xludf.DUMMYFUNCTION("importrange(""https://docs.google.com/spreadsheets/d/1yLhrKcjt1xaec0PTD-O5wT7tbQk_0C0O53JVUJ107no/edit#gid=79001435"",""2025-26!v4"")"),6628450.0)</f>
        <v>6628450</v>
      </c>
      <c r="AS82" s="55">
        <f>IFERROR(__xludf.DUMMYFUNCTION("importrange(""https://docs.google.com/spreadsheets/d/1yLhrKcjt1xaec0PTD-O5wT7tbQk_0C0O53JVUJ107no/edit#gid=79001435"",""2025-26!v3"")"),70.0)</f>
        <v>70</v>
      </c>
      <c r="AT82" s="57">
        <f>IFERROR(__xludf.DUMMYFUNCTION("importrange(""https://docs.google.com/spreadsheets/d/1yLhrKcjt1xaec0PTD-O5wT7tbQk_0C0O53JVUJ107no/edit#gid=79001435"",""2025-26!w4"")"),4498029.390000001)</f>
        <v>4498029.39</v>
      </c>
      <c r="AU82" s="55">
        <f>IFERROR(__xludf.DUMMYFUNCTION("importrange(""https://docs.google.com/spreadsheets/d/1yLhrKcjt1xaec0PTD-O5wT7tbQk_0C0O53JVUJ107no/edit#gid=79001435"",""2025-26!w3"")"),39.0)</f>
        <v>39</v>
      </c>
      <c r="AV82" s="58">
        <f t="shared" si="22"/>
        <v>0.7489665005</v>
      </c>
      <c r="AW82" s="55">
        <f>IFERROR(__xludf.DUMMYFUNCTION("importrange(""https://docs.google.com/spreadsheets/d/1yLhrKcjt1xaec0PTD-O5wT7tbQk_0C0O53JVUJ107no/edit#gid=79001435"",""2025-26!x4"")"),4964487.0)</f>
        <v>4964487</v>
      </c>
      <c r="AX82" s="55">
        <f>IFERROR(__xludf.DUMMYFUNCTION("importrange(""https://docs.google.com/spreadsheets/d/1yLhrKcjt1xaec0PTD-O5wT7tbQk_0C0O53JVUJ107no/edit#gid=79001435"",""2025-26!x3"")"),44.0)</f>
        <v>44</v>
      </c>
      <c r="AY82" s="55">
        <f>IFERROR(__xludf.DUMMYFUNCTION("importrange(""https://docs.google.com/spreadsheets/d/1yLhrKcjt1xaec0PTD-O5wT7tbQk_0C0O53JVUJ107no/edit#gid=79001435"",""2025-26!y4"")"),6628450.0)</f>
        <v>6628450</v>
      </c>
      <c r="AZ82" s="55">
        <f>IFERROR(__xludf.DUMMYFUNCTION("importrange(""https://docs.google.com/spreadsheets/d/1yLhrKcjt1xaec0PTD-O5wT7tbQk_0C0O53JVUJ107no/edit#gid=79001435"",""2025-26!y3"")"),70.0)</f>
        <v>70</v>
      </c>
      <c r="BA82" s="57">
        <f>IFERROR(__xludf.DUMMYFUNCTION("importrange(""https://docs.google.com/spreadsheets/d/1yLhrKcjt1xaec0PTD-O5wT7tbQk_0C0O53JVUJ107no/edit#gid=79001435"",""2025-26!z4"")"),3927893.2000000007)</f>
        <v>3927893.2</v>
      </c>
      <c r="BB82" s="55">
        <f>IFERROR(__xludf.DUMMYFUNCTION("importrange(""https://docs.google.com/spreadsheets/d/1yLhrKcjt1xaec0PTD-O5wT7tbQk_0C0O53JVUJ107no/edit#gid=79001435"",""2025-26!z3"")"),28.0)</f>
        <v>28</v>
      </c>
      <c r="BC82" s="59">
        <f t="shared" si="23"/>
        <v>0.6344250918</v>
      </c>
      <c r="BD82" s="55">
        <f>IFERROR(__xludf.DUMMYFUNCTION("importrange(""https://docs.google.com/spreadsheets/d/1yLhrKcjt1xaec0PTD-O5wT7tbQk_0C0O53JVUJ107no/edit#gid=79001435"",""2025-26!aa4"")"),4205255.0)</f>
        <v>4205255</v>
      </c>
      <c r="BE82" s="55">
        <f>IFERROR(__xludf.DUMMYFUNCTION("importrange(""https://docs.google.com/spreadsheets/d/1yLhrKcjt1xaec0PTD-O5wT7tbQk_0C0O53JVUJ107no/edit#gid=79001435"",""2025-26!aa3"")"),41.0)</f>
        <v>41</v>
      </c>
      <c r="BF82" s="55">
        <f>IFERROR(__xludf.DUMMYFUNCTION("importrange(""https://docs.google.com/spreadsheets/d/1yLhrKcjt1xaec0PTD-O5wT7tbQk_0C0O53JVUJ107no/edit#gid=79001435"",""2025-26!ab4"")"),6628450.0)</f>
        <v>6628450</v>
      </c>
      <c r="BG82" s="55">
        <f>IFERROR(__xludf.DUMMYFUNCTION("importrange(""https://docs.google.com/spreadsheets/d/1yLhrKcjt1xaec0PTD-O5wT7tbQk_0C0O53JVUJ107no/edit#gid=79001435"",""2025-26!ab3"")"),70.0)</f>
        <v>70</v>
      </c>
      <c r="BH82" s="55">
        <f>IFERROR(__xludf.DUMMYFUNCTION("importrange(""https://docs.google.com/spreadsheets/d/1yLhrKcjt1xaec0PTD-O5wT7tbQk_0C0O53JVUJ107no/edit#gid=79001435"",""2025-26!ac4"")"),1465676.9200000002)</f>
        <v>1465676.92</v>
      </c>
      <c r="BI82" s="55">
        <f>IFERROR(__xludf.DUMMYFUNCTION("importrange(""https://docs.google.com/spreadsheets/d/1yLhrKcjt1xaec0PTD-O5wT7tbQk_0C0O53JVUJ107no/edit#gid=79001435"",""2025-26!ac3"")"),4.0)</f>
        <v>4</v>
      </c>
      <c r="BJ82" s="59">
        <f t="shared" si="24"/>
        <v>0.7396635714</v>
      </c>
      <c r="BK82" s="55">
        <f>IFERROR(__xludf.DUMMYFUNCTION("importrange(""https://docs.google.com/spreadsheets/d/1yLhrKcjt1xaec0PTD-O5wT7tbQk_0C0O53JVUJ107no/edit#gid=79001435"",""2025-26!ad4"")"),4902823.0)</f>
        <v>4902823</v>
      </c>
      <c r="BL82" s="55">
        <f>IFERROR(__xludf.DUMMYFUNCTION("importrange(""https://docs.google.com/spreadsheets/d/1yLhrKcjt1xaec0PTD-O5wT7tbQk_0C0O53JVUJ107no/edit#gid=79001435"",""2025-26!ad3"")"),60.0)</f>
        <v>60</v>
      </c>
      <c r="BM82" s="55">
        <f>IFERROR(__xludf.DUMMYFUNCTION("importrange(""https://docs.google.com/spreadsheets/d/1yLhrKcjt1xaec0PTD-O5wT7tbQk_0C0O53JVUJ107no/edit#gid=79001435"",""2025-26!ae4"")"),6628450.0)</f>
        <v>6628450</v>
      </c>
      <c r="BN82" s="55">
        <f>IFERROR(__xludf.DUMMYFUNCTION("importrange(""https://docs.google.com/spreadsheets/d/1yLhrKcjt1xaec0PTD-O5wT7tbQk_0C0O53JVUJ107no/edit#gid=79001435"",""2025-26!ae3"")"),70.0)</f>
        <v>70</v>
      </c>
      <c r="BO82" s="55">
        <f>IFERROR(__xludf.DUMMYFUNCTION("importrange(""https://docs.google.com/spreadsheets/d/1yLhrKcjt1xaec0PTD-O5wT7tbQk_0C0O53JVUJ107no/edit#gid=79001435"",""2025-26!af4"")"),2075013.2399999998)</f>
        <v>2075013.24</v>
      </c>
      <c r="BP82" s="55">
        <f>IFERROR(__xludf.DUMMYFUNCTION("importrange(""https://docs.google.com/spreadsheets/d/1yLhrKcjt1xaec0PTD-O5wT7tbQk_0C0O53JVUJ107no/edit#gid=79001435"",""2025-26!af3"")"),13.0)</f>
        <v>13</v>
      </c>
      <c r="BQ82" s="59">
        <f t="shared" si="25"/>
        <v>0.3870120466</v>
      </c>
      <c r="BR82" s="55">
        <f>IFERROR(__xludf.DUMMYFUNCTION("importrange(""https://docs.google.com/spreadsheets/d/1yLhrKcjt1xaec0PTD-O5wT7tbQk_0C0O53JVUJ107no/edit#gid=79001435"",""2025-26!ag4"")"),2565290.0)</f>
        <v>2565290</v>
      </c>
      <c r="BS82" s="55">
        <f>IFERROR(__xludf.DUMMYFUNCTION("importrange(""https://docs.google.com/spreadsheets/d/1yLhrKcjt1xaec0PTD-O5wT7tbQk_0C0O53JVUJ107no/edit#gid=79001435"",""2025-26!ag3"")"),16.0)</f>
        <v>16</v>
      </c>
      <c r="BT82" s="55">
        <f>IFERROR(__xludf.DUMMYFUNCTION("importrange(""https://docs.google.com/spreadsheets/d/1yLhrKcjt1xaec0PTD-O5wT7tbQk_0C0O53JVUJ107no/edit#gid=79001435"",""2025-26!ah4"")"),6628450.0)</f>
        <v>6628450</v>
      </c>
      <c r="BU82" s="55">
        <f>IFERROR(__xludf.DUMMYFUNCTION("importrange(""https://docs.google.com/spreadsheets/d/1yLhrKcjt1xaec0PTD-O5wT7tbQk_0C0O53JVUJ107no/edit#gid=79001435"",""2025-26!ah3"")"),70.0)</f>
        <v>70</v>
      </c>
      <c r="BV82" s="55">
        <f>IFERROR(__xludf.DUMMYFUNCTION("importrange(""https://docs.google.com/spreadsheets/d/1yLhrKcjt1xaec0PTD-O5wT7tbQk_0C0O53JVUJ107no/edit#gid=79001435"",""2025-26!ai4"")"),530134.62)</f>
        <v>530134.62</v>
      </c>
      <c r="BW82" s="55">
        <f>IFERROR(__xludf.DUMMYFUNCTION("importrange(""https://docs.google.com/spreadsheets/d/1yLhrKcjt1xaec0PTD-O5wT7tbQk_0C0O53JVUJ107no/edit#gid=79001435"",""2025-26!ai3"")"),6.0)</f>
        <v>6</v>
      </c>
      <c r="BX82" s="59">
        <f t="shared" si="26"/>
        <v>0.2523657869</v>
      </c>
      <c r="BY82" s="55">
        <f>IFERROR(__xludf.DUMMYFUNCTION("importrange(""https://docs.google.com/spreadsheets/d/1yLhrKcjt1xaec0PTD-O5wT7tbQk_0C0O53JVUJ107no/edit#gid=79001435"",""2025-26!aj4"")"),1672794.0)</f>
        <v>1672794</v>
      </c>
      <c r="BZ82" s="55">
        <f>IFERROR(__xludf.DUMMYFUNCTION("importrange(""https://docs.google.com/spreadsheets/d/1yLhrKcjt1xaec0PTD-O5wT7tbQk_0C0O53JVUJ107no/edit#gid=79001435"",""2025-26!aj3"")"),18.0)</f>
        <v>18</v>
      </c>
      <c r="CA82" s="55">
        <f>IFERROR(__xludf.DUMMYFUNCTION("importrange(""https://docs.google.com/spreadsheets/d/1yLhrKcjt1xaec0PTD-O5wT7tbQk_0C0O53JVUJ107no/edit#gid=79001435"",""2025-26!ak4"")"),6628450.0)</f>
        <v>6628450</v>
      </c>
      <c r="CB82" s="55">
        <f>IFERROR(__xludf.DUMMYFUNCTION("importrange(""https://docs.google.com/spreadsheets/d/1yLhrKcjt1xaec0PTD-O5wT7tbQk_0C0O53JVUJ107no/edit#gid=79001435"",""2025-26!ak3"")"),70.0)</f>
        <v>70</v>
      </c>
      <c r="CC82" s="55">
        <f>IFERROR(__xludf.DUMMYFUNCTION("importrange(""https://docs.google.com/spreadsheets/d/1yLhrKcjt1xaec0PTD-O5wT7tbQk_0C0O53JVUJ107no/edit#gid=79001435"",""2025-26!al4"")"),943579.9500000001)</f>
        <v>943579.95</v>
      </c>
      <c r="CD82" s="55">
        <f>IFERROR(__xludf.DUMMYFUNCTION("importrange(""https://docs.google.com/spreadsheets/d/1yLhrKcjt1xaec0PTD-O5wT7tbQk_0C0O53JVUJ107no/edit#gid=79001435"",""2025-26!ai3"")"),6.0)</f>
        <v>6</v>
      </c>
      <c r="CE82" s="59">
        <f t="shared" si="27"/>
        <v>0.4302633346</v>
      </c>
      <c r="CF82" s="55">
        <f>IFERROR(__xludf.DUMMYFUNCTION("importrange(""https://docs.google.com/spreadsheets/d/1yLhrKcjt1xaec0PTD-O5wT7tbQk_0C0O53JVUJ107no/edit#gid=79001435"",""2025-26!am4"")"),2851979.0)</f>
        <v>2851979</v>
      </c>
      <c r="CG82" s="55">
        <f>IFERROR(__xludf.DUMMYFUNCTION("importrange(""https://docs.google.com/spreadsheets/d/1yLhrKcjt1xaec0PTD-O5wT7tbQk_0C0O53JVUJ107no/edit#gid=79001435"",""2025-26!am3"")"),21.0)</f>
        <v>21</v>
      </c>
      <c r="CH82" s="55">
        <f>IFERROR(__xludf.DUMMYFUNCTION("importrange(""https://docs.google.com/spreadsheets/d/1yLhrKcjt1xaec0PTD-O5wT7tbQk_0C0O53JVUJ107no/edit#gid=79001435"",""2025-26!an4"")"),6642450.0)</f>
        <v>6642450</v>
      </c>
      <c r="CI82" s="55">
        <f>IFERROR(__xludf.DUMMYFUNCTION("importrange(""https://docs.google.com/spreadsheets/d/1yLhrKcjt1xaec0PTD-O5wT7tbQk_0C0O53JVUJ107no/edit#gid=79001435"",""2025-26!an3"")"),70.0)</f>
        <v>70</v>
      </c>
      <c r="CJ82" s="55">
        <f>IFERROR(__xludf.DUMMYFUNCTION("importrange(""https://docs.google.com/spreadsheets/d/1yLhrKcjt1xaec0PTD-O5wT7tbQk_0C0O53JVUJ107no/edit#gid=79001435"",""2025-26!ao4"")"),2362112.25)</f>
        <v>2362112.25</v>
      </c>
      <c r="CK82" s="55">
        <f>IFERROR(__xludf.DUMMYFUNCTION("importrange(""https://docs.google.com/spreadsheets/d/1yLhrKcjt1xaec0PTD-O5wT7tbQk_0C0O53JVUJ107no/edit#gid=79001435"",""2025-26!ao3"")"),13.0)</f>
        <v>13</v>
      </c>
      <c r="CL82" s="59">
        <f t="shared" si="28"/>
        <v>0.6249445611</v>
      </c>
      <c r="CM82" s="55">
        <f>IFERROR(__xludf.DUMMYFUNCTION("importrange(""https://docs.google.com/spreadsheets/d/1yLhrKcjt1xaec0PTD-O5wT7tbQk_0C0O53JVUJ107no/edit#gid=79001435"",""2025-26!ap4"")"),4151163.0)</f>
        <v>4151163</v>
      </c>
      <c r="CN82" s="55">
        <f>IFERROR(__xludf.DUMMYFUNCTION("importrange(""https://docs.google.com/spreadsheets/d/1yLhrKcjt1xaec0PTD-O5wT7tbQk_0C0O53JVUJ107no/edit#gid=79001435"",""2025-26!ap3"")"),29.0)</f>
        <v>29</v>
      </c>
      <c r="CO82" s="55">
        <f>IFERROR(__xludf.DUMMYFUNCTION("importrange(""https://docs.google.com/spreadsheets/d/1yLhrKcjt1xaec0PTD-O5wT7tbQk_0C0O53JVUJ107no/edit#gid=79001435"",""2025-26!aq4"")"),6661850.0)</f>
        <v>6661850</v>
      </c>
      <c r="CP82" s="55">
        <f>IFERROR(__xludf.DUMMYFUNCTION("importrange(""https://docs.google.com/spreadsheets/d/1yLhrKcjt1xaec0PTD-O5wT7tbQk_0C0O53JVUJ107no/edit#gid=79001435"",""2025-26!aq3"")"),70.0)</f>
        <v>70</v>
      </c>
      <c r="CQ82" s="55">
        <f>IFERROR(__xludf.DUMMYFUNCTION("importrange(""https://docs.google.com/spreadsheets/d/1yLhrKcjt1xaec0PTD-O5wT7tbQk_0C0O53JVUJ107no/edit#gid=79001435"",""2025-26!ar4"")"),2535717.97)</f>
        <v>2535717.97</v>
      </c>
      <c r="CR82" s="55">
        <f>IFERROR(__xludf.DUMMYFUNCTION("importrange(""https://docs.google.com/spreadsheets/d/1yLhrKcjt1xaec0PTD-O5wT7tbQk_0C0O53JVUJ107no/edit#gid=79001435"",""2025-26!ar3"")"),15.0)</f>
        <v>15</v>
      </c>
      <c r="CS82" s="59">
        <f t="shared" si="29"/>
        <v>0.7128772038</v>
      </c>
      <c r="CT82" s="55">
        <f>IFERROR(__xludf.DUMMYFUNCTION("importrange(""https://docs.google.com/spreadsheets/d/1yLhrKcjt1xaec0PTD-O5wT7tbQk_0C0O53JVUJ107no/edit#gid=79001435"",""2025-26!as4"")"),4749081.0)</f>
        <v>4749081</v>
      </c>
      <c r="CU82" s="55">
        <f>IFERROR(__xludf.DUMMYFUNCTION("importrange(""https://docs.google.com/spreadsheets/d/1yLhrKcjt1xaec0PTD-O5wT7tbQk_0C0O53JVUJ107no/edit#gid=79001435"",""2025-26!as3"")"),36.0)</f>
        <v>36</v>
      </c>
      <c r="CV82" s="60" t="s">
        <v>189</v>
      </c>
    </row>
    <row r="83">
      <c r="A83" s="1" t="s">
        <v>185</v>
      </c>
      <c r="B83" s="37"/>
      <c r="C83" s="64" t="s">
        <v>193</v>
      </c>
      <c r="D83" s="50" t="s">
        <v>187</v>
      </c>
      <c r="E83" s="50">
        <v>9.831147525E9</v>
      </c>
      <c r="F83" s="74">
        <v>41400.0</v>
      </c>
      <c r="G83" s="62"/>
      <c r="H83" s="62"/>
      <c r="I83" s="53">
        <v>74167.0</v>
      </c>
      <c r="J83" s="54">
        <v>8500000.0</v>
      </c>
      <c r="K83" s="57">
        <f>IFERROR(__xludf.DUMMYFUNCTION("IMPORTRANGE(""https://docs.google.com/spreadsheets/d/1rAogo87KmLoM9x6aHBi4Bu9Yxi5qzdkfU9lA5e8X9NY/edit#gid=13496163530"",""2025-26!A3"")"),58.0)</f>
        <v>58</v>
      </c>
      <c r="L83" s="57">
        <f>IFERROR(__xludf.DUMMYFUNCTION("IMPORTRANGE(""https://docs.google.com/spreadsheets/d/1rAogo87KmLoM9x6aHBi4Bu9Yxi5qzdkfU9lA5e8X9NY/edit#gid=13496163530"",""2025-26!G4"")"),9.565E7)</f>
        <v>95650000</v>
      </c>
      <c r="M83" s="57">
        <f t="shared" si="50"/>
        <v>61300485.68</v>
      </c>
      <c r="N83" s="56">
        <f t="shared" si="51"/>
        <v>0.6406462164</v>
      </c>
      <c r="O83" s="57">
        <f t="shared" si="52"/>
        <v>61277810.6</v>
      </c>
      <c r="P83" s="55">
        <f>IFERROR(__xludf.DUMMYFUNCTION("IMPORTRANGE(""https://docs.google.com/spreadsheets/d/1rAogo87KmLoM9x6aHBi4Bu9Yxi5qzdkfU9lA5e8X9NY/edit#gid=13496163530"",""2025-26!J4"")"),7970833.333333332)</f>
        <v>7970833.333</v>
      </c>
      <c r="Q83" s="55">
        <f>IFERROR(__xludf.DUMMYFUNCTION("IMPORTRANGE(""https://docs.google.com/spreadsheets/d/1rAogo87KmLoM9x6aHBi4Bu9Yxi5qzdkfU9lA5e8X9NY/edit#gid=13496163530"",""2025-26!J3"")"),52.0)</f>
        <v>52</v>
      </c>
      <c r="R83" s="55">
        <f>IFERROR(__xludf.DUMMYFUNCTION("IMPORTRANGE(""https://docs.google.com/spreadsheets/d/1rAogo87KmLoM9x6aHBi4Bu9Yxi5qzdkfU9lA5e8X9NY/edit#gid=13496163530"",""2025-26!K4"")"),2791024.66)</f>
        <v>2791024.66</v>
      </c>
      <c r="S83" s="55">
        <f>IFERROR(__xludf.DUMMYFUNCTION("IMPORTRANGE(""https://docs.google.com/spreadsheets/d/1rAogo87KmLoM9x6aHBi4Bu9Yxi5qzdkfU9lA5e8X9NY/edit#gid=13496163530"",""2025-26!K3"")"),23.0)</f>
        <v>23</v>
      </c>
      <c r="T83" s="58">
        <f t="shared" si="18"/>
        <v>0.3237368657</v>
      </c>
      <c r="U83" s="55">
        <f>IFERROR(__xludf.DUMMYFUNCTION("IMPORTRANGE(""https://docs.google.com/spreadsheets/d/1rAogo87KmLoM9x6aHBi4Bu9Yxi5qzdkfU9lA5e8X9NY/edit#gid=13496163530"",""2025-26!L4"")"),2580452.6)</f>
        <v>2580452.6</v>
      </c>
      <c r="V83" s="79">
        <f>IFERROR(__xludf.DUMMYFUNCTION("IMPORTRANGE(""https://docs.google.com/spreadsheets/d/1rAogo87KmLoM9x6aHBi4Bu9Yxi5qzdkfU9lA5e8X9NY/edit#gid=13496163530"",""2025-26!L3"")"),24.0)</f>
        <v>24</v>
      </c>
      <c r="W83" s="55">
        <f>IFERROR(__xludf.DUMMYFUNCTION("IMPORTRANGE(""https://docs.google.com/spreadsheets/d/1rAogo87KmLoM9x6aHBi4Bu9Yxi5qzdkfU9lA5e8X9NY/edit#gid=13496163530"",""2025-26!M4"")"),7970833.333333332)</f>
        <v>7970833.333</v>
      </c>
      <c r="X83" s="79">
        <f>IFERROR(__xludf.DUMMYFUNCTION("IMPORTRANGE(""https://docs.google.com/spreadsheets/d/1rAogo87KmLoM9x6aHBi4Bu9Yxi5qzdkfU9lA5e8X9NY/edit#gid=13496163530"",""2025-26!M3"")"),52.0)</f>
        <v>52</v>
      </c>
      <c r="Y83" s="55">
        <f>IFERROR(__xludf.DUMMYFUNCTION("importrange(""https://docs.google.com/spreadsheets/d/1rAogo87KmLoM9x6aHBi4Bu9Yxi5qzdkfU9lA5e8X9NY/edit#gid=13496163530"",""2025-26!n4"")"),4533724.879999999)</f>
        <v>4533724.88</v>
      </c>
      <c r="Z83" s="55">
        <f>IFERROR(__xludf.DUMMYFUNCTION("importrange(""https://docs.google.com/spreadsheets/d/1rAogo87KmLoM9x6aHBi4Bu9Yxi5qzdkfU9lA5e8X9NY/edit#gid=13496163530"",""2025-26!n3"")"),34.0)</f>
        <v>34</v>
      </c>
      <c r="AA83" s="58">
        <f t="shared" si="19"/>
        <v>0.5578091793</v>
      </c>
      <c r="AB83" s="55">
        <f>IFERROR(__xludf.DUMMYFUNCTION("importrange(""https://docs.google.com/spreadsheets/d/1rAogo87KmLoM9x6aHBi4Bu9Yxi5qzdkfU9lA5e8X9NY/edit#gid=13496163530"",""2025-26!o4"")"),4446204.0)</f>
        <v>4446204</v>
      </c>
      <c r="AC83" s="55">
        <f>IFERROR(__xludf.DUMMYFUNCTION("importrange(""https://docs.google.com/spreadsheets/d/1rAogo87KmLoM9x6aHBi4Bu9Yxi5qzdkfU9lA5e8X9NY/edit#gid=13496163530"",""2025-26!o3"")"),35.0)</f>
        <v>35</v>
      </c>
      <c r="AD83" s="55">
        <f>IFERROR(__xludf.DUMMYFUNCTION("importrange(""https://docs.google.com/spreadsheets/d/1rAogo87KmLoM9x6aHBi4Bu9Yxi5qzdkfU9lA5e8X9NY/edit#gid=13496163530"",""2025-26!p4"")"),7970833.333333332)</f>
        <v>7970833.333</v>
      </c>
      <c r="AE83" s="55">
        <f>IFERROR(__xludf.DUMMYFUNCTION("importrange(""https://docs.google.com/spreadsheets/d/1rAogo87KmLoM9x6aHBi4Bu9Yxi5qzdkfU9lA5e8X9NY/edit#gid=13496163530"",""2025-26!p3"")"),52.0)</f>
        <v>52</v>
      </c>
      <c r="AF83" s="55">
        <f>IFERROR(__xludf.DUMMYFUNCTION("importrange(""https://docs.google.com/spreadsheets/d/1rAogo87KmLoM9x6aHBi4Bu9Yxi5qzdkfU9lA5e8X9NY/edit#gid=13496163530"",""2025-26!q4"")"),1.0172913185703125E7)</f>
        <v>10172913.19</v>
      </c>
      <c r="AG83" s="55">
        <f>IFERROR(__xludf.DUMMYFUNCTION("importrange(""https://docs.google.com/spreadsheets/d/1rAogo87KmLoM9x6aHBi4Bu9Yxi5qzdkfU9lA5e8X9NY/edit#gid=13496163530"",""2025-26!q3"")"),38.0)</f>
        <v>38</v>
      </c>
      <c r="AH83" s="58">
        <f t="shared" si="20"/>
        <v>1.302269733</v>
      </c>
      <c r="AI83" s="55">
        <f>IFERROR(__xludf.DUMMYFUNCTION("importrange(""https://docs.google.com/spreadsheets/d/1rAogo87KmLoM9x6aHBi4Bu9Yxi5qzdkfU9lA5e8X9NY/edit#gid=13496163530"",""2025-26!r4"")"),1.0380175E7)</f>
        <v>10380175</v>
      </c>
      <c r="AJ83" s="55">
        <f>IFERROR(__xludf.DUMMYFUNCTION("importrange(""https://docs.google.com/spreadsheets/d/1rAogo87KmLoM9x6aHBi4Bu9Yxi5qzdkfU9lA5e8X9NY/edit#gid=13496163530"",""2025-26!r3"")"),38.0)</f>
        <v>38</v>
      </c>
      <c r="AK83" s="55">
        <f>IFERROR(__xludf.DUMMYFUNCTION("importrange(""https://docs.google.com/spreadsheets/d/1rAogo87KmLoM9x6aHBi4Bu9Yxi5qzdkfU9lA5e8X9NY/edit#gid=13496163530"",""2025-26!s4"")"),5265000.0)</f>
        <v>5265000</v>
      </c>
      <c r="AL83" s="55">
        <f>IFERROR(__xludf.DUMMYFUNCTION("importrange(""https://docs.google.com/spreadsheets/d/1rAogo87KmLoM9x6aHBi4Bu9Yxi5qzdkfU9lA5e8X9NY/edit#gid=13496163530"",""2025-26!s3"")"),52.0)</f>
        <v>52</v>
      </c>
      <c r="AM83" s="57">
        <f>IFERROR(__xludf.DUMMYFUNCTION("importrange(""https://docs.google.com/spreadsheets/d/1rAogo87KmLoM9x6aHBi4Bu9Yxi5qzdkfU9lA5e8X9NY/edit#gid=13496163530"",""2025-26!t4"")"),2835823.6799999992)</f>
        <v>2835823.68</v>
      </c>
      <c r="AN83" s="55">
        <f>IFERROR(__xludf.DUMMYFUNCTION("importrange(""https://docs.google.com/spreadsheets/d/1rAogo87KmLoM9x6aHBi4Bu9Yxi5qzdkfU9lA5e8X9NY/edit#gid=13496163530"",""2025-26!t3"")"),20.0)</f>
        <v>20</v>
      </c>
      <c r="AO83" s="58">
        <f t="shared" si="21"/>
        <v>0.4825739791</v>
      </c>
      <c r="AP83" s="55">
        <f>IFERROR(__xludf.DUMMYFUNCTION("importrange(""https://docs.google.com/spreadsheets/d/1rAogo87KmLoM9x6aHBi4Bu9Yxi5qzdkfU9lA5e8X9NY/edit#gid=13496163530"",""2025-26!u4"")"),2540752.0)</f>
        <v>2540752</v>
      </c>
      <c r="AQ83" s="55">
        <f>IFERROR(__xludf.DUMMYFUNCTION("importrange(""https://docs.google.com/spreadsheets/d/1rAogo87KmLoM9x6aHBi4Bu9Yxi5qzdkfU9lA5e8X9NY/edit#gid=13496163530"",""2025-26!u3"")"),21.0)</f>
        <v>21</v>
      </c>
      <c r="AR83" s="55">
        <f>IFERROR(__xludf.DUMMYFUNCTION("importrange(""https://docs.google.com/spreadsheets/d/1rAogo87KmLoM9x6aHBi4Bu9Yxi5qzdkfU9lA5e8X9NY/edit#gid=13496163530"",""2025-26!v4"")"),5265000.0)</f>
        <v>5265000</v>
      </c>
      <c r="AS83" s="55">
        <f>IFERROR(__xludf.DUMMYFUNCTION("importrange(""https://docs.google.com/spreadsheets/d/1rAogo87KmLoM9x6aHBi4Bu9Yxi5qzdkfU9lA5e8X9NY/edit#gid=13496163530"",""2025-26!v3"")"),52.0)</f>
        <v>52</v>
      </c>
      <c r="AT83" s="57">
        <f>IFERROR(__xludf.DUMMYFUNCTION("importrange(""https://docs.google.com/spreadsheets/d/1rAogo87KmLoM9x6aHBi4Bu9Yxi5qzdkfU9lA5e8X9NY/edit#gid=13496163530"",""2025-26!w4"")"),3938801.51)</f>
        <v>3938801.51</v>
      </c>
      <c r="AU83" s="55">
        <f>IFERROR(__xludf.DUMMYFUNCTION("importrange(""https://docs.google.com/spreadsheets/d/1rAogo87KmLoM9x6aHBi4Bu9Yxi5qzdkfU9lA5e8X9NY/edit#gid=13496163530"",""2025-26!w3"")"),29.0)</f>
        <v>29</v>
      </c>
      <c r="AV83" s="58">
        <f t="shared" si="22"/>
        <v>0.7176301994</v>
      </c>
      <c r="AW83" s="55">
        <f>IFERROR(__xludf.DUMMYFUNCTION("importrange(""https://docs.google.com/spreadsheets/d/1rAogo87KmLoM9x6aHBi4Bu9Yxi5qzdkfU9lA5e8X9NY/edit#gid=13496163530"",""2025-26!x4"")"),3778323.0)</f>
        <v>3778323</v>
      </c>
      <c r="AX83" s="55">
        <f>IFERROR(__xludf.DUMMYFUNCTION("importrange(""https://docs.google.com/spreadsheets/d/1rAogo87KmLoM9x6aHBi4Bu9Yxi5qzdkfU9lA5e8X9NY/edit#gid=13496163530"",""2025-26!x3"")"),29.0)</f>
        <v>29</v>
      </c>
      <c r="AY83" s="55">
        <f>IFERROR(__xludf.DUMMYFUNCTION("importrange(""https://docs.google.com/spreadsheets/d/1rAogo87KmLoM9x6aHBi4Bu9Yxi5qzdkfU9lA5e8X9NY/edit#gid=13496163530"",""2025-26!y4"")"),5265000.0)</f>
        <v>5265000</v>
      </c>
      <c r="AZ83" s="55">
        <f>IFERROR(__xludf.DUMMYFUNCTION("importrange(""https://docs.google.com/spreadsheets/d/1rAogo87KmLoM9x6aHBi4Bu9Yxi5qzdkfU9lA5e8X9NY/edit#gid=13496163530"",""2025-26!y3"")"),52.0)</f>
        <v>52</v>
      </c>
      <c r="BA83" s="57">
        <f>IFERROR(__xludf.DUMMYFUNCTION("importrange(""https://docs.google.com/spreadsheets/d/1rAogo87KmLoM9x6aHBi4Bu9Yxi5qzdkfU9lA5e8X9NY/edit#gid=13496163530"",""2025-26!z4"")"),5433197.38)</f>
        <v>5433197.38</v>
      </c>
      <c r="BB83" s="55">
        <f>IFERROR(__xludf.DUMMYFUNCTION("importrange(""https://docs.google.com/spreadsheets/d/1rAogo87KmLoM9x6aHBi4Bu9Yxi5qzdkfU9lA5e8X9NY/edit#gid=13496163530"",""2025-26!z3"")"),24.0)</f>
        <v>24</v>
      </c>
      <c r="BC83" s="59">
        <f t="shared" si="23"/>
        <v>1.012797721</v>
      </c>
      <c r="BD83" s="55">
        <f>IFERROR(__xludf.DUMMYFUNCTION("importrange(""https://docs.google.com/spreadsheets/d/1rAogo87KmLoM9x6aHBi4Bu9Yxi5qzdkfU9lA5e8X9NY/edit#gid=13496163530"",""2025-26!aa4"")"),5332380.0)</f>
        <v>5332380</v>
      </c>
      <c r="BE83" s="55">
        <f>IFERROR(__xludf.DUMMYFUNCTION("importrange(""https://docs.google.com/spreadsheets/d/1rAogo87KmLoM9x6aHBi4Bu9Yxi5qzdkfU9lA5e8X9NY/edit#gid=13496163530"",""2025-26!aa3"")"),25.0)</f>
        <v>25</v>
      </c>
      <c r="BF83" s="55">
        <f>IFERROR(__xludf.DUMMYFUNCTION("importrange(""https://docs.google.com/spreadsheets/d/1rAogo87KmLoM9x6aHBi4Bu9Yxi5qzdkfU9lA5e8X9NY/edit#gid=13496163530"",""2025-26!ab4"")"),3405000.0)</f>
        <v>3405000</v>
      </c>
      <c r="BG83" s="55">
        <f>IFERROR(__xludf.DUMMYFUNCTION("importrange(""https://docs.google.com/spreadsheets/d/1rAogo87KmLoM9x6aHBi4Bu9Yxi5qzdkfU9lA5e8X9NY/edit#gid=13496163530"",""2025-26!ab3"")"),47.0)</f>
        <v>47</v>
      </c>
      <c r="BH83" s="55">
        <f>IFERROR(__xludf.DUMMYFUNCTION("importrange(""https://docs.google.com/spreadsheets/d/1rAogo87KmLoM9x6aHBi4Bu9Yxi5qzdkfU9lA5e8X9NY/edit#gid=13496163530"",""2025-26!ac4"")"),3026949.75)</f>
        <v>3026949.75</v>
      </c>
      <c r="BI83" s="55">
        <f>IFERROR(__xludf.DUMMYFUNCTION("importrange(""https://docs.google.com/spreadsheets/d/1rAogo87KmLoM9x6aHBi4Bu9Yxi5qzdkfU9lA5e8X9NY/edit#gid=13496163530"",""2025-26!ac3"")"),22.0)</f>
        <v>22</v>
      </c>
      <c r="BJ83" s="59">
        <f t="shared" si="24"/>
        <v>0.86569163</v>
      </c>
      <c r="BK83" s="55">
        <f>IFERROR(__xludf.DUMMYFUNCTION("importrange(""https://docs.google.com/spreadsheets/d/1rAogo87KmLoM9x6aHBi4Bu9Yxi5qzdkfU9lA5e8X9NY/edit#gid=13496163530"",""2025-26!ad4"")"),2947680.0)</f>
        <v>2947680</v>
      </c>
      <c r="BL83" s="55">
        <f>IFERROR(__xludf.DUMMYFUNCTION("importrange(""https://docs.google.com/spreadsheets/d/1rAogo87KmLoM9x6aHBi4Bu9Yxi5qzdkfU9lA5e8X9NY/edit#gid=13496163530"",""2025-26!ad3"")"),24.0)</f>
        <v>24</v>
      </c>
      <c r="BM83" s="55">
        <f>IFERROR(__xludf.DUMMYFUNCTION("importrange(""https://docs.google.com/spreadsheets/d/1rAogo87KmLoM9x6aHBi4Bu9Yxi5qzdkfU9lA5e8X9NY/edit#gid=13496163530"",""2025-26!ae4"")"),4195000.0)</f>
        <v>4195000</v>
      </c>
      <c r="BN83" s="55">
        <f>IFERROR(__xludf.DUMMYFUNCTION("importrange(""https://docs.google.com/spreadsheets/d/1rAogo87KmLoM9x6aHBi4Bu9Yxi5qzdkfU9lA5e8X9NY/edit#gid=13496163530"",""2025-26!ae3"")"),43.0)</f>
        <v>43</v>
      </c>
      <c r="BO83" s="55">
        <f>IFERROR(__xludf.DUMMYFUNCTION("importrange(""https://docs.google.com/spreadsheets/d/1rAogo87KmLoM9x6aHBi4Bu9Yxi5qzdkfU9lA5e8X9NY/edit#gid=13496163530"",""2025-26!af4"")"),4253612.899999999)</f>
        <v>4253612.9</v>
      </c>
      <c r="BP83" s="55">
        <f>IFERROR(__xludf.DUMMYFUNCTION("importrange(""https://docs.google.com/spreadsheets/d/1rAogo87KmLoM9x6aHBi4Bu9Yxi5qzdkfU9lA5e8X9NY/edit#gid=13496163530"",""2025-26!af3"")"),25.0)</f>
        <v>25</v>
      </c>
      <c r="BQ83" s="59">
        <f t="shared" si="25"/>
        <v>0.9985318236</v>
      </c>
      <c r="BR83" s="55">
        <f>IFERROR(__xludf.DUMMYFUNCTION("importrange(""https://docs.google.com/spreadsheets/d/1rAogo87KmLoM9x6aHBi4Bu9Yxi5qzdkfU9lA5e8X9NY/edit#gid=13496163530"",""2025-26!ag4"")"),4188841.0)</f>
        <v>4188841</v>
      </c>
      <c r="BS83" s="55">
        <f>IFERROR(__xludf.DUMMYFUNCTION("importrange(""https://docs.google.com/spreadsheets/d/1rAogo87KmLoM9x6aHBi4Bu9Yxi5qzdkfU9lA5e8X9NY/edit#gid=13496163530"",""2025-26!ag3"")"),24.0)</f>
        <v>24</v>
      </c>
      <c r="BT83" s="55">
        <f>IFERROR(__xludf.DUMMYFUNCTION("importrange(""https://docs.google.com/spreadsheets/d/1rAogo87KmLoM9x6aHBi4Bu9Yxi5qzdkfU9lA5e8X9NY/edit#gid=13496163530"",""2025-26!ah4"")"),4420000.0)</f>
        <v>4420000</v>
      </c>
      <c r="BU83" s="55">
        <f>IFERROR(__xludf.DUMMYFUNCTION("importrange(""https://docs.google.com/spreadsheets/d/1rAogo87KmLoM9x6aHBi4Bu9Yxi5qzdkfU9lA5e8X9NY/edit#gid=13496163530"",""2025-26!ah3"")"),41.0)</f>
        <v>41</v>
      </c>
      <c r="BV83" s="55">
        <f>IFERROR(__xludf.DUMMYFUNCTION("importrange(""https://docs.google.com/spreadsheets/d/1rAogo87KmLoM9x6aHBi4Bu9Yxi5qzdkfU9lA5e8X9NY/edit#gid=13496163530"",""2025-26!ai4"")"),5656720.580000002)</f>
        <v>5656720.58</v>
      </c>
      <c r="BW83" s="55">
        <f>IFERROR(__xludf.DUMMYFUNCTION("importrange(""https://docs.google.com/spreadsheets/d/1rAogo87KmLoM9x6aHBi4Bu9Yxi5qzdkfU9lA5e8X9NY/edit#gid=13496163530"",""2025-26!ai3"")"),34.0)</f>
        <v>34</v>
      </c>
      <c r="BX83" s="59">
        <f t="shared" si="26"/>
        <v>1.25138914</v>
      </c>
      <c r="BY83" s="55">
        <f>IFERROR(__xludf.DUMMYFUNCTION("importrange(""https://docs.google.com/spreadsheets/d/1rAogo87KmLoM9x6aHBi4Bu9Yxi5qzdkfU9lA5e8X9NY/edit#gid=13496163530"",""2025-26!aj4"")"),5531140.0)</f>
        <v>5531140</v>
      </c>
      <c r="BZ83" s="55">
        <f>IFERROR(__xludf.DUMMYFUNCTION("importrange(""https://docs.google.com/spreadsheets/d/1rAogo87KmLoM9x6aHBi4Bu9Yxi5qzdkfU9lA5e8X9NY/edit#gid=13496163530"",""2025-26!aj3"")"),33.0)</f>
        <v>33</v>
      </c>
      <c r="CA83" s="55">
        <f>IFERROR(__xludf.DUMMYFUNCTION("importrange(""https://docs.google.com/spreadsheets/d/1rAogo87KmLoM9x6aHBi4Bu9Yxi5qzdkfU9lA5e8X9NY/edit#gid=13496163530"",""2025-26!ak4"")"),3500000.0)</f>
        <v>3500000</v>
      </c>
      <c r="CB83" s="55">
        <f>IFERROR(__xludf.DUMMYFUNCTION("importrange(""https://docs.google.com/spreadsheets/d/1rAogo87KmLoM9x6aHBi4Bu9Yxi5qzdkfU9lA5e8X9NY/edit#gid=13496163530"",""2025-26!ak3"")"),40.0)</f>
        <v>40</v>
      </c>
      <c r="CC83" s="55">
        <f>IFERROR(__xludf.DUMMYFUNCTION("importrange(""https://docs.google.com/spreadsheets/d/1rAogo87KmLoM9x6aHBi4Bu9Yxi5qzdkfU9lA5e8X9NY/edit#gid=13496163530"",""2025-26!al4"")"),4875076.710000001)</f>
        <v>4875076.71</v>
      </c>
      <c r="CD83" s="55">
        <f>IFERROR(__xludf.DUMMYFUNCTION("importrange(""https://docs.google.com/spreadsheets/d/1rAogo87KmLoM9x6aHBi4Bu9Yxi5qzdkfU9lA5e8X9NY/edit#gid=13496163530"",""2025-26!ai3"")"),34.0)</f>
        <v>34</v>
      </c>
      <c r="CE83" s="59">
        <f t="shared" si="27"/>
        <v>1.426417714</v>
      </c>
      <c r="CF83" s="55">
        <f>IFERROR(__xludf.DUMMYFUNCTION("importrange(""https://docs.google.com/spreadsheets/d/1rAogo87KmLoM9x6aHBi4Bu9Yxi5qzdkfU9lA5e8X9NY/edit#gid=13496163530"",""2025-26!am4"")"),4992462.0)</f>
        <v>4992462</v>
      </c>
      <c r="CG83" s="55">
        <f>IFERROR(__xludf.DUMMYFUNCTION("importrange(""https://docs.google.com/spreadsheets/d/1rAogo87KmLoM9x6aHBi4Bu9Yxi5qzdkfU9lA5e8X9NY/edit#gid=13496163530"",""2025-26!am3"")"),28.0)</f>
        <v>28</v>
      </c>
      <c r="CH83" s="55">
        <f>IFERROR(__xludf.DUMMYFUNCTION("importrange(""https://docs.google.com/spreadsheets/d/1rAogo87KmLoM9x6aHBi4Bu9Yxi5qzdkfU9lA5e8X9NY/edit#gid=13496163530"",""2025-26!an4"")"),0.0)</f>
        <v>0</v>
      </c>
      <c r="CI83" s="55">
        <f>IFERROR(__xludf.DUMMYFUNCTION("importrange(""https://docs.google.com/spreadsheets/d/1rAogo87KmLoM9x6aHBi4Bu9Yxi5qzdkfU9lA5e8X9NY/edit#gid=13496163530"",""2025-26!an3"")"),0.0)</f>
        <v>0</v>
      </c>
      <c r="CJ83" s="55">
        <f>IFERROR(__xludf.DUMMYFUNCTION("importrange(""https://docs.google.com/spreadsheets/d/1rAogo87KmLoM9x6aHBi4Bu9Yxi5qzdkfU9lA5e8X9NY/edit#gid=13496163530"",""2025-26!ao4"")"),5957814.040000001)</f>
        <v>5957814.04</v>
      </c>
      <c r="CK83" s="55">
        <f>IFERROR(__xludf.DUMMYFUNCTION("importrange(""https://docs.google.com/spreadsheets/d/1rAogo87KmLoM9x6aHBi4Bu9Yxi5qzdkfU9lA5e8X9NY/edit#gid=13496163530"",""2025-26!ao3"")"),27.0)</f>
        <v>27</v>
      </c>
      <c r="CL83" s="59" t="str">
        <f t="shared" si="28"/>
        <v/>
      </c>
      <c r="CM83" s="55">
        <f>IFERROR(__xludf.DUMMYFUNCTION("importrange(""https://docs.google.com/spreadsheets/d/1rAogo87KmLoM9x6aHBi4Bu9Yxi5qzdkfU9lA5e8X9NY/edit#gid=13496163530"",""2025-26!ap4"")"),5561926.0)</f>
        <v>5561926</v>
      </c>
      <c r="CN83" s="55">
        <f>IFERROR(__xludf.DUMMYFUNCTION("importrange(""https://docs.google.com/spreadsheets/d/1rAogo87KmLoM9x6aHBi4Bu9Yxi5qzdkfU9lA5e8X9NY/edit#gid=13496163530"",""2025-26!ap3"")"),29.0)</f>
        <v>29</v>
      </c>
      <c r="CO83" s="55">
        <f>IFERROR(__xludf.DUMMYFUNCTION("importrange(""https://docs.google.com/spreadsheets/d/1rAogo87KmLoM9x6aHBi4Bu9Yxi5qzdkfU9lA5e8X9NY/edit#gid=13496163530"",""2025-26!aq4"")"),0.0)</f>
        <v>0</v>
      </c>
      <c r="CP83" s="55">
        <f>IFERROR(__xludf.DUMMYFUNCTION("importrange(""https://docs.google.com/spreadsheets/d/1rAogo87KmLoM9x6aHBi4Bu9Yxi5qzdkfU9lA5e8X9NY/edit#gid=13496163530"",""2025-26!aq3"")"),0.0)</f>
        <v>0</v>
      </c>
      <c r="CQ83" s="55">
        <f>IFERROR(__xludf.DUMMYFUNCTION("importrange(""https://docs.google.com/spreadsheets/d/1rAogo87KmLoM9x6aHBi4Bu9Yxi5qzdkfU9lA5e8X9NY/edit#gid=13496163530"",""2025-26!ar4"")"),7824826.4)</f>
        <v>7824826.4</v>
      </c>
      <c r="CR83" s="55">
        <f>IFERROR(__xludf.DUMMYFUNCTION("importrange(""https://docs.google.com/spreadsheets/d/1rAogo87KmLoM9x6aHBi4Bu9Yxi5qzdkfU9lA5e8X9NY/edit#gid=13496163530"",""2025-26!ar3"")"),25.0)</f>
        <v>25</v>
      </c>
      <c r="CS83" s="59" t="str">
        <f t="shared" si="29"/>
        <v/>
      </c>
      <c r="CT83" s="55">
        <f>IFERROR(__xludf.DUMMYFUNCTION("importrange(""https://docs.google.com/spreadsheets/d/1rAogo87KmLoM9x6aHBi4Bu9Yxi5qzdkfU9lA5e8X9NY/edit#gid=13496163530"",""2025-26!as4"")"),8997475.0)</f>
        <v>8997475</v>
      </c>
      <c r="CU83" s="55">
        <f>IFERROR(__xludf.DUMMYFUNCTION("importrange(""https://docs.google.com/spreadsheets/d/1rAogo87KmLoM9x6aHBi4Bu9Yxi5qzdkfU9lA5e8X9NY/edit#gid=13496163530"",""2025-26!as3"")"),30.0)</f>
        <v>30</v>
      </c>
      <c r="CV83" s="60" t="s">
        <v>189</v>
      </c>
    </row>
    <row r="84">
      <c r="A84" s="1" t="s">
        <v>185</v>
      </c>
      <c r="B84" s="37"/>
      <c r="C84" s="64" t="s">
        <v>194</v>
      </c>
      <c r="D84" s="50" t="s">
        <v>195</v>
      </c>
      <c r="E84" s="50">
        <v>9.337378915E9</v>
      </c>
      <c r="F84" s="74">
        <v>41563.0</v>
      </c>
      <c r="G84" s="62"/>
      <c r="H84" s="62"/>
      <c r="I84" s="53">
        <v>42167.0</v>
      </c>
      <c r="J84" s="54">
        <v>2100000.0</v>
      </c>
      <c r="K84" s="57">
        <f>IFERROR(__xludf.DUMMYFUNCTION("IMPORTRANGE(""1zKPpIRi__6SVbgTzjvO6O1sQo3DfJF5zbe0T4GU19c0"",""2025-26!A3"")"),41.0)</f>
        <v>41</v>
      </c>
      <c r="L84" s="57">
        <f>IFERROR(__xludf.DUMMYFUNCTION("IMPORTRANGE(""1zKPpIRi__6SVbgTzjvO6O1sQo3DfJF5zbe0T4GU19c0"",""2025-26!G4"")"),2.51E7)</f>
        <v>25100000</v>
      </c>
      <c r="M84" s="57">
        <f t="shared" si="50"/>
        <v>22853664.8</v>
      </c>
      <c r="N84" s="56">
        <f t="shared" si="51"/>
        <v>0.7948095657</v>
      </c>
      <c r="O84" s="57">
        <f t="shared" si="52"/>
        <v>19949720.1</v>
      </c>
      <c r="P84" s="55">
        <f>IFERROR(__xludf.DUMMYFUNCTION("IMPORTRANGE(""1zKPpIRi__6SVbgTzjvO6O1sQo3DfJF5zbe0T4GU19c0"",""2025-26!J4"")"),2015000.0)</f>
        <v>2015000</v>
      </c>
      <c r="Q84" s="55">
        <f>IFERROR(__xludf.DUMMYFUNCTION("IMPORTRANGE(""1zKPpIRi__6SVbgTzjvO6O1sQo3DfJF5zbe0T4GU19c0"",""2025-26!J3"")"),27.0)</f>
        <v>27</v>
      </c>
      <c r="R84" s="55">
        <f>IFERROR(__xludf.DUMMYFUNCTION("IMPORTRANGE(""1zKPpIRi__6SVbgTzjvO6O1sQo3DfJF5zbe0T4GU19c0"",""2025-26!K4"")"),1258444.2999999998)</f>
        <v>1258444.3</v>
      </c>
      <c r="S84" s="55">
        <f>IFERROR(__xludf.DUMMYFUNCTION("IMPORTRANGE(""1zKPpIRi__6SVbgTzjvO6O1sQo3DfJF5zbe0T4GU19c0"",""2025-26!K3"")"),12.0)</f>
        <v>12</v>
      </c>
      <c r="T84" s="58">
        <f t="shared" si="18"/>
        <v>0.6242934293</v>
      </c>
      <c r="U84" s="55">
        <f>IFERROR(__xludf.DUMMYFUNCTION("IMPORTRANGE(""1zKPpIRi__6SVbgTzjvO6O1sQo3DfJF5zbe0T4GU19c0"",""2025-26!L4"")"),1257951.26)</f>
        <v>1257951.26</v>
      </c>
      <c r="V84" s="79">
        <f>IFERROR(__xludf.DUMMYFUNCTION("IMPORTRANGE(""1zKPpIRi__6SVbgTzjvO6O1sQo3DfJF5zbe0T4GU19c0"",""2025-26!L3"")"),15.0)</f>
        <v>15</v>
      </c>
      <c r="W84" s="55">
        <f>IFERROR(__xludf.DUMMYFUNCTION("IMPORTRANGE(""1zKPpIRi__6SVbgTzjvO6O1sQo3DfJF5zbe0T4GU19c0"",""2025-26!M4"")"),2045000.0)</f>
        <v>2045000</v>
      </c>
      <c r="X84" s="79">
        <f>IFERROR(__xludf.DUMMYFUNCTION("IMPORTRANGE(""1zKPpIRi__6SVbgTzjvO6O1sQo3DfJF5zbe0T4GU19c0"",""2025-26!M3"")"),27.0)</f>
        <v>27</v>
      </c>
      <c r="Y84" s="55">
        <f>IFERROR(__xludf.DUMMYFUNCTION("importrange(""1zKPpIRi__6SVbgTzjvO6O1sQo3DfJF5zbe0T4GU19c0"",""2025-26!n4"")"),1845048.22)</f>
        <v>1845048.22</v>
      </c>
      <c r="Z84" s="55">
        <f>IFERROR(__xludf.DUMMYFUNCTION("importrange(""1zKPpIRi__6SVbgTzjvO6O1sQo3DfJF5zbe0T4GU19c0"",""2025-26!n3"")"),20.0)</f>
        <v>20</v>
      </c>
      <c r="AA84" s="58">
        <f t="shared" si="19"/>
        <v>0.8198856675</v>
      </c>
      <c r="AB84" s="55">
        <f>IFERROR(__xludf.DUMMYFUNCTION("importrange(""1zKPpIRi__6SVbgTzjvO6O1sQo3DfJF5zbe0T4GU19c0"",""2025-26!o4"")"),1676666.1900000004)</f>
        <v>1676666.19</v>
      </c>
      <c r="AC84" s="55">
        <f>IFERROR(__xludf.DUMMYFUNCTION("importrange(""1zKPpIRi__6SVbgTzjvO6O1sQo3DfJF5zbe0T4GU19c0"",""2025-26!o3"")"),21.0)</f>
        <v>21</v>
      </c>
      <c r="AD84" s="55">
        <f>IFERROR(__xludf.DUMMYFUNCTION("importrange(""1zKPpIRi__6SVbgTzjvO6O1sQo3DfJF5zbe0T4GU19c0"",""2025-26!p4"")"),2225000.0)</f>
        <v>2225000</v>
      </c>
      <c r="AE84" s="55">
        <f>IFERROR(__xludf.DUMMYFUNCTION("importrange(""1zKPpIRi__6SVbgTzjvO6O1sQo3DfJF5zbe0T4GU19c0"",""2025-26!p3"")"),27.0)</f>
        <v>27</v>
      </c>
      <c r="AF84" s="55">
        <f>IFERROR(__xludf.DUMMYFUNCTION("importrange(""1zKPpIRi__6SVbgTzjvO6O1sQo3DfJF5zbe0T4GU19c0"",""2025-26!q4"")"),2292278.7)</f>
        <v>2292278.7</v>
      </c>
      <c r="AG84" s="55">
        <f>IFERROR(__xludf.DUMMYFUNCTION("importrange(""1zKPpIRi__6SVbgTzjvO6O1sQo3DfJF5zbe0T4GU19c0"",""2025-26!q3"")"),15.0)</f>
        <v>15</v>
      </c>
      <c r="AH84" s="58">
        <f t="shared" si="20"/>
        <v>0.9299582427</v>
      </c>
      <c r="AI84" s="55">
        <f>IFERROR(__xludf.DUMMYFUNCTION("importrange(""1zKPpIRi__6SVbgTzjvO6O1sQo3DfJF5zbe0T4GU19c0"",""2025-26!r4"")"),2069157.0899999999)</f>
        <v>2069157.09</v>
      </c>
      <c r="AJ84" s="55">
        <f>IFERROR(__xludf.DUMMYFUNCTION("importrange(""1zKPpIRi__6SVbgTzjvO6O1sQo3DfJF5zbe0T4GU19c0"",""2025-26!r3"")"),16.0)</f>
        <v>16</v>
      </c>
      <c r="AK84" s="55">
        <f>IFERROR(__xludf.DUMMYFUNCTION("importrange(""1zKPpIRi__6SVbgTzjvO6O1sQo3DfJF5zbe0T4GU19c0"",""2025-26!s4"")"),1825000.0)</f>
        <v>1825000</v>
      </c>
      <c r="AL84" s="55">
        <f>IFERROR(__xludf.DUMMYFUNCTION("importrange(""1zKPpIRi__6SVbgTzjvO6O1sQo3DfJF5zbe0T4GU19c0"",""2025-26!s3"")"),27.0)</f>
        <v>27</v>
      </c>
      <c r="AM84" s="57">
        <f>IFERROR(__xludf.DUMMYFUNCTION("importrange(""1zKPpIRi__6SVbgTzjvO6O1sQo3DfJF5zbe0T4GU19c0"",""2025-26!t4"")"),1897166.47)</f>
        <v>1897166.47</v>
      </c>
      <c r="AN84" s="55">
        <f>IFERROR(__xludf.DUMMYFUNCTION("importrange(""1zKPpIRi__6SVbgTzjvO6O1sQo3DfJF5zbe0T4GU19c0"",""2025-26!t3"")"),16.0)</f>
        <v>16</v>
      </c>
      <c r="AO84" s="58">
        <f t="shared" si="21"/>
        <v>0.897365063</v>
      </c>
      <c r="AP84" s="55">
        <f>IFERROR(__xludf.DUMMYFUNCTION("importrange(""1zKPpIRi__6SVbgTzjvO6O1sQo3DfJF5zbe0T4GU19c0"",""2025-26!u4"")"),1637691.2400000002)</f>
        <v>1637691.24</v>
      </c>
      <c r="AQ84" s="55">
        <f>IFERROR(__xludf.DUMMYFUNCTION("importrange(""1zKPpIRi__6SVbgTzjvO6O1sQo3DfJF5zbe0T4GU19c0"",""2025-26!u3"")"),17.0)</f>
        <v>17</v>
      </c>
      <c r="AR84" s="55">
        <f>IFERROR(__xludf.DUMMYFUNCTION("importrange(""1zKPpIRi__6SVbgTzjvO6O1sQo3DfJF5zbe0T4GU19c0"",""2025-26!v4"")"),1920000.0)</f>
        <v>1920000</v>
      </c>
      <c r="AS84" s="55">
        <f>IFERROR(__xludf.DUMMYFUNCTION("importrange(""1zKPpIRi__6SVbgTzjvO6O1sQo3DfJF5zbe0T4GU19c0"",""2025-26!v3"")"),27.0)</f>
        <v>27</v>
      </c>
      <c r="AT84" s="57">
        <f>IFERROR(__xludf.DUMMYFUNCTION("importrange(""1zKPpIRi__6SVbgTzjvO6O1sQo3DfJF5zbe0T4GU19c0"",""2025-26!w4"")"),1319196.58)</f>
        <v>1319196.58</v>
      </c>
      <c r="AU84" s="55">
        <f>IFERROR(__xludf.DUMMYFUNCTION("importrange(""1zKPpIRi__6SVbgTzjvO6O1sQo3DfJF5zbe0T4GU19c0"",""2025-26!w3"")"),12.0)</f>
        <v>12</v>
      </c>
      <c r="AV84" s="58">
        <f t="shared" si="22"/>
        <v>0.5513890781</v>
      </c>
      <c r="AW84" s="55">
        <f>IFERROR(__xludf.DUMMYFUNCTION("importrange(""1zKPpIRi__6SVbgTzjvO6O1sQo3DfJF5zbe0T4GU19c0"",""2025-26!x4"")"),1058667.0299999998)</f>
        <v>1058667.03</v>
      </c>
      <c r="AX84" s="55">
        <f>IFERROR(__xludf.DUMMYFUNCTION("importrange(""1zKPpIRi__6SVbgTzjvO6O1sQo3DfJF5zbe0T4GU19c0"",""2025-26!x3"")"),13.0)</f>
        <v>13</v>
      </c>
      <c r="AY84" s="55">
        <f>IFERROR(__xludf.DUMMYFUNCTION("importrange(""1zKPpIRi__6SVbgTzjvO6O1sQo3DfJF5zbe0T4GU19c0"",""2025-26!y4"")"),1815000.0)</f>
        <v>1815000</v>
      </c>
      <c r="AZ84" s="55">
        <f>IFERROR(__xludf.DUMMYFUNCTION("importrange(""1zKPpIRi__6SVbgTzjvO6O1sQo3DfJF5zbe0T4GU19c0"",""2025-26!y3"")"),27.0)</f>
        <v>27</v>
      </c>
      <c r="BA84" s="57">
        <f>IFERROR(__xludf.DUMMYFUNCTION("importrange(""1zKPpIRi__6SVbgTzjvO6O1sQo3DfJF5zbe0T4GU19c0"",""2025-26!z4"")"),1456288.2500000005)</f>
        <v>1456288.25</v>
      </c>
      <c r="BB84" s="55">
        <f>IFERROR(__xludf.DUMMYFUNCTION("importrange(""1zKPpIRi__6SVbgTzjvO6O1sQo3DfJF5zbe0T4GU19c0"",""2025-26!z3"")"),16.0)</f>
        <v>16</v>
      </c>
      <c r="BC84" s="59">
        <f t="shared" si="23"/>
        <v>0.7596854105</v>
      </c>
      <c r="BD84" s="55">
        <f>IFERROR(__xludf.DUMMYFUNCTION("importrange(""1zKPpIRi__6SVbgTzjvO6O1sQo3DfJF5zbe0T4GU19c0"",""2025-26!aa4"")"),1378829.0199999998)</f>
        <v>1378829.02</v>
      </c>
      <c r="BE84" s="55">
        <f>IFERROR(__xludf.DUMMYFUNCTION("importrange(""1zKPpIRi__6SVbgTzjvO6O1sQo3DfJF5zbe0T4GU19c0"",""2025-26!aa3"")"),18.0)</f>
        <v>18</v>
      </c>
      <c r="BF84" s="55">
        <f>IFERROR(__xludf.DUMMYFUNCTION("importrange(""1zKPpIRi__6SVbgTzjvO6O1sQo3DfJF5zbe0T4GU19c0"",""2025-26!ab4"")"),2015000.0)</f>
        <v>2015000</v>
      </c>
      <c r="BG84" s="55">
        <f>IFERROR(__xludf.DUMMYFUNCTION("importrange(""1zKPpIRi__6SVbgTzjvO6O1sQo3DfJF5zbe0T4GU19c0"",""2025-26!ab3"")"),28.0)</f>
        <v>28</v>
      </c>
      <c r="BH84" s="55">
        <f>IFERROR(__xludf.DUMMYFUNCTION("importrange(""1zKPpIRi__6SVbgTzjvO6O1sQo3DfJF5zbe0T4GU19c0"",""2025-26!ac4"")"),1741278.7)</f>
        <v>1741278.7</v>
      </c>
      <c r="BI84" s="55">
        <f>IFERROR(__xludf.DUMMYFUNCTION("importrange(""1zKPpIRi__6SVbgTzjvO6O1sQo3DfJF5zbe0T4GU19c0"",""2025-26!ac3"")"),15.0)</f>
        <v>15</v>
      </c>
      <c r="BJ84" s="59">
        <f t="shared" si="24"/>
        <v>0.7561212854</v>
      </c>
      <c r="BK84" s="55">
        <f>IFERROR(__xludf.DUMMYFUNCTION("importrange(""1zKPpIRi__6SVbgTzjvO6O1sQo3DfJF5zbe0T4GU19c0"",""2025-26!ad4"")"),1523584.3900000004)</f>
        <v>1523584.39</v>
      </c>
      <c r="BL84" s="55">
        <f>IFERROR(__xludf.DUMMYFUNCTION("importrange(""1zKPpIRi__6SVbgTzjvO6O1sQo3DfJF5zbe0T4GU19c0"",""2025-26!ad3"")"),15.0)</f>
        <v>15</v>
      </c>
      <c r="BM84" s="55">
        <f>IFERROR(__xludf.DUMMYFUNCTION("importrange(""1zKPpIRi__6SVbgTzjvO6O1sQo3DfJF5zbe0T4GU19c0"",""2025-26!ae4"")"),2065000.0)</f>
        <v>2065000</v>
      </c>
      <c r="BN84" s="55">
        <f>IFERROR(__xludf.DUMMYFUNCTION("importrange(""1zKPpIRi__6SVbgTzjvO6O1sQo3DfJF5zbe0T4GU19c0"",""2025-26!ae3"")"),29.0)</f>
        <v>29</v>
      </c>
      <c r="BO84" s="55">
        <f>IFERROR(__xludf.DUMMYFUNCTION("importrange(""1zKPpIRi__6SVbgTzjvO6O1sQo3DfJF5zbe0T4GU19c0"",""2025-26!af4"")"),1718386.16)</f>
        <v>1718386.16</v>
      </c>
      <c r="BP84" s="55">
        <f>IFERROR(__xludf.DUMMYFUNCTION("importrange(""1zKPpIRi__6SVbgTzjvO6O1sQo3DfJF5zbe0T4GU19c0"",""2025-26!af3"")"),13.0)</f>
        <v>13</v>
      </c>
      <c r="BQ84" s="59">
        <f t="shared" si="25"/>
        <v>0.7212052107</v>
      </c>
      <c r="BR84" s="55">
        <f>IFERROR(__xludf.DUMMYFUNCTION("importrange(""1zKPpIRi__6SVbgTzjvO6O1sQo3DfJF5zbe0T4GU19c0"",""2025-26!ag4"")"),1489288.76)</f>
        <v>1489288.76</v>
      </c>
      <c r="BS84" s="55">
        <f>IFERROR(__xludf.DUMMYFUNCTION("importrange(""1zKPpIRi__6SVbgTzjvO6O1sQo3DfJF5zbe0T4GU19c0"",""2025-26!ag3"")"),13.0)</f>
        <v>13</v>
      </c>
      <c r="BT84" s="55">
        <f>IFERROR(__xludf.DUMMYFUNCTION("importrange(""1zKPpIRi__6SVbgTzjvO6O1sQo3DfJF5zbe0T4GU19c0"",""2025-26!ah4"")"),2275000.0)</f>
        <v>2275000</v>
      </c>
      <c r="BU84" s="55">
        <f>IFERROR(__xludf.DUMMYFUNCTION("importrange(""1zKPpIRi__6SVbgTzjvO6O1sQo3DfJF5zbe0T4GU19c0"",""2025-26!ah3"")"),27.0)</f>
        <v>27</v>
      </c>
      <c r="BV84" s="55">
        <f>IFERROR(__xludf.DUMMYFUNCTION("importrange(""1zKPpIRi__6SVbgTzjvO6O1sQo3DfJF5zbe0T4GU19c0"",""2025-26!ai4"")"),1918387.9100000001)</f>
        <v>1918387.91</v>
      </c>
      <c r="BW84" s="55">
        <f>IFERROR(__xludf.DUMMYFUNCTION("importrange(""1zKPpIRi__6SVbgTzjvO6O1sQo3DfJF5zbe0T4GU19c0"",""2025-26!ai3"")"),15.0)</f>
        <v>15</v>
      </c>
      <c r="BX84" s="59">
        <f t="shared" si="26"/>
        <v>0.7026374154</v>
      </c>
      <c r="BY84" s="55">
        <f>IFERROR(__xludf.DUMMYFUNCTION("importrange(""1zKPpIRi__6SVbgTzjvO6O1sQo3DfJF5zbe0T4GU19c0"",""2025-26!aj4"")"),1598500.1199999999)</f>
        <v>1598500.12</v>
      </c>
      <c r="BZ84" s="55">
        <f>IFERROR(__xludf.DUMMYFUNCTION("importrange(""1zKPpIRi__6SVbgTzjvO6O1sQo3DfJF5zbe0T4GU19c0"",""2025-26!aj3"")"),16.0)</f>
        <v>16</v>
      </c>
      <c r="CA84" s="55">
        <f>IFERROR(__xludf.DUMMYFUNCTION("importrange(""1zKPpIRi__6SVbgTzjvO6O1sQo3DfJF5zbe0T4GU19c0"",""2025-26!ak4"")"),2355000.0)</f>
        <v>2355000</v>
      </c>
      <c r="CB84" s="55">
        <f>IFERROR(__xludf.DUMMYFUNCTION("importrange(""1zKPpIRi__6SVbgTzjvO6O1sQo3DfJF5zbe0T4GU19c0"",""2025-26!ak3"")"),27.0)</f>
        <v>27</v>
      </c>
      <c r="CC84" s="55">
        <f>IFERROR(__xludf.DUMMYFUNCTION("importrange(""1zKPpIRi__6SVbgTzjvO6O1sQo3DfJF5zbe0T4GU19c0"",""2025-26!al4"")"),2438209.53)</f>
        <v>2438209.53</v>
      </c>
      <c r="CD84" s="55">
        <f>IFERROR(__xludf.DUMMYFUNCTION("importrange(""1zKPpIRi__6SVbgTzjvO6O1sQo3DfJF5zbe0T4GU19c0"",""2025-26!ai3"")"),15.0)</f>
        <v>15</v>
      </c>
      <c r="CE84" s="59">
        <f t="shared" si="27"/>
        <v>0.8367905053</v>
      </c>
      <c r="CF84" s="55">
        <f>IFERROR(__xludf.DUMMYFUNCTION("importrange(""1zKPpIRi__6SVbgTzjvO6O1sQo3DfJF5zbe0T4GU19c0"",""2025-26!am4"")"),1970641.64)</f>
        <v>1970641.64</v>
      </c>
      <c r="CG84" s="55">
        <f>IFERROR(__xludf.DUMMYFUNCTION("importrange(""1zKPpIRi__6SVbgTzjvO6O1sQo3DfJF5zbe0T4GU19c0"",""2025-26!am3"")"),18.0)</f>
        <v>18</v>
      </c>
      <c r="CH84" s="55">
        <f>IFERROR(__xludf.DUMMYFUNCTION("importrange(""1zKPpIRi__6SVbgTzjvO6O1sQo3DfJF5zbe0T4GU19c0"",""2025-26!an4"")"),2485000.0)</f>
        <v>2485000</v>
      </c>
      <c r="CI84" s="55">
        <f>IFERROR(__xludf.DUMMYFUNCTION("importrange(""1zKPpIRi__6SVbgTzjvO6O1sQo3DfJF5zbe0T4GU19c0"",""2025-26!an3"")"),27.0)</f>
        <v>27</v>
      </c>
      <c r="CJ84" s="55">
        <f>IFERROR(__xludf.DUMMYFUNCTION("importrange(""1zKPpIRi__6SVbgTzjvO6O1sQo3DfJF5zbe0T4GU19c0"",""2025-26!ao4"")"),2513246.07)</f>
        <v>2513246.07</v>
      </c>
      <c r="CK84" s="55">
        <f>IFERROR(__xludf.DUMMYFUNCTION("importrange(""1zKPpIRi__6SVbgTzjvO6O1sQo3DfJF5zbe0T4GU19c0"",""2025-26!ao3"")"),15.0)</f>
        <v>15</v>
      </c>
      <c r="CL84" s="59">
        <f t="shared" si="28"/>
        <v>0.8139957344</v>
      </c>
      <c r="CM84" s="55">
        <f>IFERROR(__xludf.DUMMYFUNCTION("importrange(""1zKPpIRi__6SVbgTzjvO6O1sQo3DfJF5zbe0T4GU19c0"",""2025-26!ap4"")"),2022779.4)</f>
        <v>2022779.4</v>
      </c>
      <c r="CN84" s="55">
        <f>IFERROR(__xludf.DUMMYFUNCTION("importrange(""1zKPpIRi__6SVbgTzjvO6O1sQo3DfJF5zbe0T4GU19c0"",""2025-26!ap3"")"),15.0)</f>
        <v>15</v>
      </c>
      <c r="CO84" s="55">
        <f>IFERROR(__xludf.DUMMYFUNCTION("importrange(""1zKPpIRi__6SVbgTzjvO6O1sQo3DfJF5zbe0T4GU19c0"",""2025-26!aq4"")"),2525000.0)</f>
        <v>2525000</v>
      </c>
      <c r="CP84" s="55">
        <f>IFERROR(__xludf.DUMMYFUNCTION("importrange(""1zKPpIRi__6SVbgTzjvO6O1sQo3DfJF5zbe0T4GU19c0"",""2025-26!aq3"")"),27.0)</f>
        <v>27</v>
      </c>
      <c r="CQ84" s="55">
        <f>IFERROR(__xludf.DUMMYFUNCTION("importrange(""1zKPpIRi__6SVbgTzjvO6O1sQo3DfJF5zbe0T4GU19c0"",""2025-26!ar4"")"),2455733.91)</f>
        <v>2455733.91</v>
      </c>
      <c r="CR84" s="55">
        <f>IFERROR(__xludf.DUMMYFUNCTION("importrange(""1zKPpIRi__6SVbgTzjvO6O1sQo3DfJF5zbe0T4GU19c0"",""2025-26!ar3"")"),16.0)</f>
        <v>16</v>
      </c>
      <c r="CS84" s="59">
        <f t="shared" si="29"/>
        <v>0.8974114693</v>
      </c>
      <c r="CT84" s="55">
        <f>IFERROR(__xludf.DUMMYFUNCTION("importrange(""1zKPpIRi__6SVbgTzjvO6O1sQo3DfJF5zbe0T4GU19c0"",""2025-26!as4"")"),2265963.96)</f>
        <v>2265963.96</v>
      </c>
      <c r="CU84" s="55">
        <f>IFERROR(__xludf.DUMMYFUNCTION("importrange(""1zKPpIRi__6SVbgTzjvO6O1sQo3DfJF5zbe0T4GU19c0"",""2025-26!as3"")"),17.0)</f>
        <v>17</v>
      </c>
      <c r="CV84" s="60" t="s">
        <v>196</v>
      </c>
    </row>
    <row r="85">
      <c r="A85" s="1" t="s">
        <v>185</v>
      </c>
      <c r="B85" s="37"/>
      <c r="C85" s="64" t="s">
        <v>197</v>
      </c>
      <c r="D85" s="50" t="s">
        <v>198</v>
      </c>
      <c r="E85" s="50">
        <v>9.378289552E9</v>
      </c>
      <c r="F85" s="74">
        <v>41791.0</v>
      </c>
      <c r="G85" s="62"/>
      <c r="H85" s="62"/>
      <c r="I85" s="53">
        <v>78085.0</v>
      </c>
      <c r="J85" s="54">
        <v>1.25E7</v>
      </c>
      <c r="K85" s="57">
        <f>IFERROR(__xludf.DUMMYFUNCTION("IMPORTRANGE(""1Cvkmf9XW8YyoV2xL1JRa6rQ8PUxQVh1SUrLGjS3xCGY"",""2025-26!A3"")"),100.0)</f>
        <v>100</v>
      </c>
      <c r="L85" s="57">
        <f>IFERROR(__xludf.DUMMYFUNCTION("IMPORTRANGE(""1Cvkmf9XW8YyoV2xL1JRa6rQ8PUxQVh1SUrLGjS3xCGY"",""2025-26!G4"")"),1.42529262E8)</f>
        <v>142529262</v>
      </c>
      <c r="M85" s="57">
        <f t="shared" si="50"/>
        <v>80016578.06</v>
      </c>
      <c r="N85" s="56">
        <f t="shared" si="51"/>
        <v>0.5696593448</v>
      </c>
      <c r="O85" s="57">
        <f t="shared" si="52"/>
        <v>81193126</v>
      </c>
      <c r="P85" s="55">
        <f>IFERROR(__xludf.DUMMYFUNCTION("IMPORTRANGE(""1Cvkmf9XW8YyoV2xL1JRa6rQ8PUxQVh1SUrLGjS3xCGY"",""2025-26!J4"")"),1.18774385E7)</f>
        <v>11877438.5</v>
      </c>
      <c r="Q85" s="55">
        <f>IFERROR(__xludf.DUMMYFUNCTION("IMPORTRANGE(""1Cvkmf9XW8YyoV2xL1JRa6rQ8PUxQVh1SUrLGjS3xCGY"",""2025-26!J3"")"),81.0)</f>
        <v>81</v>
      </c>
      <c r="R85" s="55">
        <f>IFERROR(__xludf.DUMMYFUNCTION("IMPORTRANGE(""1Cvkmf9XW8YyoV2xL1JRa6rQ8PUxQVh1SUrLGjS3xCGY"",""2025-26!K4"")"),3709987.7999999993)</f>
        <v>3709987.8</v>
      </c>
      <c r="S85" s="55">
        <f>IFERROR(__xludf.DUMMYFUNCTION("IMPORTRANGE(""1Cvkmf9XW8YyoV2xL1JRa6rQ8PUxQVh1SUrLGjS3xCGY"",""2025-26!K3"")"),44.0)</f>
        <v>44</v>
      </c>
      <c r="T85" s="58">
        <f t="shared" si="18"/>
        <v>0.258022721</v>
      </c>
      <c r="U85" s="55">
        <f>IFERROR(__xludf.DUMMYFUNCTION("IMPORTRANGE(""1Cvkmf9XW8YyoV2xL1JRa6rQ8PUxQVh1SUrLGjS3xCGY"",""2025-26!L4"")"),3064649.0)</f>
        <v>3064649</v>
      </c>
      <c r="V85" s="79">
        <f>IFERROR(__xludf.DUMMYFUNCTION("IMPORTRANGE(""1Cvkmf9XW8YyoV2xL1JRa6rQ8PUxQVh1SUrLGjS3xCGY"",""2025-26!L3"")"),34.0)</f>
        <v>34</v>
      </c>
      <c r="W85" s="55">
        <f>IFERROR(__xludf.DUMMYFUNCTION("IMPORTRANGE(""1Cvkmf9XW8YyoV2xL1JRa6rQ8PUxQVh1SUrLGjS3xCGY"",""2025-26!M4"")"),1.18774385E7)</f>
        <v>11877438.5</v>
      </c>
      <c r="X85" s="79">
        <f>IFERROR(__xludf.DUMMYFUNCTION("IMPORTRANGE(""1Cvkmf9XW8YyoV2xL1JRa6rQ8PUxQVh1SUrLGjS3xCGY"",""2025-26!M3"")"),81.0)</f>
        <v>81</v>
      </c>
      <c r="Y85" s="55">
        <f>IFERROR(__xludf.DUMMYFUNCTION("importrange(""1Cvkmf9XW8YyoV2xL1JRa6rQ8PUxQVh1SUrLGjS3xCGY"",""2025-26!n4"")"),6211468.9)</f>
        <v>6211468.9</v>
      </c>
      <c r="Z85" s="55">
        <f>IFERROR(__xludf.DUMMYFUNCTION("importrange(""1Cvkmf9XW8YyoV2xL1JRa6rQ8PUxQVh1SUrLGjS3xCGY"",""2025-26!n3"")"),56.0)</f>
        <v>56</v>
      </c>
      <c r="AA85" s="58">
        <f t="shared" si="19"/>
        <v>0.5447320144</v>
      </c>
      <c r="AB85" s="55">
        <f>IFERROR(__xludf.DUMMYFUNCTION("importrange(""1Cvkmf9XW8YyoV2xL1JRa6rQ8PUxQVh1SUrLGjS3xCGY"",""2025-26!o4"")"),6470021.0)</f>
        <v>6470021</v>
      </c>
      <c r="AC85" s="55">
        <f>IFERROR(__xludf.DUMMYFUNCTION("importrange(""1Cvkmf9XW8YyoV2xL1JRa6rQ8PUxQVh1SUrLGjS3xCGY"",""2025-26!o3"")"),43.0)</f>
        <v>43</v>
      </c>
      <c r="AD85" s="55">
        <f>IFERROR(__xludf.DUMMYFUNCTION("importrange(""1Cvkmf9XW8YyoV2xL1JRa6rQ8PUxQVh1SUrLGjS3xCGY"",""2025-26!p4"")"),1.18774385E7)</f>
        <v>11877438.5</v>
      </c>
      <c r="AE85" s="55">
        <f>IFERROR(__xludf.DUMMYFUNCTION("importrange(""1Cvkmf9XW8YyoV2xL1JRa6rQ8PUxQVh1SUrLGjS3xCGY"",""2025-26!p3"")"),81.0)</f>
        <v>81</v>
      </c>
      <c r="AF85" s="55">
        <f>IFERROR(__xludf.DUMMYFUNCTION("importrange(""1Cvkmf9XW8YyoV2xL1JRa6rQ8PUxQVh1SUrLGjS3xCGY"",""2025-26!q4"")"),8599567.399999999)</f>
        <v>8599567.4</v>
      </c>
      <c r="AG85" s="55">
        <f>IFERROR(__xludf.DUMMYFUNCTION("importrange(""1Cvkmf9XW8YyoV2xL1JRa6rQ8PUxQVh1SUrLGjS3xCGY"",""2025-26!q3"")"),50.0)</f>
        <v>50</v>
      </c>
      <c r="AH85" s="58">
        <f t="shared" si="20"/>
        <v>0.8845603368</v>
      </c>
      <c r="AI85" s="55">
        <f>IFERROR(__xludf.DUMMYFUNCTION("importrange(""1Cvkmf9XW8YyoV2xL1JRa6rQ8PUxQVh1SUrLGjS3xCGY"",""2025-26!r4"")"),1.0506311E7)</f>
        <v>10506311</v>
      </c>
      <c r="AJ85" s="55">
        <f>IFERROR(__xludf.DUMMYFUNCTION("importrange(""1Cvkmf9XW8YyoV2xL1JRa6rQ8PUxQVh1SUrLGjS3xCGY"",""2025-26!r3"")"),54.0)</f>
        <v>54</v>
      </c>
      <c r="AK85" s="55">
        <f>IFERROR(__xludf.DUMMYFUNCTION("importrange(""1Cvkmf9XW8YyoV2xL1JRa6rQ8PUxQVh1SUrLGjS3xCGY"",""2025-26!s4"")"),1.18774385E7)</f>
        <v>11877438.5</v>
      </c>
      <c r="AL85" s="55">
        <f>IFERROR(__xludf.DUMMYFUNCTION("importrange(""1Cvkmf9XW8YyoV2xL1JRa6rQ8PUxQVh1SUrLGjS3xCGY"",""2025-26!s3"")"),81.0)</f>
        <v>81</v>
      </c>
      <c r="AM85" s="57">
        <f>IFERROR(__xludf.DUMMYFUNCTION("importrange(""1Cvkmf9XW8YyoV2xL1JRa6rQ8PUxQVh1SUrLGjS3xCGY"",""2025-26!t4"")"),5303457.379999999)</f>
        <v>5303457.38</v>
      </c>
      <c r="AN85" s="55">
        <f>IFERROR(__xludf.DUMMYFUNCTION("importrange(""1Cvkmf9XW8YyoV2xL1JRa6rQ8PUxQVh1SUrLGjS3xCGY"",""2025-26!t3"")"),45.0)</f>
        <v>45</v>
      </c>
      <c r="AO85" s="58">
        <f t="shared" si="21"/>
        <v>0.5337300631</v>
      </c>
      <c r="AP85" s="55">
        <f>IFERROR(__xludf.DUMMYFUNCTION("importrange(""1Cvkmf9XW8YyoV2xL1JRa6rQ8PUxQVh1SUrLGjS3xCGY"",""2025-26!u4"")"),6339346.0)</f>
        <v>6339346</v>
      </c>
      <c r="AQ85" s="55">
        <f>IFERROR(__xludf.DUMMYFUNCTION("importrange(""1Cvkmf9XW8YyoV2xL1JRa6rQ8PUxQVh1SUrLGjS3xCGY"",""2025-26!u3"")"),33.0)</f>
        <v>33</v>
      </c>
      <c r="AR85" s="55">
        <f>IFERROR(__xludf.DUMMYFUNCTION("importrange(""1Cvkmf9XW8YyoV2xL1JRa6rQ8PUxQVh1SUrLGjS3xCGY"",""2025-26!v4"")"),1.18774385E7)</f>
        <v>11877438.5</v>
      </c>
      <c r="AS85" s="55">
        <f>IFERROR(__xludf.DUMMYFUNCTION("importrange(""1Cvkmf9XW8YyoV2xL1JRa6rQ8PUxQVh1SUrLGjS3xCGY"",""2025-26!v3"")"),81.0)</f>
        <v>81</v>
      </c>
      <c r="AT85" s="57">
        <f>IFERROR(__xludf.DUMMYFUNCTION("importrange(""1Cvkmf9XW8YyoV2xL1JRa6rQ8PUxQVh1SUrLGjS3xCGY"",""2025-26!w4"")"),6652107.179999998)</f>
        <v>6652107.18</v>
      </c>
      <c r="AU85" s="55">
        <f>IFERROR(__xludf.DUMMYFUNCTION("importrange(""1Cvkmf9XW8YyoV2xL1JRa6rQ8PUxQVh1SUrLGjS3xCGY"",""2025-26!w3"")"),52.0)</f>
        <v>52</v>
      </c>
      <c r="AV85" s="58">
        <f t="shared" si="22"/>
        <v>0.6033554289</v>
      </c>
      <c r="AW85" s="55">
        <f>IFERROR(__xludf.DUMMYFUNCTION("importrange(""1Cvkmf9XW8YyoV2xL1JRa6rQ8PUxQVh1SUrLGjS3xCGY"",""2025-26!x4"")"),7166317.0)</f>
        <v>7166317</v>
      </c>
      <c r="AX85" s="55">
        <f>IFERROR(__xludf.DUMMYFUNCTION("importrange(""1Cvkmf9XW8YyoV2xL1JRa6rQ8PUxQVh1SUrLGjS3xCGY"",""2025-26!x3"")"),47.0)</f>
        <v>47</v>
      </c>
      <c r="AY85" s="55">
        <f>IFERROR(__xludf.DUMMYFUNCTION("importrange(""1Cvkmf9XW8YyoV2xL1JRa6rQ8PUxQVh1SUrLGjS3xCGY"",""2025-26!y4"")"),1.18774385E7)</f>
        <v>11877438.5</v>
      </c>
      <c r="AZ85" s="55">
        <f>IFERROR(__xludf.DUMMYFUNCTION("importrange(""1Cvkmf9XW8YyoV2xL1JRa6rQ8PUxQVh1SUrLGjS3xCGY"",""2025-26!y3"")"),81.0)</f>
        <v>81</v>
      </c>
      <c r="BA85" s="57">
        <f>IFERROR(__xludf.DUMMYFUNCTION("importrange(""1Cvkmf9XW8YyoV2xL1JRa6rQ8PUxQVh1SUrLGjS3xCGY"",""2025-26!z4"")"),7559705.42)</f>
        <v>7559705.42</v>
      </c>
      <c r="BB85" s="55">
        <f>IFERROR(__xludf.DUMMYFUNCTION("importrange(""1Cvkmf9XW8YyoV2xL1JRa6rQ8PUxQVh1SUrLGjS3xCGY"",""2025-26!z3"")"),47.0)</f>
        <v>47</v>
      </c>
      <c r="BC85" s="59">
        <f t="shared" si="23"/>
        <v>0.5578316402</v>
      </c>
      <c r="BD85" s="55">
        <f>IFERROR(__xludf.DUMMYFUNCTION("importrange(""1Cvkmf9XW8YyoV2xL1JRa6rQ8PUxQVh1SUrLGjS3xCGY"",""2025-26!aa4"")"),6625611.0)</f>
        <v>6625611</v>
      </c>
      <c r="BE85" s="55">
        <f>IFERROR(__xludf.DUMMYFUNCTION("importrange(""1Cvkmf9XW8YyoV2xL1JRa6rQ8PUxQVh1SUrLGjS3xCGY"",""2025-26!aa3"")"),44.0)</f>
        <v>44</v>
      </c>
      <c r="BF85" s="55">
        <f>IFERROR(__xludf.DUMMYFUNCTION("importrange(""1Cvkmf9XW8YyoV2xL1JRa6rQ8PUxQVh1SUrLGjS3xCGY"",""2025-26!ab4"")"),1.18774385E7)</f>
        <v>11877438.5</v>
      </c>
      <c r="BG85" s="55">
        <f>IFERROR(__xludf.DUMMYFUNCTION("importrange(""1Cvkmf9XW8YyoV2xL1JRa6rQ8PUxQVh1SUrLGjS3xCGY"",""2025-26!ab3"")"),81.0)</f>
        <v>81</v>
      </c>
      <c r="BH85" s="55">
        <f>IFERROR(__xludf.DUMMYFUNCTION("importrange(""1Cvkmf9XW8YyoV2xL1JRa6rQ8PUxQVh1SUrLGjS3xCGY"",""2025-26!ac4"")"),6992627.139999999)</f>
        <v>6992627.14</v>
      </c>
      <c r="BI85" s="55">
        <f>IFERROR(__xludf.DUMMYFUNCTION("importrange(""1Cvkmf9XW8YyoV2xL1JRa6rQ8PUxQVh1SUrLGjS3xCGY"",""2025-26!ac3"")"),45.0)</f>
        <v>45</v>
      </c>
      <c r="BJ85" s="59">
        <f t="shared" si="24"/>
        <v>0.5544659314</v>
      </c>
      <c r="BK85" s="55">
        <f>IFERROR(__xludf.DUMMYFUNCTION("importrange(""1Cvkmf9XW8YyoV2xL1JRa6rQ8PUxQVh1SUrLGjS3xCGY"",""2025-26!ad4"")"),6585635.0)</f>
        <v>6585635</v>
      </c>
      <c r="BL85" s="55">
        <f>IFERROR(__xludf.DUMMYFUNCTION("importrange(""1Cvkmf9XW8YyoV2xL1JRa6rQ8PUxQVh1SUrLGjS3xCGY"",""2025-26!ad3"")"),40.0)</f>
        <v>40</v>
      </c>
      <c r="BM85" s="55">
        <f>IFERROR(__xludf.DUMMYFUNCTION("importrange(""1Cvkmf9XW8YyoV2xL1JRa6rQ8PUxQVh1SUrLGjS3xCGY"",""2025-26!ae4"")"),1.18774385E7)</f>
        <v>11877438.5</v>
      </c>
      <c r="BN85" s="55">
        <f>IFERROR(__xludf.DUMMYFUNCTION("importrange(""1Cvkmf9XW8YyoV2xL1JRa6rQ8PUxQVh1SUrLGjS3xCGY"",""2025-26!ae3"")"),81.0)</f>
        <v>81</v>
      </c>
      <c r="BO85" s="55">
        <f>IFERROR(__xludf.DUMMYFUNCTION("importrange(""1Cvkmf9XW8YyoV2xL1JRa6rQ8PUxQVh1SUrLGjS3xCGY"",""2025-26!af4"")"),6494248.909999999)</f>
        <v>6494248.91</v>
      </c>
      <c r="BP85" s="55">
        <f>IFERROR(__xludf.DUMMYFUNCTION("importrange(""1Cvkmf9XW8YyoV2xL1JRa6rQ8PUxQVh1SUrLGjS3xCGY"",""2025-26!af3"")"),51.0)</f>
        <v>51</v>
      </c>
      <c r="BQ85" s="59">
        <f t="shared" si="25"/>
        <v>0.5170814397</v>
      </c>
      <c r="BR85" s="55">
        <f>IFERROR(__xludf.DUMMYFUNCTION("importrange(""1Cvkmf9XW8YyoV2xL1JRa6rQ8PUxQVh1SUrLGjS3xCGY"",""2025-26!ag4"")"),6141603.0)</f>
        <v>6141603</v>
      </c>
      <c r="BS85" s="55">
        <f>IFERROR(__xludf.DUMMYFUNCTION("importrange(""1Cvkmf9XW8YyoV2xL1JRa6rQ8PUxQVh1SUrLGjS3xCGY"",""2025-26!ag3"")"),42.0)</f>
        <v>42</v>
      </c>
      <c r="BT85" s="55">
        <f>IFERROR(__xludf.DUMMYFUNCTION("importrange(""1Cvkmf9XW8YyoV2xL1JRa6rQ8PUxQVh1SUrLGjS3xCGY"",""2025-26!ah4"")"),1.18774385E7)</f>
        <v>11877438.5</v>
      </c>
      <c r="BU85" s="55">
        <f>IFERROR(__xludf.DUMMYFUNCTION("importrange(""1Cvkmf9XW8YyoV2xL1JRa6rQ8PUxQVh1SUrLGjS3xCGY"",""2025-26!ah3"")"),81.0)</f>
        <v>81</v>
      </c>
      <c r="BV85" s="55">
        <f>IFERROR(__xludf.DUMMYFUNCTION("importrange(""1Cvkmf9XW8YyoV2xL1JRa6rQ8PUxQVh1SUrLGjS3xCGY"",""2025-26!ai4"")"),5866480.62)</f>
        <v>5866480.62</v>
      </c>
      <c r="BW85" s="55">
        <f>IFERROR(__xludf.DUMMYFUNCTION("importrange(""1Cvkmf9XW8YyoV2xL1JRa6rQ8PUxQVh1SUrLGjS3xCGY"",""2025-26!ai3"")"),52.0)</f>
        <v>52</v>
      </c>
      <c r="BX85" s="59">
        <f t="shared" si="26"/>
        <v>0.4687857571</v>
      </c>
      <c r="BY85" s="55">
        <f>IFERROR(__xludf.DUMMYFUNCTION("importrange(""1Cvkmf9XW8YyoV2xL1JRa6rQ8PUxQVh1SUrLGjS3xCGY"",""2025-26!aj4"")"),5567974.0)</f>
        <v>5567974</v>
      </c>
      <c r="BZ85" s="55">
        <f>IFERROR(__xludf.DUMMYFUNCTION("importrange(""1Cvkmf9XW8YyoV2xL1JRa6rQ8PUxQVh1SUrLGjS3xCGY"",""2025-26!aj3"")"),44.0)</f>
        <v>44</v>
      </c>
      <c r="CA85" s="55">
        <f>IFERROR(__xludf.DUMMYFUNCTION("importrange(""1Cvkmf9XW8YyoV2xL1JRa6rQ8PUxQVh1SUrLGjS3xCGY"",""2025-26!ak4"")"),1.18774385E7)</f>
        <v>11877438.5</v>
      </c>
      <c r="CB85" s="55">
        <f>IFERROR(__xludf.DUMMYFUNCTION("importrange(""1Cvkmf9XW8YyoV2xL1JRa6rQ8PUxQVh1SUrLGjS3xCGY"",""2025-26!ak3"")"),81.0)</f>
        <v>81</v>
      </c>
      <c r="CC85" s="55">
        <f>IFERROR(__xludf.DUMMYFUNCTION("importrange(""1Cvkmf9XW8YyoV2xL1JRa6rQ8PUxQVh1SUrLGjS3xCGY"",""2025-26!al4"")"),6984683.319999999)</f>
        <v>6984683.32</v>
      </c>
      <c r="CD85" s="55">
        <f>IFERROR(__xludf.DUMMYFUNCTION("importrange(""1Cvkmf9XW8YyoV2xL1JRa6rQ8PUxQVh1SUrLGjS3xCGY"",""2025-26!ai3"")"),52.0)</f>
        <v>52</v>
      </c>
      <c r="CE85" s="59">
        <f t="shared" si="27"/>
        <v>0.5245652924</v>
      </c>
      <c r="CF85" s="55">
        <f>IFERROR(__xludf.DUMMYFUNCTION("importrange(""1Cvkmf9XW8YyoV2xL1JRa6rQ8PUxQVh1SUrLGjS3xCGY"",""2025-26!am4"")"),6230492.0)</f>
        <v>6230492</v>
      </c>
      <c r="CG85" s="55">
        <f>IFERROR(__xludf.DUMMYFUNCTION("importrange(""1Cvkmf9XW8YyoV2xL1JRa6rQ8PUxQVh1SUrLGjS3xCGY"",""2025-26!am3"")"),39.0)</f>
        <v>39</v>
      </c>
      <c r="CH85" s="55">
        <f>IFERROR(__xludf.DUMMYFUNCTION("importrange(""1Cvkmf9XW8YyoV2xL1JRa6rQ8PUxQVh1SUrLGjS3xCGY"",""2025-26!an4"")"),1.18774385E7)</f>
        <v>11877438.5</v>
      </c>
      <c r="CI85" s="55">
        <f>IFERROR(__xludf.DUMMYFUNCTION("importrange(""1Cvkmf9XW8YyoV2xL1JRa6rQ8PUxQVh1SUrLGjS3xCGY"",""2025-26!an3"")"),81.0)</f>
        <v>81</v>
      </c>
      <c r="CJ85" s="55">
        <f>IFERROR(__xludf.DUMMYFUNCTION("importrange(""1Cvkmf9XW8YyoV2xL1JRa6rQ8PUxQVh1SUrLGjS3xCGY"",""2025-26!ao4"")"),8126890.99)</f>
        <v>8126890.99</v>
      </c>
      <c r="CK85" s="55">
        <f>IFERROR(__xludf.DUMMYFUNCTION("importrange(""1Cvkmf9XW8YyoV2xL1JRa6rQ8PUxQVh1SUrLGjS3xCGY"",""2025-26!ao3"")"),40.0)</f>
        <v>40</v>
      </c>
      <c r="CL85" s="59">
        <f t="shared" si="28"/>
        <v>0.5353424478</v>
      </c>
      <c r="CM85" s="55">
        <f>IFERROR(__xludf.DUMMYFUNCTION("importrange(""1Cvkmf9XW8YyoV2xL1JRa6rQ8PUxQVh1SUrLGjS3xCGY"",""2025-26!ap4"")"),6358497.0)</f>
        <v>6358497</v>
      </c>
      <c r="CN85" s="55">
        <f>IFERROR(__xludf.DUMMYFUNCTION("importrange(""1Cvkmf9XW8YyoV2xL1JRa6rQ8PUxQVh1SUrLGjS3xCGY"",""2025-26!ap3"")"),37.0)</f>
        <v>37</v>
      </c>
      <c r="CO85" s="55">
        <f>IFERROR(__xludf.DUMMYFUNCTION("importrange(""1Cvkmf9XW8YyoV2xL1JRa6rQ8PUxQVh1SUrLGjS3xCGY"",""2025-26!aq4"")"),1.18774385E7)</f>
        <v>11877438.5</v>
      </c>
      <c r="CP85" s="55">
        <f>IFERROR(__xludf.DUMMYFUNCTION("importrange(""1Cvkmf9XW8YyoV2xL1JRa6rQ8PUxQVh1SUrLGjS3xCGY"",""2025-26!aq3"")"),81.0)</f>
        <v>81</v>
      </c>
      <c r="CQ85" s="55">
        <f>IFERROR(__xludf.DUMMYFUNCTION("importrange(""1Cvkmf9XW8YyoV2xL1JRa6rQ8PUxQVh1SUrLGjS3xCGY"",""2025-26!ar4"")"),7515352.999999999)</f>
        <v>7515353</v>
      </c>
      <c r="CR85" s="55">
        <f>IFERROR(__xludf.DUMMYFUNCTION("importrange(""1Cvkmf9XW8YyoV2xL1JRa6rQ8PUxQVh1SUrLGjS3xCGY"",""2025-26!ar3"")"),21.0)</f>
        <v>21</v>
      </c>
      <c r="CS85" s="59">
        <f t="shared" si="29"/>
        <v>0.8534390643</v>
      </c>
      <c r="CT85" s="55">
        <f>IFERROR(__xludf.DUMMYFUNCTION("importrange(""1Cvkmf9XW8YyoV2xL1JRa6rQ8PUxQVh1SUrLGjS3xCGY"",""2025-26!as4"")"),1.013667E7)</f>
        <v>10136670</v>
      </c>
      <c r="CU85" s="55">
        <f>IFERROR(__xludf.DUMMYFUNCTION("importrange(""1Cvkmf9XW8YyoV2xL1JRa6rQ8PUxQVh1SUrLGjS3xCGY"",""2025-26!as3"")"),28.0)</f>
        <v>28</v>
      </c>
      <c r="CV85" s="60" t="s">
        <v>189</v>
      </c>
    </row>
    <row r="86">
      <c r="A86" s="1" t="s">
        <v>185</v>
      </c>
      <c r="B86" s="37"/>
      <c r="C86" s="64" t="s">
        <v>199</v>
      </c>
      <c r="D86" s="50" t="s">
        <v>200</v>
      </c>
      <c r="E86" s="50">
        <v>8.249486108E9</v>
      </c>
      <c r="F86" s="74">
        <v>42125.0</v>
      </c>
      <c r="G86" s="62"/>
      <c r="H86" s="62"/>
      <c r="I86" s="53">
        <v>70835.0</v>
      </c>
      <c r="J86" s="54">
        <v>6558000.0</v>
      </c>
      <c r="K86" s="57">
        <f>IFERROR(__xludf.DUMMYFUNCTION("IMPORTRANGE(""1wjoxTKxLPmzHS19GT_DZ96swQR-_WwppkY-Fa7qtBBY"",""2025-26!A3"")"),137.0)</f>
        <v>137</v>
      </c>
      <c r="L86" s="57">
        <f>IFERROR(__xludf.DUMMYFUNCTION("IMPORTRANGE(""1wjoxTKxLPmzHS19GT_DZ96swQR-_WwppkY-Fa7qtBBY"",""2025-26!G4"")"),6.765E7)</f>
        <v>67650000</v>
      </c>
      <c r="M86" s="57">
        <f t="shared" si="50"/>
        <v>72128324.63</v>
      </c>
      <c r="N86" s="56">
        <f t="shared" si="51"/>
        <v>1.080842927</v>
      </c>
      <c r="O86" s="57">
        <f t="shared" si="52"/>
        <v>73119024</v>
      </c>
      <c r="P86" s="55">
        <f>IFERROR(__xludf.DUMMYFUNCTION("IMPORTRANGE(""1wjoxTKxLPmzHS19GT_DZ96swQR-_WwppkY-Fa7qtBBY"",""2025-26!J4"")"),5533310.666666667)</f>
        <v>5533310.667</v>
      </c>
      <c r="Q86" s="55">
        <f>IFERROR(__xludf.DUMMYFUNCTION("IMPORTRANGE(""1wjoxTKxLPmzHS19GT_DZ96swQR-_WwppkY-Fa7qtBBY"",""2025-26!J3"")"),83.0)</f>
        <v>83</v>
      </c>
      <c r="R86" s="55">
        <f>IFERROR(__xludf.DUMMYFUNCTION("IMPORTRANGE(""1wjoxTKxLPmzHS19GT_DZ96swQR-_WwppkY-Fa7qtBBY"",""2025-26!K4"")"),6000645.169999999)</f>
        <v>6000645.17</v>
      </c>
      <c r="S86" s="55">
        <f>IFERROR(__xludf.DUMMYFUNCTION("IMPORTRANGE(""1wjoxTKxLPmzHS19GT_DZ96swQR-_WwppkY-Fa7qtBBY"",""2025-26!K3"")"),48.0)</f>
        <v>48</v>
      </c>
      <c r="T86" s="58">
        <f t="shared" si="18"/>
        <v>1.091904533</v>
      </c>
      <c r="U86" s="55">
        <f>IFERROR(__xludf.DUMMYFUNCTION("IMPORTRANGE(""1wjoxTKxLPmzHS19GT_DZ96swQR-_WwppkY-Fa7qtBBY"",""2025-26!L4"")"),6041847.0)</f>
        <v>6041847</v>
      </c>
      <c r="V86" s="79">
        <f>IFERROR(__xludf.DUMMYFUNCTION("IMPORTRANGE(""1wjoxTKxLPmzHS19GT_DZ96swQR-_WwppkY-Fa7qtBBY"",""2025-26!L3"")"),48.0)</f>
        <v>48</v>
      </c>
      <c r="W86" s="55">
        <f>IFERROR(__xludf.DUMMYFUNCTION("IMPORTRANGE(""1wjoxTKxLPmzHS19GT_DZ96swQR-_WwppkY-Fa7qtBBY"",""2025-26!M4"")"),5587855.666666667)</f>
        <v>5587855.667</v>
      </c>
      <c r="X86" s="79">
        <f>IFERROR(__xludf.DUMMYFUNCTION("IMPORTRANGE(""1wjoxTKxLPmzHS19GT_DZ96swQR-_WwppkY-Fa7qtBBY"",""2025-26!M3"")"),84.0)</f>
        <v>84</v>
      </c>
      <c r="Y86" s="55">
        <f>IFERROR(__xludf.DUMMYFUNCTION("importrange(""1wjoxTKxLPmzHS19GT_DZ96swQR-_WwppkY-Fa7qtBBY"",""2025-26!n4"")"),6593643.249999998)</f>
        <v>6593643.25</v>
      </c>
      <c r="Z86" s="55">
        <f>IFERROR(__xludf.DUMMYFUNCTION("importrange(""1wjoxTKxLPmzHS19GT_DZ96swQR-_WwppkY-Fa7qtBBY"",""2025-26!n3"")"),58.0)</f>
        <v>58</v>
      </c>
      <c r="AA86" s="58">
        <f t="shared" si="19"/>
        <v>1.185270056</v>
      </c>
      <c r="AB86" s="55">
        <f>IFERROR(__xludf.DUMMYFUNCTION("importrange(""1wjoxTKxLPmzHS19GT_DZ96swQR-_WwppkY-Fa7qtBBY"",""2025-26!o4"")"),6623118.0)</f>
        <v>6623118</v>
      </c>
      <c r="AC86" s="55">
        <f>IFERROR(__xludf.DUMMYFUNCTION("importrange(""1wjoxTKxLPmzHS19GT_DZ96swQR-_WwppkY-Fa7qtBBY"",""2025-26!o3"")"),58.0)</f>
        <v>58</v>
      </c>
      <c r="AD86" s="55">
        <f>IFERROR(__xludf.DUMMYFUNCTION("importrange(""1wjoxTKxLPmzHS19GT_DZ96swQR-_WwppkY-Fa7qtBBY"",""2025-26!p4"")"),5587855.666666667)</f>
        <v>5587855.667</v>
      </c>
      <c r="AE86" s="55">
        <f>IFERROR(__xludf.DUMMYFUNCTION("importrange(""1wjoxTKxLPmzHS19GT_DZ96swQR-_WwppkY-Fa7qtBBY"",""2025-26!p3"")"),84.0)</f>
        <v>84</v>
      </c>
      <c r="AF86" s="55">
        <f>IFERROR(__xludf.DUMMYFUNCTION("importrange(""1wjoxTKxLPmzHS19GT_DZ96swQR-_WwppkY-Fa7qtBBY"",""2025-26!q4"")"),5619542.7700000005)</f>
        <v>5619542.77</v>
      </c>
      <c r="AG86" s="55">
        <f>IFERROR(__xludf.DUMMYFUNCTION("importrange(""1wjoxTKxLPmzHS19GT_DZ96swQR-_WwppkY-Fa7qtBBY"",""2025-26!q3"")"),53.0)</f>
        <v>53</v>
      </c>
      <c r="AH86" s="58">
        <f t="shared" si="20"/>
        <v>1.040052096</v>
      </c>
      <c r="AI86" s="55">
        <f>IFERROR(__xludf.DUMMYFUNCTION("importrange(""1wjoxTKxLPmzHS19GT_DZ96swQR-_WwppkY-Fa7qtBBY"",""2025-26!r4"")"),5811661.0)</f>
        <v>5811661</v>
      </c>
      <c r="AJ86" s="55">
        <f>IFERROR(__xludf.DUMMYFUNCTION("importrange(""1wjoxTKxLPmzHS19GT_DZ96swQR-_WwppkY-Fa7qtBBY"",""2025-26!r3"")"),54.0)</f>
        <v>54</v>
      </c>
      <c r="AK86" s="55">
        <f>IFERROR(__xludf.DUMMYFUNCTION("importrange(""1wjoxTKxLPmzHS19GT_DZ96swQR-_WwppkY-Fa7qtBBY"",""2025-26!s4"")"),5587855.666666667)</f>
        <v>5587855.667</v>
      </c>
      <c r="AL86" s="55">
        <f>IFERROR(__xludf.DUMMYFUNCTION("importrange(""1wjoxTKxLPmzHS19GT_DZ96swQR-_WwppkY-Fa7qtBBY"",""2025-26!s3"")"),84.0)</f>
        <v>84</v>
      </c>
      <c r="AM86" s="57">
        <f>IFERROR(__xludf.DUMMYFUNCTION("importrange(""1wjoxTKxLPmzHS19GT_DZ96swQR-_WwppkY-Fa7qtBBY"",""2025-26!t4"")"),6191253.830000002)</f>
        <v>6191253.83</v>
      </c>
      <c r="AN86" s="55">
        <f>IFERROR(__xludf.DUMMYFUNCTION("importrange(""1wjoxTKxLPmzHS19GT_DZ96swQR-_WwppkY-Fa7qtBBY"",""2025-26!t3"")"),52.0)</f>
        <v>52</v>
      </c>
      <c r="AO86" s="58">
        <f t="shared" si="21"/>
        <v>1.12821418</v>
      </c>
      <c r="AP86" s="55">
        <f>IFERROR(__xludf.DUMMYFUNCTION("importrange(""1wjoxTKxLPmzHS19GT_DZ96swQR-_WwppkY-Fa7qtBBY"",""2025-26!u4"")"),6304298.0)</f>
        <v>6304298</v>
      </c>
      <c r="AQ86" s="55">
        <f>IFERROR(__xludf.DUMMYFUNCTION("importrange(""1wjoxTKxLPmzHS19GT_DZ96swQR-_WwppkY-Fa7qtBBY"",""2025-26!u3"")"),54.0)</f>
        <v>54</v>
      </c>
      <c r="AR86" s="55">
        <f>IFERROR(__xludf.DUMMYFUNCTION("importrange(""1wjoxTKxLPmzHS19GT_DZ96swQR-_WwppkY-Fa7qtBBY"",""2025-26!v4"")"),5612855.666666667)</f>
        <v>5612855.667</v>
      </c>
      <c r="AS86" s="55">
        <f>IFERROR(__xludf.DUMMYFUNCTION("importrange(""1wjoxTKxLPmzHS19GT_DZ96swQR-_WwppkY-Fa7qtBBY"",""2025-26!v3"")"),85.0)</f>
        <v>85</v>
      </c>
      <c r="AT86" s="57">
        <f>IFERROR(__xludf.DUMMYFUNCTION("importrange(""1wjoxTKxLPmzHS19GT_DZ96swQR-_WwppkY-Fa7qtBBY"",""2025-26!w4"")"),4424409.829999999)</f>
        <v>4424409.83</v>
      </c>
      <c r="AU86" s="55">
        <f>IFERROR(__xludf.DUMMYFUNCTION("importrange(""1wjoxTKxLPmzHS19GT_DZ96swQR-_WwppkY-Fa7qtBBY"",""2025-26!w3"")"),49.0)</f>
        <v>49</v>
      </c>
      <c r="AV86" s="58">
        <f t="shared" si="22"/>
        <v>0.8310521911</v>
      </c>
      <c r="AW86" s="55">
        <f>IFERROR(__xludf.DUMMYFUNCTION("importrange(""1wjoxTKxLPmzHS19GT_DZ96swQR-_WwppkY-Fa7qtBBY"",""2025-26!x4"")"),4664576.0)</f>
        <v>4664576</v>
      </c>
      <c r="AX86" s="55">
        <f>IFERROR(__xludf.DUMMYFUNCTION("importrange(""1wjoxTKxLPmzHS19GT_DZ96swQR-_WwppkY-Fa7qtBBY"",""2025-26!x3"")"),49.0)</f>
        <v>49</v>
      </c>
      <c r="AY86" s="55">
        <f>IFERROR(__xludf.DUMMYFUNCTION("importrange(""1wjoxTKxLPmzHS19GT_DZ96swQR-_WwppkY-Fa7qtBBY"",""2025-26!y4"")"),5655712.666666667)</f>
        <v>5655712.667</v>
      </c>
      <c r="AZ86" s="55">
        <f>IFERROR(__xludf.DUMMYFUNCTION("importrange(""1wjoxTKxLPmzHS19GT_DZ96swQR-_WwppkY-Fa7qtBBY"",""2025-26!y3"")"),86.0)</f>
        <v>86</v>
      </c>
      <c r="BA86" s="57">
        <f>IFERROR(__xludf.DUMMYFUNCTION("importrange(""1wjoxTKxLPmzHS19GT_DZ96swQR-_WwppkY-Fa7qtBBY"",""2025-26!z4"")"),5107106.119999999)</f>
        <v>5107106.12</v>
      </c>
      <c r="BB86" s="55">
        <f>IFERROR(__xludf.DUMMYFUNCTION("importrange(""1wjoxTKxLPmzHS19GT_DZ96swQR-_WwppkY-Fa7qtBBY"",""2025-26!z3"")"),55.0)</f>
        <v>55</v>
      </c>
      <c r="BC86" s="59">
        <f t="shared" si="23"/>
        <v>0.9062421134</v>
      </c>
      <c r="BD86" s="55">
        <f>IFERROR(__xludf.DUMMYFUNCTION("importrange(""1wjoxTKxLPmzHS19GT_DZ96swQR-_WwppkY-Fa7qtBBY"",""2025-26!aa4"")"),5125445.0)</f>
        <v>5125445</v>
      </c>
      <c r="BE86" s="55">
        <f>IFERROR(__xludf.DUMMYFUNCTION("importrange(""1wjoxTKxLPmzHS19GT_DZ96swQR-_WwppkY-Fa7qtBBY"",""2025-26!aa3"")"),55.0)</f>
        <v>55</v>
      </c>
      <c r="BF86" s="55">
        <f>IFERROR(__xludf.DUMMYFUNCTION("importrange(""1wjoxTKxLPmzHS19GT_DZ96swQR-_WwppkY-Fa7qtBBY"",""2025-26!ab4"")"),5655712.666666667)</f>
        <v>5655712.667</v>
      </c>
      <c r="BG86" s="55">
        <f>IFERROR(__xludf.DUMMYFUNCTION("importrange(""1wjoxTKxLPmzHS19GT_DZ96swQR-_WwppkY-Fa7qtBBY"",""2025-26!ab3"")"),86.0)</f>
        <v>86</v>
      </c>
      <c r="BH86" s="55">
        <f>IFERROR(__xludf.DUMMYFUNCTION("importrange(""1wjoxTKxLPmzHS19GT_DZ96swQR-_WwppkY-Fa7qtBBY"",""2025-26!ac4"")"),6249663.729999997)</f>
        <v>6249663.73</v>
      </c>
      <c r="BI86" s="55">
        <f>IFERROR(__xludf.DUMMYFUNCTION("importrange(""1wjoxTKxLPmzHS19GT_DZ96swQR-_WwppkY-Fa7qtBBY"",""2025-26!ac3"")"),57.0)</f>
        <v>57</v>
      </c>
      <c r="BJ86" s="59">
        <f t="shared" si="24"/>
        <v>1.103681953</v>
      </c>
      <c r="BK86" s="55">
        <f>IFERROR(__xludf.DUMMYFUNCTION("importrange(""1wjoxTKxLPmzHS19GT_DZ96swQR-_WwppkY-Fa7qtBBY"",""2025-26!ad4"")"),6242108.0)</f>
        <v>6242108</v>
      </c>
      <c r="BL86" s="55">
        <f>IFERROR(__xludf.DUMMYFUNCTION("importrange(""1wjoxTKxLPmzHS19GT_DZ96swQR-_WwppkY-Fa7qtBBY"",""2025-26!ad3"")"),57.0)</f>
        <v>57</v>
      </c>
      <c r="BM86" s="55">
        <f>IFERROR(__xludf.DUMMYFUNCTION("importrange(""1wjoxTKxLPmzHS19GT_DZ96swQR-_WwppkY-Fa7qtBBY"",""2025-26!ae4"")"),5685712.666666667)</f>
        <v>5685712.667</v>
      </c>
      <c r="BN86" s="55">
        <f>IFERROR(__xludf.DUMMYFUNCTION("importrange(""1wjoxTKxLPmzHS19GT_DZ96swQR-_WwppkY-Fa7qtBBY"",""2025-26!ae3"")"),87.0)</f>
        <v>87</v>
      </c>
      <c r="BO86" s="55">
        <f>IFERROR(__xludf.DUMMYFUNCTION("importrange(""1wjoxTKxLPmzHS19GT_DZ96swQR-_WwppkY-Fa7qtBBY"",""2025-26!af4"")"),6070072.269999999)</f>
        <v>6070072.27</v>
      </c>
      <c r="BP86" s="55">
        <f>IFERROR(__xludf.DUMMYFUNCTION("importrange(""1wjoxTKxLPmzHS19GT_DZ96swQR-_WwppkY-Fa7qtBBY"",""2025-26!af3"")"),56.0)</f>
        <v>56</v>
      </c>
      <c r="BQ86" s="59">
        <f t="shared" si="25"/>
        <v>1.069002666</v>
      </c>
      <c r="BR86" s="55">
        <f>IFERROR(__xludf.DUMMYFUNCTION("importrange(""1wjoxTKxLPmzHS19GT_DZ96swQR-_WwppkY-Fa7qtBBY"",""2025-26!ag4"")"),6078042.0)</f>
        <v>6078042</v>
      </c>
      <c r="BS86" s="55">
        <f>IFERROR(__xludf.DUMMYFUNCTION("importrange(""1wjoxTKxLPmzHS19GT_DZ96swQR-_WwppkY-Fa7qtBBY"",""2025-26!ag3"")"),57.0)</f>
        <v>57</v>
      </c>
      <c r="BT86" s="55">
        <f>IFERROR(__xludf.DUMMYFUNCTION("importrange(""1wjoxTKxLPmzHS19GT_DZ96swQR-_WwppkY-Fa7qtBBY"",""2025-26!ah4"")"),5685712.666666667)</f>
        <v>5685712.667</v>
      </c>
      <c r="BU86" s="55">
        <f>IFERROR(__xludf.DUMMYFUNCTION("importrange(""1wjoxTKxLPmzHS19GT_DZ96swQR-_WwppkY-Fa7qtBBY"",""2025-26!ah3"")"),87.0)</f>
        <v>87</v>
      </c>
      <c r="BV86" s="55">
        <f>IFERROR(__xludf.DUMMYFUNCTION("importrange(""1wjoxTKxLPmzHS19GT_DZ96swQR-_WwppkY-Fa7qtBBY"",""2025-26!ai4"")"),6724449.67)</f>
        <v>6724449.67</v>
      </c>
      <c r="BW86" s="55">
        <f>IFERROR(__xludf.DUMMYFUNCTION("importrange(""1wjoxTKxLPmzHS19GT_DZ96swQR-_WwppkY-Fa7qtBBY"",""2025-26!ai3"")"),53.0)</f>
        <v>53</v>
      </c>
      <c r="BX86" s="59">
        <f t="shared" si="26"/>
        <v>1.189778203</v>
      </c>
      <c r="BY86" s="55">
        <f>IFERROR(__xludf.DUMMYFUNCTION("importrange(""1wjoxTKxLPmzHS19GT_DZ96swQR-_WwppkY-Fa7qtBBY"",""2025-26!aj4"")"),6764737.0)</f>
        <v>6764737</v>
      </c>
      <c r="BZ86" s="55">
        <f>IFERROR(__xludf.DUMMYFUNCTION("importrange(""1wjoxTKxLPmzHS19GT_DZ96swQR-_WwppkY-Fa7qtBBY"",""2025-26!aj3"")"),54.0)</f>
        <v>54</v>
      </c>
      <c r="CA86" s="55">
        <f>IFERROR(__xludf.DUMMYFUNCTION("importrange(""1wjoxTKxLPmzHS19GT_DZ96swQR-_WwppkY-Fa7qtBBY"",""2025-26!ak4"")"),5685712.666666667)</f>
        <v>5685712.667</v>
      </c>
      <c r="CB86" s="55">
        <f>IFERROR(__xludf.DUMMYFUNCTION("importrange(""1wjoxTKxLPmzHS19GT_DZ96swQR-_WwppkY-Fa7qtBBY"",""2025-26!ak3"")"),87.0)</f>
        <v>87</v>
      </c>
      <c r="CC86" s="55">
        <f>IFERROR(__xludf.DUMMYFUNCTION("importrange(""1wjoxTKxLPmzHS19GT_DZ96swQR-_WwppkY-Fa7qtBBY"",""2025-26!al4"")"),5295915.37)</f>
        <v>5295915.37</v>
      </c>
      <c r="CD86" s="55">
        <f>IFERROR(__xludf.DUMMYFUNCTION("importrange(""1wjoxTKxLPmzHS19GT_DZ96swQR-_WwppkY-Fa7qtBBY"",""2025-26!ai3"")"),53.0)</f>
        <v>53</v>
      </c>
      <c r="CE86" s="59">
        <f t="shared" si="27"/>
        <v>0.9105950834</v>
      </c>
      <c r="CF86" s="55">
        <f>IFERROR(__xludf.DUMMYFUNCTION("importrange(""1wjoxTKxLPmzHS19GT_DZ96swQR-_WwppkY-Fa7qtBBY"",""2025-26!am4"")"),5177382.0)</f>
        <v>5177382</v>
      </c>
      <c r="CG86" s="55">
        <f>IFERROR(__xludf.DUMMYFUNCTION("importrange(""1wjoxTKxLPmzHS19GT_DZ96swQR-_WwppkY-Fa7qtBBY"",""2025-26!am3"")"),52.0)</f>
        <v>52</v>
      </c>
      <c r="CH86" s="55">
        <f>IFERROR(__xludf.DUMMYFUNCTION("importrange(""1wjoxTKxLPmzHS19GT_DZ96swQR-_WwppkY-Fa7qtBBY"",""2025-26!an4"")"),5685712.666666667)</f>
        <v>5685712.667</v>
      </c>
      <c r="CI86" s="55">
        <f>IFERROR(__xludf.DUMMYFUNCTION("importrange(""1wjoxTKxLPmzHS19GT_DZ96swQR-_WwppkY-Fa7qtBBY"",""2025-26!an3"")"),87.0)</f>
        <v>87</v>
      </c>
      <c r="CJ86" s="55">
        <f>IFERROR(__xludf.DUMMYFUNCTION("importrange(""1wjoxTKxLPmzHS19GT_DZ96swQR-_WwppkY-Fa7qtBBY"",""2025-26!ao4"")"),7075293.12)</f>
        <v>7075293.12</v>
      </c>
      <c r="CK86" s="55">
        <f>IFERROR(__xludf.DUMMYFUNCTION("importrange(""1wjoxTKxLPmzHS19GT_DZ96swQR-_WwppkY-Fa7qtBBY"",""2025-26!ao3"")"),59.0)</f>
        <v>59</v>
      </c>
      <c r="CL86" s="59">
        <f t="shared" si="28"/>
        <v>1.244363445</v>
      </c>
      <c r="CM86" s="55">
        <f>IFERROR(__xludf.DUMMYFUNCTION("importrange(""1wjoxTKxLPmzHS19GT_DZ96swQR-_WwppkY-Fa7qtBBY"",""2025-26!ap4"")"),7075093.0)</f>
        <v>7075093</v>
      </c>
      <c r="CN86" s="55">
        <f>IFERROR(__xludf.DUMMYFUNCTION("importrange(""1wjoxTKxLPmzHS19GT_DZ96swQR-_WwppkY-Fa7qtBBY"",""2025-26!ap3"")"),61.0)</f>
        <v>61</v>
      </c>
      <c r="CO86" s="55">
        <f>IFERROR(__xludf.DUMMYFUNCTION("importrange(""1wjoxTKxLPmzHS19GT_DZ96swQR-_WwppkY-Fa7qtBBY"",""2025-26!aq4"")"),5685712.666666667)</f>
        <v>5685712.667</v>
      </c>
      <c r="CP86" s="55">
        <f>IFERROR(__xludf.DUMMYFUNCTION("importrange(""1wjoxTKxLPmzHS19GT_DZ96swQR-_WwppkY-Fa7qtBBY"",""2025-26!aq3"")"),87.0)</f>
        <v>87</v>
      </c>
      <c r="CQ86" s="55">
        <f>IFERROR(__xludf.DUMMYFUNCTION("importrange(""1wjoxTKxLPmzHS19GT_DZ96swQR-_WwppkY-Fa7qtBBY"",""2025-26!ar4"")"),6776329.500000003)</f>
        <v>6776329.5</v>
      </c>
      <c r="CR86" s="55">
        <f>IFERROR(__xludf.DUMMYFUNCTION("importrange(""1wjoxTKxLPmzHS19GT_DZ96swQR-_WwppkY-Fa7qtBBY"",""2025-26!ar3"")"),57.0)</f>
        <v>57</v>
      </c>
      <c r="CS86" s="59">
        <f t="shared" si="29"/>
        <v>1.268216919</v>
      </c>
      <c r="CT86" s="55">
        <f>IFERROR(__xludf.DUMMYFUNCTION("importrange(""1wjoxTKxLPmzHS19GT_DZ96swQR-_WwppkY-Fa7qtBBY"",""2025-26!as4"")"),7210717.0)</f>
        <v>7210717</v>
      </c>
      <c r="CU86" s="55">
        <f>IFERROR(__xludf.DUMMYFUNCTION("importrange(""1wjoxTKxLPmzHS19GT_DZ96swQR-_WwppkY-Fa7qtBBY"",""2025-26!as3"")"),58.0)</f>
        <v>58</v>
      </c>
      <c r="CV86" s="60" t="s">
        <v>196</v>
      </c>
    </row>
    <row r="87">
      <c r="A87" s="1" t="s">
        <v>185</v>
      </c>
      <c r="B87" s="37"/>
      <c r="C87" s="64" t="s">
        <v>201</v>
      </c>
      <c r="D87" s="50" t="s">
        <v>187</v>
      </c>
      <c r="E87" s="50">
        <v>9.083471702E9</v>
      </c>
      <c r="F87" s="74">
        <v>42660.0</v>
      </c>
      <c r="G87" s="62"/>
      <c r="H87" s="62"/>
      <c r="I87" s="53">
        <v>40500.0</v>
      </c>
      <c r="J87" s="54">
        <v>3383333.0</v>
      </c>
      <c r="K87" s="57">
        <f>IFERROR(__xludf.DUMMYFUNCTION("IMPORTRANGE(""1FGGDrtOqFXFnIAqpV4VK1I_FD986CaP6bQUHv8xEIys"",""2025-26!A3"")"),62.0)</f>
        <v>62</v>
      </c>
      <c r="L87" s="57">
        <f>IFERROR(__xludf.DUMMYFUNCTION("IMPORTRANGE(""1FGGDrtOqFXFnIAqpV4VK1I_FD986CaP6bQUHv8xEIys"",""2025-26!G4"")"),3.942E7)</f>
        <v>39420000</v>
      </c>
      <c r="M87" s="57">
        <f t="shared" si="50"/>
        <v>33140267.86</v>
      </c>
      <c r="N87" s="56">
        <f t="shared" si="51"/>
        <v>0.8112223237</v>
      </c>
      <c r="O87" s="57">
        <f t="shared" si="52"/>
        <v>31978384</v>
      </c>
      <c r="P87" s="55">
        <f>IFERROR(__xludf.DUMMYFUNCTION("IMPORTRANGE(""1FGGDrtOqFXFnIAqpV4VK1I_FD986CaP6bQUHv8xEIys"",""2025-26!J4"")"),3284998.0000000005)</f>
        <v>3284998</v>
      </c>
      <c r="Q87" s="55">
        <f>IFERROR(__xludf.DUMMYFUNCTION("IMPORTRANGE(""1FGGDrtOqFXFnIAqpV4VK1I_FD986CaP6bQUHv8xEIys"",""2025-26!J3"")"),48.0)</f>
        <v>48</v>
      </c>
      <c r="R87" s="55">
        <f>IFERROR(__xludf.DUMMYFUNCTION("IMPORTRANGE(""1FGGDrtOqFXFnIAqpV4VK1I_FD986CaP6bQUHv8xEIys"",""2025-26!K4"")"),1714880.4)</f>
        <v>1714880.4</v>
      </c>
      <c r="S87" s="55">
        <f>IFERROR(__xludf.DUMMYFUNCTION("IMPORTRANGE(""1FGGDrtOqFXFnIAqpV4VK1I_FD986CaP6bQUHv8xEIys"",""2025-26!K3"")"),16.0)</f>
        <v>16</v>
      </c>
      <c r="T87" s="58">
        <f t="shared" si="18"/>
        <v>0.3574449665</v>
      </c>
      <c r="U87" s="55">
        <f>IFERROR(__xludf.DUMMYFUNCTION("IMPORTRANGE(""1FGGDrtOqFXFnIAqpV4VK1I_FD986CaP6bQUHv8xEIys"",""2025-26!L4"")"),1174206.0)</f>
        <v>1174206</v>
      </c>
      <c r="V87" s="79">
        <f>IFERROR(__xludf.DUMMYFUNCTION("IMPORTRANGE(""1FGGDrtOqFXFnIAqpV4VK1I_FD986CaP6bQUHv8xEIys"",""2025-26!L3"")"),19.0)</f>
        <v>19</v>
      </c>
      <c r="W87" s="55">
        <f>IFERROR(__xludf.DUMMYFUNCTION("IMPORTRANGE(""1FGGDrtOqFXFnIAqpV4VK1I_FD986CaP6bQUHv8xEIys"",""2025-26!M4"")"),3284998.0000000005)</f>
        <v>3284998</v>
      </c>
      <c r="X87" s="79">
        <f>IFERROR(__xludf.DUMMYFUNCTION("IMPORTRANGE(""1FGGDrtOqFXFnIAqpV4VK1I_FD986CaP6bQUHv8xEIys"",""2025-26!M3"")"),48.0)</f>
        <v>48</v>
      </c>
      <c r="Y87" s="55">
        <f>IFERROR(__xludf.DUMMYFUNCTION("importrange(""1FGGDrtOqFXFnIAqpV4VK1I_FD986CaP6bQUHv8xEIys"",""2025-26!n4"")"),2121193.2)</f>
        <v>2121193.2</v>
      </c>
      <c r="Z87" s="55">
        <f>IFERROR(__xludf.DUMMYFUNCTION("importrange(""1FGGDrtOqFXFnIAqpV4VK1I_FD986CaP6bQUHv8xEIys"",""2025-26!n3"")"),26.0)</f>
        <v>26</v>
      </c>
      <c r="AA87" s="58">
        <f t="shared" si="19"/>
        <v>0.7500738204</v>
      </c>
      <c r="AB87" s="55">
        <f>IFERROR(__xludf.DUMMYFUNCTION("importrange(""1FGGDrtOqFXFnIAqpV4VK1I_FD986CaP6bQUHv8xEIys"",""2025-26!o4"")"),2463991.0)</f>
        <v>2463991</v>
      </c>
      <c r="AC87" s="55">
        <f>IFERROR(__xludf.DUMMYFUNCTION("importrange(""1FGGDrtOqFXFnIAqpV4VK1I_FD986CaP6bQUHv8xEIys"",""2025-26!o3"")"),28.0)</f>
        <v>28</v>
      </c>
      <c r="AD87" s="55">
        <f>IFERROR(__xludf.DUMMYFUNCTION("importrange(""1FGGDrtOqFXFnIAqpV4VK1I_FD986CaP6bQUHv8xEIys"",""2025-26!p4"")"),3284998.0000000005)</f>
        <v>3284998</v>
      </c>
      <c r="AE87" s="55">
        <f>IFERROR(__xludf.DUMMYFUNCTION("importrange(""1FGGDrtOqFXFnIAqpV4VK1I_FD986CaP6bQUHv8xEIys"",""2025-26!p3"")"),48.0)</f>
        <v>48</v>
      </c>
      <c r="AF87" s="55">
        <f>IFERROR(__xludf.DUMMYFUNCTION("importrange(""1FGGDrtOqFXFnIAqpV4VK1I_FD986CaP6bQUHv8xEIys"",""2025-26!q4"")"),3339644.2)</f>
        <v>3339644.2</v>
      </c>
      <c r="AG87" s="55">
        <f>IFERROR(__xludf.DUMMYFUNCTION("importrange(""1FGGDrtOqFXFnIAqpV4VK1I_FD986CaP6bQUHv8xEIys"",""2025-26!q3"")"),20.0)</f>
        <v>20</v>
      </c>
      <c r="AH87" s="58">
        <f t="shared" si="20"/>
        <v>1.049981461</v>
      </c>
      <c r="AI87" s="55">
        <f>IFERROR(__xludf.DUMMYFUNCTION("importrange(""1FGGDrtOqFXFnIAqpV4VK1I_FD986CaP6bQUHv8xEIys"",""2025-26!r4"")"),3449187.0)</f>
        <v>3449187</v>
      </c>
      <c r="AJ87" s="55">
        <f>IFERROR(__xludf.DUMMYFUNCTION("importrange(""1FGGDrtOqFXFnIAqpV4VK1I_FD986CaP6bQUHv8xEIys"",""2025-26!r3"")"),26.0)</f>
        <v>26</v>
      </c>
      <c r="AK87" s="55">
        <f>IFERROR(__xludf.DUMMYFUNCTION("importrange(""1FGGDrtOqFXFnIAqpV4VK1I_FD986CaP6bQUHv8xEIys"",""2025-26!s4"")"),3284998.0000000005)</f>
        <v>3284998</v>
      </c>
      <c r="AL87" s="55">
        <f>IFERROR(__xludf.DUMMYFUNCTION("importrange(""1FGGDrtOqFXFnIAqpV4VK1I_FD986CaP6bQUHv8xEIys"",""2025-26!s3"")"),48.0)</f>
        <v>48</v>
      </c>
      <c r="AM87" s="57">
        <f>IFERROR(__xludf.DUMMYFUNCTION("importrange(""1FGGDrtOqFXFnIAqpV4VK1I_FD986CaP6bQUHv8xEIys"",""2025-26!t4"")"),1822378.09)</f>
        <v>1822378.09</v>
      </c>
      <c r="AN87" s="55">
        <f>IFERROR(__xludf.DUMMYFUNCTION("importrange(""1FGGDrtOqFXFnIAqpV4VK1I_FD986CaP6bQUHv8xEIys"",""2025-26!t3"")"),22.0)</f>
        <v>22</v>
      </c>
      <c r="AO87" s="58">
        <f t="shared" si="21"/>
        <v>0.5402198114</v>
      </c>
      <c r="AP87" s="55">
        <f>IFERROR(__xludf.DUMMYFUNCTION("importrange(""1FGGDrtOqFXFnIAqpV4VK1I_FD986CaP6bQUHv8xEIys"",""2025-26!u4"")"),1774621.0)</f>
        <v>1774621</v>
      </c>
      <c r="AQ87" s="55">
        <f>IFERROR(__xludf.DUMMYFUNCTION("importrange(""1FGGDrtOqFXFnIAqpV4VK1I_FD986CaP6bQUHv8xEIys"",""2025-26!u3"")"),25.0)</f>
        <v>25</v>
      </c>
      <c r="AR87" s="55">
        <f>IFERROR(__xludf.DUMMYFUNCTION("importrange(""1FGGDrtOqFXFnIAqpV4VK1I_FD986CaP6bQUHv8xEIys"",""2025-26!v4"")"),3284998.0000000005)</f>
        <v>3284998</v>
      </c>
      <c r="AS87" s="55">
        <f>IFERROR(__xludf.DUMMYFUNCTION("importrange(""1FGGDrtOqFXFnIAqpV4VK1I_FD986CaP6bQUHv8xEIys"",""2025-26!v3"")"),48.0)</f>
        <v>48</v>
      </c>
      <c r="AT87" s="57">
        <f>IFERROR(__xludf.DUMMYFUNCTION("importrange(""1FGGDrtOqFXFnIAqpV4VK1I_FD986CaP6bQUHv8xEIys"",""2025-26!w4"")"),4077479.7600000002)</f>
        <v>4077479.76</v>
      </c>
      <c r="AU87" s="55">
        <f>IFERROR(__xludf.DUMMYFUNCTION("importrange(""1FGGDrtOqFXFnIAqpV4VK1I_FD986CaP6bQUHv8xEIys"",""2025-26!w3"")"),27.0)</f>
        <v>27</v>
      </c>
      <c r="AV87" s="58">
        <f t="shared" si="22"/>
        <v>1.332226991</v>
      </c>
      <c r="AW87" s="55">
        <f>IFERROR(__xludf.DUMMYFUNCTION("importrange(""1FGGDrtOqFXFnIAqpV4VK1I_FD986CaP6bQUHv8xEIys"",""2025-26!x4"")"),4376363.0)</f>
        <v>4376363</v>
      </c>
      <c r="AX87" s="55">
        <f>IFERROR(__xludf.DUMMYFUNCTION("importrange(""1FGGDrtOqFXFnIAqpV4VK1I_FD986CaP6bQUHv8xEIys"",""2025-26!x3"")"),31.0)</f>
        <v>31</v>
      </c>
      <c r="AY87" s="55">
        <f>IFERROR(__xludf.DUMMYFUNCTION("importrange(""1FGGDrtOqFXFnIAqpV4VK1I_FD986CaP6bQUHv8xEIys"",""2025-26!y4"")"),3284998.0000000005)</f>
        <v>3284998</v>
      </c>
      <c r="AZ87" s="55">
        <f>IFERROR(__xludf.DUMMYFUNCTION("importrange(""1FGGDrtOqFXFnIAqpV4VK1I_FD986CaP6bQUHv8xEIys"",""2025-26!y3"")"),48.0)</f>
        <v>48</v>
      </c>
      <c r="BA87" s="57">
        <f>IFERROR(__xludf.DUMMYFUNCTION("importrange(""1FGGDrtOqFXFnIAqpV4VK1I_FD986CaP6bQUHv8xEIys"",""2025-26!z4"")"),3578169.0700000003)</f>
        <v>3578169.07</v>
      </c>
      <c r="BB87" s="55">
        <f>IFERROR(__xludf.DUMMYFUNCTION("importrange(""1FGGDrtOqFXFnIAqpV4VK1I_FD986CaP6bQUHv8xEIys"",""2025-26!z3"")"),34.0)</f>
        <v>34</v>
      </c>
      <c r="BC87" s="59">
        <f t="shared" si="23"/>
        <v>0.9827348449</v>
      </c>
      <c r="BD87" s="55">
        <f>IFERROR(__xludf.DUMMYFUNCTION("importrange(""1FGGDrtOqFXFnIAqpV4VK1I_FD986CaP6bQUHv8xEIys"",""2025-26!aa4"")"),3228282.0)</f>
        <v>3228282</v>
      </c>
      <c r="BE87" s="55">
        <f>IFERROR(__xludf.DUMMYFUNCTION("importrange(""1FGGDrtOqFXFnIAqpV4VK1I_FD986CaP6bQUHv8xEIys"",""2025-26!aa3"")"),35.0)</f>
        <v>35</v>
      </c>
      <c r="BF87" s="55">
        <f>IFERROR(__xludf.DUMMYFUNCTION("importrange(""1FGGDrtOqFXFnIAqpV4VK1I_FD986CaP6bQUHv8xEIys"",""2025-26!ab4"")"),3284998.0000000005)</f>
        <v>3284998</v>
      </c>
      <c r="BG87" s="55">
        <f>IFERROR(__xludf.DUMMYFUNCTION("importrange(""1FGGDrtOqFXFnIAqpV4VK1I_FD986CaP6bQUHv8xEIys"",""2025-26!ab3"")"),48.0)</f>
        <v>48</v>
      </c>
      <c r="BH87" s="55">
        <f>IFERROR(__xludf.DUMMYFUNCTION("importrange(""1FGGDrtOqFXFnIAqpV4VK1I_FD986CaP6bQUHv8xEIys"",""2025-26!ac4"")"),3688342.7)</f>
        <v>3688342.7</v>
      </c>
      <c r="BI87" s="55">
        <f>IFERROR(__xludf.DUMMYFUNCTION("importrange(""1FGGDrtOqFXFnIAqpV4VK1I_FD986CaP6bQUHv8xEIys"",""2025-26!ac3"")"),19.0)</f>
        <v>19</v>
      </c>
      <c r="BJ87" s="59">
        <f t="shared" si="24"/>
        <v>1.063682231</v>
      </c>
      <c r="BK87" s="55">
        <f>IFERROR(__xludf.DUMMYFUNCTION("importrange(""1FGGDrtOqFXFnIAqpV4VK1I_FD986CaP6bQUHv8xEIys"",""2025-26!ad4"")"),3494194.0)</f>
        <v>3494194</v>
      </c>
      <c r="BL87" s="55">
        <f>IFERROR(__xludf.DUMMYFUNCTION("importrange(""1FGGDrtOqFXFnIAqpV4VK1I_FD986CaP6bQUHv8xEIys"",""2025-26!ad3"")"),29.0)</f>
        <v>29</v>
      </c>
      <c r="BM87" s="55">
        <f>IFERROR(__xludf.DUMMYFUNCTION("importrange(""1FGGDrtOqFXFnIAqpV4VK1I_FD986CaP6bQUHv8xEIys"",""2025-26!ae4"")"),3284998.0000000005)</f>
        <v>3284998</v>
      </c>
      <c r="BN87" s="55">
        <f>IFERROR(__xludf.DUMMYFUNCTION("importrange(""1FGGDrtOqFXFnIAqpV4VK1I_FD986CaP6bQUHv8xEIys"",""2025-26!ae3"")"),48.0)</f>
        <v>48</v>
      </c>
      <c r="BO87" s="55">
        <f>IFERROR(__xludf.DUMMYFUNCTION("importrange(""1FGGDrtOqFXFnIAqpV4VK1I_FD986CaP6bQUHv8xEIys"",""2025-26!af4"")"),2433870.12)</f>
        <v>2433870.12</v>
      </c>
      <c r="BP87" s="55">
        <f>IFERROR(__xludf.DUMMYFUNCTION("importrange(""1FGGDrtOqFXFnIAqpV4VK1I_FD986CaP6bQUHv8xEIys"",""2025-26!af3"")"),24.0)</f>
        <v>24</v>
      </c>
      <c r="BQ87" s="59">
        <f t="shared" si="25"/>
        <v>0.6217601959</v>
      </c>
      <c r="BR87" s="55">
        <f>IFERROR(__xludf.DUMMYFUNCTION("importrange(""1FGGDrtOqFXFnIAqpV4VK1I_FD986CaP6bQUHv8xEIys"",""2025-26!ag4"")"),2042481.0)</f>
        <v>2042481</v>
      </c>
      <c r="BS87" s="55">
        <f>IFERROR(__xludf.DUMMYFUNCTION("importrange(""1FGGDrtOqFXFnIAqpV4VK1I_FD986CaP6bQUHv8xEIys"",""2025-26!ag3"")"),23.0)</f>
        <v>23</v>
      </c>
      <c r="BT87" s="55">
        <f>IFERROR(__xludf.DUMMYFUNCTION("importrange(""1FGGDrtOqFXFnIAqpV4VK1I_FD986CaP6bQUHv8xEIys"",""2025-26!ah4"")"),3268332.0000000005)</f>
        <v>3268332</v>
      </c>
      <c r="BU87" s="55">
        <f>IFERROR(__xludf.DUMMYFUNCTION("importrange(""1FGGDrtOqFXFnIAqpV4VK1I_FD986CaP6bQUHv8xEIys"",""2025-26!ah3"")"),47.0)</f>
        <v>47</v>
      </c>
      <c r="BV87" s="55">
        <f>IFERROR(__xludf.DUMMYFUNCTION("importrange(""1FGGDrtOqFXFnIAqpV4VK1I_FD986CaP6bQUHv8xEIys"",""2025-26!ai4"")"),2388741.9899999998)</f>
        <v>2388741.99</v>
      </c>
      <c r="BW87" s="55">
        <f>IFERROR(__xludf.DUMMYFUNCTION("importrange(""1FGGDrtOqFXFnIAqpV4VK1I_FD986CaP6bQUHv8xEIys"",""2025-26!ai3"")"),25.0)</f>
        <v>25</v>
      </c>
      <c r="BX87" s="59">
        <f t="shared" si="26"/>
        <v>0.7368388524</v>
      </c>
      <c r="BY87" s="55">
        <f>IFERROR(__xludf.DUMMYFUNCTION("importrange(""1FGGDrtOqFXFnIAqpV4VK1I_FD986CaP6bQUHv8xEIys"",""2025-26!aj4"")"),2408234.0)</f>
        <v>2408234</v>
      </c>
      <c r="BZ87" s="55">
        <f>IFERROR(__xludf.DUMMYFUNCTION("importrange(""1FGGDrtOqFXFnIAqpV4VK1I_FD986CaP6bQUHv8xEIys"",""2025-26!aj3"")"),32.0)</f>
        <v>32</v>
      </c>
      <c r="CA87" s="55">
        <f>IFERROR(__xludf.DUMMYFUNCTION("importrange(""1FGGDrtOqFXFnIAqpV4VK1I_FD986CaP6bQUHv8xEIys"",""2025-26!ak4"")"),3268332.0000000005)</f>
        <v>3268332</v>
      </c>
      <c r="CB87" s="55">
        <f>IFERROR(__xludf.DUMMYFUNCTION("importrange(""1FGGDrtOqFXFnIAqpV4VK1I_FD986CaP6bQUHv8xEIys"",""2025-26!ak3"")"),47.0)</f>
        <v>47</v>
      </c>
      <c r="CC87" s="55">
        <f>IFERROR(__xludf.DUMMYFUNCTION("importrange(""1FGGDrtOqFXFnIAqpV4VK1I_FD986CaP6bQUHv8xEIys"",""2025-26!al4"")"),2033992.67)</f>
        <v>2033992.67</v>
      </c>
      <c r="CD87" s="55">
        <f>IFERROR(__xludf.DUMMYFUNCTION("importrange(""1FGGDrtOqFXFnIAqpV4VK1I_FD986CaP6bQUHv8xEIys"",""2025-26!ai3"")"),25.0)</f>
        <v>25</v>
      </c>
      <c r="CE87" s="59">
        <f t="shared" si="27"/>
        <v>0.6695488708</v>
      </c>
      <c r="CF87" s="55">
        <f>IFERROR(__xludf.DUMMYFUNCTION("importrange(""1FGGDrtOqFXFnIAqpV4VK1I_FD986CaP6bQUHv8xEIys"",""2025-26!am4"")"),2188308.0)</f>
        <v>2188308</v>
      </c>
      <c r="CG87" s="55">
        <f>IFERROR(__xludf.DUMMYFUNCTION("importrange(""1FGGDrtOqFXFnIAqpV4VK1I_FD986CaP6bQUHv8xEIys"",""2025-26!am3"")"),29.0)</f>
        <v>29</v>
      </c>
      <c r="CH87" s="55">
        <f>IFERROR(__xludf.DUMMYFUNCTION("importrange(""1FGGDrtOqFXFnIAqpV4VK1I_FD986CaP6bQUHv8xEIys"",""2025-26!an4"")"),3268332.0000000005)</f>
        <v>3268332</v>
      </c>
      <c r="CI87" s="55">
        <f>IFERROR(__xludf.DUMMYFUNCTION("importrange(""1FGGDrtOqFXFnIAqpV4VK1I_FD986CaP6bQUHv8xEIys"",""2025-26!an3"")"),47.0)</f>
        <v>47</v>
      </c>
      <c r="CJ87" s="55">
        <f>IFERROR(__xludf.DUMMYFUNCTION("importrange(""1FGGDrtOqFXFnIAqpV4VK1I_FD986CaP6bQUHv8xEIys"",""2025-26!ao4"")"),2916152.189999999)</f>
        <v>2916152.19</v>
      </c>
      <c r="CK87" s="55">
        <f>IFERROR(__xludf.DUMMYFUNCTION("importrange(""1FGGDrtOqFXFnIAqpV4VK1I_FD986CaP6bQUHv8xEIys"",""2025-26!ao3"")"),23.0)</f>
        <v>23</v>
      </c>
      <c r="CL87" s="59">
        <f t="shared" si="28"/>
        <v>0.8456267601</v>
      </c>
      <c r="CM87" s="55">
        <f>IFERROR(__xludf.DUMMYFUNCTION("importrange(""1FGGDrtOqFXFnIAqpV4VK1I_FD986CaP6bQUHv8xEIys"",""2025-26!ap4"")"),2763789.0)</f>
        <v>2763789</v>
      </c>
      <c r="CN87" s="55">
        <f>IFERROR(__xludf.DUMMYFUNCTION("importrange(""1FGGDrtOqFXFnIAqpV4VK1I_FD986CaP6bQUHv8xEIys"",""2025-26!ap3"")"),28.0)</f>
        <v>28</v>
      </c>
      <c r="CO87" s="55">
        <f>IFERROR(__xludf.DUMMYFUNCTION("importrange(""1FGGDrtOqFXFnIAqpV4VK1I_FD986CaP6bQUHv8xEIys"",""2025-26!aq4"")"),3268332.0000000005)</f>
        <v>3268332</v>
      </c>
      <c r="CP87" s="55">
        <f>IFERROR(__xludf.DUMMYFUNCTION("importrange(""1FGGDrtOqFXFnIAqpV4VK1I_FD986CaP6bQUHv8xEIys"",""2025-26!aq3"")"),47.0)</f>
        <v>47</v>
      </c>
      <c r="CQ87" s="55">
        <f>IFERROR(__xludf.DUMMYFUNCTION("importrange(""1FGGDrtOqFXFnIAqpV4VK1I_FD986CaP6bQUHv8xEIys"",""2025-26!ar4"")"),3025423.47)</f>
        <v>3025423.47</v>
      </c>
      <c r="CR87" s="55">
        <f>IFERROR(__xludf.DUMMYFUNCTION("importrange(""1FGGDrtOqFXFnIAqpV4VK1I_FD986CaP6bQUHv8xEIys"",""2025-26!ar3"")"),15.0)</f>
        <v>15</v>
      </c>
      <c r="CS87" s="59">
        <f t="shared" si="29"/>
        <v>0.8000190923</v>
      </c>
      <c r="CT87" s="55">
        <f>IFERROR(__xludf.DUMMYFUNCTION("importrange(""1FGGDrtOqFXFnIAqpV4VK1I_FD986CaP6bQUHv8xEIys"",""2025-26!as4"")"),2614728.0)</f>
        <v>2614728</v>
      </c>
      <c r="CU87" s="55">
        <f>IFERROR(__xludf.DUMMYFUNCTION("importrange(""1FGGDrtOqFXFnIAqpV4VK1I_FD986CaP6bQUHv8xEIys"",""2025-26!as3"")"),22.0)</f>
        <v>22</v>
      </c>
      <c r="CV87" s="60" t="s">
        <v>189</v>
      </c>
    </row>
    <row r="88">
      <c r="A88" s="1" t="s">
        <v>185</v>
      </c>
      <c r="B88" s="37"/>
      <c r="C88" s="64" t="s">
        <v>202</v>
      </c>
      <c r="D88" s="50" t="s">
        <v>192</v>
      </c>
      <c r="E88" s="50">
        <v>9.614809189E9</v>
      </c>
      <c r="F88" s="74">
        <v>42826.0</v>
      </c>
      <c r="G88" s="62"/>
      <c r="H88" s="62"/>
      <c r="I88" s="53">
        <v>57500.0</v>
      </c>
      <c r="J88" s="54">
        <v>3800000.0</v>
      </c>
      <c r="K88" s="57">
        <f>IFERROR(__xludf.DUMMYFUNCTION("IMPORTRANGE(""19sd98Ma-lKiTrPsBhkwCFf0ACdf0Xphg3rWCORyhIMY"",""2025-26!A3"")"),135.0)</f>
        <v>135</v>
      </c>
      <c r="L88" s="57">
        <f>IFERROR(__xludf.DUMMYFUNCTION("IMPORTRANGE(""19sd98Ma-lKiTrPsBhkwCFf0ACdf0Xphg3rWCORyhIMY"",""2025-26!G4"")"),9.2552E7)</f>
        <v>92552000</v>
      </c>
      <c r="M88" s="57">
        <f t="shared" si="50"/>
        <v>38462588.95</v>
      </c>
      <c r="N88" s="56">
        <f t="shared" si="51"/>
        <v>0.2916764795</v>
      </c>
      <c r="O88" s="57">
        <f t="shared" si="52"/>
        <v>26995241.53</v>
      </c>
      <c r="P88" s="55">
        <f>IFERROR(__xludf.DUMMYFUNCTION("IMPORTRANGE(""19sd98Ma-lKiTrPsBhkwCFf0ACdf0Xphg3rWCORyhIMY"",""2025-26!J4"")"),7712665.0)</f>
        <v>7712665</v>
      </c>
      <c r="Q88" s="55">
        <f>IFERROR(__xludf.DUMMYFUNCTION("IMPORTRANGE(""19sd98Ma-lKiTrPsBhkwCFf0ACdf0Xphg3rWCORyhIMY"",""2025-26!J3"")"),97.0)</f>
        <v>97</v>
      </c>
      <c r="R88" s="55">
        <f>IFERROR(__xludf.DUMMYFUNCTION("IMPORTRANGE(""19sd98Ma-lKiTrPsBhkwCFf0ACdf0Xphg3rWCORyhIMY"",""2025-26!K4"")"),2569084.0)</f>
        <v>2569084</v>
      </c>
      <c r="S88" s="55">
        <f>IFERROR(__xludf.DUMMYFUNCTION("IMPORTRANGE(""19sd98Ma-lKiTrPsBhkwCFf0ACdf0Xphg3rWCORyhIMY"",""2025-26!K3"")"),5.0)</f>
        <v>5</v>
      </c>
      <c r="T88" s="58">
        <f t="shared" si="18"/>
        <v>0.3534866249</v>
      </c>
      <c r="U88" s="55">
        <f>IFERROR(__xludf.DUMMYFUNCTION("IMPORTRANGE(""19sd98Ma-lKiTrPsBhkwCFf0ACdf0Xphg3rWCORyhIMY"",""2025-26!L4"")"),2726323.9200000004)</f>
        <v>2726323.92</v>
      </c>
      <c r="V88" s="79">
        <f>IFERROR(__xludf.DUMMYFUNCTION("IMPORTRANGE(""19sd98Ma-lKiTrPsBhkwCFf0ACdf0Xphg3rWCORyhIMY"",""2025-26!L3"")"),20.0)</f>
        <v>20</v>
      </c>
      <c r="W88" s="55">
        <f>IFERROR(__xludf.DUMMYFUNCTION("IMPORTRANGE(""19sd98Ma-lKiTrPsBhkwCFf0ACdf0Xphg3rWCORyhIMY"",""2025-26!M4"")"),7712665.0)</f>
        <v>7712665</v>
      </c>
      <c r="X88" s="79">
        <f>IFERROR(__xludf.DUMMYFUNCTION("IMPORTRANGE(""19sd98Ma-lKiTrPsBhkwCFf0ACdf0Xphg3rWCORyhIMY"",""2025-26!M3"")"),97.0)</f>
        <v>97</v>
      </c>
      <c r="Y88" s="55">
        <f>IFERROR(__xludf.DUMMYFUNCTION("importrange(""19sd98Ma-lKiTrPsBhkwCFf0ACdf0Xphg3rWCORyhIMY"",""2025-26!n4"")"),4250666.0)</f>
        <v>4250666</v>
      </c>
      <c r="Z88" s="55">
        <f>IFERROR(__xludf.DUMMYFUNCTION("importrange(""19sd98Ma-lKiTrPsBhkwCFf0ACdf0Xphg3rWCORyhIMY"",""2025-26!n3"")"),8.0)</f>
        <v>8</v>
      </c>
      <c r="AA88" s="58">
        <f t="shared" si="19"/>
        <v>0.3251543351</v>
      </c>
      <c r="AB88" s="55">
        <f>IFERROR(__xludf.DUMMYFUNCTION("importrange(""19sd98Ma-lKiTrPsBhkwCFf0ACdf0Xphg3rWCORyhIMY"",""2025-26!o4"")"),2507806.4599999995)</f>
        <v>2507806.46</v>
      </c>
      <c r="AC88" s="55">
        <f>IFERROR(__xludf.DUMMYFUNCTION("importrange(""19sd98Ma-lKiTrPsBhkwCFf0ACdf0Xphg3rWCORyhIMY"",""2025-26!o3"")"),16.0)</f>
        <v>16</v>
      </c>
      <c r="AD88" s="55">
        <f>IFERROR(__xludf.DUMMYFUNCTION("importrange(""19sd98Ma-lKiTrPsBhkwCFf0ACdf0Xphg3rWCORyhIMY"",""2025-26!p4"")"),7712665.0)</f>
        <v>7712665</v>
      </c>
      <c r="AE88" s="55">
        <f>IFERROR(__xludf.DUMMYFUNCTION("importrange(""19sd98Ma-lKiTrPsBhkwCFf0ACdf0Xphg3rWCORyhIMY"",""2025-26!p3"")"),97.0)</f>
        <v>97</v>
      </c>
      <c r="AF88" s="55">
        <f>IFERROR(__xludf.DUMMYFUNCTION("importrange(""19sd98Ma-lKiTrPsBhkwCFf0ACdf0Xphg3rWCORyhIMY"",""2025-26!q4"")"),3588320.0)</f>
        <v>3588320</v>
      </c>
      <c r="AG88" s="55">
        <f>IFERROR(__xludf.DUMMYFUNCTION("importrange(""19sd98Ma-lKiTrPsBhkwCFf0ACdf0Xphg3rWCORyhIMY"",""2025-26!q3"")"),8.0)</f>
        <v>8</v>
      </c>
      <c r="AH88" s="58">
        <f t="shared" si="20"/>
        <v>0.3683215322</v>
      </c>
      <c r="AI88" s="55">
        <f>IFERROR(__xludf.DUMMYFUNCTION("importrange(""19sd98Ma-lKiTrPsBhkwCFf0ACdf0Xphg3rWCORyhIMY"",""2025-26!r4"")"),2840740.5900000003)</f>
        <v>2840740.59</v>
      </c>
      <c r="AJ88" s="55">
        <f>IFERROR(__xludf.DUMMYFUNCTION("importrange(""19sd98Ma-lKiTrPsBhkwCFf0ACdf0Xphg3rWCORyhIMY"",""2025-26!r3"")"),15.0)</f>
        <v>15</v>
      </c>
      <c r="AK88" s="55">
        <f>IFERROR(__xludf.DUMMYFUNCTION("importrange(""19sd98Ma-lKiTrPsBhkwCFf0ACdf0Xphg3rWCORyhIMY"",""2025-26!s4"")"),7712665.0)</f>
        <v>7712665</v>
      </c>
      <c r="AL88" s="55">
        <f>IFERROR(__xludf.DUMMYFUNCTION("importrange(""19sd98Ma-lKiTrPsBhkwCFf0ACdf0Xphg3rWCORyhIMY"",""2025-26!s3"")"),97.0)</f>
        <v>97</v>
      </c>
      <c r="AM88" s="57">
        <f>IFERROR(__xludf.DUMMYFUNCTION("importrange(""19sd98Ma-lKiTrPsBhkwCFf0ACdf0Xphg3rWCORyhIMY"",""2025-26!t4"")"),4010790.41)</f>
        <v>4010790.41</v>
      </c>
      <c r="AN88" s="55">
        <f>IFERROR(__xludf.DUMMYFUNCTION("importrange(""19sd98Ma-lKiTrPsBhkwCFf0ACdf0Xphg3rWCORyhIMY"",""2025-26!t3"")"),8.0)</f>
        <v>8</v>
      </c>
      <c r="AO88" s="58">
        <f t="shared" si="21"/>
        <v>0.4042225534</v>
      </c>
      <c r="AP88" s="55">
        <f>IFERROR(__xludf.DUMMYFUNCTION("importrange(""19sd98Ma-lKiTrPsBhkwCFf0ACdf0Xphg3rWCORyhIMY"",""2025-26!u4"")"),3117633.1400000006)</f>
        <v>3117633.14</v>
      </c>
      <c r="AQ88" s="55">
        <f>IFERROR(__xludf.DUMMYFUNCTION("importrange(""19sd98Ma-lKiTrPsBhkwCFf0ACdf0Xphg3rWCORyhIMY"",""2025-26!u3"")"),15.0)</f>
        <v>15</v>
      </c>
      <c r="AR88" s="55">
        <f>IFERROR(__xludf.DUMMYFUNCTION("importrange(""19sd98Ma-lKiTrPsBhkwCFf0ACdf0Xphg3rWCORyhIMY"",""2025-26!v4"")"),7712665.0)</f>
        <v>7712665</v>
      </c>
      <c r="AS88" s="55">
        <f>IFERROR(__xludf.DUMMYFUNCTION("importrange(""19sd98Ma-lKiTrPsBhkwCFf0ACdf0Xphg3rWCORyhIMY"",""2025-26!v3"")"),97.0)</f>
        <v>97</v>
      </c>
      <c r="AT88" s="57">
        <f>IFERROR(__xludf.DUMMYFUNCTION("importrange(""19sd98Ma-lKiTrPsBhkwCFf0ACdf0Xphg3rWCORyhIMY"",""2025-26!w4"")"),3710140.9899999993)</f>
        <v>3710140.99</v>
      </c>
      <c r="AU88" s="55">
        <f>IFERROR(__xludf.DUMMYFUNCTION("importrange(""19sd98Ma-lKiTrPsBhkwCFf0ACdf0Xphg3rWCORyhIMY"",""2025-26!w3"")"),11.0)</f>
        <v>11</v>
      </c>
      <c r="AV88" s="58">
        <f t="shared" si="22"/>
        <v>0.3806238609</v>
      </c>
      <c r="AW88" s="55">
        <f>IFERROR(__xludf.DUMMYFUNCTION("importrange(""19sd98Ma-lKiTrPsBhkwCFf0ACdf0Xphg3rWCORyhIMY"",""2025-26!x4"")"),2935624.3299999996)</f>
        <v>2935624.33</v>
      </c>
      <c r="AX88" s="55">
        <f>IFERROR(__xludf.DUMMYFUNCTION("importrange(""19sd98Ma-lKiTrPsBhkwCFf0ACdf0Xphg3rWCORyhIMY"",""2025-26!x3"")"),15.0)</f>
        <v>15</v>
      </c>
      <c r="AY88" s="55">
        <f>IFERROR(__xludf.DUMMYFUNCTION("importrange(""19sd98Ma-lKiTrPsBhkwCFf0ACdf0Xphg3rWCORyhIMY"",""2025-26!y4"")"),7712665.0)</f>
        <v>7712665</v>
      </c>
      <c r="AZ88" s="55">
        <f>IFERROR(__xludf.DUMMYFUNCTION("importrange(""19sd98Ma-lKiTrPsBhkwCFf0ACdf0Xphg3rWCORyhIMY"",""2025-26!y3"")"),97.0)</f>
        <v>97</v>
      </c>
      <c r="BA88" s="57">
        <f>IFERROR(__xludf.DUMMYFUNCTION("importrange(""19sd98Ma-lKiTrPsBhkwCFf0ACdf0Xphg3rWCORyhIMY"",""2025-26!z4"")"),2788228.8)</f>
        <v>2788228.8</v>
      </c>
      <c r="BB88" s="55">
        <f>IFERROR(__xludf.DUMMYFUNCTION("importrange(""19sd98Ma-lKiTrPsBhkwCFf0ACdf0Xphg3rWCORyhIMY"",""2025-26!z3"")"),5.0)</f>
        <v>5</v>
      </c>
      <c r="BC88" s="59">
        <f t="shared" si="23"/>
        <v>0.3043169229</v>
      </c>
      <c r="BD88" s="55">
        <f>IFERROR(__xludf.DUMMYFUNCTION("importrange(""19sd98Ma-lKiTrPsBhkwCFf0ACdf0Xphg3rWCORyhIMY"",""2025-26!aa4"")"),2347094.4800000004)</f>
        <v>2347094.48</v>
      </c>
      <c r="BE88" s="55">
        <f>IFERROR(__xludf.DUMMYFUNCTION("importrange(""19sd98Ma-lKiTrPsBhkwCFf0ACdf0Xphg3rWCORyhIMY"",""2025-26!aa3"")"),16.0)</f>
        <v>16</v>
      </c>
      <c r="BF88" s="55">
        <f>IFERROR(__xludf.DUMMYFUNCTION("importrange(""19sd98Ma-lKiTrPsBhkwCFf0ACdf0Xphg3rWCORyhIMY"",""2025-26!ab4"")"),7712665.0)</f>
        <v>7712665</v>
      </c>
      <c r="BG88" s="55">
        <f>IFERROR(__xludf.DUMMYFUNCTION("importrange(""19sd98Ma-lKiTrPsBhkwCFf0ACdf0Xphg3rWCORyhIMY"",""2025-26!ab3"")"),97.0)</f>
        <v>97</v>
      </c>
      <c r="BH88" s="55">
        <f>IFERROR(__xludf.DUMMYFUNCTION("importrange(""19sd98Ma-lKiTrPsBhkwCFf0ACdf0Xphg3rWCORyhIMY"",""2025-26!ac4"")"),2879799.57)</f>
        <v>2879799.57</v>
      </c>
      <c r="BI88" s="55">
        <f>IFERROR(__xludf.DUMMYFUNCTION("importrange(""19sd98Ma-lKiTrPsBhkwCFf0ACdf0Xphg3rWCORyhIMY"",""2025-26!ac3"")"),5.0)</f>
        <v>5</v>
      </c>
      <c r="BJ88" s="59">
        <f t="shared" si="24"/>
        <v>0.2243979312</v>
      </c>
      <c r="BK88" s="55">
        <f>IFERROR(__xludf.DUMMYFUNCTION("importrange(""19sd98Ma-lKiTrPsBhkwCFf0ACdf0Xphg3rWCORyhIMY"",""2025-26!ad4"")"),1730706.0699999998)</f>
        <v>1730706.07</v>
      </c>
      <c r="BL88" s="55">
        <f>IFERROR(__xludf.DUMMYFUNCTION("importrange(""19sd98Ma-lKiTrPsBhkwCFf0ACdf0Xphg3rWCORyhIMY"",""2025-26!ad3"")"),15.0)</f>
        <v>15</v>
      </c>
      <c r="BM88" s="55">
        <f>IFERROR(__xludf.DUMMYFUNCTION("importrange(""19sd98Ma-lKiTrPsBhkwCFf0ACdf0Xphg3rWCORyhIMY"",""2025-26!ae4"")"),7712665.0)</f>
        <v>7712665</v>
      </c>
      <c r="BN88" s="55">
        <f>IFERROR(__xludf.DUMMYFUNCTION("importrange(""19sd98Ma-lKiTrPsBhkwCFf0ACdf0Xphg3rWCORyhIMY"",""2025-26!ae3"")"),97.0)</f>
        <v>97</v>
      </c>
      <c r="BO88" s="55">
        <f>IFERROR(__xludf.DUMMYFUNCTION("importrange(""19sd98Ma-lKiTrPsBhkwCFf0ACdf0Xphg3rWCORyhIMY"",""2025-26!af4"")"),1287863.38)</f>
        <v>1287863.38</v>
      </c>
      <c r="BP88" s="55">
        <f>IFERROR(__xludf.DUMMYFUNCTION("importrange(""19sd98Ma-lKiTrPsBhkwCFf0ACdf0Xphg3rWCORyhIMY"",""2025-26!af3"")"),4.0)</f>
        <v>4</v>
      </c>
      <c r="BQ88" s="59">
        <f t="shared" si="25"/>
        <v>0.161332542</v>
      </c>
      <c r="BR88" s="55">
        <f>IFERROR(__xludf.DUMMYFUNCTION("importrange(""19sd98Ma-lKiTrPsBhkwCFf0ACdf0Xphg3rWCORyhIMY"",""2025-26!ag4"")"),1244303.85)</f>
        <v>1244303.85</v>
      </c>
      <c r="BS88" s="55">
        <f>IFERROR(__xludf.DUMMYFUNCTION("importrange(""19sd98Ma-lKiTrPsBhkwCFf0ACdf0Xphg3rWCORyhIMY"",""2025-26!ag3"")"),11.0)</f>
        <v>11</v>
      </c>
      <c r="BT88" s="55">
        <f>IFERROR(__xludf.DUMMYFUNCTION("importrange(""19sd98Ma-lKiTrPsBhkwCFf0ACdf0Xphg3rWCORyhIMY"",""2025-26!ah4"")"),7712665.0)</f>
        <v>7712665</v>
      </c>
      <c r="BU88" s="55">
        <f>IFERROR(__xludf.DUMMYFUNCTION("importrange(""19sd98Ma-lKiTrPsBhkwCFf0ACdf0Xphg3rWCORyhIMY"",""2025-26!ah3"")"),97.0)</f>
        <v>97</v>
      </c>
      <c r="BV88" s="55">
        <f>IFERROR(__xludf.DUMMYFUNCTION("importrange(""19sd98Ma-lKiTrPsBhkwCFf0ACdf0Xphg3rWCORyhIMY"",""2025-26!ai4"")"),3016423.8)</f>
        <v>3016423.8</v>
      </c>
      <c r="BW88" s="55">
        <f>IFERROR(__xludf.DUMMYFUNCTION("importrange(""19sd98Ma-lKiTrPsBhkwCFf0ACdf0Xphg3rWCORyhIMY"",""2025-26!ai3"")"),7.0)</f>
        <v>7</v>
      </c>
      <c r="BX88" s="59">
        <f t="shared" si="26"/>
        <v>0.2136245669</v>
      </c>
      <c r="BY88" s="55">
        <f>IFERROR(__xludf.DUMMYFUNCTION("importrange(""19sd98Ma-lKiTrPsBhkwCFf0ACdf0Xphg3rWCORyhIMY"",""2025-26!aj4"")"),1647614.72)</f>
        <v>1647614.72</v>
      </c>
      <c r="BZ88" s="55">
        <f>IFERROR(__xludf.DUMMYFUNCTION("importrange(""19sd98Ma-lKiTrPsBhkwCFf0ACdf0Xphg3rWCORyhIMY"",""2025-26!aj3"")"),14.0)</f>
        <v>14</v>
      </c>
      <c r="CA88" s="55">
        <f>IFERROR(__xludf.DUMMYFUNCTION("importrange(""19sd98Ma-lKiTrPsBhkwCFf0ACdf0Xphg3rWCORyhIMY"",""2025-26!ak4"")"),7712665.0)</f>
        <v>7712665</v>
      </c>
      <c r="CB88" s="55">
        <f>IFERROR(__xludf.DUMMYFUNCTION("importrange(""19sd98Ma-lKiTrPsBhkwCFf0ACdf0Xphg3rWCORyhIMY"",""2025-26!ak3"")"),97.0)</f>
        <v>97</v>
      </c>
      <c r="CC88" s="55">
        <f>IFERROR(__xludf.DUMMYFUNCTION("importrange(""19sd98Ma-lKiTrPsBhkwCFf0ACdf0Xphg3rWCORyhIMY"",""2025-26!al4"")"),3386206.0)</f>
        <v>3386206</v>
      </c>
      <c r="CD88" s="55">
        <f>IFERROR(__xludf.DUMMYFUNCTION("importrange(""19sd98Ma-lKiTrPsBhkwCFf0ACdf0Xphg3rWCORyhIMY"",""2025-26!ai3"")"),7.0)</f>
        <v>7</v>
      </c>
      <c r="CE88" s="59">
        <f t="shared" si="27"/>
        <v>0.1980273174</v>
      </c>
      <c r="CF88" s="55">
        <f>IFERROR(__xludf.DUMMYFUNCTION("importrange(""19sd98Ma-lKiTrPsBhkwCFf0ACdf0Xphg3rWCORyhIMY"",""2025-26!am4"")"),1527318.3599999996)</f>
        <v>1527318.36</v>
      </c>
      <c r="CG88" s="55">
        <f>IFERROR(__xludf.DUMMYFUNCTION("importrange(""19sd98Ma-lKiTrPsBhkwCFf0ACdf0Xphg3rWCORyhIMY"",""2025-26!am3"")"),14.0)</f>
        <v>14</v>
      </c>
      <c r="CH88" s="55">
        <f>IFERROR(__xludf.DUMMYFUNCTION("importrange(""19sd98Ma-lKiTrPsBhkwCFf0ACdf0Xphg3rWCORyhIMY"",""2025-26!an4"")"),7712665.0)</f>
        <v>7712665</v>
      </c>
      <c r="CI88" s="55">
        <f>IFERROR(__xludf.DUMMYFUNCTION("importrange(""19sd98Ma-lKiTrPsBhkwCFf0ACdf0Xphg3rWCORyhIMY"",""2025-26!an3"")"),97.0)</f>
        <v>97</v>
      </c>
      <c r="CJ88" s="55">
        <f>IFERROR(__xludf.DUMMYFUNCTION("importrange(""19sd98Ma-lKiTrPsBhkwCFf0ACdf0Xphg3rWCORyhIMY"",""2025-26!ao4"")"),2921844.0)</f>
        <v>2921844</v>
      </c>
      <c r="CK88" s="55">
        <f>IFERROR(__xludf.DUMMYFUNCTION("importrange(""19sd98Ma-lKiTrPsBhkwCFf0ACdf0Xphg3rWCORyhIMY"",""2025-26!ao3"")"),5.0)</f>
        <v>5</v>
      </c>
      <c r="CL88" s="59">
        <f t="shared" si="28"/>
        <v>0.2390086552</v>
      </c>
      <c r="CM88" s="55">
        <f>IFERROR(__xludf.DUMMYFUNCTION("importrange(""19sd98Ma-lKiTrPsBhkwCFf0ACdf0Xphg3rWCORyhIMY"",""2025-26!ap4"")"),1843393.69)</f>
        <v>1843393.69</v>
      </c>
      <c r="CN88" s="55">
        <f>IFERROR(__xludf.DUMMYFUNCTION("importrange(""19sd98Ma-lKiTrPsBhkwCFf0ACdf0Xphg3rWCORyhIMY"",""2025-26!ap3"")"),12.0)</f>
        <v>12</v>
      </c>
      <c r="CO88" s="55">
        <f>IFERROR(__xludf.DUMMYFUNCTION("importrange(""19sd98Ma-lKiTrPsBhkwCFf0ACdf0Xphg3rWCORyhIMY"",""2025-26!aq4"")"),7712665.0)</f>
        <v>7712665</v>
      </c>
      <c r="CP88" s="55">
        <f>IFERROR(__xludf.DUMMYFUNCTION("importrange(""19sd98Ma-lKiTrPsBhkwCFf0ACdf0Xphg3rWCORyhIMY"",""2025-26!aq3"")"),97.0)</f>
        <v>97</v>
      </c>
      <c r="CQ88" s="55">
        <f>IFERROR(__xludf.DUMMYFUNCTION("importrange(""19sd98Ma-lKiTrPsBhkwCFf0ACdf0Xphg3rWCORyhIMY"",""2025-26!ar4"")"),4053222.0)</f>
        <v>4053222</v>
      </c>
      <c r="CR88" s="55">
        <f>IFERROR(__xludf.DUMMYFUNCTION("importrange(""19sd98Ma-lKiTrPsBhkwCFf0ACdf0Xphg3rWCORyhIMY"",""2025-26!ar3"")"),6.0)</f>
        <v>6</v>
      </c>
      <c r="CS88" s="59">
        <f t="shared" si="29"/>
        <v>0.3276016682</v>
      </c>
      <c r="CT88" s="55">
        <f>IFERROR(__xludf.DUMMYFUNCTION("importrange(""19sd98Ma-lKiTrPsBhkwCFf0ACdf0Xphg3rWCORyhIMY"",""2025-26!as4"")"),2526681.9199999995)</f>
        <v>2526681.92</v>
      </c>
      <c r="CU88" s="55">
        <f>IFERROR(__xludf.DUMMYFUNCTION("importrange(""19sd98Ma-lKiTrPsBhkwCFf0ACdf0Xphg3rWCORyhIMY"",""2025-26!as3"")"),14.0)</f>
        <v>14</v>
      </c>
      <c r="CV88" s="60" t="s">
        <v>189</v>
      </c>
    </row>
    <row r="89">
      <c r="A89" s="1" t="s">
        <v>185</v>
      </c>
      <c r="B89" s="37"/>
      <c r="C89" s="64" t="s">
        <v>203</v>
      </c>
      <c r="D89" s="50" t="s">
        <v>204</v>
      </c>
      <c r="E89" s="50">
        <v>9.932231241E9</v>
      </c>
      <c r="F89" s="74">
        <v>43009.0</v>
      </c>
      <c r="G89" s="62"/>
      <c r="H89" s="62"/>
      <c r="I89" s="53">
        <v>50417.0</v>
      </c>
      <c r="J89" s="54" t="s">
        <v>188</v>
      </c>
      <c r="K89" s="57">
        <f>IFERROR(__xludf.DUMMYFUNCTION("IMPORTRANGE(""https://docs.google.com/spreadsheets/d/1yYGXSwJ72j8viKCOe86p6wi8lNM7qrWmfCBaFBiUKLo/edit#gid=1950373534"",""2025-26!A3"")"),224.0)</f>
        <v>224</v>
      </c>
      <c r="L89" s="57">
        <f>IFERROR(__xludf.DUMMYFUNCTION("IMPORTRANGE(""https://docs.google.com/spreadsheets/d/1yYGXSwJ72j8viKCOe86p6wi8lNM7qrWmfCBaFBiUKLo/edit#gid=1950373534"",""2025-26!G4"")"),0.0)</f>
        <v>0</v>
      </c>
      <c r="M89" s="57">
        <f t="shared" si="50"/>
        <v>1259297.2</v>
      </c>
      <c r="N89" s="56" t="str">
        <f t="shared" si="51"/>
        <v/>
      </c>
      <c r="O89" s="57">
        <f t="shared" si="52"/>
        <v>0</v>
      </c>
      <c r="P89" s="55">
        <f>IFERROR(__xludf.DUMMYFUNCTION("IMPORTRANGE(""https://docs.google.com/spreadsheets/d/1yYGXSwJ72j8viKCOe86p6wi8lNM7qrWmfCBaFBiUKLo/edit#gid=1950373534"",""2025-26!J4"")"),0.0)</f>
        <v>0</v>
      </c>
      <c r="Q89" s="55">
        <f>IFERROR(__xludf.DUMMYFUNCTION("IMPORTRANGE(""https://docs.google.com/spreadsheets/d/1yYGXSwJ72j8viKCOe86p6wi8lNM7qrWmfCBaFBiUKLo/edit#gid=1950373534"",""2025-26!J3"")"),0.0)</f>
        <v>0</v>
      </c>
      <c r="R89" s="55">
        <f>IFERROR(__xludf.DUMMYFUNCTION("IMPORTRANGE(""https://docs.google.com/spreadsheets/d/1yYGXSwJ72j8viKCOe86p6wi8lNM7qrWmfCBaFBiUKLo/edit#gid=1950373534"",""2025-26!K4"")"),1002442.2)</f>
        <v>1002442.2</v>
      </c>
      <c r="S89" s="55">
        <f>IFERROR(__xludf.DUMMYFUNCTION("IMPORTRANGE(""https://docs.google.com/spreadsheets/d/1yYGXSwJ72j8viKCOe86p6wi8lNM7qrWmfCBaFBiUKLo/edit#gid=1950373534"",""2025-26!K3"")"),8.0)</f>
        <v>8</v>
      </c>
      <c r="T89" s="58" t="str">
        <f t="shared" si="18"/>
        <v/>
      </c>
      <c r="U89" s="55">
        <f>IFERROR(__xludf.DUMMYFUNCTION("IMPORTRANGE(""https://docs.google.com/spreadsheets/d/1yYGXSwJ72j8viKCOe86p6wi8lNM7qrWmfCBaFBiUKLo/edit#gid=1950373534"",""2025-26!L4"")"),0.0)</f>
        <v>0</v>
      </c>
      <c r="V89" s="79">
        <f>IFERROR(__xludf.DUMMYFUNCTION("IMPORTRANGE(""https://docs.google.com/spreadsheets/d/1yYGXSwJ72j8viKCOe86p6wi8lNM7qrWmfCBaFBiUKLo/edit#gid=1950373534"",""2025-26!L3"")"),0.0)</f>
        <v>0</v>
      </c>
      <c r="W89" s="55">
        <f>IFERROR(__xludf.DUMMYFUNCTION("IMPORTRANGE(""https://docs.google.com/spreadsheets/d/1yYGXSwJ72j8viKCOe86p6wi8lNM7qrWmfCBaFBiUKLo/edit#gid=1950373534"",""2025-26!M4"")"),0.0)</f>
        <v>0</v>
      </c>
      <c r="X89" s="79">
        <f>IFERROR(__xludf.DUMMYFUNCTION("IMPORTRANGE(""https://docs.google.com/spreadsheets/d/1yYGXSwJ72j8viKCOe86p6wi8lNM7qrWmfCBaFBiUKLo/edit#gid=1950373534"",""2025-26!M3"")"),0.0)</f>
        <v>0</v>
      </c>
      <c r="Y89" s="55">
        <f>IFERROR(__xludf.DUMMYFUNCTION("importrange(""https://docs.google.com/spreadsheets/d/1yYGXSwJ72j8viKCOe86p6wi8lNM7qrWmfCBaFBiUKLo/edit#gid=1950373534"",""2025-26!n4"")"),256855.0)</f>
        <v>256855</v>
      </c>
      <c r="Z89" s="55">
        <f>IFERROR(__xludf.DUMMYFUNCTION("importrange(""https://docs.google.com/spreadsheets/d/1yYGXSwJ72j8viKCOe86p6wi8lNM7qrWmfCBaFBiUKLo/edit#gid=1950373534"",""2025-26!n3"")"),1.0)</f>
        <v>1</v>
      </c>
      <c r="AA89" s="58" t="str">
        <f t="shared" si="19"/>
        <v/>
      </c>
      <c r="AB89" s="55">
        <f>IFERROR(__xludf.DUMMYFUNCTION("importrange(""https://docs.google.com/spreadsheets/d/1yYGXSwJ72j8viKCOe86p6wi8lNM7qrWmfCBaFBiUKLo/edit#gid=1950373534"",""2025-26!o4"")"),0.0)</f>
        <v>0</v>
      </c>
      <c r="AC89" s="55">
        <f>IFERROR(__xludf.DUMMYFUNCTION("importrange(""https://docs.google.com/spreadsheets/d/1yYGXSwJ72j8viKCOe86p6wi8lNM7qrWmfCBaFBiUKLo/edit#gid=1950373534"",""2025-26!o3"")"),0.0)</f>
        <v>0</v>
      </c>
      <c r="AD89" s="55">
        <f>IFERROR(__xludf.DUMMYFUNCTION("importrange(""https://docs.google.com/spreadsheets/d/1yYGXSwJ72j8viKCOe86p6wi8lNM7qrWmfCBaFBiUKLo/edit#gid=1950373534"",""2025-26!p4"")"),0.0)</f>
        <v>0</v>
      </c>
      <c r="AE89" s="55">
        <f>IFERROR(__xludf.DUMMYFUNCTION("importrange(""https://docs.google.com/spreadsheets/d/1yYGXSwJ72j8viKCOe86p6wi8lNM7qrWmfCBaFBiUKLo/edit#gid=1950373534"",""2025-26!p3"")"),0.0)</f>
        <v>0</v>
      </c>
      <c r="AF89" s="55">
        <f>IFERROR(__xludf.DUMMYFUNCTION("importrange(""https://docs.google.com/spreadsheets/d/1yYGXSwJ72j8viKCOe86p6wi8lNM7qrWmfCBaFBiUKLo/edit#gid=1950373534"",""2025-26!q4"")"),0.0)</f>
        <v>0</v>
      </c>
      <c r="AG89" s="55">
        <f>IFERROR(__xludf.DUMMYFUNCTION("importrange(""https://docs.google.com/spreadsheets/d/1yYGXSwJ72j8viKCOe86p6wi8lNM7qrWmfCBaFBiUKLo/edit#gid=1950373534"",""2025-26!q3"")"),0.0)</f>
        <v>0</v>
      </c>
      <c r="AH89" s="58" t="str">
        <f t="shared" si="20"/>
        <v/>
      </c>
      <c r="AI89" s="55">
        <f>IFERROR(__xludf.DUMMYFUNCTION("importrange(""https://docs.google.com/spreadsheets/d/1yYGXSwJ72j8viKCOe86p6wi8lNM7qrWmfCBaFBiUKLo/edit#gid=1950373534"",""2025-26!r4"")"),0.0)</f>
        <v>0</v>
      </c>
      <c r="AJ89" s="55">
        <f>IFERROR(__xludf.DUMMYFUNCTION("importrange(""https://docs.google.com/spreadsheets/d/1yYGXSwJ72j8viKCOe86p6wi8lNM7qrWmfCBaFBiUKLo/edit#gid=1950373534"",""2025-26!r3"")"),0.0)</f>
        <v>0</v>
      </c>
      <c r="AK89" s="55">
        <f>IFERROR(__xludf.DUMMYFUNCTION("importrange(""https://docs.google.com/spreadsheets/d/1yYGXSwJ72j8viKCOe86p6wi8lNM7qrWmfCBaFBiUKLo/edit#gid=1950373534"",""2025-26!s4"")"),0.0)</f>
        <v>0</v>
      </c>
      <c r="AL89" s="55">
        <f>IFERROR(__xludf.DUMMYFUNCTION("importrange(""https://docs.google.com/spreadsheets/d/1yYGXSwJ72j8viKCOe86p6wi8lNM7qrWmfCBaFBiUKLo/edit#gid=1950373534"",""2025-26!s3"")"),0.0)</f>
        <v>0</v>
      </c>
      <c r="AM89" s="57">
        <f>IFERROR(__xludf.DUMMYFUNCTION("importrange(""https://docs.google.com/spreadsheets/d/1yYGXSwJ72j8viKCOe86p6wi8lNM7qrWmfCBaFBiUKLo/edit#gid=1950373534"",""2025-26!t4"")"),0.0)</f>
        <v>0</v>
      </c>
      <c r="AN89" s="55">
        <f>IFERROR(__xludf.DUMMYFUNCTION("importrange(""https://docs.google.com/spreadsheets/d/1yYGXSwJ72j8viKCOe86p6wi8lNM7qrWmfCBaFBiUKLo/edit#gid=1950373534"",""2025-26!t3"")"),0.0)</f>
        <v>0</v>
      </c>
      <c r="AO89" s="58" t="str">
        <f t="shared" si="21"/>
        <v/>
      </c>
      <c r="AP89" s="55">
        <f>IFERROR(__xludf.DUMMYFUNCTION("importrange(""https://docs.google.com/spreadsheets/d/1yYGXSwJ72j8viKCOe86p6wi8lNM7qrWmfCBaFBiUKLo/edit#gid=1950373534"",""2025-26!u4"")"),0.0)</f>
        <v>0</v>
      </c>
      <c r="AQ89" s="55">
        <f>IFERROR(__xludf.DUMMYFUNCTION("importrange(""https://docs.google.com/spreadsheets/d/1yYGXSwJ72j8viKCOe86p6wi8lNM7qrWmfCBaFBiUKLo/edit#gid=1950373534"",""2025-26!u3"")"),0.0)</f>
        <v>0</v>
      </c>
      <c r="AR89" s="55">
        <f>IFERROR(__xludf.DUMMYFUNCTION("importrange(""https://docs.google.com/spreadsheets/d/1yYGXSwJ72j8viKCOe86p6wi8lNM7qrWmfCBaFBiUKLo/edit#gid=1950373534"",""2025-26!v4"")"),0.0)</f>
        <v>0</v>
      </c>
      <c r="AS89" s="55">
        <f>IFERROR(__xludf.DUMMYFUNCTION("importrange(""https://docs.google.com/spreadsheets/d/1yYGXSwJ72j8viKCOe86p6wi8lNM7qrWmfCBaFBiUKLo/edit#gid=1950373534"",""2025-26!v3"")"),0.0)</f>
        <v>0</v>
      </c>
      <c r="AT89" s="57">
        <f>IFERROR(__xludf.DUMMYFUNCTION("importrange(""https://docs.google.com/spreadsheets/d/1yYGXSwJ72j8viKCOe86p6wi8lNM7qrWmfCBaFBiUKLo/edit#gid=1950373534"",""2025-26!w4"")"),0.0)</f>
        <v>0</v>
      </c>
      <c r="AU89" s="55">
        <f>IFERROR(__xludf.DUMMYFUNCTION("importrange(""https://docs.google.com/spreadsheets/d/1yYGXSwJ72j8viKCOe86p6wi8lNM7qrWmfCBaFBiUKLo/edit#gid=1950373534"",""2025-26!w3"")"),0.0)</f>
        <v>0</v>
      </c>
      <c r="AV89" s="58" t="str">
        <f t="shared" si="22"/>
        <v/>
      </c>
      <c r="AW89" s="55">
        <f>IFERROR(__xludf.DUMMYFUNCTION("importrange(""https://docs.google.com/spreadsheets/d/1yYGXSwJ72j8viKCOe86p6wi8lNM7qrWmfCBaFBiUKLo/edit#gid=1950373534"",""2025-26!x4"")"),0.0)</f>
        <v>0</v>
      </c>
      <c r="AX89" s="55">
        <f>IFERROR(__xludf.DUMMYFUNCTION("importrange(""https://docs.google.com/spreadsheets/d/1yYGXSwJ72j8viKCOe86p6wi8lNM7qrWmfCBaFBiUKLo/edit#gid=1950373534"",""2025-26!x3"")"),0.0)</f>
        <v>0</v>
      </c>
      <c r="AY89" s="55">
        <f>IFERROR(__xludf.DUMMYFUNCTION("importrange(""https://docs.google.com/spreadsheets/d/1yYGXSwJ72j8viKCOe86p6wi8lNM7qrWmfCBaFBiUKLo/edit#gid=1950373534"",""2025-26!y4"")"),0.0)</f>
        <v>0</v>
      </c>
      <c r="AZ89" s="55">
        <f>IFERROR(__xludf.DUMMYFUNCTION("importrange(""https://docs.google.com/spreadsheets/d/1yYGXSwJ72j8viKCOe86p6wi8lNM7qrWmfCBaFBiUKLo/edit#gid=1950373534"",""2025-26!y3"")"),0.0)</f>
        <v>0</v>
      </c>
      <c r="BA89" s="57">
        <f>IFERROR(__xludf.DUMMYFUNCTION("importrange(""https://docs.google.com/spreadsheets/d/1yYGXSwJ72j8viKCOe86p6wi8lNM7qrWmfCBaFBiUKLo/edit#gid=1950373534"",""2025-26!z4"")"),0.0)</f>
        <v>0</v>
      </c>
      <c r="BB89" s="55">
        <f>IFERROR(__xludf.DUMMYFUNCTION("importrange(""https://docs.google.com/spreadsheets/d/1yYGXSwJ72j8viKCOe86p6wi8lNM7qrWmfCBaFBiUKLo/edit#gid=1950373534"",""2025-26!z3"")"),0.0)</f>
        <v>0</v>
      </c>
      <c r="BC89" s="59" t="str">
        <f t="shared" si="23"/>
        <v/>
      </c>
      <c r="BD89" s="55">
        <f>IFERROR(__xludf.DUMMYFUNCTION("importrange(""https://docs.google.com/spreadsheets/d/1yYGXSwJ72j8viKCOe86p6wi8lNM7qrWmfCBaFBiUKLo/edit#gid=1950373534"",""2025-26!aa4"")"),0.0)</f>
        <v>0</v>
      </c>
      <c r="BE89" s="55">
        <f>IFERROR(__xludf.DUMMYFUNCTION("importrange(""https://docs.google.com/spreadsheets/d/1yYGXSwJ72j8viKCOe86p6wi8lNM7qrWmfCBaFBiUKLo/edit#gid=1950373534"",""2025-26!aa3"")"),0.0)</f>
        <v>0</v>
      </c>
      <c r="BF89" s="55">
        <f>IFERROR(__xludf.DUMMYFUNCTION("importrange(""https://docs.google.com/spreadsheets/d/1yYGXSwJ72j8viKCOe86p6wi8lNM7qrWmfCBaFBiUKLo/edit#gid=1950373534"",""2025-26!ab4"")"),0.0)</f>
        <v>0</v>
      </c>
      <c r="BG89" s="55">
        <f>IFERROR(__xludf.DUMMYFUNCTION("importrange(""https://docs.google.com/spreadsheets/d/1yYGXSwJ72j8viKCOe86p6wi8lNM7qrWmfCBaFBiUKLo/edit#gid=1950373534"",""2025-26!ab3"")"),0.0)</f>
        <v>0</v>
      </c>
      <c r="BH89" s="55">
        <f>IFERROR(__xludf.DUMMYFUNCTION("importrange(""https://docs.google.com/spreadsheets/d/1yYGXSwJ72j8viKCOe86p6wi8lNM7qrWmfCBaFBiUKLo/edit#gid=1950373534"",""2025-26!ac4"")"),0.0)</f>
        <v>0</v>
      </c>
      <c r="BI89" s="55">
        <f>IFERROR(__xludf.DUMMYFUNCTION("importrange(""https://docs.google.com/spreadsheets/d/1yYGXSwJ72j8viKCOe86p6wi8lNM7qrWmfCBaFBiUKLo/edit#gid=1950373534"",""2025-26!ac3"")"),0.0)</f>
        <v>0</v>
      </c>
      <c r="BJ89" s="59" t="str">
        <f t="shared" si="24"/>
        <v/>
      </c>
      <c r="BK89" s="55">
        <f>IFERROR(__xludf.DUMMYFUNCTION("importrange(""https://docs.google.com/spreadsheets/d/1yYGXSwJ72j8viKCOe86p6wi8lNM7qrWmfCBaFBiUKLo/edit#gid=1950373534"",""2025-26!ad4"")"),0.0)</f>
        <v>0</v>
      </c>
      <c r="BL89" s="55">
        <f>IFERROR(__xludf.DUMMYFUNCTION("importrange(""https://docs.google.com/spreadsheets/d/1yYGXSwJ72j8viKCOe86p6wi8lNM7qrWmfCBaFBiUKLo/edit#gid=1950373534"",""2025-26!ad3"")"),0.0)</f>
        <v>0</v>
      </c>
      <c r="BM89" s="55">
        <f>IFERROR(__xludf.DUMMYFUNCTION("importrange(""https://docs.google.com/spreadsheets/d/1yYGXSwJ72j8viKCOe86p6wi8lNM7qrWmfCBaFBiUKLo/edit#gid=1950373534"",""2025-26!ae4"")"),0.0)</f>
        <v>0</v>
      </c>
      <c r="BN89" s="55">
        <f>IFERROR(__xludf.DUMMYFUNCTION("importrange(""https://docs.google.com/spreadsheets/d/1yYGXSwJ72j8viKCOe86p6wi8lNM7qrWmfCBaFBiUKLo/edit#gid=1950373534"",""2025-26!ae3"")"),0.0)</f>
        <v>0</v>
      </c>
      <c r="BO89" s="55">
        <f>IFERROR(__xludf.DUMMYFUNCTION("importrange(""https://docs.google.com/spreadsheets/d/1yYGXSwJ72j8viKCOe86p6wi8lNM7qrWmfCBaFBiUKLo/edit#gid=1950373534"",""2025-26!af4"")"),0.0)</f>
        <v>0</v>
      </c>
      <c r="BP89" s="55">
        <f>IFERROR(__xludf.DUMMYFUNCTION("importrange(""https://docs.google.com/spreadsheets/d/1yYGXSwJ72j8viKCOe86p6wi8lNM7qrWmfCBaFBiUKLo/edit#gid=1950373534"",""2025-26!af3"")"),0.0)</f>
        <v>0</v>
      </c>
      <c r="BQ89" s="59" t="str">
        <f t="shared" si="25"/>
        <v/>
      </c>
      <c r="BR89" s="55">
        <f>IFERROR(__xludf.DUMMYFUNCTION("importrange(""https://docs.google.com/spreadsheets/d/1yYGXSwJ72j8viKCOe86p6wi8lNM7qrWmfCBaFBiUKLo/edit#gid=1950373534"",""2025-26!ag4"")"),0.0)</f>
        <v>0</v>
      </c>
      <c r="BS89" s="55">
        <f>IFERROR(__xludf.DUMMYFUNCTION("importrange(""https://docs.google.com/spreadsheets/d/1yYGXSwJ72j8viKCOe86p6wi8lNM7qrWmfCBaFBiUKLo/edit#gid=1950373534"",""2025-26!ag3"")"),0.0)</f>
        <v>0</v>
      </c>
      <c r="BT89" s="55">
        <f>IFERROR(__xludf.DUMMYFUNCTION("importrange(""https://docs.google.com/spreadsheets/d/1yYGXSwJ72j8viKCOe86p6wi8lNM7qrWmfCBaFBiUKLo/edit#gid=1950373534"",""2025-26!ah4"")"),0.0)</f>
        <v>0</v>
      </c>
      <c r="BU89" s="55">
        <f>IFERROR(__xludf.DUMMYFUNCTION("importrange(""https://docs.google.com/spreadsheets/d/1yYGXSwJ72j8viKCOe86p6wi8lNM7qrWmfCBaFBiUKLo/edit#gid=1950373534"",""2025-26!ah3"")"),0.0)</f>
        <v>0</v>
      </c>
      <c r="BV89" s="55">
        <f>IFERROR(__xludf.DUMMYFUNCTION("importrange(""https://docs.google.com/spreadsheets/d/1yYGXSwJ72j8viKCOe86p6wi8lNM7qrWmfCBaFBiUKLo/edit#gid=1950373534"",""2025-26!ai4"")"),0.0)</f>
        <v>0</v>
      </c>
      <c r="BW89" s="55">
        <f>IFERROR(__xludf.DUMMYFUNCTION("importrange(""https://docs.google.com/spreadsheets/d/1yYGXSwJ72j8viKCOe86p6wi8lNM7qrWmfCBaFBiUKLo/edit#gid=1950373534"",""2025-26!ai3"")"),0.0)</f>
        <v>0</v>
      </c>
      <c r="BX89" s="59" t="str">
        <f t="shared" si="26"/>
        <v/>
      </c>
      <c r="BY89" s="55">
        <f>IFERROR(__xludf.DUMMYFUNCTION("importrange(""https://docs.google.com/spreadsheets/d/1yYGXSwJ72j8viKCOe86p6wi8lNM7qrWmfCBaFBiUKLo/edit#gid=1950373534"",""2025-26!aj4"")"),0.0)</f>
        <v>0</v>
      </c>
      <c r="BZ89" s="55">
        <f>IFERROR(__xludf.DUMMYFUNCTION("importrange(""https://docs.google.com/spreadsheets/d/1yYGXSwJ72j8viKCOe86p6wi8lNM7qrWmfCBaFBiUKLo/edit#gid=1950373534"",""2025-26!aj3"")"),0.0)</f>
        <v>0</v>
      </c>
      <c r="CA89" s="55">
        <f>IFERROR(__xludf.DUMMYFUNCTION("importrange(""https://docs.google.com/spreadsheets/d/1yYGXSwJ72j8viKCOe86p6wi8lNM7qrWmfCBaFBiUKLo/edit#gid=1950373534"",""2025-26!ak4"")"),0.0)</f>
        <v>0</v>
      </c>
      <c r="CB89" s="55">
        <f>IFERROR(__xludf.DUMMYFUNCTION("importrange(""https://docs.google.com/spreadsheets/d/1yYGXSwJ72j8viKCOe86p6wi8lNM7qrWmfCBaFBiUKLo/edit#gid=1950373534"",""2025-26!ak3"")"),0.0)</f>
        <v>0</v>
      </c>
      <c r="CC89" s="55">
        <f>IFERROR(__xludf.DUMMYFUNCTION("importrange(""https://docs.google.com/spreadsheets/d/1yYGXSwJ72j8viKCOe86p6wi8lNM7qrWmfCBaFBiUKLo/edit#gid=1950373534"",""2025-26!al4"")"),0.0)</f>
        <v>0</v>
      </c>
      <c r="CD89" s="55">
        <f>IFERROR(__xludf.DUMMYFUNCTION("importrange(""https://docs.google.com/spreadsheets/d/1yYGXSwJ72j8viKCOe86p6wi8lNM7qrWmfCBaFBiUKLo/edit#gid=1950373534"",""2025-26!ai3"")"),0.0)</f>
        <v>0</v>
      </c>
      <c r="CE89" s="59" t="str">
        <f t="shared" si="27"/>
        <v/>
      </c>
      <c r="CF89" s="55">
        <f>IFERROR(__xludf.DUMMYFUNCTION("importrange(""https://docs.google.com/spreadsheets/d/1yYGXSwJ72j8viKCOe86p6wi8lNM7qrWmfCBaFBiUKLo/edit#gid=1950373534"",""2025-26!am4"")"),0.0)</f>
        <v>0</v>
      </c>
      <c r="CG89" s="55">
        <f>IFERROR(__xludf.DUMMYFUNCTION("importrange(""https://docs.google.com/spreadsheets/d/1yYGXSwJ72j8viKCOe86p6wi8lNM7qrWmfCBaFBiUKLo/edit#gid=1950373534"",""2025-26!am3"")"),0.0)</f>
        <v>0</v>
      </c>
      <c r="CH89" s="55">
        <f>IFERROR(__xludf.DUMMYFUNCTION("importrange(""https://docs.google.com/spreadsheets/d/1yYGXSwJ72j8viKCOe86p6wi8lNM7qrWmfCBaFBiUKLo/edit#gid=1950373534"",""2025-26!an4"")"),0.0)</f>
        <v>0</v>
      </c>
      <c r="CI89" s="55">
        <f>IFERROR(__xludf.DUMMYFUNCTION("importrange(""https://docs.google.com/spreadsheets/d/1yYGXSwJ72j8viKCOe86p6wi8lNM7qrWmfCBaFBiUKLo/edit#gid=1950373534"",""2025-26!an3"")"),0.0)</f>
        <v>0</v>
      </c>
      <c r="CJ89" s="55">
        <f>IFERROR(__xludf.DUMMYFUNCTION("importrange(""https://docs.google.com/spreadsheets/d/1yYGXSwJ72j8viKCOe86p6wi8lNM7qrWmfCBaFBiUKLo/edit#gid=1950373534"",""2025-26!ao4"")"),0.0)</f>
        <v>0</v>
      </c>
      <c r="CK89" s="55">
        <f>IFERROR(__xludf.DUMMYFUNCTION("importrange(""https://docs.google.com/spreadsheets/d/1yYGXSwJ72j8viKCOe86p6wi8lNM7qrWmfCBaFBiUKLo/edit#gid=1950373534"",""2025-26!ao3"")"),0.0)</f>
        <v>0</v>
      </c>
      <c r="CL89" s="59" t="str">
        <f t="shared" si="28"/>
        <v/>
      </c>
      <c r="CM89" s="55">
        <f>IFERROR(__xludf.DUMMYFUNCTION("importrange(""https://docs.google.com/spreadsheets/d/1yYGXSwJ72j8viKCOe86p6wi8lNM7qrWmfCBaFBiUKLo/edit#gid=1950373534"",""2025-26!ap4"")"),0.0)</f>
        <v>0</v>
      </c>
      <c r="CN89" s="55">
        <f>IFERROR(__xludf.DUMMYFUNCTION("importrange(""https://docs.google.com/spreadsheets/d/1yYGXSwJ72j8viKCOe86p6wi8lNM7qrWmfCBaFBiUKLo/edit#gid=1950373534"",""2025-26!ap3"")"),0.0)</f>
        <v>0</v>
      </c>
      <c r="CO89" s="55">
        <f>IFERROR(__xludf.DUMMYFUNCTION("importrange(""https://docs.google.com/spreadsheets/d/1yYGXSwJ72j8viKCOe86p6wi8lNM7qrWmfCBaFBiUKLo/edit#gid=1950373534"",""2025-26!aq4"")"),0.0)</f>
        <v>0</v>
      </c>
      <c r="CP89" s="55">
        <f>IFERROR(__xludf.DUMMYFUNCTION("importrange(""https://docs.google.com/spreadsheets/d/1yYGXSwJ72j8viKCOe86p6wi8lNM7qrWmfCBaFBiUKLo/edit#gid=1950373534"",""2025-26!aq3"")"),0.0)</f>
        <v>0</v>
      </c>
      <c r="CQ89" s="55">
        <f>IFERROR(__xludf.DUMMYFUNCTION("importrange(""https://docs.google.com/spreadsheets/d/1yYGXSwJ72j8viKCOe86p6wi8lNM7qrWmfCBaFBiUKLo/edit#gid=1950373534"",""2025-26!ar4"")"),0.0)</f>
        <v>0</v>
      </c>
      <c r="CR89" s="55">
        <f>IFERROR(__xludf.DUMMYFUNCTION("importrange(""https://docs.google.com/spreadsheets/d/1yYGXSwJ72j8viKCOe86p6wi8lNM7qrWmfCBaFBiUKLo/edit#gid=1950373534"",""2025-26!ar3"")"),0.0)</f>
        <v>0</v>
      </c>
      <c r="CS89" s="59" t="str">
        <f t="shared" si="29"/>
        <v/>
      </c>
      <c r="CT89" s="55">
        <f>IFERROR(__xludf.DUMMYFUNCTION("importrange(""https://docs.google.com/spreadsheets/d/1yYGXSwJ72j8viKCOe86p6wi8lNM7qrWmfCBaFBiUKLo/edit#gid=1950373534"",""2025-26!as4"")"),0.0)</f>
        <v>0</v>
      </c>
      <c r="CU89" s="55">
        <f>IFERROR(__xludf.DUMMYFUNCTION("importrange(""https://docs.google.com/spreadsheets/d/1yYGXSwJ72j8viKCOe86p6wi8lNM7qrWmfCBaFBiUKLo/edit#gid=1950373534"",""2025-26!as3"")"),0.0)</f>
        <v>0</v>
      </c>
      <c r="CV89" s="60" t="s">
        <v>189</v>
      </c>
    </row>
    <row r="90">
      <c r="A90" s="1" t="s">
        <v>185</v>
      </c>
      <c r="B90" s="37"/>
      <c r="C90" s="64" t="s">
        <v>205</v>
      </c>
      <c r="D90" s="50" t="s">
        <v>192</v>
      </c>
      <c r="E90" s="50">
        <v>8.327639846E9</v>
      </c>
      <c r="F90" s="74">
        <v>43119.0</v>
      </c>
      <c r="G90" s="62"/>
      <c r="H90" s="62"/>
      <c r="I90" s="53">
        <v>52500.0</v>
      </c>
      <c r="J90" s="54">
        <v>3833333.0</v>
      </c>
      <c r="K90" s="57">
        <f>IFERROR(__xludf.DUMMYFUNCTION("IMPORTRANGE(""https://docs.google.com/spreadsheets/d/1XBfiSuCmqOXHpS2F64iSZHyqzwuIwsQyxjk4aAoupus/edit#gid=2045373746"",""2025-26!A3"")"),66.0)</f>
        <v>66</v>
      </c>
      <c r="L90" s="57">
        <f>IFERROR(__xludf.DUMMYFUNCTION("IMPORTRANGE(""https://docs.google.com/spreadsheets/d/1XBfiSuCmqOXHpS2F64iSZHyqzwuIwsQyxjk4aAoupus/edit#gid=2045373746"",""2025-26!G4"")"),6.81E7)</f>
        <v>68100000</v>
      </c>
      <c r="M90" s="57">
        <f t="shared" si="50"/>
        <v>22746846.39</v>
      </c>
      <c r="N90" s="56">
        <f t="shared" si="51"/>
        <v>0.6520779589</v>
      </c>
      <c r="O90" s="57">
        <f t="shared" si="52"/>
        <v>44406509</v>
      </c>
      <c r="P90" s="55">
        <f>IFERROR(__xludf.DUMMYFUNCTION("IMPORTRANGE(""https://docs.google.com/spreadsheets/d/1XBfiSuCmqOXHpS2F64iSZHyqzwuIwsQyxjk4aAoupus/edit#gid=2045373746"",""2025-26!J4"")"),2110000.0)</f>
        <v>2110000</v>
      </c>
      <c r="Q90" s="55">
        <f>IFERROR(__xludf.DUMMYFUNCTION("IMPORTRANGE(""https://docs.google.com/spreadsheets/d/1XBfiSuCmqOXHpS2F64iSZHyqzwuIwsQyxjk4aAoupus/edit#gid=2045373746"",""2025-26!J3"")"),3.0)</f>
        <v>3</v>
      </c>
      <c r="R90" s="55">
        <f>IFERROR(__xludf.DUMMYFUNCTION("IMPORTRANGE(""https://docs.google.com/spreadsheets/d/1XBfiSuCmqOXHpS2F64iSZHyqzwuIwsQyxjk4aAoupus/edit#gid=2045373746"",""2025-26!K4"")"),1809870.0)</f>
        <v>1809870</v>
      </c>
      <c r="S90" s="55">
        <f>IFERROR(__xludf.DUMMYFUNCTION("IMPORTRANGE(""https://docs.google.com/spreadsheets/d/1XBfiSuCmqOXHpS2F64iSZHyqzwuIwsQyxjk4aAoupus/edit#gid=2045373746"",""2025-26!K3"")"),1.0)</f>
        <v>1</v>
      </c>
      <c r="T90" s="58">
        <f t="shared" si="18"/>
        <v>2.69095545</v>
      </c>
      <c r="U90" s="55">
        <f>IFERROR(__xludf.DUMMYFUNCTION("IMPORTRANGE(""https://docs.google.com/spreadsheets/d/1XBfiSuCmqOXHpS2F64iSZHyqzwuIwsQyxjk4aAoupus/edit#gid=2045373746"",""2025-26!L4"")"),5677916.0)</f>
        <v>5677916</v>
      </c>
      <c r="V90" s="79">
        <f>IFERROR(__xludf.DUMMYFUNCTION("IMPORTRANGE(""https://docs.google.com/spreadsheets/d/1XBfiSuCmqOXHpS2F64iSZHyqzwuIwsQyxjk4aAoupus/edit#gid=2045373746"",""2025-26!L3"")"),3.0)</f>
        <v>3</v>
      </c>
      <c r="W90" s="55">
        <f>IFERROR(__xludf.DUMMYFUNCTION("IMPORTRANGE(""https://docs.google.com/spreadsheets/d/1XBfiSuCmqOXHpS2F64iSZHyqzwuIwsQyxjk4aAoupus/edit#gid=2045373746"",""2025-26!M4"")"),6000000.0)</f>
        <v>6000000</v>
      </c>
      <c r="X90" s="79">
        <f>IFERROR(__xludf.DUMMYFUNCTION("IMPORTRANGE(""https://docs.google.com/spreadsheets/d/1XBfiSuCmqOXHpS2F64iSZHyqzwuIwsQyxjk4aAoupus/edit#gid=2045373746"",""2025-26!M3"")"),6.0)</f>
        <v>6</v>
      </c>
      <c r="Y90" s="55">
        <f>IFERROR(__xludf.DUMMYFUNCTION("importrange(""https://docs.google.com/spreadsheets/d/1XBfiSuCmqOXHpS2F64iSZHyqzwuIwsQyxjk4aAoupus/edit#gid=2045373746"",""2025-26!n4"")"),3132900.0)</f>
        <v>3132900</v>
      </c>
      <c r="Z90" s="55">
        <f>IFERROR(__xludf.DUMMYFUNCTION("importrange(""https://docs.google.com/spreadsheets/d/1XBfiSuCmqOXHpS2F64iSZHyqzwuIwsQyxjk4aAoupus/edit#gid=2045373746"",""2025-26!n3"")"),2.0)</f>
        <v>2</v>
      </c>
      <c r="AA90" s="58">
        <f t="shared" si="19"/>
        <v>0.9873031667</v>
      </c>
      <c r="AB90" s="55">
        <f>IFERROR(__xludf.DUMMYFUNCTION("importrange(""https://docs.google.com/spreadsheets/d/1XBfiSuCmqOXHpS2F64iSZHyqzwuIwsQyxjk4aAoupus/edit#gid=2045373746"",""2025-26!o4"")"),5923819.0)</f>
        <v>5923819</v>
      </c>
      <c r="AC90" s="55">
        <f>IFERROR(__xludf.DUMMYFUNCTION("importrange(""https://docs.google.com/spreadsheets/d/1XBfiSuCmqOXHpS2F64iSZHyqzwuIwsQyxjk4aAoupus/edit#gid=2045373746"",""2025-26!o3"")"),21.0)</f>
        <v>21</v>
      </c>
      <c r="AD90" s="55">
        <f>IFERROR(__xludf.DUMMYFUNCTION("importrange(""https://docs.google.com/spreadsheets/d/1XBfiSuCmqOXHpS2F64iSZHyqzwuIwsQyxjk4aAoupus/edit#gid=2045373746"",""2025-26!p4"")"),7200000.0)</f>
        <v>7200000</v>
      </c>
      <c r="AE90" s="55">
        <f>IFERROR(__xludf.DUMMYFUNCTION("importrange(""https://docs.google.com/spreadsheets/d/1XBfiSuCmqOXHpS2F64iSZHyqzwuIwsQyxjk4aAoupus/edit#gid=2045373746"",""2025-26!p3"")"),5.0)</f>
        <v>5</v>
      </c>
      <c r="AF90" s="55">
        <f>IFERROR(__xludf.DUMMYFUNCTION("importrange(""https://docs.google.com/spreadsheets/d/1XBfiSuCmqOXHpS2F64iSZHyqzwuIwsQyxjk4aAoupus/edit#gid=2045373746"",""2025-26!q4"")"),2127577.25)</f>
        <v>2127577.25</v>
      </c>
      <c r="AG90" s="55">
        <f>IFERROR(__xludf.DUMMYFUNCTION("importrange(""https://docs.google.com/spreadsheets/d/1XBfiSuCmqOXHpS2F64iSZHyqzwuIwsQyxjk4aAoupus/edit#gid=2045373746"",""2025-26!q3"")"),1.0)</f>
        <v>1</v>
      </c>
      <c r="AH90" s="58">
        <f t="shared" si="20"/>
        <v>0.7084898611</v>
      </c>
      <c r="AI90" s="55">
        <f>IFERROR(__xludf.DUMMYFUNCTION("importrange(""https://docs.google.com/spreadsheets/d/1XBfiSuCmqOXHpS2F64iSZHyqzwuIwsQyxjk4aAoupus/edit#gid=2045373746"",""2025-26!r4"")"),5101127.0)</f>
        <v>5101127</v>
      </c>
      <c r="AJ90" s="55">
        <f>IFERROR(__xludf.DUMMYFUNCTION("importrange(""https://docs.google.com/spreadsheets/d/1XBfiSuCmqOXHpS2F64iSZHyqzwuIwsQyxjk4aAoupus/edit#gid=2045373746"",""2025-26!r3"")"),26.0)</f>
        <v>26</v>
      </c>
      <c r="AK90" s="55">
        <f>IFERROR(__xludf.DUMMYFUNCTION("importrange(""https://docs.google.com/spreadsheets/d/1XBfiSuCmqOXHpS2F64iSZHyqzwuIwsQyxjk4aAoupus/edit#gid=2045373746"",""2025-26!s4"")"),2000000.0)</f>
        <v>2000000</v>
      </c>
      <c r="AL90" s="55">
        <f>IFERROR(__xludf.DUMMYFUNCTION("importrange(""https://docs.google.com/spreadsheets/d/1XBfiSuCmqOXHpS2F64iSZHyqzwuIwsQyxjk4aAoupus/edit#gid=2045373746"",""2025-26!s3"")"),4.0)</f>
        <v>4</v>
      </c>
      <c r="AM90" s="57">
        <f>IFERROR(__xludf.DUMMYFUNCTION("importrange(""https://docs.google.com/spreadsheets/d/1XBfiSuCmqOXHpS2F64iSZHyqzwuIwsQyxjk4aAoupus/edit#gid=2045373746"",""2025-26!t4"")"),1855864.5)</f>
        <v>1855864.5</v>
      </c>
      <c r="AN90" s="55">
        <f>IFERROR(__xludf.DUMMYFUNCTION("importrange(""https://docs.google.com/spreadsheets/d/1XBfiSuCmqOXHpS2F64iSZHyqzwuIwsQyxjk4aAoupus/edit#gid=2045373746"",""2025-26!t3"")"),3.0)</f>
        <v>3</v>
      </c>
      <c r="AO90" s="58">
        <f t="shared" si="21"/>
        <v>1.663737</v>
      </c>
      <c r="AP90" s="55">
        <f>IFERROR(__xludf.DUMMYFUNCTION("importrange(""https://docs.google.com/spreadsheets/d/1XBfiSuCmqOXHpS2F64iSZHyqzwuIwsQyxjk4aAoupus/edit#gid=2045373746"",""2025-26!u4"")"),3327474.0)</f>
        <v>3327474</v>
      </c>
      <c r="AQ90" s="55">
        <f>IFERROR(__xludf.DUMMYFUNCTION("importrange(""https://docs.google.com/spreadsheets/d/1XBfiSuCmqOXHpS2F64iSZHyqzwuIwsQyxjk4aAoupus/edit#gid=2045373746"",""2025-26!u3"")"),14.0)</f>
        <v>14</v>
      </c>
      <c r="AR90" s="55">
        <f>IFERROR(__xludf.DUMMYFUNCTION("importrange(""https://docs.google.com/spreadsheets/d/1XBfiSuCmqOXHpS2F64iSZHyqzwuIwsQyxjk4aAoupus/edit#gid=2045373746"",""2025-26!v4"")"),3500000.0)</f>
        <v>3500000</v>
      </c>
      <c r="AS90" s="55">
        <f>IFERROR(__xludf.DUMMYFUNCTION("importrange(""https://docs.google.com/spreadsheets/d/1XBfiSuCmqOXHpS2F64iSZHyqzwuIwsQyxjk4aAoupus/edit#gid=2045373746"",""2025-26!v3"")"),5.0)</f>
        <v>5</v>
      </c>
      <c r="AT90" s="57">
        <f>IFERROR(__xludf.DUMMYFUNCTION("importrange(""https://docs.google.com/spreadsheets/d/1XBfiSuCmqOXHpS2F64iSZHyqzwuIwsQyxjk4aAoupus/edit#gid=2045373746"",""2025-26!w4"")"),5264495.630000001)</f>
        <v>5264495.63</v>
      </c>
      <c r="AU90" s="55">
        <f>IFERROR(__xludf.DUMMYFUNCTION("importrange(""https://docs.google.com/spreadsheets/d/1XBfiSuCmqOXHpS2F64iSZHyqzwuIwsQyxjk4aAoupus/edit#gid=2045373746"",""2025-26!w3"")"),6.0)</f>
        <v>6</v>
      </c>
      <c r="AV90" s="58">
        <f t="shared" si="22"/>
        <v>1.220661429</v>
      </c>
      <c r="AW90" s="55">
        <f>IFERROR(__xludf.DUMMYFUNCTION("importrange(""https://docs.google.com/spreadsheets/d/1XBfiSuCmqOXHpS2F64iSZHyqzwuIwsQyxjk4aAoupus/edit#gid=2045373746"",""2025-26!x4"")"),4272315.0)</f>
        <v>4272315</v>
      </c>
      <c r="AX90" s="55">
        <f>IFERROR(__xludf.DUMMYFUNCTION("importrange(""https://docs.google.com/spreadsheets/d/1XBfiSuCmqOXHpS2F64iSZHyqzwuIwsQyxjk4aAoupus/edit#gid=2045373746"",""2025-26!x3"")"),9.0)</f>
        <v>9</v>
      </c>
      <c r="AY90" s="55">
        <f>IFERROR(__xludf.DUMMYFUNCTION("importrange(""https://docs.google.com/spreadsheets/d/1XBfiSuCmqOXHpS2F64iSZHyqzwuIwsQyxjk4aAoupus/edit#gid=2045373746"",""2025-26!y4"")"),7450000.0)</f>
        <v>7450000</v>
      </c>
      <c r="AZ90" s="55">
        <f>IFERROR(__xludf.DUMMYFUNCTION("importrange(""https://docs.google.com/spreadsheets/d/1XBfiSuCmqOXHpS2F64iSZHyqzwuIwsQyxjk4aAoupus/edit#gid=2045373746"",""2025-26!y3"")"),6.0)</f>
        <v>6</v>
      </c>
      <c r="BA90" s="57">
        <f>IFERROR(__xludf.DUMMYFUNCTION("importrange(""https://docs.google.com/spreadsheets/d/1XBfiSuCmqOXHpS2F64iSZHyqzwuIwsQyxjk4aAoupus/edit#gid=2045373746"",""2025-26!z4"")"),2496574.85)</f>
        <v>2496574.85</v>
      </c>
      <c r="BB90" s="55">
        <f>IFERROR(__xludf.DUMMYFUNCTION("importrange(""https://docs.google.com/spreadsheets/d/1XBfiSuCmqOXHpS2F64iSZHyqzwuIwsQyxjk4aAoupus/edit#gid=2045373746"",""2025-26!z3"")"),2.0)</f>
        <v>2</v>
      </c>
      <c r="BC90" s="59">
        <f t="shared" si="23"/>
        <v>0.7090757047</v>
      </c>
      <c r="BD90" s="55">
        <f>IFERROR(__xludf.DUMMYFUNCTION("importrange(""https://docs.google.com/spreadsheets/d/1XBfiSuCmqOXHpS2F64iSZHyqzwuIwsQyxjk4aAoupus/edit#gid=2045373746"",""2025-26!aa4"")"),5282614.0)</f>
        <v>5282614</v>
      </c>
      <c r="BE90" s="55">
        <f>IFERROR(__xludf.DUMMYFUNCTION("importrange(""https://docs.google.com/spreadsheets/d/1XBfiSuCmqOXHpS2F64iSZHyqzwuIwsQyxjk4aAoupus/edit#gid=2045373746"",""2025-26!aa3"")"),2.0)</f>
        <v>2</v>
      </c>
      <c r="BF90" s="55">
        <f>IFERROR(__xludf.DUMMYFUNCTION("importrange(""https://docs.google.com/spreadsheets/d/1XBfiSuCmqOXHpS2F64iSZHyqzwuIwsQyxjk4aAoupus/edit#gid=2045373746"",""2025-26!ab4"")"),1750000.0)</f>
        <v>1750000</v>
      </c>
      <c r="BG90" s="55">
        <f>IFERROR(__xludf.DUMMYFUNCTION("importrange(""https://docs.google.com/spreadsheets/d/1XBfiSuCmqOXHpS2F64iSZHyqzwuIwsQyxjk4aAoupus/edit#gid=2045373746"",""2025-26!ab3"")"),3.0)</f>
        <v>3</v>
      </c>
      <c r="BH90" s="55">
        <f>IFERROR(__xludf.DUMMYFUNCTION("importrange(""https://docs.google.com/spreadsheets/d/1XBfiSuCmqOXHpS2F64iSZHyqzwuIwsQyxjk4aAoupus/edit#gid=2045373746"",""2025-26!ac4"")"),4583675.25)</f>
        <v>4583675.25</v>
      </c>
      <c r="BI90" s="55">
        <f>IFERROR(__xludf.DUMMYFUNCTION("importrange(""https://docs.google.com/spreadsheets/d/1XBfiSuCmqOXHpS2F64iSZHyqzwuIwsQyxjk4aAoupus/edit#gid=2045373746"",""2025-26!ac3"")"),3.0)</f>
        <v>3</v>
      </c>
      <c r="BJ90" s="59">
        <f t="shared" si="24"/>
        <v>2.926304</v>
      </c>
      <c r="BK90" s="55">
        <f>IFERROR(__xludf.DUMMYFUNCTION("importrange(""https://docs.google.com/spreadsheets/d/1XBfiSuCmqOXHpS2F64iSZHyqzwuIwsQyxjk4aAoupus/edit#gid=2045373746"",""2025-26!ad4"")"),5121032.0)</f>
        <v>5121032</v>
      </c>
      <c r="BL90" s="55">
        <f>IFERROR(__xludf.DUMMYFUNCTION("importrange(""https://docs.google.com/spreadsheets/d/1XBfiSuCmqOXHpS2F64iSZHyqzwuIwsQyxjk4aAoupus/edit#gid=2045373746"",""2025-26!ad3"")"),4.0)</f>
        <v>4</v>
      </c>
      <c r="BM90" s="55">
        <f>IFERROR(__xludf.DUMMYFUNCTION("importrange(""https://docs.google.com/spreadsheets/d/1XBfiSuCmqOXHpS2F64iSZHyqzwuIwsQyxjk4aAoupus/edit#gid=2045373746"",""2025-26!ae4"")"),2850000.0)</f>
        <v>2850000</v>
      </c>
      <c r="BN90" s="55">
        <f>IFERROR(__xludf.DUMMYFUNCTION("importrange(""https://docs.google.com/spreadsheets/d/1XBfiSuCmqOXHpS2F64iSZHyqzwuIwsQyxjk4aAoupus/edit#gid=2045373746"",""2025-26!ae3"")"),5.0)</f>
        <v>5</v>
      </c>
      <c r="BO90" s="55">
        <f>IFERROR(__xludf.DUMMYFUNCTION("importrange(""https://docs.google.com/spreadsheets/d/1XBfiSuCmqOXHpS2F64iSZHyqzwuIwsQyxjk4aAoupus/edit#gid=2045373746"",""2025-26!af4"")"),1322718.9100000001)</f>
        <v>1322718.91</v>
      </c>
      <c r="BP90" s="55">
        <f>IFERROR(__xludf.DUMMYFUNCTION("importrange(""https://docs.google.com/spreadsheets/d/1XBfiSuCmqOXHpS2F64iSZHyqzwuIwsQyxjk4aAoupus/edit#gid=2045373746"",""2025-26!af3"")"),5.0)</f>
        <v>5</v>
      </c>
      <c r="BQ90" s="59">
        <f t="shared" si="25"/>
        <v>0.3608687719</v>
      </c>
      <c r="BR90" s="55">
        <f>IFERROR(__xludf.DUMMYFUNCTION("importrange(""https://docs.google.com/spreadsheets/d/1XBfiSuCmqOXHpS2F64iSZHyqzwuIwsQyxjk4aAoupus/edit#gid=2045373746"",""2025-26!ag4"")"),1028476.0)</f>
        <v>1028476</v>
      </c>
      <c r="BS90" s="55">
        <f>IFERROR(__xludf.DUMMYFUNCTION("importrange(""https://docs.google.com/spreadsheets/d/1XBfiSuCmqOXHpS2F64iSZHyqzwuIwsQyxjk4aAoupus/edit#gid=2045373746"",""2025-26!ag3"")"),4.0)</f>
        <v>4</v>
      </c>
      <c r="BT90" s="55">
        <f>IFERROR(__xludf.DUMMYFUNCTION("importrange(""https://docs.google.com/spreadsheets/d/1XBfiSuCmqOXHpS2F64iSZHyqzwuIwsQyxjk4aAoupus/edit#gid=2045373746"",""2025-26!ah4"")"),4850000.0)</f>
        <v>4850000</v>
      </c>
      <c r="BU90" s="55">
        <f>IFERROR(__xludf.DUMMYFUNCTION("importrange(""https://docs.google.com/spreadsheets/d/1XBfiSuCmqOXHpS2F64iSZHyqzwuIwsQyxjk4aAoupus/edit#gid=2045373746"",""2025-26!ah3"")"),3.0)</f>
        <v>3</v>
      </c>
      <c r="BV90" s="55">
        <f>IFERROR(__xludf.DUMMYFUNCTION("importrange(""https://docs.google.com/spreadsheets/d/1XBfiSuCmqOXHpS2F64iSZHyqzwuIwsQyxjk4aAoupus/edit#gid=2045373746"",""2025-26!ai4"")"),0.0)</f>
        <v>0</v>
      </c>
      <c r="BW90" s="55">
        <f>IFERROR(__xludf.DUMMYFUNCTION("importrange(""https://docs.google.com/spreadsheets/d/1XBfiSuCmqOXHpS2F64iSZHyqzwuIwsQyxjk4aAoupus/edit#gid=2045373746"",""2025-26!ai3"")"),0.0)</f>
        <v>0</v>
      </c>
      <c r="BX90" s="59">
        <f t="shared" si="26"/>
        <v>0.272371134</v>
      </c>
      <c r="BY90" s="55">
        <f>IFERROR(__xludf.DUMMYFUNCTION("importrange(""https://docs.google.com/spreadsheets/d/1XBfiSuCmqOXHpS2F64iSZHyqzwuIwsQyxjk4aAoupus/edit#gid=2045373746"",""2025-26!aj4"")"),1321000.0)</f>
        <v>1321000</v>
      </c>
      <c r="BZ90" s="55">
        <f>IFERROR(__xludf.DUMMYFUNCTION("importrange(""https://docs.google.com/spreadsheets/d/1XBfiSuCmqOXHpS2F64iSZHyqzwuIwsQyxjk4aAoupus/edit#gid=2045373746"",""2025-26!aj3"")"),4.0)</f>
        <v>4</v>
      </c>
      <c r="CA90" s="55">
        <f>IFERROR(__xludf.DUMMYFUNCTION("importrange(""https://docs.google.com/spreadsheets/d/1XBfiSuCmqOXHpS2F64iSZHyqzwuIwsQyxjk4aAoupus/edit#gid=2045373746"",""2025-26!ak4"")"),9650000.0)</f>
        <v>9650000</v>
      </c>
      <c r="CB90" s="55">
        <f>IFERROR(__xludf.DUMMYFUNCTION("importrange(""https://docs.google.com/spreadsheets/d/1XBfiSuCmqOXHpS2F64iSZHyqzwuIwsQyxjk4aAoupus/edit#gid=2045373746"",""2025-26!ak3"")"),6.0)</f>
        <v>6</v>
      </c>
      <c r="CC90" s="55">
        <f>IFERROR(__xludf.DUMMYFUNCTION("importrange(""https://docs.google.com/spreadsheets/d/1XBfiSuCmqOXHpS2F64iSZHyqzwuIwsQyxjk4aAoupus/edit#gid=2045373746"",""2025-26!al4"")"),0.0)</f>
        <v>0</v>
      </c>
      <c r="CD90" s="55">
        <f>IFERROR(__xludf.DUMMYFUNCTION("importrange(""https://docs.google.com/spreadsheets/d/1XBfiSuCmqOXHpS2F64iSZHyqzwuIwsQyxjk4aAoupus/edit#gid=2045373746"",""2025-26!ai3"")"),0.0)</f>
        <v>0</v>
      </c>
      <c r="CE90" s="59">
        <f t="shared" si="27"/>
        <v>0.1164088083</v>
      </c>
      <c r="CF90" s="55">
        <f>IFERROR(__xludf.DUMMYFUNCTION("importrange(""https://docs.google.com/spreadsheets/d/1XBfiSuCmqOXHpS2F64iSZHyqzwuIwsQyxjk4aAoupus/edit#gid=2045373746"",""2025-26!am4"")"),1123345.0)</f>
        <v>1123345</v>
      </c>
      <c r="CG90" s="55">
        <f>IFERROR(__xludf.DUMMYFUNCTION("importrange(""https://docs.google.com/spreadsheets/d/1XBfiSuCmqOXHpS2F64iSZHyqzwuIwsQyxjk4aAoupus/edit#gid=2045373746"",""2025-26!am3"")"),3.0)</f>
        <v>3</v>
      </c>
      <c r="CH90" s="55">
        <f>IFERROR(__xludf.DUMMYFUNCTION("importrange(""https://docs.google.com/spreadsheets/d/1XBfiSuCmqOXHpS2F64iSZHyqzwuIwsQyxjk4aAoupus/edit#gid=2045373746"",""2025-26!an4"")"),1.39E7)</f>
        <v>13900000</v>
      </c>
      <c r="CI90" s="55">
        <f>IFERROR(__xludf.DUMMYFUNCTION("importrange(""https://docs.google.com/spreadsheets/d/1XBfiSuCmqOXHpS2F64iSZHyqzwuIwsQyxjk4aAoupus/edit#gid=2045373746"",""2025-26!an3"")"),6.0)</f>
        <v>6</v>
      </c>
      <c r="CJ90" s="55">
        <f>IFERROR(__xludf.DUMMYFUNCTION("importrange(""https://docs.google.com/spreadsheets/d/1XBfiSuCmqOXHpS2F64iSZHyqzwuIwsQyxjk4aAoupus/edit#gid=2045373746"",""2025-26!ao4"")"),153170.0)</f>
        <v>153170</v>
      </c>
      <c r="CK90" s="55">
        <f>IFERROR(__xludf.DUMMYFUNCTION("importrange(""https://docs.google.com/spreadsheets/d/1XBfiSuCmqOXHpS2F64iSZHyqzwuIwsQyxjk4aAoupus/edit#gid=2045373746"",""2025-26!ao3"")"),1.0)</f>
        <v>1</v>
      </c>
      <c r="CL90" s="59">
        <f t="shared" si="28"/>
        <v>0.2073668345</v>
      </c>
      <c r="CM90" s="55">
        <f>IFERROR(__xludf.DUMMYFUNCTION("importrange(""https://docs.google.com/spreadsheets/d/1XBfiSuCmqOXHpS2F64iSZHyqzwuIwsQyxjk4aAoupus/edit#gid=2045373746"",""2025-26!ap4"")"),2882399.0)</f>
        <v>2882399</v>
      </c>
      <c r="CN90" s="55">
        <f>IFERROR(__xludf.DUMMYFUNCTION("importrange(""https://docs.google.com/spreadsheets/d/1XBfiSuCmqOXHpS2F64iSZHyqzwuIwsQyxjk4aAoupus/edit#gid=2045373746"",""2025-26!ap3"")"),11.0)</f>
        <v>11</v>
      </c>
      <c r="CO90" s="55">
        <f>IFERROR(__xludf.DUMMYFUNCTION("importrange(""https://docs.google.com/spreadsheets/d/1XBfiSuCmqOXHpS2F64iSZHyqzwuIwsQyxjk4aAoupus/edit#gid=2045373746"",""2025-26!aq4"")"),2.96E7)</f>
        <v>29600000</v>
      </c>
      <c r="CP90" s="55">
        <f>IFERROR(__xludf.DUMMYFUNCTION("importrange(""https://docs.google.com/spreadsheets/d/1XBfiSuCmqOXHpS2F64iSZHyqzwuIwsQyxjk4aAoupus/edit#gid=2045373746"",""2025-26!aq3"")"),6.0)</f>
        <v>6</v>
      </c>
      <c r="CQ90" s="55">
        <f>IFERROR(__xludf.DUMMYFUNCTION("importrange(""https://docs.google.com/spreadsheets/d/1XBfiSuCmqOXHpS2F64iSZHyqzwuIwsQyxjk4aAoupus/edit#gid=2045373746"",""2025-26!ar4"")"),0.0)</f>
        <v>0</v>
      </c>
      <c r="CR90" s="55">
        <f>IFERROR(__xludf.DUMMYFUNCTION("importrange(""https://docs.google.com/spreadsheets/d/1XBfiSuCmqOXHpS2F64iSZHyqzwuIwsQyxjk4aAoupus/edit#gid=2045373746"",""2025-26!ar3"")"),0.0)</f>
        <v>0</v>
      </c>
      <c r="CS90" s="59">
        <f t="shared" si="29"/>
        <v>0.1130064865</v>
      </c>
      <c r="CT90" s="55">
        <f>IFERROR(__xludf.DUMMYFUNCTION("importrange(""https://docs.google.com/spreadsheets/d/1XBfiSuCmqOXHpS2F64iSZHyqzwuIwsQyxjk4aAoupus/edit#gid=2045373746"",""2025-26!as4"")"),3344992.0)</f>
        <v>3344992</v>
      </c>
      <c r="CU90" s="55">
        <f>IFERROR(__xludf.DUMMYFUNCTION("importrange(""https://docs.google.com/spreadsheets/d/1XBfiSuCmqOXHpS2F64iSZHyqzwuIwsQyxjk4aAoupus/edit#gid=2045373746"",""2025-26!as3"")"),7.0)</f>
        <v>7</v>
      </c>
      <c r="CV90" s="60" t="s">
        <v>189</v>
      </c>
    </row>
    <row r="91">
      <c r="A91" s="1" t="s">
        <v>185</v>
      </c>
      <c r="B91" s="37"/>
      <c r="C91" s="64" t="s">
        <v>206</v>
      </c>
      <c r="D91" s="50" t="s">
        <v>192</v>
      </c>
      <c r="E91" s="50">
        <v>7.001864342E9</v>
      </c>
      <c r="F91" s="74">
        <v>43255.0</v>
      </c>
      <c r="G91" s="62"/>
      <c r="H91" s="62"/>
      <c r="I91" s="53">
        <v>39584.0</v>
      </c>
      <c r="J91" s="54">
        <v>5333333.0</v>
      </c>
      <c r="K91" s="57">
        <f>IFERROR(__xludf.DUMMYFUNCTION("IMPORTRANGE(""https://docs.google.com/spreadsheets/d/1gBSOlfPBM0xWQ6uvhSlxXPJioEdKdIHOyJPiizY4W2o/edit#gid=1392985815"",""2025-26!A3"")"),151.0)</f>
        <v>151</v>
      </c>
      <c r="L91" s="57">
        <f>IFERROR(__xludf.DUMMYFUNCTION("IMPORTRANGE(""https://docs.google.com/spreadsheets/d/1gBSOlfPBM0xWQ6uvhSlxXPJioEdKdIHOyJPiizY4W2o/edit#gid=1392985815"",""2025-26!G4"")"),6.84E7)</f>
        <v>68400000</v>
      </c>
      <c r="M91" s="57">
        <f t="shared" si="50"/>
        <v>32017273.95</v>
      </c>
      <c r="N91" s="56">
        <f t="shared" si="51"/>
        <v>0.4581173977</v>
      </c>
      <c r="O91" s="57">
        <f t="shared" si="52"/>
        <v>31335230</v>
      </c>
      <c r="P91" s="55">
        <f>IFERROR(__xludf.DUMMYFUNCTION("IMPORTRANGE(""https://docs.google.com/spreadsheets/d/1gBSOlfPBM0xWQ6uvhSlxXPJioEdKdIHOyJPiizY4W2o/edit#gid=1392985815"",""2025-26!J4"")"),6100000.0)</f>
        <v>6100000</v>
      </c>
      <c r="Q91" s="55">
        <f>IFERROR(__xludf.DUMMYFUNCTION("IMPORTRANGE(""https://docs.google.com/spreadsheets/d/1gBSOlfPBM0xWQ6uvhSlxXPJioEdKdIHOyJPiizY4W2o/edit#gid=1392985815"",""2025-26!J3"")"),63.0)</f>
        <v>63</v>
      </c>
      <c r="R91" s="55">
        <f>IFERROR(__xludf.DUMMYFUNCTION("IMPORTRANGE(""https://docs.google.com/spreadsheets/d/1gBSOlfPBM0xWQ6uvhSlxXPJioEdKdIHOyJPiizY4W2o/edit#gid=1392985815"",""2025-26!K4"")"),1491710.4000000001)</f>
        <v>1491710.4</v>
      </c>
      <c r="S91" s="55">
        <f>IFERROR(__xludf.DUMMYFUNCTION("IMPORTRANGE(""https://docs.google.com/spreadsheets/d/1gBSOlfPBM0xWQ6uvhSlxXPJioEdKdIHOyJPiizY4W2o/edit#gid=1392985815"",""2025-26!K3"")"),16.0)</f>
        <v>16</v>
      </c>
      <c r="T91" s="58">
        <f t="shared" si="18"/>
        <v>0.2846119672</v>
      </c>
      <c r="U91" s="55">
        <f>IFERROR(__xludf.DUMMYFUNCTION("IMPORTRANGE(""https://docs.google.com/spreadsheets/d/1gBSOlfPBM0xWQ6uvhSlxXPJioEdKdIHOyJPiizY4W2o/edit#gid=1392985815"",""2025-26!L4"")"),1736133.0)</f>
        <v>1736133</v>
      </c>
      <c r="V91" s="79">
        <f>IFERROR(__xludf.DUMMYFUNCTION("IMPORTRANGE(""https://docs.google.com/spreadsheets/d/1gBSOlfPBM0xWQ6uvhSlxXPJioEdKdIHOyJPiizY4W2o/edit#gid=1392985815"",""2025-26!L3"")"),29.0)</f>
        <v>29</v>
      </c>
      <c r="W91" s="55">
        <f>IFERROR(__xludf.DUMMYFUNCTION("IMPORTRANGE(""https://docs.google.com/spreadsheets/d/1gBSOlfPBM0xWQ6uvhSlxXPJioEdKdIHOyJPiizY4W2o/edit#gid=1392985815"",""2025-26!M4"")"),7750000.0)</f>
        <v>7750000</v>
      </c>
      <c r="X91" s="79">
        <f>IFERROR(__xludf.DUMMYFUNCTION("IMPORTRANGE(""https://docs.google.com/spreadsheets/d/1gBSOlfPBM0xWQ6uvhSlxXPJioEdKdIHOyJPiizY4W2o/edit#gid=1392985815"",""2025-26!M3"")"),63.0)</f>
        <v>63</v>
      </c>
      <c r="Y91" s="55">
        <f>IFERROR(__xludf.DUMMYFUNCTION("importrange(""https://docs.google.com/spreadsheets/d/1gBSOlfPBM0xWQ6uvhSlxXPJioEdKdIHOyJPiizY4W2o/edit#gid=1392985815"",""2025-26!n4"")"),3378319.9000000004)</f>
        <v>3378319.9</v>
      </c>
      <c r="Z91" s="55">
        <f>IFERROR(__xludf.DUMMYFUNCTION("importrange(""https://docs.google.com/spreadsheets/d/1gBSOlfPBM0xWQ6uvhSlxXPJioEdKdIHOyJPiizY4W2o/edit#gid=1392985815"",""2025-26!n3"")"),25.0)</f>
        <v>25</v>
      </c>
      <c r="AA91" s="58">
        <f t="shared" si="19"/>
        <v>0.5101550968</v>
      </c>
      <c r="AB91" s="55">
        <f>IFERROR(__xludf.DUMMYFUNCTION("importrange(""https://docs.google.com/spreadsheets/d/1gBSOlfPBM0xWQ6uvhSlxXPJioEdKdIHOyJPiizY4W2o/edit#gid=1392985815"",""2025-26!o4"")"),3953702.0)</f>
        <v>3953702</v>
      </c>
      <c r="AC91" s="55">
        <f>IFERROR(__xludf.DUMMYFUNCTION("importrange(""https://docs.google.com/spreadsheets/d/1gBSOlfPBM0xWQ6uvhSlxXPJioEdKdIHOyJPiizY4W2o/edit#gid=1392985815"",""2025-26!o3"")"),25.0)</f>
        <v>25</v>
      </c>
      <c r="AD91" s="55">
        <f>IFERROR(__xludf.DUMMYFUNCTION("importrange(""https://docs.google.com/spreadsheets/d/1gBSOlfPBM0xWQ6uvhSlxXPJioEdKdIHOyJPiizY4W2o/edit#gid=1392985815"",""2025-26!p4"")"),9000000.0)</f>
        <v>9000000</v>
      </c>
      <c r="AE91" s="55">
        <f>IFERROR(__xludf.DUMMYFUNCTION("importrange(""https://docs.google.com/spreadsheets/d/1gBSOlfPBM0xWQ6uvhSlxXPJioEdKdIHOyJPiizY4W2o/edit#gid=1392985815"",""2025-26!p3"")"),63.0)</f>
        <v>63</v>
      </c>
      <c r="AF91" s="55">
        <f>IFERROR(__xludf.DUMMYFUNCTION("importrange(""https://docs.google.com/spreadsheets/d/1gBSOlfPBM0xWQ6uvhSlxXPJioEdKdIHOyJPiizY4W2o/edit#gid=1392985815"",""2025-26!q4"")"),2250201.0315625006)</f>
        <v>2250201.032</v>
      </c>
      <c r="AG91" s="55">
        <f>IFERROR(__xludf.DUMMYFUNCTION("importrange(""https://docs.google.com/spreadsheets/d/1gBSOlfPBM0xWQ6uvhSlxXPJioEdKdIHOyJPiizY4W2o/edit#gid=1392985815"",""2025-26!q3"")"),16.0)</f>
        <v>16</v>
      </c>
      <c r="AH91" s="58">
        <f t="shared" si="20"/>
        <v>0.2946064444</v>
      </c>
      <c r="AI91" s="55">
        <f>IFERROR(__xludf.DUMMYFUNCTION("importrange(""https://docs.google.com/spreadsheets/d/1gBSOlfPBM0xWQ6uvhSlxXPJioEdKdIHOyJPiizY4W2o/edit#gid=1392985815"",""2025-26!r4"")"),2651458.0)</f>
        <v>2651458</v>
      </c>
      <c r="AJ91" s="55">
        <f>IFERROR(__xludf.DUMMYFUNCTION("importrange(""https://docs.google.com/spreadsheets/d/1gBSOlfPBM0xWQ6uvhSlxXPJioEdKdIHOyJPiizY4W2o/edit#gid=1392985815"",""2025-26!r3"")"),29.0)</f>
        <v>29</v>
      </c>
      <c r="AK91" s="55">
        <f>IFERROR(__xludf.DUMMYFUNCTION("importrange(""https://docs.google.com/spreadsheets/d/1gBSOlfPBM0xWQ6uvhSlxXPJioEdKdIHOyJPiizY4W2o/edit#gid=1392985815"",""2025-26!s4"")"),6100000.0)</f>
        <v>6100000</v>
      </c>
      <c r="AL91" s="55">
        <f>IFERROR(__xludf.DUMMYFUNCTION("importrange(""https://docs.google.com/spreadsheets/d/1gBSOlfPBM0xWQ6uvhSlxXPJioEdKdIHOyJPiizY4W2o/edit#gid=1392985815"",""2025-26!s3"")"),63.0)</f>
        <v>63</v>
      </c>
      <c r="AM91" s="57">
        <f>IFERROR(__xludf.DUMMYFUNCTION("importrange(""https://docs.google.com/spreadsheets/d/1gBSOlfPBM0xWQ6uvhSlxXPJioEdKdIHOyJPiizY4W2o/edit#gid=1392985815"",""2025-26!t4"")"),3028496.7399999998)</f>
        <v>3028496.74</v>
      </c>
      <c r="AN91" s="55">
        <f>IFERROR(__xludf.DUMMYFUNCTION("importrange(""https://docs.google.com/spreadsheets/d/1gBSOlfPBM0xWQ6uvhSlxXPJioEdKdIHOyJPiizY4W2o/edit#gid=1392985815"",""2025-26!t3"")"),20.0)</f>
        <v>20</v>
      </c>
      <c r="AO91" s="58">
        <f t="shared" si="21"/>
        <v>0.5182722951</v>
      </c>
      <c r="AP91" s="55">
        <f>IFERROR(__xludf.DUMMYFUNCTION("importrange(""https://docs.google.com/spreadsheets/d/1gBSOlfPBM0xWQ6uvhSlxXPJioEdKdIHOyJPiizY4W2o/edit#gid=1392985815"",""2025-26!u4"")"),3161461.0)</f>
        <v>3161461</v>
      </c>
      <c r="AQ91" s="55">
        <f>IFERROR(__xludf.DUMMYFUNCTION("importrange(""https://docs.google.com/spreadsheets/d/1gBSOlfPBM0xWQ6uvhSlxXPJioEdKdIHOyJPiizY4W2o/edit#gid=1392985815"",""2025-26!u3"")"),30.0)</f>
        <v>30</v>
      </c>
      <c r="AR91" s="55">
        <f>IFERROR(__xludf.DUMMYFUNCTION("importrange(""https://docs.google.com/spreadsheets/d/1gBSOlfPBM0xWQ6uvhSlxXPJioEdKdIHOyJPiizY4W2o/edit#gid=1392985815"",""2025-26!v4"")"),7750000.0)</f>
        <v>7750000</v>
      </c>
      <c r="AS91" s="55">
        <f>IFERROR(__xludf.DUMMYFUNCTION("importrange(""https://docs.google.com/spreadsheets/d/1gBSOlfPBM0xWQ6uvhSlxXPJioEdKdIHOyJPiizY4W2o/edit#gid=1392985815"",""2025-26!v3"")"),63.0)</f>
        <v>63</v>
      </c>
      <c r="AT91" s="57">
        <f>IFERROR(__xludf.DUMMYFUNCTION("importrange(""https://docs.google.com/spreadsheets/d/1gBSOlfPBM0xWQ6uvhSlxXPJioEdKdIHOyJPiizY4W2o/edit#gid=1392985815"",""2025-26!w4"")"),3032916.6300000004)</f>
        <v>3032916.63</v>
      </c>
      <c r="AU91" s="55">
        <f>IFERROR(__xludf.DUMMYFUNCTION("importrange(""https://docs.google.com/spreadsheets/d/1gBSOlfPBM0xWQ6uvhSlxXPJioEdKdIHOyJPiizY4W2o/edit#gid=1392985815"",""2025-26!w3"")"),19.0)</f>
        <v>19</v>
      </c>
      <c r="AV91" s="58">
        <f t="shared" si="22"/>
        <v>0.4081414194</v>
      </c>
      <c r="AW91" s="55">
        <f>IFERROR(__xludf.DUMMYFUNCTION("importrange(""https://docs.google.com/spreadsheets/d/1gBSOlfPBM0xWQ6uvhSlxXPJioEdKdIHOyJPiizY4W2o/edit#gid=1392985815"",""2025-26!x4"")"),3163096.0)</f>
        <v>3163096</v>
      </c>
      <c r="AX91" s="55">
        <f>IFERROR(__xludf.DUMMYFUNCTION("importrange(""https://docs.google.com/spreadsheets/d/1gBSOlfPBM0xWQ6uvhSlxXPJioEdKdIHOyJPiizY4W2o/edit#gid=1392985815"",""2025-26!x3"")"),30.0)</f>
        <v>30</v>
      </c>
      <c r="AY91" s="55">
        <f>IFERROR(__xludf.DUMMYFUNCTION("importrange(""https://docs.google.com/spreadsheets/d/1gBSOlfPBM0xWQ6uvhSlxXPJioEdKdIHOyJPiizY4W2o/edit#gid=1392985815"",""2025-26!y4"")"),9000000.0)</f>
        <v>9000000</v>
      </c>
      <c r="AZ91" s="55">
        <f>IFERROR(__xludf.DUMMYFUNCTION("importrange(""https://docs.google.com/spreadsheets/d/1gBSOlfPBM0xWQ6uvhSlxXPJioEdKdIHOyJPiizY4W2o/edit#gid=1392985815"",""2025-26!y3"")"),63.0)</f>
        <v>63</v>
      </c>
      <c r="BA91" s="57">
        <f>IFERROR(__xludf.DUMMYFUNCTION("importrange(""https://docs.google.com/spreadsheets/d/1gBSOlfPBM0xWQ6uvhSlxXPJioEdKdIHOyJPiizY4W2o/edit#gid=1392985815"",""2025-26!z4"")"),1915795.81)</f>
        <v>1915795.81</v>
      </c>
      <c r="BB91" s="55">
        <f>IFERROR(__xludf.DUMMYFUNCTION("importrange(""https://docs.google.com/spreadsheets/d/1gBSOlfPBM0xWQ6uvhSlxXPJioEdKdIHOyJPiizY4W2o/edit#gid=1392985815"",""2025-26!z3"")"),15.0)</f>
        <v>15</v>
      </c>
      <c r="BC91" s="59">
        <f t="shared" si="23"/>
        <v>0.2829045556</v>
      </c>
      <c r="BD91" s="55">
        <f>IFERROR(__xludf.DUMMYFUNCTION("importrange(""https://docs.google.com/spreadsheets/d/1gBSOlfPBM0xWQ6uvhSlxXPJioEdKdIHOyJPiizY4W2o/edit#gid=1392985815"",""2025-26!aa4"")"),2546141.0)</f>
        <v>2546141</v>
      </c>
      <c r="BE91" s="55">
        <f>IFERROR(__xludf.DUMMYFUNCTION("importrange(""https://docs.google.com/spreadsheets/d/1gBSOlfPBM0xWQ6uvhSlxXPJioEdKdIHOyJPiizY4W2o/edit#gid=1392985815"",""2025-26!aa3"")"),33.0)</f>
        <v>33</v>
      </c>
      <c r="BF91" s="55">
        <f>IFERROR(__xludf.DUMMYFUNCTION("importrange(""https://docs.google.com/spreadsheets/d/1gBSOlfPBM0xWQ6uvhSlxXPJioEdKdIHOyJPiizY4W2o/edit#gid=1392985815"",""2025-26!ab4"")"),6100000.0)</f>
        <v>6100000</v>
      </c>
      <c r="BG91" s="55">
        <f>IFERROR(__xludf.DUMMYFUNCTION("importrange(""https://docs.google.com/spreadsheets/d/1gBSOlfPBM0xWQ6uvhSlxXPJioEdKdIHOyJPiizY4W2o/edit#gid=1392985815"",""2025-26!ab3"")"),63.0)</f>
        <v>63</v>
      </c>
      <c r="BH91" s="55">
        <f>IFERROR(__xludf.DUMMYFUNCTION("importrange(""https://docs.google.com/spreadsheets/d/1gBSOlfPBM0xWQ6uvhSlxXPJioEdKdIHOyJPiizY4W2o/edit#gid=1392985815"",""2025-26!ac4"")"),3328716.61)</f>
        <v>3328716.61</v>
      </c>
      <c r="BI91" s="55">
        <f>IFERROR(__xludf.DUMMYFUNCTION("importrange(""https://docs.google.com/spreadsheets/d/1gBSOlfPBM0xWQ6uvhSlxXPJioEdKdIHOyJPiizY4W2o/edit#gid=1392985815"",""2025-26!ac3"")"),11.0)</f>
        <v>11</v>
      </c>
      <c r="BJ91" s="59">
        <f t="shared" si="24"/>
        <v>0.3853483607</v>
      </c>
      <c r="BK91" s="55">
        <f>IFERROR(__xludf.DUMMYFUNCTION("importrange(""https://docs.google.com/spreadsheets/d/1gBSOlfPBM0xWQ6uvhSlxXPJioEdKdIHOyJPiizY4W2o/edit#gid=1392985815"",""2025-26!ad4"")"),2350625.0)</f>
        <v>2350625</v>
      </c>
      <c r="BL91" s="55">
        <f>IFERROR(__xludf.DUMMYFUNCTION("importrange(""https://docs.google.com/spreadsheets/d/1gBSOlfPBM0xWQ6uvhSlxXPJioEdKdIHOyJPiizY4W2o/edit#gid=1392985815"",""2025-26!ad3"")"),25.0)</f>
        <v>25</v>
      </c>
      <c r="BM91" s="55">
        <f>IFERROR(__xludf.DUMMYFUNCTION("importrange(""https://docs.google.com/spreadsheets/d/1gBSOlfPBM0xWQ6uvhSlxXPJioEdKdIHOyJPiizY4W2o/edit#gid=1392985815"",""2025-26!ae4"")"),7750000.0)</f>
        <v>7750000</v>
      </c>
      <c r="BN91" s="55">
        <f>IFERROR(__xludf.DUMMYFUNCTION("importrange(""https://docs.google.com/spreadsheets/d/1gBSOlfPBM0xWQ6uvhSlxXPJioEdKdIHOyJPiizY4W2o/edit#gid=1392985815"",""2025-26!ae3"")"),63.0)</f>
        <v>63</v>
      </c>
      <c r="BO91" s="55">
        <f>IFERROR(__xludf.DUMMYFUNCTION("importrange(""https://docs.google.com/spreadsheets/d/1gBSOlfPBM0xWQ6uvhSlxXPJioEdKdIHOyJPiizY4W2o/edit#gid=1392985815"",""2025-26!af4"")"),1604680.8899999997)</f>
        <v>1604680.89</v>
      </c>
      <c r="BP91" s="55">
        <f>IFERROR(__xludf.DUMMYFUNCTION("importrange(""https://docs.google.com/spreadsheets/d/1gBSOlfPBM0xWQ6uvhSlxXPJioEdKdIHOyJPiizY4W2o/edit#gid=1392985815"",""2025-26!af3"")"),17.0)</f>
        <v>17</v>
      </c>
      <c r="BQ91" s="59">
        <f t="shared" si="25"/>
        <v>0.172323871</v>
      </c>
      <c r="BR91" s="55">
        <f>IFERROR(__xludf.DUMMYFUNCTION("importrange(""https://docs.google.com/spreadsheets/d/1gBSOlfPBM0xWQ6uvhSlxXPJioEdKdIHOyJPiizY4W2o/edit#gid=1392985815"",""2025-26!ag4"")"),1335510.0)</f>
        <v>1335510</v>
      </c>
      <c r="BS91" s="55">
        <f>IFERROR(__xludf.DUMMYFUNCTION("importrange(""https://docs.google.com/spreadsheets/d/1gBSOlfPBM0xWQ6uvhSlxXPJioEdKdIHOyJPiizY4W2o/edit#gid=1392985815"",""2025-26!ag3"")"),22.0)</f>
        <v>22</v>
      </c>
      <c r="BT91" s="55">
        <f>IFERROR(__xludf.DUMMYFUNCTION("importrange(""https://docs.google.com/spreadsheets/d/1gBSOlfPBM0xWQ6uvhSlxXPJioEdKdIHOyJPiizY4W2o/edit#gid=1392985815"",""2025-26!ah4"")"),9000000.0)</f>
        <v>9000000</v>
      </c>
      <c r="BU91" s="55">
        <f>IFERROR(__xludf.DUMMYFUNCTION("importrange(""https://docs.google.com/spreadsheets/d/1gBSOlfPBM0xWQ6uvhSlxXPJioEdKdIHOyJPiizY4W2o/edit#gid=1392985815"",""2025-26!ah3"")"),63.0)</f>
        <v>63</v>
      </c>
      <c r="BV91" s="55">
        <f>IFERROR(__xludf.DUMMYFUNCTION("importrange(""https://docs.google.com/spreadsheets/d/1gBSOlfPBM0xWQ6uvhSlxXPJioEdKdIHOyJPiizY4W2o/edit#gid=1392985815"",""2025-26!ai4"")"),3736852.249999999)</f>
        <v>3736852.25</v>
      </c>
      <c r="BW91" s="55">
        <f>IFERROR(__xludf.DUMMYFUNCTION("importrange(""https://docs.google.com/spreadsheets/d/1gBSOlfPBM0xWQ6uvhSlxXPJioEdKdIHOyJPiizY4W2o/edit#gid=1392985815"",""2025-26!ai3"")"),25.0)</f>
        <v>25</v>
      </c>
      <c r="BX91" s="59">
        <f t="shared" si="26"/>
        <v>0.257973</v>
      </c>
      <c r="BY91" s="55">
        <f>IFERROR(__xludf.DUMMYFUNCTION("importrange(""https://docs.google.com/spreadsheets/d/1gBSOlfPBM0xWQ6uvhSlxXPJioEdKdIHOyJPiizY4W2o/edit#gid=1392985815"",""2025-26!aj4"")"),2321757.0)</f>
        <v>2321757</v>
      </c>
      <c r="BZ91" s="55">
        <f>IFERROR(__xludf.DUMMYFUNCTION("importrange(""https://docs.google.com/spreadsheets/d/1gBSOlfPBM0xWQ6uvhSlxXPJioEdKdIHOyJPiizY4W2o/edit#gid=1392985815"",""2025-26!aj3"")"),22.0)</f>
        <v>22</v>
      </c>
      <c r="CA91" s="55">
        <f>IFERROR(__xludf.DUMMYFUNCTION("importrange(""https://docs.google.com/spreadsheets/d/1gBSOlfPBM0xWQ6uvhSlxXPJioEdKdIHOyJPiizY4W2o/edit#gid=1392985815"",""2025-26!ak4"")"),6100000.0)</f>
        <v>6100000</v>
      </c>
      <c r="CB91" s="55">
        <f>IFERROR(__xludf.DUMMYFUNCTION("importrange(""https://docs.google.com/spreadsheets/d/1gBSOlfPBM0xWQ6uvhSlxXPJioEdKdIHOyJPiizY4W2o/edit#gid=1392985815"",""2025-26!ak3"")"),63.0)</f>
        <v>63</v>
      </c>
      <c r="CC91" s="55">
        <f>IFERROR(__xludf.DUMMYFUNCTION("importrange(""https://docs.google.com/spreadsheets/d/1gBSOlfPBM0xWQ6uvhSlxXPJioEdKdIHOyJPiizY4W2o/edit#gid=1392985815"",""2025-26!al4"")"),2744054.8400000003)</f>
        <v>2744054.84</v>
      </c>
      <c r="CD91" s="55">
        <f>IFERROR(__xludf.DUMMYFUNCTION("importrange(""https://docs.google.com/spreadsheets/d/1gBSOlfPBM0xWQ6uvhSlxXPJioEdKdIHOyJPiizY4W2o/edit#gid=1392985815"",""2025-26!ai3"")"),25.0)</f>
        <v>25</v>
      </c>
      <c r="CE91" s="59">
        <f t="shared" si="27"/>
        <v>0.3893506557</v>
      </c>
      <c r="CF91" s="55">
        <f>IFERROR(__xludf.DUMMYFUNCTION("importrange(""https://docs.google.com/spreadsheets/d/1gBSOlfPBM0xWQ6uvhSlxXPJioEdKdIHOyJPiizY4W2o/edit#gid=1392985815"",""2025-26!am4"")"),2375039.0)</f>
        <v>2375039</v>
      </c>
      <c r="CG91" s="55">
        <f>IFERROR(__xludf.DUMMYFUNCTION("importrange(""https://docs.google.com/spreadsheets/d/1gBSOlfPBM0xWQ6uvhSlxXPJioEdKdIHOyJPiizY4W2o/edit#gid=1392985815"",""2025-26!am3"")"),33.0)</f>
        <v>33</v>
      </c>
      <c r="CH91" s="55">
        <f>IFERROR(__xludf.DUMMYFUNCTION("importrange(""https://docs.google.com/spreadsheets/d/1gBSOlfPBM0xWQ6uvhSlxXPJioEdKdIHOyJPiizY4W2o/edit#gid=1392985815"",""2025-26!an4"")"),7750000.0)</f>
        <v>7750000</v>
      </c>
      <c r="CI91" s="55">
        <f>IFERROR(__xludf.DUMMYFUNCTION("importrange(""https://docs.google.com/spreadsheets/d/1gBSOlfPBM0xWQ6uvhSlxXPJioEdKdIHOyJPiizY4W2o/edit#gid=1392985815"",""2025-26!an3"")"),63.0)</f>
        <v>63</v>
      </c>
      <c r="CJ91" s="55">
        <f>IFERROR(__xludf.DUMMYFUNCTION("importrange(""https://docs.google.com/spreadsheets/d/1gBSOlfPBM0xWQ6uvhSlxXPJioEdKdIHOyJPiizY4W2o/edit#gid=1392985815"",""2025-26!ao4"")"),2476164.06)</f>
        <v>2476164.06</v>
      </c>
      <c r="CK91" s="55">
        <f>IFERROR(__xludf.DUMMYFUNCTION("importrange(""https://docs.google.com/spreadsheets/d/1gBSOlfPBM0xWQ6uvhSlxXPJioEdKdIHOyJPiizY4W2o/edit#gid=1392985815"",""2025-26!ao3"")"),17.0)</f>
        <v>17</v>
      </c>
      <c r="CL91" s="59">
        <f t="shared" si="28"/>
        <v>0.3108096774</v>
      </c>
      <c r="CM91" s="55">
        <f>IFERROR(__xludf.DUMMYFUNCTION("importrange(""https://docs.google.com/spreadsheets/d/1gBSOlfPBM0xWQ6uvhSlxXPJioEdKdIHOyJPiizY4W2o/edit#gid=1392985815"",""2025-26!ap4"")"),2408775.0)</f>
        <v>2408775</v>
      </c>
      <c r="CN91" s="55">
        <f>IFERROR(__xludf.DUMMYFUNCTION("importrange(""https://docs.google.com/spreadsheets/d/1gBSOlfPBM0xWQ6uvhSlxXPJioEdKdIHOyJPiizY4W2o/edit#gid=1392985815"",""2025-26!ap3"")"),32.0)</f>
        <v>32</v>
      </c>
      <c r="CO91" s="55">
        <f>IFERROR(__xludf.DUMMYFUNCTION("importrange(""https://docs.google.com/spreadsheets/d/1gBSOlfPBM0xWQ6uvhSlxXPJioEdKdIHOyJPiizY4W2o/edit#gid=1392985815"",""2025-26!aq4"")"),6400000.0)</f>
        <v>6400000</v>
      </c>
      <c r="CP91" s="55">
        <f>IFERROR(__xludf.DUMMYFUNCTION("importrange(""https://docs.google.com/spreadsheets/d/1gBSOlfPBM0xWQ6uvhSlxXPJioEdKdIHOyJPiizY4W2o/edit#gid=1392985815"",""2025-26!aq3"")"),37.0)</f>
        <v>37</v>
      </c>
      <c r="CQ91" s="55">
        <f>IFERROR(__xludf.DUMMYFUNCTION("importrange(""https://docs.google.com/spreadsheets/d/1gBSOlfPBM0xWQ6uvhSlxXPJioEdKdIHOyJPiizY4W2o/edit#gid=1392985815"",""2025-26!ar4"")"),3029364.7900000005)</f>
        <v>3029364.79</v>
      </c>
      <c r="CR91" s="55">
        <f>IFERROR(__xludf.DUMMYFUNCTION("importrange(""https://docs.google.com/spreadsheets/d/1gBSOlfPBM0xWQ6uvhSlxXPJioEdKdIHOyJPiizY4W2o/edit#gid=1392985815"",""2025-26!ar3"")"),14.0)</f>
        <v>14</v>
      </c>
      <c r="CS91" s="59">
        <f t="shared" si="29"/>
        <v>0.5205520313</v>
      </c>
      <c r="CT91" s="55">
        <f>IFERROR(__xludf.DUMMYFUNCTION("importrange(""https://docs.google.com/spreadsheets/d/1gBSOlfPBM0xWQ6uvhSlxXPJioEdKdIHOyJPiizY4W2o/edit#gid=1392985815"",""2025-26!as4"")"),3331533.0)</f>
        <v>3331533</v>
      </c>
      <c r="CU91" s="55">
        <f>IFERROR(__xludf.DUMMYFUNCTION("importrange(""https://docs.google.com/spreadsheets/d/1gBSOlfPBM0xWQ6uvhSlxXPJioEdKdIHOyJPiizY4W2o/edit#gid=1392985815"",""2025-26!as3"")"),34.0)</f>
        <v>34</v>
      </c>
      <c r="CV91" s="60" t="s">
        <v>189</v>
      </c>
    </row>
    <row r="92">
      <c r="A92" s="1" t="s">
        <v>185</v>
      </c>
      <c r="B92" s="37"/>
      <c r="C92" s="64" t="s">
        <v>207</v>
      </c>
      <c r="D92" s="50" t="s">
        <v>200</v>
      </c>
      <c r="E92" s="50">
        <v>9.43970183E9</v>
      </c>
      <c r="F92" s="74">
        <v>43480.0</v>
      </c>
      <c r="G92" s="62"/>
      <c r="H92" s="62"/>
      <c r="I92" s="53">
        <v>35417.0</v>
      </c>
      <c r="J92" s="54">
        <v>2000000.0</v>
      </c>
      <c r="K92" s="57">
        <f>IFERROR(__xludf.DUMMYFUNCTION("IMPORTRANGE(""https://docs.google.com/spreadsheets/d/12NAF1MMl-z3SV6fkAOrVJEa7ZNuEoTL4waKw4vXLNes/edit#gid=2107142997"",""2025-26!A3"")"),76.0)</f>
        <v>76</v>
      </c>
      <c r="L92" s="57">
        <f>IFERROR(__xludf.DUMMYFUNCTION("IMPORTRANGE(""https://docs.google.com/spreadsheets/d/12NAF1MMl-z3SV6fkAOrVJEa7ZNuEoTL4waKw4vXLNes/edit#gid=2107142997"",""2025-26!G4"")"),1.827E7)</f>
        <v>18270000</v>
      </c>
      <c r="M92" s="57">
        <f t="shared" si="50"/>
        <v>19321508.9</v>
      </c>
      <c r="N92" s="56">
        <f t="shared" si="51"/>
        <v>1.08173763</v>
      </c>
      <c r="O92" s="57">
        <f t="shared" si="52"/>
        <v>19763346.5</v>
      </c>
      <c r="P92" s="55">
        <f>IFERROR(__xludf.DUMMYFUNCTION("IMPORTRANGE(""https://docs.google.com/spreadsheets/d/12NAF1MMl-z3SV6fkAOrVJEa7ZNuEoTL4waKw4vXLNes/edit#gid=2107142997"",""2025-26!J4"")"),1499967.0)</f>
        <v>1499967</v>
      </c>
      <c r="Q92" s="55">
        <f>IFERROR(__xludf.DUMMYFUNCTION("IMPORTRANGE(""https://docs.google.com/spreadsheets/d/12NAF1MMl-z3SV6fkAOrVJEa7ZNuEoTL4waKw4vXLNes/edit#gid=2107142997"",""2025-26!J3"")"),73.0)</f>
        <v>73</v>
      </c>
      <c r="R92" s="55">
        <f>IFERROR(__xludf.DUMMYFUNCTION("IMPORTRANGE(""https://docs.google.com/spreadsheets/d/12NAF1MMl-z3SV6fkAOrVJEa7ZNuEoTL4waKw4vXLNes/edit#gid=2107142997"",""2025-26!K4"")"),1276968.1800000002)</f>
        <v>1276968.18</v>
      </c>
      <c r="S92" s="55">
        <f>IFERROR(__xludf.DUMMYFUNCTION("IMPORTRANGE(""https://docs.google.com/spreadsheets/d/12NAF1MMl-z3SV6fkAOrVJEa7ZNuEoTL4waKw4vXLNes/edit#gid=2107142997"",""2025-26!K3"")"),17.0)</f>
        <v>17</v>
      </c>
      <c r="T92" s="58">
        <f t="shared" si="18"/>
        <v>0.8993057847</v>
      </c>
      <c r="U92" s="55">
        <f>IFERROR(__xludf.DUMMYFUNCTION("IMPORTRANGE(""https://docs.google.com/spreadsheets/d/12NAF1MMl-z3SV6fkAOrVJEa7ZNuEoTL4waKw4vXLNes/edit#gid=2107142997"",""2025-26!L4"")"),1348929.0)</f>
        <v>1348929</v>
      </c>
      <c r="V92" s="79">
        <f>IFERROR(__xludf.DUMMYFUNCTION("IMPORTRANGE(""https://docs.google.com/spreadsheets/d/12NAF1MMl-z3SV6fkAOrVJEa7ZNuEoTL4waKw4vXLNes/edit#gid=2107142997"",""2025-26!L3"")"),20.0)</f>
        <v>20</v>
      </c>
      <c r="W92" s="55">
        <f>IFERROR(__xludf.DUMMYFUNCTION("IMPORTRANGE(""https://docs.google.com/spreadsheets/d/12NAF1MMl-z3SV6fkAOrVJEa7ZNuEoTL4waKw4vXLNes/edit#gid=2107142997"",""2025-26!M4"")"),1499967.0)</f>
        <v>1499967</v>
      </c>
      <c r="X92" s="79">
        <f>IFERROR(__xludf.DUMMYFUNCTION("IMPORTRANGE(""https://docs.google.com/spreadsheets/d/12NAF1MMl-z3SV6fkAOrVJEa7ZNuEoTL4waKw4vXLNes/edit#gid=2107142997"",""2025-26!M3"")"),73.0)</f>
        <v>73</v>
      </c>
      <c r="Y92" s="55">
        <f>IFERROR(__xludf.DUMMYFUNCTION("importrange(""https://docs.google.com/spreadsheets/d/12NAF1MMl-z3SV6fkAOrVJEa7ZNuEoTL4waKw4vXLNes/edit#gid=2107142997"",""2025-26!n4"")"),1601317.99)</f>
        <v>1601317.99</v>
      </c>
      <c r="Z92" s="55">
        <f>IFERROR(__xludf.DUMMYFUNCTION("importrange(""https://docs.google.com/spreadsheets/d/12NAF1MMl-z3SV6fkAOrVJEa7ZNuEoTL4waKw4vXLNes/edit#gid=2107142997"",""2025-26!n3"")"),17.0)</f>
        <v>17</v>
      </c>
      <c r="AA92" s="58">
        <f t="shared" si="19"/>
        <v>1.239929945</v>
      </c>
      <c r="AB92" s="55">
        <f>IFERROR(__xludf.DUMMYFUNCTION("importrange(""https://docs.google.com/spreadsheets/d/12NAF1MMl-z3SV6fkAOrVJEa7ZNuEoTL4waKw4vXLNes/edit#gid=2107142997"",""2025-26!o4"")"),1859854.0)</f>
        <v>1859854</v>
      </c>
      <c r="AC92" s="55">
        <f>IFERROR(__xludf.DUMMYFUNCTION("importrange(""https://docs.google.com/spreadsheets/d/12NAF1MMl-z3SV6fkAOrVJEa7ZNuEoTL4waKw4vXLNes/edit#gid=2107142997"",""2025-26!o3"")"),20.0)</f>
        <v>20</v>
      </c>
      <c r="AD92" s="55">
        <f>IFERROR(__xludf.DUMMYFUNCTION("importrange(""https://docs.google.com/spreadsheets/d/12NAF1MMl-z3SV6fkAOrVJEa7ZNuEoTL4waKw4vXLNes/edit#gid=2107142997"",""2025-26!p4"")"),1499967.0)</f>
        <v>1499967</v>
      </c>
      <c r="AE92" s="55">
        <f>IFERROR(__xludf.DUMMYFUNCTION("importrange(""https://docs.google.com/spreadsheets/d/12NAF1MMl-z3SV6fkAOrVJEa7ZNuEoTL4waKw4vXLNes/edit#gid=2107142997"",""2025-26!p3"")"),73.0)</f>
        <v>73</v>
      </c>
      <c r="AF92" s="55">
        <f>IFERROR(__xludf.DUMMYFUNCTION("importrange(""https://docs.google.com/spreadsheets/d/12NAF1MMl-z3SV6fkAOrVJEa7ZNuEoTL4waKw4vXLNes/edit#gid=2107142997"",""2025-26!q4"")"),1556023.1)</f>
        <v>1556023.1</v>
      </c>
      <c r="AG92" s="55">
        <f>IFERROR(__xludf.DUMMYFUNCTION("importrange(""https://docs.google.com/spreadsheets/d/12NAF1MMl-z3SV6fkAOrVJEa7ZNuEoTL4waKw4vXLNes/edit#gid=2107142997"",""2025-26!q3"")"),24.0)</f>
        <v>24</v>
      </c>
      <c r="AH92" s="58">
        <f t="shared" si="20"/>
        <v>0.8939950012</v>
      </c>
      <c r="AI92" s="55">
        <f>IFERROR(__xludf.DUMMYFUNCTION("importrange(""https://docs.google.com/spreadsheets/d/12NAF1MMl-z3SV6fkAOrVJEa7ZNuEoTL4waKw4vXLNes/edit#gid=2107142997"",""2025-26!r4"")"),1340963.0)</f>
        <v>1340963</v>
      </c>
      <c r="AJ92" s="55">
        <f>IFERROR(__xludf.DUMMYFUNCTION("importrange(""https://docs.google.com/spreadsheets/d/12NAF1MMl-z3SV6fkAOrVJEa7ZNuEoTL4waKw4vXLNes/edit#gid=2107142997"",""2025-26!r3"")"),26.0)</f>
        <v>26</v>
      </c>
      <c r="AK92" s="55">
        <f>IFERROR(__xludf.DUMMYFUNCTION("importrange(""https://docs.google.com/spreadsheets/d/12NAF1MMl-z3SV6fkAOrVJEa7ZNuEoTL4waKw4vXLNes/edit#gid=2107142997"",""2025-26!s4"")"),1499967.0)</f>
        <v>1499967</v>
      </c>
      <c r="AL92" s="55">
        <f>IFERROR(__xludf.DUMMYFUNCTION("importrange(""https://docs.google.com/spreadsheets/d/12NAF1MMl-z3SV6fkAOrVJEa7ZNuEoTL4waKw4vXLNes/edit#gid=2107142997"",""2025-26!s3"")"),73.0)</f>
        <v>73</v>
      </c>
      <c r="AM92" s="57">
        <f>IFERROR(__xludf.DUMMYFUNCTION("importrange(""https://docs.google.com/spreadsheets/d/12NAF1MMl-z3SV6fkAOrVJEa7ZNuEoTL4waKw4vXLNes/edit#gid=2107142997"",""2025-26!t4"")"),1052288.08)</f>
        <v>1052288.08</v>
      </c>
      <c r="AN92" s="55">
        <f>IFERROR(__xludf.DUMMYFUNCTION("importrange(""https://docs.google.com/spreadsheets/d/12NAF1MMl-z3SV6fkAOrVJEa7ZNuEoTL4waKw4vXLNes/edit#gid=2107142997"",""2025-26!t3"")"),19.0)</f>
        <v>19</v>
      </c>
      <c r="AO92" s="58">
        <f t="shared" si="21"/>
        <v>0.6984053649</v>
      </c>
      <c r="AP92" s="55">
        <f>IFERROR(__xludf.DUMMYFUNCTION("importrange(""https://docs.google.com/spreadsheets/d/12NAF1MMl-z3SV6fkAOrVJEa7ZNuEoTL4waKw4vXLNes/edit#gid=2107142997"",""2025-26!u4"")"),1047585.0)</f>
        <v>1047585</v>
      </c>
      <c r="AQ92" s="55">
        <f>IFERROR(__xludf.DUMMYFUNCTION("importrange(""https://docs.google.com/spreadsheets/d/12NAF1MMl-z3SV6fkAOrVJEa7ZNuEoTL4waKw4vXLNes/edit#gid=2107142997"",""2025-26!u3"")"),21.0)</f>
        <v>21</v>
      </c>
      <c r="AR92" s="55">
        <f>IFERROR(__xludf.DUMMYFUNCTION("importrange(""https://docs.google.com/spreadsheets/d/12NAF1MMl-z3SV6fkAOrVJEa7ZNuEoTL4waKw4vXLNes/edit#gid=2107142997"",""2025-26!v4"")"),1524967.0)</f>
        <v>1524967</v>
      </c>
      <c r="AS92" s="55">
        <f>IFERROR(__xludf.DUMMYFUNCTION("importrange(""https://docs.google.com/spreadsheets/d/12NAF1MMl-z3SV6fkAOrVJEa7ZNuEoTL4waKw4vXLNes/edit#gid=2107142997"",""2025-26!v3"")"),74.0)</f>
        <v>74</v>
      </c>
      <c r="AT92" s="57">
        <f>IFERROR(__xludf.DUMMYFUNCTION("importrange(""https://docs.google.com/spreadsheets/d/12NAF1MMl-z3SV6fkAOrVJEa7ZNuEoTL4waKw4vXLNes/edit#gid=2107142997"",""2025-26!w4"")"),1385252.95)</f>
        <v>1385252.95</v>
      </c>
      <c r="AU92" s="55">
        <f>IFERROR(__xludf.DUMMYFUNCTION("importrange(""https://docs.google.com/spreadsheets/d/12NAF1MMl-z3SV6fkAOrVJEa7ZNuEoTL4waKw4vXLNes/edit#gid=2107142997"",""2025-26!w3"")"),20.0)</f>
        <v>20</v>
      </c>
      <c r="AV92" s="58">
        <f t="shared" si="22"/>
        <v>0.9105813437</v>
      </c>
      <c r="AW92" s="55">
        <f>IFERROR(__xludf.DUMMYFUNCTION("importrange(""https://docs.google.com/spreadsheets/d/12NAF1MMl-z3SV6fkAOrVJEa7ZNuEoTL4waKw4vXLNes/edit#gid=2107142997"",""2025-26!x4"")"),1388606.5)</f>
        <v>1388606.5</v>
      </c>
      <c r="AX92" s="55">
        <f>IFERROR(__xludf.DUMMYFUNCTION("importrange(""https://docs.google.com/spreadsheets/d/12NAF1MMl-z3SV6fkAOrVJEa7ZNuEoTL4waKw4vXLNes/edit#gid=2107142997"",""2025-26!x3"")"),22.0)</f>
        <v>22</v>
      </c>
      <c r="AY92" s="55">
        <f>IFERROR(__xludf.DUMMYFUNCTION("importrange(""https://docs.google.com/spreadsheets/d/12NAF1MMl-z3SV6fkAOrVJEa7ZNuEoTL4waKw4vXLNes/edit#gid=2107142997"",""2025-26!y4"")"),1524967.0)</f>
        <v>1524967</v>
      </c>
      <c r="AZ92" s="55">
        <f>IFERROR(__xludf.DUMMYFUNCTION("importrange(""https://docs.google.com/spreadsheets/d/12NAF1MMl-z3SV6fkAOrVJEa7ZNuEoTL4waKw4vXLNes/edit#gid=2107142997"",""2025-26!y3"")"),74.0)</f>
        <v>74</v>
      </c>
      <c r="BA92" s="57">
        <f>IFERROR(__xludf.DUMMYFUNCTION("importrange(""https://docs.google.com/spreadsheets/d/12NAF1MMl-z3SV6fkAOrVJEa7ZNuEoTL4waKw4vXLNes/edit#gid=2107142997"",""2025-26!z4"")"),1583818.09)</f>
        <v>1583818.09</v>
      </c>
      <c r="BB92" s="55">
        <f>IFERROR(__xludf.DUMMYFUNCTION("importrange(""https://docs.google.com/spreadsheets/d/12NAF1MMl-z3SV6fkAOrVJEa7ZNuEoTL4waKw4vXLNes/edit#gid=2107142997"",""2025-26!z3"")"),23.0)</f>
        <v>23</v>
      </c>
      <c r="BC92" s="59">
        <f t="shared" si="23"/>
        <v>1.049738781</v>
      </c>
      <c r="BD92" s="55">
        <f>IFERROR(__xludf.DUMMYFUNCTION("importrange(""https://docs.google.com/spreadsheets/d/12NAF1MMl-z3SV6fkAOrVJEa7ZNuEoTL4waKw4vXLNes/edit#gid=2107142997"",""2025-26!aa4"")"),1600817.0)</f>
        <v>1600817</v>
      </c>
      <c r="BE92" s="55">
        <f>IFERROR(__xludf.DUMMYFUNCTION("importrange(""https://docs.google.com/spreadsheets/d/12NAF1MMl-z3SV6fkAOrVJEa7ZNuEoTL4waKw4vXLNes/edit#gid=2107142997"",""2025-26!aa3"")"),24.0)</f>
        <v>24</v>
      </c>
      <c r="BF92" s="55">
        <f>IFERROR(__xludf.DUMMYFUNCTION("importrange(""https://docs.google.com/spreadsheets/d/12NAF1MMl-z3SV6fkAOrVJEa7ZNuEoTL4waKw4vXLNes/edit#gid=2107142997"",""2025-26!ab4"")"),1524967.0)</f>
        <v>1524967</v>
      </c>
      <c r="BG92" s="55">
        <f>IFERROR(__xludf.DUMMYFUNCTION("importrange(""https://docs.google.com/spreadsheets/d/12NAF1MMl-z3SV6fkAOrVJEa7ZNuEoTL4waKw4vXLNes/edit#gid=2107142997"",""2025-26!ab3"")"),74.0)</f>
        <v>74</v>
      </c>
      <c r="BH92" s="55">
        <f>IFERROR(__xludf.DUMMYFUNCTION("importrange(""https://docs.google.com/spreadsheets/d/12NAF1MMl-z3SV6fkAOrVJEa7ZNuEoTL4waKw4vXLNes/edit#gid=2107142997"",""2025-26!ac4"")"),1919068.7500000002)</f>
        <v>1919068.75</v>
      </c>
      <c r="BI92" s="55">
        <f>IFERROR(__xludf.DUMMYFUNCTION("importrange(""https://docs.google.com/spreadsheets/d/12NAF1MMl-z3SV6fkAOrVJEa7ZNuEoTL4waKw4vXLNes/edit#gid=2107142997"",""2025-26!ac3"")"),22.0)</f>
        <v>22</v>
      </c>
      <c r="BJ92" s="59">
        <f t="shared" si="24"/>
        <v>1.258179357</v>
      </c>
      <c r="BK92" s="55">
        <f>IFERROR(__xludf.DUMMYFUNCTION("importrange(""https://docs.google.com/spreadsheets/d/12NAF1MMl-z3SV6fkAOrVJEa7ZNuEoTL4waKw4vXLNes/edit#gid=2107142997"",""2025-26!ad4"")"),1918682.0)</f>
        <v>1918682</v>
      </c>
      <c r="BL92" s="55">
        <f>IFERROR(__xludf.DUMMYFUNCTION("importrange(""https://docs.google.com/spreadsheets/d/12NAF1MMl-z3SV6fkAOrVJEa7ZNuEoTL4waKw4vXLNes/edit#gid=2107142997"",""2025-26!ad3"")"),23.0)</f>
        <v>23</v>
      </c>
      <c r="BM92" s="55">
        <f>IFERROR(__xludf.DUMMYFUNCTION("importrange(""https://docs.google.com/spreadsheets/d/12NAF1MMl-z3SV6fkAOrVJEa7ZNuEoTL4waKw4vXLNes/edit#gid=2107142997"",""2025-26!ae4"")"),1524967.0)</f>
        <v>1524967</v>
      </c>
      <c r="BN92" s="55">
        <f>IFERROR(__xludf.DUMMYFUNCTION("importrange(""https://docs.google.com/spreadsheets/d/12NAF1MMl-z3SV6fkAOrVJEa7ZNuEoTL4waKw4vXLNes/edit#gid=2107142997"",""2025-26!ae3"")"),74.0)</f>
        <v>74</v>
      </c>
      <c r="BO92" s="55">
        <f>IFERROR(__xludf.DUMMYFUNCTION("importrange(""https://docs.google.com/spreadsheets/d/12NAF1MMl-z3SV6fkAOrVJEa7ZNuEoTL4waKw4vXLNes/edit#gid=2107142997"",""2025-26!af4"")"),1640432.1300000001)</f>
        <v>1640432.13</v>
      </c>
      <c r="BP92" s="55">
        <f>IFERROR(__xludf.DUMMYFUNCTION("importrange(""https://docs.google.com/spreadsheets/d/12NAF1MMl-z3SV6fkAOrVJEa7ZNuEoTL4waKw4vXLNes/edit#gid=2107142997"",""2025-26!af3"")"),23.0)</f>
        <v>23</v>
      </c>
      <c r="BQ92" s="59">
        <f t="shared" si="25"/>
        <v>1.111975538</v>
      </c>
      <c r="BR92" s="55">
        <f>IFERROR(__xludf.DUMMYFUNCTION("importrange(""https://docs.google.com/spreadsheets/d/12NAF1MMl-z3SV6fkAOrVJEa7ZNuEoTL4waKw4vXLNes/edit#gid=2107142997"",""2025-26!ag4"")"),1695726.0)</f>
        <v>1695726</v>
      </c>
      <c r="BS92" s="55">
        <f>IFERROR(__xludf.DUMMYFUNCTION("importrange(""https://docs.google.com/spreadsheets/d/12NAF1MMl-z3SV6fkAOrVJEa7ZNuEoTL4waKw4vXLNes/edit#gid=2107142997"",""2025-26!ag3"")"),23.0)</f>
        <v>23</v>
      </c>
      <c r="BT92" s="55">
        <f>IFERROR(__xludf.DUMMYFUNCTION("importrange(""https://docs.google.com/spreadsheets/d/12NAF1MMl-z3SV6fkAOrVJEa7ZNuEoTL4waKw4vXLNes/edit#gid=2107142997"",""2025-26!ah4"")"),1524967.0)</f>
        <v>1524967</v>
      </c>
      <c r="BU92" s="55">
        <f>IFERROR(__xludf.DUMMYFUNCTION("importrange(""https://docs.google.com/spreadsheets/d/12NAF1MMl-z3SV6fkAOrVJEa7ZNuEoTL4waKw4vXLNes/edit#gid=2107142997"",""2025-26!ah3"")"),74.0)</f>
        <v>74</v>
      </c>
      <c r="BV92" s="55">
        <f>IFERROR(__xludf.DUMMYFUNCTION("importrange(""https://docs.google.com/spreadsheets/d/12NAF1MMl-z3SV6fkAOrVJEa7ZNuEoTL4waKw4vXLNes/edit#gid=2107142997"",""2025-26!ai4"")"),1925714.81)</f>
        <v>1925714.81</v>
      </c>
      <c r="BW92" s="55">
        <f>IFERROR(__xludf.DUMMYFUNCTION("importrange(""https://docs.google.com/spreadsheets/d/12NAF1MMl-z3SV6fkAOrVJEa7ZNuEoTL4waKw4vXLNes/edit#gid=2107142997"",""2025-26!ai3"")"),23.0)</f>
        <v>23</v>
      </c>
      <c r="BX92" s="59">
        <f t="shared" si="26"/>
        <v>1.215106294</v>
      </c>
      <c r="BY92" s="55">
        <f>IFERROR(__xludf.DUMMYFUNCTION("importrange(""https://docs.google.com/spreadsheets/d/12NAF1MMl-z3SV6fkAOrVJEa7ZNuEoTL4waKw4vXLNes/edit#gid=2107142997"",""2025-26!aj4"")"),1852997.0)</f>
        <v>1852997</v>
      </c>
      <c r="BZ92" s="55">
        <f>IFERROR(__xludf.DUMMYFUNCTION("importrange(""https://docs.google.com/spreadsheets/d/12NAF1MMl-z3SV6fkAOrVJEa7ZNuEoTL4waKw4vXLNes/edit#gid=2107142997"",""2025-26!aj3"")"),25.0)</f>
        <v>25</v>
      </c>
      <c r="CA92" s="55">
        <f>IFERROR(__xludf.DUMMYFUNCTION("importrange(""https://docs.google.com/spreadsheets/d/12NAF1MMl-z3SV6fkAOrVJEa7ZNuEoTL4waKw4vXLNes/edit#gid=2107142997"",""2025-26!ak4"")"),1524967.0)</f>
        <v>1524967</v>
      </c>
      <c r="CB92" s="55">
        <f>IFERROR(__xludf.DUMMYFUNCTION("importrange(""https://docs.google.com/spreadsheets/d/12NAF1MMl-z3SV6fkAOrVJEa7ZNuEoTL4waKw4vXLNes/edit#gid=2107142997"",""2025-26!ak3"")"),74.0)</f>
        <v>74</v>
      </c>
      <c r="CC92" s="55">
        <f>IFERROR(__xludf.DUMMYFUNCTION("importrange(""https://docs.google.com/spreadsheets/d/12NAF1MMl-z3SV6fkAOrVJEa7ZNuEoTL4waKw4vXLNes/edit#gid=2107142997"",""2025-26!al4"")"),934925.9500000001)</f>
        <v>934925.95</v>
      </c>
      <c r="CD92" s="55">
        <f>IFERROR(__xludf.DUMMYFUNCTION("importrange(""https://docs.google.com/spreadsheets/d/12NAF1MMl-z3SV6fkAOrVJEa7ZNuEoTL4waKw4vXLNes/edit#gid=2107142997"",""2025-26!ai3"")"),23.0)</f>
        <v>23</v>
      </c>
      <c r="CE92" s="59">
        <f t="shared" si="27"/>
        <v>0.9001263634</v>
      </c>
      <c r="CF92" s="55">
        <f>IFERROR(__xludf.DUMMYFUNCTION("importrange(""https://docs.google.com/spreadsheets/d/12NAF1MMl-z3SV6fkAOrVJEa7ZNuEoTL4waKw4vXLNes/edit#gid=2107142997"",""2025-26!am4"")"),1372663.0)</f>
        <v>1372663</v>
      </c>
      <c r="CG92" s="55">
        <f>IFERROR(__xludf.DUMMYFUNCTION("importrange(""https://docs.google.com/spreadsheets/d/12NAF1MMl-z3SV6fkAOrVJEa7ZNuEoTL4waKw4vXLNes/edit#gid=2107142997"",""2025-26!am3"")"),17.0)</f>
        <v>17</v>
      </c>
      <c r="CH92" s="55">
        <f>IFERROR(__xludf.DUMMYFUNCTION("importrange(""https://docs.google.com/spreadsheets/d/12NAF1MMl-z3SV6fkAOrVJEa7ZNuEoTL4waKw4vXLNes/edit#gid=2107142997"",""2025-26!an4"")"),1524967.0)</f>
        <v>1524967</v>
      </c>
      <c r="CI92" s="55">
        <f>IFERROR(__xludf.DUMMYFUNCTION("importrange(""https://docs.google.com/spreadsheets/d/12NAF1MMl-z3SV6fkAOrVJEa7ZNuEoTL4waKw4vXLNes/edit#gid=2107142997"",""2025-26!an3"")"),74.0)</f>
        <v>74</v>
      </c>
      <c r="CJ92" s="55">
        <f>IFERROR(__xludf.DUMMYFUNCTION("importrange(""https://docs.google.com/spreadsheets/d/12NAF1MMl-z3SV6fkAOrVJEa7ZNuEoTL4waKw4vXLNes/edit#gid=2107142997"",""2025-26!ao4"")"),1578782.59)</f>
        <v>1578782.59</v>
      </c>
      <c r="CK92" s="55">
        <f>IFERROR(__xludf.DUMMYFUNCTION("importrange(""https://docs.google.com/spreadsheets/d/12NAF1MMl-z3SV6fkAOrVJEa7ZNuEoTL4waKw4vXLNes/edit#gid=2107142997"",""2025-26!ao3"")"),25.0)</f>
        <v>25</v>
      </c>
      <c r="CL92" s="59">
        <f t="shared" si="28"/>
        <v>0.9087160575</v>
      </c>
      <c r="CM92" s="55">
        <f>IFERROR(__xludf.DUMMYFUNCTION("importrange(""https://docs.google.com/spreadsheets/d/12NAF1MMl-z3SV6fkAOrVJEa7ZNuEoTL4waKw4vXLNes/edit#gid=2107142997"",""2025-26!ap4"")"),1385762.0)</f>
        <v>1385762</v>
      </c>
      <c r="CN92" s="55">
        <f>IFERROR(__xludf.DUMMYFUNCTION("importrange(""https://docs.google.com/spreadsheets/d/12NAF1MMl-z3SV6fkAOrVJEa7ZNuEoTL4waKw4vXLNes/edit#gid=2107142997"",""2025-26!ap3"")"),25.0)</f>
        <v>25</v>
      </c>
      <c r="CO92" s="55">
        <f>IFERROR(__xludf.DUMMYFUNCTION("importrange(""https://docs.google.com/spreadsheets/d/12NAF1MMl-z3SV6fkAOrVJEa7ZNuEoTL4waKw4vXLNes/edit#gid=2107142997"",""2025-26!aq4"")"),1524967.0)</f>
        <v>1524967</v>
      </c>
      <c r="CP92" s="55">
        <f>IFERROR(__xludf.DUMMYFUNCTION("importrange(""https://docs.google.com/spreadsheets/d/12NAF1MMl-z3SV6fkAOrVJEa7ZNuEoTL4waKw4vXLNes/edit#gid=2107142997"",""2025-26!aq3"")"),74.0)</f>
        <v>74</v>
      </c>
      <c r="CQ92" s="55">
        <f>IFERROR(__xludf.DUMMYFUNCTION("importrange(""https://docs.google.com/spreadsheets/d/12NAF1MMl-z3SV6fkAOrVJEa7ZNuEoTL4waKw4vXLNes/edit#gid=2107142997"",""2025-26!ar4"")"),2866916.2800000007)</f>
        <v>2866916.28</v>
      </c>
      <c r="CR92" s="55">
        <f>IFERROR(__xludf.DUMMYFUNCTION("importrange(""https://docs.google.com/spreadsheets/d/12NAF1MMl-z3SV6fkAOrVJEa7ZNuEoTL4waKw4vXLNes/edit#gid=2107142997"",""2025-26!ar3"")"),24.0)</f>
        <v>24</v>
      </c>
      <c r="CS92" s="59">
        <f t="shared" si="29"/>
        <v>1.934967773</v>
      </c>
      <c r="CT92" s="55">
        <f>IFERROR(__xludf.DUMMYFUNCTION("importrange(""https://docs.google.com/spreadsheets/d/12NAF1MMl-z3SV6fkAOrVJEa7ZNuEoTL4waKw4vXLNes/edit#gid=2107142997"",""2025-26!as4"")"),2950762.0)</f>
        <v>2950762</v>
      </c>
      <c r="CU92" s="55">
        <f>IFERROR(__xludf.DUMMYFUNCTION("importrange(""https://docs.google.com/spreadsheets/d/12NAF1MMl-z3SV6fkAOrVJEa7ZNuEoTL4waKw4vXLNes/edit#gid=2107142997"",""2025-26!as3"")"),24.0)</f>
        <v>24</v>
      </c>
      <c r="CV92" s="60" t="s">
        <v>196</v>
      </c>
    </row>
    <row r="93">
      <c r="A93" s="1" t="s">
        <v>185</v>
      </c>
      <c r="B93" s="37"/>
      <c r="C93" s="64" t="s">
        <v>208</v>
      </c>
      <c r="D93" s="50" t="s">
        <v>209</v>
      </c>
      <c r="E93" s="50">
        <v>9.437606263E9</v>
      </c>
      <c r="F93" s="74">
        <v>43710.0</v>
      </c>
      <c r="G93" s="62"/>
      <c r="H93" s="62"/>
      <c r="I93" s="53">
        <v>45167.0</v>
      </c>
      <c r="J93" s="54">
        <v>2000000.0</v>
      </c>
      <c r="K93" s="57">
        <f>IFERROR(__xludf.DUMMYFUNCTION("IMPORTRANGE(""https://docs.google.com/spreadsheets/d/1AEqUI2za5g6wYjXj1or87EmS_1Xr5zeTeh75HX6TIRs/edit#gid=1031176712"",""2025-26!A3"")"),58.0)</f>
        <v>58</v>
      </c>
      <c r="L93" s="57">
        <f>IFERROR(__xludf.DUMMYFUNCTION("IMPORTRANGE(""https://docs.google.com/spreadsheets/d/1AEqUI2za5g6wYjXj1or87EmS_1Xr5zeTeh75HX6TIRs/edit#gid=1031176712"",""2025-26!G4"")"),2.5975E7)</f>
        <v>25975000</v>
      </c>
      <c r="M93" s="57">
        <f t="shared" si="50"/>
        <v>18956581.16</v>
      </c>
      <c r="N93" s="56">
        <f t="shared" si="51"/>
        <v>0.6517768239</v>
      </c>
      <c r="O93" s="57">
        <f t="shared" si="52"/>
        <v>16929903</v>
      </c>
      <c r="P93" s="55">
        <f>IFERROR(__xludf.DUMMYFUNCTION("IMPORTRANGE(""https://docs.google.com/spreadsheets/d/1AEqUI2za5g6wYjXj1or87EmS_1Xr5zeTeh75HX6TIRs/edit#gid=1031176712"",""2025-26!J4"")"),1948863.0)</f>
        <v>1948863</v>
      </c>
      <c r="Q93" s="55">
        <f>IFERROR(__xludf.DUMMYFUNCTION("IMPORTRANGE(""https://docs.google.com/spreadsheets/d/1AEqUI2za5g6wYjXj1or87EmS_1Xr5zeTeh75HX6TIRs/edit#gid=1031176712"",""2025-26!J3"")"),47.0)</f>
        <v>47</v>
      </c>
      <c r="R93" s="55">
        <f>IFERROR(__xludf.DUMMYFUNCTION("IMPORTRANGE(""https://docs.google.com/spreadsheets/d/1AEqUI2za5g6wYjXj1or87EmS_1Xr5zeTeh75HX6TIRs/edit#gid=1031176712"",""2025-26!K4"")"),1216809.4399999997)</f>
        <v>1216809.44</v>
      </c>
      <c r="S93" s="55">
        <f>IFERROR(__xludf.DUMMYFUNCTION("IMPORTRANGE(""https://docs.google.com/spreadsheets/d/1AEqUI2za5g6wYjXj1or87EmS_1Xr5zeTeh75HX6TIRs/edit#gid=1031176712"",""2025-26!K3"")"),23.0)</f>
        <v>23</v>
      </c>
      <c r="T93" s="58">
        <f t="shared" si="18"/>
        <v>1.145145144</v>
      </c>
      <c r="U93" s="55">
        <f>IFERROR(__xludf.DUMMYFUNCTION("IMPORTRANGE(""https://docs.google.com/spreadsheets/d/1AEqUI2za5g6wYjXj1or87EmS_1Xr5zeTeh75HX6TIRs/edit#gid=1031176712"",""2025-26!L4"")"),2231731.0)</f>
        <v>2231731</v>
      </c>
      <c r="V93" s="79">
        <f>IFERROR(__xludf.DUMMYFUNCTION("IMPORTRANGE(""https://docs.google.com/spreadsheets/d/1AEqUI2za5g6wYjXj1or87EmS_1Xr5zeTeh75HX6TIRs/edit#gid=1031176712"",""2025-26!L3"")"),39.0)</f>
        <v>39</v>
      </c>
      <c r="W93" s="55">
        <f>IFERROR(__xludf.DUMMYFUNCTION("IMPORTRANGE(""https://docs.google.com/spreadsheets/d/1AEqUI2za5g6wYjXj1or87EmS_1Xr5zeTeh75HX6TIRs/edit#gid=1031176712"",""2025-26!M4"")"),1832495.0)</f>
        <v>1832495</v>
      </c>
      <c r="X93" s="79">
        <f>IFERROR(__xludf.DUMMYFUNCTION("IMPORTRANGE(""https://docs.google.com/spreadsheets/d/1AEqUI2za5g6wYjXj1or87EmS_1Xr5zeTeh75HX6TIRs/edit#gid=1031176712"",""2025-26!M3"")"),49.0)</f>
        <v>49</v>
      </c>
      <c r="Y93" s="55">
        <f>IFERROR(__xludf.DUMMYFUNCTION("importrange(""https://docs.google.com/spreadsheets/d/1AEqUI2za5g6wYjXj1or87EmS_1Xr5zeTeh75HX6TIRs/edit#gid=1031176712"",""2025-26!n4"")"),1270150.7999999998)</f>
        <v>1270150.8</v>
      </c>
      <c r="Z93" s="55">
        <f>IFERROR(__xludf.DUMMYFUNCTION("importrange(""https://docs.google.com/spreadsheets/d/1AEqUI2za5g6wYjXj1or87EmS_1Xr5zeTeh75HX6TIRs/edit#gid=1031176712"",""2025-26!n3"")"),26.0)</f>
        <v>26</v>
      </c>
      <c r="AA93" s="58">
        <f t="shared" si="19"/>
        <v>0.5638967637</v>
      </c>
      <c r="AB93" s="55">
        <f>IFERROR(__xludf.DUMMYFUNCTION("importrange(""https://docs.google.com/spreadsheets/d/1AEqUI2za5g6wYjXj1or87EmS_1Xr5zeTeh75HX6TIRs/edit#gid=1031176712"",""2025-26!o4"")"),1033338.0)</f>
        <v>1033338</v>
      </c>
      <c r="AC93" s="55">
        <f>IFERROR(__xludf.DUMMYFUNCTION("importrange(""https://docs.google.com/spreadsheets/d/1AEqUI2za5g6wYjXj1or87EmS_1Xr5zeTeh75HX6TIRs/edit#gid=1031176712"",""2025-26!o3"")"),30.0)</f>
        <v>30</v>
      </c>
      <c r="AD93" s="55">
        <f>IFERROR(__xludf.DUMMYFUNCTION("importrange(""https://docs.google.com/spreadsheets/d/1AEqUI2za5g6wYjXj1or87EmS_1Xr5zeTeh75HX6TIRs/edit#gid=1031176712"",""2025-26!p4"")"),1982195.0)</f>
        <v>1982195</v>
      </c>
      <c r="AE93" s="55">
        <f>IFERROR(__xludf.DUMMYFUNCTION("importrange(""https://docs.google.com/spreadsheets/d/1AEqUI2za5g6wYjXj1or87EmS_1Xr5zeTeh75HX6TIRs/edit#gid=1031176712"",""2025-26!p3"")"),49.0)</f>
        <v>49</v>
      </c>
      <c r="AF93" s="55">
        <f>IFERROR(__xludf.DUMMYFUNCTION("importrange(""https://docs.google.com/spreadsheets/d/1AEqUI2za5g6wYjXj1or87EmS_1Xr5zeTeh75HX6TIRs/edit#gid=1031176712"",""2025-26!q4"")"),2004918.1600000001)</f>
        <v>2004918.16</v>
      </c>
      <c r="AG93" s="55">
        <f>IFERROR(__xludf.DUMMYFUNCTION("importrange(""https://docs.google.com/spreadsheets/d/1AEqUI2za5g6wYjXj1or87EmS_1Xr5zeTeh75HX6TIRs/edit#gid=1031176712"",""2025-26!q3"")"),28.0)</f>
        <v>28</v>
      </c>
      <c r="AH93" s="58">
        <f t="shared" si="20"/>
        <v>0.8569121605</v>
      </c>
      <c r="AI93" s="55">
        <f>IFERROR(__xludf.DUMMYFUNCTION("importrange(""https://docs.google.com/spreadsheets/d/1AEqUI2za5g6wYjXj1or87EmS_1Xr5zeTeh75HX6TIRs/edit#gid=1031176712"",""2025-26!r4"")"),1698567.0)</f>
        <v>1698567</v>
      </c>
      <c r="AJ93" s="55">
        <f>IFERROR(__xludf.DUMMYFUNCTION("importrange(""https://docs.google.com/spreadsheets/d/1AEqUI2za5g6wYjXj1or87EmS_1Xr5zeTeh75HX6TIRs/edit#gid=1031176712"",""2025-26!r3"")"),32.0)</f>
        <v>32</v>
      </c>
      <c r="AK93" s="55">
        <f>IFERROR(__xludf.DUMMYFUNCTION("importrange(""https://docs.google.com/spreadsheets/d/1AEqUI2za5g6wYjXj1or87EmS_1Xr5zeTeh75HX6TIRs/edit#gid=1031176712"",""2025-26!s4"")"),1982195.0)</f>
        <v>1982195</v>
      </c>
      <c r="AL93" s="55">
        <f>IFERROR(__xludf.DUMMYFUNCTION("importrange(""https://docs.google.com/spreadsheets/d/1AEqUI2za5g6wYjXj1or87EmS_1Xr5zeTeh75HX6TIRs/edit#gid=1031176712"",""2025-26!s3"")"),49.0)</f>
        <v>49</v>
      </c>
      <c r="AM93" s="57">
        <f>IFERROR(__xludf.DUMMYFUNCTION("importrange(""https://docs.google.com/spreadsheets/d/1AEqUI2za5g6wYjXj1or87EmS_1Xr5zeTeh75HX6TIRs/edit#gid=1031176712"",""2025-26!t4"")"),1737315.7300000004)</f>
        <v>1737315.73</v>
      </c>
      <c r="AN93" s="55">
        <f>IFERROR(__xludf.DUMMYFUNCTION("importrange(""https://docs.google.com/spreadsheets/d/1AEqUI2za5g6wYjXj1or87EmS_1Xr5zeTeh75HX6TIRs/edit#gid=1031176712"",""2025-26!t3"")"),27.0)</f>
        <v>27</v>
      </c>
      <c r="AO93" s="58">
        <f t="shared" si="21"/>
        <v>0.5481256889</v>
      </c>
      <c r="AP93" s="55">
        <f>IFERROR(__xludf.DUMMYFUNCTION("importrange(""https://docs.google.com/spreadsheets/d/1AEqUI2za5g6wYjXj1or87EmS_1Xr5zeTeh75HX6TIRs/edit#gid=1031176712"",""2025-26!u4"")"),1086492.0)</f>
        <v>1086492</v>
      </c>
      <c r="AQ93" s="55">
        <f>IFERROR(__xludf.DUMMYFUNCTION("importrange(""https://docs.google.com/spreadsheets/d/1AEqUI2za5g6wYjXj1or87EmS_1Xr5zeTeh75HX6TIRs/edit#gid=1031176712"",""2025-26!u3"")"),25.0)</f>
        <v>25</v>
      </c>
      <c r="AR93" s="55">
        <f>IFERROR(__xludf.DUMMYFUNCTION("importrange(""https://docs.google.com/spreadsheets/d/1AEqUI2za5g6wYjXj1or87EmS_1Xr5zeTeh75HX6TIRs/edit#gid=1031176712"",""2025-26!v4"")"),1982195.0)</f>
        <v>1982195</v>
      </c>
      <c r="AS93" s="55">
        <f>IFERROR(__xludf.DUMMYFUNCTION("importrange(""https://docs.google.com/spreadsheets/d/1AEqUI2za5g6wYjXj1or87EmS_1Xr5zeTeh75HX6TIRs/edit#gid=1031176712"",""2025-26!v3"")"),49.0)</f>
        <v>49</v>
      </c>
      <c r="AT93" s="57">
        <f>IFERROR(__xludf.DUMMYFUNCTION("importrange(""https://docs.google.com/spreadsheets/d/1AEqUI2za5g6wYjXj1or87EmS_1Xr5zeTeh75HX6TIRs/edit#gid=1031176712"",""2025-26!w4"")"),1403232.94)</f>
        <v>1403232.94</v>
      </c>
      <c r="AU93" s="55">
        <f>IFERROR(__xludf.DUMMYFUNCTION("importrange(""https://docs.google.com/spreadsheets/d/1AEqUI2za5g6wYjXj1or87EmS_1Xr5zeTeh75HX6TIRs/edit#gid=1031176712"",""2025-26!w3"")"),25.0)</f>
        <v>25</v>
      </c>
      <c r="AV93" s="58">
        <f t="shared" si="22"/>
        <v>0.581355013</v>
      </c>
      <c r="AW93" s="55">
        <f>IFERROR(__xludf.DUMMYFUNCTION("importrange(""https://docs.google.com/spreadsheets/d/1AEqUI2za5g6wYjXj1or87EmS_1Xr5zeTeh75HX6TIRs/edit#gid=1031176712"",""2025-26!x4"")"),1152359.0)</f>
        <v>1152359</v>
      </c>
      <c r="AX93" s="55">
        <f>IFERROR(__xludf.DUMMYFUNCTION("importrange(""https://docs.google.com/spreadsheets/d/1AEqUI2za5g6wYjXj1or87EmS_1Xr5zeTeh75HX6TIRs/edit#gid=1031176712"",""2025-26!x3"")"),26.0)</f>
        <v>26</v>
      </c>
      <c r="AY93" s="55">
        <f>IFERROR(__xludf.DUMMYFUNCTION("importrange(""https://docs.google.com/spreadsheets/d/1AEqUI2za5g6wYjXj1or87EmS_1Xr5zeTeh75HX6TIRs/edit#gid=1031176712"",""2025-26!y4"")"),2035195.0)</f>
        <v>2035195</v>
      </c>
      <c r="AZ93" s="55">
        <f>IFERROR(__xludf.DUMMYFUNCTION("importrange(""https://docs.google.com/spreadsheets/d/1AEqUI2za5g6wYjXj1or87EmS_1Xr5zeTeh75HX6TIRs/edit#gid=1031176712"",""2025-26!y3"")"),51.0)</f>
        <v>51</v>
      </c>
      <c r="BA93" s="57">
        <f>IFERROR(__xludf.DUMMYFUNCTION("importrange(""https://docs.google.com/spreadsheets/d/1AEqUI2za5g6wYjXj1or87EmS_1Xr5zeTeh75HX6TIRs/edit#gid=1031176712"",""2025-26!z4"")"),1617110.0)</f>
        <v>1617110</v>
      </c>
      <c r="BB93" s="55">
        <f>IFERROR(__xludf.DUMMYFUNCTION("importrange(""https://docs.google.com/spreadsheets/d/1AEqUI2za5g6wYjXj1or87EmS_1Xr5zeTeh75HX6TIRs/edit#gid=1031176712"",""2025-26!z3"")"),31.0)</f>
        <v>31</v>
      </c>
      <c r="BC93" s="59">
        <f t="shared" si="23"/>
        <v>0.6928564585</v>
      </c>
      <c r="BD93" s="55">
        <f>IFERROR(__xludf.DUMMYFUNCTION("importrange(""https://docs.google.com/spreadsheets/d/1AEqUI2za5g6wYjXj1or87EmS_1Xr5zeTeh75HX6TIRs/edit#gid=1031176712"",""2025-26!aa4"")"),1410098.0)</f>
        <v>1410098</v>
      </c>
      <c r="BE93" s="55">
        <f>IFERROR(__xludf.DUMMYFUNCTION("importrange(""https://docs.google.com/spreadsheets/d/1AEqUI2za5g6wYjXj1or87EmS_1Xr5zeTeh75HX6TIRs/edit#gid=1031176712"",""2025-26!aa3"")"),33.0)</f>
        <v>33</v>
      </c>
      <c r="BF93" s="55">
        <f>IFERROR(__xludf.DUMMYFUNCTION("importrange(""https://docs.google.com/spreadsheets/d/1AEqUI2za5g6wYjXj1or87EmS_1Xr5zeTeh75HX6TIRs/edit#gid=1031176712"",""2025-26!ab4"")"),2225195.0)</f>
        <v>2225195</v>
      </c>
      <c r="BG93" s="55">
        <f>IFERROR(__xludf.DUMMYFUNCTION("importrange(""https://docs.google.com/spreadsheets/d/1AEqUI2za5g6wYjXj1or87EmS_1Xr5zeTeh75HX6TIRs/edit#gid=1031176712"",""2025-26!ab3"")"),52.0)</f>
        <v>52</v>
      </c>
      <c r="BH93" s="55">
        <f>IFERROR(__xludf.DUMMYFUNCTION("importrange(""https://docs.google.com/spreadsheets/d/1AEqUI2za5g6wYjXj1or87EmS_1Xr5zeTeh75HX6TIRs/edit#gid=1031176712"",""2025-26!ac4"")"),1139199.1400000001)</f>
        <v>1139199.14</v>
      </c>
      <c r="BI93" s="55">
        <f>IFERROR(__xludf.DUMMYFUNCTION("importrange(""https://docs.google.com/spreadsheets/d/1AEqUI2za5g6wYjXj1or87EmS_1Xr5zeTeh75HX6TIRs/edit#gid=1031176712"",""2025-26!ac3"")"),23.0)</f>
        <v>23</v>
      </c>
      <c r="BJ93" s="59">
        <f t="shared" si="24"/>
        <v>0.4498652927</v>
      </c>
      <c r="BK93" s="55">
        <f>IFERROR(__xludf.DUMMYFUNCTION("importrange(""https://docs.google.com/spreadsheets/d/1AEqUI2za5g6wYjXj1or87EmS_1Xr5zeTeh75HX6TIRs/edit#gid=1031176712"",""2025-26!ad4"")"),1001038.0)</f>
        <v>1001038</v>
      </c>
      <c r="BL93" s="55">
        <f>IFERROR(__xludf.DUMMYFUNCTION("importrange(""https://docs.google.com/spreadsheets/d/1AEqUI2za5g6wYjXj1or87EmS_1Xr5zeTeh75HX6TIRs/edit#gid=1031176712"",""2025-26!ad3"")"),22.0)</f>
        <v>22</v>
      </c>
      <c r="BM93" s="55">
        <f>IFERROR(__xludf.DUMMYFUNCTION("importrange(""https://docs.google.com/spreadsheets/d/1AEqUI2za5g6wYjXj1or87EmS_1Xr5zeTeh75HX6TIRs/edit#gid=1031176712"",""2025-26!ae4"")"),2182195.0)</f>
        <v>2182195</v>
      </c>
      <c r="BN93" s="55">
        <f>IFERROR(__xludf.DUMMYFUNCTION("importrange(""https://docs.google.com/spreadsheets/d/1AEqUI2za5g6wYjXj1or87EmS_1Xr5zeTeh75HX6TIRs/edit#gid=1031176712"",""2025-26!ae3"")"),52.0)</f>
        <v>52</v>
      </c>
      <c r="BO93" s="55">
        <f>IFERROR(__xludf.DUMMYFUNCTION("importrange(""https://docs.google.com/spreadsheets/d/1AEqUI2za5g6wYjXj1or87EmS_1Xr5zeTeh75HX6TIRs/edit#gid=1031176712"",""2025-26!af4"")"),1673136.58)</f>
        <v>1673136.58</v>
      </c>
      <c r="BP93" s="55">
        <f>IFERROR(__xludf.DUMMYFUNCTION("importrange(""https://docs.google.com/spreadsheets/d/1AEqUI2za5g6wYjXj1or87EmS_1Xr5zeTeh75HX6TIRs/edit#gid=1031176712"",""2025-26!af3"")"),33.0)</f>
        <v>33</v>
      </c>
      <c r="BQ93" s="59">
        <f t="shared" si="25"/>
        <v>0.6483769782</v>
      </c>
      <c r="BR93" s="55">
        <f>IFERROR(__xludf.DUMMYFUNCTION("importrange(""https://docs.google.com/spreadsheets/d/1AEqUI2za5g6wYjXj1or87EmS_1Xr5zeTeh75HX6TIRs/edit#gid=1031176712"",""2025-26!ag4"")"),1414885.0)</f>
        <v>1414885</v>
      </c>
      <c r="BS93" s="55">
        <f>IFERROR(__xludf.DUMMYFUNCTION("importrange(""https://docs.google.com/spreadsheets/d/1AEqUI2za5g6wYjXj1or87EmS_1Xr5zeTeh75HX6TIRs/edit#gid=1031176712"",""2025-26!ag3"")"),34.0)</f>
        <v>34</v>
      </c>
      <c r="BT93" s="55">
        <f>IFERROR(__xludf.DUMMYFUNCTION("importrange(""https://docs.google.com/spreadsheets/d/1AEqUI2za5g6wYjXj1or87EmS_1Xr5zeTeh75HX6TIRs/edit#gid=1031176712"",""2025-26!ah4"")"),2255195.0)</f>
        <v>2255195</v>
      </c>
      <c r="BU93" s="55">
        <f>IFERROR(__xludf.DUMMYFUNCTION("importrange(""https://docs.google.com/spreadsheets/d/1AEqUI2za5g6wYjXj1or87EmS_1Xr5zeTeh75HX6TIRs/edit#gid=1031176712"",""2025-26!ah3"")"),53.0)</f>
        <v>53</v>
      </c>
      <c r="BV93" s="55">
        <f>IFERROR(__xludf.DUMMYFUNCTION("importrange(""https://docs.google.com/spreadsheets/d/1AEqUI2za5g6wYjXj1or87EmS_1Xr5zeTeh75HX6TIRs/edit#gid=1031176712"",""2025-26!ai4"")"),1631175.4)</f>
        <v>1631175.4</v>
      </c>
      <c r="BW93" s="55">
        <f>IFERROR(__xludf.DUMMYFUNCTION("importrange(""https://docs.google.com/spreadsheets/d/1AEqUI2za5g6wYjXj1or87EmS_1Xr5zeTeh75HX6TIRs/edit#gid=1031176712"",""2025-26!ai3"")"),29.0)</f>
        <v>29</v>
      </c>
      <c r="BX93" s="59">
        <f t="shared" si="26"/>
        <v>0.5991051772</v>
      </c>
      <c r="BY93" s="55">
        <f>IFERROR(__xludf.DUMMYFUNCTION("importrange(""https://docs.google.com/spreadsheets/d/1AEqUI2za5g6wYjXj1or87EmS_1Xr5zeTeh75HX6TIRs/edit#gid=1031176712"",""2025-26!aj4"")"),1351099.0)</f>
        <v>1351099</v>
      </c>
      <c r="BZ93" s="55">
        <f>IFERROR(__xludf.DUMMYFUNCTION("importrange(""https://docs.google.com/spreadsheets/d/1AEqUI2za5g6wYjXj1or87EmS_1Xr5zeTeh75HX6TIRs/edit#gid=1031176712"",""2025-26!aj3"")"),28.0)</f>
        <v>28</v>
      </c>
      <c r="CA93" s="55">
        <f>IFERROR(__xludf.DUMMYFUNCTION("importrange(""https://docs.google.com/spreadsheets/d/1AEqUI2za5g6wYjXj1or87EmS_1Xr5zeTeh75HX6TIRs/edit#gid=1031176712"",""2025-26!ak4"")"),2244195.0)</f>
        <v>2244195</v>
      </c>
      <c r="CB93" s="55">
        <f>IFERROR(__xludf.DUMMYFUNCTION("importrange(""https://docs.google.com/spreadsheets/d/1AEqUI2za5g6wYjXj1or87EmS_1Xr5zeTeh75HX6TIRs/edit#gid=1031176712"",""2025-26!ak3"")"),53.0)</f>
        <v>53</v>
      </c>
      <c r="CC93" s="55">
        <f>IFERROR(__xludf.DUMMYFUNCTION("importrange(""https://docs.google.com/spreadsheets/d/1AEqUI2za5g6wYjXj1or87EmS_1Xr5zeTeh75HX6TIRs/edit#gid=1031176712"",""2025-26!al4"")"),1679018.4100000001)</f>
        <v>1679018.41</v>
      </c>
      <c r="CD93" s="55">
        <f>IFERROR(__xludf.DUMMYFUNCTION("importrange(""https://docs.google.com/spreadsheets/d/1AEqUI2za5g6wYjXj1or87EmS_1Xr5zeTeh75HX6TIRs/edit#gid=1031176712"",""2025-26!ai3"")"),29.0)</f>
        <v>29</v>
      </c>
      <c r="CE93" s="59">
        <f t="shared" si="27"/>
        <v>0.5932804413</v>
      </c>
      <c r="CF93" s="55">
        <f>IFERROR(__xludf.DUMMYFUNCTION("importrange(""https://docs.google.com/spreadsheets/d/1AEqUI2za5g6wYjXj1or87EmS_1Xr5zeTeh75HX6TIRs/edit#gid=1031176712"",""2025-26!am4"")"),1331437.0)</f>
        <v>1331437</v>
      </c>
      <c r="CG93" s="55">
        <f>IFERROR(__xludf.DUMMYFUNCTION("importrange(""https://docs.google.com/spreadsheets/d/1AEqUI2za5g6wYjXj1or87EmS_1Xr5zeTeh75HX6TIRs/edit#gid=1031176712"",""2025-26!am3"")"),25.0)</f>
        <v>25</v>
      </c>
      <c r="CH93" s="55">
        <f>IFERROR(__xludf.DUMMYFUNCTION("importrange(""https://docs.google.com/spreadsheets/d/1AEqUI2za5g6wYjXj1or87EmS_1Xr5zeTeh75HX6TIRs/edit#gid=1031176712"",""2025-26!an4"")"),2234195.0)</f>
        <v>2234195</v>
      </c>
      <c r="CI93" s="55">
        <f>IFERROR(__xludf.DUMMYFUNCTION("importrange(""https://docs.google.com/spreadsheets/d/1AEqUI2za5g6wYjXj1or87EmS_1Xr5zeTeh75HX6TIRs/edit#gid=1031176712"",""2025-26!an3"")"),53.0)</f>
        <v>53</v>
      </c>
      <c r="CJ93" s="55">
        <f>IFERROR(__xludf.DUMMYFUNCTION("importrange(""https://docs.google.com/spreadsheets/d/1AEqUI2za5g6wYjXj1or87EmS_1Xr5zeTeh75HX6TIRs/edit#gid=1031176712"",""2025-26!ao4"")"),1524628.5800000003)</f>
        <v>1524628.58</v>
      </c>
      <c r="CK93" s="55">
        <f>IFERROR(__xludf.DUMMYFUNCTION("importrange(""https://docs.google.com/spreadsheets/d/1AEqUI2za5g6wYjXj1or87EmS_1Xr5zeTeh75HX6TIRs/edit#gid=1031176712"",""2025-26!ao3"")"),28.0)</f>
        <v>28</v>
      </c>
      <c r="CL93" s="59">
        <f t="shared" si="28"/>
        <v>0.669627763</v>
      </c>
      <c r="CM93" s="55">
        <f>IFERROR(__xludf.DUMMYFUNCTION("importrange(""https://docs.google.com/spreadsheets/d/1AEqUI2za5g6wYjXj1or87EmS_1Xr5zeTeh75HX6TIRs/edit#gid=1031176712"",""2025-26!ap4"")"),1496079.0)</f>
        <v>1496079</v>
      </c>
      <c r="CN93" s="55">
        <f>IFERROR(__xludf.DUMMYFUNCTION("importrange(""https://docs.google.com/spreadsheets/d/1AEqUI2za5g6wYjXj1or87EmS_1Xr5zeTeh75HX6TIRs/edit#gid=1031176712"",""2025-26!ap3"")"),27.0)</f>
        <v>27</v>
      </c>
      <c r="CO93" s="55">
        <f>IFERROR(__xludf.DUMMYFUNCTION("importrange(""https://docs.google.com/spreadsheets/d/1AEqUI2za5g6wYjXj1or87EmS_1Xr5zeTeh75HX6TIRs/edit#gid=1031176712"",""2025-26!aq4"")"),2359195.0)</f>
        <v>2359195</v>
      </c>
      <c r="CP93" s="55">
        <f>IFERROR(__xludf.DUMMYFUNCTION("importrange(""https://docs.google.com/spreadsheets/d/1AEqUI2za5g6wYjXj1or87EmS_1Xr5zeTeh75HX6TIRs/edit#gid=1031176712"",""2025-26!aq3"")"),53.0)</f>
        <v>53</v>
      </c>
      <c r="CQ93" s="55">
        <f>IFERROR(__xludf.DUMMYFUNCTION("importrange(""https://docs.google.com/spreadsheets/d/1AEqUI2za5g6wYjXj1or87EmS_1Xr5zeTeh75HX6TIRs/edit#gid=1031176712"",""2025-26!ar4"")"),2059885.9799999997)</f>
        <v>2059885.98</v>
      </c>
      <c r="CR93" s="55">
        <f>IFERROR(__xludf.DUMMYFUNCTION("importrange(""https://docs.google.com/spreadsheets/d/1AEqUI2za5g6wYjXj1or87EmS_1Xr5zeTeh75HX6TIRs/edit#gid=1031176712"",""2025-26!ar3"")"),37.0)</f>
        <v>37</v>
      </c>
      <c r="CS93" s="59">
        <f t="shared" si="29"/>
        <v>0.7302406117</v>
      </c>
      <c r="CT93" s="55">
        <f>IFERROR(__xludf.DUMMYFUNCTION("importrange(""https://docs.google.com/spreadsheets/d/1AEqUI2za5g6wYjXj1or87EmS_1Xr5zeTeh75HX6TIRs/edit#gid=1031176712"",""2025-26!as4"")"),1722780.0)</f>
        <v>1722780</v>
      </c>
      <c r="CU93" s="55">
        <f>IFERROR(__xludf.DUMMYFUNCTION("importrange(""https://docs.google.com/spreadsheets/d/1AEqUI2za5g6wYjXj1or87EmS_1Xr5zeTeh75HX6TIRs/edit#gid=1031176712"",""2025-26!as3"")"),36.0)</f>
        <v>36</v>
      </c>
      <c r="CV93" s="60" t="s">
        <v>196</v>
      </c>
    </row>
    <row r="94">
      <c r="A94" s="1" t="s">
        <v>185</v>
      </c>
      <c r="B94" s="37"/>
      <c r="C94" s="64" t="s">
        <v>210</v>
      </c>
      <c r="D94" s="50" t="s">
        <v>211</v>
      </c>
      <c r="E94" s="50">
        <v>7.54922226E9</v>
      </c>
      <c r="F94" s="74">
        <v>44166.0</v>
      </c>
      <c r="G94" s="62"/>
      <c r="H94" s="62"/>
      <c r="I94" s="53">
        <v>28335.0</v>
      </c>
      <c r="J94" s="54">
        <v>6250000.0</v>
      </c>
      <c r="K94" s="57">
        <f>IFERROR(__xludf.DUMMYFUNCTION("IMPORTRANGE(""https://docs.google.com/spreadsheets/d/1S4W1SsvjFN8z0hdXAYztswIPFnmI5owY4xgKT81w7ZE/edit#gid=546697419"",""2025-26!A3"")"),107.0)</f>
        <v>107</v>
      </c>
      <c r="L94" s="57">
        <f>IFERROR(__xludf.DUMMYFUNCTION("IMPORTRANGE(""https://docs.google.com/spreadsheets/d/1S4W1SsvjFN8z0hdXAYztswIPFnmI5owY4xgKT81w7ZE/edit#gid=546697419"",""2025-26!G4"")"),4.795E7)</f>
        <v>47950000</v>
      </c>
      <c r="M94" s="57">
        <f t="shared" si="50"/>
        <v>64945602.42</v>
      </c>
      <c r="N94" s="56">
        <f t="shared" si="51"/>
        <v>1.472423274</v>
      </c>
      <c r="O94" s="57">
        <f t="shared" si="52"/>
        <v>70602696</v>
      </c>
      <c r="P94" s="55">
        <f>IFERROR(__xludf.DUMMYFUNCTION("IMPORTRANGE(""https://docs.google.com/spreadsheets/d/1S4W1SsvjFN8z0hdXAYztswIPFnmI5owY4xgKT81w7ZE/edit#gid=546697419"",""2025-26!J4"")"),2025000.0)</f>
        <v>2025000</v>
      </c>
      <c r="Q94" s="55">
        <f>IFERROR(__xludf.DUMMYFUNCTION("IMPORTRANGE(""https://docs.google.com/spreadsheets/d/1S4W1SsvjFN8z0hdXAYztswIPFnmI5owY4xgKT81w7ZE/edit#gid=546697419"",""2025-26!J3"")"),23.0)</f>
        <v>23</v>
      </c>
      <c r="R94" s="55">
        <f>IFERROR(__xludf.DUMMYFUNCTION("IMPORTRANGE(""https://docs.google.com/spreadsheets/d/1S4W1SsvjFN8z0hdXAYztswIPFnmI5owY4xgKT81w7ZE/edit#gid=546697419"",""2025-26!K4"")"),3746538.7399999998)</f>
        <v>3746538.74</v>
      </c>
      <c r="S94" s="55">
        <f>IFERROR(__xludf.DUMMYFUNCTION("IMPORTRANGE(""https://docs.google.com/spreadsheets/d/1S4W1SsvjFN8z0hdXAYztswIPFnmI5owY4xgKT81w7ZE/edit#gid=546697419"",""2025-26!K3"")"),37.0)</f>
        <v>37</v>
      </c>
      <c r="T94" s="58">
        <f t="shared" si="18"/>
        <v>1.753427654</v>
      </c>
      <c r="U94" s="55">
        <f>IFERROR(__xludf.DUMMYFUNCTION("IMPORTRANGE(""https://docs.google.com/spreadsheets/d/1S4W1SsvjFN8z0hdXAYztswIPFnmI5owY4xgKT81w7ZE/edit#gid=546697419"",""2025-26!L4"")"),3550691.0)</f>
        <v>3550691</v>
      </c>
      <c r="V94" s="79">
        <f>IFERROR(__xludf.DUMMYFUNCTION("IMPORTRANGE(""https://docs.google.com/spreadsheets/d/1S4W1SsvjFN8z0hdXAYztswIPFnmI5owY4xgKT81w7ZE/edit#gid=546697419"",""2025-26!L3"")"),42.0)</f>
        <v>42</v>
      </c>
      <c r="W94" s="55">
        <f>IFERROR(__xludf.DUMMYFUNCTION("IMPORTRANGE(""https://docs.google.com/spreadsheets/d/1S4W1SsvjFN8z0hdXAYztswIPFnmI5owY4xgKT81w7ZE/edit#gid=546697419"",""2025-26!M4"")"),2495000.0)</f>
        <v>2495000</v>
      </c>
      <c r="X94" s="79">
        <f>IFERROR(__xludf.DUMMYFUNCTION("IMPORTRANGE(""https://docs.google.com/spreadsheets/d/1S4W1SsvjFN8z0hdXAYztswIPFnmI5owY4xgKT81w7ZE/edit#gid=546697419"",""2025-26!M3"")"),29.0)</f>
        <v>29</v>
      </c>
      <c r="Y94" s="55">
        <f>IFERROR(__xludf.DUMMYFUNCTION("importrange(""https://docs.google.com/spreadsheets/d/1S4W1SsvjFN8z0hdXAYztswIPFnmI5owY4xgKT81w7ZE/edit#gid=546697419"",""2025-26!n4"")"),3972782.64)</f>
        <v>3972782.64</v>
      </c>
      <c r="Z94" s="55">
        <f>IFERROR(__xludf.DUMMYFUNCTION("importrange(""https://docs.google.com/spreadsheets/d/1S4W1SsvjFN8z0hdXAYztswIPFnmI5owY4xgKT81w7ZE/edit#gid=546697419"",""2025-26!n3"")"),33.0)</f>
        <v>33</v>
      </c>
      <c r="AA94" s="58">
        <f t="shared" si="19"/>
        <v>1.881957114</v>
      </c>
      <c r="AB94" s="55">
        <f>IFERROR(__xludf.DUMMYFUNCTION("importrange(""https://docs.google.com/spreadsheets/d/1S4W1SsvjFN8z0hdXAYztswIPFnmI5owY4xgKT81w7ZE/edit#gid=546697419"",""2025-26!o4"")"),4695483.0)</f>
        <v>4695483</v>
      </c>
      <c r="AC94" s="55">
        <f>IFERROR(__xludf.DUMMYFUNCTION("importrange(""https://docs.google.com/spreadsheets/d/1S4W1SsvjFN8z0hdXAYztswIPFnmI5owY4xgKT81w7ZE/edit#gid=546697419"",""2025-26!o3"")"),41.0)</f>
        <v>41</v>
      </c>
      <c r="AD94" s="55">
        <f>IFERROR(__xludf.DUMMYFUNCTION("importrange(""https://docs.google.com/spreadsheets/d/1S4W1SsvjFN8z0hdXAYztswIPFnmI5owY4xgKT81w7ZE/edit#gid=546697419"",""2025-26!p4"")"),4175000.0)</f>
        <v>4175000</v>
      </c>
      <c r="AE94" s="55">
        <f>IFERROR(__xludf.DUMMYFUNCTION("importrange(""https://docs.google.com/spreadsheets/d/1S4W1SsvjFN8z0hdXAYztswIPFnmI5owY4xgKT81w7ZE/edit#gid=546697419"",""2025-26!p3"")"),42.0)</f>
        <v>42</v>
      </c>
      <c r="AF94" s="55">
        <f>IFERROR(__xludf.DUMMYFUNCTION("importrange(""https://docs.google.com/spreadsheets/d/1S4W1SsvjFN8z0hdXAYztswIPFnmI5owY4xgKT81w7ZE/edit#gid=546697419"",""2025-26!q4"")"),4043699.7199999997)</f>
        <v>4043699.72</v>
      </c>
      <c r="AG94" s="55">
        <f>IFERROR(__xludf.DUMMYFUNCTION("importrange(""https://docs.google.com/spreadsheets/d/1S4W1SsvjFN8z0hdXAYztswIPFnmI5owY4xgKT81w7ZE/edit#gid=546697419"",""2025-26!q3"")"),37.0)</f>
        <v>37</v>
      </c>
      <c r="AH94" s="58">
        <f t="shared" si="20"/>
        <v>1.369256048</v>
      </c>
      <c r="AI94" s="55">
        <f>IFERROR(__xludf.DUMMYFUNCTION("importrange(""https://docs.google.com/spreadsheets/d/1S4W1SsvjFN8z0hdXAYztswIPFnmI5owY4xgKT81w7ZE/edit#gid=546697419"",""2025-26!r4"")"),5716644.0)</f>
        <v>5716644</v>
      </c>
      <c r="AJ94" s="55">
        <f>IFERROR(__xludf.DUMMYFUNCTION("importrange(""https://docs.google.com/spreadsheets/d/1S4W1SsvjFN8z0hdXAYztswIPFnmI5owY4xgKT81w7ZE/edit#gid=546697419"",""2025-26!r3"")"),46.0)</f>
        <v>46</v>
      </c>
      <c r="AK94" s="55">
        <f>IFERROR(__xludf.DUMMYFUNCTION("importrange(""https://docs.google.com/spreadsheets/d/1S4W1SsvjFN8z0hdXAYztswIPFnmI5owY4xgKT81w7ZE/edit#gid=546697419"",""2025-26!s4"")"),2935000.0)</f>
        <v>2935000</v>
      </c>
      <c r="AL94" s="55">
        <f>IFERROR(__xludf.DUMMYFUNCTION("importrange(""https://docs.google.com/spreadsheets/d/1S4W1SsvjFN8z0hdXAYztswIPFnmI5owY4xgKT81w7ZE/edit#gid=546697419"",""2025-26!s3"")"),34.0)</f>
        <v>34</v>
      </c>
      <c r="AM94" s="57">
        <f>IFERROR(__xludf.DUMMYFUNCTION("importrange(""https://docs.google.com/spreadsheets/d/1S4W1SsvjFN8z0hdXAYztswIPFnmI5owY4xgKT81w7ZE/edit#gid=546697419"",""2025-26!t4"")"),5681439.510000002)</f>
        <v>5681439.51</v>
      </c>
      <c r="AN94" s="55">
        <f>IFERROR(__xludf.DUMMYFUNCTION("importrange(""https://docs.google.com/spreadsheets/d/1S4W1SsvjFN8z0hdXAYztswIPFnmI5owY4xgKT81w7ZE/edit#gid=546697419"",""2025-26!t3"")"),39.0)</f>
        <v>39</v>
      </c>
      <c r="AO94" s="58">
        <f t="shared" si="21"/>
        <v>2.204847359</v>
      </c>
      <c r="AP94" s="55">
        <f>IFERROR(__xludf.DUMMYFUNCTION("importrange(""https://docs.google.com/spreadsheets/d/1S4W1SsvjFN8z0hdXAYztswIPFnmI5owY4xgKT81w7ZE/edit#gid=546697419"",""2025-26!u4"")"),6471227.0)</f>
        <v>6471227</v>
      </c>
      <c r="AQ94" s="55">
        <f>IFERROR(__xludf.DUMMYFUNCTION("importrange(""https://docs.google.com/spreadsheets/d/1S4W1SsvjFN8z0hdXAYztswIPFnmI5owY4xgKT81w7ZE/edit#gid=546697419"",""2025-26!u3"")"),45.0)</f>
        <v>45</v>
      </c>
      <c r="AR94" s="55">
        <f>IFERROR(__xludf.DUMMYFUNCTION("importrange(""https://docs.google.com/spreadsheets/d/1S4W1SsvjFN8z0hdXAYztswIPFnmI5owY4xgKT81w7ZE/edit#gid=546697419"",""2025-26!v4"")"),4135000.0)</f>
        <v>4135000</v>
      </c>
      <c r="AS94" s="55">
        <f>IFERROR(__xludf.DUMMYFUNCTION("importrange(""https://docs.google.com/spreadsheets/d/1S4W1SsvjFN8z0hdXAYztswIPFnmI5owY4xgKT81w7ZE/edit#gid=546697419"",""2025-26!v3"")"),49.0)</f>
        <v>49</v>
      </c>
      <c r="AT94" s="57">
        <f>IFERROR(__xludf.DUMMYFUNCTION("importrange(""https://docs.google.com/spreadsheets/d/1S4W1SsvjFN8z0hdXAYztswIPFnmI5owY4xgKT81w7ZE/edit#gid=546697419"",""2025-26!w4"")"),3455721.49)</f>
        <v>3455721.49</v>
      </c>
      <c r="AU94" s="55">
        <f>IFERROR(__xludf.DUMMYFUNCTION("importrange(""https://docs.google.com/spreadsheets/d/1S4W1SsvjFN8z0hdXAYztswIPFnmI5owY4xgKT81w7ZE/edit#gid=546697419"",""2025-26!w3"")"),37.0)</f>
        <v>37</v>
      </c>
      <c r="AV94" s="58">
        <f t="shared" si="22"/>
        <v>0.9536244256</v>
      </c>
      <c r="AW94" s="55">
        <f>IFERROR(__xludf.DUMMYFUNCTION("importrange(""https://docs.google.com/spreadsheets/d/1S4W1SsvjFN8z0hdXAYztswIPFnmI5owY4xgKT81w7ZE/edit#gid=546697419"",""2025-26!x4"")"),3943237.0)</f>
        <v>3943237</v>
      </c>
      <c r="AX94" s="55">
        <f>IFERROR(__xludf.DUMMYFUNCTION("importrange(""https://docs.google.com/spreadsheets/d/1S4W1SsvjFN8z0hdXAYztswIPFnmI5owY4xgKT81w7ZE/edit#gid=546697419"",""2025-26!x3"")"),44.0)</f>
        <v>44</v>
      </c>
      <c r="AY94" s="55">
        <f>IFERROR(__xludf.DUMMYFUNCTION("importrange(""https://docs.google.com/spreadsheets/d/1S4W1SsvjFN8z0hdXAYztswIPFnmI5owY4xgKT81w7ZE/edit#gid=546697419"",""2025-26!y4"")"),3385000.0)</f>
        <v>3385000</v>
      </c>
      <c r="AZ94" s="55">
        <f>IFERROR(__xludf.DUMMYFUNCTION("importrange(""https://docs.google.com/spreadsheets/d/1S4W1SsvjFN8z0hdXAYztswIPFnmI5owY4xgKT81w7ZE/edit#gid=546697419"",""2025-26!y3"")"),36.0)</f>
        <v>36</v>
      </c>
      <c r="BA94" s="57">
        <f>IFERROR(__xludf.DUMMYFUNCTION("importrange(""https://docs.google.com/spreadsheets/d/1S4W1SsvjFN8z0hdXAYztswIPFnmI5owY4xgKT81w7ZE/edit#gid=546697419"",""2025-26!z4"")"),5041543.94)</f>
        <v>5041543.94</v>
      </c>
      <c r="BB94" s="55">
        <f>IFERROR(__xludf.DUMMYFUNCTION("importrange(""https://docs.google.com/spreadsheets/d/1S4W1SsvjFN8z0hdXAYztswIPFnmI5owY4xgKT81w7ZE/edit#gid=546697419"",""2025-26!z3"")"),41.0)</f>
        <v>41</v>
      </c>
      <c r="BC94" s="59">
        <f t="shared" si="23"/>
        <v>1.603333826</v>
      </c>
      <c r="BD94" s="55">
        <f>IFERROR(__xludf.DUMMYFUNCTION("importrange(""https://docs.google.com/spreadsheets/d/1S4W1SsvjFN8z0hdXAYztswIPFnmI5owY4xgKT81w7ZE/edit#gid=546697419"",""2025-26!aa4"")"),5427285.0)</f>
        <v>5427285</v>
      </c>
      <c r="BE94" s="55">
        <f>IFERROR(__xludf.DUMMYFUNCTION("importrange(""https://docs.google.com/spreadsheets/d/1S4W1SsvjFN8z0hdXAYztswIPFnmI5owY4xgKT81w7ZE/edit#gid=546697419"",""2025-26!aa3"")"),48.0)</f>
        <v>48</v>
      </c>
      <c r="BF94" s="55">
        <f>IFERROR(__xludf.DUMMYFUNCTION("importrange(""https://docs.google.com/spreadsheets/d/1S4W1SsvjFN8z0hdXAYztswIPFnmI5owY4xgKT81w7ZE/edit#gid=546697419"",""2025-26!ab4"")"),4655000.0)</f>
        <v>4655000</v>
      </c>
      <c r="BG94" s="55">
        <f>IFERROR(__xludf.DUMMYFUNCTION("importrange(""https://docs.google.com/spreadsheets/d/1S4W1SsvjFN8z0hdXAYztswIPFnmI5owY4xgKT81w7ZE/edit#gid=546697419"",""2025-26!ab3"")"),48.0)</f>
        <v>48</v>
      </c>
      <c r="BH94" s="55">
        <f>IFERROR(__xludf.DUMMYFUNCTION("importrange(""https://docs.google.com/spreadsheets/d/1S4W1SsvjFN8z0hdXAYztswIPFnmI5owY4xgKT81w7ZE/edit#gid=546697419"",""2025-26!ac4"")"),5129613.83)</f>
        <v>5129613.83</v>
      </c>
      <c r="BI94" s="55">
        <f>IFERROR(__xludf.DUMMYFUNCTION("importrange(""https://docs.google.com/spreadsheets/d/1S4W1SsvjFN8z0hdXAYztswIPFnmI5owY4xgKT81w7ZE/edit#gid=546697419"",""2025-26!ac3"")"),36.0)</f>
        <v>36</v>
      </c>
      <c r="BJ94" s="59">
        <f t="shared" si="24"/>
        <v>1.110769066</v>
      </c>
      <c r="BK94" s="55">
        <f>IFERROR(__xludf.DUMMYFUNCTION("importrange(""https://docs.google.com/spreadsheets/d/1S4W1SsvjFN8z0hdXAYztswIPFnmI5owY4xgKT81w7ZE/edit#gid=546697419"",""2025-26!ad4"")"),5170630.0)</f>
        <v>5170630</v>
      </c>
      <c r="BL94" s="55">
        <f>IFERROR(__xludf.DUMMYFUNCTION("importrange(""https://docs.google.com/spreadsheets/d/1S4W1SsvjFN8z0hdXAYztswIPFnmI5owY4xgKT81w7ZE/edit#gid=546697419"",""2025-26!ad3"")"),47.0)</f>
        <v>47</v>
      </c>
      <c r="BM94" s="55">
        <f>IFERROR(__xludf.DUMMYFUNCTION("importrange(""https://docs.google.com/spreadsheets/d/1S4W1SsvjFN8z0hdXAYztswIPFnmI5owY4xgKT81w7ZE/edit#gid=546697419"",""2025-26!ae4"")"),4535000.0)</f>
        <v>4535000</v>
      </c>
      <c r="BN94" s="55">
        <f>IFERROR(__xludf.DUMMYFUNCTION("importrange(""https://docs.google.com/spreadsheets/d/1S4W1SsvjFN8z0hdXAYztswIPFnmI5owY4xgKT81w7ZE/edit#gid=546697419"",""2025-26!ae3"")"),50.0)</f>
        <v>50</v>
      </c>
      <c r="BO94" s="55">
        <f>IFERROR(__xludf.DUMMYFUNCTION("importrange(""https://docs.google.com/spreadsheets/d/1S4W1SsvjFN8z0hdXAYztswIPFnmI5owY4xgKT81w7ZE/edit#gid=546697419"",""2025-26!af4"")"),3463599.98)</f>
        <v>3463599.98</v>
      </c>
      <c r="BP94" s="55">
        <f>IFERROR(__xludf.DUMMYFUNCTION("importrange(""https://docs.google.com/spreadsheets/d/1S4W1SsvjFN8z0hdXAYztswIPFnmI5owY4xgKT81w7ZE/edit#gid=546697419"",""2025-26!af3"")"),35.0)</f>
        <v>35</v>
      </c>
      <c r="BQ94" s="59">
        <f t="shared" si="25"/>
        <v>0.9124979052</v>
      </c>
      <c r="BR94" s="55">
        <f>IFERROR(__xludf.DUMMYFUNCTION("importrange(""https://docs.google.com/spreadsheets/d/1S4W1SsvjFN8z0hdXAYztswIPFnmI5owY4xgKT81w7ZE/edit#gid=546697419"",""2025-26!ag4"")"),4138178.0)</f>
        <v>4138178</v>
      </c>
      <c r="BS94" s="55">
        <f>IFERROR(__xludf.DUMMYFUNCTION("importrange(""https://docs.google.com/spreadsheets/d/1S4W1SsvjFN8z0hdXAYztswIPFnmI5owY4xgKT81w7ZE/edit#gid=546697419"",""2025-26!ag3"")"),44.0)</f>
        <v>44</v>
      </c>
      <c r="BT94" s="55">
        <f>IFERROR(__xludf.DUMMYFUNCTION("importrange(""https://docs.google.com/spreadsheets/d/1S4W1SsvjFN8z0hdXAYztswIPFnmI5owY4xgKT81w7ZE/edit#gid=546697419"",""2025-26!ah4"")"),3770000.0)</f>
        <v>3770000</v>
      </c>
      <c r="BU94" s="55">
        <f>IFERROR(__xludf.DUMMYFUNCTION("importrange(""https://docs.google.com/spreadsheets/d/1S4W1SsvjFN8z0hdXAYztswIPFnmI5owY4xgKT81w7ZE/edit#gid=546697419"",""2025-26!ah3"")"),44.0)</f>
        <v>44</v>
      </c>
      <c r="BV94" s="55">
        <f>IFERROR(__xludf.DUMMYFUNCTION("importrange(""https://docs.google.com/spreadsheets/d/1S4W1SsvjFN8z0hdXAYztswIPFnmI5owY4xgKT81w7ZE/edit#gid=546697419"",""2025-26!ai4"")"),8215613.750000001)</f>
        <v>8215613.75</v>
      </c>
      <c r="BW94" s="55">
        <f>IFERROR(__xludf.DUMMYFUNCTION("importrange(""https://docs.google.com/spreadsheets/d/1S4W1SsvjFN8z0hdXAYztswIPFnmI5owY4xgKT81w7ZE/edit#gid=546697419"",""2025-26!ai3"")"),41.0)</f>
        <v>41</v>
      </c>
      <c r="BX94" s="59">
        <f t="shared" si="26"/>
        <v>2.390906897</v>
      </c>
      <c r="BY94" s="55">
        <f>IFERROR(__xludf.DUMMYFUNCTION("importrange(""https://docs.google.com/spreadsheets/d/1S4W1SsvjFN8z0hdXAYztswIPFnmI5owY4xgKT81w7ZE/edit#gid=546697419"",""2025-26!aj4"")"),9013719.0)</f>
        <v>9013719</v>
      </c>
      <c r="BZ94" s="55">
        <f>IFERROR(__xludf.DUMMYFUNCTION("importrange(""https://docs.google.com/spreadsheets/d/1S4W1SsvjFN8z0hdXAYztswIPFnmI5owY4xgKT81w7ZE/edit#gid=546697419"",""2025-26!aj3"")"),52.0)</f>
        <v>52</v>
      </c>
      <c r="CA94" s="55">
        <f>IFERROR(__xludf.DUMMYFUNCTION("importrange(""https://docs.google.com/spreadsheets/d/1S4W1SsvjFN8z0hdXAYztswIPFnmI5owY4xgKT81w7ZE/edit#gid=546697419"",""2025-26!ak4"")"),4405000.0)</f>
        <v>4405000</v>
      </c>
      <c r="CB94" s="55">
        <f>IFERROR(__xludf.DUMMYFUNCTION("importrange(""https://docs.google.com/spreadsheets/d/1S4W1SsvjFN8z0hdXAYztswIPFnmI5owY4xgKT81w7ZE/edit#gid=546697419"",""2025-26!ak3"")"),48.0)</f>
        <v>48</v>
      </c>
      <c r="CC94" s="55">
        <f>IFERROR(__xludf.DUMMYFUNCTION("importrange(""https://docs.google.com/spreadsheets/d/1S4W1SsvjFN8z0hdXAYztswIPFnmI5owY4xgKT81w7ZE/edit#gid=546697419"",""2025-26!al4"")"),5631483.720000001)</f>
        <v>5631483.72</v>
      </c>
      <c r="CD94" s="55">
        <f>IFERROR(__xludf.DUMMYFUNCTION("importrange(""https://docs.google.com/spreadsheets/d/1S4W1SsvjFN8z0hdXAYztswIPFnmI5owY4xgKT81w7ZE/edit#gid=546697419"",""2025-26!ai3"")"),41.0)</f>
        <v>41</v>
      </c>
      <c r="CE94" s="59">
        <f t="shared" si="27"/>
        <v>1.344502611</v>
      </c>
      <c r="CF94" s="55">
        <f>IFERROR(__xludf.DUMMYFUNCTION("importrange(""https://docs.google.com/spreadsheets/d/1S4W1SsvjFN8z0hdXAYztswIPFnmI5owY4xgKT81w7ZE/edit#gid=546697419"",""2025-26!am4"")"),5922534.0)</f>
        <v>5922534</v>
      </c>
      <c r="CG94" s="55">
        <f>IFERROR(__xludf.DUMMYFUNCTION("importrange(""https://docs.google.com/spreadsheets/d/1S4W1SsvjFN8z0hdXAYztswIPFnmI5owY4xgKT81w7ZE/edit#gid=546697419"",""2025-26!am3"")"),46.0)</f>
        <v>46</v>
      </c>
      <c r="CH94" s="55">
        <f>IFERROR(__xludf.DUMMYFUNCTION("importrange(""https://docs.google.com/spreadsheets/d/1S4W1SsvjFN8z0hdXAYztswIPFnmI5owY4xgKT81w7ZE/edit#gid=546697419"",""2025-26!an4"")"),3855000.0)</f>
        <v>3855000</v>
      </c>
      <c r="CI94" s="55">
        <f>IFERROR(__xludf.DUMMYFUNCTION("importrange(""https://docs.google.com/spreadsheets/d/1S4W1SsvjFN8z0hdXAYztswIPFnmI5owY4xgKT81w7ZE/edit#gid=546697419"",""2025-26!an3"")"),46.0)</f>
        <v>46</v>
      </c>
      <c r="CJ94" s="55">
        <f>IFERROR(__xludf.DUMMYFUNCTION("importrange(""https://docs.google.com/spreadsheets/d/1S4W1SsvjFN8z0hdXAYztswIPFnmI5owY4xgKT81w7ZE/edit#gid=546697419"",""2025-26!ao4"")"),5200422.379999999)</f>
        <v>5200422.38</v>
      </c>
      <c r="CK94" s="55">
        <f>IFERROR(__xludf.DUMMYFUNCTION("importrange(""https://docs.google.com/spreadsheets/d/1S4W1SsvjFN8z0hdXAYztswIPFnmI5owY4xgKT81w7ZE/edit#gid=546697419"",""2025-26!ao3"")"),42.0)</f>
        <v>42</v>
      </c>
      <c r="CL94" s="59">
        <f t="shared" si="28"/>
        <v>1.48911725</v>
      </c>
      <c r="CM94" s="55">
        <f>IFERROR(__xludf.DUMMYFUNCTION("importrange(""https://docs.google.com/spreadsheets/d/1S4W1SsvjFN8z0hdXAYztswIPFnmI5owY4xgKT81w7ZE/edit#gid=546697419"",""2025-26!ap4"")"),5740547.0)</f>
        <v>5740547</v>
      </c>
      <c r="CN94" s="55">
        <f>IFERROR(__xludf.DUMMYFUNCTION("importrange(""https://docs.google.com/spreadsheets/d/1S4W1SsvjFN8z0hdXAYztswIPFnmI5owY4xgKT81w7ZE/edit#gid=546697419"",""2025-26!ap3"")"),55.0)</f>
        <v>55</v>
      </c>
      <c r="CO94" s="55">
        <f>IFERROR(__xludf.DUMMYFUNCTION("importrange(""https://docs.google.com/spreadsheets/d/1S4W1SsvjFN8z0hdXAYztswIPFnmI5owY4xgKT81w7ZE/edit#gid=546697419"",""2025-26!aq4"")"),6480000.0)</f>
        <v>6480000</v>
      </c>
      <c r="CP94" s="55">
        <f>IFERROR(__xludf.DUMMYFUNCTION("importrange(""https://docs.google.com/spreadsheets/d/1S4W1SsvjFN8z0hdXAYztswIPFnmI5owY4xgKT81w7ZE/edit#gid=546697419"",""2025-26!aq3"")"),67.0)</f>
        <v>67</v>
      </c>
      <c r="CQ94" s="55">
        <f>IFERROR(__xludf.DUMMYFUNCTION("importrange(""https://docs.google.com/spreadsheets/d/1S4W1SsvjFN8z0hdXAYztswIPFnmI5owY4xgKT81w7ZE/edit#gid=546697419"",""2025-26!ar4"")"),1.1363142720000003E7)</f>
        <v>11363142.72</v>
      </c>
      <c r="CR94" s="55">
        <f>IFERROR(__xludf.DUMMYFUNCTION("importrange(""https://docs.google.com/spreadsheets/d/1S4W1SsvjFN8z0hdXAYztswIPFnmI5owY4xgKT81w7ZE/edit#gid=546697419"",""2025-26!ar3"")"),44.0)</f>
        <v>44</v>
      </c>
      <c r="CS94" s="59">
        <f t="shared" si="29"/>
        <v>1.66859892</v>
      </c>
      <c r="CT94" s="55">
        <f>IFERROR(__xludf.DUMMYFUNCTION("importrange(""https://docs.google.com/spreadsheets/d/1S4W1SsvjFN8z0hdXAYztswIPFnmI5owY4xgKT81w7ZE/edit#gid=546697419"",""2025-26!as4"")"),1.0812521E7)</f>
        <v>10812521</v>
      </c>
      <c r="CU94" s="55">
        <f>IFERROR(__xludf.DUMMYFUNCTION("importrange(""https://docs.google.com/spreadsheets/d/1S4W1SsvjFN8z0hdXAYztswIPFnmI5owY4xgKT81w7ZE/edit#gid=546697419"",""2025-26!as3"")"),52.0)</f>
        <v>52</v>
      </c>
      <c r="CV94" s="60" t="s">
        <v>212</v>
      </c>
    </row>
    <row r="95">
      <c r="A95" s="1" t="s">
        <v>185</v>
      </c>
      <c r="B95" s="37"/>
      <c r="C95" s="64" t="s">
        <v>213</v>
      </c>
      <c r="D95" s="50" t="s">
        <v>214</v>
      </c>
      <c r="E95" s="50">
        <v>9.931193499E9</v>
      </c>
      <c r="F95" s="74">
        <v>44198.0</v>
      </c>
      <c r="G95" s="62"/>
      <c r="H95" s="62"/>
      <c r="I95" s="53">
        <v>37500.0</v>
      </c>
      <c r="J95" s="54">
        <v>3500000.0</v>
      </c>
      <c r="K95" s="57">
        <f>IFERROR(__xludf.DUMMYFUNCTION("IMPORTRANGE(""https://docs.google.com/spreadsheets/d/1XawI1eeAYzxXaEtROeQ7asG4RKU9dbiD2rtpUdvB76A/edit#gid=2026585000"",""2025-26!A3"")"),81.0)</f>
        <v>81</v>
      </c>
      <c r="L95" s="57">
        <f>IFERROR(__xludf.DUMMYFUNCTION("IMPORTRANGE(""https://docs.google.com/spreadsheets/d/1XawI1eeAYzxXaEtROeQ7asG4RKU9dbiD2rtpUdvB76A/edit#gid=2026585000"",""2025-26!G4"")"),3.999E7)</f>
        <v>39990000</v>
      </c>
      <c r="M95" s="57">
        <f t="shared" si="50"/>
        <v>17398691.02</v>
      </c>
      <c r="N95" s="56">
        <f t="shared" si="51"/>
        <v>0.7367657414</v>
      </c>
      <c r="O95" s="57">
        <f t="shared" si="52"/>
        <v>29463262</v>
      </c>
      <c r="P95" s="55">
        <f>IFERROR(__xludf.DUMMYFUNCTION("IMPORTRANGE(""https://docs.google.com/spreadsheets/d/1XawI1eeAYzxXaEtROeQ7asG4RKU9dbiD2rtpUdvB76A/edit#gid=2026585000"",""2025-26!J4"")"),3319983.0)</f>
        <v>3319983</v>
      </c>
      <c r="Q95" s="55">
        <f>IFERROR(__xludf.DUMMYFUNCTION("IMPORTRANGE(""https://docs.google.com/spreadsheets/d/1XawI1eeAYzxXaEtROeQ7asG4RKU9dbiD2rtpUdvB76A/edit#gid=2026585000"",""2025-26!J3"")"),54.0)</f>
        <v>54</v>
      </c>
      <c r="R95" s="55">
        <f>IFERROR(__xludf.DUMMYFUNCTION("IMPORTRANGE(""https://docs.google.com/spreadsheets/d/1XawI1eeAYzxXaEtROeQ7asG4RKU9dbiD2rtpUdvB76A/edit#gid=2026585000"",""2025-26!K4"")"),669430.87)</f>
        <v>669430.87</v>
      </c>
      <c r="S95" s="55">
        <f>IFERROR(__xludf.DUMMYFUNCTION("IMPORTRANGE(""https://docs.google.com/spreadsheets/d/1XawI1eeAYzxXaEtROeQ7asG4RKU9dbiD2rtpUdvB76A/edit#gid=2026585000"",""2025-26!K3"")"),17.0)</f>
        <v>17</v>
      </c>
      <c r="T95" s="58">
        <f t="shared" si="18"/>
        <v>0.3683952599</v>
      </c>
      <c r="U95" s="55">
        <f>IFERROR(__xludf.DUMMYFUNCTION("IMPORTRANGE(""https://docs.google.com/spreadsheets/d/1XawI1eeAYzxXaEtROeQ7asG4RKU9dbiD2rtpUdvB76A/edit#gid=2026585000"",""2025-26!L4"")"),1223066.0)</f>
        <v>1223066</v>
      </c>
      <c r="V95" s="79">
        <f>IFERROR(__xludf.DUMMYFUNCTION("IMPORTRANGE(""https://docs.google.com/spreadsheets/d/1XawI1eeAYzxXaEtROeQ7asG4RKU9dbiD2rtpUdvB76A/edit#gid=2026585000"",""2025-26!L3"")"),35.0)</f>
        <v>35</v>
      </c>
      <c r="W95" s="55">
        <f>IFERROR(__xludf.DUMMYFUNCTION("IMPORTRANGE(""https://docs.google.com/spreadsheets/d/1XawI1eeAYzxXaEtROeQ7asG4RKU9dbiD2rtpUdvB76A/edit#gid=2026585000"",""2025-26!M4"")"),3319983.0)</f>
        <v>3319983</v>
      </c>
      <c r="X95" s="79">
        <f>IFERROR(__xludf.DUMMYFUNCTION("IMPORTRANGE(""https://docs.google.com/spreadsheets/d/1XawI1eeAYzxXaEtROeQ7asG4RKU9dbiD2rtpUdvB76A/edit#gid=2026585000"",""2025-26!M3"")"),54.0)</f>
        <v>54</v>
      </c>
      <c r="Y95" s="55">
        <f>IFERROR(__xludf.DUMMYFUNCTION("importrange(""https://docs.google.com/spreadsheets/d/1XawI1eeAYzxXaEtROeQ7asG4RKU9dbiD2rtpUdvB76A/edit#gid=2026585000"",""2025-26!n4"")"),1988599.2000000002)</f>
        <v>1988599.2</v>
      </c>
      <c r="Z95" s="55">
        <f>IFERROR(__xludf.DUMMYFUNCTION("importrange(""https://docs.google.com/spreadsheets/d/1XawI1eeAYzxXaEtROeQ7asG4RKU9dbiD2rtpUdvB76A/edit#gid=2026585000"",""2025-26!n3"")"),20.0)</f>
        <v>20</v>
      </c>
      <c r="AA95" s="58">
        <f t="shared" si="19"/>
        <v>1.079141369</v>
      </c>
      <c r="AB95" s="55">
        <f>IFERROR(__xludf.DUMMYFUNCTION("importrange(""https://docs.google.com/spreadsheets/d/1XawI1eeAYzxXaEtROeQ7asG4RKU9dbiD2rtpUdvB76A/edit#gid=2026585000"",""2025-26!o4"")"),3582731.0)</f>
        <v>3582731</v>
      </c>
      <c r="AC95" s="55">
        <f>IFERROR(__xludf.DUMMYFUNCTION("importrange(""https://docs.google.com/spreadsheets/d/1XawI1eeAYzxXaEtROeQ7asG4RKU9dbiD2rtpUdvB76A/edit#gid=2026585000"",""2025-26!o3"")"),45.0)</f>
        <v>45</v>
      </c>
      <c r="AD95" s="55">
        <f>IFERROR(__xludf.DUMMYFUNCTION("importrange(""https://docs.google.com/spreadsheets/d/1XawI1eeAYzxXaEtROeQ7asG4RKU9dbiD2rtpUdvB76A/edit#gid=2026585000"",""2025-26!p4"")"),3313733.0)</f>
        <v>3313733</v>
      </c>
      <c r="AE95" s="55">
        <f>IFERROR(__xludf.DUMMYFUNCTION("importrange(""https://docs.google.com/spreadsheets/d/1XawI1eeAYzxXaEtROeQ7asG4RKU9dbiD2rtpUdvB76A/edit#gid=2026585000"",""2025-26!p3"")"),54.0)</f>
        <v>54</v>
      </c>
      <c r="AF95" s="55">
        <f>IFERROR(__xludf.DUMMYFUNCTION("importrange(""https://docs.google.com/spreadsheets/d/1XawI1eeAYzxXaEtROeQ7asG4RKU9dbiD2rtpUdvB76A/edit#gid=2026585000"",""2025-26!q4"")"),1220061.9699999997)</f>
        <v>1220061.97</v>
      </c>
      <c r="AG95" s="55">
        <f>IFERROR(__xludf.DUMMYFUNCTION("importrange(""https://docs.google.com/spreadsheets/d/1XawI1eeAYzxXaEtROeQ7asG4RKU9dbiD2rtpUdvB76A/edit#gid=2026585000"",""2025-26!q3"")"),18.0)</f>
        <v>18</v>
      </c>
      <c r="AH95" s="58">
        <f t="shared" si="20"/>
        <v>0.7874970615</v>
      </c>
      <c r="AI95" s="55">
        <f>IFERROR(__xludf.DUMMYFUNCTION("importrange(""https://docs.google.com/spreadsheets/d/1XawI1eeAYzxXaEtROeQ7asG4RKU9dbiD2rtpUdvB76A/edit#gid=2026585000"",""2025-26!r4"")"),2609555.0)</f>
        <v>2609555</v>
      </c>
      <c r="AJ95" s="55">
        <f>IFERROR(__xludf.DUMMYFUNCTION("importrange(""https://docs.google.com/spreadsheets/d/1XawI1eeAYzxXaEtROeQ7asG4RKU9dbiD2rtpUdvB76A/edit#gid=2026585000"",""2025-26!r3"")"),42.0)</f>
        <v>42</v>
      </c>
      <c r="AK95" s="55">
        <f>IFERROR(__xludf.DUMMYFUNCTION("importrange(""https://docs.google.com/spreadsheets/d/1XawI1eeAYzxXaEtROeQ7asG4RKU9dbiD2rtpUdvB76A/edit#gid=2026585000"",""2025-26!s4"")"),3319983.0)</f>
        <v>3319983</v>
      </c>
      <c r="AL95" s="55">
        <f>IFERROR(__xludf.DUMMYFUNCTION("importrange(""https://docs.google.com/spreadsheets/d/1XawI1eeAYzxXaEtROeQ7asG4RKU9dbiD2rtpUdvB76A/edit#gid=2026585000"",""2025-26!s3"")"),54.0)</f>
        <v>54</v>
      </c>
      <c r="AM95" s="57">
        <f>IFERROR(__xludf.DUMMYFUNCTION("importrange(""https://docs.google.com/spreadsheets/d/1XawI1eeAYzxXaEtROeQ7asG4RKU9dbiD2rtpUdvB76A/edit#gid=2026585000"",""2025-26!t4"")"),1375951.45)</f>
        <v>1375951.45</v>
      </c>
      <c r="AN95" s="55">
        <f>IFERROR(__xludf.DUMMYFUNCTION("importrange(""https://docs.google.com/spreadsheets/d/1XawI1eeAYzxXaEtROeQ7asG4RKU9dbiD2rtpUdvB76A/edit#gid=2026585000"",""2025-26!t3"")"),17.0)</f>
        <v>17</v>
      </c>
      <c r="AO95" s="58">
        <f t="shared" si="21"/>
        <v>0.5692125532</v>
      </c>
      <c r="AP95" s="55">
        <f>IFERROR(__xludf.DUMMYFUNCTION("importrange(""https://docs.google.com/spreadsheets/d/1XawI1eeAYzxXaEtROeQ7asG4RKU9dbiD2rtpUdvB76A/edit#gid=2026585000"",""2025-26!u4"")"),1889776.0)</f>
        <v>1889776</v>
      </c>
      <c r="AQ95" s="55">
        <f>IFERROR(__xludf.DUMMYFUNCTION("importrange(""https://docs.google.com/spreadsheets/d/1XawI1eeAYzxXaEtROeQ7asG4RKU9dbiD2rtpUdvB76A/edit#gid=2026585000"",""2025-26!u3"")"),32.0)</f>
        <v>32</v>
      </c>
      <c r="AR95" s="55">
        <f>IFERROR(__xludf.DUMMYFUNCTION("importrange(""https://docs.google.com/spreadsheets/d/1XawI1eeAYzxXaEtROeQ7asG4RKU9dbiD2rtpUdvB76A/edit#gid=2026585000"",""2025-26!v4"")"),3319983.0)</f>
        <v>3319983</v>
      </c>
      <c r="AS95" s="55">
        <f>IFERROR(__xludf.DUMMYFUNCTION("importrange(""https://docs.google.com/spreadsheets/d/1XawI1eeAYzxXaEtROeQ7asG4RKU9dbiD2rtpUdvB76A/edit#gid=2026585000"",""2025-26!v3"")"),54.0)</f>
        <v>54</v>
      </c>
      <c r="AT95" s="57">
        <f>IFERROR(__xludf.DUMMYFUNCTION("importrange(""https://docs.google.com/spreadsheets/d/1XawI1eeAYzxXaEtROeQ7asG4RKU9dbiD2rtpUdvB76A/edit#gid=2026585000"",""2025-26!w4"")"),1667336.0699999998)</f>
        <v>1667336.07</v>
      </c>
      <c r="AU95" s="55">
        <f>IFERROR(__xludf.DUMMYFUNCTION("importrange(""https://docs.google.com/spreadsheets/d/1XawI1eeAYzxXaEtROeQ7asG4RKU9dbiD2rtpUdvB76A/edit#gid=2026585000"",""2025-26!w3"")"),26.0)</f>
        <v>26</v>
      </c>
      <c r="AV95" s="58">
        <f t="shared" si="22"/>
        <v>0.5330970068</v>
      </c>
      <c r="AW95" s="55">
        <f>IFERROR(__xludf.DUMMYFUNCTION("importrange(""https://docs.google.com/spreadsheets/d/1XawI1eeAYzxXaEtROeQ7asG4RKU9dbiD2rtpUdvB76A/edit#gid=2026585000"",""2025-26!x4"")"),1769873.0)</f>
        <v>1769873</v>
      </c>
      <c r="AX95" s="55">
        <f>IFERROR(__xludf.DUMMYFUNCTION("importrange(""https://docs.google.com/spreadsheets/d/1XawI1eeAYzxXaEtROeQ7asG4RKU9dbiD2rtpUdvB76A/edit#gid=2026585000"",""2025-26!x3"")"),29.0)</f>
        <v>29</v>
      </c>
      <c r="AY95" s="55">
        <f>IFERROR(__xludf.DUMMYFUNCTION("importrange(""https://docs.google.com/spreadsheets/d/1XawI1eeAYzxXaEtROeQ7asG4RKU9dbiD2rtpUdvB76A/edit#gid=2026585000"",""2025-26!y4"")"),3319983.0)</f>
        <v>3319983</v>
      </c>
      <c r="AZ95" s="55">
        <f>IFERROR(__xludf.DUMMYFUNCTION("importrange(""https://docs.google.com/spreadsheets/d/1XawI1eeAYzxXaEtROeQ7asG4RKU9dbiD2rtpUdvB76A/edit#gid=2026585000"",""2025-26!y3"")"),54.0)</f>
        <v>54</v>
      </c>
      <c r="BA95" s="57">
        <f>IFERROR(__xludf.DUMMYFUNCTION("importrange(""https://docs.google.com/spreadsheets/d/1XawI1eeAYzxXaEtROeQ7asG4RKU9dbiD2rtpUdvB76A/edit#gid=2026585000"",""2025-26!z4"")"),1708081.46)</f>
        <v>1708081.46</v>
      </c>
      <c r="BB95" s="55">
        <f>IFERROR(__xludf.DUMMYFUNCTION("importrange(""https://docs.google.com/spreadsheets/d/1XawI1eeAYzxXaEtROeQ7asG4RKU9dbiD2rtpUdvB76A/edit#gid=2026585000"",""2025-26!z3"")"),24.0)</f>
        <v>24</v>
      </c>
      <c r="BC95" s="59">
        <f t="shared" si="23"/>
        <v>0.629410753</v>
      </c>
      <c r="BD95" s="55">
        <f>IFERROR(__xludf.DUMMYFUNCTION("importrange(""https://docs.google.com/spreadsheets/d/1XawI1eeAYzxXaEtROeQ7asG4RKU9dbiD2rtpUdvB76A/edit#gid=2026585000"",""2025-26!aa4"")"),2089633.0)</f>
        <v>2089633</v>
      </c>
      <c r="BE95" s="55">
        <f>IFERROR(__xludf.DUMMYFUNCTION("importrange(""https://docs.google.com/spreadsheets/d/1XawI1eeAYzxXaEtROeQ7asG4RKU9dbiD2rtpUdvB76A/edit#gid=2026585000"",""2025-26!aa3"")"),35.0)</f>
        <v>35</v>
      </c>
      <c r="BF95" s="55">
        <f>IFERROR(__xludf.DUMMYFUNCTION("importrange(""https://docs.google.com/spreadsheets/d/1XawI1eeAYzxXaEtROeQ7asG4RKU9dbiD2rtpUdvB76A/edit#gid=2026585000"",""2025-26!ab4"")"),3319983.0)</f>
        <v>3319983</v>
      </c>
      <c r="BG95" s="55">
        <f>IFERROR(__xludf.DUMMYFUNCTION("importrange(""https://docs.google.com/spreadsheets/d/1XawI1eeAYzxXaEtROeQ7asG4RKU9dbiD2rtpUdvB76A/edit#gid=2026585000"",""2025-26!ab3"")"),54.0)</f>
        <v>54</v>
      </c>
      <c r="BH95" s="55">
        <f>IFERROR(__xludf.DUMMYFUNCTION("importrange(""https://docs.google.com/spreadsheets/d/1XawI1eeAYzxXaEtROeQ7asG4RKU9dbiD2rtpUdvB76A/edit#gid=2026585000"",""2025-26!ac4"")"),1338574.27)</f>
        <v>1338574.27</v>
      </c>
      <c r="BI95" s="55">
        <f>IFERROR(__xludf.DUMMYFUNCTION("importrange(""https://docs.google.com/spreadsheets/d/1XawI1eeAYzxXaEtROeQ7asG4RKU9dbiD2rtpUdvB76A/edit#gid=2026585000"",""2025-26!ac3"")"),13.0)</f>
        <v>13</v>
      </c>
      <c r="BJ95" s="59">
        <f t="shared" si="24"/>
        <v>0.815951166</v>
      </c>
      <c r="BK95" s="55">
        <f>IFERROR(__xludf.DUMMYFUNCTION("importrange(""https://docs.google.com/spreadsheets/d/1XawI1eeAYzxXaEtROeQ7asG4RKU9dbiD2rtpUdvB76A/edit#gid=2026585000"",""2025-26!ad4"")"),2708944.0)</f>
        <v>2708944</v>
      </c>
      <c r="BL95" s="55">
        <f>IFERROR(__xludf.DUMMYFUNCTION("importrange(""https://docs.google.com/spreadsheets/d/1XawI1eeAYzxXaEtROeQ7asG4RKU9dbiD2rtpUdvB76A/edit#gid=2026585000"",""2025-26!ad3"")"),34.0)</f>
        <v>34</v>
      </c>
      <c r="BM95" s="55">
        <f>IFERROR(__xludf.DUMMYFUNCTION("importrange(""https://docs.google.com/spreadsheets/d/1XawI1eeAYzxXaEtROeQ7asG4RKU9dbiD2rtpUdvB76A/edit#gid=2026585000"",""2025-26!ae4"")"),3319983.0)</f>
        <v>3319983</v>
      </c>
      <c r="BN95" s="55">
        <f>IFERROR(__xludf.DUMMYFUNCTION("importrange(""https://docs.google.com/spreadsheets/d/1XawI1eeAYzxXaEtROeQ7asG4RKU9dbiD2rtpUdvB76A/edit#gid=2026585000"",""2025-26!ae3"")"),54.0)</f>
        <v>54</v>
      </c>
      <c r="BO95" s="55">
        <f>IFERROR(__xludf.DUMMYFUNCTION("importrange(""https://docs.google.com/spreadsheets/d/1XawI1eeAYzxXaEtROeQ7asG4RKU9dbiD2rtpUdvB76A/edit#gid=2026585000"",""2025-26!af4"")"),1969164.4800000002)</f>
        <v>1969164.48</v>
      </c>
      <c r="BP95" s="55">
        <f>IFERROR(__xludf.DUMMYFUNCTION("importrange(""https://docs.google.com/spreadsheets/d/1XawI1eeAYzxXaEtROeQ7asG4RKU9dbiD2rtpUdvB76A/edit#gid=2026585000"",""2025-26!af3"")"),24.0)</f>
        <v>24</v>
      </c>
      <c r="BQ95" s="59">
        <f t="shared" si="25"/>
        <v>0.9098462251</v>
      </c>
      <c r="BR95" s="55">
        <f>IFERROR(__xludf.DUMMYFUNCTION("importrange(""https://docs.google.com/spreadsheets/d/1XawI1eeAYzxXaEtROeQ7asG4RKU9dbiD2rtpUdvB76A/edit#gid=2026585000"",""2025-26!ag4"")"),3020674.0)</f>
        <v>3020674</v>
      </c>
      <c r="BS95" s="55">
        <f>IFERROR(__xludf.DUMMYFUNCTION("importrange(""https://docs.google.com/spreadsheets/d/1XawI1eeAYzxXaEtROeQ7asG4RKU9dbiD2rtpUdvB76A/edit#gid=2026585000"",""2025-26!ag3"")"),41.0)</f>
        <v>41</v>
      </c>
      <c r="BT95" s="55">
        <f>IFERROR(__xludf.DUMMYFUNCTION("importrange(""https://docs.google.com/spreadsheets/d/1XawI1eeAYzxXaEtROeQ7asG4RKU9dbiD2rtpUdvB76A/edit#gid=2026585000"",""2025-26!ah4"")"),3319983.0)</f>
        <v>3319983</v>
      </c>
      <c r="BU95" s="55">
        <f>IFERROR(__xludf.DUMMYFUNCTION("importrange(""https://docs.google.com/spreadsheets/d/1XawI1eeAYzxXaEtROeQ7asG4RKU9dbiD2rtpUdvB76A/edit#gid=2026585000"",""2025-26!ah3"")"),54.0)</f>
        <v>54</v>
      </c>
      <c r="BV95" s="55">
        <f>IFERROR(__xludf.DUMMYFUNCTION("importrange(""https://docs.google.com/spreadsheets/d/1XawI1eeAYzxXaEtROeQ7asG4RKU9dbiD2rtpUdvB76A/edit#gid=2026585000"",""2025-26!ai4"")"),1348812.7099999997)</f>
        <v>1348812.71</v>
      </c>
      <c r="BW95" s="55">
        <f>IFERROR(__xludf.DUMMYFUNCTION("importrange(""https://docs.google.com/spreadsheets/d/1XawI1eeAYzxXaEtROeQ7asG4RKU9dbiD2rtpUdvB76A/edit#gid=2026585000"",""2025-26!ai3"")"),20.0)</f>
        <v>20</v>
      </c>
      <c r="BX95" s="59">
        <f t="shared" si="26"/>
        <v>0.7713476244</v>
      </c>
      <c r="BY95" s="55">
        <f>IFERROR(__xludf.DUMMYFUNCTION("importrange(""https://docs.google.com/spreadsheets/d/1XawI1eeAYzxXaEtROeQ7asG4RKU9dbiD2rtpUdvB76A/edit#gid=2026585000"",""2025-26!aj4"")"),2560861.0)</f>
        <v>2560861</v>
      </c>
      <c r="BZ95" s="55">
        <f>IFERROR(__xludf.DUMMYFUNCTION("importrange(""https://docs.google.com/spreadsheets/d/1XawI1eeAYzxXaEtROeQ7asG4RKU9dbiD2rtpUdvB76A/edit#gid=2026585000"",""2025-26!aj3"")"),37.0)</f>
        <v>37</v>
      </c>
      <c r="CA95" s="55">
        <f>IFERROR(__xludf.DUMMYFUNCTION("importrange(""https://docs.google.com/spreadsheets/d/1XawI1eeAYzxXaEtROeQ7asG4RKU9dbiD2rtpUdvB76A/edit#gid=2026585000"",""2025-26!ak4"")"),3319983.0)</f>
        <v>3319983</v>
      </c>
      <c r="CB95" s="55">
        <f>IFERROR(__xludf.DUMMYFUNCTION("importrange(""https://docs.google.com/spreadsheets/d/1XawI1eeAYzxXaEtROeQ7asG4RKU9dbiD2rtpUdvB76A/edit#gid=2026585000"",""2025-26!ak3"")"),54.0)</f>
        <v>54</v>
      </c>
      <c r="CC95" s="55">
        <f>IFERROR(__xludf.DUMMYFUNCTION("importrange(""https://docs.google.com/spreadsheets/d/1XawI1eeAYzxXaEtROeQ7asG4RKU9dbiD2rtpUdvB76A/edit#gid=2026585000"",""2025-26!al4"")"),1279859.4900000002)</f>
        <v>1279859.49</v>
      </c>
      <c r="CD95" s="55">
        <f>IFERROR(__xludf.DUMMYFUNCTION("importrange(""https://docs.google.com/spreadsheets/d/1XawI1eeAYzxXaEtROeQ7asG4RKU9dbiD2rtpUdvB76A/edit#gid=2026585000"",""2025-26!ai3"")"),20.0)</f>
        <v>20</v>
      </c>
      <c r="CE95" s="59">
        <f t="shared" si="27"/>
        <v>0.548595279</v>
      </c>
      <c r="CF95" s="55">
        <f>IFERROR(__xludf.DUMMYFUNCTION("importrange(""https://docs.google.com/spreadsheets/d/1XawI1eeAYzxXaEtROeQ7asG4RKU9dbiD2rtpUdvB76A/edit#gid=2026585000"",""2025-26!am4"")"),1821327.0)</f>
        <v>1821327</v>
      </c>
      <c r="CG95" s="55">
        <f>IFERROR(__xludf.DUMMYFUNCTION("importrange(""https://docs.google.com/spreadsheets/d/1XawI1eeAYzxXaEtROeQ7asG4RKU9dbiD2rtpUdvB76A/edit#gid=2026585000"",""2025-26!am3"")"),33.0)</f>
        <v>33</v>
      </c>
      <c r="CH95" s="55">
        <f>IFERROR(__xludf.DUMMYFUNCTION("importrange(""https://docs.google.com/spreadsheets/d/1XawI1eeAYzxXaEtROeQ7asG4RKU9dbiD2rtpUdvB76A/edit#gid=2026585000"",""2025-26!an4"")"),3319983.0)</f>
        <v>3319983</v>
      </c>
      <c r="CI95" s="55">
        <f>IFERROR(__xludf.DUMMYFUNCTION("importrange(""https://docs.google.com/spreadsheets/d/1XawI1eeAYzxXaEtROeQ7asG4RKU9dbiD2rtpUdvB76A/edit#gid=2026585000"",""2025-26!an3"")"),54.0)</f>
        <v>54</v>
      </c>
      <c r="CJ95" s="55">
        <f>IFERROR(__xludf.DUMMYFUNCTION("importrange(""https://docs.google.com/spreadsheets/d/1XawI1eeAYzxXaEtROeQ7asG4RKU9dbiD2rtpUdvB76A/edit#gid=2026585000"",""2025-26!ao4"")"),1766028.2999999996)</f>
        <v>1766028.3</v>
      </c>
      <c r="CK95" s="55">
        <f>IFERROR(__xludf.DUMMYFUNCTION("importrange(""https://docs.google.com/spreadsheets/d/1XawI1eeAYzxXaEtROeQ7asG4RKU9dbiD2rtpUdvB76A/edit#gid=2026585000"",""2025-26!ao3"")"),21.0)</f>
        <v>21</v>
      </c>
      <c r="CL95" s="59">
        <f t="shared" si="28"/>
        <v>0.8613968806</v>
      </c>
      <c r="CM95" s="55">
        <f>IFERROR(__xludf.DUMMYFUNCTION("importrange(""https://docs.google.com/spreadsheets/d/1XawI1eeAYzxXaEtROeQ7asG4RKU9dbiD2rtpUdvB76A/edit#gid=2026585000"",""2025-26!ap4"")"),2859823.0)</f>
        <v>2859823</v>
      </c>
      <c r="CN95" s="55">
        <f>IFERROR(__xludf.DUMMYFUNCTION("importrange(""https://docs.google.com/spreadsheets/d/1XawI1eeAYzxXaEtROeQ7asG4RKU9dbiD2rtpUdvB76A/edit#gid=2026585000"",""2025-26!ap3"")"),40.0)</f>
        <v>40</v>
      </c>
      <c r="CO95" s="55">
        <f>IFERROR(__xludf.DUMMYFUNCTION("importrange(""https://docs.google.com/spreadsheets/d/1XawI1eeAYzxXaEtROeQ7asG4RKU9dbiD2rtpUdvB76A/edit#gid=2026585000"",""2025-26!aq4"")"),3319983.0)</f>
        <v>3319983</v>
      </c>
      <c r="CP95" s="55">
        <f>IFERROR(__xludf.DUMMYFUNCTION("importrange(""https://docs.google.com/spreadsheets/d/1XawI1eeAYzxXaEtROeQ7asG4RKU9dbiD2rtpUdvB76A/edit#gid=2026585000"",""2025-26!aq3"")"),54.0)</f>
        <v>54</v>
      </c>
      <c r="CQ95" s="55">
        <f>IFERROR(__xludf.DUMMYFUNCTION("importrange(""https://docs.google.com/spreadsheets/d/1XawI1eeAYzxXaEtROeQ7asG4RKU9dbiD2rtpUdvB76A/edit#gid=2026585000"",""2025-26!ar4"")"),1066790.75)</f>
        <v>1066790.75</v>
      </c>
      <c r="CR95" s="55">
        <f>IFERROR(__xludf.DUMMYFUNCTION("importrange(""https://docs.google.com/spreadsheets/d/1XawI1eeAYzxXaEtROeQ7asG4RKU9dbiD2rtpUdvB76A/edit#gid=2026585000"",""2025-26!ar3"")"),10.0)</f>
        <v>10</v>
      </c>
      <c r="CS95" s="59">
        <f t="shared" si="29"/>
        <v>1.002113264</v>
      </c>
      <c r="CT95" s="55">
        <f>IFERROR(__xludf.DUMMYFUNCTION("importrange(""https://docs.google.com/spreadsheets/d/1XawI1eeAYzxXaEtROeQ7asG4RKU9dbiD2rtpUdvB76A/edit#gid=2026585000"",""2025-26!as4"")"),3326999.0)</f>
        <v>3326999</v>
      </c>
      <c r="CU95" s="55">
        <f>IFERROR(__xludf.DUMMYFUNCTION("importrange(""https://docs.google.com/spreadsheets/d/1XawI1eeAYzxXaEtROeQ7asG4RKU9dbiD2rtpUdvB76A/edit#gid=2026585000"",""2025-26!as3"")"),35.0)</f>
        <v>35</v>
      </c>
      <c r="CV95" s="60" t="s">
        <v>215</v>
      </c>
    </row>
    <row r="96">
      <c r="A96" s="1" t="s">
        <v>185</v>
      </c>
      <c r="B96" s="37"/>
      <c r="C96" s="64" t="s">
        <v>216</v>
      </c>
      <c r="D96" s="50" t="s">
        <v>217</v>
      </c>
      <c r="E96" s="50">
        <v>6.201523763E9</v>
      </c>
      <c r="F96" s="74">
        <v>44424.0</v>
      </c>
      <c r="G96" s="62"/>
      <c r="H96" s="62"/>
      <c r="I96" s="53">
        <v>45080.0</v>
      </c>
      <c r="J96" s="54">
        <v>7416667.0</v>
      </c>
      <c r="K96" s="57">
        <f>IFERROR(__xludf.DUMMYFUNCTION("IMPORTRANGE(""https://docs.google.com/spreadsheets/d/1Qy4AhkrCwmDPPa9arKWOGV5jQtQ6fPEBUDl2sx_mLIg/edit#gid=1526067531"",""2025-26!A3"")"),88.0)</f>
        <v>88</v>
      </c>
      <c r="L96" s="57">
        <f>IFERROR(__xludf.DUMMYFUNCTION("IMPORTRANGE(""https://docs.google.com/spreadsheets/d/1Qy4AhkrCwmDPPa9arKWOGV5jQtQ6fPEBUDl2sx_mLIg/edit#gid=1526067531"",""2025-26!G4"")"),9.4721082E7)</f>
        <v>94721082</v>
      </c>
      <c r="M96" s="57">
        <f t="shared" si="50"/>
        <v>52611905.39</v>
      </c>
      <c r="N96" s="56">
        <f t="shared" si="51"/>
        <v>0.7568304593</v>
      </c>
      <c r="O96" s="57">
        <f t="shared" si="52"/>
        <v>71687800</v>
      </c>
      <c r="P96" s="55">
        <f>IFERROR(__xludf.DUMMYFUNCTION("IMPORTRANGE(""https://docs.google.com/spreadsheets/d/1Qy4AhkrCwmDPPa9arKWOGV5jQtQ6fPEBUDl2sx_mLIg/edit#gid=1526067531"",""2025-26!J4"")"),7755923.499999998)</f>
        <v>7755923.5</v>
      </c>
      <c r="Q96" s="55">
        <f>IFERROR(__xludf.DUMMYFUNCTION("IMPORTRANGE(""https://docs.google.com/spreadsheets/d/1Qy4AhkrCwmDPPa9arKWOGV5jQtQ6fPEBUDl2sx_mLIg/edit#gid=1526067531"",""2025-26!J3"")"),61.0)</f>
        <v>61</v>
      </c>
      <c r="R96" s="55">
        <f>IFERROR(__xludf.DUMMYFUNCTION("IMPORTRANGE(""https://docs.google.com/spreadsheets/d/1Qy4AhkrCwmDPPa9arKWOGV5jQtQ6fPEBUDl2sx_mLIg/edit#gid=1526067531"",""2025-26!K4"")"),1599223.9)</f>
        <v>1599223.9</v>
      </c>
      <c r="S96" s="55">
        <f>IFERROR(__xludf.DUMMYFUNCTION("IMPORTRANGE(""https://docs.google.com/spreadsheets/d/1Qy4AhkrCwmDPPa9arKWOGV5jQtQ6fPEBUDl2sx_mLIg/edit#gid=1526067531"",""2025-26!K3"")"),14.0)</f>
        <v>14</v>
      </c>
      <c r="T96" s="58">
        <f t="shared" si="18"/>
        <v>0.5944346924</v>
      </c>
      <c r="U96" s="55">
        <f>IFERROR(__xludf.DUMMYFUNCTION("IMPORTRANGE(""https://docs.google.com/spreadsheets/d/1Qy4AhkrCwmDPPa9arKWOGV5jQtQ6fPEBUDl2sx_mLIg/edit#gid=1526067531"",""2025-26!L4"")"),4610390.0)</f>
        <v>4610390</v>
      </c>
      <c r="V96" s="79">
        <f>IFERROR(__xludf.DUMMYFUNCTION("IMPORTRANGE(""https://docs.google.com/spreadsheets/d/1Qy4AhkrCwmDPPa9arKWOGV5jQtQ6fPEBUDl2sx_mLIg/edit#gid=1526067531"",""2025-26!L3"")"),39.0)</f>
        <v>39</v>
      </c>
      <c r="W96" s="55">
        <f>IFERROR(__xludf.DUMMYFUNCTION("IMPORTRANGE(""https://docs.google.com/spreadsheets/d/1Qy4AhkrCwmDPPa9arKWOGV5jQtQ6fPEBUDl2sx_mLIg/edit#gid=1526067531"",""2025-26!M4"")"),7755923.499999998)</f>
        <v>7755923.5</v>
      </c>
      <c r="X96" s="79">
        <f>IFERROR(__xludf.DUMMYFUNCTION("IMPORTRANGE(""https://docs.google.com/spreadsheets/d/1Qy4AhkrCwmDPPa9arKWOGV5jQtQ6fPEBUDl2sx_mLIg/edit#gid=1526067531"",""2025-26!M3"")"),61.0)</f>
        <v>61</v>
      </c>
      <c r="Y96" s="55">
        <f>IFERROR(__xludf.DUMMYFUNCTION("importrange(""https://docs.google.com/spreadsheets/d/1Qy4AhkrCwmDPPa9arKWOGV5jQtQ6fPEBUDl2sx_mLIg/edit#gid=1526067531"",""2025-26!n4"")"),2355658.1999999997)</f>
        <v>2355658.2</v>
      </c>
      <c r="Z96" s="55">
        <f>IFERROR(__xludf.DUMMYFUNCTION("importrange(""https://docs.google.com/spreadsheets/d/1Qy4AhkrCwmDPPa9arKWOGV5jQtQ6fPEBUDl2sx_mLIg/edit#gid=1526067531"",""2025-26!n3"")"),17.0)</f>
        <v>17</v>
      </c>
      <c r="AA96" s="58">
        <f t="shared" si="19"/>
        <v>0.7003034519</v>
      </c>
      <c r="AB96" s="55">
        <f>IFERROR(__xludf.DUMMYFUNCTION("importrange(""https://docs.google.com/spreadsheets/d/1Qy4AhkrCwmDPPa9arKWOGV5jQtQ6fPEBUDl2sx_mLIg/edit#gid=1526067531"",""2025-26!o4"")"),5431500.0)</f>
        <v>5431500</v>
      </c>
      <c r="AC96" s="55">
        <f>IFERROR(__xludf.DUMMYFUNCTION("importrange(""https://docs.google.com/spreadsheets/d/1Qy4AhkrCwmDPPa9arKWOGV5jQtQ6fPEBUDl2sx_mLIg/edit#gid=1526067531"",""2025-26!o3"")"),53.0)</f>
        <v>53</v>
      </c>
      <c r="AD96" s="55">
        <f>IFERROR(__xludf.DUMMYFUNCTION("importrange(""https://docs.google.com/spreadsheets/d/1Qy4AhkrCwmDPPa9arKWOGV5jQtQ6fPEBUDl2sx_mLIg/edit#gid=1526067531"",""2025-26!p4"")"),7755923.499999998)</f>
        <v>7755923.5</v>
      </c>
      <c r="AE96" s="55">
        <f>IFERROR(__xludf.DUMMYFUNCTION("importrange(""https://docs.google.com/spreadsheets/d/1Qy4AhkrCwmDPPa9arKWOGV5jQtQ6fPEBUDl2sx_mLIg/edit#gid=1526067531"",""2025-26!p3"")"),61.0)</f>
        <v>61</v>
      </c>
      <c r="AF96" s="55">
        <f>IFERROR(__xludf.DUMMYFUNCTION("importrange(""https://docs.google.com/spreadsheets/d/1Qy4AhkrCwmDPPa9arKWOGV5jQtQ6fPEBUDl2sx_mLIg/edit#gid=1526067531"",""2025-26!q4"")"),2004819.5)</f>
        <v>2004819.5</v>
      </c>
      <c r="AG96" s="55">
        <f>IFERROR(__xludf.DUMMYFUNCTION("importrange(""https://docs.google.com/spreadsheets/d/1Qy4AhkrCwmDPPa9arKWOGV5jQtQ6fPEBUDl2sx_mLIg/edit#gid=1526067531"",""2025-26!q3"")"),12.0)</f>
        <v>12</v>
      </c>
      <c r="AH96" s="58">
        <f t="shared" si="20"/>
        <v>0.6646507021</v>
      </c>
      <c r="AI96" s="55">
        <f>IFERROR(__xludf.DUMMYFUNCTION("importrange(""https://docs.google.com/spreadsheets/d/1Qy4AhkrCwmDPPa9arKWOGV5jQtQ6fPEBUDl2sx_mLIg/edit#gid=1526067531"",""2025-26!r4"")"),5154980.0)</f>
        <v>5154980</v>
      </c>
      <c r="AJ96" s="55">
        <f>IFERROR(__xludf.DUMMYFUNCTION("importrange(""https://docs.google.com/spreadsheets/d/1Qy4AhkrCwmDPPa9arKWOGV5jQtQ6fPEBUDl2sx_mLIg/edit#gid=1526067531"",""2025-26!r3"")"),47.0)</f>
        <v>47</v>
      </c>
      <c r="AK96" s="55">
        <f>IFERROR(__xludf.DUMMYFUNCTION("importrange(""https://docs.google.com/spreadsheets/d/1Qy4AhkrCwmDPPa9arKWOGV5jQtQ6fPEBUDl2sx_mLIg/edit#gid=1526067531"",""2025-26!s4"")"),7939253.499999998)</f>
        <v>7939253.5</v>
      </c>
      <c r="AL96" s="55">
        <f>IFERROR(__xludf.DUMMYFUNCTION("importrange(""https://docs.google.com/spreadsheets/d/1Qy4AhkrCwmDPPa9arKWOGV5jQtQ6fPEBUDl2sx_mLIg/edit#gid=1526067531"",""2025-26!s3"")"),64.0)</f>
        <v>64</v>
      </c>
      <c r="AM96" s="57">
        <f>IFERROR(__xludf.DUMMYFUNCTION("importrange(""https://docs.google.com/spreadsheets/d/1Qy4AhkrCwmDPPa9arKWOGV5jQtQ6fPEBUDl2sx_mLIg/edit#gid=1526067531"",""2025-26!t4"")"),4268407.789999999)</f>
        <v>4268407.79</v>
      </c>
      <c r="AN96" s="55">
        <f>IFERROR(__xludf.DUMMYFUNCTION("importrange(""https://docs.google.com/spreadsheets/d/1Qy4AhkrCwmDPPa9arKWOGV5jQtQ6fPEBUDl2sx_mLIg/edit#gid=1526067531"",""2025-26!t3"")"),32.0)</f>
        <v>32</v>
      </c>
      <c r="AO96" s="58">
        <f t="shared" si="21"/>
        <v>0.5871717032</v>
      </c>
      <c r="AP96" s="55">
        <f>IFERROR(__xludf.DUMMYFUNCTION("importrange(""https://docs.google.com/spreadsheets/d/1Qy4AhkrCwmDPPa9arKWOGV5jQtQ6fPEBUDl2sx_mLIg/edit#gid=1526067531"",""2025-26!u4"")"),4661705.0)</f>
        <v>4661705</v>
      </c>
      <c r="AQ96" s="55">
        <f>IFERROR(__xludf.DUMMYFUNCTION("importrange(""https://docs.google.com/spreadsheets/d/1Qy4AhkrCwmDPPa9arKWOGV5jQtQ6fPEBUDl2sx_mLIg/edit#gid=1526067531"",""2025-26!u3"")"),41.0)</f>
        <v>41</v>
      </c>
      <c r="AR96" s="55">
        <f>IFERROR(__xludf.DUMMYFUNCTION("importrange(""https://docs.google.com/spreadsheets/d/1Qy4AhkrCwmDPPa9arKWOGV5jQtQ6fPEBUDl2sx_mLIg/edit#gid=1526067531"",""2025-26!v4"")"),7939253.499999998)</f>
        <v>7939253.5</v>
      </c>
      <c r="AS96" s="55">
        <f>IFERROR(__xludf.DUMMYFUNCTION("importrange(""https://docs.google.com/spreadsheets/d/1Qy4AhkrCwmDPPa9arKWOGV5jQtQ6fPEBUDl2sx_mLIg/edit#gid=1526067531"",""2025-26!v3"")"),64.0)</f>
        <v>64</v>
      </c>
      <c r="AT96" s="57">
        <f>IFERROR(__xludf.DUMMYFUNCTION("importrange(""https://docs.google.com/spreadsheets/d/1Qy4AhkrCwmDPPa9arKWOGV5jQtQ6fPEBUDl2sx_mLIg/edit#gid=1526067531"",""2025-26!w4"")"),6211626.339999999)</f>
        <v>6211626.34</v>
      </c>
      <c r="AU96" s="55">
        <f>IFERROR(__xludf.DUMMYFUNCTION("importrange(""https://docs.google.com/spreadsheets/d/1Qy4AhkrCwmDPPa9arKWOGV5jQtQ6fPEBUDl2sx_mLIg/edit#gid=1526067531"",""2025-26!w3"")"),38.0)</f>
        <v>38</v>
      </c>
      <c r="AV96" s="58">
        <f t="shared" si="22"/>
        <v>0.7339965905</v>
      </c>
      <c r="AW96" s="55">
        <f>IFERROR(__xludf.DUMMYFUNCTION("importrange(""https://docs.google.com/spreadsheets/d/1Qy4AhkrCwmDPPa9arKWOGV5jQtQ6fPEBUDl2sx_mLIg/edit#gid=1526067531"",""2025-26!x4"")"),5827385.0)</f>
        <v>5827385</v>
      </c>
      <c r="AX96" s="55">
        <f>IFERROR(__xludf.DUMMYFUNCTION("importrange(""https://docs.google.com/spreadsheets/d/1Qy4AhkrCwmDPPa9arKWOGV5jQtQ6fPEBUDl2sx_mLIg/edit#gid=1526067531"",""2025-26!x3"")"),51.0)</f>
        <v>51</v>
      </c>
      <c r="AY96" s="55">
        <f>IFERROR(__xludf.DUMMYFUNCTION("importrange(""https://docs.google.com/spreadsheets/d/1Qy4AhkrCwmDPPa9arKWOGV5jQtQ6fPEBUDl2sx_mLIg/edit#gid=1526067531"",""2025-26!y4"")"),7939253.499999998)</f>
        <v>7939253.5</v>
      </c>
      <c r="AZ96" s="55">
        <f>IFERROR(__xludf.DUMMYFUNCTION("importrange(""https://docs.google.com/spreadsheets/d/1Qy4AhkrCwmDPPa9arKWOGV5jQtQ6fPEBUDl2sx_mLIg/edit#gid=1526067531"",""2025-26!y3"")"),64.0)</f>
        <v>64</v>
      </c>
      <c r="BA96" s="57">
        <f>IFERROR(__xludf.DUMMYFUNCTION("importrange(""https://docs.google.com/spreadsheets/d/1Qy4AhkrCwmDPPa9arKWOGV5jQtQ6fPEBUDl2sx_mLIg/edit#gid=1526067531"",""2025-26!z4"")"),6000251.35)</f>
        <v>6000251.35</v>
      </c>
      <c r="BB96" s="55">
        <f>IFERROR(__xludf.DUMMYFUNCTION("importrange(""https://docs.google.com/spreadsheets/d/1Qy4AhkrCwmDPPa9arKWOGV5jQtQ6fPEBUDl2sx_mLIg/edit#gid=1526067531"",""2025-26!z3"")"),39.0)</f>
        <v>39</v>
      </c>
      <c r="BC96" s="59">
        <f t="shared" si="23"/>
        <v>0.8137969143</v>
      </c>
      <c r="BD96" s="55">
        <f>IFERROR(__xludf.DUMMYFUNCTION("importrange(""https://docs.google.com/spreadsheets/d/1Qy4AhkrCwmDPPa9arKWOGV5jQtQ6fPEBUDl2sx_mLIg/edit#gid=1526067531"",""2025-26!aa4"")"),6460940.0)</f>
        <v>6460940</v>
      </c>
      <c r="BE96" s="55">
        <f>IFERROR(__xludf.DUMMYFUNCTION("importrange(""https://docs.google.com/spreadsheets/d/1Qy4AhkrCwmDPPa9arKWOGV5jQtQ6fPEBUDl2sx_mLIg/edit#gid=1526067531"",""2025-26!aa3"")"),46.0)</f>
        <v>46</v>
      </c>
      <c r="BF96" s="55">
        <f>IFERROR(__xludf.DUMMYFUNCTION("importrange(""https://docs.google.com/spreadsheets/d/1Qy4AhkrCwmDPPa9arKWOGV5jQtQ6fPEBUDl2sx_mLIg/edit#gid=1526067531"",""2025-26!ab4"")"),7939253.499999998)</f>
        <v>7939253.5</v>
      </c>
      <c r="BG96" s="55">
        <f>IFERROR(__xludf.DUMMYFUNCTION("importrange(""https://docs.google.com/spreadsheets/d/1Qy4AhkrCwmDPPa9arKWOGV5jQtQ6fPEBUDl2sx_mLIg/edit#gid=1526067531"",""2025-26!ab3"")"),64.0)</f>
        <v>64</v>
      </c>
      <c r="BH96" s="55">
        <f>IFERROR(__xludf.DUMMYFUNCTION("importrange(""https://docs.google.com/spreadsheets/d/1Qy4AhkrCwmDPPa9arKWOGV5jQtQ6fPEBUDl2sx_mLIg/edit#gid=1526067531"",""2025-26!ac4"")"),3533271.9200000004)</f>
        <v>3533271.92</v>
      </c>
      <c r="BI96" s="55">
        <f>IFERROR(__xludf.DUMMYFUNCTION("importrange(""https://docs.google.com/spreadsheets/d/1Qy4AhkrCwmDPPa9arKWOGV5jQtQ6fPEBUDl2sx_mLIg/edit#gid=1526067531"",""2025-26!ac3"")"),33.0)</f>
        <v>33</v>
      </c>
      <c r="BJ96" s="59">
        <f t="shared" si="24"/>
        <v>0.6467050082</v>
      </c>
      <c r="BK96" s="55">
        <f>IFERROR(__xludf.DUMMYFUNCTION("importrange(""https://docs.google.com/spreadsheets/d/1Qy4AhkrCwmDPPa9arKWOGV5jQtQ6fPEBUDl2sx_mLIg/edit#gid=1526067531"",""2025-26!ad4"")"),5134355.0)</f>
        <v>5134355</v>
      </c>
      <c r="BL96" s="55">
        <f>IFERROR(__xludf.DUMMYFUNCTION("importrange(""https://docs.google.com/spreadsheets/d/1Qy4AhkrCwmDPPa9arKWOGV5jQtQ6fPEBUDl2sx_mLIg/edit#gid=1526067531"",""2025-26!ad3"")"),53.0)</f>
        <v>53</v>
      </c>
      <c r="BM96" s="55">
        <f>IFERROR(__xludf.DUMMYFUNCTION("importrange(""https://docs.google.com/spreadsheets/d/1Qy4AhkrCwmDPPa9arKWOGV5jQtQ6fPEBUDl2sx_mLIg/edit#gid=1526067531"",""2025-26!ae4"")"),7939253.499999998)</f>
        <v>7939253.5</v>
      </c>
      <c r="BN96" s="55">
        <f>IFERROR(__xludf.DUMMYFUNCTION("importrange(""https://docs.google.com/spreadsheets/d/1Qy4AhkrCwmDPPa9arKWOGV5jQtQ6fPEBUDl2sx_mLIg/edit#gid=1526067531"",""2025-26!ae3"")"),64.0)</f>
        <v>64</v>
      </c>
      <c r="BO96" s="55">
        <f>IFERROR(__xludf.DUMMYFUNCTION("importrange(""https://docs.google.com/spreadsheets/d/1Qy4AhkrCwmDPPa9arKWOGV5jQtQ6fPEBUDl2sx_mLIg/edit#gid=1526067531"",""2025-26!af4"")"),4220081.36)</f>
        <v>4220081.36</v>
      </c>
      <c r="BP96" s="55">
        <f>IFERROR(__xludf.DUMMYFUNCTION("importrange(""https://docs.google.com/spreadsheets/d/1Qy4AhkrCwmDPPa9arKWOGV5jQtQ6fPEBUDl2sx_mLIg/edit#gid=1526067531"",""2025-26!af3"")"),37.0)</f>
        <v>37</v>
      </c>
      <c r="BQ96" s="59">
        <f t="shared" si="25"/>
        <v>0.7688077979</v>
      </c>
      <c r="BR96" s="55">
        <f>IFERROR(__xludf.DUMMYFUNCTION("importrange(""https://docs.google.com/spreadsheets/d/1Qy4AhkrCwmDPPa9arKWOGV5jQtQ6fPEBUDl2sx_mLIg/edit#gid=1526067531"",""2025-26!ag4"")"),6103760.0)</f>
        <v>6103760</v>
      </c>
      <c r="BS96" s="55">
        <f>IFERROR(__xludf.DUMMYFUNCTION("importrange(""https://docs.google.com/spreadsheets/d/1Qy4AhkrCwmDPPa9arKWOGV5jQtQ6fPEBUDl2sx_mLIg/edit#gid=1526067531"",""2025-26!ag3"")"),55.0)</f>
        <v>55</v>
      </c>
      <c r="BT96" s="55">
        <f>IFERROR(__xludf.DUMMYFUNCTION("importrange(""https://docs.google.com/spreadsheets/d/1Qy4AhkrCwmDPPa9arKWOGV5jQtQ6fPEBUDl2sx_mLIg/edit#gid=1526067531"",""2025-26!ah4"")"),7939253.499999998)</f>
        <v>7939253.5</v>
      </c>
      <c r="BU96" s="55">
        <f>IFERROR(__xludf.DUMMYFUNCTION("importrange(""https://docs.google.com/spreadsheets/d/1Qy4AhkrCwmDPPa9arKWOGV5jQtQ6fPEBUDl2sx_mLIg/edit#gid=1526067531"",""2025-26!ah3"")"),64.0)</f>
        <v>64</v>
      </c>
      <c r="BV96" s="55">
        <f>IFERROR(__xludf.DUMMYFUNCTION("importrange(""https://docs.google.com/spreadsheets/d/1Qy4AhkrCwmDPPa9arKWOGV5jQtQ6fPEBUDl2sx_mLIg/edit#gid=1526067531"",""2025-26!ai4"")"),5965080.279999998)</f>
        <v>5965080.28</v>
      </c>
      <c r="BW96" s="55">
        <f>IFERROR(__xludf.DUMMYFUNCTION("importrange(""https://docs.google.com/spreadsheets/d/1Qy4AhkrCwmDPPa9arKWOGV5jQtQ6fPEBUDl2sx_mLIg/edit#gid=1526067531"",""2025-26!ai3"")"),45.0)</f>
        <v>45</v>
      </c>
      <c r="BX96" s="59">
        <f t="shared" si="26"/>
        <v>0.8796274108</v>
      </c>
      <c r="BY96" s="55">
        <f>IFERROR(__xludf.DUMMYFUNCTION("importrange(""https://docs.google.com/spreadsheets/d/1Qy4AhkrCwmDPPa9arKWOGV5jQtQ6fPEBUDl2sx_mLIg/edit#gid=1526067531"",""2025-26!aj4"")"),6983585.0)</f>
        <v>6983585</v>
      </c>
      <c r="BZ96" s="55">
        <f>IFERROR(__xludf.DUMMYFUNCTION("importrange(""https://docs.google.com/spreadsheets/d/1Qy4AhkrCwmDPPa9arKWOGV5jQtQ6fPEBUDl2sx_mLIg/edit#gid=1526067531"",""2025-26!aj3"")"),52.0)</f>
        <v>52</v>
      </c>
      <c r="CA96" s="55">
        <f>IFERROR(__xludf.DUMMYFUNCTION("importrange(""https://docs.google.com/spreadsheets/d/1Qy4AhkrCwmDPPa9arKWOGV5jQtQ6fPEBUDl2sx_mLIg/edit#gid=1526067531"",""2025-26!ak4"")"),7939253.499999998)</f>
        <v>7939253.5</v>
      </c>
      <c r="CB96" s="55">
        <f>IFERROR(__xludf.DUMMYFUNCTION("importrange(""https://docs.google.com/spreadsheets/d/1Qy4AhkrCwmDPPa9arKWOGV5jQtQ6fPEBUDl2sx_mLIg/edit#gid=1526067531"",""2025-26!ak3"")"),64.0)</f>
        <v>64</v>
      </c>
      <c r="CC96" s="55">
        <f>IFERROR(__xludf.DUMMYFUNCTION("importrange(""https://docs.google.com/spreadsheets/d/1Qy4AhkrCwmDPPa9arKWOGV5jQtQ6fPEBUDl2sx_mLIg/edit#gid=1526067531"",""2025-26!al4"")"),5558757.220000002)</f>
        <v>5558757.22</v>
      </c>
      <c r="CD96" s="55">
        <f>IFERROR(__xludf.DUMMYFUNCTION("importrange(""https://docs.google.com/spreadsheets/d/1Qy4AhkrCwmDPPa9arKWOGV5jQtQ6fPEBUDl2sx_mLIg/edit#gid=1526067531"",""2025-26!ai3"")"),45.0)</f>
        <v>45</v>
      </c>
      <c r="CE96" s="59">
        <f t="shared" si="27"/>
        <v>0.8357763107</v>
      </c>
      <c r="CF96" s="55">
        <f>IFERROR(__xludf.DUMMYFUNCTION("importrange(""https://docs.google.com/spreadsheets/d/1Qy4AhkrCwmDPPa9arKWOGV5jQtQ6fPEBUDl2sx_mLIg/edit#gid=1526067531"",""2025-26!am4"")"),6635440.0)</f>
        <v>6635440</v>
      </c>
      <c r="CG96" s="55">
        <f>IFERROR(__xludf.DUMMYFUNCTION("importrange(""https://docs.google.com/spreadsheets/d/1Qy4AhkrCwmDPPa9arKWOGV5jQtQ6fPEBUDl2sx_mLIg/edit#gid=1526067531"",""2025-26!am3"")"),48.0)</f>
        <v>48</v>
      </c>
      <c r="CH96" s="55">
        <f>IFERROR(__xludf.DUMMYFUNCTION("importrange(""https://docs.google.com/spreadsheets/d/1Qy4AhkrCwmDPPa9arKWOGV5jQtQ6fPEBUDl2sx_mLIg/edit#gid=1526067531"",""2025-26!an4"")"),7939253.499999998)</f>
        <v>7939253.5</v>
      </c>
      <c r="CI96" s="55">
        <f>IFERROR(__xludf.DUMMYFUNCTION("importrange(""https://docs.google.com/spreadsheets/d/1Qy4AhkrCwmDPPa9arKWOGV5jQtQ6fPEBUDl2sx_mLIg/edit#gid=1526067531"",""2025-26!an3"")"),64.0)</f>
        <v>64</v>
      </c>
      <c r="CJ96" s="55">
        <f>IFERROR(__xludf.DUMMYFUNCTION("importrange(""https://docs.google.com/spreadsheets/d/1Qy4AhkrCwmDPPa9arKWOGV5jQtQ6fPEBUDl2sx_mLIg/edit#gid=1526067531"",""2025-26!ao4"")"),5648502.1899999995)</f>
        <v>5648502.19</v>
      </c>
      <c r="CK96" s="55">
        <f>IFERROR(__xludf.DUMMYFUNCTION("importrange(""https://docs.google.com/spreadsheets/d/1Qy4AhkrCwmDPPa9arKWOGV5jQtQ6fPEBUDl2sx_mLIg/edit#gid=1526067531"",""2025-26!ao3"")"),36.0)</f>
        <v>36</v>
      </c>
      <c r="CL96" s="59">
        <f t="shared" si="28"/>
        <v>0.9342641597</v>
      </c>
      <c r="CM96" s="55">
        <f>IFERROR(__xludf.DUMMYFUNCTION("importrange(""https://docs.google.com/spreadsheets/d/1Qy4AhkrCwmDPPa9arKWOGV5jQtQ6fPEBUDl2sx_mLIg/edit#gid=1526067531"",""2025-26!ap4"")"),7417360.0)</f>
        <v>7417360</v>
      </c>
      <c r="CN96" s="55">
        <f>IFERROR(__xludf.DUMMYFUNCTION("importrange(""https://docs.google.com/spreadsheets/d/1Qy4AhkrCwmDPPa9arKWOGV5jQtQ6fPEBUDl2sx_mLIg/edit#gid=1526067531"",""2025-26!ap3"")"),48.0)</f>
        <v>48</v>
      </c>
      <c r="CO96" s="55">
        <f>IFERROR(__xludf.DUMMYFUNCTION("importrange(""https://docs.google.com/spreadsheets/d/1Qy4AhkrCwmDPPa9arKWOGV5jQtQ6fPEBUDl2sx_mLIg/edit#gid=1526067531"",""2025-26!aq4"")"),7939253.499999998)</f>
        <v>7939253.5</v>
      </c>
      <c r="CP96" s="55">
        <f>IFERROR(__xludf.DUMMYFUNCTION("importrange(""https://docs.google.com/spreadsheets/d/1Qy4AhkrCwmDPPa9arKWOGV5jQtQ6fPEBUDl2sx_mLIg/edit#gid=1526067531"",""2025-26!aq3"")"),64.0)</f>
        <v>64</v>
      </c>
      <c r="CQ96" s="55">
        <f>IFERROR(__xludf.DUMMYFUNCTION("importrange(""https://docs.google.com/spreadsheets/d/1Qy4AhkrCwmDPPa9arKWOGV5jQtQ6fPEBUDl2sx_mLIg/edit#gid=1526067531"",""2025-26!ar4"")"),5246225.340000001)</f>
        <v>5246225.34</v>
      </c>
      <c r="CR96" s="55">
        <f>IFERROR(__xludf.DUMMYFUNCTION("importrange(""https://docs.google.com/spreadsheets/d/1Qy4AhkrCwmDPPa9arKWOGV5jQtQ6fPEBUDl2sx_mLIg/edit#gid=1526067531"",""2025-26!ar3"")"),36.0)</f>
        <v>36</v>
      </c>
      <c r="CS96" s="59">
        <f t="shared" si="29"/>
        <v>0.9152497776</v>
      </c>
      <c r="CT96" s="55">
        <f>IFERROR(__xludf.DUMMYFUNCTION("importrange(""https://docs.google.com/spreadsheets/d/1Qy4AhkrCwmDPPa9arKWOGV5jQtQ6fPEBUDl2sx_mLIg/edit#gid=1526067531"",""2025-26!as4"")"),7266400.0)</f>
        <v>7266400</v>
      </c>
      <c r="CU96" s="55">
        <f>IFERROR(__xludf.DUMMYFUNCTION("importrange(""https://docs.google.com/spreadsheets/d/1Qy4AhkrCwmDPPa9arKWOGV5jQtQ6fPEBUDl2sx_mLIg/edit#gid=1526067531"",""2025-26!as3"")"),51.0)</f>
        <v>51</v>
      </c>
      <c r="CV96" s="60" t="s">
        <v>215</v>
      </c>
    </row>
    <row r="97">
      <c r="A97" s="1" t="s">
        <v>185</v>
      </c>
      <c r="B97" s="37"/>
      <c r="C97" s="64" t="s">
        <v>218</v>
      </c>
      <c r="D97" s="68" t="s">
        <v>219</v>
      </c>
      <c r="E97" s="50">
        <v>8.825149163E9</v>
      </c>
      <c r="F97" s="78">
        <v>44396.0</v>
      </c>
      <c r="G97" s="62"/>
      <c r="H97" s="62"/>
      <c r="I97" s="53">
        <v>45167.0</v>
      </c>
      <c r="J97" s="54">
        <v>2500000.0</v>
      </c>
      <c r="K97" s="57">
        <f>IFERROR(__xludf.DUMMYFUNCTION("IMPORTRANGE(""https://docs.google.com/spreadsheets/d/1lrpW3ERBae84SZH5rLCIIaLpTHa8gnQDG_xpkiONU-Q/edit?gid=31348442#gid=31348442"",""2025-26!A3"")"),268.0)</f>
        <v>268</v>
      </c>
      <c r="L97" s="57">
        <f>IFERROR(__xludf.DUMMYFUNCTION("IMPORTRANGE(""https://docs.google.com/spreadsheets/d/1lrpW3ERBae84SZH5rLCIIaLpTHa8gnQDG_xpkiONU-Q/edit?gid=31348442#gid=31348442"",""2025-26!G4"")"),4.914E7)</f>
        <v>49140000</v>
      </c>
      <c r="M97" s="57">
        <f t="shared" si="50"/>
        <v>34762215</v>
      </c>
      <c r="N97" s="56">
        <f t="shared" si="51"/>
        <v>1.018062956</v>
      </c>
      <c r="O97" s="57">
        <f t="shared" si="52"/>
        <v>50027613.68</v>
      </c>
      <c r="P97" s="55">
        <f>IFERROR(__xludf.DUMMYFUNCTION("IMPORTRANGE(""https://docs.google.com/spreadsheets/d/1lrpW3ERBae84SZH5rLCIIaLpTHa8gnQDG_xpkiONU-Q/edit?gid=31348442#gid=31348442"",""2025-26!J4"")"),9016660.0)</f>
        <v>9016660</v>
      </c>
      <c r="Q97" s="55">
        <f>IFERROR(__xludf.DUMMYFUNCTION("IMPORTRANGE(""https://docs.google.com/spreadsheets/d/1lrpW3ERBae84SZH5rLCIIaLpTHa8gnQDG_xpkiONU-Q/edit?gid=31348442#gid=31348442"",""2025-26!J3"")"),153.0)</f>
        <v>153</v>
      </c>
      <c r="R97" s="55">
        <f>IFERROR(__xludf.DUMMYFUNCTION("IMPORTRANGE(""https://docs.google.com/spreadsheets/d/1lrpW3ERBae84SZH5rLCIIaLpTHa8gnQDG_xpkiONU-Q/edit?gid=31348442#gid=31348442"",""2025-26!K4"")"),2114007.5)</f>
        <v>2114007.5</v>
      </c>
      <c r="S97" s="55">
        <f>IFERROR(__xludf.DUMMYFUNCTION("IMPORTRANGE(""https://docs.google.com/spreadsheets/d/1lrpW3ERBae84SZH5rLCIIaLpTHa8gnQDG_xpkiONU-Q/edit?gid=31348442#gid=31348442"",""2025-26!K3"")"),23.0)</f>
        <v>23</v>
      </c>
      <c r="T97" s="58">
        <f t="shared" si="18"/>
        <v>0.3826857173</v>
      </c>
      <c r="U97" s="55">
        <f>IFERROR(__xludf.DUMMYFUNCTION("IMPORTRANGE(""https://docs.google.com/spreadsheets/d/1lrpW3ERBae84SZH5rLCIIaLpTHa8gnQDG_xpkiONU-Q/edit?gid=31348442#gid=31348442"",""2025-26!L4"")"),3450547.0)</f>
        <v>3450547</v>
      </c>
      <c r="V97" s="79">
        <f>IFERROR(__xludf.DUMMYFUNCTION("IMPORTRANGE(""https://docs.google.com/spreadsheets/d/1lrpW3ERBae84SZH5rLCIIaLpTHa8gnQDG_xpkiONU-Q/edit?gid=31348442#gid=31348442"",""2025-26!L3"")"),39.0)</f>
        <v>39</v>
      </c>
      <c r="W97" s="55">
        <f>IFERROR(__xludf.DUMMYFUNCTION("IMPORTRANGE(""https://docs.google.com/spreadsheets/d/1lrpW3ERBae84SZH5rLCIIaLpTHa8gnQDG_xpkiONU-Q/edit?gid=31348442#gid=31348442"",""2025-26!M4"")"),4819990.0)</f>
        <v>4819990</v>
      </c>
      <c r="X97" s="79">
        <f>IFERROR(__xludf.DUMMYFUNCTION("IMPORTRANGE(""https://docs.google.com/spreadsheets/d/1lrpW3ERBae84SZH5rLCIIaLpTHa8gnQDG_xpkiONU-Q/edit?gid=31348442#gid=31348442"",""2025-26!M3"")"),40.0)</f>
        <v>40</v>
      </c>
      <c r="Y97" s="55">
        <f>IFERROR(__xludf.DUMMYFUNCTION("importrange(""https://docs.google.com/spreadsheets/d/1lrpW3ERBae84SZH5rLCIIaLpTHa8gnQDG_xpkiONU-Q/edit?gid=31348442#gid=31348442"",""2025-26!n4"")"),2422805.62)</f>
        <v>2422805.62</v>
      </c>
      <c r="Z97" s="55">
        <f>IFERROR(__xludf.DUMMYFUNCTION("importrange(""https://docs.google.com/spreadsheets/d/1lrpW3ERBae84SZH5rLCIIaLpTHa8gnQDG_xpkiONU-Q/edit?gid=31348442#gid=31348442"",""2025-26!n3"")"),24.0)</f>
        <v>24</v>
      </c>
      <c r="AA97" s="58">
        <f t="shared" si="19"/>
        <v>0.6549138069</v>
      </c>
      <c r="AB97" s="55">
        <f>IFERROR(__xludf.DUMMYFUNCTION("importrange(""https://docs.google.com/spreadsheets/d/1lrpW3ERBae84SZH5rLCIIaLpTHa8gnQDG_xpkiONU-Q/edit?gid=31348442#gid=31348442"",""2025-26!o4"")"),3156678.0)</f>
        <v>3156678</v>
      </c>
      <c r="AC97" s="55">
        <f>IFERROR(__xludf.DUMMYFUNCTION("importrange(""https://docs.google.com/spreadsheets/d/1lrpW3ERBae84SZH5rLCIIaLpTHa8gnQDG_xpkiONU-Q/edit?gid=31348442#gid=31348442"",""2025-26!o3"")"),35.0)</f>
        <v>35</v>
      </c>
      <c r="AD97" s="55">
        <f>IFERROR(__xludf.DUMMYFUNCTION("importrange(""https://docs.google.com/spreadsheets/d/1lrpW3ERBae84SZH5rLCIIaLpTHa8gnQDG_xpkiONU-Q/edit?gid=31348442#gid=31348442"",""2025-26!p4"")"),4954990.0)</f>
        <v>4954990</v>
      </c>
      <c r="AE97" s="55">
        <f>IFERROR(__xludf.DUMMYFUNCTION("importrange(""https://docs.google.com/spreadsheets/d/1lrpW3ERBae84SZH5rLCIIaLpTHa8gnQDG_xpkiONU-Q/edit?gid=31348442#gid=31348442"",""2025-26!p3"")"),46.0)</f>
        <v>46</v>
      </c>
      <c r="AF97" s="55">
        <f>IFERROR(__xludf.DUMMYFUNCTION("importrange(""https://docs.google.com/spreadsheets/d/1lrpW3ERBae84SZH5rLCIIaLpTHa8gnQDG_xpkiONU-Q/edit?gid=31348442#gid=31348442"",""2025-26!q4"")"),2716219.98)</f>
        <v>2716219.98</v>
      </c>
      <c r="AG97" s="55">
        <f>IFERROR(__xludf.DUMMYFUNCTION("importrange(""https://docs.google.com/spreadsheets/d/1lrpW3ERBae84SZH5rLCIIaLpTHa8gnQDG_xpkiONU-Q/edit?gid=31348442#gid=31348442"",""2025-26!q3"")"),24.0)</f>
        <v>24</v>
      </c>
      <c r="AH97" s="58">
        <f t="shared" si="20"/>
        <v>0.7459621513</v>
      </c>
      <c r="AI97" s="55">
        <f>IFERROR(__xludf.DUMMYFUNCTION("importrange(""https://docs.google.com/spreadsheets/d/1lrpW3ERBae84SZH5rLCIIaLpTHa8gnQDG_xpkiONU-Q/edit?gid=31348442#gid=31348442"",""2025-26!r4"")"),3696235.0)</f>
        <v>3696235</v>
      </c>
      <c r="AJ97" s="55">
        <f>IFERROR(__xludf.DUMMYFUNCTION("importrange(""https://docs.google.com/spreadsheets/d/1lrpW3ERBae84SZH5rLCIIaLpTHa8gnQDG_xpkiONU-Q/edit?gid=31348442#gid=31348442"",""2025-26!r3"")"),30.0)</f>
        <v>30</v>
      </c>
      <c r="AK97" s="55">
        <f>IFERROR(__xludf.DUMMYFUNCTION("importrange(""https://docs.google.com/spreadsheets/d/1lrpW3ERBae84SZH5rLCIIaLpTHa8gnQDG_xpkiONU-Q/edit?gid=31348442#gid=31348442"",""2025-26!s4"")"),5034990.0)</f>
        <v>5034990</v>
      </c>
      <c r="AL97" s="55">
        <f>IFERROR(__xludf.DUMMYFUNCTION("importrange(""https://docs.google.com/spreadsheets/d/1lrpW3ERBae84SZH5rLCIIaLpTHa8gnQDG_xpkiONU-Q/edit?gid=31348442#gid=31348442"",""2025-26!s3"")"),45.0)</f>
        <v>45</v>
      </c>
      <c r="AM97" s="57">
        <f>IFERROR(__xludf.DUMMYFUNCTION("importrange(""https://docs.google.com/spreadsheets/d/1lrpW3ERBae84SZH5rLCIIaLpTHa8gnQDG_xpkiONU-Q/edit?gid=31348442#gid=31348442"",""2025-26!t4"")"),2624616.6599999997)</f>
        <v>2624616.66</v>
      </c>
      <c r="AN97" s="55">
        <f>IFERROR(__xludf.DUMMYFUNCTION("importrange(""https://docs.google.com/spreadsheets/d/1lrpW3ERBae84SZH5rLCIIaLpTHa8gnQDG_xpkiONU-Q/edit?gid=31348442#gid=31348442"",""2025-26!t3"")"),29.0)</f>
        <v>29</v>
      </c>
      <c r="AO97" s="58">
        <f t="shared" si="21"/>
        <v>0.6038795867</v>
      </c>
      <c r="AP97" s="55">
        <f>IFERROR(__xludf.DUMMYFUNCTION("importrange(""https://docs.google.com/spreadsheets/d/1lrpW3ERBae84SZH5rLCIIaLpTHa8gnQDG_xpkiONU-Q/edit?gid=31348442#gid=31348442"",""2025-26!u4"")"),3040527.6799999997)</f>
        <v>3040527.68</v>
      </c>
      <c r="AQ97" s="55">
        <f>IFERROR(__xludf.DUMMYFUNCTION("importrange(""https://docs.google.com/spreadsheets/d/1lrpW3ERBae84SZH5rLCIIaLpTHa8gnQDG_xpkiONU-Q/edit?gid=31348442#gid=31348442"",""2025-26!u3"")"),28.0)</f>
        <v>28</v>
      </c>
      <c r="AR97" s="55">
        <f>IFERROR(__xludf.DUMMYFUNCTION("importrange(""https://docs.google.com/spreadsheets/d/1lrpW3ERBae84SZH5rLCIIaLpTHa8gnQDG_xpkiONU-Q/edit?gid=31348442#gid=31348442"",""2025-26!v4"")"),5139990.0)</f>
        <v>5139990</v>
      </c>
      <c r="AS97" s="55">
        <f>IFERROR(__xludf.DUMMYFUNCTION("importrange(""https://docs.google.com/spreadsheets/d/1lrpW3ERBae84SZH5rLCIIaLpTHa8gnQDG_xpkiONU-Q/edit?gid=31348442#gid=31348442"",""2025-26!v3"")"),50.0)</f>
        <v>50</v>
      </c>
      <c r="AT97" s="57">
        <f>IFERROR(__xludf.DUMMYFUNCTION("importrange(""https://docs.google.com/spreadsheets/d/1lrpW3ERBae84SZH5rLCIIaLpTHa8gnQDG_xpkiONU-Q/edit?gid=31348442#gid=31348442"",""2025-26!w4"")"),2514086.449999999)</f>
        <v>2514086.45</v>
      </c>
      <c r="AU97" s="55">
        <f>IFERROR(__xludf.DUMMYFUNCTION("importrange(""https://docs.google.com/spreadsheets/d/1lrpW3ERBae84SZH5rLCIIaLpTHa8gnQDG_xpkiONU-Q/edit?gid=31348442#gid=31348442"",""2025-26!w3"")"),26.0)</f>
        <v>26</v>
      </c>
      <c r="AV97" s="58">
        <f t="shared" si="22"/>
        <v>0.7371716676</v>
      </c>
      <c r="AW97" s="55">
        <f>IFERROR(__xludf.DUMMYFUNCTION("importrange(""https://docs.google.com/spreadsheets/d/1lrpW3ERBae84SZH5rLCIIaLpTHa8gnQDG_xpkiONU-Q/edit?gid=31348442#gid=31348442"",""2025-26!x4"")"),3789055.0)</f>
        <v>3789055</v>
      </c>
      <c r="AX97" s="55">
        <f>IFERROR(__xludf.DUMMYFUNCTION("importrange(""https://docs.google.com/spreadsheets/d/1lrpW3ERBae84SZH5rLCIIaLpTHa8gnQDG_xpkiONU-Q/edit?gid=31348442#gid=31348442"",""2025-26!x3"")"),34.0)</f>
        <v>34</v>
      </c>
      <c r="AY97" s="55">
        <f>IFERROR(__xludf.DUMMYFUNCTION("importrange(""https://docs.google.com/spreadsheets/d/1lrpW3ERBae84SZH5rLCIIaLpTHa8gnQDG_xpkiONU-Q/edit?gid=31348442#gid=31348442"",""2025-26!y4"")"),4924990.0)</f>
        <v>4924990</v>
      </c>
      <c r="AZ97" s="55">
        <f>IFERROR(__xludf.DUMMYFUNCTION("importrange(""https://docs.google.com/spreadsheets/d/1lrpW3ERBae84SZH5rLCIIaLpTHa8gnQDG_xpkiONU-Q/edit?gid=31348442#gid=31348442"",""2025-26!y3"")"),44.0)</f>
        <v>44</v>
      </c>
      <c r="BA97" s="57">
        <f>IFERROR(__xludf.DUMMYFUNCTION("importrange(""https://docs.google.com/spreadsheets/d/1lrpW3ERBae84SZH5rLCIIaLpTHa8gnQDG_xpkiONU-Q/edit?gid=31348442#gid=31348442"",""2025-26!z4"")"),2687820.23)</f>
        <v>2687820.23</v>
      </c>
      <c r="BB97" s="55">
        <f>IFERROR(__xludf.DUMMYFUNCTION("importrange(""https://docs.google.com/spreadsheets/d/1lrpW3ERBae84SZH5rLCIIaLpTHa8gnQDG_xpkiONU-Q/edit?gid=31348442#gid=31348442"",""2025-26!z3"")"),21.0)</f>
        <v>21</v>
      </c>
      <c r="BC97" s="59">
        <f t="shared" si="23"/>
        <v>0.664326425</v>
      </c>
      <c r="BD97" s="55">
        <f>IFERROR(__xludf.DUMMYFUNCTION("importrange(""https://docs.google.com/spreadsheets/d/1lrpW3ERBae84SZH5rLCIIaLpTHa8gnQDG_xpkiONU-Q/edit?gid=31348442#gid=31348442"",""2025-26!aa4"")"),3271801.0)</f>
        <v>3271801</v>
      </c>
      <c r="BE97" s="55">
        <f>IFERROR(__xludf.DUMMYFUNCTION("importrange(""https://docs.google.com/spreadsheets/d/1lrpW3ERBae84SZH5rLCIIaLpTHa8gnQDG_xpkiONU-Q/edit?gid=31348442#gid=31348442"",""2025-26!aa3"")"),34.0)</f>
        <v>34</v>
      </c>
      <c r="BF97" s="55">
        <f>IFERROR(__xludf.DUMMYFUNCTION("importrange(""https://docs.google.com/spreadsheets/d/1lrpW3ERBae84SZH5rLCIIaLpTHa8gnQDG_xpkiONU-Q/edit?gid=31348442#gid=31348442"",""2025-26!ab4"")"),5039990.0)</f>
        <v>5039990</v>
      </c>
      <c r="BG97" s="55">
        <f>IFERROR(__xludf.DUMMYFUNCTION("importrange(""https://docs.google.com/spreadsheets/d/1lrpW3ERBae84SZH5rLCIIaLpTHa8gnQDG_xpkiONU-Q/edit?gid=31348442#gid=31348442"",""2025-26!ab3"")"),48.0)</f>
        <v>48</v>
      </c>
      <c r="BH97" s="55">
        <f>IFERROR(__xludf.DUMMYFUNCTION("importrange(""https://docs.google.com/spreadsheets/d/1lrpW3ERBae84SZH5rLCIIaLpTHa8gnQDG_xpkiONU-Q/edit?gid=31348442#gid=31348442"",""2025-26!ac4"")"),2674441.389999999)</f>
        <v>2674441.39</v>
      </c>
      <c r="BI97" s="55">
        <f>IFERROR(__xludf.DUMMYFUNCTION("importrange(""https://docs.google.com/spreadsheets/d/1lrpW3ERBae84SZH5rLCIIaLpTHa8gnQDG_xpkiONU-Q/edit?gid=31348442#gid=31348442"",""2025-26!ac3"")"),23.0)</f>
        <v>23</v>
      </c>
      <c r="BJ97" s="59">
        <f t="shared" si="24"/>
        <v>0.7097674797</v>
      </c>
      <c r="BK97" s="55">
        <f>IFERROR(__xludf.DUMMYFUNCTION("importrange(""https://docs.google.com/spreadsheets/d/1lrpW3ERBae84SZH5rLCIIaLpTHa8gnQDG_xpkiONU-Q/edit?gid=31348442#gid=31348442"",""2025-26!ad4"")"),3577221.0)</f>
        <v>3577221</v>
      </c>
      <c r="BL97" s="55">
        <f>IFERROR(__xludf.DUMMYFUNCTION("importrange(""https://docs.google.com/spreadsheets/d/1lrpW3ERBae84SZH5rLCIIaLpTHa8gnQDG_xpkiONU-Q/edit?gid=31348442#gid=31348442"",""2025-26!ad3"")"),36.0)</f>
        <v>36</v>
      </c>
      <c r="BM97" s="55">
        <f>IFERROR(__xludf.DUMMYFUNCTION("importrange(""https://docs.google.com/spreadsheets/d/1lrpW3ERBae84SZH5rLCIIaLpTHa8gnQDG_xpkiONU-Q/edit?gid=31348442#gid=31348442"",""2025-26!ae4"")"),5109990.0)</f>
        <v>5109990</v>
      </c>
      <c r="BN97" s="55">
        <f>IFERROR(__xludf.DUMMYFUNCTION("importrange(""https://docs.google.com/spreadsheets/d/1lrpW3ERBae84SZH5rLCIIaLpTHa8gnQDG_xpkiONU-Q/edit?gid=31348442#gid=31348442"",""2025-26!ae3"")"),48.0)</f>
        <v>48</v>
      </c>
      <c r="BO97" s="55">
        <f>IFERROR(__xludf.DUMMYFUNCTION("importrange(""https://docs.google.com/spreadsheets/d/1lrpW3ERBae84SZH5rLCIIaLpTHa8gnQDG_xpkiONU-Q/edit?gid=31348442#gid=31348442"",""2025-26!af4"")"),3004780.7)</f>
        <v>3004780.7</v>
      </c>
      <c r="BP97" s="55">
        <f>IFERROR(__xludf.DUMMYFUNCTION("importrange(""https://docs.google.com/spreadsheets/d/1lrpW3ERBae84SZH5rLCIIaLpTHa8gnQDG_xpkiONU-Q/edit?gid=31348442#gid=31348442"",""2025-26!af3"")"),35.0)</f>
        <v>35</v>
      </c>
      <c r="BQ97" s="59">
        <f t="shared" si="25"/>
        <v>1.213562649</v>
      </c>
      <c r="BR97" s="55">
        <f>IFERROR(__xludf.DUMMYFUNCTION("importrange(""https://docs.google.com/spreadsheets/d/1lrpW3ERBae84SZH5rLCIIaLpTHa8gnQDG_xpkiONU-Q/edit?gid=31348442#gid=31348442"",""2025-26!ag4"")"),6201293.0)</f>
        <v>6201293</v>
      </c>
      <c r="BS97" s="55">
        <f>IFERROR(__xludf.DUMMYFUNCTION("importrange(""https://docs.google.com/spreadsheets/d/1lrpW3ERBae84SZH5rLCIIaLpTHa8gnQDG_xpkiONU-Q/edit?gid=31348442#gid=31348442"",""2025-26!ag3"")"),62.0)</f>
        <v>62</v>
      </c>
      <c r="BT97" s="55">
        <f>IFERROR(__xludf.DUMMYFUNCTION("importrange(""https://docs.google.com/spreadsheets/d/1lrpW3ERBae84SZH5rLCIIaLpTHa8gnQDG_xpkiONU-Q/edit?gid=31348442#gid=31348442"",""2025-26!ah4"")"),5054990.0)</f>
        <v>5054990</v>
      </c>
      <c r="BU97" s="55">
        <f>IFERROR(__xludf.DUMMYFUNCTION("importrange(""https://docs.google.com/spreadsheets/d/1lrpW3ERBae84SZH5rLCIIaLpTHa8gnQDG_xpkiONU-Q/edit?gid=31348442#gid=31348442"",""2025-26!ah3"")"),47.0)</f>
        <v>47</v>
      </c>
      <c r="BV97" s="55">
        <f>IFERROR(__xludf.DUMMYFUNCTION("importrange(""https://docs.google.com/spreadsheets/d/1lrpW3ERBae84SZH5rLCIIaLpTHa8gnQDG_xpkiONU-Q/edit?gid=31348442#gid=31348442"",""2025-26!ai4"")"),3368875.070000001)</f>
        <v>3368875.07</v>
      </c>
      <c r="BW97" s="55">
        <f>IFERROR(__xludf.DUMMYFUNCTION("importrange(""https://docs.google.com/spreadsheets/d/1lrpW3ERBae84SZH5rLCIIaLpTHa8gnQDG_xpkiONU-Q/edit?gid=31348442#gid=31348442"",""2025-26!ai3"")"),34.0)</f>
        <v>34</v>
      </c>
      <c r="BX97" s="59">
        <f t="shared" si="26"/>
        <v>0.7775659299</v>
      </c>
      <c r="BY97" s="55">
        <f>IFERROR(__xludf.DUMMYFUNCTION("importrange(""https://docs.google.com/spreadsheets/d/1lrpW3ERBae84SZH5rLCIIaLpTHa8gnQDG_xpkiONU-Q/edit?gid=31348442#gid=31348442"",""2025-26!aj4"")"),3930588.0)</f>
        <v>3930588</v>
      </c>
      <c r="BZ97" s="55">
        <f>IFERROR(__xludf.DUMMYFUNCTION("importrange(""https://docs.google.com/spreadsheets/d/1lrpW3ERBae84SZH5rLCIIaLpTHa8gnQDG_xpkiONU-Q/edit?gid=31348442#gid=31348442"",""2025-26!aj3"")"),41.0)</f>
        <v>41</v>
      </c>
      <c r="CA97" s="55">
        <f>IFERROR(__xludf.DUMMYFUNCTION("importrange(""https://docs.google.com/spreadsheets/d/1lrpW3ERBae84SZH5rLCIIaLpTHa8gnQDG_xpkiONU-Q/edit?gid=31348442#gid=31348442"",""2025-26!ak4"")"),4979990.0)</f>
        <v>4979990</v>
      </c>
      <c r="CB97" s="55">
        <f>IFERROR(__xludf.DUMMYFUNCTION("importrange(""https://docs.google.com/spreadsheets/d/1lrpW3ERBae84SZH5rLCIIaLpTHa8gnQDG_xpkiONU-Q/edit?gid=31348442#gid=31348442"",""2025-26!ak3"")"),45.0)</f>
        <v>45</v>
      </c>
      <c r="CC97" s="55">
        <f>IFERROR(__xludf.DUMMYFUNCTION("importrange(""https://docs.google.com/spreadsheets/d/1lrpW3ERBae84SZH5rLCIIaLpTHa8gnQDG_xpkiONU-Q/edit?gid=31348442#gid=31348442"",""2025-26!al4"")"),3048145.7399999998)</f>
        <v>3048145.74</v>
      </c>
      <c r="CD97" s="55">
        <f>IFERROR(__xludf.DUMMYFUNCTION("importrange(""https://docs.google.com/spreadsheets/d/1lrpW3ERBae84SZH5rLCIIaLpTHa8gnQDG_xpkiONU-Q/edit?gid=31348442#gid=31348442"",""2025-26!ai3"")"),34.0)</f>
        <v>34</v>
      </c>
      <c r="CE97" s="59">
        <f t="shared" si="27"/>
        <v>0.913250629</v>
      </c>
      <c r="CF97" s="55">
        <f>IFERROR(__xludf.DUMMYFUNCTION("importrange(""https://docs.google.com/spreadsheets/d/1lrpW3ERBae84SZH5rLCIIaLpTHa8gnQDG_xpkiONU-Q/edit?gid=31348442#gid=31348442"",""2025-26!am4"")"),4547979.0)</f>
        <v>4547979</v>
      </c>
      <c r="CG97" s="55">
        <f>IFERROR(__xludf.DUMMYFUNCTION("importrange(""https://docs.google.com/spreadsheets/d/1lrpW3ERBae84SZH5rLCIIaLpTHa8gnQDG_xpkiONU-Q/edit?gid=31348442#gid=31348442"",""2025-26!am3"")"),54.0)</f>
        <v>54</v>
      </c>
      <c r="CH97" s="55">
        <f>IFERROR(__xludf.DUMMYFUNCTION("importrange(""https://docs.google.com/spreadsheets/d/1lrpW3ERBae84SZH5rLCIIaLpTHa8gnQDG_xpkiONU-Q/edit?gid=31348442#gid=31348442"",""2025-26!an4"")"),4944990.0)</f>
        <v>4944990</v>
      </c>
      <c r="CI97" s="55">
        <f>IFERROR(__xludf.DUMMYFUNCTION("importrange(""https://docs.google.com/spreadsheets/d/1lrpW3ERBae84SZH5rLCIIaLpTHa8gnQDG_xpkiONU-Q/edit?gid=31348442#gid=31348442"",""2025-26!an3"")"),46.0)</f>
        <v>46</v>
      </c>
      <c r="CJ97" s="55">
        <f>IFERROR(__xludf.DUMMYFUNCTION("importrange(""https://docs.google.com/spreadsheets/d/1lrpW3ERBae84SZH5rLCIIaLpTHa8gnQDG_xpkiONU-Q/edit?gid=31348442#gid=31348442"",""2025-26!ao4"")"),3947703.4299999992)</f>
        <v>3947703.43</v>
      </c>
      <c r="CK97" s="55">
        <f>IFERROR(__xludf.DUMMYFUNCTION("importrange(""https://docs.google.com/spreadsheets/d/1lrpW3ERBae84SZH5rLCIIaLpTHa8gnQDG_xpkiONU-Q/edit?gid=31348442#gid=31348442"",""2025-26!ao3"")"),41.0)</f>
        <v>41</v>
      </c>
      <c r="CL97" s="59">
        <f t="shared" si="28"/>
        <v>1.120952722</v>
      </c>
      <c r="CM97" s="55">
        <f>IFERROR(__xludf.DUMMYFUNCTION("importrange(""https://docs.google.com/spreadsheets/d/1lrpW3ERBae84SZH5rLCIIaLpTHa8gnQDG_xpkiONU-Q/edit?gid=31348442#gid=31348442"",""2025-26!ap4"")"),5543100.0)</f>
        <v>5543100</v>
      </c>
      <c r="CN97" s="55">
        <f>IFERROR(__xludf.DUMMYFUNCTION("importrange(""https://docs.google.com/spreadsheets/d/1lrpW3ERBae84SZH5rLCIIaLpTHa8gnQDG_xpkiONU-Q/edit?gid=31348442#gid=31348442"",""2025-26!ap3"")"),53.0)</f>
        <v>53</v>
      </c>
      <c r="CO97" s="55">
        <f>IFERROR(__xludf.DUMMYFUNCTION("importrange(""https://docs.google.com/spreadsheets/d/1lrpW3ERBae84SZH5rLCIIaLpTHa8gnQDG_xpkiONU-Q/edit?gid=31348442#gid=31348442"",""2025-26!aq4"")"),5269990.0)</f>
        <v>5269990</v>
      </c>
      <c r="CP97" s="55">
        <f>IFERROR(__xludf.DUMMYFUNCTION("importrange(""https://docs.google.com/spreadsheets/d/1lrpW3ERBae84SZH5rLCIIaLpTHa8gnQDG_xpkiONU-Q/edit?gid=31348442#gid=31348442"",""2025-26!aq3"")"),53.0)</f>
        <v>53</v>
      </c>
      <c r="CQ97" s="55">
        <f>IFERROR(__xludf.DUMMYFUNCTION("importrange(""https://docs.google.com/spreadsheets/d/1lrpW3ERBae84SZH5rLCIIaLpTHa8gnQDG_xpkiONU-Q/edit?gid=31348442#gid=31348442"",""2025-26!ar4"")"),3638712.229999999)</f>
        <v>3638712.23</v>
      </c>
      <c r="CR97" s="55">
        <f>IFERROR(__xludf.DUMMYFUNCTION("importrange(""https://docs.google.com/spreadsheets/d/1lrpW3ERBae84SZH5rLCIIaLpTHa8gnQDG_xpkiONU-Q/edit?gid=31348442#gid=31348442"",""2025-26!ar3"")"),46.0)</f>
        <v>46</v>
      </c>
      <c r="CS97" s="59">
        <f t="shared" si="29"/>
        <v>1.104857694</v>
      </c>
      <c r="CT97" s="55">
        <f>IFERROR(__xludf.DUMMYFUNCTION("importrange(""https://docs.google.com/spreadsheets/d/1lrpW3ERBae84SZH5rLCIIaLpTHa8gnQDG_xpkiONU-Q/edit?gid=31348442#gid=31348442"",""2025-26!as4"")"),5822589.0)</f>
        <v>5822589</v>
      </c>
      <c r="CU97" s="55">
        <f>IFERROR(__xludf.DUMMYFUNCTION("importrange(""https://docs.google.com/spreadsheets/d/1lrpW3ERBae84SZH5rLCIIaLpTHa8gnQDG_xpkiONU-Q/edit?gid=31348442#gid=31348442"",""2025-26!as3"")"),50.0)</f>
        <v>50</v>
      </c>
      <c r="CV97" s="60" t="s">
        <v>212</v>
      </c>
    </row>
    <row r="98">
      <c r="A98" s="1" t="s">
        <v>185</v>
      </c>
      <c r="B98" s="37"/>
      <c r="C98" s="90" t="s">
        <v>220</v>
      </c>
      <c r="D98" s="50" t="s">
        <v>221</v>
      </c>
      <c r="E98" s="50">
        <v>7.002356262E9</v>
      </c>
      <c r="F98" s="74">
        <v>44501.0</v>
      </c>
      <c r="G98" s="62"/>
      <c r="H98" s="62"/>
      <c r="I98" s="53">
        <v>48220.0</v>
      </c>
      <c r="J98" s="54">
        <v>4500000.0</v>
      </c>
      <c r="K98" s="57">
        <f>IFERROR(__xludf.DUMMYFUNCTION("IMPORTRANGE(""1SRwam8SNlw4sXl322moV7twW0wJxVm4N5PRJuC10VAA"",""2025-26!A3"")"),110.0)</f>
        <v>110</v>
      </c>
      <c r="L98" s="57">
        <f>IFERROR(__xludf.DUMMYFUNCTION("IMPORTRANGE(""1SRwam8SNlw4sXl322moV7twW0wJxVm4N5PRJuC10VAA"",""2025-26!G4"")"),3.333E7)</f>
        <v>33330000</v>
      </c>
      <c r="M98" s="57">
        <f t="shared" si="50"/>
        <v>40902035</v>
      </c>
      <c r="N98" s="56">
        <f t="shared" si="51"/>
        <v>1.226433483</v>
      </c>
      <c r="O98" s="57">
        <f t="shared" si="52"/>
        <v>40877028</v>
      </c>
      <c r="P98" s="55">
        <f>IFERROR(__xludf.DUMMYFUNCTION("IMPORTRANGE(""1SRwam8SNlw4sXl322moV7twW0wJxVm4N5PRJuC10VAA"",""2025-26!J4"")"),8660008.0)</f>
        <v>8660008</v>
      </c>
      <c r="Q98" s="55">
        <f>IFERROR(__xludf.DUMMYFUNCTION("IMPORTRANGE(""1SRwam8SNlw4sXl322moV7twW0wJxVm4N5PRJuC10VAA"",""2025-26!J3"")"),29.0)</f>
        <v>29</v>
      </c>
      <c r="R98" s="55">
        <f>IFERROR(__xludf.DUMMYFUNCTION("IMPORTRANGE(""1SRwam8SNlw4sXl322moV7twW0wJxVm4N5PRJuC10VAA"",""2025-26!K4"")"),3738395.2)</f>
        <v>3738395.2</v>
      </c>
      <c r="S98" s="55">
        <f>IFERROR(__xludf.DUMMYFUNCTION("IMPORTRANGE(""1SRwam8SNlw4sXl322moV7twW0wJxVm4N5PRJuC10VAA"",""2025-26!K3"")"),22.0)</f>
        <v>22</v>
      </c>
      <c r="T98" s="58">
        <f t="shared" si="18"/>
        <v>0.4288527216</v>
      </c>
      <c r="U98" s="55">
        <f>IFERROR(__xludf.DUMMYFUNCTION("IMPORTRANGE(""1SRwam8SNlw4sXl322moV7twW0wJxVm4N5PRJuC10VAA"",""2025-26!L4"")"),3713868.0)</f>
        <v>3713868</v>
      </c>
      <c r="V98" s="79">
        <f>IFERROR(__xludf.DUMMYFUNCTION("IMPORTRANGE(""1SRwam8SNlw4sXl322moV7twW0wJxVm4N5PRJuC10VAA"",""2025-26!L3"")"),21.0)</f>
        <v>21</v>
      </c>
      <c r="W98" s="55">
        <f>IFERROR(__xludf.DUMMYFUNCTION("IMPORTRANGE(""1SRwam8SNlw4sXl322moV7twW0wJxVm4N5PRJuC10VAA"",""2025-26!M4"")"),6400007.0)</f>
        <v>6400007</v>
      </c>
      <c r="X98" s="79">
        <f>IFERROR(__xludf.DUMMYFUNCTION("IMPORTRANGE(""1SRwam8SNlw4sXl322moV7twW0wJxVm4N5PRJuC10VAA"",""2025-26!M3"")"),25.0)</f>
        <v>25</v>
      </c>
      <c r="Y98" s="55">
        <f>IFERROR(__xludf.DUMMYFUNCTION("importrange(""1SRwam8SNlw4sXl322moV7twW0wJxVm4N5PRJuC10VAA"",""2025-26!n4"")"),3824948.1999999997)</f>
        <v>3824948.2</v>
      </c>
      <c r="Z98" s="55">
        <f>IFERROR(__xludf.DUMMYFUNCTION("importrange(""1SRwam8SNlw4sXl322moV7twW0wJxVm4N5PRJuC10VAA"",""2025-26!n3"")"),19.0)</f>
        <v>19</v>
      </c>
      <c r="AA98" s="58">
        <f t="shared" si="19"/>
        <v>0.5976466901</v>
      </c>
      <c r="AB98" s="55">
        <f>IFERROR(__xludf.DUMMYFUNCTION("importrange(""1SRwam8SNlw4sXl322moV7twW0wJxVm4N5PRJuC10VAA"",""2025-26!o4"")"),3824943.0)</f>
        <v>3824943</v>
      </c>
      <c r="AC98" s="55">
        <f>IFERROR(__xludf.DUMMYFUNCTION("importrange(""1SRwam8SNlw4sXl322moV7twW0wJxVm4N5PRJuC10VAA"",""2025-26!o3"")"),19.0)</f>
        <v>19</v>
      </c>
      <c r="AD98" s="55">
        <f>IFERROR(__xludf.DUMMYFUNCTION("importrange(""1SRwam8SNlw4sXl322moV7twW0wJxVm4N5PRJuC10VAA"",""2025-26!p4"")"),3300003.0)</f>
        <v>3300003</v>
      </c>
      <c r="AE98" s="55">
        <f>IFERROR(__xludf.DUMMYFUNCTION("importrange(""1SRwam8SNlw4sXl322moV7twW0wJxVm4N5PRJuC10VAA"",""2025-26!p3"")"),11.0)</f>
        <v>11</v>
      </c>
      <c r="AF98" s="55">
        <f>IFERROR(__xludf.DUMMYFUNCTION("importrange(""1SRwam8SNlw4sXl322moV7twW0wJxVm4N5PRJuC10VAA"",""2025-26!q4"")"),3513708.8)</f>
        <v>3513708.8</v>
      </c>
      <c r="AG98" s="55">
        <f>IFERROR(__xludf.DUMMYFUNCTION("importrange(""1SRwam8SNlw4sXl322moV7twW0wJxVm4N5PRJuC10VAA"",""2025-26!q3"")"),18.0)</f>
        <v>18</v>
      </c>
      <c r="AH98" s="58">
        <f t="shared" si="20"/>
        <v>1.064741153</v>
      </c>
      <c r="AI98" s="55">
        <f>IFERROR(__xludf.DUMMYFUNCTION("importrange(""1SRwam8SNlw4sXl322moV7twW0wJxVm4N5PRJuC10VAA"",""2025-26!r4"")"),3513649.0)</f>
        <v>3513649</v>
      </c>
      <c r="AJ98" s="55">
        <f>IFERROR(__xludf.DUMMYFUNCTION("importrange(""1SRwam8SNlw4sXl322moV7twW0wJxVm4N5PRJuC10VAA"",""2025-26!r3"")"),18.0)</f>
        <v>18</v>
      </c>
      <c r="AK98" s="55">
        <f>IFERROR(__xludf.DUMMYFUNCTION("importrange(""1SRwam8SNlw4sXl322moV7twW0wJxVm4N5PRJuC10VAA"",""2025-26!s4"")"),2.095E7)</f>
        <v>20950000</v>
      </c>
      <c r="AL98" s="55">
        <f>IFERROR(__xludf.DUMMYFUNCTION("importrange(""1SRwam8SNlw4sXl322moV7twW0wJxVm4N5PRJuC10VAA"",""2025-26!s3"")"),31.0)</f>
        <v>31</v>
      </c>
      <c r="AM98" s="57">
        <f>IFERROR(__xludf.DUMMYFUNCTION("importrange(""1SRwam8SNlw4sXl322moV7twW0wJxVm4N5PRJuC10VAA"",""2025-26!t4"")"),3382509.84)</f>
        <v>3382509.84</v>
      </c>
      <c r="AN98" s="55">
        <f>IFERROR(__xludf.DUMMYFUNCTION("importrange(""1SRwam8SNlw4sXl322moV7twW0wJxVm4N5PRJuC10VAA"",""2025-26!t3"")"),23.0)</f>
        <v>23</v>
      </c>
      <c r="AO98" s="58">
        <f t="shared" si="21"/>
        <v>0.161455895</v>
      </c>
      <c r="AP98" s="55">
        <f>IFERROR(__xludf.DUMMYFUNCTION("importrange(""1SRwam8SNlw4sXl322moV7twW0wJxVm4N5PRJuC10VAA"",""2025-26!u4"")"),3382501.0)</f>
        <v>3382501</v>
      </c>
      <c r="AQ98" s="55">
        <f>IFERROR(__xludf.DUMMYFUNCTION("importrange(""1SRwam8SNlw4sXl322moV7twW0wJxVm4N5PRJuC10VAA"",""2025-26!u3"")"),23.0)</f>
        <v>23</v>
      </c>
      <c r="AR98" s="55">
        <f>IFERROR(__xludf.DUMMYFUNCTION("importrange(""1SRwam8SNlw4sXl322moV7twW0wJxVm4N5PRJuC10VAA"",""2025-26!v4"")"),250000.0)</f>
        <v>250000</v>
      </c>
      <c r="AS98" s="55">
        <f>IFERROR(__xludf.DUMMYFUNCTION("importrange(""1SRwam8SNlw4sXl322moV7twW0wJxVm4N5PRJuC10VAA"",""2025-26!v3"")"),3.0)</f>
        <v>3</v>
      </c>
      <c r="AT98" s="57">
        <f>IFERROR(__xludf.DUMMYFUNCTION("importrange(""1SRwam8SNlw4sXl322moV7twW0wJxVm4N5PRJuC10VAA"",""2025-26!w4"")"),3374290.3)</f>
        <v>3374290.3</v>
      </c>
      <c r="AU98" s="55">
        <f>IFERROR(__xludf.DUMMYFUNCTION("importrange(""1SRwam8SNlw4sXl322moV7twW0wJxVm4N5PRJuC10VAA"",""2025-26!w3"")"),23.0)</f>
        <v>23</v>
      </c>
      <c r="AV98" s="58">
        <f t="shared" si="22"/>
        <v>13.500492</v>
      </c>
      <c r="AW98" s="55">
        <f>IFERROR(__xludf.DUMMYFUNCTION("importrange(""1SRwam8SNlw4sXl322moV7twW0wJxVm4N5PRJuC10VAA"",""2025-26!x4"")"),3375123.0)</f>
        <v>3375123</v>
      </c>
      <c r="AX98" s="55">
        <f>IFERROR(__xludf.DUMMYFUNCTION("importrange(""1SRwam8SNlw4sXl322moV7twW0wJxVm4N5PRJuC10VAA"",""2025-26!x3"")"),23.0)</f>
        <v>23</v>
      </c>
      <c r="AY98" s="55">
        <f>IFERROR(__xludf.DUMMYFUNCTION("importrange(""1SRwam8SNlw4sXl322moV7twW0wJxVm4N5PRJuC10VAA"",""2025-26!y4"")"),8660000.0)</f>
        <v>8660000</v>
      </c>
      <c r="AZ98" s="55">
        <f>IFERROR(__xludf.DUMMYFUNCTION("importrange(""1SRwam8SNlw4sXl322moV7twW0wJxVm4N5PRJuC10VAA"",""2025-26!y3"")"),29.0)</f>
        <v>29</v>
      </c>
      <c r="BA98" s="57">
        <f>IFERROR(__xludf.DUMMYFUNCTION("importrange(""1SRwam8SNlw4sXl322moV7twW0wJxVm4N5PRJuC10VAA"",""2025-26!z4"")"),3376555.3299999996)</f>
        <v>3376555.33</v>
      </c>
      <c r="BB98" s="55">
        <f>IFERROR(__xludf.DUMMYFUNCTION("importrange(""1SRwam8SNlw4sXl322moV7twW0wJxVm4N5PRJuC10VAA"",""2025-26!z3"")"),22.0)</f>
        <v>22</v>
      </c>
      <c r="BC98" s="59">
        <f t="shared" si="23"/>
        <v>0.3897771363</v>
      </c>
      <c r="BD98" s="55">
        <f>IFERROR(__xludf.DUMMYFUNCTION("importrange(""1SRwam8SNlw4sXl322moV7twW0wJxVm4N5PRJuC10VAA"",""2025-26!aa4"")"),3375470.0)</f>
        <v>3375470</v>
      </c>
      <c r="BE98" s="55">
        <f>IFERROR(__xludf.DUMMYFUNCTION("importrange(""1SRwam8SNlw4sXl322moV7twW0wJxVm4N5PRJuC10VAA"",""2025-26!aa3"")"),21.0)</f>
        <v>21</v>
      </c>
      <c r="BF98" s="55">
        <f>IFERROR(__xludf.DUMMYFUNCTION("importrange(""1SRwam8SNlw4sXl322moV7twW0wJxVm4N5PRJuC10VAA"",""2025-26!ab4"")"),6400000.0)</f>
        <v>6400000</v>
      </c>
      <c r="BG98" s="55">
        <f>IFERROR(__xludf.DUMMYFUNCTION("importrange(""1SRwam8SNlw4sXl322moV7twW0wJxVm4N5PRJuC10VAA"",""2025-26!ab3"")"),25.0)</f>
        <v>25</v>
      </c>
      <c r="BH98" s="55">
        <f>IFERROR(__xludf.DUMMYFUNCTION("importrange(""1SRwam8SNlw4sXl322moV7twW0wJxVm4N5PRJuC10VAA"",""2025-26!ac4"")"),3428321.899999999)</f>
        <v>3428321.9</v>
      </c>
      <c r="BI98" s="55">
        <f>IFERROR(__xludf.DUMMYFUNCTION("importrange(""1SRwam8SNlw4sXl322moV7twW0wJxVm4N5PRJuC10VAA"",""2025-26!ac3"")"),19.0)</f>
        <v>19</v>
      </c>
      <c r="BJ98" s="59">
        <f t="shared" si="24"/>
        <v>0.5356595313</v>
      </c>
      <c r="BK98" s="55">
        <f>IFERROR(__xludf.DUMMYFUNCTION("importrange(""1SRwam8SNlw4sXl322moV7twW0wJxVm4N5PRJuC10VAA"",""2025-26!ad4"")"),3428221.0)</f>
        <v>3428221</v>
      </c>
      <c r="BL98" s="55">
        <f>IFERROR(__xludf.DUMMYFUNCTION("importrange(""1SRwam8SNlw4sXl322moV7twW0wJxVm4N5PRJuC10VAA"",""2025-26!ad3"")"),19.0)</f>
        <v>19</v>
      </c>
      <c r="BM98" s="55">
        <f>IFERROR(__xludf.DUMMYFUNCTION("importrange(""1SRwam8SNlw4sXl322moV7twW0wJxVm4N5PRJuC10VAA"",""2025-26!ae4"")"),3300000.0)</f>
        <v>3300000</v>
      </c>
      <c r="BN98" s="55">
        <f>IFERROR(__xludf.DUMMYFUNCTION("importrange(""1SRwam8SNlw4sXl322moV7twW0wJxVm4N5PRJuC10VAA"",""2025-26!ae3"")"),11.0)</f>
        <v>11</v>
      </c>
      <c r="BO98" s="55">
        <f>IFERROR(__xludf.DUMMYFUNCTION("importrange(""1SRwam8SNlw4sXl322moV7twW0wJxVm4N5PRJuC10VAA"",""2025-26!af4"")"),3375176.0500000003)</f>
        <v>3375176.05</v>
      </c>
      <c r="BP98" s="55">
        <f>IFERROR(__xludf.DUMMYFUNCTION("importrange(""1SRwam8SNlw4sXl322moV7twW0wJxVm4N5PRJuC10VAA"",""2025-26!af3"")"),24.0)</f>
        <v>24</v>
      </c>
      <c r="BQ98" s="59">
        <f t="shared" si="25"/>
        <v>1.022770606</v>
      </c>
      <c r="BR98" s="55">
        <f>IFERROR(__xludf.DUMMYFUNCTION("importrange(""1SRwam8SNlw4sXl322moV7twW0wJxVm4N5PRJuC10VAA"",""2025-26!ag4"")"),3375143.0)</f>
        <v>3375143</v>
      </c>
      <c r="BS98" s="55">
        <f>IFERROR(__xludf.DUMMYFUNCTION("importrange(""1SRwam8SNlw4sXl322moV7twW0wJxVm4N5PRJuC10VAA"",""2025-26!ag3"")"),24.0)</f>
        <v>24</v>
      </c>
      <c r="BT98" s="55">
        <f>IFERROR(__xludf.DUMMYFUNCTION("importrange(""1SRwam8SNlw4sXl322moV7twW0wJxVm4N5PRJuC10VAA"",""2025-26!ah4"")"),2.095E7)</f>
        <v>20950000</v>
      </c>
      <c r="BU98" s="55">
        <f>IFERROR(__xludf.DUMMYFUNCTION("importrange(""1SRwam8SNlw4sXl322moV7twW0wJxVm4N5PRJuC10VAA"",""2025-26!ah3"")"),31.0)</f>
        <v>31</v>
      </c>
      <c r="BV98" s="55">
        <f>IFERROR(__xludf.DUMMYFUNCTION("importrange(""1SRwam8SNlw4sXl322moV7twW0wJxVm4N5PRJuC10VAA"",""2025-26!ai4"")"),3376269.6)</f>
        <v>3376269.6</v>
      </c>
      <c r="BW98" s="55">
        <f>IFERROR(__xludf.DUMMYFUNCTION("importrange(""1SRwam8SNlw4sXl322moV7twW0wJxVm4N5PRJuC10VAA"",""2025-26!ai3"")"),21.0)</f>
        <v>21</v>
      </c>
      <c r="BX98" s="59">
        <f t="shared" si="26"/>
        <v>0.1611582816</v>
      </c>
      <c r="BY98" s="55">
        <f>IFERROR(__xludf.DUMMYFUNCTION("importrange(""1SRwam8SNlw4sXl322moV7twW0wJxVm4N5PRJuC10VAA"",""2025-26!aj4"")"),3376266.0)</f>
        <v>3376266</v>
      </c>
      <c r="BZ98" s="55">
        <f>IFERROR(__xludf.DUMMYFUNCTION("importrange(""1SRwam8SNlw4sXl322moV7twW0wJxVm4N5PRJuC10VAA"",""2025-26!aj3"")"),21.0)</f>
        <v>21</v>
      </c>
      <c r="CA98" s="55">
        <f>IFERROR(__xludf.DUMMYFUNCTION("importrange(""1SRwam8SNlw4sXl322moV7twW0wJxVm4N5PRJuC10VAA"",""2025-26!ak4"")"),250000.0)</f>
        <v>250000</v>
      </c>
      <c r="CB98" s="55">
        <f>IFERROR(__xludf.DUMMYFUNCTION("importrange(""1SRwam8SNlw4sXl322moV7twW0wJxVm4N5PRJuC10VAA"",""2025-26!ak3"")"),3.0)</f>
        <v>3</v>
      </c>
      <c r="CC98" s="55">
        <f>IFERROR(__xludf.DUMMYFUNCTION("importrange(""1SRwam8SNlw4sXl322moV7twW0wJxVm4N5PRJuC10VAA"",""2025-26!al4"")"),3246260.4699999997)</f>
        <v>3246260.47</v>
      </c>
      <c r="CD98" s="55">
        <f>IFERROR(__xludf.DUMMYFUNCTION("importrange(""1SRwam8SNlw4sXl322moV7twW0wJxVm4N5PRJuC10VAA"",""2025-26!ai3"")"),21.0)</f>
        <v>21</v>
      </c>
      <c r="CE98" s="59">
        <f t="shared" si="27"/>
        <v>12.98504</v>
      </c>
      <c r="CF98" s="55">
        <f>IFERROR(__xludf.DUMMYFUNCTION("importrange(""1SRwam8SNlw4sXl322moV7twW0wJxVm4N5PRJuC10VAA"",""2025-26!am4"")"),3246260.0)</f>
        <v>3246260</v>
      </c>
      <c r="CG98" s="55">
        <f>IFERROR(__xludf.DUMMYFUNCTION("importrange(""1SRwam8SNlw4sXl322moV7twW0wJxVm4N5PRJuC10VAA"",""2025-26!am3"")"),20.0)</f>
        <v>20</v>
      </c>
      <c r="CH98" s="55">
        <f>IFERROR(__xludf.DUMMYFUNCTION("importrange(""1SRwam8SNlw4sXl322moV7twW0wJxVm4N5PRJuC10VAA"",""2025-26!an4"")"),8660002.0)</f>
        <v>8660002</v>
      </c>
      <c r="CI98" s="55">
        <f>IFERROR(__xludf.DUMMYFUNCTION("importrange(""1SRwam8SNlw4sXl322moV7twW0wJxVm4N5PRJuC10VAA"",""2025-26!an3"")"),29.0)</f>
        <v>29</v>
      </c>
      <c r="CJ98" s="55">
        <f>IFERROR(__xludf.DUMMYFUNCTION("importrange(""1SRwam8SNlw4sXl322moV7twW0wJxVm4N5PRJuC10VAA"",""2025-26!ao4"")"),4060409.9799999986)</f>
        <v>4060409.98</v>
      </c>
      <c r="CK98" s="55">
        <f>IFERROR(__xludf.DUMMYFUNCTION("importrange(""1SRwam8SNlw4sXl322moV7twW0wJxVm4N5PRJuC10VAA"",""2025-26!ao3"")"),18.0)</f>
        <v>18</v>
      </c>
      <c r="CL98" s="59">
        <f t="shared" si="28"/>
        <v>0.4688676746</v>
      </c>
      <c r="CM98" s="55">
        <f>IFERROR(__xludf.DUMMYFUNCTION("importrange(""1SRwam8SNlw4sXl322moV7twW0wJxVm4N5PRJuC10VAA"",""2025-26!ap4"")"),4060395.0)</f>
        <v>4060395</v>
      </c>
      <c r="CN98" s="55">
        <f>IFERROR(__xludf.DUMMYFUNCTION("importrange(""1SRwam8SNlw4sXl322moV7twW0wJxVm4N5PRJuC10VAA"",""2025-26!ap3"")"),18.0)</f>
        <v>18</v>
      </c>
      <c r="CO98" s="55">
        <f>IFERROR(__xludf.DUMMYFUNCTION("importrange(""1SRwam8SNlw4sXl322moV7twW0wJxVm4N5PRJuC10VAA"",""2025-26!aq4"")"),6400000.0)</f>
        <v>6400000</v>
      </c>
      <c r="CP98" s="55">
        <f>IFERROR(__xludf.DUMMYFUNCTION("importrange(""1SRwam8SNlw4sXl322moV7twW0wJxVm4N5PRJuC10VAA"",""2025-26!aq3"")"),25.0)</f>
        <v>25</v>
      </c>
      <c r="CQ98" s="55">
        <f>IFERROR(__xludf.DUMMYFUNCTION("importrange(""1SRwam8SNlw4sXl322moV7twW0wJxVm4N5PRJuC10VAA"",""2025-26!ar4"")"),2205189.33)</f>
        <v>2205189.33</v>
      </c>
      <c r="CR98" s="55">
        <f>IFERROR(__xludf.DUMMYFUNCTION("importrange(""1SRwam8SNlw4sXl322moV7twW0wJxVm4N5PRJuC10VAA"",""2025-26!ar3"")"),16.0)</f>
        <v>16</v>
      </c>
      <c r="CS98" s="59">
        <f t="shared" si="29"/>
        <v>0.3445607813</v>
      </c>
      <c r="CT98" s="55">
        <f>IFERROR(__xludf.DUMMYFUNCTION("importrange(""1SRwam8SNlw4sXl322moV7twW0wJxVm4N5PRJuC10VAA"",""2025-26!as4"")"),2205189.0)</f>
        <v>2205189</v>
      </c>
      <c r="CU98" s="55">
        <f>IFERROR(__xludf.DUMMYFUNCTION("importrange(""1SRwam8SNlw4sXl322moV7twW0wJxVm4N5PRJuC10VAA"",""2025-26!as3"")"),16.0)</f>
        <v>16</v>
      </c>
      <c r="CV98" s="60" t="s">
        <v>222</v>
      </c>
    </row>
    <row r="99">
      <c r="A99" s="1" t="s">
        <v>185</v>
      </c>
      <c r="B99" s="37"/>
      <c r="C99" s="64" t="s">
        <v>223</v>
      </c>
      <c r="D99" s="50" t="s">
        <v>224</v>
      </c>
      <c r="E99" s="50">
        <v>9.774212254E9</v>
      </c>
      <c r="F99" s="74">
        <v>44531.0</v>
      </c>
      <c r="G99" s="62"/>
      <c r="H99" s="62"/>
      <c r="I99" s="53">
        <v>25500.0</v>
      </c>
      <c r="J99" s="54">
        <v>1500000.0</v>
      </c>
      <c r="K99" s="57">
        <f>IFERROR(__xludf.DUMMYFUNCTION("IMPORTRANGE(""1Cr2_pSX3-yhuS1Sayvgl6YpnuKxXHVGMTe6yyY45KCA"",""2025-26!A3"")"),88.0)</f>
        <v>88</v>
      </c>
      <c r="L99" s="57">
        <f>IFERROR(__xludf.DUMMYFUNCTION("IMPORTRANGE(""1Cr2_pSX3-yhuS1Sayvgl6YpnuKxXHVGMTe6yyY45KCA"",""2025-26!G4"")"),1.825E7)</f>
        <v>18250000</v>
      </c>
      <c r="M99" s="57">
        <f t="shared" si="50"/>
        <v>12285579.87</v>
      </c>
      <c r="N99" s="56">
        <f t="shared" si="51"/>
        <v>0.605749863</v>
      </c>
      <c r="O99" s="57">
        <f t="shared" si="52"/>
        <v>11054935</v>
      </c>
      <c r="P99" s="55">
        <f>IFERROR(__xludf.DUMMYFUNCTION("IMPORTRANGE(""1Cr2_pSX3-yhuS1Sayvgl6YpnuKxXHVGMTe6yyY45KCA"",""2025-26!J4"")"),610000.0)</f>
        <v>610000</v>
      </c>
      <c r="Q99" s="55">
        <f>IFERROR(__xludf.DUMMYFUNCTION("IMPORTRANGE(""1Cr2_pSX3-yhuS1Sayvgl6YpnuKxXHVGMTe6yyY45KCA"",""2025-26!J3"")"),20.0)</f>
        <v>20</v>
      </c>
      <c r="R99" s="55">
        <f>IFERROR(__xludf.DUMMYFUNCTION("IMPORTRANGE(""1Cr2_pSX3-yhuS1Sayvgl6YpnuKxXHVGMTe6yyY45KCA"",""2025-26!K4"")"),1420627.6)</f>
        <v>1420627.6</v>
      </c>
      <c r="S99" s="55">
        <f>IFERROR(__xludf.DUMMYFUNCTION("IMPORTRANGE(""1Cr2_pSX3-yhuS1Sayvgl6YpnuKxXHVGMTe6yyY45KCA"",""2025-26!K3"")"),15.0)</f>
        <v>15</v>
      </c>
      <c r="T99" s="58">
        <f t="shared" si="18"/>
        <v>2.328757377</v>
      </c>
      <c r="U99" s="55">
        <f>IFERROR(__xludf.DUMMYFUNCTION("IMPORTRANGE(""1Cr2_pSX3-yhuS1Sayvgl6YpnuKxXHVGMTe6yyY45KCA"",""2025-26!L4"")"),1420542.0)</f>
        <v>1420542</v>
      </c>
      <c r="V99" s="79">
        <f>IFERROR(__xludf.DUMMYFUNCTION("IMPORTRANGE(""1Cr2_pSX3-yhuS1Sayvgl6YpnuKxXHVGMTe6yyY45KCA"",""2025-26!L3"")"),15.0)</f>
        <v>15</v>
      </c>
      <c r="W99" s="55">
        <f>IFERROR(__xludf.DUMMYFUNCTION("IMPORTRANGE(""1Cr2_pSX3-yhuS1Sayvgl6YpnuKxXHVGMTe6yyY45KCA"",""2025-26!M4"")"),610000.0)</f>
        <v>610000</v>
      </c>
      <c r="X99" s="79">
        <f>IFERROR(__xludf.DUMMYFUNCTION("IMPORTRANGE(""1Cr2_pSX3-yhuS1Sayvgl6YpnuKxXHVGMTe6yyY45KCA"",""2025-26!M3"")"),20.0)</f>
        <v>20</v>
      </c>
      <c r="Y99" s="55">
        <f>IFERROR(__xludf.DUMMYFUNCTION("importrange(""1Cr2_pSX3-yhuS1Sayvgl6YpnuKxXHVGMTe6yyY45KCA"",""2025-26!n4"")"),1069413.3599999999)</f>
        <v>1069413.36</v>
      </c>
      <c r="Z99" s="55">
        <f>IFERROR(__xludf.DUMMYFUNCTION("importrange(""1Cr2_pSX3-yhuS1Sayvgl6YpnuKxXHVGMTe6yyY45KCA"",""2025-26!n3"")"),21.0)</f>
        <v>21</v>
      </c>
      <c r="AA99" s="58">
        <f t="shared" si="19"/>
        <v>1.404518033</v>
      </c>
      <c r="AB99" s="55">
        <f>IFERROR(__xludf.DUMMYFUNCTION("importrange(""1Cr2_pSX3-yhuS1Sayvgl6YpnuKxXHVGMTe6yyY45KCA"",""2025-26!o4"")"),856756.0)</f>
        <v>856756</v>
      </c>
      <c r="AC99" s="55">
        <f>IFERROR(__xludf.DUMMYFUNCTION("importrange(""1Cr2_pSX3-yhuS1Sayvgl6YpnuKxXHVGMTe6yyY45KCA"",""2025-26!o3"")"),18.0)</f>
        <v>18</v>
      </c>
      <c r="AD99" s="55">
        <f>IFERROR(__xludf.DUMMYFUNCTION("importrange(""1Cr2_pSX3-yhuS1Sayvgl6YpnuKxXHVGMTe6yyY45KCA"",""2025-26!p4"")"),510000.0)</f>
        <v>510000</v>
      </c>
      <c r="AE99" s="55">
        <f>IFERROR(__xludf.DUMMYFUNCTION("importrange(""1Cr2_pSX3-yhuS1Sayvgl6YpnuKxXHVGMTe6yyY45KCA"",""2025-26!p3"")"),20.0)</f>
        <v>20</v>
      </c>
      <c r="AF99" s="55">
        <f>IFERROR(__xludf.DUMMYFUNCTION("importrange(""1Cr2_pSX3-yhuS1Sayvgl6YpnuKxXHVGMTe6yyY45KCA"",""2025-26!q4"")"),1142068.8699999996)</f>
        <v>1142068.87</v>
      </c>
      <c r="AG99" s="55">
        <f>IFERROR(__xludf.DUMMYFUNCTION("importrange(""1Cr2_pSX3-yhuS1Sayvgl6YpnuKxXHVGMTe6yyY45KCA"",""2025-26!q3"")"),26.0)</f>
        <v>26</v>
      </c>
      <c r="AH99" s="58">
        <f t="shared" si="20"/>
        <v>2.082927451</v>
      </c>
      <c r="AI99" s="55">
        <f>IFERROR(__xludf.DUMMYFUNCTION("importrange(""1Cr2_pSX3-yhuS1Sayvgl6YpnuKxXHVGMTe6yyY45KCA"",""2025-26!r4"")"),1062293.0)</f>
        <v>1062293</v>
      </c>
      <c r="AJ99" s="55">
        <f>IFERROR(__xludf.DUMMYFUNCTION("importrange(""1Cr2_pSX3-yhuS1Sayvgl6YpnuKxXHVGMTe6yyY45KCA"",""2025-26!r3"")"),24.0)</f>
        <v>24</v>
      </c>
      <c r="AK99" s="55">
        <f>IFERROR(__xludf.DUMMYFUNCTION("importrange(""1Cr2_pSX3-yhuS1Sayvgl6YpnuKxXHVGMTe6yyY45KCA"",""2025-26!s4"")"),510000.0)</f>
        <v>510000</v>
      </c>
      <c r="AL99" s="55">
        <f>IFERROR(__xludf.DUMMYFUNCTION("importrange(""1Cr2_pSX3-yhuS1Sayvgl6YpnuKxXHVGMTe6yyY45KCA"",""2025-26!s3"")"),20.0)</f>
        <v>20</v>
      </c>
      <c r="AM99" s="57">
        <f>IFERROR(__xludf.DUMMYFUNCTION("importrange(""1Cr2_pSX3-yhuS1Sayvgl6YpnuKxXHVGMTe6yyY45KCA"",""2025-26!t4"")"),1179292.8699999999)</f>
        <v>1179292.87</v>
      </c>
      <c r="AN99" s="55">
        <f>IFERROR(__xludf.DUMMYFUNCTION("importrange(""1Cr2_pSX3-yhuS1Sayvgl6YpnuKxXHVGMTe6yyY45KCA"",""2025-26!t3"")"),19.0)</f>
        <v>19</v>
      </c>
      <c r="AO99" s="58">
        <f t="shared" si="21"/>
        <v>2.052839216</v>
      </c>
      <c r="AP99" s="55">
        <f>IFERROR(__xludf.DUMMYFUNCTION("importrange(""1Cr2_pSX3-yhuS1Sayvgl6YpnuKxXHVGMTe6yyY45KCA"",""2025-26!u4"")"),1046948.0)</f>
        <v>1046948</v>
      </c>
      <c r="AQ99" s="55">
        <f>IFERROR(__xludf.DUMMYFUNCTION("importrange(""1Cr2_pSX3-yhuS1Sayvgl6YpnuKxXHVGMTe6yyY45KCA"",""2025-26!u3"")"),17.0)</f>
        <v>17</v>
      </c>
      <c r="AR99" s="55">
        <f>IFERROR(__xludf.DUMMYFUNCTION("importrange(""1Cr2_pSX3-yhuS1Sayvgl6YpnuKxXHVGMTe6yyY45KCA"",""2025-26!v4"")"),510000.0)</f>
        <v>510000</v>
      </c>
      <c r="AS99" s="55">
        <f>IFERROR(__xludf.DUMMYFUNCTION("importrange(""1Cr2_pSX3-yhuS1Sayvgl6YpnuKxXHVGMTe6yyY45KCA"",""2025-26!v3"")"),20.0)</f>
        <v>20</v>
      </c>
      <c r="AT99" s="57">
        <f>IFERROR(__xludf.DUMMYFUNCTION("importrange(""1Cr2_pSX3-yhuS1Sayvgl6YpnuKxXHVGMTe6yyY45KCA"",""2025-26!w4"")"),781499.0100000002)</f>
        <v>781499.01</v>
      </c>
      <c r="AU99" s="55">
        <f>IFERROR(__xludf.DUMMYFUNCTION("importrange(""1Cr2_pSX3-yhuS1Sayvgl6YpnuKxXHVGMTe6yyY45KCA"",""2025-26!w3"")"),15.0)</f>
        <v>15</v>
      </c>
      <c r="AV99" s="58">
        <f t="shared" si="22"/>
        <v>1.457768627</v>
      </c>
      <c r="AW99" s="55">
        <f>IFERROR(__xludf.DUMMYFUNCTION("importrange(""1Cr2_pSX3-yhuS1Sayvgl6YpnuKxXHVGMTe6yyY45KCA"",""2025-26!x4"")"),743462.0)</f>
        <v>743462</v>
      </c>
      <c r="AX99" s="55">
        <f>IFERROR(__xludf.DUMMYFUNCTION("importrange(""1Cr2_pSX3-yhuS1Sayvgl6YpnuKxXHVGMTe6yyY45KCA"",""2025-26!x3"")"),13.0)</f>
        <v>13</v>
      </c>
      <c r="AY99" s="55">
        <f>IFERROR(__xludf.DUMMYFUNCTION("importrange(""1Cr2_pSX3-yhuS1Sayvgl6YpnuKxXHVGMTe6yyY45KCA"",""2025-26!y4"")"),510000.0)</f>
        <v>510000</v>
      </c>
      <c r="AZ99" s="55">
        <f>IFERROR(__xludf.DUMMYFUNCTION("importrange(""1Cr2_pSX3-yhuS1Sayvgl6YpnuKxXHVGMTe6yyY45KCA"",""2025-26!y3"")"),20.0)</f>
        <v>20</v>
      </c>
      <c r="BA99" s="57">
        <f>IFERROR(__xludf.DUMMYFUNCTION("importrange(""1Cr2_pSX3-yhuS1Sayvgl6YpnuKxXHVGMTe6yyY45KCA"",""2025-26!z4"")"),1183147.02)</f>
        <v>1183147.02</v>
      </c>
      <c r="BB99" s="55">
        <f>IFERROR(__xludf.DUMMYFUNCTION("importrange(""1Cr2_pSX3-yhuS1Sayvgl6YpnuKxXHVGMTe6yyY45KCA"",""2025-26!z3"")"),22.0)</f>
        <v>22</v>
      </c>
      <c r="BC99" s="59">
        <f t="shared" si="23"/>
        <v>1.612345098</v>
      </c>
      <c r="BD99" s="55">
        <f>IFERROR(__xludf.DUMMYFUNCTION("importrange(""1Cr2_pSX3-yhuS1Sayvgl6YpnuKxXHVGMTe6yyY45KCA"",""2025-26!aa4"")"),822296.0)</f>
        <v>822296</v>
      </c>
      <c r="BE99" s="55">
        <f>IFERROR(__xludf.DUMMYFUNCTION("importrange(""1Cr2_pSX3-yhuS1Sayvgl6YpnuKxXHVGMTe6yyY45KCA"",""2025-26!aa3"")"),19.0)</f>
        <v>19</v>
      </c>
      <c r="BF99" s="55">
        <f>IFERROR(__xludf.DUMMYFUNCTION("importrange(""1Cr2_pSX3-yhuS1Sayvgl6YpnuKxXHVGMTe6yyY45KCA"",""2025-26!ab4"")"),510000.0)</f>
        <v>510000</v>
      </c>
      <c r="BG99" s="55">
        <f>IFERROR(__xludf.DUMMYFUNCTION("importrange(""1Cr2_pSX3-yhuS1Sayvgl6YpnuKxXHVGMTe6yyY45KCA"",""2025-26!ab3"")"),20.0)</f>
        <v>20</v>
      </c>
      <c r="BH99" s="55">
        <f>IFERROR(__xludf.DUMMYFUNCTION("importrange(""1Cr2_pSX3-yhuS1Sayvgl6YpnuKxXHVGMTe6yyY45KCA"",""2025-26!ac4"")"),850216.0299999999)</f>
        <v>850216.03</v>
      </c>
      <c r="BI99" s="55">
        <f>IFERROR(__xludf.DUMMYFUNCTION("importrange(""1Cr2_pSX3-yhuS1Sayvgl6YpnuKxXHVGMTe6yyY45KCA"",""2025-26!ac3"")"),27.0)</f>
        <v>27</v>
      </c>
      <c r="BJ99" s="59">
        <f t="shared" si="24"/>
        <v>1.220152941</v>
      </c>
      <c r="BK99" s="55">
        <f>IFERROR(__xludf.DUMMYFUNCTION("importrange(""1Cr2_pSX3-yhuS1Sayvgl6YpnuKxXHVGMTe6yyY45KCA"",""2025-26!ad4"")"),622278.0)</f>
        <v>622278</v>
      </c>
      <c r="BL99" s="55">
        <f>IFERROR(__xludf.DUMMYFUNCTION("importrange(""1Cr2_pSX3-yhuS1Sayvgl6YpnuKxXHVGMTe6yyY45KCA"",""2025-26!ad3"")"),19.0)</f>
        <v>19</v>
      </c>
      <c r="BM99" s="55">
        <f>IFERROR(__xludf.DUMMYFUNCTION("importrange(""1Cr2_pSX3-yhuS1Sayvgl6YpnuKxXHVGMTe6yyY45KCA"",""2025-26!ae4"")"),510000.0)</f>
        <v>510000</v>
      </c>
      <c r="BN99" s="55">
        <f>IFERROR(__xludf.DUMMYFUNCTION("importrange(""1Cr2_pSX3-yhuS1Sayvgl6YpnuKxXHVGMTe6yyY45KCA"",""2025-26!ae3"")"),20.0)</f>
        <v>20</v>
      </c>
      <c r="BO99" s="55">
        <f>IFERROR(__xludf.DUMMYFUNCTION("importrange(""1Cr2_pSX3-yhuS1Sayvgl6YpnuKxXHVGMTe6yyY45KCA"",""2025-26!af4"")"),856665.47)</f>
        <v>856665.47</v>
      </c>
      <c r="BP99" s="55">
        <f>IFERROR(__xludf.DUMMYFUNCTION("importrange(""1Cr2_pSX3-yhuS1Sayvgl6YpnuKxXHVGMTe6yyY45KCA"",""2025-26!af3"")"),26.0)</f>
        <v>26</v>
      </c>
      <c r="BQ99" s="59">
        <f t="shared" si="25"/>
        <v>1.686572549</v>
      </c>
      <c r="BR99" s="55">
        <f>IFERROR(__xludf.DUMMYFUNCTION("importrange(""1Cr2_pSX3-yhuS1Sayvgl6YpnuKxXHVGMTe6yyY45KCA"",""2025-26!ag4"")"),860152.0)</f>
        <v>860152</v>
      </c>
      <c r="BS99" s="55">
        <f>IFERROR(__xludf.DUMMYFUNCTION("importrange(""1Cr2_pSX3-yhuS1Sayvgl6YpnuKxXHVGMTe6yyY45KCA"",""2025-26!ag3"")"),26.0)</f>
        <v>26</v>
      </c>
      <c r="BT99" s="55">
        <f>IFERROR(__xludf.DUMMYFUNCTION("importrange(""1Cr2_pSX3-yhuS1Sayvgl6YpnuKxXHVGMTe6yyY45KCA"",""2025-26!ah4"")"),510000.0)</f>
        <v>510000</v>
      </c>
      <c r="BU99" s="55">
        <f>IFERROR(__xludf.DUMMYFUNCTION("importrange(""1Cr2_pSX3-yhuS1Sayvgl6YpnuKxXHVGMTe6yyY45KCA"",""2025-26!ah3"")"),20.0)</f>
        <v>20</v>
      </c>
      <c r="BV99" s="55">
        <f>IFERROR(__xludf.DUMMYFUNCTION("importrange(""1Cr2_pSX3-yhuS1Sayvgl6YpnuKxXHVGMTe6yyY45KCA"",""2025-26!ai4"")"),830971.5999999999)</f>
        <v>830971.6</v>
      </c>
      <c r="BW99" s="55">
        <f>IFERROR(__xludf.DUMMYFUNCTION("importrange(""1Cr2_pSX3-yhuS1Sayvgl6YpnuKxXHVGMTe6yyY45KCA"",""2025-26!ai3"")"),28.0)</f>
        <v>28</v>
      </c>
      <c r="BX99" s="59">
        <f t="shared" si="26"/>
        <v>1.39744902</v>
      </c>
      <c r="BY99" s="55">
        <f>IFERROR(__xludf.DUMMYFUNCTION("importrange(""1Cr2_pSX3-yhuS1Sayvgl6YpnuKxXHVGMTe6yyY45KCA"",""2025-26!aj4"")"),712699.0)</f>
        <v>712699</v>
      </c>
      <c r="BZ99" s="55">
        <f>IFERROR(__xludf.DUMMYFUNCTION("importrange(""1Cr2_pSX3-yhuS1Sayvgl6YpnuKxXHVGMTe6yyY45KCA"",""2025-26!aj3"")"),25.0)</f>
        <v>25</v>
      </c>
      <c r="CA99" s="55">
        <f>IFERROR(__xludf.DUMMYFUNCTION("importrange(""1Cr2_pSX3-yhuS1Sayvgl6YpnuKxXHVGMTe6yyY45KCA"",""2025-26!ak4"")"),510000.0)</f>
        <v>510000</v>
      </c>
      <c r="CB99" s="55">
        <f>IFERROR(__xludf.DUMMYFUNCTION("importrange(""1Cr2_pSX3-yhuS1Sayvgl6YpnuKxXHVGMTe6yyY45KCA"",""2025-26!ak3"")"),20.0)</f>
        <v>20</v>
      </c>
      <c r="CC99" s="55">
        <f>IFERROR(__xludf.DUMMYFUNCTION("importrange(""1Cr2_pSX3-yhuS1Sayvgl6YpnuKxXHVGMTe6yyY45KCA"",""2025-26!al4"")"),1000309.6399999999)</f>
        <v>1000309.64</v>
      </c>
      <c r="CD99" s="55">
        <f>IFERROR(__xludf.DUMMYFUNCTION("importrange(""1Cr2_pSX3-yhuS1Sayvgl6YpnuKxXHVGMTe6yyY45KCA"",""2025-26!ai3"")"),28.0)</f>
        <v>28</v>
      </c>
      <c r="CE99" s="59">
        <f t="shared" si="27"/>
        <v>1.855641176</v>
      </c>
      <c r="CF99" s="55">
        <f>IFERROR(__xludf.DUMMYFUNCTION("importrange(""1Cr2_pSX3-yhuS1Sayvgl6YpnuKxXHVGMTe6yyY45KCA"",""2025-26!am4"")"),946377.0)</f>
        <v>946377</v>
      </c>
      <c r="CG99" s="55">
        <f>IFERROR(__xludf.DUMMYFUNCTION("importrange(""1Cr2_pSX3-yhuS1Sayvgl6YpnuKxXHVGMTe6yyY45KCA"",""2025-26!am3"")"),27.0)</f>
        <v>27</v>
      </c>
      <c r="CH99" s="55">
        <f>IFERROR(__xludf.DUMMYFUNCTION("importrange(""1Cr2_pSX3-yhuS1Sayvgl6YpnuKxXHVGMTe6yyY45KCA"",""2025-26!an4"")"),510000.0)</f>
        <v>510000</v>
      </c>
      <c r="CI99" s="55">
        <f>IFERROR(__xludf.DUMMYFUNCTION("importrange(""1Cr2_pSX3-yhuS1Sayvgl6YpnuKxXHVGMTe6yyY45KCA"",""2025-26!an3"")"),20.0)</f>
        <v>20</v>
      </c>
      <c r="CJ99" s="55">
        <f>IFERROR(__xludf.DUMMYFUNCTION("importrange(""1Cr2_pSX3-yhuS1Sayvgl6YpnuKxXHVGMTe6yyY45KCA"",""2025-26!ao4"")"),538336.0000000001)</f>
        <v>538336</v>
      </c>
      <c r="CK99" s="55">
        <f>IFERROR(__xludf.DUMMYFUNCTION("importrange(""1Cr2_pSX3-yhuS1Sayvgl6YpnuKxXHVGMTe6yyY45KCA"",""2025-26!ao3"")"),16.0)</f>
        <v>16</v>
      </c>
      <c r="CL99" s="59">
        <f t="shared" si="28"/>
        <v>1.035527451</v>
      </c>
      <c r="CM99" s="55">
        <f>IFERROR(__xludf.DUMMYFUNCTION("importrange(""1Cr2_pSX3-yhuS1Sayvgl6YpnuKxXHVGMTe6yyY45KCA"",""2025-26!ap4"")"),528119.0)</f>
        <v>528119</v>
      </c>
      <c r="CN99" s="55">
        <f>IFERROR(__xludf.DUMMYFUNCTION("importrange(""1Cr2_pSX3-yhuS1Sayvgl6YpnuKxXHVGMTe6yyY45KCA"",""2025-26!ap3"")"),15.0)</f>
        <v>15</v>
      </c>
      <c r="CO99" s="55">
        <f>IFERROR(__xludf.DUMMYFUNCTION("importrange(""1Cr2_pSX3-yhuS1Sayvgl6YpnuKxXHVGMTe6yyY45KCA"",""2025-26!aq4"")"),240000.0)</f>
        <v>240000</v>
      </c>
      <c r="CP99" s="55">
        <f>IFERROR(__xludf.DUMMYFUNCTION("importrange(""1Cr2_pSX3-yhuS1Sayvgl6YpnuKxXHVGMTe6yyY45KCA"",""2025-26!aq3"")"),3.0)</f>
        <v>3</v>
      </c>
      <c r="CQ99" s="55">
        <f>IFERROR(__xludf.DUMMYFUNCTION("importrange(""1Cr2_pSX3-yhuS1Sayvgl6YpnuKxXHVGMTe6yyY45KCA"",""2025-26!ar4"")"),1433032.4)</f>
        <v>1433032.4</v>
      </c>
      <c r="CR99" s="55">
        <f>IFERROR(__xludf.DUMMYFUNCTION("importrange(""1Cr2_pSX3-yhuS1Sayvgl6YpnuKxXHVGMTe6yyY45KCA"",""2025-26!ar3"")"),23.0)</f>
        <v>23</v>
      </c>
      <c r="CS99" s="59">
        <f t="shared" si="29"/>
        <v>5.9708875</v>
      </c>
      <c r="CT99" s="55">
        <f>IFERROR(__xludf.DUMMYFUNCTION("importrange(""1Cr2_pSX3-yhuS1Sayvgl6YpnuKxXHVGMTe6yyY45KCA"",""2025-26!as4"")"),1433013.0)</f>
        <v>1433013</v>
      </c>
      <c r="CU99" s="55">
        <f>IFERROR(__xludf.DUMMYFUNCTION("importrange(""1Cr2_pSX3-yhuS1Sayvgl6YpnuKxXHVGMTe6yyY45KCA"",""2025-26!as3"")"),22.0)</f>
        <v>22</v>
      </c>
      <c r="CV99" s="60" t="s">
        <v>222</v>
      </c>
    </row>
    <row r="100">
      <c r="A100" s="1" t="s">
        <v>185</v>
      </c>
      <c r="B100" s="37"/>
      <c r="C100" s="64" t="s">
        <v>225</v>
      </c>
      <c r="D100" s="50" t="s">
        <v>226</v>
      </c>
      <c r="E100" s="50">
        <v>8.860343187E9</v>
      </c>
      <c r="F100" s="74">
        <v>44578.0</v>
      </c>
      <c r="G100" s="62"/>
      <c r="H100" s="62"/>
      <c r="I100" s="53">
        <v>25167.0</v>
      </c>
      <c r="J100" s="54">
        <v>1500000.0</v>
      </c>
      <c r="K100" s="57">
        <f>IFERROR(__xludf.DUMMYFUNCTION("IMPORTRANGE(""1e9SaWVffUYtulZA0Qz11l6mchzaBCaXi023gDuCgG_A"",""2025-26!A3"")"),47.0)</f>
        <v>47</v>
      </c>
      <c r="L100" s="57">
        <f>IFERROR(__xludf.DUMMYFUNCTION("IMPORTRANGE(""1e9SaWVffUYtulZA0Qz11l6mchzaBCaXi023gDuCgG_A"",""2025-26!G4"")"),3.75E7)</f>
        <v>37500000</v>
      </c>
      <c r="M100" s="57">
        <f t="shared" si="50"/>
        <v>9992477.38</v>
      </c>
      <c r="N100" s="56">
        <f t="shared" si="51"/>
        <v>0.5943408267</v>
      </c>
      <c r="O100" s="57">
        <f t="shared" si="52"/>
        <v>22287781</v>
      </c>
      <c r="P100" s="55">
        <f>IFERROR(__xludf.DUMMYFUNCTION("IMPORTRANGE(""1e9SaWVffUYtulZA0Qz11l6mchzaBCaXi023gDuCgG_A"",""2025-26!J4"")"),0.0)</f>
        <v>0</v>
      </c>
      <c r="Q100" s="55">
        <f>IFERROR(__xludf.DUMMYFUNCTION("IMPORTRANGE(""1e9SaWVffUYtulZA0Qz11l6mchzaBCaXi023gDuCgG_A"",""2025-26!J3"")"),0.0)</f>
        <v>0</v>
      </c>
      <c r="R100" s="55">
        <f>IFERROR(__xludf.DUMMYFUNCTION("IMPORTRANGE(""1e9SaWVffUYtulZA0Qz11l6mchzaBCaXi023gDuCgG_A"",""2025-26!K4"")"),452160.3)</f>
        <v>452160.3</v>
      </c>
      <c r="S100" s="55">
        <f>IFERROR(__xludf.DUMMYFUNCTION("IMPORTRANGE(""1e9SaWVffUYtulZA0Qz11l6mchzaBCaXi023gDuCgG_A"",""2025-26!K3"")"),4.0)</f>
        <v>4</v>
      </c>
      <c r="T100" s="58" t="str">
        <f t="shared" si="18"/>
        <v/>
      </c>
      <c r="U100" s="55">
        <f>IFERROR(__xludf.DUMMYFUNCTION("IMPORTRANGE(""1e9SaWVffUYtulZA0Qz11l6mchzaBCaXi023gDuCgG_A"",""2025-26!L4"")"),3634789.0)</f>
        <v>3634789</v>
      </c>
      <c r="V100" s="79">
        <f>IFERROR(__xludf.DUMMYFUNCTION("IMPORTRANGE(""1e9SaWVffUYtulZA0Qz11l6mchzaBCaXi023gDuCgG_A"",""2025-26!L3"")"),38.0)</f>
        <v>38</v>
      </c>
      <c r="W100" s="55">
        <f>IFERROR(__xludf.DUMMYFUNCTION("IMPORTRANGE(""1e9SaWVffUYtulZA0Qz11l6mchzaBCaXi023gDuCgG_A"",""2025-26!M4"")"),0.0)</f>
        <v>0</v>
      </c>
      <c r="X100" s="79">
        <f>IFERROR(__xludf.DUMMYFUNCTION("IMPORTRANGE(""1e9SaWVffUYtulZA0Qz11l6mchzaBCaXi023gDuCgG_A"",""2025-26!M3"")"),0.0)</f>
        <v>0</v>
      </c>
      <c r="Y100" s="55">
        <f>IFERROR(__xludf.DUMMYFUNCTION("importrange(""1e9SaWVffUYtulZA0Qz11l6mchzaBCaXi023gDuCgG_A"",""2025-26!n4"")"),1144599.6)</f>
        <v>1144599.6</v>
      </c>
      <c r="Z100" s="55">
        <f>IFERROR(__xludf.DUMMYFUNCTION("importrange(""1e9SaWVffUYtulZA0Qz11l6mchzaBCaXi023gDuCgG_A"",""2025-26!n3"")"),6.0)</f>
        <v>6</v>
      </c>
      <c r="AA100" s="58" t="str">
        <f t="shared" si="19"/>
        <v/>
      </c>
      <c r="AB100" s="55">
        <f>IFERROR(__xludf.DUMMYFUNCTION("importrange(""1e9SaWVffUYtulZA0Qz11l6mchzaBCaXi023gDuCgG_A"",""2025-26!o4"")"),2644023.0)</f>
        <v>2644023</v>
      </c>
      <c r="AC100" s="55">
        <f>IFERROR(__xludf.DUMMYFUNCTION("importrange(""1e9SaWVffUYtulZA0Qz11l6mchzaBCaXi023gDuCgG_A"",""2025-26!o3"")"),36.0)</f>
        <v>36</v>
      </c>
      <c r="AD100" s="55">
        <f>IFERROR(__xludf.DUMMYFUNCTION("importrange(""1e9SaWVffUYtulZA0Qz11l6mchzaBCaXi023gDuCgG_A"",""2025-26!p4"")"),0.0)</f>
        <v>0</v>
      </c>
      <c r="AE100" s="55">
        <f>IFERROR(__xludf.DUMMYFUNCTION("importrange(""1e9SaWVffUYtulZA0Qz11l6mchzaBCaXi023gDuCgG_A"",""2025-26!p3"")"),0.0)</f>
        <v>0</v>
      </c>
      <c r="AF100" s="55">
        <f>IFERROR(__xludf.DUMMYFUNCTION("importrange(""1e9SaWVffUYtulZA0Qz11l6mchzaBCaXi023gDuCgG_A"",""2025-26!q4"")"),1501727.2999999998)</f>
        <v>1501727.3</v>
      </c>
      <c r="AG100" s="55">
        <f>IFERROR(__xludf.DUMMYFUNCTION("importrange(""1e9SaWVffUYtulZA0Qz11l6mchzaBCaXi023gDuCgG_A"",""2025-26!q3"")"),14.0)</f>
        <v>14</v>
      </c>
      <c r="AH100" s="58" t="str">
        <f t="shared" si="20"/>
        <v/>
      </c>
      <c r="AI100" s="55">
        <f>IFERROR(__xludf.DUMMYFUNCTION("importrange(""1e9SaWVffUYtulZA0Qz11l6mchzaBCaXi023gDuCgG_A"",""2025-26!r4"")"),1800177.0)</f>
        <v>1800177</v>
      </c>
      <c r="AJ100" s="55">
        <f>IFERROR(__xludf.DUMMYFUNCTION("importrange(""1e9SaWVffUYtulZA0Qz11l6mchzaBCaXi023gDuCgG_A"",""2025-26!r3"")"),36.0)</f>
        <v>36</v>
      </c>
      <c r="AK100" s="55">
        <f>IFERROR(__xludf.DUMMYFUNCTION("importrange(""1e9SaWVffUYtulZA0Qz11l6mchzaBCaXi023gDuCgG_A"",""2025-26!s4"")"),0.0)</f>
        <v>0</v>
      </c>
      <c r="AL100" s="55">
        <f>IFERROR(__xludf.DUMMYFUNCTION("importrange(""1e9SaWVffUYtulZA0Qz11l6mchzaBCaXi023gDuCgG_A"",""2025-26!s3"")"),0.0)</f>
        <v>0</v>
      </c>
      <c r="AM100" s="57">
        <f>IFERROR(__xludf.DUMMYFUNCTION("importrange(""1e9SaWVffUYtulZA0Qz11l6mchzaBCaXi023gDuCgG_A"",""2025-26!t4"")"),1244638.09)</f>
        <v>1244638.09</v>
      </c>
      <c r="AN100" s="55">
        <f>IFERROR(__xludf.DUMMYFUNCTION("importrange(""1e9SaWVffUYtulZA0Qz11l6mchzaBCaXi023gDuCgG_A"",""2025-26!t3"")"),7.0)</f>
        <v>7</v>
      </c>
      <c r="AO100" s="58" t="str">
        <f t="shared" si="21"/>
        <v/>
      </c>
      <c r="AP100" s="55">
        <f>IFERROR(__xludf.DUMMYFUNCTION("importrange(""1e9SaWVffUYtulZA0Qz11l6mchzaBCaXi023gDuCgG_A"",""2025-26!u4"")"),1258251.0)</f>
        <v>1258251</v>
      </c>
      <c r="AQ100" s="55">
        <f>IFERROR(__xludf.DUMMYFUNCTION("importrange(""1e9SaWVffUYtulZA0Qz11l6mchzaBCaXi023gDuCgG_A"",""2025-26!u3"")"),30.0)</f>
        <v>30</v>
      </c>
      <c r="AR100" s="55">
        <f>IFERROR(__xludf.DUMMYFUNCTION("importrange(""1e9SaWVffUYtulZA0Qz11l6mchzaBCaXi023gDuCgG_A"",""2025-26!v4"")"),0.0)</f>
        <v>0</v>
      </c>
      <c r="AS100" s="55">
        <f>IFERROR(__xludf.DUMMYFUNCTION("importrange(""1e9SaWVffUYtulZA0Qz11l6mchzaBCaXi023gDuCgG_A"",""2025-26!v3"")"),0.0)</f>
        <v>0</v>
      </c>
      <c r="AT100" s="57">
        <f>IFERROR(__xludf.DUMMYFUNCTION("importrange(""1e9SaWVffUYtulZA0Qz11l6mchzaBCaXi023gDuCgG_A"",""2025-26!w4"")"),439405.29000000004)</f>
        <v>439405.29</v>
      </c>
      <c r="AU100" s="55">
        <f>IFERROR(__xludf.DUMMYFUNCTION("importrange(""1e9SaWVffUYtulZA0Qz11l6mchzaBCaXi023gDuCgG_A"",""2025-26!w3"")"),5.0)</f>
        <v>5</v>
      </c>
      <c r="AV100" s="58" t="str">
        <f t="shared" si="22"/>
        <v/>
      </c>
      <c r="AW100" s="55">
        <f>IFERROR(__xludf.DUMMYFUNCTION("importrange(""1e9SaWVffUYtulZA0Qz11l6mchzaBCaXi023gDuCgG_A"",""2025-26!x4"")"),1532861.0)</f>
        <v>1532861</v>
      </c>
      <c r="AX100" s="55">
        <f>IFERROR(__xludf.DUMMYFUNCTION("importrange(""1e9SaWVffUYtulZA0Qz11l6mchzaBCaXi023gDuCgG_A"",""2025-26!x3"")"),37.0)</f>
        <v>37</v>
      </c>
      <c r="AY100" s="55">
        <f>IFERROR(__xludf.DUMMYFUNCTION("importrange(""1e9SaWVffUYtulZA0Qz11l6mchzaBCaXi023gDuCgG_A"",""2025-26!y4"")"),0.0)</f>
        <v>0</v>
      </c>
      <c r="AZ100" s="55">
        <f>IFERROR(__xludf.DUMMYFUNCTION("importrange(""1e9SaWVffUYtulZA0Qz11l6mchzaBCaXi023gDuCgG_A"",""2025-26!y3"")"),0.0)</f>
        <v>0</v>
      </c>
      <c r="BA100" s="57">
        <f>IFERROR(__xludf.DUMMYFUNCTION("importrange(""1e9SaWVffUYtulZA0Qz11l6mchzaBCaXi023gDuCgG_A"",""2025-26!z4"")"),490491.32)</f>
        <v>490491.32</v>
      </c>
      <c r="BB100" s="55">
        <f>IFERROR(__xludf.DUMMYFUNCTION("importrange(""1e9SaWVffUYtulZA0Qz11l6mchzaBCaXi023gDuCgG_A"",""2025-26!z3"")"),6.0)</f>
        <v>6</v>
      </c>
      <c r="BC100" s="59" t="str">
        <f t="shared" si="23"/>
        <v/>
      </c>
      <c r="BD100" s="55">
        <f>IFERROR(__xludf.DUMMYFUNCTION("importrange(""1e9SaWVffUYtulZA0Qz11l6mchzaBCaXi023gDuCgG_A"",""2025-26!aa4"")"),1078135.0)</f>
        <v>1078135</v>
      </c>
      <c r="BE100" s="55">
        <f>IFERROR(__xludf.DUMMYFUNCTION("importrange(""1e9SaWVffUYtulZA0Qz11l6mchzaBCaXi023gDuCgG_A"",""2025-26!aa3"")"),13.0)</f>
        <v>13</v>
      </c>
      <c r="BF100" s="55">
        <f>IFERROR(__xludf.DUMMYFUNCTION("importrange(""1e9SaWVffUYtulZA0Qz11l6mchzaBCaXi023gDuCgG_A"",""2025-26!ab4"")"),0.0)</f>
        <v>0</v>
      </c>
      <c r="BG100" s="55">
        <f>IFERROR(__xludf.DUMMYFUNCTION("importrange(""1e9SaWVffUYtulZA0Qz11l6mchzaBCaXi023gDuCgG_A"",""2025-26!ab3"")"),0.0)</f>
        <v>0</v>
      </c>
      <c r="BH100" s="55">
        <f>IFERROR(__xludf.DUMMYFUNCTION("importrange(""1e9SaWVffUYtulZA0Qz11l6mchzaBCaXi023gDuCgG_A"",""2025-26!ac4"")"),944451.84)</f>
        <v>944451.84</v>
      </c>
      <c r="BI100" s="55">
        <f>IFERROR(__xludf.DUMMYFUNCTION("importrange(""1e9SaWVffUYtulZA0Qz11l6mchzaBCaXi023gDuCgG_A"",""2025-26!ac3"")"),8.0)</f>
        <v>8</v>
      </c>
      <c r="BJ100" s="59" t="str">
        <f t="shared" si="24"/>
        <v/>
      </c>
      <c r="BK100" s="55">
        <f>IFERROR(__xludf.DUMMYFUNCTION("importrange(""1e9SaWVffUYtulZA0Qz11l6mchzaBCaXi023gDuCgG_A"",""2025-26!ad4"")"),1700555.0)</f>
        <v>1700555</v>
      </c>
      <c r="BL100" s="55">
        <f>IFERROR(__xludf.DUMMYFUNCTION("importrange(""1e9SaWVffUYtulZA0Qz11l6mchzaBCaXi023gDuCgG_A"",""2025-26!ad3"")"),25.0)</f>
        <v>25</v>
      </c>
      <c r="BM100" s="55">
        <f>IFERROR(__xludf.DUMMYFUNCTION("importrange(""1e9SaWVffUYtulZA0Qz11l6mchzaBCaXi023gDuCgG_A"",""2025-26!ae4"")"),0.0)</f>
        <v>0</v>
      </c>
      <c r="BN100" s="55">
        <f>IFERROR(__xludf.DUMMYFUNCTION("importrange(""1e9SaWVffUYtulZA0Qz11l6mchzaBCaXi023gDuCgG_A"",""2025-26!ae3"")"),0.0)</f>
        <v>0</v>
      </c>
      <c r="BO100" s="55">
        <f>IFERROR(__xludf.DUMMYFUNCTION("importrange(""1e9SaWVffUYtulZA0Qz11l6mchzaBCaXi023gDuCgG_A"",""2025-26!af4"")"),575714.0)</f>
        <v>575714</v>
      </c>
      <c r="BP100" s="55">
        <f>IFERROR(__xludf.DUMMYFUNCTION("importrange(""1e9SaWVffUYtulZA0Qz11l6mchzaBCaXi023gDuCgG_A"",""2025-26!af3"")"),7.0)</f>
        <v>7</v>
      </c>
      <c r="BQ100" s="59" t="str">
        <f t="shared" si="25"/>
        <v/>
      </c>
      <c r="BR100" s="55">
        <f>IFERROR(__xludf.DUMMYFUNCTION("importrange(""1e9SaWVffUYtulZA0Qz11l6mchzaBCaXi023gDuCgG_A"",""2025-26!ag4"")"),1651902.0)</f>
        <v>1651902</v>
      </c>
      <c r="BS100" s="55">
        <f>IFERROR(__xludf.DUMMYFUNCTION("importrange(""1e9SaWVffUYtulZA0Qz11l6mchzaBCaXi023gDuCgG_A"",""2025-26!ag3"")"),33.0)</f>
        <v>33</v>
      </c>
      <c r="BT100" s="55">
        <f>IFERROR(__xludf.DUMMYFUNCTION("importrange(""1e9SaWVffUYtulZA0Qz11l6mchzaBCaXi023gDuCgG_A"",""2025-26!ah4"")"),0.0)</f>
        <v>0</v>
      </c>
      <c r="BU100" s="55">
        <f>IFERROR(__xludf.DUMMYFUNCTION("importrange(""1e9SaWVffUYtulZA0Qz11l6mchzaBCaXi023gDuCgG_A"",""2025-26!ah3"")"),0.0)</f>
        <v>0</v>
      </c>
      <c r="BV100" s="55">
        <f>IFERROR(__xludf.DUMMYFUNCTION("importrange(""1e9SaWVffUYtulZA0Qz11l6mchzaBCaXi023gDuCgG_A"",""2025-26!ai4"")"),1140574.19)</f>
        <v>1140574.19</v>
      </c>
      <c r="BW100" s="55">
        <f>IFERROR(__xludf.DUMMYFUNCTION("importrange(""1e9SaWVffUYtulZA0Qz11l6mchzaBCaXi023gDuCgG_A"",""2025-26!ai3"")"),10.0)</f>
        <v>10</v>
      </c>
      <c r="BX100" s="59" t="str">
        <f t="shared" si="26"/>
        <v/>
      </c>
      <c r="BY100" s="55">
        <f>IFERROR(__xludf.DUMMYFUNCTION("importrange(""1e9SaWVffUYtulZA0Qz11l6mchzaBCaXi023gDuCgG_A"",""2025-26!aj4"")"),1683694.0)</f>
        <v>1683694</v>
      </c>
      <c r="BZ100" s="55">
        <f>IFERROR(__xludf.DUMMYFUNCTION("importrange(""1e9SaWVffUYtulZA0Qz11l6mchzaBCaXi023gDuCgG_A"",""2025-26!aj3"")"),30.0)</f>
        <v>30</v>
      </c>
      <c r="CA100" s="55">
        <f>IFERROR(__xludf.DUMMYFUNCTION("importrange(""1e9SaWVffUYtulZA0Qz11l6mchzaBCaXi023gDuCgG_A"",""2025-26!ak4"")"),0.0)</f>
        <v>0</v>
      </c>
      <c r="CB100" s="55">
        <f>IFERROR(__xludf.DUMMYFUNCTION("importrange(""1e9SaWVffUYtulZA0Qz11l6mchzaBCaXi023gDuCgG_A"",""2025-26!ak3"")"),0.0)</f>
        <v>0</v>
      </c>
      <c r="CC100" s="55">
        <f>IFERROR(__xludf.DUMMYFUNCTION("importrange(""1e9SaWVffUYtulZA0Qz11l6mchzaBCaXi023gDuCgG_A"",""2025-26!al4"")"),1038508.21)</f>
        <v>1038508.21</v>
      </c>
      <c r="CD100" s="55">
        <f>IFERROR(__xludf.DUMMYFUNCTION("importrange(""1e9SaWVffUYtulZA0Qz11l6mchzaBCaXi023gDuCgG_A"",""2025-26!ai3"")"),10.0)</f>
        <v>10</v>
      </c>
      <c r="CE100" s="59" t="str">
        <f t="shared" si="27"/>
        <v/>
      </c>
      <c r="CF100" s="55">
        <f>IFERROR(__xludf.DUMMYFUNCTION("importrange(""1e9SaWVffUYtulZA0Qz11l6mchzaBCaXi023gDuCgG_A"",""2025-26!am4"")"),1460823.0)</f>
        <v>1460823</v>
      </c>
      <c r="CG100" s="55">
        <f>IFERROR(__xludf.DUMMYFUNCTION("importrange(""1e9SaWVffUYtulZA0Qz11l6mchzaBCaXi023gDuCgG_A"",""2025-26!am3"")"),32.0)</f>
        <v>32</v>
      </c>
      <c r="CH100" s="55">
        <f>IFERROR(__xludf.DUMMYFUNCTION("importrange(""1e9SaWVffUYtulZA0Qz11l6mchzaBCaXi023gDuCgG_A"",""2025-26!an4"")"),0.0)</f>
        <v>0</v>
      </c>
      <c r="CI100" s="55">
        <f>IFERROR(__xludf.DUMMYFUNCTION("importrange(""1e9SaWVffUYtulZA0Qz11l6mchzaBCaXi023gDuCgG_A"",""2025-26!an3"")"),0.0)</f>
        <v>0</v>
      </c>
      <c r="CJ100" s="55">
        <f>IFERROR(__xludf.DUMMYFUNCTION("importrange(""1e9SaWVffUYtulZA0Qz11l6mchzaBCaXi023gDuCgG_A"",""2025-26!ao4"")"),457975.48000000004)</f>
        <v>457975.48</v>
      </c>
      <c r="CK100" s="55">
        <f>IFERROR(__xludf.DUMMYFUNCTION("importrange(""1e9SaWVffUYtulZA0Qz11l6mchzaBCaXi023gDuCgG_A"",""2025-26!ao3"")"),6.0)</f>
        <v>6</v>
      </c>
      <c r="CL100" s="59" t="str">
        <f t="shared" si="28"/>
        <v/>
      </c>
      <c r="CM100" s="55">
        <f>IFERROR(__xludf.DUMMYFUNCTION("importrange(""1e9SaWVffUYtulZA0Qz11l6mchzaBCaXi023gDuCgG_A"",""2025-26!ap4"")"),1726675.0)</f>
        <v>1726675</v>
      </c>
      <c r="CN100" s="55">
        <f>IFERROR(__xludf.DUMMYFUNCTION("importrange(""1e9SaWVffUYtulZA0Qz11l6mchzaBCaXi023gDuCgG_A"",""2025-26!ap3"")"),27.0)</f>
        <v>27</v>
      </c>
      <c r="CO100" s="55">
        <f>IFERROR(__xludf.DUMMYFUNCTION("importrange(""1e9SaWVffUYtulZA0Qz11l6mchzaBCaXi023gDuCgG_A"",""2025-26!aq4"")"),0.0)</f>
        <v>0</v>
      </c>
      <c r="CP100" s="55">
        <f>IFERROR(__xludf.DUMMYFUNCTION("importrange(""1e9SaWVffUYtulZA0Qz11l6mchzaBCaXi023gDuCgG_A"",""2025-26!aq3"")"),0.0)</f>
        <v>0</v>
      </c>
      <c r="CQ100" s="55">
        <f>IFERROR(__xludf.DUMMYFUNCTION("importrange(""1e9SaWVffUYtulZA0Qz11l6mchzaBCaXi023gDuCgG_A"",""2025-26!ar4"")"),562231.76)</f>
        <v>562231.76</v>
      </c>
      <c r="CR100" s="55">
        <f>IFERROR(__xludf.DUMMYFUNCTION("importrange(""1e9SaWVffUYtulZA0Qz11l6mchzaBCaXi023gDuCgG_A"",""2025-26!ar3"")"),6.0)</f>
        <v>6</v>
      </c>
      <c r="CS100" s="59" t="str">
        <f t="shared" si="29"/>
        <v/>
      </c>
      <c r="CT100" s="55">
        <f>IFERROR(__xludf.DUMMYFUNCTION("importrange(""1e9SaWVffUYtulZA0Qz11l6mchzaBCaXi023gDuCgG_A"",""2025-26!as4"")"),2115896.0)</f>
        <v>2115896</v>
      </c>
      <c r="CU100" s="55">
        <f>IFERROR(__xludf.DUMMYFUNCTION("importrange(""1e9SaWVffUYtulZA0Qz11l6mchzaBCaXi023gDuCgG_A"",""2025-26!as3"")"),33.0)</f>
        <v>33</v>
      </c>
      <c r="CV100" s="60" t="s">
        <v>212</v>
      </c>
    </row>
    <row r="101">
      <c r="A101" s="1" t="s">
        <v>185</v>
      </c>
      <c r="B101" s="37"/>
      <c r="C101" s="64" t="s">
        <v>227</v>
      </c>
      <c r="D101" s="50" t="s">
        <v>228</v>
      </c>
      <c r="E101" s="50">
        <v>9.101007219E9</v>
      </c>
      <c r="F101" s="74">
        <v>44868.0</v>
      </c>
      <c r="G101" s="62"/>
      <c r="H101" s="62"/>
      <c r="I101" s="53">
        <v>28750.0</v>
      </c>
      <c r="J101" s="54">
        <v>1500000.0</v>
      </c>
      <c r="K101" s="57">
        <f>IFERROR(__xludf.DUMMYFUNCTION("IMPORTRANGE(""1shTvs8XCxTEi4uArYvktfhVF3aaBcX8qXa6gu0Yrdy8"",""2025-26!A3"")"),79.0)</f>
        <v>79</v>
      </c>
      <c r="L101" s="57">
        <f>IFERROR(__xludf.DUMMYFUNCTION("IMPORTRANGE(""1shTvs8XCxTEi4uArYvktfhVF3aaBcX8qXa6gu0Yrdy8"",""2025-26!G4"")"),1.8E7)</f>
        <v>18000000</v>
      </c>
      <c r="M101" s="57">
        <f t="shared" si="50"/>
        <v>9855471.23</v>
      </c>
      <c r="N101" s="56">
        <f t="shared" si="51"/>
        <v>0.5856507256</v>
      </c>
      <c r="O101" s="57">
        <f t="shared" si="52"/>
        <v>10541713.06</v>
      </c>
      <c r="P101" s="55">
        <f>IFERROR(__xludf.DUMMYFUNCTION("IMPORTRANGE(""1shTvs8XCxTEi4uArYvktfhVF3aaBcX8qXa6gu0Yrdy8"",""2025-26!J4"")"),94208.0)</f>
        <v>94208</v>
      </c>
      <c r="Q101" s="55">
        <f>IFERROR(__xludf.DUMMYFUNCTION("IMPORTRANGE(""1shTvs8XCxTEi4uArYvktfhVF3aaBcX8qXa6gu0Yrdy8"",""2025-26!J3"")"),1.0)</f>
        <v>1</v>
      </c>
      <c r="R101" s="55">
        <f>IFERROR(__xludf.DUMMYFUNCTION("IMPORTRANGE(""1shTvs8XCxTEi4uArYvktfhVF3aaBcX8qXa6gu0Yrdy8"",""2025-26!K4"")"),302009.80000000005)</f>
        <v>302009.8</v>
      </c>
      <c r="S101" s="55">
        <f>IFERROR(__xludf.DUMMYFUNCTION("IMPORTRANGE(""1shTvs8XCxTEi4uArYvktfhVF3aaBcX8qXa6gu0Yrdy8"",""2025-26!K3"")"),4.0)</f>
        <v>4</v>
      </c>
      <c r="T101" s="58">
        <f t="shared" si="18"/>
        <v>6.177283246</v>
      </c>
      <c r="U101" s="55">
        <f>IFERROR(__xludf.DUMMYFUNCTION("IMPORTRANGE(""1shTvs8XCxTEi4uArYvktfhVF3aaBcX8qXa6gu0Yrdy8"",""2025-26!L4"")"),581949.5000000001)</f>
        <v>581949.5</v>
      </c>
      <c r="V101" s="79">
        <f>IFERROR(__xludf.DUMMYFUNCTION("IMPORTRANGE(""1shTvs8XCxTEi4uArYvktfhVF3aaBcX8qXa6gu0Yrdy8"",""2025-26!L3"")"),11.0)</f>
        <v>11</v>
      </c>
      <c r="W101" s="55">
        <f>IFERROR(__xludf.DUMMYFUNCTION("IMPORTRANGE(""1shTvs8XCxTEi4uArYvktfhVF3aaBcX8qXa6gu0Yrdy8"",""2025-26!M4"")"),0.0)</f>
        <v>0</v>
      </c>
      <c r="X101" s="79">
        <f>IFERROR(__xludf.DUMMYFUNCTION("IMPORTRANGE(""1shTvs8XCxTEi4uArYvktfhVF3aaBcX8qXa6gu0Yrdy8"",""2025-26!M3"")"),0.0)</f>
        <v>0</v>
      </c>
      <c r="Y101" s="55">
        <f>IFERROR(__xludf.DUMMYFUNCTION("importrange(""1shTvs8XCxTEi4uArYvktfhVF3aaBcX8qXa6gu0Yrdy8"",""2025-26!n4"")"),550460.3)</f>
        <v>550460.3</v>
      </c>
      <c r="Z101" s="55">
        <f>IFERROR(__xludf.DUMMYFUNCTION("importrange(""1shTvs8XCxTEi4uArYvktfhVF3aaBcX8qXa6gu0Yrdy8"",""2025-26!n3"")"),7.0)</f>
        <v>7</v>
      </c>
      <c r="AA101" s="58" t="str">
        <f t="shared" si="19"/>
        <v/>
      </c>
      <c r="AB101" s="55">
        <f>IFERROR(__xludf.DUMMYFUNCTION("importrange(""1shTvs8XCxTEi4uArYvktfhVF3aaBcX8qXa6gu0Yrdy8"",""2025-26!o4"")"),358274.43)</f>
        <v>358274.43</v>
      </c>
      <c r="AC101" s="55">
        <f>IFERROR(__xludf.DUMMYFUNCTION("importrange(""1shTvs8XCxTEi4uArYvktfhVF3aaBcX8qXa6gu0Yrdy8"",""2025-26!o3"")"),5.0)</f>
        <v>5</v>
      </c>
      <c r="AD101" s="55">
        <f>IFERROR(__xludf.DUMMYFUNCTION("importrange(""1shTvs8XCxTEi4uArYvktfhVF3aaBcX8qXa6gu0Yrdy8"",""2025-26!p4"")"),0.0)</f>
        <v>0</v>
      </c>
      <c r="AE101" s="55">
        <f>IFERROR(__xludf.DUMMYFUNCTION("importrange(""1shTvs8XCxTEi4uArYvktfhVF3aaBcX8qXa6gu0Yrdy8"",""2025-26!p3"")"),0.0)</f>
        <v>0</v>
      </c>
      <c r="AF101" s="55">
        <f>IFERROR(__xludf.DUMMYFUNCTION("importrange(""1shTvs8XCxTEi4uArYvktfhVF3aaBcX8qXa6gu0Yrdy8"",""2025-26!q4"")"),1208331.2)</f>
        <v>1208331.2</v>
      </c>
      <c r="AG101" s="55">
        <f>IFERROR(__xludf.DUMMYFUNCTION("importrange(""1shTvs8XCxTEi4uArYvktfhVF3aaBcX8qXa6gu0Yrdy8"",""2025-26!q3"")"),11.0)</f>
        <v>11</v>
      </c>
      <c r="AH101" s="58" t="str">
        <f t="shared" si="20"/>
        <v/>
      </c>
      <c r="AI101" s="55">
        <f>IFERROR(__xludf.DUMMYFUNCTION("importrange(""1shTvs8XCxTEi4uArYvktfhVF3aaBcX8qXa6gu0Yrdy8"",""2025-26!r4"")"),1208341.96)</f>
        <v>1208341.96</v>
      </c>
      <c r="AJ101" s="55">
        <f>IFERROR(__xludf.DUMMYFUNCTION("importrange(""1shTvs8XCxTEi4uArYvktfhVF3aaBcX8qXa6gu0Yrdy8"",""2025-26!r3"")"),11.0)</f>
        <v>11</v>
      </c>
      <c r="AK101" s="55">
        <f>IFERROR(__xludf.DUMMYFUNCTION("importrange(""1shTvs8XCxTEi4uArYvktfhVF3aaBcX8qXa6gu0Yrdy8"",""2025-26!s4"")"),0.0)</f>
        <v>0</v>
      </c>
      <c r="AL101" s="55">
        <f>IFERROR(__xludf.DUMMYFUNCTION("importrange(""1shTvs8XCxTEi4uArYvktfhVF3aaBcX8qXa6gu0Yrdy8"",""2025-26!s3"")"),0.0)</f>
        <v>0</v>
      </c>
      <c r="AM101" s="57">
        <f>IFERROR(__xludf.DUMMYFUNCTION("importrange(""1shTvs8XCxTEi4uArYvktfhVF3aaBcX8qXa6gu0Yrdy8"",""2025-26!t4"")"),1120516.0500000003)</f>
        <v>1120516.05</v>
      </c>
      <c r="AN101" s="55">
        <f>IFERROR(__xludf.DUMMYFUNCTION("importrange(""1shTvs8XCxTEi4uArYvktfhVF3aaBcX8qXa6gu0Yrdy8"",""2025-26!t3"")"),14.0)</f>
        <v>14</v>
      </c>
      <c r="AO101" s="58" t="str">
        <f t="shared" si="21"/>
        <v/>
      </c>
      <c r="AP101" s="55">
        <f>IFERROR(__xludf.DUMMYFUNCTION("importrange(""1shTvs8XCxTEi4uArYvktfhVF3aaBcX8qXa6gu0Yrdy8"",""2025-26!u4"")"),1120518.1400000001)</f>
        <v>1120518.14</v>
      </c>
      <c r="AQ101" s="55">
        <f>IFERROR(__xludf.DUMMYFUNCTION("importrange(""1shTvs8XCxTEi4uArYvktfhVF3aaBcX8qXa6gu0Yrdy8"",""2025-26!u3"")"),14.0)</f>
        <v>14</v>
      </c>
      <c r="AR101" s="55">
        <f>IFERROR(__xludf.DUMMYFUNCTION("importrange(""1shTvs8XCxTEi4uArYvktfhVF3aaBcX8qXa6gu0Yrdy8"",""2025-26!v4"")"),0.0)</f>
        <v>0</v>
      </c>
      <c r="AS101" s="55">
        <f>IFERROR(__xludf.DUMMYFUNCTION("importrange(""1shTvs8XCxTEi4uArYvktfhVF3aaBcX8qXa6gu0Yrdy8"",""2025-26!v3"")"),0.0)</f>
        <v>0</v>
      </c>
      <c r="AT101" s="57">
        <f>IFERROR(__xludf.DUMMYFUNCTION("importrange(""1shTvs8XCxTEi4uArYvktfhVF3aaBcX8qXa6gu0Yrdy8"",""2025-26!w4"")"),713316.0599999999)</f>
        <v>713316.06</v>
      </c>
      <c r="AU101" s="55">
        <f>IFERROR(__xludf.DUMMYFUNCTION("importrange(""1shTvs8XCxTEi4uArYvktfhVF3aaBcX8qXa6gu0Yrdy8"",""2025-26!w3"")"),12.0)</f>
        <v>12</v>
      </c>
      <c r="AV101" s="58" t="str">
        <f t="shared" si="22"/>
        <v/>
      </c>
      <c r="AW101" s="55">
        <f>IFERROR(__xludf.DUMMYFUNCTION("importrange(""1shTvs8XCxTEi4uArYvktfhVF3aaBcX8qXa6gu0Yrdy8"",""2025-26!x4"")"),722271.0099999999)</f>
        <v>722271.01</v>
      </c>
      <c r="AX101" s="55">
        <f>IFERROR(__xludf.DUMMYFUNCTION("importrange(""1shTvs8XCxTEi4uArYvktfhVF3aaBcX8qXa6gu0Yrdy8"",""2025-26!x3"")"),12.0)</f>
        <v>12</v>
      </c>
      <c r="AY101" s="55">
        <f>IFERROR(__xludf.DUMMYFUNCTION("importrange(""1shTvs8XCxTEi4uArYvktfhVF3aaBcX8qXa6gu0Yrdy8"",""2025-26!y4"")"),0.0)</f>
        <v>0</v>
      </c>
      <c r="AZ101" s="55">
        <f>IFERROR(__xludf.DUMMYFUNCTION("importrange(""1shTvs8XCxTEi4uArYvktfhVF3aaBcX8qXa6gu0Yrdy8"",""2025-26!y3"")"),0.0)</f>
        <v>0</v>
      </c>
      <c r="BA101" s="57">
        <f>IFERROR(__xludf.DUMMYFUNCTION("importrange(""1shTvs8XCxTEi4uArYvktfhVF3aaBcX8qXa6gu0Yrdy8"",""2025-26!z4"")"),1208350.8599999999)</f>
        <v>1208350.86</v>
      </c>
      <c r="BB101" s="55">
        <f>IFERROR(__xludf.DUMMYFUNCTION("importrange(""1shTvs8XCxTEi4uArYvktfhVF3aaBcX8qXa6gu0Yrdy8"",""2025-26!z3"")"),20.0)</f>
        <v>20</v>
      </c>
      <c r="BC101" s="59" t="str">
        <f t="shared" si="23"/>
        <v/>
      </c>
      <c r="BD101" s="55">
        <f>IFERROR(__xludf.DUMMYFUNCTION("importrange(""1shTvs8XCxTEi4uArYvktfhVF3aaBcX8qXa6gu0Yrdy8"",""2025-26!aa4"")"),1208350.9800000002)</f>
        <v>1208350.98</v>
      </c>
      <c r="BE101" s="55">
        <f>IFERROR(__xludf.DUMMYFUNCTION("importrange(""1shTvs8XCxTEi4uArYvktfhVF3aaBcX8qXa6gu0Yrdy8"",""2025-26!aa3"")"),19.0)</f>
        <v>19</v>
      </c>
      <c r="BF101" s="55">
        <f>IFERROR(__xludf.DUMMYFUNCTION("importrange(""1shTvs8XCxTEi4uArYvktfhVF3aaBcX8qXa6gu0Yrdy8"",""2025-26!ab4"")"),0.0)</f>
        <v>0</v>
      </c>
      <c r="BG101" s="55">
        <f>IFERROR(__xludf.DUMMYFUNCTION("importrange(""1shTvs8XCxTEi4uArYvktfhVF3aaBcX8qXa6gu0Yrdy8"",""2025-26!ab3"")"),0.0)</f>
        <v>0</v>
      </c>
      <c r="BH101" s="55">
        <f>IFERROR(__xludf.DUMMYFUNCTION("importrange(""1shTvs8XCxTEi4uArYvktfhVF3aaBcX8qXa6gu0Yrdy8"",""2025-26!ac4"")"),806617.79)</f>
        <v>806617.79</v>
      </c>
      <c r="BI101" s="55">
        <f>IFERROR(__xludf.DUMMYFUNCTION("importrange(""1shTvs8XCxTEi4uArYvktfhVF3aaBcX8qXa6gu0Yrdy8"",""2025-26!ac3"")"),16.0)</f>
        <v>16</v>
      </c>
      <c r="BJ101" s="59" t="str">
        <f t="shared" si="24"/>
        <v/>
      </c>
      <c r="BK101" s="55">
        <f>IFERROR(__xludf.DUMMYFUNCTION("importrange(""1shTvs8XCxTEi4uArYvktfhVF3aaBcX8qXa6gu0Yrdy8"",""2025-26!ad4"")"),806626.4900000001)</f>
        <v>806626.49</v>
      </c>
      <c r="BL101" s="55">
        <f>IFERROR(__xludf.DUMMYFUNCTION("importrange(""1shTvs8XCxTEi4uArYvktfhVF3aaBcX8qXa6gu0Yrdy8"",""2025-26!ad3"")"),16.0)</f>
        <v>16</v>
      </c>
      <c r="BM101" s="55">
        <f>IFERROR(__xludf.DUMMYFUNCTION("importrange(""1shTvs8XCxTEi4uArYvktfhVF3aaBcX8qXa6gu0Yrdy8"",""2025-26!ae4"")"),0.0)</f>
        <v>0</v>
      </c>
      <c r="BN101" s="55">
        <f>IFERROR(__xludf.DUMMYFUNCTION("importrange(""1shTvs8XCxTEi4uArYvktfhVF3aaBcX8qXa6gu0Yrdy8"",""2025-26!ae3"")"),0.0)</f>
        <v>0</v>
      </c>
      <c r="BO101" s="55">
        <f>IFERROR(__xludf.DUMMYFUNCTION("importrange(""1shTvs8XCxTEi4uArYvktfhVF3aaBcX8qXa6gu0Yrdy8"",""2025-26!af4"")"),1008552.4800000001)</f>
        <v>1008552.48</v>
      </c>
      <c r="BP101" s="55">
        <f>IFERROR(__xludf.DUMMYFUNCTION("importrange(""1shTvs8XCxTEi4uArYvktfhVF3aaBcX8qXa6gu0Yrdy8"",""2025-26!af3"")"),17.0)</f>
        <v>17</v>
      </c>
      <c r="BQ101" s="59" t="str">
        <f t="shared" si="25"/>
        <v/>
      </c>
      <c r="BR101" s="55">
        <f>IFERROR(__xludf.DUMMYFUNCTION("importrange(""1shTvs8XCxTEi4uArYvktfhVF3aaBcX8qXa6gu0Yrdy8"",""2025-26!ag4"")"),1008553.2100000001)</f>
        <v>1008553.21</v>
      </c>
      <c r="BS101" s="55">
        <f>IFERROR(__xludf.DUMMYFUNCTION("importrange(""1shTvs8XCxTEi4uArYvktfhVF3aaBcX8qXa6gu0Yrdy8"",""2025-26!ag3"")"),17.0)</f>
        <v>17</v>
      </c>
      <c r="BT101" s="55">
        <f>IFERROR(__xludf.DUMMYFUNCTION("importrange(""1shTvs8XCxTEi4uArYvktfhVF3aaBcX8qXa6gu0Yrdy8"",""2025-26!ah4"")"),0.0)</f>
        <v>0</v>
      </c>
      <c r="BU101" s="55">
        <f>IFERROR(__xludf.DUMMYFUNCTION("importrange(""1shTvs8XCxTEi4uArYvktfhVF3aaBcX8qXa6gu0Yrdy8"",""2025-26!ah3"")"),0.0)</f>
        <v>0</v>
      </c>
      <c r="BV101" s="55">
        <f>IFERROR(__xludf.DUMMYFUNCTION("importrange(""1shTvs8XCxTEi4uArYvktfhVF3aaBcX8qXa6gu0Yrdy8"",""2025-26!ai4"")"),555728.1799999999)</f>
        <v>555728.18</v>
      </c>
      <c r="BW101" s="55">
        <f>IFERROR(__xludf.DUMMYFUNCTION("importrange(""1shTvs8XCxTEi4uArYvktfhVF3aaBcX8qXa6gu0Yrdy8"",""2025-26!ai3"")"),13.0)</f>
        <v>13</v>
      </c>
      <c r="BX101" s="59" t="str">
        <f t="shared" si="26"/>
        <v/>
      </c>
      <c r="BY101" s="55">
        <f>IFERROR(__xludf.DUMMYFUNCTION("importrange(""1shTvs8XCxTEi4uArYvktfhVF3aaBcX8qXa6gu0Yrdy8"",""2025-26!aj4"")"),730419.6)</f>
        <v>730419.6</v>
      </c>
      <c r="BZ101" s="55">
        <f>IFERROR(__xludf.DUMMYFUNCTION("importrange(""1shTvs8XCxTEi4uArYvktfhVF3aaBcX8qXa6gu0Yrdy8"",""2025-26!aj3"")"),19.0)</f>
        <v>19</v>
      </c>
      <c r="CA101" s="55">
        <f>IFERROR(__xludf.DUMMYFUNCTION("importrange(""1shTvs8XCxTEi4uArYvktfhVF3aaBcX8qXa6gu0Yrdy8"",""2025-26!ak4"")"),0.0)</f>
        <v>0</v>
      </c>
      <c r="CB101" s="55">
        <f>IFERROR(__xludf.DUMMYFUNCTION("importrange(""1shTvs8XCxTEi4uArYvktfhVF3aaBcX8qXa6gu0Yrdy8"",""2025-26!ak3"")"),0.0)</f>
        <v>0</v>
      </c>
      <c r="CC101" s="55">
        <f>IFERROR(__xludf.DUMMYFUNCTION("importrange(""1shTvs8XCxTEi4uArYvktfhVF3aaBcX8qXa6gu0Yrdy8"",""2025-26!al4"")"),931893.7)</f>
        <v>931893.7</v>
      </c>
      <c r="CD101" s="55">
        <f>IFERROR(__xludf.DUMMYFUNCTION("importrange(""1shTvs8XCxTEi4uArYvktfhVF3aaBcX8qXa6gu0Yrdy8"",""2025-26!ai3"")"),13.0)</f>
        <v>13</v>
      </c>
      <c r="CE101" s="59" t="str">
        <f t="shared" si="27"/>
        <v/>
      </c>
      <c r="CF101" s="55">
        <f>IFERROR(__xludf.DUMMYFUNCTION("importrange(""1shTvs8XCxTEi4uArYvktfhVF3aaBcX8qXa6gu0Yrdy8"",""2025-26!am4"")"),889837.0899999999)</f>
        <v>889837.09</v>
      </c>
      <c r="CG101" s="55">
        <f>IFERROR(__xludf.DUMMYFUNCTION("importrange(""1shTvs8XCxTEi4uArYvktfhVF3aaBcX8qXa6gu0Yrdy8"",""2025-26!am3"")"),16.0)</f>
        <v>16</v>
      </c>
      <c r="CH101" s="55">
        <f>IFERROR(__xludf.DUMMYFUNCTION("importrange(""1shTvs8XCxTEi4uArYvktfhVF3aaBcX8qXa6gu0Yrdy8"",""2025-26!an4"")"),0.0)</f>
        <v>0</v>
      </c>
      <c r="CI101" s="55">
        <f>IFERROR(__xludf.DUMMYFUNCTION("importrange(""1shTvs8XCxTEi4uArYvktfhVF3aaBcX8qXa6gu0Yrdy8"",""2025-26!an3"")"),0.0)</f>
        <v>0</v>
      </c>
      <c r="CJ101" s="55">
        <f>IFERROR(__xludf.DUMMYFUNCTION("importrange(""1shTvs8XCxTEi4uArYvktfhVF3aaBcX8qXa6gu0Yrdy8"",""2025-26!ao4"")"),417008.54000000004)</f>
        <v>417008.54</v>
      </c>
      <c r="CK101" s="55">
        <f>IFERROR(__xludf.DUMMYFUNCTION("importrange(""1shTvs8XCxTEi4uArYvktfhVF3aaBcX8qXa6gu0Yrdy8"",""2025-26!ao3"")"),6.0)</f>
        <v>6</v>
      </c>
      <c r="CL101" s="59" t="str">
        <f t="shared" si="28"/>
        <v/>
      </c>
      <c r="CM101" s="55">
        <f>IFERROR(__xludf.DUMMYFUNCTION("importrange(""1shTvs8XCxTEi4uArYvktfhVF3aaBcX8qXa6gu0Yrdy8"",""2025-26!ap4"")"),864639.3899999999)</f>
        <v>864639.39</v>
      </c>
      <c r="CN101" s="55">
        <f>IFERROR(__xludf.DUMMYFUNCTION("importrange(""1shTvs8XCxTEi4uArYvktfhVF3aaBcX8qXa6gu0Yrdy8"",""2025-26!ap3"")"),25.0)</f>
        <v>25</v>
      </c>
      <c r="CO101" s="55">
        <f>IFERROR(__xludf.DUMMYFUNCTION("importrange(""1shTvs8XCxTEi4uArYvktfhVF3aaBcX8qXa6gu0Yrdy8"",""2025-26!aq4"")"),0.0)</f>
        <v>0</v>
      </c>
      <c r="CP101" s="55">
        <f>IFERROR(__xludf.DUMMYFUNCTION("importrange(""1shTvs8XCxTEi4uArYvktfhVF3aaBcX8qXa6gu0Yrdy8"",""2025-26!aq3"")"),0.0)</f>
        <v>0</v>
      </c>
      <c r="CQ101" s="55">
        <f>IFERROR(__xludf.DUMMYFUNCTION("importrange(""1shTvs8XCxTEi4uArYvktfhVF3aaBcX8qXa6gu0Yrdy8"",""2025-26!ar4"")"),1032686.2699999999)</f>
        <v>1032686.27</v>
      </c>
      <c r="CR101" s="55">
        <f>IFERROR(__xludf.DUMMYFUNCTION("importrange(""1shTvs8XCxTEi4uArYvktfhVF3aaBcX8qXa6gu0Yrdy8"",""2025-26!ar3"")"),17.0)</f>
        <v>17</v>
      </c>
      <c r="CS101" s="59" t="str">
        <f t="shared" si="29"/>
        <v/>
      </c>
      <c r="CT101" s="55">
        <f>IFERROR(__xludf.DUMMYFUNCTION("importrange(""1shTvs8XCxTEi4uArYvktfhVF3aaBcX8qXa6gu0Yrdy8"",""2025-26!as4"")"),1041931.2600000001)</f>
        <v>1041931.26</v>
      </c>
      <c r="CU101" s="55">
        <f>IFERROR(__xludf.DUMMYFUNCTION("importrange(""1shTvs8XCxTEi4uArYvktfhVF3aaBcX8qXa6gu0Yrdy8"",""2025-26!as3"")"),17.0)</f>
        <v>17</v>
      </c>
      <c r="CV101" s="60" t="s">
        <v>222</v>
      </c>
    </row>
    <row r="102">
      <c r="A102" s="1" t="s">
        <v>185</v>
      </c>
      <c r="B102" s="37"/>
      <c r="C102" s="64" t="s">
        <v>229</v>
      </c>
      <c r="D102" s="50" t="s">
        <v>230</v>
      </c>
      <c r="E102" s="50">
        <v>9.6093524E9</v>
      </c>
      <c r="F102" s="74">
        <v>44958.0</v>
      </c>
      <c r="G102" s="62"/>
      <c r="H102" s="62"/>
      <c r="I102" s="53">
        <v>19585.0</v>
      </c>
      <c r="J102" s="54">
        <v>4000000.0</v>
      </c>
      <c r="K102" s="57">
        <f>IFERROR(__xludf.DUMMYFUNCTION("IMPORTRANGE(""https://docs.google.com/spreadsheets/d/156SGblhGPrELnH1FKNY41p5c_9ctePyjdgoNlJkLR94/edit#gid=878189715"",""2025-26!A3"")"),71.0)</f>
        <v>71</v>
      </c>
      <c r="L102" s="57">
        <f>IFERROR(__xludf.DUMMYFUNCTION("IMPORTRANGE(""https://docs.google.com/spreadsheets/d/156SGblhGPrELnH1FKNY41p5c_9ctePyjdgoNlJkLR94/edit#gid=878189715"",""2025-26!G4"")"),4.48E7)</f>
        <v>44800000</v>
      </c>
      <c r="M102" s="57">
        <f t="shared" si="50"/>
        <v>46129853.37</v>
      </c>
      <c r="N102" s="56">
        <f t="shared" si="51"/>
        <v>1.123833259</v>
      </c>
      <c r="O102" s="57">
        <f t="shared" si="52"/>
        <v>50347730</v>
      </c>
      <c r="P102" s="55">
        <f>IFERROR(__xludf.DUMMYFUNCTION("IMPORTRANGE(""https://docs.google.com/spreadsheets/d/156SGblhGPrELnH1FKNY41p5c_9ctePyjdgoNlJkLR94/edit#gid=878189715"",""2025-26!J4"")"),3675486.0)</f>
        <v>3675486</v>
      </c>
      <c r="Q102" s="55">
        <f>IFERROR(__xludf.DUMMYFUNCTION("IMPORTRANGE(""https://docs.google.com/spreadsheets/d/156SGblhGPrELnH1FKNY41p5c_9ctePyjdgoNlJkLR94/edit#gid=878189715"",""2025-26!J3"")"),52.0)</f>
        <v>52</v>
      </c>
      <c r="R102" s="55">
        <f>IFERROR(__xludf.DUMMYFUNCTION("IMPORTRANGE(""https://docs.google.com/spreadsheets/d/156SGblhGPrELnH1FKNY41p5c_9ctePyjdgoNlJkLR94/edit#gid=878189715"",""2025-26!K4"")"),1227019.5)</f>
        <v>1227019.5</v>
      </c>
      <c r="S102" s="55">
        <f>IFERROR(__xludf.DUMMYFUNCTION("IMPORTRANGE(""https://docs.google.com/spreadsheets/d/156SGblhGPrELnH1FKNY41p5c_9ctePyjdgoNlJkLR94/edit#gid=878189715"",""2025-26!K3"")"),16.0)</f>
        <v>16</v>
      </c>
      <c r="T102" s="58">
        <f t="shared" si="18"/>
        <v>0.1381430918</v>
      </c>
      <c r="U102" s="55">
        <f>IFERROR(__xludf.DUMMYFUNCTION("IMPORTRANGE(""https://docs.google.com/spreadsheets/d/156SGblhGPrELnH1FKNY41p5c_9ctePyjdgoNlJkLR94/edit#gid=878189715"",""2025-26!L4"")"),507743.0)</f>
        <v>507743</v>
      </c>
      <c r="V102" s="79">
        <f>IFERROR(__xludf.DUMMYFUNCTION("IMPORTRANGE(""https://docs.google.com/spreadsheets/d/156SGblhGPrELnH1FKNY41p5c_9ctePyjdgoNlJkLR94/edit#gid=878189715"",""2025-26!L3"")"),16.0)</f>
        <v>16</v>
      </c>
      <c r="W102" s="55">
        <f>IFERROR(__xludf.DUMMYFUNCTION("IMPORTRANGE(""https://docs.google.com/spreadsheets/d/156SGblhGPrELnH1FKNY41p5c_9ctePyjdgoNlJkLR94/edit#gid=878189715"",""2025-26!M4"")"),3675486.0)</f>
        <v>3675486</v>
      </c>
      <c r="X102" s="79">
        <f>IFERROR(__xludf.DUMMYFUNCTION("IMPORTRANGE(""https://docs.google.com/spreadsheets/d/156SGblhGPrELnH1FKNY41p5c_9ctePyjdgoNlJkLR94/edit#gid=878189715"",""2025-26!M3"")"),52.0)</f>
        <v>52</v>
      </c>
      <c r="Y102" s="55">
        <f>IFERROR(__xludf.DUMMYFUNCTION("importrange(""https://docs.google.com/spreadsheets/d/156SGblhGPrELnH1FKNY41p5c_9ctePyjdgoNlJkLR94/edit#gid=878189715"",""2025-26!n4"")"),3227737.7)</f>
        <v>3227737.7</v>
      </c>
      <c r="Z102" s="55">
        <f>IFERROR(__xludf.DUMMYFUNCTION("importrange(""https://docs.google.com/spreadsheets/d/156SGblhGPrELnH1FKNY41p5c_9ctePyjdgoNlJkLR94/edit#gid=878189715"",""2025-26!n3"")"),21.0)</f>
        <v>21</v>
      </c>
      <c r="AA102" s="58">
        <f t="shared" si="19"/>
        <v>0.6159805805</v>
      </c>
      <c r="AB102" s="55">
        <f>IFERROR(__xludf.DUMMYFUNCTION("importrange(""https://docs.google.com/spreadsheets/d/156SGblhGPrELnH1FKNY41p5c_9ctePyjdgoNlJkLR94/edit#gid=878189715"",""2025-26!o4"")"),2264028.0)</f>
        <v>2264028</v>
      </c>
      <c r="AC102" s="55">
        <f>IFERROR(__xludf.DUMMYFUNCTION("importrange(""https://docs.google.com/spreadsheets/d/156SGblhGPrELnH1FKNY41p5c_9ctePyjdgoNlJkLR94/edit#gid=878189715"",""2025-26!o3"")"),38.0)</f>
        <v>38</v>
      </c>
      <c r="AD102" s="55">
        <f>IFERROR(__xludf.DUMMYFUNCTION("importrange(""https://docs.google.com/spreadsheets/d/156SGblhGPrELnH1FKNY41p5c_9ctePyjdgoNlJkLR94/edit#gid=878189715"",""2025-26!p4"")"),3675486.0)</f>
        <v>3675486</v>
      </c>
      <c r="AE102" s="55">
        <f>IFERROR(__xludf.DUMMYFUNCTION("importrange(""https://docs.google.com/spreadsheets/d/156SGblhGPrELnH1FKNY41p5c_9ctePyjdgoNlJkLR94/edit#gid=878189715"",""2025-26!p3"")"),52.0)</f>
        <v>52</v>
      </c>
      <c r="AF102" s="55">
        <f>IFERROR(__xludf.DUMMYFUNCTION("importrange(""https://docs.google.com/spreadsheets/d/156SGblhGPrELnH1FKNY41p5c_9ctePyjdgoNlJkLR94/edit#gid=878189715"",""2025-26!q4"")"),3529035.0)</f>
        <v>3529035</v>
      </c>
      <c r="AG102" s="55">
        <f>IFERROR(__xludf.DUMMYFUNCTION("importrange(""https://docs.google.com/spreadsheets/d/156SGblhGPrELnH1FKNY41p5c_9ctePyjdgoNlJkLR94/edit#gid=878189715"",""2025-26!q3"")"),26.0)</f>
        <v>26</v>
      </c>
      <c r="AH102" s="58">
        <f t="shared" si="20"/>
        <v>1.454286045</v>
      </c>
      <c r="AI102" s="55">
        <f>IFERROR(__xludf.DUMMYFUNCTION("importrange(""https://docs.google.com/spreadsheets/d/156SGblhGPrELnH1FKNY41p5c_9ctePyjdgoNlJkLR94/edit#gid=878189715"",""2025-26!r4"")"),5345208.0)</f>
        <v>5345208</v>
      </c>
      <c r="AJ102" s="55">
        <f>IFERROR(__xludf.DUMMYFUNCTION("importrange(""https://docs.google.com/spreadsheets/d/156SGblhGPrELnH1FKNY41p5c_9ctePyjdgoNlJkLR94/edit#gid=878189715"",""2025-26!r3"")"),43.0)</f>
        <v>43</v>
      </c>
      <c r="AK102" s="55">
        <f>IFERROR(__xludf.DUMMYFUNCTION("importrange(""https://docs.google.com/spreadsheets/d/156SGblhGPrELnH1FKNY41p5c_9ctePyjdgoNlJkLR94/edit#gid=878189715"",""2025-26!s4"")"),3669491.0)</f>
        <v>3669491</v>
      </c>
      <c r="AL102" s="55">
        <f>IFERROR(__xludf.DUMMYFUNCTION("importrange(""https://docs.google.com/spreadsheets/d/156SGblhGPrELnH1FKNY41p5c_9ctePyjdgoNlJkLR94/edit#gid=878189715"",""2025-26!s3"")"),52.0)</f>
        <v>52</v>
      </c>
      <c r="AM102" s="57">
        <f>IFERROR(__xludf.DUMMYFUNCTION("importrange(""https://docs.google.com/spreadsheets/d/156SGblhGPrELnH1FKNY41p5c_9ctePyjdgoNlJkLR94/edit#gid=878189715"",""2025-26!t4"")"),3807452.88)</f>
        <v>3807452.88</v>
      </c>
      <c r="AN102" s="55">
        <f>IFERROR(__xludf.DUMMYFUNCTION("importrange(""https://docs.google.com/spreadsheets/d/156SGblhGPrELnH1FKNY41p5c_9ctePyjdgoNlJkLR94/edit#gid=878189715"",""2025-26!t3"")"),37.0)</f>
        <v>37</v>
      </c>
      <c r="AO102" s="58">
        <f t="shared" si="21"/>
        <v>0.852086025</v>
      </c>
      <c r="AP102" s="55">
        <f>IFERROR(__xludf.DUMMYFUNCTION("importrange(""https://docs.google.com/spreadsheets/d/156SGblhGPrELnH1FKNY41p5c_9ctePyjdgoNlJkLR94/edit#gid=878189715"",""2025-26!u4"")"),3126722.0)</f>
        <v>3126722</v>
      </c>
      <c r="AQ102" s="55">
        <f>IFERROR(__xludf.DUMMYFUNCTION("importrange(""https://docs.google.com/spreadsheets/d/156SGblhGPrELnH1FKNY41p5c_9ctePyjdgoNlJkLR94/edit#gid=878189715"",""2025-26!u3"")"),32.0)</f>
        <v>32</v>
      </c>
      <c r="AR102" s="55">
        <f>IFERROR(__xludf.DUMMYFUNCTION("importrange(""https://docs.google.com/spreadsheets/d/156SGblhGPrELnH1FKNY41p5c_9ctePyjdgoNlJkLR94/edit#gid=878189715"",""2025-26!v4"")"),3753263.0)</f>
        <v>3753263</v>
      </c>
      <c r="AS102" s="55">
        <f>IFERROR(__xludf.DUMMYFUNCTION("importrange(""https://docs.google.com/spreadsheets/d/156SGblhGPrELnH1FKNY41p5c_9ctePyjdgoNlJkLR94/edit#gid=878189715"",""2025-26!v3"")"),59.0)</f>
        <v>59</v>
      </c>
      <c r="AT102" s="57">
        <f>IFERROR(__xludf.DUMMYFUNCTION("importrange(""https://docs.google.com/spreadsheets/d/156SGblhGPrELnH1FKNY41p5c_9ctePyjdgoNlJkLR94/edit#gid=878189715"",""2025-26!w4"")"),3319221.5000000005)</f>
        <v>3319221.5</v>
      </c>
      <c r="AU102" s="55">
        <f>IFERROR(__xludf.DUMMYFUNCTION("importrange(""https://docs.google.com/spreadsheets/d/156SGblhGPrELnH1FKNY41p5c_9ctePyjdgoNlJkLR94/edit#gid=878189715"",""2025-26!w3"")"),29.0)</f>
        <v>29</v>
      </c>
      <c r="AV102" s="58">
        <f t="shared" si="22"/>
        <v>0.9236896002</v>
      </c>
      <c r="AW102" s="55">
        <f>IFERROR(__xludf.DUMMYFUNCTION("importrange(""https://docs.google.com/spreadsheets/d/156SGblhGPrELnH1FKNY41p5c_9ctePyjdgoNlJkLR94/edit#gid=878189715"",""2025-26!x4"")"),3466850.0)</f>
        <v>3466850</v>
      </c>
      <c r="AX102" s="55">
        <f>IFERROR(__xludf.DUMMYFUNCTION("importrange(""https://docs.google.com/spreadsheets/d/156SGblhGPrELnH1FKNY41p5c_9ctePyjdgoNlJkLR94/edit#gid=878189715"",""2025-26!x3"")"),39.0)</f>
        <v>39</v>
      </c>
      <c r="AY102" s="55">
        <f>IFERROR(__xludf.DUMMYFUNCTION("importrange(""https://docs.google.com/spreadsheets/d/156SGblhGPrELnH1FKNY41p5c_9ctePyjdgoNlJkLR94/edit#gid=878189715"",""2025-26!y4"")"),3753263.0)</f>
        <v>3753263</v>
      </c>
      <c r="AZ102" s="55">
        <f>IFERROR(__xludf.DUMMYFUNCTION("importrange(""https://docs.google.com/spreadsheets/d/156SGblhGPrELnH1FKNY41p5c_9ctePyjdgoNlJkLR94/edit#gid=878189715"",""2025-26!y3"")"),59.0)</f>
        <v>59</v>
      </c>
      <c r="BA102" s="57">
        <f>IFERROR(__xludf.DUMMYFUNCTION("importrange(""https://docs.google.com/spreadsheets/d/156SGblhGPrELnH1FKNY41p5c_9ctePyjdgoNlJkLR94/edit#gid=878189715"",""2025-26!z4"")"),3251436.29)</f>
        <v>3251436.29</v>
      </c>
      <c r="BB102" s="55">
        <f>IFERROR(__xludf.DUMMYFUNCTION("importrange(""https://docs.google.com/spreadsheets/d/156SGblhGPrELnH1FKNY41p5c_9ctePyjdgoNlJkLR94/edit#gid=878189715"",""2025-26!z3"")"),32.0)</f>
        <v>32</v>
      </c>
      <c r="BC102" s="59">
        <f t="shared" si="23"/>
        <v>1.228326392</v>
      </c>
      <c r="BD102" s="55">
        <f>IFERROR(__xludf.DUMMYFUNCTION("importrange(""https://docs.google.com/spreadsheets/d/156SGblhGPrELnH1FKNY41p5c_9ctePyjdgoNlJkLR94/edit#gid=878189715"",""2025-26!aa4"")"),4610232.0)</f>
        <v>4610232</v>
      </c>
      <c r="BE102" s="55">
        <f>IFERROR(__xludf.DUMMYFUNCTION("importrange(""https://docs.google.com/spreadsheets/d/156SGblhGPrELnH1FKNY41p5c_9ctePyjdgoNlJkLR94/edit#gid=878189715"",""2025-26!aa3"")"),43.0)</f>
        <v>43</v>
      </c>
      <c r="BF102" s="55">
        <f>IFERROR(__xludf.DUMMYFUNCTION("importrange(""https://docs.google.com/spreadsheets/d/156SGblhGPrELnH1FKNY41p5c_9ctePyjdgoNlJkLR94/edit#gid=878189715"",""2025-26!ab4"")"),3753263.0)</f>
        <v>3753263</v>
      </c>
      <c r="BG102" s="55">
        <f>IFERROR(__xludf.DUMMYFUNCTION("importrange(""https://docs.google.com/spreadsheets/d/156SGblhGPrELnH1FKNY41p5c_9ctePyjdgoNlJkLR94/edit#gid=878189715"",""2025-26!ab3"")"),59.0)</f>
        <v>59</v>
      </c>
      <c r="BH102" s="55">
        <f>IFERROR(__xludf.DUMMYFUNCTION("importrange(""https://docs.google.com/spreadsheets/d/156SGblhGPrELnH1FKNY41p5c_9ctePyjdgoNlJkLR94/edit#gid=878189715"",""2025-26!ac4"")"),2506451.0100000002)</f>
        <v>2506451.01</v>
      </c>
      <c r="BI102" s="55">
        <f>IFERROR(__xludf.DUMMYFUNCTION("importrange(""https://docs.google.com/spreadsheets/d/156SGblhGPrELnH1FKNY41p5c_9ctePyjdgoNlJkLR94/edit#gid=878189715"",""2025-26!ac3"")"),20.0)</f>
        <v>20</v>
      </c>
      <c r="BJ102" s="59">
        <f t="shared" si="24"/>
        <v>0.8034209167</v>
      </c>
      <c r="BK102" s="55">
        <f>IFERROR(__xludf.DUMMYFUNCTION("importrange(""https://docs.google.com/spreadsheets/d/156SGblhGPrELnH1FKNY41p5c_9ctePyjdgoNlJkLR94/edit#gid=878189715"",""2025-26!ad4"")"),3015450.0)</f>
        <v>3015450</v>
      </c>
      <c r="BL102" s="55">
        <f>IFERROR(__xludf.DUMMYFUNCTION("importrange(""https://docs.google.com/spreadsheets/d/156SGblhGPrELnH1FKNY41p5c_9ctePyjdgoNlJkLR94/edit#gid=878189715"",""2025-26!ad3"")"),35.0)</f>
        <v>35</v>
      </c>
      <c r="BM102" s="55">
        <f>IFERROR(__xludf.DUMMYFUNCTION("importrange(""https://docs.google.com/spreadsheets/d/156SGblhGPrELnH1FKNY41p5c_9ctePyjdgoNlJkLR94/edit#gid=878189715"",""2025-26!ae4"")"),3753263.0)</f>
        <v>3753263</v>
      </c>
      <c r="BN102" s="55">
        <f>IFERROR(__xludf.DUMMYFUNCTION("importrange(""https://docs.google.com/spreadsheets/d/156SGblhGPrELnH1FKNY41p5c_9ctePyjdgoNlJkLR94/edit#gid=878189715"",""2025-26!ae3"")"),59.0)</f>
        <v>59</v>
      </c>
      <c r="BO102" s="55">
        <f>IFERROR(__xludf.DUMMYFUNCTION("importrange(""https://docs.google.com/spreadsheets/d/156SGblhGPrELnH1FKNY41p5c_9ctePyjdgoNlJkLR94/edit#gid=878189715"",""2025-26!af4"")"),3462699.9899999998)</f>
        <v>3462699.99</v>
      </c>
      <c r="BP102" s="55">
        <f>IFERROR(__xludf.DUMMYFUNCTION("importrange(""https://docs.google.com/spreadsheets/d/156SGblhGPrELnH1FKNY41p5c_9ctePyjdgoNlJkLR94/edit#gid=878189715"",""2025-26!af3"")"),37.0)</f>
        <v>37</v>
      </c>
      <c r="BQ102" s="59">
        <f t="shared" si="25"/>
        <v>0.8392771836</v>
      </c>
      <c r="BR102" s="55">
        <f>IFERROR(__xludf.DUMMYFUNCTION("importrange(""https://docs.google.com/spreadsheets/d/156SGblhGPrELnH1FKNY41p5c_9ctePyjdgoNlJkLR94/edit#gid=878189715"",""2025-26!ag4"")"),3150028.0)</f>
        <v>3150028</v>
      </c>
      <c r="BS102" s="55">
        <f>IFERROR(__xludf.DUMMYFUNCTION("importrange(""https://docs.google.com/spreadsheets/d/156SGblhGPrELnH1FKNY41p5c_9ctePyjdgoNlJkLR94/edit#gid=878189715"",""2025-26!ag3"")"),44.0)</f>
        <v>44</v>
      </c>
      <c r="BT102" s="55">
        <f>IFERROR(__xludf.DUMMYFUNCTION("importrange(""https://docs.google.com/spreadsheets/d/156SGblhGPrELnH1FKNY41p5c_9ctePyjdgoNlJkLR94/edit#gid=878189715"",""2025-26!ah4"")"),3753263.0)</f>
        <v>3753263</v>
      </c>
      <c r="BU102" s="55">
        <f>IFERROR(__xludf.DUMMYFUNCTION("importrange(""https://docs.google.com/spreadsheets/d/156SGblhGPrELnH1FKNY41p5c_9ctePyjdgoNlJkLR94/edit#gid=878189715"",""2025-26!ah3"")"),59.0)</f>
        <v>59</v>
      </c>
      <c r="BV102" s="55">
        <f>IFERROR(__xludf.DUMMYFUNCTION("importrange(""https://docs.google.com/spreadsheets/d/156SGblhGPrELnH1FKNY41p5c_9ctePyjdgoNlJkLR94/edit#gid=878189715"",""2025-26!ai4"")"),5026411.35)</f>
        <v>5026411.35</v>
      </c>
      <c r="BW102" s="55">
        <f>IFERROR(__xludf.DUMMYFUNCTION("importrange(""https://docs.google.com/spreadsheets/d/156SGblhGPrELnH1FKNY41p5c_9ctePyjdgoNlJkLR94/edit#gid=878189715"",""2025-26!ai3"")"),26.0)</f>
        <v>26</v>
      </c>
      <c r="BX102" s="59">
        <f t="shared" si="26"/>
        <v>1.632851468</v>
      </c>
      <c r="BY102" s="55">
        <f>IFERROR(__xludf.DUMMYFUNCTION("importrange(""https://docs.google.com/spreadsheets/d/156SGblhGPrELnH1FKNY41p5c_9ctePyjdgoNlJkLR94/edit#gid=878189715"",""2025-26!aj4"")"),6128521.0)</f>
        <v>6128521</v>
      </c>
      <c r="BZ102" s="55">
        <f>IFERROR(__xludf.DUMMYFUNCTION("importrange(""https://docs.google.com/spreadsheets/d/156SGblhGPrELnH1FKNY41p5c_9ctePyjdgoNlJkLR94/edit#gid=878189715"",""2025-26!aj3"")"),43.0)</f>
        <v>43</v>
      </c>
      <c r="CA102" s="55">
        <f>IFERROR(__xludf.DUMMYFUNCTION("importrange(""https://docs.google.com/spreadsheets/d/156SGblhGPrELnH1FKNY41p5c_9ctePyjdgoNlJkLR94/edit#gid=878189715"",""2025-26!ak4"")"),3753263.0)</f>
        <v>3753263</v>
      </c>
      <c r="CB102" s="55">
        <f>IFERROR(__xludf.DUMMYFUNCTION("importrange(""https://docs.google.com/spreadsheets/d/156SGblhGPrELnH1FKNY41p5c_9ctePyjdgoNlJkLR94/edit#gid=878189715"",""2025-26!ak3"")"),59.0)</f>
        <v>59</v>
      </c>
      <c r="CC102" s="55">
        <f>IFERROR(__xludf.DUMMYFUNCTION("importrange(""https://docs.google.com/spreadsheets/d/156SGblhGPrELnH1FKNY41p5c_9ctePyjdgoNlJkLR94/edit#gid=878189715"",""2025-26!al4"")"),4648994.5)</f>
        <v>4648994.5</v>
      </c>
      <c r="CD102" s="55">
        <f>IFERROR(__xludf.DUMMYFUNCTION("importrange(""https://docs.google.com/spreadsheets/d/156SGblhGPrELnH1FKNY41p5c_9ctePyjdgoNlJkLR94/edit#gid=878189715"",""2025-26!ai3"")"),26.0)</f>
        <v>26</v>
      </c>
      <c r="CE102" s="59">
        <f t="shared" si="27"/>
        <v>1.264740041</v>
      </c>
      <c r="CF102" s="55">
        <f>IFERROR(__xludf.DUMMYFUNCTION("importrange(""https://docs.google.com/spreadsheets/d/156SGblhGPrELnH1FKNY41p5c_9ctePyjdgoNlJkLR94/edit#gid=878189715"",""2025-26!am4"")"),4746902.0)</f>
        <v>4746902</v>
      </c>
      <c r="CG102" s="55">
        <f>IFERROR(__xludf.DUMMYFUNCTION("importrange(""https://docs.google.com/spreadsheets/d/156SGblhGPrELnH1FKNY41p5c_9ctePyjdgoNlJkLR94/edit#gid=878189715"",""2025-26!am3"")"),38.0)</f>
        <v>38</v>
      </c>
      <c r="CH102" s="55">
        <f>IFERROR(__xludf.DUMMYFUNCTION("importrange(""https://docs.google.com/spreadsheets/d/156SGblhGPrELnH1FKNY41p5c_9ctePyjdgoNlJkLR94/edit#gid=878189715"",""2025-26!an4"")"),3753263.0)</f>
        <v>3753263</v>
      </c>
      <c r="CI102" s="55">
        <f>IFERROR(__xludf.DUMMYFUNCTION("importrange(""https://docs.google.com/spreadsheets/d/156SGblhGPrELnH1FKNY41p5c_9ctePyjdgoNlJkLR94/edit#gid=878189715"",""2025-26!an3"")"),59.0)</f>
        <v>59</v>
      </c>
      <c r="CJ102" s="55">
        <f>IFERROR(__xludf.DUMMYFUNCTION("importrange(""https://docs.google.com/spreadsheets/d/156SGblhGPrELnH1FKNY41p5c_9ctePyjdgoNlJkLR94/edit#gid=878189715"",""2025-26!ao4"")"),3055633.3600000003)</f>
        <v>3055633.36</v>
      </c>
      <c r="CK102" s="55">
        <f>IFERROR(__xludf.DUMMYFUNCTION("importrange(""https://docs.google.com/spreadsheets/d/156SGblhGPrELnH1FKNY41p5c_9ctePyjdgoNlJkLR94/edit#gid=878189715"",""2025-26!ao3"")"),18.0)</f>
        <v>18</v>
      </c>
      <c r="CL102" s="59">
        <f t="shared" si="28"/>
        <v>0.8123259681</v>
      </c>
      <c r="CM102" s="55">
        <f>IFERROR(__xludf.DUMMYFUNCTION("importrange(""https://docs.google.com/spreadsheets/d/156SGblhGPrELnH1FKNY41p5c_9ctePyjdgoNlJkLR94/edit#gid=878189715"",""2025-26!ap4"")"),3048873.0)</f>
        <v>3048873</v>
      </c>
      <c r="CN102" s="55">
        <f>IFERROR(__xludf.DUMMYFUNCTION("importrange(""https://docs.google.com/spreadsheets/d/156SGblhGPrELnH1FKNY41p5c_9ctePyjdgoNlJkLR94/edit#gid=878189715"",""2025-26!ap3"")"),37.0)</f>
        <v>37</v>
      </c>
      <c r="CO102" s="55">
        <f>IFERROR(__xludf.DUMMYFUNCTION("importrange(""https://docs.google.com/spreadsheets/d/156SGblhGPrELnH1FKNY41p5c_9ctePyjdgoNlJkLR94/edit#gid=878189715"",""2025-26!aq4"")"),3753263.0)</f>
        <v>3753263</v>
      </c>
      <c r="CP102" s="55">
        <f>IFERROR(__xludf.DUMMYFUNCTION("importrange(""https://docs.google.com/spreadsheets/d/156SGblhGPrELnH1FKNY41p5c_9ctePyjdgoNlJkLR94/edit#gid=878189715"",""2025-26!aq3"")"),59.0)</f>
        <v>59</v>
      </c>
      <c r="CQ102" s="55">
        <f>IFERROR(__xludf.DUMMYFUNCTION("importrange(""https://docs.google.com/spreadsheets/d/156SGblhGPrELnH1FKNY41p5c_9ctePyjdgoNlJkLR94/edit#gid=878189715"",""2025-26!ar4"")"),9067760.290000001)</f>
        <v>9067760.29</v>
      </c>
      <c r="CR102" s="55">
        <f>IFERROR(__xludf.DUMMYFUNCTION("importrange(""https://docs.google.com/spreadsheets/d/156SGblhGPrELnH1FKNY41p5c_9ctePyjdgoNlJkLR94/edit#gid=878189715"",""2025-26!ar3"")"),43.0)</f>
        <v>43</v>
      </c>
      <c r="CS102" s="59">
        <f t="shared" si="29"/>
        <v>2.91404386</v>
      </c>
      <c r="CT102" s="55">
        <f>IFERROR(__xludf.DUMMYFUNCTION("importrange(""https://docs.google.com/spreadsheets/d/156SGblhGPrELnH1FKNY41p5c_9ctePyjdgoNlJkLR94/edit#gid=878189715"",""2025-26!as4"")"),1.0937173E7)</f>
        <v>10937173</v>
      </c>
      <c r="CU102" s="55">
        <f>IFERROR(__xludf.DUMMYFUNCTION("importrange(""https://docs.google.com/spreadsheets/d/156SGblhGPrELnH1FKNY41p5c_9ctePyjdgoNlJkLR94/edit#gid=878189715"",""2025-26!as3"")"),41.0)</f>
        <v>41</v>
      </c>
      <c r="CV102" s="60" t="s">
        <v>189</v>
      </c>
    </row>
    <row r="103">
      <c r="A103" s="1" t="s">
        <v>185</v>
      </c>
      <c r="B103" s="37"/>
      <c r="C103" s="64" t="s">
        <v>231</v>
      </c>
      <c r="D103" s="50" t="s">
        <v>232</v>
      </c>
      <c r="E103" s="50">
        <v>7.004903131E9</v>
      </c>
      <c r="F103" s="74">
        <v>45040.0</v>
      </c>
      <c r="G103" s="62"/>
      <c r="H103" s="62"/>
      <c r="I103" s="53">
        <v>33090.0</v>
      </c>
      <c r="J103" s="54">
        <v>1500000.0</v>
      </c>
      <c r="K103" s="57">
        <f>IFERROR(__xludf.DUMMYFUNCTION("IMPORTRANGE(""https://docs.google.com/spreadsheets/d/1939lMQ_ymDDtVRAKKKpTg6-ciOV1sghbvYqRFhFaZi8/edit#gid=867855662"",""2025-26!A3"")"),41.0)</f>
        <v>41</v>
      </c>
      <c r="L103" s="57">
        <f>IFERROR(__xludf.DUMMYFUNCTION("IMPORTRANGE(""https://docs.google.com/spreadsheets/d/1939lMQ_ymDDtVRAKKKpTg6-ciOV1sghbvYqRFhFaZi8/edit#gid=867855662"",""2025-26!G4"")"),1.4652764E7)</f>
        <v>14652764</v>
      </c>
      <c r="M103" s="57">
        <f t="shared" si="50"/>
        <v>13289262.86</v>
      </c>
      <c r="N103" s="56">
        <f t="shared" si="51"/>
        <v>0.7480175754</v>
      </c>
      <c r="O103" s="57">
        <f t="shared" si="52"/>
        <v>10960525</v>
      </c>
      <c r="P103" s="55">
        <f>IFERROR(__xludf.DUMMYFUNCTION("IMPORTRANGE(""https://docs.google.com/spreadsheets/d/1939lMQ_ymDDtVRAKKKpTg6-ciOV1sghbvYqRFhFaZi8/edit#gid=867855662"",""2025-26!J4"")"),1118563.6666666667)</f>
        <v>1118563.667</v>
      </c>
      <c r="Q103" s="55">
        <f>IFERROR(__xludf.DUMMYFUNCTION("IMPORTRANGE(""https://docs.google.com/spreadsheets/d/1939lMQ_ymDDtVRAKKKpTg6-ciOV1sghbvYqRFhFaZi8/edit#gid=867855662"",""2025-26!J3"")"),21.0)</f>
        <v>21</v>
      </c>
      <c r="R103" s="55">
        <f>IFERROR(__xludf.DUMMYFUNCTION("IMPORTRANGE(""https://docs.google.com/spreadsheets/d/1939lMQ_ymDDtVRAKKKpTg6-ciOV1sghbvYqRFhFaZi8/edit#gid=867855662"",""2025-26!K4"")"),305247.5)</f>
        <v>305247.5</v>
      </c>
      <c r="S103" s="55">
        <f>IFERROR(__xludf.DUMMYFUNCTION("IMPORTRANGE(""https://docs.google.com/spreadsheets/d/1939lMQ_ymDDtVRAKKKpTg6-ciOV1sghbvYqRFhFaZi8/edit#gid=867855662"",""2025-26!K3"")"),4.0)</f>
        <v>4</v>
      </c>
      <c r="T103" s="58">
        <f t="shared" si="18"/>
        <v>0.2336505358</v>
      </c>
      <c r="U103" s="55">
        <f>IFERROR(__xludf.DUMMYFUNCTION("IMPORTRANGE(""https://docs.google.com/spreadsheets/d/1939lMQ_ymDDtVRAKKKpTg6-ciOV1sghbvYqRFhFaZi8/edit#gid=867855662"",""2025-26!L4"")"),261353.0)</f>
        <v>261353</v>
      </c>
      <c r="V103" s="79">
        <f>IFERROR(__xludf.DUMMYFUNCTION("IMPORTRANGE(""https://docs.google.com/spreadsheets/d/1939lMQ_ymDDtVRAKKKpTg6-ciOV1sghbvYqRFhFaZi8/edit#gid=867855662"",""2025-26!L3"")"),5.0)</f>
        <v>5</v>
      </c>
      <c r="W103" s="55">
        <f>IFERROR(__xludf.DUMMYFUNCTION("IMPORTRANGE(""https://docs.google.com/spreadsheets/d/1939lMQ_ymDDtVRAKKKpTg6-ciOV1sghbvYqRFhFaZi8/edit#gid=867855662"",""2025-26!M4"")"),1118563.6666666667)</f>
        <v>1118563.667</v>
      </c>
      <c r="X103" s="79">
        <f>IFERROR(__xludf.DUMMYFUNCTION("IMPORTRANGE(""https://docs.google.com/spreadsheets/d/1939lMQ_ymDDtVRAKKKpTg6-ciOV1sghbvYqRFhFaZi8/edit#gid=867855662"",""2025-26!M3"")"),21.0)</f>
        <v>21</v>
      </c>
      <c r="Y103" s="55">
        <f>IFERROR(__xludf.DUMMYFUNCTION("importrange(""https://docs.google.com/spreadsheets/d/1939lMQ_ymDDtVRAKKKpTg6-ciOV1sghbvYqRFhFaZi8/edit#gid=867855662"",""2025-26!n4"")"),631266.5000000001)</f>
        <v>631266.5</v>
      </c>
      <c r="Z103" s="55">
        <f>IFERROR(__xludf.DUMMYFUNCTION("importrange(""https://docs.google.com/spreadsheets/d/1939lMQ_ymDDtVRAKKKpTg6-ciOV1sghbvYqRFhFaZi8/edit#gid=867855662"",""2025-26!n3"")"),9.0)</f>
        <v>9</v>
      </c>
      <c r="AA103" s="58">
        <f t="shared" si="19"/>
        <v>0.3766714516</v>
      </c>
      <c r="AB103" s="55">
        <f>IFERROR(__xludf.DUMMYFUNCTION("importrange(""https://docs.google.com/spreadsheets/d/1939lMQ_ymDDtVRAKKKpTg6-ciOV1sghbvYqRFhFaZi8/edit#gid=867855662"",""2025-26!o4"")"),421331.0)</f>
        <v>421331</v>
      </c>
      <c r="AC103" s="55">
        <f>IFERROR(__xludf.DUMMYFUNCTION("importrange(""https://docs.google.com/spreadsheets/d/1939lMQ_ymDDtVRAKKKpTg6-ciOV1sghbvYqRFhFaZi8/edit#gid=867855662"",""2025-26!o3"")"),8.0)</f>
        <v>8</v>
      </c>
      <c r="AD103" s="55">
        <f>IFERROR(__xludf.DUMMYFUNCTION("importrange(""https://docs.google.com/spreadsheets/d/1939lMQ_ymDDtVRAKKKpTg6-ciOV1sghbvYqRFhFaZi8/edit#gid=867855662"",""2025-26!p4"")"),1118563.6666666667)</f>
        <v>1118563.667</v>
      </c>
      <c r="AE103" s="55">
        <f>IFERROR(__xludf.DUMMYFUNCTION("importrange(""https://docs.google.com/spreadsheets/d/1939lMQ_ymDDtVRAKKKpTg6-ciOV1sghbvYqRFhFaZi8/edit#gid=867855662"",""2025-26!p3"")"),21.0)</f>
        <v>21</v>
      </c>
      <c r="AF103" s="55">
        <f>IFERROR(__xludf.DUMMYFUNCTION("importrange(""https://docs.google.com/spreadsheets/d/1939lMQ_ymDDtVRAKKKpTg6-ciOV1sghbvYqRFhFaZi8/edit#gid=867855662"",""2025-26!q4"")"),1165534.86)</f>
        <v>1165534.86</v>
      </c>
      <c r="AG103" s="55">
        <f>IFERROR(__xludf.DUMMYFUNCTION("importrange(""https://docs.google.com/spreadsheets/d/1939lMQ_ymDDtVRAKKKpTg6-ciOV1sghbvYqRFhFaZi8/edit#gid=867855662"",""2025-26!q3"")"),9.0)</f>
        <v>9</v>
      </c>
      <c r="AH103" s="58">
        <f t="shared" si="20"/>
        <v>0.5961421955</v>
      </c>
      <c r="AI103" s="55">
        <f>IFERROR(__xludf.DUMMYFUNCTION("importrange(""https://docs.google.com/spreadsheets/d/1939lMQ_ymDDtVRAKKKpTg6-ciOV1sghbvYqRFhFaZi8/edit#gid=867855662"",""2025-26!r4"")"),666823.0)</f>
        <v>666823</v>
      </c>
      <c r="AJ103" s="55">
        <f>IFERROR(__xludf.DUMMYFUNCTION("importrange(""https://docs.google.com/spreadsheets/d/1939lMQ_ymDDtVRAKKKpTg6-ciOV1sghbvYqRFhFaZi8/edit#gid=867855662"",""2025-26!r3"")"),9.0)</f>
        <v>9</v>
      </c>
      <c r="AK103" s="55">
        <f>IFERROR(__xludf.DUMMYFUNCTION("importrange(""https://docs.google.com/spreadsheets/d/1939lMQ_ymDDtVRAKKKpTg6-ciOV1sghbvYqRFhFaZi8/edit#gid=867855662"",""2025-26!s4"")"),1118563.6666666667)</f>
        <v>1118563.667</v>
      </c>
      <c r="AL103" s="55">
        <f>IFERROR(__xludf.DUMMYFUNCTION("importrange(""https://docs.google.com/spreadsheets/d/1939lMQ_ymDDtVRAKKKpTg6-ciOV1sghbvYqRFhFaZi8/edit#gid=867855662"",""2025-26!s3"")"),21.0)</f>
        <v>21</v>
      </c>
      <c r="AM103" s="57">
        <f>IFERROR(__xludf.DUMMYFUNCTION("importrange(""https://docs.google.com/spreadsheets/d/1939lMQ_ymDDtVRAKKKpTg6-ciOV1sghbvYqRFhFaZi8/edit#gid=867855662"",""2025-26!t4"")"),1227795.2500000002)</f>
        <v>1227795.25</v>
      </c>
      <c r="AN103" s="55">
        <f>IFERROR(__xludf.DUMMYFUNCTION("importrange(""https://docs.google.com/spreadsheets/d/1939lMQ_ymDDtVRAKKKpTg6-ciOV1sghbvYqRFhFaZi8/edit#gid=867855662"",""2025-26!t3"")"),7.0)</f>
        <v>7</v>
      </c>
      <c r="AO103" s="58">
        <f t="shared" si="21"/>
        <v>1.047483514</v>
      </c>
      <c r="AP103" s="55">
        <f>IFERROR(__xludf.DUMMYFUNCTION("importrange(""https://docs.google.com/spreadsheets/d/1939lMQ_ymDDtVRAKKKpTg6-ciOV1sghbvYqRFhFaZi8/edit#gid=867855662"",""2025-26!u4"")"),1171677.0)</f>
        <v>1171677</v>
      </c>
      <c r="AQ103" s="55">
        <f>IFERROR(__xludf.DUMMYFUNCTION("importrange(""https://docs.google.com/spreadsheets/d/1939lMQ_ymDDtVRAKKKpTg6-ciOV1sghbvYqRFhFaZi8/edit#gid=867855662"",""2025-26!u3"")"),9.0)</f>
        <v>9</v>
      </c>
      <c r="AR103" s="55">
        <f>IFERROR(__xludf.DUMMYFUNCTION("importrange(""https://docs.google.com/spreadsheets/d/1939lMQ_ymDDtVRAKKKpTg6-ciOV1sghbvYqRFhFaZi8/edit#gid=867855662"",""2025-26!v4"")"),1118563.6666666667)</f>
        <v>1118563.667</v>
      </c>
      <c r="AS103" s="55">
        <f>IFERROR(__xludf.DUMMYFUNCTION("importrange(""https://docs.google.com/spreadsheets/d/1939lMQ_ymDDtVRAKKKpTg6-ciOV1sghbvYqRFhFaZi8/edit#gid=867855662"",""2025-26!v3"")"),21.0)</f>
        <v>21</v>
      </c>
      <c r="AT103" s="57">
        <f>IFERROR(__xludf.DUMMYFUNCTION("importrange(""https://docs.google.com/spreadsheets/d/1939lMQ_ymDDtVRAKKKpTg6-ciOV1sghbvYqRFhFaZi8/edit#gid=867855662"",""2025-26!w4"")"),1641890.04)</f>
        <v>1641890.04</v>
      </c>
      <c r="AU103" s="55">
        <f>IFERROR(__xludf.DUMMYFUNCTION("importrange(""https://docs.google.com/spreadsheets/d/1939lMQ_ymDDtVRAKKKpTg6-ciOV1sghbvYqRFhFaZi8/edit#gid=867855662"",""2025-26!w3"")"),13.0)</f>
        <v>13</v>
      </c>
      <c r="AV103" s="58">
        <f t="shared" si="22"/>
        <v>1.363853525</v>
      </c>
      <c r="AW103" s="55">
        <f>IFERROR(__xludf.DUMMYFUNCTION("importrange(""https://docs.google.com/spreadsheets/d/1939lMQ_ymDDtVRAKKKpTg6-ciOV1sghbvYqRFhFaZi8/edit#gid=867855662"",""2025-26!x4"")"),1525557.0)</f>
        <v>1525557</v>
      </c>
      <c r="AX103" s="55">
        <f>IFERROR(__xludf.DUMMYFUNCTION("importrange(""https://docs.google.com/spreadsheets/d/1939lMQ_ymDDtVRAKKKpTg6-ciOV1sghbvYqRFhFaZi8/edit#gid=867855662"",""2025-26!x3"")"),12.0)</f>
        <v>12</v>
      </c>
      <c r="AY103" s="55">
        <f>IFERROR(__xludf.DUMMYFUNCTION("importrange(""https://docs.google.com/spreadsheets/d/1939lMQ_ymDDtVRAKKKpTg6-ciOV1sghbvYqRFhFaZi8/edit#gid=867855662"",""2025-26!y4"")"),1118563.6666666667)</f>
        <v>1118563.667</v>
      </c>
      <c r="AZ103" s="55">
        <f>IFERROR(__xludf.DUMMYFUNCTION("importrange(""https://docs.google.com/spreadsheets/d/1939lMQ_ymDDtVRAKKKpTg6-ciOV1sghbvYqRFhFaZi8/edit#gid=867855662"",""2025-26!y3"")"),21.0)</f>
        <v>21</v>
      </c>
      <c r="BA103" s="57">
        <f>IFERROR(__xludf.DUMMYFUNCTION("importrange(""https://docs.google.com/spreadsheets/d/1939lMQ_ymDDtVRAKKKpTg6-ciOV1sghbvYqRFhFaZi8/edit#gid=867855662"",""2025-26!z4"")"),1006466.2899999999)</f>
        <v>1006466.29</v>
      </c>
      <c r="BB103" s="55">
        <f>IFERROR(__xludf.DUMMYFUNCTION("importrange(""https://docs.google.com/spreadsheets/d/1939lMQ_ymDDtVRAKKKpTg6-ciOV1sghbvYqRFhFaZi8/edit#gid=867855662"",""2025-26!z3"")"),7.0)</f>
        <v>7</v>
      </c>
      <c r="BC103" s="59">
        <f t="shared" si="23"/>
        <v>0.9059895562</v>
      </c>
      <c r="BD103" s="55">
        <f>IFERROR(__xludf.DUMMYFUNCTION("importrange(""https://docs.google.com/spreadsheets/d/1939lMQ_ymDDtVRAKKKpTg6-ciOV1sghbvYqRFhFaZi8/edit#gid=867855662"",""2025-26!aa4"")"),1013407.0)</f>
        <v>1013407</v>
      </c>
      <c r="BE103" s="55">
        <f>IFERROR(__xludf.DUMMYFUNCTION("importrange(""https://docs.google.com/spreadsheets/d/1939lMQ_ymDDtVRAKKKpTg6-ciOV1sghbvYqRFhFaZi8/edit#gid=867855662"",""2025-26!aa3"")"),7.0)</f>
        <v>7</v>
      </c>
      <c r="BF103" s="55">
        <f>IFERROR(__xludf.DUMMYFUNCTION("importrange(""https://docs.google.com/spreadsheets/d/1939lMQ_ymDDtVRAKKKpTg6-ciOV1sghbvYqRFhFaZi8/edit#gid=867855662"",""2025-26!ab4"")"),1118563.6666666667)</f>
        <v>1118563.667</v>
      </c>
      <c r="BG103" s="55">
        <f>IFERROR(__xludf.DUMMYFUNCTION("importrange(""https://docs.google.com/spreadsheets/d/1939lMQ_ymDDtVRAKKKpTg6-ciOV1sghbvYqRFhFaZi8/edit#gid=867855662"",""2025-26!ab3"")"),21.0)</f>
        <v>21</v>
      </c>
      <c r="BH103" s="55">
        <f>IFERROR(__xludf.DUMMYFUNCTION("importrange(""https://docs.google.com/spreadsheets/d/1939lMQ_ymDDtVRAKKKpTg6-ciOV1sghbvYqRFhFaZi8/edit#gid=867855662"",""2025-26!ac4"")"),811818.12)</f>
        <v>811818.12</v>
      </c>
      <c r="BI103" s="55">
        <f>IFERROR(__xludf.DUMMYFUNCTION("importrange(""https://docs.google.com/spreadsheets/d/1939lMQ_ymDDtVRAKKKpTg6-ciOV1sghbvYqRFhFaZi8/edit#gid=867855662"",""2025-26!ac3"")"),7.0)</f>
        <v>7</v>
      </c>
      <c r="BJ103" s="59">
        <f t="shared" si="24"/>
        <v>0.7561000104</v>
      </c>
      <c r="BK103" s="55">
        <f>IFERROR(__xludf.DUMMYFUNCTION("importrange(""https://docs.google.com/spreadsheets/d/1939lMQ_ymDDtVRAKKKpTg6-ciOV1sghbvYqRFhFaZi8/edit#gid=867855662"",""2025-26!ad4"")"),845746.0)</f>
        <v>845746</v>
      </c>
      <c r="BL103" s="55">
        <f>IFERROR(__xludf.DUMMYFUNCTION("importrange(""https://docs.google.com/spreadsheets/d/1939lMQ_ymDDtVRAKKKpTg6-ciOV1sghbvYqRFhFaZi8/edit#gid=867855662"",""2025-26!ad3"")"),7.0)</f>
        <v>7</v>
      </c>
      <c r="BM103" s="55">
        <f>IFERROR(__xludf.DUMMYFUNCTION("importrange(""https://docs.google.com/spreadsheets/d/1939lMQ_ymDDtVRAKKKpTg6-ciOV1sghbvYqRFhFaZi8/edit#gid=867855662"",""2025-26!ae4"")"),1118563.6666666667)</f>
        <v>1118563.667</v>
      </c>
      <c r="BN103" s="55">
        <f>IFERROR(__xludf.DUMMYFUNCTION("importrange(""https://docs.google.com/spreadsheets/d/1939lMQ_ymDDtVRAKKKpTg6-ciOV1sghbvYqRFhFaZi8/edit#gid=867855662"",""2025-26!ae3"")"),21.0)</f>
        <v>21</v>
      </c>
      <c r="BO103" s="55">
        <f>IFERROR(__xludf.DUMMYFUNCTION("importrange(""https://docs.google.com/spreadsheets/d/1939lMQ_ymDDtVRAKKKpTg6-ciOV1sghbvYqRFhFaZi8/edit#gid=867855662"",""2025-26!af4"")"),1344025.33)</f>
        <v>1344025.33</v>
      </c>
      <c r="BP103" s="55">
        <f>IFERROR(__xludf.DUMMYFUNCTION("importrange(""https://docs.google.com/spreadsheets/d/1939lMQ_ymDDtVRAKKKpTg6-ciOV1sghbvYqRFhFaZi8/edit#gid=867855662"",""2025-26!af3"")"),8.0)</f>
        <v>8</v>
      </c>
      <c r="BQ103" s="59">
        <f t="shared" si="25"/>
        <v>0.988228952</v>
      </c>
      <c r="BR103" s="55">
        <f>IFERROR(__xludf.DUMMYFUNCTION("importrange(""https://docs.google.com/spreadsheets/d/1939lMQ_ymDDtVRAKKKpTg6-ciOV1sghbvYqRFhFaZi8/edit#gid=867855662"",""2025-26!ag4"")"),1105397.0)</f>
        <v>1105397</v>
      </c>
      <c r="BS103" s="55">
        <f>IFERROR(__xludf.DUMMYFUNCTION("importrange(""https://docs.google.com/spreadsheets/d/1939lMQ_ymDDtVRAKKKpTg6-ciOV1sghbvYqRFhFaZi8/edit#gid=867855662"",""2025-26!ag3"")"),6.0)</f>
        <v>6</v>
      </c>
      <c r="BT103" s="55">
        <f>IFERROR(__xludf.DUMMYFUNCTION("importrange(""https://docs.google.com/spreadsheets/d/1939lMQ_ymDDtVRAKKKpTg6-ciOV1sghbvYqRFhFaZi8/edit#gid=867855662"",""2025-26!ah4"")"),1118563.6666666667)</f>
        <v>1118563.667</v>
      </c>
      <c r="BU103" s="55">
        <f>IFERROR(__xludf.DUMMYFUNCTION("importrange(""https://docs.google.com/spreadsheets/d/1939lMQ_ymDDtVRAKKKpTg6-ciOV1sghbvYqRFhFaZi8/edit#gid=867855662"",""2025-26!ah3"")"),21.0)</f>
        <v>21</v>
      </c>
      <c r="BV103" s="55">
        <f>IFERROR(__xludf.DUMMYFUNCTION("importrange(""https://docs.google.com/spreadsheets/d/1939lMQ_ymDDtVRAKKKpTg6-ciOV1sghbvYqRFhFaZi8/edit#gid=867855662"",""2025-26!ai4"")"),952126.1499999999)</f>
        <v>952126.15</v>
      </c>
      <c r="BW103" s="55">
        <f>IFERROR(__xludf.DUMMYFUNCTION("importrange(""https://docs.google.com/spreadsheets/d/1939lMQ_ymDDtVRAKKKpTg6-ciOV1sghbvYqRFhFaZi8/edit#gid=867855662"",""2025-26!ai3"")"),11.0)</f>
        <v>11</v>
      </c>
      <c r="BX103" s="59">
        <f t="shared" si="26"/>
        <v>0.4226545293</v>
      </c>
      <c r="BY103" s="55">
        <f>IFERROR(__xludf.DUMMYFUNCTION("importrange(""https://docs.google.com/spreadsheets/d/1939lMQ_ymDDtVRAKKKpTg6-ciOV1sghbvYqRFhFaZi8/edit#gid=867855662"",""2025-26!aj4"")"),472766.0)</f>
        <v>472766</v>
      </c>
      <c r="BZ103" s="55">
        <f>IFERROR(__xludf.DUMMYFUNCTION("importrange(""https://docs.google.com/spreadsheets/d/1939lMQ_ymDDtVRAKKKpTg6-ciOV1sghbvYqRFhFaZi8/edit#gid=867855662"",""2025-26!aj3"")"),11.0)</f>
        <v>11</v>
      </c>
      <c r="CA103" s="55">
        <f>IFERROR(__xludf.DUMMYFUNCTION("importrange(""https://docs.google.com/spreadsheets/d/1939lMQ_ymDDtVRAKKKpTg6-ciOV1sghbvYqRFhFaZi8/edit#gid=867855662"",""2025-26!ak4"")"),1483563.6666666667)</f>
        <v>1483563.667</v>
      </c>
      <c r="CB103" s="55">
        <f>IFERROR(__xludf.DUMMYFUNCTION("importrange(""https://docs.google.com/spreadsheets/d/1939lMQ_ymDDtVRAKKKpTg6-ciOV1sghbvYqRFhFaZi8/edit#gid=867855662"",""2025-26!ak3"")"),31.0)</f>
        <v>31</v>
      </c>
      <c r="CC103" s="55">
        <f>IFERROR(__xludf.DUMMYFUNCTION("importrange(""https://docs.google.com/spreadsheets/d/1939lMQ_ymDDtVRAKKKpTg6-ciOV1sghbvYqRFhFaZi8/edit#gid=867855662"",""2025-26!al4"")"),1940722.12)</f>
        <v>1940722.12</v>
      </c>
      <c r="CD103" s="55">
        <f>IFERROR(__xludf.DUMMYFUNCTION("importrange(""https://docs.google.com/spreadsheets/d/1939lMQ_ymDDtVRAKKKpTg6-ciOV1sghbvYqRFhFaZi8/edit#gid=867855662"",""2025-26!ai3"")"),11.0)</f>
        <v>11</v>
      </c>
      <c r="CE103" s="59">
        <f t="shared" si="27"/>
        <v>1.041672855</v>
      </c>
      <c r="CF103" s="55">
        <f>IFERROR(__xludf.DUMMYFUNCTION("importrange(""https://docs.google.com/spreadsheets/d/1939lMQ_ymDDtVRAKKKpTg6-ciOV1sghbvYqRFhFaZi8/edit#gid=867855662"",""2025-26!am4"")"),1545388.0)</f>
        <v>1545388</v>
      </c>
      <c r="CG103" s="55">
        <f>IFERROR(__xludf.DUMMYFUNCTION("importrange(""https://docs.google.com/spreadsheets/d/1939lMQ_ymDDtVRAKKKpTg6-ciOV1sghbvYqRFhFaZi8/edit#gid=867855662"",""2025-26!am3"")"),14.0)</f>
        <v>14</v>
      </c>
      <c r="CH103" s="55">
        <f>IFERROR(__xludf.DUMMYFUNCTION("importrange(""https://docs.google.com/spreadsheets/d/1939lMQ_ymDDtVRAKKKpTg6-ciOV1sghbvYqRFhFaZi8/edit#gid=867855662"",""2025-26!an4"")"),1483563.6666666667)</f>
        <v>1483563.667</v>
      </c>
      <c r="CI103" s="55">
        <f>IFERROR(__xludf.DUMMYFUNCTION("importrange(""https://docs.google.com/spreadsheets/d/1939lMQ_ymDDtVRAKKKpTg6-ciOV1sghbvYqRFhFaZi8/edit#gid=867855662"",""2025-26!an3"")"),31.0)</f>
        <v>31</v>
      </c>
      <c r="CJ103" s="55">
        <f>IFERROR(__xludf.DUMMYFUNCTION("importrange(""https://docs.google.com/spreadsheets/d/1939lMQ_ymDDtVRAKKKpTg6-ciOV1sghbvYqRFhFaZi8/edit#gid=867855662"",""2025-26!ao4"")"),1209237.39)</f>
        <v>1209237.39</v>
      </c>
      <c r="CK103" s="55">
        <f>IFERROR(__xludf.DUMMYFUNCTION("importrange(""https://docs.google.com/spreadsheets/d/1939lMQ_ymDDtVRAKKKpTg6-ciOV1sghbvYqRFhFaZi8/edit#gid=867855662"",""2025-26!ao3"")"),10.0)</f>
        <v>10</v>
      </c>
      <c r="CL103" s="59">
        <f t="shared" si="28"/>
        <v>0.8130463337</v>
      </c>
      <c r="CM103" s="55">
        <f>IFERROR(__xludf.DUMMYFUNCTION("importrange(""https://docs.google.com/spreadsheets/d/1939lMQ_ymDDtVRAKKKpTg6-ciOV1sghbvYqRFhFaZi8/edit#gid=867855662"",""2025-26!ap4"")"),1206206.0)</f>
        <v>1206206</v>
      </c>
      <c r="CN103" s="55">
        <f>IFERROR(__xludf.DUMMYFUNCTION("importrange(""https://docs.google.com/spreadsheets/d/1939lMQ_ymDDtVRAKKKpTg6-ciOV1sghbvYqRFhFaZi8/edit#gid=867855662"",""2025-26!ap3"")"),13.0)</f>
        <v>13</v>
      </c>
      <c r="CO103" s="55">
        <f>IFERROR(__xludf.DUMMYFUNCTION("importrange(""https://docs.google.com/spreadsheets/d/1939lMQ_ymDDtVRAKKKpTg6-ciOV1sghbvYqRFhFaZi8/edit#gid=867855662"",""2025-26!aq4"")"),1618563.6666666667)</f>
        <v>1618563.667</v>
      </c>
      <c r="CP103" s="55">
        <f>IFERROR(__xludf.DUMMYFUNCTION("importrange(""https://docs.google.com/spreadsheets/d/1939lMQ_ymDDtVRAKKKpTg6-ciOV1sghbvYqRFhFaZi8/edit#gid=867855662"",""2025-26!aq3"")"),31.0)</f>
        <v>31</v>
      </c>
      <c r="CQ103" s="55">
        <f>IFERROR(__xludf.DUMMYFUNCTION("importrange(""https://docs.google.com/spreadsheets/d/1939lMQ_ymDDtVRAKKKpTg6-ciOV1sghbvYqRFhFaZi8/edit#gid=867855662"",""2025-26!ar4"")"),1053133.3099999998)</f>
        <v>1053133.31</v>
      </c>
      <c r="CR103" s="55">
        <f>IFERROR(__xludf.DUMMYFUNCTION("importrange(""https://docs.google.com/spreadsheets/d/1939lMQ_ymDDtVRAKKKpTg6-ciOV1sghbvYqRFhFaZi8/edit#gid=867855662"",""2025-26!ar3"")"),7.0)</f>
        <v>7</v>
      </c>
      <c r="CS103" s="59">
        <f t="shared" si="29"/>
        <v>0.4478501618</v>
      </c>
      <c r="CT103" s="55">
        <f>IFERROR(__xludf.DUMMYFUNCTION("importrange(""https://docs.google.com/spreadsheets/d/1939lMQ_ymDDtVRAKKKpTg6-ciOV1sghbvYqRFhFaZi8/edit#gid=867855662"",""2025-26!as4"")"),724874.0)</f>
        <v>724874</v>
      </c>
      <c r="CU103" s="55">
        <f>IFERROR(__xludf.DUMMYFUNCTION("importrange(""https://docs.google.com/spreadsheets/d/1939lMQ_ymDDtVRAKKKpTg6-ciOV1sghbvYqRFhFaZi8/edit#gid=867855662"",""2025-26!as3"")"),8.0)</f>
        <v>8</v>
      </c>
      <c r="CV103" s="60" t="s">
        <v>215</v>
      </c>
    </row>
    <row r="104">
      <c r="A104" s="1" t="s">
        <v>185</v>
      </c>
      <c r="B104" s="37"/>
      <c r="C104" s="64" t="s">
        <v>233</v>
      </c>
      <c r="D104" s="50" t="s">
        <v>234</v>
      </c>
      <c r="E104" s="50">
        <v>9.647989311E9</v>
      </c>
      <c r="F104" s="74">
        <v>45047.0</v>
      </c>
      <c r="G104" s="62"/>
      <c r="H104" s="62"/>
      <c r="I104" s="53">
        <v>29167.0</v>
      </c>
      <c r="J104" s="54">
        <v>1500000.0</v>
      </c>
      <c r="K104" s="57">
        <f>IFERROR(__xludf.DUMMYFUNCTION("IMPORTRANGE(""https://docs.google.com/spreadsheets/d/15jee2k6DSN8nNrsGXt9fSygQKECjnTqi8q5bSr2fopI/edit#gid=1025512547"",""2025-26!A3"")"),55.0)</f>
        <v>55</v>
      </c>
      <c r="L104" s="57">
        <f>IFERROR(__xludf.DUMMYFUNCTION("IMPORTRANGE(""https://docs.google.com/spreadsheets/d/15jee2k6DSN8nNrsGXt9fSygQKECjnTqi8q5bSr2fopI/edit#gid=1025512547"",""2025-26!G4"")"),3.0625E7)</f>
        <v>30625000</v>
      </c>
      <c r="M104" s="57">
        <f t="shared" si="50"/>
        <v>14450868.01</v>
      </c>
      <c r="N104" s="56">
        <f t="shared" si="51"/>
        <v>0.4018665796</v>
      </c>
      <c r="O104" s="57">
        <f t="shared" si="52"/>
        <v>12307164</v>
      </c>
      <c r="P104" s="55">
        <f>IFERROR(__xludf.DUMMYFUNCTION("IMPORTRANGE(""https://docs.google.com/spreadsheets/d/15jee2k6DSN8nNrsGXt9fSygQKECjnTqi8q5bSr2fopI/edit#gid=1025512547"",""2025-26!J4"")"),2422912.0)</f>
        <v>2422912</v>
      </c>
      <c r="Q104" s="55">
        <f>IFERROR(__xludf.DUMMYFUNCTION("IMPORTRANGE(""https://docs.google.com/spreadsheets/d/15jee2k6DSN8nNrsGXt9fSygQKECjnTqi8q5bSr2fopI/edit#gid=1025512547"",""2025-26!J3"")"),25.0)</f>
        <v>25</v>
      </c>
      <c r="R104" s="55">
        <f>IFERROR(__xludf.DUMMYFUNCTION("IMPORTRANGE(""https://docs.google.com/spreadsheets/d/15jee2k6DSN8nNrsGXt9fSygQKECjnTqi8q5bSr2fopI/edit#gid=1025512547"",""2025-26!K4"")"),424585.0)</f>
        <v>424585</v>
      </c>
      <c r="S104" s="55">
        <f>IFERROR(__xludf.DUMMYFUNCTION("IMPORTRANGE(""https://docs.google.com/spreadsheets/d/15jee2k6DSN8nNrsGXt9fSygQKECjnTqi8q5bSr2fopI/edit#gid=1025512547"",""2025-26!K3"")"),6.0)</f>
        <v>6</v>
      </c>
      <c r="T104" s="58">
        <f t="shared" si="18"/>
        <v>0.172010787</v>
      </c>
      <c r="U104" s="55">
        <f>IFERROR(__xludf.DUMMYFUNCTION("IMPORTRANGE(""https://docs.google.com/spreadsheets/d/15jee2k6DSN8nNrsGXt9fSygQKECjnTqi8q5bSr2fopI/edit#gid=1025512547"",""2025-26!L4"")"),416767.0)</f>
        <v>416767</v>
      </c>
      <c r="V104" s="79">
        <f>IFERROR(__xludf.DUMMYFUNCTION("IMPORTRANGE(""https://docs.google.com/spreadsheets/d/15jee2k6DSN8nNrsGXt9fSygQKECjnTqi8q5bSr2fopI/edit#gid=1025512547"",""2025-26!L3"")"),6.0)</f>
        <v>6</v>
      </c>
      <c r="W104" s="55">
        <f>IFERROR(__xludf.DUMMYFUNCTION("IMPORTRANGE(""https://docs.google.com/spreadsheets/d/15jee2k6DSN8nNrsGXt9fSygQKECjnTqi8q5bSr2fopI/edit#gid=1025512547"",""2025-26!M4"")"),2422912.0)</f>
        <v>2422912</v>
      </c>
      <c r="X104" s="79">
        <f>IFERROR(__xludf.DUMMYFUNCTION("IMPORTRANGE(""https://docs.google.com/spreadsheets/d/15jee2k6DSN8nNrsGXt9fSygQKECjnTqi8q5bSr2fopI/edit#gid=1025512547"",""2025-26!M3"")"),25.0)</f>
        <v>25</v>
      </c>
      <c r="Y104" s="55">
        <f>IFERROR(__xludf.DUMMYFUNCTION("importrange(""https://docs.google.com/spreadsheets/d/15jee2k6DSN8nNrsGXt9fSygQKECjnTqi8q5bSr2fopI/edit#gid=1025512547"",""2025-26!n4"")"),1005912.4000000001)</f>
        <v>1005912.4</v>
      </c>
      <c r="Z104" s="55">
        <f>IFERROR(__xludf.DUMMYFUNCTION("importrange(""https://docs.google.com/spreadsheets/d/15jee2k6DSN8nNrsGXt9fSygQKECjnTqi8q5bSr2fopI/edit#gid=1025512547"",""2025-26!n3"")"),8.0)</f>
        <v>8</v>
      </c>
      <c r="AA104" s="58">
        <f t="shared" si="19"/>
        <v>0.4134661102</v>
      </c>
      <c r="AB104" s="55">
        <f>IFERROR(__xludf.DUMMYFUNCTION("importrange(""https://docs.google.com/spreadsheets/d/15jee2k6DSN8nNrsGXt9fSygQKECjnTqi8q5bSr2fopI/edit#gid=1025512547"",""2025-26!o4"")"),1001792.0)</f>
        <v>1001792</v>
      </c>
      <c r="AC104" s="55">
        <f>IFERROR(__xludf.DUMMYFUNCTION("importrange(""https://docs.google.com/spreadsheets/d/15jee2k6DSN8nNrsGXt9fSygQKECjnTqi8q5bSr2fopI/edit#gid=1025512547"",""2025-26!o3"")"),8.0)</f>
        <v>8</v>
      </c>
      <c r="AD104" s="55">
        <f>IFERROR(__xludf.DUMMYFUNCTION("importrange(""https://docs.google.com/spreadsheets/d/15jee2k6DSN8nNrsGXt9fSygQKECjnTqi8q5bSr2fopI/edit#gid=1025512547"",""2025-26!p4"")"),2422912.0)</f>
        <v>2422912</v>
      </c>
      <c r="AE104" s="55">
        <f>IFERROR(__xludf.DUMMYFUNCTION("importrange(""https://docs.google.com/spreadsheets/d/15jee2k6DSN8nNrsGXt9fSygQKECjnTqi8q5bSr2fopI/edit#gid=1025512547"",""2025-26!p3"")"),25.0)</f>
        <v>25</v>
      </c>
      <c r="AF104" s="55">
        <f>IFERROR(__xludf.DUMMYFUNCTION("importrange(""https://docs.google.com/spreadsheets/d/15jee2k6DSN8nNrsGXt9fSygQKECjnTqi8q5bSr2fopI/edit#gid=1025512547"",""2025-26!q4"")"),1128870.6199999999)</f>
        <v>1128870.62</v>
      </c>
      <c r="AG104" s="55">
        <f>IFERROR(__xludf.DUMMYFUNCTION("importrange(""https://docs.google.com/spreadsheets/d/15jee2k6DSN8nNrsGXt9fSygQKECjnTqi8q5bSr2fopI/edit#gid=1025512547"",""2025-26!q3"")"),4.0)</f>
        <v>4</v>
      </c>
      <c r="AH104" s="58">
        <f t="shared" si="20"/>
        <v>0.4606217642</v>
      </c>
      <c r="AI104" s="55">
        <f>IFERROR(__xludf.DUMMYFUNCTION("importrange(""https://docs.google.com/spreadsheets/d/15jee2k6DSN8nNrsGXt9fSygQKECjnTqi8q5bSr2fopI/edit#gid=1025512547"",""2025-26!r4"")"),1116046.0)</f>
        <v>1116046</v>
      </c>
      <c r="AJ104" s="55">
        <f>IFERROR(__xludf.DUMMYFUNCTION("importrange(""https://docs.google.com/spreadsheets/d/15jee2k6DSN8nNrsGXt9fSygQKECjnTqi8q5bSr2fopI/edit#gid=1025512547"",""2025-26!r3"")"),4.0)</f>
        <v>4</v>
      </c>
      <c r="AK104" s="55">
        <f>IFERROR(__xludf.DUMMYFUNCTION("importrange(""https://docs.google.com/spreadsheets/d/15jee2k6DSN8nNrsGXt9fSygQKECjnTqi8q5bSr2fopI/edit#gid=1025512547"",""2025-26!s4"")"),2422912.0)</f>
        <v>2422912</v>
      </c>
      <c r="AL104" s="55">
        <f>IFERROR(__xludf.DUMMYFUNCTION("importrange(""https://docs.google.com/spreadsheets/d/15jee2k6DSN8nNrsGXt9fSygQKECjnTqi8q5bSr2fopI/edit#gid=1025512547"",""2025-26!s3"")"),25.0)</f>
        <v>25</v>
      </c>
      <c r="AM104" s="57">
        <f>IFERROR(__xludf.DUMMYFUNCTION("importrange(""https://docs.google.com/spreadsheets/d/15jee2k6DSN8nNrsGXt9fSygQKECjnTqi8q5bSr2fopI/edit#gid=1025512547"",""2025-26!t4"")"),1533868.38)</f>
        <v>1533868.38</v>
      </c>
      <c r="AN104" s="55">
        <f>IFERROR(__xludf.DUMMYFUNCTION("importrange(""https://docs.google.com/spreadsheets/d/15jee2k6DSN8nNrsGXt9fSygQKECjnTqi8q5bSr2fopI/edit#gid=1025512547"",""2025-26!t3"")"),8.0)</f>
        <v>8</v>
      </c>
      <c r="AO104" s="58">
        <f t="shared" si="21"/>
        <v>0.5044677644</v>
      </c>
      <c r="AP104" s="55">
        <f>IFERROR(__xludf.DUMMYFUNCTION("importrange(""https://docs.google.com/spreadsheets/d/15jee2k6DSN8nNrsGXt9fSygQKECjnTqi8q5bSr2fopI/edit#gid=1025512547"",""2025-26!u4"")"),1222281.0)</f>
        <v>1222281</v>
      </c>
      <c r="AQ104" s="55">
        <f>IFERROR(__xludf.DUMMYFUNCTION("importrange(""https://docs.google.com/spreadsheets/d/15jee2k6DSN8nNrsGXt9fSygQKECjnTqi8q5bSr2fopI/edit#gid=1025512547"",""2025-26!u3"")"),8.0)</f>
        <v>8</v>
      </c>
      <c r="AR104" s="55">
        <f>IFERROR(__xludf.DUMMYFUNCTION("importrange(""https://docs.google.com/spreadsheets/d/15jee2k6DSN8nNrsGXt9fSygQKECjnTqi8q5bSr2fopI/edit#gid=1025512547"",""2025-26!v4"")"),2254579.0)</f>
        <v>2254579</v>
      </c>
      <c r="AS104" s="55">
        <f>IFERROR(__xludf.DUMMYFUNCTION("importrange(""https://docs.google.com/spreadsheets/d/15jee2k6DSN8nNrsGXt9fSygQKECjnTqi8q5bSr2fopI/edit#gid=1025512547"",""2025-26!v3"")"),24.0)</f>
        <v>24</v>
      </c>
      <c r="AT104" s="57">
        <f>IFERROR(__xludf.DUMMYFUNCTION("importrange(""https://docs.google.com/spreadsheets/d/15jee2k6DSN8nNrsGXt9fSygQKECjnTqi8q5bSr2fopI/edit#gid=1025512547"",""2025-26!w4"")"),1444025.0299999998)</f>
        <v>1444025.03</v>
      </c>
      <c r="AU104" s="55">
        <f>IFERROR(__xludf.DUMMYFUNCTION("importrange(""https://docs.google.com/spreadsheets/d/15jee2k6DSN8nNrsGXt9fSygQKECjnTqi8q5bSr2fopI/edit#gid=1025512547"",""2025-26!w3"")"),9.0)</f>
        <v>9</v>
      </c>
      <c r="AV104" s="58">
        <f t="shared" si="22"/>
        <v>0.5497474251</v>
      </c>
      <c r="AW104" s="55">
        <f>IFERROR(__xludf.DUMMYFUNCTION("importrange(""https://docs.google.com/spreadsheets/d/15jee2k6DSN8nNrsGXt9fSygQKECjnTqi8q5bSr2fopI/edit#gid=1025512547"",""2025-26!x4"")"),1239449.0)</f>
        <v>1239449</v>
      </c>
      <c r="AX104" s="55">
        <f>IFERROR(__xludf.DUMMYFUNCTION("importrange(""https://docs.google.com/spreadsheets/d/15jee2k6DSN8nNrsGXt9fSygQKECjnTqi8q5bSr2fopI/edit#gid=1025512547"",""2025-26!x3"")"),10.0)</f>
        <v>10</v>
      </c>
      <c r="AY104" s="55">
        <f>IFERROR(__xludf.DUMMYFUNCTION("importrange(""https://docs.google.com/spreadsheets/d/15jee2k6DSN8nNrsGXt9fSygQKECjnTqi8q5bSr2fopI/edit#gid=1025512547"",""2025-26!y4"")"),2254579.0)</f>
        <v>2254579</v>
      </c>
      <c r="AZ104" s="55">
        <f>IFERROR(__xludf.DUMMYFUNCTION("importrange(""https://docs.google.com/spreadsheets/d/15jee2k6DSN8nNrsGXt9fSygQKECjnTqi8q5bSr2fopI/edit#gid=1025512547"",""2025-26!y3"")"),24.0)</f>
        <v>24</v>
      </c>
      <c r="BA104" s="57">
        <f>IFERROR(__xludf.DUMMYFUNCTION("importrange(""https://docs.google.com/spreadsheets/d/15jee2k6DSN8nNrsGXt9fSygQKECjnTqi8q5bSr2fopI/edit#gid=1025512547"",""2025-26!z4"")"),1223463.0)</f>
        <v>1223463</v>
      </c>
      <c r="BB104" s="55">
        <f>IFERROR(__xludf.DUMMYFUNCTION("importrange(""https://docs.google.com/spreadsheets/d/15jee2k6DSN8nNrsGXt9fSygQKECjnTqi8q5bSr2fopI/edit#gid=1025512547"",""2025-26!z3"")"),8.0)</f>
        <v>8</v>
      </c>
      <c r="BC104" s="59">
        <f t="shared" si="23"/>
        <v>0.5459449414</v>
      </c>
      <c r="BD104" s="55">
        <f>IFERROR(__xludf.DUMMYFUNCTION("importrange(""https://docs.google.com/spreadsheets/d/15jee2k6DSN8nNrsGXt9fSygQKECjnTqi8q5bSr2fopI/edit#gid=1025512547"",""2025-26!aa4"")"),1230876.0)</f>
        <v>1230876</v>
      </c>
      <c r="BE104" s="55">
        <f>IFERROR(__xludf.DUMMYFUNCTION("importrange(""https://docs.google.com/spreadsheets/d/15jee2k6DSN8nNrsGXt9fSygQKECjnTqi8q5bSr2fopI/edit#gid=1025512547"",""2025-26!aa3"")"),8.0)</f>
        <v>8</v>
      </c>
      <c r="BF104" s="55">
        <f>IFERROR(__xludf.DUMMYFUNCTION("importrange(""https://docs.google.com/spreadsheets/d/15jee2k6DSN8nNrsGXt9fSygQKECjnTqi8q5bSr2fopI/edit#gid=1025512547"",""2025-26!ab4"")"),2254579.0)</f>
        <v>2254579</v>
      </c>
      <c r="BG104" s="55">
        <f>IFERROR(__xludf.DUMMYFUNCTION("importrange(""https://docs.google.com/spreadsheets/d/15jee2k6DSN8nNrsGXt9fSygQKECjnTqi8q5bSr2fopI/edit#gid=1025512547"",""2025-26!ab3"")"),24.0)</f>
        <v>24</v>
      </c>
      <c r="BH104" s="55">
        <f>IFERROR(__xludf.DUMMYFUNCTION("importrange(""https://docs.google.com/spreadsheets/d/15jee2k6DSN8nNrsGXt9fSygQKECjnTqi8q5bSr2fopI/edit#gid=1025512547"",""2025-26!ac4"")"),1343957.99)</f>
        <v>1343957.99</v>
      </c>
      <c r="BI104" s="55">
        <f>IFERROR(__xludf.DUMMYFUNCTION("importrange(""https://docs.google.com/spreadsheets/d/15jee2k6DSN8nNrsGXt9fSygQKECjnTqi8q5bSr2fopI/edit#gid=1025512547"",""2025-26!ac3"")"),10.0)</f>
        <v>10</v>
      </c>
      <c r="BJ104" s="59">
        <f t="shared" si="24"/>
        <v>0.5838220794</v>
      </c>
      <c r="BK104" s="55">
        <f>IFERROR(__xludf.DUMMYFUNCTION("importrange(""https://docs.google.com/spreadsheets/d/15jee2k6DSN8nNrsGXt9fSygQKECjnTqi8q5bSr2fopI/edit#gid=1025512547"",""2025-26!ad4"")"),1316273.0)</f>
        <v>1316273</v>
      </c>
      <c r="BL104" s="55">
        <f>IFERROR(__xludf.DUMMYFUNCTION("importrange(""https://docs.google.com/spreadsheets/d/15jee2k6DSN8nNrsGXt9fSygQKECjnTqi8q5bSr2fopI/edit#gid=1025512547"",""2025-26!ad3"")"),10.0)</f>
        <v>10</v>
      </c>
      <c r="BM104" s="55">
        <f>IFERROR(__xludf.DUMMYFUNCTION("importrange(""https://docs.google.com/spreadsheets/d/15jee2k6DSN8nNrsGXt9fSygQKECjnTqi8q5bSr2fopI/edit#gid=1025512547"",""2025-26!ae4"")"),2254579.0)</f>
        <v>2254579</v>
      </c>
      <c r="BN104" s="55">
        <f>IFERROR(__xludf.DUMMYFUNCTION("importrange(""https://docs.google.com/spreadsheets/d/15jee2k6DSN8nNrsGXt9fSygQKECjnTqi8q5bSr2fopI/edit#gid=1025512547"",""2025-26!ae3"")"),24.0)</f>
        <v>24</v>
      </c>
      <c r="BO104" s="55">
        <f>IFERROR(__xludf.DUMMYFUNCTION("importrange(""https://docs.google.com/spreadsheets/d/15jee2k6DSN8nNrsGXt9fSygQKECjnTqi8q5bSr2fopI/edit#gid=1025512547"",""2025-26!af4"")"),996964.8)</f>
        <v>996964.8</v>
      </c>
      <c r="BP104" s="55">
        <f>IFERROR(__xludf.DUMMYFUNCTION("importrange(""https://docs.google.com/spreadsheets/d/15jee2k6DSN8nNrsGXt9fSygQKECjnTqi8q5bSr2fopI/edit#gid=1025512547"",""2025-26!af3"")"),8.0)</f>
        <v>8</v>
      </c>
      <c r="BQ104" s="59">
        <f t="shared" si="25"/>
        <v>0.1041635711</v>
      </c>
      <c r="BR104" s="55">
        <f>IFERROR(__xludf.DUMMYFUNCTION("importrange(""https://docs.google.com/spreadsheets/d/15jee2k6DSN8nNrsGXt9fSygQKECjnTqi8q5bSr2fopI/edit#gid=1025512547"",""2025-26!ag4"")"),234845.0)</f>
        <v>234845</v>
      </c>
      <c r="BS104" s="55">
        <f>IFERROR(__xludf.DUMMYFUNCTION("importrange(""https://docs.google.com/spreadsheets/d/15jee2k6DSN8nNrsGXt9fSygQKECjnTqi8q5bSr2fopI/edit#gid=1025512547"",""2025-26!ag3"")"),2.0)</f>
        <v>2</v>
      </c>
      <c r="BT104" s="55">
        <f>IFERROR(__xludf.DUMMYFUNCTION("importrange(""https://docs.google.com/spreadsheets/d/15jee2k6DSN8nNrsGXt9fSygQKECjnTqi8q5bSr2fopI/edit#gid=1025512547"",""2025-26!ah4"")"),2254579.0)</f>
        <v>2254579</v>
      </c>
      <c r="BU104" s="55">
        <f>IFERROR(__xludf.DUMMYFUNCTION("importrange(""https://docs.google.com/spreadsheets/d/15jee2k6DSN8nNrsGXt9fSygQKECjnTqi8q5bSr2fopI/edit#gid=1025512547"",""2025-26!ah3"")"),24.0)</f>
        <v>24</v>
      </c>
      <c r="BV104" s="55">
        <f>IFERROR(__xludf.DUMMYFUNCTION("importrange(""https://docs.google.com/spreadsheets/d/15jee2k6DSN8nNrsGXt9fSygQKECjnTqi8q5bSr2fopI/edit#gid=1025512547"",""2025-26!ai4"")"),924613.81)</f>
        <v>924613.81</v>
      </c>
      <c r="BW104" s="55">
        <f>IFERROR(__xludf.DUMMYFUNCTION("importrange(""https://docs.google.com/spreadsheets/d/15jee2k6DSN8nNrsGXt9fSygQKECjnTqi8q5bSr2fopI/edit#gid=1025512547"",""2025-26!ai3"")"),7.0)</f>
        <v>7</v>
      </c>
      <c r="BX104" s="59">
        <f t="shared" si="26"/>
        <v>0.1105110976</v>
      </c>
      <c r="BY104" s="55">
        <f>IFERROR(__xludf.DUMMYFUNCTION("importrange(""https://docs.google.com/spreadsheets/d/15jee2k6DSN8nNrsGXt9fSygQKECjnTqi8q5bSr2fopI/edit#gid=1025512547"",""2025-26!aj4"")"),249156.0)</f>
        <v>249156</v>
      </c>
      <c r="BZ104" s="55">
        <f>IFERROR(__xludf.DUMMYFUNCTION("importrange(""https://docs.google.com/spreadsheets/d/15jee2k6DSN8nNrsGXt9fSygQKECjnTqi8q5bSr2fopI/edit#gid=1025512547"",""2025-26!aj3"")"),2.0)</f>
        <v>2</v>
      </c>
      <c r="CA104" s="55">
        <f>IFERROR(__xludf.DUMMYFUNCTION("importrange(""https://docs.google.com/spreadsheets/d/15jee2k6DSN8nNrsGXt9fSygQKECjnTqi8q5bSr2fopI/edit#gid=1025512547"",""2025-26!ak4"")"),2254579.0)</f>
        <v>2254579</v>
      </c>
      <c r="CB104" s="55">
        <f>IFERROR(__xludf.DUMMYFUNCTION("importrange(""https://docs.google.com/spreadsheets/d/15jee2k6DSN8nNrsGXt9fSygQKECjnTqi8q5bSr2fopI/edit#gid=1025512547"",""2025-26!ak3"")"),24.0)</f>
        <v>24</v>
      </c>
      <c r="CC104" s="55">
        <f>IFERROR(__xludf.DUMMYFUNCTION("importrange(""https://docs.google.com/spreadsheets/d/15jee2k6DSN8nNrsGXt9fSygQKECjnTqi8q5bSr2fopI/edit#gid=1025512547"",""2025-26!al4"")"),1341530.29)</f>
        <v>1341530.29</v>
      </c>
      <c r="CD104" s="55">
        <f>IFERROR(__xludf.DUMMYFUNCTION("importrange(""https://docs.google.com/spreadsheets/d/15jee2k6DSN8nNrsGXt9fSygQKECjnTqi8q5bSr2fopI/edit#gid=1025512547"",""2025-26!ai3"")"),7.0)</f>
        <v>7</v>
      </c>
      <c r="CE104" s="59">
        <f t="shared" si="27"/>
        <v>0.5738131154</v>
      </c>
      <c r="CF104" s="55">
        <f>IFERROR(__xludf.DUMMYFUNCTION("importrange(""https://docs.google.com/spreadsheets/d/15jee2k6DSN8nNrsGXt9fSygQKECjnTqi8q5bSr2fopI/edit#gid=1025512547"",""2025-26!am4"")"),1293707.0)</f>
        <v>1293707</v>
      </c>
      <c r="CG104" s="55">
        <f>IFERROR(__xludf.DUMMYFUNCTION("importrange(""https://docs.google.com/spreadsheets/d/15jee2k6DSN8nNrsGXt9fSygQKECjnTqi8q5bSr2fopI/edit#gid=1025512547"",""2025-26!am3"")"),3.0)</f>
        <v>3</v>
      </c>
      <c r="CH104" s="55">
        <f>IFERROR(__xludf.DUMMYFUNCTION("importrange(""https://docs.google.com/spreadsheets/d/15jee2k6DSN8nNrsGXt9fSygQKECjnTqi8q5bSr2fopI/edit#gid=1025512547"",""2025-26!an4"")"),2204579.0)</f>
        <v>2204579</v>
      </c>
      <c r="CI104" s="55">
        <f>IFERROR(__xludf.DUMMYFUNCTION("importrange(""https://docs.google.com/spreadsheets/d/15jee2k6DSN8nNrsGXt9fSygQKECjnTqi8q5bSr2fopI/edit#gid=1025512547"",""2025-26!an3"")"),23.0)</f>
        <v>23</v>
      </c>
      <c r="CJ104" s="55">
        <f>IFERROR(__xludf.DUMMYFUNCTION("importrange(""https://docs.google.com/spreadsheets/d/15jee2k6DSN8nNrsGXt9fSygQKECjnTqi8q5bSr2fopI/edit#gid=1025512547"",""2025-26!ao4"")"),1126668.71)</f>
        <v>1126668.71</v>
      </c>
      <c r="CK104" s="55">
        <f>IFERROR(__xludf.DUMMYFUNCTION("importrange(""https://docs.google.com/spreadsheets/d/15jee2k6DSN8nNrsGXt9fSygQKECjnTqi8q5bSr2fopI/edit#gid=1025512547"",""2025-26!ao3"")"),9.0)</f>
        <v>9</v>
      </c>
      <c r="CL104" s="59">
        <f t="shared" si="28"/>
        <v>0.4842720538</v>
      </c>
      <c r="CM104" s="55">
        <f>IFERROR(__xludf.DUMMYFUNCTION("importrange(""https://docs.google.com/spreadsheets/d/15jee2k6DSN8nNrsGXt9fSygQKECjnTqi8q5bSr2fopI/edit#gid=1025512547"",""2025-26!ap4"")"),1067616.0)</f>
        <v>1067616</v>
      </c>
      <c r="CN104" s="55">
        <f>IFERROR(__xludf.DUMMYFUNCTION("importrange(""https://docs.google.com/spreadsheets/d/15jee2k6DSN8nNrsGXt9fSygQKECjnTqi8q5bSr2fopI/edit#gid=1025512547"",""2025-26!ap3"")"),8.0)</f>
        <v>8</v>
      </c>
      <c r="CO104" s="55">
        <f>IFERROR(__xludf.DUMMYFUNCTION("importrange(""https://docs.google.com/spreadsheets/d/15jee2k6DSN8nNrsGXt9fSygQKECjnTqi8q5bSr2fopI/edit#gid=1025512547"",""2025-26!aq4"")"),2204579.0)</f>
        <v>2204579</v>
      </c>
      <c r="CP104" s="55">
        <f>IFERROR(__xludf.DUMMYFUNCTION("importrange(""https://docs.google.com/spreadsheets/d/15jee2k6DSN8nNrsGXt9fSygQKECjnTqi8q5bSr2fopI/edit#gid=1025512547"",""2025-26!aq3"")"),23.0)</f>
        <v>23</v>
      </c>
      <c r="CQ104" s="55">
        <f>IFERROR(__xludf.DUMMYFUNCTION("importrange(""https://docs.google.com/spreadsheets/d/15jee2k6DSN8nNrsGXt9fSygQKECjnTqi8q5bSr2fopI/edit#gid=1025512547"",""2025-26!ar4"")"),1956407.98)</f>
        <v>1956407.98</v>
      </c>
      <c r="CR104" s="55">
        <f>IFERROR(__xludf.DUMMYFUNCTION("importrange(""https://docs.google.com/spreadsheets/d/15jee2k6DSN8nNrsGXt9fSygQKECjnTqi8q5bSr2fopI/edit#gid=1025512547"",""2025-26!ar3"")"),7.0)</f>
        <v>7</v>
      </c>
      <c r="CS104" s="59">
        <f t="shared" si="29"/>
        <v>0.8701688622</v>
      </c>
      <c r="CT104" s="55">
        <f>IFERROR(__xludf.DUMMYFUNCTION("importrange(""https://docs.google.com/spreadsheets/d/15jee2k6DSN8nNrsGXt9fSygQKECjnTqi8q5bSr2fopI/edit#gid=1025512547"",""2025-26!as4"")"),1918356.0)</f>
        <v>1918356</v>
      </c>
      <c r="CU104" s="55">
        <f>IFERROR(__xludf.DUMMYFUNCTION("importrange(""https://docs.google.com/spreadsheets/d/15jee2k6DSN8nNrsGXt9fSygQKECjnTqi8q5bSr2fopI/edit#gid=1025512547"",""2025-26!as3"")"),5.0)</f>
        <v>5</v>
      </c>
      <c r="CV104" s="60" t="s">
        <v>189</v>
      </c>
    </row>
    <row r="105">
      <c r="A105" s="1" t="s">
        <v>185</v>
      </c>
      <c r="B105" s="37"/>
      <c r="C105" s="90" t="s">
        <v>235</v>
      </c>
      <c r="D105" s="50" t="s">
        <v>236</v>
      </c>
      <c r="E105" s="50">
        <v>8.10143119E9</v>
      </c>
      <c r="F105" s="74">
        <v>45047.0</v>
      </c>
      <c r="G105" s="62"/>
      <c r="H105" s="62"/>
      <c r="I105" s="53">
        <v>24000.0</v>
      </c>
      <c r="J105" s="54">
        <v>1500000.0</v>
      </c>
      <c r="K105" s="57">
        <f>IFERROR(__xludf.DUMMYFUNCTION("IMPORTRANGE(""https://docs.google.com/spreadsheets/d/1j7Nu-wU4q-UwGzcF5m-7_LFLSWRWonleD-DZtJT2GfY/edit#gid=1170053810"",""2025-26!A3"")"),68.0)</f>
        <v>68</v>
      </c>
      <c r="L105" s="57">
        <f>IFERROR(__xludf.DUMMYFUNCTION("IMPORTRANGE(""https://docs.google.com/spreadsheets/d/1j7Nu-wU4q-UwGzcF5m-7_LFLSWRWonleD-DZtJT2GfY/edit#gid=1170053810"",""2025-26!G4"")"),2.947E7)</f>
        <v>29470000</v>
      </c>
      <c r="M105" s="57">
        <f t="shared" si="50"/>
        <v>15161491.98</v>
      </c>
      <c r="N105" s="56">
        <f t="shared" si="51"/>
        <v>0.5331026468</v>
      </c>
      <c r="O105" s="57">
        <f t="shared" si="52"/>
        <v>15710535</v>
      </c>
      <c r="P105" s="55">
        <f>IFERROR(__xludf.DUMMYFUNCTION("IMPORTRANGE(""https://docs.google.com/spreadsheets/d/1j7Nu-wU4q-UwGzcF5m-7_LFLSWRWonleD-DZtJT2GfY/edit#gid=1170053810"",""2025-26!J4"")"),2455834.0)</f>
        <v>2455834</v>
      </c>
      <c r="Q105" s="55">
        <f>IFERROR(__xludf.DUMMYFUNCTION("IMPORTRANGE(""https://docs.google.com/spreadsheets/d/1j7Nu-wU4q-UwGzcF5m-7_LFLSWRWonleD-DZtJT2GfY/edit#gid=1170053810"",""2025-26!J3"")"),18.0)</f>
        <v>18</v>
      </c>
      <c r="R105" s="55">
        <f>IFERROR(__xludf.DUMMYFUNCTION("IMPORTRANGE(""https://docs.google.com/spreadsheets/d/1j7Nu-wU4q-UwGzcF5m-7_LFLSWRWonleD-DZtJT2GfY/edit#gid=1170053810"",""2025-26!K4"")"),320349.39999999997)</f>
        <v>320349.4</v>
      </c>
      <c r="S105" s="55">
        <f>IFERROR(__xludf.DUMMYFUNCTION("IMPORTRANGE(""https://docs.google.com/spreadsheets/d/1j7Nu-wU4q-UwGzcF5m-7_LFLSWRWonleD-DZtJT2GfY/edit#gid=1170053810"",""2025-26!K3"")"),5.0)</f>
        <v>5</v>
      </c>
      <c r="T105" s="58">
        <f t="shared" si="18"/>
        <v>0.130447742</v>
      </c>
      <c r="U105" s="55">
        <f>IFERROR(__xludf.DUMMYFUNCTION("IMPORTRANGE(""https://docs.google.com/spreadsheets/d/1j7Nu-wU4q-UwGzcF5m-7_LFLSWRWonleD-DZtJT2GfY/edit#gid=1170053810"",""2025-26!L4"")"),320358.0)</f>
        <v>320358</v>
      </c>
      <c r="V105" s="79">
        <f>IFERROR(__xludf.DUMMYFUNCTION("IMPORTRANGE(""https://docs.google.com/spreadsheets/d/1j7Nu-wU4q-UwGzcF5m-7_LFLSWRWonleD-DZtJT2GfY/edit#gid=1170053810"",""2025-26!L3"")"),5.0)</f>
        <v>5</v>
      </c>
      <c r="W105" s="55">
        <f>IFERROR(__xludf.DUMMYFUNCTION("IMPORTRANGE(""https://docs.google.com/spreadsheets/d/1j7Nu-wU4q-UwGzcF5m-7_LFLSWRWonleD-DZtJT2GfY/edit#gid=1170053810"",""2025-26!M4"")"),2455834.0)</f>
        <v>2455834</v>
      </c>
      <c r="X105" s="79">
        <f>IFERROR(__xludf.DUMMYFUNCTION("IMPORTRANGE(""https://docs.google.com/spreadsheets/d/1j7Nu-wU4q-UwGzcF5m-7_LFLSWRWonleD-DZtJT2GfY/edit#gid=1170053810"",""2025-26!M3"")"),18.0)</f>
        <v>18</v>
      </c>
      <c r="Y105" s="55">
        <f>IFERROR(__xludf.DUMMYFUNCTION("importrange(""https://docs.google.com/spreadsheets/d/1j7Nu-wU4q-UwGzcF5m-7_LFLSWRWonleD-DZtJT2GfY/edit#gid=1170053810"",""2025-26!n4"")"),1200483.5)</f>
        <v>1200483.5</v>
      </c>
      <c r="Z105" s="55">
        <f>IFERROR(__xludf.DUMMYFUNCTION("importrange(""https://docs.google.com/spreadsheets/d/1j7Nu-wU4q-UwGzcF5m-7_LFLSWRWonleD-DZtJT2GfY/edit#gid=1170053810"",""2025-26!n3"")"),4.0)</f>
        <v>4</v>
      </c>
      <c r="AA105" s="58">
        <f t="shared" si="19"/>
        <v>0.4888327143</v>
      </c>
      <c r="AB105" s="55">
        <f>IFERROR(__xludf.DUMMYFUNCTION("importrange(""https://docs.google.com/spreadsheets/d/1j7Nu-wU4q-UwGzcF5m-7_LFLSWRWonleD-DZtJT2GfY/edit#gid=1170053810"",""2025-26!o4"")"),1200492.0)</f>
        <v>1200492</v>
      </c>
      <c r="AC105" s="55">
        <f>IFERROR(__xludf.DUMMYFUNCTION("importrange(""https://docs.google.com/spreadsheets/d/1j7Nu-wU4q-UwGzcF5m-7_LFLSWRWonleD-DZtJT2GfY/edit#gid=1170053810"",""2025-26!o3"")"),4.0)</f>
        <v>4</v>
      </c>
      <c r="AD105" s="55">
        <f>IFERROR(__xludf.DUMMYFUNCTION("importrange(""https://docs.google.com/spreadsheets/d/1j7Nu-wU4q-UwGzcF5m-7_LFLSWRWonleD-DZtJT2GfY/edit#gid=1170053810"",""2025-26!p4"")"),2455834.0)</f>
        <v>2455834</v>
      </c>
      <c r="AE105" s="55">
        <f>IFERROR(__xludf.DUMMYFUNCTION("importrange(""https://docs.google.com/spreadsheets/d/1j7Nu-wU4q-UwGzcF5m-7_LFLSWRWonleD-DZtJT2GfY/edit#gid=1170053810"",""2025-26!p3"")"),18.0)</f>
        <v>18</v>
      </c>
      <c r="AF105" s="55">
        <f>IFERROR(__xludf.DUMMYFUNCTION("importrange(""https://docs.google.com/spreadsheets/d/1j7Nu-wU4q-UwGzcF5m-7_LFLSWRWonleD-DZtJT2GfY/edit#gid=1170053810"",""2025-26!q4"")"),1264492.8)</f>
        <v>1264492.8</v>
      </c>
      <c r="AG105" s="55">
        <f>IFERROR(__xludf.DUMMYFUNCTION("importrange(""https://docs.google.com/spreadsheets/d/1j7Nu-wU4q-UwGzcF5m-7_LFLSWRWonleD-DZtJT2GfY/edit#gid=1170053810"",""2025-26!q3"")"),4.0)</f>
        <v>4</v>
      </c>
      <c r="AH105" s="58">
        <f t="shared" si="20"/>
        <v>0.5149008443</v>
      </c>
      <c r="AI105" s="55">
        <f>IFERROR(__xludf.DUMMYFUNCTION("importrange(""https://docs.google.com/spreadsheets/d/1j7Nu-wU4q-UwGzcF5m-7_LFLSWRWonleD-DZtJT2GfY/edit#gid=1170053810"",""2025-26!r4"")"),1264511.0)</f>
        <v>1264511</v>
      </c>
      <c r="AJ105" s="55">
        <f>IFERROR(__xludf.DUMMYFUNCTION("importrange(""https://docs.google.com/spreadsheets/d/1j7Nu-wU4q-UwGzcF5m-7_LFLSWRWonleD-DZtJT2GfY/edit#gid=1170053810"",""2025-26!r3"")"),4.0)</f>
        <v>4</v>
      </c>
      <c r="AK105" s="55">
        <f>IFERROR(__xludf.DUMMYFUNCTION("importrange(""https://docs.google.com/spreadsheets/d/1j7Nu-wU4q-UwGzcF5m-7_LFLSWRWonleD-DZtJT2GfY/edit#gid=1170053810"",""2025-26!s4"")"),2455834.0)</f>
        <v>2455834</v>
      </c>
      <c r="AL105" s="55">
        <f>IFERROR(__xludf.DUMMYFUNCTION("importrange(""https://docs.google.com/spreadsheets/d/1j7Nu-wU4q-UwGzcF5m-7_LFLSWRWonleD-DZtJT2GfY/edit#gid=1170053810"",""2025-26!s3"")"),18.0)</f>
        <v>18</v>
      </c>
      <c r="AM105" s="57">
        <f>IFERROR(__xludf.DUMMYFUNCTION("importrange(""https://docs.google.com/spreadsheets/d/1j7Nu-wU4q-UwGzcF5m-7_LFLSWRWonleD-DZtJT2GfY/edit#gid=1170053810"",""2025-26!t4"")"),1235482.09)</f>
        <v>1235482.09</v>
      </c>
      <c r="AN105" s="55">
        <f>IFERROR(__xludf.DUMMYFUNCTION("importrange(""https://docs.google.com/spreadsheets/d/1j7Nu-wU4q-UwGzcF5m-7_LFLSWRWonleD-DZtJT2GfY/edit#gid=1170053810"",""2025-26!t3"")"),4.0)</f>
        <v>4</v>
      </c>
      <c r="AO105" s="58">
        <f t="shared" si="21"/>
        <v>0.5034155403</v>
      </c>
      <c r="AP105" s="55">
        <f>IFERROR(__xludf.DUMMYFUNCTION("importrange(""https://docs.google.com/spreadsheets/d/1j7Nu-wU4q-UwGzcF5m-7_LFLSWRWonleD-DZtJT2GfY/edit#gid=1170053810"",""2025-26!u4"")"),1236305.0)</f>
        <v>1236305</v>
      </c>
      <c r="AQ105" s="55">
        <f>IFERROR(__xludf.DUMMYFUNCTION("importrange(""https://docs.google.com/spreadsheets/d/1j7Nu-wU4q-UwGzcF5m-7_LFLSWRWonleD-DZtJT2GfY/edit#gid=1170053810"",""2025-26!u3"")"),4.0)</f>
        <v>4</v>
      </c>
      <c r="AR105" s="55">
        <f>IFERROR(__xludf.DUMMYFUNCTION("importrange(""https://docs.google.com/spreadsheets/d/1j7Nu-wU4q-UwGzcF5m-7_LFLSWRWonleD-DZtJT2GfY/edit#gid=1170053810"",""2025-26!v4"")"),2455833.0)</f>
        <v>2455833</v>
      </c>
      <c r="AS105" s="55">
        <f>IFERROR(__xludf.DUMMYFUNCTION("importrange(""https://docs.google.com/spreadsheets/d/1j7Nu-wU4q-UwGzcF5m-7_LFLSWRWonleD-DZtJT2GfY/edit#gid=1170053810"",""2025-26!v3"")"),18.0)</f>
        <v>18</v>
      </c>
      <c r="AT105" s="57">
        <f>IFERROR(__xludf.DUMMYFUNCTION("importrange(""https://docs.google.com/spreadsheets/d/1j7Nu-wU4q-UwGzcF5m-7_LFLSWRWonleD-DZtJT2GfY/edit#gid=1170053810"",""2025-26!w4"")"),1352131.2)</f>
        <v>1352131.2</v>
      </c>
      <c r="AU105" s="55">
        <f>IFERROR(__xludf.DUMMYFUNCTION("importrange(""https://docs.google.com/spreadsheets/d/1j7Nu-wU4q-UwGzcF5m-7_LFLSWRWonleD-DZtJT2GfY/edit#gid=1170053810"",""2025-26!w3"")"),5.0)</f>
        <v>5</v>
      </c>
      <c r="AV105" s="58">
        <f t="shared" si="22"/>
        <v>0.544256063</v>
      </c>
      <c r="AW105" s="55">
        <f>IFERROR(__xludf.DUMMYFUNCTION("importrange(""https://docs.google.com/spreadsheets/d/1j7Nu-wU4q-UwGzcF5m-7_LFLSWRWonleD-DZtJT2GfY/edit#gid=1170053810"",""2025-26!x4"")"),1336602.0)</f>
        <v>1336602</v>
      </c>
      <c r="AX105" s="55">
        <f>IFERROR(__xludf.DUMMYFUNCTION("importrange(""https://docs.google.com/spreadsheets/d/1j7Nu-wU4q-UwGzcF5m-7_LFLSWRWonleD-DZtJT2GfY/edit#gid=1170053810"",""2025-26!x3"")"),5.0)</f>
        <v>5</v>
      </c>
      <c r="AY105" s="55">
        <f>IFERROR(__xludf.DUMMYFUNCTION("importrange(""https://docs.google.com/spreadsheets/d/1j7Nu-wU4q-UwGzcF5m-7_LFLSWRWonleD-DZtJT2GfY/edit#gid=1170053810"",""2025-26!y4"")"),2455833.0)</f>
        <v>2455833</v>
      </c>
      <c r="AZ105" s="55">
        <f>IFERROR(__xludf.DUMMYFUNCTION("importrange(""https://docs.google.com/spreadsheets/d/1j7Nu-wU4q-UwGzcF5m-7_LFLSWRWonleD-DZtJT2GfY/edit#gid=1170053810"",""2025-26!y3"")"),18.0)</f>
        <v>18</v>
      </c>
      <c r="BA105" s="57">
        <f>IFERROR(__xludf.DUMMYFUNCTION("importrange(""https://docs.google.com/spreadsheets/d/1j7Nu-wU4q-UwGzcF5m-7_LFLSWRWonleD-DZtJT2GfY/edit#gid=1170053810"",""2025-26!z4"")"),1411172.23)</f>
        <v>1411172.23</v>
      </c>
      <c r="BB105" s="55">
        <f>IFERROR(__xludf.DUMMYFUNCTION("importrange(""https://docs.google.com/spreadsheets/d/1j7Nu-wU4q-UwGzcF5m-7_LFLSWRWonleD-DZtJT2GfY/edit#gid=1170053810"",""2025-26!z3"")"),7.0)</f>
        <v>7</v>
      </c>
      <c r="BC105" s="59">
        <f t="shared" si="23"/>
        <v>0.2775428948</v>
      </c>
      <c r="BD105" s="55">
        <f>IFERROR(__xludf.DUMMYFUNCTION("importrange(""https://docs.google.com/spreadsheets/d/1j7Nu-wU4q-UwGzcF5m-7_LFLSWRWonleD-DZtJT2GfY/edit#gid=1170053810"",""2025-26!aa4"")"),681599.0)</f>
        <v>681599</v>
      </c>
      <c r="BE105" s="55">
        <f>IFERROR(__xludf.DUMMYFUNCTION("importrange(""https://docs.google.com/spreadsheets/d/1j7Nu-wU4q-UwGzcF5m-7_LFLSWRWonleD-DZtJT2GfY/edit#gid=1170053810"",""2025-26!aa3"")"),7.0)</f>
        <v>7</v>
      </c>
      <c r="BF105" s="55">
        <f>IFERROR(__xludf.DUMMYFUNCTION("importrange(""https://docs.google.com/spreadsheets/d/1j7Nu-wU4q-UwGzcF5m-7_LFLSWRWonleD-DZtJT2GfY/edit#gid=1170053810"",""2025-26!ab4"")"),2455833.0)</f>
        <v>2455833</v>
      </c>
      <c r="BG105" s="55">
        <f>IFERROR(__xludf.DUMMYFUNCTION("importrange(""https://docs.google.com/spreadsheets/d/1j7Nu-wU4q-UwGzcF5m-7_LFLSWRWonleD-DZtJT2GfY/edit#gid=1170053810"",""2025-26!ab3"")"),18.0)</f>
        <v>18</v>
      </c>
      <c r="BH105" s="55">
        <f>IFERROR(__xludf.DUMMYFUNCTION("importrange(""https://docs.google.com/spreadsheets/d/1j7Nu-wU4q-UwGzcF5m-7_LFLSWRWonleD-DZtJT2GfY/edit#gid=1170053810"",""2025-26!ac4"")"),1492256.53)</f>
        <v>1492256.53</v>
      </c>
      <c r="BI105" s="55">
        <f>IFERROR(__xludf.DUMMYFUNCTION("importrange(""https://docs.google.com/spreadsheets/d/1j7Nu-wU4q-UwGzcF5m-7_LFLSWRWonleD-DZtJT2GfY/edit#gid=1170053810"",""2025-26!ac3"")"),1.0)</f>
        <v>1</v>
      </c>
      <c r="BJ105" s="59">
        <f t="shared" si="24"/>
        <v>0.5336751318</v>
      </c>
      <c r="BK105" s="55">
        <f>IFERROR(__xludf.DUMMYFUNCTION("importrange(""https://docs.google.com/spreadsheets/d/1j7Nu-wU4q-UwGzcF5m-7_LFLSWRWonleD-DZtJT2GfY/edit#gid=1170053810"",""2025-26!ad4"")"),1310617.0)</f>
        <v>1310617</v>
      </c>
      <c r="BL105" s="55">
        <f>IFERROR(__xludf.DUMMYFUNCTION("importrange(""https://docs.google.com/spreadsheets/d/1j7Nu-wU4q-UwGzcF5m-7_LFLSWRWonleD-DZtJT2GfY/edit#gid=1170053810"",""2025-26!ad3"")"),1.0)</f>
        <v>1</v>
      </c>
      <c r="BM105" s="55">
        <f>IFERROR(__xludf.DUMMYFUNCTION("importrange(""https://docs.google.com/spreadsheets/d/1j7Nu-wU4q-UwGzcF5m-7_LFLSWRWonleD-DZtJT2GfY/edit#gid=1170053810"",""2025-26!ae4"")"),2455833.0)</f>
        <v>2455833</v>
      </c>
      <c r="BN105" s="55">
        <f>IFERROR(__xludf.DUMMYFUNCTION("importrange(""https://docs.google.com/spreadsheets/d/1j7Nu-wU4q-UwGzcF5m-7_LFLSWRWonleD-DZtJT2GfY/edit#gid=1170053810"",""2025-26!ae3"")"),18.0)</f>
        <v>18</v>
      </c>
      <c r="BO105" s="55">
        <f>IFERROR(__xludf.DUMMYFUNCTION("importrange(""https://docs.google.com/spreadsheets/d/1j7Nu-wU4q-UwGzcF5m-7_LFLSWRWonleD-DZtJT2GfY/edit#gid=1170053810"",""2025-26!af4"")"),0.0)</f>
        <v>0</v>
      </c>
      <c r="BP105" s="55">
        <f>IFERROR(__xludf.DUMMYFUNCTION("importrange(""https://docs.google.com/spreadsheets/d/1j7Nu-wU4q-UwGzcF5m-7_LFLSWRWonleD-DZtJT2GfY/edit#gid=1170053810"",""2025-26!af3"")"),0.0)</f>
        <v>0</v>
      </c>
      <c r="BQ105" s="59">
        <f t="shared" si="25"/>
        <v>0.217348248</v>
      </c>
      <c r="BR105" s="55">
        <f>IFERROR(__xludf.DUMMYFUNCTION("importrange(""https://docs.google.com/spreadsheets/d/1j7Nu-wU4q-UwGzcF5m-7_LFLSWRWonleD-DZtJT2GfY/edit#gid=1170053810"",""2025-26!ag4"")"),533771.0)</f>
        <v>533771</v>
      </c>
      <c r="BS105" s="55">
        <f>IFERROR(__xludf.DUMMYFUNCTION("importrange(""https://docs.google.com/spreadsheets/d/1j7Nu-wU4q-UwGzcF5m-7_LFLSWRWonleD-DZtJT2GfY/edit#gid=1170053810"",""2025-26!ag3"")"),1.0)</f>
        <v>1</v>
      </c>
      <c r="BT105" s="55">
        <f>IFERROR(__xludf.DUMMYFUNCTION("importrange(""https://docs.google.com/spreadsheets/d/1j7Nu-wU4q-UwGzcF5m-7_LFLSWRWonleD-DZtJT2GfY/edit#gid=1170053810"",""2025-26!ah4"")"),2455833.0)</f>
        <v>2455833</v>
      </c>
      <c r="BU105" s="55">
        <f>IFERROR(__xludf.DUMMYFUNCTION("importrange(""https://docs.google.com/spreadsheets/d/1j7Nu-wU4q-UwGzcF5m-7_LFLSWRWonleD-DZtJT2GfY/edit#gid=1170053810"",""2025-26!ah3"")"),18.0)</f>
        <v>18</v>
      </c>
      <c r="BV105" s="55">
        <f>IFERROR(__xludf.DUMMYFUNCTION("importrange(""https://docs.google.com/spreadsheets/d/1j7Nu-wU4q-UwGzcF5m-7_LFLSWRWonleD-DZtJT2GfY/edit#gid=1170053810"",""2025-26!ai4"")"),1034946.8200000001)</f>
        <v>1034946.82</v>
      </c>
      <c r="BW105" s="55">
        <f>IFERROR(__xludf.DUMMYFUNCTION("importrange(""https://docs.google.com/spreadsheets/d/1j7Nu-wU4q-UwGzcF5m-7_LFLSWRWonleD-DZtJT2GfY/edit#gid=1170053810"",""2025-26!ai3"")"),2.0)</f>
        <v>2</v>
      </c>
      <c r="BX105" s="59">
        <f t="shared" si="26"/>
        <v>0.4214236066</v>
      </c>
      <c r="BY105" s="55">
        <f>IFERROR(__xludf.DUMMYFUNCTION("importrange(""https://docs.google.com/spreadsheets/d/1j7Nu-wU4q-UwGzcF5m-7_LFLSWRWonleD-DZtJT2GfY/edit#gid=1170053810"",""2025-26!aj4"")"),1034946.0)</f>
        <v>1034946</v>
      </c>
      <c r="BZ105" s="55">
        <f>IFERROR(__xludf.DUMMYFUNCTION("importrange(""https://docs.google.com/spreadsheets/d/1j7Nu-wU4q-UwGzcF5m-7_LFLSWRWonleD-DZtJT2GfY/edit#gid=1170053810"",""2025-26!aj3"")"),2.0)</f>
        <v>2</v>
      </c>
      <c r="CA105" s="55">
        <f>IFERROR(__xludf.DUMMYFUNCTION("importrange(""https://docs.google.com/spreadsheets/d/1j7Nu-wU4q-UwGzcF5m-7_LFLSWRWonleD-DZtJT2GfY/edit#gid=1170053810"",""2025-26!ak4"")"),2490833.0)</f>
        <v>2490833</v>
      </c>
      <c r="CB105" s="55">
        <f>IFERROR(__xludf.DUMMYFUNCTION("importrange(""https://docs.google.com/spreadsheets/d/1j7Nu-wU4q-UwGzcF5m-7_LFLSWRWonleD-DZtJT2GfY/edit#gid=1170053810"",""2025-26!ak3"")"),19.0)</f>
        <v>19</v>
      </c>
      <c r="CC105" s="55">
        <f>IFERROR(__xludf.DUMMYFUNCTION("importrange(""https://docs.google.com/spreadsheets/d/1j7Nu-wU4q-UwGzcF5m-7_LFLSWRWonleD-DZtJT2GfY/edit#gid=1170053810"",""2025-26!al4"")"),1598965.6400000001)</f>
        <v>1598965.64</v>
      </c>
      <c r="CD105" s="55">
        <f>IFERROR(__xludf.DUMMYFUNCTION("importrange(""https://docs.google.com/spreadsheets/d/1j7Nu-wU4q-UwGzcF5m-7_LFLSWRWonleD-DZtJT2GfY/edit#gid=1170053810"",""2025-26!ai3"")"),2.0)</f>
        <v>2</v>
      </c>
      <c r="CE105" s="59">
        <f t="shared" si="27"/>
        <v>0.644979812</v>
      </c>
      <c r="CF105" s="55">
        <f>IFERROR(__xludf.DUMMYFUNCTION("importrange(""https://docs.google.com/spreadsheets/d/1j7Nu-wU4q-UwGzcF5m-7_LFLSWRWonleD-DZtJT2GfY/edit#gid=1170053810"",""2025-26!am4"")"),1606537.0)</f>
        <v>1606537</v>
      </c>
      <c r="CG105" s="55">
        <f>IFERROR(__xludf.DUMMYFUNCTION("importrange(""https://docs.google.com/spreadsheets/d/1j7Nu-wU4q-UwGzcF5m-7_LFLSWRWonleD-DZtJT2GfY/edit#gid=1170053810"",""2025-26!am3"")"),5.0)</f>
        <v>5</v>
      </c>
      <c r="CH105" s="55">
        <f>IFERROR(__xludf.DUMMYFUNCTION("importrange(""https://docs.google.com/spreadsheets/d/1j7Nu-wU4q-UwGzcF5m-7_LFLSWRWonleD-DZtJT2GfY/edit#gid=1170053810"",""2025-26!an4"")"),2585833.0)</f>
        <v>2585833</v>
      </c>
      <c r="CI105" s="55">
        <f>IFERROR(__xludf.DUMMYFUNCTION("importrange(""https://docs.google.com/spreadsheets/d/1j7Nu-wU4q-UwGzcF5m-7_LFLSWRWonleD-DZtJT2GfY/edit#gid=1170053810"",""2025-26!an3"")"),21.0)</f>
        <v>21</v>
      </c>
      <c r="CJ105" s="55">
        <f>IFERROR(__xludf.DUMMYFUNCTION("importrange(""https://docs.google.com/spreadsheets/d/1j7Nu-wU4q-UwGzcF5m-7_LFLSWRWonleD-DZtJT2GfY/edit#gid=1170053810"",""2025-26!ao4"")"),2343893.5000000005)</f>
        <v>2343893.5</v>
      </c>
      <c r="CK105" s="55">
        <f>IFERROR(__xludf.DUMMYFUNCTION("importrange(""https://docs.google.com/spreadsheets/d/1j7Nu-wU4q-UwGzcF5m-7_LFLSWRWonleD-DZtJT2GfY/edit#gid=1170053810"",""2025-26!ao3"")"),7.0)</f>
        <v>7</v>
      </c>
      <c r="CL105" s="59">
        <f t="shared" si="28"/>
        <v>0.8903471338</v>
      </c>
      <c r="CM105" s="55">
        <f>IFERROR(__xludf.DUMMYFUNCTION("importrange(""https://docs.google.com/spreadsheets/d/1j7Nu-wU4q-UwGzcF5m-7_LFLSWRWonleD-DZtJT2GfY/edit#gid=1170053810"",""2025-26!ap4"")"),2302289.0)</f>
        <v>2302289</v>
      </c>
      <c r="CN105" s="55">
        <f>IFERROR(__xludf.DUMMYFUNCTION("importrange(""https://docs.google.com/spreadsheets/d/1j7Nu-wU4q-UwGzcF5m-7_LFLSWRWonleD-DZtJT2GfY/edit#gid=1170053810"",""2025-26!ap3"")"),7.0)</f>
        <v>7</v>
      </c>
      <c r="CO105" s="55">
        <f>IFERROR(__xludf.DUMMYFUNCTION("importrange(""https://docs.google.com/spreadsheets/d/1j7Nu-wU4q-UwGzcF5m-7_LFLSWRWonleD-DZtJT2GfY/edit#gid=1170053810"",""2025-26!aq4"")"),2485833.0)</f>
        <v>2485833</v>
      </c>
      <c r="CP105" s="55">
        <f>IFERROR(__xludf.DUMMYFUNCTION("importrange(""https://docs.google.com/spreadsheets/d/1j7Nu-wU4q-UwGzcF5m-7_LFLSWRWonleD-DZtJT2GfY/edit#gid=1170053810"",""2025-26!aq3"")"),19.0)</f>
        <v>19</v>
      </c>
      <c r="CQ105" s="55">
        <f>IFERROR(__xludf.DUMMYFUNCTION("importrange(""https://docs.google.com/spreadsheets/d/1j7Nu-wU4q-UwGzcF5m-7_LFLSWRWonleD-DZtJT2GfY/edit#gid=1170053810"",""2025-26!ar4"")"),1907318.27)</f>
        <v>1907318.27</v>
      </c>
      <c r="CR105" s="55">
        <f>IFERROR(__xludf.DUMMYFUNCTION("importrange(""https://docs.google.com/spreadsheets/d/1j7Nu-wU4q-UwGzcF5m-7_LFLSWRWonleD-DZtJT2GfY/edit#gid=1170053810"",""2025-26!ar3"")"),6.0)</f>
        <v>6</v>
      </c>
      <c r="CS105" s="59">
        <f t="shared" si="29"/>
        <v>1.159574276</v>
      </c>
      <c r="CT105" s="55">
        <f>IFERROR(__xludf.DUMMYFUNCTION("importrange(""https://docs.google.com/spreadsheets/d/1j7Nu-wU4q-UwGzcF5m-7_LFLSWRWonleD-DZtJT2GfY/edit#gid=1170053810"",""2025-26!as4"")"),2882508.0)</f>
        <v>2882508</v>
      </c>
      <c r="CU105" s="55">
        <f>IFERROR(__xludf.DUMMYFUNCTION("importrange(""https://docs.google.com/spreadsheets/d/1j7Nu-wU4q-UwGzcF5m-7_LFLSWRWonleD-DZtJT2GfY/edit#gid=1170053810"",""2025-26!as3"")"),6.0)</f>
        <v>6</v>
      </c>
      <c r="CV105" s="60" t="s">
        <v>189</v>
      </c>
    </row>
    <row r="106">
      <c r="A106" s="1" t="s">
        <v>185</v>
      </c>
      <c r="B106" s="37"/>
      <c r="C106" s="64" t="s">
        <v>237</v>
      </c>
      <c r="D106" s="50" t="s">
        <v>238</v>
      </c>
      <c r="E106" s="50">
        <v>8.97214249E9</v>
      </c>
      <c r="F106" s="74">
        <v>45048.0</v>
      </c>
      <c r="G106" s="62"/>
      <c r="H106" s="62"/>
      <c r="I106" s="53">
        <v>24000.0</v>
      </c>
      <c r="J106" s="54">
        <v>1500000.0</v>
      </c>
      <c r="K106" s="57">
        <f>IFERROR(__xludf.DUMMYFUNCTION("IMPORTRANGE(""https://docs.google.com/spreadsheets/d/1QP5E3bv2nQocHwhakijcUbpjfZXkhSHOEthvwHNKxmI/edit#gid=903421771"",""2025-26!A3"")"),58.0)</f>
        <v>58</v>
      </c>
      <c r="L106" s="57">
        <f>IFERROR(__xludf.DUMMYFUNCTION("IMPORTRANGE(""https://docs.google.com/spreadsheets/d/1QP5E3bv2nQocHwhakijcUbpjfZXkhSHOEthvwHNKxmI/edit#gid=903421771"",""2025-26!G4"")"),1.7253E7)</f>
        <v>17253000</v>
      </c>
      <c r="M106" s="57">
        <f t="shared" si="50"/>
        <v>14058907.71</v>
      </c>
      <c r="N106" s="56">
        <f t="shared" si="51"/>
        <v>0.9983834695</v>
      </c>
      <c r="O106" s="57">
        <f t="shared" si="52"/>
        <v>17225110</v>
      </c>
      <c r="P106" s="55">
        <f>IFERROR(__xludf.DUMMYFUNCTION("IMPORTRANGE(""https://docs.google.com/spreadsheets/d/1QP5E3bv2nQocHwhakijcUbpjfZXkhSHOEthvwHNKxmI/edit#gid=903421771"",""2025-26!J4"")"),1469743.9999999998)</f>
        <v>1469744</v>
      </c>
      <c r="Q106" s="86">
        <f>IFERROR(__xludf.DUMMYFUNCTION("IMPORTRANGE(""https://docs.google.com/spreadsheets/d/1QP5E3bv2nQocHwhakijcUbpjfZXkhSHOEthvwHNKxmI/edit#gid=903421771"",""2025-26!J3"")"),54.0)</f>
        <v>54</v>
      </c>
      <c r="R106" s="55">
        <f>IFERROR(__xludf.DUMMYFUNCTION("IMPORTRANGE(""https://docs.google.com/spreadsheets/d/1QP5E3bv2nQocHwhakijcUbpjfZXkhSHOEthvwHNKxmI/edit#gid=903421771"",""2025-26!K4"")"),1027720.1999999998)</f>
        <v>1027720.2</v>
      </c>
      <c r="S106" s="86">
        <f>IFERROR(__xludf.DUMMYFUNCTION("IMPORTRANGE(""https://docs.google.com/spreadsheets/d/1QP5E3bv2nQocHwhakijcUbpjfZXkhSHOEthvwHNKxmI/edit#gid=903421771"",""2025-26!K3"")"),14.0)</f>
        <v>14</v>
      </c>
      <c r="T106" s="58">
        <f t="shared" si="18"/>
        <v>0.8751449232</v>
      </c>
      <c r="U106" s="55">
        <f>IFERROR(__xludf.DUMMYFUNCTION("IMPORTRANGE(""https://docs.google.com/spreadsheets/d/1QP5E3bv2nQocHwhakijcUbpjfZXkhSHOEthvwHNKxmI/edit#gid=903421771"",""2025-26!L4"")"),1286239.0)</f>
        <v>1286239</v>
      </c>
      <c r="V106" s="86">
        <f>IFERROR(__xludf.DUMMYFUNCTION("IMPORTRANGE(""https://docs.google.com/spreadsheets/d/1QP5E3bv2nQocHwhakijcUbpjfZXkhSHOEthvwHNKxmI/edit#gid=903421771"",""2025-26!L3"")"),21.0)</f>
        <v>21</v>
      </c>
      <c r="W106" s="55">
        <f>IFERROR(__xludf.DUMMYFUNCTION("IMPORTRANGE(""https://docs.google.com/spreadsheets/d/1QP5E3bv2nQocHwhakijcUbpjfZXkhSHOEthvwHNKxmI/edit#gid=903421771"",""2025-26!M4"")"),1470243.9999999998)</f>
        <v>1470244</v>
      </c>
      <c r="X106" s="79">
        <f>IFERROR(__xludf.DUMMYFUNCTION("IMPORTRANGE(""https://docs.google.com/spreadsheets/d/1QP5E3bv2nQocHwhakijcUbpjfZXkhSHOEthvwHNKxmI/edit#gid=903421771"",""2025-26!M3"")"),54.0)</f>
        <v>54</v>
      </c>
      <c r="Y106" s="55">
        <f>IFERROR(__xludf.DUMMYFUNCTION("importrange(""https://docs.google.com/spreadsheets/d/1QP5E3bv2nQocHwhakijcUbpjfZXkhSHOEthvwHNKxmI/edit#gid=903421771"",""2025-26!n4"")"),1253662.2999999998)</f>
        <v>1253662.3</v>
      </c>
      <c r="Z106" s="55">
        <f>IFERROR(__xludf.DUMMYFUNCTION("importrange(""https://docs.google.com/spreadsheets/d/1QP5E3bv2nQocHwhakijcUbpjfZXkhSHOEthvwHNKxmI/edit#gid=903421771"",""2025-26!n3"")"),22.0)</f>
        <v>22</v>
      </c>
      <c r="AA106" s="58">
        <f t="shared" si="19"/>
        <v>0.8798804824</v>
      </c>
      <c r="AB106" s="55">
        <f>IFERROR(__xludf.DUMMYFUNCTION("importrange(""https://docs.google.com/spreadsheets/d/1QP5E3bv2nQocHwhakijcUbpjfZXkhSHOEthvwHNKxmI/edit#gid=903421771"",""2025-26!o4"")"),1293639.0)</f>
        <v>1293639</v>
      </c>
      <c r="AC106" s="55">
        <f>IFERROR(__xludf.DUMMYFUNCTION("importrange(""https://docs.google.com/spreadsheets/d/1QP5E3bv2nQocHwhakijcUbpjfZXkhSHOEthvwHNKxmI/edit#gid=903421771"",""2025-26!o3"")"),29.0)</f>
        <v>29</v>
      </c>
      <c r="AD106" s="55">
        <f>IFERROR(__xludf.DUMMYFUNCTION("importrange(""https://docs.google.com/spreadsheets/d/1QP5E3bv2nQocHwhakijcUbpjfZXkhSHOEthvwHNKxmI/edit#gid=903421771"",""2025-26!p4"")"),1395243.9999999998)</f>
        <v>1395244</v>
      </c>
      <c r="AE106" s="55">
        <f>IFERROR(__xludf.DUMMYFUNCTION("importrange(""https://docs.google.com/spreadsheets/d/1QP5E3bv2nQocHwhakijcUbpjfZXkhSHOEthvwHNKxmI/edit#gid=903421771"",""2025-26!p3"")"),54.0)</f>
        <v>54</v>
      </c>
      <c r="AF106" s="55">
        <f>IFERROR(__xludf.DUMMYFUNCTION("importrange(""https://docs.google.com/spreadsheets/d/1QP5E3bv2nQocHwhakijcUbpjfZXkhSHOEthvwHNKxmI/edit#gid=903421771"",""2025-26!q4"")"),1117511.2000000002)</f>
        <v>1117511.2</v>
      </c>
      <c r="AG106" s="55">
        <f>IFERROR(__xludf.DUMMYFUNCTION("importrange(""https://docs.google.com/spreadsheets/d/1QP5E3bv2nQocHwhakijcUbpjfZXkhSHOEthvwHNKxmI/edit#gid=903421771"",""2025-26!q3"")"),24.0)</f>
        <v>24</v>
      </c>
      <c r="AH106" s="58">
        <f t="shared" si="20"/>
        <v>0.9534102996</v>
      </c>
      <c r="AI106" s="55">
        <f>IFERROR(__xludf.DUMMYFUNCTION("importrange(""https://docs.google.com/spreadsheets/d/1QP5E3bv2nQocHwhakijcUbpjfZXkhSHOEthvwHNKxmI/edit#gid=903421771"",""2025-26!r4"")"),1330240.0)</f>
        <v>1330240</v>
      </c>
      <c r="AJ106" s="55">
        <f>IFERROR(__xludf.DUMMYFUNCTION("importrange(""https://docs.google.com/spreadsheets/d/1QP5E3bv2nQocHwhakijcUbpjfZXkhSHOEthvwHNKxmI/edit#gid=903421771"",""2025-26!r3"")"),32.0)</f>
        <v>32</v>
      </c>
      <c r="AK106" s="55">
        <f>IFERROR(__xludf.DUMMYFUNCTION("importrange(""https://docs.google.com/spreadsheets/d/1QP5E3bv2nQocHwhakijcUbpjfZXkhSHOEthvwHNKxmI/edit#gid=903421771"",""2025-26!s4"")"),1395243.9999999998)</f>
        <v>1395244</v>
      </c>
      <c r="AL106" s="55">
        <f>IFERROR(__xludf.DUMMYFUNCTION("importrange(""https://docs.google.com/spreadsheets/d/1QP5E3bv2nQocHwhakijcUbpjfZXkhSHOEthvwHNKxmI/edit#gid=903421771"",""2025-26!s3"")"),54.0)</f>
        <v>54</v>
      </c>
      <c r="AM106" s="57">
        <f>IFERROR(__xludf.DUMMYFUNCTION("importrange(""https://docs.google.com/spreadsheets/d/1QP5E3bv2nQocHwhakijcUbpjfZXkhSHOEthvwHNKxmI/edit#gid=903421771"",""2025-26!t4"")"),945692.9800000001)</f>
        <v>945692.98</v>
      </c>
      <c r="AN106" s="55">
        <f>IFERROR(__xludf.DUMMYFUNCTION("importrange(""https://docs.google.com/spreadsheets/d/1QP5E3bv2nQocHwhakijcUbpjfZXkhSHOEthvwHNKxmI/edit#gid=903421771"",""2025-26!t3"")"),18.0)</f>
        <v>18</v>
      </c>
      <c r="AO106" s="58">
        <f t="shared" si="21"/>
        <v>0.7317709304</v>
      </c>
      <c r="AP106" s="55">
        <f>IFERROR(__xludf.DUMMYFUNCTION("importrange(""https://docs.google.com/spreadsheets/d/1QP5E3bv2nQocHwhakijcUbpjfZXkhSHOEthvwHNKxmI/edit#gid=903421771"",""2025-26!u4"")"),1020999.0)</f>
        <v>1020999</v>
      </c>
      <c r="AQ106" s="55">
        <f>IFERROR(__xludf.DUMMYFUNCTION("importrange(""https://docs.google.com/spreadsheets/d/1QP5E3bv2nQocHwhakijcUbpjfZXkhSHOEthvwHNKxmI/edit#gid=903421771"",""2025-26!u3"")"),24.0)</f>
        <v>24</v>
      </c>
      <c r="AR106" s="55">
        <f>IFERROR(__xludf.DUMMYFUNCTION("importrange(""https://docs.google.com/spreadsheets/d/1QP5E3bv2nQocHwhakijcUbpjfZXkhSHOEthvwHNKxmI/edit#gid=903421771"",""2025-26!v4"")"),1470242.9999999998)</f>
        <v>1470243</v>
      </c>
      <c r="AS106" s="55">
        <f>IFERROR(__xludf.DUMMYFUNCTION("importrange(""https://docs.google.com/spreadsheets/d/1QP5E3bv2nQocHwhakijcUbpjfZXkhSHOEthvwHNKxmI/edit#gid=903421771"",""2025-26!v3"")"),54.0)</f>
        <v>54</v>
      </c>
      <c r="AT106" s="57">
        <f>IFERROR(__xludf.DUMMYFUNCTION("importrange(""https://docs.google.com/spreadsheets/d/1QP5E3bv2nQocHwhakijcUbpjfZXkhSHOEthvwHNKxmI/edit#gid=903421771"",""2025-26!w4"")"),1777218.7599999998)</f>
        <v>1777218.76</v>
      </c>
      <c r="AU106" s="55">
        <f>IFERROR(__xludf.DUMMYFUNCTION("importrange(""https://docs.google.com/spreadsheets/d/1QP5E3bv2nQocHwhakijcUbpjfZXkhSHOEthvwHNKxmI/edit#gid=903421771"",""2025-26!w3"")"),17.0)</f>
        <v>17</v>
      </c>
      <c r="AV106" s="58">
        <f t="shared" si="22"/>
        <v>1.403104793</v>
      </c>
      <c r="AW106" s="55">
        <f>IFERROR(__xludf.DUMMYFUNCTION("importrange(""https://docs.google.com/spreadsheets/d/1QP5E3bv2nQocHwhakijcUbpjfZXkhSHOEthvwHNKxmI/edit#gid=903421771"",""2025-26!x4"")"),2062905.0)</f>
        <v>2062905</v>
      </c>
      <c r="AX106" s="55">
        <f>IFERROR(__xludf.DUMMYFUNCTION("importrange(""https://docs.google.com/spreadsheets/d/1QP5E3bv2nQocHwhakijcUbpjfZXkhSHOEthvwHNKxmI/edit#gid=903421771"",""2025-26!x3"")"),26.0)</f>
        <v>26</v>
      </c>
      <c r="AY106" s="55">
        <f>IFERROR(__xludf.DUMMYFUNCTION("importrange(""https://docs.google.com/spreadsheets/d/1QP5E3bv2nQocHwhakijcUbpjfZXkhSHOEthvwHNKxmI/edit#gid=903421771"",""2025-26!y4"")"),1395243.9999999998)</f>
        <v>1395244</v>
      </c>
      <c r="AZ106" s="55">
        <f>IFERROR(__xludf.DUMMYFUNCTION("importrange(""https://docs.google.com/spreadsheets/d/1QP5E3bv2nQocHwhakijcUbpjfZXkhSHOEthvwHNKxmI/edit#gid=903421771"",""2025-26!y3"")"),54.0)</f>
        <v>54</v>
      </c>
      <c r="BA106" s="57">
        <f>IFERROR(__xludf.DUMMYFUNCTION("importrange(""https://docs.google.com/spreadsheets/d/1QP5E3bv2nQocHwhakijcUbpjfZXkhSHOEthvwHNKxmI/edit#gid=903421771"",""2025-26!z4"")"),1463883.91)</f>
        <v>1463883.91</v>
      </c>
      <c r="BB106" s="55">
        <f>IFERROR(__xludf.DUMMYFUNCTION("importrange(""https://docs.google.com/spreadsheets/d/1QP5E3bv2nQocHwhakijcUbpjfZXkhSHOEthvwHNKxmI/edit#gid=903421771"",""2025-26!z3"")"),24.0)</f>
        <v>24</v>
      </c>
      <c r="BC106" s="59">
        <f t="shared" si="23"/>
        <v>1.444404706</v>
      </c>
      <c r="BD106" s="55">
        <f>IFERROR(__xludf.DUMMYFUNCTION("importrange(""https://docs.google.com/spreadsheets/d/1QP5E3bv2nQocHwhakijcUbpjfZXkhSHOEthvwHNKxmI/edit#gid=903421771"",""2025-26!aa4"")"),2015297.0)</f>
        <v>2015297</v>
      </c>
      <c r="BE106" s="55">
        <f>IFERROR(__xludf.DUMMYFUNCTION("importrange(""https://docs.google.com/spreadsheets/d/1QP5E3bv2nQocHwhakijcUbpjfZXkhSHOEthvwHNKxmI/edit#gid=903421771"",""2025-26!aa3"")"),31.0)</f>
        <v>31</v>
      </c>
      <c r="BF106" s="55">
        <f>IFERROR(__xludf.DUMMYFUNCTION("importrange(""https://docs.google.com/spreadsheets/d/1QP5E3bv2nQocHwhakijcUbpjfZXkhSHOEthvwHNKxmI/edit#gid=903421771"",""2025-26!ab4"")"),1395243.9999999998)</f>
        <v>1395244</v>
      </c>
      <c r="BG106" s="55">
        <f>IFERROR(__xludf.DUMMYFUNCTION("importrange(""https://docs.google.com/spreadsheets/d/1QP5E3bv2nQocHwhakijcUbpjfZXkhSHOEthvwHNKxmI/edit#gid=903421771"",""2025-26!ab3"")"),54.0)</f>
        <v>54</v>
      </c>
      <c r="BH106" s="55">
        <f>IFERROR(__xludf.DUMMYFUNCTION("importrange(""https://docs.google.com/spreadsheets/d/1QP5E3bv2nQocHwhakijcUbpjfZXkhSHOEthvwHNKxmI/edit#gid=903421771"",""2025-26!ac4"")"),1010868.1799999999)</f>
        <v>1010868.18</v>
      </c>
      <c r="BI106" s="55">
        <f>IFERROR(__xludf.DUMMYFUNCTION("importrange(""https://docs.google.com/spreadsheets/d/1QP5E3bv2nQocHwhakijcUbpjfZXkhSHOEthvwHNKxmI/edit#gid=903421771"",""2025-26!ac3"")"),18.0)</f>
        <v>18</v>
      </c>
      <c r="BJ106" s="59">
        <f t="shared" si="24"/>
        <v>1.11499494</v>
      </c>
      <c r="BK106" s="55">
        <f>IFERROR(__xludf.DUMMYFUNCTION("importrange(""https://docs.google.com/spreadsheets/d/1QP5E3bv2nQocHwhakijcUbpjfZXkhSHOEthvwHNKxmI/edit#gid=903421771"",""2025-26!ad4"")"),1555690.0)</f>
        <v>1555690</v>
      </c>
      <c r="BL106" s="55">
        <f>IFERROR(__xludf.DUMMYFUNCTION("importrange(""https://docs.google.com/spreadsheets/d/1QP5E3bv2nQocHwhakijcUbpjfZXkhSHOEthvwHNKxmI/edit#gid=903421771"",""2025-26!ad3"")"),26.0)</f>
        <v>26</v>
      </c>
      <c r="BM106" s="55">
        <f>IFERROR(__xludf.DUMMYFUNCTION("importrange(""https://docs.google.com/spreadsheets/d/1QP5E3bv2nQocHwhakijcUbpjfZXkhSHOEthvwHNKxmI/edit#gid=903421771"",""2025-26!ae4"")"),1395243.9999999998)</f>
        <v>1395244</v>
      </c>
      <c r="BN106" s="55">
        <f>IFERROR(__xludf.DUMMYFUNCTION("importrange(""https://docs.google.com/spreadsheets/d/1QP5E3bv2nQocHwhakijcUbpjfZXkhSHOEthvwHNKxmI/edit#gid=903421771"",""2025-26!ae3"")"),54.0)</f>
        <v>54</v>
      </c>
      <c r="BO106" s="55">
        <f>IFERROR(__xludf.DUMMYFUNCTION("importrange(""https://docs.google.com/spreadsheets/d/1QP5E3bv2nQocHwhakijcUbpjfZXkhSHOEthvwHNKxmI/edit#gid=903421771"",""2025-26!af4"")"),968168.18)</f>
        <v>968168.18</v>
      </c>
      <c r="BP106" s="55">
        <f>IFERROR(__xludf.DUMMYFUNCTION("importrange(""https://docs.google.com/spreadsheets/d/1QP5E3bv2nQocHwhakijcUbpjfZXkhSHOEthvwHNKxmI/edit#gid=903421771"",""2025-26!af3"")"),21.0)</f>
        <v>21</v>
      </c>
      <c r="BQ106" s="59">
        <f t="shared" si="25"/>
        <v>0.9356650163</v>
      </c>
      <c r="BR106" s="55">
        <f>IFERROR(__xludf.DUMMYFUNCTION("importrange(""https://docs.google.com/spreadsheets/d/1QP5E3bv2nQocHwhakijcUbpjfZXkhSHOEthvwHNKxmI/edit#gid=903421771"",""2025-26!ag4"")"),1305481.0)</f>
        <v>1305481</v>
      </c>
      <c r="BS106" s="55">
        <f>IFERROR(__xludf.DUMMYFUNCTION("importrange(""https://docs.google.com/spreadsheets/d/1QP5E3bv2nQocHwhakijcUbpjfZXkhSHOEthvwHNKxmI/edit#gid=903421771"",""2025-26!ag3"")"),28.0)</f>
        <v>28</v>
      </c>
      <c r="BT106" s="55">
        <f>IFERROR(__xludf.DUMMYFUNCTION("importrange(""https://docs.google.com/spreadsheets/d/1QP5E3bv2nQocHwhakijcUbpjfZXkhSHOEthvwHNKxmI/edit#gid=903421771"",""2025-26!ah4"")"),1395243.9999999998)</f>
        <v>1395244</v>
      </c>
      <c r="BU106" s="55">
        <f>IFERROR(__xludf.DUMMYFUNCTION("importrange(""https://docs.google.com/spreadsheets/d/1QP5E3bv2nQocHwhakijcUbpjfZXkhSHOEthvwHNKxmI/edit#gid=903421771"",""2025-26!ah3"")"),54.0)</f>
        <v>54</v>
      </c>
      <c r="BV106" s="55">
        <f>IFERROR(__xludf.DUMMYFUNCTION("importrange(""https://docs.google.com/spreadsheets/d/1QP5E3bv2nQocHwhakijcUbpjfZXkhSHOEthvwHNKxmI/edit#gid=903421771"",""2025-26!ai4"")"),931848.18)</f>
        <v>931848.18</v>
      </c>
      <c r="BW106" s="55">
        <f>IFERROR(__xludf.DUMMYFUNCTION("importrange(""https://docs.google.com/spreadsheets/d/1QP5E3bv2nQocHwhakijcUbpjfZXkhSHOEthvwHNKxmI/edit#gid=903421771"",""2025-26!ai3"")"),20.0)</f>
        <v>20</v>
      </c>
      <c r="BX106" s="59">
        <f t="shared" si="26"/>
        <v>1.086481648</v>
      </c>
      <c r="BY106" s="55">
        <f>IFERROR(__xludf.DUMMYFUNCTION("importrange(""https://docs.google.com/spreadsheets/d/1QP5E3bv2nQocHwhakijcUbpjfZXkhSHOEthvwHNKxmI/edit#gid=903421771"",""2025-26!aj4"")"),1515907.0)</f>
        <v>1515907</v>
      </c>
      <c r="BZ106" s="55">
        <f>IFERROR(__xludf.DUMMYFUNCTION("importrange(""https://docs.google.com/spreadsheets/d/1QP5E3bv2nQocHwhakijcUbpjfZXkhSHOEthvwHNKxmI/edit#gid=903421771"",""2025-26!aj3"")"),35.0)</f>
        <v>35</v>
      </c>
      <c r="CA106" s="55">
        <f>IFERROR(__xludf.DUMMYFUNCTION("importrange(""https://docs.google.com/spreadsheets/d/1QP5E3bv2nQocHwhakijcUbpjfZXkhSHOEthvwHNKxmI/edit#gid=903421771"",""2025-26!ak4"")"),1395243.9999999998)</f>
        <v>1395244</v>
      </c>
      <c r="CB106" s="55">
        <f>IFERROR(__xludf.DUMMYFUNCTION("importrange(""https://docs.google.com/spreadsheets/d/1QP5E3bv2nQocHwhakijcUbpjfZXkhSHOEthvwHNKxmI/edit#gid=903421771"",""2025-26!ak3"")"),54.0)</f>
        <v>54</v>
      </c>
      <c r="CC106" s="55">
        <f>IFERROR(__xludf.DUMMYFUNCTION("importrange(""https://docs.google.com/spreadsheets/d/1QP5E3bv2nQocHwhakijcUbpjfZXkhSHOEthvwHNKxmI/edit#gid=903421771"",""2025-26!al4"")"),887582.6900000001)</f>
        <v>887582.69</v>
      </c>
      <c r="CD106" s="55">
        <f>IFERROR(__xludf.DUMMYFUNCTION("importrange(""https://docs.google.com/spreadsheets/d/1QP5E3bv2nQocHwhakijcUbpjfZXkhSHOEthvwHNKxmI/edit#gid=903421771"",""2025-26!ai3"")"),20.0)</f>
        <v>20</v>
      </c>
      <c r="CE106" s="59">
        <f t="shared" si="27"/>
        <v>0.8777618825</v>
      </c>
      <c r="CF106" s="55">
        <f>IFERROR(__xludf.DUMMYFUNCTION("importrange(""https://docs.google.com/spreadsheets/d/1QP5E3bv2nQocHwhakijcUbpjfZXkhSHOEthvwHNKxmI/edit#gid=903421771"",""2025-26!am4"")"),1224692.0)</f>
        <v>1224692</v>
      </c>
      <c r="CG106" s="55">
        <f>IFERROR(__xludf.DUMMYFUNCTION("importrange(""https://docs.google.com/spreadsheets/d/1QP5E3bv2nQocHwhakijcUbpjfZXkhSHOEthvwHNKxmI/edit#gid=903421771"",""2025-26!am3"")"),27.0)</f>
        <v>27</v>
      </c>
      <c r="CH106" s="55">
        <f>IFERROR(__xludf.DUMMYFUNCTION("importrange(""https://docs.google.com/spreadsheets/d/1QP5E3bv2nQocHwhakijcUbpjfZXkhSHOEthvwHNKxmI/edit#gid=903421771"",""2025-26!an4"")"),1395243.9999999998)</f>
        <v>1395244</v>
      </c>
      <c r="CI106" s="55">
        <f>IFERROR(__xludf.DUMMYFUNCTION("importrange(""https://docs.google.com/spreadsheets/d/1QP5E3bv2nQocHwhakijcUbpjfZXkhSHOEthvwHNKxmI/edit#gid=903421771"",""2025-26!an3"")"),54.0)</f>
        <v>54</v>
      </c>
      <c r="CJ106" s="55">
        <f>IFERROR(__xludf.DUMMYFUNCTION("importrange(""https://docs.google.com/spreadsheets/d/1QP5E3bv2nQocHwhakijcUbpjfZXkhSHOEthvwHNKxmI/edit#gid=903421771"",""2025-26!ao4"")"),956735.47)</f>
        <v>956735.47</v>
      </c>
      <c r="CK106" s="55">
        <f>IFERROR(__xludf.DUMMYFUNCTION("importrange(""https://docs.google.com/spreadsheets/d/1QP5E3bv2nQocHwhakijcUbpjfZXkhSHOEthvwHNKxmI/edit#gid=903421771"",""2025-26!ao3"")"),16.0)</f>
        <v>16</v>
      </c>
      <c r="CL106" s="59">
        <f t="shared" si="28"/>
        <v>0.7457061274</v>
      </c>
      <c r="CM106" s="55">
        <f>IFERROR(__xludf.DUMMYFUNCTION("importrange(""https://docs.google.com/spreadsheets/d/1QP5E3bv2nQocHwhakijcUbpjfZXkhSHOEthvwHNKxmI/edit#gid=903421771"",""2025-26!ap4"")"),1040442.0)</f>
        <v>1040442</v>
      </c>
      <c r="CN106" s="55">
        <f>IFERROR(__xludf.DUMMYFUNCTION("importrange(""https://docs.google.com/spreadsheets/d/1QP5E3bv2nQocHwhakijcUbpjfZXkhSHOEthvwHNKxmI/edit#gid=903421771"",""2025-26!ap3"")"),29.0)</f>
        <v>29</v>
      </c>
      <c r="CO106" s="55">
        <f>IFERROR(__xludf.DUMMYFUNCTION("importrange(""https://docs.google.com/spreadsheets/d/1QP5E3bv2nQocHwhakijcUbpjfZXkhSHOEthvwHNKxmI/edit#gid=903421771"",""2025-26!aq4"")"),1644913.9999999998)</f>
        <v>1644914</v>
      </c>
      <c r="CP106" s="55">
        <f>IFERROR(__xludf.DUMMYFUNCTION("importrange(""https://docs.google.com/spreadsheets/d/1QP5E3bv2nQocHwhakijcUbpjfZXkhSHOEthvwHNKxmI/edit#gid=903421771"",""2025-26!aq3"")"),54.0)</f>
        <v>54</v>
      </c>
      <c r="CQ106" s="55">
        <f>IFERROR(__xludf.DUMMYFUNCTION("importrange(""https://docs.google.com/spreadsheets/d/1QP5E3bv2nQocHwhakijcUbpjfZXkhSHOEthvwHNKxmI/edit#gid=903421771"",""2025-26!ar4"")"),1718015.6600000001)</f>
        <v>1718015.66</v>
      </c>
      <c r="CR106" s="55">
        <f>IFERROR(__xludf.DUMMYFUNCTION("importrange(""https://docs.google.com/spreadsheets/d/1QP5E3bv2nQocHwhakijcUbpjfZXkhSHOEthvwHNKxmI/edit#gid=903421771"",""2025-26!ar3"")"),20.0)</f>
        <v>20</v>
      </c>
      <c r="CS106" s="59">
        <f t="shared" si="29"/>
        <v>0.9566329911</v>
      </c>
      <c r="CT106" s="55">
        <f>IFERROR(__xludf.DUMMYFUNCTION("importrange(""https://docs.google.com/spreadsheets/d/1QP5E3bv2nQocHwhakijcUbpjfZXkhSHOEthvwHNKxmI/edit#gid=903421771"",""2025-26!as4"")"),1573579.0)</f>
        <v>1573579</v>
      </c>
      <c r="CU106" s="55">
        <f>IFERROR(__xludf.DUMMYFUNCTION("importrange(""https://docs.google.com/spreadsheets/d/1QP5E3bv2nQocHwhakijcUbpjfZXkhSHOEthvwHNKxmI/edit#gid=903421771"",""2025-26!as3"")"),24.0)</f>
        <v>24</v>
      </c>
      <c r="CV106" s="60" t="s">
        <v>189</v>
      </c>
    </row>
    <row r="107">
      <c r="A107" s="1" t="s">
        <v>185</v>
      </c>
      <c r="B107" s="37"/>
      <c r="C107" s="64" t="s">
        <v>239</v>
      </c>
      <c r="D107" s="50" t="s">
        <v>236</v>
      </c>
      <c r="E107" s="50">
        <v>7.001263413E9</v>
      </c>
      <c r="F107" s="74">
        <v>45056.0</v>
      </c>
      <c r="G107" s="62"/>
      <c r="H107" s="62"/>
      <c r="I107" s="53">
        <v>22917.0</v>
      </c>
      <c r="J107" s="54">
        <v>1500000.0</v>
      </c>
      <c r="K107" s="57">
        <f>IFERROR(__xludf.DUMMYFUNCTION("IMPORTRANGE(""https://docs.google.com/spreadsheets/d/1nf1mZOdFw_I9WqkBXQwXHTbrrZ3qxgTnaC1u33tib50/edit#gid=610100622"",""2025-26!A3"")"),76.0)</f>
        <v>76</v>
      </c>
      <c r="L107" s="57">
        <f>IFERROR(__xludf.DUMMYFUNCTION("IMPORTRANGE(""https://docs.google.com/spreadsheets/d/1nf1mZOdFw_I9WqkBXQwXHTbrrZ3qxgTnaC1u33tib50/edit#gid=610100622"",""2025-26!G4"")"),5.154E7)</f>
        <v>51540000</v>
      </c>
      <c r="M107" s="57">
        <f t="shared" si="50"/>
        <v>17661120.85</v>
      </c>
      <c r="N107" s="56">
        <f t="shared" si="51"/>
        <v>0.3028277842</v>
      </c>
      <c r="O107" s="57">
        <f t="shared" si="52"/>
        <v>15607744</v>
      </c>
      <c r="P107" s="55">
        <f>IFERROR(__xludf.DUMMYFUNCTION("IMPORTRANGE(""https://docs.google.com/spreadsheets/d/1nf1mZOdFw_I9WqkBXQwXHTbrrZ3qxgTnaC1u33tib50/edit#gid=610100622"",""2025-26!J4"")"),4109984.0)</f>
        <v>4109984</v>
      </c>
      <c r="Q107" s="55">
        <f>IFERROR(__xludf.DUMMYFUNCTION("IMPORTRANGE(""https://docs.google.com/spreadsheets/d/1nf1mZOdFw_I9WqkBXQwXHTbrrZ3qxgTnaC1u33tib50/edit#gid=610100622"",""2025-26!J3"")"),46.0)</f>
        <v>46</v>
      </c>
      <c r="R107" s="55">
        <f>IFERROR(__xludf.DUMMYFUNCTION("IMPORTRANGE(""https://docs.google.com/spreadsheets/d/1nf1mZOdFw_I9WqkBXQwXHTbrrZ3qxgTnaC1u33tib50/edit#gid=610100622"",""2025-26!K4"")"),963672.0)</f>
        <v>963672</v>
      </c>
      <c r="S107" s="55">
        <f>IFERROR(__xludf.DUMMYFUNCTION("IMPORTRANGE(""https://docs.google.com/spreadsheets/d/1nf1mZOdFw_I9WqkBXQwXHTbrrZ3qxgTnaC1u33tib50/edit#gid=610100622"",""2025-26!K3"")"),7.0)</f>
        <v>7</v>
      </c>
      <c r="T107" s="58">
        <f t="shared" si="18"/>
        <v>0.2471374584</v>
      </c>
      <c r="U107" s="55">
        <f>IFERROR(__xludf.DUMMYFUNCTION("IMPORTRANGE(""https://docs.google.com/spreadsheets/d/1nf1mZOdFw_I9WqkBXQwXHTbrrZ3qxgTnaC1u33tib50/edit#gid=610100622"",""2025-26!L4"")"),1015731.0)</f>
        <v>1015731</v>
      </c>
      <c r="V107" s="79">
        <f>IFERROR(__xludf.DUMMYFUNCTION("IMPORTRANGE(""https://docs.google.com/spreadsheets/d/1nf1mZOdFw_I9WqkBXQwXHTbrrZ3qxgTnaC1u33tib50/edit#gid=610100622"",""2025-26!L3"")"),7.0)</f>
        <v>7</v>
      </c>
      <c r="W107" s="55">
        <f>IFERROR(__xludf.DUMMYFUNCTION("IMPORTRANGE(""https://docs.google.com/spreadsheets/d/1nf1mZOdFw_I9WqkBXQwXHTbrrZ3qxgTnaC1u33tib50/edit#gid=610100622"",""2025-26!M4"")"),4109984.0)</f>
        <v>4109984</v>
      </c>
      <c r="X107" s="79">
        <f>IFERROR(__xludf.DUMMYFUNCTION("IMPORTRANGE(""https://docs.google.com/spreadsheets/d/1nf1mZOdFw_I9WqkBXQwXHTbrrZ3qxgTnaC1u33tib50/edit#gid=610100622"",""2025-26!M3"")"),46.0)</f>
        <v>46</v>
      </c>
      <c r="Y107" s="55">
        <f>IFERROR(__xludf.DUMMYFUNCTION("importrange(""https://docs.google.com/spreadsheets/d/1nf1mZOdFw_I9WqkBXQwXHTbrrZ3qxgTnaC1u33tib50/edit#gid=610100622"",""2025-26!n4"")"),1351284.8)</f>
        <v>1351284.8</v>
      </c>
      <c r="Z107" s="55">
        <f>IFERROR(__xludf.DUMMYFUNCTION("importrange(""https://docs.google.com/spreadsheets/d/1nf1mZOdFw_I9WqkBXQwXHTbrrZ3qxgTnaC1u33tib50/edit#gid=610100622"",""2025-26!n3"")"),9.0)</f>
        <v>9</v>
      </c>
      <c r="AA107" s="58">
        <f t="shared" si="19"/>
        <v>0.3287820585</v>
      </c>
      <c r="AB107" s="55">
        <f>IFERROR(__xludf.DUMMYFUNCTION("importrange(""https://docs.google.com/spreadsheets/d/1nf1mZOdFw_I9WqkBXQwXHTbrrZ3qxgTnaC1u33tib50/edit#gid=610100622"",""2025-26!o4"")"),1351289.0)</f>
        <v>1351289</v>
      </c>
      <c r="AC107" s="55">
        <f>IFERROR(__xludf.DUMMYFUNCTION("importrange(""https://docs.google.com/spreadsheets/d/1nf1mZOdFw_I9WqkBXQwXHTbrrZ3qxgTnaC1u33tib50/edit#gid=610100622"",""2025-26!o3"")"),9.0)</f>
        <v>9</v>
      </c>
      <c r="AD107" s="55">
        <f>IFERROR(__xludf.DUMMYFUNCTION("importrange(""https://docs.google.com/spreadsheets/d/1nf1mZOdFw_I9WqkBXQwXHTbrrZ3qxgTnaC1u33tib50/edit#gid=610100622"",""2025-26!p4"")"),4109984.0)</f>
        <v>4109984</v>
      </c>
      <c r="AE107" s="55">
        <f>IFERROR(__xludf.DUMMYFUNCTION("importrange(""https://docs.google.com/spreadsheets/d/1nf1mZOdFw_I9WqkBXQwXHTbrrZ3qxgTnaC1u33tib50/edit#gid=610100622"",""2025-26!p3"")"),46.0)</f>
        <v>46</v>
      </c>
      <c r="AF107" s="55">
        <f>IFERROR(__xludf.DUMMYFUNCTION("importrange(""https://docs.google.com/spreadsheets/d/1nf1mZOdFw_I9WqkBXQwXHTbrrZ3qxgTnaC1u33tib50/edit#gid=610100622"",""2025-26!q4"")"),1215594.5999999999)</f>
        <v>1215594.6</v>
      </c>
      <c r="AG107" s="55">
        <f>IFERROR(__xludf.DUMMYFUNCTION("importrange(""https://docs.google.com/spreadsheets/d/1nf1mZOdFw_I9WqkBXQwXHTbrrZ3qxgTnaC1u33tib50/edit#gid=610100622"",""2025-26!q3"")"),11.0)</f>
        <v>11</v>
      </c>
      <c r="AH107" s="58">
        <f t="shared" si="20"/>
        <v>0.2906232725</v>
      </c>
      <c r="AI107" s="55">
        <f>IFERROR(__xludf.DUMMYFUNCTION("importrange(""https://docs.google.com/spreadsheets/d/1nf1mZOdFw_I9WqkBXQwXHTbrrZ3qxgTnaC1u33tib50/edit#gid=610100622"",""2025-26!r4"")"),1194457.0)</f>
        <v>1194457</v>
      </c>
      <c r="AJ107" s="55">
        <f>IFERROR(__xludf.DUMMYFUNCTION("importrange(""https://docs.google.com/spreadsheets/d/1nf1mZOdFw_I9WqkBXQwXHTbrrZ3qxgTnaC1u33tib50/edit#gid=610100622"",""2025-26!r3"")"),11.0)</f>
        <v>11</v>
      </c>
      <c r="AK107" s="55">
        <f>IFERROR(__xludf.DUMMYFUNCTION("importrange(""https://docs.google.com/spreadsheets/d/1nf1mZOdFw_I9WqkBXQwXHTbrrZ3qxgTnaC1u33tib50/edit#gid=610100622"",""2025-26!s4"")"),4109984.0)</f>
        <v>4109984</v>
      </c>
      <c r="AL107" s="55">
        <f>IFERROR(__xludf.DUMMYFUNCTION("importrange(""https://docs.google.com/spreadsheets/d/1nf1mZOdFw_I9WqkBXQwXHTbrrZ3qxgTnaC1u33tib50/edit#gid=610100622"",""2025-26!s3"")"),46.0)</f>
        <v>46</v>
      </c>
      <c r="AM107" s="57">
        <f>IFERROR(__xludf.DUMMYFUNCTION("importrange(""https://docs.google.com/spreadsheets/d/1nf1mZOdFw_I9WqkBXQwXHTbrrZ3qxgTnaC1u33tib50/edit#gid=610100622"",""2025-26!t4"")"),1628065.73)</f>
        <v>1628065.73</v>
      </c>
      <c r="AN107" s="55">
        <f>IFERROR(__xludf.DUMMYFUNCTION("importrange(""https://docs.google.com/spreadsheets/d/1nf1mZOdFw_I9WqkBXQwXHTbrrZ3qxgTnaC1u33tib50/edit#gid=610100622"",""2025-26!t3"")"),10.0)</f>
        <v>10</v>
      </c>
      <c r="AO107" s="58">
        <f t="shared" si="21"/>
        <v>0.3568580802</v>
      </c>
      <c r="AP107" s="55">
        <f>IFERROR(__xludf.DUMMYFUNCTION("importrange(""https://docs.google.com/spreadsheets/d/1nf1mZOdFw_I9WqkBXQwXHTbrrZ3qxgTnaC1u33tib50/edit#gid=610100622"",""2025-26!u4"")"),1466681.0)</f>
        <v>1466681</v>
      </c>
      <c r="AQ107" s="55">
        <f>IFERROR(__xludf.DUMMYFUNCTION("importrange(""https://docs.google.com/spreadsheets/d/1nf1mZOdFw_I9WqkBXQwXHTbrrZ3qxgTnaC1u33tib50/edit#gid=610100622"",""2025-26!u3"")"),10.0)</f>
        <v>10</v>
      </c>
      <c r="AR107" s="55">
        <f>IFERROR(__xludf.DUMMYFUNCTION("importrange(""https://docs.google.com/spreadsheets/d/1nf1mZOdFw_I9WqkBXQwXHTbrrZ3qxgTnaC1u33tib50/edit#gid=610100622"",""2025-26!v4"")"),4109984.0)</f>
        <v>4109984</v>
      </c>
      <c r="AS107" s="55">
        <f>IFERROR(__xludf.DUMMYFUNCTION("importrange(""https://docs.google.com/spreadsheets/d/1nf1mZOdFw_I9WqkBXQwXHTbrrZ3qxgTnaC1u33tib50/edit#gid=610100622"",""2025-26!v3"")"),46.0)</f>
        <v>46</v>
      </c>
      <c r="AT107" s="57">
        <f>IFERROR(__xludf.DUMMYFUNCTION("importrange(""https://docs.google.com/spreadsheets/d/1nf1mZOdFw_I9WqkBXQwXHTbrrZ3qxgTnaC1u33tib50/edit#gid=610100622"",""2025-26!w4"")"),1425489.35)</f>
        <v>1425489.35</v>
      </c>
      <c r="AU107" s="55">
        <f>IFERROR(__xludf.DUMMYFUNCTION("importrange(""https://docs.google.com/spreadsheets/d/1nf1mZOdFw_I9WqkBXQwXHTbrrZ3qxgTnaC1u33tib50/edit#gid=610100622"",""2025-26!w3"")"),12.0)</f>
        <v>12</v>
      </c>
      <c r="AV107" s="58">
        <f t="shared" si="22"/>
        <v>0.3088406184</v>
      </c>
      <c r="AW107" s="55">
        <f>IFERROR(__xludf.DUMMYFUNCTION("importrange(""https://docs.google.com/spreadsheets/d/1nf1mZOdFw_I9WqkBXQwXHTbrrZ3qxgTnaC1u33tib50/edit#gid=610100622"",""2025-26!x4"")"),1269330.0)</f>
        <v>1269330</v>
      </c>
      <c r="AX107" s="55">
        <f>IFERROR(__xludf.DUMMYFUNCTION("importrange(""https://docs.google.com/spreadsheets/d/1nf1mZOdFw_I9WqkBXQwXHTbrrZ3qxgTnaC1u33tib50/edit#gid=610100622"",""2025-26!x3"")"),9.0)</f>
        <v>9</v>
      </c>
      <c r="AY107" s="55">
        <f>IFERROR(__xludf.DUMMYFUNCTION("importrange(""https://docs.google.com/spreadsheets/d/1nf1mZOdFw_I9WqkBXQwXHTbrrZ3qxgTnaC1u33tib50/edit#gid=610100622"",""2025-26!y4"")"),4109984.0)</f>
        <v>4109984</v>
      </c>
      <c r="AZ107" s="55">
        <f>IFERROR(__xludf.DUMMYFUNCTION("importrange(""https://docs.google.com/spreadsheets/d/1nf1mZOdFw_I9WqkBXQwXHTbrrZ3qxgTnaC1u33tib50/edit#gid=610100622"",""2025-26!y3"")"),46.0)</f>
        <v>46</v>
      </c>
      <c r="BA107" s="57">
        <f>IFERROR(__xludf.DUMMYFUNCTION("importrange(""https://docs.google.com/spreadsheets/d/1nf1mZOdFw_I9WqkBXQwXHTbrrZ3qxgTnaC1u33tib50/edit#gid=610100622"",""2025-26!z4"")"),1578531.17)</f>
        <v>1578531.17</v>
      </c>
      <c r="BB107" s="55">
        <f>IFERROR(__xludf.DUMMYFUNCTION("importrange(""https://docs.google.com/spreadsheets/d/1nf1mZOdFw_I9WqkBXQwXHTbrrZ3qxgTnaC1u33tib50/edit#gid=610100622"",""2025-26!z3"")"),9.0)</f>
        <v>9</v>
      </c>
      <c r="BC107" s="59">
        <f t="shared" si="23"/>
        <v>0.3264049203</v>
      </c>
      <c r="BD107" s="55">
        <f>IFERROR(__xludf.DUMMYFUNCTION("importrange(""https://docs.google.com/spreadsheets/d/1nf1mZOdFw_I9WqkBXQwXHTbrrZ3qxgTnaC1u33tib50/edit#gid=610100622"",""2025-26!aa4"")"),1341519.0)</f>
        <v>1341519</v>
      </c>
      <c r="BE107" s="55">
        <f>IFERROR(__xludf.DUMMYFUNCTION("importrange(""https://docs.google.com/spreadsheets/d/1nf1mZOdFw_I9WqkBXQwXHTbrrZ3qxgTnaC1u33tib50/edit#gid=610100622"",""2025-26!aa3"")"),8.0)</f>
        <v>8</v>
      </c>
      <c r="BF107" s="55">
        <f>IFERROR(__xludf.DUMMYFUNCTION("importrange(""https://docs.google.com/spreadsheets/d/1nf1mZOdFw_I9WqkBXQwXHTbrrZ3qxgTnaC1u33tib50/edit#gid=610100622"",""2025-26!ab4"")"),4109984.0)</f>
        <v>4109984</v>
      </c>
      <c r="BG107" s="55">
        <f>IFERROR(__xludf.DUMMYFUNCTION("importrange(""https://docs.google.com/spreadsheets/d/1nf1mZOdFw_I9WqkBXQwXHTbrrZ3qxgTnaC1u33tib50/edit#gid=610100622"",""2025-26!ab3"")"),46.0)</f>
        <v>46</v>
      </c>
      <c r="BH107" s="55">
        <f>IFERROR(__xludf.DUMMYFUNCTION("importrange(""https://docs.google.com/spreadsheets/d/1nf1mZOdFw_I9WqkBXQwXHTbrrZ3qxgTnaC1u33tib50/edit#gid=610100622"",""2025-26!ac4"")"),1475424.85)</f>
        <v>1475424.85</v>
      </c>
      <c r="BI107" s="55">
        <f>IFERROR(__xludf.DUMMYFUNCTION("importrange(""https://docs.google.com/spreadsheets/d/1nf1mZOdFw_I9WqkBXQwXHTbrrZ3qxgTnaC1u33tib50/edit#gid=610100622"",""2025-26!ac3"")"),9.0)</f>
        <v>9</v>
      </c>
      <c r="BJ107" s="59">
        <f t="shared" si="24"/>
        <v>0.3413750516</v>
      </c>
      <c r="BK107" s="55">
        <f>IFERROR(__xludf.DUMMYFUNCTION("importrange(""https://docs.google.com/spreadsheets/d/1nf1mZOdFw_I9WqkBXQwXHTbrrZ3qxgTnaC1u33tib50/edit#gid=610100622"",""2025-26!ad4"")"),1403046.0)</f>
        <v>1403046</v>
      </c>
      <c r="BL107" s="55">
        <f>IFERROR(__xludf.DUMMYFUNCTION("importrange(""https://docs.google.com/spreadsheets/d/1nf1mZOdFw_I9WqkBXQwXHTbrrZ3qxgTnaC1u33tib50/edit#gid=610100622"",""2025-26!ad3"")"),8.0)</f>
        <v>8</v>
      </c>
      <c r="BM107" s="55">
        <f>IFERROR(__xludf.DUMMYFUNCTION("importrange(""https://docs.google.com/spreadsheets/d/1nf1mZOdFw_I9WqkBXQwXHTbrrZ3qxgTnaC1u33tib50/edit#gid=610100622"",""2025-26!ae4"")"),4109984.0)</f>
        <v>4109984</v>
      </c>
      <c r="BN107" s="55">
        <f>IFERROR(__xludf.DUMMYFUNCTION("importrange(""https://docs.google.com/spreadsheets/d/1nf1mZOdFw_I9WqkBXQwXHTbrrZ3qxgTnaC1u33tib50/edit#gid=610100622"",""2025-26!ae3"")"),46.0)</f>
        <v>46</v>
      </c>
      <c r="BO107" s="55">
        <f>IFERROR(__xludf.DUMMYFUNCTION("importrange(""https://docs.google.com/spreadsheets/d/1nf1mZOdFw_I9WqkBXQwXHTbrrZ3qxgTnaC1u33tib50/edit#gid=610100622"",""2025-26!af4"")"),1457426.59)</f>
        <v>1457426.59</v>
      </c>
      <c r="BP107" s="55">
        <f>IFERROR(__xludf.DUMMYFUNCTION("importrange(""https://docs.google.com/spreadsheets/d/1nf1mZOdFw_I9WqkBXQwXHTbrrZ3qxgTnaC1u33tib50/edit#gid=610100622"",""2025-26!af3"")"),7.0)</f>
        <v>7</v>
      </c>
      <c r="BQ107" s="59">
        <f t="shared" si="25"/>
        <v>0.2404831746</v>
      </c>
      <c r="BR107" s="55">
        <f>IFERROR(__xludf.DUMMYFUNCTION("importrange(""https://docs.google.com/spreadsheets/d/1nf1mZOdFw_I9WqkBXQwXHTbrrZ3qxgTnaC1u33tib50/edit#gid=610100622"",""2025-26!ag4"")"),988382.0)</f>
        <v>988382</v>
      </c>
      <c r="BS107" s="55">
        <f>IFERROR(__xludf.DUMMYFUNCTION("importrange(""https://docs.google.com/spreadsheets/d/1nf1mZOdFw_I9WqkBXQwXHTbrrZ3qxgTnaC1u33tib50/edit#gid=610100622"",""2025-26!ag3"")"),7.0)</f>
        <v>7</v>
      </c>
      <c r="BT107" s="55">
        <f>IFERROR(__xludf.DUMMYFUNCTION("importrange(""https://docs.google.com/spreadsheets/d/1nf1mZOdFw_I9WqkBXQwXHTbrrZ3qxgTnaC1u33tib50/edit#gid=610100622"",""2025-26!ah4"")"),4109984.0)</f>
        <v>4109984</v>
      </c>
      <c r="BU107" s="55">
        <f>IFERROR(__xludf.DUMMYFUNCTION("importrange(""https://docs.google.com/spreadsheets/d/1nf1mZOdFw_I9WqkBXQwXHTbrrZ3qxgTnaC1u33tib50/edit#gid=610100622"",""2025-26!ah3"")"),46.0)</f>
        <v>46</v>
      </c>
      <c r="BV107" s="55">
        <f>IFERROR(__xludf.DUMMYFUNCTION("importrange(""https://docs.google.com/spreadsheets/d/1nf1mZOdFw_I9WqkBXQwXHTbrrZ3qxgTnaC1u33tib50/edit#gid=610100622"",""2025-26!ai4"")"),1056069.1)</f>
        <v>1056069.1</v>
      </c>
      <c r="BW107" s="55">
        <f>IFERROR(__xludf.DUMMYFUNCTION("importrange(""https://docs.google.com/spreadsheets/d/1nf1mZOdFw_I9WqkBXQwXHTbrrZ3qxgTnaC1u33tib50/edit#gid=610100622"",""2025-26!ai3"")"),10.0)</f>
        <v>10</v>
      </c>
      <c r="BX107" s="59">
        <f t="shared" si="26"/>
        <v>0.2633423877</v>
      </c>
      <c r="BY107" s="55">
        <f>IFERROR(__xludf.DUMMYFUNCTION("importrange(""https://docs.google.com/spreadsheets/d/1nf1mZOdFw_I9WqkBXQwXHTbrrZ3qxgTnaC1u33tib50/edit#gid=610100622"",""2025-26!aj4"")"),1082333.0)</f>
        <v>1082333</v>
      </c>
      <c r="BZ107" s="55">
        <f>IFERROR(__xludf.DUMMYFUNCTION("importrange(""https://docs.google.com/spreadsheets/d/1nf1mZOdFw_I9WqkBXQwXHTbrrZ3qxgTnaC1u33tib50/edit#gid=610100622"",""2025-26!aj3"")"),9.0)</f>
        <v>9</v>
      </c>
      <c r="CA107" s="55">
        <f>IFERROR(__xludf.DUMMYFUNCTION("importrange(""https://docs.google.com/spreadsheets/d/1nf1mZOdFw_I9WqkBXQwXHTbrrZ3qxgTnaC1u33tib50/edit#gid=610100622"",""2025-26!ak4"")"),4109984.0)</f>
        <v>4109984</v>
      </c>
      <c r="CB107" s="55">
        <f>IFERROR(__xludf.DUMMYFUNCTION("importrange(""https://docs.google.com/spreadsheets/d/1nf1mZOdFw_I9WqkBXQwXHTbrrZ3qxgTnaC1u33tib50/edit#gid=610100622"",""2025-26!ak3"")"),46.0)</f>
        <v>46</v>
      </c>
      <c r="CC107" s="55">
        <f>IFERROR(__xludf.DUMMYFUNCTION("importrange(""https://docs.google.com/spreadsheets/d/1nf1mZOdFw_I9WqkBXQwXHTbrrZ3qxgTnaC1u33tib50/edit#gid=610100622"",""2025-26!al4"")"),1434038.3800000001)</f>
        <v>1434038.38</v>
      </c>
      <c r="CD107" s="55">
        <f>IFERROR(__xludf.DUMMYFUNCTION("importrange(""https://docs.google.com/spreadsheets/d/1nf1mZOdFw_I9WqkBXQwXHTbrrZ3qxgTnaC1u33tib50/edit#gid=610100622"",""2025-26!ai3"")"),10.0)</f>
        <v>10</v>
      </c>
      <c r="CE107" s="59">
        <f t="shared" si="27"/>
        <v>0.3693119</v>
      </c>
      <c r="CF107" s="55">
        <f>IFERROR(__xludf.DUMMYFUNCTION("importrange(""https://docs.google.com/spreadsheets/d/1nf1mZOdFw_I9WqkBXQwXHTbrrZ3qxgTnaC1u33tib50/edit#gid=610100622"",""2025-26!am4"")"),1517866.0)</f>
        <v>1517866</v>
      </c>
      <c r="CG107" s="55">
        <f>IFERROR(__xludf.DUMMYFUNCTION("importrange(""https://docs.google.com/spreadsheets/d/1nf1mZOdFw_I9WqkBXQwXHTbrrZ3qxgTnaC1u33tib50/edit#gid=610100622"",""2025-26!am3"")"),8.0)</f>
        <v>8</v>
      </c>
      <c r="CH107" s="55">
        <f>IFERROR(__xludf.DUMMYFUNCTION("importrange(""https://docs.google.com/spreadsheets/d/1nf1mZOdFw_I9WqkBXQwXHTbrrZ3qxgTnaC1u33tib50/edit#gid=610100622"",""2025-26!an4"")"),4109984.0)</f>
        <v>4109984</v>
      </c>
      <c r="CI107" s="55">
        <f>IFERROR(__xludf.DUMMYFUNCTION("importrange(""https://docs.google.com/spreadsheets/d/1nf1mZOdFw_I9WqkBXQwXHTbrrZ3qxgTnaC1u33tib50/edit#gid=610100622"",""2025-26!an3"")"),46.0)</f>
        <v>46</v>
      </c>
      <c r="CJ107" s="55">
        <f>IFERROR(__xludf.DUMMYFUNCTION("importrange(""https://docs.google.com/spreadsheets/d/1nf1mZOdFw_I9WqkBXQwXHTbrrZ3qxgTnaC1u33tib50/edit#gid=610100622"",""2025-26!ao4"")"),2051491.7699999998)</f>
        <v>2051491.77</v>
      </c>
      <c r="CK107" s="55">
        <f>IFERROR(__xludf.DUMMYFUNCTION("importrange(""https://docs.google.com/spreadsheets/d/1nf1mZOdFw_I9WqkBXQwXHTbrrZ3qxgTnaC1u33tib50/edit#gid=610100622"",""2025-26!ao3"")"),6.0)</f>
        <v>6</v>
      </c>
      <c r="CL107" s="59">
        <f t="shared" si="28"/>
        <v>0.2976293825</v>
      </c>
      <c r="CM107" s="55">
        <f>IFERROR(__xludf.DUMMYFUNCTION("importrange(""https://docs.google.com/spreadsheets/d/1nf1mZOdFw_I9WqkBXQwXHTbrrZ3qxgTnaC1u33tib50/edit#gid=610100622"",""2025-26!ap4"")"),1223252.0)</f>
        <v>1223252</v>
      </c>
      <c r="CN107" s="55">
        <f>IFERROR(__xludf.DUMMYFUNCTION("importrange(""https://docs.google.com/spreadsheets/d/1nf1mZOdFw_I9WqkBXQwXHTbrrZ3qxgTnaC1u33tib50/edit#gid=610100622"",""2025-26!ap3"")"),4.0)</f>
        <v>4</v>
      </c>
      <c r="CO107" s="55">
        <f>IFERROR(__xludf.DUMMYFUNCTION("importrange(""https://docs.google.com/spreadsheets/d/1nf1mZOdFw_I9WqkBXQwXHTbrrZ3qxgTnaC1u33tib50/edit#gid=610100622"",""2025-26!aq4"")"),4068318.0)</f>
        <v>4068318</v>
      </c>
      <c r="CP107" s="55">
        <f>IFERROR(__xludf.DUMMYFUNCTION("importrange(""https://docs.google.com/spreadsheets/d/1nf1mZOdFw_I9WqkBXQwXHTbrrZ3qxgTnaC1u33tib50/edit#gid=610100622"",""2025-26!aq3"")"),45.0)</f>
        <v>45</v>
      </c>
      <c r="CQ107" s="55">
        <f>IFERROR(__xludf.DUMMYFUNCTION("importrange(""https://docs.google.com/spreadsheets/d/1nf1mZOdFw_I9WqkBXQwXHTbrrZ3qxgTnaC1u33tib50/edit#gid=610100622"",""2025-26!ar4"")"),2024032.51)</f>
        <v>2024032.51</v>
      </c>
      <c r="CR107" s="55">
        <f>IFERROR(__xludf.DUMMYFUNCTION("importrange(""https://docs.google.com/spreadsheets/d/1nf1mZOdFw_I9WqkBXQwXHTbrrZ3qxgTnaC1u33tib50/edit#gid=610100622"",""2025-26!ar3"")"),8.0)</f>
        <v>8</v>
      </c>
      <c r="CS107" s="59">
        <f t="shared" si="29"/>
        <v>0.4311015019</v>
      </c>
      <c r="CT107" s="55">
        <f>IFERROR(__xludf.DUMMYFUNCTION("importrange(""https://docs.google.com/spreadsheets/d/1nf1mZOdFw_I9WqkBXQwXHTbrrZ3qxgTnaC1u33tib50/edit#gid=610100622"",""2025-26!as4"")"),1753858.0)</f>
        <v>1753858</v>
      </c>
      <c r="CU107" s="55">
        <f>IFERROR(__xludf.DUMMYFUNCTION("importrange(""https://docs.google.com/spreadsheets/d/1nf1mZOdFw_I9WqkBXQwXHTbrrZ3qxgTnaC1u33tib50/edit#gid=610100622"",""2025-26!as3"")"),7.0)</f>
        <v>7</v>
      </c>
      <c r="CV107" s="60" t="s">
        <v>189</v>
      </c>
    </row>
    <row r="108">
      <c r="A108" s="1" t="s">
        <v>185</v>
      </c>
      <c r="B108" s="37"/>
      <c r="C108" s="64" t="s">
        <v>240</v>
      </c>
      <c r="D108" s="50" t="s">
        <v>241</v>
      </c>
      <c r="E108" s="50">
        <v>7.908973732E9</v>
      </c>
      <c r="F108" s="74">
        <v>45069.0</v>
      </c>
      <c r="G108" s="62"/>
      <c r="H108" s="62"/>
      <c r="I108" s="53">
        <v>22917.0</v>
      </c>
      <c r="J108" s="54">
        <v>1500000.0</v>
      </c>
      <c r="K108" s="57">
        <f>IFERROR(__xludf.DUMMYFUNCTION("IMPORTRANGE(""https://docs.google.com/spreadsheets/d/1BjyFlLZTYgD3mFAjCX0s67AY3qvKXaoe2hT6732MbyM/edit#gid=1725102871"",""2025-26!A3"")"),130.0)</f>
        <v>130</v>
      </c>
      <c r="L108" s="57">
        <f>IFERROR(__xludf.DUMMYFUNCTION("IMPORTRANGE(""https://docs.google.com/spreadsheets/d/1BjyFlLZTYgD3mFAjCX0s67AY3qvKXaoe2hT6732MbyM/edit#gid=1725102871"",""2025-26!G4"")"),2.167E7)</f>
        <v>21670000</v>
      </c>
      <c r="M108" s="57">
        <f t="shared" si="50"/>
        <v>16285524.72</v>
      </c>
      <c r="N108" s="56">
        <f t="shared" si="51"/>
        <v>0.7541153207</v>
      </c>
      <c r="O108" s="57">
        <f t="shared" si="52"/>
        <v>16341679</v>
      </c>
      <c r="P108" s="55">
        <f>IFERROR(__xludf.DUMMYFUNCTION("IMPORTRANGE(""https://docs.google.com/spreadsheets/d/1BjyFlLZTYgD3mFAjCX0s67AY3qvKXaoe2hT6732MbyM/edit#gid=1725102871"",""2025-26!J4"")"),1446000.0)</f>
        <v>1446000</v>
      </c>
      <c r="Q108" s="55">
        <f>IFERROR(__xludf.DUMMYFUNCTION("IMPORTRANGE(""https://docs.google.com/spreadsheets/d/1BjyFlLZTYgD3mFAjCX0s67AY3qvKXaoe2hT6732MbyM/edit#gid=1725102871"",""2025-26!J3"")"),114.0)</f>
        <v>114</v>
      </c>
      <c r="R108" s="55">
        <f>IFERROR(__xludf.DUMMYFUNCTION("IMPORTRANGE(""https://docs.google.com/spreadsheets/d/1BjyFlLZTYgD3mFAjCX0s67AY3qvKXaoe2hT6732MbyM/edit#gid=1725102871"",""2025-26!K4"")"),1096345.75)</f>
        <v>1096345.75</v>
      </c>
      <c r="S108" s="55">
        <f>IFERROR(__xludf.DUMMYFUNCTION("IMPORTRANGE(""https://docs.google.com/spreadsheets/d/1BjyFlLZTYgD3mFAjCX0s67AY3qvKXaoe2hT6732MbyM/edit#gid=1725102871"",""2025-26!K3"")"),43.0)</f>
        <v>43</v>
      </c>
      <c r="T108" s="58">
        <f t="shared" si="18"/>
        <v>0.6562973721</v>
      </c>
      <c r="U108" s="55">
        <f>IFERROR(__xludf.DUMMYFUNCTION("IMPORTRANGE(""https://docs.google.com/spreadsheets/d/1BjyFlLZTYgD3mFAjCX0s67AY3qvKXaoe2hT6732MbyM/edit#gid=1725102871"",""2025-26!L4"")"),949006.0)</f>
        <v>949006</v>
      </c>
      <c r="V108" s="79">
        <f>IFERROR(__xludf.DUMMYFUNCTION("IMPORTRANGE(""https://docs.google.com/spreadsheets/d/1BjyFlLZTYgD3mFAjCX0s67AY3qvKXaoe2hT6732MbyM/edit#gid=1725102871"",""2025-26!L3"")"),49.0)</f>
        <v>49</v>
      </c>
      <c r="W108" s="55">
        <f>IFERROR(__xludf.DUMMYFUNCTION("IMPORTRANGE(""https://docs.google.com/spreadsheets/d/1BjyFlLZTYgD3mFAjCX0s67AY3qvKXaoe2hT6732MbyM/edit#gid=1725102871"",""2025-26!M4"")"),1387000.0)</f>
        <v>1387000</v>
      </c>
      <c r="X108" s="79">
        <f>IFERROR(__xludf.DUMMYFUNCTION("IMPORTRANGE(""https://docs.google.com/spreadsheets/d/1BjyFlLZTYgD3mFAjCX0s67AY3qvKXaoe2hT6732MbyM/edit#gid=1725102871"",""2025-26!M3"")"),114.0)</f>
        <v>114</v>
      </c>
      <c r="Y108" s="55">
        <f>IFERROR(__xludf.DUMMYFUNCTION("importrange(""https://docs.google.com/spreadsheets/d/1BjyFlLZTYgD3mFAjCX0s67AY3qvKXaoe2hT6732MbyM/edit#gid=1725102871"",""2025-26!n4"")"),1486579.6000000003)</f>
        <v>1486579.6</v>
      </c>
      <c r="Z108" s="55">
        <f>IFERROR(__xludf.DUMMYFUNCTION("importrange(""https://docs.google.com/spreadsheets/d/1BjyFlLZTYgD3mFAjCX0s67AY3qvKXaoe2hT6732MbyM/edit#gid=1725102871"",""2025-26!n3"")"),43.0)</f>
        <v>43</v>
      </c>
      <c r="AA108" s="58">
        <f t="shared" si="19"/>
        <v>1.134767844</v>
      </c>
      <c r="AB108" s="55">
        <f>IFERROR(__xludf.DUMMYFUNCTION("importrange(""https://docs.google.com/spreadsheets/d/1BjyFlLZTYgD3mFAjCX0s67AY3qvKXaoe2hT6732MbyM/edit#gid=1725102871"",""2025-26!o4"")"),1573923.0)</f>
        <v>1573923</v>
      </c>
      <c r="AC108" s="55">
        <f>IFERROR(__xludf.DUMMYFUNCTION("importrange(""https://docs.google.com/spreadsheets/d/1BjyFlLZTYgD3mFAjCX0s67AY3qvKXaoe2hT6732MbyM/edit#gid=1725102871"",""2025-26!o3"")"),61.0)</f>
        <v>61</v>
      </c>
      <c r="AD108" s="55">
        <f>IFERROR(__xludf.DUMMYFUNCTION("importrange(""https://docs.google.com/spreadsheets/d/1BjyFlLZTYgD3mFAjCX0s67AY3qvKXaoe2hT6732MbyM/edit#gid=1725102871"",""2025-26!p4"")"),2584500.0)</f>
        <v>2584500</v>
      </c>
      <c r="AE108" s="55">
        <f>IFERROR(__xludf.DUMMYFUNCTION("importrange(""https://docs.google.com/spreadsheets/d/1BjyFlLZTYgD3mFAjCX0s67AY3qvKXaoe2hT6732MbyM/edit#gid=1725102871"",""2025-26!p3"")"),114.0)</f>
        <v>114</v>
      </c>
      <c r="AF108" s="55">
        <f>IFERROR(__xludf.DUMMYFUNCTION("importrange(""https://docs.google.com/spreadsheets/d/1BjyFlLZTYgD3mFAjCX0s67AY3qvKXaoe2hT6732MbyM/edit#gid=1725102871"",""2025-26!q4"")"),1756660.9407812501)</f>
        <v>1756660.941</v>
      </c>
      <c r="AG108" s="55">
        <f>IFERROR(__xludf.DUMMYFUNCTION("importrange(""https://docs.google.com/spreadsheets/d/1BjyFlLZTYgD3mFAjCX0s67AY3qvKXaoe2hT6732MbyM/edit#gid=1725102871"",""2025-26!q3"")"),40.0)</f>
        <v>40</v>
      </c>
      <c r="AH108" s="58">
        <f t="shared" si="20"/>
        <v>0.7274126524</v>
      </c>
      <c r="AI108" s="55">
        <f>IFERROR(__xludf.DUMMYFUNCTION("importrange(""https://docs.google.com/spreadsheets/d/1BjyFlLZTYgD3mFAjCX0s67AY3qvKXaoe2hT6732MbyM/edit#gid=1725102871"",""2025-26!r4"")"),1879998.0)</f>
        <v>1879998</v>
      </c>
      <c r="AJ108" s="55">
        <f>IFERROR(__xludf.DUMMYFUNCTION("importrange(""https://docs.google.com/spreadsheets/d/1BjyFlLZTYgD3mFAjCX0s67AY3qvKXaoe2hT6732MbyM/edit#gid=1725102871"",""2025-26!r3"")"),52.0)</f>
        <v>52</v>
      </c>
      <c r="AK108" s="55">
        <f>IFERROR(__xludf.DUMMYFUNCTION("importrange(""https://docs.google.com/spreadsheets/d/1BjyFlLZTYgD3mFAjCX0s67AY3qvKXaoe2hT6732MbyM/edit#gid=1725102871"",""2025-26!s4"")"),2017500.0)</f>
        <v>2017500</v>
      </c>
      <c r="AL108" s="55">
        <f>IFERROR(__xludf.DUMMYFUNCTION("importrange(""https://docs.google.com/spreadsheets/d/1BjyFlLZTYgD3mFAjCX0s67AY3qvKXaoe2hT6732MbyM/edit#gid=1725102871"",""2025-26!s3"")"),114.0)</f>
        <v>114</v>
      </c>
      <c r="AM108" s="57">
        <f>IFERROR(__xludf.DUMMYFUNCTION("importrange(""https://docs.google.com/spreadsheets/d/1BjyFlLZTYgD3mFAjCX0s67AY3qvKXaoe2hT6732MbyM/edit#gid=1725102871"",""2025-26!t4"")"),1202853.43)</f>
        <v>1202853.43</v>
      </c>
      <c r="AN108" s="55">
        <f>IFERROR(__xludf.DUMMYFUNCTION("importrange(""https://docs.google.com/spreadsheets/d/1BjyFlLZTYgD3mFAjCX0s67AY3qvKXaoe2hT6732MbyM/edit#gid=1725102871"",""2025-26!t3"")"),42.0)</f>
        <v>42</v>
      </c>
      <c r="AO108" s="58">
        <f t="shared" si="21"/>
        <v>0.6647360595</v>
      </c>
      <c r="AP108" s="55">
        <f>IFERROR(__xludf.DUMMYFUNCTION("importrange(""https://docs.google.com/spreadsheets/d/1BjyFlLZTYgD3mFAjCX0s67AY3qvKXaoe2hT6732MbyM/edit#gid=1725102871"",""2025-26!u4"")"),1341105.0)</f>
        <v>1341105</v>
      </c>
      <c r="AQ108" s="55">
        <f>IFERROR(__xludf.DUMMYFUNCTION("importrange(""https://docs.google.com/spreadsheets/d/1BjyFlLZTYgD3mFAjCX0s67AY3qvKXaoe2hT6732MbyM/edit#gid=1725102871"",""2025-26!u3"")"),60.0)</f>
        <v>60</v>
      </c>
      <c r="AR108" s="55">
        <f>IFERROR(__xludf.DUMMYFUNCTION("importrange(""https://docs.google.com/spreadsheets/d/1BjyFlLZTYgD3mFAjCX0s67AY3qvKXaoe2hT6732MbyM/edit#gid=1725102871"",""2025-26!v4"")"),1729000.0)</f>
        <v>1729000</v>
      </c>
      <c r="AS108" s="55">
        <f>IFERROR(__xludf.DUMMYFUNCTION("importrange(""https://docs.google.com/spreadsheets/d/1BjyFlLZTYgD3mFAjCX0s67AY3qvKXaoe2hT6732MbyM/edit#gid=1725102871"",""2025-26!v3"")"),114.0)</f>
        <v>114</v>
      </c>
      <c r="AT108" s="57">
        <f>IFERROR(__xludf.DUMMYFUNCTION("importrange(""https://docs.google.com/spreadsheets/d/1BjyFlLZTYgD3mFAjCX0s67AY3qvKXaoe2hT6732MbyM/edit#gid=1725102871"",""2025-26!w4"")"),1305793.4700000004)</f>
        <v>1305793.47</v>
      </c>
      <c r="AU108" s="55">
        <f>IFERROR(__xludf.DUMMYFUNCTION("importrange(""https://docs.google.com/spreadsheets/d/1BjyFlLZTYgD3mFAjCX0s67AY3qvKXaoe2hT6732MbyM/edit#gid=1725102871"",""2025-26!w3"")"),39.0)</f>
        <v>39</v>
      </c>
      <c r="AV108" s="58">
        <f t="shared" si="22"/>
        <v>0.8438958936</v>
      </c>
      <c r="AW108" s="55">
        <f>IFERROR(__xludf.DUMMYFUNCTION("importrange(""https://docs.google.com/spreadsheets/d/1BjyFlLZTYgD3mFAjCX0s67AY3qvKXaoe2hT6732MbyM/edit#gid=1725102871"",""2025-26!x4"")"),1459096.0)</f>
        <v>1459096</v>
      </c>
      <c r="AX108" s="55">
        <f>IFERROR(__xludf.DUMMYFUNCTION("importrange(""https://docs.google.com/spreadsheets/d/1BjyFlLZTYgD3mFAjCX0s67AY3qvKXaoe2hT6732MbyM/edit#gid=1725102871"",""2025-26!x3"")"),59.0)</f>
        <v>59</v>
      </c>
      <c r="AY108" s="55">
        <f>IFERROR(__xludf.DUMMYFUNCTION("importrange(""https://docs.google.com/spreadsheets/d/1BjyFlLZTYgD3mFAjCX0s67AY3qvKXaoe2hT6732MbyM/edit#gid=1725102871"",""2025-26!y4"")"),1671000.0)</f>
        <v>1671000</v>
      </c>
      <c r="AZ108" s="55">
        <f>IFERROR(__xludf.DUMMYFUNCTION("importrange(""https://docs.google.com/spreadsheets/d/1BjyFlLZTYgD3mFAjCX0s67AY3qvKXaoe2hT6732MbyM/edit#gid=1725102871"",""2025-26!y3"")"),114.0)</f>
        <v>114</v>
      </c>
      <c r="BA108" s="57">
        <f>IFERROR(__xludf.DUMMYFUNCTION("importrange(""https://docs.google.com/spreadsheets/d/1BjyFlLZTYgD3mFAjCX0s67AY3qvKXaoe2hT6732MbyM/edit#gid=1725102871"",""2025-26!z4"")"),1029358.8999999998)</f>
        <v>1029358.9</v>
      </c>
      <c r="BB108" s="55">
        <f>IFERROR(__xludf.DUMMYFUNCTION("importrange(""https://docs.google.com/spreadsheets/d/1BjyFlLZTYgD3mFAjCX0s67AY3qvKXaoe2hT6732MbyM/edit#gid=1725102871"",""2025-26!z3"")"),37.0)</f>
        <v>37</v>
      </c>
      <c r="BC108" s="59">
        <f t="shared" si="23"/>
        <v>0.6164937163</v>
      </c>
      <c r="BD108" s="55">
        <f>IFERROR(__xludf.DUMMYFUNCTION("importrange(""https://docs.google.com/spreadsheets/d/1BjyFlLZTYgD3mFAjCX0s67AY3qvKXaoe2hT6732MbyM/edit#gid=1725102871"",""2025-26!aa4"")"),1030161.0)</f>
        <v>1030161</v>
      </c>
      <c r="BE108" s="55">
        <f>IFERROR(__xludf.DUMMYFUNCTION("importrange(""https://docs.google.com/spreadsheets/d/1BjyFlLZTYgD3mFAjCX0s67AY3qvKXaoe2hT6732MbyM/edit#gid=1725102871"",""2025-26!aa3"")"),53.0)</f>
        <v>53</v>
      </c>
      <c r="BF108" s="55">
        <f>IFERROR(__xludf.DUMMYFUNCTION("importrange(""https://docs.google.com/spreadsheets/d/1BjyFlLZTYgD3mFAjCX0s67AY3qvKXaoe2hT6732MbyM/edit#gid=1725102871"",""2025-26!ab4"")"),1684500.0)</f>
        <v>1684500</v>
      </c>
      <c r="BG108" s="55">
        <f>IFERROR(__xludf.DUMMYFUNCTION("importrange(""https://docs.google.com/spreadsheets/d/1BjyFlLZTYgD3mFAjCX0s67AY3qvKXaoe2hT6732MbyM/edit#gid=1725102871"",""2025-26!ab3"")"),114.0)</f>
        <v>114</v>
      </c>
      <c r="BH108" s="55">
        <f>IFERROR(__xludf.DUMMYFUNCTION("importrange(""https://docs.google.com/spreadsheets/d/1BjyFlLZTYgD3mFAjCX0s67AY3qvKXaoe2hT6732MbyM/edit#gid=1725102871"",""2025-26!ac4"")"),1373357.5)</f>
        <v>1373357.5</v>
      </c>
      <c r="BI108" s="55">
        <f>IFERROR(__xludf.DUMMYFUNCTION("importrange(""https://docs.google.com/spreadsheets/d/1BjyFlLZTYgD3mFAjCX0s67AY3qvKXaoe2hT6732MbyM/edit#gid=1725102871"",""2025-26!ac3"")"),42.0)</f>
        <v>42</v>
      </c>
      <c r="BJ108" s="59">
        <f t="shared" si="24"/>
        <v>0.8138319976</v>
      </c>
      <c r="BK108" s="55">
        <f>IFERROR(__xludf.DUMMYFUNCTION("importrange(""https://docs.google.com/spreadsheets/d/1BjyFlLZTYgD3mFAjCX0s67AY3qvKXaoe2hT6732MbyM/edit#gid=1725102871"",""2025-26!ad4"")"),1370900.0)</f>
        <v>1370900</v>
      </c>
      <c r="BL108" s="55">
        <f>IFERROR(__xludf.DUMMYFUNCTION("importrange(""https://docs.google.com/spreadsheets/d/1BjyFlLZTYgD3mFAjCX0s67AY3qvKXaoe2hT6732MbyM/edit#gid=1725102871"",""2025-26!ad3"")"),54.0)</f>
        <v>54</v>
      </c>
      <c r="BM108" s="55">
        <f>IFERROR(__xludf.DUMMYFUNCTION("importrange(""https://docs.google.com/spreadsheets/d/1BjyFlLZTYgD3mFAjCX0s67AY3qvKXaoe2hT6732MbyM/edit#gid=1725102871"",""2025-26!ae4"")"),1695500.0)</f>
        <v>1695500</v>
      </c>
      <c r="BN108" s="55">
        <f>IFERROR(__xludf.DUMMYFUNCTION("importrange(""https://docs.google.com/spreadsheets/d/1BjyFlLZTYgD3mFAjCX0s67AY3qvKXaoe2hT6732MbyM/edit#gid=1725102871"",""2025-26!ae3"")"),114.0)</f>
        <v>114</v>
      </c>
      <c r="BO108" s="55">
        <f>IFERROR(__xludf.DUMMYFUNCTION("importrange(""https://docs.google.com/spreadsheets/d/1BjyFlLZTYgD3mFAjCX0s67AY3qvKXaoe2hT6732MbyM/edit#gid=1725102871"",""2025-26!af4"")"),1503109.8999999992)</f>
        <v>1503109.9</v>
      </c>
      <c r="BP108" s="55">
        <f>IFERROR(__xludf.DUMMYFUNCTION("importrange(""https://docs.google.com/spreadsheets/d/1BjyFlLZTYgD3mFAjCX0s67AY3qvKXaoe2hT6732MbyM/edit#gid=1725102871"",""2025-26!af3"")"),46.0)</f>
        <v>46</v>
      </c>
      <c r="BQ108" s="59">
        <f t="shared" si="25"/>
        <v>0.8221020348</v>
      </c>
      <c r="BR108" s="55">
        <f>IFERROR(__xludf.DUMMYFUNCTION("importrange(""https://docs.google.com/spreadsheets/d/1BjyFlLZTYgD3mFAjCX0s67AY3qvKXaoe2hT6732MbyM/edit#gid=1725102871"",""2025-26!ag4"")"),1393874.0)</f>
        <v>1393874</v>
      </c>
      <c r="BS108" s="55">
        <f>IFERROR(__xludf.DUMMYFUNCTION("importrange(""https://docs.google.com/spreadsheets/d/1BjyFlLZTYgD3mFAjCX0s67AY3qvKXaoe2hT6732MbyM/edit#gid=1725102871"",""2025-26!ag3"")"),58.0)</f>
        <v>58</v>
      </c>
      <c r="BT108" s="55">
        <f>IFERROR(__xludf.DUMMYFUNCTION("importrange(""https://docs.google.com/spreadsheets/d/1BjyFlLZTYgD3mFAjCX0s67AY3qvKXaoe2hT6732MbyM/edit#gid=1725102871"",""2025-26!ah4"")"),2037500.0)</f>
        <v>2037500</v>
      </c>
      <c r="BU108" s="55">
        <f>IFERROR(__xludf.DUMMYFUNCTION("importrange(""https://docs.google.com/spreadsheets/d/1BjyFlLZTYgD3mFAjCX0s67AY3qvKXaoe2hT6732MbyM/edit#gid=1725102871"",""2025-26!ah3"")"),114.0)</f>
        <v>114</v>
      </c>
      <c r="BV108" s="55">
        <f>IFERROR(__xludf.DUMMYFUNCTION("importrange(""https://docs.google.com/spreadsheets/d/1BjyFlLZTYgD3mFAjCX0s67AY3qvKXaoe2hT6732MbyM/edit#gid=1725102871"",""2025-26!ai4"")"),1307094.6199999999)</f>
        <v>1307094.62</v>
      </c>
      <c r="BW108" s="55">
        <f>IFERROR(__xludf.DUMMYFUNCTION("importrange(""https://docs.google.com/spreadsheets/d/1BjyFlLZTYgD3mFAjCX0s67AY3qvKXaoe2hT6732MbyM/edit#gid=1725102871"",""2025-26!ai3"")"),47.0)</f>
        <v>47</v>
      </c>
      <c r="BX108" s="59">
        <f t="shared" si="26"/>
        <v>0.6325899387</v>
      </c>
      <c r="BY108" s="55">
        <f>IFERROR(__xludf.DUMMYFUNCTION("importrange(""https://docs.google.com/spreadsheets/d/1BjyFlLZTYgD3mFAjCX0s67AY3qvKXaoe2hT6732MbyM/edit#gid=1725102871"",""2025-26!aj4"")"),1288902.0)</f>
        <v>1288902</v>
      </c>
      <c r="BZ108" s="55">
        <f>IFERROR(__xludf.DUMMYFUNCTION("importrange(""https://docs.google.com/spreadsheets/d/1BjyFlLZTYgD3mFAjCX0s67AY3qvKXaoe2hT6732MbyM/edit#gid=1725102871"",""2025-26!aj3"")"),59.0)</f>
        <v>59</v>
      </c>
      <c r="CA108" s="55">
        <f>IFERROR(__xludf.DUMMYFUNCTION("importrange(""https://docs.google.com/spreadsheets/d/1BjyFlLZTYgD3mFAjCX0s67AY3qvKXaoe2hT6732MbyM/edit#gid=1725102871"",""2025-26!ak4"")"),1847000.0)</f>
        <v>1847000</v>
      </c>
      <c r="CB108" s="55">
        <f>IFERROR(__xludf.DUMMYFUNCTION("importrange(""https://docs.google.com/spreadsheets/d/1BjyFlLZTYgD3mFAjCX0s67AY3qvKXaoe2hT6732MbyM/edit#gid=1725102871"",""2025-26!ak3"")"),114.0)</f>
        <v>114</v>
      </c>
      <c r="CC108" s="55">
        <f>IFERROR(__xludf.DUMMYFUNCTION("importrange(""https://docs.google.com/spreadsheets/d/1BjyFlLZTYgD3mFAjCX0s67AY3qvKXaoe2hT6732MbyM/edit#gid=1725102871"",""2025-26!al4"")"),1435690.9600000002)</f>
        <v>1435690.96</v>
      </c>
      <c r="CD108" s="55">
        <f>IFERROR(__xludf.DUMMYFUNCTION("importrange(""https://docs.google.com/spreadsheets/d/1BjyFlLZTYgD3mFAjCX0s67AY3qvKXaoe2hT6732MbyM/edit#gid=1725102871"",""2025-26!ai3"")"),47.0)</f>
        <v>47</v>
      </c>
      <c r="CE108" s="59">
        <f t="shared" si="27"/>
        <v>0.766906876</v>
      </c>
      <c r="CF108" s="55">
        <f>IFERROR(__xludf.DUMMYFUNCTION("importrange(""https://docs.google.com/spreadsheets/d/1BjyFlLZTYgD3mFAjCX0s67AY3qvKXaoe2hT6732MbyM/edit#gid=1725102871"",""2025-26!am4"")"),1416477.0)</f>
        <v>1416477</v>
      </c>
      <c r="CG108" s="55">
        <f>IFERROR(__xludf.DUMMYFUNCTION("importrange(""https://docs.google.com/spreadsheets/d/1BjyFlLZTYgD3mFAjCX0s67AY3qvKXaoe2hT6732MbyM/edit#gid=1725102871"",""2025-26!am3"")"),61.0)</f>
        <v>61</v>
      </c>
      <c r="CH108" s="55">
        <f>IFERROR(__xludf.DUMMYFUNCTION("importrange(""https://docs.google.com/spreadsheets/d/1BjyFlLZTYgD3mFAjCX0s67AY3qvKXaoe2hT6732MbyM/edit#gid=1725102871"",""2025-26!an4"")"),1352000.0)</f>
        <v>1352000</v>
      </c>
      <c r="CI108" s="55">
        <f>IFERROR(__xludf.DUMMYFUNCTION("importrange(""https://docs.google.com/spreadsheets/d/1BjyFlLZTYgD3mFAjCX0s67AY3qvKXaoe2hT6732MbyM/edit#gid=1725102871"",""2025-26!an3"")"),114.0)</f>
        <v>114</v>
      </c>
      <c r="CJ108" s="55">
        <f>IFERROR(__xludf.DUMMYFUNCTION("importrange(""https://docs.google.com/spreadsheets/d/1BjyFlLZTYgD3mFAjCX0s67AY3qvKXaoe2hT6732MbyM/edit#gid=1725102871"",""2025-26!ao4"")"),1364204.0699999996)</f>
        <v>1364204.07</v>
      </c>
      <c r="CK108" s="55">
        <f>IFERROR(__xludf.DUMMYFUNCTION("importrange(""https://docs.google.com/spreadsheets/d/1BjyFlLZTYgD3mFAjCX0s67AY3qvKXaoe2hT6732MbyM/edit#gid=1725102871"",""2025-26!ao3"")"),41.0)</f>
        <v>41</v>
      </c>
      <c r="CL108" s="59">
        <f t="shared" si="28"/>
        <v>0.9834630178</v>
      </c>
      <c r="CM108" s="55">
        <f>IFERROR(__xludf.DUMMYFUNCTION("importrange(""https://docs.google.com/spreadsheets/d/1BjyFlLZTYgD3mFAjCX0s67AY3qvKXaoe2hT6732MbyM/edit#gid=1725102871"",""2025-26!ap4"")"),1329642.0)</f>
        <v>1329642</v>
      </c>
      <c r="CN108" s="55">
        <f>IFERROR(__xludf.DUMMYFUNCTION("importrange(""https://docs.google.com/spreadsheets/d/1BjyFlLZTYgD3mFAjCX0s67AY3qvKXaoe2hT6732MbyM/edit#gid=1725102871"",""2025-26!ap3"")"),52.0)</f>
        <v>52</v>
      </c>
      <c r="CO108" s="55">
        <f>IFERROR(__xludf.DUMMYFUNCTION("importrange(""https://docs.google.com/spreadsheets/d/1BjyFlLZTYgD3mFAjCX0s67AY3qvKXaoe2hT6732MbyM/edit#gid=1725102871"",""2025-26!aq4"")"),2199000.0)</f>
        <v>2199000</v>
      </c>
      <c r="CP108" s="55">
        <f>IFERROR(__xludf.DUMMYFUNCTION("importrange(""https://docs.google.com/spreadsheets/d/1BjyFlLZTYgD3mFAjCX0s67AY3qvKXaoe2hT6732MbyM/edit#gid=1725102871"",""2025-26!aq3"")"),113.0)</f>
        <v>113</v>
      </c>
      <c r="CQ108" s="55">
        <f>IFERROR(__xludf.DUMMYFUNCTION("importrange(""https://docs.google.com/spreadsheets/d/1BjyFlLZTYgD3mFAjCX0s67AY3qvKXaoe2hT6732MbyM/edit#gid=1725102871"",""2025-26!ar4"")"),1424475.5800000003)</f>
        <v>1424475.58</v>
      </c>
      <c r="CR108" s="55">
        <f>IFERROR(__xludf.DUMMYFUNCTION("importrange(""https://docs.google.com/spreadsheets/d/1BjyFlLZTYgD3mFAjCX0s67AY3qvKXaoe2hT6732MbyM/edit#gid=1725102871"",""2025-26!ar3"")"),42.0)</f>
        <v>42</v>
      </c>
      <c r="CS108" s="59">
        <f t="shared" si="29"/>
        <v>0.5950864029</v>
      </c>
      <c r="CT108" s="55">
        <f>IFERROR(__xludf.DUMMYFUNCTION("importrange(""https://docs.google.com/spreadsheets/d/1BjyFlLZTYgD3mFAjCX0s67AY3qvKXaoe2hT6732MbyM/edit#gid=1725102871"",""2025-26!as4"")"),1308595.0)</f>
        <v>1308595</v>
      </c>
      <c r="CU108" s="55">
        <f>IFERROR(__xludf.DUMMYFUNCTION("importrange(""https://docs.google.com/spreadsheets/d/1BjyFlLZTYgD3mFAjCX0s67AY3qvKXaoe2hT6732MbyM/edit#gid=1725102871"",""2025-26!as3"")"),46.0)</f>
        <v>46</v>
      </c>
      <c r="CV108" s="60" t="s">
        <v>189</v>
      </c>
    </row>
    <row r="109">
      <c r="A109" s="1" t="s">
        <v>185</v>
      </c>
      <c r="B109" s="37"/>
      <c r="C109" s="64" t="s">
        <v>242</v>
      </c>
      <c r="D109" s="50" t="s">
        <v>243</v>
      </c>
      <c r="E109" s="50">
        <v>7.810912732E9</v>
      </c>
      <c r="F109" s="74">
        <v>45069.0</v>
      </c>
      <c r="G109" s="62"/>
      <c r="H109" s="62"/>
      <c r="I109" s="53">
        <v>26500.0</v>
      </c>
      <c r="J109" s="54">
        <v>1500000.0</v>
      </c>
      <c r="K109" s="57">
        <f>IFERROR(__xludf.DUMMYFUNCTION("IMPORTRANGE(""https://docs.google.com/spreadsheets/d/1z4Dlg9-vhzqicqIM3aOVAq9C7BiGYht1wlKwymUb1rs/edit#gid=2076411086"",""2025-26!A3"")"),48.0)</f>
        <v>48</v>
      </c>
      <c r="L109" s="57">
        <f>IFERROR(__xludf.DUMMYFUNCTION("IMPORTRANGE(""https://docs.google.com/spreadsheets/d/1z4Dlg9-vhzqicqIM3aOVAq9C7BiGYht1wlKwymUb1rs/edit#gid=2076411086"",""2025-26!G4"")"),1.357837E7)</f>
        <v>13578370</v>
      </c>
      <c r="M109" s="57">
        <f t="shared" si="50"/>
        <v>9637243.18</v>
      </c>
      <c r="N109" s="56">
        <f t="shared" si="51"/>
        <v>0.6557617004</v>
      </c>
      <c r="O109" s="57">
        <f t="shared" si="52"/>
        <v>8904175</v>
      </c>
      <c r="P109" s="55">
        <f>IFERROR(__xludf.DUMMYFUNCTION("IMPORTRANGE(""https://docs.google.com/spreadsheets/d/1z4Dlg9-vhzqicqIM3aOVAq9C7BiGYht1wlKwymUb1rs/edit#gid=2076411086"",""2025-26!J4"")"),1128753.0)</f>
        <v>1128753</v>
      </c>
      <c r="Q109" s="55">
        <f>IFERROR(__xludf.DUMMYFUNCTION("IMPORTRANGE(""https://docs.google.com/spreadsheets/d/1z4Dlg9-vhzqicqIM3aOVAq9C7BiGYht1wlKwymUb1rs/edit#gid=2076411086"",""2025-26!J3"")"),28.0)</f>
        <v>28</v>
      </c>
      <c r="R109" s="55">
        <f>IFERROR(__xludf.DUMMYFUNCTION("IMPORTRANGE(""https://docs.google.com/spreadsheets/d/1z4Dlg9-vhzqicqIM3aOVAq9C7BiGYht1wlKwymUb1rs/edit#gid=2076411086"",""2025-26!K4"")"),482281.7)</f>
        <v>482281.7</v>
      </c>
      <c r="S109" s="55">
        <f>IFERROR(__xludf.DUMMYFUNCTION("IMPORTRANGE(""https://docs.google.com/spreadsheets/d/1z4Dlg9-vhzqicqIM3aOVAq9C7BiGYht1wlKwymUb1rs/edit#gid=2076411086"",""2025-26!K3"")"),9.0)</f>
        <v>9</v>
      </c>
      <c r="T109" s="58">
        <f t="shared" si="18"/>
        <v>0.7044588143</v>
      </c>
      <c r="U109" s="55">
        <f>IFERROR(__xludf.DUMMYFUNCTION("IMPORTRANGE(""https://docs.google.com/spreadsheets/d/1z4Dlg9-vhzqicqIM3aOVAq9C7BiGYht1wlKwymUb1rs/edit#gid=2076411086"",""2025-26!L4"")"),795160.0)</f>
        <v>795160</v>
      </c>
      <c r="V109" s="79">
        <f>IFERROR(__xludf.DUMMYFUNCTION("IMPORTRANGE(""https://docs.google.com/spreadsheets/d/1z4Dlg9-vhzqicqIM3aOVAq9C7BiGYht1wlKwymUb1rs/edit#gid=2076411086"",""2025-26!L3"")"),9.0)</f>
        <v>9</v>
      </c>
      <c r="W109" s="55">
        <f>IFERROR(__xludf.DUMMYFUNCTION("IMPORTRANGE(""https://docs.google.com/spreadsheets/d/1z4Dlg9-vhzqicqIM3aOVAq9C7BiGYht1wlKwymUb1rs/edit#gid=2076411086"",""2025-26!M4"")"),1128753.0)</f>
        <v>1128753</v>
      </c>
      <c r="X109" s="79">
        <f>IFERROR(__xludf.DUMMYFUNCTION("IMPORTRANGE(""https://docs.google.com/spreadsheets/d/1z4Dlg9-vhzqicqIM3aOVAq9C7BiGYht1wlKwymUb1rs/edit#gid=2076411086"",""2025-26!M3"")"),28.0)</f>
        <v>28</v>
      </c>
      <c r="Y109" s="55">
        <f>IFERROR(__xludf.DUMMYFUNCTION("importrange(""https://docs.google.com/spreadsheets/d/1z4Dlg9-vhzqicqIM3aOVAq9C7BiGYht1wlKwymUb1rs/edit#gid=2076411086"",""2025-26!n4"")"),654700.0)</f>
        <v>654700</v>
      </c>
      <c r="Z109" s="55">
        <f>IFERROR(__xludf.DUMMYFUNCTION("importrange(""https://docs.google.com/spreadsheets/d/1z4Dlg9-vhzqicqIM3aOVAq9C7BiGYht1wlKwymUb1rs/edit#gid=2076411086"",""2025-26!n3"")"),10.0)</f>
        <v>10</v>
      </c>
      <c r="AA109" s="58">
        <f t="shared" si="19"/>
        <v>0.5799196104</v>
      </c>
      <c r="AB109" s="55">
        <f>IFERROR(__xludf.DUMMYFUNCTION("importrange(""https://docs.google.com/spreadsheets/d/1z4Dlg9-vhzqicqIM3aOVAq9C7BiGYht1wlKwymUb1rs/edit#gid=2076411086"",""2025-26!o4"")"),654586.0)</f>
        <v>654586</v>
      </c>
      <c r="AC109" s="55">
        <f>IFERROR(__xludf.DUMMYFUNCTION("importrange(""https://docs.google.com/spreadsheets/d/1z4Dlg9-vhzqicqIM3aOVAq9C7BiGYht1wlKwymUb1rs/edit#gid=2076411086"",""2025-26!o3"")"),10.0)</f>
        <v>10</v>
      </c>
      <c r="AD109" s="55">
        <f>IFERROR(__xludf.DUMMYFUNCTION("importrange(""https://docs.google.com/spreadsheets/d/1z4Dlg9-vhzqicqIM3aOVAq9C7BiGYht1wlKwymUb1rs/edit#gid=2076411086"",""2025-26!p4"")"),1128753.0)</f>
        <v>1128753</v>
      </c>
      <c r="AE109" s="55">
        <f>IFERROR(__xludf.DUMMYFUNCTION("importrange(""https://docs.google.com/spreadsheets/d/1z4Dlg9-vhzqicqIM3aOVAq9C7BiGYht1wlKwymUb1rs/edit#gid=2076411086"",""2025-26!p3"")"),28.0)</f>
        <v>28</v>
      </c>
      <c r="AF109" s="55">
        <f>IFERROR(__xludf.DUMMYFUNCTION("importrange(""https://docs.google.com/spreadsheets/d/1z4Dlg9-vhzqicqIM3aOVAq9C7BiGYht1wlKwymUb1rs/edit#gid=2076411086"",""2025-26!q4"")"),719772.55)</f>
        <v>719772.55</v>
      </c>
      <c r="AG109" s="55">
        <f>IFERROR(__xludf.DUMMYFUNCTION("importrange(""https://docs.google.com/spreadsheets/d/1z4Dlg9-vhzqicqIM3aOVAq9C7BiGYht1wlKwymUb1rs/edit#gid=2076411086"",""2025-26!q3"")"),12.0)</f>
        <v>12</v>
      </c>
      <c r="AH109" s="58">
        <f t="shared" si="20"/>
        <v>0.6441754751</v>
      </c>
      <c r="AI109" s="55">
        <f>IFERROR(__xludf.DUMMYFUNCTION("importrange(""https://docs.google.com/spreadsheets/d/1z4Dlg9-vhzqicqIM3aOVAq9C7BiGYht1wlKwymUb1rs/edit#gid=2076411086"",""2025-26!r4"")"),727115.0)</f>
        <v>727115</v>
      </c>
      <c r="AJ109" s="55">
        <f>IFERROR(__xludf.DUMMYFUNCTION("importrange(""https://docs.google.com/spreadsheets/d/1z4Dlg9-vhzqicqIM3aOVAq9C7BiGYht1wlKwymUb1rs/edit#gid=2076411086"",""2025-26!r3"")"),13.0)</f>
        <v>13</v>
      </c>
      <c r="AK109" s="55">
        <f>IFERROR(__xludf.DUMMYFUNCTION("importrange(""https://docs.google.com/spreadsheets/d/1z4Dlg9-vhzqicqIM3aOVAq9C7BiGYht1wlKwymUb1rs/edit#gid=2076411086"",""2025-26!s4"")"),1128753.0)</f>
        <v>1128753</v>
      </c>
      <c r="AL109" s="55">
        <f>IFERROR(__xludf.DUMMYFUNCTION("importrange(""https://docs.google.com/spreadsheets/d/1z4Dlg9-vhzqicqIM3aOVAq9C7BiGYht1wlKwymUb1rs/edit#gid=2076411086"",""2025-26!s3"")"),28.0)</f>
        <v>28</v>
      </c>
      <c r="AM109" s="57">
        <f>IFERROR(__xludf.DUMMYFUNCTION("importrange(""https://docs.google.com/spreadsheets/d/1z4Dlg9-vhzqicqIM3aOVAq9C7BiGYht1wlKwymUb1rs/edit#gid=2076411086"",""2025-26!t4"")"),1129294.45)</f>
        <v>1129294.45</v>
      </c>
      <c r="AN109" s="55">
        <f>IFERROR(__xludf.DUMMYFUNCTION("importrange(""https://docs.google.com/spreadsheets/d/1z4Dlg9-vhzqicqIM3aOVAq9C7BiGYht1wlKwymUb1rs/edit#gid=2076411086"",""2025-26!t3"")"),10.0)</f>
        <v>10</v>
      </c>
      <c r="AO109" s="58">
        <f t="shared" si="21"/>
        <v>0.9088950373</v>
      </c>
      <c r="AP109" s="55">
        <f>IFERROR(__xludf.DUMMYFUNCTION("importrange(""https://docs.google.com/spreadsheets/d/1z4Dlg9-vhzqicqIM3aOVAq9C7BiGYht1wlKwymUb1rs/edit#gid=2076411086"",""2025-26!u4"")"),1025918.0)</f>
        <v>1025918</v>
      </c>
      <c r="AQ109" s="55">
        <f>IFERROR(__xludf.DUMMYFUNCTION("importrange(""https://docs.google.com/spreadsheets/d/1z4Dlg9-vhzqicqIM3aOVAq9C7BiGYht1wlKwymUb1rs/edit#gid=2076411086"",""2025-26!u3"")"),10.0)</f>
        <v>10</v>
      </c>
      <c r="AR109" s="55">
        <f>IFERROR(__xludf.DUMMYFUNCTION("importrange(""https://docs.google.com/spreadsheets/d/1z4Dlg9-vhzqicqIM3aOVAq9C7BiGYht1wlKwymUb1rs/edit#gid=2076411086"",""2025-26!v4"")"),1128753.0)</f>
        <v>1128753</v>
      </c>
      <c r="AS109" s="55">
        <f>IFERROR(__xludf.DUMMYFUNCTION("importrange(""https://docs.google.com/spreadsheets/d/1z4Dlg9-vhzqicqIM3aOVAq9C7BiGYht1wlKwymUb1rs/edit#gid=2076411086"",""2025-26!v3"")"),28.0)</f>
        <v>28</v>
      </c>
      <c r="AT109" s="57">
        <f>IFERROR(__xludf.DUMMYFUNCTION("importrange(""https://docs.google.com/spreadsheets/d/1z4Dlg9-vhzqicqIM3aOVAq9C7BiGYht1wlKwymUb1rs/edit#gid=2076411086"",""2025-26!w4"")"),1113875.33)</f>
        <v>1113875.33</v>
      </c>
      <c r="AU109" s="55">
        <f>IFERROR(__xludf.DUMMYFUNCTION("importrange(""https://docs.google.com/spreadsheets/d/1z4Dlg9-vhzqicqIM3aOVAq9C7BiGYht1wlKwymUb1rs/edit#gid=2076411086"",""2025-26!w3"")"),10.0)</f>
        <v>10</v>
      </c>
      <c r="AV109" s="58">
        <f t="shared" si="22"/>
        <v>0.9450047973</v>
      </c>
      <c r="AW109" s="55">
        <f>IFERROR(__xludf.DUMMYFUNCTION("importrange(""https://docs.google.com/spreadsheets/d/1z4Dlg9-vhzqicqIM3aOVAq9C7BiGYht1wlKwymUb1rs/edit#gid=2076411086"",""2025-26!x4"")"),1066677.0)</f>
        <v>1066677</v>
      </c>
      <c r="AX109" s="55">
        <f>IFERROR(__xludf.DUMMYFUNCTION("importrange(""https://docs.google.com/spreadsheets/d/1z4Dlg9-vhzqicqIM3aOVAq9C7BiGYht1wlKwymUb1rs/edit#gid=2076411086"",""2025-26!x3"")"),9.0)</f>
        <v>9</v>
      </c>
      <c r="AY109" s="55">
        <f>IFERROR(__xludf.DUMMYFUNCTION("importrange(""https://docs.google.com/spreadsheets/d/1z4Dlg9-vhzqicqIM3aOVAq9C7BiGYht1wlKwymUb1rs/edit#gid=2076411086"",""2025-26!y4"")"),1128753.0)</f>
        <v>1128753</v>
      </c>
      <c r="AZ109" s="55">
        <f>IFERROR(__xludf.DUMMYFUNCTION("importrange(""https://docs.google.com/spreadsheets/d/1z4Dlg9-vhzqicqIM3aOVAq9C7BiGYht1wlKwymUb1rs/edit#gid=2076411086"",""2025-26!y3"")"),28.0)</f>
        <v>28</v>
      </c>
      <c r="BA109" s="57">
        <f>IFERROR(__xludf.DUMMYFUNCTION("importrange(""https://docs.google.com/spreadsheets/d/1z4Dlg9-vhzqicqIM3aOVAq9C7BiGYht1wlKwymUb1rs/edit#gid=2076411086"",""2025-26!z4"")"),1189124.69)</f>
        <v>1189124.69</v>
      </c>
      <c r="BB109" s="55">
        <f>IFERROR(__xludf.DUMMYFUNCTION("importrange(""https://docs.google.com/spreadsheets/d/1z4Dlg9-vhzqicqIM3aOVAq9C7BiGYht1wlKwymUb1rs/edit#gid=2076411086"",""2025-26!z3"")"),9.0)</f>
        <v>9</v>
      </c>
      <c r="BC109" s="59">
        <f t="shared" si="23"/>
        <v>1.053100191</v>
      </c>
      <c r="BD109" s="55">
        <f>IFERROR(__xludf.DUMMYFUNCTION("importrange(""https://docs.google.com/spreadsheets/d/1z4Dlg9-vhzqicqIM3aOVAq9C7BiGYht1wlKwymUb1rs/edit#gid=2076411086"",""2025-26!aa4"")"),1188690.0)</f>
        <v>1188690</v>
      </c>
      <c r="BE109" s="55">
        <f>IFERROR(__xludf.DUMMYFUNCTION("importrange(""https://docs.google.com/spreadsheets/d/1z4Dlg9-vhzqicqIM3aOVAq9C7BiGYht1wlKwymUb1rs/edit#gid=2076411086"",""2025-26!aa3"")"),9.0)</f>
        <v>9</v>
      </c>
      <c r="BF109" s="55">
        <f>IFERROR(__xludf.DUMMYFUNCTION("importrange(""https://docs.google.com/spreadsheets/d/1z4Dlg9-vhzqicqIM3aOVAq9C7BiGYht1wlKwymUb1rs/edit#gid=2076411086"",""2025-26!ab4"")"),1128753.0)</f>
        <v>1128753</v>
      </c>
      <c r="BG109" s="55">
        <f>IFERROR(__xludf.DUMMYFUNCTION("importrange(""https://docs.google.com/spreadsheets/d/1z4Dlg9-vhzqicqIM3aOVAq9C7BiGYht1wlKwymUb1rs/edit#gid=2076411086"",""2025-26!ab3"")"),28.0)</f>
        <v>28</v>
      </c>
      <c r="BH109" s="55">
        <f>IFERROR(__xludf.DUMMYFUNCTION("importrange(""https://docs.google.com/spreadsheets/d/1z4Dlg9-vhzqicqIM3aOVAq9C7BiGYht1wlKwymUb1rs/edit#gid=2076411086"",""2025-26!ac4"")"),321149.54000000004)</f>
        <v>321149.54</v>
      </c>
      <c r="BI109" s="55">
        <f>IFERROR(__xludf.DUMMYFUNCTION("importrange(""https://docs.google.com/spreadsheets/d/1z4Dlg9-vhzqicqIM3aOVAq9C7BiGYht1wlKwymUb1rs/edit#gid=2076411086"",""2025-26!ac3"")"),5.0)</f>
        <v>5</v>
      </c>
      <c r="BJ109" s="59">
        <f t="shared" si="24"/>
        <v>0.2845139725</v>
      </c>
      <c r="BK109" s="55">
        <f>IFERROR(__xludf.DUMMYFUNCTION("importrange(""https://docs.google.com/spreadsheets/d/1z4Dlg9-vhzqicqIM3aOVAq9C7BiGYht1wlKwymUb1rs/edit#gid=2076411086"",""2025-26!ad4"")"),321146.0)</f>
        <v>321146</v>
      </c>
      <c r="BL109" s="55">
        <f>IFERROR(__xludf.DUMMYFUNCTION("importrange(""https://docs.google.com/spreadsheets/d/1z4Dlg9-vhzqicqIM3aOVAq9C7BiGYht1wlKwymUb1rs/edit#gid=2076411086"",""2025-26!ad3"")"),5.0)</f>
        <v>5</v>
      </c>
      <c r="BM109" s="55">
        <f>IFERROR(__xludf.DUMMYFUNCTION("importrange(""https://docs.google.com/spreadsheets/d/1z4Dlg9-vhzqicqIM3aOVAq9C7BiGYht1wlKwymUb1rs/edit#gid=2076411086"",""2025-26!ae4"")"),1128753.0)</f>
        <v>1128753</v>
      </c>
      <c r="BN109" s="55">
        <f>IFERROR(__xludf.DUMMYFUNCTION("importrange(""https://docs.google.com/spreadsheets/d/1z4Dlg9-vhzqicqIM3aOVAq9C7BiGYht1wlKwymUb1rs/edit#gid=2076411086"",""2025-26!ae3"")"),28.0)</f>
        <v>28</v>
      </c>
      <c r="BO109" s="55">
        <f>IFERROR(__xludf.DUMMYFUNCTION("importrange(""https://docs.google.com/spreadsheets/d/1z4Dlg9-vhzqicqIM3aOVAq9C7BiGYht1wlKwymUb1rs/edit#gid=2076411086"",""2025-26!af4"")"),432701.93)</f>
        <v>432701.93</v>
      </c>
      <c r="BP109" s="55">
        <f>IFERROR(__xludf.DUMMYFUNCTION("importrange(""https://docs.google.com/spreadsheets/d/1z4Dlg9-vhzqicqIM3aOVAq9C7BiGYht1wlKwymUb1rs/edit#gid=2076411086"",""2025-26!af3"")"),8.0)</f>
        <v>8</v>
      </c>
      <c r="BQ109" s="59">
        <f t="shared" si="25"/>
        <v>0.3833327575</v>
      </c>
      <c r="BR109" s="55">
        <f>IFERROR(__xludf.DUMMYFUNCTION("importrange(""https://docs.google.com/spreadsheets/d/1z4Dlg9-vhzqicqIM3aOVAq9C7BiGYht1wlKwymUb1rs/edit#gid=2076411086"",""2025-26!ag4"")"),432688.0)</f>
        <v>432688</v>
      </c>
      <c r="BS109" s="55">
        <f>IFERROR(__xludf.DUMMYFUNCTION("importrange(""https://docs.google.com/spreadsheets/d/1z4Dlg9-vhzqicqIM3aOVAq9C7BiGYht1wlKwymUb1rs/edit#gid=2076411086"",""2025-26!ag3"")"),8.0)</f>
        <v>8</v>
      </c>
      <c r="BT109" s="55">
        <f>IFERROR(__xludf.DUMMYFUNCTION("importrange(""https://docs.google.com/spreadsheets/d/1z4Dlg9-vhzqicqIM3aOVAq9C7BiGYht1wlKwymUb1rs/edit#gid=2076411086"",""2025-26!ah4"")"),1128753.0)</f>
        <v>1128753</v>
      </c>
      <c r="BU109" s="55">
        <f>IFERROR(__xludf.DUMMYFUNCTION("importrange(""https://docs.google.com/spreadsheets/d/1z4Dlg9-vhzqicqIM3aOVAq9C7BiGYht1wlKwymUb1rs/edit#gid=2076411086"",""2025-26!ah3"")"),28.0)</f>
        <v>28</v>
      </c>
      <c r="BV109" s="55">
        <f>IFERROR(__xludf.DUMMYFUNCTION("importrange(""https://docs.google.com/spreadsheets/d/1z4Dlg9-vhzqicqIM3aOVAq9C7BiGYht1wlKwymUb1rs/edit#gid=2076411086"",""2025-26!ai4"")"),923113.99)</f>
        <v>923113.99</v>
      </c>
      <c r="BW109" s="55">
        <f>IFERROR(__xludf.DUMMYFUNCTION("importrange(""https://docs.google.com/spreadsheets/d/1z4Dlg9-vhzqicqIM3aOVAq9C7BiGYht1wlKwymUb1rs/edit#gid=2076411086"",""2025-26!ai3"")"),8.0)</f>
        <v>8</v>
      </c>
      <c r="BX109" s="59">
        <f t="shared" si="26"/>
        <v>0.1563433275</v>
      </c>
      <c r="BY109" s="55">
        <f>IFERROR(__xludf.DUMMYFUNCTION("importrange(""https://docs.google.com/spreadsheets/d/1z4Dlg9-vhzqicqIM3aOVAq9C7BiGYht1wlKwymUb1rs/edit#gid=2076411086"",""2025-26!aj4"")"),176473.0)</f>
        <v>176473</v>
      </c>
      <c r="BZ109" s="55">
        <f>IFERROR(__xludf.DUMMYFUNCTION("importrange(""https://docs.google.com/spreadsheets/d/1z4Dlg9-vhzqicqIM3aOVAq9C7BiGYht1wlKwymUb1rs/edit#gid=2076411086"",""2025-26!aj3"")"),4.0)</f>
        <v>4</v>
      </c>
      <c r="CA109" s="55">
        <f>IFERROR(__xludf.DUMMYFUNCTION("importrange(""https://docs.google.com/spreadsheets/d/1z4Dlg9-vhzqicqIM3aOVAq9C7BiGYht1wlKwymUb1rs/edit#gid=2076411086"",""2025-26!ak4"")"),1128753.0)</f>
        <v>1128753</v>
      </c>
      <c r="CB109" s="55">
        <f>IFERROR(__xludf.DUMMYFUNCTION("importrange(""https://docs.google.com/spreadsheets/d/1z4Dlg9-vhzqicqIM3aOVAq9C7BiGYht1wlKwymUb1rs/edit#gid=2076411086"",""2025-26!ak3"")"),28.0)</f>
        <v>28</v>
      </c>
      <c r="CC109" s="55">
        <f>IFERROR(__xludf.DUMMYFUNCTION("importrange(""https://docs.google.com/spreadsheets/d/1z4Dlg9-vhzqicqIM3aOVAq9C7BiGYht1wlKwymUb1rs/edit#gid=2076411086"",""2025-26!al4"")"),977742.46)</f>
        <v>977742.46</v>
      </c>
      <c r="CD109" s="55">
        <f>IFERROR(__xludf.DUMMYFUNCTION("importrange(""https://docs.google.com/spreadsheets/d/1z4Dlg9-vhzqicqIM3aOVAq9C7BiGYht1wlKwymUb1rs/edit#gid=2076411086"",""2025-26!ai3"")"),8.0)</f>
        <v>8</v>
      </c>
      <c r="CE109" s="59">
        <f t="shared" si="27"/>
        <v>0.9712488029</v>
      </c>
      <c r="CF109" s="55">
        <f>IFERROR(__xludf.DUMMYFUNCTION("importrange(""https://docs.google.com/spreadsheets/d/1z4Dlg9-vhzqicqIM3aOVAq9C7BiGYht1wlKwymUb1rs/edit#gid=2076411086"",""2025-26!am4"")"),1096300.0)</f>
        <v>1096300</v>
      </c>
      <c r="CG109" s="55">
        <f>IFERROR(__xludf.DUMMYFUNCTION("importrange(""https://docs.google.com/spreadsheets/d/1z4Dlg9-vhzqicqIM3aOVAq9C7BiGYht1wlKwymUb1rs/edit#gid=2076411086"",""2025-26!am3"")"),7.0)</f>
        <v>7</v>
      </c>
      <c r="CH109" s="55">
        <f>IFERROR(__xludf.DUMMYFUNCTION("importrange(""https://docs.google.com/spreadsheets/d/1z4Dlg9-vhzqicqIM3aOVAq9C7BiGYht1wlKwymUb1rs/edit#gid=2076411086"",""2025-26!an4"")"),1128753.0)</f>
        <v>1128753</v>
      </c>
      <c r="CI109" s="55">
        <f>IFERROR(__xludf.DUMMYFUNCTION("importrange(""https://docs.google.com/spreadsheets/d/1z4Dlg9-vhzqicqIM3aOVAq9C7BiGYht1wlKwymUb1rs/edit#gid=2076411086"",""2025-26!an3"")"),28.0)</f>
        <v>28</v>
      </c>
      <c r="CJ109" s="55">
        <f>IFERROR(__xludf.DUMMYFUNCTION("importrange(""https://docs.google.com/spreadsheets/d/1z4Dlg9-vhzqicqIM3aOVAq9C7BiGYht1wlKwymUb1rs/edit#gid=2076411086"",""2025-26!ao4"")"),1024365.17)</f>
        <v>1024365.17</v>
      </c>
      <c r="CK109" s="55">
        <f>IFERROR(__xludf.DUMMYFUNCTION("importrange(""https://docs.google.com/spreadsheets/d/1z4Dlg9-vhzqicqIM3aOVAq9C7BiGYht1wlKwymUb1rs/edit#gid=2076411086"",""2025-26!ao3"")"),6.0)</f>
        <v>6</v>
      </c>
      <c r="CL109" s="59">
        <f t="shared" si="28"/>
        <v>0.643071602</v>
      </c>
      <c r="CM109" s="55">
        <f>IFERROR(__xludf.DUMMYFUNCTION("importrange(""https://docs.google.com/spreadsheets/d/1z4Dlg9-vhzqicqIM3aOVAq9C7BiGYht1wlKwymUb1rs/edit#gid=2076411086"",""2025-26!ap4"")"),725869.0)</f>
        <v>725869</v>
      </c>
      <c r="CN109" s="55">
        <f>IFERROR(__xludf.DUMMYFUNCTION("importrange(""https://docs.google.com/spreadsheets/d/1z4Dlg9-vhzqicqIM3aOVAq9C7BiGYht1wlKwymUb1rs/edit#gid=2076411086"",""2025-26!ap3"")"),5.0)</f>
        <v>5</v>
      </c>
      <c r="CO109" s="55">
        <f>IFERROR(__xludf.DUMMYFUNCTION("importrange(""https://docs.google.com/spreadsheets/d/1z4Dlg9-vhzqicqIM3aOVAq9C7BiGYht1wlKwymUb1rs/edit#gid=2076411086"",""2025-26!aq4"")"),1128753.0)</f>
        <v>1128753</v>
      </c>
      <c r="CP109" s="55">
        <f>IFERROR(__xludf.DUMMYFUNCTION("importrange(""https://docs.google.com/spreadsheets/d/1z4Dlg9-vhzqicqIM3aOVAq9C7BiGYht1wlKwymUb1rs/edit#gid=2076411086"",""2025-26!aq3"")"),28.0)</f>
        <v>28</v>
      </c>
      <c r="CQ109" s="55">
        <f>IFERROR(__xludf.DUMMYFUNCTION("importrange(""https://docs.google.com/spreadsheets/d/1z4Dlg9-vhzqicqIM3aOVAq9C7BiGYht1wlKwymUb1rs/edit#gid=2076411086"",""2025-26!ar4"")"),669121.37)</f>
        <v>669121.37</v>
      </c>
      <c r="CR109" s="55">
        <f>IFERROR(__xludf.DUMMYFUNCTION("importrange(""https://docs.google.com/spreadsheets/d/1z4Dlg9-vhzqicqIM3aOVAq9C7BiGYht1wlKwymUb1rs/edit#gid=2076411086"",""2025-26!ar3"")"),6.0)</f>
        <v>6</v>
      </c>
      <c r="CS109" s="59">
        <f t="shared" si="29"/>
        <v>0.6144417778</v>
      </c>
      <c r="CT109" s="55">
        <f>IFERROR(__xludf.DUMMYFUNCTION("importrange(""https://docs.google.com/spreadsheets/d/1z4Dlg9-vhzqicqIM3aOVAq9C7BiGYht1wlKwymUb1rs/edit#gid=2076411086"",""2025-26!as4"")"),693553.0)</f>
        <v>693553</v>
      </c>
      <c r="CU109" s="55">
        <f>IFERROR(__xludf.DUMMYFUNCTION("importrange(""https://docs.google.com/spreadsheets/d/1z4Dlg9-vhzqicqIM3aOVAq9C7BiGYht1wlKwymUb1rs/edit#gid=2076411086"",""2025-26!as3"")"),6.0)</f>
        <v>6</v>
      </c>
      <c r="CV109" s="60" t="s">
        <v>189</v>
      </c>
    </row>
    <row r="110">
      <c r="A110" s="1" t="s">
        <v>185</v>
      </c>
      <c r="B110" s="37"/>
      <c r="C110" s="64" t="s">
        <v>244</v>
      </c>
      <c r="D110" s="50" t="s">
        <v>245</v>
      </c>
      <c r="E110" s="50">
        <v>6.002978448E9</v>
      </c>
      <c r="F110" s="74">
        <v>45108.0</v>
      </c>
      <c r="G110" s="62"/>
      <c r="H110" s="62"/>
      <c r="I110" s="53">
        <v>25165.0</v>
      </c>
      <c r="J110" s="54">
        <v>1500000.0</v>
      </c>
      <c r="K110" s="57">
        <f>IFERROR(__xludf.DUMMYFUNCTION("IMPORTRANGE(""https://docs.google.com/spreadsheets/d/1UteHRCCON4AO5JM7duOBoq72OM5x2CQQr2sJKgCMmOA/edit#gid=218756102"",""2025-26!A3"")"),77.0)</f>
        <v>77</v>
      </c>
      <c r="L110" s="57">
        <f>IFERROR(__xludf.DUMMYFUNCTION("IMPORTRANGE(""https://docs.google.com/spreadsheets/d/1UteHRCCON4AO5JM7duOBoq72OM5x2CQQr2sJKgCMmOA/edit#gid=218756102"",""2025-26!G4"")"),2.206E7)</f>
        <v>22060000</v>
      </c>
      <c r="M110" s="57">
        <f t="shared" si="50"/>
        <v>14860333.52</v>
      </c>
      <c r="N110" s="56">
        <f t="shared" si="51"/>
        <v>0.6193895286</v>
      </c>
      <c r="O110" s="57">
        <f t="shared" si="52"/>
        <v>13663733</v>
      </c>
      <c r="P110" s="55">
        <f>IFERROR(__xludf.DUMMYFUNCTION("IMPORTRANGE(""https://docs.google.com/spreadsheets/d/1UteHRCCON4AO5JM7duOBoq72OM5x2CQQr2sJKgCMmOA/edit#gid=218756102"",""2025-26!J4"")"),1705000.0)</f>
        <v>1705000</v>
      </c>
      <c r="Q110" s="55">
        <f>IFERROR(__xludf.DUMMYFUNCTION("IMPORTRANGE(""https://docs.google.com/spreadsheets/d/1UteHRCCON4AO5JM7duOBoq72OM5x2CQQr2sJKgCMmOA/edit#gid=218756102"",""2025-26!J3"")"),44.0)</f>
        <v>44</v>
      </c>
      <c r="R110" s="55">
        <f>IFERROR(__xludf.DUMMYFUNCTION("IMPORTRANGE(""https://docs.google.com/spreadsheets/d/1UteHRCCON4AO5JM7duOBoq72OM5x2CQQr2sJKgCMmOA/edit#gid=218756102"",""2025-26!K4"")"),1610512.5000000002)</f>
        <v>1610512.5</v>
      </c>
      <c r="S110" s="55">
        <f>IFERROR(__xludf.DUMMYFUNCTION("IMPORTRANGE(""https://docs.google.com/spreadsheets/d/1UteHRCCON4AO5JM7duOBoq72OM5x2CQQr2sJKgCMmOA/edit#gid=218756102"",""2025-26!K3"")"),13.0)</f>
        <v>13</v>
      </c>
      <c r="T110" s="58">
        <f t="shared" si="18"/>
        <v>0.6221747801</v>
      </c>
      <c r="U110" s="55">
        <f>IFERROR(__xludf.DUMMYFUNCTION("IMPORTRANGE(""https://docs.google.com/spreadsheets/d/1UteHRCCON4AO5JM7duOBoq72OM5x2CQQr2sJKgCMmOA/edit#gid=218756102"",""2025-26!L4"")"),1060808.0)</f>
        <v>1060808</v>
      </c>
      <c r="V110" s="79">
        <f>IFERROR(__xludf.DUMMYFUNCTION("IMPORTRANGE(""https://docs.google.com/spreadsheets/d/1UteHRCCON4AO5JM7duOBoq72OM5x2CQQr2sJKgCMmOA/edit#gid=218756102"",""2025-26!L3"")"),16.0)</f>
        <v>16</v>
      </c>
      <c r="W110" s="55">
        <f>IFERROR(__xludf.DUMMYFUNCTION("IMPORTRANGE(""https://docs.google.com/spreadsheets/d/1UteHRCCON4AO5JM7duOBoq72OM5x2CQQr2sJKgCMmOA/edit#gid=218756102"",""2025-26!M4"")"),1805000.0)</f>
        <v>1805000</v>
      </c>
      <c r="X110" s="79">
        <f>IFERROR(__xludf.DUMMYFUNCTION("IMPORTRANGE(""https://docs.google.com/spreadsheets/d/1UteHRCCON4AO5JM7duOBoq72OM5x2CQQr2sJKgCMmOA/edit#gid=218756102"",""2025-26!M3"")"),45.0)</f>
        <v>45</v>
      </c>
      <c r="Y110" s="55">
        <f>IFERROR(__xludf.DUMMYFUNCTION("importrange(""https://docs.google.com/spreadsheets/d/1UteHRCCON4AO5JM7duOBoq72OM5x2CQQr2sJKgCMmOA/edit#gid=218756102"",""2025-26!n4"")"),1371101.8)</f>
        <v>1371101.8</v>
      </c>
      <c r="Z110" s="55">
        <f>IFERROR(__xludf.DUMMYFUNCTION("importrange(""https://docs.google.com/spreadsheets/d/1UteHRCCON4AO5JM7duOBoq72OM5x2CQQr2sJKgCMmOA/edit#gid=218756102"",""2025-26!n3"")"),10.0)</f>
        <v>10</v>
      </c>
      <c r="AA110" s="58">
        <f t="shared" si="19"/>
        <v>0.5229263158</v>
      </c>
      <c r="AB110" s="55">
        <f>IFERROR(__xludf.DUMMYFUNCTION("importrange(""https://docs.google.com/spreadsheets/d/1UteHRCCON4AO5JM7duOBoq72OM5x2CQQr2sJKgCMmOA/edit#gid=218756102"",""2025-26!o4"")"),943882.0)</f>
        <v>943882</v>
      </c>
      <c r="AC110" s="55">
        <f>IFERROR(__xludf.DUMMYFUNCTION("importrange(""https://docs.google.com/spreadsheets/d/1UteHRCCON4AO5JM7duOBoq72OM5x2CQQr2sJKgCMmOA/edit#gid=218756102"",""2025-26!o3"")"),11.0)</f>
        <v>11</v>
      </c>
      <c r="AD110" s="55">
        <f>IFERROR(__xludf.DUMMYFUNCTION("importrange(""https://docs.google.com/spreadsheets/d/1UteHRCCON4AO5JM7duOBoq72OM5x2CQQr2sJKgCMmOA/edit#gid=218756102"",""2025-26!p4"")"),1755000.0)</f>
        <v>1755000</v>
      </c>
      <c r="AE110" s="55">
        <f>IFERROR(__xludf.DUMMYFUNCTION("importrange(""https://docs.google.com/spreadsheets/d/1UteHRCCON4AO5JM7duOBoq72OM5x2CQQr2sJKgCMmOA/edit#gid=218756102"",""2025-26!p3"")"),45.0)</f>
        <v>45</v>
      </c>
      <c r="AF110" s="55">
        <f>IFERROR(__xludf.DUMMYFUNCTION("importrange(""https://docs.google.com/spreadsheets/d/1UteHRCCON4AO5JM7duOBoq72OM5x2CQQr2sJKgCMmOA/edit#gid=218756102"",""2025-26!q4"")"),1363540.3)</f>
        <v>1363540.3</v>
      </c>
      <c r="AG110" s="55">
        <f>IFERROR(__xludf.DUMMYFUNCTION("importrange(""https://docs.google.com/spreadsheets/d/1UteHRCCON4AO5JM7duOBoq72OM5x2CQQr2sJKgCMmOA/edit#gid=218756102"",""2025-26!q3"")"),9.0)</f>
        <v>9</v>
      </c>
      <c r="AH110" s="58">
        <f t="shared" si="20"/>
        <v>0.6522888889</v>
      </c>
      <c r="AI110" s="55">
        <f>IFERROR(__xludf.DUMMYFUNCTION("importrange(""https://docs.google.com/spreadsheets/d/1UteHRCCON4AO5JM7duOBoq72OM5x2CQQr2sJKgCMmOA/edit#gid=218756102"",""2025-26!r4"")"),1144767.0)</f>
        <v>1144767</v>
      </c>
      <c r="AJ110" s="55">
        <f>IFERROR(__xludf.DUMMYFUNCTION("importrange(""https://docs.google.com/spreadsheets/d/1UteHRCCON4AO5JM7duOBoq72OM5x2CQQr2sJKgCMmOA/edit#gid=218756102"",""2025-26!r3"")"),14.0)</f>
        <v>14</v>
      </c>
      <c r="AK110" s="55">
        <f>IFERROR(__xludf.DUMMYFUNCTION("importrange(""https://docs.google.com/spreadsheets/d/1UteHRCCON4AO5JM7duOBoq72OM5x2CQQr2sJKgCMmOA/edit#gid=218756102"",""2025-26!s4"")"),2155000.0)</f>
        <v>2155000</v>
      </c>
      <c r="AL110" s="55">
        <f>IFERROR(__xludf.DUMMYFUNCTION("importrange(""https://docs.google.com/spreadsheets/d/1UteHRCCON4AO5JM7duOBoq72OM5x2CQQr2sJKgCMmOA/edit#gid=218756102"",""2025-26!s3"")"),46.0)</f>
        <v>46</v>
      </c>
      <c r="AM110" s="57">
        <f>IFERROR(__xludf.DUMMYFUNCTION("importrange(""https://docs.google.com/spreadsheets/d/1UteHRCCON4AO5JM7duOBoq72OM5x2CQQr2sJKgCMmOA/edit#gid=218756102"",""2025-26!t4"")"),828483.3400000001)</f>
        <v>828483.34</v>
      </c>
      <c r="AN110" s="55">
        <f>IFERROR(__xludf.DUMMYFUNCTION("importrange(""https://docs.google.com/spreadsheets/d/1UteHRCCON4AO5JM7duOBoq72OM5x2CQQr2sJKgCMmOA/edit#gid=218756102"",""2025-26!t3"")"),12.0)</f>
        <v>12</v>
      </c>
      <c r="AO110" s="58">
        <f t="shared" si="21"/>
        <v>0.3662176334</v>
      </c>
      <c r="AP110" s="55">
        <f>IFERROR(__xludf.DUMMYFUNCTION("importrange(""https://docs.google.com/spreadsheets/d/1UteHRCCON4AO5JM7duOBoq72OM5x2CQQr2sJKgCMmOA/edit#gid=218756102"",""2025-26!u4"")"),789199.0)</f>
        <v>789199</v>
      </c>
      <c r="AQ110" s="55">
        <f>IFERROR(__xludf.DUMMYFUNCTION("importrange(""https://docs.google.com/spreadsheets/d/1UteHRCCON4AO5JM7duOBoq72OM5x2CQQr2sJKgCMmOA/edit#gid=218756102"",""2025-26!u3"")"),13.0)</f>
        <v>13</v>
      </c>
      <c r="AR110" s="55">
        <f>IFERROR(__xludf.DUMMYFUNCTION("importrange(""https://docs.google.com/spreadsheets/d/1UteHRCCON4AO5JM7duOBoq72OM5x2CQQr2sJKgCMmOA/edit#gid=218756102"",""2025-26!v4"")"),1805000.0)</f>
        <v>1805000</v>
      </c>
      <c r="AS110" s="55">
        <f>IFERROR(__xludf.DUMMYFUNCTION("importrange(""https://docs.google.com/spreadsheets/d/1UteHRCCON4AO5JM7duOBoq72OM5x2CQQr2sJKgCMmOA/edit#gid=218756102"",""2025-26!v3"")"),45.0)</f>
        <v>45</v>
      </c>
      <c r="AT110" s="57">
        <f>IFERROR(__xludf.DUMMYFUNCTION("importrange(""https://docs.google.com/spreadsheets/d/1UteHRCCON4AO5JM7duOBoq72OM5x2CQQr2sJKgCMmOA/edit#gid=218756102"",""2025-26!w4"")"),1251991.4000000004)</f>
        <v>1251991.4</v>
      </c>
      <c r="AU110" s="55">
        <f>IFERROR(__xludf.DUMMYFUNCTION("importrange(""https://docs.google.com/spreadsheets/d/1UteHRCCON4AO5JM7duOBoq72OM5x2CQQr2sJKgCMmOA/edit#gid=218756102"",""2025-26!w3"")"),19.0)</f>
        <v>19</v>
      </c>
      <c r="AV110" s="58">
        <f t="shared" si="22"/>
        <v>0.6319739612</v>
      </c>
      <c r="AW110" s="55">
        <f>IFERROR(__xludf.DUMMYFUNCTION("importrange(""https://docs.google.com/spreadsheets/d/1UteHRCCON4AO5JM7duOBoq72OM5x2CQQr2sJKgCMmOA/edit#gid=218756102"",""2025-26!x4"")"),1140713.0)</f>
        <v>1140713</v>
      </c>
      <c r="AX110" s="55">
        <f>IFERROR(__xludf.DUMMYFUNCTION("importrange(""https://docs.google.com/spreadsheets/d/1UteHRCCON4AO5JM7duOBoq72OM5x2CQQr2sJKgCMmOA/edit#gid=218756102"",""2025-26!x3"")"),20.0)</f>
        <v>20</v>
      </c>
      <c r="AY110" s="55">
        <f>IFERROR(__xludf.DUMMYFUNCTION("importrange(""https://docs.google.com/spreadsheets/d/1UteHRCCON4AO5JM7duOBoq72OM5x2CQQr2sJKgCMmOA/edit#gid=218756102"",""2025-26!y4"")"),1805000.0)</f>
        <v>1805000</v>
      </c>
      <c r="AZ110" s="55">
        <f>IFERROR(__xludf.DUMMYFUNCTION("importrange(""https://docs.google.com/spreadsheets/d/1UteHRCCON4AO5JM7duOBoq72OM5x2CQQr2sJKgCMmOA/edit#gid=218756102"",""2025-26!y3"")"),45.0)</f>
        <v>45</v>
      </c>
      <c r="BA110" s="57">
        <f>IFERROR(__xludf.DUMMYFUNCTION("importrange(""https://docs.google.com/spreadsheets/d/1UteHRCCON4AO5JM7duOBoq72OM5x2CQQr2sJKgCMmOA/edit#gid=218756102"",""2025-26!z4"")"),1776802.2700000003)</f>
        <v>1776802.27</v>
      </c>
      <c r="BB110" s="55">
        <f>IFERROR(__xludf.DUMMYFUNCTION("importrange(""https://docs.google.com/spreadsheets/d/1UteHRCCON4AO5JM7duOBoq72OM5x2CQQr2sJKgCMmOA/edit#gid=218756102"",""2025-26!z3"")"),15.0)</f>
        <v>15</v>
      </c>
      <c r="BC110" s="59">
        <f t="shared" si="23"/>
        <v>0.9766254848</v>
      </c>
      <c r="BD110" s="55">
        <f>IFERROR(__xludf.DUMMYFUNCTION("importrange(""https://docs.google.com/spreadsheets/d/1UteHRCCON4AO5JM7duOBoq72OM5x2CQQr2sJKgCMmOA/edit#gid=218756102"",""2025-26!aa4"")"),1762809.0)</f>
        <v>1762809</v>
      </c>
      <c r="BE110" s="55">
        <f>IFERROR(__xludf.DUMMYFUNCTION("importrange(""https://docs.google.com/spreadsheets/d/1UteHRCCON4AO5JM7duOBoq72OM5x2CQQr2sJKgCMmOA/edit#gid=218756102"",""2025-26!aa3"")"),14.0)</f>
        <v>14</v>
      </c>
      <c r="BF110" s="55">
        <f>IFERROR(__xludf.DUMMYFUNCTION("importrange(""https://docs.google.com/spreadsheets/d/1UteHRCCON4AO5JM7duOBoq72OM5x2CQQr2sJKgCMmOA/edit#gid=218756102"",""2025-26!ab4"")"),2205000.0)</f>
        <v>2205000</v>
      </c>
      <c r="BG110" s="55">
        <f>IFERROR(__xludf.DUMMYFUNCTION("importrange(""https://docs.google.com/spreadsheets/d/1UteHRCCON4AO5JM7duOBoq72OM5x2CQQr2sJKgCMmOA/edit#gid=218756102"",""2025-26!ab3"")"),47.0)</f>
        <v>47</v>
      </c>
      <c r="BH110" s="55">
        <f>IFERROR(__xludf.DUMMYFUNCTION("importrange(""https://docs.google.com/spreadsheets/d/1UteHRCCON4AO5JM7duOBoq72OM5x2CQQr2sJKgCMmOA/edit#gid=218756102"",""2025-26!ac4"")"),1058071.2)</f>
        <v>1058071.2</v>
      </c>
      <c r="BI110" s="55">
        <f>IFERROR(__xludf.DUMMYFUNCTION("importrange(""https://docs.google.com/spreadsheets/d/1UteHRCCON4AO5JM7duOBoq72OM5x2CQQr2sJKgCMmOA/edit#gid=218756102"",""2025-26!ac3"")"),10.0)</f>
        <v>10</v>
      </c>
      <c r="BJ110" s="59">
        <f t="shared" si="24"/>
        <v>0.4798507937</v>
      </c>
      <c r="BK110" s="55">
        <f>IFERROR(__xludf.DUMMYFUNCTION("importrange(""https://docs.google.com/spreadsheets/d/1UteHRCCON4AO5JM7duOBoq72OM5x2CQQr2sJKgCMmOA/edit#gid=218756102"",""2025-26!ad4"")"),1058071.0)</f>
        <v>1058071</v>
      </c>
      <c r="BL110" s="55">
        <f>IFERROR(__xludf.DUMMYFUNCTION("importrange(""https://docs.google.com/spreadsheets/d/1UteHRCCON4AO5JM7duOBoq72OM5x2CQQr2sJKgCMmOA/edit#gid=218756102"",""2025-26!ad3"")"),9.0)</f>
        <v>9</v>
      </c>
      <c r="BM110" s="55">
        <f>IFERROR(__xludf.DUMMYFUNCTION("importrange(""https://docs.google.com/spreadsheets/d/1UteHRCCON4AO5JM7duOBoq72OM5x2CQQr2sJKgCMmOA/edit#gid=218756102"",""2025-26!ae4"")"),1855000.0)</f>
        <v>1855000</v>
      </c>
      <c r="BN110" s="55">
        <f>IFERROR(__xludf.DUMMYFUNCTION("importrange(""https://docs.google.com/spreadsheets/d/1UteHRCCON4AO5JM7duOBoq72OM5x2CQQr2sJKgCMmOA/edit#gid=218756102"",""2025-26!ae3"")"),46.0)</f>
        <v>46</v>
      </c>
      <c r="BO110" s="55">
        <f>IFERROR(__xludf.DUMMYFUNCTION("importrange(""https://docs.google.com/spreadsheets/d/1UteHRCCON4AO5JM7duOBoq72OM5x2CQQr2sJKgCMmOA/edit#gid=218756102"",""2025-26!af4"")"),912802.0700000001)</f>
        <v>912802.07</v>
      </c>
      <c r="BP110" s="55">
        <f>IFERROR(__xludf.DUMMYFUNCTION("importrange(""https://docs.google.com/spreadsheets/d/1UteHRCCON4AO5JM7duOBoq72OM5x2CQQr2sJKgCMmOA/edit#gid=218756102"",""2025-26!af3"")"),9.0)</f>
        <v>9</v>
      </c>
      <c r="BQ110" s="59">
        <f t="shared" si="25"/>
        <v>0.4338037736</v>
      </c>
      <c r="BR110" s="55">
        <f>IFERROR(__xludf.DUMMYFUNCTION("importrange(""https://docs.google.com/spreadsheets/d/1UteHRCCON4AO5JM7duOBoq72OM5x2CQQr2sJKgCMmOA/edit#gid=218756102"",""2025-26!ag4"")"),804706.0)</f>
        <v>804706</v>
      </c>
      <c r="BS110" s="55">
        <f>IFERROR(__xludf.DUMMYFUNCTION("importrange(""https://docs.google.com/spreadsheets/d/1UteHRCCON4AO5JM7duOBoq72OM5x2CQQr2sJKgCMmOA/edit#gid=218756102"",""2025-26!ag3"")"),12.0)</f>
        <v>12</v>
      </c>
      <c r="BT110" s="55">
        <f>IFERROR(__xludf.DUMMYFUNCTION("importrange(""https://docs.google.com/spreadsheets/d/1UteHRCCON4AO5JM7duOBoq72OM5x2CQQr2sJKgCMmOA/edit#gid=218756102"",""2025-26!ah4"")"),1605000.0)</f>
        <v>1605000</v>
      </c>
      <c r="BU110" s="55">
        <f>IFERROR(__xludf.DUMMYFUNCTION("importrange(""https://docs.google.com/spreadsheets/d/1UteHRCCON4AO5JM7duOBoq72OM5x2CQQr2sJKgCMmOA/edit#gid=218756102"",""2025-26!ah3"")"),44.0)</f>
        <v>44</v>
      </c>
      <c r="BV110" s="55">
        <f>IFERROR(__xludf.DUMMYFUNCTION("importrange(""https://docs.google.com/spreadsheets/d/1UteHRCCON4AO5JM7duOBoq72OM5x2CQQr2sJKgCMmOA/edit#gid=218756102"",""2025-26!ai4"")"),567208.39)</f>
        <v>567208.39</v>
      </c>
      <c r="BW110" s="55">
        <f>IFERROR(__xludf.DUMMYFUNCTION("importrange(""https://docs.google.com/spreadsheets/d/1UteHRCCON4AO5JM7duOBoq72OM5x2CQQr2sJKgCMmOA/edit#gid=218756102"",""2025-26!ai3"")"),8.0)</f>
        <v>8</v>
      </c>
      <c r="BX110" s="59">
        <f t="shared" si="26"/>
        <v>0.5576049844</v>
      </c>
      <c r="BY110" s="55">
        <f>IFERROR(__xludf.DUMMYFUNCTION("importrange(""https://docs.google.com/spreadsheets/d/1UteHRCCON4AO5JM7duOBoq72OM5x2CQQr2sJKgCMmOA/edit#gid=218756102"",""2025-26!aj4"")"),894956.0)</f>
        <v>894956</v>
      </c>
      <c r="BZ110" s="55">
        <f>IFERROR(__xludf.DUMMYFUNCTION("importrange(""https://docs.google.com/spreadsheets/d/1UteHRCCON4AO5JM7duOBoq72OM5x2CQQr2sJKgCMmOA/edit#gid=218756102"",""2025-26!aj3"")"),17.0)</f>
        <v>17</v>
      </c>
      <c r="CA110" s="55">
        <f>IFERROR(__xludf.DUMMYFUNCTION("importrange(""https://docs.google.com/spreadsheets/d/1UteHRCCON4AO5JM7duOBoq72OM5x2CQQr2sJKgCMmOA/edit#gid=218756102"",""2025-26!ak4"")"),2105000.0)</f>
        <v>2105000</v>
      </c>
      <c r="CB110" s="55">
        <f>IFERROR(__xludf.DUMMYFUNCTION("importrange(""https://docs.google.com/spreadsheets/d/1UteHRCCON4AO5JM7duOBoq72OM5x2CQQr2sJKgCMmOA/edit#gid=218756102"",""2025-26!ak3"")"),47.0)</f>
        <v>47</v>
      </c>
      <c r="CC110" s="55">
        <f>IFERROR(__xludf.DUMMYFUNCTION("importrange(""https://docs.google.com/spreadsheets/d/1UteHRCCON4AO5JM7duOBoq72OM5x2CQQr2sJKgCMmOA/edit#gid=218756102"",""2025-26!al4"")"),1317592.64)</f>
        <v>1317592.64</v>
      </c>
      <c r="CD110" s="55">
        <f>IFERROR(__xludf.DUMMYFUNCTION("importrange(""https://docs.google.com/spreadsheets/d/1UteHRCCON4AO5JM7duOBoq72OM5x2CQQr2sJKgCMmOA/edit#gid=218756102"",""2025-26!ai3"")"),8.0)</f>
        <v>8</v>
      </c>
      <c r="CE110" s="59">
        <f t="shared" si="27"/>
        <v>0.6727311164</v>
      </c>
      <c r="CF110" s="55">
        <f>IFERROR(__xludf.DUMMYFUNCTION("importrange(""https://docs.google.com/spreadsheets/d/1UteHRCCON4AO5JM7duOBoq72OM5x2CQQr2sJKgCMmOA/edit#gid=218756102"",""2025-26!am4"")"),1416099.0)</f>
        <v>1416099</v>
      </c>
      <c r="CG110" s="55">
        <f>IFERROR(__xludf.DUMMYFUNCTION("importrange(""https://docs.google.com/spreadsheets/d/1UteHRCCON4AO5JM7duOBoq72OM5x2CQQr2sJKgCMmOA/edit#gid=218756102"",""2025-26!am3"")"),17.0)</f>
        <v>17</v>
      </c>
      <c r="CH110" s="55">
        <f>IFERROR(__xludf.DUMMYFUNCTION("importrange(""https://docs.google.com/spreadsheets/d/1UteHRCCON4AO5JM7duOBoq72OM5x2CQQr2sJKgCMmOA/edit#gid=218756102"",""2025-26!an4"")"),1655000.0)</f>
        <v>1655000</v>
      </c>
      <c r="CI110" s="55">
        <f>IFERROR(__xludf.DUMMYFUNCTION("importrange(""https://docs.google.com/spreadsheets/d/1UteHRCCON4AO5JM7duOBoq72OM5x2CQQr2sJKgCMmOA/edit#gid=218756102"",""2025-26!an3"")"),45.0)</f>
        <v>45</v>
      </c>
      <c r="CJ110" s="55">
        <f>IFERROR(__xludf.DUMMYFUNCTION("importrange(""https://docs.google.com/spreadsheets/d/1UteHRCCON4AO5JM7duOBoq72OM5x2CQQr2sJKgCMmOA/edit#gid=218756102"",""2025-26!ao4"")"),1126188.53)</f>
        <v>1126188.53</v>
      </c>
      <c r="CK110" s="55">
        <f>IFERROR(__xludf.DUMMYFUNCTION("importrange(""https://docs.google.com/spreadsheets/d/1UteHRCCON4AO5JM7duOBoq72OM5x2CQQr2sJKgCMmOA/edit#gid=218756102"",""2025-26!ao3"")"),3.0)</f>
        <v>3</v>
      </c>
      <c r="CL110" s="59">
        <f t="shared" si="28"/>
        <v>0.6666990937</v>
      </c>
      <c r="CM110" s="55">
        <f>IFERROR(__xludf.DUMMYFUNCTION("importrange(""https://docs.google.com/spreadsheets/d/1UteHRCCON4AO5JM7duOBoq72OM5x2CQQr2sJKgCMmOA/edit#gid=218756102"",""2025-26!ap4"")"),1103387.0)</f>
        <v>1103387</v>
      </c>
      <c r="CN110" s="55">
        <f>IFERROR(__xludf.DUMMYFUNCTION("importrange(""https://docs.google.com/spreadsheets/d/1UteHRCCON4AO5JM7duOBoq72OM5x2CQQr2sJKgCMmOA/edit#gid=218756102"",""2025-26!ap3"")"),11.0)</f>
        <v>11</v>
      </c>
      <c r="CO110" s="55">
        <f>IFERROR(__xludf.DUMMYFUNCTION("importrange(""https://docs.google.com/spreadsheets/d/1UteHRCCON4AO5JM7duOBoq72OM5x2CQQr2sJKgCMmOA/edit#gid=218756102"",""2025-26!aq4"")"),1605000.0)</f>
        <v>1605000</v>
      </c>
      <c r="CP110" s="55">
        <f>IFERROR(__xludf.DUMMYFUNCTION("importrange(""https://docs.google.com/spreadsheets/d/1UteHRCCON4AO5JM7duOBoq72OM5x2CQQr2sJKgCMmOA/edit#gid=218756102"",""2025-26!aq3"")"),44.0)</f>
        <v>44</v>
      </c>
      <c r="CQ110" s="55">
        <f>IFERROR(__xludf.DUMMYFUNCTION("importrange(""https://docs.google.com/spreadsheets/d/1UteHRCCON4AO5JM7duOBoq72OM5x2CQQr2sJKgCMmOA/edit#gid=218756102"",""2025-26!ar4"")"),1676039.08)</f>
        <v>1676039.08</v>
      </c>
      <c r="CR110" s="55">
        <f>IFERROR(__xludf.DUMMYFUNCTION("importrange(""https://docs.google.com/spreadsheets/d/1UteHRCCON4AO5JM7duOBoq72OM5x2CQQr2sJKgCMmOA/edit#gid=218756102"",""2025-26!ar3"")"),10.0)</f>
        <v>10</v>
      </c>
      <c r="CS110" s="59">
        <f t="shared" si="29"/>
        <v>0.9622031153</v>
      </c>
      <c r="CT110" s="55">
        <f>IFERROR(__xludf.DUMMYFUNCTION("importrange(""https://docs.google.com/spreadsheets/d/1UteHRCCON4AO5JM7duOBoq72OM5x2CQQr2sJKgCMmOA/edit#gid=218756102"",""2025-26!as4"")"),1544336.0)</f>
        <v>1544336</v>
      </c>
      <c r="CU110" s="55">
        <f>IFERROR(__xludf.DUMMYFUNCTION("importrange(""https://docs.google.com/spreadsheets/d/1UteHRCCON4AO5JM7duOBoq72OM5x2CQQr2sJKgCMmOA/edit#gid=218756102"",""2025-26!as3"")"),10.0)</f>
        <v>10</v>
      </c>
      <c r="CV110" s="60" t="s">
        <v>222</v>
      </c>
    </row>
    <row r="111">
      <c r="A111" s="1" t="s">
        <v>185</v>
      </c>
      <c r="B111" s="37"/>
      <c r="C111" s="64" t="s">
        <v>246</v>
      </c>
      <c r="D111" s="50" t="s">
        <v>247</v>
      </c>
      <c r="E111" s="50">
        <v>8.159069848E9</v>
      </c>
      <c r="F111" s="74">
        <v>45108.0</v>
      </c>
      <c r="G111" s="62"/>
      <c r="H111" s="62"/>
      <c r="I111" s="53">
        <v>18320.0</v>
      </c>
      <c r="J111" s="54">
        <v>4000000.0</v>
      </c>
      <c r="K111" s="57">
        <f>IFERROR(__xludf.DUMMYFUNCTION("IMPORTRANGE(""https://docs.google.com/spreadsheets/d/1nZS-t-cNO00Enmafk2x3CmLJnbno5WaD_EEIUOjJ93Q/edit#gid=1877619074"",""2025-26!A3"")"),149.0)</f>
        <v>149</v>
      </c>
      <c r="L111" s="57">
        <f>IFERROR(__xludf.DUMMYFUNCTION("IMPORTRANGE(""https://docs.google.com/spreadsheets/d/1nZS-t-cNO00Enmafk2x3CmLJnbno5WaD_EEIUOjJ93Q/edit#gid=1877619074"",""2025-26!G4"")"),4.09E7)</f>
        <v>40900000</v>
      </c>
      <c r="M111" s="57">
        <f t="shared" si="50"/>
        <v>42261963.63</v>
      </c>
      <c r="N111" s="56">
        <f t="shared" si="51"/>
        <v>0.9846874817</v>
      </c>
      <c r="O111" s="57">
        <f t="shared" si="52"/>
        <v>40273718</v>
      </c>
      <c r="P111" s="55">
        <f>IFERROR(__xludf.DUMMYFUNCTION("IMPORTRANGE(""https://docs.google.com/spreadsheets/d/1nZS-t-cNO00Enmafk2x3CmLJnbno5WaD_EEIUOjJ93Q/edit#gid=1877619074"",""2025-26!J4"")"),3346653.0)</f>
        <v>3346653</v>
      </c>
      <c r="Q111" s="55">
        <f>IFERROR(__xludf.DUMMYFUNCTION("IMPORTRANGE(""https://docs.google.com/spreadsheets/d/1nZS-t-cNO00Enmafk2x3CmLJnbno5WaD_EEIUOjJ93Q/edit#gid=1877619074"",""2025-26!J3"")"),42.0)</f>
        <v>42</v>
      </c>
      <c r="R111" s="55">
        <f>IFERROR(__xludf.DUMMYFUNCTION("IMPORTRANGE(""https://docs.google.com/spreadsheets/d/1nZS-t-cNO00Enmafk2x3CmLJnbno5WaD_EEIUOjJ93Q/edit#gid=1877619074"",""2025-26!K4"")"),1187586.4)</f>
        <v>1187586.4</v>
      </c>
      <c r="S111" s="55">
        <f>IFERROR(__xludf.DUMMYFUNCTION("IMPORTRANGE(""https://docs.google.com/spreadsheets/d/1nZS-t-cNO00Enmafk2x3CmLJnbno5WaD_EEIUOjJ93Q/edit#gid=1877619074"",""2025-26!K3"")"),11.0)</f>
        <v>11</v>
      </c>
      <c r="T111" s="58">
        <f t="shared" si="18"/>
        <v>0.4182979233</v>
      </c>
      <c r="U111" s="55">
        <f>IFERROR(__xludf.DUMMYFUNCTION("IMPORTRANGE(""https://docs.google.com/spreadsheets/d/1nZS-t-cNO00Enmafk2x3CmLJnbno5WaD_EEIUOjJ93Q/edit#gid=1877619074"",""2025-26!L4"")"),1399898.0)</f>
        <v>1399898</v>
      </c>
      <c r="V111" s="79">
        <f>IFERROR(__xludf.DUMMYFUNCTION("IMPORTRANGE(""https://docs.google.com/spreadsheets/d/1nZS-t-cNO00Enmafk2x3CmLJnbno5WaD_EEIUOjJ93Q/edit#gid=1877619074"",""2025-26!L3"")"),18.0)</f>
        <v>18</v>
      </c>
      <c r="W111" s="55">
        <f>IFERROR(__xludf.DUMMYFUNCTION("IMPORTRANGE(""https://docs.google.com/spreadsheets/d/1nZS-t-cNO00Enmafk2x3CmLJnbno5WaD_EEIUOjJ93Q/edit#gid=1877619074"",""2025-26!M4"")"),3346653.0)</f>
        <v>3346653</v>
      </c>
      <c r="X111" s="79">
        <f>IFERROR(__xludf.DUMMYFUNCTION("IMPORTRANGE(""https://docs.google.com/spreadsheets/d/1nZS-t-cNO00Enmafk2x3CmLJnbno5WaD_EEIUOjJ93Q/edit#gid=1877619074"",""2025-26!M3"")"),42.0)</f>
        <v>42</v>
      </c>
      <c r="Y111" s="55">
        <f>IFERROR(__xludf.DUMMYFUNCTION("importrange(""https://docs.google.com/spreadsheets/d/1nZS-t-cNO00Enmafk2x3CmLJnbno5WaD_EEIUOjJ93Q/edit#gid=1877619074"",""2025-26!n4"")"),3478221.3)</f>
        <v>3478221.3</v>
      </c>
      <c r="Z111" s="55">
        <f>IFERROR(__xludf.DUMMYFUNCTION("importrange(""https://docs.google.com/spreadsheets/d/1nZS-t-cNO00Enmafk2x3CmLJnbno5WaD_EEIUOjJ93Q/edit#gid=1877619074"",""2025-26!n3"")"),24.0)</f>
        <v>24</v>
      </c>
      <c r="AA111" s="58">
        <f t="shared" si="19"/>
        <v>0.302941775</v>
      </c>
      <c r="AB111" s="55">
        <f>IFERROR(__xludf.DUMMYFUNCTION("importrange(""https://docs.google.com/spreadsheets/d/1nZS-t-cNO00Enmafk2x3CmLJnbno5WaD_EEIUOjJ93Q/edit#gid=1877619074"",""2025-26!o4"")"),1013841.0)</f>
        <v>1013841</v>
      </c>
      <c r="AC111" s="55">
        <f>IFERROR(__xludf.DUMMYFUNCTION("importrange(""https://docs.google.com/spreadsheets/d/1nZS-t-cNO00Enmafk2x3CmLJnbno5WaD_EEIUOjJ93Q/edit#gid=1877619074"",""2025-26!o3"")"),23.0)</f>
        <v>23</v>
      </c>
      <c r="AD111" s="55">
        <f>IFERROR(__xludf.DUMMYFUNCTION("importrange(""https://docs.google.com/spreadsheets/d/1nZS-t-cNO00Enmafk2x3CmLJnbno5WaD_EEIUOjJ93Q/edit#gid=1877619074"",""2025-26!p4"")"),3346653.0)</f>
        <v>3346653</v>
      </c>
      <c r="AE111" s="55">
        <f>IFERROR(__xludf.DUMMYFUNCTION("importrange(""https://docs.google.com/spreadsheets/d/1nZS-t-cNO00Enmafk2x3CmLJnbno5WaD_EEIUOjJ93Q/edit#gid=1877619074"",""2025-26!p3"")"),42.0)</f>
        <v>42</v>
      </c>
      <c r="AF111" s="55">
        <f>IFERROR(__xludf.DUMMYFUNCTION("importrange(""https://docs.google.com/spreadsheets/d/1nZS-t-cNO00Enmafk2x3CmLJnbno5WaD_EEIUOjJ93Q/edit#gid=1877619074"",""2025-26!q4"")"),3710771.3)</f>
        <v>3710771.3</v>
      </c>
      <c r="AG111" s="55">
        <f>IFERROR(__xludf.DUMMYFUNCTION("importrange(""https://docs.google.com/spreadsheets/d/1nZS-t-cNO00Enmafk2x3CmLJnbno5WaD_EEIUOjJ93Q/edit#gid=1877619074"",""2025-26!q3"")"),22.0)</f>
        <v>22</v>
      </c>
      <c r="AH111" s="58">
        <f t="shared" si="20"/>
        <v>0.9346633786</v>
      </c>
      <c r="AI111" s="55">
        <f>IFERROR(__xludf.DUMMYFUNCTION("importrange(""https://docs.google.com/spreadsheets/d/1nZS-t-cNO00Enmafk2x3CmLJnbno5WaD_EEIUOjJ93Q/edit#gid=1877619074"",""2025-26!r4"")"),3127994.0)</f>
        <v>3127994</v>
      </c>
      <c r="AJ111" s="55">
        <f>IFERROR(__xludf.DUMMYFUNCTION("importrange(""https://docs.google.com/spreadsheets/d/1nZS-t-cNO00Enmafk2x3CmLJnbno5WaD_EEIUOjJ93Q/edit#gid=1877619074"",""2025-26!r3"")"),18.0)</f>
        <v>18</v>
      </c>
      <c r="AK111" s="55">
        <f>IFERROR(__xludf.DUMMYFUNCTION("importrange(""https://docs.google.com/spreadsheets/d/1nZS-t-cNO00Enmafk2x3CmLJnbno5WaD_EEIUOjJ93Q/edit#gid=1877619074"",""2025-26!s4"")"),3346653.0)</f>
        <v>3346653</v>
      </c>
      <c r="AL111" s="55">
        <f>IFERROR(__xludf.DUMMYFUNCTION("importrange(""https://docs.google.com/spreadsheets/d/1nZS-t-cNO00Enmafk2x3CmLJnbno5WaD_EEIUOjJ93Q/edit#gid=1877619074"",""2025-26!s3"")"),42.0)</f>
        <v>42</v>
      </c>
      <c r="AM111" s="57">
        <f>IFERROR(__xludf.DUMMYFUNCTION("importrange(""https://docs.google.com/spreadsheets/d/1nZS-t-cNO00Enmafk2x3CmLJnbno5WaD_EEIUOjJ93Q/edit#gid=1877619074"",""2025-26!t4"")"),3734883.0399999996)</f>
        <v>3734883.04</v>
      </c>
      <c r="AN111" s="55">
        <f>IFERROR(__xludf.DUMMYFUNCTION("importrange(""https://docs.google.com/spreadsheets/d/1nZS-t-cNO00Enmafk2x3CmLJnbno5WaD_EEIUOjJ93Q/edit#gid=1877619074"",""2025-26!t3"")"),24.0)</f>
        <v>24</v>
      </c>
      <c r="AO111" s="58">
        <f t="shared" si="21"/>
        <v>1.004010574</v>
      </c>
      <c r="AP111" s="55">
        <f>IFERROR(__xludf.DUMMYFUNCTION("importrange(""https://docs.google.com/spreadsheets/d/1nZS-t-cNO00Enmafk2x3CmLJnbno5WaD_EEIUOjJ93Q/edit#gid=1877619074"",""2025-26!u4"")"),3360075.0)</f>
        <v>3360075</v>
      </c>
      <c r="AQ111" s="55">
        <f>IFERROR(__xludf.DUMMYFUNCTION("importrange(""https://docs.google.com/spreadsheets/d/1nZS-t-cNO00Enmafk2x3CmLJnbno5WaD_EEIUOjJ93Q/edit#gid=1877619074"",""2025-26!u3"")"),24.0)</f>
        <v>24</v>
      </c>
      <c r="AR111" s="55">
        <f>IFERROR(__xludf.DUMMYFUNCTION("importrange(""https://docs.google.com/spreadsheets/d/1nZS-t-cNO00Enmafk2x3CmLJnbno5WaD_EEIUOjJ93Q/edit#gid=1877619074"",""2025-26!v4"")"),3346653.0)</f>
        <v>3346653</v>
      </c>
      <c r="AS111" s="55">
        <f>IFERROR(__xludf.DUMMYFUNCTION("importrange(""https://docs.google.com/spreadsheets/d/1nZS-t-cNO00Enmafk2x3CmLJnbno5WaD_EEIUOjJ93Q/edit#gid=1877619074"",""2025-26!v3"")"),42.0)</f>
        <v>42</v>
      </c>
      <c r="AT111" s="57">
        <f>IFERROR(__xludf.DUMMYFUNCTION("importrange(""https://docs.google.com/spreadsheets/d/1nZS-t-cNO00Enmafk2x3CmLJnbno5WaD_EEIUOjJ93Q/edit#gid=1877619074"",""2025-26!w4"")"),3759074.5)</f>
        <v>3759074.5</v>
      </c>
      <c r="AU111" s="55">
        <f>IFERROR(__xludf.DUMMYFUNCTION("importrange(""https://docs.google.com/spreadsheets/d/1nZS-t-cNO00Enmafk2x3CmLJnbno5WaD_EEIUOjJ93Q/edit#gid=1877619074"",""2025-26!w3"")"),18.0)</f>
        <v>18</v>
      </c>
      <c r="AV111" s="58">
        <f t="shared" si="22"/>
        <v>1.083670461</v>
      </c>
      <c r="AW111" s="55">
        <f>IFERROR(__xludf.DUMMYFUNCTION("importrange(""https://docs.google.com/spreadsheets/d/1nZS-t-cNO00Enmafk2x3CmLJnbno5WaD_EEIUOjJ93Q/edit#gid=1877619074"",""2025-26!x4"")"),3626669.0)</f>
        <v>3626669</v>
      </c>
      <c r="AX111" s="55">
        <f>IFERROR(__xludf.DUMMYFUNCTION("importrange(""https://docs.google.com/spreadsheets/d/1nZS-t-cNO00Enmafk2x3CmLJnbno5WaD_EEIUOjJ93Q/edit#gid=1877619074"",""2025-26!x3"")"),25.0)</f>
        <v>25</v>
      </c>
      <c r="AY111" s="55">
        <f>IFERROR(__xludf.DUMMYFUNCTION("importrange(""https://docs.google.com/spreadsheets/d/1nZS-t-cNO00Enmafk2x3CmLJnbno5WaD_EEIUOjJ93Q/edit#gid=1877619074"",""2025-26!y4"")"),3346653.0)</f>
        <v>3346653</v>
      </c>
      <c r="AZ111" s="55">
        <f>IFERROR(__xludf.DUMMYFUNCTION("importrange(""https://docs.google.com/spreadsheets/d/1nZS-t-cNO00Enmafk2x3CmLJnbno5WaD_EEIUOjJ93Q/edit#gid=1877619074"",""2025-26!y3"")"),42.0)</f>
        <v>42</v>
      </c>
      <c r="BA111" s="57">
        <f>IFERROR(__xludf.DUMMYFUNCTION("importrange(""https://docs.google.com/spreadsheets/d/1nZS-t-cNO00Enmafk2x3CmLJnbno5WaD_EEIUOjJ93Q/edit#gid=1877619074"",""2025-26!z4"")"),3163734.01)</f>
        <v>3163734.01</v>
      </c>
      <c r="BB111" s="55">
        <f>IFERROR(__xludf.DUMMYFUNCTION("importrange(""https://docs.google.com/spreadsheets/d/1nZS-t-cNO00Enmafk2x3CmLJnbno5WaD_EEIUOjJ93Q/edit#gid=1877619074"",""2025-26!z3"")"),25.0)</f>
        <v>25</v>
      </c>
      <c r="BC111" s="59">
        <f t="shared" si="23"/>
        <v>0.8297564761</v>
      </c>
      <c r="BD111" s="55">
        <f>IFERROR(__xludf.DUMMYFUNCTION("importrange(""https://docs.google.com/spreadsheets/d/1nZS-t-cNO00Enmafk2x3CmLJnbno5WaD_EEIUOjJ93Q/edit#gid=1877619074"",""2025-26!aa4"")"),2776907.0)</f>
        <v>2776907</v>
      </c>
      <c r="BE111" s="55">
        <f>IFERROR(__xludf.DUMMYFUNCTION("importrange(""https://docs.google.com/spreadsheets/d/1nZS-t-cNO00Enmafk2x3CmLJnbno5WaD_EEIUOjJ93Q/edit#gid=1877619074"",""2025-26!aa3"")"),30.0)</f>
        <v>30</v>
      </c>
      <c r="BF111" s="55">
        <f>IFERROR(__xludf.DUMMYFUNCTION("importrange(""https://docs.google.com/spreadsheets/d/1nZS-t-cNO00Enmafk2x3CmLJnbno5WaD_EEIUOjJ93Q/edit#gid=1877619074"",""2025-26!ab4"")"),3469983.0)</f>
        <v>3469983</v>
      </c>
      <c r="BG111" s="55">
        <f>IFERROR(__xludf.DUMMYFUNCTION("importrange(""https://docs.google.com/spreadsheets/d/1nZS-t-cNO00Enmafk2x3CmLJnbno5WaD_EEIUOjJ93Q/edit#gid=1877619074"",""2025-26!ab3"")"),49.0)</f>
        <v>49</v>
      </c>
      <c r="BH111" s="55">
        <f>IFERROR(__xludf.DUMMYFUNCTION("importrange(""https://docs.google.com/spreadsheets/d/1nZS-t-cNO00Enmafk2x3CmLJnbno5WaD_EEIUOjJ93Q/edit#gid=1877619074"",""2025-26!ac4"")"),2716746.3700000006)</f>
        <v>2716746.37</v>
      </c>
      <c r="BI111" s="55">
        <f>IFERROR(__xludf.DUMMYFUNCTION("importrange(""https://docs.google.com/spreadsheets/d/1nZS-t-cNO00Enmafk2x3CmLJnbno5WaD_EEIUOjJ93Q/edit#gid=1877619074"",""2025-26!ac3"")"),17.0)</f>
        <v>17</v>
      </c>
      <c r="BJ111" s="59">
        <f t="shared" si="24"/>
        <v>0.5095416894</v>
      </c>
      <c r="BK111" s="55">
        <f>IFERROR(__xludf.DUMMYFUNCTION("importrange(""https://docs.google.com/spreadsheets/d/1nZS-t-cNO00Enmafk2x3CmLJnbno5WaD_EEIUOjJ93Q/edit#gid=1877619074"",""2025-26!ad4"")"),1768101.0)</f>
        <v>1768101</v>
      </c>
      <c r="BL111" s="55">
        <f>IFERROR(__xludf.DUMMYFUNCTION("importrange(""https://docs.google.com/spreadsheets/d/1nZS-t-cNO00Enmafk2x3CmLJnbno5WaD_EEIUOjJ93Q/edit#gid=1877619074"",""2025-26!ad3"")"),25.0)</f>
        <v>25</v>
      </c>
      <c r="BM111" s="55">
        <f>IFERROR(__xludf.DUMMYFUNCTION("importrange(""https://docs.google.com/spreadsheets/d/1nZS-t-cNO00Enmafk2x3CmLJnbno5WaD_EEIUOjJ93Q/edit#gid=1877619074"",""2025-26!ae4"")"),3469983.0)</f>
        <v>3469983</v>
      </c>
      <c r="BN111" s="55">
        <f>IFERROR(__xludf.DUMMYFUNCTION("importrange(""https://docs.google.com/spreadsheets/d/1nZS-t-cNO00Enmafk2x3CmLJnbno5WaD_EEIUOjJ93Q/edit#gid=1877619074"",""2025-26!ae3"")"),49.0)</f>
        <v>49</v>
      </c>
      <c r="BO111" s="55">
        <f>IFERROR(__xludf.DUMMYFUNCTION("importrange(""https://docs.google.com/spreadsheets/d/1nZS-t-cNO00Enmafk2x3CmLJnbno5WaD_EEIUOjJ93Q/edit#gid=1877619074"",""2025-26!af4"")"),2518134.81)</f>
        <v>2518134.81</v>
      </c>
      <c r="BP111" s="55">
        <f>IFERROR(__xludf.DUMMYFUNCTION("importrange(""https://docs.google.com/spreadsheets/d/1nZS-t-cNO00Enmafk2x3CmLJnbno5WaD_EEIUOjJ93Q/edit#gid=1877619074"",""2025-26!af3"")"),15.0)</f>
        <v>15</v>
      </c>
      <c r="BQ111" s="59">
        <f t="shared" si="25"/>
        <v>0.8501926378</v>
      </c>
      <c r="BR111" s="55">
        <f>IFERROR(__xludf.DUMMYFUNCTION("importrange(""https://docs.google.com/spreadsheets/d/1nZS-t-cNO00Enmafk2x3CmLJnbno5WaD_EEIUOjJ93Q/edit#gid=1877619074"",""2025-26!ag4"")"),2950154.0)</f>
        <v>2950154</v>
      </c>
      <c r="BS111" s="55">
        <f>IFERROR(__xludf.DUMMYFUNCTION("importrange(""https://docs.google.com/spreadsheets/d/1nZS-t-cNO00Enmafk2x3CmLJnbno5WaD_EEIUOjJ93Q/edit#gid=1877619074"",""2025-26!ag3"")"),23.0)</f>
        <v>23</v>
      </c>
      <c r="BT111" s="55">
        <f>IFERROR(__xludf.DUMMYFUNCTION("importrange(""https://docs.google.com/spreadsheets/d/1nZS-t-cNO00Enmafk2x3CmLJnbno5WaD_EEIUOjJ93Q/edit#gid=1877619074"",""2025-26!ah4"")"),3469983.0)</f>
        <v>3469983</v>
      </c>
      <c r="BU111" s="55">
        <f>IFERROR(__xludf.DUMMYFUNCTION("importrange(""https://docs.google.com/spreadsheets/d/1nZS-t-cNO00Enmafk2x3CmLJnbno5WaD_EEIUOjJ93Q/edit#gid=1877619074"",""2025-26!ah3"")"),49.0)</f>
        <v>49</v>
      </c>
      <c r="BV111" s="55">
        <f>IFERROR(__xludf.DUMMYFUNCTION("importrange(""https://docs.google.com/spreadsheets/d/1nZS-t-cNO00Enmafk2x3CmLJnbno5WaD_EEIUOjJ93Q/edit#gid=1877619074"",""2025-26!ai4"")"),3924180.19)</f>
        <v>3924180.19</v>
      </c>
      <c r="BW111" s="55">
        <f>IFERROR(__xludf.DUMMYFUNCTION("importrange(""https://docs.google.com/spreadsheets/d/1nZS-t-cNO00Enmafk2x3CmLJnbno5WaD_EEIUOjJ93Q/edit#gid=1877619074"",""2025-26!ai3"")"),18.0)</f>
        <v>18</v>
      </c>
      <c r="BX111" s="59">
        <f t="shared" si="26"/>
        <v>1.25942519</v>
      </c>
      <c r="BY111" s="55">
        <f>IFERROR(__xludf.DUMMYFUNCTION("importrange(""https://docs.google.com/spreadsheets/d/1nZS-t-cNO00Enmafk2x3CmLJnbno5WaD_EEIUOjJ93Q/edit#gid=1877619074"",""2025-26!aj4"")"),4370184.0)</f>
        <v>4370184</v>
      </c>
      <c r="BZ111" s="55">
        <f>IFERROR(__xludf.DUMMYFUNCTION("importrange(""https://docs.google.com/spreadsheets/d/1nZS-t-cNO00Enmafk2x3CmLJnbno5WaD_EEIUOjJ93Q/edit#gid=1877619074"",""2025-26!aj3"")"),29.0)</f>
        <v>29</v>
      </c>
      <c r="CA111" s="55">
        <f>IFERROR(__xludf.DUMMYFUNCTION("importrange(""https://docs.google.com/spreadsheets/d/1nZS-t-cNO00Enmafk2x3CmLJnbno5WaD_EEIUOjJ93Q/edit#gid=1877619074"",""2025-26!ak4"")"),3469983.0)</f>
        <v>3469983</v>
      </c>
      <c r="CB111" s="55">
        <f>IFERROR(__xludf.DUMMYFUNCTION("importrange(""https://docs.google.com/spreadsheets/d/1nZS-t-cNO00Enmafk2x3CmLJnbno5WaD_EEIUOjJ93Q/edit#gid=1877619074"",""2025-26!ak3"")"),49.0)</f>
        <v>49</v>
      </c>
      <c r="CC111" s="55">
        <f>IFERROR(__xludf.DUMMYFUNCTION("importrange(""https://docs.google.com/spreadsheets/d/1nZS-t-cNO00Enmafk2x3CmLJnbno5WaD_EEIUOjJ93Q/edit#gid=1877619074"",""2025-26!al4"")"),3097678.1900000004)</f>
        <v>3097678.19</v>
      </c>
      <c r="CD111" s="55">
        <f>IFERROR(__xludf.DUMMYFUNCTION("importrange(""https://docs.google.com/spreadsheets/d/1nZS-t-cNO00Enmafk2x3CmLJnbno5WaD_EEIUOjJ93Q/edit#gid=1877619074"",""2025-26!ai3"")"),18.0)</f>
        <v>18</v>
      </c>
      <c r="CE111" s="59">
        <f t="shared" si="27"/>
        <v>1.488609022</v>
      </c>
      <c r="CF111" s="55">
        <f>IFERROR(__xludf.DUMMYFUNCTION("importrange(""https://docs.google.com/spreadsheets/d/1nZS-t-cNO00Enmafk2x3CmLJnbno5WaD_EEIUOjJ93Q/edit#gid=1877619074"",""2025-26!am4"")"),5165448.0)</f>
        <v>5165448</v>
      </c>
      <c r="CG111" s="55">
        <f>IFERROR(__xludf.DUMMYFUNCTION("importrange(""https://docs.google.com/spreadsheets/d/1nZS-t-cNO00Enmafk2x3CmLJnbno5WaD_EEIUOjJ93Q/edit#gid=1877619074"",""2025-26!am3"")"),23.0)</f>
        <v>23</v>
      </c>
      <c r="CH111" s="55">
        <f>IFERROR(__xludf.DUMMYFUNCTION("importrange(""https://docs.google.com/spreadsheets/d/1nZS-t-cNO00Enmafk2x3CmLJnbno5WaD_EEIUOjJ93Q/edit#gid=1877619074"",""2025-26!an4"")"),3469983.0)</f>
        <v>3469983</v>
      </c>
      <c r="CI111" s="55">
        <f>IFERROR(__xludf.DUMMYFUNCTION("importrange(""https://docs.google.com/spreadsheets/d/1nZS-t-cNO00Enmafk2x3CmLJnbno5WaD_EEIUOjJ93Q/edit#gid=1877619074"",""2025-26!an3"")"),49.0)</f>
        <v>49</v>
      </c>
      <c r="CJ111" s="55">
        <f>IFERROR(__xludf.DUMMYFUNCTION("importrange(""https://docs.google.com/spreadsheets/d/1nZS-t-cNO00Enmafk2x3CmLJnbno5WaD_EEIUOjJ93Q/edit#gid=1877619074"",""2025-26!ao4"")"),2730629.3000000007)</f>
        <v>2730629.3</v>
      </c>
      <c r="CK111" s="55">
        <f>IFERROR(__xludf.DUMMYFUNCTION("importrange(""https://docs.google.com/spreadsheets/d/1nZS-t-cNO00Enmafk2x3CmLJnbno5WaD_EEIUOjJ93Q/edit#gid=1877619074"",""2025-26!ao3"")"),13.0)</f>
        <v>13</v>
      </c>
      <c r="CL111" s="59">
        <f t="shared" si="28"/>
        <v>1.212835337</v>
      </c>
      <c r="CM111" s="55">
        <f>IFERROR(__xludf.DUMMYFUNCTION("importrange(""https://docs.google.com/spreadsheets/d/1nZS-t-cNO00Enmafk2x3CmLJnbno5WaD_EEIUOjJ93Q/edit#gid=1877619074"",""2025-26!ap4"")"),4208518.0)</f>
        <v>4208518</v>
      </c>
      <c r="CN111" s="55">
        <f>IFERROR(__xludf.DUMMYFUNCTION("importrange(""https://docs.google.com/spreadsheets/d/1nZS-t-cNO00Enmafk2x3CmLJnbno5WaD_EEIUOjJ93Q/edit#gid=1877619074"",""2025-26!ap3"")"),25.0)</f>
        <v>25</v>
      </c>
      <c r="CO111" s="55">
        <f>IFERROR(__xludf.DUMMYFUNCTION("importrange(""https://docs.google.com/spreadsheets/d/1nZS-t-cNO00Enmafk2x3CmLJnbno5WaD_EEIUOjJ93Q/edit#gid=1877619074"",""2025-26!aq4"")"),3469983.0)</f>
        <v>3469983</v>
      </c>
      <c r="CP111" s="55">
        <f>IFERROR(__xludf.DUMMYFUNCTION("importrange(""https://docs.google.com/spreadsheets/d/1nZS-t-cNO00Enmafk2x3CmLJnbno5WaD_EEIUOjJ93Q/edit#gid=1877619074"",""2025-26!aq3"")"),49.0)</f>
        <v>49</v>
      </c>
      <c r="CQ111" s="55">
        <f>IFERROR(__xludf.DUMMYFUNCTION("importrange(""https://docs.google.com/spreadsheets/d/1nZS-t-cNO00Enmafk2x3CmLJnbno5WaD_EEIUOjJ93Q/edit#gid=1877619074"",""2025-26!ar4"")"),8240324.220000001)</f>
        <v>8240324.22</v>
      </c>
      <c r="CR111" s="55">
        <f>IFERROR(__xludf.DUMMYFUNCTION("importrange(""https://docs.google.com/spreadsheets/d/1nZS-t-cNO00Enmafk2x3CmLJnbno5WaD_EEIUOjJ93Q/edit#gid=1877619074"",""2025-26!ar3"")"),25.0)</f>
        <v>25</v>
      </c>
      <c r="CS111" s="59">
        <f t="shared" si="29"/>
        <v>1.874916678</v>
      </c>
      <c r="CT111" s="55">
        <f>IFERROR(__xludf.DUMMYFUNCTION("importrange(""https://docs.google.com/spreadsheets/d/1nZS-t-cNO00Enmafk2x3CmLJnbno5WaD_EEIUOjJ93Q/edit#gid=1877619074"",""2025-26!as4"")"),6505929.0)</f>
        <v>6505929</v>
      </c>
      <c r="CU111" s="55">
        <f>IFERROR(__xludf.DUMMYFUNCTION("importrange(""https://docs.google.com/spreadsheets/d/1nZS-t-cNO00Enmafk2x3CmLJnbno5WaD_EEIUOjJ93Q/edit#gid=1877619074"",""2025-26!as3"")"),27.0)</f>
        <v>27</v>
      </c>
      <c r="CV111" s="60" t="s">
        <v>189</v>
      </c>
    </row>
    <row r="112">
      <c r="A112" s="1" t="s">
        <v>185</v>
      </c>
      <c r="B112" s="37"/>
      <c r="C112" s="64" t="s">
        <v>248</v>
      </c>
      <c r="D112" s="50" t="s">
        <v>192</v>
      </c>
      <c r="E112" s="50">
        <v>8.116585185E9</v>
      </c>
      <c r="F112" s="74">
        <v>45117.0</v>
      </c>
      <c r="G112" s="62"/>
      <c r="H112" s="62"/>
      <c r="I112" s="53">
        <v>24120.0</v>
      </c>
      <c r="J112" s="54">
        <v>1500000.0</v>
      </c>
      <c r="K112" s="57">
        <f>IFERROR(__xludf.DUMMYFUNCTION("IMPORTRANGE(""https://docs.google.com/spreadsheets/d/1caQXh8WGfK5sXydbQ1cFTMP2RiGHVTedJ7iCzX2Bmes/edit#gid=1126716712"",""2025-26!A3"")"),77.0)</f>
        <v>77</v>
      </c>
      <c r="L112" s="57">
        <f>IFERROR(__xludf.DUMMYFUNCTION("IMPORTRANGE(""https://docs.google.com/spreadsheets/d/1caQXh8WGfK5sXydbQ1cFTMP2RiGHVTedJ7iCzX2Bmes/edit#gid=1126716712"",""2025-26!G4"")"),1.307E7)</f>
        <v>13070000</v>
      </c>
      <c r="M112" s="57">
        <f t="shared" si="50"/>
        <v>15955951.22</v>
      </c>
      <c r="N112" s="56">
        <f t="shared" si="51"/>
        <v>1.049346978</v>
      </c>
      <c r="O112" s="57">
        <f t="shared" si="52"/>
        <v>13714965</v>
      </c>
      <c r="P112" s="55">
        <f>IFERROR(__xludf.DUMMYFUNCTION("IMPORTRANGE(""https://docs.google.com/spreadsheets/d/1caQXh8WGfK5sXydbQ1cFTMP2RiGHVTedJ7iCzX2Bmes/edit#gid=1126716712"",""2025-26!J4"")"),535000.0)</f>
        <v>535000</v>
      </c>
      <c r="Q112" s="55">
        <f>IFERROR(__xludf.DUMMYFUNCTION("IMPORTRANGE(""https://docs.google.com/spreadsheets/d/1caQXh8WGfK5sXydbQ1cFTMP2RiGHVTedJ7iCzX2Bmes/edit#gid=1126716712"",""2025-26!J3"")"),14.0)</f>
        <v>14</v>
      </c>
      <c r="R112" s="55">
        <f>IFERROR(__xludf.DUMMYFUNCTION("IMPORTRANGE(""https://docs.google.com/spreadsheets/d/1caQXh8WGfK5sXydbQ1cFTMP2RiGHVTedJ7iCzX2Bmes/edit#gid=1126716712"",""2025-26!K4"")"),532192.96)</f>
        <v>532192.96</v>
      </c>
      <c r="S112" s="55">
        <f>IFERROR(__xludf.DUMMYFUNCTION("IMPORTRANGE(""https://docs.google.com/spreadsheets/d/1caQXh8WGfK5sXydbQ1cFTMP2RiGHVTedJ7iCzX2Bmes/edit#gid=1126716712"",""2025-26!K3"")"),10.0)</f>
        <v>10</v>
      </c>
      <c r="T112" s="58">
        <f t="shared" si="18"/>
        <v>0.7726168224</v>
      </c>
      <c r="U112" s="55">
        <f>IFERROR(__xludf.DUMMYFUNCTION("IMPORTRANGE(""https://docs.google.com/spreadsheets/d/1caQXh8WGfK5sXydbQ1cFTMP2RiGHVTedJ7iCzX2Bmes/edit#gid=1126716712"",""2025-26!L4"")"),413350.0)</f>
        <v>413350</v>
      </c>
      <c r="V112" s="79">
        <f>IFERROR(__xludf.DUMMYFUNCTION("IMPORTRANGE(""https://docs.google.com/spreadsheets/d/1caQXh8WGfK5sXydbQ1cFTMP2RiGHVTedJ7iCzX2Bmes/edit#gid=1126716712"",""2025-26!L3"")"),9.0)</f>
        <v>9</v>
      </c>
      <c r="W112" s="55">
        <f>IFERROR(__xludf.DUMMYFUNCTION("IMPORTRANGE(""https://docs.google.com/spreadsheets/d/1caQXh8WGfK5sXydbQ1cFTMP2RiGHVTedJ7iCzX2Bmes/edit#gid=1126716712"",""2025-26!M4"")"),1025000.0)</f>
        <v>1025000</v>
      </c>
      <c r="X112" s="79">
        <f>IFERROR(__xludf.DUMMYFUNCTION("IMPORTRANGE(""https://docs.google.com/spreadsheets/d/1caQXh8WGfK5sXydbQ1cFTMP2RiGHVTedJ7iCzX2Bmes/edit#gid=1126716712"",""2025-26!M3"")"),23.0)</f>
        <v>23</v>
      </c>
      <c r="Y112" s="55">
        <f>IFERROR(__xludf.DUMMYFUNCTION("importrange(""https://docs.google.com/spreadsheets/d/1caQXh8WGfK5sXydbQ1cFTMP2RiGHVTedJ7iCzX2Bmes/edit#gid=1126716712"",""2025-26!n4"")"),952352.0999999999)</f>
        <v>952352.1</v>
      </c>
      <c r="Z112" s="55">
        <f>IFERROR(__xludf.DUMMYFUNCTION("importrange(""https://docs.google.com/spreadsheets/d/1caQXh8WGfK5sXydbQ1cFTMP2RiGHVTedJ7iCzX2Bmes/edit#gid=1126716712"",""2025-26!n3"")"),18.0)</f>
        <v>18</v>
      </c>
      <c r="AA112" s="58">
        <f t="shared" si="19"/>
        <v>0.9202058537</v>
      </c>
      <c r="AB112" s="55">
        <f>IFERROR(__xludf.DUMMYFUNCTION("importrange(""https://docs.google.com/spreadsheets/d/1caQXh8WGfK5sXydbQ1cFTMP2RiGHVTedJ7iCzX2Bmes/edit#gid=1126716712"",""2025-26!o4"")"),943211.0)</f>
        <v>943211</v>
      </c>
      <c r="AC112" s="55">
        <f>IFERROR(__xludf.DUMMYFUNCTION("importrange(""https://docs.google.com/spreadsheets/d/1caQXh8WGfK5sXydbQ1cFTMP2RiGHVTedJ7iCzX2Bmes/edit#gid=1126716712"",""2025-26!o3"")"),18.0)</f>
        <v>18</v>
      </c>
      <c r="AD112" s="55">
        <f>IFERROR(__xludf.DUMMYFUNCTION("importrange(""https://docs.google.com/spreadsheets/d/1caQXh8WGfK5sXydbQ1cFTMP2RiGHVTedJ7iCzX2Bmes/edit#gid=1126716712"",""2025-26!p4"")"),1145000.0)</f>
        <v>1145000</v>
      </c>
      <c r="AE112" s="55">
        <f>IFERROR(__xludf.DUMMYFUNCTION("importrange(""https://docs.google.com/spreadsheets/d/1caQXh8WGfK5sXydbQ1cFTMP2RiGHVTedJ7iCzX2Bmes/edit#gid=1126716712"",""2025-26!p3"")"),24.0)</f>
        <v>24</v>
      </c>
      <c r="AF112" s="55">
        <f>IFERROR(__xludf.DUMMYFUNCTION("importrange(""https://docs.google.com/spreadsheets/d/1caQXh8WGfK5sXydbQ1cFTMP2RiGHVTedJ7iCzX2Bmes/edit#gid=1126716712"",""2025-26!q4"")"),1098496.9115625)</f>
        <v>1098496.912</v>
      </c>
      <c r="AG112" s="55">
        <f>IFERROR(__xludf.DUMMYFUNCTION("importrange(""https://docs.google.com/spreadsheets/d/1caQXh8WGfK5sXydbQ1cFTMP2RiGHVTedJ7iCzX2Bmes/edit#gid=1126716712"",""2025-26!q3"")"),16.0)</f>
        <v>16</v>
      </c>
      <c r="AH112" s="58">
        <f t="shared" si="20"/>
        <v>0.9209467249</v>
      </c>
      <c r="AI112" s="55">
        <f>IFERROR(__xludf.DUMMYFUNCTION("importrange(""https://docs.google.com/spreadsheets/d/1caQXh8WGfK5sXydbQ1cFTMP2RiGHVTedJ7iCzX2Bmes/edit#gid=1126716712"",""2025-26!r4"")"),1054484.0)</f>
        <v>1054484</v>
      </c>
      <c r="AJ112" s="55">
        <f>IFERROR(__xludf.DUMMYFUNCTION("importrange(""https://docs.google.com/spreadsheets/d/1caQXh8WGfK5sXydbQ1cFTMP2RiGHVTedJ7iCzX2Bmes/edit#gid=1126716712"",""2025-26!r3"")"),15.0)</f>
        <v>15</v>
      </c>
      <c r="AK112" s="55">
        <f>IFERROR(__xludf.DUMMYFUNCTION("importrange(""https://docs.google.com/spreadsheets/d/1caQXh8WGfK5sXydbQ1cFTMP2RiGHVTedJ7iCzX2Bmes/edit#gid=1126716712"",""2025-26!s4"")"),580000.0)</f>
        <v>580000</v>
      </c>
      <c r="AL112" s="55">
        <f>IFERROR(__xludf.DUMMYFUNCTION("importrange(""https://docs.google.com/spreadsheets/d/1caQXh8WGfK5sXydbQ1cFTMP2RiGHVTedJ7iCzX2Bmes/edit#gid=1126716712"",""2025-26!s3"")"),17.0)</f>
        <v>17</v>
      </c>
      <c r="AM112" s="57">
        <f>IFERROR(__xludf.DUMMYFUNCTION("importrange(""https://docs.google.com/spreadsheets/d/1caQXh8WGfK5sXydbQ1cFTMP2RiGHVTedJ7iCzX2Bmes/edit#gid=1126716712"",""2025-26!t4"")"),1070530.6099999999)</f>
        <v>1070530.61</v>
      </c>
      <c r="AN112" s="55">
        <f>IFERROR(__xludf.DUMMYFUNCTION("importrange(""https://docs.google.com/spreadsheets/d/1caQXh8WGfK5sXydbQ1cFTMP2RiGHVTedJ7iCzX2Bmes/edit#gid=1126716712"",""2025-26!t3"")"),20.0)</f>
        <v>20</v>
      </c>
      <c r="AO112" s="58">
        <f t="shared" si="21"/>
        <v>1.845710345</v>
      </c>
      <c r="AP112" s="55">
        <f>IFERROR(__xludf.DUMMYFUNCTION("importrange(""https://docs.google.com/spreadsheets/d/1caQXh8WGfK5sXydbQ1cFTMP2RiGHVTedJ7iCzX2Bmes/edit#gid=1126716712"",""2025-26!u4"")"),1070512.0)</f>
        <v>1070512</v>
      </c>
      <c r="AQ112" s="55">
        <f>IFERROR(__xludf.DUMMYFUNCTION("importrange(""https://docs.google.com/spreadsheets/d/1caQXh8WGfK5sXydbQ1cFTMP2RiGHVTedJ7iCzX2Bmes/edit#gid=1126716712"",""2025-26!u3"")"),20.0)</f>
        <v>20</v>
      </c>
      <c r="AR112" s="55">
        <f>IFERROR(__xludf.DUMMYFUNCTION("importrange(""https://docs.google.com/spreadsheets/d/1caQXh8WGfK5sXydbQ1cFTMP2RiGHVTedJ7iCzX2Bmes/edit#gid=1126716712"",""2025-26!v4"")"),625000.0)</f>
        <v>625000</v>
      </c>
      <c r="AS112" s="55">
        <f>IFERROR(__xludf.DUMMYFUNCTION("importrange(""https://docs.google.com/spreadsheets/d/1caQXh8WGfK5sXydbQ1cFTMP2RiGHVTedJ7iCzX2Bmes/edit#gid=1126716712"",""2025-26!v3"")"),15.0)</f>
        <v>15</v>
      </c>
      <c r="AT112" s="57">
        <f>IFERROR(__xludf.DUMMYFUNCTION("importrange(""https://docs.google.com/spreadsheets/d/1caQXh8WGfK5sXydbQ1cFTMP2RiGHVTedJ7iCzX2Bmes/edit#gid=1126716712"",""2025-26!w4"")"),1381001.8600000006)</f>
        <v>1381001.86</v>
      </c>
      <c r="AU112" s="55">
        <f>IFERROR(__xludf.DUMMYFUNCTION("importrange(""https://docs.google.com/spreadsheets/d/1caQXh8WGfK5sXydbQ1cFTMP2RiGHVTedJ7iCzX2Bmes/edit#gid=1126716712"",""2025-26!w3"")"),24.0)</f>
        <v>24</v>
      </c>
      <c r="AV112" s="58">
        <f t="shared" si="22"/>
        <v>2.0362864</v>
      </c>
      <c r="AW112" s="55">
        <f>IFERROR(__xludf.DUMMYFUNCTION("importrange(""https://docs.google.com/spreadsheets/d/1caQXh8WGfK5sXydbQ1cFTMP2RiGHVTedJ7iCzX2Bmes/edit#gid=1126716712"",""2025-26!x4"")"),1272679.0)</f>
        <v>1272679</v>
      </c>
      <c r="AX112" s="55">
        <f>IFERROR(__xludf.DUMMYFUNCTION("importrange(""https://docs.google.com/spreadsheets/d/1caQXh8WGfK5sXydbQ1cFTMP2RiGHVTedJ7iCzX2Bmes/edit#gid=1126716712"",""2025-26!x3"")"),22.0)</f>
        <v>22</v>
      </c>
      <c r="AY112" s="55">
        <f>IFERROR(__xludf.DUMMYFUNCTION("importrange(""https://docs.google.com/spreadsheets/d/1caQXh8WGfK5sXydbQ1cFTMP2RiGHVTedJ7iCzX2Bmes/edit#gid=1126716712"",""2025-26!y4"")"),1015000.0)</f>
        <v>1015000</v>
      </c>
      <c r="AZ112" s="55">
        <f>IFERROR(__xludf.DUMMYFUNCTION("importrange(""https://docs.google.com/spreadsheets/d/1caQXh8WGfK5sXydbQ1cFTMP2RiGHVTedJ7iCzX2Bmes/edit#gid=1126716712"",""2025-26!y3"")"),27.0)</f>
        <v>27</v>
      </c>
      <c r="BA112" s="57">
        <f>IFERROR(__xludf.DUMMYFUNCTION("importrange(""https://docs.google.com/spreadsheets/d/1caQXh8WGfK5sXydbQ1cFTMP2RiGHVTedJ7iCzX2Bmes/edit#gid=1126716712"",""2025-26!z4"")"),1285355.5800000003)</f>
        <v>1285355.58</v>
      </c>
      <c r="BB112" s="55">
        <f>IFERROR(__xludf.DUMMYFUNCTION("importrange(""https://docs.google.com/spreadsheets/d/1caQXh8WGfK5sXydbQ1cFTMP2RiGHVTedJ7iCzX2Bmes/edit#gid=1126716712"",""2025-26!z3"")"),23.0)</f>
        <v>23</v>
      </c>
      <c r="BC112" s="59">
        <f t="shared" si="23"/>
        <v>1.152144828</v>
      </c>
      <c r="BD112" s="55">
        <f>IFERROR(__xludf.DUMMYFUNCTION("importrange(""https://docs.google.com/spreadsheets/d/1caQXh8WGfK5sXydbQ1cFTMP2RiGHVTedJ7iCzX2Bmes/edit#gid=1126716712"",""2025-26!aa4"")"),1169427.0)</f>
        <v>1169427</v>
      </c>
      <c r="BE112" s="55">
        <f>IFERROR(__xludf.DUMMYFUNCTION("importrange(""https://docs.google.com/spreadsheets/d/1caQXh8WGfK5sXydbQ1cFTMP2RiGHVTedJ7iCzX2Bmes/edit#gid=1126716712"",""2025-26!aa3"")"),21.0)</f>
        <v>21</v>
      </c>
      <c r="BF112" s="55">
        <f>IFERROR(__xludf.DUMMYFUNCTION("importrange(""https://docs.google.com/spreadsheets/d/1caQXh8WGfK5sXydbQ1cFTMP2RiGHVTedJ7iCzX2Bmes/edit#gid=1126716712"",""2025-26!ab4"")"),650000.0)</f>
        <v>650000</v>
      </c>
      <c r="BG112" s="55">
        <f>IFERROR(__xludf.DUMMYFUNCTION("importrange(""https://docs.google.com/spreadsheets/d/1caQXh8WGfK5sXydbQ1cFTMP2RiGHVTedJ7iCzX2Bmes/edit#gid=1126716712"",""2025-26!ab3"")"),18.0)</f>
        <v>18</v>
      </c>
      <c r="BH112" s="55">
        <f>IFERROR(__xludf.DUMMYFUNCTION("importrange(""https://docs.google.com/spreadsheets/d/1caQXh8WGfK5sXydbQ1cFTMP2RiGHVTedJ7iCzX2Bmes/edit#gid=1126716712"",""2025-26!ac4"")"),1033494.9500000002)</f>
        <v>1033494.95</v>
      </c>
      <c r="BI112" s="55">
        <f>IFERROR(__xludf.DUMMYFUNCTION("importrange(""https://docs.google.com/spreadsheets/d/1caQXh8WGfK5sXydbQ1cFTMP2RiGHVTedJ7iCzX2Bmes/edit#gid=1126716712"",""2025-26!ac3"")"),18.0)</f>
        <v>18</v>
      </c>
      <c r="BJ112" s="59">
        <f t="shared" si="24"/>
        <v>1.293587692</v>
      </c>
      <c r="BK112" s="55">
        <f>IFERROR(__xludf.DUMMYFUNCTION("importrange(""https://docs.google.com/spreadsheets/d/1caQXh8WGfK5sXydbQ1cFTMP2RiGHVTedJ7iCzX2Bmes/edit#gid=1126716712"",""2025-26!ad4"")"),840832.0)</f>
        <v>840832</v>
      </c>
      <c r="BL112" s="55">
        <f>IFERROR(__xludf.DUMMYFUNCTION("importrange(""https://docs.google.com/spreadsheets/d/1caQXh8WGfK5sXydbQ1cFTMP2RiGHVTedJ7iCzX2Bmes/edit#gid=1126716712"",""2025-26!ad3"")"),16.0)</f>
        <v>16</v>
      </c>
      <c r="BM112" s="55">
        <f>IFERROR(__xludf.DUMMYFUNCTION("importrange(""https://docs.google.com/spreadsheets/d/1caQXh8WGfK5sXydbQ1cFTMP2RiGHVTedJ7iCzX2Bmes/edit#gid=1126716712"",""2025-26!ae4"")"),810000.0)</f>
        <v>810000</v>
      </c>
      <c r="BN112" s="55">
        <f>IFERROR(__xludf.DUMMYFUNCTION("importrange(""https://docs.google.com/spreadsheets/d/1caQXh8WGfK5sXydbQ1cFTMP2RiGHVTedJ7iCzX2Bmes/edit#gid=1126716712"",""2025-26!ae3"")"),20.0)</f>
        <v>20</v>
      </c>
      <c r="BO112" s="55">
        <f>IFERROR(__xludf.DUMMYFUNCTION("importrange(""https://docs.google.com/spreadsheets/d/1caQXh8WGfK5sXydbQ1cFTMP2RiGHVTedJ7iCzX2Bmes/edit#gid=1126716712"",""2025-26!af4"")"),839536.63)</f>
        <v>839536.63</v>
      </c>
      <c r="BP112" s="55">
        <f>IFERROR(__xludf.DUMMYFUNCTION("importrange(""https://docs.google.com/spreadsheets/d/1caQXh8WGfK5sXydbQ1cFTMP2RiGHVTedJ7iCzX2Bmes/edit#gid=1126716712"",""2025-26!af3"")"),18.0)</f>
        <v>18</v>
      </c>
      <c r="BQ112" s="59">
        <f t="shared" si="25"/>
        <v>1.018324691</v>
      </c>
      <c r="BR112" s="55">
        <f>IFERROR(__xludf.DUMMYFUNCTION("importrange(""https://docs.google.com/spreadsheets/d/1caQXh8WGfK5sXydbQ1cFTMP2RiGHVTedJ7iCzX2Bmes/edit#gid=1126716712"",""2025-26!ag4"")"),824843.0)</f>
        <v>824843</v>
      </c>
      <c r="BS112" s="55">
        <f>IFERROR(__xludf.DUMMYFUNCTION("importrange(""https://docs.google.com/spreadsheets/d/1caQXh8WGfK5sXydbQ1cFTMP2RiGHVTedJ7iCzX2Bmes/edit#gid=1126716712"",""2025-26!ag3"")"),18.0)</f>
        <v>18</v>
      </c>
      <c r="BT112" s="55">
        <f>IFERROR(__xludf.DUMMYFUNCTION("importrange(""https://docs.google.com/spreadsheets/d/1caQXh8WGfK5sXydbQ1cFTMP2RiGHVTedJ7iCzX2Bmes/edit#gid=1126716712"",""2025-26!ah4"")"),920000.0)</f>
        <v>920000</v>
      </c>
      <c r="BU112" s="55">
        <f>IFERROR(__xludf.DUMMYFUNCTION("importrange(""https://docs.google.com/spreadsheets/d/1caQXh8WGfK5sXydbQ1cFTMP2RiGHVTedJ7iCzX2Bmes/edit#gid=1126716712"",""2025-26!ah3"")"),24.0)</f>
        <v>24</v>
      </c>
      <c r="BV112" s="55">
        <f>IFERROR(__xludf.DUMMYFUNCTION("importrange(""https://docs.google.com/spreadsheets/d/1caQXh8WGfK5sXydbQ1cFTMP2RiGHVTedJ7iCzX2Bmes/edit#gid=1126716712"",""2025-26!ai4"")"),2129349.7299999995)</f>
        <v>2129349.73</v>
      </c>
      <c r="BW112" s="55">
        <f>IFERROR(__xludf.DUMMYFUNCTION("importrange(""https://docs.google.com/spreadsheets/d/1caQXh8WGfK5sXydbQ1cFTMP2RiGHVTedJ7iCzX2Bmes/edit#gid=1126716712"",""2025-26!ai3"")"),20.0)</f>
        <v>20</v>
      </c>
      <c r="BX112" s="59">
        <f t="shared" si="26"/>
        <v>1.125268478</v>
      </c>
      <c r="BY112" s="55">
        <f>IFERROR(__xludf.DUMMYFUNCTION("importrange(""https://docs.google.com/spreadsheets/d/1caQXh8WGfK5sXydbQ1cFTMP2RiGHVTedJ7iCzX2Bmes/edit#gid=1126716712"",""2025-26!aj4"")"),1035247.0)</f>
        <v>1035247</v>
      </c>
      <c r="BZ112" s="55">
        <f>IFERROR(__xludf.DUMMYFUNCTION("importrange(""https://docs.google.com/spreadsheets/d/1caQXh8WGfK5sXydbQ1cFTMP2RiGHVTedJ7iCzX2Bmes/edit#gid=1126716712"",""2025-26!aj3"")"),19.0)</f>
        <v>19</v>
      </c>
      <c r="CA112" s="55">
        <f>IFERROR(__xludf.DUMMYFUNCTION("importrange(""https://docs.google.com/spreadsheets/d/1caQXh8WGfK5sXydbQ1cFTMP2RiGHVTedJ7iCzX2Bmes/edit#gid=1126716712"",""2025-26!ak4"")"),1010000.0)</f>
        <v>1010000</v>
      </c>
      <c r="CB112" s="55">
        <f>IFERROR(__xludf.DUMMYFUNCTION("importrange(""https://docs.google.com/spreadsheets/d/1caQXh8WGfK5sXydbQ1cFTMP2RiGHVTedJ7iCzX2Bmes/edit#gid=1126716712"",""2025-26!ak3"")"),21.0)</f>
        <v>21</v>
      </c>
      <c r="CC112" s="55">
        <f>IFERROR(__xludf.DUMMYFUNCTION("importrange(""https://docs.google.com/spreadsheets/d/1caQXh8WGfK5sXydbQ1cFTMP2RiGHVTedJ7iCzX2Bmes/edit#gid=1126716712"",""2025-26!al4"")"),2194973.5000000005)</f>
        <v>2194973.5</v>
      </c>
      <c r="CD112" s="55">
        <f>IFERROR(__xludf.DUMMYFUNCTION("importrange(""https://docs.google.com/spreadsheets/d/1caQXh8WGfK5sXydbQ1cFTMP2RiGHVTedJ7iCzX2Bmes/edit#gid=1126716712"",""2025-26!ai3"")"),20.0)</f>
        <v>20</v>
      </c>
      <c r="CE112" s="59">
        <f t="shared" si="27"/>
        <v>1.87749802</v>
      </c>
      <c r="CF112" s="55">
        <f>IFERROR(__xludf.DUMMYFUNCTION("importrange(""https://docs.google.com/spreadsheets/d/1caQXh8WGfK5sXydbQ1cFTMP2RiGHVTedJ7iCzX2Bmes/edit#gid=1126716712"",""2025-26!am4"")"),1896273.0)</f>
        <v>1896273</v>
      </c>
      <c r="CG112" s="55">
        <f>IFERROR(__xludf.DUMMYFUNCTION("importrange(""https://docs.google.com/spreadsheets/d/1caQXh8WGfK5sXydbQ1cFTMP2RiGHVTedJ7iCzX2Bmes/edit#gid=1126716712"",""2025-26!am3"")"),17.0)</f>
        <v>17</v>
      </c>
      <c r="CH112" s="55">
        <f>IFERROR(__xludf.DUMMYFUNCTION("importrange(""https://docs.google.com/spreadsheets/d/1caQXh8WGfK5sXydbQ1cFTMP2RiGHVTedJ7iCzX2Bmes/edit#gid=1126716712"",""2025-26!an4"")"),1005000.0)</f>
        <v>1005000</v>
      </c>
      <c r="CI112" s="55">
        <f>IFERROR(__xludf.DUMMYFUNCTION("importrange(""https://docs.google.com/spreadsheets/d/1caQXh8WGfK5sXydbQ1cFTMP2RiGHVTedJ7iCzX2Bmes/edit#gid=1126716712"",""2025-26!an3"")"),18.0)</f>
        <v>18</v>
      </c>
      <c r="CJ112" s="55">
        <f>IFERROR(__xludf.DUMMYFUNCTION("importrange(""https://docs.google.com/spreadsheets/d/1caQXh8WGfK5sXydbQ1cFTMP2RiGHVTedJ7iCzX2Bmes/edit#gid=1126716712"",""2025-26!ao4"")"),1356235.63)</f>
        <v>1356235.63</v>
      </c>
      <c r="CK112" s="55">
        <f>IFERROR(__xludf.DUMMYFUNCTION("importrange(""https://docs.google.com/spreadsheets/d/1caQXh8WGfK5sXydbQ1cFTMP2RiGHVTedJ7iCzX2Bmes/edit#gid=1126716712"",""2025-26!ao3"")"),17.0)</f>
        <v>17</v>
      </c>
      <c r="CL112" s="59">
        <f t="shared" si="28"/>
        <v>1.254855721</v>
      </c>
      <c r="CM112" s="55">
        <f>IFERROR(__xludf.DUMMYFUNCTION("importrange(""https://docs.google.com/spreadsheets/d/1caQXh8WGfK5sXydbQ1cFTMP2RiGHVTedJ7iCzX2Bmes/edit#gid=1126716712"",""2025-26!ap4"")"),1261130.0)</f>
        <v>1261130</v>
      </c>
      <c r="CN112" s="55">
        <f>IFERROR(__xludf.DUMMYFUNCTION("importrange(""https://docs.google.com/spreadsheets/d/1caQXh8WGfK5sXydbQ1cFTMP2RiGHVTedJ7iCzX2Bmes/edit#gid=1126716712"",""2025-26!ap3"")"),16.0)</f>
        <v>16</v>
      </c>
      <c r="CO112" s="55">
        <f>IFERROR(__xludf.DUMMYFUNCTION("importrange(""https://docs.google.com/spreadsheets/d/1caQXh8WGfK5sXydbQ1cFTMP2RiGHVTedJ7iCzX2Bmes/edit#gid=1126716712"",""2025-26!aq4"")"),1970000.0)</f>
        <v>1970000</v>
      </c>
      <c r="CP112" s="55">
        <f>IFERROR(__xludf.DUMMYFUNCTION("importrange(""https://docs.google.com/spreadsheets/d/1caQXh8WGfK5sXydbQ1cFTMP2RiGHVTedJ7iCzX2Bmes/edit#gid=1126716712"",""2025-26!aq3"")"),35.0)</f>
        <v>35</v>
      </c>
      <c r="CQ112" s="55">
        <f>IFERROR(__xludf.DUMMYFUNCTION("importrange(""https://docs.google.com/spreadsheets/d/1caQXh8WGfK5sXydbQ1cFTMP2RiGHVTedJ7iCzX2Bmes/edit#gid=1126716712"",""2025-26!ar4"")"),2082430.7600000002)</f>
        <v>2082430.76</v>
      </c>
      <c r="CR112" s="55">
        <f>IFERROR(__xludf.DUMMYFUNCTION("importrange(""https://docs.google.com/spreadsheets/d/1caQXh8WGfK5sXydbQ1cFTMP2RiGHVTedJ7iCzX2Bmes/edit#gid=1126716712"",""2025-26!ar3"")"),18.0)</f>
        <v>18</v>
      </c>
      <c r="CS112" s="59">
        <f t="shared" si="29"/>
        <v>0.981206599</v>
      </c>
      <c r="CT112" s="55">
        <f>IFERROR(__xludf.DUMMYFUNCTION("importrange(""https://docs.google.com/spreadsheets/d/1caQXh8WGfK5sXydbQ1cFTMP2RiGHVTedJ7iCzX2Bmes/edit#gid=1126716712"",""2025-26!as4"")"),1932977.0)</f>
        <v>1932977</v>
      </c>
      <c r="CU112" s="55">
        <f>IFERROR(__xludf.DUMMYFUNCTION("importrange(""https://docs.google.com/spreadsheets/d/1caQXh8WGfK5sXydbQ1cFTMP2RiGHVTedJ7iCzX2Bmes/edit#gid=1126716712"",""2025-26!as3"")"),18.0)</f>
        <v>18</v>
      </c>
      <c r="CV112" s="60" t="s">
        <v>189</v>
      </c>
    </row>
    <row r="113">
      <c r="A113" s="1" t="s">
        <v>185</v>
      </c>
      <c r="B113" s="37"/>
      <c r="C113" s="64" t="s">
        <v>249</v>
      </c>
      <c r="D113" s="50" t="s">
        <v>250</v>
      </c>
      <c r="E113" s="50">
        <v>9.955725835E9</v>
      </c>
      <c r="F113" s="74">
        <v>45184.0</v>
      </c>
      <c r="G113" s="62"/>
      <c r="H113" s="62"/>
      <c r="I113" s="53">
        <v>32500.0</v>
      </c>
      <c r="J113" s="54">
        <v>1858333.0</v>
      </c>
      <c r="K113" s="57">
        <f>IFERROR(__xludf.DUMMYFUNCTION("IMPORTRANGE(""https://docs.google.com/spreadsheets/u/0/d/1ePExRxwP6pYHNPcZoek1UEmUSlzyoQB26S6P0bkl_7w/edit"",""2025-26!A3"")"),58.0)</f>
        <v>58</v>
      </c>
      <c r="L113" s="57">
        <f>IFERROR(__xludf.DUMMYFUNCTION("IMPORTRANGE(""https://docs.google.com/spreadsheets/u/0/d/1ePExRxwP6pYHNPcZoek1UEmUSlzyoQB26S6P0bkl_7w/edit"",""2025-26!G4"")"),2.2806610699999996E7)</f>
        <v>22806610.7</v>
      </c>
      <c r="M113" s="57">
        <f t="shared" si="50"/>
        <v>18771692.93</v>
      </c>
      <c r="N113" s="56">
        <f t="shared" si="51"/>
        <v>0.8614711435</v>
      </c>
      <c r="O113" s="57">
        <f t="shared" si="52"/>
        <v>19647237</v>
      </c>
      <c r="P113" s="55">
        <f>IFERROR(__xludf.DUMMYFUNCTION("IMPORTRANGE(""https://docs.google.com/spreadsheets/u/0/d/1ePExRxwP6pYHNPcZoek1UEmUSlzyoQB26S6P0bkl_7w/edit"",""2025-26!J4"")"),1997340.4500000004)</f>
        <v>1997340.45</v>
      </c>
      <c r="Q113" s="55">
        <f>IFERROR(__xludf.DUMMYFUNCTION("IMPORTRANGE(""https://docs.google.com/spreadsheets/u/0/d/1ePExRxwP6pYHNPcZoek1UEmUSlzyoQB26S6P0bkl_7w/edit"",""2025-26!J3"")"),40.0)</f>
        <v>40</v>
      </c>
      <c r="R113" s="55">
        <f>IFERROR(__xludf.DUMMYFUNCTION("IMPORTRANGE(""https://docs.google.com/spreadsheets/u/0/d/1ePExRxwP6pYHNPcZoek1UEmUSlzyoQB26S6P0bkl_7w/edit"",""2025-26!K4"")"),1320830.9)</f>
        <v>1320830.9</v>
      </c>
      <c r="S113" s="55">
        <f>IFERROR(__xludf.DUMMYFUNCTION("IMPORTRANGE(""https://docs.google.com/spreadsheets/u/0/d/1ePExRxwP6pYHNPcZoek1UEmUSlzyoQB26S6P0bkl_7w/edit"",""2025-26!K3"")"),8.0)</f>
        <v>8</v>
      </c>
      <c r="T113" s="58">
        <f t="shared" si="18"/>
        <v>0.6986190061</v>
      </c>
      <c r="U113" s="55">
        <f>IFERROR(__xludf.DUMMYFUNCTION("IMPORTRANGE(""https://docs.google.com/spreadsheets/u/0/d/1ePExRxwP6pYHNPcZoek1UEmUSlzyoQB26S6P0bkl_7w/edit"",""2025-26!L4"")"),1395380.0)</f>
        <v>1395380</v>
      </c>
      <c r="V113" s="79">
        <f>IFERROR(__xludf.DUMMYFUNCTION("IMPORTRANGE(""https://docs.google.com/spreadsheets/u/0/d/1ePExRxwP6pYHNPcZoek1UEmUSlzyoQB26S6P0bkl_7w/edit"",""2025-26!L3"")"),11.0)</f>
        <v>11</v>
      </c>
      <c r="W113" s="55">
        <f>IFERROR(__xludf.DUMMYFUNCTION("IMPORTRANGE(""https://docs.google.com/spreadsheets/u/0/d/1ePExRxwP6pYHNPcZoek1UEmUSlzyoQB26S6P0bkl_7w/edit"",""2025-26!M4"")"),1727340.4500000004)</f>
        <v>1727340.45</v>
      </c>
      <c r="X113" s="79">
        <f>IFERROR(__xludf.DUMMYFUNCTION("IMPORTRANGE(""https://docs.google.com/spreadsheets/u/0/d/1ePExRxwP6pYHNPcZoek1UEmUSlzyoQB26S6P0bkl_7w/edit"",""2025-26!M3"")"),40.0)</f>
        <v>40</v>
      </c>
      <c r="Y113" s="55">
        <f>IFERROR(__xludf.DUMMYFUNCTION("importrange(""https://docs.google.com/spreadsheets/u/0/d/1ePExRxwP6pYHNPcZoek1UEmUSlzyoQB26S6P0bkl_7w/edit"",""2025-26!n4"")"),746515.5399999999)</f>
        <v>746515.54</v>
      </c>
      <c r="Z113" s="55">
        <f>IFERROR(__xludf.DUMMYFUNCTION("importrange(""https://docs.google.com/spreadsheets/u/0/d/1ePExRxwP6pYHNPcZoek1UEmUSlzyoQB26S6P0bkl_7w/edit"",""2025-26!n3"")"),9.0)</f>
        <v>9</v>
      </c>
      <c r="AA113" s="58">
        <f t="shared" si="19"/>
        <v>0.4535759005</v>
      </c>
      <c r="AB113" s="55">
        <f>IFERROR(__xludf.DUMMYFUNCTION("importrange(""https://docs.google.com/spreadsheets/u/0/d/1ePExRxwP6pYHNPcZoek1UEmUSlzyoQB26S6P0bkl_7w/edit"",""2025-26!o4"")"),783480.0)</f>
        <v>783480</v>
      </c>
      <c r="AC113" s="55">
        <f>IFERROR(__xludf.DUMMYFUNCTION("importrange(""https://docs.google.com/spreadsheets/u/0/d/1ePExRxwP6pYHNPcZoek1UEmUSlzyoQB26S6P0bkl_7w/edit"",""2025-26!o3"")"),11.0)</f>
        <v>11</v>
      </c>
      <c r="AD113" s="55">
        <f>IFERROR(__xludf.DUMMYFUNCTION("importrange(""https://docs.google.com/spreadsheets/u/0/d/1ePExRxwP6pYHNPcZoek1UEmUSlzyoQB26S6P0bkl_7w/edit"",""2025-26!p4"")"),1727340.4500000004)</f>
        <v>1727340.45</v>
      </c>
      <c r="AE113" s="55">
        <f>IFERROR(__xludf.DUMMYFUNCTION("importrange(""https://docs.google.com/spreadsheets/u/0/d/1ePExRxwP6pYHNPcZoek1UEmUSlzyoQB26S6P0bkl_7w/edit"",""2025-26!p3"")"),40.0)</f>
        <v>40</v>
      </c>
      <c r="AF113" s="55">
        <f>IFERROR(__xludf.DUMMYFUNCTION("importrange(""https://docs.google.com/spreadsheets/u/0/d/1ePExRxwP6pYHNPcZoek1UEmUSlzyoQB26S6P0bkl_7w/edit"",""2025-26!q4"")"),1131653.69)</f>
        <v>1131653.69</v>
      </c>
      <c r="AG113" s="55">
        <f>IFERROR(__xludf.DUMMYFUNCTION("importrange(""https://docs.google.com/spreadsheets/u/0/d/1ePExRxwP6pYHNPcZoek1UEmUSlzyoQB26S6P0bkl_7w/edit"",""2025-26!q3"")"),15.0)</f>
        <v>15</v>
      </c>
      <c r="AH113" s="58">
        <f t="shared" si="20"/>
        <v>0.6622255618</v>
      </c>
      <c r="AI113" s="55">
        <f>IFERROR(__xludf.DUMMYFUNCTION("importrange(""https://docs.google.com/spreadsheets/u/0/d/1ePExRxwP6pYHNPcZoek1UEmUSlzyoQB26S6P0bkl_7w/edit"",""2025-26!r4"")"),1143889.0)</f>
        <v>1143889</v>
      </c>
      <c r="AJ113" s="55">
        <f>IFERROR(__xludf.DUMMYFUNCTION("importrange(""https://docs.google.com/spreadsheets/u/0/d/1ePExRxwP6pYHNPcZoek1UEmUSlzyoQB26S6P0bkl_7w/edit"",""2025-26!r3"")"),16.0)</f>
        <v>16</v>
      </c>
      <c r="AK113" s="55">
        <f>IFERROR(__xludf.DUMMYFUNCTION("importrange(""https://docs.google.com/spreadsheets/u/0/d/1ePExRxwP6pYHNPcZoek1UEmUSlzyoQB26S6P0bkl_7w/edit"",""2025-26!s4"")"),1727340.4500000004)</f>
        <v>1727340.45</v>
      </c>
      <c r="AL113" s="55">
        <f>IFERROR(__xludf.DUMMYFUNCTION("importrange(""https://docs.google.com/spreadsheets/u/0/d/1ePExRxwP6pYHNPcZoek1UEmUSlzyoQB26S6P0bkl_7w/edit"",""2025-26!s3"")"),40.0)</f>
        <v>40</v>
      </c>
      <c r="AM113" s="57">
        <f>IFERROR(__xludf.DUMMYFUNCTION("importrange(""https://docs.google.com/spreadsheets/u/0/d/1ePExRxwP6pYHNPcZoek1UEmUSlzyoQB26S6P0bkl_7w/edit"",""2025-26!t4"")"),1216153.75)</f>
        <v>1216153.75</v>
      </c>
      <c r="AN113" s="55">
        <f>IFERROR(__xludf.DUMMYFUNCTION("importrange(""https://docs.google.com/spreadsheets/u/0/d/1ePExRxwP6pYHNPcZoek1UEmUSlzyoQB26S6P0bkl_7w/edit"",""2025-26!t3"")"),16.0)</f>
        <v>16</v>
      </c>
      <c r="AO113" s="58">
        <f t="shared" si="21"/>
        <v>0.6693897546</v>
      </c>
      <c r="AP113" s="55">
        <f>IFERROR(__xludf.DUMMYFUNCTION("importrange(""https://docs.google.com/spreadsheets/u/0/d/1ePExRxwP6pYHNPcZoek1UEmUSlzyoQB26S6P0bkl_7w/edit"",""2025-26!u4"")"),1156264.0)</f>
        <v>1156264</v>
      </c>
      <c r="AQ113" s="55">
        <f>IFERROR(__xludf.DUMMYFUNCTION("importrange(""https://docs.google.com/spreadsheets/u/0/d/1ePExRxwP6pYHNPcZoek1UEmUSlzyoQB26S6P0bkl_7w/edit"",""2025-26!u3"")"),15.0)</f>
        <v>15</v>
      </c>
      <c r="AR113" s="55">
        <f>IFERROR(__xludf.DUMMYFUNCTION("importrange(""https://docs.google.com/spreadsheets/u/0/d/1ePExRxwP6pYHNPcZoek1UEmUSlzyoQB26S6P0bkl_7w/edit"",""2025-26!v4"")"),1727340.4500000004)</f>
        <v>1727340.45</v>
      </c>
      <c r="AS113" s="55">
        <f>IFERROR(__xludf.DUMMYFUNCTION("importrange(""https://docs.google.com/spreadsheets/u/0/d/1ePExRxwP6pYHNPcZoek1UEmUSlzyoQB26S6P0bkl_7w/edit"",""2025-26!v3"")"),40.0)</f>
        <v>40</v>
      </c>
      <c r="AT113" s="57">
        <f>IFERROR(__xludf.DUMMYFUNCTION("importrange(""https://docs.google.com/spreadsheets/u/0/d/1ePExRxwP6pYHNPcZoek1UEmUSlzyoQB26S6P0bkl_7w/edit"",""2025-26!w4"")"),1341622.47)</f>
        <v>1341622.47</v>
      </c>
      <c r="AU113" s="55">
        <f>IFERROR(__xludf.DUMMYFUNCTION("importrange(""https://docs.google.com/spreadsheets/u/0/d/1ePExRxwP6pYHNPcZoek1UEmUSlzyoQB26S6P0bkl_7w/edit"",""2025-26!w3"")"),10.0)</f>
        <v>10</v>
      </c>
      <c r="AV113" s="58">
        <f t="shared" si="22"/>
        <v>0.8308437402</v>
      </c>
      <c r="AW113" s="55">
        <f>IFERROR(__xludf.DUMMYFUNCTION("importrange(""https://docs.google.com/spreadsheets/u/0/d/1ePExRxwP6pYHNPcZoek1UEmUSlzyoQB26S6P0bkl_7w/edit"",""2025-26!x4"")"),1435150.0)</f>
        <v>1435150</v>
      </c>
      <c r="AX113" s="55">
        <f>IFERROR(__xludf.DUMMYFUNCTION("importrange(""https://docs.google.com/spreadsheets/u/0/d/1ePExRxwP6pYHNPcZoek1UEmUSlzyoQB26S6P0bkl_7w/edit"",""2025-26!x3"")"),12.0)</f>
        <v>12</v>
      </c>
      <c r="AY113" s="55">
        <f>IFERROR(__xludf.DUMMYFUNCTION("importrange(""https://docs.google.com/spreadsheets/u/0/d/1ePExRxwP6pYHNPcZoek1UEmUSlzyoQB26S6P0bkl_7w/edit"",""2025-26!y4"")"),1727340.4500000004)</f>
        <v>1727340.45</v>
      </c>
      <c r="AZ113" s="55">
        <f>IFERROR(__xludf.DUMMYFUNCTION("importrange(""https://docs.google.com/spreadsheets/u/0/d/1ePExRxwP6pYHNPcZoek1UEmUSlzyoQB26S6P0bkl_7w/edit"",""2025-26!y3"")"),40.0)</f>
        <v>40</v>
      </c>
      <c r="BA113" s="57">
        <f>IFERROR(__xludf.DUMMYFUNCTION("importrange(""https://docs.google.com/spreadsheets/u/0/d/1ePExRxwP6pYHNPcZoek1UEmUSlzyoQB26S6P0bkl_7w/edit"",""2025-26!z4"")"),1388226.5599999998)</f>
        <v>1388226.56</v>
      </c>
      <c r="BB113" s="55">
        <f>IFERROR(__xludf.DUMMYFUNCTION("importrange(""https://docs.google.com/spreadsheets/u/0/d/1ePExRxwP6pYHNPcZoek1UEmUSlzyoQB26S6P0bkl_7w/edit"",""2025-26!z3"")"),13.0)</f>
        <v>13</v>
      </c>
      <c r="BC113" s="59">
        <f t="shared" si="23"/>
        <v>0.704922993</v>
      </c>
      <c r="BD113" s="55">
        <f>IFERROR(__xludf.DUMMYFUNCTION("importrange(""https://docs.google.com/spreadsheets/u/0/d/1ePExRxwP6pYHNPcZoek1UEmUSlzyoQB26S6P0bkl_7w/edit"",""2025-26!aa4"")"),1217642.0)</f>
        <v>1217642</v>
      </c>
      <c r="BE113" s="55">
        <f>IFERROR(__xludf.DUMMYFUNCTION("importrange(""https://docs.google.com/spreadsheets/u/0/d/1ePExRxwP6pYHNPcZoek1UEmUSlzyoQB26S6P0bkl_7w/edit"",""2025-26!aa3"")"),14.0)</f>
        <v>14</v>
      </c>
      <c r="BF113" s="55">
        <f>IFERROR(__xludf.DUMMYFUNCTION("importrange(""https://docs.google.com/spreadsheets/u/0/d/1ePExRxwP6pYHNPcZoek1UEmUSlzyoQB26S6P0bkl_7w/edit"",""2025-26!ab4"")"),1727340.4500000004)</f>
        <v>1727340.45</v>
      </c>
      <c r="BG113" s="55">
        <f>IFERROR(__xludf.DUMMYFUNCTION("importrange(""https://docs.google.com/spreadsheets/u/0/d/1ePExRxwP6pYHNPcZoek1UEmUSlzyoQB26S6P0bkl_7w/edit"",""2025-26!ab3"")"),40.0)</f>
        <v>40</v>
      </c>
      <c r="BH113" s="55">
        <f>IFERROR(__xludf.DUMMYFUNCTION("importrange(""https://docs.google.com/spreadsheets/u/0/d/1ePExRxwP6pYHNPcZoek1UEmUSlzyoQB26S6P0bkl_7w/edit"",""2025-26!ac4"")"),1125972.2600000002)</f>
        <v>1125972.26</v>
      </c>
      <c r="BI113" s="55">
        <f>IFERROR(__xludf.DUMMYFUNCTION("importrange(""https://docs.google.com/spreadsheets/u/0/d/1ePExRxwP6pYHNPcZoek1UEmUSlzyoQB26S6P0bkl_7w/edit"",""2025-26!ac3"")"),9.0)</f>
        <v>9</v>
      </c>
      <c r="BJ113" s="59">
        <f t="shared" si="24"/>
        <v>0.6620680943</v>
      </c>
      <c r="BK113" s="55">
        <f>IFERROR(__xludf.DUMMYFUNCTION("importrange(""https://docs.google.com/spreadsheets/u/0/d/1ePExRxwP6pYHNPcZoek1UEmUSlzyoQB26S6P0bkl_7w/edit"",""2025-26!ad4"")"),1143617.0)</f>
        <v>1143617</v>
      </c>
      <c r="BL113" s="55">
        <f>IFERROR(__xludf.DUMMYFUNCTION("importrange(""https://docs.google.com/spreadsheets/u/0/d/1ePExRxwP6pYHNPcZoek1UEmUSlzyoQB26S6P0bkl_7w/edit"",""2025-26!ad3"")"),10.0)</f>
        <v>10</v>
      </c>
      <c r="BM113" s="55">
        <f>IFERROR(__xludf.DUMMYFUNCTION("importrange(""https://docs.google.com/spreadsheets/u/0/d/1ePExRxwP6pYHNPcZoek1UEmUSlzyoQB26S6P0bkl_7w/edit"",""2025-26!ae4"")"),1727340.4500000004)</f>
        <v>1727340.45</v>
      </c>
      <c r="BN113" s="55">
        <f>IFERROR(__xludf.DUMMYFUNCTION("importrange(""https://docs.google.com/spreadsheets/u/0/d/1ePExRxwP6pYHNPcZoek1UEmUSlzyoQB26S6P0bkl_7w/edit"",""2025-26!ae3"")"),40.0)</f>
        <v>40</v>
      </c>
      <c r="BO113" s="55">
        <f>IFERROR(__xludf.DUMMYFUNCTION("importrange(""https://docs.google.com/spreadsheets/u/0/d/1ePExRxwP6pYHNPcZoek1UEmUSlzyoQB26S6P0bkl_7w/edit"",""2025-26!af4"")"),1960633.6799999997)</f>
        <v>1960633.68</v>
      </c>
      <c r="BP113" s="55">
        <f>IFERROR(__xludf.DUMMYFUNCTION("importrange(""https://docs.google.com/spreadsheets/u/0/d/1ePExRxwP6pYHNPcZoek1UEmUSlzyoQB26S6P0bkl_7w/edit"",""2025-26!af3"")"),8.0)</f>
        <v>8</v>
      </c>
      <c r="BQ113" s="59">
        <f t="shared" si="25"/>
        <v>1.163079924</v>
      </c>
      <c r="BR113" s="55">
        <f>IFERROR(__xludf.DUMMYFUNCTION("importrange(""https://docs.google.com/spreadsheets/u/0/d/1ePExRxwP6pYHNPcZoek1UEmUSlzyoQB26S6P0bkl_7w/edit"",""2025-26!ag4"")"),2009035.0)</f>
        <v>2009035</v>
      </c>
      <c r="BS113" s="55">
        <f>IFERROR(__xludf.DUMMYFUNCTION("importrange(""https://docs.google.com/spreadsheets/u/0/d/1ePExRxwP6pYHNPcZoek1UEmUSlzyoQB26S6P0bkl_7w/edit"",""2025-26!ag3"")"),12.0)</f>
        <v>12</v>
      </c>
      <c r="BT113" s="55">
        <f>IFERROR(__xludf.DUMMYFUNCTION("importrange(""https://docs.google.com/spreadsheets/u/0/d/1ePExRxwP6pYHNPcZoek1UEmUSlzyoQB26S6P0bkl_7w/edit"",""2025-26!ah4"")"),1872340.4500000004)</f>
        <v>1872340.45</v>
      </c>
      <c r="BU113" s="55">
        <f>IFERROR(__xludf.DUMMYFUNCTION("importrange(""https://docs.google.com/spreadsheets/u/0/d/1ePExRxwP6pYHNPcZoek1UEmUSlzyoQB26S6P0bkl_7w/edit"",""2025-26!ah3"")"),43.0)</f>
        <v>43</v>
      </c>
      <c r="BV113" s="55">
        <f>IFERROR(__xludf.DUMMYFUNCTION("importrange(""https://docs.google.com/spreadsheets/u/0/d/1ePExRxwP6pYHNPcZoek1UEmUSlzyoQB26S6P0bkl_7w/edit"",""2025-26!ai4"")"),1460148.77)</f>
        <v>1460148.77</v>
      </c>
      <c r="BW113" s="55">
        <f>IFERROR(__xludf.DUMMYFUNCTION("importrange(""https://docs.google.com/spreadsheets/u/0/d/1ePExRxwP6pYHNPcZoek1UEmUSlzyoQB26S6P0bkl_7w/edit"",""2025-26!ai3"")"),8.0)</f>
        <v>8</v>
      </c>
      <c r="BX113" s="59">
        <f t="shared" si="26"/>
        <v>1.082473543</v>
      </c>
      <c r="BY113" s="55">
        <f>IFERROR(__xludf.DUMMYFUNCTION("importrange(""https://docs.google.com/spreadsheets/u/0/d/1ePExRxwP6pYHNPcZoek1UEmUSlzyoQB26S6P0bkl_7w/edit"",""2025-26!aj4"")"),2026759.0)</f>
        <v>2026759</v>
      </c>
      <c r="BZ113" s="55">
        <f>IFERROR(__xludf.DUMMYFUNCTION("importrange(""https://docs.google.com/spreadsheets/u/0/d/1ePExRxwP6pYHNPcZoek1UEmUSlzyoQB26S6P0bkl_7w/edit"",""2025-26!aj3"")"),16.0)</f>
        <v>16</v>
      </c>
      <c r="CA113" s="55">
        <f>IFERROR(__xludf.DUMMYFUNCTION("importrange(""https://docs.google.com/spreadsheets/u/0/d/1ePExRxwP6pYHNPcZoek1UEmUSlzyoQB26S6P0bkl_7w/edit"",""2025-26!ak4"")"),1837338.4500000004)</f>
        <v>1837338.45</v>
      </c>
      <c r="CB113" s="55">
        <f>IFERROR(__xludf.DUMMYFUNCTION("importrange(""https://docs.google.com/spreadsheets/u/0/d/1ePExRxwP6pYHNPcZoek1UEmUSlzyoQB26S6P0bkl_7w/edit"",""2025-26!ak3"")"),44.0)</f>
        <v>44</v>
      </c>
      <c r="CC113" s="55">
        <f>IFERROR(__xludf.DUMMYFUNCTION("importrange(""https://docs.google.com/spreadsheets/u/0/d/1ePExRxwP6pYHNPcZoek1UEmUSlzyoQB26S6P0bkl_7w/edit"",""2025-26!al4"")"),3759889.01)</f>
        <v>3759889.01</v>
      </c>
      <c r="CD113" s="55">
        <f>IFERROR(__xludf.DUMMYFUNCTION("importrange(""https://docs.google.com/spreadsheets/u/0/d/1ePExRxwP6pYHNPcZoek1UEmUSlzyoQB26S6P0bkl_7w/edit"",""2025-26!ai3"")"),8.0)</f>
        <v>8</v>
      </c>
      <c r="CE113" s="59">
        <f t="shared" si="27"/>
        <v>1.758680335</v>
      </c>
      <c r="CF113" s="55">
        <f>IFERROR(__xludf.DUMMYFUNCTION("importrange(""https://docs.google.com/spreadsheets/u/0/d/1ePExRxwP6pYHNPcZoek1UEmUSlzyoQB26S6P0bkl_7w/edit"",""2025-26!am4"")"),3231291.0)</f>
        <v>3231291</v>
      </c>
      <c r="CG113" s="55">
        <f>IFERROR(__xludf.DUMMYFUNCTION("importrange(""https://docs.google.com/spreadsheets/u/0/d/1ePExRxwP6pYHNPcZoek1UEmUSlzyoQB26S6P0bkl_7w/edit"",""2025-26!am3"")"),22.0)</f>
        <v>22</v>
      </c>
      <c r="CH113" s="55">
        <f>IFERROR(__xludf.DUMMYFUNCTION("importrange(""https://docs.google.com/spreadsheets/u/0/d/1ePExRxwP6pYHNPcZoek1UEmUSlzyoQB26S6P0bkl_7w/edit"",""2025-26!an4"")"),1987338.4500000004)</f>
        <v>1987338.45</v>
      </c>
      <c r="CI113" s="55">
        <f>IFERROR(__xludf.DUMMYFUNCTION("importrange(""https://docs.google.com/spreadsheets/u/0/d/1ePExRxwP6pYHNPcZoek1UEmUSlzyoQB26S6P0bkl_7w/edit"",""2025-26!an3"")"),46.0)</f>
        <v>46</v>
      </c>
      <c r="CJ113" s="55">
        <f>IFERROR(__xludf.DUMMYFUNCTION("importrange(""https://docs.google.com/spreadsheets/u/0/d/1ePExRxwP6pYHNPcZoek1UEmUSlzyoQB26S6P0bkl_7w/edit"",""2025-26!ao4"")"),1117788.12)</f>
        <v>1117788.12</v>
      </c>
      <c r="CK113" s="55">
        <f>IFERROR(__xludf.DUMMYFUNCTION("importrange(""https://docs.google.com/spreadsheets/u/0/d/1ePExRxwP6pYHNPcZoek1UEmUSlzyoQB26S6P0bkl_7w/edit"",""2025-26!ao3"")"),10.0)</f>
        <v>10</v>
      </c>
      <c r="CL113" s="59">
        <f t="shared" si="28"/>
        <v>0.6256005362</v>
      </c>
      <c r="CM113" s="55">
        <f>IFERROR(__xludf.DUMMYFUNCTION("importrange(""https://docs.google.com/spreadsheets/u/0/d/1ePExRxwP6pYHNPcZoek1UEmUSlzyoQB26S6P0bkl_7w/edit"",""2025-26!ap4"")"),1243280.0)</f>
        <v>1243280</v>
      </c>
      <c r="CN113" s="55">
        <f>IFERROR(__xludf.DUMMYFUNCTION("importrange(""https://docs.google.com/spreadsheets/u/0/d/1ePExRxwP6pYHNPcZoek1UEmUSlzyoQB26S6P0bkl_7w/edit"",""2025-26!ap3"")"),13.0)</f>
        <v>13</v>
      </c>
      <c r="CO113" s="55">
        <f>IFERROR(__xludf.DUMMYFUNCTION("importrange(""https://docs.google.com/spreadsheets/u/0/d/1ePExRxwP6pYHNPcZoek1UEmUSlzyoQB26S6P0bkl_7w/edit"",""2025-26!aq4"")"),1987338.4500000004)</f>
        <v>1987338.45</v>
      </c>
      <c r="CP113" s="55">
        <f>IFERROR(__xludf.DUMMYFUNCTION("importrange(""https://docs.google.com/spreadsheets/u/0/d/1ePExRxwP6pYHNPcZoek1UEmUSlzyoQB26S6P0bkl_7w/edit"",""2025-26!aq3"")"),46.0)</f>
        <v>46</v>
      </c>
      <c r="CQ113" s="55">
        <f>IFERROR(__xludf.DUMMYFUNCTION("importrange(""https://docs.google.com/spreadsheets/u/0/d/1ePExRxwP6pYHNPcZoek1UEmUSlzyoQB26S6P0bkl_7w/edit"",""2025-26!ar4"")"),2202258.1799999997)</f>
        <v>2202258.18</v>
      </c>
      <c r="CR113" s="55">
        <f>IFERROR(__xludf.DUMMYFUNCTION("importrange(""https://docs.google.com/spreadsheets/u/0/d/1ePExRxwP6pYHNPcZoek1UEmUSlzyoQB26S6P0bkl_7w/edit"",""2025-26!ar3"")"),7.0)</f>
        <v>7</v>
      </c>
      <c r="CS113" s="59">
        <f t="shared" si="29"/>
        <v>1.439840305</v>
      </c>
      <c r="CT113" s="55">
        <f>IFERROR(__xludf.DUMMYFUNCTION("importrange(""https://docs.google.com/spreadsheets/u/0/d/1ePExRxwP6pYHNPcZoek1UEmUSlzyoQB26S6P0bkl_7w/edit"",""2025-26!as4"")"),2861450.0)</f>
        <v>2861450</v>
      </c>
      <c r="CU113" s="55">
        <f>IFERROR(__xludf.DUMMYFUNCTION("importrange(""https://docs.google.com/spreadsheets/u/0/d/1ePExRxwP6pYHNPcZoek1UEmUSlzyoQB26S6P0bkl_7w/edit"",""2025-26!as3"")"),12.0)</f>
        <v>12</v>
      </c>
      <c r="CV113" s="60" t="s">
        <v>215</v>
      </c>
    </row>
    <row r="114">
      <c r="A114" s="1" t="s">
        <v>185</v>
      </c>
      <c r="B114" s="37"/>
      <c r="C114" s="64" t="s">
        <v>251</v>
      </c>
      <c r="D114" s="50" t="s">
        <v>252</v>
      </c>
      <c r="E114" s="50">
        <v>9.934900424E9</v>
      </c>
      <c r="F114" s="74">
        <v>45231.0</v>
      </c>
      <c r="G114" s="62"/>
      <c r="H114" s="62"/>
      <c r="I114" s="53">
        <v>24120.0</v>
      </c>
      <c r="J114" s="54">
        <v>1500000.0</v>
      </c>
      <c r="K114" s="57">
        <f>IFERROR(__xludf.DUMMYFUNCTION("IMPORTRANGE(""https://docs.google.com/spreadsheets/d/1lrzJ0bcPvcbipm39nmARSoKIg0_81LFUcUZBMTIXHW8/edit#gid=32282635"",""2025-26!A3"")"),40.0)</f>
        <v>40</v>
      </c>
      <c r="L114" s="57">
        <f>IFERROR(__xludf.DUMMYFUNCTION("IMPORTRANGE(""https://docs.google.com/spreadsheets/d/1lrzJ0bcPvcbipm39nmARSoKIg0_81LFUcUZBMTIXHW8/edit#gid=32282635"",""2025-26!G4"")"),1.8528E7)</f>
        <v>18528000</v>
      </c>
      <c r="M114" s="57">
        <f t="shared" si="50"/>
        <v>6585385.46</v>
      </c>
      <c r="N114" s="56">
        <f t="shared" si="51"/>
        <v>0.560802785</v>
      </c>
      <c r="O114" s="57">
        <f t="shared" si="52"/>
        <v>10390554</v>
      </c>
      <c r="P114" s="55">
        <f>IFERROR(__xludf.DUMMYFUNCTION("IMPORTRANGE(""https://docs.google.com/spreadsheets/d/1lrzJ0bcPvcbipm39nmARSoKIg0_81LFUcUZBMTIXHW8/edit#gid=32282635"",""2025-26!J4"")"),1451114.0)</f>
        <v>1451114</v>
      </c>
      <c r="Q114" s="55">
        <f>IFERROR(__xludf.DUMMYFUNCTION("IMPORTRANGE(""https://docs.google.com/spreadsheets/d/1lrzJ0bcPvcbipm39nmARSoKIg0_81LFUcUZBMTIXHW8/edit#gid=32282635"",""2025-26!J3"")"),27.0)</f>
        <v>27</v>
      </c>
      <c r="R114" s="55">
        <f>IFERROR(__xludf.DUMMYFUNCTION("IMPORTRANGE(""https://docs.google.com/spreadsheets/d/1lrzJ0bcPvcbipm39nmARSoKIg0_81LFUcUZBMTIXHW8/edit#gid=32282635"",""2025-26!K4"")"),990238.6000000001)</f>
        <v>990238.6</v>
      </c>
      <c r="S114" s="55">
        <f>IFERROR(__xludf.DUMMYFUNCTION("IMPORTRANGE(""https://docs.google.com/spreadsheets/d/1lrzJ0bcPvcbipm39nmARSoKIg0_81LFUcUZBMTIXHW8/edit#gid=32282635"",""2025-26!K3"")"),8.0)</f>
        <v>8</v>
      </c>
      <c r="T114" s="58">
        <f t="shared" si="18"/>
        <v>0.7209054561</v>
      </c>
      <c r="U114" s="55">
        <f>IFERROR(__xludf.DUMMYFUNCTION("IMPORTRANGE(""https://docs.google.com/spreadsheets/d/1lrzJ0bcPvcbipm39nmARSoKIg0_81LFUcUZBMTIXHW8/edit#gid=32282635"",""2025-26!L4"")"),1046116.0)</f>
        <v>1046116</v>
      </c>
      <c r="V114" s="79">
        <f>IFERROR(__xludf.DUMMYFUNCTION("IMPORTRANGE(""https://docs.google.com/spreadsheets/d/1lrzJ0bcPvcbipm39nmARSoKIg0_81LFUcUZBMTIXHW8/edit#gid=32282635"",""2025-26!L3"")"),7.0)</f>
        <v>7</v>
      </c>
      <c r="W114" s="55">
        <f>IFERROR(__xludf.DUMMYFUNCTION("IMPORTRANGE(""https://docs.google.com/spreadsheets/d/1lrzJ0bcPvcbipm39nmARSoKIg0_81LFUcUZBMTIXHW8/edit#gid=32282635"",""2025-26!M4"")"),1480462.0)</f>
        <v>1480462</v>
      </c>
      <c r="X114" s="79">
        <f>IFERROR(__xludf.DUMMYFUNCTION("IMPORTRANGE(""https://docs.google.com/spreadsheets/d/1lrzJ0bcPvcbipm39nmARSoKIg0_81LFUcUZBMTIXHW8/edit#gid=32282635"",""2025-26!M3"")"),28.0)</f>
        <v>28</v>
      </c>
      <c r="Y114" s="55">
        <f>IFERROR(__xludf.DUMMYFUNCTION("importrange(""https://docs.google.com/spreadsheets/d/1lrzJ0bcPvcbipm39nmARSoKIg0_81LFUcUZBMTIXHW8/edit#gid=32282635"",""2025-26!n4"")"),2200001.2)</f>
        <v>2200001.2</v>
      </c>
      <c r="Z114" s="55">
        <f>IFERROR(__xludf.DUMMYFUNCTION("importrange(""https://docs.google.com/spreadsheets/d/1lrzJ0bcPvcbipm39nmARSoKIg0_81LFUcUZBMTIXHW8/edit#gid=32282635"",""2025-26!n3"")"),3.0)</f>
        <v>3</v>
      </c>
      <c r="AA114" s="58">
        <f t="shared" si="19"/>
        <v>0.6094928475</v>
      </c>
      <c r="AB114" s="55">
        <f>IFERROR(__xludf.DUMMYFUNCTION("importrange(""https://docs.google.com/spreadsheets/d/1lrzJ0bcPvcbipm39nmARSoKIg0_81LFUcUZBMTIXHW8/edit#gid=32282635"",""2025-26!o4"")"),902331.0)</f>
        <v>902331</v>
      </c>
      <c r="AC114" s="55">
        <f>IFERROR(__xludf.DUMMYFUNCTION("importrange(""https://docs.google.com/spreadsheets/d/1lrzJ0bcPvcbipm39nmARSoKIg0_81LFUcUZBMTIXHW8/edit#gid=32282635"",""2025-26!o3"")"),10.0)</f>
        <v>10</v>
      </c>
      <c r="AD114" s="55">
        <f>IFERROR(__xludf.DUMMYFUNCTION("importrange(""https://docs.google.com/spreadsheets/d/1lrzJ0bcPvcbipm39nmARSoKIg0_81LFUcUZBMTIXHW8/edit#gid=32282635"",""2025-26!p4"")"),1481237.0)</f>
        <v>1481237</v>
      </c>
      <c r="AE114" s="55">
        <f>IFERROR(__xludf.DUMMYFUNCTION("importrange(""https://docs.google.com/spreadsheets/d/1lrzJ0bcPvcbipm39nmARSoKIg0_81LFUcUZBMTIXHW8/edit#gid=32282635"",""2025-26!p3"")"),27.0)</f>
        <v>27</v>
      </c>
      <c r="AF114" s="55">
        <f>IFERROR(__xludf.DUMMYFUNCTION("importrange(""https://docs.google.com/spreadsheets/d/1lrzJ0bcPvcbipm39nmARSoKIg0_81LFUcUZBMTIXHW8/edit#gid=32282635"",""2025-26!q4"")"),122625.5)</f>
        <v>122625.5</v>
      </c>
      <c r="AG114" s="55">
        <f>IFERROR(__xludf.DUMMYFUNCTION("importrange(""https://docs.google.com/spreadsheets/d/1lrzJ0bcPvcbipm39nmARSoKIg0_81LFUcUZBMTIXHW8/edit#gid=32282635"",""2025-26!q3"")"),2.0)</f>
        <v>2</v>
      </c>
      <c r="AH114" s="58">
        <f t="shared" si="20"/>
        <v>0.4883033573</v>
      </c>
      <c r="AI114" s="55">
        <f>IFERROR(__xludf.DUMMYFUNCTION("importrange(""https://docs.google.com/spreadsheets/d/1lrzJ0bcPvcbipm39nmARSoKIg0_81LFUcUZBMTIXHW8/edit#gid=32282635"",""2025-26!r4"")"),723293.0)</f>
        <v>723293</v>
      </c>
      <c r="AJ114" s="55">
        <f>IFERROR(__xludf.DUMMYFUNCTION("importrange(""https://docs.google.com/spreadsheets/d/1lrzJ0bcPvcbipm39nmARSoKIg0_81LFUcUZBMTIXHW8/edit#gid=32282635"",""2025-26!r3"")"),9.0)</f>
        <v>9</v>
      </c>
      <c r="AK114" s="55">
        <f>IFERROR(__xludf.DUMMYFUNCTION("importrange(""https://docs.google.com/spreadsheets/d/1lrzJ0bcPvcbipm39nmARSoKIg0_81LFUcUZBMTIXHW8/edit#gid=32282635"",""2025-26!s4"")"),1776327.0)</f>
        <v>1776327</v>
      </c>
      <c r="AL114" s="55">
        <f>IFERROR(__xludf.DUMMYFUNCTION("importrange(""https://docs.google.com/spreadsheets/d/1lrzJ0bcPvcbipm39nmARSoKIg0_81LFUcUZBMTIXHW8/edit#gid=32282635"",""2025-26!s3"")"),29.0)</f>
        <v>29</v>
      </c>
      <c r="AM114" s="57">
        <f>IFERROR(__xludf.DUMMYFUNCTION("importrange(""https://docs.google.com/spreadsheets/d/1lrzJ0bcPvcbipm39nmARSoKIg0_81LFUcUZBMTIXHW8/edit#gid=32282635"",""2025-26!t4"")"),0.0)</f>
        <v>0</v>
      </c>
      <c r="AN114" s="55">
        <f>IFERROR(__xludf.DUMMYFUNCTION("importrange(""https://docs.google.com/spreadsheets/d/1lrzJ0bcPvcbipm39nmARSoKIg0_81LFUcUZBMTIXHW8/edit#gid=32282635"",""2025-26!t3"")"),0.0)</f>
        <v>0</v>
      </c>
      <c r="AO114" s="58">
        <f t="shared" si="21"/>
        <v>0.2659532845</v>
      </c>
      <c r="AP114" s="55">
        <f>IFERROR(__xludf.DUMMYFUNCTION("importrange(""https://docs.google.com/spreadsheets/d/1lrzJ0bcPvcbipm39nmARSoKIg0_81LFUcUZBMTIXHW8/edit#gid=32282635"",""2025-26!u4"")"),472420.0)</f>
        <v>472420</v>
      </c>
      <c r="AQ114" s="55">
        <f>IFERROR(__xludf.DUMMYFUNCTION("importrange(""https://docs.google.com/spreadsheets/d/1lrzJ0bcPvcbipm39nmARSoKIg0_81LFUcUZBMTIXHW8/edit#gid=32282635"",""2025-26!u3"")"),6.0)</f>
        <v>6</v>
      </c>
      <c r="AR114" s="55">
        <f>IFERROR(__xludf.DUMMYFUNCTION("importrange(""https://docs.google.com/spreadsheets/d/1lrzJ0bcPvcbipm39nmARSoKIg0_81LFUcUZBMTIXHW8/edit#gid=32282635"",""2025-26!v4"")"),1577900.0)</f>
        <v>1577900</v>
      </c>
      <c r="AS114" s="55">
        <f>IFERROR(__xludf.DUMMYFUNCTION("importrange(""https://docs.google.com/spreadsheets/d/1lrzJ0bcPvcbipm39nmARSoKIg0_81LFUcUZBMTIXHW8/edit#gid=32282635"",""2025-26!v3"")"),29.0)</f>
        <v>29</v>
      </c>
      <c r="AT114" s="57">
        <f>IFERROR(__xludf.DUMMYFUNCTION("importrange(""https://docs.google.com/spreadsheets/d/1lrzJ0bcPvcbipm39nmARSoKIg0_81LFUcUZBMTIXHW8/edit#gid=32282635"",""2025-26!w4"")"),0.0)</f>
        <v>0</v>
      </c>
      <c r="AU114" s="55">
        <f>IFERROR(__xludf.DUMMYFUNCTION("importrange(""https://docs.google.com/spreadsheets/d/1lrzJ0bcPvcbipm39nmARSoKIg0_81LFUcUZBMTIXHW8/edit#gid=32282635"",""2025-26!w3"")"),0.0)</f>
        <v>0</v>
      </c>
      <c r="AV114" s="58">
        <f t="shared" si="22"/>
        <v>0.4392661132</v>
      </c>
      <c r="AW114" s="55">
        <f>IFERROR(__xludf.DUMMYFUNCTION("importrange(""https://docs.google.com/spreadsheets/d/1lrzJ0bcPvcbipm39nmARSoKIg0_81LFUcUZBMTIXHW8/edit#gid=32282635"",""2025-26!x4"")"),693118.0)</f>
        <v>693118</v>
      </c>
      <c r="AX114" s="55">
        <f>IFERROR(__xludf.DUMMYFUNCTION("importrange(""https://docs.google.com/spreadsheets/d/1lrzJ0bcPvcbipm39nmARSoKIg0_81LFUcUZBMTIXHW8/edit#gid=32282635"",""2025-26!x3"")"),7.0)</f>
        <v>7</v>
      </c>
      <c r="AY114" s="55">
        <f>IFERROR(__xludf.DUMMYFUNCTION("importrange(""https://docs.google.com/spreadsheets/d/1lrzJ0bcPvcbipm39nmARSoKIg0_81LFUcUZBMTIXHW8/edit#gid=32282635"",""2025-26!y4"")"),1507237.0)</f>
        <v>1507237</v>
      </c>
      <c r="AZ114" s="55">
        <f>IFERROR(__xludf.DUMMYFUNCTION("importrange(""https://docs.google.com/spreadsheets/d/1lrzJ0bcPvcbipm39nmARSoKIg0_81LFUcUZBMTIXHW8/edit#gid=32282635"",""2025-26!y3"")"),27.0)</f>
        <v>27</v>
      </c>
      <c r="BA114" s="57">
        <f>IFERROR(__xludf.DUMMYFUNCTION("importrange(""https://docs.google.com/spreadsheets/d/1lrzJ0bcPvcbipm39nmARSoKIg0_81LFUcUZBMTIXHW8/edit#gid=32282635"",""2025-26!z4"")"),957018.2300000001)</f>
        <v>957018.23</v>
      </c>
      <c r="BB114" s="55">
        <f>IFERROR(__xludf.DUMMYFUNCTION("importrange(""https://docs.google.com/spreadsheets/d/1lrzJ0bcPvcbipm39nmARSoKIg0_81LFUcUZBMTIXHW8/edit#gid=32282635"",""2025-26!z3"")"),7.0)</f>
        <v>7</v>
      </c>
      <c r="BC114" s="59">
        <f t="shared" si="23"/>
        <v>0.6571375305</v>
      </c>
      <c r="BD114" s="55">
        <f>IFERROR(__xludf.DUMMYFUNCTION("importrange(""https://docs.google.com/spreadsheets/d/1lrzJ0bcPvcbipm39nmARSoKIg0_81LFUcUZBMTIXHW8/edit#gid=32282635"",""2025-26!aa4"")"),990462.0)</f>
        <v>990462</v>
      </c>
      <c r="BE114" s="55">
        <f>IFERROR(__xludf.DUMMYFUNCTION("importrange(""https://docs.google.com/spreadsheets/d/1lrzJ0bcPvcbipm39nmARSoKIg0_81LFUcUZBMTIXHW8/edit#gid=32282635"",""2025-26!aa3"")"),7.0)</f>
        <v>7</v>
      </c>
      <c r="BF114" s="55">
        <f>IFERROR(__xludf.DUMMYFUNCTION("importrange(""https://docs.google.com/spreadsheets/d/1lrzJ0bcPvcbipm39nmARSoKIg0_81LFUcUZBMTIXHW8/edit#gid=32282635"",""2025-26!ab4"")"),1420237.0)</f>
        <v>1420237</v>
      </c>
      <c r="BG114" s="55">
        <f>IFERROR(__xludf.DUMMYFUNCTION("importrange(""https://docs.google.com/spreadsheets/d/1lrzJ0bcPvcbipm39nmARSoKIg0_81LFUcUZBMTIXHW8/edit#gid=32282635"",""2025-26!ab3"")"),27.0)</f>
        <v>27</v>
      </c>
      <c r="BH114" s="55">
        <f>IFERROR(__xludf.DUMMYFUNCTION("importrange(""https://docs.google.com/spreadsheets/d/1lrzJ0bcPvcbipm39nmARSoKIg0_81LFUcUZBMTIXHW8/edit#gid=32282635"",""2025-26!ac4"")"),312793.06)</f>
        <v>312793.06</v>
      </c>
      <c r="BI114" s="55">
        <f>IFERROR(__xludf.DUMMYFUNCTION("importrange(""https://docs.google.com/spreadsheets/d/1lrzJ0bcPvcbipm39nmARSoKIg0_81LFUcUZBMTIXHW8/edit#gid=32282635"",""2025-26!ac3"")"),1.0)</f>
        <v>1</v>
      </c>
      <c r="BJ114" s="59">
        <f t="shared" si="24"/>
        <v>0.4224717424</v>
      </c>
      <c r="BK114" s="55">
        <f>IFERROR(__xludf.DUMMYFUNCTION("importrange(""https://docs.google.com/spreadsheets/d/1lrzJ0bcPvcbipm39nmARSoKIg0_81LFUcUZBMTIXHW8/edit#gid=32282635"",""2025-26!ad4"")"),600010.0)</f>
        <v>600010</v>
      </c>
      <c r="BL114" s="55">
        <f>IFERROR(__xludf.DUMMYFUNCTION("importrange(""https://docs.google.com/spreadsheets/d/1lrzJ0bcPvcbipm39nmARSoKIg0_81LFUcUZBMTIXHW8/edit#gid=32282635"",""2025-26!ad3"")"),7.0)</f>
        <v>7</v>
      </c>
      <c r="BM114" s="55">
        <f>IFERROR(__xludf.DUMMYFUNCTION("importrange(""https://docs.google.com/spreadsheets/d/1lrzJ0bcPvcbipm39nmARSoKIg0_81LFUcUZBMTIXHW8/edit#gid=32282635"",""2025-26!ae4"")"),1395326.0)</f>
        <v>1395326</v>
      </c>
      <c r="BN114" s="55">
        <f>IFERROR(__xludf.DUMMYFUNCTION("importrange(""https://docs.google.com/spreadsheets/d/1lrzJ0bcPvcbipm39nmARSoKIg0_81LFUcUZBMTIXHW8/edit#gid=32282635"",""2025-26!ae3"")"),26.0)</f>
        <v>26</v>
      </c>
      <c r="BO114" s="55">
        <f>IFERROR(__xludf.DUMMYFUNCTION("importrange(""https://docs.google.com/spreadsheets/d/1lrzJ0bcPvcbipm39nmARSoKIg0_81LFUcUZBMTIXHW8/edit#gid=32282635"",""2025-26!af4"")"),0.0)</f>
        <v>0</v>
      </c>
      <c r="BP114" s="55">
        <f>IFERROR(__xludf.DUMMYFUNCTION("importrange(""https://docs.google.com/spreadsheets/d/1lrzJ0bcPvcbipm39nmARSoKIg0_81LFUcUZBMTIXHW8/edit#gid=32282635"",""2025-26!af3"")"),0.0)</f>
        <v>0</v>
      </c>
      <c r="BQ114" s="59">
        <f t="shared" si="25"/>
        <v>0.5415501467</v>
      </c>
      <c r="BR114" s="55">
        <f>IFERROR(__xludf.DUMMYFUNCTION("importrange(""https://docs.google.com/spreadsheets/d/1lrzJ0bcPvcbipm39nmARSoKIg0_81LFUcUZBMTIXHW8/edit#gid=32282635"",""2025-26!ag4"")"),755639.0)</f>
        <v>755639</v>
      </c>
      <c r="BS114" s="55">
        <f>IFERROR(__xludf.DUMMYFUNCTION("importrange(""https://docs.google.com/spreadsheets/d/1lrzJ0bcPvcbipm39nmARSoKIg0_81LFUcUZBMTIXHW8/edit#gid=32282635"",""2025-26!ag3"")"),14.0)</f>
        <v>14</v>
      </c>
      <c r="BT114" s="55">
        <f>IFERROR(__xludf.DUMMYFUNCTION("importrange(""https://docs.google.com/spreadsheets/d/1lrzJ0bcPvcbipm39nmARSoKIg0_81LFUcUZBMTIXHW8/edit#gid=32282635"",""2025-26!ah4"")"),1420346.0)</f>
        <v>1420346</v>
      </c>
      <c r="BU114" s="55">
        <f>IFERROR(__xludf.DUMMYFUNCTION("importrange(""https://docs.google.com/spreadsheets/d/1lrzJ0bcPvcbipm39nmARSoKIg0_81LFUcUZBMTIXHW8/edit#gid=32282635"",""2025-26!ah3"")"),27.0)</f>
        <v>27</v>
      </c>
      <c r="BV114" s="55">
        <f>IFERROR(__xludf.DUMMYFUNCTION("importrange(""https://docs.google.com/spreadsheets/d/1lrzJ0bcPvcbipm39nmARSoKIg0_81LFUcUZBMTIXHW8/edit#gid=32282635"",""2025-26!ai4"")"),690418.47)</f>
        <v>690418.47</v>
      </c>
      <c r="BW114" s="55">
        <f>IFERROR(__xludf.DUMMYFUNCTION("importrange(""https://docs.google.com/spreadsheets/d/1lrzJ0bcPvcbipm39nmARSoKIg0_81LFUcUZBMTIXHW8/edit#gid=32282635"",""2025-26!ai3"")"),4.0)</f>
        <v>4</v>
      </c>
      <c r="BX114" s="59">
        <f t="shared" si="26"/>
        <v>0.8923924171</v>
      </c>
      <c r="BY114" s="55">
        <f>IFERROR(__xludf.DUMMYFUNCTION("importrange(""https://docs.google.com/spreadsheets/d/1lrzJ0bcPvcbipm39nmARSoKIg0_81LFUcUZBMTIXHW8/edit#gid=32282635"",""2025-26!aj4"")"),1267506.0)</f>
        <v>1267506</v>
      </c>
      <c r="BZ114" s="55">
        <f>IFERROR(__xludf.DUMMYFUNCTION("importrange(""https://docs.google.com/spreadsheets/d/1lrzJ0bcPvcbipm39nmARSoKIg0_81LFUcUZBMTIXHW8/edit#gid=32282635"",""2025-26!aj3"")"),13.0)</f>
        <v>13</v>
      </c>
      <c r="CA114" s="55">
        <f>IFERROR(__xludf.DUMMYFUNCTION("importrange(""https://docs.google.com/spreadsheets/d/1lrzJ0bcPvcbipm39nmARSoKIg0_81LFUcUZBMTIXHW8/edit#gid=32282635"",""2025-26!ak4"")"),1395237.0)</f>
        <v>1395237</v>
      </c>
      <c r="CB114" s="55">
        <f>IFERROR(__xludf.DUMMYFUNCTION("importrange(""https://docs.google.com/spreadsheets/d/1lrzJ0bcPvcbipm39nmARSoKIg0_81LFUcUZBMTIXHW8/edit#gid=32282635"",""2025-26!ak3"")"),26.0)</f>
        <v>26</v>
      </c>
      <c r="CC114" s="55">
        <f>IFERROR(__xludf.DUMMYFUNCTION("importrange(""https://docs.google.com/spreadsheets/d/1lrzJ0bcPvcbipm39nmARSoKIg0_81LFUcUZBMTIXHW8/edit#gid=32282635"",""2025-26!al4"")"),672882.88)</f>
        <v>672882.88</v>
      </c>
      <c r="CD114" s="55">
        <f>IFERROR(__xludf.DUMMYFUNCTION("importrange(""https://docs.google.com/spreadsheets/d/1lrzJ0bcPvcbipm39nmARSoKIg0_81LFUcUZBMTIXHW8/edit#gid=32282635"",""2025-26!ai3"")"),4.0)</f>
        <v>4</v>
      </c>
      <c r="CE114" s="59">
        <f t="shared" si="27"/>
        <v>0.7870376144</v>
      </c>
      <c r="CF114" s="55">
        <f>IFERROR(__xludf.DUMMYFUNCTION("importrange(""https://docs.google.com/spreadsheets/d/1lrzJ0bcPvcbipm39nmARSoKIg0_81LFUcUZBMTIXHW8/edit#gid=32282635"",""2025-26!am4"")"),1098104.0)</f>
        <v>1098104</v>
      </c>
      <c r="CG114" s="55">
        <f>IFERROR(__xludf.DUMMYFUNCTION("importrange(""https://docs.google.com/spreadsheets/d/1lrzJ0bcPvcbipm39nmARSoKIg0_81LFUcUZBMTIXHW8/edit#gid=32282635"",""2025-26!am3"")"),15.0)</f>
        <v>15</v>
      </c>
      <c r="CH114" s="55">
        <f>IFERROR(__xludf.DUMMYFUNCTION("importrange(""https://docs.google.com/spreadsheets/d/1lrzJ0bcPvcbipm39nmARSoKIg0_81LFUcUZBMTIXHW8/edit#gid=32282635"",""2025-26!an4"")"),1362013.0)</f>
        <v>1362013</v>
      </c>
      <c r="CI114" s="55">
        <f>IFERROR(__xludf.DUMMYFUNCTION("importrange(""https://docs.google.com/spreadsheets/d/1lrzJ0bcPvcbipm39nmARSoKIg0_81LFUcUZBMTIXHW8/edit#gid=32282635"",""2025-26!an3"")"),25.0)</f>
        <v>25</v>
      </c>
      <c r="CJ114" s="55">
        <f>IFERROR(__xludf.DUMMYFUNCTION("importrange(""https://docs.google.com/spreadsheets/d/1lrzJ0bcPvcbipm39nmARSoKIg0_81LFUcUZBMTIXHW8/edit#gid=32282635"",""2025-26!ao4"")"),0.0)</f>
        <v>0</v>
      </c>
      <c r="CK114" s="55">
        <f>IFERROR(__xludf.DUMMYFUNCTION("importrange(""https://docs.google.com/spreadsheets/d/1lrzJ0bcPvcbipm39nmARSoKIg0_81LFUcUZBMTIXHW8/edit#gid=32282635"",""2025-26!ao3"")"),0.0)</f>
        <v>0</v>
      </c>
      <c r="CL114" s="59">
        <f t="shared" si="28"/>
        <v>0.1823374667</v>
      </c>
      <c r="CM114" s="55">
        <f>IFERROR(__xludf.DUMMYFUNCTION("importrange(""https://docs.google.com/spreadsheets/d/1lrzJ0bcPvcbipm39nmARSoKIg0_81LFUcUZBMTIXHW8/edit#gid=32282635"",""2025-26!ap4"")"),248346.0)</f>
        <v>248346</v>
      </c>
      <c r="CN114" s="55">
        <f>IFERROR(__xludf.DUMMYFUNCTION("importrange(""https://docs.google.com/spreadsheets/d/1lrzJ0bcPvcbipm39nmARSoKIg0_81LFUcUZBMTIXHW8/edit#gid=32282635"",""2025-26!ap3"")"),4.0)</f>
        <v>4</v>
      </c>
      <c r="CO114" s="55">
        <f>IFERROR(__xludf.DUMMYFUNCTION("importrange(""https://docs.google.com/spreadsheets/d/1lrzJ0bcPvcbipm39nmARSoKIg0_81LFUcUZBMTIXHW8/edit#gid=32282635"",""2025-26!aq4"")"),1320115.0)</f>
        <v>1320115</v>
      </c>
      <c r="CP114" s="55">
        <f>IFERROR(__xludf.DUMMYFUNCTION("importrange(""https://docs.google.com/spreadsheets/d/1lrzJ0bcPvcbipm39nmARSoKIg0_81LFUcUZBMTIXHW8/edit#gid=32282635"",""2025-26!aq3"")"),24.0)</f>
        <v>24</v>
      </c>
      <c r="CQ114" s="55">
        <f>IFERROR(__xludf.DUMMYFUNCTION("importrange(""https://docs.google.com/spreadsheets/d/1lrzJ0bcPvcbipm39nmARSoKIg0_81LFUcUZBMTIXHW8/edit#gid=32282635"",""2025-26!ar4"")"),639407.52)</f>
        <v>639407.52</v>
      </c>
      <c r="CR114" s="55">
        <f>IFERROR(__xludf.DUMMYFUNCTION("importrange(""https://docs.google.com/spreadsheets/d/1lrzJ0bcPvcbipm39nmARSoKIg0_81LFUcUZBMTIXHW8/edit#gid=32282635"",""2025-26!ar3"")"),3.0)</f>
        <v>3</v>
      </c>
      <c r="CS114" s="59">
        <f t="shared" si="29"/>
        <v>1.206871371</v>
      </c>
      <c r="CT114" s="55">
        <f>IFERROR(__xludf.DUMMYFUNCTION("importrange(""https://docs.google.com/spreadsheets/d/1lrzJ0bcPvcbipm39nmARSoKIg0_81LFUcUZBMTIXHW8/edit#gid=32282635"",""2025-26!as4"")"),1593209.0)</f>
        <v>1593209</v>
      </c>
      <c r="CU114" s="55">
        <f>IFERROR(__xludf.DUMMYFUNCTION("importrange(""https://docs.google.com/spreadsheets/d/1lrzJ0bcPvcbipm39nmARSoKIg0_81LFUcUZBMTIXHW8/edit#gid=32282635"",""2025-26!as3"")"),19.0)</f>
        <v>19</v>
      </c>
      <c r="CV114" s="60" t="s">
        <v>212</v>
      </c>
    </row>
    <row r="115">
      <c r="A115" s="1" t="s">
        <v>185</v>
      </c>
      <c r="B115" s="37"/>
      <c r="C115" s="64" t="s">
        <v>253</v>
      </c>
      <c r="D115" s="50" t="s">
        <v>254</v>
      </c>
      <c r="E115" s="50">
        <v>9.148584478E9</v>
      </c>
      <c r="F115" s="74">
        <v>45233.0</v>
      </c>
      <c r="G115" s="62"/>
      <c r="H115" s="62"/>
      <c r="I115" s="53">
        <v>24120.0</v>
      </c>
      <c r="J115" s="54">
        <v>1500000.0</v>
      </c>
      <c r="K115" s="57">
        <f>IFERROR(__xludf.DUMMYFUNCTION("IMPORTRANGE(""https://docs.google.com/spreadsheets/d/1mi1sDldXWcjlwchNl1AQUNhqAUBYBIp7wc37TNeFjug/edit#gid=187761907"",""2025-26!A3"")"),65.0)</f>
        <v>65</v>
      </c>
      <c r="L115" s="57">
        <f>IFERROR(__xludf.DUMMYFUNCTION("IMPORTRANGE(""https://docs.google.com/spreadsheets/d/1mi1sDldXWcjlwchNl1AQUNhqAUBYBIp7wc37TNeFjug/edit#gid=187761907"",""2025-26!G4"")"),1.7529493E7)</f>
        <v>17529493</v>
      </c>
      <c r="M115" s="57">
        <f t="shared" si="50"/>
        <v>12270027.14</v>
      </c>
      <c r="N115" s="56">
        <f t="shared" si="51"/>
        <v>0.8286981147</v>
      </c>
      <c r="O115" s="57">
        <f t="shared" si="52"/>
        <v>14526657.8</v>
      </c>
      <c r="P115" s="55">
        <f>IFERROR(__xludf.DUMMYFUNCTION("IMPORTRANGE(""https://docs.google.com/spreadsheets/d/1mi1sDldXWcjlwchNl1AQUNhqAUBYBIp7wc37TNeFjug/edit#gid=187761907"",""2025-26!J4"")"),1389104.0)</f>
        <v>1389104</v>
      </c>
      <c r="Q115" s="55">
        <f>IFERROR(__xludf.DUMMYFUNCTION("IMPORTRANGE(""https://docs.google.com/spreadsheets/d/1mi1sDldXWcjlwchNl1AQUNhqAUBYBIp7wc37TNeFjug/edit#gid=187761907"",""2025-26!J3"")"),58.0)</f>
        <v>58</v>
      </c>
      <c r="R115" s="55">
        <f>IFERROR(__xludf.DUMMYFUNCTION("IMPORTRANGE(""https://docs.google.com/spreadsheets/d/1mi1sDldXWcjlwchNl1AQUNhqAUBYBIp7wc37TNeFjug/edit#gid=187761907"",""2025-26!K4"")"),97437.70000000001)</f>
        <v>97437.7</v>
      </c>
      <c r="S115" s="55">
        <f>IFERROR(__xludf.DUMMYFUNCTION("IMPORTRANGE(""https://docs.google.com/spreadsheets/d/1mi1sDldXWcjlwchNl1AQUNhqAUBYBIp7wc37TNeFjug/edit#gid=187761907"",""2025-26!K3"")"),3.0)</f>
        <v>3</v>
      </c>
      <c r="T115" s="58">
        <f t="shared" si="18"/>
        <v>0.6144823066</v>
      </c>
      <c r="U115" s="55">
        <f>IFERROR(__xludf.DUMMYFUNCTION("IMPORTRANGE(""https://docs.google.com/spreadsheets/d/1mi1sDldXWcjlwchNl1AQUNhqAUBYBIp7wc37TNeFjug/edit#gid=187761907"",""2025-26!L4"")"),853579.83)</f>
        <v>853579.83</v>
      </c>
      <c r="V115" s="79">
        <f>IFERROR(__xludf.DUMMYFUNCTION("IMPORTRANGE(""https://docs.google.com/spreadsheets/d/1mi1sDldXWcjlwchNl1AQUNhqAUBYBIp7wc37TNeFjug/edit#gid=187761907"",""2025-26!L3"")"),17.0)</f>
        <v>17</v>
      </c>
      <c r="W115" s="55">
        <f>IFERROR(__xludf.DUMMYFUNCTION("IMPORTRANGE(""https://docs.google.com/spreadsheets/d/1mi1sDldXWcjlwchNl1AQUNhqAUBYBIp7wc37TNeFjug/edit#gid=187761907"",""2025-26!M4"")"),1389104.0)</f>
        <v>1389104</v>
      </c>
      <c r="X115" s="79">
        <f>IFERROR(__xludf.DUMMYFUNCTION("IMPORTRANGE(""https://docs.google.com/spreadsheets/d/1mi1sDldXWcjlwchNl1AQUNhqAUBYBIp7wc37TNeFjug/edit#gid=187761907"",""2025-26!M3"")"),58.0)</f>
        <v>58</v>
      </c>
      <c r="Y115" s="55">
        <f>IFERROR(__xludf.DUMMYFUNCTION("importrange(""https://docs.google.com/spreadsheets/d/1mi1sDldXWcjlwchNl1AQUNhqAUBYBIp7wc37TNeFjug/edit#gid=187761907"",""2025-26!n4"")"),136098.5)</f>
        <v>136098.5</v>
      </c>
      <c r="Z115" s="55">
        <f>IFERROR(__xludf.DUMMYFUNCTION("importrange(""https://docs.google.com/spreadsheets/d/1mi1sDldXWcjlwchNl1AQUNhqAUBYBIp7wc37TNeFjug/edit#gid=187761907"",""2025-26!n3"")"),4.0)</f>
        <v>4</v>
      </c>
      <c r="AA115" s="58">
        <f t="shared" si="19"/>
        <v>0.3363742744</v>
      </c>
      <c r="AB115" s="55">
        <f>IFERROR(__xludf.DUMMYFUNCTION("importrange(""https://docs.google.com/spreadsheets/d/1mi1sDldXWcjlwchNl1AQUNhqAUBYBIp7wc37TNeFjug/edit#gid=187761907"",""2025-26!o4"")"),467258.85)</f>
        <v>467258.85</v>
      </c>
      <c r="AC115" s="55">
        <f>IFERROR(__xludf.DUMMYFUNCTION("importrange(""https://docs.google.com/spreadsheets/d/1mi1sDldXWcjlwchNl1AQUNhqAUBYBIp7wc37TNeFjug/edit#gid=187761907"",""2025-26!o3"")"),18.0)</f>
        <v>18</v>
      </c>
      <c r="AD115" s="55">
        <f>IFERROR(__xludf.DUMMYFUNCTION("importrange(""https://docs.google.com/spreadsheets/d/1mi1sDldXWcjlwchNl1AQUNhqAUBYBIp7wc37TNeFjug/edit#gid=187761907"",""2025-26!p4"")"),1389104.0)</f>
        <v>1389104</v>
      </c>
      <c r="AE115" s="55">
        <f>IFERROR(__xludf.DUMMYFUNCTION("importrange(""https://docs.google.com/spreadsheets/d/1mi1sDldXWcjlwchNl1AQUNhqAUBYBIp7wc37TNeFjug/edit#gid=187761907"",""2025-26!p3"")"),58.0)</f>
        <v>58</v>
      </c>
      <c r="AF115" s="55">
        <f>IFERROR(__xludf.DUMMYFUNCTION("importrange(""https://docs.google.com/spreadsheets/d/1mi1sDldXWcjlwchNl1AQUNhqAUBYBIp7wc37TNeFjug/edit#gid=187761907"",""2025-26!q4"")"),936149.85)</f>
        <v>936149.85</v>
      </c>
      <c r="AG115" s="55">
        <f>IFERROR(__xludf.DUMMYFUNCTION("importrange(""https://docs.google.com/spreadsheets/d/1mi1sDldXWcjlwchNl1AQUNhqAUBYBIp7wc37TNeFjug/edit#gid=187761907"",""2025-26!q3"")"),21.0)</f>
        <v>21</v>
      </c>
      <c r="AH115" s="58">
        <f t="shared" si="20"/>
        <v>0.8341852014</v>
      </c>
      <c r="AI115" s="55">
        <f>IFERROR(__xludf.DUMMYFUNCTION("importrange(""https://docs.google.com/spreadsheets/d/1mi1sDldXWcjlwchNl1AQUNhqAUBYBIp7wc37TNeFjug/edit#gid=187761907"",""2025-26!r4"")"),1158770.0)</f>
        <v>1158770</v>
      </c>
      <c r="AJ115" s="55">
        <f>IFERROR(__xludf.DUMMYFUNCTION("importrange(""https://docs.google.com/spreadsheets/d/1mi1sDldXWcjlwchNl1AQUNhqAUBYBIp7wc37TNeFjug/edit#gid=187761907"",""2025-26!r3"")"),19.0)</f>
        <v>19</v>
      </c>
      <c r="AK115" s="55">
        <f>IFERROR(__xludf.DUMMYFUNCTION("importrange(""https://docs.google.com/spreadsheets/d/1mi1sDldXWcjlwchNl1AQUNhqAUBYBIp7wc37TNeFjug/edit#gid=187761907"",""2025-26!s4"")"),1389104.0)</f>
        <v>1389104</v>
      </c>
      <c r="AL115" s="55">
        <f>IFERROR(__xludf.DUMMYFUNCTION("importrange(""https://docs.google.com/spreadsheets/d/1mi1sDldXWcjlwchNl1AQUNhqAUBYBIp7wc37TNeFjug/edit#gid=187761907"",""2025-26!s3"")"),58.0)</f>
        <v>58</v>
      </c>
      <c r="AM115" s="57">
        <f>IFERROR(__xludf.DUMMYFUNCTION("importrange(""https://docs.google.com/spreadsheets/d/1mi1sDldXWcjlwchNl1AQUNhqAUBYBIp7wc37TNeFjug/edit#gid=187761907"",""2025-26!t4"")"),1274827.8499999999)</f>
        <v>1274827.85</v>
      </c>
      <c r="AN115" s="55">
        <f>IFERROR(__xludf.DUMMYFUNCTION("importrange(""https://docs.google.com/spreadsheets/d/1mi1sDldXWcjlwchNl1AQUNhqAUBYBIp7wc37TNeFjug/edit#gid=187761907"",""2025-26!t3"")"),25.0)</f>
        <v>25</v>
      </c>
      <c r="AO115" s="58">
        <f t="shared" si="21"/>
        <v>0.4738425561</v>
      </c>
      <c r="AP115" s="55">
        <f>IFERROR(__xludf.DUMMYFUNCTION("importrange(""https://docs.google.com/spreadsheets/d/1mi1sDldXWcjlwchNl1AQUNhqAUBYBIp7wc37TNeFjug/edit#gid=187761907"",""2025-26!u4"")"),658216.59)</f>
        <v>658216.59</v>
      </c>
      <c r="AQ115" s="55">
        <f>IFERROR(__xludf.DUMMYFUNCTION("importrange(""https://docs.google.com/spreadsheets/d/1mi1sDldXWcjlwchNl1AQUNhqAUBYBIp7wc37TNeFjug/edit#gid=187761907"",""2025-26!u3"")"),20.0)</f>
        <v>20</v>
      </c>
      <c r="AR115" s="55">
        <f>IFERROR(__xludf.DUMMYFUNCTION("importrange(""https://docs.google.com/spreadsheets/d/1mi1sDldXWcjlwchNl1AQUNhqAUBYBIp7wc37TNeFjug/edit#gid=187761907"",""2025-26!v4"")"),1389104.0)</f>
        <v>1389104</v>
      </c>
      <c r="AS115" s="55">
        <f>IFERROR(__xludf.DUMMYFUNCTION("importrange(""https://docs.google.com/spreadsheets/d/1mi1sDldXWcjlwchNl1AQUNhqAUBYBIp7wc37TNeFjug/edit#gid=187761907"",""2025-26!v3"")"),58.0)</f>
        <v>58</v>
      </c>
      <c r="AT115" s="57">
        <f>IFERROR(__xludf.DUMMYFUNCTION("importrange(""https://docs.google.com/spreadsheets/d/1mi1sDldXWcjlwchNl1AQUNhqAUBYBIp7wc37TNeFjug/edit#gid=187761907"",""2025-26!w4"")"),739416.51)</f>
        <v>739416.51</v>
      </c>
      <c r="AU115" s="55">
        <f>IFERROR(__xludf.DUMMYFUNCTION("importrange(""https://docs.google.com/spreadsheets/d/1mi1sDldXWcjlwchNl1AQUNhqAUBYBIp7wc37TNeFjug/edit#gid=187761907"",""2025-26!w3"")"),13.0)</f>
        <v>13</v>
      </c>
      <c r="AV115" s="58">
        <f t="shared" si="22"/>
        <v>0.9288562987</v>
      </c>
      <c r="AW115" s="55">
        <f>IFERROR(__xludf.DUMMYFUNCTION("importrange(""https://docs.google.com/spreadsheets/d/1mi1sDldXWcjlwchNl1AQUNhqAUBYBIp7wc37TNeFjug/edit#gid=187761907"",""2025-26!x4"")"),1290278.0)</f>
        <v>1290278</v>
      </c>
      <c r="AX115" s="55">
        <f>IFERROR(__xludf.DUMMYFUNCTION("importrange(""https://docs.google.com/spreadsheets/d/1mi1sDldXWcjlwchNl1AQUNhqAUBYBIp7wc37TNeFjug/edit#gid=187761907"",""2025-26!x3"")"),26.0)</f>
        <v>26</v>
      </c>
      <c r="AY115" s="55">
        <f>IFERROR(__xludf.DUMMYFUNCTION("importrange(""https://docs.google.com/spreadsheets/d/1mi1sDldXWcjlwchNl1AQUNhqAUBYBIp7wc37TNeFjug/edit#gid=187761907"",""2025-26!y4"")"),1389104.0)</f>
        <v>1389104</v>
      </c>
      <c r="AZ115" s="55">
        <f>IFERROR(__xludf.DUMMYFUNCTION("importrange(""https://docs.google.com/spreadsheets/d/1mi1sDldXWcjlwchNl1AQUNhqAUBYBIp7wc37TNeFjug/edit#gid=187761907"",""2025-26!y3"")"),58.0)</f>
        <v>58</v>
      </c>
      <c r="BA115" s="57">
        <f>IFERROR(__xludf.DUMMYFUNCTION("importrange(""https://docs.google.com/spreadsheets/d/1mi1sDldXWcjlwchNl1AQUNhqAUBYBIp7wc37TNeFjug/edit#gid=187761907"",""2025-26!z4"")"),1233761.43)</f>
        <v>1233761.43</v>
      </c>
      <c r="BB115" s="55">
        <f>IFERROR(__xludf.DUMMYFUNCTION("importrange(""https://docs.google.com/spreadsheets/d/1mi1sDldXWcjlwchNl1AQUNhqAUBYBIp7wc37TNeFjug/edit#gid=187761907"",""2025-26!z3"")"),25.0)</f>
        <v>25</v>
      </c>
      <c r="BC115" s="59">
        <f t="shared" si="23"/>
        <v>0.8831124235</v>
      </c>
      <c r="BD115" s="55">
        <f>IFERROR(__xludf.DUMMYFUNCTION("importrange(""https://docs.google.com/spreadsheets/d/1mi1sDldXWcjlwchNl1AQUNhqAUBYBIp7wc37TNeFjug/edit#gid=187761907"",""2025-26!aa4"")"),1226735.0)</f>
        <v>1226735</v>
      </c>
      <c r="BE115" s="55">
        <f>IFERROR(__xludf.DUMMYFUNCTION("importrange(""https://docs.google.com/spreadsheets/d/1mi1sDldXWcjlwchNl1AQUNhqAUBYBIp7wc37TNeFjug/edit#gid=187761907"",""2025-26!aa3"")"),28.0)</f>
        <v>28</v>
      </c>
      <c r="BF115" s="55">
        <f>IFERROR(__xludf.DUMMYFUNCTION("importrange(""https://docs.google.com/spreadsheets/d/1mi1sDldXWcjlwchNl1AQUNhqAUBYBIp7wc37TNeFjug/edit#gid=187761907"",""2025-26!ab4"")"),1389104.0)</f>
        <v>1389104</v>
      </c>
      <c r="BG115" s="55">
        <f>IFERROR(__xludf.DUMMYFUNCTION("importrange(""https://docs.google.com/spreadsheets/d/1mi1sDldXWcjlwchNl1AQUNhqAUBYBIp7wc37TNeFjug/edit#gid=187761907"",""2025-26!ab3"")"),58.0)</f>
        <v>58</v>
      </c>
      <c r="BH115" s="55">
        <f>IFERROR(__xludf.DUMMYFUNCTION("importrange(""https://docs.google.com/spreadsheets/d/1mi1sDldXWcjlwchNl1AQUNhqAUBYBIp7wc37TNeFjug/edit#gid=187761907"",""2025-26!ac4"")"),1032650.0599999999)</f>
        <v>1032650.06</v>
      </c>
      <c r="BI115" s="55">
        <f>IFERROR(__xludf.DUMMYFUNCTION("importrange(""https://docs.google.com/spreadsheets/d/1mi1sDldXWcjlwchNl1AQUNhqAUBYBIp7wc37TNeFjug/edit#gid=187761907"",""2025-26!ac3"")"),30.0)</f>
        <v>30</v>
      </c>
      <c r="BJ115" s="59">
        <f t="shared" si="24"/>
        <v>0.7969561674</v>
      </c>
      <c r="BK115" s="55">
        <f>IFERROR(__xludf.DUMMYFUNCTION("importrange(""https://docs.google.com/spreadsheets/d/1mi1sDldXWcjlwchNl1AQUNhqAUBYBIp7wc37TNeFjug/edit#gid=187761907"",""2025-26!ad4"")"),1107055.0)</f>
        <v>1107055</v>
      </c>
      <c r="BL115" s="55">
        <f>IFERROR(__xludf.DUMMYFUNCTION("importrange(""https://docs.google.com/spreadsheets/d/1mi1sDldXWcjlwchNl1AQUNhqAUBYBIp7wc37TNeFjug/edit#gid=187761907"",""2025-26!ad3"")"),31.0)</f>
        <v>31</v>
      </c>
      <c r="BM115" s="55">
        <f>IFERROR(__xludf.DUMMYFUNCTION("importrange(""https://docs.google.com/spreadsheets/d/1mi1sDldXWcjlwchNl1AQUNhqAUBYBIp7wc37TNeFjug/edit#gid=187761907"",""2025-26!ae4"")"),1389104.0)</f>
        <v>1389104</v>
      </c>
      <c r="BN115" s="55">
        <f>IFERROR(__xludf.DUMMYFUNCTION("importrange(""https://docs.google.com/spreadsheets/d/1mi1sDldXWcjlwchNl1AQUNhqAUBYBIp7wc37TNeFjug/edit#gid=187761907"",""2025-26!ae3"")"),58.0)</f>
        <v>58</v>
      </c>
      <c r="BO115" s="55">
        <f>IFERROR(__xludf.DUMMYFUNCTION("importrange(""https://docs.google.com/spreadsheets/d/1mi1sDldXWcjlwchNl1AQUNhqAUBYBIp7wc37TNeFjug/edit#gid=187761907"",""2025-26!af4"")"),1593627.89)</f>
        <v>1593627.89</v>
      </c>
      <c r="BP115" s="55">
        <f>IFERROR(__xludf.DUMMYFUNCTION("importrange(""https://docs.google.com/spreadsheets/d/1mi1sDldXWcjlwchNl1AQUNhqAUBYBIp7wc37TNeFjug/edit#gid=187761907"",""2025-26!af3"")"),26.0)</f>
        <v>26</v>
      </c>
      <c r="BQ115" s="59">
        <f t="shared" si="25"/>
        <v>1.039444851</v>
      </c>
      <c r="BR115" s="55">
        <f>IFERROR(__xludf.DUMMYFUNCTION("importrange(""https://docs.google.com/spreadsheets/d/1mi1sDldXWcjlwchNl1AQUNhqAUBYBIp7wc37TNeFjug/edit#gid=187761907"",""2025-26!ag4"")"),1443897.0)</f>
        <v>1443897</v>
      </c>
      <c r="BS115" s="55">
        <f>IFERROR(__xludf.DUMMYFUNCTION("importrange(""https://docs.google.com/spreadsheets/d/1mi1sDldXWcjlwchNl1AQUNhqAUBYBIp7wc37TNeFjug/edit#gid=187761907"",""2025-26!ag3"")"),25.0)</f>
        <v>25</v>
      </c>
      <c r="BT115" s="55">
        <f>IFERROR(__xludf.DUMMYFUNCTION("importrange(""https://docs.google.com/spreadsheets/d/1mi1sDldXWcjlwchNl1AQUNhqAUBYBIp7wc37TNeFjug/edit#gid=187761907"",""2025-26!ah4"")"),1389104.0)</f>
        <v>1389104</v>
      </c>
      <c r="BU115" s="55">
        <f>IFERROR(__xludf.DUMMYFUNCTION("importrange(""https://docs.google.com/spreadsheets/d/1mi1sDldXWcjlwchNl1AQUNhqAUBYBIp7wc37TNeFjug/edit#gid=187761907"",""2025-26!ah3"")"),58.0)</f>
        <v>58</v>
      </c>
      <c r="BV115" s="55">
        <f>IFERROR(__xludf.DUMMYFUNCTION("importrange(""https://docs.google.com/spreadsheets/d/1mi1sDldXWcjlwchNl1AQUNhqAUBYBIp7wc37TNeFjug/edit#gid=187761907"",""2025-26!ai4"")"),313768.12)</f>
        <v>313768.12</v>
      </c>
      <c r="BW115" s="55">
        <f>IFERROR(__xludf.DUMMYFUNCTION("importrange(""https://docs.google.com/spreadsheets/d/1mi1sDldXWcjlwchNl1AQUNhqAUBYBIp7wc37TNeFjug/edit#gid=187761907"",""2025-26!ai3"")"),4.0)</f>
        <v>4</v>
      </c>
      <c r="BX115" s="59">
        <f t="shared" si="26"/>
        <v>0.7782073912</v>
      </c>
      <c r="BY115" s="55">
        <f>IFERROR(__xludf.DUMMYFUNCTION("importrange(""https://docs.google.com/spreadsheets/d/1mi1sDldXWcjlwchNl1AQUNhqAUBYBIp7wc37TNeFjug/edit#gid=187761907"",""2025-26!aj4"")"),1081011.0)</f>
        <v>1081011</v>
      </c>
      <c r="BZ115" s="55">
        <f>IFERROR(__xludf.DUMMYFUNCTION("importrange(""https://docs.google.com/spreadsheets/d/1mi1sDldXWcjlwchNl1AQUNhqAUBYBIp7wc37TNeFjug/edit#gid=187761907"",""2025-26!aj3"")"),19.0)</f>
        <v>19</v>
      </c>
      <c r="CA115" s="55">
        <f>IFERROR(__xludf.DUMMYFUNCTION("importrange(""https://docs.google.com/spreadsheets/d/1mi1sDldXWcjlwchNl1AQUNhqAUBYBIp7wc37TNeFjug/edit#gid=187761907"",""2025-26!ak4"")"),1389104.0)</f>
        <v>1389104</v>
      </c>
      <c r="CB115" s="55">
        <f>IFERROR(__xludf.DUMMYFUNCTION("importrange(""https://docs.google.com/spreadsheets/d/1mi1sDldXWcjlwchNl1AQUNhqAUBYBIp7wc37TNeFjug/edit#gid=187761907"",""2025-26!ak3"")"),58.0)</f>
        <v>58</v>
      </c>
      <c r="CC115" s="55">
        <f>IFERROR(__xludf.DUMMYFUNCTION("importrange(""https://docs.google.com/spreadsheets/d/1mi1sDldXWcjlwchNl1AQUNhqAUBYBIp7wc37TNeFjug/edit#gid=187761907"",""2025-26!al4"")"),1556335.7200000002)</f>
        <v>1556335.72</v>
      </c>
      <c r="CD115" s="55">
        <f>IFERROR(__xludf.DUMMYFUNCTION("importrange(""https://docs.google.com/spreadsheets/d/1mi1sDldXWcjlwchNl1AQUNhqAUBYBIp7wc37TNeFjug/edit#gid=187761907"",""2025-26!ai3"")"),4.0)</f>
        <v>4</v>
      </c>
      <c r="CE115" s="59">
        <f t="shared" si="27"/>
        <v>1.105377279</v>
      </c>
      <c r="CF115" s="55">
        <f>IFERROR(__xludf.DUMMYFUNCTION("importrange(""https://docs.google.com/spreadsheets/d/1mi1sDldXWcjlwchNl1AQUNhqAUBYBIp7wc37TNeFjug/edit#gid=187761907"",""2025-26!am4"")"),1535484.0)</f>
        <v>1535484</v>
      </c>
      <c r="CG115" s="55">
        <f>IFERROR(__xludf.DUMMYFUNCTION("importrange(""https://docs.google.com/spreadsheets/d/1mi1sDldXWcjlwchNl1AQUNhqAUBYBIp7wc37TNeFjug/edit#gid=187761907"",""2025-26!am3"")"),18.0)</f>
        <v>18</v>
      </c>
      <c r="CH115" s="55">
        <f>IFERROR(__xludf.DUMMYFUNCTION("importrange(""https://docs.google.com/spreadsheets/d/1mi1sDldXWcjlwchNl1AQUNhqAUBYBIp7wc37TNeFjug/edit#gid=187761907"",""2025-26!an4"")"),1389104.0)</f>
        <v>1389104</v>
      </c>
      <c r="CI115" s="55">
        <f>IFERROR(__xludf.DUMMYFUNCTION("importrange(""https://docs.google.com/spreadsheets/d/1mi1sDldXWcjlwchNl1AQUNhqAUBYBIp7wc37TNeFjug/edit#gid=187761907"",""2025-26!an3"")"),58.0)</f>
        <v>58</v>
      </c>
      <c r="CJ115" s="55">
        <f>IFERROR(__xludf.DUMMYFUNCTION("importrange(""https://docs.google.com/spreadsheets/d/1mi1sDldXWcjlwchNl1AQUNhqAUBYBIp7wc37TNeFjug/edit#gid=187761907"",""2025-26!ao4"")"),1531096.3699999996)</f>
        <v>1531096.37</v>
      </c>
      <c r="CK115" s="55">
        <f>IFERROR(__xludf.DUMMYFUNCTION("importrange(""https://docs.google.com/spreadsheets/d/1mi1sDldXWcjlwchNl1AQUNhqAUBYBIp7wc37TNeFjug/edit#gid=187761907"",""2025-26!ao3"")"),25.0)</f>
        <v>25</v>
      </c>
      <c r="CL115" s="59">
        <f t="shared" si="28"/>
        <v>1.148253558</v>
      </c>
      <c r="CM115" s="55">
        <f>IFERROR(__xludf.DUMMYFUNCTION("importrange(""https://docs.google.com/spreadsheets/d/1mi1sDldXWcjlwchNl1AQUNhqAUBYBIp7wc37TNeFjug/edit#gid=187761907"",""2025-26!ap4"")"),1595043.61)</f>
        <v>1595043.61</v>
      </c>
      <c r="CN115" s="55">
        <f>IFERROR(__xludf.DUMMYFUNCTION("importrange(""https://docs.google.com/spreadsheets/d/1mi1sDldXWcjlwchNl1AQUNhqAUBYBIp7wc37TNeFjug/edit#gid=187761907"",""2025-26!ap3"")"),29.0)</f>
        <v>29</v>
      </c>
      <c r="CO115" s="55">
        <f>IFERROR(__xludf.DUMMYFUNCTION("importrange(""https://docs.google.com/spreadsheets/d/1mi1sDldXWcjlwchNl1AQUNhqAUBYBIp7wc37TNeFjug/edit#gid=187761907"",""2025-26!aq4"")"),1389104.0)</f>
        <v>1389104</v>
      </c>
      <c r="CP115" s="55">
        <f>IFERROR(__xludf.DUMMYFUNCTION("importrange(""https://docs.google.com/spreadsheets/d/1mi1sDldXWcjlwchNl1AQUNhqAUBYBIp7wc37TNeFjug/edit#gid=187761907"",""2025-26!aq3"")"),58.0)</f>
        <v>58</v>
      </c>
      <c r="CQ115" s="55">
        <f>IFERROR(__xludf.DUMMYFUNCTION("importrange(""https://docs.google.com/spreadsheets/d/1mi1sDldXWcjlwchNl1AQUNhqAUBYBIp7wc37TNeFjug/edit#gid=187761907"",""2025-26!ar4"")"),1824857.1399999994)</f>
        <v>1824857.14</v>
      </c>
      <c r="CR115" s="55">
        <f>IFERROR(__xludf.DUMMYFUNCTION("importrange(""https://docs.google.com/spreadsheets/d/1mi1sDldXWcjlwchNl1AQUNhqAUBYBIp7wc37TNeFjug/edit#gid=187761907"",""2025-26!ar3"")"),20.0)</f>
        <v>20</v>
      </c>
      <c r="CS115" s="59">
        <f t="shared" si="29"/>
        <v>1.51848164</v>
      </c>
      <c r="CT115" s="55">
        <f>IFERROR(__xludf.DUMMYFUNCTION("importrange(""https://docs.google.com/spreadsheets/d/1mi1sDldXWcjlwchNl1AQUNhqAUBYBIp7wc37TNeFjug/edit#gid=187761907"",""2025-26!as4"")"),2109328.92)</f>
        <v>2109328.92</v>
      </c>
      <c r="CU115" s="55">
        <f>IFERROR(__xludf.DUMMYFUNCTION("importrange(""https://docs.google.com/spreadsheets/d/1mi1sDldXWcjlwchNl1AQUNhqAUBYBIp7wc37TNeFjug/edit#gid=187761907"",""2025-26!as3"")"),20.0)</f>
        <v>20</v>
      </c>
      <c r="CV115" s="60" t="s">
        <v>212</v>
      </c>
    </row>
    <row r="116">
      <c r="A116" s="1" t="s">
        <v>185</v>
      </c>
      <c r="B116" s="37"/>
      <c r="C116" s="64" t="s">
        <v>255</v>
      </c>
      <c r="D116" s="50" t="s">
        <v>256</v>
      </c>
      <c r="E116" s="50">
        <v>8.340731423E9</v>
      </c>
      <c r="F116" s="74">
        <v>45236.0</v>
      </c>
      <c r="G116" s="62"/>
      <c r="H116" s="62"/>
      <c r="I116" s="53">
        <v>25165.0</v>
      </c>
      <c r="J116" s="54">
        <v>1500000.0</v>
      </c>
      <c r="K116" s="57">
        <f>IFERROR(__xludf.DUMMYFUNCTION("IMPORTRANGE(""https://docs.google.com/spreadsheets/d/14k9zl8QJZNDdLexy-mL85RC3KURzq9Zn4glvtZCxREk/edit#gid=507036928"",""2025-26!A3"")"),81.0)</f>
        <v>81</v>
      </c>
      <c r="L116" s="57">
        <f>IFERROR(__xludf.DUMMYFUNCTION("IMPORTRANGE(""https://docs.google.com/spreadsheets/d/14k9zl8QJZNDdLexy-mL85RC3KURzq9Zn4glvtZCxREk/edit#gid=507036928"",""2025-26!G4"")"),1.7672E7)</f>
        <v>17672000</v>
      </c>
      <c r="M116" s="57">
        <f t="shared" si="50"/>
        <v>18137542.85</v>
      </c>
      <c r="N116" s="56">
        <f t="shared" si="51"/>
        <v>0.8799286442</v>
      </c>
      <c r="O116" s="57">
        <f t="shared" si="52"/>
        <v>15550099</v>
      </c>
      <c r="P116" s="55">
        <f>IFERROR(__xludf.DUMMYFUNCTION("IMPORTRANGE(""https://docs.google.com/spreadsheets/d/14k9zl8QJZNDdLexy-mL85RC3KURzq9Zn4glvtZCxREk/edit#gid=507036928"",""2025-26!J4"")"),0.0)</f>
        <v>0</v>
      </c>
      <c r="Q116" s="55">
        <f>IFERROR(__xludf.DUMMYFUNCTION("IMPORTRANGE(""https://docs.google.com/spreadsheets/d/14k9zl8QJZNDdLexy-mL85RC3KURzq9Zn4glvtZCxREk/edit#gid=507036928"",""2025-26!J3"")"),0.0)</f>
        <v>0</v>
      </c>
      <c r="R116" s="55">
        <f>IFERROR(__xludf.DUMMYFUNCTION("IMPORTRANGE(""https://docs.google.com/spreadsheets/d/14k9zl8QJZNDdLexy-mL85RC3KURzq9Zn4glvtZCxREk/edit#gid=507036928"",""2025-26!K4"")"),1056322.9200000004)</f>
        <v>1056322.92</v>
      </c>
      <c r="S116" s="55">
        <f>IFERROR(__xludf.DUMMYFUNCTION("IMPORTRANGE(""https://docs.google.com/spreadsheets/d/14k9zl8QJZNDdLexy-mL85RC3KURzq9Zn4glvtZCxREk/edit#gid=507036928"",""2025-26!K3"")"),28.0)</f>
        <v>28</v>
      </c>
      <c r="T116" s="58" t="str">
        <f t="shared" si="18"/>
        <v/>
      </c>
      <c r="U116" s="55">
        <f>IFERROR(__xludf.DUMMYFUNCTION("IMPORTRANGE(""https://docs.google.com/spreadsheets/d/14k9zl8QJZNDdLexy-mL85RC3KURzq9Zn4glvtZCxREk/edit#gid=507036928"",""2025-26!L4"")"),1056312.0)</f>
        <v>1056312</v>
      </c>
      <c r="V116" s="79">
        <f>IFERROR(__xludf.DUMMYFUNCTION("IMPORTRANGE(""https://docs.google.com/spreadsheets/d/14k9zl8QJZNDdLexy-mL85RC3KURzq9Zn4glvtZCxREk/edit#gid=507036928"",""2025-26!L3"")"),28.0)</f>
        <v>28</v>
      </c>
      <c r="W116" s="55">
        <f>IFERROR(__xludf.DUMMYFUNCTION("IMPORTRANGE(""https://docs.google.com/spreadsheets/d/14k9zl8QJZNDdLexy-mL85RC3KURzq9Zn4glvtZCxREk/edit#gid=507036928"",""2025-26!M4"")"),0.0)</f>
        <v>0</v>
      </c>
      <c r="X116" s="79">
        <f>IFERROR(__xludf.DUMMYFUNCTION("IMPORTRANGE(""https://docs.google.com/spreadsheets/d/14k9zl8QJZNDdLexy-mL85RC3KURzq9Zn4glvtZCxREk/edit#gid=507036928"",""2025-26!M3"")"),0.0)</f>
        <v>0</v>
      </c>
      <c r="Y116" s="55">
        <f>IFERROR(__xludf.DUMMYFUNCTION("importrange(""https://docs.google.com/spreadsheets/d/14k9zl8QJZNDdLexy-mL85RC3KURzq9Zn4glvtZCxREk/edit#gid=507036928"",""2025-26!n4"")"),1110193.48)</f>
        <v>1110193.48</v>
      </c>
      <c r="Z116" s="55">
        <f>IFERROR(__xludf.DUMMYFUNCTION("importrange(""https://docs.google.com/spreadsheets/d/14k9zl8QJZNDdLexy-mL85RC3KURzq9Zn4glvtZCxREk/edit#gid=507036928"",""2025-26!n3"")"),24.0)</f>
        <v>24</v>
      </c>
      <c r="AA116" s="58" t="str">
        <f t="shared" si="19"/>
        <v/>
      </c>
      <c r="AB116" s="55">
        <f>IFERROR(__xludf.DUMMYFUNCTION("importrange(""https://docs.google.com/spreadsheets/d/14k9zl8QJZNDdLexy-mL85RC3KURzq9Zn4glvtZCxREk/edit#gid=507036928"",""2025-26!o4"")"),1110288.0)</f>
        <v>1110288</v>
      </c>
      <c r="AC116" s="55">
        <f>IFERROR(__xludf.DUMMYFUNCTION("importrange(""https://docs.google.com/spreadsheets/d/14k9zl8QJZNDdLexy-mL85RC3KURzq9Zn4glvtZCxREk/edit#gid=507036928"",""2025-26!o3"")"),24.0)</f>
        <v>24</v>
      </c>
      <c r="AD116" s="55">
        <f>IFERROR(__xludf.DUMMYFUNCTION("importrange(""https://docs.google.com/spreadsheets/d/14k9zl8QJZNDdLexy-mL85RC3KURzq9Zn4glvtZCxREk/edit#gid=507036928"",""2025-26!p4"")"),0.0)</f>
        <v>0</v>
      </c>
      <c r="AE116" s="55">
        <f>IFERROR(__xludf.DUMMYFUNCTION("importrange(""https://docs.google.com/spreadsheets/d/14k9zl8QJZNDdLexy-mL85RC3KURzq9Zn4glvtZCxREk/edit#gid=507036928"",""2025-26!p3"")"),0.0)</f>
        <v>0</v>
      </c>
      <c r="AF116" s="55">
        <f>IFERROR(__xludf.DUMMYFUNCTION("importrange(""https://docs.google.com/spreadsheets/d/14k9zl8QJZNDdLexy-mL85RC3KURzq9Zn4glvtZCxREk/edit#gid=507036928"",""2025-26!q4"")"),1203675.0)</f>
        <v>1203675</v>
      </c>
      <c r="AG116" s="55">
        <f>IFERROR(__xludf.DUMMYFUNCTION("importrange(""https://docs.google.com/spreadsheets/d/14k9zl8QJZNDdLexy-mL85RC3KURzq9Zn4glvtZCxREk/edit#gid=507036928"",""2025-26!q3"")"),23.0)</f>
        <v>23</v>
      </c>
      <c r="AH116" s="58" t="str">
        <f t="shared" si="20"/>
        <v/>
      </c>
      <c r="AI116" s="55">
        <f>IFERROR(__xludf.DUMMYFUNCTION("importrange(""https://docs.google.com/spreadsheets/d/14k9zl8QJZNDdLexy-mL85RC3KURzq9Zn4glvtZCxREk/edit#gid=507036928"",""2025-26!r4"")"),1203675.0)</f>
        <v>1203675</v>
      </c>
      <c r="AJ116" s="55">
        <f>IFERROR(__xludf.DUMMYFUNCTION("importrange(""https://docs.google.com/spreadsheets/d/14k9zl8QJZNDdLexy-mL85RC3KURzq9Zn4glvtZCxREk/edit#gid=507036928"",""2025-26!r3"")"),23.0)</f>
        <v>23</v>
      </c>
      <c r="AK116" s="55">
        <f>IFERROR(__xludf.DUMMYFUNCTION("importrange(""https://docs.google.com/spreadsheets/d/14k9zl8QJZNDdLexy-mL85RC3KURzq9Zn4glvtZCxREk/edit#gid=507036928"",""2025-26!s4"")"),0.0)</f>
        <v>0</v>
      </c>
      <c r="AL116" s="55">
        <f>IFERROR(__xludf.DUMMYFUNCTION("importrange(""https://docs.google.com/spreadsheets/d/14k9zl8QJZNDdLexy-mL85RC3KURzq9Zn4glvtZCxREk/edit#gid=507036928"",""2025-26!s3"")"),0.0)</f>
        <v>0</v>
      </c>
      <c r="AM116" s="57">
        <f>IFERROR(__xludf.DUMMYFUNCTION("importrange(""https://docs.google.com/spreadsheets/d/14k9zl8QJZNDdLexy-mL85RC3KURzq9Zn4glvtZCxREk/edit#gid=507036928"",""2025-26!t4"")"),1110395.0000000002)</f>
        <v>1110395</v>
      </c>
      <c r="AN116" s="55">
        <f>IFERROR(__xludf.DUMMYFUNCTION("importrange(""https://docs.google.com/spreadsheets/d/14k9zl8QJZNDdLexy-mL85RC3KURzq9Zn4glvtZCxREk/edit#gid=507036928"",""2025-26!t3"")"),25.0)</f>
        <v>25</v>
      </c>
      <c r="AO116" s="58" t="str">
        <f t="shared" si="21"/>
        <v/>
      </c>
      <c r="AP116" s="55">
        <f>IFERROR(__xludf.DUMMYFUNCTION("importrange(""https://docs.google.com/spreadsheets/d/14k9zl8QJZNDdLexy-mL85RC3KURzq9Zn4glvtZCxREk/edit#gid=507036928"",""2025-26!u4"")"),1110493.0)</f>
        <v>1110493</v>
      </c>
      <c r="AQ116" s="55">
        <f>IFERROR(__xludf.DUMMYFUNCTION("importrange(""https://docs.google.com/spreadsheets/d/14k9zl8QJZNDdLexy-mL85RC3KURzq9Zn4glvtZCxREk/edit#gid=507036928"",""2025-26!u3"")"),25.0)</f>
        <v>25</v>
      </c>
      <c r="AR116" s="55">
        <f>IFERROR(__xludf.DUMMYFUNCTION("importrange(""https://docs.google.com/spreadsheets/d/14k9zl8QJZNDdLexy-mL85RC3KURzq9Zn4glvtZCxREk/edit#gid=507036928"",""2025-26!v4"")"),0.0)</f>
        <v>0</v>
      </c>
      <c r="AS116" s="55">
        <f>IFERROR(__xludf.DUMMYFUNCTION("importrange(""https://docs.google.com/spreadsheets/d/14k9zl8QJZNDdLexy-mL85RC3KURzq9Zn4glvtZCxREk/edit#gid=507036928"",""2025-26!v3"")"),0.0)</f>
        <v>0</v>
      </c>
      <c r="AT116" s="57">
        <f>IFERROR(__xludf.DUMMYFUNCTION("importrange(""https://docs.google.com/spreadsheets/d/14k9zl8QJZNDdLexy-mL85RC3KURzq9Zn4glvtZCxREk/edit#gid=507036928"",""2025-26!w4"")"),1119535.9300000004)</f>
        <v>1119535.93</v>
      </c>
      <c r="AU116" s="55">
        <f>IFERROR(__xludf.DUMMYFUNCTION("importrange(""https://docs.google.com/spreadsheets/d/14k9zl8QJZNDdLexy-mL85RC3KURzq9Zn4glvtZCxREk/edit#gid=507036928"",""2025-26!w3"")"),24.0)</f>
        <v>24</v>
      </c>
      <c r="AV116" s="58" t="str">
        <f t="shared" si="22"/>
        <v/>
      </c>
      <c r="AW116" s="55">
        <f>IFERROR(__xludf.DUMMYFUNCTION("importrange(""https://docs.google.com/spreadsheets/d/14k9zl8QJZNDdLexy-mL85RC3KURzq9Zn4glvtZCxREk/edit#gid=507036928"",""2025-26!x4"")"),1119511.0)</f>
        <v>1119511</v>
      </c>
      <c r="AX116" s="55">
        <f>IFERROR(__xludf.DUMMYFUNCTION("importrange(""https://docs.google.com/spreadsheets/d/14k9zl8QJZNDdLexy-mL85RC3KURzq9Zn4glvtZCxREk/edit#gid=507036928"",""2025-26!x3"")"),24.0)</f>
        <v>24</v>
      </c>
      <c r="AY116" s="55">
        <f>IFERROR(__xludf.DUMMYFUNCTION("importrange(""https://docs.google.com/spreadsheets/d/14k9zl8QJZNDdLexy-mL85RC3KURzq9Zn4glvtZCxREk/edit#gid=507036928"",""2025-26!y4"")"),0.0)</f>
        <v>0</v>
      </c>
      <c r="AZ116" s="55">
        <f>IFERROR(__xludf.DUMMYFUNCTION("importrange(""https://docs.google.com/spreadsheets/d/14k9zl8QJZNDdLexy-mL85RC3KURzq9Zn4glvtZCxREk/edit#gid=507036928"",""2025-26!y3"")"),0.0)</f>
        <v>0</v>
      </c>
      <c r="BA116" s="57">
        <f>IFERROR(__xludf.DUMMYFUNCTION("importrange(""https://docs.google.com/spreadsheets/d/14k9zl8QJZNDdLexy-mL85RC3KURzq9Zn4glvtZCxREk/edit#gid=507036928"",""2025-26!z4"")"),1336678.51)</f>
        <v>1336678.51</v>
      </c>
      <c r="BB116" s="55">
        <f>IFERROR(__xludf.DUMMYFUNCTION("importrange(""https://docs.google.com/spreadsheets/d/14k9zl8QJZNDdLexy-mL85RC3KURzq9Zn4glvtZCxREk/edit#gid=507036928"",""2025-26!z3"")"),27.0)</f>
        <v>27</v>
      </c>
      <c r="BC116" s="59" t="str">
        <f t="shared" si="23"/>
        <v/>
      </c>
      <c r="BD116" s="55">
        <f>IFERROR(__xludf.DUMMYFUNCTION("importrange(""https://docs.google.com/spreadsheets/d/14k9zl8QJZNDdLexy-mL85RC3KURzq9Zn4glvtZCxREk/edit#gid=507036928"",""2025-26!aa4"")"),1336998.0)</f>
        <v>1336998</v>
      </c>
      <c r="BE116" s="55">
        <f>IFERROR(__xludf.DUMMYFUNCTION("importrange(""https://docs.google.com/spreadsheets/d/14k9zl8QJZNDdLexy-mL85RC3KURzq9Zn4glvtZCxREk/edit#gid=507036928"",""2025-26!aa3"")"),27.0)</f>
        <v>27</v>
      </c>
      <c r="BF116" s="55">
        <f>IFERROR(__xludf.DUMMYFUNCTION("importrange(""https://docs.google.com/spreadsheets/d/14k9zl8QJZNDdLexy-mL85RC3KURzq9Zn4glvtZCxREk/edit#gid=507036928"",""2025-26!ab4"")"),0.0)</f>
        <v>0</v>
      </c>
      <c r="BG116" s="55">
        <f>IFERROR(__xludf.DUMMYFUNCTION("importrange(""https://docs.google.com/spreadsheets/d/14k9zl8QJZNDdLexy-mL85RC3KURzq9Zn4glvtZCxREk/edit#gid=507036928"",""2025-26!ab3"")"),0.0)</f>
        <v>0</v>
      </c>
      <c r="BH116" s="55">
        <f>IFERROR(__xludf.DUMMYFUNCTION("importrange(""https://docs.google.com/spreadsheets/d/14k9zl8QJZNDdLexy-mL85RC3KURzq9Zn4glvtZCxREk/edit#gid=507036928"",""2025-26!ac4"")"),1134105.01)</f>
        <v>1134105.01</v>
      </c>
      <c r="BI116" s="55">
        <f>IFERROR(__xludf.DUMMYFUNCTION("importrange(""https://docs.google.com/spreadsheets/d/14k9zl8QJZNDdLexy-mL85RC3KURzq9Zn4glvtZCxREk/edit#gid=507036928"",""2025-26!ac3"")"),22.0)</f>
        <v>22</v>
      </c>
      <c r="BJ116" s="59" t="str">
        <f t="shared" si="24"/>
        <v/>
      </c>
      <c r="BK116" s="55">
        <f>IFERROR(__xludf.DUMMYFUNCTION("importrange(""https://docs.google.com/spreadsheets/d/14k9zl8QJZNDdLexy-mL85RC3KURzq9Zn4glvtZCxREk/edit#gid=507036928"",""2025-26!ad4"")"),1134707.0)</f>
        <v>1134707</v>
      </c>
      <c r="BL116" s="55">
        <f>IFERROR(__xludf.DUMMYFUNCTION("importrange(""https://docs.google.com/spreadsheets/d/14k9zl8QJZNDdLexy-mL85RC3KURzq9Zn4glvtZCxREk/edit#gid=507036928"",""2025-26!ad3"")"),22.0)</f>
        <v>22</v>
      </c>
      <c r="BM116" s="55">
        <f>IFERROR(__xludf.DUMMYFUNCTION("importrange(""https://docs.google.com/spreadsheets/d/14k9zl8QJZNDdLexy-mL85RC3KURzq9Zn4glvtZCxREk/edit#gid=507036928"",""2025-26!ae4"")"),0.0)</f>
        <v>0</v>
      </c>
      <c r="BN116" s="55">
        <f>IFERROR(__xludf.DUMMYFUNCTION("importrange(""https://docs.google.com/spreadsheets/d/14k9zl8QJZNDdLexy-mL85RC3KURzq9Zn4glvtZCxREk/edit#gid=507036928"",""2025-26!ae3"")"),0.0)</f>
        <v>0</v>
      </c>
      <c r="BO116" s="55">
        <f>IFERROR(__xludf.DUMMYFUNCTION("importrange(""https://docs.google.com/spreadsheets/d/14k9zl8QJZNDdLexy-mL85RC3KURzq9Zn4glvtZCxREk/edit#gid=507036928"",""2025-26!af4"")"),1260715.0799999998)</f>
        <v>1260715.08</v>
      </c>
      <c r="BP116" s="55">
        <f>IFERROR(__xludf.DUMMYFUNCTION("importrange(""https://docs.google.com/spreadsheets/d/14k9zl8QJZNDdLexy-mL85RC3KURzq9Zn4glvtZCxREk/edit#gid=507036928"",""2025-26!af3"")"),20.0)</f>
        <v>20</v>
      </c>
      <c r="BQ116" s="59" t="str">
        <f t="shared" si="25"/>
        <v/>
      </c>
      <c r="BR116" s="55">
        <f>IFERROR(__xludf.DUMMYFUNCTION("importrange(""https://docs.google.com/spreadsheets/d/14k9zl8QJZNDdLexy-mL85RC3KURzq9Zn4glvtZCxREk/edit#gid=507036928"",""2025-26!ag4"")"),1260821.0)</f>
        <v>1260821</v>
      </c>
      <c r="BS116" s="55">
        <f>IFERROR(__xludf.DUMMYFUNCTION("importrange(""https://docs.google.com/spreadsheets/d/14k9zl8QJZNDdLexy-mL85RC3KURzq9Zn4glvtZCxREk/edit#gid=507036928"",""2025-26!ag3"")"),20.0)</f>
        <v>20</v>
      </c>
      <c r="BT116" s="55">
        <f>IFERROR(__xludf.DUMMYFUNCTION("importrange(""https://docs.google.com/spreadsheets/d/14k9zl8QJZNDdLexy-mL85RC3KURzq9Zn4glvtZCxREk/edit#gid=507036928"",""2025-26!ah4"")"),0.0)</f>
        <v>0</v>
      </c>
      <c r="BU116" s="55">
        <f>IFERROR(__xludf.DUMMYFUNCTION("importrange(""https://docs.google.com/spreadsheets/d/14k9zl8QJZNDdLexy-mL85RC3KURzq9Zn4glvtZCxREk/edit#gid=507036928"",""2025-26!ah3"")"),0.0)</f>
        <v>0</v>
      </c>
      <c r="BV116" s="55">
        <f>IFERROR(__xludf.DUMMYFUNCTION("importrange(""https://docs.google.com/spreadsheets/d/14k9zl8QJZNDdLexy-mL85RC3KURzq9Zn4glvtZCxREk/edit#gid=507036928"",""2025-26!ai4"")"),1306170.94)</f>
        <v>1306170.94</v>
      </c>
      <c r="BW116" s="55">
        <f>IFERROR(__xludf.DUMMYFUNCTION("importrange(""https://docs.google.com/spreadsheets/d/14k9zl8QJZNDdLexy-mL85RC3KURzq9Zn4glvtZCxREk/edit#gid=507036928"",""2025-26!ai3"")"),39.0)</f>
        <v>39</v>
      </c>
      <c r="BX116" s="59" t="str">
        <f t="shared" si="26"/>
        <v/>
      </c>
      <c r="BY116" s="55">
        <f>IFERROR(__xludf.DUMMYFUNCTION("importrange(""https://docs.google.com/spreadsheets/d/14k9zl8QJZNDdLexy-mL85RC3KURzq9Zn4glvtZCxREk/edit#gid=507036928"",""2025-26!aj4"")"),1292792.0)</f>
        <v>1292792</v>
      </c>
      <c r="BZ116" s="55">
        <f>IFERROR(__xludf.DUMMYFUNCTION("importrange(""https://docs.google.com/spreadsheets/d/14k9zl8QJZNDdLexy-mL85RC3KURzq9Zn4glvtZCxREk/edit#gid=507036928"",""2025-26!aj3"")"),38.0)</f>
        <v>38</v>
      </c>
      <c r="CA116" s="55">
        <f>IFERROR(__xludf.DUMMYFUNCTION("importrange(""https://docs.google.com/spreadsheets/d/14k9zl8QJZNDdLexy-mL85RC3KURzq9Zn4glvtZCxREk/edit#gid=507036928"",""2025-26!ak4"")"),0.0)</f>
        <v>0</v>
      </c>
      <c r="CB116" s="55">
        <f>IFERROR(__xludf.DUMMYFUNCTION("importrange(""https://docs.google.com/spreadsheets/d/14k9zl8QJZNDdLexy-mL85RC3KURzq9Zn4glvtZCxREk/edit#gid=507036928"",""2025-26!ak3"")"),0.0)</f>
        <v>0</v>
      </c>
      <c r="CC116" s="55">
        <f>IFERROR(__xludf.DUMMYFUNCTION("importrange(""https://docs.google.com/spreadsheets/d/14k9zl8QJZNDdLexy-mL85RC3KURzq9Zn4glvtZCxREk/edit#gid=507036928"",""2025-26!al4"")"),3577562.8200000003)</f>
        <v>3577562.82</v>
      </c>
      <c r="CD116" s="55">
        <f>IFERROR(__xludf.DUMMYFUNCTION("importrange(""https://docs.google.com/spreadsheets/d/14k9zl8QJZNDdLexy-mL85RC3KURzq9Zn4glvtZCxREk/edit#gid=507036928"",""2025-26!ai3"")"),39.0)</f>
        <v>39</v>
      </c>
      <c r="CE116" s="59" t="str">
        <f t="shared" si="27"/>
        <v/>
      </c>
      <c r="CF116" s="55">
        <f>IFERROR(__xludf.DUMMYFUNCTION("importrange(""https://docs.google.com/spreadsheets/d/14k9zl8QJZNDdLexy-mL85RC3KURzq9Zn4glvtZCxREk/edit#gid=507036928"",""2025-26!am4"")"),1000321.0)</f>
        <v>1000321</v>
      </c>
      <c r="CG116" s="55">
        <f>IFERROR(__xludf.DUMMYFUNCTION("importrange(""https://docs.google.com/spreadsheets/d/14k9zl8QJZNDdLexy-mL85RC3KURzq9Zn4glvtZCxREk/edit#gid=507036928"",""2025-26!am3"")"),32.0)</f>
        <v>32</v>
      </c>
      <c r="CH116" s="55">
        <f>IFERROR(__xludf.DUMMYFUNCTION("importrange(""https://docs.google.com/spreadsheets/d/14k9zl8QJZNDdLexy-mL85RC3KURzq9Zn4glvtZCxREk/edit#gid=507036928"",""2025-26!an4"")"),0.0)</f>
        <v>0</v>
      </c>
      <c r="CI116" s="55">
        <f>IFERROR(__xludf.DUMMYFUNCTION("importrange(""https://docs.google.com/spreadsheets/d/14k9zl8QJZNDdLexy-mL85RC3KURzq9Zn4glvtZCxREk/edit#gid=507036928"",""2025-26!an3"")"),0.0)</f>
        <v>0</v>
      </c>
      <c r="CJ116" s="55">
        <f>IFERROR(__xludf.DUMMYFUNCTION("importrange(""https://docs.google.com/spreadsheets/d/14k9zl8QJZNDdLexy-mL85RC3KURzq9Zn4glvtZCxREk/edit#gid=507036928"",""2025-26!ao4"")"),1721018.2)</f>
        <v>1721018.2</v>
      </c>
      <c r="CK116" s="55">
        <f>IFERROR(__xludf.DUMMYFUNCTION("importrange(""https://docs.google.com/spreadsheets/d/14k9zl8QJZNDdLexy-mL85RC3KURzq9Zn4glvtZCxREk/edit#gid=507036928"",""2025-26!ao3"")"),34.0)</f>
        <v>34</v>
      </c>
      <c r="CL116" s="59" t="str">
        <f t="shared" si="28"/>
        <v/>
      </c>
      <c r="CM116" s="55">
        <f>IFERROR(__xludf.DUMMYFUNCTION("importrange(""https://docs.google.com/spreadsheets/d/14k9zl8QJZNDdLexy-mL85RC3KURzq9Zn4glvtZCxREk/edit#gid=507036928"",""2025-26!ap4"")"),1721254.0)</f>
        <v>1721254</v>
      </c>
      <c r="CN116" s="55">
        <f>IFERROR(__xludf.DUMMYFUNCTION("importrange(""https://docs.google.com/spreadsheets/d/14k9zl8QJZNDdLexy-mL85RC3KURzq9Zn4glvtZCxREk/edit#gid=507036928"",""2025-26!ap3"")"),34.0)</f>
        <v>34</v>
      </c>
      <c r="CO116" s="55">
        <f>IFERROR(__xludf.DUMMYFUNCTION("importrange(""https://docs.google.com/spreadsheets/d/14k9zl8QJZNDdLexy-mL85RC3KURzq9Zn4glvtZCxREk/edit#gid=507036928"",""2025-26!aq4"")"),0.0)</f>
        <v>0</v>
      </c>
      <c r="CP116" s="55">
        <f>IFERROR(__xludf.DUMMYFUNCTION("importrange(""https://docs.google.com/spreadsheets/d/14k9zl8QJZNDdLexy-mL85RC3KURzq9Zn4glvtZCxREk/edit#gid=507036928"",""2025-26!aq3"")"),0.0)</f>
        <v>0</v>
      </c>
      <c r="CQ116" s="55">
        <f>IFERROR(__xludf.DUMMYFUNCTION("importrange(""https://docs.google.com/spreadsheets/d/14k9zl8QJZNDdLexy-mL85RC3KURzq9Zn4glvtZCxREk/edit#gid=507036928"",""2025-26!ar4"")"),2201169.9600000004)</f>
        <v>2201169.96</v>
      </c>
      <c r="CR116" s="55">
        <f>IFERROR(__xludf.DUMMYFUNCTION("importrange(""https://docs.google.com/spreadsheets/d/14k9zl8QJZNDdLexy-mL85RC3KURzq9Zn4glvtZCxREk/edit#gid=507036928"",""2025-26!ar3"")"),35.0)</f>
        <v>35</v>
      </c>
      <c r="CS116" s="59" t="str">
        <f t="shared" si="29"/>
        <v/>
      </c>
      <c r="CT116" s="55">
        <f>IFERROR(__xludf.DUMMYFUNCTION("importrange(""https://docs.google.com/spreadsheets/d/14k9zl8QJZNDdLexy-mL85RC3KURzq9Zn4glvtZCxREk/edit#gid=507036928"",""2025-26!as4"")"),2202927.0)</f>
        <v>2202927</v>
      </c>
      <c r="CU116" s="55">
        <f>IFERROR(__xludf.DUMMYFUNCTION("importrange(""https://docs.google.com/spreadsheets/d/14k9zl8QJZNDdLexy-mL85RC3KURzq9Zn4glvtZCxREk/edit#gid=507036928"",""2025-26!as3"")"),36.0)</f>
        <v>36</v>
      </c>
      <c r="CV116" s="60" t="s">
        <v>212</v>
      </c>
    </row>
    <row r="117">
      <c r="A117" s="1" t="s">
        <v>185</v>
      </c>
      <c r="B117" s="37"/>
      <c r="C117" s="64" t="s">
        <v>257</v>
      </c>
      <c r="D117" s="50" t="s">
        <v>258</v>
      </c>
      <c r="E117" s="50">
        <v>7.004203576E9</v>
      </c>
      <c r="F117" s="74">
        <v>45236.0</v>
      </c>
      <c r="G117" s="62"/>
      <c r="H117" s="62"/>
      <c r="I117" s="53">
        <v>27260.0</v>
      </c>
      <c r="J117" s="54">
        <v>1950000.0</v>
      </c>
      <c r="K117" s="57">
        <f>IFERROR(__xludf.DUMMYFUNCTION("IMPORTRANGE(""https://docs.google.com/spreadsheets/d/1f-Q3GKpCdBCdJNXC0PAWbenumI9Kvif8dR3uM-wiA14/edit#gid=187761907"",""2025-26!A3"")"),38.0)</f>
        <v>38</v>
      </c>
      <c r="L117" s="57">
        <f>IFERROR(__xludf.DUMMYFUNCTION("IMPORTRANGE(""https://docs.google.com/spreadsheets/d/1f-Q3GKpCdBCdJNXC0PAWbenumI9Kvif8dR3uM-wiA14/edit#gid=187761907"",""2025-26!G4"")"),2.3770303E7)</f>
        <v>23770303</v>
      </c>
      <c r="M117" s="57">
        <f t="shared" si="50"/>
        <v>16164941.75</v>
      </c>
      <c r="N117" s="56">
        <f t="shared" si="51"/>
        <v>0.7899949109</v>
      </c>
      <c r="O117" s="57">
        <f t="shared" si="52"/>
        <v>18778418.4</v>
      </c>
      <c r="P117" s="55">
        <f>IFERROR(__xludf.DUMMYFUNCTION("IMPORTRANGE(""https://docs.google.com/spreadsheets/d/1f-Q3GKpCdBCdJNXC0PAWbenumI9Kvif8dR3uM-wiA14/edit#gid=187761907"",""2025-26!J4"")"),1922525.25)</f>
        <v>1922525.25</v>
      </c>
      <c r="Q117" s="55">
        <f>IFERROR(__xludf.DUMMYFUNCTION("IMPORTRANGE(""https://docs.google.com/spreadsheets/d/1f-Q3GKpCdBCdJNXC0PAWbenumI9Kvif8dR3uM-wiA14/edit#gid=187761907"",""2025-26!J3"")"),26.0)</f>
        <v>26</v>
      </c>
      <c r="R117" s="55">
        <f>IFERROR(__xludf.DUMMYFUNCTION("IMPORTRANGE(""https://docs.google.com/spreadsheets/d/1f-Q3GKpCdBCdJNXC0PAWbenumI9Kvif8dR3uM-wiA14/edit#gid=187761907"",""2025-26!K4"")"),588170.5)</f>
        <v>588170.5</v>
      </c>
      <c r="S117" s="55">
        <f>IFERROR(__xludf.DUMMYFUNCTION("IMPORTRANGE(""https://docs.google.com/spreadsheets/d/1f-Q3GKpCdBCdJNXC0PAWbenumI9Kvif8dR3uM-wiA14/edit#gid=187761907"",""2025-26!K3"")"),4.0)</f>
        <v>4</v>
      </c>
      <c r="T117" s="58">
        <f t="shared" si="18"/>
        <v>0.6102191376</v>
      </c>
      <c r="U117" s="55">
        <f>IFERROR(__xludf.DUMMYFUNCTION("IMPORTRANGE(""https://docs.google.com/spreadsheets/d/1f-Q3GKpCdBCdJNXC0PAWbenumI9Kvif8dR3uM-wiA14/edit#gid=187761907"",""2025-26!L4"")"),1173161.7)</f>
        <v>1173161.7</v>
      </c>
      <c r="V117" s="79">
        <f>IFERROR(__xludf.DUMMYFUNCTION("IMPORTRANGE(""https://docs.google.com/spreadsheets/d/1f-Q3GKpCdBCdJNXC0PAWbenumI9Kvif8dR3uM-wiA14/edit#gid=187761907"",""2025-26!L3"")"),16.0)</f>
        <v>16</v>
      </c>
      <c r="W117" s="55">
        <f>IFERROR(__xludf.DUMMYFUNCTION("IMPORTRANGE(""https://docs.google.com/spreadsheets/d/1f-Q3GKpCdBCdJNXC0PAWbenumI9Kvif8dR3uM-wiA14/edit#gid=187761907"",""2025-26!M4"")"),1922525.25)</f>
        <v>1922525.25</v>
      </c>
      <c r="X117" s="79">
        <f>IFERROR(__xludf.DUMMYFUNCTION("IMPORTRANGE(""https://docs.google.com/spreadsheets/d/1f-Q3GKpCdBCdJNXC0PAWbenumI9Kvif8dR3uM-wiA14/edit#gid=187761907"",""2025-26!M3"")"),26.0)</f>
        <v>26</v>
      </c>
      <c r="Y117" s="55">
        <f>IFERROR(__xludf.DUMMYFUNCTION("importrange(""https://docs.google.com/spreadsheets/d/1f-Q3GKpCdBCdJNXC0PAWbenumI9Kvif8dR3uM-wiA14/edit#gid=187761907"",""2025-26!n4"")"),1425709.0999999999)</f>
        <v>1425709.1</v>
      </c>
      <c r="Z117" s="55">
        <f>IFERROR(__xludf.DUMMYFUNCTION("importrange(""https://docs.google.com/spreadsheets/d/1f-Q3GKpCdBCdJNXC0PAWbenumI9Kvif8dR3uM-wiA14/edit#gid=187761907"",""2025-26!n3"")"),9.0)</f>
        <v>9</v>
      </c>
      <c r="AA117" s="58">
        <f t="shared" si="19"/>
        <v>0.8124775786</v>
      </c>
      <c r="AB117" s="55">
        <f>IFERROR(__xludf.DUMMYFUNCTION("importrange(""https://docs.google.com/spreadsheets/d/1f-Q3GKpCdBCdJNXC0PAWbenumI9Kvif8dR3uM-wiA14/edit#gid=187761907"",""2025-26!o4"")"),1562008.6600000004)</f>
        <v>1562008.66</v>
      </c>
      <c r="AC117" s="55">
        <f>IFERROR(__xludf.DUMMYFUNCTION("importrange(""https://docs.google.com/spreadsheets/d/1f-Q3GKpCdBCdJNXC0PAWbenumI9Kvif8dR3uM-wiA14/edit#gid=187761907"",""2025-26!o3"")"),18.0)</f>
        <v>18</v>
      </c>
      <c r="AD117" s="55">
        <f>IFERROR(__xludf.DUMMYFUNCTION("importrange(""https://docs.google.com/spreadsheets/d/1f-Q3GKpCdBCdJNXC0PAWbenumI9Kvif8dR3uM-wiA14/edit#gid=187761907"",""2025-26!p4"")"),1922525.25)</f>
        <v>1922525.25</v>
      </c>
      <c r="AE117" s="55">
        <f>IFERROR(__xludf.DUMMYFUNCTION("importrange(""https://docs.google.com/spreadsheets/d/1f-Q3GKpCdBCdJNXC0PAWbenumI9Kvif8dR3uM-wiA14/edit#gid=187761907"",""2025-26!p3"")"),26.0)</f>
        <v>26</v>
      </c>
      <c r="AF117" s="55">
        <f>IFERROR(__xludf.DUMMYFUNCTION("importrange(""https://docs.google.com/spreadsheets/d/1f-Q3GKpCdBCdJNXC0PAWbenumI9Kvif8dR3uM-wiA14/edit#gid=187761907"",""2025-26!q4"")"),1515024.2)</f>
        <v>1515024.2</v>
      </c>
      <c r="AG117" s="55">
        <f>IFERROR(__xludf.DUMMYFUNCTION("importrange(""https://docs.google.com/spreadsheets/d/1f-Q3GKpCdBCdJNXC0PAWbenumI9Kvif8dR3uM-wiA14/edit#gid=187761907"",""2025-26!q3"")"),11.0)</f>
        <v>11</v>
      </c>
      <c r="AH117" s="58">
        <f t="shared" si="20"/>
        <v>0.7705454064</v>
      </c>
      <c r="AI117" s="55">
        <f>IFERROR(__xludf.DUMMYFUNCTION("importrange(""https://docs.google.com/spreadsheets/d/1f-Q3GKpCdBCdJNXC0PAWbenumI9Kvif8dR3uM-wiA14/edit#gid=187761907"",""2025-26!r4"")"),1481393.0)</f>
        <v>1481393</v>
      </c>
      <c r="AJ117" s="55">
        <f>IFERROR(__xludf.DUMMYFUNCTION("importrange(""https://docs.google.com/spreadsheets/d/1f-Q3GKpCdBCdJNXC0PAWbenumI9Kvif8dR3uM-wiA14/edit#gid=187761907"",""2025-26!r3"")"),16.0)</f>
        <v>16</v>
      </c>
      <c r="AK117" s="55">
        <f>IFERROR(__xludf.DUMMYFUNCTION("importrange(""https://docs.google.com/spreadsheets/d/1f-Q3GKpCdBCdJNXC0PAWbenumI9Kvif8dR3uM-wiA14/edit#gid=187761907"",""2025-26!s4"")"),1922525.25)</f>
        <v>1922525.25</v>
      </c>
      <c r="AL117" s="55">
        <f>IFERROR(__xludf.DUMMYFUNCTION("importrange(""https://docs.google.com/spreadsheets/d/1f-Q3GKpCdBCdJNXC0PAWbenumI9Kvif8dR3uM-wiA14/edit#gid=187761907"",""2025-26!s3"")"),26.0)</f>
        <v>26</v>
      </c>
      <c r="AM117" s="57">
        <f>IFERROR(__xludf.DUMMYFUNCTION("importrange(""https://docs.google.com/spreadsheets/d/1f-Q3GKpCdBCdJNXC0PAWbenumI9Kvif8dR3uM-wiA14/edit#gid=187761907"",""2025-26!t4"")"),1148172.8499999999)</f>
        <v>1148172.85</v>
      </c>
      <c r="AN117" s="55">
        <f>IFERROR(__xludf.DUMMYFUNCTION("importrange(""https://docs.google.com/spreadsheets/d/1f-Q3GKpCdBCdJNXC0PAWbenumI9Kvif8dR3uM-wiA14/edit#gid=187761907"",""2025-26!t3"")"),10.0)</f>
        <v>10</v>
      </c>
      <c r="AO117" s="58">
        <f t="shared" si="21"/>
        <v>0.6287492973</v>
      </c>
      <c r="AP117" s="55">
        <f>IFERROR(__xludf.DUMMYFUNCTION("importrange(""https://docs.google.com/spreadsheets/d/1f-Q3GKpCdBCdJNXC0PAWbenumI9Kvif8dR3uM-wiA14/edit#gid=187761907"",""2025-26!u4"")"),1208786.4)</f>
        <v>1208786.4</v>
      </c>
      <c r="AQ117" s="55">
        <f>IFERROR(__xludf.DUMMYFUNCTION("importrange(""https://docs.google.com/spreadsheets/d/1f-Q3GKpCdBCdJNXC0PAWbenumI9Kvif8dR3uM-wiA14/edit#gid=187761907"",""2025-26!u3"")"),12.0)</f>
        <v>12</v>
      </c>
      <c r="AR117" s="55">
        <f>IFERROR(__xludf.DUMMYFUNCTION("importrange(""https://docs.google.com/spreadsheets/d/1f-Q3GKpCdBCdJNXC0PAWbenumI9Kvif8dR3uM-wiA14/edit#gid=187761907"",""2025-26!v4"")"),1922525.25)</f>
        <v>1922525.25</v>
      </c>
      <c r="AS117" s="55">
        <f>IFERROR(__xludf.DUMMYFUNCTION("importrange(""https://docs.google.com/spreadsheets/d/1f-Q3GKpCdBCdJNXC0PAWbenumI9Kvif8dR3uM-wiA14/edit#gid=187761907"",""2025-26!v3"")"),26.0)</f>
        <v>26</v>
      </c>
      <c r="AT117" s="57">
        <f>IFERROR(__xludf.DUMMYFUNCTION("importrange(""https://docs.google.com/spreadsheets/d/1f-Q3GKpCdBCdJNXC0PAWbenumI9Kvif8dR3uM-wiA14/edit#gid=187761907"",""2025-26!w4"")"),1964956.9)</f>
        <v>1964956.9</v>
      </c>
      <c r="AU117" s="55">
        <f>IFERROR(__xludf.DUMMYFUNCTION("importrange(""https://docs.google.com/spreadsheets/d/1f-Q3GKpCdBCdJNXC0PAWbenumI9Kvif8dR3uM-wiA14/edit#gid=187761907"",""2025-26!w3"")"),10.0)</f>
        <v>10</v>
      </c>
      <c r="AV117" s="58">
        <f t="shared" si="22"/>
        <v>0.8533211202</v>
      </c>
      <c r="AW117" s="55">
        <f>IFERROR(__xludf.DUMMYFUNCTION("importrange(""https://docs.google.com/spreadsheets/d/1f-Q3GKpCdBCdJNXC0PAWbenumI9Kvif8dR3uM-wiA14/edit#gid=187761907"",""2025-26!x4"")"),1640531.4)</f>
        <v>1640531.4</v>
      </c>
      <c r="AX117" s="55">
        <f>IFERROR(__xludf.DUMMYFUNCTION("importrange(""https://docs.google.com/spreadsheets/d/1f-Q3GKpCdBCdJNXC0PAWbenumI9Kvif8dR3uM-wiA14/edit#gid=187761907"",""2025-26!x3"")"),12.0)</f>
        <v>12</v>
      </c>
      <c r="AY117" s="55">
        <f>IFERROR(__xludf.DUMMYFUNCTION("importrange(""https://docs.google.com/spreadsheets/d/1f-Q3GKpCdBCdJNXC0PAWbenumI9Kvif8dR3uM-wiA14/edit#gid=187761907"",""2025-26!y4"")"),1922525.25)</f>
        <v>1922525.25</v>
      </c>
      <c r="AZ117" s="55">
        <f>IFERROR(__xludf.DUMMYFUNCTION("importrange(""https://docs.google.com/spreadsheets/d/1f-Q3GKpCdBCdJNXC0PAWbenumI9Kvif8dR3uM-wiA14/edit#gid=187761907"",""2025-26!y3"")"),26.0)</f>
        <v>26</v>
      </c>
      <c r="BA117" s="57">
        <f>IFERROR(__xludf.DUMMYFUNCTION("importrange(""https://docs.google.com/spreadsheets/d/1f-Q3GKpCdBCdJNXC0PAWbenumI9Kvif8dR3uM-wiA14/edit#gid=187761907"",""2025-26!z4"")"),1313810.49)</f>
        <v>1313810.49</v>
      </c>
      <c r="BB117" s="55">
        <f>IFERROR(__xludf.DUMMYFUNCTION("importrange(""https://docs.google.com/spreadsheets/d/1f-Q3GKpCdBCdJNXC0PAWbenumI9Kvif8dR3uM-wiA14/edit#gid=187761907"",""2025-26!z3"")"),9.0)</f>
        <v>9</v>
      </c>
      <c r="BC117" s="59">
        <f t="shared" si="23"/>
        <v>0.8133120956</v>
      </c>
      <c r="BD117" s="55">
        <f>IFERROR(__xludf.DUMMYFUNCTION("importrange(""https://docs.google.com/spreadsheets/d/1f-Q3GKpCdBCdJNXC0PAWbenumI9Kvif8dR3uM-wiA14/edit#gid=187761907"",""2025-26!aa4"")"),1563613.0399999998)</f>
        <v>1563613.04</v>
      </c>
      <c r="BE117" s="55">
        <f>IFERROR(__xludf.DUMMYFUNCTION("importrange(""https://docs.google.com/spreadsheets/d/1f-Q3GKpCdBCdJNXC0PAWbenumI9Kvif8dR3uM-wiA14/edit#gid=187761907"",""2025-26!aa3"")"),12.0)</f>
        <v>12</v>
      </c>
      <c r="BF117" s="55">
        <f>IFERROR(__xludf.DUMMYFUNCTION("importrange(""https://docs.google.com/spreadsheets/d/1f-Q3GKpCdBCdJNXC0PAWbenumI9Kvif8dR3uM-wiA14/edit#gid=187761907"",""2025-26!ab4"")"),1922525.25)</f>
        <v>1922525.25</v>
      </c>
      <c r="BG117" s="55">
        <f>IFERROR(__xludf.DUMMYFUNCTION("importrange(""https://docs.google.com/spreadsheets/d/1f-Q3GKpCdBCdJNXC0PAWbenumI9Kvif8dR3uM-wiA14/edit#gid=187761907"",""2025-26!ab3"")"),26.0)</f>
        <v>26</v>
      </c>
      <c r="BH117" s="55">
        <f>IFERROR(__xludf.DUMMYFUNCTION("importrange(""https://docs.google.com/spreadsheets/d/1f-Q3GKpCdBCdJNXC0PAWbenumI9Kvif8dR3uM-wiA14/edit#gid=187761907"",""2025-26!ac4"")"),1118712.74)</f>
        <v>1118712.74</v>
      </c>
      <c r="BI117" s="55">
        <f>IFERROR(__xludf.DUMMYFUNCTION("importrange(""https://docs.google.com/spreadsheets/d/1f-Q3GKpCdBCdJNXC0PAWbenumI9Kvif8dR3uM-wiA14/edit#gid=187761907"",""2025-26!ac3"")"),10.0)</f>
        <v>10</v>
      </c>
      <c r="BJ117" s="59">
        <f t="shared" si="24"/>
        <v>0.7804084134</v>
      </c>
      <c r="BK117" s="55">
        <f>IFERROR(__xludf.DUMMYFUNCTION("importrange(""https://docs.google.com/spreadsheets/d/1f-Q3GKpCdBCdJNXC0PAWbenumI9Kvif8dR3uM-wiA14/edit#gid=187761907"",""2025-26!ad4"")"),1500354.8800000001)</f>
        <v>1500354.88</v>
      </c>
      <c r="BL117" s="55">
        <f>IFERROR(__xludf.DUMMYFUNCTION("importrange(""https://docs.google.com/spreadsheets/d/1f-Q3GKpCdBCdJNXC0PAWbenumI9Kvif8dR3uM-wiA14/edit#gid=187761907"",""2025-26!ad3"")"),15.0)</f>
        <v>15</v>
      </c>
      <c r="BM117" s="55">
        <f>IFERROR(__xludf.DUMMYFUNCTION("importrange(""https://docs.google.com/spreadsheets/d/1f-Q3GKpCdBCdJNXC0PAWbenumI9Kvif8dR3uM-wiA14/edit#gid=187761907"",""2025-26!ae4"")"),1922525.25)</f>
        <v>1922525.25</v>
      </c>
      <c r="BN117" s="55">
        <f>IFERROR(__xludf.DUMMYFUNCTION("importrange(""https://docs.google.com/spreadsheets/d/1f-Q3GKpCdBCdJNXC0PAWbenumI9Kvif8dR3uM-wiA14/edit#gid=187761907"",""2025-26!ae3"")"),26.0)</f>
        <v>26</v>
      </c>
      <c r="BO117" s="55">
        <f>IFERROR(__xludf.DUMMYFUNCTION("importrange(""https://docs.google.com/spreadsheets/d/1f-Q3GKpCdBCdJNXC0PAWbenumI9Kvif8dR3uM-wiA14/edit#gid=187761907"",""2025-26!af4"")"),881234.8800000001)</f>
        <v>881234.88</v>
      </c>
      <c r="BP117" s="55">
        <f>IFERROR(__xludf.DUMMYFUNCTION("importrange(""https://docs.google.com/spreadsheets/d/1f-Q3GKpCdBCdJNXC0PAWbenumI9Kvif8dR3uM-wiA14/edit#gid=187761907"",""2025-26!af3"")"),11.0)</f>
        <v>11</v>
      </c>
      <c r="BQ117" s="59">
        <f t="shared" si="25"/>
        <v>0.7662437724</v>
      </c>
      <c r="BR117" s="55">
        <f>IFERROR(__xludf.DUMMYFUNCTION("importrange(""https://docs.google.com/spreadsheets/d/1f-Q3GKpCdBCdJNXC0PAWbenumI9Kvif8dR3uM-wiA14/edit#gid=187761907"",""2025-26!ag4"")"),1473123.0)</f>
        <v>1473123</v>
      </c>
      <c r="BS117" s="55">
        <f>IFERROR(__xludf.DUMMYFUNCTION("importrange(""https://docs.google.com/spreadsheets/d/1f-Q3GKpCdBCdJNXC0PAWbenumI9Kvif8dR3uM-wiA14/edit#gid=187761907"",""2025-26!ag3"")"),13.0)</f>
        <v>13</v>
      </c>
      <c r="BT117" s="55">
        <f>IFERROR(__xludf.DUMMYFUNCTION("importrange(""https://docs.google.com/spreadsheets/d/1f-Q3GKpCdBCdJNXC0PAWbenumI9Kvif8dR3uM-wiA14/edit#gid=187761907"",""2025-26!ah4"")"),1922525.25)</f>
        <v>1922525.25</v>
      </c>
      <c r="BU117" s="55">
        <f>IFERROR(__xludf.DUMMYFUNCTION("importrange(""https://docs.google.com/spreadsheets/d/1f-Q3GKpCdBCdJNXC0PAWbenumI9Kvif8dR3uM-wiA14/edit#gid=187761907"",""2025-26!ah3"")"),26.0)</f>
        <v>26</v>
      </c>
      <c r="BV117" s="55">
        <f>IFERROR(__xludf.DUMMYFUNCTION("importrange(""https://docs.google.com/spreadsheets/d/1f-Q3GKpCdBCdJNXC0PAWbenumI9Kvif8dR3uM-wiA14/edit#gid=187761907"",""2025-26!ai4"")"),1481348.63)</f>
        <v>1481348.63</v>
      </c>
      <c r="BW117" s="55">
        <f>IFERROR(__xludf.DUMMYFUNCTION("importrange(""https://docs.google.com/spreadsheets/d/1f-Q3GKpCdBCdJNXC0PAWbenumI9Kvif8dR3uM-wiA14/edit#gid=187761907"",""2025-26!ai3"")"),11.0)</f>
        <v>11</v>
      </c>
      <c r="BX117" s="59">
        <f t="shared" si="26"/>
        <v>0.7332782235</v>
      </c>
      <c r="BY117" s="55">
        <f>IFERROR(__xludf.DUMMYFUNCTION("importrange(""https://docs.google.com/spreadsheets/d/1f-Q3GKpCdBCdJNXC0PAWbenumI9Kvif8dR3uM-wiA14/edit#gid=187761907"",""2025-26!aj4"")"),1409745.9)</f>
        <v>1409745.9</v>
      </c>
      <c r="BZ117" s="55">
        <f>IFERROR(__xludf.DUMMYFUNCTION("importrange(""https://docs.google.com/spreadsheets/d/1f-Q3GKpCdBCdJNXC0PAWbenumI9Kvif8dR3uM-wiA14/edit#gid=187761907"",""2025-26!aj3"")"),16.0)</f>
        <v>16</v>
      </c>
      <c r="CA117" s="55">
        <f>IFERROR(__xludf.DUMMYFUNCTION("importrange(""https://docs.google.com/spreadsheets/d/1f-Q3GKpCdBCdJNXC0PAWbenumI9Kvif8dR3uM-wiA14/edit#gid=187761907"",""2025-26!ak4"")"),2072525.25)</f>
        <v>2072525.25</v>
      </c>
      <c r="CB117" s="55">
        <f>IFERROR(__xludf.DUMMYFUNCTION("importrange(""https://docs.google.com/spreadsheets/d/1f-Q3GKpCdBCdJNXC0PAWbenumI9Kvif8dR3uM-wiA14/edit#gid=187761907"",""2025-26!ak3"")"),29.0)</f>
        <v>29</v>
      </c>
      <c r="CC117" s="55">
        <f>IFERROR(__xludf.DUMMYFUNCTION("importrange(""https://docs.google.com/spreadsheets/d/1f-Q3GKpCdBCdJNXC0PAWbenumI9Kvif8dR3uM-wiA14/edit#gid=187761907"",""2025-26!al4"")"),1646900.6300000001)</f>
        <v>1646900.63</v>
      </c>
      <c r="CD117" s="55">
        <f>IFERROR(__xludf.DUMMYFUNCTION("importrange(""https://docs.google.com/spreadsheets/d/1f-Q3GKpCdBCdJNXC0PAWbenumI9Kvif8dR3uM-wiA14/edit#gid=187761907"",""2025-26!ai3"")"),11.0)</f>
        <v>11</v>
      </c>
      <c r="CE117" s="59">
        <f t="shared" si="27"/>
        <v>0.823695885</v>
      </c>
      <c r="CF117" s="55">
        <f>IFERROR(__xludf.DUMMYFUNCTION("importrange(""https://docs.google.com/spreadsheets/d/1f-Q3GKpCdBCdJNXC0PAWbenumI9Kvif8dR3uM-wiA14/edit#gid=187761907"",""2025-26!am4"")"),1707130.5199999998)</f>
        <v>1707130.52</v>
      </c>
      <c r="CG117" s="55">
        <f>IFERROR(__xludf.DUMMYFUNCTION("importrange(""https://docs.google.com/spreadsheets/d/1f-Q3GKpCdBCdJNXC0PAWbenumI9Kvif8dR3uM-wiA14/edit#gid=187761907"",""2025-26!am3"")"),21.0)</f>
        <v>21</v>
      </c>
      <c r="CH117" s="55">
        <f>IFERROR(__xludf.DUMMYFUNCTION("importrange(""https://docs.google.com/spreadsheets/d/1f-Q3GKpCdBCdJNXC0PAWbenumI9Kvif8dR3uM-wiA14/edit#gid=187761907"",""2025-26!an4"")"),2172525.25)</f>
        <v>2172525.25</v>
      </c>
      <c r="CI117" s="55">
        <f>IFERROR(__xludf.DUMMYFUNCTION("importrange(""https://docs.google.com/spreadsheets/d/1f-Q3GKpCdBCdJNXC0PAWbenumI9Kvif8dR3uM-wiA14/edit#gid=187761907"",""2025-26!an3"")"),29.0)</f>
        <v>29</v>
      </c>
      <c r="CJ117" s="55">
        <f>IFERROR(__xludf.DUMMYFUNCTION("importrange(""https://docs.google.com/spreadsheets/d/1f-Q3GKpCdBCdJNXC0PAWbenumI9Kvif8dR3uM-wiA14/edit#gid=187761907"",""2025-26!ao4"")"),1166747.74)</f>
        <v>1166747.74</v>
      </c>
      <c r="CK117" s="55">
        <f>IFERROR(__xludf.DUMMYFUNCTION("importrange(""https://docs.google.com/spreadsheets/d/1f-Q3GKpCdBCdJNXC0PAWbenumI9Kvif8dR3uM-wiA14/edit#gid=187761907"",""2025-26!ao3"")"),7.0)</f>
        <v>7</v>
      </c>
      <c r="CL117" s="59">
        <f t="shared" si="28"/>
        <v>0.8421238464</v>
      </c>
      <c r="CM117" s="55">
        <f>IFERROR(__xludf.DUMMYFUNCTION("importrange(""https://docs.google.com/spreadsheets/d/1f-Q3GKpCdBCdJNXC0PAWbenumI9Kvif8dR3uM-wiA14/edit#gid=187761907"",""2025-26!ap4"")"),1829535.32)</f>
        <v>1829535.32</v>
      </c>
      <c r="CN117" s="55">
        <f>IFERROR(__xludf.DUMMYFUNCTION("importrange(""https://docs.google.com/spreadsheets/d/1f-Q3GKpCdBCdJNXC0PAWbenumI9Kvif8dR3uM-wiA14/edit#gid=187761907"",""2025-26!ap3"")"),19.0)</f>
        <v>19</v>
      </c>
      <c r="CO117" s="55">
        <f>IFERROR(__xludf.DUMMYFUNCTION("importrange(""https://docs.google.com/spreadsheets/d/1f-Q3GKpCdBCdJNXC0PAWbenumI9Kvif8dR3uM-wiA14/edit#gid=187761907"",""2025-26!aq4"")"),2222525.25)</f>
        <v>2222525.25</v>
      </c>
      <c r="CP117" s="55">
        <f>IFERROR(__xludf.DUMMYFUNCTION("importrange(""https://docs.google.com/spreadsheets/d/1f-Q3GKpCdBCdJNXC0PAWbenumI9Kvif8dR3uM-wiA14/edit#gid=187761907"",""2025-26!aq3"")"),29.0)</f>
        <v>29</v>
      </c>
      <c r="CQ117" s="55">
        <f>IFERROR(__xludf.DUMMYFUNCTION("importrange(""https://docs.google.com/spreadsheets/d/1f-Q3GKpCdBCdJNXC0PAWbenumI9Kvif8dR3uM-wiA14/edit#gid=187761907"",""2025-26!ar4"")"),1914153.09)</f>
        <v>1914153.09</v>
      </c>
      <c r="CR117" s="55">
        <f>IFERROR(__xludf.DUMMYFUNCTION("importrange(""https://docs.google.com/spreadsheets/d/1f-Q3GKpCdBCdJNXC0PAWbenumI9Kvif8dR3uM-wiA14/edit#gid=187761907"",""2025-26!ar3"")"),10.0)</f>
        <v>10</v>
      </c>
      <c r="CS117" s="59">
        <f t="shared" si="29"/>
        <v>1.002928799</v>
      </c>
      <c r="CT117" s="55">
        <f>IFERROR(__xludf.DUMMYFUNCTION("importrange(""https://docs.google.com/spreadsheets/d/1f-Q3GKpCdBCdJNXC0PAWbenumI9Kvif8dR3uM-wiA14/edit#gid=187761907"",""2025-26!as4"")"),2229034.5799999996)</f>
        <v>2229034.58</v>
      </c>
      <c r="CU117" s="55">
        <f>IFERROR(__xludf.DUMMYFUNCTION("importrange(""https://docs.google.com/spreadsheets/d/1f-Q3GKpCdBCdJNXC0PAWbenumI9Kvif8dR3uM-wiA14/edit#gid=187761907"",""2025-26!as3"")"),14.0)</f>
        <v>14</v>
      </c>
      <c r="CV117" s="60" t="s">
        <v>215</v>
      </c>
    </row>
    <row r="118">
      <c r="A118" s="1" t="s">
        <v>185</v>
      </c>
      <c r="B118" s="37"/>
      <c r="C118" s="64" t="s">
        <v>259</v>
      </c>
      <c r="D118" s="50" t="s">
        <v>260</v>
      </c>
      <c r="E118" s="50">
        <v>8.917427613E9</v>
      </c>
      <c r="F118" s="74">
        <v>45278.0</v>
      </c>
      <c r="G118" s="62"/>
      <c r="H118" s="62"/>
      <c r="I118" s="53">
        <v>36190.0</v>
      </c>
      <c r="J118" s="54">
        <v>1700000.0</v>
      </c>
      <c r="K118" s="57">
        <f>IFERROR(__xludf.DUMMYFUNCTION("IMPORTRANGE(""https://docs.google.com/spreadsheets/d/1kXi-Po5tHh3RtsiZDCgyu75R5xrra0yqvmCs6fPdJr0/edit#gid=187761907"",""2025-26!A3"")"),77.0)</f>
        <v>77</v>
      </c>
      <c r="L118" s="57">
        <f>IFERROR(__xludf.DUMMYFUNCTION("IMPORTRANGE(""https://docs.google.com/spreadsheets/d/1kXi-Po5tHh3RtsiZDCgyu75R5xrra0yqvmCs6fPdJr0/edit#gid=187761907"",""2025-26!G4"")"),2.3273E7)</f>
        <v>23273000</v>
      </c>
      <c r="M118" s="57">
        <f t="shared" si="50"/>
        <v>14196240.17</v>
      </c>
      <c r="N118" s="56">
        <f t="shared" si="51"/>
        <v>0.694227345</v>
      </c>
      <c r="O118" s="57">
        <f t="shared" si="52"/>
        <v>16156753</v>
      </c>
      <c r="P118" s="55">
        <f>IFERROR(__xludf.DUMMYFUNCTION("IMPORTRANGE(""https://docs.google.com/spreadsheets/d/1kXi-Po5tHh3RtsiZDCgyu75R5xrra0yqvmCs6fPdJr0/edit#gid=187761907"",""2025-26!J4"")"),2094833.0)</f>
        <v>2094833</v>
      </c>
      <c r="Q118" s="55">
        <f>IFERROR(__xludf.DUMMYFUNCTION("IMPORTRANGE(""https://docs.google.com/spreadsheets/d/1kXi-Po5tHh3RtsiZDCgyu75R5xrra0yqvmCs6fPdJr0/edit#gid=187761907"",""2025-26!J3"")"),60.0)</f>
        <v>60</v>
      </c>
      <c r="R118" s="55">
        <f>IFERROR(__xludf.DUMMYFUNCTION("IMPORTRANGE(""https://docs.google.com/spreadsheets/d/1kXi-Po5tHh3RtsiZDCgyu75R5xrra0yqvmCs6fPdJr0/edit#gid=187761907"",""2025-26!K4"")"),500743.80000000005)</f>
        <v>500743.8</v>
      </c>
      <c r="S118" s="55">
        <f>IFERROR(__xludf.DUMMYFUNCTION("IMPORTRANGE(""https://docs.google.com/spreadsheets/d/1kXi-Po5tHh3RtsiZDCgyu75R5xrra0yqvmCs6fPdJr0/edit#gid=187761907"",""2025-26!K3"")"),10.0)</f>
        <v>10</v>
      </c>
      <c r="T118" s="58">
        <f t="shared" si="18"/>
        <v>0.3844177555</v>
      </c>
      <c r="U118" s="55">
        <f>IFERROR(__xludf.DUMMYFUNCTION("IMPORTRANGE(""https://docs.google.com/spreadsheets/d/1kXi-Po5tHh3RtsiZDCgyu75R5xrra0yqvmCs6fPdJr0/edit#gid=187761907"",""2025-26!L4"")"),805291.0)</f>
        <v>805291</v>
      </c>
      <c r="V118" s="79">
        <f>IFERROR(__xludf.DUMMYFUNCTION("IMPORTRANGE(""https://docs.google.com/spreadsheets/d/1kXi-Po5tHh3RtsiZDCgyu75R5xrra0yqvmCs6fPdJr0/edit#gid=187761907"",""2025-26!L3"")"),18.0)</f>
        <v>18</v>
      </c>
      <c r="W118" s="55">
        <f>IFERROR(__xludf.DUMMYFUNCTION("IMPORTRANGE(""https://docs.google.com/spreadsheets/d/1kXi-Po5tHh3RtsiZDCgyu75R5xrra0yqvmCs6fPdJr0/edit#gid=187761907"",""2025-26!M4"")"),2094833.0)</f>
        <v>2094833</v>
      </c>
      <c r="X118" s="79">
        <f>IFERROR(__xludf.DUMMYFUNCTION("IMPORTRANGE(""https://docs.google.com/spreadsheets/d/1kXi-Po5tHh3RtsiZDCgyu75R5xrra0yqvmCs6fPdJr0/edit#gid=187761907"",""2025-26!M3"")"),60.0)</f>
        <v>60</v>
      </c>
      <c r="Y118" s="55">
        <f>IFERROR(__xludf.DUMMYFUNCTION("importrange(""https://docs.google.com/spreadsheets/d/1kXi-Po5tHh3RtsiZDCgyu75R5xrra0yqvmCs6fPdJr0/edit#gid=187761907"",""2025-26!n4"")"),1074427.4000000001)</f>
        <v>1074427.4</v>
      </c>
      <c r="Z118" s="55">
        <f>IFERROR(__xludf.DUMMYFUNCTION("importrange(""https://docs.google.com/spreadsheets/d/1kXi-Po5tHh3RtsiZDCgyu75R5xrra0yqvmCs6fPdJr0/edit#gid=187761907"",""2025-26!n3"")"),17.0)</f>
        <v>17</v>
      </c>
      <c r="AA118" s="58">
        <f t="shared" si="19"/>
        <v>0.5573546913</v>
      </c>
      <c r="AB118" s="55">
        <f>IFERROR(__xludf.DUMMYFUNCTION("importrange(""https://docs.google.com/spreadsheets/d/1kXi-Po5tHh3RtsiZDCgyu75R5xrra0yqvmCs6fPdJr0/edit#gid=187761907"",""2025-26!o4"")"),1167565.0)</f>
        <v>1167565</v>
      </c>
      <c r="AC118" s="55">
        <f>IFERROR(__xludf.DUMMYFUNCTION("importrange(""https://docs.google.com/spreadsheets/d/1kXi-Po5tHh3RtsiZDCgyu75R5xrra0yqvmCs6fPdJr0/edit#gid=187761907"",""2025-26!o3"")"),22.0)</f>
        <v>22</v>
      </c>
      <c r="AD118" s="55">
        <f>IFERROR(__xludf.DUMMYFUNCTION("importrange(""https://docs.google.com/spreadsheets/d/1kXi-Po5tHh3RtsiZDCgyu75R5xrra0yqvmCs6fPdJr0/edit#gid=187761907"",""2025-26!p4"")"),2134833.0)</f>
        <v>2134833</v>
      </c>
      <c r="AE118" s="55">
        <f>IFERROR(__xludf.DUMMYFUNCTION("importrange(""https://docs.google.com/spreadsheets/d/1kXi-Po5tHh3RtsiZDCgyu75R5xrra0yqvmCs6fPdJr0/edit#gid=187761907"",""2025-26!p3"")"),62.0)</f>
        <v>62</v>
      </c>
      <c r="AF118" s="55">
        <f>IFERROR(__xludf.DUMMYFUNCTION("importrange(""https://docs.google.com/spreadsheets/d/1kXi-Po5tHh3RtsiZDCgyu75R5xrra0yqvmCs6fPdJr0/edit#gid=187761907"",""2025-26!q4"")"),1146375.5)</f>
        <v>1146375.5</v>
      </c>
      <c r="AG118" s="55">
        <f>IFERROR(__xludf.DUMMYFUNCTION("importrange(""https://docs.google.com/spreadsheets/d/1kXi-Po5tHh3RtsiZDCgyu75R5xrra0yqvmCs6fPdJr0/edit#gid=187761907"",""2025-26!q3"")"),17.0)</f>
        <v>17</v>
      </c>
      <c r="AH118" s="58">
        <f t="shared" si="20"/>
        <v>0.690825465</v>
      </c>
      <c r="AI118" s="55">
        <f>IFERROR(__xludf.DUMMYFUNCTION("importrange(""https://docs.google.com/spreadsheets/d/1kXi-Po5tHh3RtsiZDCgyu75R5xrra0yqvmCs6fPdJr0/edit#gid=187761907"",""2025-26!r4"")"),1474797.0)</f>
        <v>1474797</v>
      </c>
      <c r="AJ118" s="55">
        <f>IFERROR(__xludf.DUMMYFUNCTION("importrange(""https://docs.google.com/spreadsheets/d/1kXi-Po5tHh3RtsiZDCgyu75R5xrra0yqvmCs6fPdJr0/edit#gid=187761907"",""2025-26!r3"")"),27.0)</f>
        <v>27</v>
      </c>
      <c r="AK118" s="55">
        <f>IFERROR(__xludf.DUMMYFUNCTION("importrange(""https://docs.google.com/spreadsheets/d/1kXi-Po5tHh3RtsiZDCgyu75R5xrra0yqvmCs6fPdJr0/edit#gid=187761907"",""2025-26!s4"")"),2154833.0)</f>
        <v>2154833</v>
      </c>
      <c r="AL118" s="55">
        <f>IFERROR(__xludf.DUMMYFUNCTION("importrange(""https://docs.google.com/spreadsheets/d/1kXi-Po5tHh3RtsiZDCgyu75R5xrra0yqvmCs6fPdJr0/edit#gid=187761907"",""2025-26!s3"")"),63.0)</f>
        <v>63</v>
      </c>
      <c r="AM118" s="57">
        <f>IFERROR(__xludf.DUMMYFUNCTION("importrange(""https://docs.google.com/spreadsheets/d/1kXi-Po5tHh3RtsiZDCgyu75R5xrra0yqvmCs6fPdJr0/edit#gid=187761907"",""2025-26!t4"")"),1365694.65)</f>
        <v>1365694.65</v>
      </c>
      <c r="AN118" s="55">
        <f>IFERROR(__xludf.DUMMYFUNCTION("importrange(""https://docs.google.com/spreadsheets/d/1kXi-Po5tHh3RtsiZDCgyu75R5xrra0yqvmCs6fPdJr0/edit#gid=187761907"",""2025-26!t3"")"),17.0)</f>
        <v>17</v>
      </c>
      <c r="AO118" s="58">
        <f t="shared" si="21"/>
        <v>0.6463363982</v>
      </c>
      <c r="AP118" s="55">
        <f>IFERROR(__xludf.DUMMYFUNCTION("importrange(""https://docs.google.com/spreadsheets/d/1kXi-Po5tHh3RtsiZDCgyu75R5xrra0yqvmCs6fPdJr0/edit#gid=187761907"",""2025-26!u4"")"),1392747.0)</f>
        <v>1392747</v>
      </c>
      <c r="AQ118" s="55">
        <f>IFERROR(__xludf.DUMMYFUNCTION("importrange(""https://docs.google.com/spreadsheets/d/1kXi-Po5tHh3RtsiZDCgyu75R5xrra0yqvmCs6fPdJr0/edit#gid=187761907"",""2025-26!u3"")"),19.0)</f>
        <v>19</v>
      </c>
      <c r="AR118" s="55">
        <f>IFERROR(__xludf.DUMMYFUNCTION("importrange(""https://docs.google.com/spreadsheets/d/1kXi-Po5tHh3RtsiZDCgyu75R5xrra0yqvmCs6fPdJr0/edit#gid=187761907"",""2025-26!v4"")"),2104833.0)</f>
        <v>2104833</v>
      </c>
      <c r="AS118" s="55">
        <f>IFERROR(__xludf.DUMMYFUNCTION("importrange(""https://docs.google.com/spreadsheets/d/1kXi-Po5tHh3RtsiZDCgyu75R5xrra0yqvmCs6fPdJr0/edit#gid=187761907"",""2025-26!v3"")"),61.0)</f>
        <v>61</v>
      </c>
      <c r="AT118" s="57">
        <f>IFERROR(__xludf.DUMMYFUNCTION("importrange(""https://docs.google.com/spreadsheets/d/1kXi-Po5tHh3RtsiZDCgyu75R5xrra0yqvmCs6fPdJr0/edit#gid=187761907"",""2025-26!w4"")"),871044.14)</f>
        <v>871044.14</v>
      </c>
      <c r="AU118" s="55">
        <f>IFERROR(__xludf.DUMMYFUNCTION("importrange(""https://docs.google.com/spreadsheets/d/1kXi-Po5tHh3RtsiZDCgyu75R5xrra0yqvmCs6fPdJr0/edit#gid=187761907"",""2025-26!w3"")"),18.0)</f>
        <v>18</v>
      </c>
      <c r="AV118" s="58">
        <f t="shared" si="22"/>
        <v>0.4333422176</v>
      </c>
      <c r="AW118" s="55">
        <f>IFERROR(__xludf.DUMMYFUNCTION("importrange(""https://docs.google.com/spreadsheets/d/1kXi-Po5tHh3RtsiZDCgyu75R5xrra0yqvmCs6fPdJr0/edit#gid=187761907"",""2025-26!x4"")"),912113.0)</f>
        <v>912113</v>
      </c>
      <c r="AX118" s="55">
        <f>IFERROR(__xludf.DUMMYFUNCTION("importrange(""https://docs.google.com/spreadsheets/d/1kXi-Po5tHh3RtsiZDCgyu75R5xrra0yqvmCs6fPdJr0/edit#gid=187761907"",""2025-26!x3"")"),26.0)</f>
        <v>26</v>
      </c>
      <c r="AY118" s="55">
        <f>IFERROR(__xludf.DUMMYFUNCTION("importrange(""https://docs.google.com/spreadsheets/d/1kXi-Po5tHh3RtsiZDCgyu75R5xrra0yqvmCs6fPdJr0/edit#gid=187761907"",""2025-26!y4"")"),2104833.0)</f>
        <v>2104833</v>
      </c>
      <c r="AZ118" s="55">
        <f>IFERROR(__xludf.DUMMYFUNCTION("importrange(""https://docs.google.com/spreadsheets/d/1kXi-Po5tHh3RtsiZDCgyu75R5xrra0yqvmCs6fPdJr0/edit#gid=187761907"",""2025-26!y3"")"),61.0)</f>
        <v>61</v>
      </c>
      <c r="BA118" s="57">
        <f>IFERROR(__xludf.DUMMYFUNCTION("importrange(""https://docs.google.com/spreadsheets/d/1kXi-Po5tHh3RtsiZDCgyu75R5xrra0yqvmCs6fPdJr0/edit#gid=187761907"",""2025-26!z4"")"),784359.3)</f>
        <v>784359.3</v>
      </c>
      <c r="BB118" s="55">
        <f>IFERROR(__xludf.DUMMYFUNCTION("importrange(""https://docs.google.com/spreadsheets/d/1kXi-Po5tHh3RtsiZDCgyu75R5xrra0yqvmCs6fPdJr0/edit#gid=187761907"",""2025-26!z3"")"),17.0)</f>
        <v>17</v>
      </c>
      <c r="BC118" s="59">
        <f t="shared" si="23"/>
        <v>0.445378802</v>
      </c>
      <c r="BD118" s="55">
        <f>IFERROR(__xludf.DUMMYFUNCTION("importrange(""https://docs.google.com/spreadsheets/d/1kXi-Po5tHh3RtsiZDCgyu75R5xrra0yqvmCs6fPdJr0/edit#gid=187761907"",""2025-26!aa4"")"),937448.0)</f>
        <v>937448</v>
      </c>
      <c r="BE118" s="55">
        <f>IFERROR(__xludf.DUMMYFUNCTION("importrange(""https://docs.google.com/spreadsheets/d/1kXi-Po5tHh3RtsiZDCgyu75R5xrra0yqvmCs6fPdJr0/edit#gid=187761907"",""2025-26!aa3"")"),24.0)</f>
        <v>24</v>
      </c>
      <c r="BF118" s="55">
        <f>IFERROR(__xludf.DUMMYFUNCTION("importrange(""https://docs.google.com/spreadsheets/d/1kXi-Po5tHh3RtsiZDCgyu75R5xrra0yqvmCs6fPdJr0/edit#gid=187761907"",""2025-26!ab4"")"),2104833.0)</f>
        <v>2104833</v>
      </c>
      <c r="BG118" s="55">
        <f>IFERROR(__xludf.DUMMYFUNCTION("importrange(""https://docs.google.com/spreadsheets/d/1kXi-Po5tHh3RtsiZDCgyu75R5xrra0yqvmCs6fPdJr0/edit#gid=187761907"",""2025-26!ab3"")"),61.0)</f>
        <v>61</v>
      </c>
      <c r="BH118" s="55">
        <f>IFERROR(__xludf.DUMMYFUNCTION("importrange(""https://docs.google.com/spreadsheets/d/1kXi-Po5tHh3RtsiZDCgyu75R5xrra0yqvmCs6fPdJr0/edit#gid=187761907"",""2025-26!ac4"")"),1156181.9899999998)</f>
        <v>1156181.99</v>
      </c>
      <c r="BI118" s="55">
        <f>IFERROR(__xludf.DUMMYFUNCTION("importrange(""https://docs.google.com/spreadsheets/d/1kXi-Po5tHh3RtsiZDCgyu75R5xrra0yqvmCs6fPdJr0/edit#gid=187761907"",""2025-26!ac3"")"),18.0)</f>
        <v>18</v>
      </c>
      <c r="BJ118" s="59">
        <f t="shared" si="24"/>
        <v>0.5751111846</v>
      </c>
      <c r="BK118" s="55">
        <f>IFERROR(__xludf.DUMMYFUNCTION("importrange(""https://docs.google.com/spreadsheets/d/1kXi-Po5tHh3RtsiZDCgyu75R5xrra0yqvmCs6fPdJr0/edit#gid=187761907"",""2025-26!ad4"")"),1210513.0)</f>
        <v>1210513</v>
      </c>
      <c r="BL118" s="55">
        <f>IFERROR(__xludf.DUMMYFUNCTION("importrange(""https://docs.google.com/spreadsheets/d/1kXi-Po5tHh3RtsiZDCgyu75R5xrra0yqvmCs6fPdJr0/edit#gid=187761907"",""2025-26!ad3"")"),20.0)</f>
        <v>20</v>
      </c>
      <c r="BM118" s="55">
        <f>IFERROR(__xludf.DUMMYFUNCTION("importrange(""https://docs.google.com/spreadsheets/d/1kXi-Po5tHh3RtsiZDCgyu75R5xrra0yqvmCs6fPdJr0/edit#gid=187761907"",""2025-26!ae4"")"),2104833.0)</f>
        <v>2104833</v>
      </c>
      <c r="BN118" s="55">
        <f>IFERROR(__xludf.DUMMYFUNCTION("importrange(""https://docs.google.com/spreadsheets/d/1kXi-Po5tHh3RtsiZDCgyu75R5xrra0yqvmCs6fPdJr0/edit#gid=187761907"",""2025-26!ae3"")"),61.0)</f>
        <v>61</v>
      </c>
      <c r="BO118" s="55">
        <f>IFERROR(__xludf.DUMMYFUNCTION("importrange(""https://docs.google.com/spreadsheets/d/1kXi-Po5tHh3RtsiZDCgyu75R5xrra0yqvmCs6fPdJr0/edit#gid=187761907"",""2025-26!af4"")"),1179384.6700000002)</f>
        <v>1179384.67</v>
      </c>
      <c r="BP118" s="55">
        <f>IFERROR(__xludf.DUMMYFUNCTION("importrange(""https://docs.google.com/spreadsheets/d/1kXi-Po5tHh3RtsiZDCgyu75R5xrra0yqvmCs6fPdJr0/edit#gid=187761907"",""2025-26!af3"")"),17.0)</f>
        <v>17</v>
      </c>
      <c r="BQ118" s="59">
        <f t="shared" si="25"/>
        <v>0.6400089698</v>
      </c>
      <c r="BR118" s="55">
        <f>IFERROR(__xludf.DUMMYFUNCTION("importrange(""https://docs.google.com/spreadsheets/d/1kXi-Po5tHh3RtsiZDCgyu75R5xrra0yqvmCs6fPdJr0/edit#gid=187761907"",""2025-26!ag4"")"),1347112.0)</f>
        <v>1347112</v>
      </c>
      <c r="BS118" s="55">
        <f>IFERROR(__xludf.DUMMYFUNCTION("importrange(""https://docs.google.com/spreadsheets/d/1kXi-Po5tHh3RtsiZDCgyu75R5xrra0yqvmCs6fPdJr0/edit#gid=187761907"",""2025-26!ag3"")"),24.0)</f>
        <v>24</v>
      </c>
      <c r="BT118" s="55">
        <f>IFERROR(__xludf.DUMMYFUNCTION("importrange(""https://docs.google.com/spreadsheets/d/1kXi-Po5tHh3RtsiZDCgyu75R5xrra0yqvmCs6fPdJr0/edit#gid=187761907"",""2025-26!ah4"")"),2215833.0)</f>
        <v>2215833</v>
      </c>
      <c r="BU118" s="55">
        <f>IFERROR(__xludf.DUMMYFUNCTION("importrange(""https://docs.google.com/spreadsheets/d/1kXi-Po5tHh3RtsiZDCgyu75R5xrra0yqvmCs6fPdJr0/edit#gid=187761907"",""2025-26!ah3"")"),63.0)</f>
        <v>63</v>
      </c>
      <c r="BV118" s="55">
        <f>IFERROR(__xludf.DUMMYFUNCTION("importrange(""https://docs.google.com/spreadsheets/d/1kXi-Po5tHh3RtsiZDCgyu75R5xrra0yqvmCs6fPdJr0/edit#gid=187761907"",""2025-26!ai4"")"),1491806.4200000002)</f>
        <v>1491806.42</v>
      </c>
      <c r="BW118" s="55">
        <f>IFERROR(__xludf.DUMMYFUNCTION("importrange(""https://docs.google.com/spreadsheets/d/1kXi-Po5tHh3RtsiZDCgyu75R5xrra0yqvmCs6fPdJr0/edit#gid=187761907"",""2025-26!ai3"")"),23.0)</f>
        <v>23</v>
      </c>
      <c r="BX118" s="59">
        <f t="shared" si="26"/>
        <v>0.7097231605</v>
      </c>
      <c r="BY118" s="55">
        <f>IFERROR(__xludf.DUMMYFUNCTION("importrange(""https://docs.google.com/spreadsheets/d/1kXi-Po5tHh3RtsiZDCgyu75R5xrra0yqvmCs6fPdJr0/edit#gid=187761907"",""2025-26!aj4"")"),1572628.0)</f>
        <v>1572628</v>
      </c>
      <c r="BZ118" s="55">
        <f>IFERROR(__xludf.DUMMYFUNCTION("importrange(""https://docs.google.com/spreadsheets/d/1kXi-Po5tHh3RtsiZDCgyu75R5xrra0yqvmCs6fPdJr0/edit#gid=187761907"",""2025-26!aj3"")"),29.0)</f>
        <v>29</v>
      </c>
      <c r="CA118" s="55">
        <f>IFERROR(__xludf.DUMMYFUNCTION("importrange(""https://docs.google.com/spreadsheets/d/1kXi-Po5tHh3RtsiZDCgyu75R5xrra0yqvmCs6fPdJr0/edit#gid=187761907"",""2025-26!ak4"")"),2184833.0)</f>
        <v>2184833</v>
      </c>
      <c r="CB118" s="55">
        <f>IFERROR(__xludf.DUMMYFUNCTION("importrange(""https://docs.google.com/spreadsheets/d/1kXi-Po5tHh3RtsiZDCgyu75R5xrra0yqvmCs6fPdJr0/edit#gid=187761907"",""2025-26!ak3"")"),64.0)</f>
        <v>64</v>
      </c>
      <c r="CC118" s="55">
        <f>IFERROR(__xludf.DUMMYFUNCTION("importrange(""https://docs.google.com/spreadsheets/d/1kXi-Po5tHh3RtsiZDCgyu75R5xrra0yqvmCs6fPdJr0/edit#gid=187761907"",""2025-26!al4"")"),1562304.7400000002)</f>
        <v>1562304.74</v>
      </c>
      <c r="CD118" s="55">
        <f>IFERROR(__xludf.DUMMYFUNCTION("importrange(""https://docs.google.com/spreadsheets/d/1kXi-Po5tHh3RtsiZDCgyu75R5xrra0yqvmCs6fPdJr0/edit#gid=187761907"",""2025-26!ai3"")"),23.0)</f>
        <v>23</v>
      </c>
      <c r="CE118" s="59">
        <f t="shared" si="27"/>
        <v>0.7458002511</v>
      </c>
      <c r="CF118" s="55">
        <f>IFERROR(__xludf.DUMMYFUNCTION("importrange(""https://docs.google.com/spreadsheets/d/1kXi-Po5tHh3RtsiZDCgyu75R5xrra0yqvmCs6fPdJr0/edit#gid=187761907"",""2025-26!am4"")"),1629449.0)</f>
        <v>1629449</v>
      </c>
      <c r="CG118" s="55">
        <f>IFERROR(__xludf.DUMMYFUNCTION("importrange(""https://docs.google.com/spreadsheets/d/1kXi-Po5tHh3RtsiZDCgyu75R5xrra0yqvmCs6fPdJr0/edit#gid=187761907"",""2025-26!am3"")"),26.0)</f>
        <v>26</v>
      </c>
      <c r="CH118" s="55">
        <f>IFERROR(__xludf.DUMMYFUNCTION("importrange(""https://docs.google.com/spreadsheets/d/1kXi-Po5tHh3RtsiZDCgyu75R5xrra0yqvmCs6fPdJr0/edit#gid=187761907"",""2025-26!an4"")"),2353833.0)</f>
        <v>2353833</v>
      </c>
      <c r="CI118" s="55">
        <f>IFERROR(__xludf.DUMMYFUNCTION("importrange(""https://docs.google.com/spreadsheets/d/1kXi-Po5tHh3RtsiZDCgyu75R5xrra0yqvmCs6fPdJr0/edit#gid=187761907"",""2025-26!an3"")"),72.0)</f>
        <v>72</v>
      </c>
      <c r="CJ118" s="55">
        <f>IFERROR(__xludf.DUMMYFUNCTION("importrange(""https://docs.google.com/spreadsheets/d/1kXi-Po5tHh3RtsiZDCgyu75R5xrra0yqvmCs6fPdJr0/edit#gid=187761907"",""2025-26!ao4"")"),1378819.9800000002)</f>
        <v>1378819.98</v>
      </c>
      <c r="CK118" s="55">
        <f>IFERROR(__xludf.DUMMYFUNCTION("importrange(""https://docs.google.com/spreadsheets/d/1kXi-Po5tHh3RtsiZDCgyu75R5xrra0yqvmCs6fPdJr0/edit#gid=187761907"",""2025-26!ao3"")"),17.0)</f>
        <v>17</v>
      </c>
      <c r="CL118" s="59">
        <f t="shared" si="28"/>
        <v>0.7248551618</v>
      </c>
      <c r="CM118" s="55">
        <f>IFERROR(__xludf.DUMMYFUNCTION("importrange(""https://docs.google.com/spreadsheets/d/1kXi-Po5tHh3RtsiZDCgyu75R5xrra0yqvmCs6fPdJr0/edit#gid=187761907"",""2025-26!ap4"")"),1706188.0)</f>
        <v>1706188</v>
      </c>
      <c r="CN118" s="55">
        <f>IFERROR(__xludf.DUMMYFUNCTION("importrange(""https://docs.google.com/spreadsheets/d/1kXi-Po5tHh3RtsiZDCgyu75R5xrra0yqvmCs6fPdJr0/edit#gid=187761907"",""2025-26!ap3"")"),25.0)</f>
        <v>25</v>
      </c>
      <c r="CO118" s="55">
        <f>IFERROR(__xludf.DUMMYFUNCTION("importrange(""https://docs.google.com/spreadsheets/d/1kXi-Po5tHh3RtsiZDCgyu75R5xrra0yqvmCs6fPdJr0/edit#gid=187761907"",""2025-26!aq4"")"),2809833.0)</f>
        <v>2809833</v>
      </c>
      <c r="CP118" s="55">
        <f>IFERROR(__xludf.DUMMYFUNCTION("importrange(""https://docs.google.com/spreadsheets/d/1kXi-Po5tHh3RtsiZDCgyu75R5xrra0yqvmCs6fPdJr0/edit#gid=187761907"",""2025-26!aq3"")"),72.0)</f>
        <v>72</v>
      </c>
      <c r="CQ118" s="55">
        <f>IFERROR(__xludf.DUMMYFUNCTION("importrange(""https://docs.google.com/spreadsheets/d/1kXi-Po5tHh3RtsiZDCgyu75R5xrra0yqvmCs6fPdJr0/edit#gid=187761907"",""2025-26!ar4"")"),1685097.5799999998)</f>
        <v>1685097.58</v>
      </c>
      <c r="CR118" s="55">
        <f>IFERROR(__xludf.DUMMYFUNCTION("importrange(""https://docs.google.com/spreadsheets/d/1kXi-Po5tHh3RtsiZDCgyu75R5xrra0yqvmCs6fPdJr0/edit#gid=187761907"",""2025-26!ar3"")"),18.0)</f>
        <v>18</v>
      </c>
      <c r="CS118" s="59">
        <f t="shared" si="29"/>
        <v>0.7121070896</v>
      </c>
      <c r="CT118" s="55">
        <f>IFERROR(__xludf.DUMMYFUNCTION("importrange(""https://docs.google.com/spreadsheets/d/1kXi-Po5tHh3RtsiZDCgyu75R5xrra0yqvmCs6fPdJr0/edit#gid=187761907"",""2025-26!as4"")"),2000902.0)</f>
        <v>2000902</v>
      </c>
      <c r="CU118" s="55">
        <f>IFERROR(__xludf.DUMMYFUNCTION("importrange(""https://docs.google.com/spreadsheets/d/1kXi-Po5tHh3RtsiZDCgyu75R5xrra0yqvmCs6fPdJr0/edit#gid=187761907"",""2025-26!as3"")"),31.0)</f>
        <v>31</v>
      </c>
      <c r="CV118" s="60" t="s">
        <v>196</v>
      </c>
    </row>
    <row r="119">
      <c r="A119" s="1" t="s">
        <v>185</v>
      </c>
      <c r="B119" s="37"/>
      <c r="C119" s="64" t="s">
        <v>261</v>
      </c>
      <c r="D119" s="50" t="s">
        <v>262</v>
      </c>
      <c r="E119" s="50">
        <v>6.00078699E9</v>
      </c>
      <c r="F119" s="74">
        <v>45292.0</v>
      </c>
      <c r="G119" s="62"/>
      <c r="H119" s="62"/>
      <c r="I119" s="53">
        <v>26755.0</v>
      </c>
      <c r="J119" s="54">
        <v>1500000.0</v>
      </c>
      <c r="K119" s="57">
        <f>IFERROR(__xludf.DUMMYFUNCTION("IMPORTRANGE(""https://docs.google.com/spreadsheets/d/1e8jkTtwi2aXiYRx1t-DdbLhvJgj08Uq9ZOXPl2yK5AY/edit#gid=867855662"",""2025-26!A3"")"),42.0)</f>
        <v>42</v>
      </c>
      <c r="L119" s="57">
        <f>IFERROR(__xludf.DUMMYFUNCTION("IMPORTRANGE(""https://docs.google.com/spreadsheets/d/1e8jkTtwi2aXiYRx1t-DdbLhvJgj08Uq9ZOXPl2yK5AY/edit#gid=867855662"",""2025-26!G4"")"),1.72E7)</f>
        <v>17200000</v>
      </c>
      <c r="M119" s="57">
        <f t="shared" si="50"/>
        <v>10771683.93</v>
      </c>
      <c r="N119" s="56">
        <f t="shared" si="51"/>
        <v>0.6380616279</v>
      </c>
      <c r="O119" s="57">
        <f t="shared" si="52"/>
        <v>10974660</v>
      </c>
      <c r="P119" s="55">
        <f>IFERROR(__xludf.DUMMYFUNCTION("IMPORTRANGE(""https://docs.google.com/spreadsheets/d/1e8jkTtwi2aXiYRx1t-DdbLhvJgj08Uq9ZOXPl2yK5AY/edit#gid=867855662"",""2025-26!J4"")"),1372334.0)</f>
        <v>1372334</v>
      </c>
      <c r="Q119" s="55">
        <f>IFERROR(__xludf.DUMMYFUNCTION("IMPORTRANGE(""https://docs.google.com/spreadsheets/d/1e8jkTtwi2aXiYRx1t-DdbLhvJgj08Uq9ZOXPl2yK5AY/edit#gid=867855662"",""2025-26!J3"")"),34.0)</f>
        <v>34</v>
      </c>
      <c r="R119" s="55">
        <f>IFERROR(__xludf.DUMMYFUNCTION("IMPORTRANGE(""https://docs.google.com/spreadsheets/d/1e8jkTtwi2aXiYRx1t-DdbLhvJgj08Uq9ZOXPl2yK5AY/edit#gid=867855662"",""2025-26!K4"")"),933603.25)</f>
        <v>933603.25</v>
      </c>
      <c r="S119" s="55">
        <f>IFERROR(__xludf.DUMMYFUNCTION("IMPORTRANGE(""https://docs.google.com/spreadsheets/d/1e8jkTtwi2aXiYRx1t-DdbLhvJgj08Uq9ZOXPl2yK5AY/edit#gid=867855662"",""2025-26!K3"")"),10.0)</f>
        <v>10</v>
      </c>
      <c r="T119" s="58">
        <f t="shared" si="18"/>
        <v>0.6820278445</v>
      </c>
      <c r="U119" s="55">
        <f>IFERROR(__xludf.DUMMYFUNCTION("IMPORTRANGE(""https://docs.google.com/spreadsheets/d/1e8jkTtwi2aXiYRx1t-DdbLhvJgj08Uq9ZOXPl2yK5AY/edit#gid=867855662"",""2025-26!L4"")"),935970.0)</f>
        <v>935970</v>
      </c>
      <c r="V119" s="79">
        <f>IFERROR(__xludf.DUMMYFUNCTION("IMPORTRANGE(""https://docs.google.com/spreadsheets/d/1e8jkTtwi2aXiYRx1t-DdbLhvJgj08Uq9ZOXPl2yK5AY/edit#gid=867855662"",""2025-26!L3"")"),10.0)</f>
        <v>10</v>
      </c>
      <c r="W119" s="55">
        <f>IFERROR(__xludf.DUMMYFUNCTION("IMPORTRANGE(""https://docs.google.com/spreadsheets/d/1e8jkTtwi2aXiYRx1t-DdbLhvJgj08Uq9ZOXPl2yK5AY/edit#gid=867855662"",""2025-26!M4"")"),1372334.0)</f>
        <v>1372334</v>
      </c>
      <c r="X119" s="79">
        <f>IFERROR(__xludf.DUMMYFUNCTION("IMPORTRANGE(""https://docs.google.com/spreadsheets/d/1e8jkTtwi2aXiYRx1t-DdbLhvJgj08Uq9ZOXPl2yK5AY/edit#gid=867855662"",""2025-26!M3"")"),34.0)</f>
        <v>34</v>
      </c>
      <c r="Y119" s="55">
        <f>IFERROR(__xludf.DUMMYFUNCTION("importrange(""https://docs.google.com/spreadsheets/d/1e8jkTtwi2aXiYRx1t-DdbLhvJgj08Uq9ZOXPl2yK5AY/edit#gid=867855662"",""2025-26!n4"")"),1031440.7999999999)</f>
        <v>1031440.8</v>
      </c>
      <c r="Z119" s="55">
        <f>IFERROR(__xludf.DUMMYFUNCTION("importrange(""https://docs.google.com/spreadsheets/d/1e8jkTtwi2aXiYRx1t-DdbLhvJgj08Uq9ZOXPl2yK5AY/edit#gid=867855662"",""2025-26!n3"")"),11.0)</f>
        <v>11</v>
      </c>
      <c r="AA119" s="58">
        <f t="shared" si="19"/>
        <v>0.7515939997</v>
      </c>
      <c r="AB119" s="55">
        <f>IFERROR(__xludf.DUMMYFUNCTION("importrange(""https://docs.google.com/spreadsheets/d/1e8jkTtwi2aXiYRx1t-DdbLhvJgj08Uq9ZOXPl2yK5AY/edit#gid=867855662"",""2025-26!o4"")"),1031438.0)</f>
        <v>1031438</v>
      </c>
      <c r="AC119" s="55">
        <f>IFERROR(__xludf.DUMMYFUNCTION("importrange(""https://docs.google.com/spreadsheets/d/1e8jkTtwi2aXiYRx1t-DdbLhvJgj08Uq9ZOXPl2yK5AY/edit#gid=867855662"",""2025-26!o3"")"),11.0)</f>
        <v>11</v>
      </c>
      <c r="AD119" s="55">
        <f>IFERROR(__xludf.DUMMYFUNCTION("importrange(""https://docs.google.com/spreadsheets/d/1e8jkTtwi2aXiYRx1t-DdbLhvJgj08Uq9ZOXPl2yK5AY/edit#gid=867855662"",""2025-26!p4"")"),1372334.0)</f>
        <v>1372334</v>
      </c>
      <c r="AE119" s="55">
        <f>IFERROR(__xludf.DUMMYFUNCTION("importrange(""https://docs.google.com/spreadsheets/d/1e8jkTtwi2aXiYRx1t-DdbLhvJgj08Uq9ZOXPl2yK5AY/edit#gid=867855662"",""2025-26!p3"")"),34.0)</f>
        <v>34</v>
      </c>
      <c r="AF119" s="55">
        <f>IFERROR(__xludf.DUMMYFUNCTION("importrange(""https://docs.google.com/spreadsheets/d/1e8jkTtwi2aXiYRx1t-DdbLhvJgj08Uq9ZOXPl2yK5AY/edit#gid=867855662"",""2025-26!q4"")"),1451459.0)</f>
        <v>1451459</v>
      </c>
      <c r="AG119" s="55">
        <f>IFERROR(__xludf.DUMMYFUNCTION("importrange(""https://docs.google.com/spreadsheets/d/1e8jkTtwi2aXiYRx1t-DdbLhvJgj08Uq9ZOXPl2yK5AY/edit#gid=867855662"",""2025-26!q3"")"),10.0)</f>
        <v>10</v>
      </c>
      <c r="AH119" s="58">
        <f t="shared" si="20"/>
        <v>1.056621056</v>
      </c>
      <c r="AI119" s="55">
        <f>IFERROR(__xludf.DUMMYFUNCTION("importrange(""https://docs.google.com/spreadsheets/d/1e8jkTtwi2aXiYRx1t-DdbLhvJgj08Uq9ZOXPl2yK5AY/edit#gid=867855662"",""2025-26!r4"")"),1450037.0)</f>
        <v>1450037</v>
      </c>
      <c r="AJ119" s="55">
        <f>IFERROR(__xludf.DUMMYFUNCTION("importrange(""https://docs.google.com/spreadsheets/d/1e8jkTtwi2aXiYRx1t-DdbLhvJgj08Uq9ZOXPl2yK5AY/edit#gid=867855662"",""2025-26!r3"")"),10.0)</f>
        <v>10</v>
      </c>
      <c r="AK119" s="55">
        <f>IFERROR(__xludf.DUMMYFUNCTION("importrange(""https://docs.google.com/spreadsheets/d/1e8jkTtwi2aXiYRx1t-DdbLhvJgj08Uq9ZOXPl2yK5AY/edit#gid=867855662"",""2025-26!s4"")"),1372334.0)</f>
        <v>1372334</v>
      </c>
      <c r="AL119" s="55">
        <f>IFERROR(__xludf.DUMMYFUNCTION("importrange(""https://docs.google.com/spreadsheets/d/1e8jkTtwi2aXiYRx1t-DdbLhvJgj08Uq9ZOXPl2yK5AY/edit#gid=867855662"",""2025-26!s3"")"),34.0)</f>
        <v>34</v>
      </c>
      <c r="AM119" s="57">
        <f>IFERROR(__xludf.DUMMYFUNCTION("importrange(""https://docs.google.com/spreadsheets/d/1e8jkTtwi2aXiYRx1t-DdbLhvJgj08Uq9ZOXPl2yK5AY/edit#gid=867855662"",""2025-26!t4"")"),1421428.32)</f>
        <v>1421428.32</v>
      </c>
      <c r="AN119" s="55">
        <f>IFERROR(__xludf.DUMMYFUNCTION("importrange(""https://docs.google.com/spreadsheets/d/1e8jkTtwi2aXiYRx1t-DdbLhvJgj08Uq9ZOXPl2yK5AY/edit#gid=867855662"",""2025-26!t3"")"),16.0)</f>
        <v>16</v>
      </c>
      <c r="AO119" s="58">
        <f t="shared" si="21"/>
        <v>1.033169039</v>
      </c>
      <c r="AP119" s="55">
        <f>IFERROR(__xludf.DUMMYFUNCTION("importrange(""https://docs.google.com/spreadsheets/d/1e8jkTtwi2aXiYRx1t-DdbLhvJgj08Uq9ZOXPl2yK5AY/edit#gid=867855662"",""2025-26!u4"")"),1417853.0)</f>
        <v>1417853</v>
      </c>
      <c r="AQ119" s="55">
        <f>IFERROR(__xludf.DUMMYFUNCTION("importrange(""https://docs.google.com/spreadsheets/d/1e8jkTtwi2aXiYRx1t-DdbLhvJgj08Uq9ZOXPl2yK5AY/edit#gid=867855662"",""2025-26!u3"")"),16.0)</f>
        <v>16</v>
      </c>
      <c r="AR119" s="55">
        <f>IFERROR(__xludf.DUMMYFUNCTION("importrange(""https://docs.google.com/spreadsheets/d/1e8jkTtwi2aXiYRx1t-DdbLhvJgj08Uq9ZOXPl2yK5AY/edit#gid=867855662"",""2025-26!v4"")"),1372334.0)</f>
        <v>1372334</v>
      </c>
      <c r="AS119" s="55">
        <f>IFERROR(__xludf.DUMMYFUNCTION("importrange(""https://docs.google.com/spreadsheets/d/1e8jkTtwi2aXiYRx1t-DdbLhvJgj08Uq9ZOXPl2yK5AY/edit#gid=867855662"",""2025-26!v3"")"),34.0)</f>
        <v>34</v>
      </c>
      <c r="AT119" s="57">
        <f>IFERROR(__xludf.DUMMYFUNCTION("importrange(""https://docs.google.com/spreadsheets/d/1e8jkTtwi2aXiYRx1t-DdbLhvJgj08Uq9ZOXPl2yK5AY/edit#gid=867855662"",""2025-26!w4"")"),1531570.8699999999)</f>
        <v>1531570.87</v>
      </c>
      <c r="AU119" s="55">
        <f>IFERROR(__xludf.DUMMYFUNCTION("importrange(""https://docs.google.com/spreadsheets/d/1e8jkTtwi2aXiYRx1t-DdbLhvJgj08Uq9ZOXPl2yK5AY/edit#gid=867855662"",""2025-26!w3"")"),17.0)</f>
        <v>17</v>
      </c>
      <c r="AV119" s="58">
        <f t="shared" si="22"/>
        <v>1.116029334</v>
      </c>
      <c r="AW119" s="55">
        <f>IFERROR(__xludf.DUMMYFUNCTION("importrange(""https://docs.google.com/spreadsheets/d/1e8jkTtwi2aXiYRx1t-DdbLhvJgj08Uq9ZOXPl2yK5AY/edit#gid=867855662"",""2025-26!x4"")"),1531565.0)</f>
        <v>1531565</v>
      </c>
      <c r="AX119" s="55">
        <f>IFERROR(__xludf.DUMMYFUNCTION("importrange(""https://docs.google.com/spreadsheets/d/1e8jkTtwi2aXiYRx1t-DdbLhvJgj08Uq9ZOXPl2yK5AY/edit#gid=867855662"",""2025-26!x3"")"),17.0)</f>
        <v>17</v>
      </c>
      <c r="AY119" s="55">
        <f>IFERROR(__xludf.DUMMYFUNCTION("importrange(""https://docs.google.com/spreadsheets/d/1e8jkTtwi2aXiYRx1t-DdbLhvJgj08Uq9ZOXPl2yK5AY/edit#gid=867855662"",""2025-26!y4"")"),1372334.0)</f>
        <v>1372334</v>
      </c>
      <c r="AZ119" s="55">
        <f>IFERROR(__xludf.DUMMYFUNCTION("importrange(""https://docs.google.com/spreadsheets/d/1e8jkTtwi2aXiYRx1t-DdbLhvJgj08Uq9ZOXPl2yK5AY/edit#gid=867855662"",""2025-26!y3"")"),34.0)</f>
        <v>34</v>
      </c>
      <c r="BA119" s="57">
        <f>IFERROR(__xludf.DUMMYFUNCTION("importrange(""https://docs.google.com/spreadsheets/d/1e8jkTtwi2aXiYRx1t-DdbLhvJgj08Uq9ZOXPl2yK5AY/edit#gid=867855662"",""2025-26!z4"")"),1715149.75)</f>
        <v>1715149.75</v>
      </c>
      <c r="BB119" s="55">
        <f>IFERROR(__xludf.DUMMYFUNCTION("importrange(""https://docs.google.com/spreadsheets/d/1e8jkTtwi2aXiYRx1t-DdbLhvJgj08Uq9ZOXPl2yK5AY/edit#gid=867855662"",""2025-26!z3"")"),16.0)</f>
        <v>16</v>
      </c>
      <c r="BC119" s="59">
        <f t="shared" si="23"/>
        <v>1.249793418</v>
      </c>
      <c r="BD119" s="55">
        <f>IFERROR(__xludf.DUMMYFUNCTION("importrange(""https://docs.google.com/spreadsheets/d/1e8jkTtwi2aXiYRx1t-DdbLhvJgj08Uq9ZOXPl2yK5AY/edit#gid=867855662"",""2025-26!aa4"")"),1715134.0)</f>
        <v>1715134</v>
      </c>
      <c r="BE119" s="55">
        <f>IFERROR(__xludf.DUMMYFUNCTION("importrange(""https://docs.google.com/spreadsheets/d/1e8jkTtwi2aXiYRx1t-DdbLhvJgj08Uq9ZOXPl2yK5AY/edit#gid=867855662"",""2025-26!aa3"")"),16.0)</f>
        <v>16</v>
      </c>
      <c r="BF119" s="55">
        <f>IFERROR(__xludf.DUMMYFUNCTION("importrange(""https://docs.google.com/spreadsheets/d/1e8jkTtwi2aXiYRx1t-DdbLhvJgj08Uq9ZOXPl2yK5AY/edit#gid=867855662"",""2025-26!ab4"")"),1372334.0)</f>
        <v>1372334</v>
      </c>
      <c r="BG119" s="55">
        <f>IFERROR(__xludf.DUMMYFUNCTION("importrange(""https://docs.google.com/spreadsheets/d/1e8jkTtwi2aXiYRx1t-DdbLhvJgj08Uq9ZOXPl2yK5AY/edit#gid=867855662"",""2025-26!ab3"")"),34.0)</f>
        <v>34</v>
      </c>
      <c r="BH119" s="55">
        <f>IFERROR(__xludf.DUMMYFUNCTION("importrange(""https://docs.google.com/spreadsheets/d/1e8jkTtwi2aXiYRx1t-DdbLhvJgj08Uq9ZOXPl2yK5AY/edit#gid=867855662"",""2025-26!ac4"")"),1130965.1)</f>
        <v>1130965.1</v>
      </c>
      <c r="BI119" s="55">
        <f>IFERROR(__xludf.DUMMYFUNCTION("importrange(""https://docs.google.com/spreadsheets/d/1e8jkTtwi2aXiYRx1t-DdbLhvJgj08Uq9ZOXPl2yK5AY/edit#gid=867855662"",""2025-26!ac3"")"),12.0)</f>
        <v>12</v>
      </c>
      <c r="BJ119" s="59">
        <f t="shared" si="24"/>
        <v>0.8221161904</v>
      </c>
      <c r="BK119" s="55">
        <f>IFERROR(__xludf.DUMMYFUNCTION("importrange(""https://docs.google.com/spreadsheets/d/1e8jkTtwi2aXiYRx1t-DdbLhvJgj08Uq9ZOXPl2yK5AY/edit#gid=867855662"",""2025-26!ad4"")"),1128218.0)</f>
        <v>1128218</v>
      </c>
      <c r="BL119" s="55">
        <f>IFERROR(__xludf.DUMMYFUNCTION("importrange(""https://docs.google.com/spreadsheets/d/1e8jkTtwi2aXiYRx1t-DdbLhvJgj08Uq9ZOXPl2yK5AY/edit#gid=867855662"",""2025-26!ad3"")"),12.0)</f>
        <v>12</v>
      </c>
      <c r="BM119" s="55">
        <f>IFERROR(__xludf.DUMMYFUNCTION("importrange(""https://docs.google.com/spreadsheets/d/1e8jkTtwi2aXiYRx1t-DdbLhvJgj08Uq9ZOXPl2yK5AY/edit#gid=867855662"",""2025-26!ae4"")"),1372334.0)</f>
        <v>1372334</v>
      </c>
      <c r="BN119" s="55">
        <f>IFERROR(__xludf.DUMMYFUNCTION("importrange(""https://docs.google.com/spreadsheets/d/1e8jkTtwi2aXiYRx1t-DdbLhvJgj08Uq9ZOXPl2yK5AY/edit#gid=867855662"",""2025-26!ae3"")"),34.0)</f>
        <v>34</v>
      </c>
      <c r="BO119" s="55">
        <f>IFERROR(__xludf.DUMMYFUNCTION("importrange(""https://docs.google.com/spreadsheets/d/1e8jkTtwi2aXiYRx1t-DdbLhvJgj08Uq9ZOXPl2yK5AY/edit#gid=867855662"",""2025-26!af4"")"),829137.5800000001)</f>
        <v>829137.58</v>
      </c>
      <c r="BP119" s="55">
        <f>IFERROR(__xludf.DUMMYFUNCTION("importrange(""https://docs.google.com/spreadsheets/d/1e8jkTtwi2aXiYRx1t-DdbLhvJgj08Uq9ZOXPl2yK5AY/edit#gid=867855662"",""2025-26!af3"")"),10.0)</f>
        <v>10</v>
      </c>
      <c r="BQ119" s="59">
        <f t="shared" si="25"/>
        <v>0.6041750769</v>
      </c>
      <c r="BR119" s="55">
        <f>IFERROR(__xludf.DUMMYFUNCTION("importrange(""https://docs.google.com/spreadsheets/d/1e8jkTtwi2aXiYRx1t-DdbLhvJgj08Uq9ZOXPl2yK5AY/edit#gid=867855662"",""2025-26!ag4"")"),829130.0)</f>
        <v>829130</v>
      </c>
      <c r="BS119" s="55">
        <f>IFERROR(__xludf.DUMMYFUNCTION("importrange(""https://docs.google.com/spreadsheets/d/1e8jkTtwi2aXiYRx1t-DdbLhvJgj08Uq9ZOXPl2yK5AY/edit#gid=867855662"",""2025-26!ag3"")"),10.0)</f>
        <v>10</v>
      </c>
      <c r="BT119" s="55">
        <f>IFERROR(__xludf.DUMMYFUNCTION("importrange(""https://docs.google.com/spreadsheets/d/1e8jkTtwi2aXiYRx1t-DdbLhvJgj08Uq9ZOXPl2yK5AY/edit#gid=867855662"",""2025-26!ah4"")"),1372334.0)</f>
        <v>1372334</v>
      </c>
      <c r="BU119" s="55">
        <f>IFERROR(__xludf.DUMMYFUNCTION("importrange(""https://docs.google.com/spreadsheets/d/1e8jkTtwi2aXiYRx1t-DdbLhvJgj08Uq9ZOXPl2yK5AY/edit#gid=867855662"",""2025-26!ah3"")"),34.0)</f>
        <v>34</v>
      </c>
      <c r="BV119" s="55">
        <f>IFERROR(__xludf.DUMMYFUNCTION("importrange(""https://docs.google.com/spreadsheets/d/1e8jkTtwi2aXiYRx1t-DdbLhvJgj08Uq9ZOXPl2yK5AY/edit#gid=867855662"",""2025-26!ai4"")"),146396.86000000002)</f>
        <v>146396.86</v>
      </c>
      <c r="BW119" s="55">
        <f>IFERROR(__xludf.DUMMYFUNCTION("importrange(""https://docs.google.com/spreadsheets/d/1e8jkTtwi2aXiYRx1t-DdbLhvJgj08Uq9ZOXPl2yK5AY/edit#gid=867855662"",""2025-26!ai3"")"),4.0)</f>
        <v>4</v>
      </c>
      <c r="BX119" s="59">
        <f t="shared" si="26"/>
        <v>0.1066751971</v>
      </c>
      <c r="BY119" s="55">
        <f>IFERROR(__xludf.DUMMYFUNCTION("importrange(""https://docs.google.com/spreadsheets/d/1e8jkTtwi2aXiYRx1t-DdbLhvJgj08Uq9ZOXPl2yK5AY/edit#gid=867855662"",""2025-26!aj4"")"),146394.0)</f>
        <v>146394</v>
      </c>
      <c r="BZ119" s="55">
        <f>IFERROR(__xludf.DUMMYFUNCTION("importrange(""https://docs.google.com/spreadsheets/d/1e8jkTtwi2aXiYRx1t-DdbLhvJgj08Uq9ZOXPl2yK5AY/edit#gid=867855662"",""2025-26!aj3"")"),4.0)</f>
        <v>4</v>
      </c>
      <c r="CA119" s="55">
        <f>IFERROR(__xludf.DUMMYFUNCTION("importrange(""https://docs.google.com/spreadsheets/d/1e8jkTtwi2aXiYRx1t-DdbLhvJgj08Uq9ZOXPl2yK5AY/edit#gid=867855662"",""2025-26!ak4"")"),1372334.0)</f>
        <v>1372334</v>
      </c>
      <c r="CB119" s="55">
        <f>IFERROR(__xludf.DUMMYFUNCTION("importrange(""https://docs.google.com/spreadsheets/d/1e8jkTtwi2aXiYRx1t-DdbLhvJgj08Uq9ZOXPl2yK5AY/edit#gid=867855662"",""2025-26!ak3"")"),34.0)</f>
        <v>34</v>
      </c>
      <c r="CC119" s="55">
        <f>IFERROR(__xludf.DUMMYFUNCTION("importrange(""https://docs.google.com/spreadsheets/d/1e8jkTtwi2aXiYRx1t-DdbLhvJgj08Uq9ZOXPl2yK5AY/edit#gid=867855662"",""2025-26!al4"")"),244630.39999999997)</f>
        <v>244630.4</v>
      </c>
      <c r="CD119" s="55">
        <f>IFERROR(__xludf.DUMMYFUNCTION("importrange(""https://docs.google.com/spreadsheets/d/1e8jkTtwi2aXiYRx1t-DdbLhvJgj08Uq9ZOXPl2yK5AY/edit#gid=867855662"",""2025-26!ai3"")"),4.0)</f>
        <v>4</v>
      </c>
      <c r="CE119" s="59">
        <f t="shared" si="27"/>
        <v>0.1782576253</v>
      </c>
      <c r="CF119" s="55">
        <f>IFERROR(__xludf.DUMMYFUNCTION("importrange(""https://docs.google.com/spreadsheets/d/1e8jkTtwi2aXiYRx1t-DdbLhvJgj08Uq9ZOXPl2yK5AY/edit#gid=867855662"",""2025-26!am4"")"),244629.0)</f>
        <v>244629</v>
      </c>
      <c r="CG119" s="55">
        <f>IFERROR(__xludf.DUMMYFUNCTION("importrange(""https://docs.google.com/spreadsheets/d/1e8jkTtwi2aXiYRx1t-DdbLhvJgj08Uq9ZOXPl2yK5AY/edit#gid=867855662"",""2025-26!am3"")"),4.0)</f>
        <v>4</v>
      </c>
      <c r="CH119" s="55">
        <f>IFERROR(__xludf.DUMMYFUNCTION("importrange(""https://docs.google.com/spreadsheets/d/1e8jkTtwi2aXiYRx1t-DdbLhvJgj08Uq9ZOXPl2yK5AY/edit#gid=867855662"",""2025-26!an4"")"),1372334.0)</f>
        <v>1372334</v>
      </c>
      <c r="CI119" s="55">
        <f>IFERROR(__xludf.DUMMYFUNCTION("importrange(""https://docs.google.com/spreadsheets/d/1e8jkTtwi2aXiYRx1t-DdbLhvJgj08Uq9ZOXPl2yK5AY/edit#gid=867855662"",""2025-26!an3"")"),34.0)</f>
        <v>34</v>
      </c>
      <c r="CJ119" s="55">
        <f>IFERROR(__xludf.DUMMYFUNCTION("importrange(""https://docs.google.com/spreadsheets/d/1e8jkTtwi2aXiYRx1t-DdbLhvJgj08Uq9ZOXPl2yK5AY/edit#gid=867855662"",""2025-26!ao4"")"),0.0)</f>
        <v>0</v>
      </c>
      <c r="CK119" s="55">
        <f>IFERROR(__xludf.DUMMYFUNCTION("importrange(""https://docs.google.com/spreadsheets/d/1e8jkTtwi2aXiYRx1t-DdbLhvJgj08Uq9ZOXPl2yK5AY/edit#gid=867855662"",""2025-26!ao3"")"),0.0)</f>
        <v>0</v>
      </c>
      <c r="CL119" s="59">
        <f t="shared" si="28"/>
        <v>0.1518537033</v>
      </c>
      <c r="CM119" s="55">
        <f>IFERROR(__xludf.DUMMYFUNCTION("importrange(""https://docs.google.com/spreadsheets/d/1e8jkTtwi2aXiYRx1t-DdbLhvJgj08Uq9ZOXPl2yK5AY/edit#gid=867855662"",""2025-26!ap4"")"),208394.0)</f>
        <v>208394</v>
      </c>
      <c r="CN119" s="55">
        <f>IFERROR(__xludf.DUMMYFUNCTION("importrange(""https://docs.google.com/spreadsheets/d/1e8jkTtwi2aXiYRx1t-DdbLhvJgj08Uq9ZOXPl2yK5AY/edit#gid=867855662"",""2025-26!ap3"")"),6.0)</f>
        <v>6</v>
      </c>
      <c r="CO119" s="55">
        <f>IFERROR(__xludf.DUMMYFUNCTION("importrange(""https://docs.google.com/spreadsheets/d/1e8jkTtwi2aXiYRx1t-DdbLhvJgj08Uq9ZOXPl2yK5AY/edit#gid=867855662"",""2025-26!aq4"")"),1372334.0)</f>
        <v>1372334</v>
      </c>
      <c r="CP119" s="55">
        <f>IFERROR(__xludf.DUMMYFUNCTION("importrange(""https://docs.google.com/spreadsheets/d/1e8jkTtwi2aXiYRx1t-DdbLhvJgj08Uq9ZOXPl2yK5AY/edit#gid=867855662"",""2025-26!aq3"")"),34.0)</f>
        <v>34</v>
      </c>
      <c r="CQ119" s="55">
        <f>IFERROR(__xludf.DUMMYFUNCTION("importrange(""https://docs.google.com/spreadsheets/d/1e8jkTtwi2aXiYRx1t-DdbLhvJgj08Uq9ZOXPl2yK5AY/edit#gid=867855662"",""2025-26!ar4"")"),335902.0)</f>
        <v>335902</v>
      </c>
      <c r="CR119" s="55">
        <f>IFERROR(__xludf.DUMMYFUNCTION("importrange(""https://docs.google.com/spreadsheets/d/1e8jkTtwi2aXiYRx1t-DdbLhvJgj08Uq9ZOXPl2yK5AY/edit#gid=867855662"",""2025-26!ar3"")"),4.0)</f>
        <v>4</v>
      </c>
      <c r="CS119" s="59">
        <f t="shared" si="29"/>
        <v>0.2447640297</v>
      </c>
      <c r="CT119" s="55">
        <f>IFERROR(__xludf.DUMMYFUNCTION("importrange(""https://docs.google.com/spreadsheets/d/1e8jkTtwi2aXiYRx1t-DdbLhvJgj08Uq9ZOXPl2yK5AY/edit#gid=867855662"",""2025-26!as4"")"),335898.0)</f>
        <v>335898</v>
      </c>
      <c r="CU119" s="55">
        <f>IFERROR(__xludf.DUMMYFUNCTION("importrange(""https://docs.google.com/spreadsheets/d/1e8jkTtwi2aXiYRx1t-DdbLhvJgj08Uq9ZOXPl2yK5AY/edit#gid=867855662"",""2025-26!as3"")"),4.0)</f>
        <v>4</v>
      </c>
      <c r="CV119" s="60" t="s">
        <v>222</v>
      </c>
    </row>
    <row r="120">
      <c r="A120" s="1" t="s">
        <v>185</v>
      </c>
      <c r="B120" s="37"/>
      <c r="C120" s="64" t="s">
        <v>263</v>
      </c>
      <c r="D120" s="50" t="s">
        <v>264</v>
      </c>
      <c r="E120" s="50">
        <v>8.761014898E9</v>
      </c>
      <c r="F120" s="74">
        <v>45309.0</v>
      </c>
      <c r="G120" s="62"/>
      <c r="H120" s="62"/>
      <c r="I120" s="53">
        <v>37235.0</v>
      </c>
      <c r="J120" s="54">
        <v>1500000.0</v>
      </c>
      <c r="K120" s="57">
        <f>IFERROR(__xludf.DUMMYFUNCTION("IMPORTRANGE(""https://docs.google.com/spreadsheets/d/1Kbg-PEBsKwSxEO5N_-jXktJpPSl1uQP-6wpQXKr9BiM/edit#gid=187761907"",""2025-26!A3"")"),114.0)</f>
        <v>114</v>
      </c>
      <c r="L120" s="57">
        <f>IFERROR(__xludf.DUMMYFUNCTION("IMPORTRANGE(""https://docs.google.com/spreadsheets/d/1Kbg-PEBsKwSxEO5N_-jXktJpPSl1uQP-6wpQXKr9BiM/edit#gid=187761907"",""2025-26!G4"")"),2.04E7)</f>
        <v>20400000</v>
      </c>
      <c r="M120" s="57">
        <f t="shared" si="50"/>
        <v>17071034.15</v>
      </c>
      <c r="N120" s="56">
        <f t="shared" si="51"/>
        <v>0.8435731863</v>
      </c>
      <c r="O120" s="57">
        <f t="shared" si="52"/>
        <v>17208893</v>
      </c>
      <c r="P120" s="55">
        <f>IFERROR(__xludf.DUMMYFUNCTION("IMPORTRANGE(""https://docs.google.com/spreadsheets/d/1Kbg-PEBsKwSxEO5N_-jXktJpPSl1uQP-6wpQXKr9BiM/edit#gid=187761907"",""2025-26!J4"")"),1590000.0)</f>
        <v>1590000</v>
      </c>
      <c r="Q120" s="55">
        <f>IFERROR(__xludf.DUMMYFUNCTION("IMPORTRANGE(""https://docs.google.com/spreadsheets/d/1Kbg-PEBsKwSxEO5N_-jXktJpPSl1uQP-6wpQXKr9BiM/edit#gid=187761907"",""2025-26!J3"")"),23.0)</f>
        <v>23</v>
      </c>
      <c r="R120" s="55">
        <f>IFERROR(__xludf.DUMMYFUNCTION("IMPORTRANGE(""https://docs.google.com/spreadsheets/d/1Kbg-PEBsKwSxEO5N_-jXktJpPSl1uQP-6wpQXKr9BiM/edit#gid=187761907"",""2025-26!K4"")"),1562374.4)</f>
        <v>1562374.4</v>
      </c>
      <c r="S120" s="55">
        <f>IFERROR(__xludf.DUMMYFUNCTION("IMPORTRANGE(""https://docs.google.com/spreadsheets/d/1Kbg-PEBsKwSxEO5N_-jXktJpPSl1uQP-6wpQXKr9BiM/edit#gid=187761907"",""2025-26!K3"")"),17.0)</f>
        <v>17</v>
      </c>
      <c r="T120" s="58">
        <f t="shared" si="18"/>
        <v>0.9984974843</v>
      </c>
      <c r="U120" s="55">
        <f>IFERROR(__xludf.DUMMYFUNCTION("IMPORTRANGE(""https://docs.google.com/spreadsheets/d/1Kbg-PEBsKwSxEO5N_-jXktJpPSl1uQP-6wpQXKr9BiM/edit#gid=187761907"",""2025-26!L4"")"),1587611.0)</f>
        <v>1587611</v>
      </c>
      <c r="V120" s="79">
        <f>IFERROR(__xludf.DUMMYFUNCTION("IMPORTRANGE(""https://docs.google.com/spreadsheets/d/1Kbg-PEBsKwSxEO5N_-jXktJpPSl1uQP-6wpQXKr9BiM/edit#gid=187761907"",""2025-26!L3"")"),18.0)</f>
        <v>18</v>
      </c>
      <c r="W120" s="55">
        <f>IFERROR(__xludf.DUMMYFUNCTION("IMPORTRANGE(""https://docs.google.com/spreadsheets/d/1Kbg-PEBsKwSxEO5N_-jXktJpPSl1uQP-6wpQXKr9BiM/edit#gid=187761907"",""2025-26!M4"")"),205000.0)</f>
        <v>205000</v>
      </c>
      <c r="X120" s="79">
        <f>IFERROR(__xludf.DUMMYFUNCTION("IMPORTRANGE(""https://docs.google.com/spreadsheets/d/1Kbg-PEBsKwSxEO5N_-jXktJpPSl1uQP-6wpQXKr9BiM/edit#gid=187761907"",""2025-26!M3"")"),6.0)</f>
        <v>6</v>
      </c>
      <c r="Y120" s="55">
        <f>IFERROR(__xludf.DUMMYFUNCTION("importrange(""https://docs.google.com/spreadsheets/d/1Kbg-PEBsKwSxEO5N_-jXktJpPSl1uQP-6wpQXKr9BiM/edit#gid=187761907"",""2025-26!n4"")"),1700930.8)</f>
        <v>1700930.8</v>
      </c>
      <c r="Z120" s="55">
        <f>IFERROR(__xludf.DUMMYFUNCTION("importrange(""https://docs.google.com/spreadsheets/d/1Kbg-PEBsKwSxEO5N_-jXktJpPSl1uQP-6wpQXKr9BiM/edit#gid=187761907"",""2025-26!n3"")"),25.0)</f>
        <v>25</v>
      </c>
      <c r="AA120" s="58">
        <f t="shared" si="19"/>
        <v>8.174019512</v>
      </c>
      <c r="AB120" s="55">
        <f>IFERROR(__xludf.DUMMYFUNCTION("importrange(""https://docs.google.com/spreadsheets/d/1Kbg-PEBsKwSxEO5N_-jXktJpPSl1uQP-6wpQXKr9BiM/edit#gid=187761907"",""2025-26!o4"")"),1675674.0)</f>
        <v>1675674</v>
      </c>
      <c r="AC120" s="55">
        <f>IFERROR(__xludf.DUMMYFUNCTION("importrange(""https://docs.google.com/spreadsheets/d/1Kbg-PEBsKwSxEO5N_-jXktJpPSl1uQP-6wpQXKr9BiM/edit#gid=187761907"",""2025-26!o3"")"),24.0)</f>
        <v>24</v>
      </c>
      <c r="AD120" s="55">
        <f>IFERROR(__xludf.DUMMYFUNCTION("importrange(""https://docs.google.com/spreadsheets/d/1Kbg-PEBsKwSxEO5N_-jXktJpPSl1uQP-6wpQXKr9BiM/edit#gid=187761907"",""2025-26!p4"")"),20000.0)</f>
        <v>20000</v>
      </c>
      <c r="AE120" s="55">
        <f>IFERROR(__xludf.DUMMYFUNCTION("importrange(""https://docs.google.com/spreadsheets/d/1Kbg-PEBsKwSxEO5N_-jXktJpPSl1uQP-6wpQXKr9BiM/edit#gid=187761907"",""2025-26!p3"")"),1.0)</f>
        <v>1</v>
      </c>
      <c r="AF120" s="55">
        <f>IFERROR(__xludf.DUMMYFUNCTION("importrange(""https://docs.google.com/spreadsheets/d/1Kbg-PEBsKwSxEO5N_-jXktJpPSl1uQP-6wpQXKr9BiM/edit#gid=187761907"",""2025-26!q4"")"),1500011.3500000003)</f>
        <v>1500011.35</v>
      </c>
      <c r="AG120" s="55">
        <f>IFERROR(__xludf.DUMMYFUNCTION("importrange(""https://docs.google.com/spreadsheets/d/1Kbg-PEBsKwSxEO5N_-jXktJpPSl1uQP-6wpQXKr9BiM/edit#gid=187761907"",""2025-26!q3"")"),22.0)</f>
        <v>22</v>
      </c>
      <c r="AH120" s="58">
        <f t="shared" si="20"/>
        <v>75.00015</v>
      </c>
      <c r="AI120" s="55">
        <f>IFERROR(__xludf.DUMMYFUNCTION("importrange(""https://docs.google.com/spreadsheets/d/1Kbg-PEBsKwSxEO5N_-jXktJpPSl1uQP-6wpQXKr9BiM/edit#gid=187761907"",""2025-26!r4"")"),1500003.0)</f>
        <v>1500003</v>
      </c>
      <c r="AJ120" s="55">
        <f>IFERROR(__xludf.DUMMYFUNCTION("importrange(""https://docs.google.com/spreadsheets/d/1Kbg-PEBsKwSxEO5N_-jXktJpPSl1uQP-6wpQXKr9BiM/edit#gid=187761907"",""2025-26!r3"")"),22.0)</f>
        <v>22</v>
      </c>
      <c r="AK120" s="55">
        <f>IFERROR(__xludf.DUMMYFUNCTION("importrange(""https://docs.google.com/spreadsheets/d/1Kbg-PEBsKwSxEO5N_-jXktJpPSl1uQP-6wpQXKr9BiM/edit#gid=187761907"",""2025-26!s4"")"),70000.0)</f>
        <v>70000</v>
      </c>
      <c r="AL120" s="55">
        <f>IFERROR(__xludf.DUMMYFUNCTION("importrange(""https://docs.google.com/spreadsheets/d/1Kbg-PEBsKwSxEO5N_-jXktJpPSl1uQP-6wpQXKr9BiM/edit#gid=187761907"",""2025-26!s3"")"),1.0)</f>
        <v>1</v>
      </c>
      <c r="AM120" s="57">
        <f>IFERROR(__xludf.DUMMYFUNCTION("importrange(""https://docs.google.com/spreadsheets/d/1Kbg-PEBsKwSxEO5N_-jXktJpPSl1uQP-6wpQXKr9BiM/edit#gid=187761907"",""2025-26!t4"")"),1390844.57)</f>
        <v>1390844.57</v>
      </c>
      <c r="AN120" s="55">
        <f>IFERROR(__xludf.DUMMYFUNCTION("importrange(""https://docs.google.com/spreadsheets/d/1Kbg-PEBsKwSxEO5N_-jXktJpPSl1uQP-6wpQXKr9BiM/edit#gid=187761907"",""2025-26!t3"")"),22.0)</f>
        <v>22</v>
      </c>
      <c r="AO120" s="58">
        <f t="shared" si="21"/>
        <v>18.80245714</v>
      </c>
      <c r="AP120" s="55">
        <f>IFERROR(__xludf.DUMMYFUNCTION("importrange(""https://docs.google.com/spreadsheets/d/1Kbg-PEBsKwSxEO5N_-jXktJpPSl1uQP-6wpQXKr9BiM/edit#gid=187761907"",""2025-26!u4"")"),1316172.0)</f>
        <v>1316172</v>
      </c>
      <c r="AQ120" s="55">
        <f>IFERROR(__xludf.DUMMYFUNCTION("importrange(""https://docs.google.com/spreadsheets/d/1Kbg-PEBsKwSxEO5N_-jXktJpPSl1uQP-6wpQXKr9BiM/edit#gid=187761907"",""2025-26!u3"")"),22.0)</f>
        <v>22</v>
      </c>
      <c r="AR120" s="55">
        <f>IFERROR(__xludf.DUMMYFUNCTION("importrange(""https://docs.google.com/spreadsheets/d/1Kbg-PEBsKwSxEO5N_-jXktJpPSl1uQP-6wpQXKr9BiM/edit#gid=187761907"",""2025-26!v4"")"),80000.0)</f>
        <v>80000</v>
      </c>
      <c r="AS120" s="55">
        <f>IFERROR(__xludf.DUMMYFUNCTION("importrange(""https://docs.google.com/spreadsheets/d/1Kbg-PEBsKwSxEO5N_-jXktJpPSl1uQP-6wpQXKr9BiM/edit#gid=187761907"",""2025-26!v3"")"),2.0)</f>
        <v>2</v>
      </c>
      <c r="AT120" s="57">
        <f>IFERROR(__xludf.DUMMYFUNCTION("importrange(""https://docs.google.com/spreadsheets/d/1Kbg-PEBsKwSxEO5N_-jXktJpPSl1uQP-6wpQXKr9BiM/edit#gid=187761907"",""2025-26!w4"")"),1205445.1099999999)</f>
        <v>1205445.11</v>
      </c>
      <c r="AU120" s="55">
        <f>IFERROR(__xludf.DUMMYFUNCTION("importrange(""https://docs.google.com/spreadsheets/d/1Kbg-PEBsKwSxEO5N_-jXktJpPSl1uQP-6wpQXKr9BiM/edit#gid=187761907"",""2025-26!w3"")"),20.0)</f>
        <v>20</v>
      </c>
      <c r="AV120" s="58">
        <f t="shared" si="22"/>
        <v>15.067975</v>
      </c>
      <c r="AW120" s="55">
        <f>IFERROR(__xludf.DUMMYFUNCTION("importrange(""https://docs.google.com/spreadsheets/d/1Kbg-PEBsKwSxEO5N_-jXktJpPSl1uQP-6wpQXKr9BiM/edit#gid=187761907"",""2025-26!x4"")"),1205438.0)</f>
        <v>1205438</v>
      </c>
      <c r="AX120" s="55">
        <f>IFERROR(__xludf.DUMMYFUNCTION("importrange(""https://docs.google.com/spreadsheets/d/1Kbg-PEBsKwSxEO5N_-jXktJpPSl1uQP-6wpQXKr9BiM/edit#gid=187761907"",""2025-26!x3"")"),20.0)</f>
        <v>20</v>
      </c>
      <c r="AY120" s="55">
        <f>IFERROR(__xludf.DUMMYFUNCTION("importrange(""https://docs.google.com/spreadsheets/d/1Kbg-PEBsKwSxEO5N_-jXktJpPSl1uQP-6wpQXKr9BiM/edit#gid=187761907"",""2025-26!y4"")"),40000.0)</f>
        <v>40000</v>
      </c>
      <c r="AZ120" s="55">
        <f>IFERROR(__xludf.DUMMYFUNCTION("importrange(""https://docs.google.com/spreadsheets/d/1Kbg-PEBsKwSxEO5N_-jXktJpPSl1uQP-6wpQXKr9BiM/edit#gid=187761907"",""2025-26!y3"")"),1.0)</f>
        <v>1</v>
      </c>
      <c r="BA120" s="57">
        <f>IFERROR(__xludf.DUMMYFUNCTION("importrange(""https://docs.google.com/spreadsheets/d/1Kbg-PEBsKwSxEO5N_-jXktJpPSl1uQP-6wpQXKr9BiM/edit#gid=187761907"",""2025-26!z4"")"),1441790.5999999999)</f>
        <v>1441790.6</v>
      </c>
      <c r="BB120" s="55">
        <f>IFERROR(__xludf.DUMMYFUNCTION("importrange(""https://docs.google.com/spreadsheets/d/1Kbg-PEBsKwSxEO5N_-jXktJpPSl1uQP-6wpQXKr9BiM/edit#gid=187761907"",""2025-26!z3"")"),17.0)</f>
        <v>17</v>
      </c>
      <c r="BC120" s="59">
        <f t="shared" si="23"/>
        <v>35.588375</v>
      </c>
      <c r="BD120" s="55">
        <f>IFERROR(__xludf.DUMMYFUNCTION("importrange(""https://docs.google.com/spreadsheets/d/1Kbg-PEBsKwSxEO5N_-jXktJpPSl1uQP-6wpQXKr9BiM/edit#gid=187761907"",""2025-26!aa4"")"),1423535.0)</f>
        <v>1423535</v>
      </c>
      <c r="BE120" s="55">
        <f>IFERROR(__xludf.DUMMYFUNCTION("importrange(""https://docs.google.com/spreadsheets/d/1Kbg-PEBsKwSxEO5N_-jXktJpPSl1uQP-6wpQXKr9BiM/edit#gid=187761907"",""2025-26!aa3"")"),17.0)</f>
        <v>17</v>
      </c>
      <c r="BF120" s="55">
        <f>IFERROR(__xludf.DUMMYFUNCTION("importrange(""https://docs.google.com/spreadsheets/d/1Kbg-PEBsKwSxEO5N_-jXktJpPSl1uQP-6wpQXKr9BiM/edit#gid=187761907"",""2025-26!ab4"")"),20000.0)</f>
        <v>20000</v>
      </c>
      <c r="BG120" s="55">
        <f>IFERROR(__xludf.DUMMYFUNCTION("importrange(""https://docs.google.com/spreadsheets/d/1Kbg-PEBsKwSxEO5N_-jXktJpPSl1uQP-6wpQXKr9BiM/edit#gid=187761907"",""2025-26!ab3"")"),1.0)</f>
        <v>1</v>
      </c>
      <c r="BH120" s="55">
        <f>IFERROR(__xludf.DUMMYFUNCTION("importrange(""https://docs.google.com/spreadsheets/d/1Kbg-PEBsKwSxEO5N_-jXktJpPSl1uQP-6wpQXKr9BiM/edit#gid=187761907"",""2025-26!ac4"")"),1572328.3100000003)</f>
        <v>1572328.31</v>
      </c>
      <c r="BI120" s="55">
        <f>IFERROR(__xludf.DUMMYFUNCTION("importrange(""https://docs.google.com/spreadsheets/d/1Kbg-PEBsKwSxEO5N_-jXktJpPSl1uQP-6wpQXKr9BiM/edit#gid=187761907"",""2025-26!ac3"")"),13.0)</f>
        <v>13</v>
      </c>
      <c r="BJ120" s="59">
        <f t="shared" si="24"/>
        <v>78.61635</v>
      </c>
      <c r="BK120" s="55">
        <f>IFERROR(__xludf.DUMMYFUNCTION("importrange(""https://docs.google.com/spreadsheets/d/1Kbg-PEBsKwSxEO5N_-jXktJpPSl1uQP-6wpQXKr9BiM/edit#gid=187761907"",""2025-26!ad4"")"),1572327.0)</f>
        <v>1572327</v>
      </c>
      <c r="BL120" s="55">
        <f>IFERROR(__xludf.DUMMYFUNCTION("importrange(""https://docs.google.com/spreadsheets/d/1Kbg-PEBsKwSxEO5N_-jXktJpPSl1uQP-6wpQXKr9BiM/edit#gid=187761907"",""2025-26!ad3"")"),14.0)</f>
        <v>14</v>
      </c>
      <c r="BM120" s="55">
        <f>IFERROR(__xludf.DUMMYFUNCTION("importrange(""https://docs.google.com/spreadsheets/d/1Kbg-PEBsKwSxEO5N_-jXktJpPSl1uQP-6wpQXKr9BiM/edit#gid=187761907"",""2025-26!ae4"")"),40000.0)</f>
        <v>40000</v>
      </c>
      <c r="BN120" s="55">
        <f>IFERROR(__xludf.DUMMYFUNCTION("importrange(""https://docs.google.com/spreadsheets/d/1Kbg-PEBsKwSxEO5N_-jXktJpPSl1uQP-6wpQXKr9BiM/edit#gid=187761907"",""2025-26!ae3"")"),2.0)</f>
        <v>2</v>
      </c>
      <c r="BO120" s="55">
        <f>IFERROR(__xludf.DUMMYFUNCTION("importrange(""https://docs.google.com/spreadsheets/d/1Kbg-PEBsKwSxEO5N_-jXktJpPSl1uQP-6wpQXKr9BiM/edit#gid=187761907"",""2025-26!af4"")"),1652042.77)</f>
        <v>1652042.77</v>
      </c>
      <c r="BP120" s="55">
        <f>IFERROR(__xludf.DUMMYFUNCTION("importrange(""https://docs.google.com/spreadsheets/d/1Kbg-PEBsKwSxEO5N_-jXktJpPSl1uQP-6wpQXKr9BiM/edit#gid=187761907"",""2025-26!af3"")"),21.0)</f>
        <v>21</v>
      </c>
      <c r="BQ120" s="59">
        <f t="shared" si="25"/>
        <v>42.45275</v>
      </c>
      <c r="BR120" s="55">
        <f>IFERROR(__xludf.DUMMYFUNCTION("importrange(""https://docs.google.com/spreadsheets/d/1Kbg-PEBsKwSxEO5N_-jXktJpPSl1uQP-6wpQXKr9BiM/edit#gid=187761907"",""2025-26!ag4"")"),1698110.0)</f>
        <v>1698110</v>
      </c>
      <c r="BS120" s="55">
        <f>IFERROR(__xludf.DUMMYFUNCTION("importrange(""https://docs.google.com/spreadsheets/d/1Kbg-PEBsKwSxEO5N_-jXktJpPSl1uQP-6wpQXKr9BiM/edit#gid=187761907"",""2025-26!ag3"")"),21.0)</f>
        <v>21</v>
      </c>
      <c r="BT120" s="55">
        <f>IFERROR(__xludf.DUMMYFUNCTION("importrange(""https://docs.google.com/spreadsheets/d/1Kbg-PEBsKwSxEO5N_-jXktJpPSl1uQP-6wpQXKr9BiM/edit#gid=187761907"",""2025-26!ah4"")"),1670000.0)</f>
        <v>1670000</v>
      </c>
      <c r="BU120" s="55">
        <f>IFERROR(__xludf.DUMMYFUNCTION("importrange(""https://docs.google.com/spreadsheets/d/1Kbg-PEBsKwSxEO5N_-jXktJpPSl1uQP-6wpQXKr9BiM/edit#gid=187761907"",""2025-26!ah3"")"),33.0)</f>
        <v>33</v>
      </c>
      <c r="BV120" s="55">
        <f>IFERROR(__xludf.DUMMYFUNCTION("importrange(""https://docs.google.com/spreadsheets/d/1Kbg-PEBsKwSxEO5N_-jXktJpPSl1uQP-6wpQXKr9BiM/edit#gid=187761907"",""2025-26!ai4"")"),1171783.2999999998)</f>
        <v>1171783.3</v>
      </c>
      <c r="BW120" s="55">
        <f>IFERROR(__xludf.DUMMYFUNCTION("importrange(""https://docs.google.com/spreadsheets/d/1Kbg-PEBsKwSxEO5N_-jXktJpPSl1uQP-6wpQXKr9BiM/edit#gid=187761907"",""2025-26!ai3"")"),30.0)</f>
        <v>30</v>
      </c>
      <c r="BX120" s="59">
        <f t="shared" si="26"/>
        <v>0.8199832335</v>
      </c>
      <c r="BY120" s="55">
        <f>IFERROR(__xludf.DUMMYFUNCTION("importrange(""https://docs.google.com/spreadsheets/d/1Kbg-PEBsKwSxEO5N_-jXktJpPSl1uQP-6wpQXKr9BiM/edit#gid=187761907"",""2025-26!aj4"")"),1369372.0)</f>
        <v>1369372</v>
      </c>
      <c r="BZ120" s="55">
        <f>IFERROR(__xludf.DUMMYFUNCTION("importrange(""https://docs.google.com/spreadsheets/d/1Kbg-PEBsKwSxEO5N_-jXktJpPSl1uQP-6wpQXKr9BiM/edit#gid=187761907"",""2025-26!aj3"")"),29.0)</f>
        <v>29</v>
      </c>
      <c r="CA120" s="55">
        <f>IFERROR(__xludf.DUMMYFUNCTION("importrange(""https://docs.google.com/spreadsheets/d/1Kbg-PEBsKwSxEO5N_-jXktJpPSl1uQP-6wpQXKr9BiM/edit#gid=187761907"",""2025-26!ak4"")"),1640000.0)</f>
        <v>1640000</v>
      </c>
      <c r="CB120" s="55">
        <f>IFERROR(__xludf.DUMMYFUNCTION("importrange(""https://docs.google.com/spreadsheets/d/1Kbg-PEBsKwSxEO5N_-jXktJpPSl1uQP-6wpQXKr9BiM/edit#gid=187761907"",""2025-26!ak3"")"),31.0)</f>
        <v>31</v>
      </c>
      <c r="CC120" s="55">
        <f>IFERROR(__xludf.DUMMYFUNCTION("importrange(""https://docs.google.com/spreadsheets/d/1Kbg-PEBsKwSxEO5N_-jXktJpPSl1uQP-6wpQXKr9BiM/edit#gid=187761907"",""2025-26!al4"")"),1249914.9600000002)</f>
        <v>1249914.96</v>
      </c>
      <c r="CD120" s="55">
        <f>IFERROR(__xludf.DUMMYFUNCTION("importrange(""https://docs.google.com/spreadsheets/d/1Kbg-PEBsKwSxEO5N_-jXktJpPSl1uQP-6wpQXKr9BiM/edit#gid=187761907"",""2025-26!ai3"")"),30.0)</f>
        <v>30</v>
      </c>
      <c r="CE120" s="59">
        <f t="shared" si="27"/>
        <v>0.7221213415</v>
      </c>
      <c r="CF120" s="55">
        <f>IFERROR(__xludf.DUMMYFUNCTION("importrange(""https://docs.google.com/spreadsheets/d/1Kbg-PEBsKwSxEO5N_-jXktJpPSl1uQP-6wpQXKr9BiM/edit#gid=187761907"",""2025-26!am4"")"),1184279.0)</f>
        <v>1184279</v>
      </c>
      <c r="CG120" s="55">
        <f>IFERROR(__xludf.DUMMYFUNCTION("importrange(""https://docs.google.com/spreadsheets/d/1Kbg-PEBsKwSxEO5N_-jXktJpPSl1uQP-6wpQXKr9BiM/edit#gid=187761907"",""2025-26!am3"")"),25.0)</f>
        <v>25</v>
      </c>
      <c r="CH120" s="55">
        <f>IFERROR(__xludf.DUMMYFUNCTION("importrange(""https://docs.google.com/spreadsheets/d/1Kbg-PEBsKwSxEO5N_-jXktJpPSl1uQP-6wpQXKr9BiM/edit#gid=187761907"",""2025-26!an4"")"),1710000.0)</f>
        <v>1710000</v>
      </c>
      <c r="CI120" s="55">
        <f>IFERROR(__xludf.DUMMYFUNCTION("importrange(""https://docs.google.com/spreadsheets/d/1Kbg-PEBsKwSxEO5N_-jXktJpPSl1uQP-6wpQXKr9BiM/edit#gid=187761907"",""2025-26!an3"")"),33.0)</f>
        <v>33</v>
      </c>
      <c r="CJ120" s="55">
        <f>IFERROR(__xludf.DUMMYFUNCTION("importrange(""https://docs.google.com/spreadsheets/d/1Kbg-PEBsKwSxEO5N_-jXktJpPSl1uQP-6wpQXKr9BiM/edit#gid=187761907"",""2025-26!ao4"")"),1347650.9899999998)</f>
        <v>1347650.99</v>
      </c>
      <c r="CK120" s="55">
        <f>IFERROR(__xludf.DUMMYFUNCTION("importrange(""https://docs.google.com/spreadsheets/d/1Kbg-PEBsKwSxEO5N_-jXktJpPSl1uQP-6wpQXKr9BiM/edit#gid=187761907"",""2025-26!ao3"")"),21.0)</f>
        <v>21</v>
      </c>
      <c r="CL120" s="59">
        <f t="shared" si="28"/>
        <v>0.8178140351</v>
      </c>
      <c r="CM120" s="55">
        <f>IFERROR(__xludf.DUMMYFUNCTION("importrange(""https://docs.google.com/spreadsheets/d/1Kbg-PEBsKwSxEO5N_-jXktJpPSl1uQP-6wpQXKr9BiM/edit#gid=187761907"",""2025-26!ap4"")"),1398462.0)</f>
        <v>1398462</v>
      </c>
      <c r="CN120" s="55">
        <f>IFERROR(__xludf.DUMMYFUNCTION("importrange(""https://docs.google.com/spreadsheets/d/1Kbg-PEBsKwSxEO5N_-jXktJpPSl1uQP-6wpQXKr9BiM/edit#gid=187761907"",""2025-26!ap3"")"),21.0)</f>
        <v>21</v>
      </c>
      <c r="CO120" s="55">
        <f>IFERROR(__xludf.DUMMYFUNCTION("importrange(""https://docs.google.com/spreadsheets/d/1Kbg-PEBsKwSxEO5N_-jXktJpPSl1uQP-6wpQXKr9BiM/edit#gid=187761907"",""2025-26!aq4"")"),1630000.0)</f>
        <v>1630000</v>
      </c>
      <c r="CP120" s="55">
        <f>IFERROR(__xludf.DUMMYFUNCTION("importrange(""https://docs.google.com/spreadsheets/d/1Kbg-PEBsKwSxEO5N_-jXktJpPSl1uQP-6wpQXKr9BiM/edit#gid=187761907"",""2025-26!aq3"")"),33.0)</f>
        <v>33</v>
      </c>
      <c r="CQ120" s="55">
        <f>IFERROR(__xludf.DUMMYFUNCTION("importrange(""https://docs.google.com/spreadsheets/d/1Kbg-PEBsKwSxEO5N_-jXktJpPSl1uQP-6wpQXKr9BiM/edit#gid=187761907"",""2025-26!ar4"")"),1275916.9900000002)</f>
        <v>1275916.99</v>
      </c>
      <c r="CR120" s="55">
        <f>IFERROR(__xludf.DUMMYFUNCTION("importrange(""https://docs.google.com/spreadsheets/d/1Kbg-PEBsKwSxEO5N_-jXktJpPSl1uQP-6wpQXKr9BiM/edit#gid=187761907"",""2025-26!ar3"")"),14.0)</f>
        <v>14</v>
      </c>
      <c r="CS120" s="59">
        <f t="shared" si="29"/>
        <v>0.783993865</v>
      </c>
      <c r="CT120" s="55">
        <f>IFERROR(__xludf.DUMMYFUNCTION("importrange(""https://docs.google.com/spreadsheets/d/1Kbg-PEBsKwSxEO5N_-jXktJpPSl1uQP-6wpQXKr9BiM/edit#gid=187761907"",""2025-26!as4"")"),1277910.0)</f>
        <v>1277910</v>
      </c>
      <c r="CU120" s="55">
        <f>IFERROR(__xludf.DUMMYFUNCTION("importrange(""https://docs.google.com/spreadsheets/d/1Kbg-PEBsKwSxEO5N_-jXktJpPSl1uQP-6wpQXKr9BiM/edit#gid=187761907"",""2025-26!as3"")"),14.0)</f>
        <v>14</v>
      </c>
      <c r="CV120" s="60" t="s">
        <v>222</v>
      </c>
    </row>
    <row r="121">
      <c r="A121" s="1" t="s">
        <v>185</v>
      </c>
      <c r="B121" s="37"/>
      <c r="C121" s="64" t="s">
        <v>265</v>
      </c>
      <c r="D121" s="68" t="s">
        <v>266</v>
      </c>
      <c r="E121" s="50">
        <v>7.076505033E9</v>
      </c>
      <c r="F121" s="74">
        <v>45323.0</v>
      </c>
      <c r="G121" s="62"/>
      <c r="H121" s="62"/>
      <c r="I121" s="53">
        <v>25700.0</v>
      </c>
      <c r="J121" s="54">
        <v>2000000.0</v>
      </c>
      <c r="K121" s="57">
        <f>IFERROR(__xludf.DUMMYFUNCTION("IMPORTRANGE(""https://docs.google.com/spreadsheets/d/1O8_IB27WHzeYapUtQjxSkdl_JCT9lSSz357rD743jfU/edit#gid=187761907"",""2025-26!A3"")"),72.0)</f>
        <v>72</v>
      </c>
      <c r="L121" s="57">
        <f>IFERROR(__xludf.DUMMYFUNCTION("IMPORTRANGE(""https://docs.google.com/spreadsheets/d/1O8_IB27WHzeYapUtQjxSkdl_JCT9lSSz357rD743jfU/edit#gid=187761907"",""2025-26!G4"")"),1.915E7)</f>
        <v>19150000</v>
      </c>
      <c r="M121" s="57">
        <f t="shared" si="50"/>
        <v>15418357.23</v>
      </c>
      <c r="N121" s="56">
        <f t="shared" si="51"/>
        <v>0.8020002089</v>
      </c>
      <c r="O121" s="57">
        <f t="shared" si="52"/>
        <v>15358304</v>
      </c>
      <c r="P121" s="55">
        <f>IFERROR(__xludf.DUMMYFUNCTION("IMPORTRANGE(""https://docs.google.com/spreadsheets/d/1O8_IB27WHzeYapUtQjxSkdl_JCT9lSSz357rD743jfU/edit#gid=187761907"",""2025-26!J4"")"),1055000.0)</f>
        <v>1055000</v>
      </c>
      <c r="Q121" s="55">
        <f>IFERROR(__xludf.DUMMYFUNCTION("IMPORTRANGE(""https://docs.google.com/spreadsheets/d/1O8_IB27WHzeYapUtQjxSkdl_JCT9lSSz357rD743jfU/edit#gid=187761907"",""2025-26!J3"")"),18.0)</f>
        <v>18</v>
      </c>
      <c r="R121" s="55">
        <f>IFERROR(__xludf.DUMMYFUNCTION("IMPORTRANGE(""https://docs.google.com/spreadsheets/d/1O8_IB27WHzeYapUtQjxSkdl_JCT9lSSz357rD743jfU/edit#gid=187761907"",""2025-26!K4"")"),1006207.2599999999)</f>
        <v>1006207.26</v>
      </c>
      <c r="S121" s="55">
        <f>IFERROR(__xludf.DUMMYFUNCTION("IMPORTRANGE(""https://docs.google.com/spreadsheets/d/1O8_IB27WHzeYapUtQjxSkdl_JCT9lSSz357rD743jfU/edit#gid=187761907"",""2025-26!K3"")"),16.0)</f>
        <v>16</v>
      </c>
      <c r="T121" s="58">
        <f t="shared" si="18"/>
        <v>0.953763981</v>
      </c>
      <c r="U121" s="55">
        <f>IFERROR(__xludf.DUMMYFUNCTION("IMPORTRANGE(""https://docs.google.com/spreadsheets/d/1O8_IB27WHzeYapUtQjxSkdl_JCT9lSSz357rD743jfU/edit#gid=187761907"",""2025-26!L4"")"),1006221.0)</f>
        <v>1006221</v>
      </c>
      <c r="V121" s="79">
        <f>IFERROR(__xludf.DUMMYFUNCTION("IMPORTRANGE(""https://docs.google.com/spreadsheets/d/1O8_IB27WHzeYapUtQjxSkdl_JCT9lSSz357rD743jfU/edit#gid=187761907"",""2025-26!L3"")"),16.0)</f>
        <v>16</v>
      </c>
      <c r="W121" s="55">
        <f>IFERROR(__xludf.DUMMYFUNCTION("IMPORTRANGE(""https://docs.google.com/spreadsheets/d/1O8_IB27WHzeYapUtQjxSkdl_JCT9lSSz357rD743jfU/edit#gid=187761907"",""2025-26!M4"")"),990000.0)</f>
        <v>990000</v>
      </c>
      <c r="X121" s="79">
        <f>IFERROR(__xludf.DUMMYFUNCTION("IMPORTRANGE(""https://docs.google.com/spreadsheets/d/1O8_IB27WHzeYapUtQjxSkdl_JCT9lSSz357rD743jfU/edit#gid=187761907"",""2025-26!M3"")"),22.0)</f>
        <v>22</v>
      </c>
      <c r="Y121" s="55">
        <f>IFERROR(__xludf.DUMMYFUNCTION("importrange(""https://docs.google.com/spreadsheets/d/1O8_IB27WHzeYapUtQjxSkdl_JCT9lSSz357rD743jfU/edit#gid=187761907"",""2025-26!n4"")"),1150065.2800000003)</f>
        <v>1150065.28</v>
      </c>
      <c r="Z121" s="55">
        <f>IFERROR(__xludf.DUMMYFUNCTION("importrange(""https://docs.google.com/spreadsheets/d/1O8_IB27WHzeYapUtQjxSkdl_JCT9lSSz357rD743jfU/edit#gid=187761907"",""2025-26!n3"")"),25.0)</f>
        <v>25</v>
      </c>
      <c r="AA121" s="58">
        <f t="shared" si="19"/>
        <v>1.161688889</v>
      </c>
      <c r="AB121" s="55">
        <f>IFERROR(__xludf.DUMMYFUNCTION("importrange(""https://docs.google.com/spreadsheets/d/1O8_IB27WHzeYapUtQjxSkdl_JCT9lSSz357rD743jfU/edit#gid=187761907"",""2025-26!o4"")"),1150072.0)</f>
        <v>1150072</v>
      </c>
      <c r="AC121" s="55">
        <f>IFERROR(__xludf.DUMMYFUNCTION("importrange(""https://docs.google.com/spreadsheets/d/1O8_IB27WHzeYapUtQjxSkdl_JCT9lSSz357rD743jfU/edit#gid=187761907"",""2025-26!o3"")"),25.0)</f>
        <v>25</v>
      </c>
      <c r="AD121" s="55">
        <f>IFERROR(__xludf.DUMMYFUNCTION("importrange(""https://docs.google.com/spreadsheets/d/1O8_IB27WHzeYapUtQjxSkdl_JCT9lSSz357rD743jfU/edit#gid=187761907"",""2025-26!p4"")"),1555000.0)</f>
        <v>1555000</v>
      </c>
      <c r="AE121" s="55">
        <f>IFERROR(__xludf.DUMMYFUNCTION("importrange(""https://docs.google.com/spreadsheets/d/1O8_IB27WHzeYapUtQjxSkdl_JCT9lSSz357rD743jfU/edit#gid=187761907"",""2025-26!p3"")"),28.0)</f>
        <v>28</v>
      </c>
      <c r="AF121" s="55">
        <f>IFERROR(__xludf.DUMMYFUNCTION("importrange(""https://docs.google.com/spreadsheets/d/1O8_IB27WHzeYapUtQjxSkdl_JCT9lSSz357rD743jfU/edit#gid=187761907"",""2025-26!q4"")"),1479131.05)</f>
        <v>1479131.05</v>
      </c>
      <c r="AG121" s="55">
        <f>IFERROR(__xludf.DUMMYFUNCTION("importrange(""https://docs.google.com/spreadsheets/d/1O8_IB27WHzeYapUtQjxSkdl_JCT9lSSz357rD743jfU/edit#gid=187761907"",""2025-26!q3"")"),23.0)</f>
        <v>23</v>
      </c>
      <c r="AH121" s="58">
        <f t="shared" si="20"/>
        <v>0.9576996785</v>
      </c>
      <c r="AI121" s="55">
        <f>IFERROR(__xludf.DUMMYFUNCTION("importrange(""https://docs.google.com/spreadsheets/d/1O8_IB27WHzeYapUtQjxSkdl_JCT9lSSz357rD743jfU/edit#gid=187761907"",""2025-26!r4"")"),1489223.0)</f>
        <v>1489223</v>
      </c>
      <c r="AJ121" s="55">
        <f>IFERROR(__xludf.DUMMYFUNCTION("importrange(""https://docs.google.com/spreadsheets/d/1O8_IB27WHzeYapUtQjxSkdl_JCT9lSSz357rD743jfU/edit#gid=187761907"",""2025-26!r3"")"),23.0)</f>
        <v>23</v>
      </c>
      <c r="AK121" s="55">
        <f>IFERROR(__xludf.DUMMYFUNCTION("importrange(""https://docs.google.com/spreadsheets/d/1O8_IB27WHzeYapUtQjxSkdl_JCT9lSSz357rD743jfU/edit#gid=187761907"",""2025-26!s4"")"),1205000.0)</f>
        <v>1205000</v>
      </c>
      <c r="AL121" s="55">
        <f>IFERROR(__xludf.DUMMYFUNCTION("importrange(""https://docs.google.com/spreadsheets/d/1O8_IB27WHzeYapUtQjxSkdl_JCT9lSSz357rD743jfU/edit#gid=187761907"",""2025-26!s3"")"),25.0)</f>
        <v>25</v>
      </c>
      <c r="AM121" s="57">
        <f>IFERROR(__xludf.DUMMYFUNCTION("importrange(""https://docs.google.com/spreadsheets/d/1O8_IB27WHzeYapUtQjxSkdl_JCT9lSSz357rD743jfU/edit#gid=187761907"",""2025-26!t4"")"),1494245.31)</f>
        <v>1494245.31</v>
      </c>
      <c r="AN121" s="55">
        <f>IFERROR(__xludf.DUMMYFUNCTION("importrange(""https://docs.google.com/spreadsheets/d/1O8_IB27WHzeYapUtQjxSkdl_JCT9lSSz357rD743jfU/edit#gid=187761907"",""2025-26!t3"")"),29.0)</f>
        <v>29</v>
      </c>
      <c r="AO121" s="58">
        <f t="shared" si="21"/>
        <v>1.140806639</v>
      </c>
      <c r="AP121" s="55">
        <f>IFERROR(__xludf.DUMMYFUNCTION("importrange(""https://docs.google.com/spreadsheets/d/1O8_IB27WHzeYapUtQjxSkdl_JCT9lSSz357rD743jfU/edit#gid=187761907"",""2025-26!u4"")"),1374672.0)</f>
        <v>1374672</v>
      </c>
      <c r="AQ121" s="55">
        <f>IFERROR(__xludf.DUMMYFUNCTION("importrange(""https://docs.google.com/spreadsheets/d/1O8_IB27WHzeYapUtQjxSkdl_JCT9lSSz357rD743jfU/edit#gid=187761907"",""2025-26!u3"")"),28.0)</f>
        <v>28</v>
      </c>
      <c r="AR121" s="55">
        <f>IFERROR(__xludf.DUMMYFUNCTION("importrange(""https://docs.google.com/spreadsheets/d/1O8_IB27WHzeYapUtQjxSkdl_JCT9lSSz357rD743jfU/edit#gid=187761907"",""2025-26!v4"")"),1300000.0)</f>
        <v>1300000</v>
      </c>
      <c r="AS121" s="55">
        <f>IFERROR(__xludf.DUMMYFUNCTION("importrange(""https://docs.google.com/spreadsheets/d/1O8_IB27WHzeYapUtQjxSkdl_JCT9lSSz357rD743jfU/edit#gid=187761907"",""2025-26!v3"")"),25.0)</f>
        <v>25</v>
      </c>
      <c r="AT121" s="57">
        <f>IFERROR(__xludf.DUMMYFUNCTION("importrange(""https://docs.google.com/spreadsheets/d/1O8_IB27WHzeYapUtQjxSkdl_JCT9lSSz357rD743jfU/edit#gid=187761907"",""2025-26!w4"")"),1040236.6800000002)</f>
        <v>1040236.68</v>
      </c>
      <c r="AU121" s="55">
        <f>IFERROR(__xludf.DUMMYFUNCTION("importrange(""https://docs.google.com/spreadsheets/d/1O8_IB27WHzeYapUtQjxSkdl_JCT9lSSz357rD743jfU/edit#gid=187761907"",""2025-26!w3"")"),17.0)</f>
        <v>17</v>
      </c>
      <c r="AV121" s="58">
        <f t="shared" si="22"/>
        <v>0.8354676923</v>
      </c>
      <c r="AW121" s="55">
        <f>IFERROR(__xludf.DUMMYFUNCTION("importrange(""https://docs.google.com/spreadsheets/d/1O8_IB27WHzeYapUtQjxSkdl_JCT9lSSz357rD743jfU/edit#gid=187761907"",""2025-26!x4"")"),1086108.0)</f>
        <v>1086108</v>
      </c>
      <c r="AX121" s="55">
        <f>IFERROR(__xludf.DUMMYFUNCTION("importrange(""https://docs.google.com/spreadsheets/d/1O8_IB27WHzeYapUtQjxSkdl_JCT9lSSz357rD743jfU/edit#gid=187761907"",""2025-26!x3"")"),16.0)</f>
        <v>16</v>
      </c>
      <c r="AY121" s="55">
        <f>IFERROR(__xludf.DUMMYFUNCTION("importrange(""https://docs.google.com/spreadsheets/d/1O8_IB27WHzeYapUtQjxSkdl_JCT9lSSz357rD743jfU/edit#gid=187761907"",""2025-26!y4"")"),1475000.0)</f>
        <v>1475000</v>
      </c>
      <c r="AZ121" s="55">
        <f>IFERROR(__xludf.DUMMYFUNCTION("importrange(""https://docs.google.com/spreadsheets/d/1O8_IB27WHzeYapUtQjxSkdl_JCT9lSSz357rD743jfU/edit#gid=187761907"",""2025-26!y3"")"),23.0)</f>
        <v>23</v>
      </c>
      <c r="BA121" s="57">
        <f>IFERROR(__xludf.DUMMYFUNCTION("importrange(""https://docs.google.com/spreadsheets/d/1O8_IB27WHzeYapUtQjxSkdl_JCT9lSSz357rD743jfU/edit#gid=187761907"",""2025-26!z4"")"),1523065.81)</f>
        <v>1523065.81</v>
      </c>
      <c r="BB121" s="55">
        <f>IFERROR(__xludf.DUMMYFUNCTION("importrange(""https://docs.google.com/spreadsheets/d/1O8_IB27WHzeYapUtQjxSkdl_JCT9lSSz357rD743jfU/edit#gid=187761907"",""2025-26!z3"")"),26.0)</f>
        <v>26</v>
      </c>
      <c r="BC121" s="59">
        <f t="shared" si="23"/>
        <v>1.032594576</v>
      </c>
      <c r="BD121" s="55">
        <f>IFERROR(__xludf.DUMMYFUNCTION("importrange(""https://docs.google.com/spreadsheets/d/1O8_IB27WHzeYapUtQjxSkdl_JCT9lSSz357rD743jfU/edit#gid=187761907"",""2025-26!aa4"")"),1523077.0)</f>
        <v>1523077</v>
      </c>
      <c r="BE121" s="55">
        <f>IFERROR(__xludf.DUMMYFUNCTION("importrange(""https://docs.google.com/spreadsheets/d/1O8_IB27WHzeYapUtQjxSkdl_JCT9lSSz357rD743jfU/edit#gid=187761907"",""2025-26!aa3"")"),26.0)</f>
        <v>26</v>
      </c>
      <c r="BF121" s="55">
        <f>IFERROR(__xludf.DUMMYFUNCTION("importrange(""https://docs.google.com/spreadsheets/d/1O8_IB27WHzeYapUtQjxSkdl_JCT9lSSz357rD743jfU/edit#gid=187761907"",""2025-26!ab4"")"),1585000.0)</f>
        <v>1585000</v>
      </c>
      <c r="BG121" s="55">
        <f>IFERROR(__xludf.DUMMYFUNCTION("importrange(""https://docs.google.com/spreadsheets/d/1O8_IB27WHzeYapUtQjxSkdl_JCT9lSSz357rD743jfU/edit#gid=187761907"",""2025-26!ab3"")"),26.0)</f>
        <v>26</v>
      </c>
      <c r="BH121" s="55">
        <f>IFERROR(__xludf.DUMMYFUNCTION("importrange(""https://docs.google.com/spreadsheets/d/1O8_IB27WHzeYapUtQjxSkdl_JCT9lSSz357rD743jfU/edit#gid=187761907"",""2025-26!ac4"")"),1064745.8499999999)</f>
        <v>1064745.85</v>
      </c>
      <c r="BI121" s="55">
        <f>IFERROR(__xludf.DUMMYFUNCTION("importrange(""https://docs.google.com/spreadsheets/d/1O8_IB27WHzeYapUtQjxSkdl_JCT9lSSz357rD743jfU/edit#gid=187761907"",""2025-26!ac3"")"),20.0)</f>
        <v>20</v>
      </c>
      <c r="BJ121" s="59">
        <f t="shared" si="24"/>
        <v>0.6718271293</v>
      </c>
      <c r="BK121" s="55">
        <f>IFERROR(__xludf.DUMMYFUNCTION("importrange(""https://docs.google.com/spreadsheets/d/1O8_IB27WHzeYapUtQjxSkdl_JCT9lSSz357rD743jfU/edit#gid=187761907"",""2025-26!ad4"")"),1064846.0)</f>
        <v>1064846</v>
      </c>
      <c r="BL121" s="55">
        <f>IFERROR(__xludf.DUMMYFUNCTION("importrange(""https://docs.google.com/spreadsheets/d/1O8_IB27WHzeYapUtQjxSkdl_JCT9lSSz357rD743jfU/edit#gid=187761907"",""2025-26!ad3"")"),20.0)</f>
        <v>20</v>
      </c>
      <c r="BM121" s="55">
        <f>IFERROR(__xludf.DUMMYFUNCTION("importrange(""https://docs.google.com/spreadsheets/d/1O8_IB27WHzeYapUtQjxSkdl_JCT9lSSz357rD743jfU/edit#gid=187761907"",""2025-26!ae4"")"),1890000.0)</f>
        <v>1890000</v>
      </c>
      <c r="BN121" s="55">
        <f>IFERROR(__xludf.DUMMYFUNCTION("importrange(""https://docs.google.com/spreadsheets/d/1O8_IB27WHzeYapUtQjxSkdl_JCT9lSSz357rD743jfU/edit#gid=187761907"",""2025-26!ae3"")"),31.0)</f>
        <v>31</v>
      </c>
      <c r="BO121" s="55">
        <f>IFERROR(__xludf.DUMMYFUNCTION("importrange(""https://docs.google.com/spreadsheets/d/1O8_IB27WHzeYapUtQjxSkdl_JCT9lSSz357rD743jfU/edit#gid=187761907"",""2025-26!af4"")"),1030019.9299999999)</f>
        <v>1030019.93</v>
      </c>
      <c r="BP121" s="55">
        <f>IFERROR(__xludf.DUMMYFUNCTION("importrange(""https://docs.google.com/spreadsheets/d/1O8_IB27WHzeYapUtQjxSkdl_JCT9lSSz357rD743jfU/edit#gid=187761907"",""2025-26!af3"")"),20.0)</f>
        <v>20</v>
      </c>
      <c r="BQ121" s="59">
        <f t="shared" si="25"/>
        <v>0.5449820106</v>
      </c>
      <c r="BR121" s="55">
        <f>IFERROR(__xludf.DUMMYFUNCTION("importrange(""https://docs.google.com/spreadsheets/d/1O8_IB27WHzeYapUtQjxSkdl_JCT9lSSz357rD743jfU/edit#gid=187761907"",""2025-26!ag4"")"),1030016.0)</f>
        <v>1030016</v>
      </c>
      <c r="BS121" s="55">
        <f>IFERROR(__xludf.DUMMYFUNCTION("importrange(""https://docs.google.com/spreadsheets/d/1O8_IB27WHzeYapUtQjxSkdl_JCT9lSSz357rD743jfU/edit#gid=187761907"",""2025-26!ag3"")"),20.0)</f>
        <v>20</v>
      </c>
      <c r="BT121" s="55">
        <f>IFERROR(__xludf.DUMMYFUNCTION("importrange(""https://docs.google.com/spreadsheets/d/1O8_IB27WHzeYapUtQjxSkdl_JCT9lSSz357rD743jfU/edit#gid=187761907"",""2025-26!ah4"")"),1725000.0)</f>
        <v>1725000</v>
      </c>
      <c r="BU121" s="55">
        <f>IFERROR(__xludf.DUMMYFUNCTION("importrange(""https://docs.google.com/spreadsheets/d/1O8_IB27WHzeYapUtQjxSkdl_JCT9lSSz357rD743jfU/edit#gid=187761907"",""2025-26!ah3"")"),30.0)</f>
        <v>30</v>
      </c>
      <c r="BV121" s="55">
        <f>IFERROR(__xludf.DUMMYFUNCTION("importrange(""https://docs.google.com/spreadsheets/d/1O8_IB27WHzeYapUtQjxSkdl_JCT9lSSz357rD743jfU/edit#gid=187761907"",""2025-26!ai4"")"),1414220.0099999998)</f>
        <v>1414220.01</v>
      </c>
      <c r="BW121" s="55">
        <f>IFERROR(__xludf.DUMMYFUNCTION("importrange(""https://docs.google.com/spreadsheets/d/1O8_IB27WHzeYapUtQjxSkdl_JCT9lSSz357rD743jfU/edit#gid=187761907"",""2025-26!ai3"")"),22.0)</f>
        <v>22</v>
      </c>
      <c r="BX121" s="59">
        <f t="shared" si="26"/>
        <v>0.8274527536</v>
      </c>
      <c r="BY121" s="55">
        <f>IFERROR(__xludf.DUMMYFUNCTION("importrange(""https://docs.google.com/spreadsheets/d/1O8_IB27WHzeYapUtQjxSkdl_JCT9lSSz357rD743jfU/edit#gid=187761907"",""2025-26!aj4"")"),1427356.0)</f>
        <v>1427356</v>
      </c>
      <c r="BZ121" s="55">
        <f>IFERROR(__xludf.DUMMYFUNCTION("importrange(""https://docs.google.com/spreadsheets/d/1O8_IB27WHzeYapUtQjxSkdl_JCT9lSSz357rD743jfU/edit#gid=187761907"",""2025-26!aj3"")"),22.0)</f>
        <v>22</v>
      </c>
      <c r="CA121" s="55">
        <f>IFERROR(__xludf.DUMMYFUNCTION("importrange(""https://docs.google.com/spreadsheets/d/1O8_IB27WHzeYapUtQjxSkdl_JCT9lSSz357rD743jfU/edit#gid=187761907"",""2025-26!ak4"")"),1615000.0)</f>
        <v>1615000</v>
      </c>
      <c r="CB121" s="55">
        <f>IFERROR(__xludf.DUMMYFUNCTION("importrange(""https://docs.google.com/spreadsheets/d/1O8_IB27WHzeYapUtQjxSkdl_JCT9lSSz357rD743jfU/edit#gid=187761907"",""2025-26!ak3"")"),27.0)</f>
        <v>27</v>
      </c>
      <c r="CC121" s="55">
        <f>IFERROR(__xludf.DUMMYFUNCTION("importrange(""https://docs.google.com/spreadsheets/d/1O8_IB27WHzeYapUtQjxSkdl_JCT9lSSz357rD743jfU/edit#gid=187761907"",""2025-26!al4"")"),869709.54)</f>
        <v>869709.54</v>
      </c>
      <c r="CD121" s="55">
        <f>IFERROR(__xludf.DUMMYFUNCTION("importrange(""https://docs.google.com/spreadsheets/d/1O8_IB27WHzeYapUtQjxSkdl_JCT9lSSz357rD743jfU/edit#gid=187761907"",""2025-26!ai3"")"),22.0)</f>
        <v>22</v>
      </c>
      <c r="CE121" s="59">
        <f t="shared" si="27"/>
        <v>0.5398526316</v>
      </c>
      <c r="CF121" s="55">
        <f>IFERROR(__xludf.DUMMYFUNCTION("importrange(""https://docs.google.com/spreadsheets/d/1O8_IB27WHzeYapUtQjxSkdl_JCT9lSSz357rD743jfU/edit#gid=187761907"",""2025-26!am4"")"),871862.0)</f>
        <v>871862</v>
      </c>
      <c r="CG121" s="55">
        <f>IFERROR(__xludf.DUMMYFUNCTION("importrange(""https://docs.google.com/spreadsheets/d/1O8_IB27WHzeYapUtQjxSkdl_JCT9lSSz357rD743jfU/edit#gid=187761907"",""2025-26!am3"")"),18.0)</f>
        <v>18</v>
      </c>
      <c r="CH121" s="55">
        <f>IFERROR(__xludf.DUMMYFUNCTION("importrange(""https://docs.google.com/spreadsheets/d/1O8_IB27WHzeYapUtQjxSkdl_JCT9lSSz357rD743jfU/edit#gid=187761907"",""2025-26!an4"")"),1445000.0)</f>
        <v>1445000</v>
      </c>
      <c r="CI121" s="55">
        <f>IFERROR(__xludf.DUMMYFUNCTION("importrange(""https://docs.google.com/spreadsheets/d/1O8_IB27WHzeYapUtQjxSkdl_JCT9lSSz357rD743jfU/edit#gid=187761907"",""2025-26!an3"")"),26.0)</f>
        <v>26</v>
      </c>
      <c r="CJ121" s="55">
        <f>IFERROR(__xludf.DUMMYFUNCTION("importrange(""https://docs.google.com/spreadsheets/d/1O8_IB27WHzeYapUtQjxSkdl_JCT9lSSz357rD743jfU/edit#gid=187761907"",""2025-26!ao4"")"),1622649.2900000003)</f>
        <v>1622649.29</v>
      </c>
      <c r="CK121" s="55">
        <f>IFERROR(__xludf.DUMMYFUNCTION("importrange(""https://docs.google.com/spreadsheets/d/1O8_IB27WHzeYapUtQjxSkdl_JCT9lSSz357rD743jfU/edit#gid=187761907"",""2025-26!ao3"")"),23.0)</f>
        <v>23</v>
      </c>
      <c r="CL121" s="59">
        <f t="shared" si="28"/>
        <v>1.114728028</v>
      </c>
      <c r="CM121" s="55">
        <f>IFERROR(__xludf.DUMMYFUNCTION("importrange(""https://docs.google.com/spreadsheets/d/1O8_IB27WHzeYapUtQjxSkdl_JCT9lSSz357rD743jfU/edit#gid=187761907"",""2025-26!ap4"")"),1610782.0)</f>
        <v>1610782</v>
      </c>
      <c r="CN121" s="55">
        <f>IFERROR(__xludf.DUMMYFUNCTION("importrange(""https://docs.google.com/spreadsheets/d/1O8_IB27WHzeYapUtQjxSkdl_JCT9lSSz357rD743jfU/edit#gid=187761907"",""2025-26!ap3"")"),22.0)</f>
        <v>22</v>
      </c>
      <c r="CO121" s="55">
        <f>IFERROR(__xludf.DUMMYFUNCTION("importrange(""https://docs.google.com/spreadsheets/d/1O8_IB27WHzeYapUtQjxSkdl_JCT9lSSz357rD743jfU/edit#gid=187761907"",""2025-26!aq4"")"),1935000.0)</f>
        <v>1935000</v>
      </c>
      <c r="CP121" s="55">
        <f>IFERROR(__xludf.DUMMYFUNCTION("importrange(""https://docs.google.com/spreadsheets/d/1O8_IB27WHzeYapUtQjxSkdl_JCT9lSSz357rD743jfU/edit#gid=187761907"",""2025-26!aq3"")"),34.0)</f>
        <v>34</v>
      </c>
      <c r="CQ121" s="55">
        <f>IFERROR(__xludf.DUMMYFUNCTION("importrange(""https://docs.google.com/spreadsheets/d/1O8_IB27WHzeYapUtQjxSkdl_JCT9lSSz357rD743jfU/edit#gid=187761907"",""2025-26!ar4"")"),1724061.2200000002)</f>
        <v>1724061.22</v>
      </c>
      <c r="CR121" s="55">
        <f>IFERROR(__xludf.DUMMYFUNCTION("importrange(""https://docs.google.com/spreadsheets/d/1O8_IB27WHzeYapUtQjxSkdl_JCT9lSSz357rD743jfU/edit#gid=187761907"",""2025-26!ar3"")"),22.0)</f>
        <v>22</v>
      </c>
      <c r="CS121" s="59">
        <f t="shared" si="29"/>
        <v>0.8909917313</v>
      </c>
      <c r="CT121" s="55">
        <f>IFERROR(__xludf.DUMMYFUNCTION("importrange(""https://docs.google.com/spreadsheets/d/1O8_IB27WHzeYapUtQjxSkdl_JCT9lSSz357rD743jfU/edit#gid=187761907"",""2025-26!as4"")"),1724069.0)</f>
        <v>1724069</v>
      </c>
      <c r="CU121" s="55">
        <f>IFERROR(__xludf.DUMMYFUNCTION("importrange(""https://docs.google.com/spreadsheets/d/1O8_IB27WHzeYapUtQjxSkdl_JCT9lSSz357rD743jfU/edit#gid=187761907"",""2025-26!as3"")"),22.0)</f>
        <v>22</v>
      </c>
      <c r="CV121" s="60" t="s">
        <v>189</v>
      </c>
    </row>
    <row r="122">
      <c r="A122" s="1" t="s">
        <v>185</v>
      </c>
      <c r="B122" s="37"/>
      <c r="C122" s="64" t="s">
        <v>267</v>
      </c>
      <c r="D122" s="68" t="s">
        <v>268</v>
      </c>
      <c r="E122" s="50">
        <v>9.304866414E9</v>
      </c>
      <c r="F122" s="74">
        <v>45432.0</v>
      </c>
      <c r="G122" s="75"/>
      <c r="H122" s="75"/>
      <c r="I122" s="53">
        <v>41430.0</v>
      </c>
      <c r="J122" s="54">
        <v>2483333.0</v>
      </c>
      <c r="K122" s="57">
        <f>IFERROR(__xludf.DUMMYFUNCTION("IMPORTRANGE(""https://docs.google.com/spreadsheets/d/1WBmn03mnxrtox5uWO2YKJB7PYVfHYAUNt150alXp7eg/edit?gid=1996990278#gid=1996990278"",""2025-26!A3"")"),124.0)</f>
        <v>124</v>
      </c>
      <c r="L122" s="57">
        <f>IFERROR(__xludf.DUMMYFUNCTION("IMPORTRANGE(""https://docs.google.com/spreadsheets/d/1WBmn03mnxrtox5uWO2YKJB7PYVfHYAUNt150alXp7eg/edit?gid=1996990278#gid=1996990278"",""2025-26!G4"")"),3.5686864E7)</f>
        <v>35686864</v>
      </c>
      <c r="M122" s="57">
        <f t="shared" si="50"/>
        <v>31816138.16</v>
      </c>
      <c r="N122" s="56">
        <f t="shared" si="51"/>
        <v>0.725734769</v>
      </c>
      <c r="O122" s="57">
        <f t="shared" si="52"/>
        <v>25899198</v>
      </c>
      <c r="P122" s="55">
        <f>IFERROR(__xludf.DUMMYFUNCTION("IMPORTRANGE(""https://docs.google.com/spreadsheets/d/1WBmn03mnxrtox5uWO2YKJB7PYVfHYAUNt150alXp7eg/edit?gid=1996990278#gid=1996990278"",""2025-26!J4"")"),2890572.000000001)</f>
        <v>2890572</v>
      </c>
      <c r="Q122" s="55">
        <f>IFERROR(__xludf.DUMMYFUNCTION("IMPORTRANGE(""https://docs.google.com/spreadsheets/d/1WBmn03mnxrtox5uWO2YKJB7PYVfHYAUNt150alXp7eg/edit?gid=1996990278#gid=1996990278"",""2025-26!J3"")"),84.0)</f>
        <v>84</v>
      </c>
      <c r="R122" s="55">
        <f>IFERROR(__xludf.DUMMYFUNCTION("IMPORTRANGE(""https://docs.google.com/spreadsheets/d/1WBmn03mnxrtox5uWO2YKJB7PYVfHYAUNt150alXp7eg/edit?gid=1996990278#gid=1996990278"",""2025-26!K4"")"),1041361.2)</f>
        <v>1041361.2</v>
      </c>
      <c r="S122" s="55">
        <f>IFERROR(__xludf.DUMMYFUNCTION("IMPORTRANGE(""https://docs.google.com/spreadsheets/d/1WBmn03mnxrtox5uWO2YKJB7PYVfHYAUNt150alXp7eg/edit?gid=1996990278#gid=1996990278"",""2025-26!K3"")"),25.0)</f>
        <v>25</v>
      </c>
      <c r="T122" s="58">
        <f t="shared" si="18"/>
        <v>0.2414369889</v>
      </c>
      <c r="U122" s="55">
        <f>IFERROR(__xludf.DUMMYFUNCTION("IMPORTRANGE(""https://docs.google.com/spreadsheets/d/1WBmn03mnxrtox5uWO2YKJB7PYVfHYAUNt150alXp7eg/edit?gid=1996990278#gid=1996990278"",""2025-26!L4"")"),697891.0)</f>
        <v>697891</v>
      </c>
      <c r="V122" s="79">
        <f>IFERROR(__xludf.DUMMYFUNCTION("IMPORTRANGE(""https://docs.google.com/spreadsheets/d/1WBmn03mnxrtox5uWO2YKJB7PYVfHYAUNt150alXp7eg/edit?gid=1996990278#gid=1996990278"",""2025-26!L3"")"),29.0)</f>
        <v>29</v>
      </c>
      <c r="W122" s="55">
        <f>IFERROR(__xludf.DUMMYFUNCTION("IMPORTRANGE(""https://docs.google.com/spreadsheets/d/1WBmn03mnxrtox5uWO2YKJB7PYVfHYAUNt150alXp7eg/edit?gid=1996990278#gid=1996990278"",""2025-26!M4"")"),2909572.000000001)</f>
        <v>2909572</v>
      </c>
      <c r="X122" s="79">
        <f>IFERROR(__xludf.DUMMYFUNCTION("IMPORTRANGE(""https://docs.google.com/spreadsheets/d/1WBmn03mnxrtox5uWO2YKJB7PYVfHYAUNt150alXp7eg/edit?gid=1996990278#gid=1996990278"",""2025-26!M3"")"),86.0)</f>
        <v>86</v>
      </c>
      <c r="Y122" s="55">
        <f>IFERROR(__xludf.DUMMYFUNCTION("importrange(""https://docs.google.com/spreadsheets/d/1WBmn03mnxrtox5uWO2YKJB7PYVfHYAUNt150alXp7eg/edit?gid=1996990278#gid=1996990278"",""2025-26!n4"")"),2058395.1800000004)</f>
        <v>2058395.18</v>
      </c>
      <c r="Z122" s="55">
        <f>IFERROR(__xludf.DUMMYFUNCTION("importrange(""https://docs.google.com/spreadsheets/d/1WBmn03mnxrtox5uWO2YKJB7PYVfHYAUNt150alXp7eg/edit?gid=1996990278#gid=1996990278"",""2025-26!n3"")"),44.0)</f>
        <v>44</v>
      </c>
      <c r="AA122" s="58">
        <f t="shared" si="19"/>
        <v>0.5899235351</v>
      </c>
      <c r="AB122" s="55">
        <f>IFERROR(__xludf.DUMMYFUNCTION("importrange(""https://docs.google.com/spreadsheets/d/1WBmn03mnxrtox5uWO2YKJB7PYVfHYAUNt150alXp7eg/edit?gid=1996990278#gid=1996990278"",""2025-26!o4"")"),1716425.0)</f>
        <v>1716425</v>
      </c>
      <c r="AC122" s="55">
        <f>IFERROR(__xludf.DUMMYFUNCTION("importrange(""https://docs.google.com/spreadsheets/d/1WBmn03mnxrtox5uWO2YKJB7PYVfHYAUNt150alXp7eg/edit?gid=1996990278#gid=1996990278"",""2025-26!o3"")"),41.0)</f>
        <v>41</v>
      </c>
      <c r="AD122" s="55">
        <f>IFERROR(__xludf.DUMMYFUNCTION("importrange(""https://docs.google.com/spreadsheets/d/1WBmn03mnxrtox5uWO2YKJB7PYVfHYAUNt150alXp7eg/edit?gid=1996990278#gid=1996990278"",""2025-26!p4"")"),2898572.000000001)</f>
        <v>2898572</v>
      </c>
      <c r="AE122" s="55">
        <f>IFERROR(__xludf.DUMMYFUNCTION("importrange(""https://docs.google.com/spreadsheets/d/1WBmn03mnxrtox5uWO2YKJB7PYVfHYAUNt150alXp7eg/edit?gid=1996990278#gid=1996990278"",""2025-26!p3"")"),85.0)</f>
        <v>85</v>
      </c>
      <c r="AF122" s="55">
        <f>IFERROR(__xludf.DUMMYFUNCTION("importrange(""https://docs.google.com/spreadsheets/d/1WBmn03mnxrtox5uWO2YKJB7PYVfHYAUNt150alXp7eg/edit?gid=1996990278#gid=1996990278"",""2025-26!q4"")"),2449440.5499999993)</f>
        <v>2449440.55</v>
      </c>
      <c r="AG122" s="55">
        <f>IFERROR(__xludf.DUMMYFUNCTION("importrange(""https://docs.google.com/spreadsheets/d/1WBmn03mnxrtox5uWO2YKJB7PYVfHYAUNt150alXp7eg/edit?gid=1996990278#gid=1996990278"",""2025-26!q3"")"),38.0)</f>
        <v>38</v>
      </c>
      <c r="AH122" s="58">
        <f t="shared" si="20"/>
        <v>0.6947669404</v>
      </c>
      <c r="AI122" s="55">
        <f>IFERROR(__xludf.DUMMYFUNCTION("importrange(""https://docs.google.com/spreadsheets/d/1WBmn03mnxrtox5uWO2YKJB7PYVfHYAUNt150alXp7eg/edit?gid=1996990278#gid=1996990278"",""2025-26!r4"")"),2013832.0)</f>
        <v>2013832</v>
      </c>
      <c r="AJ122" s="55">
        <f>IFERROR(__xludf.DUMMYFUNCTION("importrange(""https://docs.google.com/spreadsheets/d/1WBmn03mnxrtox5uWO2YKJB7PYVfHYAUNt150alXp7eg/edit?gid=1996990278#gid=1996990278"",""2025-26!r3"")"),37.0)</f>
        <v>37</v>
      </c>
      <c r="AK122" s="55">
        <f>IFERROR(__xludf.DUMMYFUNCTION("importrange(""https://docs.google.com/spreadsheets/d/1WBmn03mnxrtox5uWO2YKJB7PYVfHYAUNt150alXp7eg/edit?gid=1996990278#gid=1996990278"",""2025-26!s4"")"),2900572.000000001)</f>
        <v>2900572</v>
      </c>
      <c r="AL122" s="55">
        <f>IFERROR(__xludf.DUMMYFUNCTION("importrange(""https://docs.google.com/spreadsheets/d/1WBmn03mnxrtox5uWO2YKJB7PYVfHYAUNt150alXp7eg/edit?gid=1996990278#gid=1996990278"",""2025-26!s3"")"),85.0)</f>
        <v>85</v>
      </c>
      <c r="AM122" s="57">
        <f>IFERROR(__xludf.DUMMYFUNCTION("importrange(""https://docs.google.com/spreadsheets/d/1WBmn03mnxrtox5uWO2YKJB7PYVfHYAUNt150alXp7eg/edit?gid=1996990278#gid=1996990278"",""2025-26!t4"")"),947621.72)</f>
        <v>947621.72</v>
      </c>
      <c r="AN122" s="55">
        <f>IFERROR(__xludf.DUMMYFUNCTION("importrange(""https://docs.google.com/spreadsheets/d/1WBmn03mnxrtox5uWO2YKJB7PYVfHYAUNt150alXp7eg/edit?gid=1996990278#gid=1996990278"",""2025-26!t3"")"),31.0)</f>
        <v>31</v>
      </c>
      <c r="AO122" s="58">
        <f t="shared" si="21"/>
        <v>0.3814940639</v>
      </c>
      <c r="AP122" s="55">
        <f>IFERROR(__xludf.DUMMYFUNCTION("importrange(""https://docs.google.com/spreadsheets/d/1WBmn03mnxrtox5uWO2YKJB7PYVfHYAUNt150alXp7eg/edit?gid=1996990278#gid=1996990278"",""2025-26!u4"")"),1106551.0)</f>
        <v>1106551</v>
      </c>
      <c r="AQ122" s="55">
        <f>IFERROR(__xludf.DUMMYFUNCTION("importrange(""https://docs.google.com/spreadsheets/d/1WBmn03mnxrtox5uWO2YKJB7PYVfHYAUNt150alXp7eg/edit?gid=1996990278#gid=1996990278"",""2025-26!u3"")"),36.0)</f>
        <v>36</v>
      </c>
      <c r="AR122" s="55">
        <f>IFERROR(__xludf.DUMMYFUNCTION("importrange(""https://docs.google.com/spreadsheets/d/1WBmn03mnxrtox5uWO2YKJB7PYVfHYAUNt150alXp7eg/edit?gid=1996990278#gid=1996990278"",""2025-26!v4"")"),2997572.000000001)</f>
        <v>2997572</v>
      </c>
      <c r="AS122" s="55">
        <f>IFERROR(__xludf.DUMMYFUNCTION("importrange(""https://docs.google.com/spreadsheets/d/1WBmn03mnxrtox5uWO2YKJB7PYVfHYAUNt150alXp7eg/edit?gid=1996990278#gid=1996990278"",""2025-26!v3"")"),87.0)</f>
        <v>87</v>
      </c>
      <c r="AT122" s="57">
        <f>IFERROR(__xludf.DUMMYFUNCTION("importrange(""https://docs.google.com/spreadsheets/d/1WBmn03mnxrtox5uWO2YKJB7PYVfHYAUNt150alXp7eg/edit?gid=1996990278#gid=1996990278"",""2025-26!w4"")"),2316765.96)</f>
        <v>2316765.96</v>
      </c>
      <c r="AU122" s="55">
        <f>IFERROR(__xludf.DUMMYFUNCTION("importrange(""https://docs.google.com/spreadsheets/d/1WBmn03mnxrtox5uWO2YKJB7PYVfHYAUNt150alXp7eg/edit?gid=1996990278#gid=1996990278"",""2025-26!w3"")"),39.0)</f>
        <v>39</v>
      </c>
      <c r="AV122" s="58">
        <f t="shared" si="22"/>
        <v>0.8184157044</v>
      </c>
      <c r="AW122" s="55">
        <f>IFERROR(__xludf.DUMMYFUNCTION("importrange(""https://docs.google.com/spreadsheets/d/1WBmn03mnxrtox5uWO2YKJB7PYVfHYAUNt150alXp7eg/edit?gid=1996990278#gid=1996990278"",""2025-26!x4"")"),2453260.0)</f>
        <v>2453260</v>
      </c>
      <c r="AX122" s="55">
        <f>IFERROR(__xludf.DUMMYFUNCTION("importrange(""https://docs.google.com/spreadsheets/d/1WBmn03mnxrtox5uWO2YKJB7PYVfHYAUNt150alXp7eg/edit?gid=1996990278#gid=1996990278"",""2025-26!x3"")"),46.0)</f>
        <v>46</v>
      </c>
      <c r="AY122" s="55">
        <f>IFERROR(__xludf.DUMMYFUNCTION("importrange(""https://docs.google.com/spreadsheets/d/1WBmn03mnxrtox5uWO2YKJB7PYVfHYAUNt150alXp7eg/edit?gid=1996990278#gid=1996990278"",""2025-26!y4"")"),2897572.000000001)</f>
        <v>2897572</v>
      </c>
      <c r="AZ122" s="55">
        <f>IFERROR(__xludf.DUMMYFUNCTION("importrange(""https://docs.google.com/spreadsheets/d/1WBmn03mnxrtox5uWO2YKJB7PYVfHYAUNt150alXp7eg/edit?gid=1996990278#gid=1996990278"",""2025-26!y3"")"),85.0)</f>
        <v>85</v>
      </c>
      <c r="BA122" s="57">
        <f>IFERROR(__xludf.DUMMYFUNCTION("importrange(""https://docs.google.com/spreadsheets/d/1WBmn03mnxrtox5uWO2YKJB7PYVfHYAUNt150alXp7eg/edit?gid=1996990278#gid=1996990278"",""2025-26!z4"")"),3537967.2800000003)</f>
        <v>3537967.28</v>
      </c>
      <c r="BB122" s="55">
        <f>IFERROR(__xludf.DUMMYFUNCTION("importrange(""https://docs.google.com/spreadsheets/d/1WBmn03mnxrtox5uWO2YKJB7PYVfHYAUNt150alXp7eg/edit?gid=1996990278#gid=1996990278"",""2025-26!z3"")"),37.0)</f>
        <v>37</v>
      </c>
      <c r="BC122" s="59">
        <f t="shared" si="23"/>
        <v>0.9780654286</v>
      </c>
      <c r="BD122" s="55">
        <f>IFERROR(__xludf.DUMMYFUNCTION("importrange(""https://docs.google.com/spreadsheets/d/1WBmn03mnxrtox5uWO2YKJB7PYVfHYAUNt150alXp7eg/edit?gid=1996990278#gid=1996990278"",""2025-26!aa4"")"),2834015.0)</f>
        <v>2834015</v>
      </c>
      <c r="BE122" s="55">
        <f>IFERROR(__xludf.DUMMYFUNCTION("importrange(""https://docs.google.com/spreadsheets/d/1WBmn03mnxrtox5uWO2YKJB7PYVfHYAUNt150alXp7eg/edit?gid=1996990278#gid=1996990278"",""2025-26!aa3"")"),34.0)</f>
        <v>34</v>
      </c>
      <c r="BF122" s="55">
        <f>IFERROR(__xludf.DUMMYFUNCTION("importrange(""https://docs.google.com/spreadsheets/d/1WBmn03mnxrtox5uWO2YKJB7PYVfHYAUNt150alXp7eg/edit?gid=1996990278#gid=1996990278"",""2025-26!ab4"")"),2910572.000000001)</f>
        <v>2910572</v>
      </c>
      <c r="BG122" s="55">
        <f>IFERROR(__xludf.DUMMYFUNCTION("importrange(""https://docs.google.com/spreadsheets/d/1WBmn03mnxrtox5uWO2YKJB7PYVfHYAUNt150alXp7eg/edit?gid=1996990278#gid=1996990278"",""2025-26!ab3"")"),85.0)</f>
        <v>85</v>
      </c>
      <c r="BH122" s="55">
        <f>IFERROR(__xludf.DUMMYFUNCTION("importrange(""https://docs.google.com/spreadsheets/d/1WBmn03mnxrtox5uWO2YKJB7PYVfHYAUNt150alXp7eg/edit?gid=1996990278#gid=1996990278"",""2025-26!ac4"")"),2072428.59)</f>
        <v>2072428.59</v>
      </c>
      <c r="BI122" s="55">
        <f>IFERROR(__xludf.DUMMYFUNCTION("importrange(""https://docs.google.com/spreadsheets/d/1WBmn03mnxrtox5uWO2YKJB7PYVfHYAUNt150alXp7eg/edit?gid=1996990278#gid=1996990278"",""2025-26!ac3"")"),39.0)</f>
        <v>39</v>
      </c>
      <c r="BJ122" s="59">
        <f t="shared" si="24"/>
        <v>0.5023438692</v>
      </c>
      <c r="BK122" s="55">
        <f>IFERROR(__xludf.DUMMYFUNCTION("importrange(""https://docs.google.com/spreadsheets/d/1WBmn03mnxrtox5uWO2YKJB7PYVfHYAUNt150alXp7eg/edit?gid=1996990278#gid=1996990278"",""2025-26!ad4"")"),1462108.0)</f>
        <v>1462108</v>
      </c>
      <c r="BL122" s="55">
        <f>IFERROR(__xludf.DUMMYFUNCTION("importrange(""https://docs.google.com/spreadsheets/d/1WBmn03mnxrtox5uWO2YKJB7PYVfHYAUNt150alXp7eg/edit?gid=1996990278#gid=1996990278"",""2025-26!ad3"")"),34.0)</f>
        <v>34</v>
      </c>
      <c r="BM122" s="55">
        <f>IFERROR(__xludf.DUMMYFUNCTION("importrange(""https://docs.google.com/spreadsheets/d/1WBmn03mnxrtox5uWO2YKJB7PYVfHYAUNt150alXp7eg/edit?gid=1996990278#gid=1996990278"",""2025-26!ae4"")"),2930572.000000001)</f>
        <v>2930572</v>
      </c>
      <c r="BN122" s="55">
        <f>IFERROR(__xludf.DUMMYFUNCTION("importrange(""https://docs.google.com/spreadsheets/d/1WBmn03mnxrtox5uWO2YKJB7PYVfHYAUNt150alXp7eg/edit?gid=1996990278#gid=1996990278"",""2025-26!ae3"")"),86.0)</f>
        <v>86</v>
      </c>
      <c r="BO122" s="55">
        <f>IFERROR(__xludf.DUMMYFUNCTION("importrange(""https://docs.google.com/spreadsheets/d/1WBmn03mnxrtox5uWO2YKJB7PYVfHYAUNt150alXp7eg/edit?gid=1996990278#gid=1996990278"",""2025-26!af4"")"),2512106.04)</f>
        <v>2512106.04</v>
      </c>
      <c r="BP122" s="55">
        <f>IFERROR(__xludf.DUMMYFUNCTION("importrange(""https://docs.google.com/spreadsheets/d/1WBmn03mnxrtox5uWO2YKJB7PYVfHYAUNt150alXp7eg/edit?gid=1996990278#gid=1996990278"",""2025-26!af3"")"),35.0)</f>
        <v>35</v>
      </c>
      <c r="BQ122" s="59">
        <f t="shared" si="25"/>
        <v>0.651642751</v>
      </c>
      <c r="BR122" s="55">
        <f>IFERROR(__xludf.DUMMYFUNCTION("importrange(""https://docs.google.com/spreadsheets/d/1WBmn03mnxrtox5uWO2YKJB7PYVfHYAUNt150alXp7eg/edit?gid=1996990278#gid=1996990278"",""2025-26!ag4"")"),1909686.0)</f>
        <v>1909686</v>
      </c>
      <c r="BS122" s="55">
        <f>IFERROR(__xludf.DUMMYFUNCTION("importrange(""https://docs.google.com/spreadsheets/d/1WBmn03mnxrtox5uWO2YKJB7PYVfHYAUNt150alXp7eg/edit?gid=1996990278#gid=1996990278"",""2025-26!ag3"")"),37.0)</f>
        <v>37</v>
      </c>
      <c r="BT122" s="55">
        <f>IFERROR(__xludf.DUMMYFUNCTION("importrange(""https://docs.google.com/spreadsheets/d/1WBmn03mnxrtox5uWO2YKJB7PYVfHYAUNt150alXp7eg/edit?gid=1996990278#gid=1996990278"",""2025-26!ah4"")"),2990572.000000001)</f>
        <v>2990572</v>
      </c>
      <c r="BU122" s="55">
        <f>IFERROR(__xludf.DUMMYFUNCTION("importrange(""https://docs.google.com/spreadsheets/d/1WBmn03mnxrtox5uWO2YKJB7PYVfHYAUNt150alXp7eg/edit?gid=1996990278#gid=1996990278"",""2025-26!ah3"")"),87.0)</f>
        <v>87</v>
      </c>
      <c r="BV122" s="55">
        <f>IFERROR(__xludf.DUMMYFUNCTION("importrange(""https://docs.google.com/spreadsheets/d/1WBmn03mnxrtox5uWO2YKJB7PYVfHYAUNt150alXp7eg/edit?gid=1996990278#gid=1996990278"",""2025-26!ai4"")"),3030853.069999999)</f>
        <v>3030853.07</v>
      </c>
      <c r="BW122" s="55">
        <f>IFERROR(__xludf.DUMMYFUNCTION("importrange(""https://docs.google.com/spreadsheets/d/1WBmn03mnxrtox5uWO2YKJB7PYVfHYAUNt150alXp7eg/edit?gid=1996990278#gid=1996990278"",""2025-26!ai3"")"),39.0)</f>
        <v>39</v>
      </c>
      <c r="BX122" s="59">
        <f t="shared" si="26"/>
        <v>0.8542533</v>
      </c>
      <c r="BY122" s="55">
        <f>IFERROR(__xludf.DUMMYFUNCTION("importrange(""https://docs.google.com/spreadsheets/d/1WBmn03mnxrtox5uWO2YKJB7PYVfHYAUNt150alXp7eg/edit?gid=1996990278#gid=1996990278"",""2025-26!aj4"")"),2554706.0)</f>
        <v>2554706</v>
      </c>
      <c r="BZ122" s="55">
        <f>IFERROR(__xludf.DUMMYFUNCTION("importrange(""https://docs.google.com/spreadsheets/d/1WBmn03mnxrtox5uWO2YKJB7PYVfHYAUNt150alXp7eg/edit?gid=1996990278#gid=1996990278"",""2025-26!aj3"")"),37.0)</f>
        <v>37</v>
      </c>
      <c r="CA122" s="55">
        <f>IFERROR(__xludf.DUMMYFUNCTION("importrange(""https://docs.google.com/spreadsheets/d/1WBmn03mnxrtox5uWO2YKJB7PYVfHYAUNt150alXp7eg/edit?gid=1996990278#gid=1996990278"",""2025-26!ak4"")"),2940572.000000001)</f>
        <v>2940572</v>
      </c>
      <c r="CB122" s="55">
        <f>IFERROR(__xludf.DUMMYFUNCTION("importrange(""https://docs.google.com/spreadsheets/d/1WBmn03mnxrtox5uWO2YKJB7PYVfHYAUNt150alXp7eg/edit?gid=1996990278#gid=1996990278"",""2025-26!ak3"")"),87.0)</f>
        <v>87</v>
      </c>
      <c r="CC122" s="55">
        <f>IFERROR(__xludf.DUMMYFUNCTION("importrange(""https://docs.google.com/spreadsheets/d/1WBmn03mnxrtox5uWO2YKJB7PYVfHYAUNt150alXp7eg/edit?gid=1996990278#gid=1996990278"",""2025-26!al4"")"),4666821.41)</f>
        <v>4666821.41</v>
      </c>
      <c r="CD122" s="55">
        <f>IFERROR(__xludf.DUMMYFUNCTION("importrange(""https://docs.google.com/spreadsheets/d/1WBmn03mnxrtox5uWO2YKJB7PYVfHYAUNt150alXp7eg/edit?gid=1996990278#gid=1996990278"",""2025-26!ai3"")"),39.0)</f>
        <v>39</v>
      </c>
      <c r="CE122" s="59">
        <f t="shared" si="27"/>
        <v>1.167220527</v>
      </c>
      <c r="CF122" s="55">
        <f>IFERROR(__xludf.DUMMYFUNCTION("importrange(""https://docs.google.com/spreadsheets/d/1WBmn03mnxrtox5uWO2YKJB7PYVfHYAUNt150alXp7eg/edit?gid=1996990278#gid=1996990278"",""2025-26!am4"")"),3432296.0)</f>
        <v>3432296</v>
      </c>
      <c r="CG122" s="55">
        <f>IFERROR(__xludf.DUMMYFUNCTION("importrange(""https://docs.google.com/spreadsheets/d/1WBmn03mnxrtox5uWO2YKJB7PYVfHYAUNt150alXp7eg/edit?gid=1996990278#gid=1996990278"",""2025-26!am3"")"),42.0)</f>
        <v>42</v>
      </c>
      <c r="CH122" s="55">
        <f>IFERROR(__xludf.DUMMYFUNCTION("importrange(""https://docs.google.com/spreadsheets/d/1WBmn03mnxrtox5uWO2YKJB7PYVfHYAUNt150alXp7eg/edit?gid=1996990278#gid=1996990278"",""2025-26!an4"")"),2930572.000000001)</f>
        <v>2930572</v>
      </c>
      <c r="CI122" s="55">
        <f>IFERROR(__xludf.DUMMYFUNCTION("importrange(""https://docs.google.com/spreadsheets/d/1WBmn03mnxrtox5uWO2YKJB7PYVfHYAUNt150alXp7eg/edit?gid=1996990278#gid=1996990278"",""2025-26!an3"")"),87.0)</f>
        <v>87</v>
      </c>
      <c r="CJ122" s="55">
        <f>IFERROR(__xludf.DUMMYFUNCTION("importrange(""https://docs.google.com/spreadsheets/d/1WBmn03mnxrtox5uWO2YKJB7PYVfHYAUNt150alXp7eg/edit?gid=1996990278#gid=1996990278"",""2025-26!ao4"")"),2548102.1600000006)</f>
        <v>2548102.16</v>
      </c>
      <c r="CK122" s="55">
        <f>IFERROR(__xludf.DUMMYFUNCTION("importrange(""https://docs.google.com/spreadsheets/d/1WBmn03mnxrtox5uWO2YKJB7PYVfHYAUNt150alXp7eg/edit?gid=1996990278#gid=1996990278"",""2025-26!ao3"")"),48.0)</f>
        <v>48</v>
      </c>
      <c r="CL122" s="59">
        <f t="shared" si="28"/>
        <v>0.6118747466</v>
      </c>
      <c r="CM122" s="55">
        <f>IFERROR(__xludf.DUMMYFUNCTION("importrange(""https://docs.google.com/spreadsheets/d/1WBmn03mnxrtox5uWO2YKJB7PYVfHYAUNt150alXp7eg/edit?gid=1996990278#gid=1996990278"",""2025-26!ap4"")"),1793143.0)</f>
        <v>1793143</v>
      </c>
      <c r="CN122" s="55">
        <f>IFERROR(__xludf.DUMMYFUNCTION("importrange(""https://docs.google.com/spreadsheets/d/1WBmn03mnxrtox5uWO2YKJB7PYVfHYAUNt150alXp7eg/edit?gid=1996990278#gid=1996990278"",""2025-26!ap3"")"),45.0)</f>
        <v>45</v>
      </c>
      <c r="CO122" s="55">
        <f>IFERROR(__xludf.DUMMYFUNCTION("importrange(""https://docs.google.com/spreadsheets/d/1WBmn03mnxrtox5uWO2YKJB7PYVfHYAUNt150alXp7eg/edit?gid=1996990278#gid=1996990278"",""2025-26!aq4"")"),2940572.000000001)</f>
        <v>2940572</v>
      </c>
      <c r="CP122" s="55">
        <f>IFERROR(__xludf.DUMMYFUNCTION("importrange(""https://docs.google.com/spreadsheets/d/1WBmn03mnxrtox5uWO2YKJB7PYVfHYAUNt150alXp7eg/edit?gid=1996990278#gid=1996990278"",""2025-26!aq3"")"),87.0)</f>
        <v>87</v>
      </c>
      <c r="CQ122" s="55">
        <f>IFERROR(__xludf.DUMMYFUNCTION("importrange(""https://docs.google.com/spreadsheets/d/1WBmn03mnxrtox5uWO2YKJB7PYVfHYAUNt150alXp7eg/edit?gid=1996990278#gid=1996990278"",""2025-26!ar4"")"),4634275.0)</f>
        <v>4634275</v>
      </c>
      <c r="CR122" s="55">
        <f>IFERROR(__xludf.DUMMYFUNCTION("importrange(""https://docs.google.com/spreadsheets/d/1WBmn03mnxrtox5uWO2YKJB7PYVfHYAUNt150alXp7eg/edit?gid=1996990278#gid=1996990278"",""2025-26!ar3"")"),44.0)</f>
        <v>44</v>
      </c>
      <c r="CS122" s="59">
        <f t="shared" si="29"/>
        <v>1.334871243</v>
      </c>
      <c r="CT122" s="55">
        <f>IFERROR(__xludf.DUMMYFUNCTION("importrange(""https://docs.google.com/spreadsheets/d/1WBmn03mnxrtox5uWO2YKJB7PYVfHYAUNt150alXp7eg/edit?gid=1996990278#gid=1996990278"",""2025-26!as4"")"),3925285.0)</f>
        <v>3925285</v>
      </c>
      <c r="CU122" s="55">
        <f>IFERROR(__xludf.DUMMYFUNCTION("importrange(""https://docs.google.com/spreadsheets/d/1WBmn03mnxrtox5uWO2YKJB7PYVfHYAUNt150alXp7eg/edit?gid=1996990278#gid=1996990278"",""2025-26!as3"")"),44.0)</f>
        <v>44</v>
      </c>
      <c r="CV122" s="60" t="s">
        <v>215</v>
      </c>
    </row>
    <row r="123">
      <c r="A123" s="1" t="s">
        <v>185</v>
      </c>
      <c r="B123" s="37"/>
      <c r="C123" s="64" t="s">
        <v>269</v>
      </c>
      <c r="D123" s="68" t="s">
        <v>270</v>
      </c>
      <c r="E123" s="50">
        <v>8.117014315E9</v>
      </c>
      <c r="F123" s="74">
        <v>45434.0</v>
      </c>
      <c r="G123" s="62"/>
      <c r="H123" s="62"/>
      <c r="I123" s="53">
        <v>63535.0</v>
      </c>
      <c r="J123" s="54">
        <v>2000000.0</v>
      </c>
      <c r="K123" s="57">
        <f>IFERROR(__xludf.DUMMYFUNCTION("IMPORTRANGE(""https://docs.google.com/spreadsheets/d/1H5ov6exB2KA-MsYBzkS8Gakd86NhbRUa-tEOe1wSAcY/edit?gid=1996990278#gid=1996990278"",""2025-26!A3"")"),77.0)</f>
        <v>77</v>
      </c>
      <c r="L123" s="57">
        <f>IFERROR(__xludf.DUMMYFUNCTION("IMPORTRANGE(""https://docs.google.com/spreadsheets/d/1H5ov6exB2KA-MsYBzkS8Gakd86NhbRUa-tEOe1wSAcY/edit?gid=1996990278#gid=1996990278"",""2025-26!G4"")"),6561286.0)</f>
        <v>6561286</v>
      </c>
      <c r="M123" s="57">
        <f t="shared" si="50"/>
        <v>12403017.53</v>
      </c>
      <c r="N123" s="56">
        <f t="shared" si="51"/>
        <v>2.288855389</v>
      </c>
      <c r="O123" s="57">
        <f t="shared" si="52"/>
        <v>15017834.82</v>
      </c>
      <c r="P123" s="55">
        <f>IFERROR(__xludf.DUMMYFUNCTION("IMPORTRANGE(""https://docs.google.com/spreadsheets/d/1H5ov6exB2KA-MsYBzkS8Gakd86NhbRUa-tEOe1wSAcY/edit?gid=1996990278#gid=1996990278"",""2025-26!J4"")"),659971.0)</f>
        <v>659971</v>
      </c>
      <c r="Q123" s="55">
        <f>IFERROR(__xludf.DUMMYFUNCTION("IMPORTRANGE(""https://docs.google.com/spreadsheets/d/1H5ov6exB2KA-MsYBzkS8Gakd86NhbRUa-tEOe1wSAcY/edit?gid=1996990278#gid=1996990278"",""2025-26!J3"")"),45.0)</f>
        <v>45</v>
      </c>
      <c r="R123" s="55">
        <f>IFERROR(__xludf.DUMMYFUNCTION("IMPORTRANGE(""https://docs.google.com/spreadsheets/d/1H5ov6exB2KA-MsYBzkS8Gakd86NhbRUa-tEOe1wSAcY/edit?gid=1996990278#gid=1996990278"",""2025-26!K4"")"),945549.9400000001)</f>
        <v>945549.94</v>
      </c>
      <c r="S123" s="55">
        <f>IFERROR(__xludf.DUMMYFUNCTION("IMPORTRANGE(""https://docs.google.com/spreadsheets/d/1H5ov6exB2KA-MsYBzkS8Gakd86NhbRUa-tEOe1wSAcY/edit?gid=1996990278#gid=1996990278"",""2025-26!K3"")"),23.0)</f>
        <v>23</v>
      </c>
      <c r="T123" s="58">
        <f t="shared" si="18"/>
        <v>1.498790098</v>
      </c>
      <c r="U123" s="55">
        <f>IFERROR(__xludf.DUMMYFUNCTION("IMPORTRANGE(""https://docs.google.com/spreadsheets/d/1H5ov6exB2KA-MsYBzkS8Gakd86NhbRUa-tEOe1wSAcY/edit?gid=1996990278#gid=1996990278"",""2025-26!L4"")"),989158.0)</f>
        <v>989158</v>
      </c>
      <c r="V123" s="79">
        <f>IFERROR(__xludf.DUMMYFUNCTION("IMPORTRANGE(""https://docs.google.com/spreadsheets/d/1H5ov6exB2KA-MsYBzkS8Gakd86NhbRUa-tEOe1wSAcY/edit?gid=1996990278#gid=1996990278"",""2025-26!L3"")"),34.0)</f>
        <v>34</v>
      </c>
      <c r="W123" s="55">
        <f>IFERROR(__xludf.DUMMYFUNCTION("IMPORTRANGE(""https://docs.google.com/spreadsheets/d/1H5ov6exB2KA-MsYBzkS8Gakd86NhbRUa-tEOe1wSAcY/edit?gid=1996990278#gid=1996990278"",""2025-26!M4"")"),661112.0)</f>
        <v>661112</v>
      </c>
      <c r="X123" s="79">
        <f>IFERROR(__xludf.DUMMYFUNCTION("IMPORTRANGE(""https://docs.google.com/spreadsheets/d/1H5ov6exB2KA-MsYBzkS8Gakd86NhbRUa-tEOe1wSAcY/edit?gid=1996990278#gid=1996990278"",""2025-26!M3"")"),45.0)</f>
        <v>45</v>
      </c>
      <c r="Y123" s="55">
        <f>IFERROR(__xludf.DUMMYFUNCTION("importrange(""https://docs.google.com/spreadsheets/d/1H5ov6exB2KA-MsYBzkS8Gakd86NhbRUa-tEOe1wSAcY/edit?gid=1996990278#gid=1996990278"",""2025-26!n4"")"),1258018.3399999999)</f>
        <v>1258018.34</v>
      </c>
      <c r="Z123" s="55">
        <f>IFERROR(__xludf.DUMMYFUNCTION("importrange(""https://docs.google.com/spreadsheets/d/1H5ov6exB2KA-MsYBzkS8Gakd86NhbRUa-tEOe1wSAcY/edit?gid=1996990278#gid=1996990278"",""2025-26!n3"")"),21.0)</f>
        <v>21</v>
      </c>
      <c r="AA123" s="58">
        <f t="shared" si="19"/>
        <v>1.936779245</v>
      </c>
      <c r="AB123" s="55">
        <f>IFERROR(__xludf.DUMMYFUNCTION("importrange(""https://docs.google.com/spreadsheets/d/1H5ov6exB2KA-MsYBzkS8Gakd86NhbRUa-tEOe1wSAcY/edit?gid=1996990278#gid=1996990278"",""2025-26!o4"")"),1280428.0)</f>
        <v>1280428</v>
      </c>
      <c r="AC123" s="55">
        <f>IFERROR(__xludf.DUMMYFUNCTION("importrange(""https://docs.google.com/spreadsheets/d/1H5ov6exB2KA-MsYBzkS8Gakd86NhbRUa-tEOe1wSAcY/edit?gid=1996990278#gid=1996990278"",""2025-26!o3"")"),24.0)</f>
        <v>24</v>
      </c>
      <c r="AD123" s="55">
        <f>IFERROR(__xludf.DUMMYFUNCTION("importrange(""https://docs.google.com/spreadsheets/d/1H5ov6exB2KA-MsYBzkS8Gakd86NhbRUa-tEOe1wSAcY/edit?gid=1996990278#gid=1996990278"",""2025-26!p4"")"),661341.0)</f>
        <v>661341</v>
      </c>
      <c r="AE123" s="55">
        <f>IFERROR(__xludf.DUMMYFUNCTION("importrange(""https://docs.google.com/spreadsheets/d/1H5ov6exB2KA-MsYBzkS8Gakd86NhbRUa-tEOe1wSAcY/edit?gid=1996990278#gid=1996990278"",""2025-26!p3"")"),46.0)</f>
        <v>46</v>
      </c>
      <c r="AF123" s="55">
        <f>IFERROR(__xludf.DUMMYFUNCTION("importrange(""https://docs.google.com/spreadsheets/d/1H5ov6exB2KA-MsYBzkS8Gakd86NhbRUa-tEOe1wSAcY/edit?gid=1996990278#gid=1996990278"",""2025-26!q4"")"),702782.52)</f>
        <v>702782.52</v>
      </c>
      <c r="AG123" s="55">
        <f>IFERROR(__xludf.DUMMYFUNCTION("importrange(""https://docs.google.com/spreadsheets/d/1H5ov6exB2KA-MsYBzkS8Gakd86NhbRUa-tEOe1wSAcY/edit?gid=1996990278#gid=1996990278"",""2025-26!q3"")"),16.0)</f>
        <v>16</v>
      </c>
      <c r="AH123" s="58">
        <f t="shared" si="20"/>
        <v>2.047388564</v>
      </c>
      <c r="AI123" s="55">
        <f>IFERROR(__xludf.DUMMYFUNCTION("importrange(""https://docs.google.com/spreadsheets/d/1H5ov6exB2KA-MsYBzkS8Gakd86NhbRUa-tEOe1wSAcY/edit?gid=1996990278#gid=1996990278"",""2025-26!r4"")"),1354022.0)</f>
        <v>1354022</v>
      </c>
      <c r="AJ123" s="55">
        <f>IFERROR(__xludf.DUMMYFUNCTION("importrange(""https://docs.google.com/spreadsheets/d/1H5ov6exB2KA-MsYBzkS8Gakd86NhbRUa-tEOe1wSAcY/edit?gid=1996990278#gid=1996990278"",""2025-26!r3"")"),25.0)</f>
        <v>25</v>
      </c>
      <c r="AK123" s="55">
        <f>IFERROR(__xludf.DUMMYFUNCTION("importrange(""https://docs.google.com/spreadsheets/d/1H5ov6exB2KA-MsYBzkS8Gakd86NhbRUa-tEOe1wSAcY/edit?gid=1996990278#gid=1996990278"",""2025-26!s4"")"),666076.0)</f>
        <v>666076</v>
      </c>
      <c r="AL123" s="55">
        <f>IFERROR(__xludf.DUMMYFUNCTION("importrange(""https://docs.google.com/spreadsheets/d/1H5ov6exB2KA-MsYBzkS8Gakd86NhbRUa-tEOe1wSAcY/edit?gid=1996990278#gid=1996990278"",""2025-26!s3"")"),44.0)</f>
        <v>44</v>
      </c>
      <c r="AM123" s="57">
        <f>IFERROR(__xludf.DUMMYFUNCTION("importrange(""https://docs.google.com/spreadsheets/d/1H5ov6exB2KA-MsYBzkS8Gakd86NhbRUa-tEOe1wSAcY/edit?gid=1996990278#gid=1996990278"",""2025-26!t4"")"),1586080.2099999988)</f>
        <v>1586080.21</v>
      </c>
      <c r="AN123" s="55">
        <f>IFERROR(__xludf.DUMMYFUNCTION("importrange(""https://docs.google.com/spreadsheets/d/1H5ov6exB2KA-MsYBzkS8Gakd86NhbRUa-tEOe1wSAcY/edit?gid=1996990278#gid=1996990278"",""2025-26!t3"")"),25.0)</f>
        <v>25</v>
      </c>
      <c r="AO123" s="58">
        <f t="shared" si="21"/>
        <v>2.377024544</v>
      </c>
      <c r="AP123" s="55">
        <f>IFERROR(__xludf.DUMMYFUNCTION("importrange(""https://docs.google.com/spreadsheets/d/1H5ov6exB2KA-MsYBzkS8Gakd86NhbRUa-tEOe1wSAcY/edit?gid=1996990278#gid=1996990278"",""2025-26!u4"")"),1583279.0)</f>
        <v>1583279</v>
      </c>
      <c r="AQ123" s="55">
        <f>IFERROR(__xludf.DUMMYFUNCTION("importrange(""https://docs.google.com/spreadsheets/d/1H5ov6exB2KA-MsYBzkS8Gakd86NhbRUa-tEOe1wSAcY/edit?gid=1996990278#gid=1996990278"",""2025-26!u3"")"),34.0)</f>
        <v>34</v>
      </c>
      <c r="AR123" s="55">
        <f>IFERROR(__xludf.DUMMYFUNCTION("importrange(""https://docs.google.com/spreadsheets/d/1H5ov6exB2KA-MsYBzkS8Gakd86NhbRUa-tEOe1wSAcY/edit?gid=1996990278#gid=1996990278"",""2025-26!v4"")"),656076.0)</f>
        <v>656076</v>
      </c>
      <c r="AS123" s="55">
        <f>IFERROR(__xludf.DUMMYFUNCTION("importrange(""https://docs.google.com/spreadsheets/d/1H5ov6exB2KA-MsYBzkS8Gakd86NhbRUa-tEOe1wSAcY/edit?gid=1996990278#gid=1996990278"",""2025-26!v3"")"),44.0)</f>
        <v>44</v>
      </c>
      <c r="AT123" s="57">
        <f>IFERROR(__xludf.DUMMYFUNCTION("importrange(""https://docs.google.com/spreadsheets/d/1H5ov6exB2KA-MsYBzkS8Gakd86NhbRUa-tEOe1wSAcY/edit?gid=1996990278#gid=1996990278"",""2025-26!w4"")"),988723.28)</f>
        <v>988723.28</v>
      </c>
      <c r="AU123" s="55">
        <f>IFERROR(__xludf.DUMMYFUNCTION("importrange(""https://docs.google.com/spreadsheets/d/1H5ov6exB2KA-MsYBzkS8Gakd86NhbRUa-tEOe1wSAcY/edit?gid=1996990278#gid=1996990278"",""2025-26!w3"")"),16.0)</f>
        <v>16</v>
      </c>
      <c r="AV123" s="58">
        <f t="shared" si="22"/>
        <v>1.647417372</v>
      </c>
      <c r="AW123" s="55">
        <f>IFERROR(__xludf.DUMMYFUNCTION("importrange(""https://docs.google.com/spreadsheets/d/1H5ov6exB2KA-MsYBzkS8Gakd86NhbRUa-tEOe1wSAcY/edit?gid=1996990278#gid=1996990278"",""2025-26!x4"")"),1080831.0)</f>
        <v>1080831</v>
      </c>
      <c r="AX123" s="55">
        <f>IFERROR(__xludf.DUMMYFUNCTION("importrange(""https://docs.google.com/spreadsheets/d/1H5ov6exB2KA-MsYBzkS8Gakd86NhbRUa-tEOe1wSAcY/edit?gid=1996990278#gid=1996990278"",""2025-26!x3"")"),17.0)</f>
        <v>17</v>
      </c>
      <c r="AY123" s="55">
        <f>IFERROR(__xludf.DUMMYFUNCTION("importrange(""https://docs.google.com/spreadsheets/d/1H5ov6exB2KA-MsYBzkS8Gakd86NhbRUa-tEOe1wSAcY/edit?gid=1996990278#gid=1996990278"",""2025-26!y4"")"),657076.0)</f>
        <v>657076</v>
      </c>
      <c r="AZ123" s="55">
        <f>IFERROR(__xludf.DUMMYFUNCTION("importrange(""https://docs.google.com/spreadsheets/d/1H5ov6exB2KA-MsYBzkS8Gakd86NhbRUa-tEOe1wSAcY/edit?gid=1996990278#gid=1996990278"",""2025-26!y3"")"),44.0)</f>
        <v>44</v>
      </c>
      <c r="BA123" s="57">
        <f>IFERROR(__xludf.DUMMYFUNCTION("importrange(""https://docs.google.com/spreadsheets/d/1H5ov6exB2KA-MsYBzkS8Gakd86NhbRUa-tEOe1wSAcY/edit?gid=1996990278#gid=1996990278"",""2025-26!z4"")"),1189052.4799999997)</f>
        <v>1189052.48</v>
      </c>
      <c r="BB123" s="55">
        <f>IFERROR(__xludf.DUMMYFUNCTION("importrange(""https://docs.google.com/spreadsheets/d/1H5ov6exB2KA-MsYBzkS8Gakd86NhbRUa-tEOe1wSAcY/edit?gid=1996990278#gid=1996990278"",""2025-26!z3"")"),25.0)</f>
        <v>25</v>
      </c>
      <c r="BC123" s="59">
        <f t="shared" si="23"/>
        <v>1.905604527</v>
      </c>
      <c r="BD123" s="55">
        <f>IFERROR(__xludf.DUMMYFUNCTION("importrange(""https://docs.google.com/spreadsheets/d/1H5ov6exB2KA-MsYBzkS8Gakd86NhbRUa-tEOe1wSAcY/edit?gid=1996990278#gid=1996990278"",""2025-26!aa4"")"),1252127.0)</f>
        <v>1252127</v>
      </c>
      <c r="BE123" s="55">
        <f>IFERROR(__xludf.DUMMYFUNCTION("importrange(""https://docs.google.com/spreadsheets/d/1H5ov6exB2KA-MsYBzkS8Gakd86NhbRUa-tEOe1wSAcY/edit?gid=1996990278#gid=1996990278"",""2025-26!aa3"")"),27.0)</f>
        <v>27</v>
      </c>
      <c r="BF123" s="55">
        <f>IFERROR(__xludf.DUMMYFUNCTION("importrange(""https://docs.google.com/spreadsheets/d/1H5ov6exB2KA-MsYBzkS8Gakd86NhbRUa-tEOe1wSAcY/edit?gid=1996990278#gid=1996990278"",""2025-26!ab4"")"),656076.0)</f>
        <v>656076</v>
      </c>
      <c r="BG123" s="55">
        <f>IFERROR(__xludf.DUMMYFUNCTION("importrange(""https://docs.google.com/spreadsheets/d/1H5ov6exB2KA-MsYBzkS8Gakd86NhbRUa-tEOe1wSAcY/edit?gid=1996990278#gid=1996990278"",""2025-26!ab3"")"),44.0)</f>
        <v>44</v>
      </c>
      <c r="BH123" s="55">
        <f>IFERROR(__xludf.DUMMYFUNCTION("importrange(""https://docs.google.com/spreadsheets/d/1H5ov6exB2KA-MsYBzkS8Gakd86NhbRUa-tEOe1wSAcY/edit?gid=1996990278#gid=1996990278"",""2025-26!ac4"")"),916405.0)</f>
        <v>916405</v>
      </c>
      <c r="BI123" s="55">
        <f>IFERROR(__xludf.DUMMYFUNCTION("importrange(""https://docs.google.com/spreadsheets/d/1H5ov6exB2KA-MsYBzkS8Gakd86NhbRUa-tEOe1wSAcY/edit?gid=1996990278#gid=1996990278"",""2025-26!ac3"")"),21.0)</f>
        <v>21</v>
      </c>
      <c r="BJ123" s="59">
        <f t="shared" si="24"/>
        <v>1.381442089</v>
      </c>
      <c r="BK123" s="55">
        <f>IFERROR(__xludf.DUMMYFUNCTION("importrange(""https://docs.google.com/spreadsheets/d/1H5ov6exB2KA-MsYBzkS8Gakd86NhbRUa-tEOe1wSAcY/edit?gid=1996990278#gid=1996990278"",""2025-26!ad4"")"),906331.0)</f>
        <v>906331</v>
      </c>
      <c r="BL123" s="55">
        <f>IFERROR(__xludf.DUMMYFUNCTION("importrange(""https://docs.google.com/spreadsheets/d/1H5ov6exB2KA-MsYBzkS8Gakd86NhbRUa-tEOe1wSAcY/edit?gid=1996990278#gid=1996990278"",""2025-26!ad3"")"),24.0)</f>
        <v>24</v>
      </c>
      <c r="BM123" s="55">
        <f>IFERROR(__xludf.DUMMYFUNCTION("importrange(""https://docs.google.com/spreadsheets/d/1H5ov6exB2KA-MsYBzkS8Gakd86NhbRUa-tEOe1wSAcY/edit?gid=1996990278#gid=1996990278"",""2025-26!ae4"")"),666076.0)</f>
        <v>666076</v>
      </c>
      <c r="BN123" s="55">
        <f>IFERROR(__xludf.DUMMYFUNCTION("importrange(""https://docs.google.com/spreadsheets/d/1H5ov6exB2KA-MsYBzkS8Gakd86NhbRUa-tEOe1wSAcY/edit?gid=1996990278#gid=1996990278"",""2025-26!ae3"")"),44.0)</f>
        <v>44</v>
      </c>
      <c r="BO123" s="55">
        <f>IFERROR(__xludf.DUMMYFUNCTION("importrange(""https://docs.google.com/spreadsheets/d/1H5ov6exB2KA-MsYBzkS8Gakd86NhbRUa-tEOe1wSAcY/edit?gid=1996990278#gid=1996990278"",""2025-26!af4"")"),931757.36)</f>
        <v>931757.36</v>
      </c>
      <c r="BP123" s="55">
        <f>IFERROR(__xludf.DUMMYFUNCTION("importrange(""https://docs.google.com/spreadsheets/d/1H5ov6exB2KA-MsYBzkS8Gakd86NhbRUa-tEOe1wSAcY/edit?gid=1996990278#gid=1996990278"",""2025-26!af3"")"),19.0)</f>
        <v>19</v>
      </c>
      <c r="BQ123" s="59">
        <f t="shared" si="25"/>
        <v>1.323053225</v>
      </c>
      <c r="BR123" s="55">
        <f>IFERROR(__xludf.DUMMYFUNCTION("importrange(""https://docs.google.com/spreadsheets/d/1H5ov6exB2KA-MsYBzkS8Gakd86NhbRUa-tEOe1wSAcY/edit?gid=1996990278#gid=1996990278"",""2025-26!ag4"")"),881254.0)</f>
        <v>881254</v>
      </c>
      <c r="BS123" s="55">
        <f>IFERROR(__xludf.DUMMYFUNCTION("importrange(""https://docs.google.com/spreadsheets/d/1H5ov6exB2KA-MsYBzkS8Gakd86NhbRUa-tEOe1wSAcY/edit?gid=1996990278#gid=1996990278"",""2025-26!ag3"")"),22.0)</f>
        <v>22</v>
      </c>
      <c r="BT123" s="55">
        <f>IFERROR(__xludf.DUMMYFUNCTION("importrange(""https://docs.google.com/spreadsheets/d/1H5ov6exB2KA-MsYBzkS8Gakd86NhbRUa-tEOe1wSAcY/edit?gid=1996990278#gid=1996990278"",""2025-26!ah4"")"),656319.0)</f>
        <v>656319</v>
      </c>
      <c r="BU123" s="55">
        <f>IFERROR(__xludf.DUMMYFUNCTION("importrange(""https://docs.google.com/spreadsheets/d/1H5ov6exB2KA-MsYBzkS8Gakd86NhbRUa-tEOe1wSAcY/edit?gid=1996990278#gid=1996990278"",""2025-26!ah3"")"),44.0)</f>
        <v>44</v>
      </c>
      <c r="BV123" s="55">
        <f>IFERROR(__xludf.DUMMYFUNCTION("importrange(""https://docs.google.com/spreadsheets/d/1H5ov6exB2KA-MsYBzkS8Gakd86NhbRUa-tEOe1wSAcY/edit?gid=1996990278#gid=1996990278"",""2025-26!ai4"")"),1698706.58)</f>
        <v>1698706.58</v>
      </c>
      <c r="BW123" s="55">
        <f>IFERROR(__xludf.DUMMYFUNCTION("importrange(""https://docs.google.com/spreadsheets/d/1H5ov6exB2KA-MsYBzkS8Gakd86NhbRUa-tEOe1wSAcY/edit?gid=1996990278#gid=1996990278"",""2025-26!ai3"")"),27.0)</f>
        <v>27</v>
      </c>
      <c r="BX123" s="59">
        <f t="shared" si="26"/>
        <v>2.465648564</v>
      </c>
      <c r="BY123" s="55">
        <f>IFERROR(__xludf.DUMMYFUNCTION("importrange(""https://docs.google.com/spreadsheets/d/1H5ov6exB2KA-MsYBzkS8Gakd86NhbRUa-tEOe1wSAcY/edit?gid=1996990278#gid=1996990278"",""2025-26!aj4"")"),1618252.0)</f>
        <v>1618252</v>
      </c>
      <c r="BZ123" s="55">
        <f>IFERROR(__xludf.DUMMYFUNCTION("importrange(""https://docs.google.com/spreadsheets/d/1H5ov6exB2KA-MsYBzkS8Gakd86NhbRUa-tEOe1wSAcY/edit?gid=1996990278#gid=1996990278"",""2025-26!aj3"")"),28.0)</f>
        <v>28</v>
      </c>
      <c r="CA123" s="55">
        <f>IFERROR(__xludf.DUMMYFUNCTION("importrange(""https://docs.google.com/spreadsheets/d/1H5ov6exB2KA-MsYBzkS8Gakd86NhbRUa-tEOe1wSAcY/edit?gid=1996990278#gid=1996990278"",""2025-26!ak4"")"),656076.0)</f>
        <v>656076</v>
      </c>
      <c r="CB123" s="55">
        <f>IFERROR(__xludf.DUMMYFUNCTION("importrange(""https://docs.google.com/spreadsheets/d/1H5ov6exB2KA-MsYBzkS8Gakd86NhbRUa-tEOe1wSAcY/edit?gid=1996990278#gid=1996990278"",""2025-26!ak3"")"),44.0)</f>
        <v>44</v>
      </c>
      <c r="CC123" s="55">
        <f>IFERROR(__xludf.DUMMYFUNCTION("importrange(""https://docs.google.com/spreadsheets/d/1H5ov6exB2KA-MsYBzkS8Gakd86NhbRUa-tEOe1wSAcY/edit?gid=1996990278#gid=1996990278"",""2025-26!al4"")"),873004.9700000001)</f>
        <v>873004.97</v>
      </c>
      <c r="CD123" s="55">
        <f>IFERROR(__xludf.DUMMYFUNCTION("importrange(""https://docs.google.com/spreadsheets/d/1H5ov6exB2KA-MsYBzkS8Gakd86NhbRUa-tEOe1wSAcY/edit?gid=1996990278#gid=1996990278"",""2025-26!ai3"")"),27.0)</f>
        <v>27</v>
      </c>
      <c r="CE123" s="59">
        <f t="shared" si="27"/>
        <v>1.53288491</v>
      </c>
      <c r="CF123" s="55">
        <f>IFERROR(__xludf.DUMMYFUNCTION("importrange(""https://docs.google.com/spreadsheets/d/1H5ov6exB2KA-MsYBzkS8Gakd86NhbRUa-tEOe1wSAcY/edit?gid=1996990278#gid=1996990278"",""2025-26!am4"")"),1005689.0)</f>
        <v>1005689</v>
      </c>
      <c r="CG123" s="55">
        <f>IFERROR(__xludf.DUMMYFUNCTION("importrange(""https://docs.google.com/spreadsheets/d/1H5ov6exB2KA-MsYBzkS8Gakd86NhbRUa-tEOe1wSAcY/edit?gid=1996990278#gid=1996990278"",""2025-26!am3"")"),25.0)</f>
        <v>25</v>
      </c>
      <c r="CH123" s="55">
        <f>IFERROR(__xludf.DUMMYFUNCTION("importrange(""https://docs.google.com/spreadsheets/d/1H5ov6exB2KA-MsYBzkS8Gakd86NhbRUa-tEOe1wSAcY/edit?gid=1996990278#gid=1996990278"",""2025-26!an4"")"),656076.0)</f>
        <v>656076</v>
      </c>
      <c r="CI123" s="55">
        <f>IFERROR(__xludf.DUMMYFUNCTION("importrange(""https://docs.google.com/spreadsheets/d/1H5ov6exB2KA-MsYBzkS8Gakd86NhbRUa-tEOe1wSAcY/edit?gid=1996990278#gid=1996990278"",""2025-26!an3"")"),44.0)</f>
        <v>44</v>
      </c>
      <c r="CJ123" s="55">
        <f>IFERROR(__xludf.DUMMYFUNCTION("importrange(""https://docs.google.com/spreadsheets/d/1H5ov6exB2KA-MsYBzkS8Gakd86NhbRUa-tEOe1wSAcY/edit?gid=1996990278#gid=1996990278"",""2025-26!ao4"")"),1312936.8499999999)</f>
        <v>1312936.85</v>
      </c>
      <c r="CK123" s="55">
        <f>IFERROR(__xludf.DUMMYFUNCTION("importrange(""https://docs.google.com/spreadsheets/d/1H5ov6exB2KA-MsYBzkS8Gakd86NhbRUa-tEOe1wSAcY/edit?gid=1996990278#gid=1996990278"",""2025-26!ao3"")"),28.0)</f>
        <v>28</v>
      </c>
      <c r="CL123" s="59">
        <f t="shared" si="28"/>
        <v>2.200719124</v>
      </c>
      <c r="CM123" s="55">
        <f>IFERROR(__xludf.DUMMYFUNCTION("importrange(""https://docs.google.com/spreadsheets/d/1H5ov6exB2KA-MsYBzkS8Gakd86NhbRUa-tEOe1wSAcY/edit?gid=1996990278#gid=1996990278"",""2025-26!ap4"")"),1443839.0)</f>
        <v>1443839</v>
      </c>
      <c r="CN123" s="55">
        <f>IFERROR(__xludf.DUMMYFUNCTION("importrange(""https://docs.google.com/spreadsheets/d/1H5ov6exB2KA-MsYBzkS8Gakd86NhbRUa-tEOe1wSAcY/edit?gid=1996990278#gid=1996990278"",""2025-26!ap3"")"),30.0)</f>
        <v>30</v>
      </c>
      <c r="CO123" s="55">
        <f>IFERROR(__xludf.DUMMYFUNCTION("importrange(""https://docs.google.com/spreadsheets/d/1H5ov6exB2KA-MsYBzkS8Gakd86NhbRUa-tEOe1wSAcY/edit?gid=1996990278#gid=1996990278"",""2025-26!aq4"")"),656076.0)</f>
        <v>656076</v>
      </c>
      <c r="CP123" s="55">
        <f>IFERROR(__xludf.DUMMYFUNCTION("importrange(""https://docs.google.com/spreadsheets/d/1H5ov6exB2KA-MsYBzkS8Gakd86NhbRUa-tEOe1wSAcY/edit?gid=1996990278#gid=1996990278"",""2025-26!aq3"")"),44.0)</f>
        <v>44</v>
      </c>
      <c r="CQ123" s="55">
        <f>IFERROR(__xludf.DUMMYFUNCTION("importrange(""https://docs.google.com/spreadsheets/d/1H5ov6exB2KA-MsYBzkS8Gakd86NhbRUa-tEOe1wSAcY/edit?gid=1996990278#gid=1996990278"",""2025-26!ar4"")"),0.0)</f>
        <v>0</v>
      </c>
      <c r="CR123" s="55">
        <f>IFERROR(__xludf.DUMMYFUNCTION("importrange(""https://docs.google.com/spreadsheets/d/1H5ov6exB2KA-MsYBzkS8Gakd86NhbRUa-tEOe1wSAcY/edit?gid=1996990278#gid=1996990278"",""2025-26!ar3"")"),0.0)</f>
        <v>0</v>
      </c>
      <c r="CS123" s="59">
        <f t="shared" si="29"/>
        <v>2.473226913</v>
      </c>
      <c r="CT123" s="55">
        <f>IFERROR(__xludf.DUMMYFUNCTION("importrange(""https://docs.google.com/spreadsheets/d/1H5ov6exB2KA-MsYBzkS8Gakd86NhbRUa-tEOe1wSAcY/edit?gid=1996990278#gid=1996990278"",""2025-26!as4"")"),1622624.8200000003)</f>
        <v>1622624.82</v>
      </c>
      <c r="CU123" s="55">
        <f>IFERROR(__xludf.DUMMYFUNCTION("importrange(""https://docs.google.com/spreadsheets/d/1H5ov6exB2KA-MsYBzkS8Gakd86NhbRUa-tEOe1wSAcY/edit?gid=1996990278#gid=1996990278"",""2025-26!as3"")"),31.0)</f>
        <v>31</v>
      </c>
      <c r="CV123" s="60" t="s">
        <v>196</v>
      </c>
    </row>
    <row r="124">
      <c r="A124" s="1" t="s">
        <v>185</v>
      </c>
      <c r="B124" s="37"/>
      <c r="C124" s="67" t="s">
        <v>271</v>
      </c>
      <c r="D124" s="49" t="s">
        <v>272</v>
      </c>
      <c r="E124" s="50">
        <v>8.436294699E9</v>
      </c>
      <c r="F124" s="78">
        <v>45460.0</v>
      </c>
      <c r="G124" s="62"/>
      <c r="H124" s="62"/>
      <c r="I124" s="53">
        <v>29900.0</v>
      </c>
      <c r="J124" s="54">
        <v>1500000.0</v>
      </c>
      <c r="K124" s="57">
        <f>IFERROR(__xludf.DUMMYFUNCTION("IMPORTRANGE(""https://docs.google.com/spreadsheets/d/1VqJ41KU2NHf3hBrQkQD7pFGKum8ws6X0cK6C5YetsgY/edit?gid=1996990278#gid=1996990278"",""2025-26!A3"")"),96.0)</f>
        <v>96</v>
      </c>
      <c r="L124" s="57">
        <f>IFERROR(__xludf.DUMMYFUNCTION("IMPORTRANGE(""https://docs.google.com/spreadsheets/d/1VqJ41KU2NHf3hBrQkQD7pFGKum8ws6X0cK6C5YetsgY/edit?gid=1996990278#gid=1996990278"",""2025-26!G4"")"),2.745E7)</f>
        <v>27450000</v>
      </c>
      <c r="M124" s="57">
        <f t="shared" si="50"/>
        <v>18000674.86</v>
      </c>
      <c r="N124" s="56">
        <f t="shared" si="51"/>
        <v>0.5577141348</v>
      </c>
      <c r="O124" s="57">
        <f t="shared" si="52"/>
        <v>15309253</v>
      </c>
      <c r="P124" s="55">
        <f>IFERROR(__xludf.DUMMYFUNCTION("IMPORTRANGE(""https://docs.google.com/spreadsheets/d/1VqJ41KU2NHf3hBrQkQD7pFGKum8ws6X0cK6C5YetsgY/edit?gid=1996990278#gid=1996990278"",""2025-26!J4"")"),1652100.0)</f>
        <v>1652100</v>
      </c>
      <c r="Q124" s="55">
        <f>IFERROR(__xludf.DUMMYFUNCTION("IMPORTRANGE(""https://docs.google.com/spreadsheets/d/1VqJ41KU2NHf3hBrQkQD7pFGKum8ws6X0cK6C5YetsgY/edit?gid=1996990278#gid=1996990278"",""2025-26!J3"")"),33.0)</f>
        <v>33</v>
      </c>
      <c r="R124" s="55">
        <f>IFERROR(__xludf.DUMMYFUNCTION("IMPORTRANGE(""https://docs.google.com/spreadsheets/d/1VqJ41KU2NHf3hBrQkQD7pFGKum8ws6X0cK6C5YetsgY/edit?gid=1996990278#gid=1996990278"",""2025-26!K4"")"),1363362.4)</f>
        <v>1363362.4</v>
      </c>
      <c r="S124" s="55">
        <f>IFERROR(__xludf.DUMMYFUNCTION("IMPORTRANGE(""https://docs.google.com/spreadsheets/d/1VqJ41KU2NHf3hBrQkQD7pFGKum8ws6X0cK6C5YetsgY/edit?gid=1996990278#gid=1996990278"",""2025-26!K3"")"),15.0)</f>
        <v>15</v>
      </c>
      <c r="T124" s="58">
        <f t="shared" si="18"/>
        <v>0.7898129653</v>
      </c>
      <c r="U124" s="55">
        <f>IFERROR(__xludf.DUMMYFUNCTION("IMPORTRANGE(""https://docs.google.com/spreadsheets/d/1VqJ41KU2NHf3hBrQkQD7pFGKum8ws6X0cK6C5YetsgY/edit?gid=1996990278#gid=1996990278"",""2025-26!L4"")"),1304850.0)</f>
        <v>1304850</v>
      </c>
      <c r="V124" s="79">
        <f>IFERROR(__xludf.DUMMYFUNCTION("IMPORTRANGE(""https://docs.google.com/spreadsheets/d/1VqJ41KU2NHf3hBrQkQD7pFGKum8ws6X0cK6C5YetsgY/edit?gid=1996990278#gid=1996990278"",""2025-26!L3"")"),15.0)</f>
        <v>15</v>
      </c>
      <c r="W124" s="55">
        <f>IFERROR(__xludf.DUMMYFUNCTION("IMPORTRANGE(""https://docs.google.com/spreadsheets/d/1VqJ41KU2NHf3hBrQkQD7pFGKum8ws6X0cK6C5YetsgY/edit?gid=1996990278#gid=1996990278"",""2025-26!M4"")"),1652100.0)</f>
        <v>1652100</v>
      </c>
      <c r="X124" s="79">
        <f>IFERROR(__xludf.DUMMYFUNCTION("IMPORTRANGE(""https://docs.google.com/spreadsheets/d/1VqJ41KU2NHf3hBrQkQD7pFGKum8ws6X0cK6C5YetsgY/edit?gid=1996990278#gid=1996990278"",""2025-26!M3"")"),33.0)</f>
        <v>33</v>
      </c>
      <c r="Y124" s="55">
        <f>IFERROR(__xludf.DUMMYFUNCTION("importrange(""https://docs.google.com/spreadsheets/d/1VqJ41KU2NHf3hBrQkQD7pFGKum8ws6X0cK6C5YetsgY/edit?gid=1996990278#gid=1996990278"",""2025-26!n4"")"),1446658.02)</f>
        <v>1446658.02</v>
      </c>
      <c r="Z124" s="55">
        <f>IFERROR(__xludf.DUMMYFUNCTION("importrange(""https://docs.google.com/spreadsheets/d/1VqJ41KU2NHf3hBrQkQD7pFGKum8ws6X0cK6C5YetsgY/edit?gid=1996990278#gid=1996990278"",""2025-26!n3"")"),17.0)</f>
        <v>17</v>
      </c>
      <c r="AA124" s="58">
        <f t="shared" si="19"/>
        <v>0.7930476363</v>
      </c>
      <c r="AB124" s="55">
        <f>IFERROR(__xludf.DUMMYFUNCTION("importrange(""https://docs.google.com/spreadsheets/d/1VqJ41KU2NHf3hBrQkQD7pFGKum8ws6X0cK6C5YetsgY/edit?gid=1996990278#gid=1996990278"",""2025-26!o4"")"),1310194.0)</f>
        <v>1310194</v>
      </c>
      <c r="AC124" s="55">
        <f>IFERROR(__xludf.DUMMYFUNCTION("importrange(""https://docs.google.com/spreadsheets/d/1VqJ41KU2NHf3hBrQkQD7pFGKum8ws6X0cK6C5YetsgY/edit?gid=1996990278#gid=1996990278"",""2025-26!o3"")"),16.0)</f>
        <v>16</v>
      </c>
      <c r="AD124" s="55">
        <f>IFERROR(__xludf.DUMMYFUNCTION("importrange(""https://docs.google.com/spreadsheets/d/1VqJ41KU2NHf3hBrQkQD7pFGKum8ws6X0cK6C5YetsgY/edit?gid=1996990278#gid=1996990278"",""2025-26!p4"")"),1652100.0)</f>
        <v>1652100</v>
      </c>
      <c r="AE124" s="55">
        <f>IFERROR(__xludf.DUMMYFUNCTION("importrange(""https://docs.google.com/spreadsheets/d/1VqJ41KU2NHf3hBrQkQD7pFGKum8ws6X0cK6C5YetsgY/edit?gid=1996990278#gid=1996990278"",""2025-26!p3"")"),33.0)</f>
        <v>33</v>
      </c>
      <c r="AF124" s="55">
        <f>IFERROR(__xludf.DUMMYFUNCTION("importrange(""https://docs.google.com/spreadsheets/d/1VqJ41KU2NHf3hBrQkQD7pFGKum8ws6X0cK6C5YetsgY/edit?gid=1996990278#gid=1996990278"",""2025-26!q4"")"),1554019.77)</f>
        <v>1554019.77</v>
      </c>
      <c r="AG124" s="55">
        <f>IFERROR(__xludf.DUMMYFUNCTION("importrange(""https://docs.google.com/spreadsheets/d/1VqJ41KU2NHf3hBrQkQD7pFGKum8ws6X0cK6C5YetsgY/edit?gid=1996990278#gid=1996990278"",""2025-26!q3"")"),16.0)</f>
        <v>16</v>
      </c>
      <c r="AH124" s="58">
        <f t="shared" si="20"/>
        <v>0.7755614067</v>
      </c>
      <c r="AI124" s="55">
        <f>IFERROR(__xludf.DUMMYFUNCTION("importrange(""https://docs.google.com/spreadsheets/d/1VqJ41KU2NHf3hBrQkQD7pFGKum8ws6X0cK6C5YetsgY/edit?gid=1996990278#gid=1996990278"",""2025-26!r4"")"),1281305.0)</f>
        <v>1281305</v>
      </c>
      <c r="AJ124" s="55">
        <f>IFERROR(__xludf.DUMMYFUNCTION("importrange(""https://docs.google.com/spreadsheets/d/1VqJ41KU2NHf3hBrQkQD7pFGKum8ws6X0cK6C5YetsgY/edit?gid=1996990278#gid=1996990278"",""2025-26!r3"")"),15.0)</f>
        <v>15</v>
      </c>
      <c r="AK124" s="55">
        <f>IFERROR(__xludf.DUMMYFUNCTION("importrange(""https://docs.google.com/spreadsheets/d/1VqJ41KU2NHf3hBrQkQD7pFGKum8ws6X0cK6C5YetsgY/edit?gid=1996990278#gid=1996990278"",""2025-26!s4"")"),1652100.0)</f>
        <v>1652100</v>
      </c>
      <c r="AL124" s="55">
        <f>IFERROR(__xludf.DUMMYFUNCTION("importrange(""https://docs.google.com/spreadsheets/d/1VqJ41KU2NHf3hBrQkQD7pFGKum8ws6X0cK6C5YetsgY/edit?gid=1996990278#gid=1996990278"",""2025-26!s3"")"),33.0)</f>
        <v>33</v>
      </c>
      <c r="AM124" s="57">
        <f>IFERROR(__xludf.DUMMYFUNCTION("importrange(""https://docs.google.com/spreadsheets/d/1VqJ41KU2NHf3hBrQkQD7pFGKum8ws6X0cK6C5YetsgY/edit?gid=1996990278#gid=1996990278"",""2025-26!t4"")"),1639052.91)</f>
        <v>1639052.91</v>
      </c>
      <c r="AN124" s="55">
        <f>IFERROR(__xludf.DUMMYFUNCTION("importrange(""https://docs.google.com/spreadsheets/d/1VqJ41KU2NHf3hBrQkQD7pFGKum8ws6X0cK6C5YetsgY/edit?gid=1996990278#gid=1996990278"",""2025-26!t3"")"),19.0)</f>
        <v>19</v>
      </c>
      <c r="AO124" s="58">
        <f t="shared" si="21"/>
        <v>0.945374372</v>
      </c>
      <c r="AP124" s="55">
        <f>IFERROR(__xludf.DUMMYFUNCTION("importrange(""https://docs.google.com/spreadsheets/d/1VqJ41KU2NHf3hBrQkQD7pFGKum8ws6X0cK6C5YetsgY/edit?gid=1996990278#gid=1996990278"",""2025-26!u4"")"),1561853.0)</f>
        <v>1561853</v>
      </c>
      <c r="AQ124" s="55">
        <f>IFERROR(__xludf.DUMMYFUNCTION("importrange(""https://docs.google.com/spreadsheets/d/1VqJ41KU2NHf3hBrQkQD7pFGKum8ws6X0cK6C5YetsgY/edit?gid=1996990278#gid=1996990278"",""2025-26!u3"")"),18.0)</f>
        <v>18</v>
      </c>
      <c r="AR124" s="55">
        <f>IFERROR(__xludf.DUMMYFUNCTION("importrange(""https://docs.google.com/spreadsheets/d/1VqJ41KU2NHf3hBrQkQD7pFGKum8ws6X0cK6C5YetsgY/edit?gid=1996990278#gid=1996990278"",""2025-26!v4"")"),1652100.0)</f>
        <v>1652100</v>
      </c>
      <c r="AS124" s="55">
        <f>IFERROR(__xludf.DUMMYFUNCTION("importrange(""https://docs.google.com/spreadsheets/d/1VqJ41KU2NHf3hBrQkQD7pFGKum8ws6X0cK6C5YetsgY/edit?gid=1996990278#gid=1996990278"",""2025-26!v3"")"),33.0)</f>
        <v>33</v>
      </c>
      <c r="AT124" s="57">
        <f>IFERROR(__xludf.DUMMYFUNCTION("importrange(""https://docs.google.com/spreadsheets/d/1VqJ41KU2NHf3hBrQkQD7pFGKum8ws6X0cK6C5YetsgY/edit?gid=1996990278#gid=1996990278"",""2025-26!w4"")"),1624085.9200000004)</f>
        <v>1624085.92</v>
      </c>
      <c r="AU124" s="55">
        <f>IFERROR(__xludf.DUMMYFUNCTION("importrange(""https://docs.google.com/spreadsheets/d/1VqJ41KU2NHf3hBrQkQD7pFGKum8ws6X0cK6C5YetsgY/edit?gid=1996990278#gid=1996990278"",""2025-26!w3"")"),17.0)</f>
        <v>17</v>
      </c>
      <c r="AV124" s="58">
        <f t="shared" si="22"/>
        <v>0.9268270686</v>
      </c>
      <c r="AW124" s="55">
        <f>IFERROR(__xludf.DUMMYFUNCTION("importrange(""https://docs.google.com/spreadsheets/d/1VqJ41KU2NHf3hBrQkQD7pFGKum8ws6X0cK6C5YetsgY/edit?gid=1996990278#gid=1996990278"",""2025-26!x4"")"),1531211.0)</f>
        <v>1531211</v>
      </c>
      <c r="AX124" s="55">
        <f>IFERROR(__xludf.DUMMYFUNCTION("importrange(""https://docs.google.com/spreadsheets/d/1VqJ41KU2NHf3hBrQkQD7pFGKum8ws6X0cK6C5YetsgY/edit?gid=1996990278#gid=1996990278"",""2025-26!x3"")"),17.0)</f>
        <v>17</v>
      </c>
      <c r="AY124" s="55">
        <f>IFERROR(__xludf.DUMMYFUNCTION("importrange(""https://docs.google.com/spreadsheets/d/1VqJ41KU2NHf3hBrQkQD7pFGKum8ws6X0cK6C5YetsgY/edit?gid=1996990278#gid=1996990278"",""2025-26!y4"")"),1652100.0)</f>
        <v>1652100</v>
      </c>
      <c r="AZ124" s="55">
        <f>IFERROR(__xludf.DUMMYFUNCTION("importrange(""https://docs.google.com/spreadsheets/d/1VqJ41KU2NHf3hBrQkQD7pFGKum8ws6X0cK6C5YetsgY/edit?gid=1996990278#gid=1996990278"",""2025-26!y3"")"),33.0)</f>
        <v>33</v>
      </c>
      <c r="BA124" s="57">
        <f>IFERROR(__xludf.DUMMYFUNCTION("importrange(""https://docs.google.com/spreadsheets/d/1VqJ41KU2NHf3hBrQkQD7pFGKum8ws6X0cK6C5YetsgY/edit?gid=1996990278#gid=1996990278"",""2025-26!z4"")"),1022787.04)</f>
        <v>1022787.04</v>
      </c>
      <c r="BB124" s="55">
        <f>IFERROR(__xludf.DUMMYFUNCTION("importrange(""https://docs.google.com/spreadsheets/d/1VqJ41KU2NHf3hBrQkQD7pFGKum8ws6X0cK6C5YetsgY/edit?gid=1996990278#gid=1996990278"",""2025-26!z3"")"),20.0)</f>
        <v>20</v>
      </c>
      <c r="BC124" s="59">
        <f t="shared" si="23"/>
        <v>0.4423497367</v>
      </c>
      <c r="BD124" s="55">
        <f>IFERROR(__xludf.DUMMYFUNCTION("importrange(""https://docs.google.com/spreadsheets/d/1VqJ41KU2NHf3hBrQkQD7pFGKum8ws6X0cK6C5YetsgY/edit?gid=1996990278#gid=1996990278"",""2025-26!aa4"")"),730806.0)</f>
        <v>730806</v>
      </c>
      <c r="BE124" s="55">
        <f>IFERROR(__xludf.DUMMYFUNCTION("importrange(""https://docs.google.com/spreadsheets/d/1VqJ41KU2NHf3hBrQkQD7pFGKum8ws6X0cK6C5YetsgY/edit?gid=1996990278#gid=1996990278"",""2025-26!aa3"")"),18.0)</f>
        <v>18</v>
      </c>
      <c r="BF124" s="55">
        <f>IFERROR(__xludf.DUMMYFUNCTION("importrange(""https://docs.google.com/spreadsheets/d/1VqJ41KU2NHf3hBrQkQD7pFGKum8ws6X0cK6C5YetsgY/edit?gid=1996990278#gid=1996990278"",""2025-26!ab4"")"),1652100.0)</f>
        <v>1652100</v>
      </c>
      <c r="BG124" s="55">
        <f>IFERROR(__xludf.DUMMYFUNCTION("importrange(""https://docs.google.com/spreadsheets/d/1VqJ41KU2NHf3hBrQkQD7pFGKum8ws6X0cK6C5YetsgY/edit?gid=1996990278#gid=1996990278"",""2025-26!ab3"")"),33.0)</f>
        <v>33</v>
      </c>
      <c r="BH124" s="55">
        <f>IFERROR(__xludf.DUMMYFUNCTION("importrange(""https://docs.google.com/spreadsheets/d/1VqJ41KU2NHf3hBrQkQD7pFGKum8ws6X0cK6C5YetsgY/edit?gid=1996990278#gid=1996990278"",""2025-26!ac4"")"),384888.68)</f>
        <v>384888.68</v>
      </c>
      <c r="BI124" s="55">
        <f>IFERROR(__xludf.DUMMYFUNCTION("importrange(""https://docs.google.com/spreadsheets/d/1VqJ41KU2NHf3hBrQkQD7pFGKum8ws6X0cK6C5YetsgY/edit?gid=1996990278#gid=1996990278"",""2025-26!ac3"")"),9.0)</f>
        <v>9</v>
      </c>
      <c r="BJ124" s="59">
        <f t="shared" si="24"/>
        <v>0.2574904667</v>
      </c>
      <c r="BK124" s="55">
        <f>IFERROR(__xludf.DUMMYFUNCTION("importrange(""https://docs.google.com/spreadsheets/d/1VqJ41KU2NHf3hBrQkQD7pFGKum8ws6X0cK6C5YetsgY/edit?gid=1996990278#gid=1996990278"",""2025-26!ad4"")"),425400.0)</f>
        <v>425400</v>
      </c>
      <c r="BL124" s="55">
        <f>IFERROR(__xludf.DUMMYFUNCTION("importrange(""https://docs.google.com/spreadsheets/d/1VqJ41KU2NHf3hBrQkQD7pFGKum8ws6X0cK6C5YetsgY/edit?gid=1996990278#gid=1996990278"",""2025-26!ad3"")"),10.0)</f>
        <v>10</v>
      </c>
      <c r="BM124" s="55">
        <f>IFERROR(__xludf.DUMMYFUNCTION("importrange(""https://docs.google.com/spreadsheets/d/1VqJ41KU2NHf3hBrQkQD7pFGKum8ws6X0cK6C5YetsgY/edit?gid=1996990278#gid=1996990278"",""2025-26!ae4"")"),2147100.0)</f>
        <v>2147100</v>
      </c>
      <c r="BN124" s="55">
        <f>IFERROR(__xludf.DUMMYFUNCTION("importrange(""https://docs.google.com/spreadsheets/d/1VqJ41KU2NHf3hBrQkQD7pFGKum8ws6X0cK6C5YetsgY/edit?gid=1996990278#gid=1996990278"",""2025-26!ae3"")"),42.0)</f>
        <v>42</v>
      </c>
      <c r="BO124" s="55">
        <f>IFERROR(__xludf.DUMMYFUNCTION("importrange(""https://docs.google.com/spreadsheets/d/1VqJ41KU2NHf3hBrQkQD7pFGKum8ws6X0cK6C5YetsgY/edit?gid=1996990278#gid=1996990278"",""2025-26!af4"")"),1002233.2799999999)</f>
        <v>1002233.28</v>
      </c>
      <c r="BP124" s="55">
        <f>IFERROR(__xludf.DUMMYFUNCTION("importrange(""https://docs.google.com/spreadsheets/d/1VqJ41KU2NHf3hBrQkQD7pFGKum8ws6X0cK6C5YetsgY/edit?gid=1996990278#gid=1996990278"",""2025-26!af3"")"),14.0)</f>
        <v>14</v>
      </c>
      <c r="BQ124" s="59">
        <f t="shared" si="25"/>
        <v>0.1966056541</v>
      </c>
      <c r="BR124" s="55">
        <f>IFERROR(__xludf.DUMMYFUNCTION("importrange(""https://docs.google.com/spreadsheets/d/1VqJ41KU2NHf3hBrQkQD7pFGKum8ws6X0cK6C5YetsgY/edit?gid=1996990278#gid=1996990278"",""2025-26!ag4"")"),422132.0)</f>
        <v>422132</v>
      </c>
      <c r="BS124" s="55">
        <f>IFERROR(__xludf.DUMMYFUNCTION("importrange(""https://docs.google.com/spreadsheets/d/1VqJ41KU2NHf3hBrQkQD7pFGKum8ws6X0cK6C5YetsgY/edit?gid=1996990278#gid=1996990278"",""2025-26!ag3"")"),10.0)</f>
        <v>10</v>
      </c>
      <c r="BT124" s="55">
        <f>IFERROR(__xludf.DUMMYFUNCTION("importrange(""https://docs.google.com/spreadsheets/d/1VqJ41KU2NHf3hBrQkQD7pFGKum8ws6X0cK6C5YetsgY/edit?gid=1996990278#gid=1996990278"",""2025-26!ah4"")"),2340850.0)</f>
        <v>2340850</v>
      </c>
      <c r="BU124" s="55">
        <f>IFERROR(__xludf.DUMMYFUNCTION("importrange(""https://docs.google.com/spreadsheets/d/1VqJ41KU2NHf3hBrQkQD7pFGKum8ws6X0cK6C5YetsgY/edit?gid=1996990278#gid=1996990278"",""2025-26!ah3"")"),42.0)</f>
        <v>42</v>
      </c>
      <c r="BV124" s="55">
        <f>IFERROR(__xludf.DUMMYFUNCTION("importrange(""https://docs.google.com/spreadsheets/d/1VqJ41KU2NHf3hBrQkQD7pFGKum8ws6X0cK6C5YetsgY/edit?gid=1996990278#gid=1996990278"",""2025-26!ai4"")"),2724766.6799999997)</f>
        <v>2724766.68</v>
      </c>
      <c r="BW124" s="55">
        <f>IFERROR(__xludf.DUMMYFUNCTION("importrange(""https://docs.google.com/spreadsheets/d/1VqJ41KU2NHf3hBrQkQD7pFGKum8ws6X0cK6C5YetsgY/edit?gid=1996990278#gid=1996990278"",""2025-26!ai3"")"),17.0)</f>
        <v>17</v>
      </c>
      <c r="BX124" s="59">
        <f t="shared" si="26"/>
        <v>0.6556015977</v>
      </c>
      <c r="BY124" s="55">
        <f>IFERROR(__xludf.DUMMYFUNCTION("importrange(""https://docs.google.com/spreadsheets/d/1VqJ41KU2NHf3hBrQkQD7pFGKum8ws6X0cK6C5YetsgY/edit?gid=1996990278#gid=1996990278"",""2025-26!aj4"")"),1534665.0)</f>
        <v>1534665</v>
      </c>
      <c r="BZ124" s="55">
        <f>IFERROR(__xludf.DUMMYFUNCTION("importrange(""https://docs.google.com/spreadsheets/d/1VqJ41KU2NHf3hBrQkQD7pFGKum8ws6X0cK6C5YetsgY/edit?gid=1996990278#gid=1996990278"",""2025-26!aj3"")"),14.0)</f>
        <v>14</v>
      </c>
      <c r="CA124" s="55">
        <f>IFERROR(__xludf.DUMMYFUNCTION("importrange(""https://docs.google.com/spreadsheets/d/1VqJ41KU2NHf3hBrQkQD7pFGKum8ws6X0cK6C5YetsgY/edit?gid=1996990278#gid=1996990278"",""2025-26!ak4"")"),2340850.0)</f>
        <v>2340850</v>
      </c>
      <c r="CB124" s="55">
        <f>IFERROR(__xludf.DUMMYFUNCTION("importrange(""https://docs.google.com/spreadsheets/d/1VqJ41KU2NHf3hBrQkQD7pFGKum8ws6X0cK6C5YetsgY/edit?gid=1996990278#gid=1996990278"",""2025-26!ak3"")"),42.0)</f>
        <v>42</v>
      </c>
      <c r="CC124" s="55">
        <f>IFERROR(__xludf.DUMMYFUNCTION("importrange(""https://docs.google.com/spreadsheets/d/1VqJ41KU2NHf3hBrQkQD7pFGKum8ws6X0cK6C5YetsgY/edit?gid=1996990278#gid=1996990278"",""2025-26!al4"")"),1921779.75)</f>
        <v>1921779.75</v>
      </c>
      <c r="CD124" s="55">
        <f>IFERROR(__xludf.DUMMYFUNCTION("importrange(""https://docs.google.com/spreadsheets/d/1VqJ41KU2NHf3hBrQkQD7pFGKum8ws6X0cK6C5YetsgY/edit?gid=1996990278#gid=1996990278"",""2025-26!ai3"")"),17.0)</f>
        <v>17</v>
      </c>
      <c r="CE124" s="59">
        <f t="shared" si="27"/>
        <v>0.7201952282</v>
      </c>
      <c r="CF124" s="55">
        <f>IFERROR(__xludf.DUMMYFUNCTION("importrange(""https://docs.google.com/spreadsheets/d/1VqJ41KU2NHf3hBrQkQD7pFGKum8ws6X0cK6C5YetsgY/edit?gid=1996990278#gid=1996990278"",""2025-26!am4"")"),1685869.0)</f>
        <v>1685869</v>
      </c>
      <c r="CG124" s="55">
        <f>IFERROR(__xludf.DUMMYFUNCTION("importrange(""https://docs.google.com/spreadsheets/d/1VqJ41KU2NHf3hBrQkQD7pFGKum8ws6X0cK6C5YetsgY/edit?gid=1996990278#gid=1996990278"",""2025-26!am3"")"),19.0)</f>
        <v>19</v>
      </c>
      <c r="CH124" s="55">
        <f>IFERROR(__xludf.DUMMYFUNCTION("importrange(""https://docs.google.com/spreadsheets/d/1VqJ41KU2NHf3hBrQkQD7pFGKum8ws6X0cK6C5YetsgY/edit?gid=1996990278#gid=1996990278"",""2025-26!an4"")"),2340850.0)</f>
        <v>2340850</v>
      </c>
      <c r="CI124" s="55">
        <f>IFERROR(__xludf.DUMMYFUNCTION("importrange(""https://docs.google.com/spreadsheets/d/1VqJ41KU2NHf3hBrQkQD7pFGKum8ws6X0cK6C5YetsgY/edit?gid=1996990278#gid=1996990278"",""2025-26!an3"")"),42.0)</f>
        <v>42</v>
      </c>
      <c r="CJ124" s="55">
        <f>IFERROR(__xludf.DUMMYFUNCTION("importrange(""https://docs.google.com/spreadsheets/d/1VqJ41KU2NHf3hBrQkQD7pFGKum8ws6X0cK6C5YetsgY/edit?gid=1996990278#gid=1996990278"",""2025-26!ao4"")"),1388798.7099999997)</f>
        <v>1388798.71</v>
      </c>
      <c r="CK124" s="55">
        <f>IFERROR(__xludf.DUMMYFUNCTION("importrange(""https://docs.google.com/spreadsheets/d/1VqJ41KU2NHf3hBrQkQD7pFGKum8ws6X0cK6C5YetsgY/edit?gid=1996990278#gid=1996990278"",""2025-26!ao3"")"),21.0)</f>
        <v>21</v>
      </c>
      <c r="CL124" s="59">
        <f t="shared" si="28"/>
        <v>0.7047845868</v>
      </c>
      <c r="CM124" s="55">
        <f>IFERROR(__xludf.DUMMYFUNCTION("importrange(""https://docs.google.com/spreadsheets/d/1VqJ41KU2NHf3hBrQkQD7pFGKum8ws6X0cK6C5YetsgY/edit?gid=1996990278#gid=1996990278"",""2025-26!ap4"")"),1649795.0)</f>
        <v>1649795</v>
      </c>
      <c r="CN124" s="55">
        <f>IFERROR(__xludf.DUMMYFUNCTION("importrange(""https://docs.google.com/spreadsheets/d/1VqJ41KU2NHf3hBrQkQD7pFGKum8ws6X0cK6C5YetsgY/edit?gid=1996990278#gid=1996990278"",""2025-26!ap3"")"),24.0)</f>
        <v>24</v>
      </c>
      <c r="CO124" s="55">
        <f>IFERROR(__xludf.DUMMYFUNCTION("importrange(""https://docs.google.com/spreadsheets/d/1VqJ41KU2NHf3hBrQkQD7pFGKum8ws6X0cK6C5YetsgY/edit?gid=1996990278#gid=1996990278"",""2025-26!aq4"")"),2340850.0)</f>
        <v>2340850</v>
      </c>
      <c r="CP124" s="55">
        <f>IFERROR(__xludf.DUMMYFUNCTION("importrange(""https://docs.google.com/spreadsheets/d/1VqJ41KU2NHf3hBrQkQD7pFGKum8ws6X0cK6C5YetsgY/edit?gid=1996990278#gid=1996990278"",""2025-26!aq3"")"),42.0)</f>
        <v>42</v>
      </c>
      <c r="CQ124" s="55">
        <f>IFERROR(__xludf.DUMMYFUNCTION("importrange(""https://docs.google.com/spreadsheets/d/1VqJ41KU2NHf3hBrQkQD7pFGKum8ws6X0cK6C5YetsgY/edit?gid=1996990278#gid=1996990278"",""2025-26!ar4"")"),1928241.7)</f>
        <v>1928241.7</v>
      </c>
      <c r="CR124" s="55">
        <f>IFERROR(__xludf.DUMMYFUNCTION("importrange(""https://docs.google.com/spreadsheets/d/1VqJ41KU2NHf3hBrQkQD7pFGKum8ws6X0cK6C5YetsgY/edit?gid=1996990278#gid=1996990278"",""2025-26!ar3"")"),21.0)</f>
        <v>21</v>
      </c>
      <c r="CS124" s="59">
        <f t="shared" si="29"/>
        <v>0.7993562168</v>
      </c>
      <c r="CT124" s="55">
        <f>IFERROR(__xludf.DUMMYFUNCTION("importrange(""https://docs.google.com/spreadsheets/d/1VqJ41KU2NHf3hBrQkQD7pFGKum8ws6X0cK6C5YetsgY/edit?gid=1996990278#gid=1996990278"",""2025-26!as4"")"),1871173.0)</f>
        <v>1871173</v>
      </c>
      <c r="CU124" s="55">
        <f>IFERROR(__xludf.DUMMYFUNCTION("importrange(""https://docs.google.com/spreadsheets/d/1VqJ41KU2NHf3hBrQkQD7pFGKum8ws6X0cK6C5YetsgY/edit?gid=1996990278#gid=1996990278"",""2025-26!as3"")"),21.0)</f>
        <v>21</v>
      </c>
      <c r="CV124" s="60" t="s">
        <v>189</v>
      </c>
    </row>
    <row r="125">
      <c r="A125" s="1" t="s">
        <v>185</v>
      </c>
      <c r="B125" s="37"/>
      <c r="C125" s="64" t="s">
        <v>273</v>
      </c>
      <c r="D125" s="68" t="s">
        <v>274</v>
      </c>
      <c r="E125" s="68">
        <v>8.877999968E9</v>
      </c>
      <c r="F125" s="78">
        <v>45628.0</v>
      </c>
      <c r="G125" s="62"/>
      <c r="H125" s="62"/>
      <c r="I125" s="70">
        <v>26755.0</v>
      </c>
      <c r="J125" s="54">
        <v>1500000.0</v>
      </c>
      <c r="K125" s="57">
        <f>IFERROR(__xludf.DUMMYFUNCTION("IMPORTRANGE(""https://docs.google.com/spreadsheets/d/1KK2Gk0v7qSg-tdyBI73crsdg5bq163NRRkpYHeQi_Y0/edit?gid=1996990278#gid=1996990278"",""2025-26!A3"")"),86.0)</f>
        <v>86</v>
      </c>
      <c r="L125" s="57">
        <f>IFERROR(__xludf.DUMMYFUNCTION("IMPORTRANGE(""https://docs.google.com/spreadsheets/d/1KK2Gk0v7qSg-tdyBI73crsdg5bq163NRRkpYHeQi_Y0/edit?gid=1996990278#gid=1996990278"",""2025-26!G4"")"),0.0)</f>
        <v>0</v>
      </c>
      <c r="M125" s="57">
        <f t="shared" si="50"/>
        <v>16104220.26</v>
      </c>
      <c r="N125" s="56" t="str">
        <f t="shared" si="51"/>
        <v/>
      </c>
      <c r="O125" s="57">
        <f t="shared" si="52"/>
        <v>17400833</v>
      </c>
      <c r="P125" s="55">
        <f>IFERROR(__xludf.DUMMYFUNCTION("IMPORTRANGE(""https://docs.google.com/spreadsheets/d/1KK2Gk0v7qSg-tdyBI73crsdg5bq163NRRkpYHeQi_Y0/edit?gid=1996990278#gid=1996990278"",""2025-26!J4"")"),0.0)</f>
        <v>0</v>
      </c>
      <c r="Q125" s="55">
        <f>IFERROR(__xludf.DUMMYFUNCTION("IMPORTRANGE(""https://docs.google.com/spreadsheets/d/1KK2Gk0v7qSg-tdyBI73crsdg5bq163NRRkpYHeQi_Y0/edit?gid=1996990278#gid=1996990278"",""2025-26!J3"")"),0.0)</f>
        <v>0</v>
      </c>
      <c r="R125" s="55">
        <f>IFERROR(__xludf.DUMMYFUNCTION("IMPORTRANGE(""https://docs.google.com/spreadsheets/d/1KK2Gk0v7qSg-tdyBI73crsdg5bq163NRRkpYHeQi_Y0/edit?gid=1996990278#gid=1996990278"",""2025-26!K4"")"),700161.4999999999)</f>
        <v>700161.5</v>
      </c>
      <c r="S125" s="55">
        <f>IFERROR(__xludf.DUMMYFUNCTION("IMPORTRANGE(""https://docs.google.com/spreadsheets/d/1KK2Gk0v7qSg-tdyBI73crsdg5bq163NRRkpYHeQi_Y0/edit?gid=1996990278#gid=1996990278"",""2025-26!K3"")"),11.0)</f>
        <v>11</v>
      </c>
      <c r="T125" s="58" t="str">
        <f t="shared" si="18"/>
        <v/>
      </c>
      <c r="U125" s="55">
        <f>IFERROR(__xludf.DUMMYFUNCTION("IMPORTRANGE(""https://docs.google.com/spreadsheets/d/1KK2Gk0v7qSg-tdyBI73crsdg5bq163NRRkpYHeQi_Y0/edit?gid=1996990278#gid=1996990278"",""2025-26!L4"")"),1225623.0)</f>
        <v>1225623</v>
      </c>
      <c r="V125" s="79">
        <f>IFERROR(__xludf.DUMMYFUNCTION("IMPORTRANGE(""https://docs.google.com/spreadsheets/d/1KK2Gk0v7qSg-tdyBI73crsdg5bq163NRRkpYHeQi_Y0/edit?gid=1996990278#gid=1996990278"",""2025-26!L3"")"),19.0)</f>
        <v>19</v>
      </c>
      <c r="W125" s="55">
        <f>IFERROR(__xludf.DUMMYFUNCTION("IMPORTRANGE(""https://docs.google.com/spreadsheets/d/1KK2Gk0v7qSg-tdyBI73crsdg5bq163NRRkpYHeQi_Y0/edit?gid=1996990278#gid=1996990278"",""2025-26!M4"")"),0.0)</f>
        <v>0</v>
      </c>
      <c r="X125" s="79">
        <f>IFERROR(__xludf.DUMMYFUNCTION("IMPORTRANGE(""https://docs.google.com/spreadsheets/d/1KK2Gk0v7qSg-tdyBI73crsdg5bq163NRRkpYHeQi_Y0/edit?gid=1996990278#gid=1996990278"",""2025-26!M3"")"),0.0)</f>
        <v>0</v>
      </c>
      <c r="Y125" s="55">
        <f>IFERROR(__xludf.DUMMYFUNCTION("importrange(""https://docs.google.com/spreadsheets/d/1KK2Gk0v7qSg-tdyBI73crsdg5bq163NRRkpYHeQi_Y0/edit?gid=1996990278#gid=1996990278"",""2025-26!n4"")"),582610.4000000001)</f>
        <v>582610.4</v>
      </c>
      <c r="Z125" s="55">
        <f>IFERROR(__xludf.DUMMYFUNCTION("importrange(""https://docs.google.com/spreadsheets/d/1KK2Gk0v7qSg-tdyBI73crsdg5bq163NRRkpYHeQi_Y0/edit?gid=1996990278#gid=1996990278"",""2025-26!n3"")"),15.0)</f>
        <v>15</v>
      </c>
      <c r="AA125" s="58" t="str">
        <f t="shared" si="19"/>
        <v/>
      </c>
      <c r="AB125" s="55">
        <f>IFERROR(__xludf.DUMMYFUNCTION("importrange(""https://docs.google.com/spreadsheets/d/1KK2Gk0v7qSg-tdyBI73crsdg5bq163NRRkpYHeQi_Y0/edit?gid=1996990278#gid=1996990278"",""2025-26!o4"")"),1532042.0)</f>
        <v>1532042</v>
      </c>
      <c r="AC125" s="55">
        <f>IFERROR(__xludf.DUMMYFUNCTION("importrange(""https://docs.google.com/spreadsheets/d/1KK2Gk0v7qSg-tdyBI73crsdg5bq163NRRkpYHeQi_Y0/edit?gid=1996990278#gid=1996990278"",""2025-26!o3"")"),26.0)</f>
        <v>26</v>
      </c>
      <c r="AD125" s="55">
        <f>IFERROR(__xludf.DUMMYFUNCTION("importrange(""https://docs.google.com/spreadsheets/d/1KK2Gk0v7qSg-tdyBI73crsdg5bq163NRRkpYHeQi_Y0/edit?gid=1996990278#gid=1996990278"",""2025-26!p4"")"),0.0)</f>
        <v>0</v>
      </c>
      <c r="AE125" s="55">
        <f>IFERROR(__xludf.DUMMYFUNCTION("importrange(""https://docs.google.com/spreadsheets/d/1KK2Gk0v7qSg-tdyBI73crsdg5bq163NRRkpYHeQi_Y0/edit?gid=1996990278#gid=1996990278"",""2025-26!p3"")"),0.0)</f>
        <v>0</v>
      </c>
      <c r="AF125" s="55">
        <f>IFERROR(__xludf.DUMMYFUNCTION("importrange(""https://docs.google.com/spreadsheets/d/1KK2Gk0v7qSg-tdyBI73crsdg5bq163NRRkpYHeQi_Y0/edit?gid=1996990278#gid=1996990278"",""2025-26!q4"")"),1173253.3)</f>
        <v>1173253.3</v>
      </c>
      <c r="AG125" s="55">
        <f>IFERROR(__xludf.DUMMYFUNCTION("importrange(""https://docs.google.com/spreadsheets/d/1KK2Gk0v7qSg-tdyBI73crsdg5bq163NRRkpYHeQi_Y0/edit?gid=1996990278#gid=1996990278"",""2025-26!q3"")"),19.0)</f>
        <v>19</v>
      </c>
      <c r="AH125" s="58" t="str">
        <f t="shared" si="20"/>
        <v/>
      </c>
      <c r="AI125" s="55">
        <f>IFERROR(__xludf.DUMMYFUNCTION("importrange(""https://docs.google.com/spreadsheets/d/1KK2Gk0v7qSg-tdyBI73crsdg5bq163NRRkpYHeQi_Y0/edit?gid=1996990278#gid=1996990278"",""2025-26!r4"")"),988563.0)</f>
        <v>988563</v>
      </c>
      <c r="AJ125" s="55">
        <f>IFERROR(__xludf.DUMMYFUNCTION("importrange(""https://docs.google.com/spreadsheets/d/1KK2Gk0v7qSg-tdyBI73crsdg5bq163NRRkpYHeQi_Y0/edit?gid=1996990278#gid=1996990278"",""2025-26!r3"")"),15.0)</f>
        <v>15</v>
      </c>
      <c r="AK125" s="55">
        <f>IFERROR(__xludf.DUMMYFUNCTION("importrange(""https://docs.google.com/spreadsheets/d/1KK2Gk0v7qSg-tdyBI73crsdg5bq163NRRkpYHeQi_Y0/edit?gid=1996990278#gid=1996990278"",""2025-26!s4"")"),0.0)</f>
        <v>0</v>
      </c>
      <c r="AL125" s="55">
        <f>IFERROR(__xludf.DUMMYFUNCTION("importrange(""https://docs.google.com/spreadsheets/d/1KK2Gk0v7qSg-tdyBI73crsdg5bq163NRRkpYHeQi_Y0/edit?gid=1996990278#gid=1996990278"",""2025-26!s3"")"),0.0)</f>
        <v>0</v>
      </c>
      <c r="AM125" s="57">
        <f>IFERROR(__xludf.DUMMYFUNCTION("importrange(""https://docs.google.com/spreadsheets/d/1KK2Gk0v7qSg-tdyBI73crsdg5bq163NRRkpYHeQi_Y0/edit?gid=1996990278#gid=1996990278"",""2025-26!t4"")"),1158075.51)</f>
        <v>1158075.51</v>
      </c>
      <c r="AN125" s="55">
        <f>IFERROR(__xludf.DUMMYFUNCTION("importrange(""https://docs.google.com/spreadsheets/d/1KK2Gk0v7qSg-tdyBI73crsdg5bq163NRRkpYHeQi_Y0/edit?gid=1996990278#gid=1996990278"",""2025-26!t3"")"),16.0)</f>
        <v>16</v>
      </c>
      <c r="AO125" s="58" t="str">
        <f t="shared" si="21"/>
        <v/>
      </c>
      <c r="AP125" s="55">
        <f>IFERROR(__xludf.DUMMYFUNCTION("importrange(""https://docs.google.com/spreadsheets/d/1KK2Gk0v7qSg-tdyBI73crsdg5bq163NRRkpYHeQi_Y0/edit?gid=1996990278#gid=1996990278"",""2025-26!u4"")"),1328335.0)</f>
        <v>1328335</v>
      </c>
      <c r="AQ125" s="55">
        <f>IFERROR(__xludf.DUMMYFUNCTION("importrange(""https://docs.google.com/spreadsheets/d/1KK2Gk0v7qSg-tdyBI73crsdg5bq163NRRkpYHeQi_Y0/edit?gid=1996990278#gid=1996990278"",""2025-26!u3"")"),20.0)</f>
        <v>20</v>
      </c>
      <c r="AR125" s="55">
        <f>IFERROR(__xludf.DUMMYFUNCTION("importrange(""https://docs.google.com/spreadsheets/d/1KK2Gk0v7qSg-tdyBI73crsdg5bq163NRRkpYHeQi_Y0/edit?gid=1996990278#gid=1996990278"",""2025-26!v4"")"),0.0)</f>
        <v>0</v>
      </c>
      <c r="AS125" s="55">
        <f>IFERROR(__xludf.DUMMYFUNCTION("importrange(""https://docs.google.com/spreadsheets/d/1KK2Gk0v7qSg-tdyBI73crsdg5bq163NRRkpYHeQi_Y0/edit?gid=1996990278#gid=1996990278"",""2025-26!v3"")"),0.0)</f>
        <v>0</v>
      </c>
      <c r="AT125" s="57">
        <f>IFERROR(__xludf.DUMMYFUNCTION("importrange(""https://docs.google.com/spreadsheets/d/1KK2Gk0v7qSg-tdyBI73crsdg5bq163NRRkpYHeQi_Y0/edit?gid=1996990278#gid=1996990278"",""2025-26!w4"")"),873632.3800000001)</f>
        <v>873632.38</v>
      </c>
      <c r="AU125" s="55">
        <f>IFERROR(__xludf.DUMMYFUNCTION("importrange(""https://docs.google.com/spreadsheets/d/1KK2Gk0v7qSg-tdyBI73crsdg5bq163NRRkpYHeQi_Y0/edit?gid=1996990278#gid=1996990278"",""2025-26!w3"")"),23.0)</f>
        <v>23</v>
      </c>
      <c r="AV125" s="58" t="str">
        <f t="shared" si="22"/>
        <v/>
      </c>
      <c r="AW125" s="55">
        <f>IFERROR(__xludf.DUMMYFUNCTION("importrange(""https://docs.google.com/spreadsheets/d/1KK2Gk0v7qSg-tdyBI73crsdg5bq163NRRkpYHeQi_Y0/edit?gid=1996990278#gid=1996990278"",""2025-26!x4"")"),752349.0)</f>
        <v>752349</v>
      </c>
      <c r="AX125" s="55">
        <f>IFERROR(__xludf.DUMMYFUNCTION("importrange(""https://docs.google.com/spreadsheets/d/1KK2Gk0v7qSg-tdyBI73crsdg5bq163NRRkpYHeQi_Y0/edit?gid=1996990278#gid=1996990278"",""2025-26!x3"")"),22.0)</f>
        <v>22</v>
      </c>
      <c r="AY125" s="55">
        <f>IFERROR(__xludf.DUMMYFUNCTION("importrange(""https://docs.google.com/spreadsheets/d/1KK2Gk0v7qSg-tdyBI73crsdg5bq163NRRkpYHeQi_Y0/edit?gid=1996990278#gid=1996990278"",""2025-26!y4"")"),0.0)</f>
        <v>0</v>
      </c>
      <c r="AZ125" s="55">
        <f>IFERROR(__xludf.DUMMYFUNCTION("importrange(""https://docs.google.com/spreadsheets/d/1KK2Gk0v7qSg-tdyBI73crsdg5bq163NRRkpYHeQi_Y0/edit?gid=1996990278#gid=1996990278"",""2025-26!y3"")"),0.0)</f>
        <v>0</v>
      </c>
      <c r="BA125" s="57">
        <f>IFERROR(__xludf.DUMMYFUNCTION("importrange(""https://docs.google.com/spreadsheets/d/1KK2Gk0v7qSg-tdyBI73crsdg5bq163NRRkpYHeQi_Y0/edit?gid=1996990278#gid=1996990278"",""2025-26!z4"")"),1505525.2700000003)</f>
        <v>1505525.27</v>
      </c>
      <c r="BB125" s="55">
        <f>IFERROR(__xludf.DUMMYFUNCTION("importrange(""https://docs.google.com/spreadsheets/d/1KK2Gk0v7qSg-tdyBI73crsdg5bq163NRRkpYHeQi_Y0/edit?gid=1996990278#gid=1996990278"",""2025-26!z3"")"),23.0)</f>
        <v>23</v>
      </c>
      <c r="BC125" s="59" t="str">
        <f t="shared" si="23"/>
        <v/>
      </c>
      <c r="BD125" s="55">
        <f>IFERROR(__xludf.DUMMYFUNCTION("importrange(""https://docs.google.com/spreadsheets/d/1KK2Gk0v7qSg-tdyBI73crsdg5bq163NRRkpYHeQi_Y0/edit?gid=1996990278#gid=1996990278"",""2025-26!aa4"")"),1545609.0)</f>
        <v>1545609</v>
      </c>
      <c r="BE125" s="55">
        <f>IFERROR(__xludf.DUMMYFUNCTION("importrange(""https://docs.google.com/spreadsheets/d/1KK2Gk0v7qSg-tdyBI73crsdg5bq163NRRkpYHeQi_Y0/edit?gid=1996990278#gid=1996990278"",""2025-26!aa3"")"),24.0)</f>
        <v>24</v>
      </c>
      <c r="BF125" s="55">
        <f>IFERROR(__xludf.DUMMYFUNCTION("importrange(""https://docs.google.com/spreadsheets/d/1KK2Gk0v7qSg-tdyBI73crsdg5bq163NRRkpYHeQi_Y0/edit?gid=1996990278#gid=1996990278"",""2025-26!ab4"")"),0.0)</f>
        <v>0</v>
      </c>
      <c r="BG125" s="55">
        <f>IFERROR(__xludf.DUMMYFUNCTION("importrange(""https://docs.google.com/spreadsheets/d/1KK2Gk0v7qSg-tdyBI73crsdg5bq163NRRkpYHeQi_Y0/edit?gid=1996990278#gid=1996990278"",""2025-26!ab3"")"),0.0)</f>
        <v>0</v>
      </c>
      <c r="BH125" s="55">
        <f>IFERROR(__xludf.DUMMYFUNCTION("importrange(""https://docs.google.com/spreadsheets/d/1KK2Gk0v7qSg-tdyBI73crsdg5bq163NRRkpYHeQi_Y0/edit?gid=1996990278#gid=1996990278"",""2025-26!ac4"")"),1275997.56)</f>
        <v>1275997.56</v>
      </c>
      <c r="BI125" s="55">
        <f>IFERROR(__xludf.DUMMYFUNCTION("importrange(""https://docs.google.com/spreadsheets/d/1KK2Gk0v7qSg-tdyBI73crsdg5bq163NRRkpYHeQi_Y0/edit?gid=1996990278#gid=1996990278"",""2025-26!ac3"")"),14.0)</f>
        <v>14</v>
      </c>
      <c r="BJ125" s="59" t="str">
        <f t="shared" si="24"/>
        <v/>
      </c>
      <c r="BK125" s="55">
        <f>IFERROR(__xludf.DUMMYFUNCTION("importrange(""https://docs.google.com/spreadsheets/d/1KK2Gk0v7qSg-tdyBI73crsdg5bq163NRRkpYHeQi_Y0/edit?gid=1996990278#gid=1996990278"",""2025-26!ad4"")"),858860.0)</f>
        <v>858860</v>
      </c>
      <c r="BL125" s="55">
        <f>IFERROR(__xludf.DUMMYFUNCTION("importrange(""https://docs.google.com/spreadsheets/d/1KK2Gk0v7qSg-tdyBI73crsdg5bq163NRRkpYHeQi_Y0/edit?gid=1996990278#gid=1996990278"",""2025-26!ad3"")"),17.0)</f>
        <v>17</v>
      </c>
      <c r="BM125" s="55">
        <f>IFERROR(__xludf.DUMMYFUNCTION("importrange(""https://docs.google.com/spreadsheets/d/1KK2Gk0v7qSg-tdyBI73crsdg5bq163NRRkpYHeQi_Y0/edit?gid=1996990278#gid=1996990278"",""2025-26!ae4"")"),0.0)</f>
        <v>0</v>
      </c>
      <c r="BN125" s="55">
        <f>IFERROR(__xludf.DUMMYFUNCTION("importrange(""https://docs.google.com/spreadsheets/d/1KK2Gk0v7qSg-tdyBI73crsdg5bq163NRRkpYHeQi_Y0/edit?gid=1996990278#gid=1996990278"",""2025-26!ae3"")"),0.0)</f>
        <v>0</v>
      </c>
      <c r="BO125" s="55">
        <f>IFERROR(__xludf.DUMMYFUNCTION("importrange(""https://docs.google.com/spreadsheets/d/1KK2Gk0v7qSg-tdyBI73crsdg5bq163NRRkpYHeQi_Y0/edit?gid=1996990278#gid=1996990278"",""2025-26!af4"")"),1290677.27)</f>
        <v>1290677.27</v>
      </c>
      <c r="BP125" s="55">
        <f>IFERROR(__xludf.DUMMYFUNCTION("importrange(""https://docs.google.com/spreadsheets/d/1KK2Gk0v7qSg-tdyBI73crsdg5bq163NRRkpYHeQi_Y0/edit?gid=1996990278#gid=1996990278"",""2025-26!af3"")"),20.0)</f>
        <v>20</v>
      </c>
      <c r="BQ125" s="59" t="str">
        <f t="shared" si="25"/>
        <v/>
      </c>
      <c r="BR125" s="55">
        <f>IFERROR(__xludf.DUMMYFUNCTION("importrange(""https://docs.google.com/spreadsheets/d/1KK2Gk0v7qSg-tdyBI73crsdg5bq163NRRkpYHeQi_Y0/edit?gid=1996990278#gid=1996990278"",""2025-26!ag4"")"),1495906.0)</f>
        <v>1495906</v>
      </c>
      <c r="BS125" s="55">
        <f>IFERROR(__xludf.DUMMYFUNCTION("importrange(""https://docs.google.com/spreadsheets/d/1KK2Gk0v7qSg-tdyBI73crsdg5bq163NRRkpYHeQi_Y0/edit?gid=1996990278#gid=1996990278"",""2025-26!ag3"")"),25.0)</f>
        <v>25</v>
      </c>
      <c r="BT125" s="55">
        <f>IFERROR(__xludf.DUMMYFUNCTION("importrange(""https://docs.google.com/spreadsheets/d/1KK2Gk0v7qSg-tdyBI73crsdg5bq163NRRkpYHeQi_Y0/edit?gid=1996990278#gid=1996990278"",""2025-26!ah4"")"),0.0)</f>
        <v>0</v>
      </c>
      <c r="BU125" s="55">
        <f>IFERROR(__xludf.DUMMYFUNCTION("importrange(""https://docs.google.com/spreadsheets/d/1KK2Gk0v7qSg-tdyBI73crsdg5bq163NRRkpYHeQi_Y0/edit?gid=1996990278#gid=1996990278"",""2025-26!ah3"")"),0.0)</f>
        <v>0</v>
      </c>
      <c r="BV125" s="55">
        <f>IFERROR(__xludf.DUMMYFUNCTION("importrange(""https://docs.google.com/spreadsheets/d/1KK2Gk0v7qSg-tdyBI73crsdg5bq163NRRkpYHeQi_Y0/edit?gid=1996990278#gid=1996990278"",""2025-26!ai4"")"),1687415.0799999998)</f>
        <v>1687415.08</v>
      </c>
      <c r="BW125" s="55">
        <f>IFERROR(__xludf.DUMMYFUNCTION("importrange(""https://docs.google.com/spreadsheets/d/1KK2Gk0v7qSg-tdyBI73crsdg5bq163NRRkpYHeQi_Y0/edit?gid=1996990278#gid=1996990278"",""2025-26!ai3"")"),16.0)</f>
        <v>16</v>
      </c>
      <c r="BX125" s="59" t="str">
        <f t="shared" si="26"/>
        <v/>
      </c>
      <c r="BY125" s="55">
        <f>IFERROR(__xludf.DUMMYFUNCTION("importrange(""https://docs.google.com/spreadsheets/d/1KK2Gk0v7qSg-tdyBI73crsdg5bq163NRRkpYHeQi_Y0/edit?gid=1996990278#gid=1996990278"",""2025-26!aj4"")"),1638287.0)</f>
        <v>1638287</v>
      </c>
      <c r="BZ125" s="55">
        <f>IFERROR(__xludf.DUMMYFUNCTION("importrange(""https://docs.google.com/spreadsheets/d/1KK2Gk0v7qSg-tdyBI73crsdg5bq163NRRkpYHeQi_Y0/edit?gid=1996990278#gid=1996990278"",""2025-26!aj3"")"),25.0)</f>
        <v>25</v>
      </c>
      <c r="CA125" s="55">
        <f>IFERROR(__xludf.DUMMYFUNCTION("importrange(""https://docs.google.com/spreadsheets/d/1KK2Gk0v7qSg-tdyBI73crsdg5bq163NRRkpYHeQi_Y0/edit?gid=1996990278#gid=1996990278"",""2025-26!ak4"")"),0.0)</f>
        <v>0</v>
      </c>
      <c r="CB125" s="55">
        <f>IFERROR(__xludf.DUMMYFUNCTION("importrange(""https://docs.google.com/spreadsheets/d/1KK2Gk0v7qSg-tdyBI73crsdg5bq163NRRkpYHeQi_Y0/edit?gid=1996990278#gid=1996990278"",""2025-26!ak3"")"),0.0)</f>
        <v>0</v>
      </c>
      <c r="CC125" s="55">
        <f>IFERROR(__xludf.DUMMYFUNCTION("importrange(""https://docs.google.com/spreadsheets/d/1KK2Gk0v7qSg-tdyBI73crsdg5bq163NRRkpYHeQi_Y0/edit?gid=1996990278#gid=1996990278"",""2025-26!al4"")"),1965067.41)</f>
        <v>1965067.41</v>
      </c>
      <c r="CD125" s="55">
        <f>IFERROR(__xludf.DUMMYFUNCTION("importrange(""https://docs.google.com/spreadsheets/d/1KK2Gk0v7qSg-tdyBI73crsdg5bq163NRRkpYHeQi_Y0/edit?gid=1996990278#gid=1996990278"",""2025-26!ai3"")"),16.0)</f>
        <v>16</v>
      </c>
      <c r="CE125" s="59" t="str">
        <f t="shared" si="27"/>
        <v/>
      </c>
      <c r="CF125" s="55">
        <f>IFERROR(__xludf.DUMMYFUNCTION("importrange(""https://docs.google.com/spreadsheets/d/1KK2Gk0v7qSg-tdyBI73crsdg5bq163NRRkpYHeQi_Y0/edit?gid=1996990278#gid=1996990278"",""2025-26!am4"")"),2287580.0)</f>
        <v>2287580</v>
      </c>
      <c r="CG125" s="55">
        <f>IFERROR(__xludf.DUMMYFUNCTION("importrange(""https://docs.google.com/spreadsheets/d/1KK2Gk0v7qSg-tdyBI73crsdg5bq163NRRkpYHeQi_Y0/edit?gid=1996990278#gid=1996990278"",""2025-26!am3"")"),31.0)</f>
        <v>31</v>
      </c>
      <c r="CH125" s="55">
        <f>IFERROR(__xludf.DUMMYFUNCTION("importrange(""https://docs.google.com/spreadsheets/d/1KK2Gk0v7qSg-tdyBI73crsdg5bq163NRRkpYHeQi_Y0/edit?gid=1996990278#gid=1996990278"",""2025-26!an4"")"),0.0)</f>
        <v>0</v>
      </c>
      <c r="CI125" s="55">
        <f>IFERROR(__xludf.DUMMYFUNCTION("importrange(""https://docs.google.com/spreadsheets/d/1KK2Gk0v7qSg-tdyBI73crsdg5bq163NRRkpYHeQi_Y0/edit?gid=1996990278#gid=1996990278"",""2025-26!an3"")"),0.0)</f>
        <v>0</v>
      </c>
      <c r="CJ125" s="55">
        <f>IFERROR(__xludf.DUMMYFUNCTION("importrange(""https://docs.google.com/spreadsheets/d/1KK2Gk0v7qSg-tdyBI73crsdg5bq163NRRkpYHeQi_Y0/edit?gid=1996990278#gid=1996990278"",""2025-26!ao4"")"),1513584.4)</f>
        <v>1513584.4</v>
      </c>
      <c r="CK125" s="55">
        <f>IFERROR(__xludf.DUMMYFUNCTION("importrange(""https://docs.google.com/spreadsheets/d/1KK2Gk0v7qSg-tdyBI73crsdg5bq163NRRkpYHeQi_Y0/edit?gid=1996990278#gid=1996990278"",""2025-26!ao3"")"),22.0)</f>
        <v>22</v>
      </c>
      <c r="CL125" s="59" t="str">
        <f t="shared" si="28"/>
        <v/>
      </c>
      <c r="CM125" s="55">
        <f>IFERROR(__xludf.DUMMYFUNCTION("importrange(""https://docs.google.com/spreadsheets/d/1KK2Gk0v7qSg-tdyBI73crsdg5bq163NRRkpYHeQi_Y0/edit?gid=1996990278#gid=1996990278"",""2025-26!ap4"")"),1218962.0)</f>
        <v>1218962</v>
      </c>
      <c r="CN125" s="55">
        <f>IFERROR(__xludf.DUMMYFUNCTION("importrange(""https://docs.google.com/spreadsheets/d/1KK2Gk0v7qSg-tdyBI73crsdg5bq163NRRkpYHeQi_Y0/edit?gid=1996990278#gid=1996990278"",""2025-26!ap3"")"),26.0)</f>
        <v>26</v>
      </c>
      <c r="CO125" s="55">
        <f>IFERROR(__xludf.DUMMYFUNCTION("importrange(""https://docs.google.com/spreadsheets/d/1KK2Gk0v7qSg-tdyBI73crsdg5bq163NRRkpYHeQi_Y0/edit?gid=1996990278#gid=1996990278"",""2025-26!aq4"")"),0.0)</f>
        <v>0</v>
      </c>
      <c r="CP125" s="55">
        <f>IFERROR(__xludf.DUMMYFUNCTION("importrange(""https://docs.google.com/spreadsheets/d/1KK2Gk0v7qSg-tdyBI73crsdg5bq163NRRkpYHeQi_Y0/edit?gid=1996990278#gid=1996990278"",""2025-26!aq3"")"),0.0)</f>
        <v>0</v>
      </c>
      <c r="CQ125" s="55">
        <f>IFERROR(__xludf.DUMMYFUNCTION("importrange(""https://docs.google.com/spreadsheets/d/1KK2Gk0v7qSg-tdyBI73crsdg5bq163NRRkpYHeQi_Y0/edit?gid=1996990278#gid=1996990278"",""2025-26!ar4"")"),2378220.1799999997)</f>
        <v>2378220.18</v>
      </c>
      <c r="CR125" s="55">
        <f>IFERROR(__xludf.DUMMYFUNCTION("importrange(""https://docs.google.com/spreadsheets/d/1KK2Gk0v7qSg-tdyBI73crsdg5bq163NRRkpYHeQi_Y0/edit?gid=1996990278#gid=1996990278"",""2025-26!ar3"")"),18.0)</f>
        <v>18</v>
      </c>
      <c r="CS125" s="59" t="str">
        <f t="shared" si="29"/>
        <v/>
      </c>
      <c r="CT125" s="55">
        <f>IFERROR(__xludf.DUMMYFUNCTION("importrange(""https://docs.google.com/spreadsheets/d/1KK2Gk0v7qSg-tdyBI73crsdg5bq163NRRkpYHeQi_Y0/edit?gid=1996990278#gid=1996990278"",""2025-26!as4"")"),2528717.0)</f>
        <v>2528717</v>
      </c>
      <c r="CU125" s="55">
        <f>IFERROR(__xludf.DUMMYFUNCTION("importrange(""https://docs.google.com/spreadsheets/d/1KK2Gk0v7qSg-tdyBI73crsdg5bq163NRRkpYHeQi_Y0/edit?gid=1996990278#gid=1996990278"",""2025-26!as3"")"),30.0)</f>
        <v>30</v>
      </c>
      <c r="CV125" s="60" t="s">
        <v>212</v>
      </c>
    </row>
    <row r="126">
      <c r="A126" s="1" t="s">
        <v>185</v>
      </c>
      <c r="B126" s="37"/>
      <c r="C126" s="67" t="s">
        <v>275</v>
      </c>
      <c r="D126" s="65" t="s">
        <v>276</v>
      </c>
      <c r="E126" s="68">
        <v>9.679623472E9</v>
      </c>
      <c r="F126" s="78">
        <v>45637.0</v>
      </c>
      <c r="G126" s="62"/>
      <c r="H126" s="62"/>
      <c r="I126" s="70">
        <v>34090.0</v>
      </c>
      <c r="J126" s="54">
        <v>4250000.0</v>
      </c>
      <c r="K126" s="57">
        <f>IFERROR(__xludf.DUMMYFUNCTION("IMPORTRANGE(""https://docs.google.com/spreadsheets/d/1fpEWqgaINLyqNjSB3fo6ETWVUzJpnCYOX4eKClQfQmE/edit?gid=1996990278#gid=1996990278"",""2025-26!A3"")"),92.0)</f>
        <v>92</v>
      </c>
      <c r="L126" s="57">
        <f>IFERROR(__xludf.DUMMYFUNCTION("IMPORTRANGE(""https://docs.google.com/spreadsheets/d/1fpEWqgaINLyqNjSB3fo6ETWVUzJpnCYOX4eKClQfQmE/edit?gid=1996990278#gid=1996990278"",""2025-26!G4"")"),5.525E7)</f>
        <v>55250000</v>
      </c>
      <c r="M126" s="57">
        <f t="shared" si="50"/>
        <v>39724712.94</v>
      </c>
      <c r="N126" s="56">
        <f t="shared" si="51"/>
        <v>0.7612482172</v>
      </c>
      <c r="O126" s="57">
        <f t="shared" si="52"/>
        <v>42058964</v>
      </c>
      <c r="P126" s="55">
        <f>IFERROR(__xludf.DUMMYFUNCTION("IMPORTRANGE(""https://docs.google.com/spreadsheets/d/1fpEWqgaINLyqNjSB3fo6ETWVUzJpnCYOX4eKClQfQmE/edit?gid=1996990278#gid=1996990278"",""2025-26!J4"")"),3540000.0)</f>
        <v>3540000</v>
      </c>
      <c r="Q126" s="55">
        <f>IFERROR(__xludf.DUMMYFUNCTION("IMPORTRANGE(""https://docs.google.com/spreadsheets/d/1fpEWqgaINLyqNjSB3fo6ETWVUzJpnCYOX4eKClQfQmE/edit?gid=1996990278#gid=1996990278"",""2025-26!J3"")"),44.0)</f>
        <v>44</v>
      </c>
      <c r="R126" s="55">
        <f>IFERROR(__xludf.DUMMYFUNCTION("IMPORTRANGE(""https://docs.google.com/spreadsheets/d/1fpEWqgaINLyqNjSB3fo6ETWVUzJpnCYOX4eKClQfQmE/edit?gid=1996990278#gid=1996990278"",""2025-26!K4"")"),1500082.1)</f>
        <v>1500082.1</v>
      </c>
      <c r="S126" s="55">
        <f>IFERROR(__xludf.DUMMYFUNCTION("IMPORTRANGE(""https://docs.google.com/spreadsheets/d/1fpEWqgaINLyqNjSB3fo6ETWVUzJpnCYOX4eKClQfQmE/edit?gid=1996990278#gid=1996990278"",""2025-26!K3"")"),22.0)</f>
        <v>22</v>
      </c>
      <c r="T126" s="58">
        <f t="shared" si="18"/>
        <v>0</v>
      </c>
      <c r="U126" s="55">
        <f>IFERROR(__xludf.DUMMYFUNCTION("IMPORTRANGE(""https://docs.google.com/spreadsheets/d/1fpEWqgaINLyqNjSB3fo6ETWVUzJpnCYOX4eKClQfQmE/edit?gid=1996990278#gid=1996990278"",""2025-26!L4"")"),0.0)</f>
        <v>0</v>
      </c>
      <c r="V126" s="79">
        <f>IFERROR(__xludf.DUMMYFUNCTION("IMPORTRANGE(""https://docs.google.com/spreadsheets/d/1fpEWqgaINLyqNjSB3fo6ETWVUzJpnCYOX4eKClQfQmE/edit?gid=1996990278#gid=1996990278"",""2025-26!L3"")"),0.0)</f>
        <v>0</v>
      </c>
      <c r="W126" s="55">
        <f>IFERROR(__xludf.DUMMYFUNCTION("IMPORTRANGE(""https://docs.google.com/spreadsheets/d/1fpEWqgaINLyqNjSB3fo6ETWVUzJpnCYOX4eKClQfQmE/edit?gid=1996990278#gid=1996990278"",""2025-26!M4"")"),4432000.0)</f>
        <v>4432000</v>
      </c>
      <c r="X126" s="79">
        <f>IFERROR(__xludf.DUMMYFUNCTION("IMPORTRANGE(""https://docs.google.com/spreadsheets/d/1fpEWqgaINLyqNjSB3fo6ETWVUzJpnCYOX4eKClQfQmE/edit?gid=1996990278#gid=1996990278"",""2025-26!M3"")"),46.0)</f>
        <v>46</v>
      </c>
      <c r="Y126" s="55">
        <f>IFERROR(__xludf.DUMMYFUNCTION("importrange(""https://docs.google.com/spreadsheets/d/1fpEWqgaINLyqNjSB3fo6ETWVUzJpnCYOX4eKClQfQmE/edit?gid=1996990278#gid=1996990278"",""2025-26!n4"")"),5505496.0)</f>
        <v>5505496</v>
      </c>
      <c r="Z126" s="55">
        <f>IFERROR(__xludf.DUMMYFUNCTION("importrange(""https://docs.google.com/spreadsheets/d/1fpEWqgaINLyqNjSB3fo6ETWVUzJpnCYOX4eKClQfQmE/edit?gid=1996990278#gid=1996990278"",""2025-26!n3"")"),32.0)</f>
        <v>32</v>
      </c>
      <c r="AA126" s="58">
        <f t="shared" si="19"/>
        <v>1.360985785</v>
      </c>
      <c r="AB126" s="55">
        <f>IFERROR(__xludf.DUMMYFUNCTION("importrange(""https://docs.google.com/spreadsheets/d/1fpEWqgaINLyqNjSB3fo6ETWVUzJpnCYOX4eKClQfQmE/edit?gid=1996990278#gid=1996990278"",""2025-26!o4"")"),6031889.0)</f>
        <v>6031889</v>
      </c>
      <c r="AC126" s="55">
        <f>IFERROR(__xludf.DUMMYFUNCTION("importrange(""https://docs.google.com/spreadsheets/d/1fpEWqgaINLyqNjSB3fo6ETWVUzJpnCYOX4eKClQfQmE/edit?gid=1996990278#gid=1996990278"",""2025-26!o3"")"),35.0)</f>
        <v>35</v>
      </c>
      <c r="AD126" s="55">
        <f>IFERROR(__xludf.DUMMYFUNCTION("importrange(""https://docs.google.com/spreadsheets/d/1fpEWqgaINLyqNjSB3fo6ETWVUzJpnCYOX4eKClQfQmE/edit?gid=1996990278#gid=1996990278"",""2025-26!p4"")"),4035000.0)</f>
        <v>4035000</v>
      </c>
      <c r="AE126" s="55">
        <f>IFERROR(__xludf.DUMMYFUNCTION("importrange(""https://docs.google.com/spreadsheets/d/1fpEWqgaINLyqNjSB3fo6ETWVUzJpnCYOX4eKClQfQmE/edit?gid=1996990278#gid=1996990278"",""2025-26!p3"")"),52.0)</f>
        <v>52</v>
      </c>
      <c r="AF126" s="55">
        <f>IFERROR(__xludf.DUMMYFUNCTION("importrange(""https://docs.google.com/spreadsheets/d/1fpEWqgaINLyqNjSB3fo6ETWVUzJpnCYOX4eKClQfQmE/edit?gid=1996990278#gid=1996990278"",""2025-26!q4"")"),2439272.8000000003)</f>
        <v>2439272.8</v>
      </c>
      <c r="AG126" s="55">
        <f>IFERROR(__xludf.DUMMYFUNCTION("importrange(""https://docs.google.com/spreadsheets/d/1fpEWqgaINLyqNjSB3fo6ETWVUzJpnCYOX4eKClQfQmE/edit?gid=1996990278#gid=1996990278"",""2025-26!q3"")"),24.0)</f>
        <v>24</v>
      </c>
      <c r="AH126" s="58">
        <f t="shared" si="20"/>
        <v>0.6192902107</v>
      </c>
      <c r="AI126" s="55">
        <f>IFERROR(__xludf.DUMMYFUNCTION("importrange(""https://docs.google.com/spreadsheets/d/1fpEWqgaINLyqNjSB3fo6ETWVUzJpnCYOX4eKClQfQmE/edit?gid=1996990278#gid=1996990278"",""2025-26!r4"")"),2498836.0)</f>
        <v>2498836</v>
      </c>
      <c r="AJ126" s="55">
        <f>IFERROR(__xludf.DUMMYFUNCTION("importrange(""https://docs.google.com/spreadsheets/d/1fpEWqgaINLyqNjSB3fo6ETWVUzJpnCYOX4eKClQfQmE/edit?gid=1996990278#gid=1996990278"",""2025-26!r3"")"),30.0)</f>
        <v>30</v>
      </c>
      <c r="AK126" s="55">
        <f>IFERROR(__xludf.DUMMYFUNCTION("importrange(""https://docs.google.com/spreadsheets/d/1fpEWqgaINLyqNjSB3fo6ETWVUzJpnCYOX4eKClQfQmE/edit?gid=1996990278#gid=1996990278"",""2025-26!s4"")"),4323000.0)</f>
        <v>4323000</v>
      </c>
      <c r="AL126" s="55">
        <f>IFERROR(__xludf.DUMMYFUNCTION("importrange(""https://docs.google.com/spreadsheets/d/1fpEWqgaINLyqNjSB3fo6ETWVUzJpnCYOX4eKClQfQmE/edit?gid=1996990278#gid=1996990278"",""2025-26!s3"")"),52.0)</f>
        <v>52</v>
      </c>
      <c r="AM126" s="57">
        <f>IFERROR(__xludf.DUMMYFUNCTION("importrange(""https://docs.google.com/spreadsheets/d/1fpEWqgaINLyqNjSB3fo6ETWVUzJpnCYOX4eKClQfQmE/edit?gid=1996990278#gid=1996990278"",""2025-26!t4"")"),2953566.07)</f>
        <v>2953566.07</v>
      </c>
      <c r="AN126" s="55">
        <f>IFERROR(__xludf.DUMMYFUNCTION("importrange(""https://docs.google.com/spreadsheets/d/1fpEWqgaINLyqNjSB3fo6ETWVUzJpnCYOX4eKClQfQmE/edit?gid=1996990278#gid=1996990278"",""2025-26!t3"")"),29.0)</f>
        <v>29</v>
      </c>
      <c r="AO126" s="58">
        <f t="shared" si="21"/>
        <v>0.7329183437</v>
      </c>
      <c r="AP126" s="55">
        <f>IFERROR(__xludf.DUMMYFUNCTION("importrange(""https://docs.google.com/spreadsheets/d/1fpEWqgaINLyqNjSB3fo6ETWVUzJpnCYOX4eKClQfQmE/edit?gid=1996990278#gid=1996990278"",""2025-26!u4"")"),3168406.0)</f>
        <v>3168406</v>
      </c>
      <c r="AQ126" s="55">
        <f>IFERROR(__xludf.DUMMYFUNCTION("importrange(""https://docs.google.com/spreadsheets/d/1fpEWqgaINLyqNjSB3fo6ETWVUzJpnCYOX4eKClQfQmE/edit?gid=1996990278#gid=1996990278"",""2025-26!u3"")"),36.0)</f>
        <v>36</v>
      </c>
      <c r="AR126" s="55">
        <f>IFERROR(__xludf.DUMMYFUNCTION("importrange(""https://docs.google.com/spreadsheets/d/1fpEWqgaINLyqNjSB3fo6ETWVUzJpnCYOX4eKClQfQmE/edit?gid=1996990278#gid=1996990278"",""2025-26!v4"")"),4724000.0)</f>
        <v>4724000</v>
      </c>
      <c r="AS126" s="55">
        <f>IFERROR(__xludf.DUMMYFUNCTION("importrange(""https://docs.google.com/spreadsheets/d/1fpEWqgaINLyqNjSB3fo6ETWVUzJpnCYOX4eKClQfQmE/edit?gid=1996990278#gid=1996990278"",""2025-26!v3"")"),53.0)</f>
        <v>53</v>
      </c>
      <c r="AT126" s="57">
        <f>IFERROR(__xludf.DUMMYFUNCTION("importrange(""https://docs.google.com/spreadsheets/d/1fpEWqgaINLyqNjSB3fo6ETWVUzJpnCYOX4eKClQfQmE/edit?gid=1996990278#gid=1996990278"",""2025-26!w4"")"),2200110.19)</f>
        <v>2200110.19</v>
      </c>
      <c r="AU126" s="55">
        <f>IFERROR(__xludf.DUMMYFUNCTION("importrange(""https://docs.google.com/spreadsheets/d/1fpEWqgaINLyqNjSB3fo6ETWVUzJpnCYOX4eKClQfQmE/edit?gid=1996990278#gid=1996990278"",""2025-26!w3"")"),24.0)</f>
        <v>24</v>
      </c>
      <c r="AV126" s="58">
        <f t="shared" si="22"/>
        <v>0.5339621084</v>
      </c>
      <c r="AW126" s="55">
        <f>IFERROR(__xludf.DUMMYFUNCTION("importrange(""https://docs.google.com/spreadsheets/d/1fpEWqgaINLyqNjSB3fo6ETWVUzJpnCYOX4eKClQfQmE/edit?gid=1996990278#gid=1996990278"",""2025-26!x4"")"),2522437.0)</f>
        <v>2522437</v>
      </c>
      <c r="AX126" s="55">
        <f>IFERROR(__xludf.DUMMYFUNCTION("importrange(""https://docs.google.com/spreadsheets/d/1fpEWqgaINLyqNjSB3fo6ETWVUzJpnCYOX4eKClQfQmE/edit?gid=1996990278#gid=1996990278"",""2025-26!x3"")"),26.0)</f>
        <v>26</v>
      </c>
      <c r="AY126" s="55">
        <f>IFERROR(__xludf.DUMMYFUNCTION("importrange(""https://docs.google.com/spreadsheets/d/1fpEWqgaINLyqNjSB3fo6ETWVUzJpnCYOX4eKClQfQmE/edit?gid=1996990278#gid=1996990278"",""2025-26!y4"")"),4654000.0)</f>
        <v>4654000</v>
      </c>
      <c r="AZ126" s="55">
        <f>IFERROR(__xludf.DUMMYFUNCTION("importrange(""https://docs.google.com/spreadsheets/d/1fpEWqgaINLyqNjSB3fo6ETWVUzJpnCYOX4eKClQfQmE/edit?gid=1996990278#gid=1996990278"",""2025-26!y3"")"),52.0)</f>
        <v>52</v>
      </c>
      <c r="BA126" s="57">
        <f>IFERROR(__xludf.DUMMYFUNCTION("importrange(""https://docs.google.com/spreadsheets/d/1fpEWqgaINLyqNjSB3fo6ETWVUzJpnCYOX4eKClQfQmE/edit?gid=1996990278#gid=1996990278"",""2025-26!z4"")"),2658009.3199999994)</f>
        <v>2658009.32</v>
      </c>
      <c r="BB126" s="55">
        <f>IFERROR(__xludf.DUMMYFUNCTION("importrange(""https://docs.google.com/spreadsheets/d/1fpEWqgaINLyqNjSB3fo6ETWVUzJpnCYOX4eKClQfQmE/edit?gid=1996990278#gid=1996990278"",""2025-26!z3"")"),24.0)</f>
        <v>24</v>
      </c>
      <c r="BC126" s="59">
        <f t="shared" si="23"/>
        <v>0.5562941556</v>
      </c>
      <c r="BD126" s="55">
        <f>IFERROR(__xludf.DUMMYFUNCTION("importrange(""https://docs.google.com/spreadsheets/d/1fpEWqgaINLyqNjSB3fo6ETWVUzJpnCYOX4eKClQfQmE/edit?gid=1996990278#gid=1996990278"",""2025-26!aa4"")"),2588993.0)</f>
        <v>2588993</v>
      </c>
      <c r="BE126" s="55">
        <f>IFERROR(__xludf.DUMMYFUNCTION("importrange(""https://docs.google.com/spreadsheets/d/1fpEWqgaINLyqNjSB3fo6ETWVUzJpnCYOX4eKClQfQmE/edit?gid=1996990278#gid=1996990278"",""2025-26!aa3"")"),25.0)</f>
        <v>25</v>
      </c>
      <c r="BF126" s="55">
        <f>IFERROR(__xludf.DUMMYFUNCTION("importrange(""https://docs.google.com/spreadsheets/d/1fpEWqgaINLyqNjSB3fo6ETWVUzJpnCYOX4eKClQfQmE/edit?gid=1996990278#gid=1996990278"",""2025-26!ab4"")"),5225000.0)</f>
        <v>5225000</v>
      </c>
      <c r="BG126" s="55">
        <f>IFERROR(__xludf.DUMMYFUNCTION("importrange(""https://docs.google.com/spreadsheets/d/1fpEWqgaINLyqNjSB3fo6ETWVUzJpnCYOX4eKClQfQmE/edit?gid=1996990278#gid=1996990278"",""2025-26!ab3"")"),54.0)</f>
        <v>54</v>
      </c>
      <c r="BH126" s="55">
        <f>IFERROR(__xludf.DUMMYFUNCTION("importrange(""https://docs.google.com/spreadsheets/d/1fpEWqgaINLyqNjSB3fo6ETWVUzJpnCYOX4eKClQfQmE/edit?gid=1996990278#gid=1996990278"",""2025-26!ac4"")"),3269868.89)</f>
        <v>3269868.89</v>
      </c>
      <c r="BI126" s="55">
        <f>IFERROR(__xludf.DUMMYFUNCTION("importrange(""https://docs.google.com/spreadsheets/d/1fpEWqgaINLyqNjSB3fo6ETWVUzJpnCYOX4eKClQfQmE/edit?gid=1996990278#gid=1996990278"",""2025-26!ac3"")"),29.0)</f>
        <v>29</v>
      </c>
      <c r="BJ126" s="59">
        <f t="shared" si="24"/>
        <v>0.717523445</v>
      </c>
      <c r="BK126" s="55">
        <f>IFERROR(__xludf.DUMMYFUNCTION("importrange(""https://docs.google.com/spreadsheets/d/1fpEWqgaINLyqNjSB3fo6ETWVUzJpnCYOX4eKClQfQmE/edit?gid=1996990278#gid=1996990278"",""2025-26!ad4"")"),3749060.0)</f>
        <v>3749060</v>
      </c>
      <c r="BL126" s="55">
        <f>IFERROR(__xludf.DUMMYFUNCTION("importrange(""https://docs.google.com/spreadsheets/d/1fpEWqgaINLyqNjSB3fo6ETWVUzJpnCYOX4eKClQfQmE/edit?gid=1996990278#gid=1996990278"",""2025-26!ad3"")"),30.0)</f>
        <v>30</v>
      </c>
      <c r="BM126" s="55">
        <f>IFERROR(__xludf.DUMMYFUNCTION("importrange(""https://docs.google.com/spreadsheets/d/1fpEWqgaINLyqNjSB3fo6ETWVUzJpnCYOX4eKClQfQmE/edit?gid=1996990278#gid=1996990278"",""2025-26!ae4"")"),5091000.0)</f>
        <v>5091000</v>
      </c>
      <c r="BN126" s="55">
        <f>IFERROR(__xludf.DUMMYFUNCTION("importrange(""https://docs.google.com/spreadsheets/d/1fpEWqgaINLyqNjSB3fo6ETWVUzJpnCYOX4eKClQfQmE/edit?gid=1996990278#gid=1996990278"",""2025-26!ae3"")"),58.0)</f>
        <v>58</v>
      </c>
      <c r="BO126" s="55">
        <f>IFERROR(__xludf.DUMMYFUNCTION("importrange(""https://docs.google.com/spreadsheets/d/1fpEWqgaINLyqNjSB3fo6ETWVUzJpnCYOX4eKClQfQmE/edit?gid=1996990278#gid=1996990278"",""2025-26!af4"")"),2442296.41)</f>
        <v>2442296.41</v>
      </c>
      <c r="BP126" s="55">
        <f>IFERROR(__xludf.DUMMYFUNCTION("importrange(""https://docs.google.com/spreadsheets/d/1fpEWqgaINLyqNjSB3fo6ETWVUzJpnCYOX4eKClQfQmE/edit?gid=1996990278#gid=1996990278"",""2025-26!af3"")"),33.0)</f>
        <v>33</v>
      </c>
      <c r="BQ126" s="59">
        <f t="shared" si="25"/>
        <v>0.5877198979</v>
      </c>
      <c r="BR126" s="55">
        <f>IFERROR(__xludf.DUMMYFUNCTION("importrange(""https://docs.google.com/spreadsheets/d/1fpEWqgaINLyqNjSB3fo6ETWVUzJpnCYOX4eKClQfQmE/edit?gid=1996990278#gid=1996990278"",""2025-26!ag4"")"),2992082.0)</f>
        <v>2992082</v>
      </c>
      <c r="BS126" s="55">
        <f>IFERROR(__xludf.DUMMYFUNCTION("importrange(""https://docs.google.com/spreadsheets/d/1fpEWqgaINLyqNjSB3fo6ETWVUzJpnCYOX4eKClQfQmE/edit?gid=1996990278#gid=1996990278"",""2025-26!ag3"")"),40.0)</f>
        <v>40</v>
      </c>
      <c r="BT126" s="55">
        <f>IFERROR(__xludf.DUMMYFUNCTION("importrange(""https://docs.google.com/spreadsheets/d/1fpEWqgaINLyqNjSB3fo6ETWVUzJpnCYOX4eKClQfQmE/edit?gid=1996990278#gid=1996990278"",""2025-26!ah4"")"),5172000.0)</f>
        <v>5172000</v>
      </c>
      <c r="BU126" s="55">
        <f>IFERROR(__xludf.DUMMYFUNCTION("importrange(""https://docs.google.com/spreadsheets/d/1fpEWqgaINLyqNjSB3fo6ETWVUzJpnCYOX4eKClQfQmE/edit?gid=1996990278#gid=1996990278"",""2025-26!ah3"")"),57.0)</f>
        <v>57</v>
      </c>
      <c r="BV126" s="55">
        <f>IFERROR(__xludf.DUMMYFUNCTION("importrange(""https://docs.google.com/spreadsheets/d/1fpEWqgaINLyqNjSB3fo6ETWVUzJpnCYOX4eKClQfQmE/edit?gid=1996990278#gid=1996990278"",""2025-26!ai4"")"),3899176.4099999997)</f>
        <v>3899176.41</v>
      </c>
      <c r="BW126" s="55">
        <f>IFERROR(__xludf.DUMMYFUNCTION("importrange(""https://docs.google.com/spreadsheets/d/1fpEWqgaINLyqNjSB3fo6ETWVUzJpnCYOX4eKClQfQmE/edit?gid=1996990278#gid=1996990278"",""2025-26!ai3"")"),27.0)</f>
        <v>27</v>
      </c>
      <c r="BX126" s="59">
        <f t="shared" si="26"/>
        <v>0.7597006961</v>
      </c>
      <c r="BY126" s="55">
        <f>IFERROR(__xludf.DUMMYFUNCTION("importrange(""https://docs.google.com/spreadsheets/d/1fpEWqgaINLyqNjSB3fo6ETWVUzJpnCYOX4eKClQfQmE/edit?gid=1996990278#gid=1996990278"",""2025-26!aj4"")"),3929172.0)</f>
        <v>3929172</v>
      </c>
      <c r="BZ126" s="55">
        <f>IFERROR(__xludf.DUMMYFUNCTION("importrange(""https://docs.google.com/spreadsheets/d/1fpEWqgaINLyqNjSB3fo6ETWVUzJpnCYOX4eKClQfQmE/edit?gid=1996990278#gid=1996990278"",""2025-26!aj3"")"),29.0)</f>
        <v>29</v>
      </c>
      <c r="CA126" s="55">
        <f>IFERROR(__xludf.DUMMYFUNCTION("importrange(""https://docs.google.com/spreadsheets/d/1fpEWqgaINLyqNjSB3fo6ETWVUzJpnCYOX4eKClQfQmE/edit?gid=1996990278#gid=1996990278"",""2025-26!ak4"")"),4884000.0)</f>
        <v>4884000</v>
      </c>
      <c r="CB126" s="55">
        <f>IFERROR(__xludf.DUMMYFUNCTION("importrange(""https://docs.google.com/spreadsheets/d/1fpEWqgaINLyqNjSB3fo6ETWVUzJpnCYOX4eKClQfQmE/edit?gid=1996990278#gid=1996990278"",""2025-26!ak3"")"),60.0)</f>
        <v>60</v>
      </c>
      <c r="CC126" s="55">
        <f>IFERROR(__xludf.DUMMYFUNCTION("importrange(""https://docs.google.com/spreadsheets/d/1fpEWqgaINLyqNjSB3fo6ETWVUzJpnCYOX4eKClQfQmE/edit?gid=1996990278#gid=1996990278"",""2025-26!al4"")"),3925823.5700000003)</f>
        <v>3925823.57</v>
      </c>
      <c r="CD126" s="55">
        <f>IFERROR(__xludf.DUMMYFUNCTION("importrange(""https://docs.google.com/spreadsheets/d/1fpEWqgaINLyqNjSB3fo6ETWVUzJpnCYOX4eKClQfQmE/edit?gid=1996990278#gid=1996990278"",""2025-26!ai3"")"),27.0)</f>
        <v>27</v>
      </c>
      <c r="CE126" s="59">
        <f t="shared" si="27"/>
        <v>0.8688126536</v>
      </c>
      <c r="CF126" s="55">
        <f>IFERROR(__xludf.DUMMYFUNCTION("importrange(""https://docs.google.com/spreadsheets/d/1fpEWqgaINLyqNjSB3fo6ETWVUzJpnCYOX4eKClQfQmE/edit?gid=1996990278#gid=1996990278"",""2025-26!am4"")"),4243281.0)</f>
        <v>4243281</v>
      </c>
      <c r="CG126" s="55">
        <f>IFERROR(__xludf.DUMMYFUNCTION("importrange(""https://docs.google.com/spreadsheets/d/1fpEWqgaINLyqNjSB3fo6ETWVUzJpnCYOX4eKClQfQmE/edit?gid=1996990278#gid=1996990278"",""2025-26!am3"")"),39.0)</f>
        <v>39</v>
      </c>
      <c r="CH126" s="55">
        <f>IFERROR(__xludf.DUMMYFUNCTION("importrange(""https://docs.google.com/spreadsheets/d/1fpEWqgaINLyqNjSB3fo6ETWVUzJpnCYOX4eKClQfQmE/edit?gid=1996990278#gid=1996990278"",""2025-26!an4"")"),4952000.0)</f>
        <v>4952000</v>
      </c>
      <c r="CI126" s="55">
        <f>IFERROR(__xludf.DUMMYFUNCTION("importrange(""https://docs.google.com/spreadsheets/d/1fpEWqgaINLyqNjSB3fo6ETWVUzJpnCYOX4eKClQfQmE/edit?gid=1996990278#gid=1996990278"",""2025-26!an3"")"),60.0)</f>
        <v>60</v>
      </c>
      <c r="CJ126" s="55">
        <f>IFERROR(__xludf.DUMMYFUNCTION("importrange(""https://docs.google.com/spreadsheets/d/1fpEWqgaINLyqNjSB3fo6ETWVUzJpnCYOX4eKClQfQmE/edit?gid=1996990278#gid=1996990278"",""2025-26!ao4"")"),2626327.67)</f>
        <v>2626327.67</v>
      </c>
      <c r="CK126" s="55">
        <f>IFERROR(__xludf.DUMMYFUNCTION("importrange(""https://docs.google.com/spreadsheets/d/1fpEWqgaINLyqNjSB3fo6ETWVUzJpnCYOX4eKClQfQmE/edit?gid=1996990278#gid=1996990278"",""2025-26!ao3"")"),28.0)</f>
        <v>28</v>
      </c>
      <c r="CL126" s="59">
        <f t="shared" si="28"/>
        <v>0.6994434572</v>
      </c>
      <c r="CM126" s="55">
        <f>IFERROR(__xludf.DUMMYFUNCTION("importrange(""https://docs.google.com/spreadsheets/d/1fpEWqgaINLyqNjSB3fo6ETWVUzJpnCYOX4eKClQfQmE/edit?gid=1996990278#gid=1996990278"",""2025-26!ap4"")"),3463644.0)</f>
        <v>3463644</v>
      </c>
      <c r="CN126" s="55">
        <f>IFERROR(__xludf.DUMMYFUNCTION("importrange(""https://docs.google.com/spreadsheets/d/1fpEWqgaINLyqNjSB3fo6ETWVUzJpnCYOX4eKClQfQmE/edit?gid=1996990278#gid=1996990278"",""2025-26!ap3"")"),41.0)</f>
        <v>41</v>
      </c>
      <c r="CO126" s="55">
        <f>IFERROR(__xludf.DUMMYFUNCTION("importrange(""https://docs.google.com/spreadsheets/d/1fpEWqgaINLyqNjSB3fo6ETWVUzJpnCYOX4eKClQfQmE/edit?gid=1996990278#gid=1996990278"",""2025-26!aq4"")"),0.0)</f>
        <v>0</v>
      </c>
      <c r="CP126" s="55">
        <f>IFERROR(__xludf.DUMMYFUNCTION("importrange(""https://docs.google.com/spreadsheets/d/1fpEWqgaINLyqNjSB3fo6ETWVUzJpnCYOX4eKClQfQmE/edit?gid=1996990278#gid=1996990278"",""2025-26!aq3"")"),0.0)</f>
        <v>0</v>
      </c>
      <c r="CQ126" s="55">
        <f>IFERROR(__xludf.DUMMYFUNCTION("importrange(""https://docs.google.com/spreadsheets/d/1fpEWqgaINLyqNjSB3fo6ETWVUzJpnCYOX4eKClQfQmE/edit?gid=1996990278#gid=1996990278"",""2025-26!ar4"")"),6304683.51)</f>
        <v>6304683.51</v>
      </c>
      <c r="CR126" s="55">
        <f>IFERROR(__xludf.DUMMYFUNCTION("importrange(""https://docs.google.com/spreadsheets/d/1fpEWqgaINLyqNjSB3fo6ETWVUzJpnCYOX4eKClQfQmE/edit?gid=1996990278#gid=1996990278"",""2025-26!ar3"")"),27.0)</f>
        <v>27</v>
      </c>
      <c r="CS126" s="59" t="str">
        <f t="shared" si="29"/>
        <v/>
      </c>
      <c r="CT126" s="55">
        <f>IFERROR(__xludf.DUMMYFUNCTION("importrange(""https://docs.google.com/spreadsheets/d/1fpEWqgaINLyqNjSB3fo6ETWVUzJpnCYOX4eKClQfQmE/edit?gid=1996990278#gid=1996990278"",""2025-26!as4"")"),6871164.0)</f>
        <v>6871164</v>
      </c>
      <c r="CU126" s="55">
        <f>IFERROR(__xludf.DUMMYFUNCTION("importrange(""https://docs.google.com/spreadsheets/d/1fpEWqgaINLyqNjSB3fo6ETWVUzJpnCYOX4eKClQfQmE/edit?gid=1996990278#gid=1996990278"",""2025-26!as3"")"),31.0)</f>
        <v>31</v>
      </c>
      <c r="CV126" s="60" t="s">
        <v>189</v>
      </c>
    </row>
    <row r="127">
      <c r="A127" s="1" t="s">
        <v>185</v>
      </c>
      <c r="B127" s="37"/>
      <c r="C127" s="67" t="s">
        <v>277</v>
      </c>
      <c r="D127" s="65" t="s">
        <v>278</v>
      </c>
      <c r="E127" s="68">
        <v>9.122007206E9</v>
      </c>
      <c r="F127" s="78">
        <v>45639.0</v>
      </c>
      <c r="G127" s="62"/>
      <c r="H127" s="62"/>
      <c r="I127" s="70">
        <v>33570.0</v>
      </c>
      <c r="J127" s="54">
        <v>2000000.0</v>
      </c>
      <c r="K127" s="57">
        <f>IFERROR(__xludf.DUMMYFUNCTION("IMPORTRANGE(""https://docs.google.com/spreadsheets/d/1jb97tsNPP32qu8ow9340R_Kgg7aVZi6E-LN-1JUDVf8/edit?gid=1996990278#gid=1996990278"",""2025-26!A3"")"),106.0)</f>
        <v>106</v>
      </c>
      <c r="L127" s="57">
        <f>IFERROR(__xludf.DUMMYFUNCTION("IMPORTRANGE(""https://docs.google.com/spreadsheets/d/1jb97tsNPP32qu8ow9340R_Kgg7aVZi6E-LN-1JUDVf8/edit?gid=1996990278#gid=1996990278"",""2025-26!G4"")"),3.0080959E7)</f>
        <v>30080959</v>
      </c>
      <c r="M127" s="57">
        <f t="shared" si="50"/>
        <v>20736408.15</v>
      </c>
      <c r="N127" s="56">
        <f t="shared" si="51"/>
        <v>0.7094789963</v>
      </c>
      <c r="O127" s="57">
        <f t="shared" si="52"/>
        <v>21341808.6</v>
      </c>
      <c r="P127" s="55">
        <f>IFERROR(__xludf.DUMMYFUNCTION("IMPORTRANGE(""https://docs.google.com/spreadsheets/d/1jb97tsNPP32qu8ow9340R_Kgg7aVZi6E-LN-1JUDVf8/edit?gid=1996990278#gid=1996990278"",""2025-26!J4"")"),2271406.0)</f>
        <v>2271406</v>
      </c>
      <c r="Q127" s="55">
        <f>IFERROR(__xludf.DUMMYFUNCTION("IMPORTRANGE(""https://docs.google.com/spreadsheets/d/1jb97tsNPP32qu8ow9340R_Kgg7aVZi6E-LN-1JUDVf8/edit?gid=1996990278#gid=1996990278"",""2025-26!J3"")"),45.0)</f>
        <v>45</v>
      </c>
      <c r="R127" s="55">
        <f>IFERROR(__xludf.DUMMYFUNCTION("IMPORTRANGE(""https://docs.google.com/spreadsheets/d/1jb97tsNPP32qu8ow9340R_Kgg7aVZi6E-LN-1JUDVf8/edit?gid=1996990278#gid=1996990278"",""2025-26!K4"")"),655694.5)</f>
        <v>655694.5</v>
      </c>
      <c r="S127" s="55">
        <f>IFERROR(__xludf.DUMMYFUNCTION("IMPORTRANGE(""https://docs.google.com/spreadsheets/d/1jb97tsNPP32qu8ow9340R_Kgg7aVZi6E-LN-1JUDVf8/edit?gid=1996990278#gid=1996990278"",""2025-26!K3"")"),10.0)</f>
        <v>10</v>
      </c>
      <c r="T127" s="58">
        <f t="shared" si="18"/>
        <v>0.3113129049</v>
      </c>
      <c r="U127" s="55">
        <f>IFERROR(__xludf.DUMMYFUNCTION("IMPORTRANGE(""https://docs.google.com/spreadsheets/d/1jb97tsNPP32qu8ow9340R_Kgg7aVZi6E-LN-1JUDVf8/edit?gid=1996990278#gid=1996990278"",""2025-26!L4"")"),707118.0)</f>
        <v>707118</v>
      </c>
      <c r="V127" s="79">
        <f>IFERROR(__xludf.DUMMYFUNCTION("IMPORTRANGE(""https://docs.google.com/spreadsheets/d/1jb97tsNPP32qu8ow9340R_Kgg7aVZi6E-LN-1JUDVf8/edit?gid=1996990278#gid=1996990278"",""2025-26!L3"")"),12.0)</f>
        <v>12</v>
      </c>
      <c r="W127" s="55">
        <f>IFERROR(__xludf.DUMMYFUNCTION("IMPORTRANGE(""https://docs.google.com/spreadsheets/d/1jb97tsNPP32qu8ow9340R_Kgg7aVZi6E-LN-1JUDVf8/edit?gid=1996990278#gid=1996990278"",""2025-26!M4"")"),2271406.0)</f>
        <v>2271406</v>
      </c>
      <c r="X127" s="79">
        <f>IFERROR(__xludf.DUMMYFUNCTION("IMPORTRANGE(""https://docs.google.com/spreadsheets/d/1jb97tsNPP32qu8ow9340R_Kgg7aVZi6E-LN-1JUDVf8/edit?gid=1996990278#gid=1996990278"",""2025-26!M3"")"),45.0)</f>
        <v>45</v>
      </c>
      <c r="Y127" s="55">
        <f>IFERROR(__xludf.DUMMYFUNCTION("importrange(""https://docs.google.com/spreadsheets/d/1jb97tsNPP32qu8ow9340R_Kgg7aVZi6E-LN-1JUDVf8/edit?gid=1996990278#gid=1996990278"",""2025-26!n4"")"),1502896.0600000003)</f>
        <v>1502896.06</v>
      </c>
      <c r="Z127" s="55">
        <f>IFERROR(__xludf.DUMMYFUNCTION("importrange(""https://docs.google.com/spreadsheets/d/1jb97tsNPP32qu8ow9340R_Kgg7aVZi6E-LN-1JUDVf8/edit?gid=1996990278#gid=1996990278"",""2025-26!n3"")"),22.0)</f>
        <v>22</v>
      </c>
      <c r="AA127" s="58">
        <f t="shared" si="19"/>
        <v>0.8943544219</v>
      </c>
      <c r="AB127" s="55">
        <f>IFERROR(__xludf.DUMMYFUNCTION("importrange(""https://docs.google.com/spreadsheets/d/1jb97tsNPP32qu8ow9340R_Kgg7aVZi6E-LN-1JUDVf8/edit?gid=1996990278#gid=1996990278"",""2025-26!o4"")"),2031442.0)</f>
        <v>2031442</v>
      </c>
      <c r="AC127" s="55">
        <f>IFERROR(__xludf.DUMMYFUNCTION("importrange(""https://docs.google.com/spreadsheets/d/1jb97tsNPP32qu8ow9340R_Kgg7aVZi6E-LN-1JUDVf8/edit?gid=1996990278#gid=1996990278"",""2025-26!o3"")"),29.0)</f>
        <v>29</v>
      </c>
      <c r="AD127" s="55">
        <f>IFERROR(__xludf.DUMMYFUNCTION("importrange(""https://docs.google.com/spreadsheets/d/1jb97tsNPP32qu8ow9340R_Kgg7aVZi6E-LN-1JUDVf8/edit?gid=1996990278#gid=1996990278"",""2025-26!p4"")"),2271406.0)</f>
        <v>2271406</v>
      </c>
      <c r="AE127" s="55">
        <f>IFERROR(__xludf.DUMMYFUNCTION("importrange(""https://docs.google.com/spreadsheets/d/1jb97tsNPP32qu8ow9340R_Kgg7aVZi6E-LN-1JUDVf8/edit?gid=1996990278#gid=1996990278"",""2025-26!p3"")"),45.0)</f>
        <v>45</v>
      </c>
      <c r="AF127" s="55">
        <f>IFERROR(__xludf.DUMMYFUNCTION("importrange(""https://docs.google.com/spreadsheets/d/1jb97tsNPP32qu8ow9340R_Kgg7aVZi6E-LN-1JUDVf8/edit?gid=1996990278#gid=1996990278"",""2025-26!q4"")"),1536650.8599999996)</f>
        <v>1536650.86</v>
      </c>
      <c r="AG127" s="55">
        <f>IFERROR(__xludf.DUMMYFUNCTION("importrange(""https://docs.google.com/spreadsheets/d/1jb97tsNPP32qu8ow9340R_Kgg7aVZi6E-LN-1JUDVf8/edit?gid=1996990278#gid=1996990278"",""2025-26!q3"")"),14.0)</f>
        <v>14</v>
      </c>
      <c r="AH127" s="58">
        <f t="shared" si="20"/>
        <v>0.7836379758</v>
      </c>
      <c r="AI127" s="55">
        <f>IFERROR(__xludf.DUMMYFUNCTION("importrange(""https://docs.google.com/spreadsheets/d/1jb97tsNPP32qu8ow9340R_Kgg7aVZi6E-LN-1JUDVf8/edit?gid=1996990278#gid=1996990278"",""2025-26!r4"")"),1779960.0)</f>
        <v>1779960</v>
      </c>
      <c r="AJ127" s="55">
        <f>IFERROR(__xludf.DUMMYFUNCTION("importrange(""https://docs.google.com/spreadsheets/d/1jb97tsNPP32qu8ow9340R_Kgg7aVZi6E-LN-1JUDVf8/edit?gid=1996990278#gid=1996990278"",""2025-26!r3"")"),16.0)</f>
        <v>16</v>
      </c>
      <c r="AK127" s="55">
        <f>IFERROR(__xludf.DUMMYFUNCTION("importrange(""https://docs.google.com/spreadsheets/d/1jb97tsNPP32qu8ow9340R_Kgg7aVZi6E-LN-1JUDVf8/edit?gid=1996990278#gid=1996990278"",""2025-26!s4"")"),2271406.0)</f>
        <v>2271406</v>
      </c>
      <c r="AL127" s="55">
        <f>IFERROR(__xludf.DUMMYFUNCTION("importrange(""https://docs.google.com/spreadsheets/d/1jb97tsNPP32qu8ow9340R_Kgg7aVZi6E-LN-1JUDVf8/edit?gid=1996990278#gid=1996990278"",""2025-26!s3"")"),45.0)</f>
        <v>45</v>
      </c>
      <c r="AM127" s="57">
        <f>IFERROR(__xludf.DUMMYFUNCTION("importrange(""https://docs.google.com/spreadsheets/d/1jb97tsNPP32qu8ow9340R_Kgg7aVZi6E-LN-1JUDVf8/edit?gid=1996990278#gid=1996990278"",""2025-26!t4"")"),1477211.6700000002)</f>
        <v>1477211.67</v>
      </c>
      <c r="AN127" s="55">
        <f>IFERROR(__xludf.DUMMYFUNCTION("importrange(""https://docs.google.com/spreadsheets/d/1jb97tsNPP32qu8ow9340R_Kgg7aVZi6E-LN-1JUDVf8/edit?gid=1996990278#gid=1996990278"",""2025-26!t3"")"),23.0)</f>
        <v>23</v>
      </c>
      <c r="AO127" s="58">
        <f t="shared" si="21"/>
        <v>0.5768330276</v>
      </c>
      <c r="AP127" s="55">
        <f>IFERROR(__xludf.DUMMYFUNCTION("importrange(""https://docs.google.com/spreadsheets/d/1jb97tsNPP32qu8ow9340R_Kgg7aVZi6E-LN-1JUDVf8/edit?gid=1996990278#gid=1996990278"",""2025-26!u4"")"),1310222.0)</f>
        <v>1310222</v>
      </c>
      <c r="AQ127" s="55">
        <f>IFERROR(__xludf.DUMMYFUNCTION("importrange(""https://docs.google.com/spreadsheets/d/1jb97tsNPP32qu8ow9340R_Kgg7aVZi6E-LN-1JUDVf8/edit?gid=1996990278#gid=1996990278"",""2025-26!u3"")"),25.0)</f>
        <v>25</v>
      </c>
      <c r="AR127" s="55">
        <f>IFERROR(__xludf.DUMMYFUNCTION("importrange(""https://docs.google.com/spreadsheets/d/1jb97tsNPP32qu8ow9340R_Kgg7aVZi6E-LN-1JUDVf8/edit?gid=1996990278#gid=1996990278"",""2025-26!v4"")"),2271406.0)</f>
        <v>2271406</v>
      </c>
      <c r="AS127" s="55">
        <f>IFERROR(__xludf.DUMMYFUNCTION("importrange(""https://docs.google.com/spreadsheets/d/1jb97tsNPP32qu8ow9340R_Kgg7aVZi6E-LN-1JUDVf8/edit?gid=1996990278#gid=1996990278"",""2025-26!v3"")"),45.0)</f>
        <v>45</v>
      </c>
      <c r="AT127" s="57">
        <f>IFERROR(__xludf.DUMMYFUNCTION("importrange(""https://docs.google.com/spreadsheets/d/1jb97tsNPP32qu8ow9340R_Kgg7aVZi6E-LN-1JUDVf8/edit?gid=1996990278#gid=1996990278"",""2025-26!w4"")"),1501457.3599999999)</f>
        <v>1501457.36</v>
      </c>
      <c r="AU127" s="55">
        <f>IFERROR(__xludf.DUMMYFUNCTION("importrange(""https://docs.google.com/spreadsheets/d/1jb97tsNPP32qu8ow9340R_Kgg7aVZi6E-LN-1JUDVf8/edit?gid=1996990278#gid=1996990278"",""2025-26!w3"")"),15.0)</f>
        <v>15</v>
      </c>
      <c r="AV127" s="58">
        <f t="shared" si="22"/>
        <v>0.6884652061</v>
      </c>
      <c r="AW127" s="55">
        <f>IFERROR(__xludf.DUMMYFUNCTION("importrange(""https://docs.google.com/spreadsheets/d/1jb97tsNPP32qu8ow9340R_Kgg7aVZi6E-LN-1JUDVf8/edit?gid=1996990278#gid=1996990278"",""2025-26!x4"")"),1563784.0)</f>
        <v>1563784</v>
      </c>
      <c r="AX127" s="55">
        <f>IFERROR(__xludf.DUMMYFUNCTION("importrange(""https://docs.google.com/spreadsheets/d/1jb97tsNPP32qu8ow9340R_Kgg7aVZi6E-LN-1JUDVf8/edit?gid=1996990278#gid=1996990278"",""2025-26!x3"")"),24.0)</f>
        <v>24</v>
      </c>
      <c r="AY127" s="55">
        <f>IFERROR(__xludf.DUMMYFUNCTION("importrange(""https://docs.google.com/spreadsheets/d/1jb97tsNPP32qu8ow9340R_Kgg7aVZi6E-LN-1JUDVf8/edit?gid=1996990278#gid=1996990278"",""2025-26!y4"")"),2271406.0)</f>
        <v>2271406</v>
      </c>
      <c r="AZ127" s="55">
        <f>IFERROR(__xludf.DUMMYFUNCTION("importrange(""https://docs.google.com/spreadsheets/d/1jb97tsNPP32qu8ow9340R_Kgg7aVZi6E-LN-1JUDVf8/edit?gid=1996990278#gid=1996990278"",""2025-26!y3"")"),45.0)</f>
        <v>45</v>
      </c>
      <c r="BA127" s="57">
        <f>IFERROR(__xludf.DUMMYFUNCTION("importrange(""https://docs.google.com/spreadsheets/d/1jb97tsNPP32qu8ow9340R_Kgg7aVZi6E-LN-1JUDVf8/edit?gid=1996990278#gid=1996990278"",""2025-26!z4"")"),1739827.58)</f>
        <v>1739827.58</v>
      </c>
      <c r="BB127" s="55">
        <f>IFERROR(__xludf.DUMMYFUNCTION("importrange(""https://docs.google.com/spreadsheets/d/1jb97tsNPP32qu8ow9340R_Kgg7aVZi6E-LN-1JUDVf8/edit?gid=1996990278#gid=1996990278"",""2025-26!z3"")"),16.0)</f>
        <v>16</v>
      </c>
      <c r="BC127" s="59">
        <f t="shared" si="23"/>
        <v>0.6884652061</v>
      </c>
      <c r="BD127" s="55">
        <f>IFERROR(__xludf.DUMMYFUNCTION("importrange(""https://docs.google.com/spreadsheets/d/1jb97tsNPP32qu8ow9340R_Kgg7aVZi6E-LN-1JUDVf8/edit?gid=1996990278#gid=1996990278"",""2025-26!aa4"")"),1563784.0)</f>
        <v>1563784</v>
      </c>
      <c r="BE127" s="55">
        <f>IFERROR(__xludf.DUMMYFUNCTION("importrange(""https://docs.google.com/spreadsheets/d/1jb97tsNPP32qu8ow9340R_Kgg7aVZi6E-LN-1JUDVf8/edit?gid=1996990278#gid=1996990278"",""2025-26!aa3"")"),24.0)</f>
        <v>24</v>
      </c>
      <c r="BF127" s="55">
        <f>IFERROR(__xludf.DUMMYFUNCTION("importrange(""https://docs.google.com/spreadsheets/d/1jb97tsNPP32qu8ow9340R_Kgg7aVZi6E-LN-1JUDVf8/edit?gid=1996990278#gid=1996990278"",""2025-26!ab4"")"),2271406.0)</f>
        <v>2271406</v>
      </c>
      <c r="BG127" s="55">
        <f>IFERROR(__xludf.DUMMYFUNCTION("importrange(""https://docs.google.com/spreadsheets/d/1jb97tsNPP32qu8ow9340R_Kgg7aVZi6E-LN-1JUDVf8/edit?gid=1996990278#gid=1996990278"",""2025-26!ab3"")"),45.0)</f>
        <v>45</v>
      </c>
      <c r="BH127" s="55">
        <f>IFERROR(__xludf.DUMMYFUNCTION("importrange(""https://docs.google.com/spreadsheets/d/1jb97tsNPP32qu8ow9340R_Kgg7aVZi6E-LN-1JUDVf8/edit?gid=1996990278#gid=1996990278"",""2025-26!ac4"")"),1624837.0)</f>
        <v>1624837</v>
      </c>
      <c r="BI127" s="55">
        <f>IFERROR(__xludf.DUMMYFUNCTION("importrange(""https://docs.google.com/spreadsheets/d/1jb97tsNPP32qu8ow9340R_Kgg7aVZi6E-LN-1JUDVf8/edit?gid=1996990278#gid=1996990278"",""2025-26!ac3"")"),17.0)</f>
        <v>17</v>
      </c>
      <c r="BJ127" s="59">
        <f t="shared" si="24"/>
        <v>0.7461391755</v>
      </c>
      <c r="BK127" s="55">
        <f>IFERROR(__xludf.DUMMYFUNCTION("importrange(""https://docs.google.com/spreadsheets/d/1jb97tsNPP32qu8ow9340R_Kgg7aVZi6E-LN-1JUDVf8/edit?gid=1996990278#gid=1996990278"",""2025-26!ad4"")"),1694785.0)</f>
        <v>1694785</v>
      </c>
      <c r="BL127" s="55">
        <f>IFERROR(__xludf.DUMMYFUNCTION("importrange(""https://docs.google.com/spreadsheets/d/1jb97tsNPP32qu8ow9340R_Kgg7aVZi6E-LN-1JUDVf8/edit?gid=1996990278#gid=1996990278"",""2025-26!ad3"")"),25.0)</f>
        <v>25</v>
      </c>
      <c r="BM127" s="55">
        <f>IFERROR(__xludf.DUMMYFUNCTION("importrange(""https://docs.google.com/spreadsheets/d/1jb97tsNPP32qu8ow9340R_Kgg7aVZi6E-LN-1JUDVf8/edit?gid=1996990278#gid=1996990278"",""2025-26!ae4"")"),2271406.0)</f>
        <v>2271406</v>
      </c>
      <c r="BN127" s="55">
        <f>IFERROR(__xludf.DUMMYFUNCTION("importrange(""https://docs.google.com/spreadsheets/d/1jb97tsNPP32qu8ow9340R_Kgg7aVZi6E-LN-1JUDVf8/edit?gid=1996990278#gid=1996990278"",""2025-26!ae3"")"),45.0)</f>
        <v>45</v>
      </c>
      <c r="BO127" s="55">
        <f>IFERROR(__xludf.DUMMYFUNCTION("importrange(""https://docs.google.com/spreadsheets/d/1jb97tsNPP32qu8ow9340R_Kgg7aVZi6E-LN-1JUDVf8/edit?gid=1996990278#gid=1996990278"",""2025-26!af4"")"),1610905.529999999)</f>
        <v>1610905.53</v>
      </c>
      <c r="BP127" s="55">
        <f>IFERROR(__xludf.DUMMYFUNCTION("importrange(""https://docs.google.com/spreadsheets/d/1jb97tsNPP32qu8ow9340R_Kgg7aVZi6E-LN-1JUDVf8/edit?gid=1996990278#gid=1996990278"",""2025-26!af3"")"),17.0)</f>
        <v>17</v>
      </c>
      <c r="BQ127" s="59">
        <f t="shared" si="25"/>
        <v>0.9536752126</v>
      </c>
      <c r="BR127" s="55">
        <f>IFERROR(__xludf.DUMMYFUNCTION("importrange(""https://docs.google.com/spreadsheets/d/1jb97tsNPP32qu8ow9340R_Kgg7aVZi6E-LN-1JUDVf8/edit?gid=1996990278#gid=1996990278"",""2025-26!ag4"")"),2166183.6)</f>
        <v>2166183.6</v>
      </c>
      <c r="BS127" s="55">
        <f>IFERROR(__xludf.DUMMYFUNCTION("importrange(""https://docs.google.com/spreadsheets/d/1jb97tsNPP32qu8ow9340R_Kgg7aVZi6E-LN-1JUDVf8/edit?gid=1996990278#gid=1996990278"",""2025-26!ag3"")"),30.0)</f>
        <v>30</v>
      </c>
      <c r="BT127" s="55">
        <f>IFERROR(__xludf.DUMMYFUNCTION("importrange(""https://docs.google.com/spreadsheets/d/1jb97tsNPP32qu8ow9340R_Kgg7aVZi6E-LN-1JUDVf8/edit?gid=1996990278#gid=1996990278"",""2025-26!ah4"")"),2271406.0)</f>
        <v>2271406</v>
      </c>
      <c r="BU127" s="55">
        <f>IFERROR(__xludf.DUMMYFUNCTION("importrange(""https://docs.google.com/spreadsheets/d/1jb97tsNPP32qu8ow9340R_Kgg7aVZi6E-LN-1JUDVf8/edit?gid=1996990278#gid=1996990278"",""2025-26!ah3"")"),45.0)</f>
        <v>45</v>
      </c>
      <c r="BV127" s="55">
        <f>IFERROR(__xludf.DUMMYFUNCTION("importrange(""https://docs.google.com/spreadsheets/d/1jb97tsNPP32qu8ow9340R_Kgg7aVZi6E-LN-1JUDVf8/edit?gid=1996990278#gid=1996990278"",""2025-26!ai4"")"),2666219.54)</f>
        <v>2666219.54</v>
      </c>
      <c r="BW127" s="55">
        <f>IFERROR(__xludf.DUMMYFUNCTION("importrange(""https://docs.google.com/spreadsheets/d/1jb97tsNPP32qu8ow9340R_Kgg7aVZi6E-LN-1JUDVf8/edit?gid=1996990278#gid=1996990278"",""2025-26!ai3"")"),20.0)</f>
        <v>20</v>
      </c>
      <c r="BX127" s="59">
        <f t="shared" si="26"/>
        <v>0.6358414128</v>
      </c>
      <c r="BY127" s="55">
        <f>IFERROR(__xludf.DUMMYFUNCTION("importrange(""https://docs.google.com/spreadsheets/d/1jb97tsNPP32qu8ow9340R_Kgg7aVZi6E-LN-1JUDVf8/edit?gid=1996990278#gid=1996990278"",""2025-26!aj4"")"),1444254.0)</f>
        <v>1444254</v>
      </c>
      <c r="BZ127" s="55">
        <f>IFERROR(__xludf.DUMMYFUNCTION("importrange(""https://docs.google.com/spreadsheets/d/1jb97tsNPP32qu8ow9340R_Kgg7aVZi6E-LN-1JUDVf8/edit?gid=1996990278#gid=1996990278"",""2025-26!aj3"")"),23.0)</f>
        <v>23</v>
      </c>
      <c r="CA127" s="55">
        <f>IFERROR(__xludf.DUMMYFUNCTION("importrange(""https://docs.google.com/spreadsheets/d/1jb97tsNPP32qu8ow9340R_Kgg7aVZi6E-LN-1JUDVf8/edit?gid=1996990278#gid=1996990278"",""2025-26!ak4"")"),2271406.0)</f>
        <v>2271406</v>
      </c>
      <c r="CB127" s="55">
        <f>IFERROR(__xludf.DUMMYFUNCTION("importrange(""https://docs.google.com/spreadsheets/d/1jb97tsNPP32qu8ow9340R_Kgg7aVZi6E-LN-1JUDVf8/edit?gid=1996990278#gid=1996990278"",""2025-26!ak3"")"),45.0)</f>
        <v>45</v>
      </c>
      <c r="CC127" s="55">
        <f>IFERROR(__xludf.DUMMYFUNCTION("importrange(""https://docs.google.com/spreadsheets/d/1jb97tsNPP32qu8ow9340R_Kgg7aVZi6E-LN-1JUDVf8/edit?gid=1996990278#gid=1996990278"",""2025-26!al4"")"),2099335.74)</f>
        <v>2099335.74</v>
      </c>
      <c r="CD127" s="55">
        <f>IFERROR(__xludf.DUMMYFUNCTION("importrange(""https://docs.google.com/spreadsheets/d/1jb97tsNPP32qu8ow9340R_Kgg7aVZi6E-LN-1JUDVf8/edit?gid=1996990278#gid=1996990278"",""2025-26!ai3"")"),20.0)</f>
        <v>20</v>
      </c>
      <c r="CE127" s="59">
        <f t="shared" si="27"/>
        <v>1.140746304</v>
      </c>
      <c r="CF127" s="55">
        <f>IFERROR(__xludf.DUMMYFUNCTION("importrange(""https://docs.google.com/spreadsheets/d/1jb97tsNPP32qu8ow9340R_Kgg7aVZi6E-LN-1JUDVf8/edit?gid=1996990278#gid=1996990278"",""2025-26!am4"")"),2591098.0)</f>
        <v>2591098</v>
      </c>
      <c r="CG127" s="55">
        <f>IFERROR(__xludf.DUMMYFUNCTION("importrange(""https://docs.google.com/spreadsheets/d/1jb97tsNPP32qu8ow9340R_Kgg7aVZi6E-LN-1JUDVf8/edit?gid=1996990278#gid=1996990278"",""2025-26!am3"")"),29.0)</f>
        <v>29</v>
      </c>
      <c r="CH127" s="55">
        <f>IFERROR(__xludf.DUMMYFUNCTION("importrange(""https://docs.google.com/spreadsheets/d/1jb97tsNPP32qu8ow9340R_Kgg7aVZi6E-LN-1JUDVf8/edit?gid=1996990278#gid=1996990278"",""2025-26!an4"")"),2271406.0)</f>
        <v>2271406</v>
      </c>
      <c r="CI127" s="55">
        <f>IFERROR(__xludf.DUMMYFUNCTION("importrange(""https://docs.google.com/spreadsheets/d/1jb97tsNPP32qu8ow9340R_Kgg7aVZi6E-LN-1JUDVf8/edit?gid=1996990278#gid=1996990278"",""2025-26!an3"")"),45.0)</f>
        <v>45</v>
      </c>
      <c r="CJ127" s="55">
        <f>IFERROR(__xludf.DUMMYFUNCTION("importrange(""https://docs.google.com/spreadsheets/d/1jb97tsNPP32qu8ow9340R_Kgg7aVZi6E-LN-1JUDVf8/edit?gid=1996990278#gid=1996990278"",""2025-26!ao4"")"),2287951.32)</f>
        <v>2287951.32</v>
      </c>
      <c r="CK127" s="55">
        <f>IFERROR(__xludf.DUMMYFUNCTION("importrange(""https://docs.google.com/spreadsheets/d/1jb97tsNPP32qu8ow9340R_Kgg7aVZi6E-LN-1JUDVf8/edit?gid=1996990278#gid=1996990278"",""2025-26!ao3"")"),21.0)</f>
        <v>21</v>
      </c>
      <c r="CL127" s="59">
        <f t="shared" si="28"/>
        <v>1.069089366</v>
      </c>
      <c r="CM127" s="55">
        <f>IFERROR(__xludf.DUMMYFUNCTION("importrange(""https://docs.google.com/spreadsheets/d/1jb97tsNPP32qu8ow9340R_Kgg7aVZi6E-LN-1JUDVf8/edit?gid=1996990278#gid=1996990278"",""2025-26!ap4"")"),2428336.0)</f>
        <v>2428336</v>
      </c>
      <c r="CN127" s="55">
        <f>IFERROR(__xludf.DUMMYFUNCTION("importrange(""https://docs.google.com/spreadsheets/d/1jb97tsNPP32qu8ow9340R_Kgg7aVZi6E-LN-1JUDVf8/edit?gid=1996990278#gid=1996990278"",""2025-26!ap3"")"),32.0)</f>
        <v>32</v>
      </c>
      <c r="CO127" s="55">
        <f>IFERROR(__xludf.DUMMYFUNCTION("importrange(""https://docs.google.com/spreadsheets/d/1jb97tsNPP32qu8ow9340R_Kgg7aVZi6E-LN-1JUDVf8/edit?gid=1996990278#gid=1996990278"",""2025-26!aq4"")"),2251406.0)</f>
        <v>2251406</v>
      </c>
      <c r="CP127" s="55">
        <f>IFERROR(__xludf.DUMMYFUNCTION("importrange(""https://docs.google.com/spreadsheets/d/1jb97tsNPP32qu8ow9340R_Kgg7aVZi6E-LN-1JUDVf8/edit?gid=1996990278#gid=1996990278"",""2025-26!aq3"")"),44.0)</f>
        <v>44</v>
      </c>
      <c r="CQ127" s="55">
        <f>IFERROR(__xludf.DUMMYFUNCTION("importrange(""https://docs.google.com/spreadsheets/d/1jb97tsNPP32qu8ow9340R_Kgg7aVZi6E-LN-1JUDVf8/edit?gid=1996990278#gid=1996990278"",""2025-26!ar4"")"),2033420.9899999998)</f>
        <v>2033420.99</v>
      </c>
      <c r="CR127" s="55">
        <f>IFERROR(__xludf.DUMMYFUNCTION("importrange(""https://docs.google.com/spreadsheets/d/1jb97tsNPP32qu8ow9340R_Kgg7aVZi6E-LN-1JUDVf8/edit?gid=1996990278#gid=1996990278"",""2025-26!ar3"")"),15.0)</f>
        <v>15</v>
      </c>
      <c r="CS127" s="59">
        <f t="shared" si="29"/>
        <v>0.9153577809</v>
      </c>
      <c r="CT127" s="55">
        <f>IFERROR(__xludf.DUMMYFUNCTION("importrange(""https://docs.google.com/spreadsheets/d/1jb97tsNPP32qu8ow9340R_Kgg7aVZi6E-LN-1JUDVf8/edit?gid=1996990278#gid=1996990278"",""2025-26!as4"")"),2060842.0)</f>
        <v>2060842</v>
      </c>
      <c r="CU127" s="55">
        <f>IFERROR(__xludf.DUMMYFUNCTION("importrange(""https://docs.google.com/spreadsheets/d/1jb97tsNPP32qu8ow9340R_Kgg7aVZi6E-LN-1JUDVf8/edit?gid=1996990278#gid=1996990278"",""2025-26!as3"")"),29.0)</f>
        <v>29</v>
      </c>
      <c r="CV127" s="60" t="s">
        <v>215</v>
      </c>
    </row>
    <row r="128">
      <c r="A128" s="1" t="s">
        <v>185</v>
      </c>
      <c r="B128" s="37"/>
      <c r="C128" s="67" t="s">
        <v>279</v>
      </c>
      <c r="D128" s="65" t="s">
        <v>280</v>
      </c>
      <c r="E128" s="68">
        <v>9.570826164E9</v>
      </c>
      <c r="F128" s="78">
        <v>45640.0</v>
      </c>
      <c r="G128" s="62"/>
      <c r="H128" s="62"/>
      <c r="I128" s="70">
        <v>28850.0</v>
      </c>
      <c r="J128" s="54">
        <v>2000000.0</v>
      </c>
      <c r="K128" s="57">
        <f>IFERROR(__xludf.DUMMYFUNCTION("IMPORTRANGE(""https://docs.google.com/spreadsheets/d/1C-PaiedLj2XOlFsshkO221ipgOAZuZ9nzOrc7VRBlHo/edit?gid=1996990278#gid=1996990278"",""2025-26!A3"")"),26.0)</f>
        <v>26</v>
      </c>
      <c r="L128" s="57">
        <f>IFERROR(__xludf.DUMMYFUNCTION("IMPORTRANGE(""https://docs.google.com/spreadsheets/d/1C-PaiedLj2XOlFsshkO221ipgOAZuZ9nzOrc7VRBlHo/edit?gid=1996990278#gid=1996990278"",""2025-26!G4"")"),2.355E7)</f>
        <v>23550000</v>
      </c>
      <c r="M128" s="57">
        <f t="shared" si="50"/>
        <v>18142053.58</v>
      </c>
      <c r="N128" s="56">
        <f t="shared" si="51"/>
        <v>0.84809409</v>
      </c>
      <c r="O128" s="57">
        <f t="shared" si="52"/>
        <v>19972615.82</v>
      </c>
      <c r="P128" s="55">
        <f>IFERROR(__xludf.DUMMYFUNCTION("IMPORTRANGE(""https://docs.google.com/spreadsheets/d/1C-PaiedLj2XOlFsshkO221ipgOAZuZ9nzOrc7VRBlHo/edit?gid=1996990278#gid=1996990278"",""2025-26!J4"")"),1846000.0)</f>
        <v>1846000</v>
      </c>
      <c r="Q128" s="55">
        <f>IFERROR(__xludf.DUMMYFUNCTION("IMPORTRANGE(""https://docs.google.com/spreadsheets/d/1C-PaiedLj2XOlFsshkO221ipgOAZuZ9nzOrc7VRBlHo/edit?gid=1996990278#gid=1996990278"",""2025-26!J3"")"),21.0)</f>
        <v>21</v>
      </c>
      <c r="R128" s="55">
        <f>IFERROR(__xludf.DUMMYFUNCTION("IMPORTRANGE(""https://docs.google.com/spreadsheets/d/1C-PaiedLj2XOlFsshkO221ipgOAZuZ9nzOrc7VRBlHo/edit?gid=1996990278#gid=1996990278"",""2025-26!K4"")"),1184432.14)</f>
        <v>1184432.14</v>
      </c>
      <c r="S128" s="55">
        <f>IFERROR(__xludf.DUMMYFUNCTION("IMPORTRANGE(""https://docs.google.com/spreadsheets/d/1C-PaiedLj2XOlFsshkO221ipgOAZuZ9nzOrc7VRBlHo/edit?gid=1996990278#gid=1996990278"",""2025-26!K3"")"),7.0)</f>
        <v>7</v>
      </c>
      <c r="T128" s="58">
        <f t="shared" si="18"/>
        <v>0.5857225244</v>
      </c>
      <c r="U128" s="55">
        <f>IFERROR(__xludf.DUMMYFUNCTION("IMPORTRANGE(""https://docs.google.com/spreadsheets/d/1C-PaiedLj2XOlFsshkO221ipgOAZuZ9nzOrc7VRBlHo/edit?gid=1996990278#gid=1996990278"",""2025-26!L4"")"),1081243.78)</f>
        <v>1081243.78</v>
      </c>
      <c r="V128" s="79">
        <f>IFERROR(__xludf.DUMMYFUNCTION("IMPORTRANGE(""https://docs.google.com/spreadsheets/d/1C-PaiedLj2XOlFsshkO221ipgOAZuZ9nzOrc7VRBlHo/edit?gid=1996990278#gid=1996990278"",""2025-26!L3"")"),8.0)</f>
        <v>8</v>
      </c>
      <c r="W128" s="55">
        <f>IFERROR(__xludf.DUMMYFUNCTION("IMPORTRANGE(""https://docs.google.com/spreadsheets/d/1C-PaiedLj2XOlFsshkO221ipgOAZuZ9nzOrc7VRBlHo/edit?gid=1996990278#gid=1996990278"",""2025-26!M4"")"),1836000.0)</f>
        <v>1836000</v>
      </c>
      <c r="X128" s="79">
        <f>IFERROR(__xludf.DUMMYFUNCTION("IMPORTRANGE(""https://docs.google.com/spreadsheets/d/1C-PaiedLj2XOlFsshkO221ipgOAZuZ9nzOrc7VRBlHo/edit?gid=1996990278#gid=1996990278"",""2025-26!M3"")"),21.0)</f>
        <v>21</v>
      </c>
      <c r="Y128" s="55">
        <f>IFERROR(__xludf.DUMMYFUNCTION("importrange(""https://docs.google.com/spreadsheets/d/1C-PaiedLj2XOlFsshkO221ipgOAZuZ9nzOrc7VRBlHo/edit?gid=1996990278#gid=1996990278"",""2025-26!n4"")"),1396974.9300000004)</f>
        <v>1396974.93</v>
      </c>
      <c r="Z128" s="55">
        <f>IFERROR(__xludf.DUMMYFUNCTION("importrange(""https://docs.google.com/spreadsheets/d/1C-PaiedLj2XOlFsshkO221ipgOAZuZ9nzOrc7VRBlHo/edit?gid=1996990278#gid=1996990278"",""2025-26!n3"")"),14.0)</f>
        <v>14</v>
      </c>
      <c r="AA128" s="58">
        <f t="shared" si="19"/>
        <v>0.8119645969</v>
      </c>
      <c r="AB128" s="55">
        <f>IFERROR(__xludf.DUMMYFUNCTION("importrange(""https://docs.google.com/spreadsheets/d/1C-PaiedLj2XOlFsshkO221ipgOAZuZ9nzOrc7VRBlHo/edit?gid=1996990278#gid=1996990278"",""2025-26!o4"")"),1490767.0)</f>
        <v>1490767</v>
      </c>
      <c r="AC128" s="55">
        <f>IFERROR(__xludf.DUMMYFUNCTION("importrange(""https://docs.google.com/spreadsheets/d/1C-PaiedLj2XOlFsshkO221ipgOAZuZ9nzOrc7VRBlHo/edit?gid=1996990278#gid=1996990278"",""2025-26!o3"")"),11.0)</f>
        <v>11</v>
      </c>
      <c r="AD128" s="55">
        <f>IFERROR(__xludf.DUMMYFUNCTION("importrange(""https://docs.google.com/spreadsheets/d/1C-PaiedLj2XOlFsshkO221ipgOAZuZ9nzOrc7VRBlHo/edit?gid=1996990278#gid=1996990278"",""2025-26!p4"")"),1836000.0)</f>
        <v>1836000</v>
      </c>
      <c r="AE128" s="55">
        <f>IFERROR(__xludf.DUMMYFUNCTION("importrange(""https://docs.google.com/spreadsheets/d/1C-PaiedLj2XOlFsshkO221ipgOAZuZ9nzOrc7VRBlHo/edit?gid=1996990278#gid=1996990278"",""2025-26!p3"")"),21.0)</f>
        <v>21</v>
      </c>
      <c r="AF128" s="55">
        <f>IFERROR(__xludf.DUMMYFUNCTION("importrange(""https://docs.google.com/spreadsheets/d/1C-PaiedLj2XOlFsshkO221ipgOAZuZ9nzOrc7VRBlHo/edit?gid=1996990278#gid=1996990278"",""2025-26!q4"")"),866885.03)</f>
        <v>866885.03</v>
      </c>
      <c r="AG128" s="55">
        <f>IFERROR(__xludf.DUMMYFUNCTION("importrange(""https://docs.google.com/spreadsheets/d/1C-PaiedLj2XOlFsshkO221ipgOAZuZ9nzOrc7VRBlHo/edit?gid=1996990278#gid=1996990278"",""2025-26!q3"")"),9.0)</f>
        <v>9</v>
      </c>
      <c r="AH128" s="58">
        <f t="shared" si="20"/>
        <v>0.4721567974</v>
      </c>
      <c r="AI128" s="55">
        <f>IFERROR(__xludf.DUMMYFUNCTION("importrange(""https://docs.google.com/spreadsheets/d/1C-PaiedLj2XOlFsshkO221ipgOAZuZ9nzOrc7VRBlHo/edit?gid=1996990278#gid=1996990278"",""2025-26!r4"")"),866879.88)</f>
        <v>866879.88</v>
      </c>
      <c r="AJ128" s="55">
        <f>IFERROR(__xludf.DUMMYFUNCTION("importrange(""https://docs.google.com/spreadsheets/d/1C-PaiedLj2XOlFsshkO221ipgOAZuZ9nzOrc7VRBlHo/edit?gid=1996990278#gid=1996990278"",""2025-26!r3"")"),9.0)</f>
        <v>9</v>
      </c>
      <c r="AK128" s="55">
        <f>IFERROR(__xludf.DUMMYFUNCTION("importrange(""https://docs.google.com/spreadsheets/d/1C-PaiedLj2XOlFsshkO221ipgOAZuZ9nzOrc7VRBlHo/edit?gid=1996990278#gid=1996990278"",""2025-26!s4"")"),1836000.0)</f>
        <v>1836000</v>
      </c>
      <c r="AL128" s="55">
        <f>IFERROR(__xludf.DUMMYFUNCTION("importrange(""https://docs.google.com/spreadsheets/d/1C-PaiedLj2XOlFsshkO221ipgOAZuZ9nzOrc7VRBlHo/edit?gid=1996990278#gid=1996990278"",""2025-26!s3"")"),21.0)</f>
        <v>21</v>
      </c>
      <c r="AM128" s="57">
        <f>IFERROR(__xludf.DUMMYFUNCTION("importrange(""https://docs.google.com/spreadsheets/d/1C-PaiedLj2XOlFsshkO221ipgOAZuZ9nzOrc7VRBlHo/edit?gid=1996990278#gid=1996990278"",""2025-26!t4"")"),1431228.71)</f>
        <v>1431228.71</v>
      </c>
      <c r="AN128" s="55">
        <f>IFERROR(__xludf.DUMMYFUNCTION("importrange(""https://docs.google.com/spreadsheets/d/1C-PaiedLj2XOlFsshkO221ipgOAZuZ9nzOrc7VRBlHo/edit?gid=1996990278#gid=1996990278"",""2025-26!t3"")"),11.0)</f>
        <v>11</v>
      </c>
      <c r="AO128" s="58">
        <f t="shared" si="21"/>
        <v>0.7692018301</v>
      </c>
      <c r="AP128" s="55">
        <f>IFERROR(__xludf.DUMMYFUNCTION("importrange(""https://docs.google.com/spreadsheets/d/1C-PaiedLj2XOlFsshkO221ipgOAZuZ9nzOrc7VRBlHo/edit?gid=1996990278#gid=1996990278"",""2025-26!u4"")"),1412254.56)</f>
        <v>1412254.56</v>
      </c>
      <c r="AQ128" s="55">
        <f>IFERROR(__xludf.DUMMYFUNCTION("importrange(""https://docs.google.com/spreadsheets/d/1C-PaiedLj2XOlFsshkO221ipgOAZuZ9nzOrc7VRBlHo/edit?gid=1996990278#gid=1996990278"",""2025-26!u3"")"),11.0)</f>
        <v>11</v>
      </c>
      <c r="AR128" s="55">
        <f>IFERROR(__xludf.DUMMYFUNCTION("importrange(""https://docs.google.com/spreadsheets/d/1C-PaiedLj2XOlFsshkO221ipgOAZuZ9nzOrc7VRBlHo/edit?gid=1996990278#gid=1996990278"",""2025-26!v4"")"),1836000.0)</f>
        <v>1836000</v>
      </c>
      <c r="AS128" s="55">
        <f>IFERROR(__xludf.DUMMYFUNCTION("importrange(""https://docs.google.com/spreadsheets/d/1C-PaiedLj2XOlFsshkO221ipgOAZuZ9nzOrc7VRBlHo/edit?gid=1996990278#gid=1996990278"",""2025-26!v3"")"),21.0)</f>
        <v>21</v>
      </c>
      <c r="AT128" s="57">
        <f>IFERROR(__xludf.DUMMYFUNCTION("importrange(""https://docs.google.com/spreadsheets/d/1C-PaiedLj2XOlFsshkO221ipgOAZuZ9nzOrc7VRBlHo/edit?gid=1996990278#gid=1996990278"",""2025-26!w4"")"),851033.5)</f>
        <v>851033.5</v>
      </c>
      <c r="AU128" s="55">
        <f>IFERROR(__xludf.DUMMYFUNCTION("importrange(""https://docs.google.com/spreadsheets/d/1C-PaiedLj2XOlFsshkO221ipgOAZuZ9nzOrc7VRBlHo/edit?gid=1996990278#gid=1996990278"",""2025-26!w3"")"),12.0)</f>
        <v>12</v>
      </c>
      <c r="AV128" s="58">
        <f t="shared" si="22"/>
        <v>0.4635043573</v>
      </c>
      <c r="AW128" s="55">
        <f>IFERROR(__xludf.DUMMYFUNCTION("importrange(""https://docs.google.com/spreadsheets/d/1C-PaiedLj2XOlFsshkO221ipgOAZuZ9nzOrc7VRBlHo/edit?gid=1996990278#gid=1996990278"",""2025-26!x4"")"),850994.0)</f>
        <v>850994</v>
      </c>
      <c r="AX128" s="55">
        <f>IFERROR(__xludf.DUMMYFUNCTION("importrange(""https://docs.google.com/spreadsheets/d/1C-PaiedLj2XOlFsshkO221ipgOAZuZ9nzOrc7VRBlHo/edit?gid=1996990278#gid=1996990278"",""2025-26!x3"")"),12.0)</f>
        <v>12</v>
      </c>
      <c r="AY128" s="55">
        <f>IFERROR(__xludf.DUMMYFUNCTION("importrange(""https://docs.google.com/spreadsheets/d/1C-PaiedLj2XOlFsshkO221ipgOAZuZ9nzOrc7VRBlHo/edit?gid=1996990278#gid=1996990278"",""2025-26!y4"")"),1756000.0)</f>
        <v>1756000</v>
      </c>
      <c r="AZ128" s="55">
        <f>IFERROR(__xludf.DUMMYFUNCTION("importrange(""https://docs.google.com/spreadsheets/d/1C-PaiedLj2XOlFsshkO221ipgOAZuZ9nzOrc7VRBlHo/edit?gid=1996990278#gid=1996990278"",""2025-26!y3"")"),21.0)</f>
        <v>21</v>
      </c>
      <c r="BA128" s="57">
        <f>IFERROR(__xludf.DUMMYFUNCTION("importrange(""https://docs.google.com/spreadsheets/d/1C-PaiedLj2XOlFsshkO221ipgOAZuZ9nzOrc7VRBlHo/edit?gid=1996990278#gid=1996990278"",""2025-26!z4"")"),1295432.9600000002)</f>
        <v>1295432.96</v>
      </c>
      <c r="BB128" s="55">
        <f>IFERROR(__xludf.DUMMYFUNCTION("importrange(""https://docs.google.com/spreadsheets/d/1C-PaiedLj2XOlFsshkO221ipgOAZuZ9nzOrc7VRBlHo/edit?gid=1996990278#gid=1996990278"",""2025-26!z3"")"),14.0)</f>
        <v>14</v>
      </c>
      <c r="BC128" s="59">
        <f t="shared" si="23"/>
        <v>0.7377124146</v>
      </c>
      <c r="BD128" s="55">
        <f>IFERROR(__xludf.DUMMYFUNCTION("importrange(""https://docs.google.com/spreadsheets/d/1C-PaiedLj2XOlFsshkO221ipgOAZuZ9nzOrc7VRBlHo/edit?gid=1996990278#gid=1996990278"",""2025-26!aa4"")"),1295423.0)</f>
        <v>1295423</v>
      </c>
      <c r="BE128" s="55">
        <f>IFERROR(__xludf.DUMMYFUNCTION("importrange(""https://docs.google.com/spreadsheets/d/1C-PaiedLj2XOlFsshkO221ipgOAZuZ9nzOrc7VRBlHo/edit?gid=1996990278#gid=1996990278"",""2025-26!aa3"")"),14.0)</f>
        <v>14</v>
      </c>
      <c r="BF128" s="55">
        <f>IFERROR(__xludf.DUMMYFUNCTION("importrange(""https://docs.google.com/spreadsheets/d/1C-PaiedLj2XOlFsshkO221ipgOAZuZ9nzOrc7VRBlHo/edit?gid=1996990278#gid=1996990278"",""2025-26!ab4"")"),1726000.0)</f>
        <v>1726000</v>
      </c>
      <c r="BG128" s="55">
        <f>IFERROR(__xludf.DUMMYFUNCTION("importrange(""https://docs.google.com/spreadsheets/d/1C-PaiedLj2XOlFsshkO221ipgOAZuZ9nzOrc7VRBlHo/edit?gid=1996990278#gid=1996990278"",""2025-26!ab3"")"),21.0)</f>
        <v>21</v>
      </c>
      <c r="BH128" s="55">
        <f>IFERROR(__xludf.DUMMYFUNCTION("importrange(""https://docs.google.com/spreadsheets/d/1C-PaiedLj2XOlFsshkO221ipgOAZuZ9nzOrc7VRBlHo/edit?gid=1996990278#gid=1996990278"",""2025-26!ac4"")"),1813250.57)</f>
        <v>1813250.57</v>
      </c>
      <c r="BI128" s="55">
        <f>IFERROR(__xludf.DUMMYFUNCTION("importrange(""https://docs.google.com/spreadsheets/d/1C-PaiedLj2XOlFsshkO221ipgOAZuZ9nzOrc7VRBlHo/edit?gid=1996990278#gid=1996990278"",""2025-26!ac3"")"),11.0)</f>
        <v>11</v>
      </c>
      <c r="BJ128" s="59">
        <f t="shared" si="24"/>
        <v>1.050542294</v>
      </c>
      <c r="BK128" s="55">
        <f>IFERROR(__xludf.DUMMYFUNCTION("importrange(""https://docs.google.com/spreadsheets/d/1C-PaiedLj2XOlFsshkO221ipgOAZuZ9nzOrc7VRBlHo/edit?gid=1996990278#gid=1996990278"",""2025-26!ad4"")"),1813236.0)</f>
        <v>1813236</v>
      </c>
      <c r="BL128" s="55">
        <f>IFERROR(__xludf.DUMMYFUNCTION("importrange(""https://docs.google.com/spreadsheets/d/1C-PaiedLj2XOlFsshkO221ipgOAZuZ9nzOrc7VRBlHo/edit?gid=1996990278#gid=1996990278"",""2025-26!ad3"")"),11.0)</f>
        <v>11</v>
      </c>
      <c r="BM128" s="55">
        <f>IFERROR(__xludf.DUMMYFUNCTION("importrange(""https://docs.google.com/spreadsheets/d/1C-PaiedLj2XOlFsshkO221ipgOAZuZ9nzOrc7VRBlHo/edit?gid=1996990278#gid=1996990278"",""2025-26!ae4"")"),1736000.0)</f>
        <v>1736000</v>
      </c>
      <c r="BN128" s="55">
        <f>IFERROR(__xludf.DUMMYFUNCTION("importrange(""https://docs.google.com/spreadsheets/d/1C-PaiedLj2XOlFsshkO221ipgOAZuZ9nzOrc7VRBlHo/edit?gid=1996990278#gid=1996990278"",""2025-26!ae3"")"),21.0)</f>
        <v>21</v>
      </c>
      <c r="BO128" s="55">
        <f>IFERROR(__xludf.DUMMYFUNCTION("importrange(""https://docs.google.com/spreadsheets/d/1C-PaiedLj2XOlFsshkO221ipgOAZuZ9nzOrc7VRBlHo/edit?gid=1996990278#gid=1996990278"",""2025-26!af4"")"),1557561.8900000001)</f>
        <v>1557561.89</v>
      </c>
      <c r="BP128" s="55">
        <f>IFERROR(__xludf.DUMMYFUNCTION("importrange(""https://docs.google.com/spreadsheets/d/1C-PaiedLj2XOlFsshkO221ipgOAZuZ9nzOrc7VRBlHo/edit?gid=1996990278#gid=1996990278"",""2025-26!af3"")"),12.0)</f>
        <v>12</v>
      </c>
      <c r="BQ128" s="59">
        <f t="shared" si="25"/>
        <v>0.8971947005</v>
      </c>
      <c r="BR128" s="55">
        <f>IFERROR(__xludf.DUMMYFUNCTION("importrange(""https://docs.google.com/spreadsheets/d/1C-PaiedLj2XOlFsshkO221ipgOAZuZ9nzOrc7VRBlHo/edit?gid=1996990278#gid=1996990278"",""2025-26!ag4"")"),1557530.0)</f>
        <v>1557530</v>
      </c>
      <c r="BS128" s="55">
        <f>IFERROR(__xludf.DUMMYFUNCTION("importrange(""https://docs.google.com/spreadsheets/d/1C-PaiedLj2XOlFsshkO221ipgOAZuZ9nzOrc7VRBlHo/edit?gid=1996990278#gid=1996990278"",""2025-26!ag3"")"),12.0)</f>
        <v>12</v>
      </c>
      <c r="BT128" s="55">
        <f>IFERROR(__xludf.DUMMYFUNCTION("importrange(""https://docs.google.com/spreadsheets/d/1C-PaiedLj2XOlFsshkO221ipgOAZuZ9nzOrc7VRBlHo/edit?gid=1996990278#gid=1996990278"",""2025-26!ah4"")"),1989000.0)</f>
        <v>1989000</v>
      </c>
      <c r="BU128" s="55">
        <f>IFERROR(__xludf.DUMMYFUNCTION("importrange(""https://docs.google.com/spreadsheets/d/1C-PaiedLj2XOlFsshkO221ipgOAZuZ9nzOrc7VRBlHo/edit?gid=1996990278#gid=1996990278"",""2025-26!ah3"")"),21.0)</f>
        <v>21</v>
      </c>
      <c r="BV128" s="55">
        <f>IFERROR(__xludf.DUMMYFUNCTION("importrange(""https://docs.google.com/spreadsheets/d/1C-PaiedLj2XOlFsshkO221ipgOAZuZ9nzOrc7VRBlHo/edit?gid=1996990278#gid=1996990278"",""2025-26!ai4"")"),1539204.3499999999)</f>
        <v>1539204.35</v>
      </c>
      <c r="BW128" s="55">
        <f>IFERROR(__xludf.DUMMYFUNCTION("importrange(""https://docs.google.com/spreadsheets/d/1C-PaiedLj2XOlFsshkO221ipgOAZuZ9nzOrc7VRBlHo/edit?gid=1996990278#gid=1996990278"",""2025-26!ai3"")"),9.0)</f>
        <v>9</v>
      </c>
      <c r="BX128" s="59">
        <f t="shared" si="26"/>
        <v>0.7738534942</v>
      </c>
      <c r="BY128" s="55">
        <f>IFERROR(__xludf.DUMMYFUNCTION("importrange(""https://docs.google.com/spreadsheets/d/1C-PaiedLj2XOlFsshkO221ipgOAZuZ9nzOrc7VRBlHo/edit?gid=1996990278#gid=1996990278"",""2025-26!aj4"")"),1539194.6)</f>
        <v>1539194.6</v>
      </c>
      <c r="BZ128" s="55">
        <f>IFERROR(__xludf.DUMMYFUNCTION("importrange(""https://docs.google.com/spreadsheets/d/1C-PaiedLj2XOlFsshkO221ipgOAZuZ9nzOrc7VRBlHo/edit?gid=1996990278#gid=1996990278"",""2025-26!aj3"")"),9.0)</f>
        <v>9</v>
      </c>
      <c r="CA128" s="55">
        <f>IFERROR(__xludf.DUMMYFUNCTION("importrange(""https://docs.google.com/spreadsheets/d/1C-PaiedLj2XOlFsshkO221ipgOAZuZ9nzOrc7VRBlHo/edit?gid=1996990278#gid=1996990278"",""2025-26!ak4"")"),1948000.0)</f>
        <v>1948000</v>
      </c>
      <c r="CB128" s="55">
        <f>IFERROR(__xludf.DUMMYFUNCTION("importrange(""https://docs.google.com/spreadsheets/d/1C-PaiedLj2XOlFsshkO221ipgOAZuZ9nzOrc7VRBlHo/edit?gid=1996990278#gid=1996990278"",""2025-26!ak3"")"),21.0)</f>
        <v>21</v>
      </c>
      <c r="CC128" s="55">
        <f>IFERROR(__xludf.DUMMYFUNCTION("importrange(""https://docs.google.com/spreadsheets/d/1C-PaiedLj2XOlFsshkO221ipgOAZuZ9nzOrc7VRBlHo/edit?gid=1996990278#gid=1996990278"",""2025-26!al4"")"),1557846.12)</f>
        <v>1557846.12</v>
      </c>
      <c r="CD128" s="55">
        <f>IFERROR(__xludf.DUMMYFUNCTION("importrange(""https://docs.google.com/spreadsheets/d/1C-PaiedLj2XOlFsshkO221ipgOAZuZ9nzOrc7VRBlHo/edit?gid=1996990278#gid=1996990278"",""2025-26!ai3"")"),9.0)</f>
        <v>9</v>
      </c>
      <c r="CE128" s="59">
        <f t="shared" si="27"/>
        <v>0.6320836756</v>
      </c>
      <c r="CF128" s="55">
        <f>IFERROR(__xludf.DUMMYFUNCTION("importrange(""https://docs.google.com/spreadsheets/d/1C-PaiedLj2XOlFsshkO221ipgOAZuZ9nzOrc7VRBlHo/edit?gid=1996990278#gid=1996990278"",""2025-26!am4"")"),1231299.0)</f>
        <v>1231299</v>
      </c>
      <c r="CG128" s="55">
        <f>IFERROR(__xludf.DUMMYFUNCTION("importrange(""https://docs.google.com/spreadsheets/d/1C-PaiedLj2XOlFsshkO221ipgOAZuZ9nzOrc7VRBlHo/edit?gid=1996990278#gid=1996990278"",""2025-26!am3"")"),7.0)</f>
        <v>7</v>
      </c>
      <c r="CH128" s="55">
        <f>IFERROR(__xludf.DUMMYFUNCTION("importrange(""https://docs.google.com/spreadsheets/d/1C-PaiedLj2XOlFsshkO221ipgOAZuZ9nzOrc7VRBlHo/edit?gid=1996990278#gid=1996990278"",""2025-26!an4"")"),2116000.0)</f>
        <v>2116000</v>
      </c>
      <c r="CI128" s="55">
        <f>IFERROR(__xludf.DUMMYFUNCTION("importrange(""https://docs.google.com/spreadsheets/d/1C-PaiedLj2XOlFsshkO221ipgOAZuZ9nzOrc7VRBlHo/edit?gid=1996990278#gid=1996990278"",""2025-26!an3"")"),21.0)</f>
        <v>21</v>
      </c>
      <c r="CJ128" s="55">
        <f>IFERROR(__xludf.DUMMYFUNCTION("importrange(""https://docs.google.com/spreadsheets/d/1C-PaiedLj2XOlFsshkO221ipgOAZuZ9nzOrc7VRBlHo/edit?gid=1996990278#gid=1996990278"",""2025-26!ao4"")"),1231302.12)</f>
        <v>1231302.12</v>
      </c>
      <c r="CK128" s="55">
        <f>IFERROR(__xludf.DUMMYFUNCTION("importrange(""https://docs.google.com/spreadsheets/d/1C-PaiedLj2XOlFsshkO221ipgOAZuZ9nzOrc7VRBlHo/edit?gid=1996990278#gid=1996990278"",""2025-26!ao3"")"),7.0)</f>
        <v>7</v>
      </c>
      <c r="CL128" s="59">
        <f t="shared" si="28"/>
        <v>1.614790643</v>
      </c>
      <c r="CM128" s="55">
        <f>IFERROR(__xludf.DUMMYFUNCTION("importrange(""https://docs.google.com/spreadsheets/d/1C-PaiedLj2XOlFsshkO221ipgOAZuZ9nzOrc7VRBlHo/edit?gid=1996990278#gid=1996990278"",""2025-26!ap4"")"),3416897.0)</f>
        <v>3416897</v>
      </c>
      <c r="CN128" s="55">
        <f>IFERROR(__xludf.DUMMYFUNCTION("importrange(""https://docs.google.com/spreadsheets/d/1C-PaiedLj2XOlFsshkO221ipgOAZuZ9nzOrc7VRBlHo/edit?gid=1996990278#gid=1996990278"",""2025-26!ap3"")"),14.0)</f>
        <v>14</v>
      </c>
      <c r="CO128" s="55">
        <f>IFERROR(__xludf.DUMMYFUNCTION("importrange(""https://docs.google.com/spreadsheets/d/1C-PaiedLj2XOlFsshkO221ipgOAZuZ9nzOrc7VRBlHo/edit?gid=1996990278#gid=1996990278"",""2025-26!aq4"")"),2089000.0)</f>
        <v>2089000</v>
      </c>
      <c r="CP128" s="55">
        <f>IFERROR(__xludf.DUMMYFUNCTION("importrange(""https://docs.google.com/spreadsheets/d/1C-PaiedLj2XOlFsshkO221ipgOAZuZ9nzOrc7VRBlHo/edit?gid=1996990278#gid=1996990278"",""2025-26!aq3"")"),21.0)</f>
        <v>21</v>
      </c>
      <c r="CQ128" s="55">
        <f>IFERROR(__xludf.DUMMYFUNCTION("importrange(""https://docs.google.com/spreadsheets/d/1C-PaiedLj2XOlFsshkO221ipgOAZuZ9nzOrc7VRBlHo/edit?gid=1996990278#gid=1996990278"",""2025-26!ar4"")"),3416901.26)</f>
        <v>3416901.26</v>
      </c>
      <c r="CR128" s="55">
        <f>IFERROR(__xludf.DUMMYFUNCTION("importrange(""https://docs.google.com/spreadsheets/d/1C-PaiedLj2XOlFsshkO221ipgOAZuZ9nzOrc7VRBlHo/edit?gid=1996990278#gid=1996990278"",""2025-26!ar3"")"),14.0)</f>
        <v>14</v>
      </c>
      <c r="CS128" s="59">
        <f t="shared" si="29"/>
        <v>1.635661561</v>
      </c>
      <c r="CT128" s="55">
        <f>IFERROR(__xludf.DUMMYFUNCTION("importrange(""https://docs.google.com/spreadsheets/d/1C-PaiedLj2XOlFsshkO221ipgOAZuZ9nzOrc7VRBlHo/edit?gid=1996990278#gid=1996990278"",""2025-26!as4"")"),3416897.0)</f>
        <v>3416897</v>
      </c>
      <c r="CU128" s="55">
        <f>IFERROR(__xludf.DUMMYFUNCTION("importrange(""https://docs.google.com/spreadsheets/d/1C-PaiedLj2XOlFsshkO221ipgOAZuZ9nzOrc7VRBlHo/edit?gid=1996990278#gid=1996990278"",""2025-26!as3"")"),14.0)</f>
        <v>14</v>
      </c>
      <c r="CV128" s="60" t="s">
        <v>212</v>
      </c>
    </row>
    <row r="129">
      <c r="A129" s="1" t="s">
        <v>185</v>
      </c>
      <c r="B129" s="37"/>
      <c r="C129" s="103" t="s">
        <v>281</v>
      </c>
      <c r="D129" s="65" t="s">
        <v>282</v>
      </c>
      <c r="E129" s="68">
        <v>9.851275956E9</v>
      </c>
      <c r="F129" s="78">
        <v>45670.0</v>
      </c>
      <c r="G129" s="62"/>
      <c r="H129" s="62"/>
      <c r="I129" s="70">
        <v>29375.0</v>
      </c>
      <c r="J129" s="54">
        <v>1500000.0</v>
      </c>
      <c r="K129" s="57">
        <f>IFERROR(__xludf.DUMMYFUNCTION("IMPORTRANGE(""https://docs.google.com/spreadsheets/d/1fC3fyg60xd2eSSYcWdzoxTfCeKLcRbmaUzBDRvPxPB0/edit?gid=1996990278#gid=1996990278"",""2025-26!A3"")"),41.0)</f>
        <v>41</v>
      </c>
      <c r="L129" s="57">
        <f>IFERROR(__xludf.DUMMYFUNCTION("IMPORTRANGE(""https://docs.google.com/spreadsheets/d/1fC3fyg60xd2eSSYcWdzoxTfCeKLcRbmaUzBDRvPxPB0/edit?gid=1996990278#gid=1996990278"",""2025-26!G4"")"),1.6568026E7)</f>
        <v>16568026</v>
      </c>
      <c r="M129" s="57">
        <f t="shared" si="50"/>
        <v>12918972.93</v>
      </c>
      <c r="N129" s="56">
        <f t="shared" si="51"/>
        <v>0.779566401</v>
      </c>
      <c r="O129" s="57">
        <f t="shared" si="52"/>
        <v>12915876.4</v>
      </c>
      <c r="P129" s="55">
        <f>IFERROR(__xludf.DUMMYFUNCTION("IMPORTRANGE(""https://docs.google.com/spreadsheets/d/1fC3fyg60xd2eSSYcWdzoxTfCeKLcRbmaUzBDRvPxPB0/edit?gid=1996990278#gid=1996990278"",""2025-26!J4"")"),935666.0)</f>
        <v>935666</v>
      </c>
      <c r="Q129" s="55">
        <f>IFERROR(__xludf.DUMMYFUNCTION("IMPORTRANGE(""https://docs.google.com/spreadsheets/d/1fC3fyg60xd2eSSYcWdzoxTfCeKLcRbmaUzBDRvPxPB0/edit?gid=1996990278#gid=1996990278"",""2025-26!J3"")"),24.0)</f>
        <v>24</v>
      </c>
      <c r="R129" s="55">
        <f>IFERROR(__xludf.DUMMYFUNCTION("IMPORTRANGE(""https://docs.google.com/spreadsheets/d/1fC3fyg60xd2eSSYcWdzoxTfCeKLcRbmaUzBDRvPxPB0/edit?gid=1996990278#gid=1996990278"",""2025-26!K4"")"),513548.39999999997)</f>
        <v>513548.4</v>
      </c>
      <c r="S129" s="55">
        <f>IFERROR(__xludf.DUMMYFUNCTION("IMPORTRANGE(""https://docs.google.com/spreadsheets/d/1fC3fyg60xd2eSSYcWdzoxTfCeKLcRbmaUzBDRvPxPB0/edit?gid=1996990278#gid=1996990278"",""2025-26!K3"")"),8.0)</f>
        <v>8</v>
      </c>
      <c r="T129" s="58">
        <f t="shared" si="18"/>
        <v>0.5488581395</v>
      </c>
      <c r="U129" s="55">
        <f>IFERROR(__xludf.DUMMYFUNCTION("IMPORTRANGE(""https://docs.google.com/spreadsheets/d/1fC3fyg60xd2eSSYcWdzoxTfCeKLcRbmaUzBDRvPxPB0/edit?gid=1996990278#gid=1996990278"",""2025-26!L4"")"),513547.9)</f>
        <v>513547.9</v>
      </c>
      <c r="V129" s="79">
        <f>IFERROR(__xludf.DUMMYFUNCTION("IMPORTRANGE(""https://docs.google.com/spreadsheets/d/1fC3fyg60xd2eSSYcWdzoxTfCeKLcRbmaUzBDRvPxPB0/edit?gid=1996990278#gid=1996990278"",""2025-26!L3"")"),8.0)</f>
        <v>8</v>
      </c>
      <c r="W129" s="55">
        <f>IFERROR(__xludf.DUMMYFUNCTION("IMPORTRANGE(""https://docs.google.com/spreadsheets/d/1fC3fyg60xd2eSSYcWdzoxTfCeKLcRbmaUzBDRvPxPB0/edit?gid=1996990278#gid=1996990278"",""2025-26!M4"")"),935666.0)</f>
        <v>935666</v>
      </c>
      <c r="X129" s="79">
        <f>IFERROR(__xludf.DUMMYFUNCTION("IMPORTRANGE(""https://docs.google.com/spreadsheets/d/1fC3fyg60xd2eSSYcWdzoxTfCeKLcRbmaUzBDRvPxPB0/edit?gid=1996990278#gid=1996990278"",""2025-26!M3"")"),24.0)</f>
        <v>24</v>
      </c>
      <c r="Y129" s="55">
        <f>IFERROR(__xludf.DUMMYFUNCTION("importrange(""https://docs.google.com/spreadsheets/d/1fC3fyg60xd2eSSYcWdzoxTfCeKLcRbmaUzBDRvPxPB0/edit?gid=1996990278#gid=1996990278"",""2025-26!n4"")"),900566.7)</f>
        <v>900566.7</v>
      </c>
      <c r="Z129" s="55">
        <f>IFERROR(__xludf.DUMMYFUNCTION("importrange(""https://docs.google.com/spreadsheets/d/1fC3fyg60xd2eSSYcWdzoxTfCeKLcRbmaUzBDRvPxPB0/edit?gid=1996990278#gid=1996990278"",""2025-26!n3"")"),17.0)</f>
        <v>17</v>
      </c>
      <c r="AA129" s="58">
        <f t="shared" si="19"/>
        <v>0.9624895208</v>
      </c>
      <c r="AB129" s="55">
        <f>IFERROR(__xludf.DUMMYFUNCTION("importrange(""https://docs.google.com/spreadsheets/d/1fC3fyg60xd2eSSYcWdzoxTfCeKLcRbmaUzBDRvPxPB0/edit?gid=1996990278#gid=1996990278"",""2025-26!o4"")"),900568.72)</f>
        <v>900568.72</v>
      </c>
      <c r="AC129" s="55">
        <f>IFERROR(__xludf.DUMMYFUNCTION("importrange(""https://docs.google.com/spreadsheets/d/1fC3fyg60xd2eSSYcWdzoxTfCeKLcRbmaUzBDRvPxPB0/edit?gid=1996990278#gid=1996990278"",""2025-26!o3"")"),17.0)</f>
        <v>17</v>
      </c>
      <c r="AD129" s="55">
        <f>IFERROR(__xludf.DUMMYFUNCTION("importrange(""https://docs.google.com/spreadsheets/d/1fC3fyg60xd2eSSYcWdzoxTfCeKLcRbmaUzBDRvPxPB0/edit?gid=1996990278#gid=1996990278"",""2025-26!p4"")"),975666.0)</f>
        <v>975666</v>
      </c>
      <c r="AE129" s="55">
        <f>IFERROR(__xludf.DUMMYFUNCTION("importrange(""https://docs.google.com/spreadsheets/d/1fC3fyg60xd2eSSYcWdzoxTfCeKLcRbmaUzBDRvPxPB0/edit?gid=1996990278#gid=1996990278"",""2025-26!p3"")"),27.0)</f>
        <v>27</v>
      </c>
      <c r="AF129" s="55">
        <f>IFERROR(__xludf.DUMMYFUNCTION("importrange(""https://docs.google.com/spreadsheets/d/1fC3fyg60xd2eSSYcWdzoxTfCeKLcRbmaUzBDRvPxPB0/edit?gid=1996990278#gid=1996990278"",""2025-26!q4"")"),1274776.4)</f>
        <v>1274776.4</v>
      </c>
      <c r="AG129" s="55">
        <f>IFERROR(__xludf.DUMMYFUNCTION("importrange(""https://docs.google.com/spreadsheets/d/1fC3fyg60xd2eSSYcWdzoxTfCeKLcRbmaUzBDRvPxPB0/edit?gid=1996990278#gid=1996990278"",""2025-26!q3"")"),10.0)</f>
        <v>10</v>
      </c>
      <c r="AH129" s="58">
        <f t="shared" si="20"/>
        <v>1.306569215</v>
      </c>
      <c r="AI129" s="55">
        <f>IFERROR(__xludf.DUMMYFUNCTION("importrange(""https://docs.google.com/spreadsheets/d/1fC3fyg60xd2eSSYcWdzoxTfCeKLcRbmaUzBDRvPxPB0/edit?gid=1996990278#gid=1996990278"",""2025-26!r4"")"),1274775.16)</f>
        <v>1274775.16</v>
      </c>
      <c r="AJ129" s="55">
        <f>IFERROR(__xludf.DUMMYFUNCTION("importrange(""https://docs.google.com/spreadsheets/d/1fC3fyg60xd2eSSYcWdzoxTfCeKLcRbmaUzBDRvPxPB0/edit?gid=1996990278#gid=1996990278"",""2025-26!r3"")"),10.0)</f>
        <v>10</v>
      </c>
      <c r="AK129" s="55">
        <f>IFERROR(__xludf.DUMMYFUNCTION("importrange(""https://docs.google.com/spreadsheets/d/1fC3fyg60xd2eSSYcWdzoxTfCeKLcRbmaUzBDRvPxPB0/edit?gid=1996990278#gid=1996990278"",""2025-26!s4"")"),1020666.0)</f>
        <v>1020666</v>
      </c>
      <c r="AL129" s="55">
        <f>IFERROR(__xludf.DUMMYFUNCTION("importrange(""https://docs.google.com/spreadsheets/d/1fC3fyg60xd2eSSYcWdzoxTfCeKLcRbmaUzBDRvPxPB0/edit?gid=1996990278#gid=1996990278"",""2025-26!s3"")"),28.0)</f>
        <v>28</v>
      </c>
      <c r="AM129" s="57">
        <f>IFERROR(__xludf.DUMMYFUNCTION("importrange(""https://docs.google.com/spreadsheets/d/1fC3fyg60xd2eSSYcWdzoxTfCeKLcRbmaUzBDRvPxPB0/edit?gid=1996990278#gid=1996990278"",""2025-26!t4"")"),1140416.6400000001)</f>
        <v>1140416.64</v>
      </c>
      <c r="AN129" s="55">
        <f>IFERROR(__xludf.DUMMYFUNCTION("importrange(""https://docs.google.com/spreadsheets/d/1fC3fyg60xd2eSSYcWdzoxTfCeKLcRbmaUzBDRvPxPB0/edit?gid=1996990278#gid=1996990278"",""2025-26!t3"")"),18.0)</f>
        <v>18</v>
      </c>
      <c r="AO129" s="58">
        <f t="shared" si="21"/>
        <v>1.11732651</v>
      </c>
      <c r="AP129" s="55">
        <f>IFERROR(__xludf.DUMMYFUNCTION("importrange(""https://docs.google.com/spreadsheets/d/1fC3fyg60xd2eSSYcWdzoxTfCeKLcRbmaUzBDRvPxPB0/edit?gid=1996990278#gid=1996990278"",""2025-26!u4"")"),1140417.1800000002)</f>
        <v>1140417.18</v>
      </c>
      <c r="AQ129" s="55">
        <f>IFERROR(__xludf.DUMMYFUNCTION("importrange(""https://docs.google.com/spreadsheets/d/1fC3fyg60xd2eSSYcWdzoxTfCeKLcRbmaUzBDRvPxPB0/edit?gid=1996990278#gid=1996990278"",""2025-26!u3"")"),18.0)</f>
        <v>18</v>
      </c>
      <c r="AR129" s="55">
        <f>IFERROR(__xludf.DUMMYFUNCTION("importrange(""https://docs.google.com/spreadsheets/d/1fC3fyg60xd2eSSYcWdzoxTfCeKLcRbmaUzBDRvPxPB0/edit?gid=1996990278#gid=1996990278"",""2025-26!v4"")"),1170666.0)</f>
        <v>1170666</v>
      </c>
      <c r="AS129" s="55">
        <f>IFERROR(__xludf.DUMMYFUNCTION("importrange(""https://docs.google.com/spreadsheets/d/1fC3fyg60xd2eSSYcWdzoxTfCeKLcRbmaUzBDRvPxPB0/edit?gid=1996990278#gid=1996990278"",""2025-26!v3"")"),31.0)</f>
        <v>31</v>
      </c>
      <c r="AT129" s="57">
        <f>IFERROR(__xludf.DUMMYFUNCTION("importrange(""https://docs.google.com/spreadsheets/d/1fC3fyg60xd2eSSYcWdzoxTfCeKLcRbmaUzBDRvPxPB0/edit?gid=1996990278#gid=1996990278"",""2025-26!w4"")"),1201218.77)</f>
        <v>1201218.77</v>
      </c>
      <c r="AU129" s="55">
        <f>IFERROR(__xludf.DUMMYFUNCTION("importrange(""https://docs.google.com/spreadsheets/d/1fC3fyg60xd2eSSYcWdzoxTfCeKLcRbmaUzBDRvPxPB0/edit?gid=1996990278#gid=1996990278"",""2025-26!w3"")"),12.0)</f>
        <v>12</v>
      </c>
      <c r="AV129" s="58">
        <f t="shared" si="22"/>
        <v>1.026098153</v>
      </c>
      <c r="AW129" s="55">
        <f>IFERROR(__xludf.DUMMYFUNCTION("importrange(""https://docs.google.com/spreadsheets/d/1fC3fyg60xd2eSSYcWdzoxTfCeKLcRbmaUzBDRvPxPB0/edit?gid=1996990278#gid=1996990278"",""2025-26!x4"")"),1201218.22)</f>
        <v>1201218.22</v>
      </c>
      <c r="AX129" s="55">
        <f>IFERROR(__xludf.DUMMYFUNCTION("importrange(""https://docs.google.com/spreadsheets/d/1fC3fyg60xd2eSSYcWdzoxTfCeKLcRbmaUzBDRvPxPB0/edit?gid=1996990278#gid=1996990278"",""2025-26!x3"")"),12.0)</f>
        <v>12</v>
      </c>
      <c r="AY129" s="55">
        <f>IFERROR(__xludf.DUMMYFUNCTION("importrange(""https://docs.google.com/spreadsheets/d/1fC3fyg60xd2eSSYcWdzoxTfCeKLcRbmaUzBDRvPxPB0/edit?gid=1996990278#gid=1996990278"",""2025-26!y4"")"),1293166.0)</f>
        <v>1293166</v>
      </c>
      <c r="AZ129" s="55">
        <f>IFERROR(__xludf.DUMMYFUNCTION("importrange(""https://docs.google.com/spreadsheets/d/1fC3fyg60xd2eSSYcWdzoxTfCeKLcRbmaUzBDRvPxPB0/edit?gid=1996990278#gid=1996990278"",""2025-26!y3"")"),35.0)</f>
        <v>35</v>
      </c>
      <c r="BA129" s="57">
        <f>IFERROR(__xludf.DUMMYFUNCTION("importrange(""https://docs.google.com/spreadsheets/d/1fC3fyg60xd2eSSYcWdzoxTfCeKLcRbmaUzBDRvPxPB0/edit?gid=1996990278#gid=1996990278"",""2025-26!z4"")"),1220716.1800000002)</f>
        <v>1220716.18</v>
      </c>
      <c r="BB129" s="55">
        <f>IFERROR(__xludf.DUMMYFUNCTION("importrange(""https://docs.google.com/spreadsheets/d/1fC3fyg60xd2eSSYcWdzoxTfCeKLcRbmaUzBDRvPxPB0/edit?gid=1996990278#gid=1996990278"",""2025-26!z3"")"),14.0)</f>
        <v>14</v>
      </c>
      <c r="BC129" s="59">
        <f t="shared" si="23"/>
        <v>0.9439747411</v>
      </c>
      <c r="BD129" s="55">
        <f>IFERROR(__xludf.DUMMYFUNCTION("importrange(""https://docs.google.com/spreadsheets/d/1fC3fyg60xd2eSSYcWdzoxTfCeKLcRbmaUzBDRvPxPB0/edit?gid=1996990278#gid=1996990278"",""2025-26!aa4"")"),1220716.04)</f>
        <v>1220716.04</v>
      </c>
      <c r="BE129" s="55">
        <f>IFERROR(__xludf.DUMMYFUNCTION("importrange(""https://docs.google.com/spreadsheets/d/1fC3fyg60xd2eSSYcWdzoxTfCeKLcRbmaUzBDRvPxPB0/edit?gid=1996990278#gid=1996990278"",""2025-26!aa3"")"),14.0)</f>
        <v>14</v>
      </c>
      <c r="BF129" s="55">
        <f>IFERROR(__xludf.DUMMYFUNCTION("importrange(""https://docs.google.com/spreadsheets/d/1fC3fyg60xd2eSSYcWdzoxTfCeKLcRbmaUzBDRvPxPB0/edit?gid=1996990278#gid=1996990278"",""2025-26!ab4"")"),1305666.0)</f>
        <v>1305666</v>
      </c>
      <c r="BG129" s="55">
        <f>IFERROR(__xludf.DUMMYFUNCTION("importrange(""https://docs.google.com/spreadsheets/d/1fC3fyg60xd2eSSYcWdzoxTfCeKLcRbmaUzBDRvPxPB0/edit?gid=1996990278#gid=1996990278"",""2025-26!ab3"")"),36.0)</f>
        <v>36</v>
      </c>
      <c r="BH129" s="55">
        <f>IFERROR(__xludf.DUMMYFUNCTION("importrange(""https://docs.google.com/spreadsheets/d/1fC3fyg60xd2eSSYcWdzoxTfCeKLcRbmaUzBDRvPxPB0/edit?gid=1996990278#gid=1996990278"",""2025-26!ac4"")"),471550.07999999996)</f>
        <v>471550.08</v>
      </c>
      <c r="BI129" s="55">
        <f>IFERROR(__xludf.DUMMYFUNCTION("importrange(""https://docs.google.com/spreadsheets/d/1fC3fyg60xd2eSSYcWdzoxTfCeKLcRbmaUzBDRvPxPB0/edit?gid=1996990278#gid=1996990278"",""2025-26!ac3"")"),9.0)</f>
        <v>9</v>
      </c>
      <c r="BJ129" s="59">
        <f t="shared" si="24"/>
        <v>0.3611562988</v>
      </c>
      <c r="BK129" s="55">
        <f>IFERROR(__xludf.DUMMYFUNCTION("importrange(""https://docs.google.com/spreadsheets/d/1fC3fyg60xd2eSSYcWdzoxTfCeKLcRbmaUzBDRvPxPB0/edit?gid=1996990278#gid=1996990278"",""2025-26!ad4"")"),471549.5)</f>
        <v>471549.5</v>
      </c>
      <c r="BL129" s="55">
        <f>IFERROR(__xludf.DUMMYFUNCTION("importrange(""https://docs.google.com/spreadsheets/d/1fC3fyg60xd2eSSYcWdzoxTfCeKLcRbmaUzBDRvPxPB0/edit?gid=1996990278#gid=1996990278"",""2025-26!ad3"")"),9.0)</f>
        <v>9</v>
      </c>
      <c r="BM129" s="55">
        <f>IFERROR(__xludf.DUMMYFUNCTION("importrange(""https://docs.google.com/spreadsheets/d/1fC3fyg60xd2eSSYcWdzoxTfCeKLcRbmaUzBDRvPxPB0/edit?gid=1996990278#gid=1996990278"",""2025-26!ae4"")"),1305666.0)</f>
        <v>1305666</v>
      </c>
      <c r="BN129" s="55">
        <f>IFERROR(__xludf.DUMMYFUNCTION("importrange(""https://docs.google.com/spreadsheets/d/1fC3fyg60xd2eSSYcWdzoxTfCeKLcRbmaUzBDRvPxPB0/edit?gid=1996990278#gid=1996990278"",""2025-26!ae3"")"),36.0)</f>
        <v>36</v>
      </c>
      <c r="BO129" s="55">
        <f>IFERROR(__xludf.DUMMYFUNCTION("importrange(""https://docs.google.com/spreadsheets/d/1fC3fyg60xd2eSSYcWdzoxTfCeKLcRbmaUzBDRvPxPB0/edit?gid=1996990278#gid=1996990278"",""2025-26!af4"")"),1308593.66)</f>
        <v>1308593.66</v>
      </c>
      <c r="BP129" s="55">
        <f>IFERROR(__xludf.DUMMYFUNCTION("importrange(""https://docs.google.com/spreadsheets/d/1fC3fyg60xd2eSSYcWdzoxTfCeKLcRbmaUzBDRvPxPB0/edit?gid=1996990278#gid=1996990278"",""2025-26!af3"")"),19.0)</f>
        <v>19</v>
      </c>
      <c r="BQ129" s="59">
        <f t="shared" si="25"/>
        <v>1.002241017</v>
      </c>
      <c r="BR129" s="55">
        <f>IFERROR(__xludf.DUMMYFUNCTION("importrange(""https://docs.google.com/spreadsheets/d/1fC3fyg60xd2eSSYcWdzoxTfCeKLcRbmaUzBDRvPxPB0/edit?gid=1996990278#gid=1996990278"",""2025-26!ag4"")"),1308592.02)</f>
        <v>1308592.02</v>
      </c>
      <c r="BS129" s="55">
        <f>IFERROR(__xludf.DUMMYFUNCTION("importrange(""https://docs.google.com/spreadsheets/d/1fC3fyg60xd2eSSYcWdzoxTfCeKLcRbmaUzBDRvPxPB0/edit?gid=1996990278#gid=1996990278"",""2025-26!ag3"")"),19.0)</f>
        <v>19</v>
      </c>
      <c r="BT129" s="55">
        <f>IFERROR(__xludf.DUMMYFUNCTION("importrange(""https://docs.google.com/spreadsheets/d/1fC3fyg60xd2eSSYcWdzoxTfCeKLcRbmaUzBDRvPxPB0/edit?gid=1996990278#gid=1996990278"",""2025-26!ah4"")"),1343166.0)</f>
        <v>1343166</v>
      </c>
      <c r="BU129" s="55">
        <f>IFERROR(__xludf.DUMMYFUNCTION("importrange(""https://docs.google.com/spreadsheets/d/1fC3fyg60xd2eSSYcWdzoxTfCeKLcRbmaUzBDRvPxPB0/edit?gid=1996990278#gid=1996990278"",""2025-26!ah3"")"),37.0)</f>
        <v>37</v>
      </c>
      <c r="BV129" s="55">
        <f>IFERROR(__xludf.DUMMYFUNCTION("importrange(""https://docs.google.com/spreadsheets/d/1fC3fyg60xd2eSSYcWdzoxTfCeKLcRbmaUzBDRvPxPB0/edit?gid=1996990278#gid=1996990278"",""2025-26!ai4"")"),1130706.59)</f>
        <v>1130706.59</v>
      </c>
      <c r="BW129" s="55">
        <f>IFERROR(__xludf.DUMMYFUNCTION("importrange(""https://docs.google.com/spreadsheets/d/1fC3fyg60xd2eSSYcWdzoxTfCeKLcRbmaUzBDRvPxPB0/edit?gid=1996990278#gid=1996990278"",""2025-26!ai3"")"),15.0)</f>
        <v>15</v>
      </c>
      <c r="BX129" s="59">
        <f t="shared" si="26"/>
        <v>0.8395172897</v>
      </c>
      <c r="BY129" s="55">
        <f>IFERROR(__xludf.DUMMYFUNCTION("importrange(""https://docs.google.com/spreadsheets/d/1fC3fyg60xd2eSSYcWdzoxTfCeKLcRbmaUzBDRvPxPB0/edit?gid=1996990278#gid=1996990278"",""2025-26!aj4"")"),1127611.0799999998)</f>
        <v>1127611.08</v>
      </c>
      <c r="BZ129" s="55">
        <f>IFERROR(__xludf.DUMMYFUNCTION("importrange(""https://docs.google.com/spreadsheets/d/1fC3fyg60xd2eSSYcWdzoxTfCeKLcRbmaUzBDRvPxPB0/edit?gid=1996990278#gid=1996990278"",""2025-26!aj3"")"),15.0)</f>
        <v>15</v>
      </c>
      <c r="CA129" s="55">
        <f>IFERROR(__xludf.DUMMYFUNCTION("importrange(""https://docs.google.com/spreadsheets/d/1fC3fyg60xd2eSSYcWdzoxTfCeKLcRbmaUzBDRvPxPB0/edit?gid=1996990278#gid=1996990278"",""2025-26!ak4"")"),1330666.0)</f>
        <v>1330666</v>
      </c>
      <c r="CB129" s="55">
        <f>IFERROR(__xludf.DUMMYFUNCTION("importrange(""https://docs.google.com/spreadsheets/d/1fC3fyg60xd2eSSYcWdzoxTfCeKLcRbmaUzBDRvPxPB0/edit?gid=1996990278#gid=1996990278"",""2025-26!ak3"")"),37.0)</f>
        <v>37</v>
      </c>
      <c r="CC129" s="55">
        <f>IFERROR(__xludf.DUMMYFUNCTION("importrange(""https://docs.google.com/spreadsheets/d/1fC3fyg60xd2eSSYcWdzoxTfCeKLcRbmaUzBDRvPxPB0/edit?gid=1996990278#gid=1996990278"",""2025-26!al4"")"),1319888.7400000002)</f>
        <v>1319888.74</v>
      </c>
      <c r="CD129" s="55">
        <f>IFERROR(__xludf.DUMMYFUNCTION("importrange(""https://docs.google.com/spreadsheets/d/1fC3fyg60xd2eSSYcWdzoxTfCeKLcRbmaUzBDRvPxPB0/edit?gid=1996990278#gid=1996990278"",""2025-26!ai3"")"),15.0)</f>
        <v>15</v>
      </c>
      <c r="CE129" s="59">
        <f t="shared" si="27"/>
        <v>0.9919011833</v>
      </c>
      <c r="CF129" s="55">
        <f>IFERROR(__xludf.DUMMYFUNCTION("importrange(""https://docs.google.com/spreadsheets/d/1fC3fyg60xd2eSSYcWdzoxTfCeKLcRbmaUzBDRvPxPB0/edit?gid=1996990278#gid=1996990278"",""2025-26!am4"")"),1319889.18)</f>
        <v>1319889.18</v>
      </c>
      <c r="CG129" s="55">
        <f>IFERROR(__xludf.DUMMYFUNCTION("importrange(""https://docs.google.com/spreadsheets/d/1fC3fyg60xd2eSSYcWdzoxTfCeKLcRbmaUzBDRvPxPB0/edit?gid=1996990278#gid=1996990278"",""2025-26!am3"")"),14.0)</f>
        <v>14</v>
      </c>
      <c r="CH129" s="55">
        <f>IFERROR(__xludf.DUMMYFUNCTION("importrange(""https://docs.google.com/spreadsheets/d/1fC3fyg60xd2eSSYcWdzoxTfCeKLcRbmaUzBDRvPxPB0/edit?gid=1996990278#gid=1996990278"",""2025-26!an4"")"),1330666.0)</f>
        <v>1330666</v>
      </c>
      <c r="CI129" s="55">
        <f>IFERROR(__xludf.DUMMYFUNCTION("importrange(""https://docs.google.com/spreadsheets/d/1fC3fyg60xd2eSSYcWdzoxTfCeKLcRbmaUzBDRvPxPB0/edit?gid=1996990278#gid=1996990278"",""2025-26!an3"")"),37.0)</f>
        <v>37</v>
      </c>
      <c r="CJ129" s="55">
        <f>IFERROR(__xludf.DUMMYFUNCTION("importrange(""https://docs.google.com/spreadsheets/d/1fC3fyg60xd2eSSYcWdzoxTfCeKLcRbmaUzBDRvPxPB0/edit?gid=1996990278#gid=1996990278"",""2025-26!ao4"")"),1137296.3599999999)</f>
        <v>1137296.36</v>
      </c>
      <c r="CK129" s="55">
        <f>IFERROR(__xludf.DUMMYFUNCTION("importrange(""https://docs.google.com/spreadsheets/d/1fC3fyg60xd2eSSYcWdzoxTfCeKLcRbmaUzBDRvPxPB0/edit?gid=1996990278#gid=1996990278"",""2025-26!ao3"")"),10.0)</f>
        <v>10</v>
      </c>
      <c r="CL129" s="59">
        <f t="shared" si="28"/>
        <v>0.8546820915</v>
      </c>
      <c r="CM129" s="55">
        <f>IFERROR(__xludf.DUMMYFUNCTION("importrange(""https://docs.google.com/spreadsheets/d/1fC3fyg60xd2eSSYcWdzoxTfCeKLcRbmaUzBDRvPxPB0/edit?gid=1996990278#gid=1996990278"",""2025-26!ap4"")"),1137296.4)</f>
        <v>1137296.4</v>
      </c>
      <c r="CN129" s="55">
        <f>IFERROR(__xludf.DUMMYFUNCTION("importrange(""https://docs.google.com/spreadsheets/d/1fC3fyg60xd2eSSYcWdzoxTfCeKLcRbmaUzBDRvPxPB0/edit?gid=1996990278#gid=1996990278"",""2025-26!ap3"")"),10.0)</f>
        <v>10</v>
      </c>
      <c r="CO129" s="55">
        <f>IFERROR(__xludf.DUMMYFUNCTION("importrange(""https://docs.google.com/spreadsheets/d/1fC3fyg60xd2eSSYcWdzoxTfCeKLcRbmaUzBDRvPxPB0/edit?gid=1996990278#gid=1996990278"",""2025-26!aq4"")"),1400666.0)</f>
        <v>1400666</v>
      </c>
      <c r="CP129" s="55">
        <f>IFERROR(__xludf.DUMMYFUNCTION("importrange(""https://docs.google.com/spreadsheets/d/1fC3fyg60xd2eSSYcWdzoxTfCeKLcRbmaUzBDRvPxPB0/edit?gid=1996990278#gid=1996990278"",""2025-26!aq3"")"),37.0)</f>
        <v>37</v>
      </c>
      <c r="CQ129" s="55">
        <f>IFERROR(__xludf.DUMMYFUNCTION("importrange(""https://docs.google.com/spreadsheets/d/1fC3fyg60xd2eSSYcWdzoxTfCeKLcRbmaUzBDRvPxPB0/edit?gid=1996990278#gid=1996990278"",""2025-26!ar4"")"),1299694.4100000001)</f>
        <v>1299694.41</v>
      </c>
      <c r="CR129" s="55">
        <f>IFERROR(__xludf.DUMMYFUNCTION("importrange(""https://docs.google.com/spreadsheets/d/1fC3fyg60xd2eSSYcWdzoxTfCeKLcRbmaUzBDRvPxPB0/edit?gid=1996990278#gid=1996990278"",""2025-26!ar3"")"),5.0)</f>
        <v>5</v>
      </c>
      <c r="CS129" s="59">
        <f t="shared" si="29"/>
        <v>0.9279121504</v>
      </c>
      <c r="CT129" s="55">
        <f>IFERROR(__xludf.DUMMYFUNCTION("importrange(""https://docs.google.com/spreadsheets/d/1fC3fyg60xd2eSSYcWdzoxTfCeKLcRbmaUzBDRvPxPB0/edit?gid=1996990278#gid=1996990278"",""2025-26!as4"")"),1299695.0)</f>
        <v>1299695</v>
      </c>
      <c r="CU129" s="55">
        <f>IFERROR(__xludf.DUMMYFUNCTION("importrange(""https://docs.google.com/spreadsheets/d/1fC3fyg60xd2eSSYcWdzoxTfCeKLcRbmaUzBDRvPxPB0/edit?gid=1996990278#gid=1996990278"",""2025-26!as3"")"),5.0)</f>
        <v>5</v>
      </c>
      <c r="CV129" s="60" t="s">
        <v>189</v>
      </c>
    </row>
    <row r="130">
      <c r="A130" s="1" t="s">
        <v>185</v>
      </c>
      <c r="B130" s="37"/>
      <c r="C130" s="104" t="s">
        <v>283</v>
      </c>
      <c r="D130" s="105" t="s">
        <v>284</v>
      </c>
      <c r="E130" s="68">
        <v>9.083084027E9</v>
      </c>
      <c r="F130" s="78">
        <v>45784.0</v>
      </c>
      <c r="G130" s="62"/>
      <c r="H130" s="62"/>
      <c r="I130" s="53">
        <f>VLOOKUP($C130,Data!$C:$BV,34,0)</f>
        <v>25985</v>
      </c>
      <c r="J130" s="54">
        <v>2500000.0</v>
      </c>
      <c r="K130" s="57">
        <f>IFERROR(__xludf.DUMMYFUNCTION("IMPORTRANGE(""https://docs.google.com/spreadsheets/d/18m5o7TTSu_7OYCCZkDgwq90DUL-KY0ZOGTL75E5bkIs/edit?gid=0#gid=0"",""2025-26!A3"")"),51.0)</f>
        <v>51</v>
      </c>
      <c r="L130" s="57">
        <f>IFERROR(__xludf.DUMMYFUNCTION("IMPORTRANGE(""https://docs.google.com/spreadsheets/d/18m5o7TTSu_7OYCCZkDgwq90DUL-KY0ZOGTL75E5bkIs/edit?gid=0#gid=0"",""2025-26!G4"")"),3.1E7)</f>
        <v>31000000</v>
      </c>
      <c r="M130" s="57">
        <f t="shared" si="50"/>
        <v>27266099.72</v>
      </c>
      <c r="N130" s="56">
        <f t="shared" si="51"/>
        <v>0.960106431</v>
      </c>
      <c r="O130" s="57">
        <f t="shared" si="52"/>
        <v>29763299.36</v>
      </c>
      <c r="P130" s="55">
        <f>IFERROR(__xludf.DUMMYFUNCTION("IMPORTRANGE(""https://docs.google.com/spreadsheets/d/18m5o7TTSu_7OYCCZkDgwq90DUL-KY0ZOGTL75E5bkIs/edit?gid=0#gid=0"",""2025-26!J4"")"),0.0)</f>
        <v>0</v>
      </c>
      <c r="Q130" s="55">
        <f>IFERROR(__xludf.DUMMYFUNCTION("IMPORTRANGE(""https://docs.google.com/spreadsheets/d/18m5o7TTSu_7OYCCZkDgwq90DUL-KY0ZOGTL75E5bkIs/edit?gid=0#gid=0"",""2025-26!J3"")"),0.0)</f>
        <v>0</v>
      </c>
      <c r="R130" s="55">
        <f>IFERROR(__xludf.DUMMYFUNCTION("IMPORTRANGE(""https://docs.google.com/spreadsheets/d/18m5o7TTSu_7OYCCZkDgwq90DUL-KY0ZOGTL75E5bkIs/edit?gid=0#gid=0"",""2025-26!K4"")"),0.0)</f>
        <v>0</v>
      </c>
      <c r="S130" s="55">
        <f>IFERROR(__xludf.DUMMYFUNCTION("IMPORTRANGE(""https://docs.google.com/spreadsheets/d/18m5o7TTSu_7OYCCZkDgwq90DUL-KY0ZOGTL75E5bkIs/edit?gid=0#gid=0"",""2025-26!K3"")"),0.0)</f>
        <v>0</v>
      </c>
      <c r="T130" s="58" t="str">
        <f t="shared" si="18"/>
        <v/>
      </c>
      <c r="U130" s="55">
        <f>IFERROR(__xludf.DUMMYFUNCTION("IMPORTRANGE(""https://docs.google.com/spreadsheets/d/18m5o7TTSu_7OYCCZkDgwq90DUL-KY0ZOGTL75E5bkIs/edit?gid=0#gid=0"",""2025-26!L4"")"),0.0)</f>
        <v>0</v>
      </c>
      <c r="V130" s="79">
        <f>IFERROR(__xludf.DUMMYFUNCTION("IMPORTRANGE(""https://docs.google.com/spreadsheets/d/18m5o7TTSu_7OYCCZkDgwq90DUL-KY0ZOGTL75E5bkIs/edit?gid=0#gid=0"",""2025-26!L3"")"),0.0)</f>
        <v>0</v>
      </c>
      <c r="W130" s="55">
        <f>IFERROR(__xludf.DUMMYFUNCTION("IMPORTRANGE(""https://docs.google.com/spreadsheets/d/18m5o7TTSu_7OYCCZkDgwq90DUL-KY0ZOGTL75E5bkIs/edit?gid=0#gid=0"",""2025-26!M4"")"),785000.0)</f>
        <v>785000</v>
      </c>
      <c r="X130" s="79">
        <f>IFERROR(__xludf.DUMMYFUNCTION("IMPORTRANGE(""https://docs.google.com/spreadsheets/d/18m5o7TTSu_7OYCCZkDgwq90DUL-KY0ZOGTL75E5bkIs/edit?gid=0#gid=0"",""2025-26!M3"")"),6.0)</f>
        <v>6</v>
      </c>
      <c r="Y130" s="55">
        <f>IFERROR(__xludf.DUMMYFUNCTION("importrange(""https://docs.google.com/spreadsheets/d/18m5o7TTSu_7OYCCZkDgwq90DUL-KY0ZOGTL75E5bkIs/edit?gid=0#gid=0"",""2025-26!n4"")"),330936.20000000007)</f>
        <v>330936.2</v>
      </c>
      <c r="Z130" s="55">
        <f>IFERROR(__xludf.DUMMYFUNCTION("importrange(""https://docs.google.com/spreadsheets/d/18m5o7TTSu_7OYCCZkDgwq90DUL-KY0ZOGTL75E5bkIs/edit?gid=0#gid=0"",""2025-26!n3"")"),14.0)</f>
        <v>14</v>
      </c>
      <c r="AA130" s="58">
        <f t="shared" si="19"/>
        <v>0.9911672357</v>
      </c>
      <c r="AB130" s="55">
        <f>IFERROR(__xludf.DUMMYFUNCTION("importrange(""https://docs.google.com/spreadsheets/d/18m5o7TTSu_7OYCCZkDgwq90DUL-KY0ZOGTL75E5bkIs/edit?gid=0#gid=0"",""2025-26!o4"")"),778066.28)</f>
        <v>778066.28</v>
      </c>
      <c r="AC130" s="55">
        <f>IFERROR(__xludf.DUMMYFUNCTION("importrange(""https://docs.google.com/spreadsheets/d/18m5o7TTSu_7OYCCZkDgwq90DUL-KY0ZOGTL75E5bkIs/edit?gid=0#gid=0"",""2025-26!o3"")"),12.0)</f>
        <v>12</v>
      </c>
      <c r="AD130" s="55">
        <f>IFERROR(__xludf.DUMMYFUNCTION("importrange(""https://docs.google.com/spreadsheets/d/18m5o7TTSu_7OYCCZkDgwq90DUL-KY0ZOGTL75E5bkIs/edit?gid=0#gid=0"",""2025-26!p4"")"),560000.0)</f>
        <v>560000</v>
      </c>
      <c r="AE130" s="55">
        <f>IFERROR(__xludf.DUMMYFUNCTION("importrange(""https://docs.google.com/spreadsheets/d/18m5o7TTSu_7OYCCZkDgwq90DUL-KY0ZOGTL75E5bkIs/edit?gid=0#gid=0"",""2025-26!p3"")"),5.0)</f>
        <v>5</v>
      </c>
      <c r="AF130" s="55">
        <f>IFERROR(__xludf.DUMMYFUNCTION("importrange(""https://docs.google.com/spreadsheets/d/18m5o7TTSu_7OYCCZkDgwq90DUL-KY0ZOGTL75E5bkIs/edit?gid=0#gid=0"",""2025-26!q4"")"),1736604.4199999995)</f>
        <v>1736604.42</v>
      </c>
      <c r="AG130" s="55">
        <f>IFERROR(__xludf.DUMMYFUNCTION("importrange(""https://docs.google.com/spreadsheets/d/18m5o7TTSu_7OYCCZkDgwq90DUL-KY0ZOGTL75E5bkIs/edit?gid=0#gid=0"",""2025-26!q3"")"),19.0)</f>
        <v>19</v>
      </c>
      <c r="AH130" s="58">
        <f t="shared" si="20"/>
        <v>2.81795825</v>
      </c>
      <c r="AI130" s="55">
        <f>IFERROR(__xludf.DUMMYFUNCTION("importrange(""https://docs.google.com/spreadsheets/d/18m5o7TTSu_7OYCCZkDgwq90DUL-KY0ZOGTL75E5bkIs/edit?gid=0#gid=0"",""2025-26!r4"")"),1578056.62)</f>
        <v>1578056.62</v>
      </c>
      <c r="AJ130" s="55">
        <f>IFERROR(__xludf.DUMMYFUNCTION("importrange(""https://docs.google.com/spreadsheets/d/18m5o7TTSu_7OYCCZkDgwq90DUL-KY0ZOGTL75E5bkIs/edit?gid=0#gid=0"",""2025-26!r3"")"),19.0)</f>
        <v>19</v>
      </c>
      <c r="AK130" s="55">
        <f>IFERROR(__xludf.DUMMYFUNCTION("importrange(""https://docs.google.com/spreadsheets/d/18m5o7TTSu_7OYCCZkDgwq90DUL-KY0ZOGTL75E5bkIs/edit?gid=0#gid=0"",""2025-26!s4"")"),860000.0)</f>
        <v>860000</v>
      </c>
      <c r="AL130" s="55">
        <f>IFERROR(__xludf.DUMMYFUNCTION("importrange(""https://docs.google.com/spreadsheets/d/18m5o7TTSu_7OYCCZkDgwq90DUL-KY0ZOGTL75E5bkIs/edit?gid=0#gid=0"",""2025-26!s3"")"),6.0)</f>
        <v>6</v>
      </c>
      <c r="AM130" s="57">
        <f>IFERROR(__xludf.DUMMYFUNCTION("importrange(""https://docs.google.com/spreadsheets/d/18m5o7TTSu_7OYCCZkDgwq90DUL-KY0ZOGTL75E5bkIs/edit?gid=0#gid=0"",""2025-26!t4"")"),1994961.79)</f>
        <v>1994961.79</v>
      </c>
      <c r="AN130" s="55">
        <f>IFERROR(__xludf.DUMMYFUNCTION("importrange(""https://docs.google.com/spreadsheets/d/18m5o7TTSu_7OYCCZkDgwq90DUL-KY0ZOGTL75E5bkIs/edit?gid=0#gid=0"",""2025-26!t3"")"),17.0)</f>
        <v>17</v>
      </c>
      <c r="AO130" s="58">
        <f t="shared" si="21"/>
        <v>1.537970174</v>
      </c>
      <c r="AP130" s="55">
        <f>IFERROR(__xludf.DUMMYFUNCTION("importrange(""https://docs.google.com/spreadsheets/d/18m5o7TTSu_7OYCCZkDgwq90DUL-KY0ZOGTL75E5bkIs/edit?gid=0#gid=0"",""2025-26!u4"")"),1322654.3499999999)</f>
        <v>1322654.35</v>
      </c>
      <c r="AQ130" s="55">
        <f>IFERROR(__xludf.DUMMYFUNCTION("importrange(""https://docs.google.com/spreadsheets/d/18m5o7TTSu_7OYCCZkDgwq90DUL-KY0ZOGTL75E5bkIs/edit?gid=0#gid=0"",""2025-26!u3"")"),16.0)</f>
        <v>16</v>
      </c>
      <c r="AR130" s="55">
        <f>IFERROR(__xludf.DUMMYFUNCTION("importrange(""https://docs.google.com/spreadsheets/d/18m5o7TTSu_7OYCCZkDgwq90DUL-KY0ZOGTL75E5bkIs/edit?gid=0#gid=0"",""2025-26!v4"")"),820000.0)</f>
        <v>820000</v>
      </c>
      <c r="AS130" s="55">
        <f>IFERROR(__xludf.DUMMYFUNCTION("importrange(""https://docs.google.com/spreadsheets/d/18m5o7TTSu_7OYCCZkDgwq90DUL-KY0ZOGTL75E5bkIs/edit?gid=0#gid=0"",""2025-26!v3"")"),6.0)</f>
        <v>6</v>
      </c>
      <c r="AT130" s="57">
        <f>IFERROR(__xludf.DUMMYFUNCTION("importrange(""https://docs.google.com/spreadsheets/d/18m5o7TTSu_7OYCCZkDgwq90DUL-KY0ZOGTL75E5bkIs/edit?gid=0#gid=0"",""2025-26!w4"")"),2195100.9099999997)</f>
        <v>2195100.91</v>
      </c>
      <c r="AU130" s="55">
        <f>IFERROR(__xludf.DUMMYFUNCTION("importrange(""https://docs.google.com/spreadsheets/d/18m5o7TTSu_7OYCCZkDgwq90DUL-KY0ZOGTL75E5bkIs/edit?gid=0#gid=0"",""2025-26!w3"")"),20.0)</f>
        <v>20</v>
      </c>
      <c r="AV130" s="58">
        <f t="shared" si="22"/>
        <v>2.656688695</v>
      </c>
      <c r="AW130" s="55">
        <f>IFERROR(__xludf.DUMMYFUNCTION("importrange(""https://docs.google.com/spreadsheets/d/18m5o7TTSu_7OYCCZkDgwq90DUL-KY0ZOGTL75E5bkIs/edit?gid=0#gid=0"",""2025-26!x4"")"),2178484.7300000004)</f>
        <v>2178484.73</v>
      </c>
      <c r="AX130" s="55">
        <f>IFERROR(__xludf.DUMMYFUNCTION("importrange(""https://docs.google.com/spreadsheets/d/18m5o7TTSu_7OYCCZkDgwq90DUL-KY0ZOGTL75E5bkIs/edit?gid=0#gid=0"",""2025-26!x3"")"),18.0)</f>
        <v>18</v>
      </c>
      <c r="AY130" s="55">
        <f>IFERROR(__xludf.DUMMYFUNCTION("importrange(""https://docs.google.com/spreadsheets/d/18m5o7TTSu_7OYCCZkDgwq90DUL-KY0ZOGTL75E5bkIs/edit?gid=0#gid=0"",""2025-26!y4"")"),1045000.0)</f>
        <v>1045000</v>
      </c>
      <c r="AZ130" s="55">
        <f>IFERROR(__xludf.DUMMYFUNCTION("importrange(""https://docs.google.com/spreadsheets/d/18m5o7TTSu_7OYCCZkDgwq90DUL-KY0ZOGTL75E5bkIs/edit?gid=0#gid=0"",""2025-26!y3"")"),6.0)</f>
        <v>6</v>
      </c>
      <c r="BA130" s="57">
        <f>IFERROR(__xludf.DUMMYFUNCTION("importrange(""https://docs.google.com/spreadsheets/d/18m5o7TTSu_7OYCCZkDgwq90DUL-KY0ZOGTL75E5bkIs/edit?gid=0#gid=0"",""2025-26!z4"")"),2133677.5199999996)</f>
        <v>2133677.52</v>
      </c>
      <c r="BB130" s="55">
        <f>IFERROR(__xludf.DUMMYFUNCTION("importrange(""https://docs.google.com/spreadsheets/d/18m5o7TTSu_7OYCCZkDgwq90DUL-KY0ZOGTL75E5bkIs/edit?gid=0#gid=0"",""2025-26!z3"")"),21.0)</f>
        <v>21</v>
      </c>
      <c r="BC130" s="59">
        <f t="shared" si="23"/>
        <v>2.369677474</v>
      </c>
      <c r="BD130" s="55">
        <f>IFERROR(__xludf.DUMMYFUNCTION("importrange(""https://docs.google.com/spreadsheets/d/18m5o7TTSu_7OYCCZkDgwq90DUL-KY0ZOGTL75E5bkIs/edit?gid=0#gid=0"",""2025-26!aa4"")"),2476312.96)</f>
        <v>2476312.96</v>
      </c>
      <c r="BE130" s="55">
        <f>IFERROR(__xludf.DUMMYFUNCTION("importrange(""https://docs.google.com/spreadsheets/d/18m5o7TTSu_7OYCCZkDgwq90DUL-KY0ZOGTL75E5bkIs/edit?gid=0#gid=0"",""2025-26!aa3"")"),22.0)</f>
        <v>22</v>
      </c>
      <c r="BF130" s="55">
        <f>IFERROR(__xludf.DUMMYFUNCTION("importrange(""https://docs.google.com/spreadsheets/d/18m5o7TTSu_7OYCCZkDgwq90DUL-KY0ZOGTL75E5bkIs/edit?gid=0#gid=0"",""2025-26!ab4"")"),800000.0)</f>
        <v>800000</v>
      </c>
      <c r="BG130" s="55">
        <f>IFERROR(__xludf.DUMMYFUNCTION("importrange(""https://docs.google.com/spreadsheets/d/18m5o7TTSu_7OYCCZkDgwq90DUL-KY0ZOGTL75E5bkIs/edit?gid=0#gid=0"",""2025-26!ab3"")"),6.0)</f>
        <v>6</v>
      </c>
      <c r="BH130" s="55">
        <f>IFERROR(__xludf.DUMMYFUNCTION("importrange(""https://docs.google.com/spreadsheets/d/18m5o7TTSu_7OYCCZkDgwq90DUL-KY0ZOGTL75E5bkIs/edit?gid=0#gid=0"",""2025-26!ac4"")"),1978843.2599999998)</f>
        <v>1978843.26</v>
      </c>
      <c r="BI130" s="55">
        <f>IFERROR(__xludf.DUMMYFUNCTION("importrange(""https://docs.google.com/spreadsheets/d/18m5o7TTSu_7OYCCZkDgwq90DUL-KY0ZOGTL75E5bkIs/edit?gid=0#gid=0"",""2025-26!ac3"")"),29.0)</f>
        <v>29</v>
      </c>
      <c r="BJ130" s="59">
        <f t="shared" si="24"/>
        <v>1.955829238</v>
      </c>
      <c r="BK130" s="55">
        <f>IFERROR(__xludf.DUMMYFUNCTION("importrange(""https://docs.google.com/spreadsheets/d/18m5o7TTSu_7OYCCZkDgwq90DUL-KY0ZOGTL75E5bkIs/edit?gid=0#gid=0"",""2025-26!ad4"")"),1564663.39)</f>
        <v>1564663.39</v>
      </c>
      <c r="BL130" s="55">
        <f>IFERROR(__xludf.DUMMYFUNCTION("importrange(""https://docs.google.com/spreadsheets/d/18m5o7TTSu_7OYCCZkDgwq90DUL-KY0ZOGTL75E5bkIs/edit?gid=0#gid=0"",""2025-26!ad3"")"),20.0)</f>
        <v>20</v>
      </c>
      <c r="BM130" s="55">
        <f>IFERROR(__xludf.DUMMYFUNCTION("importrange(""https://docs.google.com/spreadsheets/d/18m5o7TTSu_7OYCCZkDgwq90DUL-KY0ZOGTL75E5bkIs/edit?gid=0#gid=0"",""2025-26!ae4"")"),1015000.0)</f>
        <v>1015000</v>
      </c>
      <c r="BN130" s="55">
        <f>IFERROR(__xludf.DUMMYFUNCTION("importrange(""https://docs.google.com/spreadsheets/d/18m5o7TTSu_7OYCCZkDgwq90DUL-KY0ZOGTL75E5bkIs/edit?gid=0#gid=0"",""2025-26!ae3"")"),6.0)</f>
        <v>6</v>
      </c>
      <c r="BO130" s="55">
        <f>IFERROR(__xludf.DUMMYFUNCTION("importrange(""https://docs.google.com/spreadsheets/d/18m5o7TTSu_7OYCCZkDgwq90DUL-KY0ZOGTL75E5bkIs/edit?gid=0#gid=0"",""2025-26!af4"")"),2223408.34)</f>
        <v>2223408.34</v>
      </c>
      <c r="BP130" s="55">
        <f>IFERROR(__xludf.DUMMYFUNCTION("importrange(""https://docs.google.com/spreadsheets/d/18m5o7TTSu_7OYCCZkDgwq90DUL-KY0ZOGTL75E5bkIs/edit?gid=0#gid=0"",""2025-26!af3"")"),24.0)</f>
        <v>24</v>
      </c>
      <c r="BQ130" s="59">
        <f t="shared" si="25"/>
        <v>2.200262246</v>
      </c>
      <c r="BR130" s="55">
        <f>IFERROR(__xludf.DUMMYFUNCTION("importrange(""https://docs.google.com/spreadsheets/d/18m5o7TTSu_7OYCCZkDgwq90DUL-KY0ZOGTL75E5bkIs/edit?gid=0#gid=0"",""2025-26!ag4"")"),2233266.18)</f>
        <v>2233266.18</v>
      </c>
      <c r="BS130" s="55">
        <f>IFERROR(__xludf.DUMMYFUNCTION("importrange(""https://docs.google.com/spreadsheets/d/18m5o7TTSu_7OYCCZkDgwq90DUL-KY0ZOGTL75E5bkIs/edit?gid=0#gid=0"",""2025-26!ag3"")"),24.0)</f>
        <v>24</v>
      </c>
      <c r="BT130" s="55">
        <f>IFERROR(__xludf.DUMMYFUNCTION("importrange(""https://docs.google.com/spreadsheets/d/18m5o7TTSu_7OYCCZkDgwq90DUL-KY0ZOGTL75E5bkIs/edit?gid=0#gid=0"",""2025-26!ah4"")"),920000.0)</f>
        <v>920000</v>
      </c>
      <c r="BU130" s="55">
        <f>IFERROR(__xludf.DUMMYFUNCTION("importrange(""https://docs.google.com/spreadsheets/d/18m5o7TTSu_7OYCCZkDgwq90DUL-KY0ZOGTL75E5bkIs/edit?gid=0#gid=0"",""2025-26!ah3"")"),6.0)</f>
        <v>6</v>
      </c>
      <c r="BV130" s="55">
        <f>IFERROR(__xludf.DUMMYFUNCTION("importrange(""https://docs.google.com/spreadsheets/d/18m5o7TTSu_7OYCCZkDgwq90DUL-KY0ZOGTL75E5bkIs/edit?gid=0#gid=0"",""2025-26!ai4"")"),2836715.5799999996)</f>
        <v>2836715.58</v>
      </c>
      <c r="BW130" s="55">
        <f>IFERROR(__xludf.DUMMYFUNCTION("importrange(""https://docs.google.com/spreadsheets/d/18m5o7TTSu_7OYCCZkDgwq90DUL-KY0ZOGTL75E5bkIs/edit?gid=0#gid=0"",""2025-26!ai3"")"),22.0)</f>
        <v>22</v>
      </c>
      <c r="BX130" s="59">
        <f t="shared" si="26"/>
        <v>3.98264462</v>
      </c>
      <c r="BY130" s="55">
        <f>IFERROR(__xludf.DUMMYFUNCTION("importrange(""https://docs.google.com/spreadsheets/d/18m5o7TTSu_7OYCCZkDgwq90DUL-KY0ZOGTL75E5bkIs/edit?gid=0#gid=0"",""2025-26!aj4"")"),3664033.05)</f>
        <v>3664033.05</v>
      </c>
      <c r="BZ130" s="55">
        <f>IFERROR(__xludf.DUMMYFUNCTION("importrange(""https://docs.google.com/spreadsheets/d/18m5o7TTSu_7OYCCZkDgwq90DUL-KY0ZOGTL75E5bkIs/edit?gid=0#gid=0"",""2025-26!aj3"")"),23.0)</f>
        <v>23</v>
      </c>
      <c r="CA130" s="55">
        <f>IFERROR(__xludf.DUMMYFUNCTION("importrange(""https://docs.google.com/spreadsheets/d/18m5o7TTSu_7OYCCZkDgwq90DUL-KY0ZOGTL75E5bkIs/edit?gid=0#gid=0"",""2025-26!ak4"")"),925000.0)</f>
        <v>925000</v>
      </c>
      <c r="CB130" s="55">
        <f>IFERROR(__xludf.DUMMYFUNCTION("importrange(""https://docs.google.com/spreadsheets/d/18m5o7TTSu_7OYCCZkDgwq90DUL-KY0ZOGTL75E5bkIs/edit?gid=0#gid=0"",""2025-26!ak3"")"),7.0)</f>
        <v>7</v>
      </c>
      <c r="CC130" s="55">
        <f>IFERROR(__xludf.DUMMYFUNCTION("importrange(""https://docs.google.com/spreadsheets/d/18m5o7TTSu_7OYCCZkDgwq90DUL-KY0ZOGTL75E5bkIs/edit?gid=0#gid=0"",""2025-26!al4"")"),3410517.84)</f>
        <v>3410517.84</v>
      </c>
      <c r="CD130" s="55">
        <f>IFERROR(__xludf.DUMMYFUNCTION("importrange(""https://docs.google.com/spreadsheets/d/18m5o7TTSu_7OYCCZkDgwq90DUL-KY0ZOGTL75E5bkIs/edit?gid=0#gid=0"",""2025-26!ai3"")"),22.0)</f>
        <v>22</v>
      </c>
      <c r="CE130" s="59">
        <f t="shared" si="27"/>
        <v>3.214746573</v>
      </c>
      <c r="CF130" s="55">
        <f>IFERROR(__xludf.DUMMYFUNCTION("importrange(""https://docs.google.com/spreadsheets/d/18m5o7TTSu_7OYCCZkDgwq90DUL-KY0ZOGTL75E5bkIs/edit?gid=0#gid=0"",""2025-26!am4"")"),2973640.58)</f>
        <v>2973640.58</v>
      </c>
      <c r="CG130" s="55">
        <f>IFERROR(__xludf.DUMMYFUNCTION("importrange(""https://docs.google.com/spreadsheets/d/18m5o7TTSu_7OYCCZkDgwq90DUL-KY0ZOGTL75E5bkIs/edit?gid=0#gid=0"",""2025-26!am3"")"),18.0)</f>
        <v>18</v>
      </c>
      <c r="CH130" s="55">
        <f>IFERROR(__xludf.DUMMYFUNCTION("importrange(""https://docs.google.com/spreadsheets/d/18m5o7TTSu_7OYCCZkDgwq90DUL-KY0ZOGTL75E5bkIs/edit?gid=0#gid=0"",""2025-26!an4"")"),1275000.0)</f>
        <v>1275000</v>
      </c>
      <c r="CI130" s="55">
        <f>IFERROR(__xludf.DUMMYFUNCTION("importrange(""https://docs.google.com/spreadsheets/d/18m5o7TTSu_7OYCCZkDgwq90DUL-KY0ZOGTL75E5bkIs/edit?gid=0#gid=0"",""2025-26!an3"")"),7.0)</f>
        <v>7</v>
      </c>
      <c r="CJ130" s="55">
        <f>IFERROR(__xludf.DUMMYFUNCTION("importrange(""https://docs.google.com/spreadsheets/d/18m5o7TTSu_7OYCCZkDgwq90DUL-KY0ZOGTL75E5bkIs/edit?gid=0#gid=0"",""2025-26!ao4"")"),2720252.0500000003)</f>
        <v>2720252.05</v>
      </c>
      <c r="CK130" s="55">
        <f>IFERROR(__xludf.DUMMYFUNCTION("importrange(""https://docs.google.com/spreadsheets/d/18m5o7TTSu_7OYCCZkDgwq90DUL-KY0ZOGTL75E5bkIs/edit?gid=0#gid=0"",""2025-26!ao3"")"),14.0)</f>
        <v>14</v>
      </c>
      <c r="CL130" s="59">
        <f t="shared" si="28"/>
        <v>2.110224816</v>
      </c>
      <c r="CM130" s="55">
        <f>IFERROR(__xludf.DUMMYFUNCTION("importrange(""https://docs.google.com/spreadsheets/d/18m5o7TTSu_7OYCCZkDgwq90DUL-KY0ZOGTL75E5bkIs/edit?gid=0#gid=0"",""2025-26!ap4"")"),2690536.6399999997)</f>
        <v>2690536.64</v>
      </c>
      <c r="CN130" s="55">
        <f>IFERROR(__xludf.DUMMYFUNCTION("importrange(""https://docs.google.com/spreadsheets/d/18m5o7TTSu_7OYCCZkDgwq90DUL-KY0ZOGTL75E5bkIs/edit?gid=0#gid=0"",""2025-26!ap3"")"),20.0)</f>
        <v>20</v>
      </c>
      <c r="CO130" s="55">
        <f>IFERROR(__xludf.DUMMYFUNCTION("importrange(""https://docs.google.com/spreadsheets/d/18m5o7TTSu_7OYCCZkDgwq90DUL-KY0ZOGTL75E5bkIs/edit?gid=0#gid=0"",""2025-26!aq4"")"),1260000.0)</f>
        <v>1260000</v>
      </c>
      <c r="CP130" s="55">
        <f>IFERROR(__xludf.DUMMYFUNCTION("importrange(""https://docs.google.com/spreadsheets/d/18m5o7TTSu_7OYCCZkDgwq90DUL-KY0ZOGTL75E5bkIs/edit?gid=0#gid=0"",""2025-26!aq3"")"),7.0)</f>
        <v>7</v>
      </c>
      <c r="CQ130" s="55">
        <f>IFERROR(__xludf.DUMMYFUNCTION("importrange(""https://docs.google.com/spreadsheets/d/18m5o7TTSu_7OYCCZkDgwq90DUL-KY0ZOGTL75E5bkIs/edit?gid=0#gid=0"",""2025-26!ar4"")"),5705081.8100000005)</f>
        <v>5705081.81</v>
      </c>
      <c r="CR130" s="55">
        <f>IFERROR(__xludf.DUMMYFUNCTION("importrange(""https://docs.google.com/spreadsheets/d/18m5o7TTSu_7OYCCZkDgwq90DUL-KY0ZOGTL75E5bkIs/edit?gid=0#gid=0"",""2025-26!ar3"")"),17.0)</f>
        <v>17</v>
      </c>
      <c r="CS130" s="59">
        <f t="shared" si="29"/>
        <v>6.590146492</v>
      </c>
      <c r="CT130" s="55">
        <f>IFERROR(__xludf.DUMMYFUNCTION("importrange(""https://docs.google.com/spreadsheets/d/18m5o7TTSu_7OYCCZkDgwq90DUL-KY0ZOGTL75E5bkIs/edit?gid=0#gid=0"",""2025-26!as4"")"),8303584.580000002)</f>
        <v>8303584.58</v>
      </c>
      <c r="CU130" s="55">
        <f>IFERROR(__xludf.DUMMYFUNCTION("importrange(""https://docs.google.com/spreadsheets/d/18m5o7TTSu_7OYCCZkDgwq90DUL-KY0ZOGTL75E5bkIs/edit?gid=0#gid=0"",""2025-26!as3"")"),23.0)</f>
        <v>23</v>
      </c>
      <c r="CV130" s="60" t="s">
        <v>189</v>
      </c>
    </row>
    <row r="131">
      <c r="A131" s="1" t="s">
        <v>185</v>
      </c>
      <c r="B131" s="37"/>
      <c r="C131" s="106" t="s">
        <v>285</v>
      </c>
      <c r="D131" s="83" t="s">
        <v>187</v>
      </c>
      <c r="E131" s="68">
        <v>9.33925785E9</v>
      </c>
      <c r="F131" s="107">
        <v>45817.0</v>
      </c>
      <c r="I131" s="53">
        <f>VLOOKUP($C131,Data!$C:$BV,34,0)</f>
        <v>32500</v>
      </c>
      <c r="J131" s="108">
        <v>1500000.0</v>
      </c>
      <c r="K131" s="57">
        <f>IFERROR(__xludf.DUMMYFUNCTION("IMPORTRANGE(""https://docs.google.com/spreadsheets/d/1RdylvZXl-yDfgXcLVoejtlCF0vSUFCYL9P78takYbNI/edit?gid=845831138#gid=845831138"",""2025-26!A3"")"),84.0)</f>
        <v>84</v>
      </c>
      <c r="L131" s="57">
        <f>IFERROR(__xludf.DUMMYFUNCTION("IMPORTRANGE(""https://docs.google.com/spreadsheets/d/1RdylvZXl-yDfgXcLVoejtlCF0vSUFCYL9P78takYbNI/edit?gid=845831138#gid=845831138"",""2025-26!G4"")"),0.0)</f>
        <v>0</v>
      </c>
      <c r="M131" s="57">
        <f t="shared" si="50"/>
        <v>4564361.16</v>
      </c>
      <c r="N131" s="56" t="str">
        <f t="shared" si="51"/>
        <v/>
      </c>
      <c r="O131" s="57">
        <f t="shared" si="52"/>
        <v>4094227</v>
      </c>
      <c r="P131" s="55">
        <f>IFERROR(__xludf.DUMMYFUNCTION("IMPORTRANGE(""https://docs.google.com/spreadsheets/d/1RdylvZXl-yDfgXcLVoejtlCF0vSUFCYL9P78takYbNI/edit?gid=845831138#gid=845831138"",""2025-26!J4"")"),0.0)</f>
        <v>0</v>
      </c>
      <c r="Q131" s="55">
        <f>IFERROR(__xludf.DUMMYFUNCTION("IMPORTRANGE(""https://docs.google.com/spreadsheets/d/1RdylvZXl-yDfgXcLVoejtlCF0vSUFCYL9P78takYbNI/edit?gid=845831138#gid=845831138"",""2025-26!J3"")"),0.0)</f>
        <v>0</v>
      </c>
      <c r="R131" s="55">
        <f>IFERROR(__xludf.DUMMYFUNCTION("IMPORTRANGE(""https://docs.google.com/spreadsheets/d/1RdylvZXl-yDfgXcLVoejtlCF0vSUFCYL9P78takYbNI/edit?gid=845831138#gid=845831138"",""2025-26!K4"")"),0.0)</f>
        <v>0</v>
      </c>
      <c r="S131" s="55">
        <f>IFERROR(__xludf.DUMMYFUNCTION("IMPORTRANGE(""https://docs.google.com/spreadsheets/d/1RdylvZXl-yDfgXcLVoejtlCF0vSUFCYL9P78takYbNI/edit?gid=845831138#gid=845831138"",""2025-26!K3"")"),0.0)</f>
        <v>0</v>
      </c>
      <c r="T131" s="58" t="str">
        <f t="shared" si="18"/>
        <v/>
      </c>
      <c r="U131" s="55">
        <f>IFERROR(__xludf.DUMMYFUNCTION("IMPORTRANGE(""https://docs.google.com/spreadsheets/d/1RdylvZXl-yDfgXcLVoejtlCF0vSUFCYL9P78takYbNI/edit?gid=845831138#gid=845831138"",""2025-26!L4"")"),0.0)</f>
        <v>0</v>
      </c>
      <c r="V131" s="79">
        <f>IFERROR(__xludf.DUMMYFUNCTION("IMPORTRANGE(""https://docs.google.com/spreadsheets/d/1RdylvZXl-yDfgXcLVoejtlCF0vSUFCYL9P78takYbNI/edit?gid=845831138#gid=845831138"",""2025-26!L3"")"),0.0)</f>
        <v>0</v>
      </c>
      <c r="W131" s="55">
        <f>IFERROR(__xludf.DUMMYFUNCTION("IMPORTRANGE(""https://docs.google.com/spreadsheets/d/1RdylvZXl-yDfgXcLVoejtlCF0vSUFCYL9P78takYbNI/edit?gid=845831138#gid=845831138"",""2025-26!M4"")"),0.0)</f>
        <v>0</v>
      </c>
      <c r="X131" s="79">
        <f>IFERROR(__xludf.DUMMYFUNCTION("IMPORTRANGE(""https://docs.google.com/spreadsheets/d/1RdylvZXl-yDfgXcLVoejtlCF0vSUFCYL9P78takYbNI/edit?gid=845831138#gid=845831138"",""2025-26!M3"")"),0.0)</f>
        <v>0</v>
      </c>
      <c r="Y131" s="55">
        <f>IFERROR(__xludf.DUMMYFUNCTION("importrange(""https://docs.google.com/spreadsheets/d/1RdylvZXl-yDfgXcLVoejtlCF0vSUFCYL9P78takYbNI/edit?gid=845831138#gid=845831138"",""2025-26!n4"")"),0.0)</f>
        <v>0</v>
      </c>
      <c r="Z131" s="55">
        <f>IFERROR(__xludf.DUMMYFUNCTION("importrange(""https://docs.google.com/spreadsheets/d/1RdylvZXl-yDfgXcLVoejtlCF0vSUFCYL9P78takYbNI/edit?gid=845831138#gid=845831138"",""2025-26!n3"")"),0.0)</f>
        <v>0</v>
      </c>
      <c r="AA131" s="58" t="str">
        <f t="shared" si="19"/>
        <v/>
      </c>
      <c r="AB131" s="55">
        <f>IFERROR(__xludf.DUMMYFUNCTION("importrange(""https://docs.google.com/spreadsheets/d/1RdylvZXl-yDfgXcLVoejtlCF0vSUFCYL9P78takYbNI/edit?gid=845831138#gid=845831138"",""2025-26!o4"")"),0.0)</f>
        <v>0</v>
      </c>
      <c r="AC131" s="55">
        <f>IFERROR(__xludf.DUMMYFUNCTION("importrange(""https://docs.google.com/spreadsheets/d/1RdylvZXl-yDfgXcLVoejtlCF0vSUFCYL9P78takYbNI/edit?gid=845831138#gid=845831138"",""2025-26!o3"")"),0.0)</f>
        <v>0</v>
      </c>
      <c r="AD131" s="55">
        <f>IFERROR(__xludf.DUMMYFUNCTION("importrange(""https://docs.google.com/spreadsheets/d/1RdylvZXl-yDfgXcLVoejtlCF0vSUFCYL9P78takYbNI/edit?gid=845831138#gid=845831138"",""2025-26!p4"")"),0.0)</f>
        <v>0</v>
      </c>
      <c r="AE131" s="55">
        <f>IFERROR(__xludf.DUMMYFUNCTION("importrange(""https://docs.google.com/spreadsheets/d/1RdylvZXl-yDfgXcLVoejtlCF0vSUFCYL9P78takYbNI/edit?gid=845831138#gid=845831138"",""2025-26!p3"")"),0.0)</f>
        <v>0</v>
      </c>
      <c r="AF131" s="55">
        <f>IFERROR(__xludf.DUMMYFUNCTION("importrange(""https://docs.google.com/spreadsheets/d/1RdylvZXl-yDfgXcLVoejtlCF0vSUFCYL9P78takYbNI/edit?gid=845831138#gid=845831138"",""2025-26!q4"")"),56499.0)</f>
        <v>56499</v>
      </c>
      <c r="AG131" s="55">
        <f>IFERROR(__xludf.DUMMYFUNCTION("importrange(""https://docs.google.com/spreadsheets/d/1RdylvZXl-yDfgXcLVoejtlCF0vSUFCYL9P78takYbNI/edit?gid=845831138#gid=845831138"",""2025-26!q3"")"),3.0)</f>
        <v>3</v>
      </c>
      <c r="AH131" s="58" t="str">
        <f t="shared" si="20"/>
        <v/>
      </c>
      <c r="AI131" s="55">
        <f>IFERROR(__xludf.DUMMYFUNCTION("importrange(""https://docs.google.com/spreadsheets/d/1RdylvZXl-yDfgXcLVoejtlCF0vSUFCYL9P78takYbNI/edit?gid=845831138#gid=845831138"",""2025-26!r4"")"),51625.0)</f>
        <v>51625</v>
      </c>
      <c r="AJ131" s="55">
        <f>IFERROR(__xludf.DUMMYFUNCTION("importrange(""https://docs.google.com/spreadsheets/d/1RdylvZXl-yDfgXcLVoejtlCF0vSUFCYL9P78takYbNI/edit?gid=845831138#gid=845831138"",""2025-26!r3"")"),3.0)</f>
        <v>3</v>
      </c>
      <c r="AK131" s="55">
        <f>IFERROR(__xludf.DUMMYFUNCTION("importrange(""https://docs.google.com/spreadsheets/d/1RdylvZXl-yDfgXcLVoejtlCF0vSUFCYL9P78takYbNI/edit?gid=845831138#gid=845831138"",""2025-26!s4"")"),0.0)</f>
        <v>0</v>
      </c>
      <c r="AL131" s="55">
        <f>IFERROR(__xludf.DUMMYFUNCTION("importrange(""https://docs.google.com/spreadsheets/d/1RdylvZXl-yDfgXcLVoejtlCF0vSUFCYL9P78takYbNI/edit?gid=845831138#gid=845831138"",""2025-26!s3"")"),0.0)</f>
        <v>0</v>
      </c>
      <c r="AM131" s="57">
        <f>IFERROR(__xludf.DUMMYFUNCTION("importrange(""https://docs.google.com/spreadsheets/d/1RdylvZXl-yDfgXcLVoejtlCF0vSUFCYL9P78takYbNI/edit?gid=845831138#gid=845831138"",""2025-26!t4"")"),218573.88999999998)</f>
        <v>218573.89</v>
      </c>
      <c r="AN131" s="55">
        <f>IFERROR(__xludf.DUMMYFUNCTION("importrange(""https://docs.google.com/spreadsheets/d/1RdylvZXl-yDfgXcLVoejtlCF0vSUFCYL9P78takYbNI/edit?gid=845831138#gid=845831138"",""2025-26!t3"")"),10.0)</f>
        <v>10</v>
      </c>
      <c r="AO131" s="58" t="str">
        <f t="shared" si="21"/>
        <v/>
      </c>
      <c r="AP131" s="55">
        <f>IFERROR(__xludf.DUMMYFUNCTION("importrange(""https://docs.google.com/spreadsheets/d/1RdylvZXl-yDfgXcLVoejtlCF0vSUFCYL9P78takYbNI/edit?gid=845831138#gid=845831138"",""2025-26!u4"")"),245537.0)</f>
        <v>245537</v>
      </c>
      <c r="AQ131" s="55">
        <f>IFERROR(__xludf.DUMMYFUNCTION("importrange(""https://docs.google.com/spreadsheets/d/1RdylvZXl-yDfgXcLVoejtlCF0vSUFCYL9P78takYbNI/edit?gid=845831138#gid=845831138"",""2025-26!u3"")"),10.0)</f>
        <v>10</v>
      </c>
      <c r="AR131" s="55">
        <f>IFERROR(__xludf.DUMMYFUNCTION("importrange(""https://docs.google.com/spreadsheets/d/1RdylvZXl-yDfgXcLVoejtlCF0vSUFCYL9P78takYbNI/edit?gid=845831138#gid=845831138"",""2025-26!v4"")"),0.0)</f>
        <v>0</v>
      </c>
      <c r="AS131" s="55">
        <f>IFERROR(__xludf.DUMMYFUNCTION("importrange(""https://docs.google.com/spreadsheets/d/1RdylvZXl-yDfgXcLVoejtlCF0vSUFCYL9P78takYbNI/edit?gid=845831138#gid=845831138"",""2025-26!v3"")"),0.0)</f>
        <v>0</v>
      </c>
      <c r="AT131" s="57">
        <f>IFERROR(__xludf.DUMMYFUNCTION("importrange(""https://docs.google.com/spreadsheets/d/1RdylvZXl-yDfgXcLVoejtlCF0vSUFCYL9P78takYbNI/edit?gid=845831138#gid=845831138"",""2025-26!w4"")"),399392.57)</f>
        <v>399392.57</v>
      </c>
      <c r="AU131" s="55">
        <f>IFERROR(__xludf.DUMMYFUNCTION("importrange(""https://docs.google.com/spreadsheets/d/1RdylvZXl-yDfgXcLVoejtlCF0vSUFCYL9P78takYbNI/edit?gid=845831138#gid=845831138"",""2025-26!w3"")"),9.0)</f>
        <v>9</v>
      </c>
      <c r="AV131" s="58" t="str">
        <f t="shared" si="22"/>
        <v/>
      </c>
      <c r="AW131" s="55">
        <f>IFERROR(__xludf.DUMMYFUNCTION("importrange(""https://docs.google.com/spreadsheets/d/1RdylvZXl-yDfgXcLVoejtlCF0vSUFCYL9P78takYbNI/edit?gid=845831138#gid=845831138"",""2025-26!x4"")"),165993.0)</f>
        <v>165993</v>
      </c>
      <c r="AX131" s="55">
        <f>IFERROR(__xludf.DUMMYFUNCTION("importrange(""https://docs.google.com/spreadsheets/d/1RdylvZXl-yDfgXcLVoejtlCF0vSUFCYL9P78takYbNI/edit?gid=845831138#gid=845831138"",""2025-26!x3"")"),7.0)</f>
        <v>7</v>
      </c>
      <c r="AY131" s="55">
        <f>IFERROR(__xludf.DUMMYFUNCTION("importrange(""https://docs.google.com/spreadsheets/d/1RdylvZXl-yDfgXcLVoejtlCF0vSUFCYL9P78takYbNI/edit?gid=845831138#gid=845831138"",""2025-26!y4"")"),0.0)</f>
        <v>0</v>
      </c>
      <c r="AZ131" s="55">
        <f>IFERROR(__xludf.DUMMYFUNCTION("importrange(""https://docs.google.com/spreadsheets/d/1RdylvZXl-yDfgXcLVoejtlCF0vSUFCYL9P78takYbNI/edit?gid=845831138#gid=845831138"",""2025-26!y3"")"),0.0)</f>
        <v>0</v>
      </c>
      <c r="BA131" s="57">
        <f>IFERROR(__xludf.DUMMYFUNCTION("importrange(""https://docs.google.com/spreadsheets/d/1RdylvZXl-yDfgXcLVoejtlCF0vSUFCYL9P78takYbNI/edit?gid=845831138#gid=845831138"",""2025-26!z4"")"),388515.01999999996)</f>
        <v>388515.02</v>
      </c>
      <c r="BB131" s="55">
        <f>IFERROR(__xludf.DUMMYFUNCTION("importrange(""https://docs.google.com/spreadsheets/d/1RdylvZXl-yDfgXcLVoejtlCF0vSUFCYL9P78takYbNI/edit?gid=845831138#gid=845831138"",""2025-26!z3"")"),12.0)</f>
        <v>12</v>
      </c>
      <c r="BC131" s="59" t="str">
        <f t="shared" si="23"/>
        <v/>
      </c>
      <c r="BD131" s="55">
        <f>IFERROR(__xludf.DUMMYFUNCTION("importrange(""https://docs.google.com/spreadsheets/d/1RdylvZXl-yDfgXcLVoejtlCF0vSUFCYL9P78takYbNI/edit?gid=845831138#gid=845831138"",""2025-26!aa4"")"),418338.0)</f>
        <v>418338</v>
      </c>
      <c r="BE131" s="55">
        <f>IFERROR(__xludf.DUMMYFUNCTION("importrange(""https://docs.google.com/spreadsheets/d/1RdylvZXl-yDfgXcLVoejtlCF0vSUFCYL9P78takYbNI/edit?gid=845831138#gid=845831138"",""2025-26!aa3"")"),12.0)</f>
        <v>12</v>
      </c>
      <c r="BF131" s="55">
        <f>IFERROR(__xludf.DUMMYFUNCTION("importrange(""https://docs.google.com/spreadsheets/d/1RdylvZXl-yDfgXcLVoejtlCF0vSUFCYL9P78takYbNI/edit?gid=845831138#gid=845831138"",""2025-26!ab4"")"),0.0)</f>
        <v>0</v>
      </c>
      <c r="BG131" s="55">
        <f>IFERROR(__xludf.DUMMYFUNCTION("importrange(""https://docs.google.com/spreadsheets/d/1RdylvZXl-yDfgXcLVoejtlCF0vSUFCYL9P78takYbNI/edit?gid=845831138#gid=845831138"",""2025-26!ab3"")"),0.0)</f>
        <v>0</v>
      </c>
      <c r="BH131" s="55">
        <f>IFERROR(__xludf.DUMMYFUNCTION("importrange(""https://docs.google.com/spreadsheets/d/1RdylvZXl-yDfgXcLVoejtlCF0vSUFCYL9P78takYbNI/edit?gid=845831138#gid=845831138"",""2025-26!ac4"")"),280431.99)</f>
        <v>280431.99</v>
      </c>
      <c r="BI131" s="55">
        <f>IFERROR(__xludf.DUMMYFUNCTION("importrange(""https://docs.google.com/spreadsheets/d/1RdylvZXl-yDfgXcLVoejtlCF0vSUFCYL9P78takYbNI/edit?gid=845831138#gid=845831138"",""2025-26!ac3"")"),10.0)</f>
        <v>10</v>
      </c>
      <c r="BJ131" s="59" t="str">
        <f t="shared" si="24"/>
        <v/>
      </c>
      <c r="BK131" s="55">
        <f>IFERROR(__xludf.DUMMYFUNCTION("importrange(""https://docs.google.com/spreadsheets/d/1RdylvZXl-yDfgXcLVoejtlCF0vSUFCYL9P78takYbNI/edit?gid=845831138#gid=845831138"",""2025-26!ad4"")"),290613.0)</f>
        <v>290613</v>
      </c>
      <c r="BL131" s="55">
        <f>IFERROR(__xludf.DUMMYFUNCTION("importrange(""https://docs.google.com/spreadsheets/d/1RdylvZXl-yDfgXcLVoejtlCF0vSUFCYL9P78takYbNI/edit?gid=845831138#gid=845831138"",""2025-26!ad3"")"),12.0)</f>
        <v>12</v>
      </c>
      <c r="BM131" s="55">
        <f>IFERROR(__xludf.DUMMYFUNCTION("importrange(""https://docs.google.com/spreadsheets/d/1RdylvZXl-yDfgXcLVoejtlCF0vSUFCYL9P78takYbNI/edit?gid=845831138#gid=845831138"",""2025-26!ae4"")"),0.0)</f>
        <v>0</v>
      </c>
      <c r="BN131" s="55">
        <f>IFERROR(__xludf.DUMMYFUNCTION("importrange(""https://docs.google.com/spreadsheets/d/1RdylvZXl-yDfgXcLVoejtlCF0vSUFCYL9P78takYbNI/edit?gid=845831138#gid=845831138"",""2025-26!ae3"")"),0.0)</f>
        <v>0</v>
      </c>
      <c r="BO131" s="55">
        <f>IFERROR(__xludf.DUMMYFUNCTION("importrange(""https://docs.google.com/spreadsheets/d/1RdylvZXl-yDfgXcLVoejtlCF0vSUFCYL9P78takYbNI/edit?gid=845831138#gid=845831138"",""2025-26!af4"")"),475842.26000000007)</f>
        <v>475842.26</v>
      </c>
      <c r="BP131" s="55">
        <f>IFERROR(__xludf.DUMMYFUNCTION("importrange(""https://docs.google.com/spreadsheets/d/1RdylvZXl-yDfgXcLVoejtlCF0vSUFCYL9P78takYbNI/edit?gid=845831138#gid=845831138"",""2025-26!af3"")"),11.0)</f>
        <v>11</v>
      </c>
      <c r="BQ131" s="59" t="str">
        <f t="shared" si="25"/>
        <v/>
      </c>
      <c r="BR131" s="55">
        <f>IFERROR(__xludf.DUMMYFUNCTION("importrange(""https://docs.google.com/spreadsheets/d/1RdylvZXl-yDfgXcLVoejtlCF0vSUFCYL9P78takYbNI/edit?gid=845831138#gid=845831138"",""2025-26!ag4"")"),424186.0)</f>
        <v>424186</v>
      </c>
      <c r="BS131" s="55">
        <f>IFERROR(__xludf.DUMMYFUNCTION("importrange(""https://docs.google.com/spreadsheets/d/1RdylvZXl-yDfgXcLVoejtlCF0vSUFCYL9P78takYbNI/edit?gid=845831138#gid=845831138"",""2025-26!ag3"")"),11.0)</f>
        <v>11</v>
      </c>
      <c r="BT131" s="55">
        <f>IFERROR(__xludf.DUMMYFUNCTION("importrange(""https://docs.google.com/spreadsheets/d/1RdylvZXl-yDfgXcLVoejtlCF0vSUFCYL9P78takYbNI/edit?gid=845831138#gid=845831138"",""2025-26!ah4"")"),0.0)</f>
        <v>0</v>
      </c>
      <c r="BU131" s="55">
        <f>IFERROR(__xludf.DUMMYFUNCTION("importrange(""https://docs.google.com/spreadsheets/d/1RdylvZXl-yDfgXcLVoejtlCF0vSUFCYL9P78takYbNI/edit?gid=845831138#gid=845831138"",""2025-26!ah3"")"),0.0)</f>
        <v>0</v>
      </c>
      <c r="BV131" s="55">
        <f>IFERROR(__xludf.DUMMYFUNCTION("importrange(""https://docs.google.com/spreadsheets/d/1RdylvZXl-yDfgXcLVoejtlCF0vSUFCYL9P78takYbNI/edit?gid=845831138#gid=845831138"",""2025-26!ai4"")"),746456.6900000001)</f>
        <v>746456.69</v>
      </c>
      <c r="BW131" s="55">
        <f>IFERROR(__xludf.DUMMYFUNCTION("importrange(""https://docs.google.com/spreadsheets/d/1RdylvZXl-yDfgXcLVoejtlCF0vSUFCYL9P78takYbNI/edit?gid=845831138#gid=845831138"",""2025-26!ai3"")"),17.0)</f>
        <v>17</v>
      </c>
      <c r="BX131" s="59" t="str">
        <f t="shared" si="26"/>
        <v/>
      </c>
      <c r="BY131" s="55">
        <f>IFERROR(__xludf.DUMMYFUNCTION("importrange(""https://docs.google.com/spreadsheets/d/1RdylvZXl-yDfgXcLVoejtlCF0vSUFCYL9P78takYbNI/edit?gid=845831138#gid=845831138"",""2025-26!aj4"")"),659176.0)</f>
        <v>659176</v>
      </c>
      <c r="BZ131" s="55">
        <f>IFERROR(__xludf.DUMMYFUNCTION("importrange(""https://docs.google.com/spreadsheets/d/1RdylvZXl-yDfgXcLVoejtlCF0vSUFCYL9P78takYbNI/edit?gid=845831138#gid=845831138"",""2025-26!aj3"")"),18.0)</f>
        <v>18</v>
      </c>
      <c r="CA131" s="55">
        <f>IFERROR(__xludf.DUMMYFUNCTION("importrange(""https://docs.google.com/spreadsheets/d/1RdylvZXl-yDfgXcLVoejtlCF0vSUFCYL9P78takYbNI/edit?gid=845831138#gid=845831138"",""2025-26!ak4"")"),0.0)</f>
        <v>0</v>
      </c>
      <c r="CB131" s="55">
        <f>IFERROR(__xludf.DUMMYFUNCTION("importrange(""https://docs.google.com/spreadsheets/d/1RdylvZXl-yDfgXcLVoejtlCF0vSUFCYL9P78takYbNI/edit?gid=845831138#gid=845831138"",""2025-26!ak3"")"),0.0)</f>
        <v>0</v>
      </c>
      <c r="CC131" s="55">
        <f>IFERROR(__xludf.DUMMYFUNCTION("importrange(""https://docs.google.com/spreadsheets/d/1RdylvZXl-yDfgXcLVoejtlCF0vSUFCYL9P78takYbNI/edit?gid=845831138#gid=845831138"",""2025-26!al4"")"),753040.53)</f>
        <v>753040.53</v>
      </c>
      <c r="CD131" s="55">
        <f>IFERROR(__xludf.DUMMYFUNCTION("importrange(""https://docs.google.com/spreadsheets/d/1RdylvZXl-yDfgXcLVoejtlCF0vSUFCYL9P78takYbNI/edit?gid=845831138#gid=845831138"",""2025-26!ai3"")"),17.0)</f>
        <v>17</v>
      </c>
      <c r="CE131" s="59" t="str">
        <f t="shared" si="27"/>
        <v/>
      </c>
      <c r="CF131" s="55">
        <f>IFERROR(__xludf.DUMMYFUNCTION("importrange(""https://docs.google.com/spreadsheets/d/1RdylvZXl-yDfgXcLVoejtlCF0vSUFCYL9P78takYbNI/edit?gid=845831138#gid=845831138"",""2025-26!am4"")"),688603.0)</f>
        <v>688603</v>
      </c>
      <c r="CG131" s="55">
        <f>IFERROR(__xludf.DUMMYFUNCTION("importrange(""https://docs.google.com/spreadsheets/d/1RdylvZXl-yDfgXcLVoejtlCF0vSUFCYL9P78takYbNI/edit?gid=845831138#gid=845831138"",""2025-26!am3"")"),16.0)</f>
        <v>16</v>
      </c>
      <c r="CH131" s="55">
        <f>IFERROR(__xludf.DUMMYFUNCTION("importrange(""https://docs.google.com/spreadsheets/d/1RdylvZXl-yDfgXcLVoejtlCF0vSUFCYL9P78takYbNI/edit?gid=845831138#gid=845831138"",""2025-26!an4"")"),0.0)</f>
        <v>0</v>
      </c>
      <c r="CI131" s="55">
        <f>IFERROR(__xludf.DUMMYFUNCTION("importrange(""https://docs.google.com/spreadsheets/d/1RdylvZXl-yDfgXcLVoejtlCF0vSUFCYL9P78takYbNI/edit?gid=845831138#gid=845831138"",""2025-26!an3"")"),0.0)</f>
        <v>0</v>
      </c>
      <c r="CJ131" s="55">
        <f>IFERROR(__xludf.DUMMYFUNCTION("importrange(""https://docs.google.com/spreadsheets/d/1RdylvZXl-yDfgXcLVoejtlCF0vSUFCYL9P78takYbNI/edit?gid=845831138#gid=845831138"",""2025-26!ao4"")"),473918.48)</f>
        <v>473918.48</v>
      </c>
      <c r="CK131" s="55">
        <f>IFERROR(__xludf.DUMMYFUNCTION("importrange(""https://docs.google.com/spreadsheets/d/1RdylvZXl-yDfgXcLVoejtlCF0vSUFCYL9P78takYbNI/edit?gid=845831138#gid=845831138"",""2025-26!ao3"")"),10.0)</f>
        <v>10</v>
      </c>
      <c r="CL131" s="59" t="str">
        <f t="shared" si="28"/>
        <v/>
      </c>
      <c r="CM131" s="55">
        <f>IFERROR(__xludf.DUMMYFUNCTION("importrange(""https://docs.google.com/spreadsheets/d/1RdylvZXl-yDfgXcLVoejtlCF0vSUFCYL9P78takYbNI/edit?gid=845831138#gid=845831138"",""2025-26!ap4"")"),789017.0)</f>
        <v>789017</v>
      </c>
      <c r="CN131" s="55">
        <f>IFERROR(__xludf.DUMMYFUNCTION("importrange(""https://docs.google.com/spreadsheets/d/1RdylvZXl-yDfgXcLVoejtlCF0vSUFCYL9P78takYbNI/edit?gid=845831138#gid=845831138"",""2025-26!ap3"")"),15.0)</f>
        <v>15</v>
      </c>
      <c r="CO131" s="55">
        <f>IFERROR(__xludf.DUMMYFUNCTION("importrange(""https://docs.google.com/spreadsheets/d/1RdylvZXl-yDfgXcLVoejtlCF0vSUFCYL9P78takYbNI/edit?gid=845831138#gid=845831138"",""2025-26!aq4"")"),0.0)</f>
        <v>0</v>
      </c>
      <c r="CP131" s="55">
        <f>IFERROR(__xludf.DUMMYFUNCTION("importrange(""https://docs.google.com/spreadsheets/d/1RdylvZXl-yDfgXcLVoejtlCF0vSUFCYL9P78takYbNI/edit?gid=845831138#gid=845831138"",""2025-26!aq3"")"),0.0)</f>
        <v>0</v>
      </c>
      <c r="CQ131" s="55">
        <f>IFERROR(__xludf.DUMMYFUNCTION("importrange(""https://docs.google.com/spreadsheets/d/1RdylvZXl-yDfgXcLVoejtlCF0vSUFCYL9P78takYbNI/edit?gid=845831138#gid=845831138"",""2025-26!ar4"")"),771690.73)</f>
        <v>771690.73</v>
      </c>
      <c r="CR131" s="55">
        <f>IFERROR(__xludf.DUMMYFUNCTION("importrange(""https://docs.google.com/spreadsheets/d/1RdylvZXl-yDfgXcLVoejtlCF0vSUFCYL9P78takYbNI/edit?gid=845831138#gid=845831138"",""2025-26!ar3"")"),8.0)</f>
        <v>8</v>
      </c>
      <c r="CS131" s="59" t="str">
        <f t="shared" si="29"/>
        <v/>
      </c>
      <c r="CT131" s="55">
        <f>IFERROR(__xludf.DUMMYFUNCTION("importrange(""https://docs.google.com/spreadsheets/d/1RdylvZXl-yDfgXcLVoejtlCF0vSUFCYL9P78takYbNI/edit?gid=845831138#gid=845831138"",""2025-26!as4"")"),361139.0)</f>
        <v>361139</v>
      </c>
      <c r="CU131" s="55">
        <f>IFERROR(__xludf.DUMMYFUNCTION("importrange(""https://docs.google.com/spreadsheets/d/1RdylvZXl-yDfgXcLVoejtlCF0vSUFCYL9P78takYbNI/edit?gid=845831138#gid=845831138"",""2025-26!as3"")"),8.0)</f>
        <v>8</v>
      </c>
      <c r="CV131" s="60" t="s">
        <v>189</v>
      </c>
    </row>
    <row r="132">
      <c r="A132" s="1" t="s">
        <v>185</v>
      </c>
      <c r="B132" s="37"/>
      <c r="C132" s="109" t="s">
        <v>286</v>
      </c>
      <c r="D132" s="49" t="s">
        <v>287</v>
      </c>
      <c r="E132" s="50">
        <v>7.362950731E9</v>
      </c>
      <c r="F132" s="82">
        <v>45845.0</v>
      </c>
      <c r="I132" s="83">
        <v>24120.0</v>
      </c>
      <c r="J132" s="54">
        <v>2000000.0</v>
      </c>
      <c r="K132" s="57">
        <f>IFERROR(__xludf.DUMMYFUNCTION("IMPORTRANGE(""https://docs.google.com/spreadsheets/d/1s5jMeCFSNsddGLPhXVD2iHrblkJkWFU40qIKlTc8-ng/edit?gid=1679663775#gid=1679663775"",""2025-26!A3"")"),64.0)</f>
        <v>64</v>
      </c>
      <c r="L132" s="57">
        <f>IFERROR(__xludf.DUMMYFUNCTION("IMPORTRANGE(""https://docs.google.com/spreadsheets/d/1s5jMeCFSNsddGLPhXVD2iHrblkJkWFU40qIKlTc8-ng/edit?gid=1679663775#gid=1679663775"",""2025-26!G4"")"),0.0)</f>
        <v>0</v>
      </c>
      <c r="M132" s="57">
        <f t="shared" si="50"/>
        <v>14689717.78</v>
      </c>
      <c r="N132" s="56" t="str">
        <f t="shared" si="51"/>
        <v/>
      </c>
      <c r="O132" s="57">
        <f t="shared" si="52"/>
        <v>17523182</v>
      </c>
      <c r="P132" s="55">
        <f>IFERROR(__xludf.DUMMYFUNCTION("IMPORTRANGE(""https://docs.google.com/spreadsheets/d/1s5jMeCFSNsddGLPhXVD2iHrblkJkWFU40qIKlTc8-ng/edit?gid=1679663775#gid=1679663775"",""2025-26!J4"")"),0.0)</f>
        <v>0</v>
      </c>
      <c r="Q132" s="55">
        <f>IFERROR(__xludf.DUMMYFUNCTION("IMPORTRANGE(""https://docs.google.com/spreadsheets/d/1s5jMeCFSNsddGLPhXVD2iHrblkJkWFU40qIKlTc8-ng/edit?gid=1679663775#gid=1679663775"",""2025-26!J3"")"),0.0)</f>
        <v>0</v>
      </c>
      <c r="R132" s="55">
        <f>IFERROR(__xludf.DUMMYFUNCTION("IMPORTRANGE(""https://docs.google.com/spreadsheets/d/1s5jMeCFSNsddGLPhXVD2iHrblkJkWFU40qIKlTc8-ng/edit?gid=1679663775#gid=1679663775"",""2025-26!K4"")"),0.0)</f>
        <v>0</v>
      </c>
      <c r="S132" s="55">
        <f>IFERROR(__xludf.DUMMYFUNCTION("IMPORTRANGE(""https://docs.google.com/spreadsheets/d/1s5jMeCFSNsddGLPhXVD2iHrblkJkWFU40qIKlTc8-ng/edit?gid=1679663775#gid=1679663775"",""2025-26!K3"")"),0.0)</f>
        <v>0</v>
      </c>
      <c r="T132" s="58" t="str">
        <f t="shared" si="18"/>
        <v/>
      </c>
      <c r="U132" s="55">
        <f>IFERROR(__xludf.DUMMYFUNCTION("IMPORTRANGE(""https://docs.google.com/spreadsheets/d/1s5jMeCFSNsddGLPhXVD2iHrblkJkWFU40qIKlTc8-ng/edit?gid=1679663775#gid=1679663775"",""2025-26!L4"")"),0.0)</f>
        <v>0</v>
      </c>
      <c r="V132" s="79">
        <f>IFERROR(__xludf.DUMMYFUNCTION("IMPORTRANGE(""https://docs.google.com/spreadsheets/d/1s5jMeCFSNsddGLPhXVD2iHrblkJkWFU40qIKlTc8-ng/edit?gid=1679663775#gid=1679663775"",""2025-26!L3"")"),0.0)</f>
        <v>0</v>
      </c>
      <c r="W132" s="55">
        <f>IFERROR(__xludf.DUMMYFUNCTION("IMPORTRANGE(""https://docs.google.com/spreadsheets/d/1s5jMeCFSNsddGLPhXVD2iHrblkJkWFU40qIKlTc8-ng/edit?gid=1679663775#gid=1679663775"",""2025-26!M4"")"),0.0)</f>
        <v>0</v>
      </c>
      <c r="X132" s="79">
        <f>IFERROR(__xludf.DUMMYFUNCTION("IMPORTRANGE(""https://docs.google.com/spreadsheets/d/1s5jMeCFSNsddGLPhXVD2iHrblkJkWFU40qIKlTc8-ng/edit?gid=1679663775#gid=1679663775"",""2025-26!M3"")"),0.0)</f>
        <v>0</v>
      </c>
      <c r="Y132" s="55">
        <f>IFERROR(__xludf.DUMMYFUNCTION("importrange(""https://docs.google.com/spreadsheets/d/1s5jMeCFSNsddGLPhXVD2iHrblkJkWFU40qIKlTc8-ng/edit?gid=1679663775#gid=1679663775"",""2025-26!n4"")"),0.0)</f>
        <v>0</v>
      </c>
      <c r="Z132" s="55">
        <f>IFERROR(__xludf.DUMMYFUNCTION("importrange(""https://docs.google.com/spreadsheets/d/1s5jMeCFSNsddGLPhXVD2iHrblkJkWFU40qIKlTc8-ng/edit?gid=1679663775#gid=1679663775"",""2025-26!n3"")"),0.0)</f>
        <v>0</v>
      </c>
      <c r="AA132" s="58" t="str">
        <f t="shared" si="19"/>
        <v/>
      </c>
      <c r="AB132" s="55">
        <f>IFERROR(__xludf.DUMMYFUNCTION("importrange(""https://docs.google.com/spreadsheets/d/1s5jMeCFSNsddGLPhXVD2iHrblkJkWFU40qIKlTc8-ng/edit?gid=1679663775#gid=1679663775"",""2025-26!o4"")"),0.0)</f>
        <v>0</v>
      </c>
      <c r="AC132" s="55">
        <f>IFERROR(__xludf.DUMMYFUNCTION("importrange(""https://docs.google.com/spreadsheets/d/1s5jMeCFSNsddGLPhXVD2iHrblkJkWFU40qIKlTc8-ng/edit?gid=1679663775#gid=1679663775"",""2025-26!o3"")"),0.0)</f>
        <v>0</v>
      </c>
      <c r="AD132" s="55">
        <f>IFERROR(__xludf.DUMMYFUNCTION("importrange(""https://docs.google.com/spreadsheets/d/1s5jMeCFSNsddGLPhXVD2iHrblkJkWFU40qIKlTc8-ng/edit?gid=1679663775#gid=1679663775"",""2025-26!p4"")"),0.0)</f>
        <v>0</v>
      </c>
      <c r="AE132" s="55">
        <f>IFERROR(__xludf.DUMMYFUNCTION("importrange(""https://docs.google.com/spreadsheets/d/1s5jMeCFSNsddGLPhXVD2iHrblkJkWFU40qIKlTc8-ng/edit?gid=1679663775#gid=1679663775"",""2025-26!p3"")"),0.0)</f>
        <v>0</v>
      </c>
      <c r="AF132" s="55">
        <f>IFERROR(__xludf.DUMMYFUNCTION("importrange(""https://docs.google.com/spreadsheets/d/1s5jMeCFSNsddGLPhXVD2iHrblkJkWFU40qIKlTc8-ng/edit?gid=1679663775#gid=1679663775"",""2025-26!q4"")"),0.0)</f>
        <v>0</v>
      </c>
      <c r="AG132" s="55">
        <f>IFERROR(__xludf.DUMMYFUNCTION("importrange(""https://docs.google.com/spreadsheets/d/1s5jMeCFSNsddGLPhXVD2iHrblkJkWFU40qIKlTc8-ng/edit?gid=1679663775#gid=1679663775"",""2025-26!q3"")"),0.0)</f>
        <v>0</v>
      </c>
      <c r="AH132" s="58" t="str">
        <f t="shared" si="20"/>
        <v/>
      </c>
      <c r="AI132" s="55">
        <f>IFERROR(__xludf.DUMMYFUNCTION("importrange(""https://docs.google.com/spreadsheets/d/1s5jMeCFSNsddGLPhXVD2iHrblkJkWFU40qIKlTc8-ng/edit?gid=1679663775#gid=1679663775"",""2025-26!r4"")"),0.0)</f>
        <v>0</v>
      </c>
      <c r="AJ132" s="55">
        <f>IFERROR(__xludf.DUMMYFUNCTION("importrange(""https://docs.google.com/spreadsheets/d/1s5jMeCFSNsddGLPhXVD2iHrblkJkWFU40qIKlTc8-ng/edit?gid=1679663775#gid=1679663775"",""2025-26!r3"")"),0.0)</f>
        <v>0</v>
      </c>
      <c r="AK132" s="55">
        <f>IFERROR(__xludf.DUMMYFUNCTION("importrange(""https://docs.google.com/spreadsheets/d/1s5jMeCFSNsddGLPhXVD2iHrblkJkWFU40qIKlTc8-ng/edit?gid=1679663775#gid=1679663775"",""2025-26!s4"")"),1500006.0)</f>
        <v>1500006</v>
      </c>
      <c r="AL132" s="55">
        <f>IFERROR(__xludf.DUMMYFUNCTION("importrange(""https://docs.google.com/spreadsheets/d/1s5jMeCFSNsddGLPhXVD2iHrblkJkWFU40qIKlTc8-ng/edit?gid=1679663775#gid=1679663775"",""2025-26!s3"")"),23.0)</f>
        <v>23</v>
      </c>
      <c r="AM132" s="57">
        <f>IFERROR(__xludf.DUMMYFUNCTION("importrange(""https://docs.google.com/spreadsheets/d/1s5jMeCFSNsddGLPhXVD2iHrblkJkWFU40qIKlTc8-ng/edit?gid=1679663775#gid=1679663775"",""2025-26!t4"")"),261110.41999999998)</f>
        <v>261110.42</v>
      </c>
      <c r="AN132" s="55">
        <f>IFERROR(__xludf.DUMMYFUNCTION("importrange(""https://docs.google.com/spreadsheets/d/1s5jMeCFSNsddGLPhXVD2iHrblkJkWFU40qIKlTc8-ng/edit?gid=1679663775#gid=1679663775"",""2025-26!t3"")"),6.0)</f>
        <v>6</v>
      </c>
      <c r="AO132" s="58">
        <f t="shared" si="21"/>
        <v>0.6305294779</v>
      </c>
      <c r="AP132" s="55">
        <f>IFERROR(__xludf.DUMMYFUNCTION("importrange(""https://docs.google.com/spreadsheets/d/1s5jMeCFSNsddGLPhXVD2iHrblkJkWFU40qIKlTc8-ng/edit?gid=1679663775#gid=1679663775"",""2025-26!u4"")"),945798.0)</f>
        <v>945798</v>
      </c>
      <c r="AQ132" s="55">
        <f>IFERROR(__xludf.DUMMYFUNCTION("importrange(""https://docs.google.com/spreadsheets/d/1s5jMeCFSNsddGLPhXVD2iHrblkJkWFU40qIKlTc8-ng/edit?gid=1679663775#gid=1679663775"",""2025-26!u3"")"),16.0)</f>
        <v>16</v>
      </c>
      <c r="AR132" s="55">
        <f>IFERROR(__xludf.DUMMYFUNCTION("importrange(""https://docs.google.com/spreadsheets/d/1s5jMeCFSNsddGLPhXVD2iHrblkJkWFU40qIKlTc8-ng/edit?gid=1679663775#gid=1679663775"",""2025-26!v4"")"),1525006.0)</f>
        <v>1525006</v>
      </c>
      <c r="AS132" s="55">
        <f>IFERROR(__xludf.DUMMYFUNCTION("importrange(""https://docs.google.com/spreadsheets/d/1s5jMeCFSNsddGLPhXVD2iHrblkJkWFU40qIKlTc8-ng/edit?gid=1679663775#gid=1679663775"",""2025-26!v3"")"),24.0)</f>
        <v>24</v>
      </c>
      <c r="AT132" s="57">
        <f>IFERROR(__xludf.DUMMYFUNCTION("importrange(""https://docs.google.com/spreadsheets/d/1s5jMeCFSNsddGLPhXVD2iHrblkJkWFU40qIKlTc8-ng/edit?gid=1679663775#gid=1679663775"",""2025-26!w4"")"),852295.3799999997)</f>
        <v>852295.38</v>
      </c>
      <c r="AU132" s="55">
        <f>IFERROR(__xludf.DUMMYFUNCTION("importrange(""https://docs.google.com/spreadsheets/d/1s5jMeCFSNsddGLPhXVD2iHrblkJkWFU40qIKlTc8-ng/edit?gid=1679663775#gid=1679663775"",""2025-26!w3"")"),13.0)</f>
        <v>13</v>
      </c>
      <c r="AV132" s="58">
        <f t="shared" si="22"/>
        <v>0.8432340594</v>
      </c>
      <c r="AW132" s="55">
        <f>IFERROR(__xludf.DUMMYFUNCTION("importrange(""https://docs.google.com/spreadsheets/d/1s5jMeCFSNsddGLPhXVD2iHrblkJkWFU40qIKlTc8-ng/edit?gid=1679663775#gid=1679663775"",""2025-26!x4"")"),1285937.0)</f>
        <v>1285937</v>
      </c>
      <c r="AX132" s="55">
        <f>IFERROR(__xludf.DUMMYFUNCTION("importrange(""https://docs.google.com/spreadsheets/d/1s5jMeCFSNsddGLPhXVD2iHrblkJkWFU40qIKlTc8-ng/edit?gid=1679663775#gid=1679663775"",""2025-26!x3"")"),18.0)</f>
        <v>18</v>
      </c>
      <c r="AY132" s="55">
        <f>IFERROR(__xludf.DUMMYFUNCTION("importrange(""https://docs.google.com/spreadsheets/d/1s5jMeCFSNsddGLPhXVD2iHrblkJkWFU40qIKlTc8-ng/edit?gid=1679663775#gid=1679663775"",""2025-26!y4"")"),1582148.0)</f>
        <v>1582148</v>
      </c>
      <c r="AZ132" s="55">
        <f>IFERROR(__xludf.DUMMYFUNCTION("importrange(""https://docs.google.com/spreadsheets/d/1s5jMeCFSNsddGLPhXVD2iHrblkJkWFU40qIKlTc8-ng/edit?gid=1679663775#gid=1679663775"",""2025-26!y3"")"),26.0)</f>
        <v>26</v>
      </c>
      <c r="BA132" s="57">
        <f>IFERROR(__xludf.DUMMYFUNCTION("importrange(""https://docs.google.com/spreadsheets/d/1s5jMeCFSNsddGLPhXVD2iHrblkJkWFU40qIKlTc8-ng/edit?gid=1679663775#gid=1679663775"",""2025-26!z4"")"),1570992.28)</f>
        <v>1570992.28</v>
      </c>
      <c r="BB132" s="55">
        <f>IFERROR(__xludf.DUMMYFUNCTION("importrange(""https://docs.google.com/spreadsheets/d/1s5jMeCFSNsddGLPhXVD2iHrblkJkWFU40qIKlTc8-ng/edit?gid=1679663775#gid=1679663775"",""2025-26!z3"")"),20.0)</f>
        <v>20</v>
      </c>
      <c r="BC132" s="59">
        <f t="shared" si="23"/>
        <v>1.122104253</v>
      </c>
      <c r="BD132" s="55">
        <f>IFERROR(__xludf.DUMMYFUNCTION("importrange(""https://docs.google.com/spreadsheets/d/1s5jMeCFSNsddGLPhXVD2iHrblkJkWFU40qIKlTc8-ng/edit?gid=1679663775#gid=1679663775"",""2025-26!aa4"")"),1775335.0)</f>
        <v>1775335</v>
      </c>
      <c r="BE132" s="55">
        <f>IFERROR(__xludf.DUMMYFUNCTION("importrange(""https://docs.google.com/spreadsheets/d/1s5jMeCFSNsddGLPhXVD2iHrblkJkWFU40qIKlTc8-ng/edit?gid=1679663775#gid=1679663775"",""2025-26!aa3"")"),23.0)</f>
        <v>23</v>
      </c>
      <c r="BF132" s="55">
        <f>IFERROR(__xludf.DUMMYFUNCTION("importrange(""https://docs.google.com/spreadsheets/d/1s5jMeCFSNsddGLPhXVD2iHrblkJkWFU40qIKlTc8-ng/edit?gid=1679663775#gid=1679663775"",""2025-26!ab4"")"),2252147.0)</f>
        <v>2252147</v>
      </c>
      <c r="BG132" s="55">
        <f>IFERROR(__xludf.DUMMYFUNCTION("importrange(""https://docs.google.com/spreadsheets/d/1s5jMeCFSNsddGLPhXVD2iHrblkJkWFU40qIKlTc8-ng/edit?gid=1679663775#gid=1679663775"",""2025-26!ab3"")"),32.0)</f>
        <v>32</v>
      </c>
      <c r="BH132" s="55">
        <f>IFERROR(__xludf.DUMMYFUNCTION("importrange(""https://docs.google.com/spreadsheets/d/1s5jMeCFSNsddGLPhXVD2iHrblkJkWFU40qIKlTc8-ng/edit?gid=1679663775#gid=1679663775"",""2025-26!ac4"")"),1603788.2799999998)</f>
        <v>1603788.28</v>
      </c>
      <c r="BI132" s="55">
        <f>IFERROR(__xludf.DUMMYFUNCTION("importrange(""https://docs.google.com/spreadsheets/d/1s5jMeCFSNsddGLPhXVD2iHrblkJkWFU40qIKlTc8-ng/edit?gid=1679663775#gid=1679663775"",""2025-26!ac3"")"),19.0)</f>
        <v>19</v>
      </c>
      <c r="BJ132" s="59">
        <f t="shared" si="24"/>
        <v>0.8019738498</v>
      </c>
      <c r="BK132" s="55">
        <f>IFERROR(__xludf.DUMMYFUNCTION("importrange(""https://docs.google.com/spreadsheets/d/1s5jMeCFSNsddGLPhXVD2iHrblkJkWFU40qIKlTc8-ng/edit?gid=1679663775#gid=1679663775"",""2025-26!ad4"")"),1806163.0)</f>
        <v>1806163</v>
      </c>
      <c r="BL132" s="55">
        <f>IFERROR(__xludf.DUMMYFUNCTION("importrange(""https://docs.google.com/spreadsheets/d/1s5jMeCFSNsddGLPhXVD2iHrblkJkWFU40qIKlTc8-ng/edit?gid=1679663775#gid=1679663775"",""2025-26!ad3"")"),29.0)</f>
        <v>29</v>
      </c>
      <c r="BM132" s="55">
        <f>IFERROR(__xludf.DUMMYFUNCTION("importrange(""https://docs.google.com/spreadsheets/d/1s5jMeCFSNsddGLPhXVD2iHrblkJkWFU40qIKlTc8-ng/edit?gid=1679663775#gid=1679663775"",""2025-26!ae4"")"),2392147.0)</f>
        <v>2392147</v>
      </c>
      <c r="BN132" s="55">
        <f>IFERROR(__xludf.DUMMYFUNCTION("importrange(""https://docs.google.com/spreadsheets/d/1s5jMeCFSNsddGLPhXVD2iHrblkJkWFU40qIKlTc8-ng/edit?gid=1679663775#gid=1679663775"",""2025-26!ae3"")"),37.0)</f>
        <v>37</v>
      </c>
      <c r="BO132" s="55">
        <f>IFERROR(__xludf.DUMMYFUNCTION("importrange(""https://docs.google.com/spreadsheets/d/1s5jMeCFSNsddGLPhXVD2iHrblkJkWFU40qIKlTc8-ng/edit?gid=1679663775#gid=1679663775"",""2025-26!af4"")"),1469675.83)</f>
        <v>1469675.83</v>
      </c>
      <c r="BP132" s="55">
        <f>IFERROR(__xludf.DUMMYFUNCTION("importrange(""https://docs.google.com/spreadsheets/d/1s5jMeCFSNsddGLPhXVD2iHrblkJkWFU40qIKlTc8-ng/edit?gid=1679663775#gid=1679663775"",""2025-26!af3"")"),15.0)</f>
        <v>15</v>
      </c>
      <c r="BQ132" s="59">
        <f t="shared" si="25"/>
        <v>0.8104129888</v>
      </c>
      <c r="BR132" s="55">
        <f>IFERROR(__xludf.DUMMYFUNCTION("importrange(""https://docs.google.com/spreadsheets/d/1s5jMeCFSNsddGLPhXVD2iHrblkJkWFU40qIKlTc8-ng/edit?gid=1679663775#gid=1679663775"",""2025-26!ag4"")"),1938627.0)</f>
        <v>1938627</v>
      </c>
      <c r="BS132" s="55">
        <f>IFERROR(__xludf.DUMMYFUNCTION("importrange(""https://docs.google.com/spreadsheets/d/1s5jMeCFSNsddGLPhXVD2iHrblkJkWFU40qIKlTc8-ng/edit?gid=1679663775#gid=1679663775"",""2025-26!ag3"")"),26.0)</f>
        <v>26</v>
      </c>
      <c r="BT132" s="55">
        <f>IFERROR(__xludf.DUMMYFUNCTION("importrange(""https://docs.google.com/spreadsheets/d/1s5jMeCFSNsddGLPhXVD2iHrblkJkWFU40qIKlTc8-ng/edit?gid=1679663775#gid=1679663775"",""2025-26!ah4"")"),2492147.0)</f>
        <v>2492147</v>
      </c>
      <c r="BU132" s="55">
        <f>IFERROR(__xludf.DUMMYFUNCTION("importrange(""https://docs.google.com/spreadsheets/d/1s5jMeCFSNsddGLPhXVD2iHrblkJkWFU40qIKlTc8-ng/edit?gid=1679663775#gid=1679663775"",""2025-26!ah3"")"),38.0)</f>
        <v>38</v>
      </c>
      <c r="BV132" s="55">
        <f>IFERROR(__xludf.DUMMYFUNCTION("importrange(""https://docs.google.com/spreadsheets/d/1s5jMeCFSNsddGLPhXVD2iHrblkJkWFU40qIKlTc8-ng/edit?gid=1679663775#gid=1679663775"",""2025-26!ai4"")"),1595283.7999999998)</f>
        <v>1595283.8</v>
      </c>
      <c r="BW132" s="55">
        <f>IFERROR(__xludf.DUMMYFUNCTION("importrange(""https://docs.google.com/spreadsheets/d/1s5jMeCFSNsddGLPhXVD2iHrblkJkWFU40qIKlTc8-ng/edit?gid=1679663775#gid=1679663775"",""2025-26!ai3"")"),15.0)</f>
        <v>15</v>
      </c>
      <c r="BX132" s="59">
        <f t="shared" si="26"/>
        <v>0.7297021404</v>
      </c>
      <c r="BY132" s="55">
        <f>IFERROR(__xludf.DUMMYFUNCTION("importrange(""https://docs.google.com/spreadsheets/d/1s5jMeCFSNsddGLPhXVD2iHrblkJkWFU40qIKlTc8-ng/edit?gid=1679663775#gid=1679663775"",""2025-26!aj4"")"),1818525.0)</f>
        <v>1818525</v>
      </c>
      <c r="BZ132" s="55">
        <f>IFERROR(__xludf.DUMMYFUNCTION("importrange(""https://docs.google.com/spreadsheets/d/1s5jMeCFSNsddGLPhXVD2iHrblkJkWFU40qIKlTc8-ng/edit?gid=1679663775#gid=1679663775"",""2025-26!aj3"")"),20.0)</f>
        <v>20</v>
      </c>
      <c r="CA132" s="55">
        <f>IFERROR(__xludf.DUMMYFUNCTION("importrange(""https://docs.google.com/spreadsheets/d/1s5jMeCFSNsddGLPhXVD2iHrblkJkWFU40qIKlTc8-ng/edit?gid=1679663775#gid=1679663775"",""2025-26!ak4"")"),2492147.0)</f>
        <v>2492147</v>
      </c>
      <c r="CB132" s="55">
        <f>IFERROR(__xludf.DUMMYFUNCTION("importrange(""https://docs.google.com/spreadsheets/d/1s5jMeCFSNsddGLPhXVD2iHrblkJkWFU40qIKlTc8-ng/edit?gid=1679663775#gid=1679663775"",""2025-26!ak3"")"),38.0)</f>
        <v>38</v>
      </c>
      <c r="CC132" s="55">
        <f>IFERROR(__xludf.DUMMYFUNCTION("importrange(""https://docs.google.com/spreadsheets/d/1s5jMeCFSNsddGLPhXVD2iHrblkJkWFU40qIKlTc8-ng/edit?gid=1679663775#gid=1679663775"",""2025-26!al4"")"),2289265.7600000002)</f>
        <v>2289265.76</v>
      </c>
      <c r="CD132" s="55">
        <f>IFERROR(__xludf.DUMMYFUNCTION("importrange(""https://docs.google.com/spreadsheets/d/1s5jMeCFSNsddGLPhXVD2iHrblkJkWFU40qIKlTc8-ng/edit?gid=1679663775#gid=1679663775"",""2025-26!ai3"")"),15.0)</f>
        <v>15</v>
      </c>
      <c r="CE132" s="59">
        <f t="shared" si="27"/>
        <v>0.8272449418</v>
      </c>
      <c r="CF132" s="55">
        <f>IFERROR(__xludf.DUMMYFUNCTION("importrange(""https://docs.google.com/spreadsheets/d/1s5jMeCFSNsddGLPhXVD2iHrblkJkWFU40qIKlTc8-ng/edit?gid=1679663775#gid=1679663775"",""2025-26!am4"")"),2061616.0)</f>
        <v>2061616</v>
      </c>
      <c r="CG132" s="55">
        <f>IFERROR(__xludf.DUMMYFUNCTION("importrange(""https://docs.google.com/spreadsheets/d/1s5jMeCFSNsddGLPhXVD2iHrblkJkWFU40qIKlTc8-ng/edit?gid=1679663775#gid=1679663775"",""2025-26!am3"")"),20.0)</f>
        <v>20</v>
      </c>
      <c r="CH132" s="55">
        <f>IFERROR(__xludf.DUMMYFUNCTION("importrange(""https://docs.google.com/spreadsheets/d/1s5jMeCFSNsddGLPhXVD2iHrblkJkWFU40qIKlTc8-ng/edit?gid=1679663775#gid=1679663775"",""2025-26!an4"")"),2492147.0)</f>
        <v>2492147</v>
      </c>
      <c r="CI132" s="55">
        <f>IFERROR(__xludf.DUMMYFUNCTION("importrange(""https://docs.google.com/spreadsheets/d/1s5jMeCFSNsddGLPhXVD2iHrblkJkWFU40qIKlTc8-ng/edit?gid=1679663775#gid=1679663775"",""2025-26!an3"")"),38.0)</f>
        <v>38</v>
      </c>
      <c r="CJ132" s="55">
        <f>IFERROR(__xludf.DUMMYFUNCTION("importrange(""https://docs.google.com/spreadsheets/d/1s5jMeCFSNsddGLPhXVD2iHrblkJkWFU40qIKlTc8-ng/edit?gid=1679663775#gid=1679663775"",""2025-26!ao4"")"),1498476.4700000002)</f>
        <v>1498476.47</v>
      </c>
      <c r="CK132" s="55">
        <f>IFERROR(__xludf.DUMMYFUNCTION("importrange(""https://docs.google.com/spreadsheets/d/1s5jMeCFSNsddGLPhXVD2iHrblkJkWFU40qIKlTc8-ng/edit?gid=1679663775#gid=1679663775"",""2025-26!ao3"")"),8.0)</f>
        <v>8</v>
      </c>
      <c r="CL132" s="59">
        <f t="shared" si="28"/>
        <v>0.7510319415</v>
      </c>
      <c r="CM132" s="55">
        <f>IFERROR(__xludf.DUMMYFUNCTION("importrange(""https://docs.google.com/spreadsheets/d/1s5jMeCFSNsddGLPhXVD2iHrblkJkWFU40qIKlTc8-ng/edit?gid=1679663775#gid=1679663775"",""2025-26!ap4"")"),1871682.0)</f>
        <v>1871682</v>
      </c>
      <c r="CN132" s="55">
        <f>IFERROR(__xludf.DUMMYFUNCTION("importrange(""https://docs.google.com/spreadsheets/d/1s5jMeCFSNsddGLPhXVD2iHrblkJkWFU40qIKlTc8-ng/edit?gid=1679663775#gid=1679663775"",""2025-26!ap3"")"),19.0)</f>
        <v>19</v>
      </c>
      <c r="CO132" s="55">
        <f>IFERROR(__xludf.DUMMYFUNCTION("importrange(""https://docs.google.com/spreadsheets/d/1s5jMeCFSNsddGLPhXVD2iHrblkJkWFU40qIKlTc8-ng/edit?gid=1679663775#gid=1679663775"",""2025-26!aq4"")"),2492147.0)</f>
        <v>2492147</v>
      </c>
      <c r="CP132" s="55">
        <f>IFERROR(__xludf.DUMMYFUNCTION("importrange(""https://docs.google.com/spreadsheets/d/1s5jMeCFSNsddGLPhXVD2iHrblkJkWFU40qIKlTc8-ng/edit?gid=1679663775#gid=1679663775"",""2025-26!aq3"")"),38.0)</f>
        <v>38</v>
      </c>
      <c r="CQ132" s="55">
        <f>IFERROR(__xludf.DUMMYFUNCTION("importrange(""https://docs.google.com/spreadsheets/d/1s5jMeCFSNsddGLPhXVD2iHrblkJkWFU40qIKlTc8-ng/edit?gid=1679663775#gid=1679663775"",""2025-26!ar4"")"),3548829.5600000005)</f>
        <v>3548829.56</v>
      </c>
      <c r="CR132" s="55">
        <f>IFERROR(__xludf.DUMMYFUNCTION("importrange(""https://docs.google.com/spreadsheets/d/1s5jMeCFSNsddGLPhXVD2iHrblkJkWFU40qIKlTc8-ng/edit?gid=1679663775#gid=1679663775"",""2025-26!ar3"")"),16.0)</f>
        <v>16</v>
      </c>
      <c r="CS132" s="59">
        <f t="shared" si="29"/>
        <v>1.612865934</v>
      </c>
      <c r="CT132" s="55">
        <f>IFERROR(__xludf.DUMMYFUNCTION("importrange(""https://docs.google.com/spreadsheets/d/1s5jMeCFSNsddGLPhXVD2iHrblkJkWFU40qIKlTc8-ng/edit?gid=1679663775#gid=1679663775"",""2025-26!as4"")"),4019499.0)</f>
        <v>4019499</v>
      </c>
      <c r="CU132" s="55">
        <f>IFERROR(__xludf.DUMMYFUNCTION("importrange(""https://docs.google.com/spreadsheets/d/1s5jMeCFSNsddGLPhXVD2iHrblkJkWFU40qIKlTc8-ng/edit?gid=1679663775#gid=1679663775"",""2025-26!as3"")"),18.0)</f>
        <v>18</v>
      </c>
      <c r="CV132" s="60" t="s">
        <v>189</v>
      </c>
    </row>
    <row r="133">
      <c r="A133" s="1" t="s">
        <v>185</v>
      </c>
      <c r="B133" s="37"/>
      <c r="C133" s="109" t="s">
        <v>288</v>
      </c>
      <c r="D133" s="49" t="s">
        <v>289</v>
      </c>
      <c r="E133" s="50">
        <v>9.382713379E9</v>
      </c>
      <c r="F133" s="82">
        <v>45894.0</v>
      </c>
      <c r="I133" s="83">
        <v>27260.0</v>
      </c>
      <c r="J133" s="108">
        <v>1500000.0</v>
      </c>
      <c r="K133" s="57">
        <f>IFERROR(__xludf.DUMMYFUNCTION("IMPORTRANGE(""https://docs.google.com/spreadsheets/d/1h1TRZt74g3toSCg6X1zf04TRrPzTIJTRRHm-VtgXmkM/edit?gid=1586402276#gid=1586402276"",""2025-26!A3"")"),95.0)</f>
        <v>95</v>
      </c>
      <c r="L133" s="57">
        <f>IFERROR(__xludf.DUMMYFUNCTION("IMPORTRANGE(""https://docs.google.com/spreadsheets/d/1h1TRZt74g3toSCg6X1zf04TRrPzTIJTRRHm-VtgXmkM/edit?gid=1586402276#gid=1586402276"",""2025-26!G4"")"),0.0)</f>
        <v>0</v>
      </c>
      <c r="M133" s="57">
        <f t="shared" si="50"/>
        <v>1885263.77</v>
      </c>
      <c r="N133" s="56" t="str">
        <f t="shared" si="51"/>
        <v/>
      </c>
      <c r="O133" s="57">
        <f t="shared" si="52"/>
        <v>9923196.7</v>
      </c>
      <c r="P133" s="55">
        <f>IFERROR(__xludf.DUMMYFUNCTION("IMPORTRANGE(""https://docs.google.com/spreadsheets/d/1h1TRZt74g3toSCg6X1zf04TRrPzTIJTRRHm-VtgXmkM/edit?gid=1586402276#gid=1586402276"",""2025-26!J4"")"),0.0)</f>
        <v>0</v>
      </c>
      <c r="Q133" s="55">
        <f>IFERROR(__xludf.DUMMYFUNCTION("IMPORTRANGE(""https://docs.google.com/spreadsheets/d/1h1TRZt74g3toSCg6X1zf04TRrPzTIJTRRHm-VtgXmkM/edit?gid=1586402276#gid=1586402276"",""2025-26!J3"")"),0.0)</f>
        <v>0</v>
      </c>
      <c r="R133" s="55">
        <f>IFERROR(__xludf.DUMMYFUNCTION("IMPORTRANGE(""https://docs.google.com/spreadsheets/d/1h1TRZt74g3toSCg6X1zf04TRrPzTIJTRRHm-VtgXmkM/edit?gid=1586402276#gid=1586402276"",""2025-26!K4"")"),0.0)</f>
        <v>0</v>
      </c>
      <c r="S133" s="55">
        <f>IFERROR(__xludf.DUMMYFUNCTION("IMPORTRANGE(""https://docs.google.com/spreadsheets/d/1h1TRZt74g3toSCg6X1zf04TRrPzTIJTRRHm-VtgXmkM/edit?gid=1586402276#gid=1586402276"",""2025-26!K3"")"),0.0)</f>
        <v>0</v>
      </c>
      <c r="T133" s="58" t="str">
        <f t="shared" si="18"/>
        <v/>
      </c>
      <c r="U133" s="55">
        <f>IFERROR(__xludf.DUMMYFUNCTION("IMPORTRANGE(""https://docs.google.com/spreadsheets/d/1h1TRZt74g3toSCg6X1zf04TRrPzTIJTRRHm-VtgXmkM/edit?gid=1586402276#gid=1586402276"",""2025-26!L4"")"),0.0)</f>
        <v>0</v>
      </c>
      <c r="V133" s="79">
        <f>IFERROR(__xludf.DUMMYFUNCTION("IMPORTRANGE(""https://docs.google.com/spreadsheets/d/1h1TRZt74g3toSCg6X1zf04TRrPzTIJTRRHm-VtgXmkM/edit?gid=1586402276#gid=1586402276"",""2025-26!L3"")"),0.0)</f>
        <v>0</v>
      </c>
      <c r="W133" s="55">
        <f>IFERROR(__xludf.DUMMYFUNCTION("IMPORTRANGE(""https://docs.google.com/spreadsheets/d/1h1TRZt74g3toSCg6X1zf04TRrPzTIJTRRHm-VtgXmkM/edit?gid=1586402276#gid=1586402276"",""2025-26!M4"")"),0.0)</f>
        <v>0</v>
      </c>
      <c r="X133" s="79">
        <f>IFERROR(__xludf.DUMMYFUNCTION("IMPORTRANGE(""https://docs.google.com/spreadsheets/d/1h1TRZt74g3toSCg6X1zf04TRrPzTIJTRRHm-VtgXmkM/edit?gid=1586402276#gid=1586402276"",""2025-26!M3"")"),0.0)</f>
        <v>0</v>
      </c>
      <c r="Y133" s="55">
        <f>IFERROR(__xludf.DUMMYFUNCTION("importrange(""https://docs.google.com/spreadsheets/d/1h1TRZt74g3toSCg6X1zf04TRrPzTIJTRRHm-VtgXmkM/edit?gid=1586402276#gid=1586402276"",""2025-26!n4"")"),0.0)</f>
        <v>0</v>
      </c>
      <c r="Z133" s="55">
        <f>IFERROR(__xludf.DUMMYFUNCTION("importrange(""https://docs.google.com/spreadsheets/d/1h1TRZt74g3toSCg6X1zf04TRrPzTIJTRRHm-VtgXmkM/edit?gid=1586402276#gid=1586402276"",""2025-26!n3"")"),0.0)</f>
        <v>0</v>
      </c>
      <c r="AA133" s="58" t="str">
        <f t="shared" si="19"/>
        <v/>
      </c>
      <c r="AB133" s="55">
        <f>IFERROR(__xludf.DUMMYFUNCTION("importrange(""https://docs.google.com/spreadsheets/d/1h1TRZt74g3toSCg6X1zf04TRrPzTIJTRRHm-VtgXmkM/edit?gid=1586402276#gid=1586402276"",""2025-26!o4"")"),0.0)</f>
        <v>0</v>
      </c>
      <c r="AC133" s="55">
        <f>IFERROR(__xludf.DUMMYFUNCTION("importrange(""https://docs.google.com/spreadsheets/d/1h1TRZt74g3toSCg6X1zf04TRrPzTIJTRRHm-VtgXmkM/edit?gid=1586402276#gid=1586402276"",""2025-26!o3"")"),0.0)</f>
        <v>0</v>
      </c>
      <c r="AD133" s="55">
        <f>IFERROR(__xludf.DUMMYFUNCTION("importrange(""https://docs.google.com/spreadsheets/d/1h1TRZt74g3toSCg6X1zf04TRrPzTIJTRRHm-VtgXmkM/edit?gid=1586402276#gid=1586402276"",""2025-26!p4"")"),0.0)</f>
        <v>0</v>
      </c>
      <c r="AE133" s="55">
        <f>IFERROR(__xludf.DUMMYFUNCTION("importrange(""https://docs.google.com/spreadsheets/d/1h1TRZt74g3toSCg6X1zf04TRrPzTIJTRRHm-VtgXmkM/edit?gid=1586402276#gid=1586402276"",""2025-26!p3"")"),0.0)</f>
        <v>0</v>
      </c>
      <c r="AF133" s="55">
        <f>IFERROR(__xludf.DUMMYFUNCTION("importrange(""https://docs.google.com/spreadsheets/d/1h1TRZt74g3toSCg6X1zf04TRrPzTIJTRRHm-VtgXmkM/edit?gid=1586402276#gid=1586402276"",""2025-26!q4"")"),0.0)</f>
        <v>0</v>
      </c>
      <c r="AG133" s="55">
        <f>IFERROR(__xludf.DUMMYFUNCTION("importrange(""https://docs.google.com/spreadsheets/d/1h1TRZt74g3toSCg6X1zf04TRrPzTIJTRRHm-VtgXmkM/edit?gid=1586402276#gid=1586402276"",""2025-26!q3"")"),0.0)</f>
        <v>0</v>
      </c>
      <c r="AH133" s="58" t="str">
        <f t="shared" si="20"/>
        <v/>
      </c>
      <c r="AI133" s="55">
        <f>IFERROR(__xludf.DUMMYFUNCTION("importrange(""https://docs.google.com/spreadsheets/d/1h1TRZt74g3toSCg6X1zf04TRrPzTIJTRRHm-VtgXmkM/edit?gid=1586402276#gid=1586402276"",""2025-26!r4"")"),0.0)</f>
        <v>0</v>
      </c>
      <c r="AJ133" s="55">
        <f>IFERROR(__xludf.DUMMYFUNCTION("importrange(""https://docs.google.com/spreadsheets/d/1h1TRZt74g3toSCg6X1zf04TRrPzTIJTRRHm-VtgXmkM/edit?gid=1586402276#gid=1586402276"",""2025-26!r3"")"),0.0)</f>
        <v>0</v>
      </c>
      <c r="AK133" s="55">
        <f>IFERROR(__xludf.DUMMYFUNCTION("importrange(""https://docs.google.com/spreadsheets/d/1h1TRZt74g3toSCg6X1zf04TRrPzTIJTRRHm-VtgXmkM/edit?gid=1586402276#gid=1586402276"",""2025-26!s4"")"),0.0)</f>
        <v>0</v>
      </c>
      <c r="AL133" s="55">
        <f>IFERROR(__xludf.DUMMYFUNCTION("importrange(""https://docs.google.com/spreadsheets/d/1h1TRZt74g3toSCg6X1zf04TRrPzTIJTRRHm-VtgXmkM/edit?gid=1586402276#gid=1586402276"",""2025-26!s3"")"),0.0)</f>
        <v>0</v>
      </c>
      <c r="AM133" s="57">
        <f>IFERROR(__xludf.DUMMYFUNCTION("importrange(""https://docs.google.com/spreadsheets/d/1h1TRZt74g3toSCg6X1zf04TRrPzTIJTRRHm-VtgXmkM/edit?gid=1586402276#gid=1586402276"",""2025-26!t4"")"),0.0)</f>
        <v>0</v>
      </c>
      <c r="AN133" s="55">
        <f>IFERROR(__xludf.DUMMYFUNCTION("importrange(""https://docs.google.com/spreadsheets/d/1h1TRZt74g3toSCg6X1zf04TRrPzTIJTRRHm-VtgXmkM/edit?gid=1586402276#gid=1586402276"",""2025-26!t3"")"),0.0)</f>
        <v>0</v>
      </c>
      <c r="AO133" s="58" t="str">
        <f t="shared" si="21"/>
        <v/>
      </c>
      <c r="AP133" s="55">
        <f>IFERROR(__xludf.DUMMYFUNCTION("importrange(""https://docs.google.com/spreadsheets/d/1h1TRZt74g3toSCg6X1zf04TRrPzTIJTRRHm-VtgXmkM/edit?gid=1586402276#gid=1586402276"",""2025-26!u4"")"),0.0)</f>
        <v>0</v>
      </c>
      <c r="AQ133" s="55">
        <f>IFERROR(__xludf.DUMMYFUNCTION("importrange(""https://docs.google.com/spreadsheets/d/1h1TRZt74g3toSCg6X1zf04TRrPzTIJTRRHm-VtgXmkM/edit?gid=1586402276#gid=1586402276"",""2025-26!u3"")"),0.0)</f>
        <v>0</v>
      </c>
      <c r="AR133" s="55">
        <f>IFERROR(__xludf.DUMMYFUNCTION("importrange(""https://docs.google.com/spreadsheets/d/1h1TRZt74g3toSCg6X1zf04TRrPzTIJTRRHm-VtgXmkM/edit?gid=1586402276#gid=1586402276"",""2025-26!v4"")"),0.0)</f>
        <v>0</v>
      </c>
      <c r="AS133" s="55">
        <f>IFERROR(__xludf.DUMMYFUNCTION("importrange(""https://docs.google.com/spreadsheets/d/1h1TRZt74g3toSCg6X1zf04TRrPzTIJTRRHm-VtgXmkM/edit?gid=1586402276#gid=1586402276"",""2025-26!v3"")"),0.0)</f>
        <v>0</v>
      </c>
      <c r="AT133" s="57">
        <f>IFERROR(__xludf.DUMMYFUNCTION("importrange(""https://docs.google.com/spreadsheets/d/1h1TRZt74g3toSCg6X1zf04TRrPzTIJTRRHm-VtgXmkM/edit?gid=1586402276#gid=1586402276"",""2025-26!w4"")"),0.0)</f>
        <v>0</v>
      </c>
      <c r="AU133" s="55">
        <f>IFERROR(__xludf.DUMMYFUNCTION("importrange(""https://docs.google.com/spreadsheets/d/1h1TRZt74g3toSCg6X1zf04TRrPzTIJTRRHm-VtgXmkM/edit?gid=1586402276#gid=1586402276"",""2025-26!w3"")"),0.0)</f>
        <v>0</v>
      </c>
      <c r="AV133" s="58" t="str">
        <f t="shared" si="22"/>
        <v/>
      </c>
      <c r="AW133" s="55">
        <f>IFERROR(__xludf.DUMMYFUNCTION("importrange(""https://docs.google.com/spreadsheets/d/1h1TRZt74g3toSCg6X1zf04TRrPzTIJTRRHm-VtgXmkM/edit?gid=1586402276#gid=1586402276"",""2025-26!x4"")"),430158.0)</f>
        <v>430158</v>
      </c>
      <c r="AX133" s="55">
        <f>IFERROR(__xludf.DUMMYFUNCTION("importrange(""https://docs.google.com/spreadsheets/d/1h1TRZt74g3toSCg6X1zf04TRrPzTIJTRRHm-VtgXmkM/edit?gid=1586402276#gid=1586402276"",""2025-26!x3"")"),23.0)</f>
        <v>23</v>
      </c>
      <c r="AY133" s="55">
        <f>IFERROR(__xludf.DUMMYFUNCTION("importrange(""https://docs.google.com/spreadsheets/d/1h1TRZt74g3toSCg6X1zf04TRrPzTIJTRRHm-VtgXmkM/edit?gid=1586402276#gid=1586402276"",""2025-26!y4"")"),0.0)</f>
        <v>0</v>
      </c>
      <c r="AZ133" s="55">
        <f>IFERROR(__xludf.DUMMYFUNCTION("importrange(""https://docs.google.com/spreadsheets/d/1h1TRZt74g3toSCg6X1zf04TRrPzTIJTRRHm-VtgXmkM/edit?gid=1586402276#gid=1586402276"",""2025-26!y3"")"),0.0)</f>
        <v>0</v>
      </c>
      <c r="BA133" s="57">
        <f>IFERROR(__xludf.DUMMYFUNCTION("importrange(""https://docs.google.com/spreadsheets/d/1h1TRZt74g3toSCg6X1zf04TRrPzTIJTRRHm-VtgXmkM/edit?gid=1586402276#gid=1586402276"",""2025-26!z4"")"),784306.9499999998)</f>
        <v>784306.95</v>
      </c>
      <c r="BB133" s="55">
        <f>IFERROR(__xludf.DUMMYFUNCTION("importrange(""https://docs.google.com/spreadsheets/d/1h1TRZt74g3toSCg6X1zf04TRrPzTIJTRRHm-VtgXmkM/edit?gid=1586402276#gid=1586402276"",""2025-26!z3"")"),13.0)</f>
        <v>13</v>
      </c>
      <c r="BC133" s="59" t="str">
        <f t="shared" si="23"/>
        <v/>
      </c>
      <c r="BD133" s="55">
        <f>IFERROR(__xludf.DUMMYFUNCTION("importrange(""https://docs.google.com/spreadsheets/d/1h1TRZt74g3toSCg6X1zf04TRrPzTIJTRRHm-VtgXmkM/edit?gid=1586402276#gid=1586402276"",""2025-26!aa4"")"),1213455.0)</f>
        <v>1213455</v>
      </c>
      <c r="BE133" s="55">
        <f>IFERROR(__xludf.DUMMYFUNCTION("importrange(""https://docs.google.com/spreadsheets/d/1h1TRZt74g3toSCg6X1zf04TRrPzTIJTRRHm-VtgXmkM/edit?gid=1586402276#gid=1586402276"",""2025-26!aa3"")"),31.0)</f>
        <v>31</v>
      </c>
      <c r="BF133" s="55">
        <f>IFERROR(__xludf.DUMMYFUNCTION("importrange(""https://docs.google.com/spreadsheets/d/1h1TRZt74g3toSCg6X1zf04TRrPzTIJTRRHm-VtgXmkM/edit?gid=1586402276#gid=1586402276"",""2025-26!ab4"")"),0.0)</f>
        <v>0</v>
      </c>
      <c r="BG133" s="55">
        <f>IFERROR(__xludf.DUMMYFUNCTION("importrange(""https://docs.google.com/spreadsheets/d/1h1TRZt74g3toSCg6X1zf04TRrPzTIJTRRHm-VtgXmkM/edit?gid=1586402276#gid=1586402276"",""2025-26!ab3"")"),0.0)</f>
        <v>0</v>
      </c>
      <c r="BH133" s="55">
        <f>IFERROR(__xludf.DUMMYFUNCTION("importrange(""https://docs.google.com/spreadsheets/d/1h1TRZt74g3toSCg6X1zf04TRrPzTIJTRRHm-VtgXmkM/edit?gid=1586402276#gid=1586402276"",""2025-26!ac4"")"),107139.44)</f>
        <v>107139.44</v>
      </c>
      <c r="BI133" s="55">
        <f>IFERROR(__xludf.DUMMYFUNCTION("importrange(""https://docs.google.com/spreadsheets/d/1h1TRZt74g3toSCg6X1zf04TRrPzTIJTRRHm-VtgXmkM/edit?gid=1586402276#gid=1586402276"",""2025-26!ac3"")"),3.0)</f>
        <v>3</v>
      </c>
      <c r="BJ133" s="59" t="str">
        <f t="shared" si="24"/>
        <v/>
      </c>
      <c r="BK133" s="55">
        <f>IFERROR(__xludf.DUMMYFUNCTION("importrange(""https://docs.google.com/spreadsheets/d/1h1TRZt74g3toSCg6X1zf04TRrPzTIJTRRHm-VtgXmkM/edit?gid=1586402276#gid=1586402276"",""2025-26!ad4"")"),1529738.7000000002)</f>
        <v>1529738.7</v>
      </c>
      <c r="BL133" s="55">
        <f>IFERROR(__xludf.DUMMYFUNCTION("importrange(""https://docs.google.com/spreadsheets/d/1h1TRZt74g3toSCg6X1zf04TRrPzTIJTRRHm-VtgXmkM/edit?gid=1586402276#gid=1586402276"",""2025-26!ad3"")"),35.0)</f>
        <v>35</v>
      </c>
      <c r="BM133" s="55">
        <f>IFERROR(__xludf.DUMMYFUNCTION("importrange(""https://docs.google.com/spreadsheets/d/1h1TRZt74g3toSCg6X1zf04TRrPzTIJTRRHm-VtgXmkM/edit?gid=1586402276#gid=1586402276"",""2025-26!ae4"")"),0.0)</f>
        <v>0</v>
      </c>
      <c r="BN133" s="55">
        <f>IFERROR(__xludf.DUMMYFUNCTION("importrange(""https://docs.google.com/spreadsheets/d/1h1TRZt74g3toSCg6X1zf04TRrPzTIJTRRHm-VtgXmkM/edit?gid=1586402276#gid=1586402276"",""2025-26!ae3"")"),0.0)</f>
        <v>0</v>
      </c>
      <c r="BO133" s="55">
        <f>IFERROR(__xludf.DUMMYFUNCTION("importrange(""https://docs.google.com/spreadsheets/d/1h1TRZt74g3toSCg6X1zf04TRrPzTIJTRRHm-VtgXmkM/edit?gid=1586402276#gid=1586402276"",""2025-26!af4"")"),0.0)</f>
        <v>0</v>
      </c>
      <c r="BP133" s="55">
        <f>IFERROR(__xludf.DUMMYFUNCTION("importrange(""https://docs.google.com/spreadsheets/d/1h1TRZt74g3toSCg6X1zf04TRrPzTIJTRRHm-VtgXmkM/edit?gid=1586402276#gid=1586402276"",""2025-26!af3"")"),0.0)</f>
        <v>0</v>
      </c>
      <c r="BQ133" s="59" t="str">
        <f t="shared" si="25"/>
        <v/>
      </c>
      <c r="BR133" s="55">
        <f>IFERROR(__xludf.DUMMYFUNCTION("importrange(""https://docs.google.com/spreadsheets/d/1h1TRZt74g3toSCg6X1zf04TRrPzTIJTRRHm-VtgXmkM/edit?gid=1586402276#gid=1586402276"",""2025-26!ag4"")"),957571.0)</f>
        <v>957571</v>
      </c>
      <c r="BS133" s="55">
        <f>IFERROR(__xludf.DUMMYFUNCTION("importrange(""https://docs.google.com/spreadsheets/d/1h1TRZt74g3toSCg6X1zf04TRrPzTIJTRRHm-VtgXmkM/edit?gid=1586402276#gid=1586402276"",""2025-26!ag3"")"),35.0)</f>
        <v>35</v>
      </c>
      <c r="BT133" s="55">
        <f>IFERROR(__xludf.DUMMYFUNCTION("importrange(""https://docs.google.com/spreadsheets/d/1h1TRZt74g3toSCg6X1zf04TRrPzTIJTRRHm-VtgXmkM/edit?gid=1586402276#gid=1586402276"",""2025-26!ah4"")"),0.0)</f>
        <v>0</v>
      </c>
      <c r="BU133" s="55">
        <f>IFERROR(__xludf.DUMMYFUNCTION("importrange(""https://docs.google.com/spreadsheets/d/1h1TRZt74g3toSCg6X1zf04TRrPzTIJTRRHm-VtgXmkM/edit?gid=1586402276#gid=1586402276"",""2025-26!ah3"")"),0.0)</f>
        <v>0</v>
      </c>
      <c r="BV133" s="55">
        <f>IFERROR(__xludf.DUMMYFUNCTION("importrange(""https://docs.google.com/spreadsheets/d/1h1TRZt74g3toSCg6X1zf04TRrPzTIJTRRHm-VtgXmkM/edit?gid=1586402276#gid=1586402276"",""2025-26!ai4"")"),395087.19)</f>
        <v>395087.19</v>
      </c>
      <c r="BW133" s="55">
        <f>IFERROR(__xludf.DUMMYFUNCTION("importrange(""https://docs.google.com/spreadsheets/d/1h1TRZt74g3toSCg6X1zf04TRrPzTIJTRRHm-VtgXmkM/edit?gid=1586402276#gid=1586402276"",""2025-26!ai3"")"),11.0)</f>
        <v>11</v>
      </c>
      <c r="BX133" s="59" t="str">
        <f t="shared" si="26"/>
        <v/>
      </c>
      <c r="BY133" s="55">
        <f>IFERROR(__xludf.DUMMYFUNCTION("importrange(""https://docs.google.com/spreadsheets/d/1h1TRZt74g3toSCg6X1zf04TRrPzTIJTRRHm-VtgXmkM/edit?gid=1586402276#gid=1586402276"",""2025-26!aj4"")"),911760.0)</f>
        <v>911760</v>
      </c>
      <c r="BZ133" s="55">
        <f>IFERROR(__xludf.DUMMYFUNCTION("importrange(""https://docs.google.com/spreadsheets/d/1h1TRZt74g3toSCg6X1zf04TRrPzTIJTRRHm-VtgXmkM/edit?gid=1586402276#gid=1586402276"",""2025-26!aj3"")"),36.0)</f>
        <v>36</v>
      </c>
      <c r="CA133" s="55">
        <f>IFERROR(__xludf.DUMMYFUNCTION("importrange(""https://docs.google.com/spreadsheets/d/1h1TRZt74g3toSCg6X1zf04TRrPzTIJTRRHm-VtgXmkM/edit?gid=1586402276#gid=1586402276"",""2025-26!ak4"")"),0.0)</f>
        <v>0</v>
      </c>
      <c r="CB133" s="55">
        <f>IFERROR(__xludf.DUMMYFUNCTION("importrange(""https://docs.google.com/spreadsheets/d/1h1TRZt74g3toSCg6X1zf04TRrPzTIJTRRHm-VtgXmkM/edit?gid=1586402276#gid=1586402276"",""2025-26!ak3"")"),0.0)</f>
        <v>0</v>
      </c>
      <c r="CC133" s="55">
        <f>IFERROR(__xludf.DUMMYFUNCTION("importrange(""https://docs.google.com/spreadsheets/d/1h1TRZt74g3toSCg6X1zf04TRrPzTIJTRRHm-VtgXmkM/edit?gid=1586402276#gid=1586402276"",""2025-26!al4"")"),53432.9)</f>
        <v>53432.9</v>
      </c>
      <c r="CD133" s="55">
        <f>IFERROR(__xludf.DUMMYFUNCTION("importrange(""https://docs.google.com/spreadsheets/d/1h1TRZt74g3toSCg6X1zf04TRrPzTIJTRRHm-VtgXmkM/edit?gid=1586402276#gid=1586402276"",""2025-26!ai3"")"),11.0)</f>
        <v>11</v>
      </c>
      <c r="CE133" s="59" t="str">
        <f t="shared" si="27"/>
        <v/>
      </c>
      <c r="CF133" s="55">
        <f>IFERROR(__xludf.DUMMYFUNCTION("importrange(""https://docs.google.com/spreadsheets/d/1h1TRZt74g3toSCg6X1zf04TRrPzTIJTRRHm-VtgXmkM/edit?gid=1586402276#gid=1586402276"",""2025-26!am4"")"),1799806.0)</f>
        <v>1799806</v>
      </c>
      <c r="CG133" s="55">
        <f>IFERROR(__xludf.DUMMYFUNCTION("importrange(""https://docs.google.com/spreadsheets/d/1h1TRZt74g3toSCg6X1zf04TRrPzTIJTRRHm-VtgXmkM/edit?gid=1586402276#gid=1586402276"",""2025-26!am3"")"),46.0)</f>
        <v>46</v>
      </c>
      <c r="CH133" s="55">
        <f>IFERROR(__xludf.DUMMYFUNCTION("importrange(""https://docs.google.com/spreadsheets/d/1h1TRZt74g3toSCg6X1zf04TRrPzTIJTRRHm-VtgXmkM/edit?gid=1586402276#gid=1586402276"",""2025-26!an4"")"),0.0)</f>
        <v>0</v>
      </c>
      <c r="CI133" s="55">
        <f>IFERROR(__xludf.DUMMYFUNCTION("importrange(""https://docs.google.com/spreadsheets/d/1h1TRZt74g3toSCg6X1zf04TRrPzTIJTRRHm-VtgXmkM/edit?gid=1586402276#gid=1586402276"",""2025-26!an3"")"),0.0)</f>
        <v>0</v>
      </c>
      <c r="CJ133" s="55">
        <f>IFERROR(__xludf.DUMMYFUNCTION("importrange(""https://docs.google.com/spreadsheets/d/1h1TRZt74g3toSCg6X1zf04TRrPzTIJTRRHm-VtgXmkM/edit?gid=1586402276#gid=1586402276"",""2025-26!ao4"")"),250924.58)</f>
        <v>250924.58</v>
      </c>
      <c r="CK133" s="55">
        <f>IFERROR(__xludf.DUMMYFUNCTION("importrange(""https://docs.google.com/spreadsheets/d/1h1TRZt74g3toSCg6X1zf04TRrPzTIJTRRHm-VtgXmkM/edit?gid=1586402276#gid=1586402276"",""2025-26!ao3"")"),5.0)</f>
        <v>5</v>
      </c>
      <c r="CL133" s="59" t="str">
        <f t="shared" si="28"/>
        <v/>
      </c>
      <c r="CM133" s="55">
        <f>IFERROR(__xludf.DUMMYFUNCTION("importrange(""https://docs.google.com/spreadsheets/d/1h1TRZt74g3toSCg6X1zf04TRrPzTIJTRRHm-VtgXmkM/edit?gid=1586402276#gid=1586402276"",""2025-26!ap4"")"),1622487.0)</f>
        <v>1622487</v>
      </c>
      <c r="CN133" s="55">
        <f>IFERROR(__xludf.DUMMYFUNCTION("importrange(""https://docs.google.com/spreadsheets/d/1h1TRZt74g3toSCg6X1zf04TRrPzTIJTRRHm-VtgXmkM/edit?gid=1586402276#gid=1586402276"",""2025-26!ap3"")"),42.0)</f>
        <v>42</v>
      </c>
      <c r="CO133" s="55">
        <f>IFERROR(__xludf.DUMMYFUNCTION("importrange(""https://docs.google.com/spreadsheets/d/1h1TRZt74g3toSCg6X1zf04TRrPzTIJTRRHm-VtgXmkM/edit?gid=1586402276#gid=1586402276"",""2025-26!aq4"")"),0.0)</f>
        <v>0</v>
      </c>
      <c r="CP133" s="55">
        <f>IFERROR(__xludf.DUMMYFUNCTION("importrange(""https://docs.google.com/spreadsheets/d/1h1TRZt74g3toSCg6X1zf04TRrPzTIJTRRHm-VtgXmkM/edit?gid=1586402276#gid=1586402276"",""2025-26!aq3"")"),0.0)</f>
        <v>0</v>
      </c>
      <c r="CQ133" s="55">
        <f>IFERROR(__xludf.DUMMYFUNCTION("importrange(""https://docs.google.com/spreadsheets/d/1h1TRZt74g3toSCg6X1zf04TRrPzTIJTRRHm-VtgXmkM/edit?gid=1586402276#gid=1586402276"",""2025-26!ar4"")"),294372.70999999996)</f>
        <v>294372.71</v>
      </c>
      <c r="CR133" s="55">
        <f>IFERROR(__xludf.DUMMYFUNCTION("importrange(""https://docs.google.com/spreadsheets/d/1h1TRZt74g3toSCg6X1zf04TRrPzTIJTRRHm-VtgXmkM/edit?gid=1586402276#gid=1586402276"",""2025-26!ar3"")"),6.0)</f>
        <v>6</v>
      </c>
      <c r="CS133" s="59" t="str">
        <f t="shared" si="29"/>
        <v/>
      </c>
      <c r="CT133" s="55">
        <f>IFERROR(__xludf.DUMMYFUNCTION("importrange(""https://docs.google.com/spreadsheets/d/1h1TRZt74g3toSCg6X1zf04TRrPzTIJTRRHm-VtgXmkM/edit?gid=1586402276#gid=1586402276"",""2025-26!as4"")"),1458221.0)</f>
        <v>1458221</v>
      </c>
      <c r="CU133" s="55">
        <f>IFERROR(__xludf.DUMMYFUNCTION("importrange(""https://docs.google.com/spreadsheets/d/1h1TRZt74g3toSCg6X1zf04TRrPzTIJTRRHm-VtgXmkM/edit?gid=1586402276#gid=1586402276"",""2025-26!as3"")"),37.0)</f>
        <v>37</v>
      </c>
      <c r="CV133" s="60" t="s">
        <v>189</v>
      </c>
    </row>
    <row r="134">
      <c r="A134" s="1" t="s">
        <v>185</v>
      </c>
      <c r="B134" s="37"/>
      <c r="C134" s="81" t="s">
        <v>290</v>
      </c>
      <c r="D134" s="68" t="s">
        <v>291</v>
      </c>
      <c r="E134" s="68">
        <v>7.003301552E9</v>
      </c>
      <c r="F134" s="78">
        <v>46041.0</v>
      </c>
      <c r="G134" s="5"/>
      <c r="H134" s="5"/>
      <c r="I134" s="70">
        <v>35650.0</v>
      </c>
      <c r="J134" s="108">
        <v>1500000.0</v>
      </c>
      <c r="K134" s="57">
        <f>IFERROR(__xludf.DUMMYFUNCTION("IMPORTRANGE(""https://docs.google.com/spreadsheets/d/16St08vBtqG6cQ29Lh2yNSR8b82ABOrtscauHawL3SnA/edit?gid=1748251694#gid=1748251694"",""2025-26!A3"")"),59.0)</f>
        <v>59</v>
      </c>
      <c r="L134" s="57">
        <f>IFERROR(__xludf.DUMMYFUNCTION("IMPORTRANGE(""https://docs.google.com/spreadsheets/d/16St08vBtqG6cQ29Lh2yNSR8b82ABOrtscauHawL3SnA/edit?gid=1748251694#gid=1748251694"",""2025-26!G4"")"),0.0)</f>
        <v>0</v>
      </c>
      <c r="M134" s="57">
        <f t="shared" si="50"/>
        <v>3270193.24</v>
      </c>
      <c r="N134" s="56" t="str">
        <f t="shared" si="51"/>
        <v/>
      </c>
      <c r="O134" s="57">
        <f t="shared" si="52"/>
        <v>3174003</v>
      </c>
      <c r="P134" s="55">
        <f>IFERROR(__xludf.DUMMYFUNCTION("IMPORTRANGE(""https://docs.google.com/spreadsheets/d/16St08vBtqG6cQ29Lh2yNSR8b82ABOrtscauHawL3SnA/edit?gid=1748251694#gid=1748251694"",""2025-26!J4"")"),0.0)</f>
        <v>0</v>
      </c>
      <c r="Q134" s="55">
        <f>IFERROR(__xludf.DUMMYFUNCTION("IMPORTRANGE(""https://docs.google.com/spreadsheets/d/16St08vBtqG6cQ29Lh2yNSR8b82ABOrtscauHawL3SnA/edit?gid=1748251694#gid=1748251694"",""2025-26!J3"")"),0.0)</f>
        <v>0</v>
      </c>
      <c r="R134" s="55">
        <f>IFERROR(__xludf.DUMMYFUNCTION("IMPORTRANGE(""https://docs.google.com/spreadsheets/d/16St08vBtqG6cQ29Lh2yNSR8b82ABOrtscauHawL3SnA/edit?gid=1748251694#gid=1748251694"",""2025-26!K4"")"),0.0)</f>
        <v>0</v>
      </c>
      <c r="S134" s="55">
        <f>IFERROR(__xludf.DUMMYFUNCTION("IMPORTRANGE(""https://docs.google.com/spreadsheets/d/16St08vBtqG6cQ29Lh2yNSR8b82ABOrtscauHawL3SnA/edit?gid=1748251694#gid=1748251694"",""2025-26!K3"")"),0.0)</f>
        <v>0</v>
      </c>
      <c r="T134" s="58" t="str">
        <f t="shared" si="18"/>
        <v/>
      </c>
      <c r="U134" s="55">
        <f>IFERROR(__xludf.DUMMYFUNCTION("IMPORTRANGE(""https://docs.google.com/spreadsheets/d/16St08vBtqG6cQ29Lh2yNSR8b82ABOrtscauHawL3SnA/edit?gid=1748251694#gid=1748251694"",""2025-26!L4"")"),0.0)</f>
        <v>0</v>
      </c>
      <c r="V134" s="79">
        <f>IFERROR(__xludf.DUMMYFUNCTION("IMPORTRANGE(""https://docs.google.com/spreadsheets/d/16St08vBtqG6cQ29Lh2yNSR8b82ABOrtscauHawL3SnA/edit?gid=1748251694#gid=1748251694"",""2025-26!L3"")"),0.0)</f>
        <v>0</v>
      </c>
      <c r="W134" s="55">
        <f>IFERROR(__xludf.DUMMYFUNCTION("IMPORTRANGE(""https://docs.google.com/spreadsheets/d/16St08vBtqG6cQ29Lh2yNSR8b82ABOrtscauHawL3SnA/edit?gid=1748251694#gid=1748251694"",""2025-26!M4"")"),0.0)</f>
        <v>0</v>
      </c>
      <c r="X134" s="79">
        <f>IFERROR(__xludf.DUMMYFUNCTION("IMPORTRANGE(""https://docs.google.com/spreadsheets/d/16St08vBtqG6cQ29Lh2yNSR8b82ABOrtscauHawL3SnA/edit?gid=1748251694#gid=1748251694"",""2025-26!M3"")"),0.0)</f>
        <v>0</v>
      </c>
      <c r="Y134" s="55">
        <f>IFERROR(__xludf.DUMMYFUNCTION("importrange(""https://docs.google.com/spreadsheets/d/16St08vBtqG6cQ29Lh2yNSR8b82ABOrtscauHawL3SnA/edit?gid=1748251694#gid=1748251694"",""2025-26!n4"")"),0.0)</f>
        <v>0</v>
      </c>
      <c r="Z134" s="55">
        <f>IFERROR(__xludf.DUMMYFUNCTION("importrange(""https://docs.google.com/spreadsheets/d/16St08vBtqG6cQ29Lh2yNSR8b82ABOrtscauHawL3SnA/edit?gid=1748251694#gid=1748251694"",""2025-26!n3"")"),0.0)</f>
        <v>0</v>
      </c>
      <c r="AA134" s="58" t="str">
        <f t="shared" si="19"/>
        <v/>
      </c>
      <c r="AB134" s="55">
        <f>IFERROR(__xludf.DUMMYFUNCTION("importrange(""https://docs.google.com/spreadsheets/d/16St08vBtqG6cQ29Lh2yNSR8b82ABOrtscauHawL3SnA/edit?gid=1748251694#gid=1748251694"",""2025-26!o4"")"),0.0)</f>
        <v>0</v>
      </c>
      <c r="AC134" s="55">
        <f>IFERROR(__xludf.DUMMYFUNCTION("importrange(""https://docs.google.com/spreadsheets/d/16St08vBtqG6cQ29Lh2yNSR8b82ABOrtscauHawL3SnA/edit?gid=1748251694#gid=1748251694"",""2025-26!o3"")"),0.0)</f>
        <v>0</v>
      </c>
      <c r="AD134" s="55">
        <f>IFERROR(__xludf.DUMMYFUNCTION("importrange(""https://docs.google.com/spreadsheets/d/16St08vBtqG6cQ29Lh2yNSR8b82ABOrtscauHawL3SnA/edit?gid=1748251694#gid=1748251694"",""2025-26!p4"")"),0.0)</f>
        <v>0</v>
      </c>
      <c r="AE134" s="55">
        <f>IFERROR(__xludf.DUMMYFUNCTION("importrange(""https://docs.google.com/spreadsheets/d/16St08vBtqG6cQ29Lh2yNSR8b82ABOrtscauHawL3SnA/edit?gid=1748251694#gid=1748251694"",""2025-26!p3"")"),0.0)</f>
        <v>0</v>
      </c>
      <c r="AF134" s="55">
        <f>IFERROR(__xludf.DUMMYFUNCTION("importrange(""https://docs.google.com/spreadsheets/d/16St08vBtqG6cQ29Lh2yNSR8b82ABOrtscauHawL3SnA/edit?gid=1748251694#gid=1748251694"",""2025-26!q4"")"),0.0)</f>
        <v>0</v>
      </c>
      <c r="AG134" s="55">
        <f>IFERROR(__xludf.DUMMYFUNCTION("importrange(""https://docs.google.com/spreadsheets/d/16St08vBtqG6cQ29Lh2yNSR8b82ABOrtscauHawL3SnA/edit?gid=1748251694#gid=1748251694"",""2025-26!q3"")"),0.0)</f>
        <v>0</v>
      </c>
      <c r="AH134" s="58" t="str">
        <f t="shared" si="20"/>
        <v/>
      </c>
      <c r="AI134" s="55">
        <f>IFERROR(__xludf.DUMMYFUNCTION("importrange(""https://docs.google.com/spreadsheets/d/16St08vBtqG6cQ29Lh2yNSR8b82ABOrtscauHawL3SnA/edit?gid=1748251694#gid=1748251694"",""2025-26!r4"")"),0.0)</f>
        <v>0</v>
      </c>
      <c r="AJ134" s="55">
        <f>IFERROR(__xludf.DUMMYFUNCTION("importrange(""https://docs.google.com/spreadsheets/d/16St08vBtqG6cQ29Lh2yNSR8b82ABOrtscauHawL3SnA/edit?gid=1748251694#gid=1748251694"",""2025-26!r3"")"),0.0)</f>
        <v>0</v>
      </c>
      <c r="AK134" s="55">
        <f>IFERROR(__xludf.DUMMYFUNCTION("importrange(""https://docs.google.com/spreadsheets/d/16St08vBtqG6cQ29Lh2yNSR8b82ABOrtscauHawL3SnA/edit?gid=1748251694#gid=1748251694"",""2025-26!s4"")"),0.0)</f>
        <v>0</v>
      </c>
      <c r="AL134" s="55">
        <f>IFERROR(__xludf.DUMMYFUNCTION("importrange(""https://docs.google.com/spreadsheets/d/16St08vBtqG6cQ29Lh2yNSR8b82ABOrtscauHawL3SnA/edit?gid=1748251694#gid=1748251694"",""2025-26!s3"")"),0.0)</f>
        <v>0</v>
      </c>
      <c r="AM134" s="57">
        <f>IFERROR(__xludf.DUMMYFUNCTION("importrange(""https://docs.google.com/spreadsheets/d/16St08vBtqG6cQ29Lh2yNSR8b82ABOrtscauHawL3SnA/edit?gid=1748251694#gid=1748251694"",""2025-26!t4"")"),0.0)</f>
        <v>0</v>
      </c>
      <c r="AN134" s="55">
        <f>IFERROR(__xludf.DUMMYFUNCTION("importrange(""https://docs.google.com/spreadsheets/d/16St08vBtqG6cQ29Lh2yNSR8b82ABOrtscauHawL3SnA/edit?gid=1748251694#gid=1748251694"",""2025-26!t3"")"),0.0)</f>
        <v>0</v>
      </c>
      <c r="AO134" s="58" t="str">
        <f t="shared" si="21"/>
        <v/>
      </c>
      <c r="AP134" s="55">
        <f>IFERROR(__xludf.DUMMYFUNCTION("importrange(""https://docs.google.com/spreadsheets/d/16St08vBtqG6cQ29Lh2yNSR8b82ABOrtscauHawL3SnA/edit?gid=1748251694#gid=1748251694"",""2025-26!u4"")"),0.0)</f>
        <v>0</v>
      </c>
      <c r="AQ134" s="55">
        <f>IFERROR(__xludf.DUMMYFUNCTION("importrange(""https://docs.google.com/spreadsheets/d/16St08vBtqG6cQ29Lh2yNSR8b82ABOrtscauHawL3SnA/edit?gid=1748251694#gid=1748251694"",""2025-26!u3"")"),0.0)</f>
        <v>0</v>
      </c>
      <c r="AR134" s="55">
        <f>IFERROR(__xludf.DUMMYFUNCTION("importrange(""https://docs.google.com/spreadsheets/d/16St08vBtqG6cQ29Lh2yNSR8b82ABOrtscauHawL3SnA/edit?gid=1748251694#gid=1748251694"",""2025-26!v4"")"),0.0)</f>
        <v>0</v>
      </c>
      <c r="AS134" s="55">
        <f>IFERROR(__xludf.DUMMYFUNCTION("importrange(""https://docs.google.com/spreadsheets/d/16St08vBtqG6cQ29Lh2yNSR8b82ABOrtscauHawL3SnA/edit?gid=1748251694#gid=1748251694"",""2025-26!v3"")"),0.0)</f>
        <v>0</v>
      </c>
      <c r="AT134" s="57">
        <f>IFERROR(__xludf.DUMMYFUNCTION("importrange(""https://docs.google.com/spreadsheets/d/16St08vBtqG6cQ29Lh2yNSR8b82ABOrtscauHawL3SnA/edit?gid=1748251694#gid=1748251694"",""2025-26!w4"")"),0.0)</f>
        <v>0</v>
      </c>
      <c r="AU134" s="55">
        <f>IFERROR(__xludf.DUMMYFUNCTION("importrange(""https://docs.google.com/spreadsheets/d/16St08vBtqG6cQ29Lh2yNSR8b82ABOrtscauHawL3SnA/edit?gid=1748251694#gid=1748251694"",""2025-26!w3"")"),0.0)</f>
        <v>0</v>
      </c>
      <c r="AV134" s="58" t="str">
        <f t="shared" si="22"/>
        <v/>
      </c>
      <c r="AW134" s="55">
        <f>IFERROR(__xludf.DUMMYFUNCTION("importrange(""https://docs.google.com/spreadsheets/d/16St08vBtqG6cQ29Lh2yNSR8b82ABOrtscauHawL3SnA/edit?gid=1748251694#gid=1748251694"",""2025-26!x4"")"),0.0)</f>
        <v>0</v>
      </c>
      <c r="AX134" s="55">
        <f>IFERROR(__xludf.DUMMYFUNCTION("importrange(""https://docs.google.com/spreadsheets/d/16St08vBtqG6cQ29Lh2yNSR8b82ABOrtscauHawL3SnA/edit?gid=1748251694#gid=1748251694"",""2025-26!x3"")"),0.0)</f>
        <v>0</v>
      </c>
      <c r="AY134" s="55">
        <f>IFERROR(__xludf.DUMMYFUNCTION("importrange(""https://docs.google.com/spreadsheets/d/16St08vBtqG6cQ29Lh2yNSR8b82ABOrtscauHawL3SnA/edit?gid=1748251694#gid=1748251694"",""2025-26!y4"")"),0.0)</f>
        <v>0</v>
      </c>
      <c r="AZ134" s="55">
        <f>IFERROR(__xludf.DUMMYFUNCTION("importrange(""https://docs.google.com/spreadsheets/d/16St08vBtqG6cQ29Lh2yNSR8b82ABOrtscauHawL3SnA/edit?gid=1748251694#gid=1748251694"",""2025-26!y3"")"),0.0)</f>
        <v>0</v>
      </c>
      <c r="BA134" s="57">
        <f>IFERROR(__xludf.DUMMYFUNCTION("importrange(""https://docs.google.com/spreadsheets/d/16St08vBtqG6cQ29Lh2yNSR8b82ABOrtscauHawL3SnA/edit?gid=1748251694#gid=1748251694"",""2025-26!z4"")"),0.0)</f>
        <v>0</v>
      </c>
      <c r="BB134" s="55">
        <f>IFERROR(__xludf.DUMMYFUNCTION("importrange(""https://docs.google.com/spreadsheets/d/16St08vBtqG6cQ29Lh2yNSR8b82ABOrtscauHawL3SnA/edit?gid=1748251694#gid=1748251694"",""2025-26!z3"")"),0.0)</f>
        <v>0</v>
      </c>
      <c r="BC134" s="59" t="str">
        <f t="shared" si="23"/>
        <v/>
      </c>
      <c r="BD134" s="55">
        <f>IFERROR(__xludf.DUMMYFUNCTION("importrange(""https://docs.google.com/spreadsheets/d/16St08vBtqG6cQ29Lh2yNSR8b82ABOrtscauHawL3SnA/edit?gid=1748251694#gid=1748251694"",""2025-26!aa4"")"),0.0)</f>
        <v>0</v>
      </c>
      <c r="BE134" s="55">
        <f>IFERROR(__xludf.DUMMYFUNCTION("importrange(""https://docs.google.com/spreadsheets/d/16St08vBtqG6cQ29Lh2yNSR8b82ABOrtscauHawL3SnA/edit?gid=1748251694#gid=1748251694"",""2025-26!aa3"")"),0.0)</f>
        <v>0</v>
      </c>
      <c r="BF134" s="55">
        <f>IFERROR(__xludf.DUMMYFUNCTION("importrange(""https://docs.google.com/spreadsheets/d/16St08vBtqG6cQ29Lh2yNSR8b82ABOrtscauHawL3SnA/edit?gid=1748251694#gid=1748251694"",""2025-26!ab4"")"),0.0)</f>
        <v>0</v>
      </c>
      <c r="BG134" s="55">
        <f>IFERROR(__xludf.DUMMYFUNCTION("importrange(""https://docs.google.com/spreadsheets/d/16St08vBtqG6cQ29Lh2yNSR8b82ABOrtscauHawL3SnA/edit?gid=1748251694#gid=1748251694"",""2025-26!ab3"")"),0.0)</f>
        <v>0</v>
      </c>
      <c r="BH134" s="55">
        <f>IFERROR(__xludf.DUMMYFUNCTION("importrange(""https://docs.google.com/spreadsheets/d/16St08vBtqG6cQ29Lh2yNSR8b82ABOrtscauHawL3SnA/edit?gid=1748251694#gid=1748251694"",""2025-26!ac4"")"),0.0)</f>
        <v>0</v>
      </c>
      <c r="BI134" s="55">
        <f>IFERROR(__xludf.DUMMYFUNCTION("importrange(""https://docs.google.com/spreadsheets/d/16St08vBtqG6cQ29Lh2yNSR8b82ABOrtscauHawL3SnA/edit?gid=1748251694#gid=1748251694"",""2025-26!ac3"")"),0.0)</f>
        <v>0</v>
      </c>
      <c r="BJ134" s="59" t="str">
        <f t="shared" si="24"/>
        <v/>
      </c>
      <c r="BK134" s="55">
        <f>IFERROR(__xludf.DUMMYFUNCTION("importrange(""https://docs.google.com/spreadsheets/d/16St08vBtqG6cQ29Lh2yNSR8b82ABOrtscauHawL3SnA/edit?gid=1748251694#gid=1748251694"",""2025-26!ad4"")"),0.0)</f>
        <v>0</v>
      </c>
      <c r="BL134" s="55">
        <f>IFERROR(__xludf.DUMMYFUNCTION("importrange(""https://docs.google.com/spreadsheets/d/16St08vBtqG6cQ29Lh2yNSR8b82ABOrtscauHawL3SnA/edit?gid=1748251694#gid=1748251694"",""2025-26!ad3"")"),0.0)</f>
        <v>0</v>
      </c>
      <c r="BM134" s="55">
        <f>IFERROR(__xludf.DUMMYFUNCTION("importrange(""https://docs.google.com/spreadsheets/d/16St08vBtqG6cQ29Lh2yNSR8b82ABOrtscauHawL3SnA/edit?gid=1748251694#gid=1748251694"",""2025-26!ae4"")"),0.0)</f>
        <v>0</v>
      </c>
      <c r="BN134" s="55">
        <f>IFERROR(__xludf.DUMMYFUNCTION("importrange(""https://docs.google.com/spreadsheets/d/16St08vBtqG6cQ29Lh2yNSR8b82ABOrtscauHawL3SnA/edit?gid=1748251694#gid=1748251694"",""2025-26!ae3"")"),0.0)</f>
        <v>0</v>
      </c>
      <c r="BO134" s="55">
        <f>IFERROR(__xludf.DUMMYFUNCTION("importrange(""https://docs.google.com/spreadsheets/d/16St08vBtqG6cQ29Lh2yNSR8b82ABOrtscauHawL3SnA/edit?gid=1748251694#gid=1748251694"",""2025-26!af4"")"),0.0)</f>
        <v>0</v>
      </c>
      <c r="BP134" s="55">
        <f>IFERROR(__xludf.DUMMYFUNCTION("importrange(""https://docs.google.com/spreadsheets/d/16St08vBtqG6cQ29Lh2yNSR8b82ABOrtscauHawL3SnA/edit?gid=1748251694#gid=1748251694"",""2025-26!af3"")"),0.0)</f>
        <v>0</v>
      </c>
      <c r="BQ134" s="59" t="str">
        <f t="shared" si="25"/>
        <v/>
      </c>
      <c r="BR134" s="55">
        <f>IFERROR(__xludf.DUMMYFUNCTION("importrange(""https://docs.google.com/spreadsheets/d/16St08vBtqG6cQ29Lh2yNSR8b82ABOrtscauHawL3SnA/edit?gid=1748251694#gid=1748251694"",""2025-26!ag4"")"),0.0)</f>
        <v>0</v>
      </c>
      <c r="BS134" s="55">
        <f>IFERROR(__xludf.DUMMYFUNCTION("importrange(""https://docs.google.com/spreadsheets/d/16St08vBtqG6cQ29Lh2yNSR8b82ABOrtscauHawL3SnA/edit?gid=1748251694#gid=1748251694"",""2025-26!ag3"")"),0.0)</f>
        <v>0</v>
      </c>
      <c r="BT134" s="55">
        <f>IFERROR(__xludf.DUMMYFUNCTION("importrange(""https://docs.google.com/spreadsheets/d/16St08vBtqG6cQ29Lh2yNSR8b82ABOrtscauHawL3SnA/edit?gid=1748251694#gid=1748251694"",""2025-26!ah4"")"),0.0)</f>
        <v>0</v>
      </c>
      <c r="BU134" s="55">
        <f>IFERROR(__xludf.DUMMYFUNCTION("importrange(""https://docs.google.com/spreadsheets/d/16St08vBtqG6cQ29Lh2yNSR8b82ABOrtscauHawL3SnA/edit?gid=1748251694#gid=1748251694"",""2025-26!ah3"")"),0.0)</f>
        <v>0</v>
      </c>
      <c r="BV134" s="55">
        <f>IFERROR(__xludf.DUMMYFUNCTION("importrange(""https://docs.google.com/spreadsheets/d/16St08vBtqG6cQ29Lh2yNSR8b82ABOrtscauHawL3SnA/edit?gid=1748251694#gid=1748251694"",""2025-26!ai4"")"),0.0)</f>
        <v>0</v>
      </c>
      <c r="BW134" s="55">
        <f>IFERROR(__xludf.DUMMYFUNCTION("importrange(""https://docs.google.com/spreadsheets/d/16St08vBtqG6cQ29Lh2yNSR8b82ABOrtscauHawL3SnA/edit?gid=1748251694#gid=1748251694"",""2025-26!ai3"")"),0.0)</f>
        <v>0</v>
      </c>
      <c r="BX134" s="59" t="str">
        <f t="shared" si="26"/>
        <v/>
      </c>
      <c r="BY134" s="55">
        <f>IFERROR(__xludf.DUMMYFUNCTION("importrange(""https://docs.google.com/spreadsheets/d/16St08vBtqG6cQ29Lh2yNSR8b82ABOrtscauHawL3SnA/edit?gid=1748251694#gid=1748251694"",""2025-26!aj4"")"),0.0)</f>
        <v>0</v>
      </c>
      <c r="BZ134" s="55">
        <f>IFERROR(__xludf.DUMMYFUNCTION("importrange(""https://docs.google.com/spreadsheets/d/16St08vBtqG6cQ29Lh2yNSR8b82ABOrtscauHawL3SnA/edit?gid=1748251694#gid=1748251694"",""2025-26!aj3"")"),0.0)</f>
        <v>0</v>
      </c>
      <c r="CA134" s="55">
        <f>IFERROR(__xludf.DUMMYFUNCTION("importrange(""https://docs.google.com/spreadsheets/d/16St08vBtqG6cQ29Lh2yNSR8b82ABOrtscauHawL3SnA/edit?gid=1748251694#gid=1748251694"",""2025-26!ak4"")"),0.0)</f>
        <v>0</v>
      </c>
      <c r="CB134" s="55">
        <f>IFERROR(__xludf.DUMMYFUNCTION("importrange(""https://docs.google.com/spreadsheets/d/16St08vBtqG6cQ29Lh2yNSR8b82ABOrtscauHawL3SnA/edit?gid=1748251694#gid=1748251694"",""2025-26!ak3"")"),0.0)</f>
        <v>0</v>
      </c>
      <c r="CC134" s="55">
        <f>IFERROR(__xludf.DUMMYFUNCTION("importrange(""https://docs.google.com/spreadsheets/d/16St08vBtqG6cQ29Lh2yNSR8b82ABOrtscauHawL3SnA/edit?gid=1748251694#gid=1748251694"",""2025-26!al4"")"),506822.38)</f>
        <v>506822.38</v>
      </c>
      <c r="CD134" s="55">
        <f>IFERROR(__xludf.DUMMYFUNCTION("importrange(""https://docs.google.com/spreadsheets/d/16St08vBtqG6cQ29Lh2yNSR8b82ABOrtscauHawL3SnA/edit?gid=1748251694#gid=1748251694"",""2025-26!ai3"")"),0.0)</f>
        <v>0</v>
      </c>
      <c r="CE134" s="59" t="str">
        <f t="shared" si="27"/>
        <v/>
      </c>
      <c r="CF134" s="55">
        <f>IFERROR(__xludf.DUMMYFUNCTION("importrange(""https://docs.google.com/spreadsheets/d/16St08vBtqG6cQ29Lh2yNSR8b82ABOrtscauHawL3SnA/edit?gid=1748251694#gid=1748251694"",""2025-26!am4"")"),78910.0)</f>
        <v>78910</v>
      </c>
      <c r="CG134" s="55">
        <f>IFERROR(__xludf.DUMMYFUNCTION("importrange(""https://docs.google.com/spreadsheets/d/16St08vBtqG6cQ29Lh2yNSR8b82ABOrtscauHawL3SnA/edit?gid=1748251694#gid=1748251694"",""2025-26!am3"")"),2.0)</f>
        <v>2</v>
      </c>
      <c r="CH134" s="55">
        <f>IFERROR(__xludf.DUMMYFUNCTION("importrange(""https://docs.google.com/spreadsheets/d/16St08vBtqG6cQ29Lh2yNSR8b82ABOrtscauHawL3SnA/edit?gid=1748251694#gid=1748251694"",""2025-26!an4"")"),0.0)</f>
        <v>0</v>
      </c>
      <c r="CI134" s="55">
        <f>IFERROR(__xludf.DUMMYFUNCTION("importrange(""https://docs.google.com/spreadsheets/d/16St08vBtqG6cQ29Lh2yNSR8b82ABOrtscauHawL3SnA/edit?gid=1748251694#gid=1748251694"",""2025-26!an3"")"),0.0)</f>
        <v>0</v>
      </c>
      <c r="CJ134" s="55">
        <f>IFERROR(__xludf.DUMMYFUNCTION("importrange(""https://docs.google.com/spreadsheets/d/16St08vBtqG6cQ29Lh2yNSR8b82ABOrtscauHawL3SnA/edit?gid=1748251694#gid=1748251694"",""2025-26!ao4"")"),852898.82)</f>
        <v>852898.82</v>
      </c>
      <c r="CK134" s="55">
        <f>IFERROR(__xludf.DUMMYFUNCTION("importrange(""https://docs.google.com/spreadsheets/d/16St08vBtqG6cQ29Lh2yNSR8b82ABOrtscauHawL3SnA/edit?gid=1748251694#gid=1748251694"",""2025-26!ao3"")"),12.0)</f>
        <v>12</v>
      </c>
      <c r="CL134" s="59" t="str">
        <f t="shared" si="28"/>
        <v/>
      </c>
      <c r="CM134" s="55">
        <f>IFERROR(__xludf.DUMMYFUNCTION("importrange(""https://docs.google.com/spreadsheets/d/16St08vBtqG6cQ29Lh2yNSR8b82ABOrtscauHawL3SnA/edit?gid=1748251694#gid=1748251694"",""2025-26!ap4"")"),788892.0)</f>
        <v>788892</v>
      </c>
      <c r="CN134" s="55">
        <f>IFERROR(__xludf.DUMMYFUNCTION("importrange(""https://docs.google.com/spreadsheets/d/16St08vBtqG6cQ29Lh2yNSR8b82ABOrtscauHawL3SnA/edit?gid=1748251694#gid=1748251694"",""2025-26!ap3"")"),11.0)</f>
        <v>11</v>
      </c>
      <c r="CO134" s="55">
        <f>IFERROR(__xludf.DUMMYFUNCTION("importrange(""https://docs.google.com/spreadsheets/d/16St08vBtqG6cQ29Lh2yNSR8b82ABOrtscauHawL3SnA/edit?gid=1748251694#gid=1748251694"",""2025-26!aq4"")"),0.0)</f>
        <v>0</v>
      </c>
      <c r="CP134" s="55">
        <f>IFERROR(__xludf.DUMMYFUNCTION("importrange(""https://docs.google.com/spreadsheets/d/16St08vBtqG6cQ29Lh2yNSR8b82ABOrtscauHawL3SnA/edit?gid=1748251694#gid=1748251694"",""2025-26!aq3"")"),0.0)</f>
        <v>0</v>
      </c>
      <c r="CQ134" s="55">
        <f>IFERROR(__xludf.DUMMYFUNCTION("importrange(""https://docs.google.com/spreadsheets/d/16St08vBtqG6cQ29Lh2yNSR8b82ABOrtscauHawL3SnA/edit?gid=1748251694#gid=1748251694"",""2025-26!ar4"")"),1910472.04)</f>
        <v>1910472.04</v>
      </c>
      <c r="CR134" s="55">
        <f>IFERROR(__xludf.DUMMYFUNCTION("importrange(""https://docs.google.com/spreadsheets/d/16St08vBtqG6cQ29Lh2yNSR8b82ABOrtscauHawL3SnA/edit?gid=1748251694#gid=1748251694"",""2025-26!ar3"")"),19.0)</f>
        <v>19</v>
      </c>
      <c r="CS134" s="59" t="str">
        <f t="shared" si="29"/>
        <v/>
      </c>
      <c r="CT134" s="55">
        <f>IFERROR(__xludf.DUMMYFUNCTION("importrange(""https://docs.google.com/spreadsheets/d/16St08vBtqG6cQ29Lh2yNSR8b82ABOrtscauHawL3SnA/edit?gid=1748251694#gid=1748251694"",""2025-26!as4"")"),2306201.0)</f>
        <v>2306201</v>
      </c>
      <c r="CU134" s="55">
        <f>IFERROR(__xludf.DUMMYFUNCTION("importrange(""https://docs.google.com/spreadsheets/d/16St08vBtqG6cQ29Lh2yNSR8b82ABOrtscauHawL3SnA/edit?gid=1748251694#gid=1748251694"",""2025-26!as3"")"),24.0)</f>
        <v>24</v>
      </c>
      <c r="CV134" s="60" t="s">
        <v>189</v>
      </c>
    </row>
    <row r="135">
      <c r="A135" s="1" t="s">
        <v>185</v>
      </c>
      <c r="B135" s="37"/>
      <c r="C135" s="110" t="s">
        <v>292</v>
      </c>
      <c r="D135" s="65" t="s">
        <v>293</v>
      </c>
      <c r="E135" s="68">
        <v>8.918241755E9</v>
      </c>
      <c r="F135" s="78">
        <v>46087.0</v>
      </c>
      <c r="G135" s="5"/>
      <c r="H135" s="5"/>
      <c r="I135" s="70">
        <v>42480.0</v>
      </c>
      <c r="J135" s="54"/>
      <c r="K135" s="57" t="str">
        <f>IFERROR(__xludf.DUMMYFUNCTION("IMPORTRANGE(""https://docs.google.com/spreadsheets/d/1zXPh69S6ryZEZcVhfjtAeevcaJY_x59C3APN5fjBE5Q/edit?gid=1748251694#gid=1748251694"",""2025-26!A3"")"),"")</f>
        <v/>
      </c>
      <c r="L135" s="57" t="str">
        <f>IFERROR(__xludf.DUMMYFUNCTION("IMPORTRANGE(""https://docs.google.com/spreadsheets/d/1zXPh69S6ryZEZcVhfjtAeevcaJY_x59C3APN5fjBE5Q/edit?gid=1748251694#gid=1748251694"",""2025-26!G4"")"),"")</f>
        <v/>
      </c>
      <c r="M135" s="57">
        <f t="shared" si="50"/>
        <v>0</v>
      </c>
      <c r="N135" s="56" t="str">
        <f t="shared" si="51"/>
        <v/>
      </c>
      <c r="O135" s="57">
        <f t="shared" si="52"/>
        <v>0</v>
      </c>
      <c r="P135" s="55" t="str">
        <f>IFERROR(__xludf.DUMMYFUNCTION("IMPORTRANGE(""https://docs.google.com/spreadsheets/d/1zXPh69S6ryZEZcVhfjtAeevcaJY_x59C3APN5fjBE5Q/edit?gid=1748251694#gid=1748251694"",""2025-26!J4"")"),"")</f>
        <v/>
      </c>
      <c r="Q135" s="55" t="str">
        <f>IFERROR(__xludf.DUMMYFUNCTION("IMPORTRANGE(""https://docs.google.com/spreadsheets/d/1zXPh69S6ryZEZcVhfjtAeevcaJY_x59C3APN5fjBE5Q/edit?gid=1748251694#gid=1748251694"",""2025-26!J3"")"),"")</f>
        <v/>
      </c>
      <c r="R135" s="55" t="str">
        <f>IFERROR(__xludf.DUMMYFUNCTION("IMPORTRANGE(""https://docs.google.com/spreadsheets/d/1zXPh69S6ryZEZcVhfjtAeevcaJY_x59C3APN5fjBE5Q/edit?gid=1748251694#gid=1748251694"",""2025-26!K4"")"),"")</f>
        <v/>
      </c>
      <c r="S135" s="55" t="str">
        <f>IFERROR(__xludf.DUMMYFUNCTION("IMPORTRANGE(""https://docs.google.com/spreadsheets/d/1zXPh69S6ryZEZcVhfjtAeevcaJY_x59C3APN5fjBE5Q/edit?gid=1748251694#gid=1748251694"",""2025-26!K3"")"),"")</f>
        <v/>
      </c>
      <c r="T135" s="58" t="str">
        <f t="shared" si="18"/>
        <v/>
      </c>
      <c r="U135" s="55" t="str">
        <f>IFERROR(__xludf.DUMMYFUNCTION("IMPORTRANGE(""https://docs.google.com/spreadsheets/d/1zXPh69S6ryZEZcVhfjtAeevcaJY_x59C3APN5fjBE5Q/edit?gid=1748251694#gid=1748251694"",""2025-26!L4"")"),"")</f>
        <v/>
      </c>
      <c r="V135" s="79" t="str">
        <f>IFERROR(__xludf.DUMMYFUNCTION("IMPORTRANGE(""https://docs.google.com/spreadsheets/d/1zXPh69S6ryZEZcVhfjtAeevcaJY_x59C3APN5fjBE5Q/edit?gid=1748251694#gid=1748251694"",""2025-26!L3"")"),"")</f>
        <v/>
      </c>
      <c r="W135" s="55" t="str">
        <f>IFERROR(__xludf.DUMMYFUNCTION("IMPORTRANGE(""https://docs.google.com/spreadsheets/d/1zXPh69S6ryZEZcVhfjtAeevcaJY_x59C3APN5fjBE5Q/edit?gid=1748251694#gid=1748251694"",""2025-26!M4"")"),"")</f>
        <v/>
      </c>
      <c r="X135" s="79" t="str">
        <f>IFERROR(__xludf.DUMMYFUNCTION("IMPORTRANGE(""https://docs.google.com/spreadsheets/d/1zXPh69S6ryZEZcVhfjtAeevcaJY_x59C3APN5fjBE5Q/edit?gid=1748251694#gid=1748251694"",""2025-26!M3"")"),"")</f>
        <v/>
      </c>
      <c r="Y135" s="55" t="str">
        <f>IFERROR(__xludf.DUMMYFUNCTION("importrange(""https://docs.google.com/spreadsheets/d/1zXPh69S6ryZEZcVhfjtAeevcaJY_x59C3APN5fjBE5Q/edit?gid=1748251694#gid=1748251694"",""2025-26!n4"")"),"")</f>
        <v/>
      </c>
      <c r="Z135" s="55" t="str">
        <f>IFERROR(__xludf.DUMMYFUNCTION("importrange(""https://docs.google.com/spreadsheets/d/1zXPh69S6ryZEZcVhfjtAeevcaJY_x59C3APN5fjBE5Q/edit?gid=1748251694#gid=1748251694"",""2025-26!n3"")"),"")</f>
        <v/>
      </c>
      <c r="AA135" s="58" t="str">
        <f t="shared" si="19"/>
        <v/>
      </c>
      <c r="AB135" s="55" t="str">
        <f>IFERROR(__xludf.DUMMYFUNCTION("importrange(""https://docs.google.com/spreadsheets/d/1zXPh69S6ryZEZcVhfjtAeevcaJY_x59C3APN5fjBE5Q/edit?gid=1748251694#gid=1748251694"",""2025-26!o4"")"),"")</f>
        <v/>
      </c>
      <c r="AC135" s="55" t="str">
        <f>IFERROR(__xludf.DUMMYFUNCTION("importrange(""https://docs.google.com/spreadsheets/d/1zXPh69S6ryZEZcVhfjtAeevcaJY_x59C3APN5fjBE5Q/edit?gid=1748251694#gid=1748251694"",""2025-26!o3"")"),"")</f>
        <v/>
      </c>
      <c r="AD135" s="55" t="str">
        <f>IFERROR(__xludf.DUMMYFUNCTION("importrange(""https://docs.google.com/spreadsheets/d/1zXPh69S6ryZEZcVhfjtAeevcaJY_x59C3APN5fjBE5Q/edit?gid=1748251694#gid=1748251694"",""2025-26!p4"")"),"")</f>
        <v/>
      </c>
      <c r="AE135" s="55" t="str">
        <f>IFERROR(__xludf.DUMMYFUNCTION("importrange(""https://docs.google.com/spreadsheets/d/1zXPh69S6ryZEZcVhfjtAeevcaJY_x59C3APN5fjBE5Q/edit?gid=1748251694#gid=1748251694"",""2025-26!p3"")"),"")</f>
        <v/>
      </c>
      <c r="AF135" s="55" t="str">
        <f>IFERROR(__xludf.DUMMYFUNCTION("importrange(""https://docs.google.com/spreadsheets/d/1zXPh69S6ryZEZcVhfjtAeevcaJY_x59C3APN5fjBE5Q/edit?gid=1748251694#gid=1748251694"",""2025-26!q4"")"),"")</f>
        <v/>
      </c>
      <c r="AG135" s="55" t="str">
        <f>IFERROR(__xludf.DUMMYFUNCTION("importrange(""https://docs.google.com/spreadsheets/d/1zXPh69S6ryZEZcVhfjtAeevcaJY_x59C3APN5fjBE5Q/edit?gid=1748251694#gid=1748251694"",""2025-26!q3"")"),"")</f>
        <v/>
      </c>
      <c r="AH135" s="58" t="str">
        <f t="shared" si="20"/>
        <v/>
      </c>
      <c r="AI135" s="55" t="str">
        <f>IFERROR(__xludf.DUMMYFUNCTION("importrange(""https://docs.google.com/spreadsheets/d/1zXPh69S6ryZEZcVhfjtAeevcaJY_x59C3APN5fjBE5Q/edit?gid=1748251694#gid=1748251694"",""2025-26!r4"")"),"")</f>
        <v/>
      </c>
      <c r="AJ135" s="55" t="str">
        <f>IFERROR(__xludf.DUMMYFUNCTION("importrange(""https://docs.google.com/spreadsheets/d/1zXPh69S6ryZEZcVhfjtAeevcaJY_x59C3APN5fjBE5Q/edit?gid=1748251694#gid=1748251694"",""2025-26!r3"")"),"")</f>
        <v/>
      </c>
      <c r="AK135" s="55" t="str">
        <f>IFERROR(__xludf.DUMMYFUNCTION("importrange(""https://docs.google.com/spreadsheets/d/1zXPh69S6ryZEZcVhfjtAeevcaJY_x59C3APN5fjBE5Q/edit?gid=1748251694#gid=1748251694"",""2025-26!s4"")"),"")</f>
        <v/>
      </c>
      <c r="AL135" s="55" t="str">
        <f>IFERROR(__xludf.DUMMYFUNCTION("importrange(""https://docs.google.com/spreadsheets/d/1zXPh69S6ryZEZcVhfjtAeevcaJY_x59C3APN5fjBE5Q/edit?gid=1748251694#gid=1748251694"",""2025-26!s3"")"),"")</f>
        <v/>
      </c>
      <c r="AM135" s="57" t="str">
        <f>IFERROR(__xludf.DUMMYFUNCTION("importrange(""https://docs.google.com/spreadsheets/d/1zXPh69S6ryZEZcVhfjtAeevcaJY_x59C3APN5fjBE5Q/edit?gid=1748251694#gid=1748251694"",""2025-26!t4"")"),"")</f>
        <v/>
      </c>
      <c r="AN135" s="55" t="str">
        <f>IFERROR(__xludf.DUMMYFUNCTION("importrange(""https://docs.google.com/spreadsheets/d/1zXPh69S6ryZEZcVhfjtAeevcaJY_x59C3APN5fjBE5Q/edit?gid=1748251694#gid=1748251694"",""2025-26!t3"")"),"")</f>
        <v/>
      </c>
      <c r="AO135" s="58" t="str">
        <f t="shared" si="21"/>
        <v/>
      </c>
      <c r="AP135" s="55" t="str">
        <f>IFERROR(__xludf.DUMMYFUNCTION("importrange(""https://docs.google.com/spreadsheets/d/1zXPh69S6ryZEZcVhfjtAeevcaJY_x59C3APN5fjBE5Q/edit?gid=1748251694#gid=1748251694"",""2025-26!u4"")"),"")</f>
        <v/>
      </c>
      <c r="AQ135" s="55" t="str">
        <f>IFERROR(__xludf.DUMMYFUNCTION("importrange(""https://docs.google.com/spreadsheets/d/1zXPh69S6ryZEZcVhfjtAeevcaJY_x59C3APN5fjBE5Q/edit?gid=1748251694#gid=1748251694"",""2025-26!u3"")"),"")</f>
        <v/>
      </c>
      <c r="AR135" s="55" t="str">
        <f>IFERROR(__xludf.DUMMYFUNCTION("importrange(""https://docs.google.com/spreadsheets/d/1zXPh69S6ryZEZcVhfjtAeevcaJY_x59C3APN5fjBE5Q/edit?gid=1748251694#gid=1748251694"",""2025-26!v4"")"),"")</f>
        <v/>
      </c>
      <c r="AS135" s="55" t="str">
        <f>IFERROR(__xludf.DUMMYFUNCTION("importrange(""https://docs.google.com/spreadsheets/d/1zXPh69S6ryZEZcVhfjtAeevcaJY_x59C3APN5fjBE5Q/edit?gid=1748251694#gid=1748251694"",""2025-26!v3"")"),"")</f>
        <v/>
      </c>
      <c r="AT135" s="57" t="str">
        <f>IFERROR(__xludf.DUMMYFUNCTION("importrange(""https://docs.google.com/spreadsheets/d/1zXPh69S6ryZEZcVhfjtAeevcaJY_x59C3APN5fjBE5Q/edit?gid=1748251694#gid=1748251694"",""2025-26!w4"")"),"")</f>
        <v/>
      </c>
      <c r="AU135" s="55" t="str">
        <f>IFERROR(__xludf.DUMMYFUNCTION("importrange(""https://docs.google.com/spreadsheets/d/1zXPh69S6ryZEZcVhfjtAeevcaJY_x59C3APN5fjBE5Q/edit?gid=1748251694#gid=1748251694"",""2025-26!w3"")"),"")</f>
        <v/>
      </c>
      <c r="AV135" s="58" t="str">
        <f t="shared" si="22"/>
        <v/>
      </c>
      <c r="AW135" s="55" t="str">
        <f>IFERROR(__xludf.DUMMYFUNCTION("importrange(""https://docs.google.com/spreadsheets/d/1zXPh69S6ryZEZcVhfjtAeevcaJY_x59C3APN5fjBE5Q/edit?gid=1748251694#gid=1748251694"",""2025-26!x4"")"),"")</f>
        <v/>
      </c>
      <c r="AX135" s="55" t="str">
        <f>IFERROR(__xludf.DUMMYFUNCTION("importrange(""https://docs.google.com/spreadsheets/d/1zXPh69S6ryZEZcVhfjtAeevcaJY_x59C3APN5fjBE5Q/edit?gid=1748251694#gid=1748251694"",""2025-26!x3"")"),"")</f>
        <v/>
      </c>
      <c r="AY135" s="55" t="str">
        <f>IFERROR(__xludf.DUMMYFUNCTION("importrange(""https://docs.google.com/spreadsheets/d/1zXPh69S6ryZEZcVhfjtAeevcaJY_x59C3APN5fjBE5Q/edit?gid=1748251694#gid=1748251694"",""2025-26!y4"")"),"")</f>
        <v/>
      </c>
      <c r="AZ135" s="55" t="str">
        <f>IFERROR(__xludf.DUMMYFUNCTION("importrange(""https://docs.google.com/spreadsheets/d/1zXPh69S6ryZEZcVhfjtAeevcaJY_x59C3APN5fjBE5Q/edit?gid=1748251694#gid=1748251694"",""2025-26!y3"")"),"")</f>
        <v/>
      </c>
      <c r="BA135" s="57" t="str">
        <f>IFERROR(__xludf.DUMMYFUNCTION("importrange(""https://docs.google.com/spreadsheets/d/1zXPh69S6ryZEZcVhfjtAeevcaJY_x59C3APN5fjBE5Q/edit?gid=1748251694#gid=1748251694"",""2025-26!z4"")"),"")</f>
        <v/>
      </c>
      <c r="BB135" s="55" t="str">
        <f>IFERROR(__xludf.DUMMYFUNCTION("importrange(""https://docs.google.com/spreadsheets/d/1zXPh69S6ryZEZcVhfjtAeevcaJY_x59C3APN5fjBE5Q/edit?gid=1748251694#gid=1748251694"",""2025-26!z3"")"),"")</f>
        <v/>
      </c>
      <c r="BC135" s="59" t="str">
        <f t="shared" si="23"/>
        <v/>
      </c>
      <c r="BD135" s="55" t="str">
        <f>IFERROR(__xludf.DUMMYFUNCTION("importrange(""https://docs.google.com/spreadsheets/d/1zXPh69S6ryZEZcVhfjtAeevcaJY_x59C3APN5fjBE5Q/edit?gid=1748251694#gid=1748251694"",""2025-26!aa4"")"),"")</f>
        <v/>
      </c>
      <c r="BE135" s="55" t="str">
        <f>IFERROR(__xludf.DUMMYFUNCTION("importrange(""https://docs.google.com/spreadsheets/d/1zXPh69S6ryZEZcVhfjtAeevcaJY_x59C3APN5fjBE5Q/edit?gid=1748251694#gid=1748251694"",""2025-26!aa3"")"),"")</f>
        <v/>
      </c>
      <c r="BF135" s="55" t="str">
        <f>IFERROR(__xludf.DUMMYFUNCTION("importrange(""https://docs.google.com/spreadsheets/d/1zXPh69S6ryZEZcVhfjtAeevcaJY_x59C3APN5fjBE5Q/edit?gid=1748251694#gid=1748251694"",""2025-26!ab4"")"),"")</f>
        <v/>
      </c>
      <c r="BG135" s="55" t="str">
        <f>IFERROR(__xludf.DUMMYFUNCTION("importrange(""https://docs.google.com/spreadsheets/d/1zXPh69S6ryZEZcVhfjtAeevcaJY_x59C3APN5fjBE5Q/edit?gid=1748251694#gid=1748251694"",""2025-26!ab3"")"),"")</f>
        <v/>
      </c>
      <c r="BH135" s="55" t="str">
        <f>IFERROR(__xludf.DUMMYFUNCTION("importrange(""https://docs.google.com/spreadsheets/d/1zXPh69S6ryZEZcVhfjtAeevcaJY_x59C3APN5fjBE5Q/edit?gid=1748251694#gid=1748251694"",""2025-26!ac4"")"),"")</f>
        <v/>
      </c>
      <c r="BI135" s="55" t="str">
        <f>IFERROR(__xludf.DUMMYFUNCTION("importrange(""https://docs.google.com/spreadsheets/d/1zXPh69S6ryZEZcVhfjtAeevcaJY_x59C3APN5fjBE5Q/edit?gid=1748251694#gid=1748251694"",""2025-26!ac3"")"),"")</f>
        <v/>
      </c>
      <c r="BJ135" s="59" t="str">
        <f t="shared" si="24"/>
        <v/>
      </c>
      <c r="BK135" s="55" t="str">
        <f>IFERROR(__xludf.DUMMYFUNCTION("importrange(""https://docs.google.com/spreadsheets/d/1zXPh69S6ryZEZcVhfjtAeevcaJY_x59C3APN5fjBE5Q/edit?gid=1748251694#gid=1748251694"",""2025-26!ad4"")"),"")</f>
        <v/>
      </c>
      <c r="BL135" s="55" t="str">
        <f>IFERROR(__xludf.DUMMYFUNCTION("importrange(""https://docs.google.com/spreadsheets/d/1zXPh69S6ryZEZcVhfjtAeevcaJY_x59C3APN5fjBE5Q/edit?gid=1748251694#gid=1748251694"",""2025-26!ad3"")"),"")</f>
        <v/>
      </c>
      <c r="BM135" s="55" t="str">
        <f>IFERROR(__xludf.DUMMYFUNCTION("importrange(""https://docs.google.com/spreadsheets/d/1zXPh69S6ryZEZcVhfjtAeevcaJY_x59C3APN5fjBE5Q/edit?gid=1748251694#gid=1748251694"",""2025-26!ae4"")"),"")</f>
        <v/>
      </c>
      <c r="BN135" s="55" t="str">
        <f>IFERROR(__xludf.DUMMYFUNCTION("importrange(""https://docs.google.com/spreadsheets/d/1zXPh69S6ryZEZcVhfjtAeevcaJY_x59C3APN5fjBE5Q/edit?gid=1748251694#gid=1748251694"",""2025-26!ae3"")"),"")</f>
        <v/>
      </c>
      <c r="BO135" s="55" t="str">
        <f>IFERROR(__xludf.DUMMYFUNCTION("importrange(""https://docs.google.com/spreadsheets/d/1zXPh69S6ryZEZcVhfjtAeevcaJY_x59C3APN5fjBE5Q/edit?gid=1748251694#gid=1748251694"",""2025-26!af4"")"),"")</f>
        <v/>
      </c>
      <c r="BP135" s="55" t="str">
        <f>IFERROR(__xludf.DUMMYFUNCTION("importrange(""https://docs.google.com/spreadsheets/d/1zXPh69S6ryZEZcVhfjtAeevcaJY_x59C3APN5fjBE5Q/edit?gid=1748251694#gid=1748251694"",""2025-26!af3"")"),"")</f>
        <v/>
      </c>
      <c r="BQ135" s="59" t="str">
        <f t="shared" si="25"/>
        <v/>
      </c>
      <c r="BR135" s="55" t="str">
        <f>IFERROR(__xludf.DUMMYFUNCTION("importrange(""https://docs.google.com/spreadsheets/d/1zXPh69S6ryZEZcVhfjtAeevcaJY_x59C3APN5fjBE5Q/edit?gid=1748251694#gid=1748251694"",""2025-26!ag4"")"),"")</f>
        <v/>
      </c>
      <c r="BS135" s="55" t="str">
        <f>IFERROR(__xludf.DUMMYFUNCTION("importrange(""https://docs.google.com/spreadsheets/d/1zXPh69S6ryZEZcVhfjtAeevcaJY_x59C3APN5fjBE5Q/edit?gid=1748251694#gid=1748251694"",""2025-26!ag3"")"),"")</f>
        <v/>
      </c>
      <c r="BT135" s="55" t="str">
        <f>IFERROR(__xludf.DUMMYFUNCTION("importrange(""https://docs.google.com/spreadsheets/d/1zXPh69S6ryZEZcVhfjtAeevcaJY_x59C3APN5fjBE5Q/edit?gid=1748251694#gid=1748251694"",""2025-26!ah4"")"),"")</f>
        <v/>
      </c>
      <c r="BU135" s="55" t="str">
        <f>IFERROR(__xludf.DUMMYFUNCTION("importrange(""https://docs.google.com/spreadsheets/d/1zXPh69S6ryZEZcVhfjtAeevcaJY_x59C3APN5fjBE5Q/edit?gid=1748251694#gid=1748251694"",""2025-26!ah3"")"),"")</f>
        <v/>
      </c>
      <c r="BV135" s="55" t="str">
        <f>IFERROR(__xludf.DUMMYFUNCTION("importrange(""https://docs.google.com/spreadsheets/d/1zXPh69S6ryZEZcVhfjtAeevcaJY_x59C3APN5fjBE5Q/edit?gid=1748251694#gid=1748251694"",""2025-26!ai4"")"),"")</f>
        <v/>
      </c>
      <c r="BW135" s="55" t="str">
        <f>IFERROR(__xludf.DUMMYFUNCTION("importrange(""https://docs.google.com/spreadsheets/d/1zXPh69S6ryZEZcVhfjtAeevcaJY_x59C3APN5fjBE5Q/edit?gid=1748251694#gid=1748251694"",""2025-26!ai3"")"),"")</f>
        <v/>
      </c>
      <c r="BX135" s="59" t="str">
        <f t="shared" si="26"/>
        <v/>
      </c>
      <c r="BY135" s="55" t="str">
        <f>IFERROR(__xludf.DUMMYFUNCTION("importrange(""https://docs.google.com/spreadsheets/d/1zXPh69S6ryZEZcVhfjtAeevcaJY_x59C3APN5fjBE5Q/edit?gid=1748251694#gid=1748251694"",""2025-26!aj4"")"),"")</f>
        <v/>
      </c>
      <c r="BZ135" s="55" t="str">
        <f>IFERROR(__xludf.DUMMYFUNCTION("importrange(""https://docs.google.com/spreadsheets/d/1zXPh69S6ryZEZcVhfjtAeevcaJY_x59C3APN5fjBE5Q/edit?gid=1748251694#gid=1748251694"",""2025-26!aj3"")"),"")</f>
        <v/>
      </c>
      <c r="CA135" s="55" t="str">
        <f>IFERROR(__xludf.DUMMYFUNCTION("importrange(""https://docs.google.com/spreadsheets/d/1zXPh69S6ryZEZcVhfjtAeevcaJY_x59C3APN5fjBE5Q/edit?gid=1748251694#gid=1748251694"",""2025-26!ak4"")"),"")</f>
        <v/>
      </c>
      <c r="CB135" s="55" t="str">
        <f>IFERROR(__xludf.DUMMYFUNCTION("importrange(""https://docs.google.com/spreadsheets/d/1zXPh69S6ryZEZcVhfjtAeevcaJY_x59C3APN5fjBE5Q/edit?gid=1748251694#gid=1748251694"",""2025-26!ak3"")"),"")</f>
        <v/>
      </c>
      <c r="CC135" s="55" t="str">
        <f>IFERROR(__xludf.DUMMYFUNCTION("importrange(""https://docs.google.com/spreadsheets/d/1zXPh69S6ryZEZcVhfjtAeevcaJY_x59C3APN5fjBE5Q/edit?gid=1748251694#gid=1748251694"",""2025-26!al4"")"),"")</f>
        <v/>
      </c>
      <c r="CD135" s="55" t="str">
        <f>IFERROR(__xludf.DUMMYFUNCTION("importrange(""https://docs.google.com/spreadsheets/d/1zXPh69S6ryZEZcVhfjtAeevcaJY_x59C3APN5fjBE5Q/edit?gid=1748251694#gid=1748251694"",""2025-26!ai3"")"),"")</f>
        <v/>
      </c>
      <c r="CE135" s="59" t="str">
        <f t="shared" si="27"/>
        <v/>
      </c>
      <c r="CF135" s="55" t="str">
        <f>IFERROR(__xludf.DUMMYFUNCTION("importrange(""https://docs.google.com/spreadsheets/d/1zXPh69S6ryZEZcVhfjtAeevcaJY_x59C3APN5fjBE5Q/edit?gid=1748251694#gid=1748251694"",""2025-26!am4"")"),"")</f>
        <v/>
      </c>
      <c r="CG135" s="55" t="str">
        <f>IFERROR(__xludf.DUMMYFUNCTION("importrange(""https://docs.google.com/spreadsheets/d/1zXPh69S6ryZEZcVhfjtAeevcaJY_x59C3APN5fjBE5Q/edit?gid=1748251694#gid=1748251694"",""2025-26!am3"")"),"")</f>
        <v/>
      </c>
      <c r="CH135" s="55" t="str">
        <f>IFERROR(__xludf.DUMMYFUNCTION("importrange(""https://docs.google.com/spreadsheets/d/1zXPh69S6ryZEZcVhfjtAeevcaJY_x59C3APN5fjBE5Q/edit?gid=1748251694#gid=1748251694"",""2025-26!an4"")"),"")</f>
        <v/>
      </c>
      <c r="CI135" s="55" t="str">
        <f>IFERROR(__xludf.DUMMYFUNCTION("importrange(""https://docs.google.com/spreadsheets/d/1zXPh69S6ryZEZcVhfjtAeevcaJY_x59C3APN5fjBE5Q/edit?gid=1748251694#gid=1748251694"",""2025-26!an3"")"),"")</f>
        <v/>
      </c>
      <c r="CJ135" s="55" t="str">
        <f>IFERROR(__xludf.DUMMYFUNCTION("importrange(""https://docs.google.com/spreadsheets/d/1zXPh69S6ryZEZcVhfjtAeevcaJY_x59C3APN5fjBE5Q/edit?gid=1748251694#gid=1748251694"",""2025-26!ao4"")"),"")</f>
        <v/>
      </c>
      <c r="CK135" s="55" t="str">
        <f>IFERROR(__xludf.DUMMYFUNCTION("importrange(""https://docs.google.com/spreadsheets/d/1zXPh69S6ryZEZcVhfjtAeevcaJY_x59C3APN5fjBE5Q/edit?gid=1748251694#gid=1748251694"",""2025-26!ao3"")"),"")</f>
        <v/>
      </c>
      <c r="CL135" s="59" t="str">
        <f t="shared" si="28"/>
        <v/>
      </c>
      <c r="CM135" s="55" t="str">
        <f>IFERROR(__xludf.DUMMYFUNCTION("importrange(""https://docs.google.com/spreadsheets/d/1zXPh69S6ryZEZcVhfjtAeevcaJY_x59C3APN5fjBE5Q/edit?gid=1748251694#gid=1748251694"",""2025-26!ap4"")"),"")</f>
        <v/>
      </c>
      <c r="CN135" s="55" t="str">
        <f>IFERROR(__xludf.DUMMYFUNCTION("importrange(""https://docs.google.com/spreadsheets/d/1zXPh69S6ryZEZcVhfjtAeevcaJY_x59C3APN5fjBE5Q/edit?gid=1748251694#gid=1748251694"",""2025-26!ap3"")"),"")</f>
        <v/>
      </c>
      <c r="CO135" s="55" t="str">
        <f>IFERROR(__xludf.DUMMYFUNCTION("importrange(""https://docs.google.com/spreadsheets/d/1zXPh69S6ryZEZcVhfjtAeevcaJY_x59C3APN5fjBE5Q/edit?gid=1748251694#gid=1748251694"",""2025-26!aq4"")"),"")</f>
        <v/>
      </c>
      <c r="CP135" s="55" t="str">
        <f>IFERROR(__xludf.DUMMYFUNCTION("importrange(""https://docs.google.com/spreadsheets/d/1zXPh69S6ryZEZcVhfjtAeevcaJY_x59C3APN5fjBE5Q/edit?gid=1748251694#gid=1748251694"",""2025-26!aq3"")"),"")</f>
        <v/>
      </c>
      <c r="CQ135" s="55" t="str">
        <f>IFERROR(__xludf.DUMMYFUNCTION("importrange(""https://docs.google.com/spreadsheets/d/1zXPh69S6ryZEZcVhfjtAeevcaJY_x59C3APN5fjBE5Q/edit?gid=1748251694#gid=1748251694"",""2025-26!ar4"")"),"")</f>
        <v/>
      </c>
      <c r="CR135" s="55" t="str">
        <f>IFERROR(__xludf.DUMMYFUNCTION("importrange(""https://docs.google.com/spreadsheets/d/1zXPh69S6ryZEZcVhfjtAeevcaJY_x59C3APN5fjBE5Q/edit?gid=1748251694#gid=1748251694"",""2025-26!ar3"")"),"")</f>
        <v/>
      </c>
      <c r="CS135" s="59" t="str">
        <f t="shared" si="29"/>
        <v/>
      </c>
      <c r="CT135" s="55" t="str">
        <f>IFERROR(__xludf.DUMMYFUNCTION("importrange(""https://docs.google.com/spreadsheets/d/1zXPh69S6ryZEZcVhfjtAeevcaJY_x59C3APN5fjBE5Q/edit?gid=1748251694#gid=1748251694"",""2025-26!as4"")"),"")</f>
        <v/>
      </c>
      <c r="CU135" s="55" t="str">
        <f>IFERROR(__xludf.DUMMYFUNCTION("importrange(""https://docs.google.com/spreadsheets/d/1zXPh69S6ryZEZcVhfjtAeevcaJY_x59C3APN5fjBE5Q/edit?gid=1748251694#gid=1748251694"",""2025-26!as3"")"),"")</f>
        <v/>
      </c>
      <c r="CV135" s="60" t="s">
        <v>189</v>
      </c>
    </row>
    <row r="136">
      <c r="A136" s="1" t="s">
        <v>185</v>
      </c>
      <c r="B136" s="37"/>
      <c r="C136" s="111" t="s">
        <v>294</v>
      </c>
      <c r="D136" s="65" t="s">
        <v>295</v>
      </c>
      <c r="E136" s="68">
        <v>7.023852116E9</v>
      </c>
      <c r="F136" s="78">
        <v>46093.0</v>
      </c>
      <c r="G136" s="5"/>
      <c r="H136" s="5"/>
      <c r="I136" s="70">
        <v>20000.0</v>
      </c>
      <c r="J136" s="54"/>
      <c r="K136" s="57" t="str">
        <f>IFERROR(__xludf.DUMMYFUNCTION("IMPORTRANGE(""https://docs.google.com/spreadsheets/d/1WWW2zIyk5tLuZBmJ_SGRdLG9zfVVRBi6dj0APb4CYec/edit?gid=1748251694#gid=1748251694"",""2025-26!A3"")"),"")</f>
        <v/>
      </c>
      <c r="L136" s="57" t="str">
        <f>IFERROR(__xludf.DUMMYFUNCTION("IMPORTRANGE(""https://docs.google.com/spreadsheets/d/1WWW2zIyk5tLuZBmJ_SGRdLG9zfVVRBi6dj0APb4CYec/edit?gid=1748251694#gid=1748251694"",""2025-26!G4"")"),"")</f>
        <v/>
      </c>
      <c r="M136" s="57">
        <f t="shared" si="50"/>
        <v>0</v>
      </c>
      <c r="N136" s="56" t="str">
        <f t="shared" si="51"/>
        <v/>
      </c>
      <c r="O136" s="57">
        <f t="shared" si="52"/>
        <v>0</v>
      </c>
      <c r="P136" s="55" t="str">
        <f>IFERROR(__xludf.DUMMYFUNCTION("IMPORTRANGE(""https://docs.google.com/spreadsheets/d/1WWW2zIyk5tLuZBmJ_SGRdLG9zfVVRBi6dj0APb4CYec/edit?gid=1748251694#gid=1748251694"",""2025-26!J4"")"),"")</f>
        <v/>
      </c>
      <c r="Q136" s="55" t="str">
        <f>IFERROR(__xludf.DUMMYFUNCTION("IMPORTRANGE(""https://docs.google.com/spreadsheets/d/1WWW2zIyk5tLuZBmJ_SGRdLG9zfVVRBi6dj0APb4CYec/edit?gid=1748251694#gid=1748251694"",""2025-26!J3"")"),"")</f>
        <v/>
      </c>
      <c r="R136" s="55" t="str">
        <f>IFERROR(__xludf.DUMMYFUNCTION("IMPORTRANGE(""https://docs.google.com/spreadsheets/d/1WWW2zIyk5tLuZBmJ_SGRdLG9zfVVRBi6dj0APb4CYec/edit?gid=1748251694#gid=1748251694"",""2025-26!K4"")"),"")</f>
        <v/>
      </c>
      <c r="S136" s="55" t="str">
        <f>IFERROR(__xludf.DUMMYFUNCTION("IMPORTRANGE(""https://docs.google.com/spreadsheets/d/1WWW2zIyk5tLuZBmJ_SGRdLG9zfVVRBi6dj0APb4CYec/edit?gid=1748251694#gid=1748251694"",""2025-26!K3"")"),"")</f>
        <v/>
      </c>
      <c r="T136" s="58" t="str">
        <f t="shared" si="18"/>
        <v/>
      </c>
      <c r="U136" s="55" t="str">
        <f>IFERROR(__xludf.DUMMYFUNCTION("IMPORTRANGE(""https://docs.google.com/spreadsheets/d/1WWW2zIyk5tLuZBmJ_SGRdLG9zfVVRBi6dj0APb4CYec/edit?gid=1748251694#gid=1748251694"",""2025-26!L4"")"),"")</f>
        <v/>
      </c>
      <c r="V136" s="79" t="str">
        <f>IFERROR(__xludf.DUMMYFUNCTION("IMPORTRANGE(""https://docs.google.com/spreadsheets/d/1WWW2zIyk5tLuZBmJ_SGRdLG9zfVVRBi6dj0APb4CYec/edit?gid=1748251694#gid=1748251694"",""2025-26!L3"")"),"")</f>
        <v/>
      </c>
      <c r="W136" s="55" t="str">
        <f>IFERROR(__xludf.DUMMYFUNCTION("IMPORTRANGE(""https://docs.google.com/spreadsheets/d/1WWW2zIyk5tLuZBmJ_SGRdLG9zfVVRBi6dj0APb4CYec/edit?gid=1748251694#gid=1748251694"",""2025-26!M4"")"),"")</f>
        <v/>
      </c>
      <c r="X136" s="79" t="str">
        <f>IFERROR(__xludf.DUMMYFUNCTION("IMPORTRANGE(""https://docs.google.com/spreadsheets/d/1WWW2zIyk5tLuZBmJ_SGRdLG9zfVVRBi6dj0APb4CYec/edit?gid=1748251694#gid=1748251694"",""2025-26!M3"")"),"")</f>
        <v/>
      </c>
      <c r="Y136" s="55" t="str">
        <f>IFERROR(__xludf.DUMMYFUNCTION("importrange(""https://docs.google.com/spreadsheets/d/1WWW2zIyk5tLuZBmJ_SGRdLG9zfVVRBi6dj0APb4CYec/edit?gid=1748251694#gid=1748251694"",""2025-26!n4"")"),"")</f>
        <v/>
      </c>
      <c r="Z136" s="55" t="str">
        <f>IFERROR(__xludf.DUMMYFUNCTION("importrange(""https://docs.google.com/spreadsheets/d/1WWW2zIyk5tLuZBmJ_SGRdLG9zfVVRBi6dj0APb4CYec/edit?gid=1748251694#gid=1748251694"",""2025-26!n3"")"),"")</f>
        <v/>
      </c>
      <c r="AA136" s="58" t="str">
        <f t="shared" si="19"/>
        <v/>
      </c>
      <c r="AB136" s="55" t="str">
        <f>IFERROR(__xludf.DUMMYFUNCTION("importrange(""https://docs.google.com/spreadsheets/d/1WWW2zIyk5tLuZBmJ_SGRdLG9zfVVRBi6dj0APb4CYec/edit?gid=1748251694#gid=1748251694"",""2025-26!o4"")"),"")</f>
        <v/>
      </c>
      <c r="AC136" s="55" t="str">
        <f>IFERROR(__xludf.DUMMYFUNCTION("importrange(""https://docs.google.com/spreadsheets/d/1WWW2zIyk5tLuZBmJ_SGRdLG9zfVVRBi6dj0APb4CYec/edit?gid=1748251694#gid=1748251694"",""2025-26!o3"")"),"")</f>
        <v/>
      </c>
      <c r="AD136" s="55" t="str">
        <f>IFERROR(__xludf.DUMMYFUNCTION("importrange(""https://docs.google.com/spreadsheets/d/1WWW2zIyk5tLuZBmJ_SGRdLG9zfVVRBi6dj0APb4CYec/edit?gid=1748251694#gid=1748251694"",""2025-26!p4"")"),"")</f>
        <v/>
      </c>
      <c r="AE136" s="55" t="str">
        <f>IFERROR(__xludf.DUMMYFUNCTION("importrange(""https://docs.google.com/spreadsheets/d/1WWW2zIyk5tLuZBmJ_SGRdLG9zfVVRBi6dj0APb4CYec/edit?gid=1748251694#gid=1748251694"",""2025-26!p3"")"),"")</f>
        <v/>
      </c>
      <c r="AF136" s="55" t="str">
        <f>IFERROR(__xludf.DUMMYFUNCTION("importrange(""https://docs.google.com/spreadsheets/d/1WWW2zIyk5tLuZBmJ_SGRdLG9zfVVRBi6dj0APb4CYec/edit?gid=1748251694#gid=1748251694"",""2025-26!q4"")"),"")</f>
        <v/>
      </c>
      <c r="AG136" s="55" t="str">
        <f>IFERROR(__xludf.DUMMYFUNCTION("importrange(""https://docs.google.com/spreadsheets/d/1WWW2zIyk5tLuZBmJ_SGRdLG9zfVVRBi6dj0APb4CYec/edit?gid=1748251694#gid=1748251694"",""2025-26!q3"")"),"")</f>
        <v/>
      </c>
      <c r="AH136" s="58" t="str">
        <f t="shared" si="20"/>
        <v/>
      </c>
      <c r="AI136" s="55" t="str">
        <f>IFERROR(__xludf.DUMMYFUNCTION("importrange(""https://docs.google.com/spreadsheets/d/1WWW2zIyk5tLuZBmJ_SGRdLG9zfVVRBi6dj0APb4CYec/edit?gid=1748251694#gid=1748251694"",""2025-26!r4"")"),"")</f>
        <v/>
      </c>
      <c r="AJ136" s="55" t="str">
        <f>IFERROR(__xludf.DUMMYFUNCTION("importrange(""https://docs.google.com/spreadsheets/d/1WWW2zIyk5tLuZBmJ_SGRdLG9zfVVRBi6dj0APb4CYec/edit?gid=1748251694#gid=1748251694"",""2025-26!r3"")"),"")</f>
        <v/>
      </c>
      <c r="AK136" s="55" t="str">
        <f>IFERROR(__xludf.DUMMYFUNCTION("importrange(""https://docs.google.com/spreadsheets/d/1WWW2zIyk5tLuZBmJ_SGRdLG9zfVVRBi6dj0APb4CYec/edit?gid=1748251694#gid=1748251694"",""2025-26!s4"")"),"")</f>
        <v/>
      </c>
      <c r="AL136" s="55" t="str">
        <f>IFERROR(__xludf.DUMMYFUNCTION("importrange(""https://docs.google.com/spreadsheets/d/1WWW2zIyk5tLuZBmJ_SGRdLG9zfVVRBi6dj0APb4CYec/edit?gid=1748251694#gid=1748251694"",""2025-26!s3"")"),"")</f>
        <v/>
      </c>
      <c r="AM136" s="57" t="str">
        <f>IFERROR(__xludf.DUMMYFUNCTION("importrange(""https://docs.google.com/spreadsheets/d/1WWW2zIyk5tLuZBmJ_SGRdLG9zfVVRBi6dj0APb4CYec/edit?gid=1748251694#gid=1748251694"",""2025-26!t4"")"),"")</f>
        <v/>
      </c>
      <c r="AN136" s="55" t="str">
        <f>IFERROR(__xludf.DUMMYFUNCTION("importrange(""https://docs.google.com/spreadsheets/d/1WWW2zIyk5tLuZBmJ_SGRdLG9zfVVRBi6dj0APb4CYec/edit?gid=1748251694#gid=1748251694"",""2025-26!t3"")"),"")</f>
        <v/>
      </c>
      <c r="AO136" s="58" t="str">
        <f t="shared" si="21"/>
        <v/>
      </c>
      <c r="AP136" s="55" t="str">
        <f>IFERROR(__xludf.DUMMYFUNCTION("importrange(""https://docs.google.com/spreadsheets/d/1WWW2zIyk5tLuZBmJ_SGRdLG9zfVVRBi6dj0APb4CYec/edit?gid=1748251694#gid=1748251694"",""2025-26!u4"")"),"")</f>
        <v/>
      </c>
      <c r="AQ136" s="55" t="str">
        <f>IFERROR(__xludf.DUMMYFUNCTION("importrange(""https://docs.google.com/spreadsheets/d/1WWW2zIyk5tLuZBmJ_SGRdLG9zfVVRBi6dj0APb4CYec/edit?gid=1748251694#gid=1748251694"",""2025-26!u3"")"),"")</f>
        <v/>
      </c>
      <c r="AR136" s="55" t="str">
        <f>IFERROR(__xludf.DUMMYFUNCTION("importrange(""https://docs.google.com/spreadsheets/d/1WWW2zIyk5tLuZBmJ_SGRdLG9zfVVRBi6dj0APb4CYec/edit?gid=1748251694#gid=1748251694"",""2025-26!v4"")"),"")</f>
        <v/>
      </c>
      <c r="AS136" s="55" t="str">
        <f>IFERROR(__xludf.DUMMYFUNCTION("importrange(""https://docs.google.com/spreadsheets/d/1WWW2zIyk5tLuZBmJ_SGRdLG9zfVVRBi6dj0APb4CYec/edit?gid=1748251694#gid=1748251694"",""2025-26!v3"")"),"")</f>
        <v/>
      </c>
      <c r="AT136" s="57" t="str">
        <f>IFERROR(__xludf.DUMMYFUNCTION("importrange(""https://docs.google.com/spreadsheets/d/1WWW2zIyk5tLuZBmJ_SGRdLG9zfVVRBi6dj0APb4CYec/edit?gid=1748251694#gid=1748251694"",""2025-26!w4"")"),"")</f>
        <v/>
      </c>
      <c r="AU136" s="55" t="str">
        <f>IFERROR(__xludf.DUMMYFUNCTION("importrange(""https://docs.google.com/spreadsheets/d/1WWW2zIyk5tLuZBmJ_SGRdLG9zfVVRBi6dj0APb4CYec/edit?gid=1748251694#gid=1748251694"",""2025-26!w3"")"),"")</f>
        <v/>
      </c>
      <c r="AV136" s="58" t="str">
        <f t="shared" si="22"/>
        <v/>
      </c>
      <c r="AW136" s="55" t="str">
        <f>IFERROR(__xludf.DUMMYFUNCTION("importrange(""https://docs.google.com/spreadsheets/d/1WWW2zIyk5tLuZBmJ_SGRdLG9zfVVRBi6dj0APb4CYec/edit?gid=1748251694#gid=1748251694"",""2025-26!x4"")"),"")</f>
        <v/>
      </c>
      <c r="AX136" s="55" t="str">
        <f>IFERROR(__xludf.DUMMYFUNCTION("importrange(""https://docs.google.com/spreadsheets/d/1WWW2zIyk5tLuZBmJ_SGRdLG9zfVVRBi6dj0APb4CYec/edit?gid=1748251694#gid=1748251694"",""2025-26!x3"")"),"")</f>
        <v/>
      </c>
      <c r="AY136" s="55" t="str">
        <f>IFERROR(__xludf.DUMMYFUNCTION("importrange(""https://docs.google.com/spreadsheets/d/1WWW2zIyk5tLuZBmJ_SGRdLG9zfVVRBi6dj0APb4CYec/edit?gid=1748251694#gid=1748251694"",""2025-26!y4"")"),"")</f>
        <v/>
      </c>
      <c r="AZ136" s="55" t="str">
        <f>IFERROR(__xludf.DUMMYFUNCTION("importrange(""https://docs.google.com/spreadsheets/d/1WWW2zIyk5tLuZBmJ_SGRdLG9zfVVRBi6dj0APb4CYec/edit?gid=1748251694#gid=1748251694"",""2025-26!y3"")"),"")</f>
        <v/>
      </c>
      <c r="BA136" s="57" t="str">
        <f>IFERROR(__xludf.DUMMYFUNCTION("importrange(""https://docs.google.com/spreadsheets/d/1WWW2zIyk5tLuZBmJ_SGRdLG9zfVVRBi6dj0APb4CYec/edit?gid=1748251694#gid=1748251694"",""2025-26!z4"")"),"")</f>
        <v/>
      </c>
      <c r="BB136" s="55" t="str">
        <f>IFERROR(__xludf.DUMMYFUNCTION("importrange(""https://docs.google.com/spreadsheets/d/1WWW2zIyk5tLuZBmJ_SGRdLG9zfVVRBi6dj0APb4CYec/edit?gid=1748251694#gid=1748251694"",""2025-26!z3"")"),"")</f>
        <v/>
      </c>
      <c r="BC136" s="59" t="str">
        <f t="shared" si="23"/>
        <v/>
      </c>
      <c r="BD136" s="55" t="str">
        <f>IFERROR(__xludf.DUMMYFUNCTION("importrange(""https://docs.google.com/spreadsheets/d/1WWW2zIyk5tLuZBmJ_SGRdLG9zfVVRBi6dj0APb4CYec/edit?gid=1748251694#gid=1748251694"",""2025-26!aa4"")"),"")</f>
        <v/>
      </c>
      <c r="BE136" s="55" t="str">
        <f>IFERROR(__xludf.DUMMYFUNCTION("importrange(""https://docs.google.com/spreadsheets/d/1WWW2zIyk5tLuZBmJ_SGRdLG9zfVVRBi6dj0APb4CYec/edit?gid=1748251694#gid=1748251694"",""2025-26!aa3"")"),"")</f>
        <v/>
      </c>
      <c r="BF136" s="55" t="str">
        <f>IFERROR(__xludf.DUMMYFUNCTION("importrange(""https://docs.google.com/spreadsheets/d/1WWW2zIyk5tLuZBmJ_SGRdLG9zfVVRBi6dj0APb4CYec/edit?gid=1748251694#gid=1748251694"",""2025-26!ab4"")"),"")</f>
        <v/>
      </c>
      <c r="BG136" s="55" t="str">
        <f>IFERROR(__xludf.DUMMYFUNCTION("importrange(""https://docs.google.com/spreadsheets/d/1WWW2zIyk5tLuZBmJ_SGRdLG9zfVVRBi6dj0APb4CYec/edit?gid=1748251694#gid=1748251694"",""2025-26!ab3"")"),"")</f>
        <v/>
      </c>
      <c r="BH136" s="55" t="str">
        <f>IFERROR(__xludf.DUMMYFUNCTION("importrange(""https://docs.google.com/spreadsheets/d/1WWW2zIyk5tLuZBmJ_SGRdLG9zfVVRBi6dj0APb4CYec/edit?gid=1748251694#gid=1748251694"",""2025-26!ac4"")"),"")</f>
        <v/>
      </c>
      <c r="BI136" s="55" t="str">
        <f>IFERROR(__xludf.DUMMYFUNCTION("importrange(""https://docs.google.com/spreadsheets/d/1WWW2zIyk5tLuZBmJ_SGRdLG9zfVVRBi6dj0APb4CYec/edit?gid=1748251694#gid=1748251694"",""2025-26!ac3"")"),"")</f>
        <v/>
      </c>
      <c r="BJ136" s="59" t="str">
        <f t="shared" si="24"/>
        <v/>
      </c>
      <c r="BK136" s="55" t="str">
        <f>IFERROR(__xludf.DUMMYFUNCTION("importrange(""https://docs.google.com/spreadsheets/d/1WWW2zIyk5tLuZBmJ_SGRdLG9zfVVRBi6dj0APb4CYec/edit?gid=1748251694#gid=1748251694"",""2025-26!ad4"")"),"")</f>
        <v/>
      </c>
      <c r="BL136" s="55" t="str">
        <f>IFERROR(__xludf.DUMMYFUNCTION("importrange(""https://docs.google.com/spreadsheets/d/1WWW2zIyk5tLuZBmJ_SGRdLG9zfVVRBi6dj0APb4CYec/edit?gid=1748251694#gid=1748251694"",""2025-26!ad3"")"),"")</f>
        <v/>
      </c>
      <c r="BM136" s="55" t="str">
        <f>IFERROR(__xludf.DUMMYFUNCTION("importrange(""https://docs.google.com/spreadsheets/d/1WWW2zIyk5tLuZBmJ_SGRdLG9zfVVRBi6dj0APb4CYec/edit?gid=1748251694#gid=1748251694"",""2025-26!ae4"")"),"")</f>
        <v/>
      </c>
      <c r="BN136" s="55" t="str">
        <f>IFERROR(__xludf.DUMMYFUNCTION("importrange(""https://docs.google.com/spreadsheets/d/1WWW2zIyk5tLuZBmJ_SGRdLG9zfVVRBi6dj0APb4CYec/edit?gid=1748251694#gid=1748251694"",""2025-26!ae3"")"),"")</f>
        <v/>
      </c>
      <c r="BO136" s="55" t="str">
        <f>IFERROR(__xludf.DUMMYFUNCTION("importrange(""https://docs.google.com/spreadsheets/d/1WWW2zIyk5tLuZBmJ_SGRdLG9zfVVRBi6dj0APb4CYec/edit?gid=1748251694#gid=1748251694"",""2025-26!af4"")"),"")</f>
        <v/>
      </c>
      <c r="BP136" s="55" t="str">
        <f>IFERROR(__xludf.DUMMYFUNCTION("importrange(""https://docs.google.com/spreadsheets/d/1WWW2zIyk5tLuZBmJ_SGRdLG9zfVVRBi6dj0APb4CYec/edit?gid=1748251694#gid=1748251694"",""2025-26!af3"")"),"")</f>
        <v/>
      </c>
      <c r="BQ136" s="59" t="str">
        <f t="shared" si="25"/>
        <v/>
      </c>
      <c r="BR136" s="55" t="str">
        <f>IFERROR(__xludf.DUMMYFUNCTION("importrange(""https://docs.google.com/spreadsheets/d/1WWW2zIyk5tLuZBmJ_SGRdLG9zfVVRBi6dj0APb4CYec/edit?gid=1748251694#gid=1748251694"",""2025-26!ag4"")"),"")</f>
        <v/>
      </c>
      <c r="BS136" s="55" t="str">
        <f>IFERROR(__xludf.DUMMYFUNCTION("importrange(""https://docs.google.com/spreadsheets/d/1WWW2zIyk5tLuZBmJ_SGRdLG9zfVVRBi6dj0APb4CYec/edit?gid=1748251694#gid=1748251694"",""2025-26!ag3"")"),"")</f>
        <v/>
      </c>
      <c r="BT136" s="55" t="str">
        <f>IFERROR(__xludf.DUMMYFUNCTION("importrange(""https://docs.google.com/spreadsheets/d/1WWW2zIyk5tLuZBmJ_SGRdLG9zfVVRBi6dj0APb4CYec/edit?gid=1748251694#gid=1748251694"",""2025-26!ah4"")"),"")</f>
        <v/>
      </c>
      <c r="BU136" s="55" t="str">
        <f>IFERROR(__xludf.DUMMYFUNCTION("importrange(""https://docs.google.com/spreadsheets/d/1WWW2zIyk5tLuZBmJ_SGRdLG9zfVVRBi6dj0APb4CYec/edit?gid=1748251694#gid=1748251694"",""2025-26!ah3"")"),"")</f>
        <v/>
      </c>
      <c r="BV136" s="55" t="str">
        <f>IFERROR(__xludf.DUMMYFUNCTION("importrange(""https://docs.google.com/spreadsheets/d/1WWW2zIyk5tLuZBmJ_SGRdLG9zfVVRBi6dj0APb4CYec/edit?gid=1748251694#gid=1748251694"",""2025-26!ai4"")"),"")</f>
        <v/>
      </c>
      <c r="BW136" s="55" t="str">
        <f>IFERROR(__xludf.DUMMYFUNCTION("importrange(""https://docs.google.com/spreadsheets/d/1WWW2zIyk5tLuZBmJ_SGRdLG9zfVVRBi6dj0APb4CYec/edit?gid=1748251694#gid=1748251694"",""2025-26!ai3"")"),"")</f>
        <v/>
      </c>
      <c r="BX136" s="59" t="str">
        <f t="shared" si="26"/>
        <v/>
      </c>
      <c r="BY136" s="55" t="str">
        <f>IFERROR(__xludf.DUMMYFUNCTION("importrange(""https://docs.google.com/spreadsheets/d/1WWW2zIyk5tLuZBmJ_SGRdLG9zfVVRBi6dj0APb4CYec/edit?gid=1748251694#gid=1748251694"",""2025-26!aj4"")"),"")</f>
        <v/>
      </c>
      <c r="BZ136" s="55" t="str">
        <f>IFERROR(__xludf.DUMMYFUNCTION("importrange(""https://docs.google.com/spreadsheets/d/1WWW2zIyk5tLuZBmJ_SGRdLG9zfVVRBi6dj0APb4CYec/edit?gid=1748251694#gid=1748251694"",""2025-26!aj3"")"),"")</f>
        <v/>
      </c>
      <c r="CA136" s="55" t="str">
        <f>IFERROR(__xludf.DUMMYFUNCTION("importrange(""https://docs.google.com/spreadsheets/d/1WWW2zIyk5tLuZBmJ_SGRdLG9zfVVRBi6dj0APb4CYec/edit?gid=1748251694#gid=1748251694"",""2025-26!ak4"")"),"")</f>
        <v/>
      </c>
      <c r="CB136" s="55" t="str">
        <f>IFERROR(__xludf.DUMMYFUNCTION("importrange(""https://docs.google.com/spreadsheets/d/1WWW2zIyk5tLuZBmJ_SGRdLG9zfVVRBi6dj0APb4CYec/edit?gid=1748251694#gid=1748251694"",""2025-26!ak3"")"),"")</f>
        <v/>
      </c>
      <c r="CC136" s="55" t="str">
        <f>IFERROR(__xludf.DUMMYFUNCTION("importrange(""https://docs.google.com/spreadsheets/d/1WWW2zIyk5tLuZBmJ_SGRdLG9zfVVRBi6dj0APb4CYec/edit?gid=1748251694#gid=1748251694"",""2025-26!al4"")"),"")</f>
        <v/>
      </c>
      <c r="CD136" s="55" t="str">
        <f>IFERROR(__xludf.DUMMYFUNCTION("importrange(""https://docs.google.com/spreadsheets/d/1WWW2zIyk5tLuZBmJ_SGRdLG9zfVVRBi6dj0APb4CYec/edit?gid=1748251694#gid=1748251694"",""2025-26!ai3"")"),"")</f>
        <v/>
      </c>
      <c r="CE136" s="59" t="str">
        <f t="shared" si="27"/>
        <v/>
      </c>
      <c r="CF136" s="55" t="str">
        <f>IFERROR(__xludf.DUMMYFUNCTION("importrange(""https://docs.google.com/spreadsheets/d/1WWW2zIyk5tLuZBmJ_SGRdLG9zfVVRBi6dj0APb4CYec/edit?gid=1748251694#gid=1748251694"",""2025-26!am4"")"),"")</f>
        <v/>
      </c>
      <c r="CG136" s="55" t="str">
        <f>IFERROR(__xludf.DUMMYFUNCTION("importrange(""https://docs.google.com/spreadsheets/d/1WWW2zIyk5tLuZBmJ_SGRdLG9zfVVRBi6dj0APb4CYec/edit?gid=1748251694#gid=1748251694"",""2025-26!am3"")"),"")</f>
        <v/>
      </c>
      <c r="CH136" s="55" t="str">
        <f>IFERROR(__xludf.DUMMYFUNCTION("importrange(""https://docs.google.com/spreadsheets/d/1WWW2zIyk5tLuZBmJ_SGRdLG9zfVVRBi6dj0APb4CYec/edit?gid=1748251694#gid=1748251694"",""2025-26!an4"")"),"")</f>
        <v/>
      </c>
      <c r="CI136" s="55" t="str">
        <f>IFERROR(__xludf.DUMMYFUNCTION("importrange(""https://docs.google.com/spreadsheets/d/1WWW2zIyk5tLuZBmJ_SGRdLG9zfVVRBi6dj0APb4CYec/edit?gid=1748251694#gid=1748251694"",""2025-26!an3"")"),"")</f>
        <v/>
      </c>
      <c r="CJ136" s="55" t="str">
        <f>IFERROR(__xludf.DUMMYFUNCTION("importrange(""https://docs.google.com/spreadsheets/d/1WWW2zIyk5tLuZBmJ_SGRdLG9zfVVRBi6dj0APb4CYec/edit?gid=1748251694#gid=1748251694"",""2025-26!ao4"")"),"")</f>
        <v/>
      </c>
      <c r="CK136" s="55" t="str">
        <f>IFERROR(__xludf.DUMMYFUNCTION("importrange(""https://docs.google.com/spreadsheets/d/1WWW2zIyk5tLuZBmJ_SGRdLG9zfVVRBi6dj0APb4CYec/edit?gid=1748251694#gid=1748251694"",""2025-26!ao3"")"),"")</f>
        <v/>
      </c>
      <c r="CL136" s="59" t="str">
        <f t="shared" si="28"/>
        <v/>
      </c>
      <c r="CM136" s="55" t="str">
        <f>IFERROR(__xludf.DUMMYFUNCTION("importrange(""https://docs.google.com/spreadsheets/d/1WWW2zIyk5tLuZBmJ_SGRdLG9zfVVRBi6dj0APb4CYec/edit?gid=1748251694#gid=1748251694"",""2025-26!ap4"")"),"")</f>
        <v/>
      </c>
      <c r="CN136" s="55" t="str">
        <f>IFERROR(__xludf.DUMMYFUNCTION("importrange(""https://docs.google.com/spreadsheets/d/1WWW2zIyk5tLuZBmJ_SGRdLG9zfVVRBi6dj0APb4CYec/edit?gid=1748251694#gid=1748251694"",""2025-26!ap3"")"),"")</f>
        <v/>
      </c>
      <c r="CO136" s="55" t="str">
        <f>IFERROR(__xludf.DUMMYFUNCTION("importrange(""https://docs.google.com/spreadsheets/d/1WWW2zIyk5tLuZBmJ_SGRdLG9zfVVRBi6dj0APb4CYec/edit?gid=1748251694#gid=1748251694"",""2025-26!aq4"")"),"")</f>
        <v/>
      </c>
      <c r="CP136" s="55" t="str">
        <f>IFERROR(__xludf.DUMMYFUNCTION("importrange(""https://docs.google.com/spreadsheets/d/1WWW2zIyk5tLuZBmJ_SGRdLG9zfVVRBi6dj0APb4CYec/edit?gid=1748251694#gid=1748251694"",""2025-26!aq3"")"),"")</f>
        <v/>
      </c>
      <c r="CQ136" s="55" t="str">
        <f>IFERROR(__xludf.DUMMYFUNCTION("importrange(""https://docs.google.com/spreadsheets/d/1WWW2zIyk5tLuZBmJ_SGRdLG9zfVVRBi6dj0APb4CYec/edit?gid=1748251694#gid=1748251694"",""2025-26!ar4"")"),"")</f>
        <v/>
      </c>
      <c r="CR136" s="55" t="str">
        <f>IFERROR(__xludf.DUMMYFUNCTION("importrange(""https://docs.google.com/spreadsheets/d/1WWW2zIyk5tLuZBmJ_SGRdLG9zfVVRBi6dj0APb4CYec/edit?gid=1748251694#gid=1748251694"",""2025-26!ar3"")"),"")</f>
        <v/>
      </c>
      <c r="CS136" s="59" t="str">
        <f t="shared" si="29"/>
        <v/>
      </c>
      <c r="CT136" s="55" t="str">
        <f>IFERROR(__xludf.DUMMYFUNCTION("importrange(""https://docs.google.com/spreadsheets/d/1WWW2zIyk5tLuZBmJ_SGRdLG9zfVVRBi6dj0APb4CYec/edit?gid=1748251694#gid=1748251694"",""2025-26!as4"")"),"")</f>
        <v/>
      </c>
      <c r="CU136" s="55" t="str">
        <f>IFERROR(__xludf.DUMMYFUNCTION("importrange(""https://docs.google.com/spreadsheets/d/1WWW2zIyk5tLuZBmJ_SGRdLG9zfVVRBi6dj0APb4CYec/edit?gid=1748251694#gid=1748251694"",""2025-26!as3"")"),"")</f>
        <v/>
      </c>
      <c r="CV136" s="60" t="s">
        <v>222</v>
      </c>
    </row>
    <row r="137">
      <c r="A137" s="1" t="s">
        <v>185</v>
      </c>
      <c r="B137" s="43"/>
      <c r="C137" s="111" t="s">
        <v>296</v>
      </c>
      <c r="D137" s="65" t="s">
        <v>297</v>
      </c>
      <c r="E137" s="68">
        <v>8.972296292E9</v>
      </c>
      <c r="F137" s="78">
        <v>46101.0</v>
      </c>
      <c r="G137" s="5"/>
      <c r="H137" s="5"/>
      <c r="I137" s="70">
        <v>36715.0</v>
      </c>
      <c r="J137" s="54"/>
      <c r="K137" s="57" t="str">
        <f>IFERROR(__xludf.DUMMYFUNCTION("IMPORTRANGE(""https://docs.google.com/spreadsheets/d/1j5_2sIBZP_RUoPnKOu_65lvVzVUeZs1BujRIxLnqEss/edit?gid=618607627#gid=618607627"",""2025-26!A3"")"),"")</f>
        <v/>
      </c>
      <c r="L137" s="57" t="str">
        <f>IFERROR(__xludf.DUMMYFUNCTION("IMPORTRANGE(""https://docs.google.com/spreadsheets/d/1j5_2sIBZP_RUoPnKOu_65lvVzVUeZs1BujRIxLnqEss/edit?gid=618607627#gid=618607627"",""2025-26!G4"")"),"")</f>
        <v/>
      </c>
      <c r="M137" s="57">
        <f t="shared" si="50"/>
        <v>0</v>
      </c>
      <c r="N137" s="56" t="str">
        <f t="shared" si="51"/>
        <v/>
      </c>
      <c r="O137" s="57">
        <f t="shared" si="52"/>
        <v>0</v>
      </c>
      <c r="P137" s="55" t="str">
        <f>IFERROR(__xludf.DUMMYFUNCTION("IMPORTRANGE(""https://docs.google.com/spreadsheets/d/1j5_2sIBZP_RUoPnKOu_65lvVzVUeZs1BujRIxLnqEss/edit?gid=618607627#gid=618607627"",""2025-26!J4"")"),"")</f>
        <v/>
      </c>
      <c r="Q137" s="55" t="str">
        <f>IFERROR(__xludf.DUMMYFUNCTION("IMPORTRANGE(""https://docs.google.com/spreadsheets/d/1j5_2sIBZP_RUoPnKOu_65lvVzVUeZs1BujRIxLnqEss/edit?gid=618607627#gid=618607627"",""2025-26!J3"")"),"")</f>
        <v/>
      </c>
      <c r="R137" s="55" t="str">
        <f>IFERROR(__xludf.DUMMYFUNCTION("IMPORTRANGE(""https://docs.google.com/spreadsheets/d/1j5_2sIBZP_RUoPnKOu_65lvVzVUeZs1BujRIxLnqEss/edit?gid=618607627#gid=618607627"",""2025-26!K4"")"),"")</f>
        <v/>
      </c>
      <c r="S137" s="55" t="str">
        <f>IFERROR(__xludf.DUMMYFUNCTION("IMPORTRANGE(""https://docs.google.com/spreadsheets/d/1j5_2sIBZP_RUoPnKOu_65lvVzVUeZs1BujRIxLnqEss/edit?gid=618607627#gid=618607627"",""2025-26!K3"")"),"")</f>
        <v/>
      </c>
      <c r="T137" s="58" t="str">
        <f t="shared" si="18"/>
        <v/>
      </c>
      <c r="U137" s="55" t="str">
        <f>IFERROR(__xludf.DUMMYFUNCTION("IMPORTRANGE(""https://docs.google.com/spreadsheets/d/1j5_2sIBZP_RUoPnKOu_65lvVzVUeZs1BujRIxLnqEss/edit?gid=618607627#gid=618607627"",""2025-26!L4"")"),"")</f>
        <v/>
      </c>
      <c r="V137" s="79" t="str">
        <f>IFERROR(__xludf.DUMMYFUNCTION("IMPORTRANGE(""https://docs.google.com/spreadsheets/d/1j5_2sIBZP_RUoPnKOu_65lvVzVUeZs1BujRIxLnqEss/edit?gid=618607627#gid=618607627"",""2025-26!L3"")"),"")</f>
        <v/>
      </c>
      <c r="W137" s="55" t="str">
        <f>IFERROR(__xludf.DUMMYFUNCTION("IMPORTRANGE(""https://docs.google.com/spreadsheets/d/1j5_2sIBZP_RUoPnKOu_65lvVzVUeZs1BujRIxLnqEss/edit?gid=618607627#gid=618607627"",""2025-26!M4"")"),"")</f>
        <v/>
      </c>
      <c r="X137" s="79" t="str">
        <f>IFERROR(__xludf.DUMMYFUNCTION("IMPORTRANGE(""https://docs.google.com/spreadsheets/d/1j5_2sIBZP_RUoPnKOu_65lvVzVUeZs1BujRIxLnqEss/edit?gid=618607627#gid=618607627"",""2025-26!M3"")"),"")</f>
        <v/>
      </c>
      <c r="Y137" s="55" t="str">
        <f>IFERROR(__xludf.DUMMYFUNCTION("importrange(""https://docs.google.com/spreadsheets/d/1j5_2sIBZP_RUoPnKOu_65lvVzVUeZs1BujRIxLnqEss/edit?gid=618607627#gid=618607627"",""2025-26!n4"")"),"")</f>
        <v/>
      </c>
      <c r="Z137" s="55" t="str">
        <f>IFERROR(__xludf.DUMMYFUNCTION("importrange(""https://docs.google.com/spreadsheets/d/1j5_2sIBZP_RUoPnKOu_65lvVzVUeZs1BujRIxLnqEss/edit?gid=618607627#gid=618607627"",""2025-26!n3"")"),"")</f>
        <v/>
      </c>
      <c r="AA137" s="58" t="str">
        <f t="shared" si="19"/>
        <v/>
      </c>
      <c r="AB137" s="55" t="str">
        <f>IFERROR(__xludf.DUMMYFUNCTION("importrange(""https://docs.google.com/spreadsheets/d/1j5_2sIBZP_RUoPnKOu_65lvVzVUeZs1BujRIxLnqEss/edit?gid=618607627#gid=618607627"",""2025-26!o4"")"),"")</f>
        <v/>
      </c>
      <c r="AC137" s="55" t="str">
        <f>IFERROR(__xludf.DUMMYFUNCTION("importrange(""https://docs.google.com/spreadsheets/d/1j5_2sIBZP_RUoPnKOu_65lvVzVUeZs1BujRIxLnqEss/edit?gid=618607627#gid=618607627"",""2025-26!o3"")"),"")</f>
        <v/>
      </c>
      <c r="AD137" s="55" t="str">
        <f>IFERROR(__xludf.DUMMYFUNCTION("importrange(""https://docs.google.com/spreadsheets/d/1j5_2sIBZP_RUoPnKOu_65lvVzVUeZs1BujRIxLnqEss/edit?gid=618607627#gid=618607627"",""2025-26!p4"")"),"")</f>
        <v/>
      </c>
      <c r="AE137" s="55" t="str">
        <f>IFERROR(__xludf.DUMMYFUNCTION("importrange(""https://docs.google.com/spreadsheets/d/1j5_2sIBZP_RUoPnKOu_65lvVzVUeZs1BujRIxLnqEss/edit?gid=618607627#gid=618607627"",""2025-26!p3"")"),"")</f>
        <v/>
      </c>
      <c r="AF137" s="55" t="str">
        <f>IFERROR(__xludf.DUMMYFUNCTION("importrange(""https://docs.google.com/spreadsheets/d/1j5_2sIBZP_RUoPnKOu_65lvVzVUeZs1BujRIxLnqEss/edit?gid=618607627#gid=618607627"",""2025-26!q4"")"),"")</f>
        <v/>
      </c>
      <c r="AG137" s="55" t="str">
        <f>IFERROR(__xludf.DUMMYFUNCTION("importrange(""https://docs.google.com/spreadsheets/d/1j5_2sIBZP_RUoPnKOu_65lvVzVUeZs1BujRIxLnqEss/edit?gid=618607627#gid=618607627"",""2025-26!q3"")"),"")</f>
        <v/>
      </c>
      <c r="AH137" s="58" t="str">
        <f t="shared" si="20"/>
        <v/>
      </c>
      <c r="AI137" s="55" t="str">
        <f>IFERROR(__xludf.DUMMYFUNCTION("importrange(""https://docs.google.com/spreadsheets/d/1j5_2sIBZP_RUoPnKOu_65lvVzVUeZs1BujRIxLnqEss/edit?gid=618607627#gid=618607627"",""2025-26!r4"")"),"")</f>
        <v/>
      </c>
      <c r="AJ137" s="55" t="str">
        <f>IFERROR(__xludf.DUMMYFUNCTION("importrange(""https://docs.google.com/spreadsheets/d/1j5_2sIBZP_RUoPnKOu_65lvVzVUeZs1BujRIxLnqEss/edit?gid=618607627#gid=618607627"",""2025-26!r3"")"),"")</f>
        <v/>
      </c>
      <c r="AK137" s="55" t="str">
        <f>IFERROR(__xludf.DUMMYFUNCTION("importrange(""https://docs.google.com/spreadsheets/d/1j5_2sIBZP_RUoPnKOu_65lvVzVUeZs1BujRIxLnqEss/edit?gid=618607627#gid=618607627"",""2025-26!s4"")"),"")</f>
        <v/>
      </c>
      <c r="AL137" s="55" t="str">
        <f>IFERROR(__xludf.DUMMYFUNCTION("importrange(""https://docs.google.com/spreadsheets/d/1j5_2sIBZP_RUoPnKOu_65lvVzVUeZs1BujRIxLnqEss/edit?gid=618607627#gid=618607627"",""2025-26!s3"")"),"")</f>
        <v/>
      </c>
      <c r="AM137" s="57" t="str">
        <f>IFERROR(__xludf.DUMMYFUNCTION("importrange(""https://docs.google.com/spreadsheets/d/1j5_2sIBZP_RUoPnKOu_65lvVzVUeZs1BujRIxLnqEss/edit?gid=618607627#gid=618607627"",""2025-26!t4"")"),"")</f>
        <v/>
      </c>
      <c r="AN137" s="55" t="str">
        <f>IFERROR(__xludf.DUMMYFUNCTION("importrange(""https://docs.google.com/spreadsheets/d/1j5_2sIBZP_RUoPnKOu_65lvVzVUeZs1BujRIxLnqEss/edit?gid=618607627#gid=618607627"",""2025-26!t3"")"),"")</f>
        <v/>
      </c>
      <c r="AO137" s="58" t="str">
        <f t="shared" si="21"/>
        <v/>
      </c>
      <c r="AP137" s="55" t="str">
        <f>IFERROR(__xludf.DUMMYFUNCTION("importrange(""https://docs.google.com/spreadsheets/d/1j5_2sIBZP_RUoPnKOu_65lvVzVUeZs1BujRIxLnqEss/edit?gid=618607627#gid=618607627"",""2025-26!u4"")"),"")</f>
        <v/>
      </c>
      <c r="AQ137" s="55" t="str">
        <f>IFERROR(__xludf.DUMMYFUNCTION("importrange(""https://docs.google.com/spreadsheets/d/1j5_2sIBZP_RUoPnKOu_65lvVzVUeZs1BujRIxLnqEss/edit?gid=618607627#gid=618607627"",""2025-26!u3"")"),"")</f>
        <v/>
      </c>
      <c r="AR137" s="55" t="str">
        <f>IFERROR(__xludf.DUMMYFUNCTION("importrange(""https://docs.google.com/spreadsheets/d/1j5_2sIBZP_RUoPnKOu_65lvVzVUeZs1BujRIxLnqEss/edit?gid=618607627#gid=618607627"",""2025-26!v4"")"),"")</f>
        <v/>
      </c>
      <c r="AS137" s="55" t="str">
        <f>IFERROR(__xludf.DUMMYFUNCTION("importrange(""https://docs.google.com/spreadsheets/d/1j5_2sIBZP_RUoPnKOu_65lvVzVUeZs1BujRIxLnqEss/edit?gid=618607627#gid=618607627"",""2025-26!v3"")"),"")</f>
        <v/>
      </c>
      <c r="AT137" s="57" t="str">
        <f>IFERROR(__xludf.DUMMYFUNCTION("importrange(""https://docs.google.com/spreadsheets/d/1j5_2sIBZP_RUoPnKOu_65lvVzVUeZs1BujRIxLnqEss/edit?gid=618607627#gid=618607627"",""2025-26!w4"")"),"")</f>
        <v/>
      </c>
      <c r="AU137" s="55" t="str">
        <f>IFERROR(__xludf.DUMMYFUNCTION("importrange(""https://docs.google.com/spreadsheets/d/1j5_2sIBZP_RUoPnKOu_65lvVzVUeZs1BujRIxLnqEss/edit?gid=618607627#gid=618607627"",""2025-26!w3"")"),"")</f>
        <v/>
      </c>
      <c r="AV137" s="58" t="str">
        <f t="shared" si="22"/>
        <v/>
      </c>
      <c r="AW137" s="55" t="str">
        <f>IFERROR(__xludf.DUMMYFUNCTION("importrange(""https://docs.google.com/spreadsheets/d/1j5_2sIBZP_RUoPnKOu_65lvVzVUeZs1BujRIxLnqEss/edit?gid=618607627#gid=618607627"",""2025-26!x4"")"),"")</f>
        <v/>
      </c>
      <c r="AX137" s="55" t="str">
        <f>IFERROR(__xludf.DUMMYFUNCTION("importrange(""https://docs.google.com/spreadsheets/d/1j5_2sIBZP_RUoPnKOu_65lvVzVUeZs1BujRIxLnqEss/edit?gid=618607627#gid=618607627"",""2025-26!x3"")"),"")</f>
        <v/>
      </c>
      <c r="AY137" s="55" t="str">
        <f>IFERROR(__xludf.DUMMYFUNCTION("importrange(""https://docs.google.com/spreadsheets/d/1j5_2sIBZP_RUoPnKOu_65lvVzVUeZs1BujRIxLnqEss/edit?gid=618607627#gid=618607627"",""2025-26!y4"")"),"")</f>
        <v/>
      </c>
      <c r="AZ137" s="55" t="str">
        <f>IFERROR(__xludf.DUMMYFUNCTION("importrange(""https://docs.google.com/spreadsheets/d/1j5_2sIBZP_RUoPnKOu_65lvVzVUeZs1BujRIxLnqEss/edit?gid=618607627#gid=618607627"",""2025-26!y3"")"),"")</f>
        <v/>
      </c>
      <c r="BA137" s="57" t="str">
        <f>IFERROR(__xludf.DUMMYFUNCTION("importrange(""https://docs.google.com/spreadsheets/d/1j5_2sIBZP_RUoPnKOu_65lvVzVUeZs1BujRIxLnqEss/edit?gid=618607627#gid=618607627"",""2025-26!z4"")"),"")</f>
        <v/>
      </c>
      <c r="BB137" s="55" t="str">
        <f>IFERROR(__xludf.DUMMYFUNCTION("importrange(""https://docs.google.com/spreadsheets/d/1j5_2sIBZP_RUoPnKOu_65lvVzVUeZs1BujRIxLnqEss/edit?gid=618607627#gid=618607627"",""2025-26!z3"")"),"")</f>
        <v/>
      </c>
      <c r="BC137" s="59" t="str">
        <f t="shared" si="23"/>
        <v/>
      </c>
      <c r="BD137" s="55" t="str">
        <f>IFERROR(__xludf.DUMMYFUNCTION("importrange(""https://docs.google.com/spreadsheets/d/1j5_2sIBZP_RUoPnKOu_65lvVzVUeZs1BujRIxLnqEss/edit?gid=618607627#gid=618607627"",""2025-26!aa4"")"),"")</f>
        <v/>
      </c>
      <c r="BE137" s="55" t="str">
        <f>IFERROR(__xludf.DUMMYFUNCTION("importrange(""https://docs.google.com/spreadsheets/d/1j5_2sIBZP_RUoPnKOu_65lvVzVUeZs1BujRIxLnqEss/edit?gid=618607627#gid=618607627"",""2025-26!aa3"")"),"")</f>
        <v/>
      </c>
      <c r="BF137" s="55" t="str">
        <f>IFERROR(__xludf.DUMMYFUNCTION("importrange(""https://docs.google.com/spreadsheets/d/1j5_2sIBZP_RUoPnKOu_65lvVzVUeZs1BujRIxLnqEss/edit?gid=618607627#gid=618607627"",""2025-26!ab4"")"),"")</f>
        <v/>
      </c>
      <c r="BG137" s="55" t="str">
        <f>IFERROR(__xludf.DUMMYFUNCTION("importrange(""https://docs.google.com/spreadsheets/d/1j5_2sIBZP_RUoPnKOu_65lvVzVUeZs1BujRIxLnqEss/edit?gid=618607627#gid=618607627"",""2025-26!ab3"")"),"")</f>
        <v/>
      </c>
      <c r="BH137" s="55" t="str">
        <f>IFERROR(__xludf.DUMMYFUNCTION("importrange(""https://docs.google.com/spreadsheets/d/1j5_2sIBZP_RUoPnKOu_65lvVzVUeZs1BujRIxLnqEss/edit?gid=618607627#gid=618607627"",""2025-26!ac4"")"),"")</f>
        <v/>
      </c>
      <c r="BI137" s="55" t="str">
        <f>IFERROR(__xludf.DUMMYFUNCTION("importrange(""https://docs.google.com/spreadsheets/d/1j5_2sIBZP_RUoPnKOu_65lvVzVUeZs1BujRIxLnqEss/edit?gid=618607627#gid=618607627"",""2025-26!ac3"")"),"")</f>
        <v/>
      </c>
      <c r="BJ137" s="59" t="str">
        <f t="shared" si="24"/>
        <v/>
      </c>
      <c r="BK137" s="55" t="str">
        <f>IFERROR(__xludf.DUMMYFUNCTION("importrange(""https://docs.google.com/spreadsheets/d/1j5_2sIBZP_RUoPnKOu_65lvVzVUeZs1BujRIxLnqEss/edit?gid=618607627#gid=618607627"",""2025-26!ad4"")"),"")</f>
        <v/>
      </c>
      <c r="BL137" s="55" t="str">
        <f>IFERROR(__xludf.DUMMYFUNCTION("importrange(""https://docs.google.com/spreadsheets/d/1j5_2sIBZP_RUoPnKOu_65lvVzVUeZs1BujRIxLnqEss/edit?gid=618607627#gid=618607627"",""2025-26!ad3"")"),"")</f>
        <v/>
      </c>
      <c r="BM137" s="55" t="str">
        <f>IFERROR(__xludf.DUMMYFUNCTION("importrange(""https://docs.google.com/spreadsheets/d/1j5_2sIBZP_RUoPnKOu_65lvVzVUeZs1BujRIxLnqEss/edit?gid=618607627#gid=618607627"",""2025-26!ae4"")"),"")</f>
        <v/>
      </c>
      <c r="BN137" s="55" t="str">
        <f>IFERROR(__xludf.DUMMYFUNCTION("importrange(""https://docs.google.com/spreadsheets/d/1j5_2sIBZP_RUoPnKOu_65lvVzVUeZs1BujRIxLnqEss/edit?gid=618607627#gid=618607627"",""2025-26!ae3"")"),"")</f>
        <v/>
      </c>
      <c r="BO137" s="55" t="str">
        <f>IFERROR(__xludf.DUMMYFUNCTION("importrange(""https://docs.google.com/spreadsheets/d/1j5_2sIBZP_RUoPnKOu_65lvVzVUeZs1BujRIxLnqEss/edit?gid=618607627#gid=618607627"",""2025-26!af4"")"),"")</f>
        <v/>
      </c>
      <c r="BP137" s="55" t="str">
        <f>IFERROR(__xludf.DUMMYFUNCTION("importrange(""https://docs.google.com/spreadsheets/d/1j5_2sIBZP_RUoPnKOu_65lvVzVUeZs1BujRIxLnqEss/edit?gid=618607627#gid=618607627"",""2025-26!af3"")"),"")</f>
        <v/>
      </c>
      <c r="BQ137" s="59" t="str">
        <f t="shared" si="25"/>
        <v/>
      </c>
      <c r="BR137" s="55" t="str">
        <f>IFERROR(__xludf.DUMMYFUNCTION("importrange(""https://docs.google.com/spreadsheets/d/1j5_2sIBZP_RUoPnKOu_65lvVzVUeZs1BujRIxLnqEss/edit?gid=618607627#gid=618607627"",""2025-26!ag4"")"),"")</f>
        <v/>
      </c>
      <c r="BS137" s="55" t="str">
        <f>IFERROR(__xludf.DUMMYFUNCTION("importrange(""https://docs.google.com/spreadsheets/d/1j5_2sIBZP_RUoPnKOu_65lvVzVUeZs1BujRIxLnqEss/edit?gid=618607627#gid=618607627"",""2025-26!ag3"")"),"")</f>
        <v/>
      </c>
      <c r="BT137" s="55" t="str">
        <f>IFERROR(__xludf.DUMMYFUNCTION("importrange(""https://docs.google.com/spreadsheets/d/1j5_2sIBZP_RUoPnKOu_65lvVzVUeZs1BujRIxLnqEss/edit?gid=618607627#gid=618607627"",""2025-26!ah4"")"),"")</f>
        <v/>
      </c>
      <c r="BU137" s="55" t="str">
        <f>IFERROR(__xludf.DUMMYFUNCTION("importrange(""https://docs.google.com/spreadsheets/d/1j5_2sIBZP_RUoPnKOu_65lvVzVUeZs1BujRIxLnqEss/edit?gid=618607627#gid=618607627"",""2025-26!ah3"")"),"")</f>
        <v/>
      </c>
      <c r="BV137" s="55" t="str">
        <f>IFERROR(__xludf.DUMMYFUNCTION("importrange(""https://docs.google.com/spreadsheets/d/1j5_2sIBZP_RUoPnKOu_65lvVzVUeZs1BujRIxLnqEss/edit?gid=618607627#gid=618607627"",""2025-26!ai4"")"),"")</f>
        <v/>
      </c>
      <c r="BW137" s="55" t="str">
        <f>IFERROR(__xludf.DUMMYFUNCTION("importrange(""https://docs.google.com/spreadsheets/d/1j5_2sIBZP_RUoPnKOu_65lvVzVUeZs1BujRIxLnqEss/edit?gid=618607627#gid=618607627"",""2025-26!ai3"")"),"")</f>
        <v/>
      </c>
      <c r="BX137" s="59" t="str">
        <f t="shared" si="26"/>
        <v/>
      </c>
      <c r="BY137" s="55" t="str">
        <f>IFERROR(__xludf.DUMMYFUNCTION("importrange(""https://docs.google.com/spreadsheets/d/1j5_2sIBZP_RUoPnKOu_65lvVzVUeZs1BujRIxLnqEss/edit?gid=618607627#gid=618607627"",""2025-26!aj4"")"),"")</f>
        <v/>
      </c>
      <c r="BZ137" s="55" t="str">
        <f>IFERROR(__xludf.DUMMYFUNCTION("importrange(""https://docs.google.com/spreadsheets/d/1j5_2sIBZP_RUoPnKOu_65lvVzVUeZs1BujRIxLnqEss/edit?gid=618607627#gid=618607627"",""2025-26!aj3"")"),"")</f>
        <v/>
      </c>
      <c r="CA137" s="55" t="str">
        <f>IFERROR(__xludf.DUMMYFUNCTION("importrange(""https://docs.google.com/spreadsheets/d/1j5_2sIBZP_RUoPnKOu_65lvVzVUeZs1BujRIxLnqEss/edit?gid=618607627#gid=618607627"",""2025-26!ak4"")"),"")</f>
        <v/>
      </c>
      <c r="CB137" s="55" t="str">
        <f>IFERROR(__xludf.DUMMYFUNCTION("importrange(""https://docs.google.com/spreadsheets/d/1j5_2sIBZP_RUoPnKOu_65lvVzVUeZs1BujRIxLnqEss/edit?gid=618607627#gid=618607627"",""2025-26!ak3"")"),"")</f>
        <v/>
      </c>
      <c r="CC137" s="55" t="str">
        <f>IFERROR(__xludf.DUMMYFUNCTION("importrange(""https://docs.google.com/spreadsheets/d/1j5_2sIBZP_RUoPnKOu_65lvVzVUeZs1BujRIxLnqEss/edit?gid=618607627#gid=618607627"",""2025-26!al4"")"),"")</f>
        <v/>
      </c>
      <c r="CD137" s="55" t="str">
        <f>IFERROR(__xludf.DUMMYFUNCTION("importrange(""https://docs.google.com/spreadsheets/d/1j5_2sIBZP_RUoPnKOu_65lvVzVUeZs1BujRIxLnqEss/edit?gid=618607627#gid=618607627"",""2025-26!ai3"")"),"")</f>
        <v/>
      </c>
      <c r="CE137" s="59" t="str">
        <f t="shared" si="27"/>
        <v/>
      </c>
      <c r="CF137" s="55" t="str">
        <f>IFERROR(__xludf.DUMMYFUNCTION("importrange(""https://docs.google.com/spreadsheets/d/1j5_2sIBZP_RUoPnKOu_65lvVzVUeZs1BujRIxLnqEss/edit?gid=618607627#gid=618607627"",""2025-26!am4"")"),"")</f>
        <v/>
      </c>
      <c r="CG137" s="55" t="str">
        <f>IFERROR(__xludf.DUMMYFUNCTION("importrange(""https://docs.google.com/spreadsheets/d/1j5_2sIBZP_RUoPnKOu_65lvVzVUeZs1BujRIxLnqEss/edit?gid=618607627#gid=618607627"",""2025-26!am3"")"),"")</f>
        <v/>
      </c>
      <c r="CH137" s="55" t="str">
        <f>IFERROR(__xludf.DUMMYFUNCTION("importrange(""https://docs.google.com/spreadsheets/d/1j5_2sIBZP_RUoPnKOu_65lvVzVUeZs1BujRIxLnqEss/edit?gid=618607627#gid=618607627"",""2025-26!an4"")"),"")</f>
        <v/>
      </c>
      <c r="CI137" s="55" t="str">
        <f>IFERROR(__xludf.DUMMYFUNCTION("importrange(""https://docs.google.com/spreadsheets/d/1j5_2sIBZP_RUoPnKOu_65lvVzVUeZs1BujRIxLnqEss/edit?gid=618607627#gid=618607627"",""2025-26!an3"")"),"")</f>
        <v/>
      </c>
      <c r="CJ137" s="55" t="str">
        <f>IFERROR(__xludf.DUMMYFUNCTION("importrange(""https://docs.google.com/spreadsheets/d/1j5_2sIBZP_RUoPnKOu_65lvVzVUeZs1BujRIxLnqEss/edit?gid=618607627#gid=618607627"",""2025-26!ao4"")"),"")</f>
        <v/>
      </c>
      <c r="CK137" s="55" t="str">
        <f>IFERROR(__xludf.DUMMYFUNCTION("importrange(""https://docs.google.com/spreadsheets/d/1j5_2sIBZP_RUoPnKOu_65lvVzVUeZs1BujRIxLnqEss/edit?gid=618607627#gid=618607627"",""2025-26!ao3"")"),"")</f>
        <v/>
      </c>
      <c r="CL137" s="59" t="str">
        <f t="shared" si="28"/>
        <v/>
      </c>
      <c r="CM137" s="55" t="str">
        <f>IFERROR(__xludf.DUMMYFUNCTION("importrange(""https://docs.google.com/spreadsheets/d/1j5_2sIBZP_RUoPnKOu_65lvVzVUeZs1BujRIxLnqEss/edit?gid=618607627#gid=618607627"",""2025-26!ap4"")"),"")</f>
        <v/>
      </c>
      <c r="CN137" s="55" t="str">
        <f>IFERROR(__xludf.DUMMYFUNCTION("importrange(""https://docs.google.com/spreadsheets/d/1j5_2sIBZP_RUoPnKOu_65lvVzVUeZs1BujRIxLnqEss/edit?gid=618607627#gid=618607627"",""2025-26!ap3"")"),"")</f>
        <v/>
      </c>
      <c r="CO137" s="55" t="str">
        <f>IFERROR(__xludf.DUMMYFUNCTION("importrange(""https://docs.google.com/spreadsheets/d/1j5_2sIBZP_RUoPnKOu_65lvVzVUeZs1BujRIxLnqEss/edit?gid=618607627#gid=618607627"",""2025-26!aq4"")"),"")</f>
        <v/>
      </c>
      <c r="CP137" s="55" t="str">
        <f>IFERROR(__xludf.DUMMYFUNCTION("importrange(""https://docs.google.com/spreadsheets/d/1j5_2sIBZP_RUoPnKOu_65lvVzVUeZs1BujRIxLnqEss/edit?gid=618607627#gid=618607627"",""2025-26!aq3"")"),"")</f>
        <v/>
      </c>
      <c r="CQ137" s="55" t="str">
        <f>IFERROR(__xludf.DUMMYFUNCTION("importrange(""https://docs.google.com/spreadsheets/d/1j5_2sIBZP_RUoPnKOu_65lvVzVUeZs1BujRIxLnqEss/edit?gid=618607627#gid=618607627"",""2025-26!ar4"")"),"")</f>
        <v/>
      </c>
      <c r="CR137" s="55" t="str">
        <f>IFERROR(__xludf.DUMMYFUNCTION("importrange(""https://docs.google.com/spreadsheets/d/1j5_2sIBZP_RUoPnKOu_65lvVzVUeZs1BujRIxLnqEss/edit?gid=618607627#gid=618607627"",""2025-26!ar3"")"),"")</f>
        <v/>
      </c>
      <c r="CS137" s="59" t="str">
        <f t="shared" si="29"/>
        <v/>
      </c>
      <c r="CT137" s="55" t="str">
        <f>IFERROR(__xludf.DUMMYFUNCTION("importrange(""https://docs.google.com/spreadsheets/d/1j5_2sIBZP_RUoPnKOu_65lvVzVUeZs1BujRIxLnqEss/edit?gid=618607627#gid=618607627"",""2025-26!as4"")"),"")</f>
        <v/>
      </c>
      <c r="CU137" s="55" t="str">
        <f>IFERROR(__xludf.DUMMYFUNCTION("importrange(""https://docs.google.com/spreadsheets/d/1j5_2sIBZP_RUoPnKOu_65lvVzVUeZs1BujRIxLnqEss/edit?gid=618607627#gid=618607627"",""2025-26!as3"")"),"")</f>
        <v/>
      </c>
      <c r="CV137" s="60" t="s">
        <v>189</v>
      </c>
    </row>
    <row r="138">
      <c r="A138" s="1" t="s">
        <v>298</v>
      </c>
      <c r="B138" s="112" t="s">
        <v>298</v>
      </c>
      <c r="C138" s="64" t="s">
        <v>299</v>
      </c>
      <c r="D138" s="50" t="s">
        <v>300</v>
      </c>
      <c r="E138" s="50">
        <v>9.82200876E9</v>
      </c>
      <c r="F138" s="74">
        <v>43015.0</v>
      </c>
      <c r="G138" s="62"/>
      <c r="H138" s="62"/>
      <c r="I138" s="53">
        <v>38750.0</v>
      </c>
      <c r="J138" s="54">
        <v>2000000.0</v>
      </c>
      <c r="K138" s="57">
        <f>IFERROR(__xludf.DUMMYFUNCTION("IMPORTRANGE(""https://docs.google.com/spreadsheets/d/1hdnWim5IyU3odQS7qac9pteQzzcjKICRf0oXedBwc28/edit#gid=1496943040"",""2025-26!A3"")"),171.0)</f>
        <v>171</v>
      </c>
      <c r="L138" s="57">
        <f>IFERROR(__xludf.DUMMYFUNCTION("IMPORTRANGE(""https://docs.google.com/spreadsheets/d/1hdnWim5IyU3odQS7qac9pteQzzcjKICRf0oXedBwc28/edit#gid=1496943040"",""2025-26!G4"")"),2.563E7)</f>
        <v>25630000</v>
      </c>
      <c r="M138" s="57">
        <f t="shared" si="50"/>
        <v>20796267.48</v>
      </c>
      <c r="N138" s="56">
        <f t="shared" si="51"/>
        <v>0.8434573547</v>
      </c>
      <c r="O138" s="57">
        <f t="shared" si="52"/>
        <v>21617812</v>
      </c>
      <c r="P138" s="55">
        <f>IFERROR(__xludf.DUMMYFUNCTION("IMPORTRANGE(""https://docs.google.com/spreadsheets/d/1hdnWim5IyU3odQS7qac9pteQzzcjKICRf0oXedBwc28/edit#gid=1496943040"",""2025-26!J4"")"),1979166.6666666646)</f>
        <v>1979166.667</v>
      </c>
      <c r="Q138" s="55">
        <f>IFERROR(__xludf.DUMMYFUNCTION("IMPORTRANGE(""https://docs.google.com/spreadsheets/d/1hdnWim5IyU3odQS7qac9pteQzzcjKICRf0oXedBwc28/edit#gid=1496943040"",""2025-26!J3"")"),103.0)</f>
        <v>103</v>
      </c>
      <c r="R138" s="55">
        <f>IFERROR(__xludf.DUMMYFUNCTION("IMPORTRANGE(""https://docs.google.com/spreadsheets/d/1hdnWim5IyU3odQS7qac9pteQzzcjKICRf0oXedBwc28/edit#gid=1496943040"",""2025-26!K4"")"),1593053.8999999997)</f>
        <v>1593053.9</v>
      </c>
      <c r="S138" s="55">
        <f>IFERROR(__xludf.DUMMYFUNCTION("IMPORTRANGE(""https://docs.google.com/spreadsheets/d/1hdnWim5IyU3odQS7qac9pteQzzcjKICRf0oXedBwc28/edit#gid=1496943040"",""2025-26!K3"")"),29.0)</f>
        <v>29</v>
      </c>
      <c r="T138" s="58">
        <f t="shared" si="18"/>
        <v>0.9390780632</v>
      </c>
      <c r="U138" s="55">
        <f>IFERROR(__xludf.DUMMYFUNCTION("IMPORTRANGE(""https://docs.google.com/spreadsheets/d/1hdnWim5IyU3odQS7qac9pteQzzcjKICRf0oXedBwc28/edit#gid=1496943040"",""2025-26!L4"")"),1858592.0)</f>
        <v>1858592</v>
      </c>
      <c r="V138" s="79">
        <f>IFERROR(__xludf.DUMMYFUNCTION("IMPORTRANGE(""https://docs.google.com/spreadsheets/d/1hdnWim5IyU3odQS7qac9pteQzzcjKICRf0oXedBwc28/edit#gid=1496943040"",""2025-26!L3"")"),42.0)</f>
        <v>42</v>
      </c>
      <c r="W138" s="55">
        <f>IFERROR(__xludf.DUMMYFUNCTION("IMPORTRANGE(""https://docs.google.com/spreadsheets/d/1hdnWim5IyU3odQS7qac9pteQzzcjKICRf0oXedBwc28/edit#gid=1496943040"",""2025-26!M4"")"),1979166.6666666646)</f>
        <v>1979166.667</v>
      </c>
      <c r="X138" s="79">
        <f>IFERROR(__xludf.DUMMYFUNCTION("IMPORTRANGE(""https://docs.google.com/spreadsheets/d/1hdnWim5IyU3odQS7qac9pteQzzcjKICRf0oXedBwc28/edit#gid=1496943040"",""2025-26!M3"")"),103.0)</f>
        <v>103</v>
      </c>
      <c r="Y138" s="55">
        <f>IFERROR(__xludf.DUMMYFUNCTION("importrange(""https://docs.google.com/spreadsheets/d/1hdnWim5IyU3odQS7qac9pteQzzcjKICRf0oXedBwc28/edit#gid=1496943040"",""2025-26!n4"")"),1935481.9000000001)</f>
        <v>1935481.9</v>
      </c>
      <c r="Z138" s="55">
        <f>IFERROR(__xludf.DUMMYFUNCTION("importrange(""https://docs.google.com/spreadsheets/d/1hdnWim5IyU3odQS7qac9pteQzzcjKICRf0oXedBwc28/edit#gid=1496943040"",""2025-26!n3"")"),37.0)</f>
        <v>37</v>
      </c>
      <c r="AA138" s="58">
        <f t="shared" si="19"/>
        <v>1.014477474</v>
      </c>
      <c r="AB138" s="55">
        <f>IFERROR(__xludf.DUMMYFUNCTION("importrange(""https://docs.google.com/spreadsheets/d/1hdnWim5IyU3odQS7qac9pteQzzcjKICRf0oXedBwc28/edit#gid=1496943040"",""2025-26!o4"")"),2007820.0)</f>
        <v>2007820</v>
      </c>
      <c r="AC138" s="55">
        <f>IFERROR(__xludf.DUMMYFUNCTION("importrange(""https://docs.google.com/spreadsheets/d/1hdnWim5IyU3odQS7qac9pteQzzcjKICRf0oXedBwc28/edit#gid=1496943040"",""2025-26!o3"")"),38.0)</f>
        <v>38</v>
      </c>
      <c r="AD138" s="55">
        <f>IFERROR(__xludf.DUMMYFUNCTION("importrange(""https://docs.google.com/spreadsheets/d/1hdnWim5IyU3odQS7qac9pteQzzcjKICRf0oXedBwc28/edit#gid=1496943040"",""2025-26!p4"")"),1979166.6666666646)</f>
        <v>1979166.667</v>
      </c>
      <c r="AE138" s="55">
        <f>IFERROR(__xludf.DUMMYFUNCTION("importrange(""https://docs.google.com/spreadsheets/d/1hdnWim5IyU3odQS7qac9pteQzzcjKICRf0oXedBwc28/edit#gid=1496943040"",""2025-26!p3"")"),103.0)</f>
        <v>103</v>
      </c>
      <c r="AF138" s="55">
        <f>IFERROR(__xludf.DUMMYFUNCTION("importrange(""https://docs.google.com/spreadsheets/d/1hdnWim5IyU3odQS7qac9pteQzzcjKICRf0oXedBwc28/edit#gid=1496943040"",""2025-26!q4"")"),2182730.2)</f>
        <v>2182730.2</v>
      </c>
      <c r="AG138" s="55">
        <f>IFERROR(__xludf.DUMMYFUNCTION("importrange(""https://docs.google.com/spreadsheets/d/1hdnWim5IyU3odQS7qac9pteQzzcjKICRf0oXedBwc28/edit#gid=1496943040"",""2025-26!q3"")"),46.0)</f>
        <v>46</v>
      </c>
      <c r="AH138" s="58">
        <f t="shared" si="20"/>
        <v>1.190202442</v>
      </c>
      <c r="AI138" s="55">
        <f>IFERROR(__xludf.DUMMYFUNCTION("importrange(""https://docs.google.com/spreadsheets/d/1hdnWim5IyU3odQS7qac9pteQzzcjKICRf0oXedBwc28/edit#gid=1496943040"",""2025-26!r4"")"),2355609.0)</f>
        <v>2355609</v>
      </c>
      <c r="AJ138" s="55">
        <f>IFERROR(__xludf.DUMMYFUNCTION("importrange(""https://docs.google.com/spreadsheets/d/1hdnWim5IyU3odQS7qac9pteQzzcjKICRf0oXedBwc28/edit#gid=1496943040"",""2025-26!r3"")"),52.0)</f>
        <v>52</v>
      </c>
      <c r="AK138" s="55">
        <f>IFERROR(__xludf.DUMMYFUNCTION("importrange(""https://docs.google.com/spreadsheets/d/1hdnWim5IyU3odQS7qac9pteQzzcjKICRf0oXedBwc28/edit#gid=1496943040"",""2025-26!s4"")"),2040833.3333333312)</f>
        <v>2040833.333</v>
      </c>
      <c r="AL138" s="55">
        <f>IFERROR(__xludf.DUMMYFUNCTION("importrange(""https://docs.google.com/spreadsheets/d/1hdnWim5IyU3odQS7qac9pteQzzcjKICRf0oXedBwc28/edit#gid=1496943040"",""2025-26!s3"")"),108.0)</f>
        <v>108</v>
      </c>
      <c r="AM138" s="57">
        <f>IFERROR(__xludf.DUMMYFUNCTION("importrange(""https://docs.google.com/spreadsheets/d/1hdnWim5IyU3odQS7qac9pteQzzcjKICRf0oXedBwc28/edit#gid=1496943040"",""2025-26!t4"")"),1790290.0700000003)</f>
        <v>1790290.07</v>
      </c>
      <c r="AN138" s="55">
        <f>IFERROR(__xludf.DUMMYFUNCTION("importrange(""https://docs.google.com/spreadsheets/d/1hdnWim5IyU3odQS7qac9pteQzzcjKICRf0oXedBwc28/edit#gid=1496943040"",""2025-26!t3"")"),44.0)</f>
        <v>44</v>
      </c>
      <c r="AO138" s="58">
        <f t="shared" si="21"/>
        <v>0.998037893</v>
      </c>
      <c r="AP138" s="55">
        <f>IFERROR(__xludf.DUMMYFUNCTION("importrange(""https://docs.google.com/spreadsheets/d/1hdnWim5IyU3odQS7qac9pteQzzcjKICRf0oXedBwc28/edit#gid=1496943040"",""2025-26!u4"")"),2036829.0)</f>
        <v>2036829</v>
      </c>
      <c r="AQ138" s="55">
        <f>IFERROR(__xludf.DUMMYFUNCTION("importrange(""https://docs.google.com/spreadsheets/d/1hdnWim5IyU3odQS7qac9pteQzzcjKICRf0oXedBwc28/edit#gid=1496943040"",""2025-26!u3"")"),55.0)</f>
        <v>55</v>
      </c>
      <c r="AR138" s="55">
        <f>IFERROR(__xludf.DUMMYFUNCTION("importrange(""https://docs.google.com/spreadsheets/d/1hdnWim5IyU3odQS7qac9pteQzzcjKICRf0oXedBwc28/edit#gid=1496943040"",""2025-26!v4"")"),2125833.333333331)</f>
        <v>2125833.333</v>
      </c>
      <c r="AS138" s="55">
        <f>IFERROR(__xludf.DUMMYFUNCTION("importrange(""https://docs.google.com/spreadsheets/d/1hdnWim5IyU3odQS7qac9pteQzzcjKICRf0oXedBwc28/edit#gid=1496943040"",""2025-26!v3"")"),118.0)</f>
        <v>118</v>
      </c>
      <c r="AT138" s="57">
        <f>IFERROR(__xludf.DUMMYFUNCTION("importrange(""https://docs.google.com/spreadsheets/d/1hdnWim5IyU3odQS7qac9pteQzzcjKICRf0oXedBwc28/edit#gid=1496943040"",""2025-26!w4"")"),1683860.8699999996)</f>
        <v>1683860.87</v>
      </c>
      <c r="AU138" s="55">
        <f>IFERROR(__xludf.DUMMYFUNCTION("importrange(""https://docs.google.com/spreadsheets/d/1hdnWim5IyU3odQS7qac9pteQzzcjKICRf0oXedBwc28/edit#gid=1496943040"",""2025-26!w3"")"),38.0)</f>
        <v>38</v>
      </c>
      <c r="AV138" s="58">
        <f t="shared" si="22"/>
        <v>0.7205423755</v>
      </c>
      <c r="AW138" s="55">
        <f>IFERROR(__xludf.DUMMYFUNCTION("importrange(""https://docs.google.com/spreadsheets/d/1hdnWim5IyU3odQS7qac9pteQzzcjKICRf0oXedBwc28/edit#gid=1496943040"",""2025-26!x4"")"),1531753.0)</f>
        <v>1531753</v>
      </c>
      <c r="AX138" s="55">
        <f>IFERROR(__xludf.DUMMYFUNCTION("importrange(""https://docs.google.com/spreadsheets/d/1hdnWim5IyU3odQS7qac9pteQzzcjKICRf0oXedBwc28/edit#gid=1496943040"",""2025-26!x3"")"),42.0)</f>
        <v>42</v>
      </c>
      <c r="AY138" s="55">
        <f>IFERROR(__xludf.DUMMYFUNCTION("importrange(""https://docs.google.com/spreadsheets/d/1hdnWim5IyU3odQS7qac9pteQzzcjKICRf0oXedBwc28/edit#gid=1496943040"",""2025-26!y4"")"),2115833.333333331)</f>
        <v>2115833.333</v>
      </c>
      <c r="AZ138" s="55">
        <f>IFERROR(__xludf.DUMMYFUNCTION("importrange(""https://docs.google.com/spreadsheets/d/1hdnWim5IyU3odQS7qac9pteQzzcjKICRf0oXedBwc28/edit#gid=1496943040"",""2025-26!y3"")"),117.0)</f>
        <v>117</v>
      </c>
      <c r="BA138" s="57">
        <f>IFERROR(__xludf.DUMMYFUNCTION("importrange(""https://docs.google.com/spreadsheets/d/1hdnWim5IyU3odQS7qac9pteQzzcjKICRf0oXedBwc28/edit#gid=1496943040"",""2025-26!z4"")"),1508481.6599999997)</f>
        <v>1508481.66</v>
      </c>
      <c r="BB138" s="55">
        <f>IFERROR(__xludf.DUMMYFUNCTION("importrange(""https://docs.google.com/spreadsheets/d/1hdnWim5IyU3odQS7qac9pteQzzcjKICRf0oXedBwc28/edit#gid=1496943040"",""2025-26!z3"")"),44.0)</f>
        <v>44</v>
      </c>
      <c r="BC138" s="59">
        <f t="shared" si="23"/>
        <v>0.8320272548</v>
      </c>
      <c r="BD138" s="55">
        <f>IFERROR(__xludf.DUMMYFUNCTION("importrange(""https://docs.google.com/spreadsheets/d/1hdnWim5IyU3odQS7qac9pteQzzcjKICRf0oXedBwc28/edit#gid=1496943040"",""2025-26!aa4"")"),1760431.0)</f>
        <v>1760431</v>
      </c>
      <c r="BE138" s="55">
        <f>IFERROR(__xludf.DUMMYFUNCTION("importrange(""https://docs.google.com/spreadsheets/d/1hdnWim5IyU3odQS7qac9pteQzzcjKICRf0oXedBwc28/edit#gid=1496943040"",""2025-26!aa3"")"),49.0)</f>
        <v>49</v>
      </c>
      <c r="BF138" s="55">
        <f>IFERROR(__xludf.DUMMYFUNCTION("importrange(""https://docs.google.com/spreadsheets/d/1hdnWim5IyU3odQS7qac9pteQzzcjKICRf0oXedBwc28/edit#gid=1496943040"",""2025-26!ab4"")"),2115833.333333331)</f>
        <v>2115833.333</v>
      </c>
      <c r="BG138" s="55">
        <f>IFERROR(__xludf.DUMMYFUNCTION("importrange(""https://docs.google.com/spreadsheets/d/1hdnWim5IyU3odQS7qac9pteQzzcjKICRf0oXedBwc28/edit#gid=1496943040"",""2025-26!ab3"")"),117.0)</f>
        <v>117</v>
      </c>
      <c r="BH138" s="55">
        <f>IFERROR(__xludf.DUMMYFUNCTION("importrange(""https://docs.google.com/spreadsheets/d/1hdnWim5IyU3odQS7qac9pteQzzcjKICRf0oXedBwc28/edit#gid=1496943040"",""2025-26!ac4"")"),1417542.83)</f>
        <v>1417542.83</v>
      </c>
      <c r="BI138" s="55">
        <f>IFERROR(__xludf.DUMMYFUNCTION("importrange(""https://docs.google.com/spreadsheets/d/1hdnWim5IyU3odQS7qac9pteQzzcjKICRf0oXedBwc28/edit#gid=1496943040"",""2025-26!ac3"")"),26.0)</f>
        <v>26</v>
      </c>
      <c r="BJ138" s="59">
        <f t="shared" si="24"/>
        <v>0.6477603781</v>
      </c>
      <c r="BK138" s="55">
        <f>IFERROR(__xludf.DUMMYFUNCTION("importrange(""https://docs.google.com/spreadsheets/d/1hdnWim5IyU3odQS7qac9pteQzzcjKICRf0oXedBwc28/edit#gid=1496943040"",""2025-26!ad4"")"),1370553.0)</f>
        <v>1370553</v>
      </c>
      <c r="BL138" s="55">
        <f>IFERROR(__xludf.DUMMYFUNCTION("importrange(""https://docs.google.com/spreadsheets/d/1hdnWim5IyU3odQS7qac9pteQzzcjKICRf0oXedBwc28/edit#gid=1496943040"",""2025-26!ad3"")"),27.0)</f>
        <v>27</v>
      </c>
      <c r="BM138" s="55">
        <f>IFERROR(__xludf.DUMMYFUNCTION("importrange(""https://docs.google.com/spreadsheets/d/1hdnWim5IyU3odQS7qac9pteQzzcjKICRf0oXedBwc28/edit#gid=1496943040"",""2025-26!ae4"")"),2115833.333333331)</f>
        <v>2115833.333</v>
      </c>
      <c r="BN138" s="55">
        <f>IFERROR(__xludf.DUMMYFUNCTION("importrange(""https://docs.google.com/spreadsheets/d/1hdnWim5IyU3odQS7qac9pteQzzcjKICRf0oXedBwc28/edit#gid=1496943040"",""2025-26!ae3"")"),117.0)</f>
        <v>117</v>
      </c>
      <c r="BO138" s="55">
        <f>IFERROR(__xludf.DUMMYFUNCTION("importrange(""https://docs.google.com/spreadsheets/d/1hdnWim5IyU3odQS7qac9pteQzzcjKICRf0oXedBwc28/edit#gid=1496943040"",""2025-26!af4"")"),1641948.3599999999)</f>
        <v>1641948.36</v>
      </c>
      <c r="BP138" s="55">
        <f>IFERROR(__xludf.DUMMYFUNCTION("importrange(""https://docs.google.com/spreadsheets/d/1hdnWim5IyU3odQS7qac9pteQzzcjKICRf0oXedBwc28/edit#gid=1496943040"",""2025-26!af3"")"),42.0)</f>
        <v>42</v>
      </c>
      <c r="BQ138" s="59">
        <f t="shared" si="25"/>
        <v>0.7950782198</v>
      </c>
      <c r="BR138" s="55">
        <f>IFERROR(__xludf.DUMMYFUNCTION("importrange(""https://docs.google.com/spreadsheets/d/1hdnWim5IyU3odQS7qac9pteQzzcjKICRf0oXedBwc28/edit#gid=1496943040"",""2025-26!ag4"")"),1682253.0)</f>
        <v>1682253</v>
      </c>
      <c r="BS138" s="55">
        <f>IFERROR(__xludf.DUMMYFUNCTION("importrange(""https://docs.google.com/spreadsheets/d/1hdnWim5IyU3odQS7qac9pteQzzcjKICRf0oXedBwc28/edit#gid=1496943040"",""2025-26!ag3"")"),51.0)</f>
        <v>51</v>
      </c>
      <c r="BT138" s="55">
        <f>IFERROR(__xludf.DUMMYFUNCTION("importrange(""https://docs.google.com/spreadsheets/d/1hdnWim5IyU3odQS7qac9pteQzzcjKICRf0oXedBwc28/edit#gid=1496943040"",""2025-26!ah4"")"),2135833.333333331)</f>
        <v>2135833.333</v>
      </c>
      <c r="BU138" s="55">
        <f>IFERROR(__xludf.DUMMYFUNCTION("importrange(""https://docs.google.com/spreadsheets/d/1hdnWim5IyU3odQS7qac9pteQzzcjKICRf0oXedBwc28/edit#gid=1496943040"",""2025-26!ah3"")"),119.0)</f>
        <v>119</v>
      </c>
      <c r="BV138" s="55">
        <f>IFERROR(__xludf.DUMMYFUNCTION("importrange(""https://docs.google.com/spreadsheets/d/1hdnWim5IyU3odQS7qac9pteQzzcjKICRf0oXedBwc28/edit#gid=1496943040"",""2025-26!ai4"")"),1732790.57)</f>
        <v>1732790.57</v>
      </c>
      <c r="BW138" s="55">
        <f>IFERROR(__xludf.DUMMYFUNCTION("importrange(""https://docs.google.com/spreadsheets/d/1hdnWim5IyU3odQS7qac9pteQzzcjKICRf0oXedBwc28/edit#gid=1496943040"",""2025-26!ai3"")"),37.0)</f>
        <v>37</v>
      </c>
      <c r="BX138" s="59">
        <f t="shared" si="26"/>
        <v>0.831955833</v>
      </c>
      <c r="BY138" s="55">
        <f>IFERROR(__xludf.DUMMYFUNCTION("importrange(""https://docs.google.com/spreadsheets/d/1hdnWim5IyU3odQS7qac9pteQzzcjKICRf0oXedBwc28/edit#gid=1496943040"",""2025-26!aj4"")"),1776919.0)</f>
        <v>1776919</v>
      </c>
      <c r="BZ138" s="55">
        <f>IFERROR(__xludf.DUMMYFUNCTION("importrange(""https://docs.google.com/spreadsheets/d/1hdnWim5IyU3odQS7qac9pteQzzcjKICRf0oXedBwc28/edit#gid=1496943040"",""2025-26!aj3"")"),41.0)</f>
        <v>41</v>
      </c>
      <c r="CA138" s="55">
        <f>IFERROR(__xludf.DUMMYFUNCTION("importrange(""https://docs.google.com/spreadsheets/d/1hdnWim5IyU3odQS7qac9pteQzzcjKICRf0oXedBwc28/edit#gid=1496943040"",""2025-26!ak4"")"),2135833.333333331)</f>
        <v>2135833.333</v>
      </c>
      <c r="CB138" s="55">
        <f>IFERROR(__xludf.DUMMYFUNCTION("importrange(""https://docs.google.com/spreadsheets/d/1hdnWim5IyU3odQS7qac9pteQzzcjKICRf0oXedBwc28/edit#gid=1496943040"",""2025-26!ak3"")"),119.0)</f>
        <v>119</v>
      </c>
      <c r="CC138" s="55">
        <f>IFERROR(__xludf.DUMMYFUNCTION("importrange(""https://docs.google.com/spreadsheets/d/1hdnWim5IyU3odQS7qac9pteQzzcjKICRf0oXedBwc28/edit#gid=1496943040"",""2025-26!al4"")"),1562040.6599999997)</f>
        <v>1562040.66</v>
      </c>
      <c r="CD138" s="55">
        <f>IFERROR(__xludf.DUMMYFUNCTION("importrange(""https://docs.google.com/spreadsheets/d/1hdnWim5IyU3odQS7qac9pteQzzcjKICRf0oXedBwc28/edit#gid=1496943040"",""2025-26!ai3"")"),37.0)</f>
        <v>37</v>
      </c>
      <c r="CE138" s="59">
        <f t="shared" si="27"/>
        <v>0.7734901288</v>
      </c>
      <c r="CF138" s="55">
        <f>IFERROR(__xludf.DUMMYFUNCTION("importrange(""https://docs.google.com/spreadsheets/d/1hdnWim5IyU3odQS7qac9pteQzzcjKICRf0oXedBwc28/edit#gid=1496943040"",""2025-26!am4"")"),1652046.0)</f>
        <v>1652046</v>
      </c>
      <c r="CG138" s="55">
        <f>IFERROR(__xludf.DUMMYFUNCTION("importrange(""https://docs.google.com/spreadsheets/d/1hdnWim5IyU3odQS7qac9pteQzzcjKICRf0oXedBwc28/edit#gid=1496943040"",""2025-26!am3"")"),33.0)</f>
        <v>33</v>
      </c>
      <c r="CH138" s="55">
        <f>IFERROR(__xludf.DUMMYFUNCTION("importrange(""https://docs.google.com/spreadsheets/d/1hdnWim5IyU3odQS7qac9pteQzzcjKICRf0oXedBwc28/edit#gid=1496943040"",""2025-26!an4"")"),2135833.333333331)</f>
        <v>2135833.333</v>
      </c>
      <c r="CI138" s="55">
        <f>IFERROR(__xludf.DUMMYFUNCTION("importrange(""https://docs.google.com/spreadsheets/d/1hdnWim5IyU3odQS7qac9pteQzzcjKICRf0oXedBwc28/edit#gid=1496943040"",""2025-26!an3"")"),119.0)</f>
        <v>119</v>
      </c>
      <c r="CJ138" s="55">
        <f>IFERROR(__xludf.DUMMYFUNCTION("importrange(""https://docs.google.com/spreadsheets/d/1hdnWim5IyU3odQS7qac9pteQzzcjKICRf0oXedBwc28/edit#gid=1496943040"",""2025-26!ao4"")"),1797482.27)</f>
        <v>1797482.27</v>
      </c>
      <c r="CK138" s="55">
        <f>IFERROR(__xludf.DUMMYFUNCTION("importrange(""https://docs.google.com/spreadsheets/d/1hdnWim5IyU3odQS7qac9pteQzzcjKICRf0oXedBwc28/edit#gid=1496943040"",""2025-26!ao3"")"),37.0)</f>
        <v>37</v>
      </c>
      <c r="CL138" s="59">
        <f t="shared" si="28"/>
        <v>0.8413788529</v>
      </c>
      <c r="CM138" s="55">
        <f>IFERROR(__xludf.DUMMYFUNCTION("importrange(""https://docs.google.com/spreadsheets/d/1hdnWim5IyU3odQS7qac9pteQzzcjKICRf0oXedBwc28/edit#gid=1496943040"",""2025-26!ap4"")"),1797045.0)</f>
        <v>1797045</v>
      </c>
      <c r="CN138" s="55">
        <f>IFERROR(__xludf.DUMMYFUNCTION("importrange(""https://docs.google.com/spreadsheets/d/1hdnWim5IyU3odQS7qac9pteQzzcjKICRf0oXedBwc28/edit#gid=1496943040"",""2025-26!ap3"")"),35.0)</f>
        <v>35</v>
      </c>
      <c r="CO138" s="55">
        <f>IFERROR(__xludf.DUMMYFUNCTION("importrange(""https://docs.google.com/spreadsheets/d/1hdnWim5IyU3odQS7qac9pteQzzcjKICRf0oXedBwc28/edit#gid=1496943040"",""2025-26!aq4"")"),0.0)</f>
        <v>0</v>
      </c>
      <c r="CP138" s="55">
        <f>IFERROR(__xludf.DUMMYFUNCTION("importrange(""https://docs.google.com/spreadsheets/d/1hdnWim5IyU3odQS7qac9pteQzzcjKICRf0oXedBwc28/edit#gid=1496943040"",""2025-26!aq3"")"),0.0)</f>
        <v>0</v>
      </c>
      <c r="CQ138" s="55">
        <f>IFERROR(__xludf.DUMMYFUNCTION("importrange(""https://docs.google.com/spreadsheets/d/1hdnWim5IyU3odQS7qac9pteQzzcjKICRf0oXedBwc28/edit#gid=1496943040"",""2025-26!ar4"")"),1950564.19)</f>
        <v>1950564.19</v>
      </c>
      <c r="CR138" s="55">
        <f>IFERROR(__xludf.DUMMYFUNCTION("importrange(""https://docs.google.com/spreadsheets/d/1hdnWim5IyU3odQS7qac9pteQzzcjKICRf0oXedBwc28/edit#gid=1496943040"",""2025-26!ar3"")"),33.0)</f>
        <v>33</v>
      </c>
      <c r="CS138" s="59" t="str">
        <f t="shared" si="29"/>
        <v/>
      </c>
      <c r="CT138" s="55">
        <f>IFERROR(__xludf.DUMMYFUNCTION("importrange(""https://docs.google.com/spreadsheets/d/1hdnWim5IyU3odQS7qac9pteQzzcjKICRf0oXedBwc28/edit#gid=1496943040"",""2025-26!as4"")"),1787962.0)</f>
        <v>1787962</v>
      </c>
      <c r="CU138" s="55">
        <f>IFERROR(__xludf.DUMMYFUNCTION("importrange(""https://docs.google.com/spreadsheets/d/1hdnWim5IyU3odQS7qac9pteQzzcjKICRf0oXedBwc28/edit#gid=1496943040"",""2025-26!as3"")"),31.0)</f>
        <v>31</v>
      </c>
      <c r="CV138" s="60" t="s">
        <v>301</v>
      </c>
    </row>
    <row r="139">
      <c r="A139" s="1" t="s">
        <v>298</v>
      </c>
      <c r="B139" s="37"/>
      <c r="C139" s="64" t="s">
        <v>302</v>
      </c>
      <c r="D139" s="50" t="s">
        <v>303</v>
      </c>
      <c r="E139" s="50">
        <v>8.08717707E9</v>
      </c>
      <c r="F139" s="74">
        <v>44459.0</v>
      </c>
      <c r="G139" s="62"/>
      <c r="H139" s="62"/>
      <c r="I139" s="53">
        <v>49585.0</v>
      </c>
      <c r="J139" s="54">
        <v>1800000.0</v>
      </c>
      <c r="K139" s="57">
        <f>IFERROR(__xludf.DUMMYFUNCTION("IMPORTRANGE(""https://docs.google.com/spreadsheets/d/1MRc1o6yRbC1yz2vf27KvD-M1jrmImyc4pmYWn9yMT_Y/edit#gid=1183044711"",""2025-26!A3"")"),111.0)</f>
        <v>111</v>
      </c>
      <c r="L139" s="57">
        <f>IFERROR(__xludf.DUMMYFUNCTION("IMPORTRANGE(""https://docs.google.com/spreadsheets/d/1MRc1o6yRbC1yz2vf27KvD-M1jrmImyc4pmYWn9yMT_Y/edit#gid=1183044711"",""2025-26!G4"")"),2.085E7)</f>
        <v>20850000</v>
      </c>
      <c r="M139" s="57">
        <f t="shared" si="50"/>
        <v>18278833.79</v>
      </c>
      <c r="N139" s="56">
        <f t="shared" si="51"/>
        <v>1.353938513</v>
      </c>
      <c r="O139" s="57">
        <f t="shared" si="52"/>
        <v>28229618</v>
      </c>
      <c r="P139" s="55">
        <f>IFERROR(__xludf.DUMMYFUNCTION("IMPORTRANGE(""https://docs.google.com/spreadsheets/d/1MRc1o6yRbC1yz2vf27KvD-M1jrmImyc4pmYWn9yMT_Y/edit#gid=1183044711"",""2025-26!J4"")"),1037500.0)</f>
        <v>1037500</v>
      </c>
      <c r="Q139" s="55">
        <f>IFERROR(__xludf.DUMMYFUNCTION("IMPORTRANGE(""https://docs.google.com/spreadsheets/d/1MRc1o6yRbC1yz2vf27KvD-M1jrmImyc4pmYWn9yMT_Y/edit#gid=1183044711"",""2025-26!J3"")"),40.0)</f>
        <v>40</v>
      </c>
      <c r="R139" s="55">
        <f>IFERROR(__xludf.DUMMYFUNCTION("IMPORTRANGE(""https://docs.google.com/spreadsheets/d/1MRc1o6yRbC1yz2vf27KvD-M1jrmImyc4pmYWn9yMT_Y/edit#gid=1183044711"",""2025-26!K4"")"),298872.45999999996)</f>
        <v>298872.46</v>
      </c>
      <c r="S139" s="55">
        <f>IFERROR(__xludf.DUMMYFUNCTION("IMPORTRANGE(""https://docs.google.com/spreadsheets/d/1MRc1o6yRbC1yz2vf27KvD-M1jrmImyc4pmYWn9yMT_Y/edit#gid=1183044711"",""2025-26!K3"")"),14.0)</f>
        <v>14</v>
      </c>
      <c r="T139" s="58">
        <f t="shared" si="18"/>
        <v>0.9128106024</v>
      </c>
      <c r="U139" s="55">
        <f>IFERROR(__xludf.DUMMYFUNCTION("IMPORTRANGE(""https://docs.google.com/spreadsheets/d/1MRc1o6yRbC1yz2vf27KvD-M1jrmImyc4pmYWn9yMT_Y/edit#gid=1183044711"",""2025-26!L4"")"),947041.0)</f>
        <v>947041</v>
      </c>
      <c r="V139" s="79">
        <f>IFERROR(__xludf.DUMMYFUNCTION("IMPORTRANGE(""https://docs.google.com/spreadsheets/d/1MRc1o6yRbC1yz2vf27KvD-M1jrmImyc4pmYWn9yMT_Y/edit#gid=1183044711"",""2025-26!L3"")"),21.0)</f>
        <v>21</v>
      </c>
      <c r="W139" s="55">
        <f>IFERROR(__xludf.DUMMYFUNCTION("IMPORTRANGE(""https://docs.google.com/spreadsheets/d/1MRc1o6yRbC1yz2vf27KvD-M1jrmImyc4pmYWn9yMT_Y/edit#gid=1183044711"",""2025-26!M4"")"),1042500.0)</f>
        <v>1042500</v>
      </c>
      <c r="X139" s="79">
        <f>IFERROR(__xludf.DUMMYFUNCTION("IMPORTRANGE(""https://docs.google.com/spreadsheets/d/1MRc1o6yRbC1yz2vf27KvD-M1jrmImyc4pmYWn9yMT_Y/edit#gid=1183044711"",""2025-26!M3"")"),41.0)</f>
        <v>41</v>
      </c>
      <c r="Y139" s="55">
        <f>IFERROR(__xludf.DUMMYFUNCTION("importrange(""https://docs.google.com/spreadsheets/d/1MRc1o6yRbC1yz2vf27KvD-M1jrmImyc4pmYWn9yMT_Y/edit#gid=1183044711"",""2025-26!n4"")"),920267.0)</f>
        <v>920267</v>
      </c>
      <c r="Z139" s="55">
        <f>IFERROR(__xludf.DUMMYFUNCTION("importrange(""https://docs.google.com/spreadsheets/d/1MRc1o6yRbC1yz2vf27KvD-M1jrmImyc4pmYWn9yMT_Y/edit#gid=1183044711"",""2025-26!n3"")"),2.0)</f>
        <v>2</v>
      </c>
      <c r="AA139" s="58">
        <f t="shared" si="19"/>
        <v>1.389853237</v>
      </c>
      <c r="AB139" s="55">
        <f>IFERROR(__xludf.DUMMYFUNCTION("importrange(""https://docs.google.com/spreadsheets/d/1MRc1o6yRbC1yz2vf27KvD-M1jrmImyc4pmYWn9yMT_Y/edit#gid=1183044711"",""2025-26!o4"")"),1448922.0)</f>
        <v>1448922</v>
      </c>
      <c r="AC139" s="55">
        <f>IFERROR(__xludf.DUMMYFUNCTION("importrange(""https://docs.google.com/spreadsheets/d/1MRc1o6yRbC1yz2vf27KvD-M1jrmImyc4pmYWn9yMT_Y/edit#gid=1183044711"",""2025-26!o3"")"),13.0)</f>
        <v>13</v>
      </c>
      <c r="AD139" s="55">
        <f>IFERROR(__xludf.DUMMYFUNCTION("importrange(""https://docs.google.com/spreadsheets/d/1MRc1o6yRbC1yz2vf27KvD-M1jrmImyc4pmYWn9yMT_Y/edit#gid=1183044711"",""2025-26!p4"")"),2085000.0)</f>
        <v>2085000</v>
      </c>
      <c r="AE139" s="55">
        <f>IFERROR(__xludf.DUMMYFUNCTION("importrange(""https://docs.google.com/spreadsheets/d/1MRc1o6yRbC1yz2vf27KvD-M1jrmImyc4pmYWn9yMT_Y/edit#gid=1183044711"",""2025-26!p3"")"),41.0)</f>
        <v>41</v>
      </c>
      <c r="AF139" s="55">
        <f>IFERROR(__xludf.DUMMYFUNCTION("importrange(""https://docs.google.com/spreadsheets/d/1MRc1o6yRbC1yz2vf27KvD-M1jrmImyc4pmYWn9yMT_Y/edit#gid=1183044711"",""2025-26!q4"")"),1815744.2799999998)</f>
        <v>1815744.28</v>
      </c>
      <c r="AG139" s="55">
        <f>IFERROR(__xludf.DUMMYFUNCTION("importrange(""https://docs.google.com/spreadsheets/d/1MRc1o6yRbC1yz2vf27KvD-M1jrmImyc4pmYWn9yMT_Y/edit#gid=1183044711"",""2025-26!q3"")"),20.0)</f>
        <v>20</v>
      </c>
      <c r="AH139" s="58">
        <f t="shared" si="20"/>
        <v>1.047328058</v>
      </c>
      <c r="AI139" s="55">
        <f>IFERROR(__xludf.DUMMYFUNCTION("importrange(""https://docs.google.com/spreadsheets/d/1MRc1o6yRbC1yz2vf27KvD-M1jrmImyc4pmYWn9yMT_Y/edit#gid=1183044711"",""2025-26!r4"")"),2183679.0)</f>
        <v>2183679</v>
      </c>
      <c r="AJ139" s="55">
        <f>IFERROR(__xludf.DUMMYFUNCTION("importrange(""https://docs.google.com/spreadsheets/d/1MRc1o6yRbC1yz2vf27KvD-M1jrmImyc4pmYWn9yMT_Y/edit#gid=1183044711"",""2025-26!r3"")"),30.0)</f>
        <v>30</v>
      </c>
      <c r="AK139" s="55">
        <f>IFERROR(__xludf.DUMMYFUNCTION("importrange(""https://docs.google.com/spreadsheets/d/1MRc1o6yRbC1yz2vf27KvD-M1jrmImyc4pmYWn9yMT_Y/edit#gid=1183044711"",""2025-26!s4"")"),1037500.0)</f>
        <v>1037500</v>
      </c>
      <c r="AL139" s="55">
        <f>IFERROR(__xludf.DUMMYFUNCTION("importrange(""https://docs.google.com/spreadsheets/d/1MRc1o6yRbC1yz2vf27KvD-M1jrmImyc4pmYWn9yMT_Y/edit#gid=1183044711"",""2025-26!s3"")"),40.0)</f>
        <v>40</v>
      </c>
      <c r="AM139" s="57">
        <f>IFERROR(__xludf.DUMMYFUNCTION("importrange(""https://docs.google.com/spreadsheets/d/1MRc1o6yRbC1yz2vf27KvD-M1jrmImyc4pmYWn9yMT_Y/edit#gid=1183044711"",""2025-26!t4"")"),1344342.5000000002)</f>
        <v>1344342.5</v>
      </c>
      <c r="AN139" s="55">
        <f>IFERROR(__xludf.DUMMYFUNCTION("importrange(""https://docs.google.com/spreadsheets/d/1MRc1o6yRbC1yz2vf27KvD-M1jrmImyc4pmYWn9yMT_Y/edit#gid=1183044711"",""2025-26!t3"")"),16.0)</f>
        <v>16</v>
      </c>
      <c r="AO139" s="58">
        <f t="shared" si="21"/>
        <v>1.741591325</v>
      </c>
      <c r="AP139" s="55">
        <f>IFERROR(__xludf.DUMMYFUNCTION("importrange(""https://docs.google.com/spreadsheets/d/1MRc1o6yRbC1yz2vf27KvD-M1jrmImyc4pmYWn9yMT_Y/edit#gid=1183044711"",""2025-26!u4"")"),1806901.0)</f>
        <v>1806901</v>
      </c>
      <c r="AQ139" s="55">
        <f>IFERROR(__xludf.DUMMYFUNCTION("importrange(""https://docs.google.com/spreadsheets/d/1MRc1o6yRbC1yz2vf27KvD-M1jrmImyc4pmYWn9yMT_Y/edit#gid=1183044711"",""2025-26!u3"")"),24.0)</f>
        <v>24</v>
      </c>
      <c r="AR139" s="55">
        <f>IFERROR(__xludf.DUMMYFUNCTION("importrange(""https://docs.google.com/spreadsheets/d/1MRc1o6yRbC1yz2vf27KvD-M1jrmImyc4pmYWn9yMT_Y/edit#gid=1183044711"",""2025-26!v4"")"),1042500.0)</f>
        <v>1042500</v>
      </c>
      <c r="AS139" s="55">
        <f>IFERROR(__xludf.DUMMYFUNCTION("importrange(""https://docs.google.com/spreadsheets/d/1MRc1o6yRbC1yz2vf27KvD-M1jrmImyc4pmYWn9yMT_Y/edit#gid=1183044711"",""2025-26!v3"")"),41.0)</f>
        <v>41</v>
      </c>
      <c r="AT139" s="57">
        <f>IFERROR(__xludf.DUMMYFUNCTION("importrange(""https://docs.google.com/spreadsheets/d/1MRc1o6yRbC1yz2vf27KvD-M1jrmImyc4pmYWn9yMT_Y/edit#gid=1183044711"",""2025-26!w4"")"),1572019.6300000001)</f>
        <v>1572019.63</v>
      </c>
      <c r="AU139" s="55">
        <f>IFERROR(__xludf.DUMMYFUNCTION("importrange(""https://docs.google.com/spreadsheets/d/1MRc1o6yRbC1yz2vf27KvD-M1jrmImyc4pmYWn9yMT_Y/edit#gid=1183044711"",""2025-26!w3"")"),15.0)</f>
        <v>15</v>
      </c>
      <c r="AV139" s="58">
        <f t="shared" si="22"/>
        <v>1.815899281</v>
      </c>
      <c r="AW139" s="55">
        <f>IFERROR(__xludf.DUMMYFUNCTION("importrange(""https://docs.google.com/spreadsheets/d/1MRc1o6yRbC1yz2vf27KvD-M1jrmImyc4pmYWn9yMT_Y/edit#gid=1183044711"",""2025-26!x4"")"),1893075.0)</f>
        <v>1893075</v>
      </c>
      <c r="AX139" s="55">
        <f>IFERROR(__xludf.DUMMYFUNCTION("importrange(""https://docs.google.com/spreadsheets/d/1MRc1o6yRbC1yz2vf27KvD-M1jrmImyc4pmYWn9yMT_Y/edit#gid=1183044711"",""2025-26!x3"")"),26.0)</f>
        <v>26</v>
      </c>
      <c r="AY139" s="55">
        <f>IFERROR(__xludf.DUMMYFUNCTION("importrange(""https://docs.google.com/spreadsheets/d/1MRc1o6yRbC1yz2vf27KvD-M1jrmImyc4pmYWn9yMT_Y/edit#gid=1183044711"",""2025-26!y4"")"),2085000.0)</f>
        <v>2085000</v>
      </c>
      <c r="AZ139" s="55">
        <f>IFERROR(__xludf.DUMMYFUNCTION("importrange(""https://docs.google.com/spreadsheets/d/1MRc1o6yRbC1yz2vf27KvD-M1jrmImyc4pmYWn9yMT_Y/edit#gid=1183044711"",""2025-26!y3"")"),41.0)</f>
        <v>41</v>
      </c>
      <c r="BA139" s="57">
        <f>IFERROR(__xludf.DUMMYFUNCTION("importrange(""https://docs.google.com/spreadsheets/d/1MRc1o6yRbC1yz2vf27KvD-M1jrmImyc4pmYWn9yMT_Y/edit#gid=1183044711"",""2025-26!z4"")"),1773751.7999999986)</f>
        <v>1773751.8</v>
      </c>
      <c r="BB139" s="55">
        <f>IFERROR(__xludf.DUMMYFUNCTION("importrange(""https://docs.google.com/spreadsheets/d/1MRc1o6yRbC1yz2vf27KvD-M1jrmImyc4pmYWn9yMT_Y/edit#gid=1183044711"",""2025-26!z3"")"),21.0)</f>
        <v>21</v>
      </c>
      <c r="BC139" s="59">
        <f t="shared" si="23"/>
        <v>1.179331894</v>
      </c>
      <c r="BD139" s="55">
        <f>IFERROR(__xludf.DUMMYFUNCTION("importrange(""https://docs.google.com/spreadsheets/d/1MRc1o6yRbC1yz2vf27KvD-M1jrmImyc4pmYWn9yMT_Y/edit#gid=1183044711"",""2025-26!aa4"")"),2458907.0)</f>
        <v>2458907</v>
      </c>
      <c r="BE139" s="55">
        <f>IFERROR(__xludf.DUMMYFUNCTION("importrange(""https://docs.google.com/spreadsheets/d/1MRc1o6yRbC1yz2vf27KvD-M1jrmImyc4pmYWn9yMT_Y/edit#gid=1183044711"",""2025-26!aa3"")"),32.0)</f>
        <v>32</v>
      </c>
      <c r="BF139" s="55">
        <f>IFERROR(__xludf.DUMMYFUNCTION("importrange(""https://docs.google.com/spreadsheets/d/1MRc1o6yRbC1yz2vf27KvD-M1jrmImyc4pmYWn9yMT_Y/edit#gid=1183044711"",""2025-26!ab4"")"),1459500.0000000002)</f>
        <v>1459500</v>
      </c>
      <c r="BG139" s="55">
        <f>IFERROR(__xludf.DUMMYFUNCTION("importrange(""https://docs.google.com/spreadsheets/d/1MRc1o6yRbC1yz2vf27KvD-M1jrmImyc4pmYWn9yMT_Y/edit#gid=1183044711"",""2025-26!ab3"")"),41.0)</f>
        <v>41</v>
      </c>
      <c r="BH139" s="55">
        <f>IFERROR(__xludf.DUMMYFUNCTION("importrange(""https://docs.google.com/spreadsheets/d/1MRc1o6yRbC1yz2vf27KvD-M1jrmImyc4pmYWn9yMT_Y/edit#gid=1183044711"",""2025-26!ac4"")"),0.0)</f>
        <v>0</v>
      </c>
      <c r="BI139" s="55">
        <f>IFERROR(__xludf.DUMMYFUNCTION("importrange(""https://docs.google.com/spreadsheets/d/1MRc1o6yRbC1yz2vf27KvD-M1jrmImyc4pmYWn9yMT_Y/edit#gid=1183044711"",""2025-26!ac3"")"),0.0)</f>
        <v>0</v>
      </c>
      <c r="BJ139" s="59">
        <f t="shared" si="24"/>
        <v>1.102681055</v>
      </c>
      <c r="BK139" s="55">
        <f>IFERROR(__xludf.DUMMYFUNCTION("importrange(""https://docs.google.com/spreadsheets/d/1MRc1o6yRbC1yz2vf27KvD-M1jrmImyc4pmYWn9yMT_Y/edit#gid=1183044711"",""2025-26!ad4"")"),1609363.0)</f>
        <v>1609363</v>
      </c>
      <c r="BL139" s="55">
        <f>IFERROR(__xludf.DUMMYFUNCTION("importrange(""https://docs.google.com/spreadsheets/d/1MRc1o6yRbC1yz2vf27KvD-M1jrmImyc4pmYWn9yMT_Y/edit#gid=1183044711"",""2025-26!ad3"")"),30.0)</f>
        <v>30</v>
      </c>
      <c r="BM139" s="55">
        <f>IFERROR(__xludf.DUMMYFUNCTION("importrange(""https://docs.google.com/spreadsheets/d/1MRc1o6yRbC1yz2vf27KvD-M1jrmImyc4pmYWn9yMT_Y/edit#gid=1183044711"",""2025-26!ae4"")"),1459500.0000000002)</f>
        <v>1459500</v>
      </c>
      <c r="BN139" s="55">
        <f>IFERROR(__xludf.DUMMYFUNCTION("importrange(""https://docs.google.com/spreadsheets/d/1MRc1o6yRbC1yz2vf27KvD-M1jrmImyc4pmYWn9yMT_Y/edit#gid=1183044711"",""2025-26!ae3"")"),41.0)</f>
        <v>41</v>
      </c>
      <c r="BO139" s="55">
        <f>IFERROR(__xludf.DUMMYFUNCTION("importrange(""https://docs.google.com/spreadsheets/d/1MRc1o6yRbC1yz2vf27KvD-M1jrmImyc4pmYWn9yMT_Y/edit#gid=1183044711"",""2025-26!af4"")"),0.0)</f>
        <v>0</v>
      </c>
      <c r="BP139" s="55">
        <f>IFERROR(__xludf.DUMMYFUNCTION("importrange(""https://docs.google.com/spreadsheets/d/1MRc1o6yRbC1yz2vf27KvD-M1jrmImyc4pmYWn9yMT_Y/edit#gid=1183044711"",""2025-26!af3"")"),0.0)</f>
        <v>0</v>
      </c>
      <c r="BQ139" s="59">
        <f t="shared" si="25"/>
        <v>1.130776293</v>
      </c>
      <c r="BR139" s="55">
        <f>IFERROR(__xludf.DUMMYFUNCTION("importrange(""https://docs.google.com/spreadsheets/d/1MRc1o6yRbC1yz2vf27KvD-M1jrmImyc4pmYWn9yMT_Y/edit#gid=1183044711"",""2025-26!ag4"")"),1650368.0)</f>
        <v>1650368</v>
      </c>
      <c r="BS139" s="55">
        <f>IFERROR(__xludf.DUMMYFUNCTION("importrange(""https://docs.google.com/spreadsheets/d/1MRc1o6yRbC1yz2vf27KvD-M1jrmImyc4pmYWn9yMT_Y/edit#gid=1183044711"",""2025-26!ag3"")"),24.0)</f>
        <v>24</v>
      </c>
      <c r="BT139" s="55">
        <f>IFERROR(__xludf.DUMMYFUNCTION("importrange(""https://docs.google.com/spreadsheets/d/1MRc1o6yRbC1yz2vf27KvD-M1jrmImyc4pmYWn9yMT_Y/edit#gid=1183044711"",""2025-26!ah4"")"),2085000.0)</f>
        <v>2085000</v>
      </c>
      <c r="BU139" s="55">
        <f>IFERROR(__xludf.DUMMYFUNCTION("importrange(""https://docs.google.com/spreadsheets/d/1MRc1o6yRbC1yz2vf27KvD-M1jrmImyc4pmYWn9yMT_Y/edit#gid=1183044711"",""2025-26!ah3"")"),41.0)</f>
        <v>41</v>
      </c>
      <c r="BV139" s="55">
        <f>IFERROR(__xludf.DUMMYFUNCTION("importrange(""https://docs.google.com/spreadsheets/d/1MRc1o6yRbC1yz2vf27KvD-M1jrmImyc4pmYWn9yMT_Y/edit#gid=1183044711"",""2025-26!ai4"")"),455636.08)</f>
        <v>455636.08</v>
      </c>
      <c r="BW139" s="55">
        <f>IFERROR(__xludf.DUMMYFUNCTION("importrange(""https://docs.google.com/spreadsheets/d/1MRc1o6yRbC1yz2vf27KvD-M1jrmImyc4pmYWn9yMT_Y/edit#gid=1183044711"",""2025-26!ai3"")"),11.0)</f>
        <v>11</v>
      </c>
      <c r="BX139" s="59">
        <f t="shared" si="26"/>
        <v>1.063441727</v>
      </c>
      <c r="BY139" s="55">
        <f>IFERROR(__xludf.DUMMYFUNCTION("importrange(""https://docs.google.com/spreadsheets/d/1MRc1o6yRbC1yz2vf27KvD-M1jrmImyc4pmYWn9yMT_Y/edit#gid=1183044711"",""2025-26!aj4"")"),2217276.0)</f>
        <v>2217276</v>
      </c>
      <c r="BZ139" s="55">
        <f>IFERROR(__xludf.DUMMYFUNCTION("importrange(""https://docs.google.com/spreadsheets/d/1MRc1o6yRbC1yz2vf27KvD-M1jrmImyc4pmYWn9yMT_Y/edit#gid=1183044711"",""2025-26!aj3"")"),27.0)</f>
        <v>27</v>
      </c>
      <c r="CA139" s="55">
        <f>IFERROR(__xludf.DUMMYFUNCTION("importrange(""https://docs.google.com/spreadsheets/d/1MRc1o6yRbC1yz2vf27KvD-M1jrmImyc4pmYWn9yMT_Y/edit#gid=1183044711"",""2025-26!ak4"")"),2085000.0)</f>
        <v>2085000</v>
      </c>
      <c r="CB139" s="55">
        <f>IFERROR(__xludf.DUMMYFUNCTION("importrange(""https://docs.google.com/spreadsheets/d/1MRc1o6yRbC1yz2vf27KvD-M1jrmImyc4pmYWn9yMT_Y/edit#gid=1183044711"",""2025-26!ak3"")"),41.0)</f>
        <v>41</v>
      </c>
      <c r="CC139" s="55">
        <f>IFERROR(__xludf.DUMMYFUNCTION("importrange(""https://docs.google.com/spreadsheets/d/1MRc1o6yRbC1yz2vf27KvD-M1jrmImyc4pmYWn9yMT_Y/edit#gid=1183044711"",""2025-26!al4"")"),3874026.459999998)</f>
        <v>3874026.46</v>
      </c>
      <c r="CD139" s="55">
        <f>IFERROR(__xludf.DUMMYFUNCTION("importrange(""https://docs.google.com/spreadsheets/d/1MRc1o6yRbC1yz2vf27KvD-M1jrmImyc4pmYWn9yMT_Y/edit#gid=1183044711"",""2025-26!ai3"")"),11.0)</f>
        <v>11</v>
      </c>
      <c r="CE139" s="59">
        <f t="shared" si="27"/>
        <v>2.456486331</v>
      </c>
      <c r="CF139" s="55">
        <f>IFERROR(__xludf.DUMMYFUNCTION("importrange(""https://docs.google.com/spreadsheets/d/1MRc1o6yRbC1yz2vf27KvD-M1jrmImyc4pmYWn9yMT_Y/edit#gid=1183044711"",""2025-26!am4"")"),5121774.0)</f>
        <v>5121774</v>
      </c>
      <c r="CG139" s="55">
        <f>IFERROR(__xludf.DUMMYFUNCTION("importrange(""https://docs.google.com/spreadsheets/d/1MRc1o6yRbC1yz2vf27KvD-M1jrmImyc4pmYWn9yMT_Y/edit#gid=1183044711"",""2025-26!am3"")"),40.0)</f>
        <v>40</v>
      </c>
      <c r="CH139" s="55">
        <f>IFERROR(__xludf.DUMMYFUNCTION("importrange(""https://docs.google.com/spreadsheets/d/1MRc1o6yRbC1yz2vf27KvD-M1jrmImyc4pmYWn9yMT_Y/edit#gid=1183044711"",""2025-26!an4"")"),2085000.0)</f>
        <v>2085000</v>
      </c>
      <c r="CI139" s="55">
        <f>IFERROR(__xludf.DUMMYFUNCTION("importrange(""https://docs.google.com/spreadsheets/d/1MRc1o6yRbC1yz2vf27KvD-M1jrmImyc4pmYWn9yMT_Y/edit#gid=1183044711"",""2025-26!an3"")"),41.0)</f>
        <v>41</v>
      </c>
      <c r="CJ139" s="55">
        <f>IFERROR(__xludf.DUMMYFUNCTION("importrange(""https://docs.google.com/spreadsheets/d/1MRc1o6yRbC1yz2vf27KvD-M1jrmImyc4pmYWn9yMT_Y/edit#gid=1183044711"",""2025-26!ao4"")"),1298172.2899999998)</f>
        <v>1298172.29</v>
      </c>
      <c r="CK139" s="55">
        <f>IFERROR(__xludf.DUMMYFUNCTION("importrange(""https://docs.google.com/spreadsheets/d/1MRc1o6yRbC1yz2vf27KvD-M1jrmImyc4pmYWn9yMT_Y/edit#gid=1183044711"",""2025-26!ao3"")"),18.0)</f>
        <v>18</v>
      </c>
      <c r="CL139" s="59">
        <f t="shared" si="28"/>
        <v>0.7730594724</v>
      </c>
      <c r="CM139" s="55">
        <f>IFERROR(__xludf.DUMMYFUNCTION("importrange(""https://docs.google.com/spreadsheets/d/1MRc1o6yRbC1yz2vf27KvD-M1jrmImyc4pmYWn9yMT_Y/edit#gid=1183044711"",""2025-26!ap4"")"),1611829.0)</f>
        <v>1611829</v>
      </c>
      <c r="CN139" s="55">
        <f>IFERROR(__xludf.DUMMYFUNCTION("importrange(""https://docs.google.com/spreadsheets/d/1MRc1o6yRbC1yz2vf27KvD-M1jrmImyc4pmYWn9yMT_Y/edit#gid=1183044711"",""2025-26!ap3"")"),31.0)</f>
        <v>31</v>
      </c>
      <c r="CO139" s="55">
        <f>IFERROR(__xludf.DUMMYFUNCTION("importrange(""https://docs.google.com/spreadsheets/d/1MRc1o6yRbC1yz2vf27KvD-M1jrmImyc4pmYWn9yMT_Y/edit#gid=1183044711"",""2025-26!aq4"")"),3336000.0)</f>
        <v>3336000</v>
      </c>
      <c r="CP139" s="55">
        <f>IFERROR(__xludf.DUMMYFUNCTION("importrange(""https://docs.google.com/spreadsheets/d/1MRc1o6yRbC1yz2vf27KvD-M1jrmImyc4pmYWn9yMT_Y/edit#gid=1183044711"",""2025-26!aq3"")"),41.0)</f>
        <v>41</v>
      </c>
      <c r="CQ139" s="55">
        <f>IFERROR(__xludf.DUMMYFUNCTION("importrange(""https://docs.google.com/spreadsheets/d/1MRc1o6yRbC1yz2vf27KvD-M1jrmImyc4pmYWn9yMT_Y/edit#gid=1183044711"",""2025-26!ar4"")"),4926001.289999999)</f>
        <v>4926001.29</v>
      </c>
      <c r="CR139" s="55">
        <f>IFERROR(__xludf.DUMMYFUNCTION("importrange(""https://docs.google.com/spreadsheets/d/1MRc1o6yRbC1yz2vf27KvD-M1jrmImyc4pmYWn9yMT_Y/edit#gid=1183044711"",""2025-26!ar3"")"),22.0)</f>
        <v>22</v>
      </c>
      <c r="CS139" s="59">
        <f t="shared" si="29"/>
        <v>1.582878597</v>
      </c>
      <c r="CT139" s="55">
        <f>IFERROR(__xludf.DUMMYFUNCTION("importrange(""https://docs.google.com/spreadsheets/d/1MRc1o6yRbC1yz2vf27KvD-M1jrmImyc4pmYWn9yMT_Y/edit#gid=1183044711"",""2025-26!as4"")"),5280483.0)</f>
        <v>5280483</v>
      </c>
      <c r="CU139" s="55">
        <f>IFERROR(__xludf.DUMMYFUNCTION("importrange(""https://docs.google.com/spreadsheets/d/1MRc1o6yRbC1yz2vf27KvD-M1jrmImyc4pmYWn9yMT_Y/edit#gid=1183044711"",""2025-26!as3"")"),35.0)</f>
        <v>35</v>
      </c>
      <c r="CV139" s="60" t="s">
        <v>301</v>
      </c>
    </row>
    <row r="140">
      <c r="A140" s="1" t="s">
        <v>298</v>
      </c>
      <c r="B140" s="37"/>
      <c r="C140" s="80" t="s">
        <v>304</v>
      </c>
      <c r="D140" s="50" t="s">
        <v>305</v>
      </c>
      <c r="E140" s="50">
        <v>9.637715E9</v>
      </c>
      <c r="F140" s="74">
        <v>44697.0</v>
      </c>
      <c r="G140" s="62"/>
      <c r="H140" s="62"/>
      <c r="I140" s="53">
        <v>34000.0</v>
      </c>
      <c r="J140" s="54">
        <v>1200000.0</v>
      </c>
      <c r="K140" s="57">
        <f>IFERROR(__xludf.DUMMYFUNCTION("IMPORTRANGE(""https://docs.google.com/spreadsheets/d/1CL9AQCD6lDzVeoB1ZWNbvv3iQAnDc2XWAbufodLvVyE/edit#gid=1806634832"",""2025-26!A3"")"),81.0)</f>
        <v>81</v>
      </c>
      <c r="L140" s="57">
        <f>IFERROR(__xludf.DUMMYFUNCTION("IMPORTRANGE(""https://docs.google.com/spreadsheets/d/1CL9AQCD6lDzVeoB1ZWNbvv3iQAnDc2XWAbufodLvVyE/edit#gid=1806634832"",""2025-26!G4"")"),1.447E7)</f>
        <v>14470000</v>
      </c>
      <c r="M140" s="57">
        <f t="shared" si="50"/>
        <v>9167160.27</v>
      </c>
      <c r="N140" s="56">
        <f t="shared" si="51"/>
        <v>0.6363845888</v>
      </c>
      <c r="O140" s="57">
        <f t="shared" si="52"/>
        <v>9208485</v>
      </c>
      <c r="P140" s="55">
        <f>IFERROR(__xludf.DUMMYFUNCTION("IMPORTRANGE(""https://docs.google.com/spreadsheets/d/1CL9AQCD6lDzVeoB1ZWNbvv3iQAnDc2XWAbufodLvVyE/edit#gid=1806634832"",""2025-26!J4"")"),1200000.0)</f>
        <v>1200000</v>
      </c>
      <c r="Q140" s="55">
        <f>IFERROR(__xludf.DUMMYFUNCTION("IMPORTRANGE(""https://docs.google.com/spreadsheets/d/1CL9AQCD6lDzVeoB1ZWNbvv3iQAnDc2XWAbufodLvVyE/edit#gid=1806634832"",""2025-26!J3"")"),76.0)</f>
        <v>76</v>
      </c>
      <c r="R140" s="55">
        <f>IFERROR(__xludf.DUMMYFUNCTION("IMPORTRANGE(""https://docs.google.com/spreadsheets/d/1CL9AQCD6lDzVeoB1ZWNbvv3iQAnDc2XWAbufodLvVyE/edit#gid=1806634832"",""2025-26!K4"")"),492412.26999999996)</f>
        <v>492412.27</v>
      </c>
      <c r="S140" s="55">
        <f>IFERROR(__xludf.DUMMYFUNCTION("IMPORTRANGE(""https://docs.google.com/spreadsheets/d/1CL9AQCD6lDzVeoB1ZWNbvv3iQAnDc2XWAbufodLvVyE/edit#gid=1806634832"",""2025-26!K3"")"),17.0)</f>
        <v>17</v>
      </c>
      <c r="T140" s="58">
        <f t="shared" si="18"/>
        <v>0.4032475</v>
      </c>
      <c r="U140" s="55">
        <f>IFERROR(__xludf.DUMMYFUNCTION("IMPORTRANGE(""https://docs.google.com/spreadsheets/d/1CL9AQCD6lDzVeoB1ZWNbvv3iQAnDc2XWAbufodLvVyE/edit#gid=1806634832"",""2025-26!L4"")"),483897.0)</f>
        <v>483897</v>
      </c>
      <c r="V140" s="79">
        <f>IFERROR(__xludf.DUMMYFUNCTION("IMPORTRANGE(""https://docs.google.com/spreadsheets/d/1CL9AQCD6lDzVeoB1ZWNbvv3iQAnDc2XWAbufodLvVyE/edit#gid=1806634832"",""2025-26!L3"")"),16.0)</f>
        <v>16</v>
      </c>
      <c r="W140" s="55">
        <f>IFERROR(__xludf.DUMMYFUNCTION("IMPORTRANGE(""https://docs.google.com/spreadsheets/d/1CL9AQCD6lDzVeoB1ZWNbvv3iQAnDc2XWAbufodLvVyE/edit#gid=1806634832"",""2025-26!M4"")"),1200000.0)</f>
        <v>1200000</v>
      </c>
      <c r="X140" s="79">
        <f>IFERROR(__xludf.DUMMYFUNCTION("IMPORTRANGE(""https://docs.google.com/spreadsheets/d/1CL9AQCD6lDzVeoB1ZWNbvv3iQAnDc2XWAbufodLvVyE/edit#gid=1806634832"",""2025-26!M3"")"),76.0)</f>
        <v>76</v>
      </c>
      <c r="Y140" s="55">
        <f>IFERROR(__xludf.DUMMYFUNCTION("importrange(""https://docs.google.com/spreadsheets/d/1CL9AQCD6lDzVeoB1ZWNbvv3iQAnDc2XWAbufodLvVyE/edit#gid=1806634832"",""2025-26!n4"")"),448399.81000000006)</f>
        <v>448399.81</v>
      </c>
      <c r="Z140" s="55">
        <f>IFERROR(__xludf.DUMMYFUNCTION("importrange(""https://docs.google.com/spreadsheets/d/1CL9AQCD6lDzVeoB1ZWNbvv3iQAnDc2XWAbufodLvVyE/edit#gid=1806634832"",""2025-26!n3"")"),14.0)</f>
        <v>14</v>
      </c>
      <c r="AA140" s="58">
        <f t="shared" si="19"/>
        <v>0.3736666667</v>
      </c>
      <c r="AB140" s="55">
        <f>IFERROR(__xludf.DUMMYFUNCTION("importrange(""https://docs.google.com/spreadsheets/d/1CL9AQCD6lDzVeoB1ZWNbvv3iQAnDc2XWAbufodLvVyE/edit#gid=1806634832"",""2025-26!o4"")"),448400.0)</f>
        <v>448400</v>
      </c>
      <c r="AC140" s="55">
        <f>IFERROR(__xludf.DUMMYFUNCTION("importrange(""https://docs.google.com/spreadsheets/d/1CL9AQCD6lDzVeoB1ZWNbvv3iQAnDc2XWAbufodLvVyE/edit#gid=1806634832"",""2025-26!o3"")"),14.0)</f>
        <v>14</v>
      </c>
      <c r="AD140" s="55">
        <f>IFERROR(__xludf.DUMMYFUNCTION("importrange(""https://docs.google.com/spreadsheets/d/1CL9AQCD6lDzVeoB1ZWNbvv3iQAnDc2XWAbufodLvVyE/edit#gid=1806634832"",""2025-26!p4"")"),1200000.0)</f>
        <v>1200000</v>
      </c>
      <c r="AE140" s="55">
        <f>IFERROR(__xludf.DUMMYFUNCTION("importrange(""https://docs.google.com/spreadsheets/d/1CL9AQCD6lDzVeoB1ZWNbvv3iQAnDc2XWAbufodLvVyE/edit#gid=1806634832"",""2025-26!p3"")"),76.0)</f>
        <v>76</v>
      </c>
      <c r="AF140" s="55">
        <f>IFERROR(__xludf.DUMMYFUNCTION("importrange(""https://docs.google.com/spreadsheets/d/1CL9AQCD6lDzVeoB1ZWNbvv3iQAnDc2XWAbufodLvVyE/edit#gid=1806634832"",""2025-26!q4"")"),460441.14999999997)</f>
        <v>460441.15</v>
      </c>
      <c r="AG140" s="55">
        <f>IFERROR(__xludf.DUMMYFUNCTION("importrange(""https://docs.google.com/spreadsheets/d/1CL9AQCD6lDzVeoB1ZWNbvv3iQAnDc2XWAbufodLvVyE/edit#gid=1806634832"",""2025-26!q3"")"),12.0)</f>
        <v>12</v>
      </c>
      <c r="AH140" s="58">
        <f t="shared" si="20"/>
        <v>0.5007858333</v>
      </c>
      <c r="AI140" s="55">
        <f>IFERROR(__xludf.DUMMYFUNCTION("importrange(""https://docs.google.com/spreadsheets/d/1CL9AQCD6lDzVeoB1ZWNbvv3iQAnDc2XWAbufodLvVyE/edit#gid=1806634832"",""2025-26!r4"")"),600943.0)</f>
        <v>600943</v>
      </c>
      <c r="AJ140" s="55">
        <f>IFERROR(__xludf.DUMMYFUNCTION("importrange(""https://docs.google.com/spreadsheets/d/1CL9AQCD6lDzVeoB1ZWNbvv3iQAnDc2XWAbufodLvVyE/edit#gid=1806634832"",""2025-26!r3"")"),12.0)</f>
        <v>12</v>
      </c>
      <c r="AK140" s="55">
        <f>IFERROR(__xludf.DUMMYFUNCTION("importrange(""https://docs.google.com/spreadsheets/d/1CL9AQCD6lDzVeoB1ZWNbvv3iQAnDc2XWAbufodLvVyE/edit#gid=1806634832"",""2025-26!s4"")"),1200000.0)</f>
        <v>1200000</v>
      </c>
      <c r="AL140" s="55">
        <f>IFERROR(__xludf.DUMMYFUNCTION("importrange(""https://docs.google.com/spreadsheets/d/1CL9AQCD6lDzVeoB1ZWNbvv3iQAnDc2XWAbufodLvVyE/edit#gid=1806634832"",""2025-26!s3"")"),76.0)</f>
        <v>76</v>
      </c>
      <c r="AM140" s="57">
        <f>IFERROR(__xludf.DUMMYFUNCTION("importrange(""https://docs.google.com/spreadsheets/d/1CL9AQCD6lDzVeoB1ZWNbvv3iQAnDc2XWAbufodLvVyE/edit#gid=1806634832"",""2025-26!t4"")"),912087.0499999999)</f>
        <v>912087.05</v>
      </c>
      <c r="AN140" s="55">
        <f>IFERROR(__xludf.DUMMYFUNCTION("importrange(""https://docs.google.com/spreadsheets/d/1CL9AQCD6lDzVeoB1ZWNbvv3iQAnDc2XWAbufodLvVyE/edit#gid=1806634832"",""2025-26!t3"")"),15.0)</f>
        <v>15</v>
      </c>
      <c r="AO140" s="58">
        <f t="shared" si="21"/>
        <v>0.760045</v>
      </c>
      <c r="AP140" s="55">
        <f>IFERROR(__xludf.DUMMYFUNCTION("importrange(""https://docs.google.com/spreadsheets/d/1CL9AQCD6lDzVeoB1ZWNbvv3iQAnDc2XWAbufodLvVyE/edit#gid=1806634832"",""2025-26!u4"")"),912054.0)</f>
        <v>912054</v>
      </c>
      <c r="AQ140" s="55">
        <f>IFERROR(__xludf.DUMMYFUNCTION("importrange(""https://docs.google.com/spreadsheets/d/1CL9AQCD6lDzVeoB1ZWNbvv3iQAnDc2XWAbufodLvVyE/edit#gid=1806634832"",""2025-26!u3"")"),15.0)</f>
        <v>15</v>
      </c>
      <c r="AR140" s="55">
        <f>IFERROR(__xludf.DUMMYFUNCTION("importrange(""https://docs.google.com/spreadsheets/d/1CL9AQCD6lDzVeoB1ZWNbvv3iQAnDc2XWAbufodLvVyE/edit#gid=1806634832"",""2025-26!v4"")"),1200000.0)</f>
        <v>1200000</v>
      </c>
      <c r="AS140" s="55">
        <f>IFERROR(__xludf.DUMMYFUNCTION("importrange(""https://docs.google.com/spreadsheets/d/1CL9AQCD6lDzVeoB1ZWNbvv3iQAnDc2XWAbufodLvVyE/edit#gid=1806634832"",""2025-26!v3"")"),76.0)</f>
        <v>76</v>
      </c>
      <c r="AT140" s="57">
        <f>IFERROR(__xludf.DUMMYFUNCTION("importrange(""https://docs.google.com/spreadsheets/d/1CL9AQCD6lDzVeoB1ZWNbvv3iQAnDc2XWAbufodLvVyE/edit#gid=1806634832"",""2025-26!w4"")"),907425.9499999998)</f>
        <v>907425.95</v>
      </c>
      <c r="AU140" s="55">
        <f>IFERROR(__xludf.DUMMYFUNCTION("importrange(""https://docs.google.com/spreadsheets/d/1CL9AQCD6lDzVeoB1ZWNbvv3iQAnDc2XWAbufodLvVyE/edit#gid=1806634832"",""2025-26!w3"")"),20.0)</f>
        <v>20</v>
      </c>
      <c r="AV140" s="58">
        <f t="shared" si="22"/>
        <v>0.7561908333</v>
      </c>
      <c r="AW140" s="55">
        <f>IFERROR(__xludf.DUMMYFUNCTION("importrange(""https://docs.google.com/spreadsheets/d/1CL9AQCD6lDzVeoB1ZWNbvv3iQAnDc2XWAbufodLvVyE/edit#gid=1806634832"",""2025-26!x4"")"),907429.0)</f>
        <v>907429</v>
      </c>
      <c r="AX140" s="55">
        <f>IFERROR(__xludf.DUMMYFUNCTION("importrange(""https://docs.google.com/spreadsheets/d/1CL9AQCD6lDzVeoB1ZWNbvv3iQAnDc2XWAbufodLvVyE/edit#gid=1806634832"",""2025-26!x3"")"),20.0)</f>
        <v>20</v>
      </c>
      <c r="AY140" s="55">
        <f>IFERROR(__xludf.DUMMYFUNCTION("importrange(""https://docs.google.com/spreadsheets/d/1CL9AQCD6lDzVeoB1ZWNbvv3iQAnDc2XWAbufodLvVyE/edit#gid=1806634832"",""2025-26!y4"")"),1200000.0)</f>
        <v>1200000</v>
      </c>
      <c r="AZ140" s="55">
        <f>IFERROR(__xludf.DUMMYFUNCTION("importrange(""https://docs.google.com/spreadsheets/d/1CL9AQCD6lDzVeoB1ZWNbvv3iQAnDc2XWAbufodLvVyE/edit#gid=1806634832"",""2025-26!y3"")"),80.0)</f>
        <v>80</v>
      </c>
      <c r="BA140" s="57">
        <f>IFERROR(__xludf.DUMMYFUNCTION("importrange(""https://docs.google.com/spreadsheets/d/1CL9AQCD6lDzVeoB1ZWNbvv3iQAnDc2XWAbufodLvVyE/edit#gid=1806634832"",""2025-26!z4"")"),926320.3999999999)</f>
        <v>926320.4</v>
      </c>
      <c r="BB140" s="55">
        <f>IFERROR(__xludf.DUMMYFUNCTION("importrange(""https://docs.google.com/spreadsheets/d/1CL9AQCD6lDzVeoB1ZWNbvv3iQAnDc2XWAbufodLvVyE/edit#gid=1806634832"",""2025-26!z3"")"),14.0)</f>
        <v>14</v>
      </c>
      <c r="BC140" s="59">
        <f t="shared" si="23"/>
        <v>0.771935</v>
      </c>
      <c r="BD140" s="55">
        <f>IFERROR(__xludf.DUMMYFUNCTION("importrange(""https://docs.google.com/spreadsheets/d/1CL9AQCD6lDzVeoB1ZWNbvv3iQAnDc2XWAbufodLvVyE/edit#gid=1806634832"",""2025-26!aa4"")"),926322.0)</f>
        <v>926322</v>
      </c>
      <c r="BE140" s="55">
        <f>IFERROR(__xludf.DUMMYFUNCTION("importrange(""https://docs.google.com/spreadsheets/d/1CL9AQCD6lDzVeoB1ZWNbvv3iQAnDc2XWAbufodLvVyE/edit#gid=1806634832"",""2025-26!aa3"")"),14.0)</f>
        <v>14</v>
      </c>
      <c r="BF140" s="55">
        <f>IFERROR(__xludf.DUMMYFUNCTION("importrange(""https://docs.google.com/spreadsheets/d/1CL9AQCD6lDzVeoB1ZWNbvv3iQAnDc2XWAbufodLvVyE/edit#gid=1806634832"",""2025-26!ab4"")"),1280000.0)</f>
        <v>1280000</v>
      </c>
      <c r="BG140" s="55">
        <f>IFERROR(__xludf.DUMMYFUNCTION("importrange(""https://docs.google.com/spreadsheets/d/1CL9AQCD6lDzVeoB1ZWNbvv3iQAnDc2XWAbufodLvVyE/edit#gid=1806634832"",""2025-26!ab3"")"),80.0)</f>
        <v>80</v>
      </c>
      <c r="BH140" s="55">
        <f>IFERROR(__xludf.DUMMYFUNCTION("importrange(""https://docs.google.com/spreadsheets/d/1CL9AQCD6lDzVeoB1ZWNbvv3iQAnDc2XWAbufodLvVyE/edit#gid=1806634832"",""2025-26!ac4"")"),667990.8400000002)</f>
        <v>667990.84</v>
      </c>
      <c r="BI140" s="55">
        <f>IFERROR(__xludf.DUMMYFUNCTION("importrange(""https://docs.google.com/spreadsheets/d/1CL9AQCD6lDzVeoB1ZWNbvv3iQAnDc2XWAbufodLvVyE/edit#gid=1806634832"",""2025-26!ac3"")"),14.0)</f>
        <v>14</v>
      </c>
      <c r="BJ140" s="59">
        <f t="shared" si="24"/>
        <v>0.5218695313</v>
      </c>
      <c r="BK140" s="55">
        <f>IFERROR(__xludf.DUMMYFUNCTION("importrange(""https://docs.google.com/spreadsheets/d/1CL9AQCD6lDzVeoB1ZWNbvv3iQAnDc2XWAbufodLvVyE/edit#gid=1806634832"",""2025-26!ad4"")"),667993.0)</f>
        <v>667993</v>
      </c>
      <c r="BL140" s="55">
        <f>IFERROR(__xludf.DUMMYFUNCTION("importrange(""https://docs.google.com/spreadsheets/d/1CL9AQCD6lDzVeoB1ZWNbvv3iQAnDc2XWAbufodLvVyE/edit#gid=1806634832"",""2025-26!ad3"")"),14.0)</f>
        <v>14</v>
      </c>
      <c r="BM140" s="55">
        <f>IFERROR(__xludf.DUMMYFUNCTION("importrange(""https://docs.google.com/spreadsheets/d/1CL9AQCD6lDzVeoB1ZWNbvv3iQAnDc2XWAbufodLvVyE/edit#gid=1806634832"",""2025-26!ae4"")"),1200000.0)</f>
        <v>1200000</v>
      </c>
      <c r="BN140" s="55">
        <f>IFERROR(__xludf.DUMMYFUNCTION("importrange(""https://docs.google.com/spreadsheets/d/1CL9AQCD6lDzVeoB1ZWNbvv3iQAnDc2XWAbufodLvVyE/edit#gid=1806634832"",""2025-26!ae3"")"),80.0)</f>
        <v>80</v>
      </c>
      <c r="BO140" s="55">
        <f>IFERROR(__xludf.DUMMYFUNCTION("importrange(""https://docs.google.com/spreadsheets/d/1CL9AQCD6lDzVeoB1ZWNbvv3iQAnDc2XWAbufodLvVyE/edit#gid=1806634832"",""2025-26!af4"")"),506067.91)</f>
        <v>506067.91</v>
      </c>
      <c r="BP140" s="55">
        <f>IFERROR(__xludf.DUMMYFUNCTION("importrange(""https://docs.google.com/spreadsheets/d/1CL9AQCD6lDzVeoB1ZWNbvv3iQAnDc2XWAbufodLvVyE/edit#gid=1806634832"",""2025-26!af3"")"),12.0)</f>
        <v>12</v>
      </c>
      <c r="BQ140" s="59">
        <f t="shared" si="25"/>
        <v>0.4204275</v>
      </c>
      <c r="BR140" s="55">
        <f>IFERROR(__xludf.DUMMYFUNCTION("importrange(""https://docs.google.com/spreadsheets/d/1CL9AQCD6lDzVeoB1ZWNbvv3iQAnDc2XWAbufodLvVyE/edit#gid=1806634832"",""2025-26!ag4"")"),504513.0)</f>
        <v>504513</v>
      </c>
      <c r="BS140" s="55">
        <f>IFERROR(__xludf.DUMMYFUNCTION("importrange(""https://docs.google.com/spreadsheets/d/1CL9AQCD6lDzVeoB1ZWNbvv3iQAnDc2XWAbufodLvVyE/edit#gid=1806634832"",""2025-26!ag3"")"),12.0)</f>
        <v>12</v>
      </c>
      <c r="BT140" s="55">
        <f>IFERROR(__xludf.DUMMYFUNCTION("importrange(""https://docs.google.com/spreadsheets/d/1CL9AQCD6lDzVeoB1ZWNbvv3iQAnDc2XWAbufodLvVyE/edit#gid=1806634832"",""2025-26!ah4"")"),1200000.0)</f>
        <v>1200000</v>
      </c>
      <c r="BU140" s="55">
        <f>IFERROR(__xludf.DUMMYFUNCTION("importrange(""https://docs.google.com/spreadsheets/d/1CL9AQCD6lDzVeoB1ZWNbvv3iQAnDc2XWAbufodLvVyE/edit#gid=1806634832"",""2025-26!ah3"")"),80.0)</f>
        <v>80</v>
      </c>
      <c r="BV140" s="55">
        <f>IFERROR(__xludf.DUMMYFUNCTION("importrange(""https://docs.google.com/spreadsheets/d/1CL9AQCD6lDzVeoB1ZWNbvv3iQAnDc2XWAbufodLvVyE/edit#gid=1806634832"",""2025-26!ai4"")"),753731.94)</f>
        <v>753731.94</v>
      </c>
      <c r="BW140" s="55">
        <f>IFERROR(__xludf.DUMMYFUNCTION("importrange(""https://docs.google.com/spreadsheets/d/1CL9AQCD6lDzVeoB1ZWNbvv3iQAnDc2XWAbufodLvVyE/edit#gid=1806634832"",""2025-26!ai3"")"),18.0)</f>
        <v>18</v>
      </c>
      <c r="BX140" s="59">
        <f t="shared" si="26"/>
        <v>0.6246583333</v>
      </c>
      <c r="BY140" s="55">
        <f>IFERROR(__xludf.DUMMYFUNCTION("importrange(""https://docs.google.com/spreadsheets/d/1CL9AQCD6lDzVeoB1ZWNbvv3iQAnDc2XWAbufodLvVyE/edit#gid=1806634832"",""2025-26!aj4"")"),749590.0)</f>
        <v>749590</v>
      </c>
      <c r="BZ140" s="55">
        <f>IFERROR(__xludf.DUMMYFUNCTION("importrange(""https://docs.google.com/spreadsheets/d/1CL9AQCD6lDzVeoB1ZWNbvv3iQAnDc2XWAbufodLvVyE/edit#gid=1806634832"",""2025-26!aj3"")"),16.0)</f>
        <v>16</v>
      </c>
      <c r="CA140" s="55">
        <f>IFERROR(__xludf.DUMMYFUNCTION("importrange(""https://docs.google.com/spreadsheets/d/1CL9AQCD6lDzVeoB1ZWNbvv3iQAnDc2XWAbufodLvVyE/edit#gid=1806634832"",""2025-26!ak4"")"),1200000.0)</f>
        <v>1200000</v>
      </c>
      <c r="CB140" s="55">
        <f>IFERROR(__xludf.DUMMYFUNCTION("importrange(""https://docs.google.com/spreadsheets/d/1CL9AQCD6lDzVeoB1ZWNbvv3iQAnDc2XWAbufodLvVyE/edit#gid=1806634832"",""2025-26!ak3"")"),80.0)</f>
        <v>80</v>
      </c>
      <c r="CC140" s="55">
        <f>IFERROR(__xludf.DUMMYFUNCTION("importrange(""https://docs.google.com/spreadsheets/d/1CL9AQCD6lDzVeoB1ZWNbvv3iQAnDc2XWAbufodLvVyE/edit#gid=1806634832"",""2025-26!al4"")"),620120.78)</f>
        <v>620120.78</v>
      </c>
      <c r="CD140" s="55">
        <f>IFERROR(__xludf.DUMMYFUNCTION("importrange(""https://docs.google.com/spreadsheets/d/1CL9AQCD6lDzVeoB1ZWNbvv3iQAnDc2XWAbufodLvVyE/edit#gid=1806634832"",""2025-26!ai3"")"),18.0)</f>
        <v>18</v>
      </c>
      <c r="CE140" s="59">
        <f t="shared" si="27"/>
        <v>0.5721266667</v>
      </c>
      <c r="CF140" s="55">
        <f>IFERROR(__xludf.DUMMYFUNCTION("importrange(""https://docs.google.com/spreadsheets/d/1CL9AQCD6lDzVeoB1ZWNbvv3iQAnDc2XWAbufodLvVyE/edit#gid=1806634832"",""2025-26!am4"")"),686552.0)</f>
        <v>686552</v>
      </c>
      <c r="CG140" s="55">
        <f>IFERROR(__xludf.DUMMYFUNCTION("importrange(""https://docs.google.com/spreadsheets/d/1CL9AQCD6lDzVeoB1ZWNbvv3iQAnDc2XWAbufodLvVyE/edit#gid=1806634832"",""2025-26!am3"")"),13.0)</f>
        <v>13</v>
      </c>
      <c r="CH140" s="55">
        <f>IFERROR(__xludf.DUMMYFUNCTION("importrange(""https://docs.google.com/spreadsheets/d/1CL9AQCD6lDzVeoB1ZWNbvv3iQAnDc2XWAbufodLvVyE/edit#gid=1806634832"",""2025-26!an4"")"),1200000.0)</f>
        <v>1200000</v>
      </c>
      <c r="CI140" s="55">
        <f>IFERROR(__xludf.DUMMYFUNCTION("importrange(""https://docs.google.com/spreadsheets/d/1CL9AQCD6lDzVeoB1ZWNbvv3iQAnDc2XWAbufodLvVyE/edit#gid=1806634832"",""2025-26!an3"")"),81.0)</f>
        <v>81</v>
      </c>
      <c r="CJ140" s="55">
        <f>IFERROR(__xludf.DUMMYFUNCTION("importrange(""https://docs.google.com/spreadsheets/d/1CL9AQCD6lDzVeoB1ZWNbvv3iQAnDc2XWAbufodLvVyE/edit#gid=1806634832"",""2025-26!ao4"")"),793140.9500000001)</f>
        <v>793140.95</v>
      </c>
      <c r="CK140" s="55">
        <f>IFERROR(__xludf.DUMMYFUNCTION("importrange(""https://docs.google.com/spreadsheets/d/1CL9AQCD6lDzVeoB1ZWNbvv3iQAnDc2XWAbufodLvVyE/edit#gid=1806634832"",""2025-26!ao3"")"),20.0)</f>
        <v>20</v>
      </c>
      <c r="CL140" s="59">
        <f t="shared" si="28"/>
        <v>0.6512341667</v>
      </c>
      <c r="CM140" s="55">
        <f>IFERROR(__xludf.DUMMYFUNCTION("importrange(""https://docs.google.com/spreadsheets/d/1CL9AQCD6lDzVeoB1ZWNbvv3iQAnDc2XWAbufodLvVyE/edit#gid=1806634832"",""2025-26!ap4"")"),781481.0)</f>
        <v>781481</v>
      </c>
      <c r="CN140" s="55">
        <f>IFERROR(__xludf.DUMMYFUNCTION("importrange(""https://docs.google.com/spreadsheets/d/1CL9AQCD6lDzVeoB1ZWNbvv3iQAnDc2XWAbufodLvVyE/edit#gid=1806634832"",""2025-26!ap3"")"),20.0)</f>
        <v>20</v>
      </c>
      <c r="CO140" s="55">
        <f>IFERROR(__xludf.DUMMYFUNCTION("importrange(""https://docs.google.com/spreadsheets/d/1CL9AQCD6lDzVeoB1ZWNbvv3iQAnDc2XWAbufodLvVyE/edit#gid=1806634832"",""2025-26!aq4"")"),1200000.0)</f>
        <v>1200000</v>
      </c>
      <c r="CP140" s="55">
        <f>IFERROR(__xludf.DUMMYFUNCTION("importrange(""https://docs.google.com/spreadsheets/d/1CL9AQCD6lDzVeoB1ZWNbvv3iQAnDc2XWAbufodLvVyE/edit#gid=1806634832"",""2025-26!aq3"")"),81.0)</f>
        <v>81</v>
      </c>
      <c r="CQ140" s="55">
        <f>IFERROR(__xludf.DUMMYFUNCTION("importrange(""https://docs.google.com/spreadsheets/d/1CL9AQCD6lDzVeoB1ZWNbvv3iQAnDc2XWAbufodLvVyE/edit#gid=1806634832"",""2025-26!ar4"")"),1679021.22)</f>
        <v>1679021.22</v>
      </c>
      <c r="CR140" s="55">
        <f>IFERROR(__xludf.DUMMYFUNCTION("importrange(""https://docs.google.com/spreadsheets/d/1CL9AQCD6lDzVeoB1ZWNbvv3iQAnDc2XWAbufodLvVyE/edit#gid=1806634832"",""2025-26!ar3"")"),15.0)</f>
        <v>15</v>
      </c>
      <c r="CS140" s="59">
        <f t="shared" si="29"/>
        <v>1.282759167</v>
      </c>
      <c r="CT140" s="55">
        <f>IFERROR(__xludf.DUMMYFUNCTION("importrange(""https://docs.google.com/spreadsheets/d/1CL9AQCD6lDzVeoB1ZWNbvv3iQAnDc2XWAbufodLvVyE/edit#gid=1806634832"",""2025-26!as4"")"),1539311.0)</f>
        <v>1539311</v>
      </c>
      <c r="CU140" s="55">
        <f>IFERROR(__xludf.DUMMYFUNCTION("importrange(""https://docs.google.com/spreadsheets/d/1CL9AQCD6lDzVeoB1ZWNbvv3iQAnDc2XWAbufodLvVyE/edit#gid=1806634832"",""2025-26!as3"")"),16.0)</f>
        <v>16</v>
      </c>
      <c r="CV140" s="60" t="s">
        <v>301</v>
      </c>
    </row>
    <row r="141">
      <c r="A141" s="1" t="s">
        <v>298</v>
      </c>
      <c r="B141" s="37"/>
      <c r="C141" s="90" t="s">
        <v>306</v>
      </c>
      <c r="D141" s="50" t="s">
        <v>226</v>
      </c>
      <c r="E141" s="50">
        <v>8.668556831E9</v>
      </c>
      <c r="F141" s="74">
        <v>44825.0</v>
      </c>
      <c r="G141" s="62"/>
      <c r="H141" s="62"/>
      <c r="I141" s="53">
        <v>41667.0</v>
      </c>
      <c r="J141" s="54">
        <v>1800000.0</v>
      </c>
      <c r="K141" s="57">
        <f>IFERROR(__xludf.DUMMYFUNCTION("IMPORTRANGE(""https://docs.google.com/spreadsheets/d/1MGgolYlaQvBNEw9oPfJ_rFftpPOa2GbsHdGvFEWLn20/edit#gid=514728638"",""2025-26!A3"")"),100.0)</f>
        <v>100</v>
      </c>
      <c r="L141" s="57">
        <f>IFERROR(__xludf.DUMMYFUNCTION("IMPORTRANGE(""https://docs.google.com/spreadsheets/d/1MGgolYlaQvBNEw9oPfJ_rFftpPOa2GbsHdGvFEWLn20/edit#gid=514728638"",""2025-26!G4"")"),2.177E7)</f>
        <v>21770000</v>
      </c>
      <c r="M141" s="57">
        <f t="shared" si="50"/>
        <v>12341859.28</v>
      </c>
      <c r="N141" s="56">
        <f t="shared" si="51"/>
        <v>0.5727423059</v>
      </c>
      <c r="O141" s="57">
        <f t="shared" si="52"/>
        <v>12468600</v>
      </c>
      <c r="P141" s="55">
        <f>IFERROR(__xludf.DUMMYFUNCTION("IMPORTRANGE(""https://docs.google.com/spreadsheets/d/1MGgolYlaQvBNEw9oPfJ_rFftpPOa2GbsHdGvFEWLn20/edit#gid=514728638"",""2025-26!J4"")"),1743500.0)</f>
        <v>1743500</v>
      </c>
      <c r="Q141" s="55">
        <f>IFERROR(__xludf.DUMMYFUNCTION("IMPORTRANGE(""https://docs.google.com/spreadsheets/d/1MGgolYlaQvBNEw9oPfJ_rFftpPOa2GbsHdGvFEWLn20/edit#gid=514728638"",""2025-26!J3"")"),90.0)</f>
        <v>90</v>
      </c>
      <c r="R141" s="55">
        <f>IFERROR(__xludf.DUMMYFUNCTION("IMPORTRANGE(""https://docs.google.com/spreadsheets/d/1MGgolYlaQvBNEw9oPfJ_rFftpPOa2GbsHdGvFEWLn20/edit#gid=514728638"",""2025-26!K4"")"),844979.2200000001)</f>
        <v>844979.22</v>
      </c>
      <c r="S141" s="55">
        <f>IFERROR(__xludf.DUMMYFUNCTION("IMPORTRANGE(""https://docs.google.com/spreadsheets/d/1MGgolYlaQvBNEw9oPfJ_rFftpPOa2GbsHdGvFEWLn20/edit#gid=514728638"",""2025-26!K3"")"),22.0)</f>
        <v>22</v>
      </c>
      <c r="T141" s="58">
        <f t="shared" si="18"/>
        <v>0.4898193289</v>
      </c>
      <c r="U141" s="55">
        <f>IFERROR(__xludf.DUMMYFUNCTION("IMPORTRANGE(""https://docs.google.com/spreadsheets/d/1MGgolYlaQvBNEw9oPfJ_rFftpPOa2GbsHdGvFEWLn20/edit#gid=514728638"",""2025-26!L4"")"),854000.0)</f>
        <v>854000</v>
      </c>
      <c r="V141" s="79">
        <f>IFERROR(__xludf.DUMMYFUNCTION("IMPORTRANGE(""https://docs.google.com/spreadsheets/d/1MGgolYlaQvBNEw9oPfJ_rFftpPOa2GbsHdGvFEWLn20/edit#gid=514728638"",""2025-26!L3"")"),22.0)</f>
        <v>22</v>
      </c>
      <c r="W141" s="55">
        <f>IFERROR(__xludf.DUMMYFUNCTION("IMPORTRANGE(""https://docs.google.com/spreadsheets/d/1MGgolYlaQvBNEw9oPfJ_rFftpPOa2GbsHdGvFEWLn20/edit#gid=514728638"",""2025-26!M4"")"),1743500.0)</f>
        <v>1743500</v>
      </c>
      <c r="X141" s="79">
        <f>IFERROR(__xludf.DUMMYFUNCTION("IMPORTRANGE(""https://docs.google.com/spreadsheets/d/1MGgolYlaQvBNEw9oPfJ_rFftpPOa2GbsHdGvFEWLn20/edit#gid=514728638"",""2025-26!M3"")"),90.0)</f>
        <v>90</v>
      </c>
      <c r="Y141" s="55">
        <f>IFERROR(__xludf.DUMMYFUNCTION("importrange(""https://docs.google.com/spreadsheets/d/1MGgolYlaQvBNEw9oPfJ_rFftpPOa2GbsHdGvFEWLn20/edit#gid=514728638"",""2025-26!n4"")"),918094.8000000002)</f>
        <v>918094.8</v>
      </c>
      <c r="Z141" s="55">
        <f>IFERROR(__xludf.DUMMYFUNCTION("importrange(""https://docs.google.com/spreadsheets/d/1MGgolYlaQvBNEw9oPfJ_rFftpPOa2GbsHdGvFEWLn20/edit#gid=514728638"",""2025-26!n3"")"),25.0)</f>
        <v>25</v>
      </c>
      <c r="AA141" s="58">
        <f t="shared" si="19"/>
        <v>0.5557786063</v>
      </c>
      <c r="AB141" s="55">
        <f>IFERROR(__xludf.DUMMYFUNCTION("importrange(""https://docs.google.com/spreadsheets/d/1MGgolYlaQvBNEw9oPfJ_rFftpPOa2GbsHdGvFEWLn20/edit#gid=514728638"",""2025-26!o4"")"),969000.0)</f>
        <v>969000</v>
      </c>
      <c r="AC141" s="55">
        <f>IFERROR(__xludf.DUMMYFUNCTION("importrange(""https://docs.google.com/spreadsheets/d/1MGgolYlaQvBNEw9oPfJ_rFftpPOa2GbsHdGvFEWLn20/edit#gid=514728638"",""2025-26!o3"")"),26.0)</f>
        <v>26</v>
      </c>
      <c r="AD141" s="55">
        <f>IFERROR(__xludf.DUMMYFUNCTION("importrange(""https://docs.google.com/spreadsheets/d/1MGgolYlaQvBNEw9oPfJ_rFftpPOa2GbsHdGvFEWLn20/edit#gid=514728638"",""2025-26!p4"")"),1743500.0)</f>
        <v>1743500</v>
      </c>
      <c r="AE141" s="55">
        <f>IFERROR(__xludf.DUMMYFUNCTION("importrange(""https://docs.google.com/spreadsheets/d/1MGgolYlaQvBNEw9oPfJ_rFftpPOa2GbsHdGvFEWLn20/edit#gid=514728638"",""2025-26!p3"")"),90.0)</f>
        <v>90</v>
      </c>
      <c r="AF141" s="55">
        <f>IFERROR(__xludf.DUMMYFUNCTION("importrange(""https://docs.google.com/spreadsheets/d/1MGgolYlaQvBNEw9oPfJ_rFftpPOa2GbsHdGvFEWLn20/edit#gid=514728638"",""2025-26!q4"")"),743620.8)</f>
        <v>743620.8</v>
      </c>
      <c r="AG141" s="55">
        <f>IFERROR(__xludf.DUMMYFUNCTION("importrange(""https://docs.google.com/spreadsheets/d/1MGgolYlaQvBNEw9oPfJ_rFftpPOa2GbsHdGvFEWLn20/edit#gid=514728638"",""2025-26!q3"")"),23.0)</f>
        <v>23</v>
      </c>
      <c r="AH141" s="58">
        <f t="shared" si="20"/>
        <v>0.4238600516</v>
      </c>
      <c r="AI141" s="55">
        <f>IFERROR(__xludf.DUMMYFUNCTION("importrange(""https://docs.google.com/spreadsheets/d/1MGgolYlaQvBNEw9oPfJ_rFftpPOa2GbsHdGvFEWLn20/edit#gid=514728638"",""2025-26!r4"")"),739000.0)</f>
        <v>739000</v>
      </c>
      <c r="AJ141" s="55">
        <f>IFERROR(__xludf.DUMMYFUNCTION("importrange(""https://docs.google.com/spreadsheets/d/1MGgolYlaQvBNEw9oPfJ_rFftpPOa2GbsHdGvFEWLn20/edit#gid=514728638"",""2025-26!r3"")"),22.0)</f>
        <v>22</v>
      </c>
      <c r="AK141" s="55">
        <f>IFERROR(__xludf.DUMMYFUNCTION("importrange(""https://docs.google.com/spreadsheets/d/1MGgolYlaQvBNEw9oPfJ_rFftpPOa2GbsHdGvFEWLn20/edit#gid=514728638"",""2025-26!s4"")"),1743500.0)</f>
        <v>1743500</v>
      </c>
      <c r="AL141" s="55">
        <f>IFERROR(__xludf.DUMMYFUNCTION("importrange(""https://docs.google.com/spreadsheets/d/1MGgolYlaQvBNEw9oPfJ_rFftpPOa2GbsHdGvFEWLn20/edit#gid=514728638"",""2025-26!s3"")"),90.0)</f>
        <v>90</v>
      </c>
      <c r="AM141" s="57">
        <f>IFERROR(__xludf.DUMMYFUNCTION("importrange(""https://docs.google.com/spreadsheets/d/1MGgolYlaQvBNEw9oPfJ_rFftpPOa2GbsHdGvFEWLn20/edit#gid=514728638"",""2025-26!t4"")"),923458.7999999998)</f>
        <v>923458.8</v>
      </c>
      <c r="AN141" s="55">
        <f>IFERROR(__xludf.DUMMYFUNCTION("importrange(""https://docs.google.com/spreadsheets/d/1MGgolYlaQvBNEw9oPfJ_rFftpPOa2GbsHdGvFEWLn20/edit#gid=514728638"",""2025-26!t3"")"),23.0)</f>
        <v>23</v>
      </c>
      <c r="AO141" s="58">
        <f t="shared" si="21"/>
        <v>0.5362776025</v>
      </c>
      <c r="AP141" s="55">
        <f>IFERROR(__xludf.DUMMYFUNCTION("importrange(""https://docs.google.com/spreadsheets/d/1MGgolYlaQvBNEw9oPfJ_rFftpPOa2GbsHdGvFEWLn20/edit#gid=514728638"",""2025-26!u4"")"),935000.0)</f>
        <v>935000</v>
      </c>
      <c r="AQ141" s="55">
        <f>IFERROR(__xludf.DUMMYFUNCTION("importrange(""https://docs.google.com/spreadsheets/d/1MGgolYlaQvBNEw9oPfJ_rFftpPOa2GbsHdGvFEWLn20/edit#gid=514728638"",""2025-26!u3"")"),23.0)</f>
        <v>23</v>
      </c>
      <c r="AR141" s="55">
        <f>IFERROR(__xludf.DUMMYFUNCTION("importrange(""https://docs.google.com/spreadsheets/d/1MGgolYlaQvBNEw9oPfJ_rFftpPOa2GbsHdGvFEWLn20/edit#gid=514728638"",""2025-26!v4"")"),1743500.0)</f>
        <v>1743500</v>
      </c>
      <c r="AS141" s="55">
        <f>IFERROR(__xludf.DUMMYFUNCTION("importrange(""https://docs.google.com/spreadsheets/d/1MGgolYlaQvBNEw9oPfJ_rFftpPOa2GbsHdGvFEWLn20/edit#gid=514728638"",""2025-26!v3"")"),90.0)</f>
        <v>90</v>
      </c>
      <c r="AT141" s="57">
        <f>IFERROR(__xludf.DUMMYFUNCTION("importrange(""https://docs.google.com/spreadsheets/d/1MGgolYlaQvBNEw9oPfJ_rFftpPOa2GbsHdGvFEWLn20/edit#gid=514728638"",""2025-26!w4"")"),735751.8)</f>
        <v>735751.8</v>
      </c>
      <c r="AU141" s="55">
        <f>IFERROR(__xludf.DUMMYFUNCTION("importrange(""https://docs.google.com/spreadsheets/d/1MGgolYlaQvBNEw9oPfJ_rFftpPOa2GbsHdGvFEWLn20/edit#gid=514728638"",""2025-26!w3"")"),20.0)</f>
        <v>20</v>
      </c>
      <c r="AV141" s="58">
        <f t="shared" si="22"/>
        <v>0.4261542874</v>
      </c>
      <c r="AW141" s="55">
        <f>IFERROR(__xludf.DUMMYFUNCTION("importrange(""https://docs.google.com/spreadsheets/d/1MGgolYlaQvBNEw9oPfJ_rFftpPOa2GbsHdGvFEWLn20/edit#gid=514728638"",""2025-26!x4"")"),743000.0)</f>
        <v>743000</v>
      </c>
      <c r="AX141" s="55">
        <f>IFERROR(__xludf.DUMMYFUNCTION("importrange(""https://docs.google.com/spreadsheets/d/1MGgolYlaQvBNEw9oPfJ_rFftpPOa2GbsHdGvFEWLn20/edit#gid=514728638"",""2025-26!x3"")"),20.0)</f>
        <v>20</v>
      </c>
      <c r="AY141" s="55">
        <f>IFERROR(__xludf.DUMMYFUNCTION("importrange(""https://docs.google.com/spreadsheets/d/1MGgolYlaQvBNEw9oPfJ_rFftpPOa2GbsHdGvFEWLn20/edit#gid=514728638"",""2025-26!y4"")"),1743500.0)</f>
        <v>1743500</v>
      </c>
      <c r="AZ141" s="55">
        <f>IFERROR(__xludf.DUMMYFUNCTION("importrange(""https://docs.google.com/spreadsheets/d/1MGgolYlaQvBNEw9oPfJ_rFftpPOa2GbsHdGvFEWLn20/edit#gid=514728638"",""2025-26!y3"")"),90.0)</f>
        <v>90</v>
      </c>
      <c r="BA141" s="57">
        <f>IFERROR(__xludf.DUMMYFUNCTION("importrange(""https://docs.google.com/spreadsheets/d/1MGgolYlaQvBNEw9oPfJ_rFftpPOa2GbsHdGvFEWLn20/edit#gid=514728638"",""2025-26!z4"")"),792790.2000000001)</f>
        <v>792790.2</v>
      </c>
      <c r="BB141" s="55">
        <f>IFERROR(__xludf.DUMMYFUNCTION("importrange(""https://docs.google.com/spreadsheets/d/1MGgolYlaQvBNEw9oPfJ_rFftpPOa2GbsHdGvFEWLn20/edit#gid=514728638"",""2025-26!z3"")"),18.0)</f>
        <v>18</v>
      </c>
      <c r="BC141" s="59">
        <f t="shared" si="23"/>
        <v>0.4479495268</v>
      </c>
      <c r="BD141" s="55">
        <f>IFERROR(__xludf.DUMMYFUNCTION("importrange(""https://docs.google.com/spreadsheets/d/1MGgolYlaQvBNEw9oPfJ_rFftpPOa2GbsHdGvFEWLn20/edit#gid=514728638"",""2025-26!aa4"")"),781000.0)</f>
        <v>781000</v>
      </c>
      <c r="BE141" s="55">
        <f>IFERROR(__xludf.DUMMYFUNCTION("importrange(""https://docs.google.com/spreadsheets/d/1MGgolYlaQvBNEw9oPfJ_rFftpPOa2GbsHdGvFEWLn20/edit#gid=514728638"",""2025-26!aa3"")"),20.0)</f>
        <v>20</v>
      </c>
      <c r="BF141" s="55">
        <f>IFERROR(__xludf.DUMMYFUNCTION("importrange(""https://docs.google.com/spreadsheets/d/1MGgolYlaQvBNEw9oPfJ_rFftpPOa2GbsHdGvFEWLn20/edit#gid=514728638"",""2025-26!ab4"")"),1743500.0)</f>
        <v>1743500</v>
      </c>
      <c r="BG141" s="55">
        <f>IFERROR(__xludf.DUMMYFUNCTION("importrange(""https://docs.google.com/spreadsheets/d/1MGgolYlaQvBNEw9oPfJ_rFftpPOa2GbsHdGvFEWLn20/edit#gid=514728638"",""2025-26!ab3"")"),90.0)</f>
        <v>90</v>
      </c>
      <c r="BH141" s="55">
        <f>IFERROR(__xludf.DUMMYFUNCTION("importrange(""https://docs.google.com/spreadsheets/d/1MGgolYlaQvBNEw9oPfJ_rFftpPOa2GbsHdGvFEWLn20/edit#gid=514728638"",""2025-26!ac4"")"),1104062.7999999998)</f>
        <v>1104062.8</v>
      </c>
      <c r="BI141" s="55">
        <f>IFERROR(__xludf.DUMMYFUNCTION("importrange(""https://docs.google.com/spreadsheets/d/1MGgolYlaQvBNEw9oPfJ_rFftpPOa2GbsHdGvFEWLn20/edit#gid=514728638"",""2025-26!ac3"")"),29.0)</f>
        <v>29</v>
      </c>
      <c r="BJ141" s="59">
        <f t="shared" si="24"/>
        <v>0.5529108116</v>
      </c>
      <c r="BK141" s="55">
        <f>IFERROR(__xludf.DUMMYFUNCTION("importrange(""https://docs.google.com/spreadsheets/d/1MGgolYlaQvBNEw9oPfJ_rFftpPOa2GbsHdGvFEWLn20/edit#gid=514728638"",""2025-26!ad4"")"),964000.0)</f>
        <v>964000</v>
      </c>
      <c r="BL141" s="55">
        <f>IFERROR(__xludf.DUMMYFUNCTION("importrange(""https://docs.google.com/spreadsheets/d/1MGgolYlaQvBNEw9oPfJ_rFftpPOa2GbsHdGvFEWLn20/edit#gid=514728638"",""2025-26!ad3"")"),26.0)</f>
        <v>26</v>
      </c>
      <c r="BM141" s="55">
        <f>IFERROR(__xludf.DUMMYFUNCTION("importrange(""https://docs.google.com/spreadsheets/d/1MGgolYlaQvBNEw9oPfJ_rFftpPOa2GbsHdGvFEWLn20/edit#gid=514728638"",""2025-26!ae4"")"),1743500.0)</f>
        <v>1743500</v>
      </c>
      <c r="BN141" s="55">
        <f>IFERROR(__xludf.DUMMYFUNCTION("importrange(""https://docs.google.com/spreadsheets/d/1MGgolYlaQvBNEw9oPfJ_rFftpPOa2GbsHdGvFEWLn20/edit#gid=514728638"",""2025-26!ae3"")"),90.0)</f>
        <v>90</v>
      </c>
      <c r="BO141" s="55">
        <f>IFERROR(__xludf.DUMMYFUNCTION("importrange(""https://docs.google.com/spreadsheets/d/1MGgolYlaQvBNEw9oPfJ_rFftpPOa2GbsHdGvFEWLn20/edit#gid=514728638"",""2025-26!af4"")"),1052053.5999999999)</f>
        <v>1052053.6</v>
      </c>
      <c r="BP141" s="55">
        <f>IFERROR(__xludf.DUMMYFUNCTION("importrange(""https://docs.google.com/spreadsheets/d/1MGgolYlaQvBNEw9oPfJ_rFftpPOa2GbsHdGvFEWLn20/edit#gid=514728638"",""2025-26!af3"")"),24.0)</f>
        <v>24</v>
      </c>
      <c r="BQ141" s="59">
        <f t="shared" si="25"/>
        <v>0.6203039862</v>
      </c>
      <c r="BR141" s="55">
        <f>IFERROR(__xludf.DUMMYFUNCTION("importrange(""https://docs.google.com/spreadsheets/d/1MGgolYlaQvBNEw9oPfJ_rFftpPOa2GbsHdGvFEWLn20/edit#gid=514728638"",""2025-26!ag4"")"),1081500.0)</f>
        <v>1081500</v>
      </c>
      <c r="BS141" s="55">
        <f>IFERROR(__xludf.DUMMYFUNCTION("importrange(""https://docs.google.com/spreadsheets/d/1MGgolYlaQvBNEw9oPfJ_rFftpPOa2GbsHdGvFEWLn20/edit#gid=514728638"",""2025-26!ag3"")"),26.0)</f>
        <v>26</v>
      </c>
      <c r="BT141" s="55">
        <f>IFERROR(__xludf.DUMMYFUNCTION("importrange(""https://docs.google.com/spreadsheets/d/1MGgolYlaQvBNEw9oPfJ_rFftpPOa2GbsHdGvFEWLn20/edit#gid=514728638"",""2025-26!ah4"")"),1743500.0)</f>
        <v>1743500</v>
      </c>
      <c r="BU141" s="55">
        <f>IFERROR(__xludf.DUMMYFUNCTION("importrange(""https://docs.google.com/spreadsheets/d/1MGgolYlaQvBNEw9oPfJ_rFftpPOa2GbsHdGvFEWLn20/edit#gid=514728638"",""2025-26!ah3"")"),90.0)</f>
        <v>90</v>
      </c>
      <c r="BV141" s="55">
        <f>IFERROR(__xludf.DUMMYFUNCTION("importrange(""https://docs.google.com/spreadsheets/d/1MGgolYlaQvBNEw9oPfJ_rFftpPOa2GbsHdGvFEWLn20/edit#gid=514728638"",""2025-26!ai4"")"),1417805.7600000002)</f>
        <v>1417805.76</v>
      </c>
      <c r="BW141" s="55">
        <f>IFERROR(__xludf.DUMMYFUNCTION("importrange(""https://docs.google.com/spreadsheets/d/1MGgolYlaQvBNEw9oPfJ_rFftpPOa2GbsHdGvFEWLn20/edit#gid=514728638"",""2025-26!ai3"")"),23.0)</f>
        <v>23</v>
      </c>
      <c r="BX141" s="59">
        <f t="shared" si="26"/>
        <v>0.845139088</v>
      </c>
      <c r="BY141" s="55">
        <f>IFERROR(__xludf.DUMMYFUNCTION("importrange(""https://docs.google.com/spreadsheets/d/1MGgolYlaQvBNEw9oPfJ_rFftpPOa2GbsHdGvFEWLn20/edit#gid=514728638"",""2025-26!aj4"")"),1473500.0)</f>
        <v>1473500</v>
      </c>
      <c r="BZ141" s="55">
        <f>IFERROR(__xludf.DUMMYFUNCTION("importrange(""https://docs.google.com/spreadsheets/d/1MGgolYlaQvBNEw9oPfJ_rFftpPOa2GbsHdGvFEWLn20/edit#gid=514728638"",""2025-26!aj3"")"),23.0)</f>
        <v>23</v>
      </c>
      <c r="CA141" s="55">
        <f>IFERROR(__xludf.DUMMYFUNCTION("importrange(""https://docs.google.com/spreadsheets/d/1MGgolYlaQvBNEw9oPfJ_rFftpPOa2GbsHdGvFEWLn20/edit#gid=514728638"",""2025-26!ak4"")"),1743500.0)</f>
        <v>1743500</v>
      </c>
      <c r="CB141" s="55">
        <f>IFERROR(__xludf.DUMMYFUNCTION("importrange(""https://docs.google.com/spreadsheets/d/1MGgolYlaQvBNEw9oPfJ_rFftpPOa2GbsHdGvFEWLn20/edit#gid=514728638"",""2025-26!ak3"")"),90.0)</f>
        <v>90</v>
      </c>
      <c r="CC141" s="55">
        <f>IFERROR(__xludf.DUMMYFUNCTION("importrange(""https://docs.google.com/spreadsheets/d/1MGgolYlaQvBNEw9oPfJ_rFftpPOa2GbsHdGvFEWLn20/edit#gid=514728638"",""2025-26!al4"")"),1111307.2600000002)</f>
        <v>1111307.26</v>
      </c>
      <c r="CD141" s="55">
        <f>IFERROR(__xludf.DUMMYFUNCTION("importrange(""https://docs.google.com/spreadsheets/d/1MGgolYlaQvBNEw9oPfJ_rFftpPOa2GbsHdGvFEWLn20/edit#gid=514728638"",""2025-26!ai3"")"),23.0)</f>
        <v>23</v>
      </c>
      <c r="CE141" s="59">
        <f t="shared" si="27"/>
        <v>0.6509893892</v>
      </c>
      <c r="CF141" s="55">
        <f>IFERROR(__xludf.DUMMYFUNCTION("importrange(""https://docs.google.com/spreadsheets/d/1MGgolYlaQvBNEw9oPfJ_rFftpPOa2GbsHdGvFEWLn20/edit#gid=514728638"",""2025-26!am4"")"),1135000.0)</f>
        <v>1135000</v>
      </c>
      <c r="CG141" s="55">
        <f>IFERROR(__xludf.DUMMYFUNCTION("importrange(""https://docs.google.com/spreadsheets/d/1MGgolYlaQvBNEw9oPfJ_rFftpPOa2GbsHdGvFEWLn20/edit#gid=514728638"",""2025-26!am3"")"),23.0)</f>
        <v>23</v>
      </c>
      <c r="CH141" s="55">
        <f>IFERROR(__xludf.DUMMYFUNCTION("importrange(""https://docs.google.com/spreadsheets/d/1MGgolYlaQvBNEw9oPfJ_rFftpPOa2GbsHdGvFEWLn20/edit#gid=514728638"",""2025-26!an4"")"),1743500.0)</f>
        <v>1743500</v>
      </c>
      <c r="CI141" s="55">
        <f>IFERROR(__xludf.DUMMYFUNCTION("importrange(""https://docs.google.com/spreadsheets/d/1MGgolYlaQvBNEw9oPfJ_rFftpPOa2GbsHdGvFEWLn20/edit#gid=514728638"",""2025-26!an3"")"),90.0)</f>
        <v>90</v>
      </c>
      <c r="CJ141" s="55">
        <f>IFERROR(__xludf.DUMMYFUNCTION("importrange(""https://docs.google.com/spreadsheets/d/1MGgolYlaQvBNEw9oPfJ_rFftpPOa2GbsHdGvFEWLn20/edit#gid=514728638"",""2025-26!ao4"")"),1035524.2000000002)</f>
        <v>1035524.2</v>
      </c>
      <c r="CK141" s="55">
        <f>IFERROR(__xludf.DUMMYFUNCTION("importrange(""https://docs.google.com/spreadsheets/d/1MGgolYlaQvBNEw9oPfJ_rFftpPOa2GbsHdGvFEWLn20/edit#gid=514728638"",""2025-26!ao3"")"),22.0)</f>
        <v>22</v>
      </c>
      <c r="CL141" s="59">
        <f t="shared" si="28"/>
        <v>0.5884714654</v>
      </c>
      <c r="CM141" s="55">
        <f>IFERROR(__xludf.DUMMYFUNCTION("importrange(""https://docs.google.com/spreadsheets/d/1MGgolYlaQvBNEw9oPfJ_rFftpPOa2GbsHdGvFEWLn20/edit#gid=514728638"",""2025-26!ap4"")"),1026000.0)</f>
        <v>1026000</v>
      </c>
      <c r="CN141" s="55">
        <f>IFERROR(__xludf.DUMMYFUNCTION("importrange(""https://docs.google.com/spreadsheets/d/1MGgolYlaQvBNEw9oPfJ_rFftpPOa2GbsHdGvFEWLn20/edit#gid=514728638"",""2025-26!ap3"")"),21.0)</f>
        <v>21</v>
      </c>
      <c r="CO141" s="55">
        <f>IFERROR(__xludf.DUMMYFUNCTION("importrange(""https://docs.google.com/spreadsheets/d/1MGgolYlaQvBNEw9oPfJ_rFftpPOa2GbsHdGvFEWLn20/edit#gid=514728638"",""2025-26!aq4"")"),1743500.0)</f>
        <v>1743500</v>
      </c>
      <c r="CP141" s="55">
        <f>IFERROR(__xludf.DUMMYFUNCTION("importrange(""https://docs.google.com/spreadsheets/d/1MGgolYlaQvBNEw9oPfJ_rFftpPOa2GbsHdGvFEWLn20/edit#gid=514728638"",""2025-26!aq3"")"),90.0)</f>
        <v>90</v>
      </c>
      <c r="CQ141" s="55">
        <f>IFERROR(__xludf.DUMMYFUNCTION("importrange(""https://docs.google.com/spreadsheets/d/1MGgolYlaQvBNEw9oPfJ_rFftpPOa2GbsHdGvFEWLn20/edit#gid=514728638"",""2025-26!ar4"")"),1662410.0399999998)</f>
        <v>1662410.04</v>
      </c>
      <c r="CR141" s="55">
        <f>IFERROR(__xludf.DUMMYFUNCTION("importrange(""https://docs.google.com/spreadsheets/d/1MGgolYlaQvBNEw9oPfJ_rFftpPOa2GbsHdGvFEWLn20/edit#gid=514728638"",""2025-26!ar3"")"),29.0)</f>
        <v>29</v>
      </c>
      <c r="CS141" s="59">
        <f t="shared" si="29"/>
        <v>1.01382277</v>
      </c>
      <c r="CT141" s="55">
        <f>IFERROR(__xludf.DUMMYFUNCTION("importrange(""https://docs.google.com/spreadsheets/d/1MGgolYlaQvBNEw9oPfJ_rFftpPOa2GbsHdGvFEWLn20/edit#gid=514728638"",""2025-26!as4"")"),1767600.0)</f>
        <v>1767600</v>
      </c>
      <c r="CU141" s="55">
        <f>IFERROR(__xludf.DUMMYFUNCTION("importrange(""https://docs.google.com/spreadsheets/d/1MGgolYlaQvBNEw9oPfJ_rFftpPOa2GbsHdGvFEWLn20/edit#gid=514728638"",""2025-26!as3"")"),31.0)</f>
        <v>31</v>
      </c>
      <c r="CV141" s="60" t="s">
        <v>301</v>
      </c>
    </row>
    <row r="142">
      <c r="A142" s="1" t="s">
        <v>298</v>
      </c>
      <c r="B142" s="37"/>
      <c r="C142" s="80" t="s">
        <v>307</v>
      </c>
      <c r="D142" s="50" t="s">
        <v>308</v>
      </c>
      <c r="E142" s="50">
        <v>9.503504424E9</v>
      </c>
      <c r="F142" s="74">
        <v>45047.0</v>
      </c>
      <c r="G142" s="62"/>
      <c r="H142" s="62"/>
      <c r="I142" s="53">
        <v>35167.0</v>
      </c>
      <c r="J142" s="54">
        <v>1200000.0</v>
      </c>
      <c r="K142" s="57">
        <f>IFERROR(__xludf.DUMMYFUNCTION("IMPORTRANGE(""https://docs.google.com/spreadsheets/d/1WTwJOkEL-7pdLdu4DqeFqbDaTBRyZ2Y7K1Ui-q851JQ/edit#gid=218149684"",""2025-26!A3"")"),124.0)</f>
        <v>124</v>
      </c>
      <c r="L142" s="57">
        <f>IFERROR(__xludf.DUMMYFUNCTION("IMPORTRANGE(""https://docs.google.com/spreadsheets/d/1WTwJOkEL-7pdLdu4DqeFqbDaTBRyZ2Y7K1Ui-q851JQ/edit#gid=218149684"",""2025-26!G4"")"),1.551E7)</f>
        <v>15510000</v>
      </c>
      <c r="M142" s="57">
        <f t="shared" si="50"/>
        <v>7163532.35</v>
      </c>
      <c r="N142" s="56">
        <f t="shared" si="51"/>
        <v>0.5121392005</v>
      </c>
      <c r="O142" s="57">
        <f t="shared" si="52"/>
        <v>7943279</v>
      </c>
      <c r="P142" s="55">
        <f>IFERROR(__xludf.DUMMYFUNCTION("IMPORTRANGE(""https://docs.google.com/spreadsheets/d/1WTwJOkEL-7pdLdu4DqeFqbDaTBRyZ2Y7K1Ui-q851JQ/edit#gid=218149684"",""2025-26!J4"")"),1172499.9999999998)</f>
        <v>1172500</v>
      </c>
      <c r="Q142" s="55">
        <f>IFERROR(__xludf.DUMMYFUNCTION("IMPORTRANGE(""https://docs.google.com/spreadsheets/d/1WTwJOkEL-7pdLdu4DqeFqbDaTBRyZ2Y7K1Ui-q851JQ/edit#gid=218149684"",""2025-26!J3"")"),75.0)</f>
        <v>75</v>
      </c>
      <c r="R142" s="55">
        <f>IFERROR(__xludf.DUMMYFUNCTION("IMPORTRANGE(""https://docs.google.com/spreadsheets/d/1WTwJOkEL-7pdLdu4DqeFqbDaTBRyZ2Y7K1Ui-q851JQ/edit#gid=218149684"",""2025-26!K4"")"),298115.81999999995)</f>
        <v>298115.82</v>
      </c>
      <c r="S142" s="55">
        <f>IFERROR(__xludf.DUMMYFUNCTION("IMPORTRANGE(""https://docs.google.com/spreadsheets/d/1WTwJOkEL-7pdLdu4DqeFqbDaTBRyZ2Y7K1Ui-q851JQ/edit#gid=218149684"",""2025-26!K3"")"),22.0)</f>
        <v>22</v>
      </c>
      <c r="T142" s="58">
        <f t="shared" si="18"/>
        <v>0.3118464819</v>
      </c>
      <c r="U142" s="55">
        <f>IFERROR(__xludf.DUMMYFUNCTION("IMPORTRANGE(""https://docs.google.com/spreadsheets/d/1WTwJOkEL-7pdLdu4DqeFqbDaTBRyZ2Y7K1Ui-q851JQ/edit#gid=218149684"",""2025-26!L4"")"),365640.0)</f>
        <v>365640</v>
      </c>
      <c r="V142" s="79">
        <f>IFERROR(__xludf.DUMMYFUNCTION("IMPORTRANGE(""https://docs.google.com/spreadsheets/d/1WTwJOkEL-7pdLdu4DqeFqbDaTBRyZ2Y7K1Ui-q851JQ/edit#gid=218149684"",""2025-26!L3"")"),23.0)</f>
        <v>23</v>
      </c>
      <c r="W142" s="55">
        <f>IFERROR(__xludf.DUMMYFUNCTION("IMPORTRANGE(""https://docs.google.com/spreadsheets/d/1WTwJOkEL-7pdLdu4DqeFqbDaTBRyZ2Y7K1Ui-q851JQ/edit#gid=218149684"",""2025-26!M4"")"),1172499.9999999998)</f>
        <v>1172500</v>
      </c>
      <c r="X142" s="79">
        <f>IFERROR(__xludf.DUMMYFUNCTION("IMPORTRANGE(""https://docs.google.com/spreadsheets/d/1WTwJOkEL-7pdLdu4DqeFqbDaTBRyZ2Y7K1Ui-q851JQ/edit#gid=218149684"",""2025-26!M3"")"),75.0)</f>
        <v>75</v>
      </c>
      <c r="Y142" s="55">
        <f>IFERROR(__xludf.DUMMYFUNCTION("importrange(""https://docs.google.com/spreadsheets/d/1WTwJOkEL-7pdLdu4DqeFqbDaTBRyZ2Y7K1Ui-q851JQ/edit#gid=218149684"",""2025-26!n4"")"),199782.0)</f>
        <v>199782</v>
      </c>
      <c r="Z142" s="55">
        <f>IFERROR(__xludf.DUMMYFUNCTION("importrange(""https://docs.google.com/spreadsheets/d/1WTwJOkEL-7pdLdu4DqeFqbDaTBRyZ2Y7K1Ui-q851JQ/edit#gid=218149684"",""2025-26!n3"")"),15.0)</f>
        <v>15</v>
      </c>
      <c r="AA142" s="58">
        <f t="shared" si="19"/>
        <v>0.2174515991</v>
      </c>
      <c r="AB142" s="55">
        <f>IFERROR(__xludf.DUMMYFUNCTION("importrange(""https://docs.google.com/spreadsheets/d/1WTwJOkEL-7pdLdu4DqeFqbDaTBRyZ2Y7K1Ui-q851JQ/edit#gid=218149684"",""2025-26!o4"")"),254962.0)</f>
        <v>254962</v>
      </c>
      <c r="AC142" s="55">
        <f>IFERROR(__xludf.DUMMYFUNCTION("importrange(""https://docs.google.com/spreadsheets/d/1WTwJOkEL-7pdLdu4DqeFqbDaTBRyZ2Y7K1Ui-q851JQ/edit#gid=218149684"",""2025-26!o3"")"),16.0)</f>
        <v>16</v>
      </c>
      <c r="AD142" s="55">
        <f>IFERROR(__xludf.DUMMYFUNCTION("importrange(""https://docs.google.com/spreadsheets/d/1WTwJOkEL-7pdLdu4DqeFqbDaTBRyZ2Y7K1Ui-q851JQ/edit#gid=218149684"",""2025-26!p4"")"),1172499.9999999998)</f>
        <v>1172500</v>
      </c>
      <c r="AE142" s="55">
        <f>IFERROR(__xludf.DUMMYFUNCTION("importrange(""https://docs.google.com/spreadsheets/d/1WTwJOkEL-7pdLdu4DqeFqbDaTBRyZ2Y7K1Ui-q851JQ/edit#gid=218149684"",""2025-26!p3"")"),75.0)</f>
        <v>75</v>
      </c>
      <c r="AF142" s="55">
        <f>IFERROR(__xludf.DUMMYFUNCTION("importrange(""https://docs.google.com/spreadsheets/d/1WTwJOkEL-7pdLdu4DqeFqbDaTBRyZ2Y7K1Ui-q851JQ/edit#gid=218149684"",""2025-26!q4"")"),191511.62)</f>
        <v>191511.62</v>
      </c>
      <c r="AG142" s="55">
        <f>IFERROR(__xludf.DUMMYFUNCTION("importrange(""https://docs.google.com/spreadsheets/d/1WTwJOkEL-7pdLdu4DqeFqbDaTBRyZ2Y7K1Ui-q851JQ/edit#gid=218149684"",""2025-26!q3"")"),17.0)</f>
        <v>17</v>
      </c>
      <c r="AH142" s="58">
        <f t="shared" si="20"/>
        <v>0.1976503198</v>
      </c>
      <c r="AI142" s="55">
        <f>IFERROR(__xludf.DUMMYFUNCTION("importrange(""https://docs.google.com/spreadsheets/d/1WTwJOkEL-7pdLdu4DqeFqbDaTBRyZ2Y7K1Ui-q851JQ/edit#gid=218149684"",""2025-26!r4"")"),231745.0)</f>
        <v>231745</v>
      </c>
      <c r="AJ142" s="55">
        <f>IFERROR(__xludf.DUMMYFUNCTION("importrange(""https://docs.google.com/spreadsheets/d/1WTwJOkEL-7pdLdu4DqeFqbDaTBRyZ2Y7K1Ui-q851JQ/edit#gid=218149684"",""2025-26!r3"")"),18.0)</f>
        <v>18</v>
      </c>
      <c r="AK142" s="55">
        <f>IFERROR(__xludf.DUMMYFUNCTION("importrange(""https://docs.google.com/spreadsheets/d/1WTwJOkEL-7pdLdu4DqeFqbDaTBRyZ2Y7K1Ui-q851JQ/edit#gid=218149684"",""2025-26!s4"")"),1172499.9999999998)</f>
        <v>1172500</v>
      </c>
      <c r="AL142" s="55">
        <f>IFERROR(__xludf.DUMMYFUNCTION("importrange(""https://docs.google.com/spreadsheets/d/1WTwJOkEL-7pdLdu4DqeFqbDaTBRyZ2Y7K1Ui-q851JQ/edit#gid=218149684"",""2025-26!s3"")"),75.0)</f>
        <v>75</v>
      </c>
      <c r="AM142" s="57">
        <f>IFERROR(__xludf.DUMMYFUNCTION("importrange(""https://docs.google.com/spreadsheets/d/1WTwJOkEL-7pdLdu4DqeFqbDaTBRyZ2Y7K1Ui-q851JQ/edit#gid=218149684"",""2025-26!t4"")"),644384.94)</f>
        <v>644384.94</v>
      </c>
      <c r="AN142" s="55">
        <f>IFERROR(__xludf.DUMMYFUNCTION("importrange(""https://docs.google.com/spreadsheets/d/1WTwJOkEL-7pdLdu4DqeFqbDaTBRyZ2Y7K1Ui-q851JQ/edit#gid=218149684"",""2025-26!t3"")"),38.0)</f>
        <v>38</v>
      </c>
      <c r="AO142" s="58">
        <f t="shared" si="21"/>
        <v>0.63914371</v>
      </c>
      <c r="AP142" s="55">
        <f>IFERROR(__xludf.DUMMYFUNCTION("importrange(""https://docs.google.com/spreadsheets/d/1WTwJOkEL-7pdLdu4DqeFqbDaTBRyZ2Y7K1Ui-q851JQ/edit#gid=218149684"",""2025-26!u4"")"),749396.0)</f>
        <v>749396</v>
      </c>
      <c r="AQ142" s="55">
        <f>IFERROR(__xludf.DUMMYFUNCTION("importrange(""https://docs.google.com/spreadsheets/d/1WTwJOkEL-7pdLdu4DqeFqbDaTBRyZ2Y7K1Ui-q851JQ/edit#gid=218149684"",""2025-26!u3"")"),36.0)</f>
        <v>36</v>
      </c>
      <c r="AR142" s="55">
        <f>IFERROR(__xludf.DUMMYFUNCTION("importrange(""https://docs.google.com/spreadsheets/d/1WTwJOkEL-7pdLdu4DqeFqbDaTBRyZ2Y7K1Ui-q851JQ/edit#gid=218149684"",""2025-26!v4"")"),1172499.9999999998)</f>
        <v>1172500</v>
      </c>
      <c r="AS142" s="55">
        <f>IFERROR(__xludf.DUMMYFUNCTION("importrange(""https://docs.google.com/spreadsheets/d/1WTwJOkEL-7pdLdu4DqeFqbDaTBRyZ2Y7K1Ui-q851JQ/edit#gid=218149684"",""2025-26!v3"")"),75.0)</f>
        <v>75</v>
      </c>
      <c r="AT142" s="57">
        <f>IFERROR(__xludf.DUMMYFUNCTION("importrange(""https://docs.google.com/spreadsheets/d/1WTwJOkEL-7pdLdu4DqeFqbDaTBRyZ2Y7K1Ui-q851JQ/edit#gid=218149684"",""2025-26!w4"")"),534719.58)</f>
        <v>534719.58</v>
      </c>
      <c r="AU142" s="55">
        <f>IFERROR(__xludf.DUMMYFUNCTION("importrange(""https://docs.google.com/spreadsheets/d/1WTwJOkEL-7pdLdu4DqeFqbDaTBRyZ2Y7K1Ui-q851JQ/edit#gid=218149684"",""2025-26!w3"")"),40.0)</f>
        <v>40</v>
      </c>
      <c r="AV142" s="58">
        <f t="shared" si="22"/>
        <v>0.4737671642</v>
      </c>
      <c r="AW142" s="55">
        <f>IFERROR(__xludf.DUMMYFUNCTION("importrange(""https://docs.google.com/spreadsheets/d/1WTwJOkEL-7pdLdu4DqeFqbDaTBRyZ2Y7K1Ui-q851JQ/edit#gid=218149684"",""2025-26!x4"")"),555492.0)</f>
        <v>555492</v>
      </c>
      <c r="AX142" s="55">
        <f>IFERROR(__xludf.DUMMYFUNCTION("importrange(""https://docs.google.com/spreadsheets/d/1WTwJOkEL-7pdLdu4DqeFqbDaTBRyZ2Y7K1Ui-q851JQ/edit#gid=218149684"",""2025-26!x3"")"),36.0)</f>
        <v>36</v>
      </c>
      <c r="AY142" s="55">
        <f>IFERROR(__xludf.DUMMYFUNCTION("importrange(""https://docs.google.com/spreadsheets/d/1WTwJOkEL-7pdLdu4DqeFqbDaTBRyZ2Y7K1Ui-q851JQ/edit#gid=218149684"",""2025-26!y4"")"),1172499.9999999998)</f>
        <v>1172500</v>
      </c>
      <c r="AZ142" s="55">
        <f>IFERROR(__xludf.DUMMYFUNCTION("importrange(""https://docs.google.com/spreadsheets/d/1WTwJOkEL-7pdLdu4DqeFqbDaTBRyZ2Y7K1Ui-q851JQ/edit#gid=218149684"",""2025-26!y3"")"),75.0)</f>
        <v>75</v>
      </c>
      <c r="BA142" s="57">
        <f>IFERROR(__xludf.DUMMYFUNCTION("importrange(""https://docs.google.com/spreadsheets/d/1WTwJOkEL-7pdLdu4DqeFqbDaTBRyZ2Y7K1Ui-q851JQ/edit#gid=218149684"",""2025-26!z4"")"),766872.6000000001)</f>
        <v>766872.6</v>
      </c>
      <c r="BB142" s="55">
        <f>IFERROR(__xludf.DUMMYFUNCTION("importrange(""https://docs.google.com/spreadsheets/d/1WTwJOkEL-7pdLdu4DqeFqbDaTBRyZ2Y7K1Ui-q851JQ/edit#gid=218149684"",""2025-26!z3"")"),47.0)</f>
        <v>47</v>
      </c>
      <c r="BC142" s="59">
        <f t="shared" si="23"/>
        <v>0.765165032</v>
      </c>
      <c r="BD142" s="55">
        <f>IFERROR(__xludf.DUMMYFUNCTION("importrange(""https://docs.google.com/spreadsheets/d/1WTwJOkEL-7pdLdu4DqeFqbDaTBRyZ2Y7K1Ui-q851JQ/edit#gid=218149684"",""2025-26!aa4"")"),897156.0)</f>
        <v>897156</v>
      </c>
      <c r="BE142" s="55">
        <f>IFERROR(__xludf.DUMMYFUNCTION("importrange(""https://docs.google.com/spreadsheets/d/1WTwJOkEL-7pdLdu4DqeFqbDaTBRyZ2Y7K1Ui-q851JQ/edit#gid=218149684"",""2025-26!aa3"")"),47.0)</f>
        <v>47</v>
      </c>
      <c r="BF142" s="55">
        <f>IFERROR(__xludf.DUMMYFUNCTION("importrange(""https://docs.google.com/spreadsheets/d/1WTwJOkEL-7pdLdu4DqeFqbDaTBRyZ2Y7K1Ui-q851JQ/edit#gid=218149684"",""2025-26!ab4"")"),1212499.9999999998)</f>
        <v>1212500</v>
      </c>
      <c r="BG142" s="55">
        <f>IFERROR(__xludf.DUMMYFUNCTION("importrange(""https://docs.google.com/spreadsheets/d/1WTwJOkEL-7pdLdu4DqeFqbDaTBRyZ2Y7K1Ui-q851JQ/edit#gid=218149684"",""2025-26!ab3"")"),77.0)</f>
        <v>77</v>
      </c>
      <c r="BH142" s="55">
        <f>IFERROR(__xludf.DUMMYFUNCTION("importrange(""https://docs.google.com/spreadsheets/d/1WTwJOkEL-7pdLdu4DqeFqbDaTBRyZ2Y7K1Ui-q851JQ/edit#gid=218149684"",""2025-26!ac4"")"),278500.04)</f>
        <v>278500.04</v>
      </c>
      <c r="BI142" s="55">
        <f>IFERROR(__xludf.DUMMYFUNCTION("importrange(""https://docs.google.com/spreadsheets/d/1WTwJOkEL-7pdLdu4DqeFqbDaTBRyZ2Y7K1Ui-q851JQ/edit#gid=218149684"",""2025-26!ac3"")"),24.0)</f>
        <v>24</v>
      </c>
      <c r="BJ142" s="59">
        <f t="shared" si="24"/>
        <v>0.2710383505</v>
      </c>
      <c r="BK142" s="55">
        <f>IFERROR(__xludf.DUMMYFUNCTION("importrange(""https://docs.google.com/spreadsheets/d/1WTwJOkEL-7pdLdu4DqeFqbDaTBRyZ2Y7K1Ui-q851JQ/edit#gid=218149684"",""2025-26!ad4"")"),328634.0)</f>
        <v>328634</v>
      </c>
      <c r="BL142" s="55">
        <f>IFERROR(__xludf.DUMMYFUNCTION("importrange(""https://docs.google.com/spreadsheets/d/1WTwJOkEL-7pdLdu4DqeFqbDaTBRyZ2Y7K1Ui-q851JQ/edit#gid=218149684"",""2025-26!ad3"")"),24.0)</f>
        <v>24</v>
      </c>
      <c r="BM142" s="55">
        <f>IFERROR(__xludf.DUMMYFUNCTION("importrange(""https://docs.google.com/spreadsheets/d/1WTwJOkEL-7pdLdu4DqeFqbDaTBRyZ2Y7K1Ui-q851JQ/edit#gid=218149684"",""2025-26!ae4"")"),1308499.9999999998)</f>
        <v>1308500</v>
      </c>
      <c r="BN142" s="55">
        <f>IFERROR(__xludf.DUMMYFUNCTION("importrange(""https://docs.google.com/spreadsheets/d/1WTwJOkEL-7pdLdu4DqeFqbDaTBRyZ2Y7K1Ui-q851JQ/edit#gid=218149684"",""2025-26!ae3"")"),79.0)</f>
        <v>79</v>
      </c>
      <c r="BO142" s="55">
        <f>IFERROR(__xludf.DUMMYFUNCTION("importrange(""https://docs.google.com/spreadsheets/d/1WTwJOkEL-7pdLdu4DqeFqbDaTBRyZ2Y7K1Ui-q851JQ/edit#gid=218149684"",""2025-26!af4"")"),507217.97)</f>
        <v>507217.97</v>
      </c>
      <c r="BP142" s="55">
        <f>IFERROR(__xludf.DUMMYFUNCTION("importrange(""https://docs.google.com/spreadsheets/d/1WTwJOkEL-7pdLdu4DqeFqbDaTBRyZ2Y7K1Ui-q851JQ/edit#gid=218149684"",""2025-26!af3"")"),31.0)</f>
        <v>31</v>
      </c>
      <c r="BQ142" s="59">
        <f t="shared" si="25"/>
        <v>0.4442277417</v>
      </c>
      <c r="BR142" s="55">
        <f>IFERROR(__xludf.DUMMYFUNCTION("importrange(""https://docs.google.com/spreadsheets/d/1WTwJOkEL-7pdLdu4DqeFqbDaTBRyZ2Y7K1Ui-q851JQ/edit#gid=218149684"",""2025-26!ag4"")"),581272.0)</f>
        <v>581272</v>
      </c>
      <c r="BS142" s="55">
        <f>IFERROR(__xludf.DUMMYFUNCTION("importrange(""https://docs.google.com/spreadsheets/d/1WTwJOkEL-7pdLdu4DqeFqbDaTBRyZ2Y7K1Ui-q851JQ/edit#gid=218149684"",""2025-26!ag3"")"),29.0)</f>
        <v>29</v>
      </c>
      <c r="BT142" s="55">
        <f>IFERROR(__xludf.DUMMYFUNCTION("importrange(""https://docs.google.com/spreadsheets/d/1WTwJOkEL-7pdLdu4DqeFqbDaTBRyZ2Y7K1Ui-q851JQ/edit#gid=218149684"",""2025-26!ah4"")"),1308499.9999999998)</f>
        <v>1308500</v>
      </c>
      <c r="BU142" s="55">
        <f>IFERROR(__xludf.DUMMYFUNCTION("importrange(""https://docs.google.com/spreadsheets/d/1WTwJOkEL-7pdLdu4DqeFqbDaTBRyZ2Y7K1Ui-q851JQ/edit#gid=218149684"",""2025-26!ah3"")"),79.0)</f>
        <v>79</v>
      </c>
      <c r="BV142" s="55">
        <f>IFERROR(__xludf.DUMMYFUNCTION("importrange(""https://docs.google.com/spreadsheets/d/1WTwJOkEL-7pdLdu4DqeFqbDaTBRyZ2Y7K1Ui-q851JQ/edit#gid=218149684"",""2025-26!ai4"")"),642272.0400000002)</f>
        <v>642272.04</v>
      </c>
      <c r="BW142" s="55">
        <f>IFERROR(__xludf.DUMMYFUNCTION("importrange(""https://docs.google.com/spreadsheets/d/1WTwJOkEL-7pdLdu4DqeFqbDaTBRyZ2Y7K1Ui-q851JQ/edit#gid=218149684"",""2025-26!ai3"")"),36.0)</f>
        <v>36</v>
      </c>
      <c r="BX142" s="59">
        <f t="shared" si="26"/>
        <v>0.5326396637</v>
      </c>
      <c r="BY142" s="55">
        <f>IFERROR(__xludf.DUMMYFUNCTION("importrange(""https://docs.google.com/spreadsheets/d/1WTwJOkEL-7pdLdu4DqeFqbDaTBRyZ2Y7K1Ui-q851JQ/edit#gid=218149684"",""2025-26!aj4"")"),696959.0)</f>
        <v>696959</v>
      </c>
      <c r="BZ142" s="55">
        <f>IFERROR(__xludf.DUMMYFUNCTION("importrange(""https://docs.google.com/spreadsheets/d/1WTwJOkEL-7pdLdu4DqeFqbDaTBRyZ2Y7K1Ui-q851JQ/edit#gid=218149684"",""2025-26!aj3"")"),34.0)</f>
        <v>34</v>
      </c>
      <c r="CA142" s="55">
        <f>IFERROR(__xludf.DUMMYFUNCTION("importrange(""https://docs.google.com/spreadsheets/d/1WTwJOkEL-7pdLdu4DqeFqbDaTBRyZ2Y7K1Ui-q851JQ/edit#gid=218149684"",""2025-26!ak4"")"),1328499.9999999998)</f>
        <v>1328500</v>
      </c>
      <c r="CB142" s="55">
        <f>IFERROR(__xludf.DUMMYFUNCTION("importrange(""https://docs.google.com/spreadsheets/d/1WTwJOkEL-7pdLdu4DqeFqbDaTBRyZ2Y7K1Ui-q851JQ/edit#gid=218149684"",""2025-26!ak3"")"),80.0)</f>
        <v>80</v>
      </c>
      <c r="CC142" s="55">
        <f>IFERROR(__xludf.DUMMYFUNCTION("importrange(""https://docs.google.com/spreadsheets/d/1WTwJOkEL-7pdLdu4DqeFqbDaTBRyZ2Y7K1Ui-q851JQ/edit#gid=218149684"",""2025-26!al4"")"),863021.64)</f>
        <v>863021.64</v>
      </c>
      <c r="CD142" s="55">
        <f>IFERROR(__xludf.DUMMYFUNCTION("importrange(""https://docs.google.com/spreadsheets/d/1WTwJOkEL-7pdLdu4DqeFqbDaTBRyZ2Y7K1Ui-q851JQ/edit#gid=218149684"",""2025-26!ai3"")"),36.0)</f>
        <v>36</v>
      </c>
      <c r="CE142" s="59">
        <f t="shared" si="27"/>
        <v>0.7218645088</v>
      </c>
      <c r="CF142" s="55">
        <f>IFERROR(__xludf.DUMMYFUNCTION("importrange(""https://docs.google.com/spreadsheets/d/1WTwJOkEL-7pdLdu4DqeFqbDaTBRyZ2Y7K1Ui-q851JQ/edit#gid=218149684"",""2025-26!am4"")"),958997.0)</f>
        <v>958997</v>
      </c>
      <c r="CG142" s="55">
        <f>IFERROR(__xludf.DUMMYFUNCTION("importrange(""https://docs.google.com/spreadsheets/d/1WTwJOkEL-7pdLdu4DqeFqbDaTBRyZ2Y7K1Ui-q851JQ/edit#gid=218149684"",""2025-26!am3"")"),47.0)</f>
        <v>47</v>
      </c>
      <c r="CH142" s="55">
        <f>IFERROR(__xludf.DUMMYFUNCTION("importrange(""https://docs.google.com/spreadsheets/d/1WTwJOkEL-7pdLdu4DqeFqbDaTBRyZ2Y7K1Ui-q851JQ/edit#gid=218149684"",""2025-26!an4"")"),1368499.9999999998)</f>
        <v>1368500</v>
      </c>
      <c r="CI142" s="55">
        <f>IFERROR(__xludf.DUMMYFUNCTION("importrange(""https://docs.google.com/spreadsheets/d/1WTwJOkEL-7pdLdu4DqeFqbDaTBRyZ2Y7K1Ui-q851JQ/edit#gid=218149684"",""2025-26!an3"")"),82.0)</f>
        <v>82</v>
      </c>
      <c r="CJ142" s="55">
        <f>IFERROR(__xludf.DUMMYFUNCTION("importrange(""https://docs.google.com/spreadsheets/d/1WTwJOkEL-7pdLdu4DqeFqbDaTBRyZ2Y7K1Ui-q851JQ/edit#gid=218149684"",""2025-26!ao4"")"),758719.95)</f>
        <v>758719.95</v>
      </c>
      <c r="CK142" s="55">
        <f>IFERROR(__xludf.DUMMYFUNCTION("importrange(""https://docs.google.com/spreadsheets/d/1WTwJOkEL-7pdLdu4DqeFqbDaTBRyZ2Y7K1Ui-q851JQ/edit#gid=218149684"",""2025-26!ao3"")"),38.0)</f>
        <v>38</v>
      </c>
      <c r="CL142" s="59">
        <f t="shared" si="28"/>
        <v>0.6179788089</v>
      </c>
      <c r="CM142" s="55">
        <f>IFERROR(__xludf.DUMMYFUNCTION("importrange(""https://docs.google.com/spreadsheets/d/1WTwJOkEL-7pdLdu4DqeFqbDaTBRyZ2Y7K1Ui-q851JQ/edit#gid=218149684"",""2025-26!ap4"")"),845704.0)</f>
        <v>845704</v>
      </c>
      <c r="CN142" s="55">
        <f>IFERROR(__xludf.DUMMYFUNCTION("importrange(""https://docs.google.com/spreadsheets/d/1WTwJOkEL-7pdLdu4DqeFqbDaTBRyZ2Y7K1Ui-q851JQ/edit#gid=218149684"",""2025-26!ap3"")"),35.0)</f>
        <v>35</v>
      </c>
      <c r="CO142" s="55">
        <f>IFERROR(__xludf.DUMMYFUNCTION("importrange(""https://docs.google.com/spreadsheets/d/1WTwJOkEL-7pdLdu4DqeFqbDaTBRyZ2Y7K1Ui-q851JQ/edit#gid=218149684"",""2025-26!aq4"")"),1368499.9999999998)</f>
        <v>1368500</v>
      </c>
      <c r="CP142" s="55">
        <f>IFERROR(__xludf.DUMMYFUNCTION("importrange(""https://docs.google.com/spreadsheets/d/1WTwJOkEL-7pdLdu4DqeFqbDaTBRyZ2Y7K1Ui-q851JQ/edit#gid=218149684"",""2025-26!aq3"")"),82.0)</f>
        <v>82</v>
      </c>
      <c r="CQ142" s="55">
        <f>IFERROR(__xludf.DUMMYFUNCTION("importrange(""https://docs.google.com/spreadsheets/d/1WTwJOkEL-7pdLdu4DqeFqbDaTBRyZ2Y7K1Ui-q851JQ/edit#gid=218149684"",""2025-26!ar4"")"),1478414.15)</f>
        <v>1478414.15</v>
      </c>
      <c r="CR142" s="55">
        <f>IFERROR(__xludf.DUMMYFUNCTION("importrange(""https://docs.google.com/spreadsheets/d/1WTwJOkEL-7pdLdu4DqeFqbDaTBRyZ2Y7K1Ui-q851JQ/edit#gid=218149684"",""2025-26!ar3"")"),42.0)</f>
        <v>42</v>
      </c>
      <c r="CS142" s="59">
        <f t="shared" si="29"/>
        <v>1.079519182</v>
      </c>
      <c r="CT142" s="55">
        <f>IFERROR(__xludf.DUMMYFUNCTION("importrange(""https://docs.google.com/spreadsheets/d/1WTwJOkEL-7pdLdu4DqeFqbDaTBRyZ2Y7K1Ui-q851JQ/edit#gid=218149684"",""2025-26!as4"")"),1477322.0)</f>
        <v>1477322</v>
      </c>
      <c r="CU142" s="55">
        <f>IFERROR(__xludf.DUMMYFUNCTION("importrange(""https://docs.google.com/spreadsheets/d/1WTwJOkEL-7pdLdu4DqeFqbDaTBRyZ2Y7K1Ui-q851JQ/edit#gid=218149684"",""2025-26!as3"")"),41.0)</f>
        <v>41</v>
      </c>
      <c r="CV142" s="60" t="s">
        <v>301</v>
      </c>
    </row>
    <row r="143">
      <c r="A143" s="1" t="s">
        <v>298</v>
      </c>
      <c r="B143" s="37"/>
      <c r="C143" s="64" t="s">
        <v>309</v>
      </c>
      <c r="D143" s="50" t="s">
        <v>310</v>
      </c>
      <c r="E143" s="50">
        <v>9.272991663E9</v>
      </c>
      <c r="F143" s="74">
        <v>45159.0</v>
      </c>
      <c r="G143" s="62"/>
      <c r="H143" s="62"/>
      <c r="I143" s="53">
        <v>25165.0</v>
      </c>
      <c r="J143" s="54">
        <v>1500000.0</v>
      </c>
      <c r="K143" s="57">
        <f>IFERROR(__xludf.DUMMYFUNCTION("IMPORTRANGE(""https://docs.google.com/spreadsheets/d/12dKOgyOY9ZTIrAmx7mV_iLSm7hXEwbS1yATBaqnCBtc/edit#gid=2055065649"",""2025-26!A3"")"),73.0)</f>
        <v>73</v>
      </c>
      <c r="L143" s="57">
        <f>IFERROR(__xludf.DUMMYFUNCTION("IMPORTRANGE(""https://docs.google.com/spreadsheets/d/12dKOgyOY9ZTIrAmx7mV_iLSm7hXEwbS1yATBaqnCBtc/edit#gid=2055065649"",""2025-26!G4"")"),1.91E7)</f>
        <v>19100000</v>
      </c>
      <c r="M143" s="57">
        <f t="shared" si="50"/>
        <v>11028358.98</v>
      </c>
      <c r="N143" s="56">
        <f t="shared" si="51"/>
        <v>0.5506201571</v>
      </c>
      <c r="O143" s="57">
        <f t="shared" si="52"/>
        <v>10516845</v>
      </c>
      <c r="P143" s="55">
        <f>IFERROR(__xludf.DUMMYFUNCTION("IMPORTRANGE(""https://docs.google.com/spreadsheets/d/12dKOgyOY9ZTIrAmx7mV_iLSm7hXEwbS1yATBaqnCBtc/edit#gid=2055065649"",""2025-26!J4"")"),1020000.0)</f>
        <v>1020000</v>
      </c>
      <c r="Q143" s="55">
        <f>IFERROR(__xludf.DUMMYFUNCTION("IMPORTRANGE(""https://docs.google.com/spreadsheets/d/12dKOgyOY9ZTIrAmx7mV_iLSm7hXEwbS1yATBaqnCBtc/edit#gid=2055065649"",""2025-26!J3"")"),54.0)</f>
        <v>54</v>
      </c>
      <c r="R143" s="55">
        <f>IFERROR(__xludf.DUMMYFUNCTION("IMPORTRANGE(""https://docs.google.com/spreadsheets/d/12dKOgyOY9ZTIrAmx7mV_iLSm7hXEwbS1yATBaqnCBtc/edit#gid=2055065649"",""2025-26!K4"")"),759841.08)</f>
        <v>759841.08</v>
      </c>
      <c r="S143" s="55">
        <f>IFERROR(__xludf.DUMMYFUNCTION("IMPORTRANGE(""https://docs.google.com/spreadsheets/d/12dKOgyOY9ZTIrAmx7mV_iLSm7hXEwbS1yATBaqnCBtc/edit#gid=2055065649"",""2025-26!K3"")"),18.0)</f>
        <v>18</v>
      </c>
      <c r="T143" s="58">
        <f t="shared" si="18"/>
        <v>0.8227107843</v>
      </c>
      <c r="U143" s="55">
        <f>IFERROR(__xludf.DUMMYFUNCTION("IMPORTRANGE(""https://docs.google.com/spreadsheets/d/12dKOgyOY9ZTIrAmx7mV_iLSm7hXEwbS1yATBaqnCBtc/edit#gid=2055065649"",""2025-26!L4"")"),839165.0)</f>
        <v>839165</v>
      </c>
      <c r="V143" s="79">
        <f>IFERROR(__xludf.DUMMYFUNCTION("IMPORTRANGE(""https://docs.google.com/spreadsheets/d/12dKOgyOY9ZTIrAmx7mV_iLSm7hXEwbS1yATBaqnCBtc/edit#gid=2055065649"",""2025-26!L3"")"),17.0)</f>
        <v>17</v>
      </c>
      <c r="W143" s="55">
        <f>IFERROR(__xludf.DUMMYFUNCTION("IMPORTRANGE(""https://docs.google.com/spreadsheets/d/12dKOgyOY9ZTIrAmx7mV_iLSm7hXEwbS1yATBaqnCBtc/edit#gid=2055065649"",""2025-26!M4"")"),1185000.0)</f>
        <v>1185000</v>
      </c>
      <c r="X143" s="79">
        <f>IFERROR(__xludf.DUMMYFUNCTION("IMPORTRANGE(""https://docs.google.com/spreadsheets/d/12dKOgyOY9ZTIrAmx7mV_iLSm7hXEwbS1yATBaqnCBtc/edit#gid=2055065649"",""2025-26!M3"")"),57.0)</f>
        <v>57</v>
      </c>
      <c r="Y143" s="55">
        <f>IFERROR(__xludf.DUMMYFUNCTION("importrange(""https://docs.google.com/spreadsheets/d/12dKOgyOY9ZTIrAmx7mV_iLSm7hXEwbS1yATBaqnCBtc/edit#gid=2055065649"",""2025-26!n4"")"),847511.3800000001)</f>
        <v>847511.38</v>
      </c>
      <c r="Z143" s="55">
        <f>IFERROR(__xludf.DUMMYFUNCTION("importrange(""https://docs.google.com/spreadsheets/d/12dKOgyOY9ZTIrAmx7mV_iLSm7hXEwbS1yATBaqnCBtc/edit#gid=2055065649"",""2025-26!n3"")"),18.0)</f>
        <v>18</v>
      </c>
      <c r="AA143" s="58">
        <f t="shared" si="19"/>
        <v>0.6903679325</v>
      </c>
      <c r="AB143" s="55">
        <f>IFERROR(__xludf.DUMMYFUNCTION("importrange(""https://docs.google.com/spreadsheets/d/12dKOgyOY9ZTIrAmx7mV_iLSm7hXEwbS1yATBaqnCBtc/edit#gid=2055065649"",""2025-26!o4"")"),818086.0)</f>
        <v>818086</v>
      </c>
      <c r="AC143" s="55">
        <f>IFERROR(__xludf.DUMMYFUNCTION("importrange(""https://docs.google.com/spreadsheets/d/12dKOgyOY9ZTIrAmx7mV_iLSm7hXEwbS1yATBaqnCBtc/edit#gid=2055065649"",""2025-26!o3"")"),17.0)</f>
        <v>17</v>
      </c>
      <c r="AD143" s="55">
        <f>IFERROR(__xludf.DUMMYFUNCTION("importrange(""https://docs.google.com/spreadsheets/d/12dKOgyOY9ZTIrAmx7mV_iLSm7hXEwbS1yATBaqnCBtc/edit#gid=2055065649"",""2025-26!p4"")"),1560000.0)</f>
        <v>1560000</v>
      </c>
      <c r="AE143" s="55">
        <f>IFERROR(__xludf.DUMMYFUNCTION("importrange(""https://docs.google.com/spreadsheets/d/12dKOgyOY9ZTIrAmx7mV_iLSm7hXEwbS1yATBaqnCBtc/edit#gid=2055065649"",""2025-26!p3"")"),58.0)</f>
        <v>58</v>
      </c>
      <c r="AF143" s="55">
        <f>IFERROR(__xludf.DUMMYFUNCTION("importrange(""https://docs.google.com/spreadsheets/d/12dKOgyOY9ZTIrAmx7mV_iLSm7hXEwbS1yATBaqnCBtc/edit#gid=2055065649"",""2025-26!q4"")"),1033066.8200000001)</f>
        <v>1033066.82</v>
      </c>
      <c r="AG143" s="55">
        <f>IFERROR(__xludf.DUMMYFUNCTION("importrange(""https://docs.google.com/spreadsheets/d/12dKOgyOY9ZTIrAmx7mV_iLSm7hXEwbS1yATBaqnCBtc/edit#gid=2055065649"",""2025-26!q3"")"),18.0)</f>
        <v>18</v>
      </c>
      <c r="AH143" s="58">
        <f t="shared" si="20"/>
        <v>0.6462057692</v>
      </c>
      <c r="AI143" s="55">
        <f>IFERROR(__xludf.DUMMYFUNCTION("importrange(""https://docs.google.com/spreadsheets/d/12dKOgyOY9ZTIrAmx7mV_iLSm7hXEwbS1yATBaqnCBtc/edit#gid=2055065649"",""2025-26!r4"")"),1008081.0)</f>
        <v>1008081</v>
      </c>
      <c r="AJ143" s="55">
        <f>IFERROR(__xludf.DUMMYFUNCTION("importrange(""https://docs.google.com/spreadsheets/d/12dKOgyOY9ZTIrAmx7mV_iLSm7hXEwbS1yATBaqnCBtc/edit#gid=2055065649"",""2025-26!r3"")"),17.0)</f>
        <v>17</v>
      </c>
      <c r="AK143" s="55">
        <f>IFERROR(__xludf.DUMMYFUNCTION("importrange(""https://docs.google.com/spreadsheets/d/12dKOgyOY9ZTIrAmx7mV_iLSm7hXEwbS1yATBaqnCBtc/edit#gid=2055065649"",""2025-26!s4"")"),1570000.0)</f>
        <v>1570000</v>
      </c>
      <c r="AL143" s="55">
        <f>IFERROR(__xludf.DUMMYFUNCTION("importrange(""https://docs.google.com/spreadsheets/d/12dKOgyOY9ZTIrAmx7mV_iLSm7hXEwbS1yATBaqnCBtc/edit#gid=2055065649"",""2025-26!s3"")"),52.0)</f>
        <v>52</v>
      </c>
      <c r="AM143" s="57">
        <f>IFERROR(__xludf.DUMMYFUNCTION("importrange(""https://docs.google.com/spreadsheets/d/12dKOgyOY9ZTIrAmx7mV_iLSm7hXEwbS1yATBaqnCBtc/edit#gid=2055065649"",""2025-26!t4"")"),1009615.02)</f>
        <v>1009615.02</v>
      </c>
      <c r="AN143" s="55">
        <f>IFERROR(__xludf.DUMMYFUNCTION("importrange(""https://docs.google.com/spreadsheets/d/12dKOgyOY9ZTIrAmx7mV_iLSm7hXEwbS1yATBaqnCBtc/edit#gid=2055065649"",""2025-26!t3"")"),18.0)</f>
        <v>18</v>
      </c>
      <c r="AO143" s="58">
        <f t="shared" si="21"/>
        <v>0.7171789809</v>
      </c>
      <c r="AP143" s="55">
        <f>IFERROR(__xludf.DUMMYFUNCTION("importrange(""https://docs.google.com/spreadsheets/d/12dKOgyOY9ZTIrAmx7mV_iLSm7hXEwbS1yATBaqnCBtc/edit#gid=2055065649"",""2025-26!u4"")"),1125971.0)</f>
        <v>1125971</v>
      </c>
      <c r="AQ143" s="55">
        <f>IFERROR(__xludf.DUMMYFUNCTION("importrange(""https://docs.google.com/spreadsheets/d/12dKOgyOY9ZTIrAmx7mV_iLSm7hXEwbS1yATBaqnCBtc/edit#gid=2055065649"",""2025-26!u3"")"),20.0)</f>
        <v>20</v>
      </c>
      <c r="AR143" s="55">
        <f>IFERROR(__xludf.DUMMYFUNCTION("importrange(""https://docs.google.com/spreadsheets/d/12dKOgyOY9ZTIrAmx7mV_iLSm7hXEwbS1yATBaqnCBtc/edit#gid=2055065649"",""2025-26!v4"")"),1540000.0)</f>
        <v>1540000</v>
      </c>
      <c r="AS143" s="55">
        <f>IFERROR(__xludf.DUMMYFUNCTION("importrange(""https://docs.google.com/spreadsheets/d/12dKOgyOY9ZTIrAmx7mV_iLSm7hXEwbS1yATBaqnCBtc/edit#gid=2055065649"",""2025-26!v3"")"),58.0)</f>
        <v>58</v>
      </c>
      <c r="AT143" s="57">
        <f>IFERROR(__xludf.DUMMYFUNCTION("importrange(""https://docs.google.com/spreadsheets/d/12dKOgyOY9ZTIrAmx7mV_iLSm7hXEwbS1yATBaqnCBtc/edit#gid=2055065649"",""2025-26!w4"")"),773581.21)</f>
        <v>773581.21</v>
      </c>
      <c r="AU143" s="55">
        <f>IFERROR(__xludf.DUMMYFUNCTION("importrange(""https://docs.google.com/spreadsheets/d/12dKOgyOY9ZTIrAmx7mV_iLSm7hXEwbS1yATBaqnCBtc/edit#gid=2055065649"",""2025-26!w3"")"),14.0)</f>
        <v>14</v>
      </c>
      <c r="AV143" s="58">
        <f t="shared" si="22"/>
        <v>0.4811168831</v>
      </c>
      <c r="AW143" s="55">
        <f>IFERROR(__xludf.DUMMYFUNCTION("importrange(""https://docs.google.com/spreadsheets/d/12dKOgyOY9ZTIrAmx7mV_iLSm7hXEwbS1yATBaqnCBtc/edit#gid=2055065649"",""2025-26!x4"")"),740920.0)</f>
        <v>740920</v>
      </c>
      <c r="AX143" s="55">
        <f>IFERROR(__xludf.DUMMYFUNCTION("importrange(""https://docs.google.com/spreadsheets/d/12dKOgyOY9ZTIrAmx7mV_iLSm7hXEwbS1yATBaqnCBtc/edit#gid=2055065649"",""2025-26!x3"")"),17.0)</f>
        <v>17</v>
      </c>
      <c r="AY143" s="55">
        <f>IFERROR(__xludf.DUMMYFUNCTION("importrange(""https://docs.google.com/spreadsheets/d/12dKOgyOY9ZTIrAmx7mV_iLSm7hXEwbS1yATBaqnCBtc/edit#gid=2055065649"",""2025-26!y4"")"),1570000.0)</f>
        <v>1570000</v>
      </c>
      <c r="AZ143" s="55">
        <f>IFERROR(__xludf.DUMMYFUNCTION("importrange(""https://docs.google.com/spreadsheets/d/12dKOgyOY9ZTIrAmx7mV_iLSm7hXEwbS1yATBaqnCBtc/edit#gid=2055065649"",""2025-26!y3"")"),66.0)</f>
        <v>66</v>
      </c>
      <c r="BA143" s="57">
        <f>IFERROR(__xludf.DUMMYFUNCTION("importrange(""https://docs.google.com/spreadsheets/d/12dKOgyOY9ZTIrAmx7mV_iLSm7hXEwbS1yATBaqnCBtc/edit#gid=2055065649"",""2025-26!z4"")"),1046482.88)</f>
        <v>1046482.88</v>
      </c>
      <c r="BB143" s="55">
        <f>IFERROR(__xludf.DUMMYFUNCTION("importrange(""https://docs.google.com/spreadsheets/d/12dKOgyOY9ZTIrAmx7mV_iLSm7hXEwbS1yATBaqnCBtc/edit#gid=2055065649"",""2025-26!z3"")"),24.0)</f>
        <v>24</v>
      </c>
      <c r="BC143" s="59">
        <f t="shared" si="23"/>
        <v>0.6683031847</v>
      </c>
      <c r="BD143" s="55">
        <f>IFERROR(__xludf.DUMMYFUNCTION("importrange(""https://docs.google.com/spreadsheets/d/12dKOgyOY9ZTIrAmx7mV_iLSm7hXEwbS1yATBaqnCBtc/edit#gid=2055065649"",""2025-26!aa4"")"),1049236.0)</f>
        <v>1049236</v>
      </c>
      <c r="BE143" s="55">
        <f>IFERROR(__xludf.DUMMYFUNCTION("importrange(""https://docs.google.com/spreadsheets/d/12dKOgyOY9ZTIrAmx7mV_iLSm7hXEwbS1yATBaqnCBtc/edit#gid=2055065649"",""2025-26!aa3"")"),25.0)</f>
        <v>25</v>
      </c>
      <c r="BF143" s="55">
        <f>IFERROR(__xludf.DUMMYFUNCTION("importrange(""https://docs.google.com/spreadsheets/d/12dKOgyOY9ZTIrAmx7mV_iLSm7hXEwbS1yATBaqnCBtc/edit#gid=2055065649"",""2025-26!ab4"")"),1520000.0)</f>
        <v>1520000</v>
      </c>
      <c r="BG143" s="55">
        <f>IFERROR(__xludf.DUMMYFUNCTION("importrange(""https://docs.google.com/spreadsheets/d/12dKOgyOY9ZTIrAmx7mV_iLSm7hXEwbS1yATBaqnCBtc/edit#gid=2055065649"",""2025-26!ab3"")"),63.0)</f>
        <v>63</v>
      </c>
      <c r="BH143" s="55">
        <f>IFERROR(__xludf.DUMMYFUNCTION("importrange(""https://docs.google.com/spreadsheets/d/12dKOgyOY9ZTIrAmx7mV_iLSm7hXEwbS1yATBaqnCBtc/edit#gid=2055065649"",""2025-26!ac4"")"),900267.09)</f>
        <v>900267.09</v>
      </c>
      <c r="BI143" s="55">
        <f>IFERROR(__xludf.DUMMYFUNCTION("importrange(""https://docs.google.com/spreadsheets/d/12dKOgyOY9ZTIrAmx7mV_iLSm7hXEwbS1yATBaqnCBtc/edit#gid=2055065649"",""2025-26!ac3"")"),21.0)</f>
        <v>21</v>
      </c>
      <c r="BJ143" s="59">
        <f t="shared" si="24"/>
        <v>0.4970638158</v>
      </c>
      <c r="BK143" s="55">
        <f>IFERROR(__xludf.DUMMYFUNCTION("importrange(""https://docs.google.com/spreadsheets/d/12dKOgyOY9ZTIrAmx7mV_iLSm7hXEwbS1yATBaqnCBtc/edit#gid=2055065649"",""2025-26!ad4"")"),755537.0)</f>
        <v>755537</v>
      </c>
      <c r="BL143" s="55">
        <f>IFERROR(__xludf.DUMMYFUNCTION("importrange(""https://docs.google.com/spreadsheets/d/12dKOgyOY9ZTIrAmx7mV_iLSm7hXEwbS1yATBaqnCBtc/edit#gid=2055065649"",""2025-26!ad3"")"),15.0)</f>
        <v>15</v>
      </c>
      <c r="BM143" s="55">
        <f>IFERROR(__xludf.DUMMYFUNCTION("importrange(""https://docs.google.com/spreadsheets/d/12dKOgyOY9ZTIrAmx7mV_iLSm7hXEwbS1yATBaqnCBtc/edit#gid=2055065649"",""2025-26!ae4"")"),1500000.0)</f>
        <v>1500000</v>
      </c>
      <c r="BN143" s="55">
        <f>IFERROR(__xludf.DUMMYFUNCTION("importrange(""https://docs.google.com/spreadsheets/d/12dKOgyOY9ZTIrAmx7mV_iLSm7hXEwbS1yATBaqnCBtc/edit#gid=2055065649"",""2025-26!ae3"")"),64.0)</f>
        <v>64</v>
      </c>
      <c r="BO143" s="55">
        <f>IFERROR(__xludf.DUMMYFUNCTION("importrange(""https://docs.google.com/spreadsheets/d/12dKOgyOY9ZTIrAmx7mV_iLSm7hXEwbS1yATBaqnCBtc/edit#gid=2055065649"",""2025-26!af4"")"),582118.7500000001)</f>
        <v>582118.75</v>
      </c>
      <c r="BP143" s="55">
        <f>IFERROR(__xludf.DUMMYFUNCTION("importrange(""https://docs.google.com/spreadsheets/d/12dKOgyOY9ZTIrAmx7mV_iLSm7hXEwbS1yATBaqnCBtc/edit#gid=2055065649"",""2025-26!af3"")"),19.0)</f>
        <v>19</v>
      </c>
      <c r="BQ143" s="59">
        <f t="shared" si="25"/>
        <v>0.355478</v>
      </c>
      <c r="BR143" s="55">
        <f>IFERROR(__xludf.DUMMYFUNCTION("importrange(""https://docs.google.com/spreadsheets/d/12dKOgyOY9ZTIrAmx7mV_iLSm7hXEwbS1yATBaqnCBtc/edit#gid=2055065649"",""2025-26!ag4"")"),533217.0)</f>
        <v>533217</v>
      </c>
      <c r="BS143" s="55">
        <f>IFERROR(__xludf.DUMMYFUNCTION("importrange(""https://docs.google.com/spreadsheets/d/12dKOgyOY9ZTIrAmx7mV_iLSm7hXEwbS1yATBaqnCBtc/edit#gid=2055065649"",""2025-26!ag3"")"),15.0)</f>
        <v>15</v>
      </c>
      <c r="BT143" s="55">
        <f>IFERROR(__xludf.DUMMYFUNCTION("importrange(""https://docs.google.com/spreadsheets/d/12dKOgyOY9ZTIrAmx7mV_iLSm7hXEwbS1yATBaqnCBtc/edit#gid=2055065649"",""2025-26!ah4"")"),1535000.0)</f>
        <v>1535000</v>
      </c>
      <c r="BU143" s="55">
        <f>IFERROR(__xludf.DUMMYFUNCTION("importrange(""https://docs.google.com/spreadsheets/d/12dKOgyOY9ZTIrAmx7mV_iLSm7hXEwbS1yATBaqnCBtc/edit#gid=2055065649"",""2025-26!ah3"")"),65.0)</f>
        <v>65</v>
      </c>
      <c r="BV143" s="55">
        <f>IFERROR(__xludf.DUMMYFUNCTION("importrange(""https://docs.google.com/spreadsheets/d/12dKOgyOY9ZTIrAmx7mV_iLSm7hXEwbS1yATBaqnCBtc/edit#gid=2055065649"",""2025-26!ai4"")"),1614739.2599999998)</f>
        <v>1614739.26</v>
      </c>
      <c r="BW143" s="55">
        <f>IFERROR(__xludf.DUMMYFUNCTION("importrange(""https://docs.google.com/spreadsheets/d/12dKOgyOY9ZTIrAmx7mV_iLSm7hXEwbS1yATBaqnCBtc/edit#gid=2055065649"",""2025-26!ai3"")"),21.0)</f>
        <v>21</v>
      </c>
      <c r="BX143" s="59">
        <f t="shared" si="26"/>
        <v>0.5268560261</v>
      </c>
      <c r="BY143" s="55">
        <f>IFERROR(__xludf.DUMMYFUNCTION("importrange(""https://docs.google.com/spreadsheets/d/12dKOgyOY9ZTIrAmx7mV_iLSm7hXEwbS1yATBaqnCBtc/edit#gid=2055065649"",""2025-26!aj4"")"),808724.0)</f>
        <v>808724</v>
      </c>
      <c r="BZ143" s="55">
        <f>IFERROR(__xludf.DUMMYFUNCTION("importrange(""https://docs.google.com/spreadsheets/d/12dKOgyOY9ZTIrAmx7mV_iLSm7hXEwbS1yATBaqnCBtc/edit#gid=2055065649"",""2025-26!aj3"")"),16.0)</f>
        <v>16</v>
      </c>
      <c r="CA143" s="55">
        <f>IFERROR(__xludf.DUMMYFUNCTION("importrange(""https://docs.google.com/spreadsheets/d/12dKOgyOY9ZTIrAmx7mV_iLSm7hXEwbS1yATBaqnCBtc/edit#gid=2055065649"",""2025-26!ak4"")"),1500000.0)</f>
        <v>1500000</v>
      </c>
      <c r="CB143" s="55">
        <f>IFERROR(__xludf.DUMMYFUNCTION("importrange(""https://docs.google.com/spreadsheets/d/12dKOgyOY9ZTIrAmx7mV_iLSm7hXEwbS1yATBaqnCBtc/edit#gid=2055065649"",""2025-26!ak3"")"),63.0)</f>
        <v>63</v>
      </c>
      <c r="CC143" s="55">
        <f>IFERROR(__xludf.DUMMYFUNCTION("importrange(""https://docs.google.com/spreadsheets/d/12dKOgyOY9ZTIrAmx7mV_iLSm7hXEwbS1yATBaqnCBtc/edit#gid=2055065649"",""2025-26!al4"")"),844360.41)</f>
        <v>844360.41</v>
      </c>
      <c r="CD143" s="55">
        <f>IFERROR(__xludf.DUMMYFUNCTION("importrange(""https://docs.google.com/spreadsheets/d/12dKOgyOY9ZTIrAmx7mV_iLSm7hXEwbS1yATBaqnCBtc/edit#gid=2055065649"",""2025-26!ai3"")"),21.0)</f>
        <v>21</v>
      </c>
      <c r="CE143" s="59">
        <f t="shared" si="27"/>
        <v>0.521922</v>
      </c>
      <c r="CF143" s="55">
        <f>IFERROR(__xludf.DUMMYFUNCTION("importrange(""https://docs.google.com/spreadsheets/d/12dKOgyOY9ZTIrAmx7mV_iLSm7hXEwbS1yATBaqnCBtc/edit#gid=2055065649"",""2025-26!am4"")"),782883.0)</f>
        <v>782883</v>
      </c>
      <c r="CG143" s="55">
        <f>IFERROR(__xludf.DUMMYFUNCTION("importrange(""https://docs.google.com/spreadsheets/d/12dKOgyOY9ZTIrAmx7mV_iLSm7hXEwbS1yATBaqnCBtc/edit#gid=2055065649"",""2025-26!am3"")"),17.0)</f>
        <v>17</v>
      </c>
      <c r="CH143" s="55">
        <f>IFERROR(__xludf.DUMMYFUNCTION("importrange(""https://docs.google.com/spreadsheets/d/12dKOgyOY9ZTIrAmx7mV_iLSm7hXEwbS1yATBaqnCBtc/edit#gid=2055065649"",""2025-26!an4"")"),1530000.0)</f>
        <v>1530000</v>
      </c>
      <c r="CI143" s="55">
        <f>IFERROR(__xludf.DUMMYFUNCTION("importrange(""https://docs.google.com/spreadsheets/d/12dKOgyOY9ZTIrAmx7mV_iLSm7hXEwbS1yATBaqnCBtc/edit#gid=2055065649"",""2025-26!an3"")"),62.0)</f>
        <v>62</v>
      </c>
      <c r="CJ143" s="55">
        <f>IFERROR(__xludf.DUMMYFUNCTION("importrange(""https://docs.google.com/spreadsheets/d/12dKOgyOY9ZTIrAmx7mV_iLSm7hXEwbS1yATBaqnCBtc/edit#gid=2055065649"",""2025-26!ao4"")"),831554.72)</f>
        <v>831554.72</v>
      </c>
      <c r="CK143" s="55">
        <f>IFERROR(__xludf.DUMMYFUNCTION("importrange(""https://docs.google.com/spreadsheets/d/12dKOgyOY9ZTIrAmx7mV_iLSm7hXEwbS1yATBaqnCBtc/edit#gid=2055065649"",""2025-26!ao3"")"),15.0)</f>
        <v>15</v>
      </c>
      <c r="CL143" s="59">
        <f t="shared" si="28"/>
        <v>0.4994470588</v>
      </c>
      <c r="CM143" s="55">
        <f>IFERROR(__xludf.DUMMYFUNCTION("importrange(""https://docs.google.com/spreadsheets/d/12dKOgyOY9ZTIrAmx7mV_iLSm7hXEwbS1yATBaqnCBtc/edit#gid=2055065649"",""2025-26!ap4"")"),764154.0)</f>
        <v>764154</v>
      </c>
      <c r="CN143" s="55">
        <f>IFERROR(__xludf.DUMMYFUNCTION("importrange(""https://docs.google.com/spreadsheets/d/12dKOgyOY9ZTIrAmx7mV_iLSm7hXEwbS1yATBaqnCBtc/edit#gid=2055065649"",""2025-26!ap3"")"),17.0)</f>
        <v>17</v>
      </c>
      <c r="CO143" s="55">
        <f>IFERROR(__xludf.DUMMYFUNCTION("importrange(""https://docs.google.com/spreadsheets/d/12dKOgyOY9ZTIrAmx7mV_iLSm7hXEwbS1yATBaqnCBtc/edit#gid=2055065649"",""2025-26!aq4"")"),1530000.0)</f>
        <v>1530000</v>
      </c>
      <c r="CP143" s="55">
        <f>IFERROR(__xludf.DUMMYFUNCTION("importrange(""https://docs.google.com/spreadsheets/d/12dKOgyOY9ZTIrAmx7mV_iLSm7hXEwbS1yATBaqnCBtc/edit#gid=2055065649"",""2025-26!aq3"")"),62.0)</f>
        <v>62</v>
      </c>
      <c r="CQ143" s="55">
        <f>IFERROR(__xludf.DUMMYFUNCTION("importrange(""https://docs.google.com/spreadsheets/d/12dKOgyOY9ZTIrAmx7mV_iLSm7hXEwbS1yATBaqnCBtc/edit#gid=2055065649"",""2025-26!ar4"")"),785220.3600000001)</f>
        <v>785220.36</v>
      </c>
      <c r="CR143" s="55">
        <f>IFERROR(__xludf.DUMMYFUNCTION("importrange(""https://docs.google.com/spreadsheets/d/12dKOgyOY9ZTIrAmx7mV_iLSm7hXEwbS1yATBaqnCBtc/edit#gid=2055065649"",""2025-26!ar3"")"),14.0)</f>
        <v>14</v>
      </c>
      <c r="CS143" s="59">
        <f t="shared" si="29"/>
        <v>0.8437065359</v>
      </c>
      <c r="CT143" s="55">
        <f>IFERROR(__xludf.DUMMYFUNCTION("importrange(""https://docs.google.com/spreadsheets/d/12dKOgyOY9ZTIrAmx7mV_iLSm7hXEwbS1yATBaqnCBtc/edit#gid=2055065649"",""2025-26!as4"")"),1290871.0)</f>
        <v>1290871</v>
      </c>
      <c r="CU143" s="55">
        <f>IFERROR(__xludf.DUMMYFUNCTION("importrange(""https://docs.google.com/spreadsheets/d/12dKOgyOY9ZTIrAmx7mV_iLSm7hXEwbS1yATBaqnCBtc/edit#gid=2055065649"",""2025-26!as3"")"),14.0)</f>
        <v>14</v>
      </c>
      <c r="CV143" s="60" t="s">
        <v>301</v>
      </c>
    </row>
    <row r="144">
      <c r="A144" s="1" t="s">
        <v>298</v>
      </c>
      <c r="B144" s="37"/>
      <c r="C144" s="113" t="s">
        <v>311</v>
      </c>
      <c r="D144" s="114" t="s">
        <v>303</v>
      </c>
      <c r="E144" s="50">
        <v>9.595762727E9</v>
      </c>
      <c r="F144" s="66">
        <v>45446.0</v>
      </c>
      <c r="G144" s="62"/>
      <c r="H144" s="62"/>
      <c r="I144" s="53">
        <v>39840.0</v>
      </c>
      <c r="J144" s="54">
        <v>1200000.0</v>
      </c>
      <c r="K144" s="57">
        <f>IFERROR(__xludf.DUMMYFUNCTION("IMPORTRANGE(""https://docs.google.com/spreadsheets/d/13D9UbXPP75b58DcBlWgLxY0DVWj6aVq2oz2QDzKUZKg/edit?gid=1219811845#gid=1219811845"",""2025-26!A3"")"),66.0)</f>
        <v>66</v>
      </c>
      <c r="L144" s="57">
        <f>IFERROR(__xludf.DUMMYFUNCTION("IMPORTRANGE(""https://docs.google.com/spreadsheets/d/13D9UbXPP75b58DcBlWgLxY0DVWj6aVq2oz2QDzKUZKg/edit?gid=1219811845#gid=1219811845"",""2025-26!G4"")"),1.532E7)</f>
        <v>15320000</v>
      </c>
      <c r="M144" s="57">
        <f t="shared" si="50"/>
        <v>9948476.83</v>
      </c>
      <c r="N144" s="56">
        <f t="shared" si="51"/>
        <v>0.6127219321</v>
      </c>
      <c r="O144" s="57">
        <f t="shared" si="52"/>
        <v>9386900</v>
      </c>
      <c r="P144" s="55">
        <f>IFERROR(__xludf.DUMMYFUNCTION("IMPORTRANGE(""https://docs.google.com/spreadsheets/d/13D9UbXPP75b58DcBlWgLxY0DVWj6aVq2oz2QDzKUZKg/edit?gid=1219811845#gid=1219811845"",""2025-26!J4"")"),1276666.6666666665)</f>
        <v>1276666.667</v>
      </c>
      <c r="Q144" s="55">
        <f>IFERROR(__xludf.DUMMYFUNCTION("IMPORTRANGE(""https://docs.google.com/spreadsheets/d/13D9UbXPP75b58DcBlWgLxY0DVWj6aVq2oz2QDzKUZKg/edit?gid=1219811845#gid=1219811845"",""2025-26!J3"")"),54.0)</f>
        <v>54</v>
      </c>
      <c r="R144" s="55">
        <f>IFERROR(__xludf.DUMMYFUNCTION("IMPORTRANGE(""https://docs.google.com/spreadsheets/d/13D9UbXPP75b58DcBlWgLxY0DVWj6aVq2oz2QDzKUZKg/edit?gid=1219811845#gid=1219811845"",""2025-26!K4"")"),252021.36000000002)</f>
        <v>252021.36</v>
      </c>
      <c r="S144" s="55">
        <f>IFERROR(__xludf.DUMMYFUNCTION("IMPORTRANGE(""https://docs.google.com/spreadsheets/d/13D9UbXPP75b58DcBlWgLxY0DVWj6aVq2oz2QDzKUZKg/edit?gid=1219811845#gid=1219811845"",""2025-26!K3"")"),8.0)</f>
        <v>8</v>
      </c>
      <c r="T144" s="58">
        <f t="shared" si="18"/>
        <v>0.1974062663</v>
      </c>
      <c r="U144" s="55">
        <f>IFERROR(__xludf.DUMMYFUNCTION("IMPORTRANGE(""https://docs.google.com/spreadsheets/d/13D9UbXPP75b58DcBlWgLxY0DVWj6aVq2oz2QDzKUZKg/edit?gid=1219811845#gid=1219811845"",""2025-26!L4"")"),252022.0)</f>
        <v>252022</v>
      </c>
      <c r="V144" s="79">
        <f>IFERROR(__xludf.DUMMYFUNCTION("IMPORTRANGE(""https://docs.google.com/spreadsheets/d/13D9UbXPP75b58DcBlWgLxY0DVWj6aVq2oz2QDzKUZKg/edit?gid=1219811845#gid=1219811845"",""2025-26!L3"")"),8.0)</f>
        <v>8</v>
      </c>
      <c r="W144" s="55">
        <f>IFERROR(__xludf.DUMMYFUNCTION("IMPORTRANGE(""https://docs.google.com/spreadsheets/d/13D9UbXPP75b58DcBlWgLxY0DVWj6aVq2oz2QDzKUZKg/edit?gid=1219811845#gid=1219811845"",""2025-26!M4"")"),1276666.6666666665)</f>
        <v>1276666.667</v>
      </c>
      <c r="X144" s="79">
        <f>IFERROR(__xludf.DUMMYFUNCTION("IMPORTRANGE(""https://docs.google.com/spreadsheets/d/13D9UbXPP75b58DcBlWgLxY0DVWj6aVq2oz2QDzKUZKg/edit?gid=1219811845#gid=1219811845"",""2025-26!M3"")"),54.0)</f>
        <v>54</v>
      </c>
      <c r="Y144" s="55">
        <f>IFERROR(__xludf.DUMMYFUNCTION("importrange(""https://docs.google.com/spreadsheets/d/13D9UbXPP75b58DcBlWgLxY0DVWj6aVq2oz2QDzKUZKg/edit?gid=1219811845#gid=1219811845"",""2025-26!n4"")"),641803.049999999)</f>
        <v>641803.05</v>
      </c>
      <c r="Z144" s="55">
        <f>IFERROR(__xludf.DUMMYFUNCTION("importrange(""https://docs.google.com/spreadsheets/d/13D9UbXPP75b58DcBlWgLxY0DVWj6aVq2oz2QDzKUZKg/edit?gid=1219811845#gid=1219811845"",""2025-26!n3"")"),6.0)</f>
        <v>6</v>
      </c>
      <c r="AA144" s="58">
        <f t="shared" si="19"/>
        <v>0.5027177546</v>
      </c>
      <c r="AB144" s="55">
        <f>IFERROR(__xludf.DUMMYFUNCTION("importrange(""https://docs.google.com/spreadsheets/d/13D9UbXPP75b58DcBlWgLxY0DVWj6aVq2oz2QDzKUZKg/edit?gid=1219811845#gid=1219811845"",""2025-26!o4"")"),641803.0)</f>
        <v>641803</v>
      </c>
      <c r="AC144" s="55">
        <f>IFERROR(__xludf.DUMMYFUNCTION("importrange(""https://docs.google.com/spreadsheets/d/13D9UbXPP75b58DcBlWgLxY0DVWj6aVq2oz2QDzKUZKg/edit?gid=1219811845#gid=1219811845"",""2025-26!o3"")"),6.0)</f>
        <v>6</v>
      </c>
      <c r="AD144" s="55">
        <f>IFERROR(__xludf.DUMMYFUNCTION("importrange(""https://docs.google.com/spreadsheets/d/13D9UbXPP75b58DcBlWgLxY0DVWj6aVq2oz2QDzKUZKg/edit?gid=1219811845#gid=1219811845"",""2025-26!p4"")"),1276666.6666666665)</f>
        <v>1276666.667</v>
      </c>
      <c r="AE144" s="55">
        <f>IFERROR(__xludf.DUMMYFUNCTION("importrange(""https://docs.google.com/spreadsheets/d/13D9UbXPP75b58DcBlWgLxY0DVWj6aVq2oz2QDzKUZKg/edit?gid=1219811845#gid=1219811845"",""2025-26!p3"")"),54.0)</f>
        <v>54</v>
      </c>
      <c r="AF144" s="55">
        <f>IFERROR(__xludf.DUMMYFUNCTION("importrange(""https://docs.google.com/spreadsheets/d/13D9UbXPP75b58DcBlWgLxY0DVWj6aVq2oz2QDzKUZKg/edit?gid=1219811845#gid=1219811845"",""2025-26!q4"")"),576223.5700000001)</f>
        <v>576223.57</v>
      </c>
      <c r="AG144" s="55">
        <f>IFERROR(__xludf.DUMMYFUNCTION("importrange(""https://docs.google.com/spreadsheets/d/13D9UbXPP75b58DcBlWgLxY0DVWj6aVq2oz2QDzKUZKg/edit?gid=1219811845#gid=1219811845"",""2025-26!q3"")"),13.0)</f>
        <v>13</v>
      </c>
      <c r="AH144" s="58">
        <f t="shared" si="20"/>
        <v>0.4513488251</v>
      </c>
      <c r="AI144" s="55">
        <f>IFERROR(__xludf.DUMMYFUNCTION("importrange(""https://docs.google.com/spreadsheets/d/13D9UbXPP75b58DcBlWgLxY0DVWj6aVq2oz2QDzKUZKg/edit?gid=1219811845#gid=1219811845"",""2025-26!r4"")"),576222.0)</f>
        <v>576222</v>
      </c>
      <c r="AJ144" s="55">
        <f>IFERROR(__xludf.DUMMYFUNCTION("importrange(""https://docs.google.com/spreadsheets/d/13D9UbXPP75b58DcBlWgLxY0DVWj6aVq2oz2QDzKUZKg/edit?gid=1219811845#gid=1219811845"",""2025-26!r3"")"),13.0)</f>
        <v>13</v>
      </c>
      <c r="AK144" s="55">
        <f>IFERROR(__xludf.DUMMYFUNCTION("importrange(""https://docs.google.com/spreadsheets/d/13D9UbXPP75b58DcBlWgLxY0DVWj6aVq2oz2QDzKUZKg/edit?gid=1219811845#gid=1219811845"",""2025-26!s4"")"),1276666.6666666665)</f>
        <v>1276666.667</v>
      </c>
      <c r="AL144" s="55">
        <f>IFERROR(__xludf.DUMMYFUNCTION("importrange(""https://docs.google.com/spreadsheets/d/13D9UbXPP75b58DcBlWgLxY0DVWj6aVq2oz2QDzKUZKg/edit?gid=1219811845#gid=1219811845"",""2025-26!s3"")"),54.0)</f>
        <v>54</v>
      </c>
      <c r="AM144" s="57">
        <f>IFERROR(__xludf.DUMMYFUNCTION("importrange(""https://docs.google.com/spreadsheets/d/13D9UbXPP75b58DcBlWgLxY0DVWj6aVq2oz2QDzKUZKg/edit?gid=1219811845#gid=1219811845"",""2025-26!t4"")"),1800314.17)</f>
        <v>1800314.17</v>
      </c>
      <c r="AN144" s="55">
        <f>IFERROR(__xludf.DUMMYFUNCTION("importrange(""https://docs.google.com/spreadsheets/d/13D9UbXPP75b58DcBlWgLxY0DVWj6aVq2oz2QDzKUZKg/edit?gid=1219811845#gid=1219811845"",""2025-26!t3"")"),12.0)</f>
        <v>12</v>
      </c>
      <c r="AO144" s="58">
        <f t="shared" si="21"/>
        <v>1.410169974</v>
      </c>
      <c r="AP144" s="55">
        <f>IFERROR(__xludf.DUMMYFUNCTION("importrange(""https://docs.google.com/spreadsheets/d/13D9UbXPP75b58DcBlWgLxY0DVWj6aVq2oz2QDzKUZKg/edit?gid=1219811845#gid=1219811845"",""2025-26!u4"")"),1800317.0)</f>
        <v>1800317</v>
      </c>
      <c r="AQ144" s="55">
        <f>IFERROR(__xludf.DUMMYFUNCTION("importrange(""https://docs.google.com/spreadsheets/d/13D9UbXPP75b58DcBlWgLxY0DVWj6aVq2oz2QDzKUZKg/edit?gid=1219811845#gid=1219811845"",""2025-26!u3"")"),12.0)</f>
        <v>12</v>
      </c>
      <c r="AR144" s="55">
        <f>IFERROR(__xludf.DUMMYFUNCTION("importrange(""https://docs.google.com/spreadsheets/d/13D9UbXPP75b58DcBlWgLxY0DVWj6aVq2oz2QDzKUZKg/edit?gid=1219811845#gid=1219811845"",""2025-26!v4"")"),1276666.6666666665)</f>
        <v>1276666.667</v>
      </c>
      <c r="AS144" s="55">
        <f>IFERROR(__xludf.DUMMYFUNCTION("importrange(""https://docs.google.com/spreadsheets/d/13D9UbXPP75b58DcBlWgLxY0DVWj6aVq2oz2QDzKUZKg/edit?gid=1219811845#gid=1219811845"",""2025-26!v3"")"),54.0)</f>
        <v>54</v>
      </c>
      <c r="AT144" s="57">
        <f>IFERROR(__xludf.DUMMYFUNCTION("importrange(""https://docs.google.com/spreadsheets/d/13D9UbXPP75b58DcBlWgLxY0DVWj6aVq2oz2QDzKUZKg/edit?gid=1219811845#gid=1219811845"",""2025-26!w4"")"),1127947.6600000001)</f>
        <v>1127947.66</v>
      </c>
      <c r="AU144" s="55">
        <f>IFERROR(__xludf.DUMMYFUNCTION("importrange(""https://docs.google.com/spreadsheets/d/13D9UbXPP75b58DcBlWgLxY0DVWj6aVq2oz2QDzKUZKg/edit?gid=1219811845#gid=1219811845"",""2025-26!w3"")"),10.0)</f>
        <v>10</v>
      </c>
      <c r="AV144" s="58">
        <f t="shared" si="22"/>
        <v>0.8835101828</v>
      </c>
      <c r="AW144" s="55">
        <f>IFERROR(__xludf.DUMMYFUNCTION("importrange(""https://docs.google.com/spreadsheets/d/13D9UbXPP75b58DcBlWgLxY0DVWj6aVq2oz2QDzKUZKg/edit?gid=1219811845#gid=1219811845"",""2025-26!x4"")"),1127948.0)</f>
        <v>1127948</v>
      </c>
      <c r="AX144" s="55">
        <f>IFERROR(__xludf.DUMMYFUNCTION("importrange(""https://docs.google.com/spreadsheets/d/13D9UbXPP75b58DcBlWgLxY0DVWj6aVq2oz2QDzKUZKg/edit?gid=1219811845#gid=1219811845"",""2025-26!x3"")"),10.0)</f>
        <v>10</v>
      </c>
      <c r="AY144" s="55">
        <f>IFERROR(__xludf.DUMMYFUNCTION("importrange(""https://docs.google.com/spreadsheets/d/13D9UbXPP75b58DcBlWgLxY0DVWj6aVq2oz2QDzKUZKg/edit?gid=1219811845#gid=1219811845"",""2025-26!y4"")"),1276666.6666666665)</f>
        <v>1276666.667</v>
      </c>
      <c r="AZ144" s="55">
        <f>IFERROR(__xludf.DUMMYFUNCTION("importrange(""https://docs.google.com/spreadsheets/d/13D9UbXPP75b58DcBlWgLxY0DVWj6aVq2oz2QDzKUZKg/edit?gid=1219811845#gid=1219811845"",""2025-26!y3"")"),54.0)</f>
        <v>54</v>
      </c>
      <c r="BA144" s="57">
        <f>IFERROR(__xludf.DUMMYFUNCTION("importrange(""https://docs.google.com/spreadsheets/d/13D9UbXPP75b58DcBlWgLxY0DVWj6aVq2oz2QDzKUZKg/edit?gid=1219811845#gid=1219811845"",""2025-26!z4"")"),903269.0)</f>
        <v>903269</v>
      </c>
      <c r="BB144" s="55">
        <f>IFERROR(__xludf.DUMMYFUNCTION("importrange(""https://docs.google.com/spreadsheets/d/13D9UbXPP75b58DcBlWgLxY0DVWj6aVq2oz2QDzKUZKg/edit?gid=1219811845#gid=1219811845"",""2025-26!z3"")"),11.0)</f>
        <v>11</v>
      </c>
      <c r="BC144" s="59">
        <f t="shared" si="23"/>
        <v>0.7075214099</v>
      </c>
      <c r="BD144" s="55">
        <f>IFERROR(__xludf.DUMMYFUNCTION("importrange(""https://docs.google.com/spreadsheets/d/13D9UbXPP75b58DcBlWgLxY0DVWj6aVq2oz2QDzKUZKg/edit?gid=1219811845#gid=1219811845"",""2025-26!aa4"")"),903269.0)</f>
        <v>903269</v>
      </c>
      <c r="BE144" s="55">
        <f>IFERROR(__xludf.DUMMYFUNCTION("importrange(""https://docs.google.com/spreadsheets/d/13D9UbXPP75b58DcBlWgLxY0DVWj6aVq2oz2QDzKUZKg/edit?gid=1219811845#gid=1219811845"",""2025-26!aa3"")"),11.0)</f>
        <v>11</v>
      </c>
      <c r="BF144" s="55">
        <f>IFERROR(__xludf.DUMMYFUNCTION("importrange(""https://docs.google.com/spreadsheets/d/13D9UbXPP75b58DcBlWgLxY0DVWj6aVq2oz2QDzKUZKg/edit?gid=1219811845#gid=1219811845"",""2025-26!ab4"")"),1276666.6666666665)</f>
        <v>1276666.667</v>
      </c>
      <c r="BG144" s="55">
        <f>IFERROR(__xludf.DUMMYFUNCTION("importrange(""https://docs.google.com/spreadsheets/d/13D9UbXPP75b58DcBlWgLxY0DVWj6aVq2oz2QDzKUZKg/edit?gid=1219811845#gid=1219811845"",""2025-26!ab3"")"),54.0)</f>
        <v>54</v>
      </c>
      <c r="BH144" s="55">
        <f>IFERROR(__xludf.DUMMYFUNCTION("importrange(""https://docs.google.com/spreadsheets/d/13D9UbXPP75b58DcBlWgLxY0DVWj6aVq2oz2QDzKUZKg/edit?gid=1219811845#gid=1219811845"",""2025-26!ac4"")"),1055491.42)</f>
        <v>1055491.42</v>
      </c>
      <c r="BI144" s="55">
        <f>IFERROR(__xludf.DUMMYFUNCTION("importrange(""https://docs.google.com/spreadsheets/d/13D9UbXPP75b58DcBlWgLxY0DVWj6aVq2oz2QDzKUZKg/edit?gid=1219811845#gid=1219811845"",""2025-26!ac3"")"),14.0)</f>
        <v>14</v>
      </c>
      <c r="BJ144" s="59">
        <f t="shared" si="24"/>
        <v>0.8267553525</v>
      </c>
      <c r="BK144" s="55">
        <f>IFERROR(__xludf.DUMMYFUNCTION("importrange(""https://docs.google.com/spreadsheets/d/13D9UbXPP75b58DcBlWgLxY0DVWj6aVq2oz2QDzKUZKg/edit?gid=1219811845#gid=1219811845"",""2025-26!ad4"")"),1055491.0)</f>
        <v>1055491</v>
      </c>
      <c r="BL144" s="55">
        <f>IFERROR(__xludf.DUMMYFUNCTION("importrange(""https://docs.google.com/spreadsheets/d/13D9UbXPP75b58DcBlWgLxY0DVWj6aVq2oz2QDzKUZKg/edit?gid=1219811845#gid=1219811845"",""2025-26!ad3"")"),14.0)</f>
        <v>14</v>
      </c>
      <c r="BM144" s="55">
        <f>IFERROR(__xludf.DUMMYFUNCTION("importrange(""https://docs.google.com/spreadsheets/d/13D9UbXPP75b58DcBlWgLxY0DVWj6aVq2oz2QDzKUZKg/edit?gid=1219811845#gid=1219811845"",""2025-26!ae4"")"),1276666.6666666665)</f>
        <v>1276666.667</v>
      </c>
      <c r="BN144" s="55">
        <f>IFERROR(__xludf.DUMMYFUNCTION("importrange(""https://docs.google.com/spreadsheets/d/13D9UbXPP75b58DcBlWgLxY0DVWj6aVq2oz2QDzKUZKg/edit?gid=1219811845#gid=1219811845"",""2025-26!ae3"")"),54.0)</f>
        <v>54</v>
      </c>
      <c r="BO144" s="55">
        <f>IFERROR(__xludf.DUMMYFUNCTION("importrange(""https://docs.google.com/spreadsheets/d/13D9UbXPP75b58DcBlWgLxY0DVWj6aVq2oz2QDzKUZKg/edit?gid=1219811845#gid=1219811845"",""2025-26!af4"")"),744743.69)</f>
        <v>744743.69</v>
      </c>
      <c r="BP144" s="55">
        <f>IFERROR(__xludf.DUMMYFUNCTION("importrange(""https://docs.google.com/spreadsheets/d/13D9UbXPP75b58DcBlWgLxY0DVWj6aVq2oz2QDzKUZKg/edit?gid=1219811845#gid=1219811845"",""2025-26!af3"")"),5.0)</f>
        <v>5</v>
      </c>
      <c r="BQ144" s="59">
        <f t="shared" si="25"/>
        <v>0.5833503916</v>
      </c>
      <c r="BR144" s="55">
        <f>IFERROR(__xludf.DUMMYFUNCTION("importrange(""https://docs.google.com/spreadsheets/d/13D9UbXPP75b58DcBlWgLxY0DVWj6aVq2oz2QDzKUZKg/edit?gid=1219811845#gid=1219811845"",""2025-26!ag4"")"),744744.0)</f>
        <v>744744</v>
      </c>
      <c r="BS144" s="55">
        <f>IFERROR(__xludf.DUMMYFUNCTION("importrange(""https://docs.google.com/spreadsheets/d/13D9UbXPP75b58DcBlWgLxY0DVWj6aVq2oz2QDzKUZKg/edit?gid=1219811845#gid=1219811845"",""2025-26!ag3"")"),5.0)</f>
        <v>5</v>
      </c>
      <c r="BT144" s="55">
        <f>IFERROR(__xludf.DUMMYFUNCTION("importrange(""https://docs.google.com/spreadsheets/d/13D9UbXPP75b58DcBlWgLxY0DVWj6aVq2oz2QDzKUZKg/edit?gid=1219811845#gid=1219811845"",""2025-26!ah4"")"),1276666.6666666665)</f>
        <v>1276666.667</v>
      </c>
      <c r="BU144" s="55">
        <f>IFERROR(__xludf.DUMMYFUNCTION("importrange(""https://docs.google.com/spreadsheets/d/13D9UbXPP75b58DcBlWgLxY0DVWj6aVq2oz2QDzKUZKg/edit?gid=1219811845#gid=1219811845"",""2025-26!ah3"")"),54.0)</f>
        <v>54</v>
      </c>
      <c r="BV144" s="55">
        <f>IFERROR(__xludf.DUMMYFUNCTION("importrange(""https://docs.google.com/spreadsheets/d/13D9UbXPP75b58DcBlWgLxY0DVWj6aVq2oz2QDzKUZKg/edit?gid=1219811845#gid=1219811845"",""2025-26!ai4"")"),892356.3400000001)</f>
        <v>892356.34</v>
      </c>
      <c r="BW144" s="55">
        <f>IFERROR(__xludf.DUMMYFUNCTION("importrange(""https://docs.google.com/spreadsheets/d/13D9UbXPP75b58DcBlWgLxY0DVWj6aVq2oz2QDzKUZKg/edit?gid=1219811845#gid=1219811845"",""2025-26!ai3"")"),12.0)</f>
        <v>12</v>
      </c>
      <c r="BX144" s="59">
        <f t="shared" si="26"/>
        <v>0.6989741514</v>
      </c>
      <c r="BY144" s="55">
        <f>IFERROR(__xludf.DUMMYFUNCTION("importrange(""https://docs.google.com/spreadsheets/d/13D9UbXPP75b58DcBlWgLxY0DVWj6aVq2oz2QDzKUZKg/edit?gid=1219811845#gid=1219811845"",""2025-26!aj4"")"),892357.0)</f>
        <v>892357</v>
      </c>
      <c r="BZ144" s="55">
        <f>IFERROR(__xludf.DUMMYFUNCTION("importrange(""https://docs.google.com/spreadsheets/d/13D9UbXPP75b58DcBlWgLxY0DVWj6aVq2oz2QDzKUZKg/edit?gid=1219811845#gid=1219811845"",""2025-26!aj3"")"),12.0)</f>
        <v>12</v>
      </c>
      <c r="CA144" s="55">
        <f>IFERROR(__xludf.DUMMYFUNCTION("importrange(""https://docs.google.com/spreadsheets/d/13D9UbXPP75b58DcBlWgLxY0DVWj6aVq2oz2QDzKUZKg/edit?gid=1219811845#gid=1219811845"",""2025-26!ak4"")"),1276666.6666666665)</f>
        <v>1276666.667</v>
      </c>
      <c r="CB144" s="55">
        <f>IFERROR(__xludf.DUMMYFUNCTION("importrange(""https://docs.google.com/spreadsheets/d/13D9UbXPP75b58DcBlWgLxY0DVWj6aVq2oz2QDzKUZKg/edit?gid=1219811845#gid=1219811845"",""2025-26!ak3"")"),54.0)</f>
        <v>54</v>
      </c>
      <c r="CC144" s="55">
        <f>IFERROR(__xludf.DUMMYFUNCTION("importrange(""https://docs.google.com/spreadsheets/d/13D9UbXPP75b58DcBlWgLxY0DVWj6aVq2oz2QDzKUZKg/edit?gid=1219811845#gid=1219811845"",""2025-26!al4"")"),975044.73)</f>
        <v>975044.73</v>
      </c>
      <c r="CD144" s="55">
        <f>IFERROR(__xludf.DUMMYFUNCTION("importrange(""https://docs.google.com/spreadsheets/d/13D9UbXPP75b58DcBlWgLxY0DVWj6aVq2oz2QDzKUZKg/edit?gid=1219811845#gid=1219811845"",""2025-26!ai3"")"),12.0)</f>
        <v>12</v>
      </c>
      <c r="CE144" s="59">
        <f t="shared" si="27"/>
        <v>0.7216981723</v>
      </c>
      <c r="CF144" s="55">
        <f>IFERROR(__xludf.DUMMYFUNCTION("importrange(""https://docs.google.com/spreadsheets/d/13D9UbXPP75b58DcBlWgLxY0DVWj6aVq2oz2QDzKUZKg/edit?gid=1219811845#gid=1219811845"",""2025-26!am4"")"),921368.0)</f>
        <v>921368</v>
      </c>
      <c r="CG144" s="55">
        <f>IFERROR(__xludf.DUMMYFUNCTION("importrange(""https://docs.google.com/spreadsheets/d/13D9UbXPP75b58DcBlWgLxY0DVWj6aVq2oz2QDzKUZKg/edit?gid=1219811845#gid=1219811845"",""2025-26!am3"")"),8.0)</f>
        <v>8</v>
      </c>
      <c r="CH144" s="55">
        <f>IFERROR(__xludf.DUMMYFUNCTION("importrange(""https://docs.google.com/spreadsheets/d/13D9UbXPP75b58DcBlWgLxY0DVWj6aVq2oz2QDzKUZKg/edit?gid=1219811845#gid=1219811845"",""2025-26!an4"")"),1276666.6666666665)</f>
        <v>1276666.667</v>
      </c>
      <c r="CI144" s="55">
        <f>IFERROR(__xludf.DUMMYFUNCTION("importrange(""https://docs.google.com/spreadsheets/d/13D9UbXPP75b58DcBlWgLxY0DVWj6aVq2oz2QDzKUZKg/edit?gid=1219811845#gid=1219811845"",""2025-26!an3"")"),54.0)</f>
        <v>54</v>
      </c>
      <c r="CJ144" s="55">
        <f>IFERROR(__xludf.DUMMYFUNCTION("importrange(""https://docs.google.com/spreadsheets/d/13D9UbXPP75b58DcBlWgLxY0DVWj6aVq2oz2QDzKUZKg/edit?gid=1219811845#gid=1219811845"",""2025-26!ao4"")"),183825.63999999998)</f>
        <v>183825.64</v>
      </c>
      <c r="CK144" s="55">
        <f>IFERROR(__xludf.DUMMYFUNCTION("importrange(""https://docs.google.com/spreadsheets/d/13D9UbXPP75b58DcBlWgLxY0DVWj6aVq2oz2QDzKUZKg/edit?gid=1219811845#gid=1219811845"",""2025-26!ao3"")"),9.0)</f>
        <v>9</v>
      </c>
      <c r="CL144" s="59">
        <f t="shared" si="28"/>
        <v>0.1025851175</v>
      </c>
      <c r="CM144" s="55">
        <f>IFERROR(__xludf.DUMMYFUNCTION("importrange(""https://docs.google.com/spreadsheets/d/13D9UbXPP75b58DcBlWgLxY0DVWj6aVq2oz2QDzKUZKg/edit?gid=1219811845#gid=1219811845"",""2025-26!ap4"")"),130967.0)</f>
        <v>130967</v>
      </c>
      <c r="CN144" s="55">
        <f>IFERROR(__xludf.DUMMYFUNCTION("importrange(""https://docs.google.com/spreadsheets/d/13D9UbXPP75b58DcBlWgLxY0DVWj6aVq2oz2QDzKUZKg/edit?gid=1219811845#gid=1219811845"",""2025-26!ap3"")"),8.0)</f>
        <v>8</v>
      </c>
      <c r="CO144" s="55">
        <f>IFERROR(__xludf.DUMMYFUNCTION("importrange(""https://docs.google.com/spreadsheets/d/13D9UbXPP75b58DcBlWgLxY0DVWj6aVq2oz2QDzKUZKg/edit?gid=1219811845#gid=1219811845"",""2025-26!aq4"")"),1276666.6666666665)</f>
        <v>1276666.667</v>
      </c>
      <c r="CP144" s="55">
        <f>IFERROR(__xludf.DUMMYFUNCTION("importrange(""https://docs.google.com/spreadsheets/d/13D9UbXPP75b58DcBlWgLxY0DVWj6aVq2oz2QDzKUZKg/edit?gid=1219811845#gid=1219811845"",""2025-26!aq3"")"),54.0)</f>
        <v>54</v>
      </c>
      <c r="CQ144" s="55">
        <f>IFERROR(__xludf.DUMMYFUNCTION("importrange(""https://docs.google.com/spreadsheets/d/13D9UbXPP75b58DcBlWgLxY0DVWj6aVq2oz2QDzKUZKg/edit?gid=1219811845#gid=1219811845"",""2025-26!ar4"")"),795436.2)</f>
        <v>795436.2</v>
      </c>
      <c r="CR144" s="55">
        <f>IFERROR(__xludf.DUMMYFUNCTION("importrange(""https://docs.google.com/spreadsheets/d/13D9UbXPP75b58DcBlWgLxY0DVWj6aVq2oz2QDzKUZKg/edit?gid=1219811845#gid=1219811845"",""2025-26!ar3"")"),11.0)</f>
        <v>11</v>
      </c>
      <c r="CS144" s="59">
        <f t="shared" si="29"/>
        <v>0.2666255875</v>
      </c>
      <c r="CT144" s="55">
        <f>IFERROR(__xludf.DUMMYFUNCTION("importrange(""https://docs.google.com/spreadsheets/d/13D9UbXPP75b58DcBlWgLxY0DVWj6aVq2oz2QDzKUZKg/edit?gid=1219811845#gid=1219811845"",""2025-26!as4"")"),340392.0)</f>
        <v>340392</v>
      </c>
      <c r="CU144" s="55">
        <f>IFERROR(__xludf.DUMMYFUNCTION("importrange(""https://docs.google.com/spreadsheets/d/13D9UbXPP75b58DcBlWgLxY0DVWj6aVq2oz2QDzKUZKg/edit?gid=1219811845#gid=1219811845"",""2025-26!as3"")"),8.0)</f>
        <v>8</v>
      </c>
      <c r="CV144" s="60" t="s">
        <v>301</v>
      </c>
    </row>
    <row r="145">
      <c r="A145" s="1" t="s">
        <v>298</v>
      </c>
      <c r="B145" s="37"/>
      <c r="C145" s="113" t="s">
        <v>312</v>
      </c>
      <c r="D145" s="114" t="s">
        <v>313</v>
      </c>
      <c r="E145" s="50">
        <v>8.421418765E9</v>
      </c>
      <c r="F145" s="66">
        <v>45483.0</v>
      </c>
      <c r="G145" s="62"/>
      <c r="H145" s="62"/>
      <c r="I145" s="53">
        <v>42475.0</v>
      </c>
      <c r="J145" s="54">
        <v>1000000.0</v>
      </c>
      <c r="K145" s="57">
        <f>IFERROR(__xludf.DUMMYFUNCTION("IMPORTRANGE(""https://docs.google.com/spreadsheets/d/1VHlUXvmsF-UUlS75Y_QvlWUXvBPAtAPMWQSoseA9psY/edit?gid=1219811845#gid=1219811845"",""2025-26!A3"")"),101.0)</f>
        <v>101</v>
      </c>
      <c r="L145" s="57">
        <f>IFERROR(__xludf.DUMMYFUNCTION("IMPORTRANGE(""https://docs.google.com/spreadsheets/d/1VHlUXvmsF-UUlS75Y_QvlWUXvBPAtAPMWQSoseA9psY/edit?gid=1219811845#gid=1219811845"",""2025-26!G4"")"),1.2E7)</f>
        <v>12000000</v>
      </c>
      <c r="M145" s="57">
        <f t="shared" si="50"/>
        <v>7287331.73</v>
      </c>
      <c r="N145" s="56">
        <f t="shared" si="51"/>
        <v>0.5539605833</v>
      </c>
      <c r="O145" s="57">
        <f t="shared" si="52"/>
        <v>6647527</v>
      </c>
      <c r="P145" s="55">
        <f>IFERROR(__xludf.DUMMYFUNCTION("IMPORTRANGE(""https://docs.google.com/spreadsheets/d/1VHlUXvmsF-UUlS75Y_QvlWUXvBPAtAPMWQSoseA9psY/edit?gid=1219811845#gid=1219811845"",""2025-26!J4"")"),1004153.0)</f>
        <v>1004153</v>
      </c>
      <c r="Q145" s="55">
        <f>IFERROR(__xludf.DUMMYFUNCTION("IMPORTRANGE(""https://docs.google.com/spreadsheets/d/1VHlUXvmsF-UUlS75Y_QvlWUXvBPAtAPMWQSoseA9psY/edit?gid=1219811845#gid=1219811845"",""2025-26!J3"")"),94.0)</f>
        <v>94</v>
      </c>
      <c r="R145" s="55">
        <f>IFERROR(__xludf.DUMMYFUNCTION("IMPORTRANGE(""https://docs.google.com/spreadsheets/d/1VHlUXvmsF-UUlS75Y_QvlWUXvBPAtAPMWQSoseA9psY/edit?gid=1219811845#gid=1219811845"",""2025-26!K4"")"),220738.76)</f>
        <v>220738.76</v>
      </c>
      <c r="S145" s="55">
        <f>IFERROR(__xludf.DUMMYFUNCTION("IMPORTRANGE(""https://docs.google.com/spreadsheets/d/1VHlUXvmsF-UUlS75Y_QvlWUXvBPAtAPMWQSoseA9psY/edit?gid=1219811845#gid=1219811845"",""2025-26!K3"")"),20.0)</f>
        <v>20</v>
      </c>
      <c r="T145" s="58">
        <f t="shared" si="18"/>
        <v>0.1995492719</v>
      </c>
      <c r="U145" s="55">
        <f>IFERROR(__xludf.DUMMYFUNCTION("IMPORTRANGE(""https://docs.google.com/spreadsheets/d/1VHlUXvmsF-UUlS75Y_QvlWUXvBPAtAPMWQSoseA9psY/edit?gid=1219811845#gid=1219811845"",""2025-26!L4"")"),200378.0)</f>
        <v>200378</v>
      </c>
      <c r="V145" s="79">
        <f>IFERROR(__xludf.DUMMYFUNCTION("IMPORTRANGE(""https://docs.google.com/spreadsheets/d/1VHlUXvmsF-UUlS75Y_QvlWUXvBPAtAPMWQSoseA9psY/edit?gid=1219811845#gid=1219811845"",""2025-26!L3"")"),16.0)</f>
        <v>16</v>
      </c>
      <c r="W145" s="55">
        <f>IFERROR(__xludf.DUMMYFUNCTION("IMPORTRANGE(""https://docs.google.com/spreadsheets/d/1VHlUXvmsF-UUlS75Y_QvlWUXvBPAtAPMWQSoseA9psY/edit?gid=1219811845#gid=1219811845"",""2025-26!M4"")"),1004153.0)</f>
        <v>1004153</v>
      </c>
      <c r="X145" s="79">
        <f>IFERROR(__xludf.DUMMYFUNCTION("IMPORTRANGE(""https://docs.google.com/spreadsheets/d/1VHlUXvmsF-UUlS75Y_QvlWUXvBPAtAPMWQSoseA9psY/edit?gid=1219811845#gid=1219811845"",""2025-26!M3"")"),94.0)</f>
        <v>94</v>
      </c>
      <c r="Y145" s="55">
        <f>IFERROR(__xludf.DUMMYFUNCTION("importrange(""https://docs.google.com/spreadsheets/d/1VHlUXvmsF-UUlS75Y_QvlWUXvBPAtAPMWQSoseA9psY/edit?gid=1219811845#gid=1219811845"",""2025-26!n4"")"),301971.20000000007)</f>
        <v>301971.2</v>
      </c>
      <c r="Z145" s="55">
        <f>IFERROR(__xludf.DUMMYFUNCTION("importrange(""https://docs.google.com/spreadsheets/d/1VHlUXvmsF-UUlS75Y_QvlWUXvBPAtAPMWQSoseA9psY/edit?gid=1219811845#gid=1219811845"",""2025-26!n3"")"),24.0)</f>
        <v>24</v>
      </c>
      <c r="AA145" s="58">
        <f t="shared" si="19"/>
        <v>0.214542007</v>
      </c>
      <c r="AB145" s="55">
        <f>IFERROR(__xludf.DUMMYFUNCTION("importrange(""https://docs.google.com/spreadsheets/d/1VHlUXvmsF-UUlS75Y_QvlWUXvBPAtAPMWQSoseA9psY/edit?gid=1219811845#gid=1219811845"",""2025-26!o4"")"),215433.0)</f>
        <v>215433</v>
      </c>
      <c r="AC145" s="55">
        <f>IFERROR(__xludf.DUMMYFUNCTION("importrange(""https://docs.google.com/spreadsheets/d/1VHlUXvmsF-UUlS75Y_QvlWUXvBPAtAPMWQSoseA9psY/edit?gid=1219811845#gid=1219811845"",""2025-26!o3"")"),17.0)</f>
        <v>17</v>
      </c>
      <c r="AD145" s="55">
        <f>IFERROR(__xludf.DUMMYFUNCTION("importrange(""https://docs.google.com/spreadsheets/d/1VHlUXvmsF-UUlS75Y_QvlWUXvBPAtAPMWQSoseA9psY/edit?gid=1219811845#gid=1219811845"",""2025-26!p4"")"),1004153.0)</f>
        <v>1004153</v>
      </c>
      <c r="AE145" s="55">
        <f>IFERROR(__xludf.DUMMYFUNCTION("importrange(""https://docs.google.com/spreadsheets/d/1VHlUXvmsF-UUlS75Y_QvlWUXvBPAtAPMWQSoseA9psY/edit?gid=1219811845#gid=1219811845"",""2025-26!p3"")"),94.0)</f>
        <v>94</v>
      </c>
      <c r="AF145" s="55">
        <f>IFERROR(__xludf.DUMMYFUNCTION("importrange(""https://docs.google.com/spreadsheets/d/1VHlUXvmsF-UUlS75Y_QvlWUXvBPAtAPMWQSoseA9psY/edit?gid=1219811845#gid=1219811845"",""2025-26!q4"")"),500029.5399999999)</f>
        <v>500029.54</v>
      </c>
      <c r="AG145" s="55">
        <f>IFERROR(__xludf.DUMMYFUNCTION("importrange(""https://docs.google.com/spreadsheets/d/1VHlUXvmsF-UUlS75Y_QvlWUXvBPAtAPMWQSoseA9psY/edit?gid=1219811845#gid=1219811845"",""2025-26!q3"")"),26.0)</f>
        <v>26</v>
      </c>
      <c r="AH145" s="58">
        <f t="shared" si="20"/>
        <v>0.4652438423</v>
      </c>
      <c r="AI145" s="55">
        <f>IFERROR(__xludf.DUMMYFUNCTION("importrange(""https://docs.google.com/spreadsheets/d/1VHlUXvmsF-UUlS75Y_QvlWUXvBPAtAPMWQSoseA9psY/edit?gid=1219811845#gid=1219811845"",""2025-26!r4"")"),467176.0)</f>
        <v>467176</v>
      </c>
      <c r="AJ145" s="55">
        <f>IFERROR(__xludf.DUMMYFUNCTION("importrange(""https://docs.google.com/spreadsheets/d/1VHlUXvmsF-UUlS75Y_QvlWUXvBPAtAPMWQSoseA9psY/edit?gid=1219811845#gid=1219811845"",""2025-26!r3"")"),24.0)</f>
        <v>24</v>
      </c>
      <c r="AK145" s="55">
        <f>IFERROR(__xludf.DUMMYFUNCTION("importrange(""https://docs.google.com/spreadsheets/d/1VHlUXvmsF-UUlS75Y_QvlWUXvBPAtAPMWQSoseA9psY/edit?gid=1219811845#gid=1219811845"",""2025-26!s4"")"),1004153.0)</f>
        <v>1004153</v>
      </c>
      <c r="AL145" s="55">
        <f>IFERROR(__xludf.DUMMYFUNCTION("importrange(""https://docs.google.com/spreadsheets/d/1VHlUXvmsF-UUlS75Y_QvlWUXvBPAtAPMWQSoseA9psY/edit?gid=1219811845#gid=1219811845"",""2025-26!s3"")"),94.0)</f>
        <v>94</v>
      </c>
      <c r="AM145" s="57">
        <f>IFERROR(__xludf.DUMMYFUNCTION("importrange(""https://docs.google.com/spreadsheets/d/1VHlUXvmsF-UUlS75Y_QvlWUXvBPAtAPMWQSoseA9psY/edit?gid=1219811845#gid=1219811845"",""2025-26!t4"")"),522859.56)</f>
        <v>522859.56</v>
      </c>
      <c r="AN145" s="55">
        <f>IFERROR(__xludf.DUMMYFUNCTION("importrange(""https://docs.google.com/spreadsheets/d/1VHlUXvmsF-UUlS75Y_QvlWUXvBPAtAPMWQSoseA9psY/edit?gid=1219811845#gid=1219811845"",""2025-26!t3"")"),32.0)</f>
        <v>32</v>
      </c>
      <c r="AO145" s="58">
        <f t="shared" si="21"/>
        <v>0.5204933909</v>
      </c>
      <c r="AP145" s="55">
        <f>IFERROR(__xludf.DUMMYFUNCTION("importrange(""https://docs.google.com/spreadsheets/d/1VHlUXvmsF-UUlS75Y_QvlWUXvBPAtAPMWQSoseA9psY/edit?gid=1219811845#gid=1219811845"",""2025-26!u4"")"),522655.0)</f>
        <v>522655</v>
      </c>
      <c r="AQ145" s="55">
        <f>IFERROR(__xludf.DUMMYFUNCTION("importrange(""https://docs.google.com/spreadsheets/d/1VHlUXvmsF-UUlS75Y_QvlWUXvBPAtAPMWQSoseA9psY/edit?gid=1219811845#gid=1219811845"",""2025-26!u3"")"),29.0)</f>
        <v>29</v>
      </c>
      <c r="AR145" s="55">
        <f>IFERROR(__xludf.DUMMYFUNCTION("importrange(""https://docs.google.com/spreadsheets/d/1VHlUXvmsF-UUlS75Y_QvlWUXvBPAtAPMWQSoseA9psY/edit?gid=1219811845#gid=1219811845"",""2025-26!v4"")"),1004153.0)</f>
        <v>1004153</v>
      </c>
      <c r="AS145" s="55">
        <f>IFERROR(__xludf.DUMMYFUNCTION("importrange(""https://docs.google.com/spreadsheets/d/1VHlUXvmsF-UUlS75Y_QvlWUXvBPAtAPMWQSoseA9psY/edit?gid=1219811845#gid=1219811845"",""2025-26!v3"")"),94.0)</f>
        <v>94</v>
      </c>
      <c r="AT145" s="57">
        <f>IFERROR(__xludf.DUMMYFUNCTION("importrange(""https://docs.google.com/spreadsheets/d/1VHlUXvmsF-UUlS75Y_QvlWUXvBPAtAPMWQSoseA9psY/edit?gid=1219811845#gid=1219811845"",""2025-26!w4"")"),614339.4800000001)</f>
        <v>614339.48</v>
      </c>
      <c r="AU145" s="55">
        <f>IFERROR(__xludf.DUMMYFUNCTION("importrange(""https://docs.google.com/spreadsheets/d/1VHlUXvmsF-UUlS75Y_QvlWUXvBPAtAPMWQSoseA9psY/edit?gid=1219811845#gid=1219811845"",""2025-26!w3"")"),31.0)</f>
        <v>31</v>
      </c>
      <c r="AV145" s="58">
        <f t="shared" si="22"/>
        <v>0.5047627204</v>
      </c>
      <c r="AW145" s="55">
        <f>IFERROR(__xludf.DUMMYFUNCTION("importrange(""https://docs.google.com/spreadsheets/d/1VHlUXvmsF-UUlS75Y_QvlWUXvBPAtAPMWQSoseA9psY/edit?gid=1219811845#gid=1219811845"",""2025-26!x4"")"),506859.0)</f>
        <v>506859</v>
      </c>
      <c r="AX145" s="55">
        <f>IFERROR(__xludf.DUMMYFUNCTION("importrange(""https://docs.google.com/spreadsheets/d/1VHlUXvmsF-UUlS75Y_QvlWUXvBPAtAPMWQSoseA9psY/edit?gid=1219811845#gid=1219811845"",""2025-26!x3"")"),21.0)</f>
        <v>21</v>
      </c>
      <c r="AY145" s="55">
        <f>IFERROR(__xludf.DUMMYFUNCTION("importrange(""https://docs.google.com/spreadsheets/d/1VHlUXvmsF-UUlS75Y_QvlWUXvBPAtAPMWQSoseA9psY/edit?gid=1219811845#gid=1219811845"",""2025-26!y4"")"),1004153.0)</f>
        <v>1004153</v>
      </c>
      <c r="AZ145" s="55">
        <f>IFERROR(__xludf.DUMMYFUNCTION("importrange(""https://docs.google.com/spreadsheets/d/1VHlUXvmsF-UUlS75Y_QvlWUXvBPAtAPMWQSoseA9psY/edit?gid=1219811845#gid=1219811845"",""2025-26!y3"")"),94.0)</f>
        <v>94</v>
      </c>
      <c r="BA145" s="57">
        <f>IFERROR(__xludf.DUMMYFUNCTION("importrange(""https://docs.google.com/spreadsheets/d/1VHlUXvmsF-UUlS75Y_QvlWUXvBPAtAPMWQSoseA9psY/edit?gid=1219811845#gid=1219811845"",""2025-26!z4"")"),583306.0000000001)</f>
        <v>583306</v>
      </c>
      <c r="BB145" s="55">
        <f>IFERROR(__xludf.DUMMYFUNCTION("importrange(""https://docs.google.com/spreadsheets/d/1VHlUXvmsF-UUlS75Y_QvlWUXvBPAtAPMWQSoseA9psY/edit?gid=1219811845#gid=1219811845"",""2025-26!z3"")"),31.0)</f>
        <v>31</v>
      </c>
      <c r="BC145" s="59">
        <f t="shared" si="23"/>
        <v>0.5627120568</v>
      </c>
      <c r="BD145" s="55">
        <f>IFERROR(__xludf.DUMMYFUNCTION("importrange(""https://docs.google.com/spreadsheets/d/1VHlUXvmsF-UUlS75Y_QvlWUXvBPAtAPMWQSoseA9psY/edit?gid=1219811845#gid=1219811845"",""2025-26!aa4"")"),565049.0)</f>
        <v>565049</v>
      </c>
      <c r="BE145" s="55">
        <f>IFERROR(__xludf.DUMMYFUNCTION("importrange(""https://docs.google.com/spreadsheets/d/1VHlUXvmsF-UUlS75Y_QvlWUXvBPAtAPMWQSoseA9psY/edit?gid=1219811845#gid=1219811845"",""2025-26!aa3"")"),25.0)</f>
        <v>25</v>
      </c>
      <c r="BF145" s="55">
        <f>IFERROR(__xludf.DUMMYFUNCTION("importrange(""https://docs.google.com/spreadsheets/d/1VHlUXvmsF-UUlS75Y_QvlWUXvBPAtAPMWQSoseA9psY/edit?gid=1219811845#gid=1219811845"",""2025-26!ab4"")"),472222.2222222226)</f>
        <v>472222.2222</v>
      </c>
      <c r="BG145" s="55">
        <f>IFERROR(__xludf.DUMMYFUNCTION("importrange(""https://docs.google.com/spreadsheets/d/1VHlUXvmsF-UUlS75Y_QvlWUXvBPAtAPMWQSoseA9psY/edit?gid=1219811845#gid=1219811845"",""2025-26!ab3"")"),56.0)</f>
        <v>56</v>
      </c>
      <c r="BH145" s="55">
        <f>IFERROR(__xludf.DUMMYFUNCTION("importrange(""https://docs.google.com/spreadsheets/d/1VHlUXvmsF-UUlS75Y_QvlWUXvBPAtAPMWQSoseA9psY/edit?gid=1219811845#gid=1219811845"",""2025-26!ac4"")"),466092.63999999996)</f>
        <v>466092.64</v>
      </c>
      <c r="BI145" s="55">
        <f>IFERROR(__xludf.DUMMYFUNCTION("importrange(""https://docs.google.com/spreadsheets/d/1VHlUXvmsF-UUlS75Y_QvlWUXvBPAtAPMWQSoseA9psY/edit?gid=1219811845#gid=1219811845"",""2025-26!ac3"")"),29.0)</f>
        <v>29</v>
      </c>
      <c r="BJ145" s="59">
        <f t="shared" si="24"/>
        <v>0.8634578824</v>
      </c>
      <c r="BK145" s="55">
        <f>IFERROR(__xludf.DUMMYFUNCTION("importrange(""https://docs.google.com/spreadsheets/d/1VHlUXvmsF-UUlS75Y_QvlWUXvBPAtAPMWQSoseA9psY/edit?gid=1219811845#gid=1219811845"",""2025-26!ad4"")"),407744.0)</f>
        <v>407744</v>
      </c>
      <c r="BL145" s="55">
        <f>IFERROR(__xludf.DUMMYFUNCTION("importrange(""https://docs.google.com/spreadsheets/d/1VHlUXvmsF-UUlS75Y_QvlWUXvBPAtAPMWQSoseA9psY/edit?gid=1219811845#gid=1219811845"",""2025-26!ad3"")"),28.0)</f>
        <v>28</v>
      </c>
      <c r="BM145" s="55">
        <f>IFERROR(__xludf.DUMMYFUNCTION("importrange(""https://docs.google.com/spreadsheets/d/1VHlUXvmsF-UUlS75Y_QvlWUXvBPAtAPMWQSoseA9psY/edit?gid=1219811845#gid=1219811845"",""2025-26!ae4"")"),1004153.0)</f>
        <v>1004153</v>
      </c>
      <c r="BN145" s="55">
        <f>IFERROR(__xludf.DUMMYFUNCTION("importrange(""https://docs.google.com/spreadsheets/d/1VHlUXvmsF-UUlS75Y_QvlWUXvBPAtAPMWQSoseA9psY/edit?gid=1219811845#gid=1219811845"",""2025-26!ae3"")"),94.0)</f>
        <v>94</v>
      </c>
      <c r="BO145" s="55">
        <f>IFERROR(__xludf.DUMMYFUNCTION("importrange(""https://docs.google.com/spreadsheets/d/1VHlUXvmsF-UUlS75Y_QvlWUXvBPAtAPMWQSoseA9psY/edit?gid=1219811845#gid=1219811845"",""2025-26!af4"")"),481143.6400000001)</f>
        <v>481143.64</v>
      </c>
      <c r="BP145" s="55">
        <f>IFERROR(__xludf.DUMMYFUNCTION("importrange(""https://docs.google.com/spreadsheets/d/1VHlUXvmsF-UUlS75Y_QvlWUXvBPAtAPMWQSoseA9psY/edit?gid=1219811845#gid=1219811845"",""2025-26!af3"")"),24.0)</f>
        <v>24</v>
      </c>
      <c r="BQ145" s="59">
        <f t="shared" si="25"/>
        <v>0.4060566467</v>
      </c>
      <c r="BR145" s="55">
        <f>IFERROR(__xludf.DUMMYFUNCTION("importrange(""https://docs.google.com/spreadsheets/d/1VHlUXvmsF-UUlS75Y_QvlWUXvBPAtAPMWQSoseA9psY/edit?gid=1219811845#gid=1219811845"",""2025-26!ag4"")"),407743.0)</f>
        <v>407743</v>
      </c>
      <c r="BS145" s="55">
        <f>IFERROR(__xludf.DUMMYFUNCTION("importrange(""https://docs.google.com/spreadsheets/d/1VHlUXvmsF-UUlS75Y_QvlWUXvBPAtAPMWQSoseA9psY/edit?gid=1219811845#gid=1219811845"",""2025-26!ag3"")"),20.0)</f>
        <v>20</v>
      </c>
      <c r="BT145" s="55">
        <f>IFERROR(__xludf.DUMMYFUNCTION("importrange(""https://docs.google.com/spreadsheets/d/1VHlUXvmsF-UUlS75Y_QvlWUXvBPAtAPMWQSoseA9psY/edit?gid=1219811845#gid=1219811845"",""2025-26!ah4"")"),1004153.0)</f>
        <v>1004153</v>
      </c>
      <c r="BU145" s="55">
        <f>IFERROR(__xludf.DUMMYFUNCTION("importrange(""https://docs.google.com/spreadsheets/d/1VHlUXvmsF-UUlS75Y_QvlWUXvBPAtAPMWQSoseA9psY/edit?gid=1219811845#gid=1219811845"",""2025-26!ah3"")"),94.0)</f>
        <v>94</v>
      </c>
      <c r="BV145" s="55">
        <f>IFERROR(__xludf.DUMMYFUNCTION("importrange(""https://docs.google.com/spreadsheets/d/1VHlUXvmsF-UUlS75Y_QvlWUXvBPAtAPMWQSoseA9psY/edit?gid=1219811845#gid=1219811845"",""2025-26!ai4"")"),700868.5199999998)</f>
        <v>700868.52</v>
      </c>
      <c r="BW145" s="55">
        <f>IFERROR(__xludf.DUMMYFUNCTION("importrange(""https://docs.google.com/spreadsheets/d/1VHlUXvmsF-UUlS75Y_QvlWUXvBPAtAPMWQSoseA9psY/edit?gid=1219811845#gid=1219811845"",""2025-26!ai3"")"),29.0)</f>
        <v>29</v>
      </c>
      <c r="BX145" s="59">
        <f t="shared" si="26"/>
        <v>0.6425684134</v>
      </c>
      <c r="BY145" s="55">
        <f>IFERROR(__xludf.DUMMYFUNCTION("importrange(""https://docs.google.com/spreadsheets/d/1VHlUXvmsF-UUlS75Y_QvlWUXvBPAtAPMWQSoseA9psY/edit?gid=1219811845#gid=1219811845"",""2025-26!aj4"")"),645237.0)</f>
        <v>645237</v>
      </c>
      <c r="BZ145" s="55">
        <f>IFERROR(__xludf.DUMMYFUNCTION("importrange(""https://docs.google.com/spreadsheets/d/1VHlUXvmsF-UUlS75Y_QvlWUXvBPAtAPMWQSoseA9psY/edit?gid=1219811845#gid=1219811845"",""2025-26!aj3"")"),26.0)</f>
        <v>26</v>
      </c>
      <c r="CA145" s="55">
        <f>IFERROR(__xludf.DUMMYFUNCTION("importrange(""https://docs.google.com/spreadsheets/d/1VHlUXvmsF-UUlS75Y_QvlWUXvBPAtAPMWQSoseA9psY/edit?gid=1219811845#gid=1219811845"",""2025-26!ak4"")"),1004153.0)</f>
        <v>1004153</v>
      </c>
      <c r="CB145" s="55">
        <f>IFERROR(__xludf.DUMMYFUNCTION("importrange(""https://docs.google.com/spreadsheets/d/1VHlUXvmsF-UUlS75Y_QvlWUXvBPAtAPMWQSoseA9psY/edit?gid=1219811845#gid=1219811845"",""2025-26!ak3"")"),94.0)</f>
        <v>94</v>
      </c>
      <c r="CC145" s="55">
        <f>IFERROR(__xludf.DUMMYFUNCTION("importrange(""https://docs.google.com/spreadsheets/d/1VHlUXvmsF-UUlS75Y_QvlWUXvBPAtAPMWQSoseA9psY/edit?gid=1219811845#gid=1219811845"",""2025-26!al4"")"),761285.9999999999)</f>
        <v>761286</v>
      </c>
      <c r="CD145" s="55">
        <f>IFERROR(__xludf.DUMMYFUNCTION("importrange(""https://docs.google.com/spreadsheets/d/1VHlUXvmsF-UUlS75Y_QvlWUXvBPAtAPMWQSoseA9psY/edit?gid=1219811845#gid=1219811845"",""2025-26!ai3"")"),29.0)</f>
        <v>29</v>
      </c>
      <c r="CE145" s="59">
        <f t="shared" si="27"/>
        <v>0.7028829272</v>
      </c>
      <c r="CF145" s="55">
        <f>IFERROR(__xludf.DUMMYFUNCTION("importrange(""https://docs.google.com/spreadsheets/d/1VHlUXvmsF-UUlS75Y_QvlWUXvBPAtAPMWQSoseA9psY/edit?gid=1219811845#gid=1219811845"",""2025-26!am4"")"),705802.0)</f>
        <v>705802</v>
      </c>
      <c r="CG145" s="55">
        <f>IFERROR(__xludf.DUMMYFUNCTION("importrange(""https://docs.google.com/spreadsheets/d/1VHlUXvmsF-UUlS75Y_QvlWUXvBPAtAPMWQSoseA9psY/edit?gid=1219811845#gid=1219811845"",""2025-26!am3"")"),31.0)</f>
        <v>31</v>
      </c>
      <c r="CH145" s="55">
        <f>IFERROR(__xludf.DUMMYFUNCTION("importrange(""https://docs.google.com/spreadsheets/d/1VHlUXvmsF-UUlS75Y_QvlWUXvBPAtAPMWQSoseA9psY/edit?gid=1219811845#gid=1219811845"",""2025-26!an4"")"),1004153.0)</f>
        <v>1004153</v>
      </c>
      <c r="CI145" s="55">
        <f>IFERROR(__xludf.DUMMYFUNCTION("importrange(""https://docs.google.com/spreadsheets/d/1VHlUXvmsF-UUlS75Y_QvlWUXvBPAtAPMWQSoseA9psY/edit?gid=1219811845#gid=1219811845"",""2025-26!an3"")"),94.0)</f>
        <v>94</v>
      </c>
      <c r="CJ145" s="55">
        <f>IFERROR(__xludf.DUMMYFUNCTION("importrange(""https://docs.google.com/spreadsheets/d/1VHlUXvmsF-UUlS75Y_QvlWUXvBPAtAPMWQSoseA9psY/edit?gid=1219811845#gid=1219811845"",""2025-26!ao4"")"),698475.44)</f>
        <v>698475.44</v>
      </c>
      <c r="CK145" s="55">
        <f>IFERROR(__xludf.DUMMYFUNCTION("importrange(""https://docs.google.com/spreadsheets/d/1VHlUXvmsF-UUlS75Y_QvlWUXvBPAtAPMWQSoseA9psY/edit?gid=1219811845#gid=1219811845"",""2025-26!ao3"")"),31.0)</f>
        <v>31</v>
      </c>
      <c r="CL145" s="59">
        <f t="shared" si="28"/>
        <v>0.6228991</v>
      </c>
      <c r="CM145" s="55">
        <f>IFERROR(__xludf.DUMMYFUNCTION("importrange(""https://docs.google.com/spreadsheets/d/1VHlUXvmsF-UUlS75Y_QvlWUXvBPAtAPMWQSoseA9psY/edit?gid=1219811845#gid=1219811845"",""2025-26!ap4"")"),625486.0)</f>
        <v>625486</v>
      </c>
      <c r="CN145" s="55">
        <f>IFERROR(__xludf.DUMMYFUNCTION("importrange(""https://docs.google.com/spreadsheets/d/1VHlUXvmsF-UUlS75Y_QvlWUXvBPAtAPMWQSoseA9psY/edit?gid=1219811845#gid=1219811845"",""2025-26!ap3"")"),32.0)</f>
        <v>32</v>
      </c>
      <c r="CO145" s="55">
        <f>IFERROR(__xludf.DUMMYFUNCTION("importrange(""https://docs.google.com/spreadsheets/d/1VHlUXvmsF-UUlS75Y_QvlWUXvBPAtAPMWQSoseA9psY/edit?gid=1219811845#gid=1219811845"",""2025-26!aq4"")"),1004153.0)</f>
        <v>1004153</v>
      </c>
      <c r="CP145" s="55">
        <f>IFERROR(__xludf.DUMMYFUNCTION("importrange(""https://docs.google.com/spreadsheets/d/1VHlUXvmsF-UUlS75Y_QvlWUXvBPAtAPMWQSoseA9psY/edit?gid=1219811845#gid=1219811845"",""2025-26!aq3"")"),94.0)</f>
        <v>94</v>
      </c>
      <c r="CQ145" s="55">
        <f>IFERROR(__xludf.DUMMYFUNCTION("importrange(""https://docs.google.com/spreadsheets/d/1VHlUXvmsF-UUlS75Y_QvlWUXvBPAtAPMWQSoseA9psY/edit?gid=1219811845#gid=1219811845"",""2025-26!ar4"")"),1436220.95)</f>
        <v>1436220.95</v>
      </c>
      <c r="CR145" s="55">
        <f>IFERROR(__xludf.DUMMYFUNCTION("importrange(""https://docs.google.com/spreadsheets/d/1VHlUXvmsF-UUlS75Y_QvlWUXvBPAtAPMWQSoseA9psY/edit?gid=1219811845#gid=1219811845"",""2025-26!ar3"")"),35.0)</f>
        <v>35</v>
      </c>
      <c r="CS145" s="59">
        <f t="shared" si="29"/>
        <v>1.372265979</v>
      </c>
      <c r="CT145" s="55">
        <f>IFERROR(__xludf.DUMMYFUNCTION("importrange(""https://docs.google.com/spreadsheets/d/1VHlUXvmsF-UUlS75Y_QvlWUXvBPAtAPMWQSoseA9psY/edit?gid=1219811845#gid=1219811845"",""2025-26!as4"")"),1377965.0)</f>
        <v>1377965</v>
      </c>
      <c r="CU145" s="55">
        <f>IFERROR(__xludf.DUMMYFUNCTION("importrange(""https://docs.google.com/spreadsheets/d/1VHlUXvmsF-UUlS75Y_QvlWUXvBPAtAPMWQSoseA9psY/edit?gid=1219811845#gid=1219811845"",""2025-26!as3"")"),30.0)</f>
        <v>30</v>
      </c>
      <c r="CV145" s="60" t="s">
        <v>301</v>
      </c>
    </row>
    <row r="146">
      <c r="A146" s="1" t="s">
        <v>298</v>
      </c>
      <c r="B146" s="37"/>
      <c r="C146" s="64" t="s">
        <v>314</v>
      </c>
      <c r="D146" s="68" t="s">
        <v>315</v>
      </c>
      <c r="E146" s="50">
        <v>9.623488758E9</v>
      </c>
      <c r="F146" s="66">
        <v>45516.0</v>
      </c>
      <c r="G146" s="62"/>
      <c r="H146" s="62"/>
      <c r="I146" s="53">
        <v>27260.0</v>
      </c>
      <c r="J146" s="54">
        <v>1000000.0</v>
      </c>
      <c r="K146" s="57">
        <f>IFERROR(__xludf.DUMMYFUNCTION("IMPORTRANGE(""https://docs.google.com/spreadsheets/d/1RIKtidqK6hOmuK0xqGl8SKK7KjTCUKiagqmfmuzZkFQ/edit?gid=1219811845#gid=1219811845"",""2025-26!A3"")"),151.0)</f>
        <v>151</v>
      </c>
      <c r="L146" s="57">
        <f>IFERROR(__xludf.DUMMYFUNCTION("IMPORTRANGE(""https://docs.google.com/spreadsheets/d/1RIKtidqK6hOmuK0xqGl8SKK7KjTCUKiagqmfmuzZkFQ/edit?gid=1219811845#gid=1219811845"",""2025-26!G4"")"),1.29E7)</f>
        <v>12900000</v>
      </c>
      <c r="M146" s="57">
        <f t="shared" si="50"/>
        <v>6205273.29</v>
      </c>
      <c r="N146" s="56">
        <f t="shared" si="51"/>
        <v>0.4836934884</v>
      </c>
      <c r="O146" s="57">
        <f t="shared" si="52"/>
        <v>6239646</v>
      </c>
      <c r="P146" s="55">
        <f>IFERROR(__xludf.DUMMYFUNCTION("IMPORTRANGE(""https://docs.google.com/spreadsheets/d/1RIKtidqK6hOmuK0xqGl8SKK7KjTCUKiagqmfmuzZkFQ/edit?gid=1219811845#gid=1219811845"",""2025-26!J4"")"),1008310.0)</f>
        <v>1008310</v>
      </c>
      <c r="Q146" s="55">
        <f>IFERROR(__xludf.DUMMYFUNCTION("IMPORTRANGE(""https://docs.google.com/spreadsheets/d/1RIKtidqK6hOmuK0xqGl8SKK7KjTCUKiagqmfmuzZkFQ/edit?gid=1219811845#gid=1219811845"",""2025-26!J3"")"),89.0)</f>
        <v>89</v>
      </c>
      <c r="R146" s="55">
        <f>IFERROR(__xludf.DUMMYFUNCTION("IMPORTRANGE(""https://docs.google.com/spreadsheets/d/1RIKtidqK6hOmuK0xqGl8SKK7KjTCUKiagqmfmuzZkFQ/edit?gid=1219811845#gid=1219811845"",""2025-26!K4"")"),266349.9)</f>
        <v>266349.9</v>
      </c>
      <c r="S146" s="55">
        <f>IFERROR(__xludf.DUMMYFUNCTION("IMPORTRANGE(""https://docs.google.com/spreadsheets/d/1RIKtidqK6hOmuK0xqGl8SKK7KjTCUKiagqmfmuzZkFQ/edit?gid=1219811845#gid=1219811845"",""2025-26!K3"")"),22.0)</f>
        <v>22</v>
      </c>
      <c r="T146" s="58">
        <f t="shared" si="18"/>
        <v>0.268446212</v>
      </c>
      <c r="U146" s="55">
        <f>IFERROR(__xludf.DUMMYFUNCTION("IMPORTRANGE(""https://docs.google.com/spreadsheets/d/1RIKtidqK6hOmuK0xqGl8SKK7KjTCUKiagqmfmuzZkFQ/edit?gid=1219811845#gid=1219811845"",""2025-26!L4"")"),270677.0)</f>
        <v>270677</v>
      </c>
      <c r="V146" s="79">
        <f>IFERROR(__xludf.DUMMYFUNCTION("IMPORTRANGE(""https://docs.google.com/spreadsheets/d/1RIKtidqK6hOmuK0xqGl8SKK7KjTCUKiagqmfmuzZkFQ/edit?gid=1219811845#gid=1219811845"",""2025-26!L3"")"),23.0)</f>
        <v>23</v>
      </c>
      <c r="W146" s="55">
        <f>IFERROR(__xludf.DUMMYFUNCTION("IMPORTRANGE(""https://docs.google.com/spreadsheets/d/1RIKtidqK6hOmuK0xqGl8SKK7KjTCUKiagqmfmuzZkFQ/edit?gid=1219811845#gid=1219811845"",""2025-26!M4"")"),1008310.0)</f>
        <v>1008310</v>
      </c>
      <c r="X146" s="79">
        <f>IFERROR(__xludf.DUMMYFUNCTION("IMPORTRANGE(""https://docs.google.com/spreadsheets/d/1RIKtidqK6hOmuK0xqGl8SKK7KjTCUKiagqmfmuzZkFQ/edit?gid=1219811845#gid=1219811845"",""2025-26!M3"")"),89.0)</f>
        <v>89</v>
      </c>
      <c r="Y146" s="55">
        <f>IFERROR(__xludf.DUMMYFUNCTION("importrange(""https://docs.google.com/spreadsheets/d/1RIKtidqK6hOmuK0xqGl8SKK7KjTCUKiagqmfmuzZkFQ/edit?gid=1219811845#gid=1219811845"",""2025-26!n4"")"),308000.5)</f>
        <v>308000.5</v>
      </c>
      <c r="Z146" s="55">
        <f>IFERROR(__xludf.DUMMYFUNCTION("importrange(""https://docs.google.com/spreadsheets/d/1RIKtidqK6hOmuK0xqGl8SKK7KjTCUKiagqmfmuzZkFQ/edit?gid=1219811845#gid=1219811845"",""2025-26!n3"")"),27.0)</f>
        <v>27</v>
      </c>
      <c r="AA146" s="58">
        <f t="shared" si="19"/>
        <v>0.3124297091</v>
      </c>
      <c r="AB146" s="55">
        <f>IFERROR(__xludf.DUMMYFUNCTION("importrange(""https://docs.google.com/spreadsheets/d/1RIKtidqK6hOmuK0xqGl8SKK7KjTCUKiagqmfmuzZkFQ/edit?gid=1219811845#gid=1219811845"",""2025-26!o4"")"),315026.0)</f>
        <v>315026</v>
      </c>
      <c r="AC146" s="55">
        <f>IFERROR(__xludf.DUMMYFUNCTION("importrange(""https://docs.google.com/spreadsheets/d/1RIKtidqK6hOmuK0xqGl8SKK7KjTCUKiagqmfmuzZkFQ/edit?gid=1219811845#gid=1219811845"",""2025-26!o3"")"),27.0)</f>
        <v>27</v>
      </c>
      <c r="AD146" s="55">
        <f>IFERROR(__xludf.DUMMYFUNCTION("importrange(""https://docs.google.com/spreadsheets/d/1RIKtidqK6hOmuK0xqGl8SKK7KjTCUKiagqmfmuzZkFQ/edit?gid=1219811845#gid=1219811845"",""2025-26!p4"")"),1008310.0)</f>
        <v>1008310</v>
      </c>
      <c r="AE146" s="55">
        <f>IFERROR(__xludf.DUMMYFUNCTION("importrange(""https://docs.google.com/spreadsheets/d/1RIKtidqK6hOmuK0xqGl8SKK7KjTCUKiagqmfmuzZkFQ/edit?gid=1219811845#gid=1219811845"",""2025-26!p3"")"),89.0)</f>
        <v>89</v>
      </c>
      <c r="AF146" s="55">
        <f>IFERROR(__xludf.DUMMYFUNCTION("importrange(""https://docs.google.com/spreadsheets/d/1RIKtidqK6hOmuK0xqGl8SKK7KjTCUKiagqmfmuzZkFQ/edit?gid=1219811845#gid=1219811845"",""2025-26!q4"")"),499236.0)</f>
        <v>499236</v>
      </c>
      <c r="AG146" s="55">
        <f>IFERROR(__xludf.DUMMYFUNCTION("importrange(""https://docs.google.com/spreadsheets/d/1RIKtidqK6hOmuK0xqGl8SKK7KjTCUKiagqmfmuzZkFQ/edit?gid=1219811845#gid=1219811845"",""2025-26!q3"")"),30.0)</f>
        <v>30</v>
      </c>
      <c r="AH146" s="58">
        <f t="shared" si="20"/>
        <v>0.5107238845</v>
      </c>
      <c r="AI146" s="55">
        <f>IFERROR(__xludf.DUMMYFUNCTION("importrange(""https://docs.google.com/spreadsheets/d/1RIKtidqK6hOmuK0xqGl8SKK7KjTCUKiagqmfmuzZkFQ/edit?gid=1219811845#gid=1219811845"",""2025-26!r4"")"),514968.0)</f>
        <v>514968</v>
      </c>
      <c r="AJ146" s="55">
        <f>IFERROR(__xludf.DUMMYFUNCTION("importrange(""https://docs.google.com/spreadsheets/d/1RIKtidqK6hOmuK0xqGl8SKK7KjTCUKiagqmfmuzZkFQ/edit?gid=1219811845#gid=1219811845"",""2025-26!r3"")"),31.0)</f>
        <v>31</v>
      </c>
      <c r="AK146" s="55">
        <f>IFERROR(__xludf.DUMMYFUNCTION("importrange(""https://docs.google.com/spreadsheets/d/1RIKtidqK6hOmuK0xqGl8SKK7KjTCUKiagqmfmuzZkFQ/edit?gid=1219811845#gid=1219811845"",""2025-26!s4"")"),987477.0)</f>
        <v>987477</v>
      </c>
      <c r="AL146" s="55">
        <f>IFERROR(__xludf.DUMMYFUNCTION("importrange(""https://docs.google.com/spreadsheets/d/1RIKtidqK6hOmuK0xqGl8SKK7KjTCUKiagqmfmuzZkFQ/edit?gid=1219811845#gid=1219811845"",""2025-26!s3"")"),88.0)</f>
        <v>88</v>
      </c>
      <c r="AM146" s="57">
        <f>IFERROR(__xludf.DUMMYFUNCTION("importrange(""https://docs.google.com/spreadsheets/d/1RIKtidqK6hOmuK0xqGl8SKK7KjTCUKiagqmfmuzZkFQ/edit?gid=1219811845#gid=1219811845"",""2025-26!t4"")"),407362.44)</f>
        <v>407362.44</v>
      </c>
      <c r="AN146" s="55">
        <f>IFERROR(__xludf.DUMMYFUNCTION("importrange(""https://docs.google.com/spreadsheets/d/1RIKtidqK6hOmuK0xqGl8SKK7KjTCUKiagqmfmuzZkFQ/edit?gid=1219811845#gid=1219811845"",""2025-26!t3"")"),31.0)</f>
        <v>31</v>
      </c>
      <c r="AO146" s="58">
        <f t="shared" si="21"/>
        <v>0.4185819011</v>
      </c>
      <c r="AP146" s="55">
        <f>IFERROR(__xludf.DUMMYFUNCTION("importrange(""https://docs.google.com/spreadsheets/d/1RIKtidqK6hOmuK0xqGl8SKK7KjTCUKiagqmfmuzZkFQ/edit?gid=1219811845#gid=1219811845"",""2025-26!u4"")"),413340.0)</f>
        <v>413340</v>
      </c>
      <c r="AQ146" s="55">
        <f>IFERROR(__xludf.DUMMYFUNCTION("importrange(""https://docs.google.com/spreadsheets/d/1RIKtidqK6hOmuK0xqGl8SKK7KjTCUKiagqmfmuzZkFQ/edit?gid=1219811845#gid=1219811845"",""2025-26!u3"")"),31.0)</f>
        <v>31</v>
      </c>
      <c r="AR146" s="55">
        <f>IFERROR(__xludf.DUMMYFUNCTION("importrange(""https://docs.google.com/spreadsheets/d/1RIKtidqK6hOmuK0xqGl8SKK7KjTCUKiagqmfmuzZkFQ/edit?gid=1219811845#gid=1219811845"",""2025-26!v4"")"),987477.0)</f>
        <v>987477</v>
      </c>
      <c r="AS146" s="55">
        <f>IFERROR(__xludf.DUMMYFUNCTION("importrange(""https://docs.google.com/spreadsheets/d/1RIKtidqK6hOmuK0xqGl8SKK7KjTCUKiagqmfmuzZkFQ/edit?gid=1219811845#gid=1219811845"",""2025-26!v3"")"),88.0)</f>
        <v>88</v>
      </c>
      <c r="AT146" s="57">
        <f>IFERROR(__xludf.DUMMYFUNCTION("importrange(""https://docs.google.com/spreadsheets/d/1RIKtidqK6hOmuK0xqGl8SKK7KjTCUKiagqmfmuzZkFQ/edit?gid=1219811845#gid=1219811845"",""2025-26!w4"")"),651463.8999999999)</f>
        <v>651463.9</v>
      </c>
      <c r="AU146" s="55">
        <f>IFERROR(__xludf.DUMMYFUNCTION("importrange(""https://docs.google.com/spreadsheets/d/1RIKtidqK6hOmuK0xqGl8SKK7KjTCUKiagqmfmuzZkFQ/edit?gid=1219811845#gid=1219811845"",""2025-26!w3"")"),30.0)</f>
        <v>30</v>
      </c>
      <c r="AV146" s="58">
        <f t="shared" si="22"/>
        <v>0.6617025004</v>
      </c>
      <c r="AW146" s="55">
        <f>IFERROR(__xludf.DUMMYFUNCTION("importrange(""https://docs.google.com/spreadsheets/d/1RIKtidqK6hOmuK0xqGl8SKK7KjTCUKiagqmfmuzZkFQ/edit?gid=1219811845#gid=1219811845"",""2025-26!x4"")"),653416.0)</f>
        <v>653416</v>
      </c>
      <c r="AX146" s="55">
        <f>IFERROR(__xludf.DUMMYFUNCTION("importrange(""https://docs.google.com/spreadsheets/d/1RIKtidqK6hOmuK0xqGl8SKK7KjTCUKiagqmfmuzZkFQ/edit?gid=1219811845#gid=1219811845"",""2025-26!x3"")"),30.0)</f>
        <v>30</v>
      </c>
      <c r="AY146" s="55">
        <f>IFERROR(__xludf.DUMMYFUNCTION("importrange(""https://docs.google.com/spreadsheets/d/1RIKtidqK6hOmuK0xqGl8SKK7KjTCUKiagqmfmuzZkFQ/edit?gid=1219811845#gid=1219811845"",""2025-26!y4"")"),987477.0)</f>
        <v>987477</v>
      </c>
      <c r="AZ146" s="55">
        <f>IFERROR(__xludf.DUMMYFUNCTION("importrange(""https://docs.google.com/spreadsheets/d/1RIKtidqK6hOmuK0xqGl8SKK7KjTCUKiagqmfmuzZkFQ/edit?gid=1219811845#gid=1219811845"",""2025-26!y3"")"),88.0)</f>
        <v>88</v>
      </c>
      <c r="BA146" s="57">
        <f>IFERROR(__xludf.DUMMYFUNCTION("importrange(""https://docs.google.com/spreadsheets/d/1RIKtidqK6hOmuK0xqGl8SKK7KjTCUKiagqmfmuzZkFQ/edit?gid=1219811845#gid=1219811845"",""2025-26!z4"")"),507766.19999999995)</f>
        <v>507766.2</v>
      </c>
      <c r="BB146" s="55">
        <f>IFERROR(__xludf.DUMMYFUNCTION("importrange(""https://docs.google.com/spreadsheets/d/1RIKtidqK6hOmuK0xqGl8SKK7KjTCUKiagqmfmuzZkFQ/edit?gid=1219811845#gid=1219811845"",""2025-26!z3"")"),20.0)</f>
        <v>20</v>
      </c>
      <c r="BC146" s="59">
        <f t="shared" si="23"/>
        <v>0.5072320672</v>
      </c>
      <c r="BD146" s="55">
        <f>IFERROR(__xludf.DUMMYFUNCTION("importrange(""https://docs.google.com/spreadsheets/d/1RIKtidqK6hOmuK0xqGl8SKK7KjTCUKiagqmfmuzZkFQ/edit?gid=1219811845#gid=1219811845"",""2025-26!aa4"")"),500880.0)</f>
        <v>500880</v>
      </c>
      <c r="BE146" s="55">
        <f>IFERROR(__xludf.DUMMYFUNCTION("importrange(""https://docs.google.com/spreadsheets/d/1RIKtidqK6hOmuK0xqGl8SKK7KjTCUKiagqmfmuzZkFQ/edit?gid=1219811845#gid=1219811845"",""2025-26!aa3"")"),19.0)</f>
        <v>19</v>
      </c>
      <c r="BF146" s="55">
        <f>IFERROR(__xludf.DUMMYFUNCTION("importrange(""https://docs.google.com/spreadsheets/d/1RIKtidqK6hOmuK0xqGl8SKK7KjTCUKiagqmfmuzZkFQ/edit?gid=1219811845#gid=1219811845"",""2025-26!ab4"")"),987477.0)</f>
        <v>987477</v>
      </c>
      <c r="BG146" s="55">
        <f>IFERROR(__xludf.DUMMYFUNCTION("importrange(""https://docs.google.com/spreadsheets/d/1RIKtidqK6hOmuK0xqGl8SKK7KjTCUKiagqmfmuzZkFQ/edit?gid=1219811845#gid=1219811845"",""2025-26!ab3"")"),88.0)</f>
        <v>88</v>
      </c>
      <c r="BH146" s="55">
        <f>IFERROR(__xludf.DUMMYFUNCTION("importrange(""https://docs.google.com/spreadsheets/d/1RIKtidqK6hOmuK0xqGl8SKK7KjTCUKiagqmfmuzZkFQ/edit?gid=1219811845#gid=1219811845"",""2025-26!ac4"")"),353970.1)</f>
        <v>353970.1</v>
      </c>
      <c r="BI146" s="55">
        <f>IFERROR(__xludf.DUMMYFUNCTION("importrange(""https://docs.google.com/spreadsheets/d/1RIKtidqK6hOmuK0xqGl8SKK7KjTCUKiagqmfmuzZkFQ/edit?gid=1219811845#gid=1219811845"",""2025-26!ac3"")"),16.0)</f>
        <v>16</v>
      </c>
      <c r="BJ146" s="59">
        <f t="shared" si="24"/>
        <v>0.3584367028</v>
      </c>
      <c r="BK146" s="55">
        <f>IFERROR(__xludf.DUMMYFUNCTION("importrange(""https://docs.google.com/spreadsheets/d/1RIKtidqK6hOmuK0xqGl8SKK7KjTCUKiagqmfmuzZkFQ/edit?gid=1219811845#gid=1219811845"",""2025-26!ad4"")"),353948.0)</f>
        <v>353948</v>
      </c>
      <c r="BL146" s="55">
        <f>IFERROR(__xludf.DUMMYFUNCTION("importrange(""https://docs.google.com/spreadsheets/d/1RIKtidqK6hOmuK0xqGl8SKK7KjTCUKiagqmfmuzZkFQ/edit?gid=1219811845#gid=1219811845"",""2025-26!ad3"")"),16.0)</f>
        <v>16</v>
      </c>
      <c r="BM146" s="55">
        <f>IFERROR(__xludf.DUMMYFUNCTION("importrange(""https://docs.google.com/spreadsheets/d/1RIKtidqK6hOmuK0xqGl8SKK7KjTCUKiagqmfmuzZkFQ/edit?gid=1219811845#gid=1219811845"",""2025-26!ae4"")"),987477.0)</f>
        <v>987477</v>
      </c>
      <c r="BN146" s="55">
        <f>IFERROR(__xludf.DUMMYFUNCTION("importrange(""https://docs.google.com/spreadsheets/d/1RIKtidqK6hOmuK0xqGl8SKK7KjTCUKiagqmfmuzZkFQ/edit?gid=1219811845#gid=1219811845"",""2025-26!ae3"")"),88.0)</f>
        <v>88</v>
      </c>
      <c r="BO146" s="55">
        <f>IFERROR(__xludf.DUMMYFUNCTION("importrange(""https://docs.google.com/spreadsheets/d/1RIKtidqK6hOmuK0xqGl8SKK7KjTCUKiagqmfmuzZkFQ/edit?gid=1219811845#gid=1219811845"",""2025-26!af4"")"),531465.1)</f>
        <v>531465.1</v>
      </c>
      <c r="BP146" s="55">
        <f>IFERROR(__xludf.DUMMYFUNCTION("importrange(""https://docs.google.com/spreadsheets/d/1RIKtidqK6hOmuK0xqGl8SKK7KjTCUKiagqmfmuzZkFQ/edit?gid=1219811845#gid=1219811845"",""2025-26!af3"")"),22.0)</f>
        <v>22</v>
      </c>
      <c r="BQ146" s="59">
        <f t="shared" si="25"/>
        <v>0.5398758655</v>
      </c>
      <c r="BR146" s="55">
        <f>IFERROR(__xludf.DUMMYFUNCTION("importrange(""https://docs.google.com/spreadsheets/d/1RIKtidqK6hOmuK0xqGl8SKK7KjTCUKiagqmfmuzZkFQ/edit?gid=1219811845#gid=1219811845"",""2025-26!ag4"")"),533115.0)</f>
        <v>533115</v>
      </c>
      <c r="BS146" s="55">
        <f>IFERROR(__xludf.DUMMYFUNCTION("importrange(""https://docs.google.com/spreadsheets/d/1RIKtidqK6hOmuK0xqGl8SKK7KjTCUKiagqmfmuzZkFQ/edit?gid=1219811845#gid=1219811845"",""2025-26!ag3"")"),22.0)</f>
        <v>22</v>
      </c>
      <c r="BT146" s="55">
        <f>IFERROR(__xludf.DUMMYFUNCTION("importrange(""https://docs.google.com/spreadsheets/d/1RIKtidqK6hOmuK0xqGl8SKK7KjTCUKiagqmfmuzZkFQ/edit?gid=1219811845#gid=1219811845"",""2025-26!ah4"")"),987477.0)</f>
        <v>987477</v>
      </c>
      <c r="BU146" s="55">
        <f>IFERROR(__xludf.DUMMYFUNCTION("importrange(""https://docs.google.com/spreadsheets/d/1RIKtidqK6hOmuK0xqGl8SKK7KjTCUKiagqmfmuzZkFQ/edit?gid=1219811845#gid=1219811845"",""2025-26!ah3"")"),88.0)</f>
        <v>88</v>
      </c>
      <c r="BV146" s="55">
        <f>IFERROR(__xludf.DUMMYFUNCTION("importrange(""https://docs.google.com/spreadsheets/d/1RIKtidqK6hOmuK0xqGl8SKK7KjTCUKiagqmfmuzZkFQ/edit?gid=1219811845#gid=1219811845"",""2025-26!ai4"")"),521532.55)</f>
        <v>521532.55</v>
      </c>
      <c r="BW146" s="55">
        <f>IFERROR(__xludf.DUMMYFUNCTION("importrange(""https://docs.google.com/spreadsheets/d/1RIKtidqK6hOmuK0xqGl8SKK7KjTCUKiagqmfmuzZkFQ/edit?gid=1219811845#gid=1219811845"",""2025-26!ai3"")"),23.0)</f>
        <v>23</v>
      </c>
      <c r="BX146" s="59">
        <f t="shared" si="26"/>
        <v>0.5293206829</v>
      </c>
      <c r="BY146" s="55">
        <f>IFERROR(__xludf.DUMMYFUNCTION("importrange(""https://docs.google.com/spreadsheets/d/1RIKtidqK6hOmuK0xqGl8SKK7KjTCUKiagqmfmuzZkFQ/edit?gid=1219811845#gid=1219811845"",""2025-26!aj4"")"),522692.0)</f>
        <v>522692</v>
      </c>
      <c r="BZ146" s="55">
        <f>IFERROR(__xludf.DUMMYFUNCTION("importrange(""https://docs.google.com/spreadsheets/d/1RIKtidqK6hOmuK0xqGl8SKK7KjTCUKiagqmfmuzZkFQ/edit?gid=1219811845#gid=1219811845"",""2025-26!aj3"")"),23.0)</f>
        <v>23</v>
      </c>
      <c r="CA146" s="55">
        <f>IFERROR(__xludf.DUMMYFUNCTION("importrange(""https://docs.google.com/spreadsheets/d/1RIKtidqK6hOmuK0xqGl8SKK7KjTCUKiagqmfmuzZkFQ/edit?gid=1219811845#gid=1219811845"",""2025-26!ak4"")"),987477.0)</f>
        <v>987477</v>
      </c>
      <c r="CB146" s="55">
        <f>IFERROR(__xludf.DUMMYFUNCTION("importrange(""https://docs.google.com/spreadsheets/d/1RIKtidqK6hOmuK0xqGl8SKK7KjTCUKiagqmfmuzZkFQ/edit?gid=1219811845#gid=1219811845"",""2025-26!ak3"")"),88.0)</f>
        <v>88</v>
      </c>
      <c r="CC146" s="55">
        <f>IFERROR(__xludf.DUMMYFUNCTION("importrange(""https://docs.google.com/spreadsheets/d/1RIKtidqK6hOmuK0xqGl8SKK7KjTCUKiagqmfmuzZkFQ/edit?gid=1219811845#gid=1219811845"",""2025-26!al4"")"),687685.6)</f>
        <v>687685.6</v>
      </c>
      <c r="CD146" s="55">
        <f>IFERROR(__xludf.DUMMYFUNCTION("importrange(""https://docs.google.com/spreadsheets/d/1RIKtidqK6hOmuK0xqGl8SKK7KjTCUKiagqmfmuzZkFQ/edit?gid=1219811845#gid=1219811845"",""2025-26!ai3"")"),23.0)</f>
        <v>23</v>
      </c>
      <c r="CE146" s="59">
        <f t="shared" si="27"/>
        <v>0.6970126899</v>
      </c>
      <c r="CF146" s="55">
        <f>IFERROR(__xludf.DUMMYFUNCTION("importrange(""https://docs.google.com/spreadsheets/d/1RIKtidqK6hOmuK0xqGl8SKK7KjTCUKiagqmfmuzZkFQ/edit?gid=1219811845#gid=1219811845"",""2025-26!am4"")"),688284.0)</f>
        <v>688284</v>
      </c>
      <c r="CG146" s="55">
        <f>IFERROR(__xludf.DUMMYFUNCTION("importrange(""https://docs.google.com/spreadsheets/d/1RIKtidqK6hOmuK0xqGl8SKK7KjTCUKiagqmfmuzZkFQ/edit?gid=1219811845#gid=1219811845"",""2025-26!am3"")"),17.0)</f>
        <v>17</v>
      </c>
      <c r="CH146" s="55">
        <f>IFERROR(__xludf.DUMMYFUNCTION("importrange(""https://docs.google.com/spreadsheets/d/1RIKtidqK6hOmuK0xqGl8SKK7KjTCUKiagqmfmuzZkFQ/edit?gid=1219811845#gid=1219811845"",""2025-26!an4"")"),987477.0)</f>
        <v>987477</v>
      </c>
      <c r="CI146" s="55">
        <f>IFERROR(__xludf.DUMMYFUNCTION("importrange(""https://docs.google.com/spreadsheets/d/1RIKtidqK6hOmuK0xqGl8SKK7KjTCUKiagqmfmuzZkFQ/edit?gid=1219811845#gid=1219811845"",""2025-26!an3"")"),88.0)</f>
        <v>88</v>
      </c>
      <c r="CJ146" s="55">
        <f>IFERROR(__xludf.DUMMYFUNCTION("importrange(""https://docs.google.com/spreadsheets/d/1RIKtidqK6hOmuK0xqGl8SKK7KjTCUKiagqmfmuzZkFQ/edit?gid=1219811845#gid=1219811845"",""2025-26!ao4"")"),537867.0)</f>
        <v>537867</v>
      </c>
      <c r="CK146" s="55">
        <f>IFERROR(__xludf.DUMMYFUNCTION("importrange(""https://docs.google.com/spreadsheets/d/1RIKtidqK6hOmuK0xqGl8SKK7KjTCUKiagqmfmuzZkFQ/edit?gid=1219811845#gid=1219811845"",""2025-26!ao3"")"),23.0)</f>
        <v>23</v>
      </c>
      <c r="CL146" s="59">
        <f t="shared" si="28"/>
        <v>0.547378825</v>
      </c>
      <c r="CM146" s="55">
        <f>IFERROR(__xludf.DUMMYFUNCTION("importrange(""https://docs.google.com/spreadsheets/d/1RIKtidqK6hOmuK0xqGl8SKK7KjTCUKiagqmfmuzZkFQ/edit?gid=1219811845#gid=1219811845"",""2025-26!ap4"")"),540524.0)</f>
        <v>540524</v>
      </c>
      <c r="CN146" s="55">
        <f>IFERROR(__xludf.DUMMYFUNCTION("importrange(""https://docs.google.com/spreadsheets/d/1RIKtidqK6hOmuK0xqGl8SKK7KjTCUKiagqmfmuzZkFQ/edit?gid=1219811845#gid=1219811845"",""2025-26!ap3"")"),23.0)</f>
        <v>23</v>
      </c>
      <c r="CO146" s="55">
        <f>IFERROR(__xludf.DUMMYFUNCTION("importrange(""https://docs.google.com/spreadsheets/d/1RIKtidqK6hOmuK0xqGl8SKK7KjTCUKiagqmfmuzZkFQ/edit?gid=1219811845#gid=1219811845"",""2025-26!aq4"")"),966644.0)</f>
        <v>966644</v>
      </c>
      <c r="CP146" s="55">
        <f>IFERROR(__xludf.DUMMYFUNCTION("importrange(""https://docs.google.com/spreadsheets/d/1RIKtidqK6hOmuK0xqGl8SKK7KjTCUKiagqmfmuzZkFQ/edit?gid=1219811845#gid=1219811845"",""2025-26!aq3"")"),87.0)</f>
        <v>87</v>
      </c>
      <c r="CQ146" s="55">
        <f>IFERROR(__xludf.DUMMYFUNCTION("importrange(""https://docs.google.com/spreadsheets/d/1RIKtidqK6hOmuK0xqGl8SKK7KjTCUKiagqmfmuzZkFQ/edit?gid=1219811845#gid=1219811845"",""2025-26!ar4"")"),932574.0)</f>
        <v>932574</v>
      </c>
      <c r="CR146" s="55">
        <f>IFERROR(__xludf.DUMMYFUNCTION("importrange(""https://docs.google.com/spreadsheets/d/1RIKtidqK6hOmuK0xqGl8SKK7KjTCUKiagqmfmuzZkFQ/edit?gid=1219811845#gid=1219811845"",""2025-26!ar3"")"),29.0)</f>
        <v>29</v>
      </c>
      <c r="CS146" s="59">
        <f t="shared" si="29"/>
        <v>0.9649633164</v>
      </c>
      <c r="CT146" s="55">
        <f>IFERROR(__xludf.DUMMYFUNCTION("importrange(""https://docs.google.com/spreadsheets/d/1RIKtidqK6hOmuK0xqGl8SKK7KjTCUKiagqmfmuzZkFQ/edit?gid=1219811845#gid=1219811845"",""2025-26!as4"")"),932776.0)</f>
        <v>932776</v>
      </c>
      <c r="CU146" s="55">
        <f>IFERROR(__xludf.DUMMYFUNCTION("importrange(""https://docs.google.com/spreadsheets/d/1RIKtidqK6hOmuK0xqGl8SKK7KjTCUKiagqmfmuzZkFQ/edit?gid=1219811845#gid=1219811845"",""2025-26!as3"")"),29.0)</f>
        <v>29</v>
      </c>
      <c r="CV146" s="60" t="s">
        <v>301</v>
      </c>
    </row>
    <row r="147">
      <c r="A147" s="1" t="s">
        <v>298</v>
      </c>
      <c r="B147" s="37"/>
      <c r="C147" s="64" t="s">
        <v>316</v>
      </c>
      <c r="D147" s="68" t="s">
        <v>317</v>
      </c>
      <c r="E147" s="68">
        <v>7.757949647E9</v>
      </c>
      <c r="F147" s="78">
        <v>45778.0</v>
      </c>
      <c r="G147" s="62"/>
      <c r="H147" s="62"/>
      <c r="I147" s="53">
        <f>VLOOKUP($C147,Data!$C:$BV,34,0)</f>
        <v>47173</v>
      </c>
      <c r="J147" s="54">
        <v>1200000.0</v>
      </c>
      <c r="K147" s="57">
        <f>IFERROR(__xludf.DUMMYFUNCTION("IMPORTRANGE(""https://docs.google.com/spreadsheets/d/1sSd36kbbelgYAPey114fqOQ7PNwz4uYjGlTg07byzOs/edit?gid=2120302259#gid=2120302259"",""2025-26!A3"")"),106.0)</f>
        <v>106</v>
      </c>
      <c r="L147" s="57">
        <f>IFERROR(__xludf.DUMMYFUNCTION("IMPORTRANGE(""https://docs.google.com/spreadsheets/d/1sSd36kbbelgYAPey114fqOQ7PNwz4uYjGlTg07byzOs/edit?gid=2120302259#gid=2120302259"",""2025-26!G4"")"),1.555E7)</f>
        <v>15550000</v>
      </c>
      <c r="M147" s="57">
        <f t="shared" si="50"/>
        <v>10664561.01</v>
      </c>
      <c r="N147" s="56">
        <f t="shared" si="51"/>
        <v>0.6802344051</v>
      </c>
      <c r="O147" s="57">
        <f t="shared" si="52"/>
        <v>10577645</v>
      </c>
      <c r="P147" s="55">
        <f>IFERROR(__xludf.DUMMYFUNCTION("IMPORTRANGE(""https://docs.google.com/spreadsheets/d/1sSd36kbbelgYAPey114fqOQ7PNwz4uYjGlTg07byzOs/edit?gid=2120302259#gid=2120302259"",""2025-26!J4"")"),0.0)</f>
        <v>0</v>
      </c>
      <c r="Q147" s="55">
        <f>IFERROR(__xludf.DUMMYFUNCTION("IMPORTRANGE(""https://docs.google.com/spreadsheets/d/1sSd36kbbelgYAPey114fqOQ7PNwz4uYjGlTg07byzOs/edit?gid=2120302259#gid=2120302259"",""2025-26!J3"")"),0.0)</f>
        <v>0</v>
      </c>
      <c r="R147" s="55">
        <f>IFERROR(__xludf.DUMMYFUNCTION("IMPORTRANGE(""https://docs.google.com/spreadsheets/d/1sSd36kbbelgYAPey114fqOQ7PNwz4uYjGlTg07byzOs/edit?gid=2120302259#gid=2120302259"",""2025-26!K4"")"),0.0)</f>
        <v>0</v>
      </c>
      <c r="S147" s="55">
        <f>IFERROR(__xludf.DUMMYFUNCTION("IMPORTRANGE(""https://docs.google.com/spreadsheets/d/1sSd36kbbelgYAPey114fqOQ7PNwz4uYjGlTg07byzOs/edit?gid=2120302259#gid=2120302259"",""2025-26!K3"")"),0.0)</f>
        <v>0</v>
      </c>
      <c r="T147" s="58" t="str">
        <f t="shared" si="18"/>
        <v/>
      </c>
      <c r="U147" s="55">
        <f>IFERROR(__xludf.DUMMYFUNCTION("IMPORTRANGE(""https://docs.google.com/spreadsheets/d/1sSd36kbbelgYAPey114fqOQ7PNwz4uYjGlTg07byzOs/edit?gid=2120302259#gid=2120302259"",""2025-26!L4"")"),0.0)</f>
        <v>0</v>
      </c>
      <c r="V147" s="79">
        <f>IFERROR(__xludf.DUMMYFUNCTION("IMPORTRANGE(""https://docs.google.com/spreadsheets/d/1sSd36kbbelgYAPey114fqOQ7PNwz4uYjGlTg07byzOs/edit?gid=2120302259#gid=2120302259"",""2025-26!L3"")"),0.0)</f>
        <v>0</v>
      </c>
      <c r="W147" s="55">
        <f>IFERROR(__xludf.DUMMYFUNCTION("IMPORTRANGE(""https://docs.google.com/spreadsheets/d/1sSd36kbbelgYAPey114fqOQ7PNwz4uYjGlTg07byzOs/edit?gid=2120302259#gid=2120302259"",""2025-26!M4"")"),955000.0)</f>
        <v>955000</v>
      </c>
      <c r="X147" s="79">
        <f>IFERROR(__xludf.DUMMYFUNCTION("IMPORTRANGE(""https://docs.google.com/spreadsheets/d/1sSd36kbbelgYAPey114fqOQ7PNwz4uYjGlTg07byzOs/edit?gid=2120302259#gid=2120302259"",""2025-26!M3"")"),83.0)</f>
        <v>83</v>
      </c>
      <c r="Y147" s="55">
        <f>IFERROR(__xludf.DUMMYFUNCTION("importrange(""https://docs.google.com/spreadsheets/d/1sSd36kbbelgYAPey114fqOQ7PNwz4uYjGlTg07byzOs/edit?gid=2120302259#gid=2120302259"",""2025-26!n4"")"),824563.1999999989)</f>
        <v>824563.2</v>
      </c>
      <c r="Z147" s="55">
        <f>IFERROR(__xludf.DUMMYFUNCTION("importrange(""https://docs.google.com/spreadsheets/d/1sSd36kbbelgYAPey114fqOQ7PNwz4uYjGlTg07byzOs/edit?gid=2120302259#gid=2120302259"",""2025-26!n3"")"),9.0)</f>
        <v>9</v>
      </c>
      <c r="AA147" s="58">
        <f t="shared" si="19"/>
        <v>0.8634167539</v>
      </c>
      <c r="AB147" s="55">
        <f>IFERROR(__xludf.DUMMYFUNCTION("importrange(""https://docs.google.com/spreadsheets/d/1sSd36kbbelgYAPey114fqOQ7PNwz4uYjGlTg07byzOs/edit?gid=2120302259#gid=2120302259"",""2025-26!o4"")"),824563.0)</f>
        <v>824563</v>
      </c>
      <c r="AC147" s="55">
        <f>IFERROR(__xludf.DUMMYFUNCTION("importrange(""https://docs.google.com/spreadsheets/d/1sSd36kbbelgYAPey114fqOQ7PNwz4uYjGlTg07byzOs/edit?gid=2120302259#gid=2120302259"",""2025-26!o3"")"),9.0)</f>
        <v>9</v>
      </c>
      <c r="AD147" s="55">
        <f>IFERROR(__xludf.DUMMYFUNCTION("importrange(""https://docs.google.com/spreadsheets/d/1sSd36kbbelgYAPey114fqOQ7PNwz4uYjGlTg07byzOs/edit?gid=2120302259#gid=2120302259"",""2025-26!p4"")"),1295000.0)</f>
        <v>1295000</v>
      </c>
      <c r="AE147" s="55">
        <f>IFERROR(__xludf.DUMMYFUNCTION("importrange(""https://docs.google.com/spreadsheets/d/1sSd36kbbelgYAPey114fqOQ7PNwz4uYjGlTg07byzOs/edit?gid=2120302259#gid=2120302259"",""2025-26!p3"")"),83.0)</f>
        <v>83</v>
      </c>
      <c r="AF147" s="55">
        <f>IFERROR(__xludf.DUMMYFUNCTION("importrange(""https://docs.google.com/spreadsheets/d/1sSd36kbbelgYAPey114fqOQ7PNwz4uYjGlTg07byzOs/edit?gid=2120302259#gid=2120302259"",""2025-26!q4"")"),97898.79999999999)</f>
        <v>97898.8</v>
      </c>
      <c r="AG147" s="55">
        <f>IFERROR(__xludf.DUMMYFUNCTION("importrange(""https://docs.google.com/spreadsheets/d/1sSd36kbbelgYAPey114fqOQ7PNwz4uYjGlTg07byzOs/edit?gid=2120302259#gid=2120302259"",""2025-26!q3"")"),3.0)</f>
        <v>3</v>
      </c>
      <c r="AH147" s="58">
        <f t="shared" si="20"/>
        <v>0.0755976834</v>
      </c>
      <c r="AI147" s="55">
        <f>IFERROR(__xludf.DUMMYFUNCTION("importrange(""https://docs.google.com/spreadsheets/d/1sSd36kbbelgYAPey114fqOQ7PNwz4uYjGlTg07byzOs/edit?gid=2120302259#gid=2120302259"",""2025-26!r4"")"),97899.0)</f>
        <v>97899</v>
      </c>
      <c r="AJ147" s="55">
        <f>IFERROR(__xludf.DUMMYFUNCTION("importrange(""https://docs.google.com/spreadsheets/d/1sSd36kbbelgYAPey114fqOQ7PNwz4uYjGlTg07byzOs/edit?gid=2120302259#gid=2120302259"",""2025-26!r3"")"),3.0)</f>
        <v>3</v>
      </c>
      <c r="AK147" s="55">
        <f>IFERROR(__xludf.DUMMYFUNCTION("importrange(""https://docs.google.com/spreadsheets/d/1sSd36kbbelgYAPey114fqOQ7PNwz4uYjGlTg07byzOs/edit?gid=2120302259#gid=2120302259"",""2025-26!s4"")"),1135000.0)</f>
        <v>1135000</v>
      </c>
      <c r="AL147" s="55">
        <f>IFERROR(__xludf.DUMMYFUNCTION("importrange(""https://docs.google.com/spreadsheets/d/1sSd36kbbelgYAPey114fqOQ7PNwz4uYjGlTg07byzOs/edit?gid=2120302259#gid=2120302259"",""2025-26!s3"")"),83.0)</f>
        <v>83</v>
      </c>
      <c r="AM147" s="57">
        <f>IFERROR(__xludf.DUMMYFUNCTION("importrange(""https://docs.google.com/spreadsheets/d/1sSd36kbbelgYAPey114fqOQ7PNwz4uYjGlTg07byzOs/edit?gid=2120302259#gid=2120302259"",""2025-26!t4"")"),359170.23999999993)</f>
        <v>359170.24</v>
      </c>
      <c r="AN147" s="55">
        <f>IFERROR(__xludf.DUMMYFUNCTION("importrange(""https://docs.google.com/spreadsheets/d/1sSd36kbbelgYAPey114fqOQ7PNwz4uYjGlTg07byzOs/edit?gid=2120302259#gid=2120302259"",""2025-26!t3"")"),15.0)</f>
        <v>15</v>
      </c>
      <c r="AO147" s="58">
        <f t="shared" si="21"/>
        <v>0.3164493392</v>
      </c>
      <c r="AP147" s="55">
        <f>IFERROR(__xludf.DUMMYFUNCTION("importrange(""https://docs.google.com/spreadsheets/d/1sSd36kbbelgYAPey114fqOQ7PNwz4uYjGlTg07byzOs/edit?gid=2120302259#gid=2120302259"",""2025-26!u4"")"),359170.0)</f>
        <v>359170</v>
      </c>
      <c r="AQ147" s="55">
        <f>IFERROR(__xludf.DUMMYFUNCTION("importrange(""https://docs.google.com/spreadsheets/d/1sSd36kbbelgYAPey114fqOQ7PNwz4uYjGlTg07byzOs/edit?gid=2120302259#gid=2120302259"",""2025-26!u3"")"),15.0)</f>
        <v>15</v>
      </c>
      <c r="AR147" s="55">
        <f>IFERROR(__xludf.DUMMYFUNCTION("importrange(""https://docs.google.com/spreadsheets/d/1sSd36kbbelgYAPey114fqOQ7PNwz4uYjGlTg07byzOs/edit?gid=2120302259#gid=2120302259"",""2025-26!v4"")"),1485000.0)</f>
        <v>1485000</v>
      </c>
      <c r="AS147" s="55">
        <f>IFERROR(__xludf.DUMMYFUNCTION("importrange(""https://docs.google.com/spreadsheets/d/1sSd36kbbelgYAPey114fqOQ7PNwz4uYjGlTg07byzOs/edit?gid=2120302259#gid=2120302259"",""2025-26!v3"")"),83.0)</f>
        <v>83</v>
      </c>
      <c r="AT147" s="57">
        <f>IFERROR(__xludf.DUMMYFUNCTION("importrange(""https://docs.google.com/spreadsheets/d/1sSd36kbbelgYAPey114fqOQ7PNwz4uYjGlTg07byzOs/edit?gid=2120302259#gid=2120302259"",""2025-26!w4"")"),651611.4)</f>
        <v>651611.4</v>
      </c>
      <c r="AU147" s="55">
        <f>IFERROR(__xludf.DUMMYFUNCTION("importrange(""https://docs.google.com/spreadsheets/d/1sSd36kbbelgYAPey114fqOQ7PNwz4uYjGlTg07byzOs/edit?gid=2120302259#gid=2120302259"",""2025-26!w3"")"),19.0)</f>
        <v>19</v>
      </c>
      <c r="AV147" s="58">
        <f t="shared" si="22"/>
        <v>0.4387946128</v>
      </c>
      <c r="AW147" s="55">
        <f>IFERROR(__xludf.DUMMYFUNCTION("importrange(""https://docs.google.com/spreadsheets/d/1sSd36kbbelgYAPey114fqOQ7PNwz4uYjGlTg07byzOs/edit?gid=2120302259#gid=2120302259"",""2025-26!x4"")"),651610.0)</f>
        <v>651610</v>
      </c>
      <c r="AX147" s="55">
        <f>IFERROR(__xludf.DUMMYFUNCTION("importrange(""https://docs.google.com/spreadsheets/d/1sSd36kbbelgYAPey114fqOQ7PNwz4uYjGlTg07byzOs/edit?gid=2120302259#gid=2120302259"",""2025-26!x3"")"),19.0)</f>
        <v>19</v>
      </c>
      <c r="AY147" s="55">
        <f>IFERROR(__xludf.DUMMYFUNCTION("importrange(""https://docs.google.com/spreadsheets/d/1sSd36kbbelgYAPey114fqOQ7PNwz4uYjGlTg07byzOs/edit?gid=2120302259#gid=2120302259"",""2025-26!y4"")"),1540000.0)</f>
        <v>1540000</v>
      </c>
      <c r="AZ147" s="55">
        <f>IFERROR(__xludf.DUMMYFUNCTION("importrange(""https://docs.google.com/spreadsheets/d/1sSd36kbbelgYAPey114fqOQ7PNwz4uYjGlTg07byzOs/edit?gid=2120302259#gid=2120302259"",""2025-26!y3"")"),83.0)</f>
        <v>83</v>
      </c>
      <c r="BA147" s="57">
        <f>IFERROR(__xludf.DUMMYFUNCTION("importrange(""https://docs.google.com/spreadsheets/d/1sSd36kbbelgYAPey114fqOQ7PNwz4uYjGlTg07byzOs/edit?gid=2120302259#gid=2120302259"",""2025-26!z4"")"),978372.3399999999)</f>
        <v>978372.34</v>
      </c>
      <c r="BB147" s="55">
        <f>IFERROR(__xludf.DUMMYFUNCTION("importrange(""https://docs.google.com/spreadsheets/d/1sSd36kbbelgYAPey114fqOQ7PNwz4uYjGlTg07byzOs/edit?gid=2120302259#gid=2120302259"",""2025-26!z3"")"),24.0)</f>
        <v>24</v>
      </c>
      <c r="BC147" s="59">
        <f t="shared" si="23"/>
        <v>0.6353084416</v>
      </c>
      <c r="BD147" s="55">
        <f>IFERROR(__xludf.DUMMYFUNCTION("importrange(""https://docs.google.com/spreadsheets/d/1sSd36kbbelgYAPey114fqOQ7PNwz4uYjGlTg07byzOs/edit?gid=2120302259#gid=2120302259"",""2025-26!aa4"")"),978375.0)</f>
        <v>978375</v>
      </c>
      <c r="BE147" s="55">
        <f>IFERROR(__xludf.DUMMYFUNCTION("importrange(""https://docs.google.com/spreadsheets/d/1sSd36kbbelgYAPey114fqOQ7PNwz4uYjGlTg07byzOs/edit?gid=2120302259#gid=2120302259"",""2025-26!aa3"")"),24.0)</f>
        <v>24</v>
      </c>
      <c r="BF147" s="55">
        <f>IFERROR(__xludf.DUMMYFUNCTION("importrange(""https://docs.google.com/spreadsheets/d/1sSd36kbbelgYAPey114fqOQ7PNwz4uYjGlTg07byzOs/edit?gid=2120302259#gid=2120302259"",""2025-26!ab4"")"),1540000.0)</f>
        <v>1540000</v>
      </c>
      <c r="BG147" s="55">
        <f>IFERROR(__xludf.DUMMYFUNCTION("importrange(""https://docs.google.com/spreadsheets/d/1sSd36kbbelgYAPey114fqOQ7PNwz4uYjGlTg07byzOs/edit?gid=2120302259#gid=2120302259"",""2025-26!ab3"")"),83.0)</f>
        <v>83</v>
      </c>
      <c r="BH147" s="55">
        <f>IFERROR(__xludf.DUMMYFUNCTION("importrange(""https://docs.google.com/spreadsheets/d/1sSd36kbbelgYAPey114fqOQ7PNwz4uYjGlTg07byzOs/edit?gid=2120302259#gid=2120302259"",""2025-26!ac4"")"),784695.73)</f>
        <v>784695.73</v>
      </c>
      <c r="BI147" s="55">
        <f>IFERROR(__xludf.DUMMYFUNCTION("importrange(""https://docs.google.com/spreadsheets/d/1sSd36kbbelgYAPey114fqOQ7PNwz4uYjGlTg07byzOs/edit?gid=2120302259#gid=2120302259"",""2025-26!ac3"")"),19.0)</f>
        <v>19</v>
      </c>
      <c r="BJ147" s="59">
        <f t="shared" si="24"/>
        <v>0.5095428571</v>
      </c>
      <c r="BK147" s="55">
        <f>IFERROR(__xludf.DUMMYFUNCTION("importrange(""https://docs.google.com/spreadsheets/d/1sSd36kbbelgYAPey114fqOQ7PNwz4uYjGlTg07byzOs/edit?gid=2120302259#gid=2120302259"",""2025-26!ad4"")"),784696.0)</f>
        <v>784696</v>
      </c>
      <c r="BL147" s="55">
        <f>IFERROR(__xludf.DUMMYFUNCTION("importrange(""https://docs.google.com/spreadsheets/d/1sSd36kbbelgYAPey114fqOQ7PNwz4uYjGlTg07byzOs/edit?gid=2120302259#gid=2120302259"",""2025-26!ad3"")"),19.0)</f>
        <v>19</v>
      </c>
      <c r="BM147" s="55">
        <f>IFERROR(__xludf.DUMMYFUNCTION("importrange(""https://docs.google.com/spreadsheets/d/1sSd36kbbelgYAPey114fqOQ7PNwz4uYjGlTg07byzOs/edit?gid=2120302259#gid=2120302259"",""2025-26!ae4"")"),1380000.0)</f>
        <v>1380000</v>
      </c>
      <c r="BN147" s="55">
        <f>IFERROR(__xludf.DUMMYFUNCTION("importrange(""https://docs.google.com/spreadsheets/d/1sSd36kbbelgYAPey114fqOQ7PNwz4uYjGlTg07byzOs/edit?gid=2120302259#gid=2120302259"",""2025-26!ae3"")"),83.0)</f>
        <v>83</v>
      </c>
      <c r="BO147" s="55">
        <f>IFERROR(__xludf.DUMMYFUNCTION("importrange(""https://docs.google.com/spreadsheets/d/1sSd36kbbelgYAPey114fqOQ7PNwz4uYjGlTg07byzOs/edit?gid=2120302259#gid=2120302259"",""2025-26!af4"")"),1346787.4800000002)</f>
        <v>1346787.48</v>
      </c>
      <c r="BP147" s="55">
        <f>IFERROR(__xludf.DUMMYFUNCTION("importrange(""https://docs.google.com/spreadsheets/d/1sSd36kbbelgYAPey114fqOQ7PNwz4uYjGlTg07byzOs/edit?gid=2120302259#gid=2120302259"",""2025-26!af3"")"),29.0)</f>
        <v>29</v>
      </c>
      <c r="BQ147" s="59">
        <f t="shared" si="25"/>
        <v>0.9758913043</v>
      </c>
      <c r="BR147" s="55">
        <f>IFERROR(__xludf.DUMMYFUNCTION("importrange(""https://docs.google.com/spreadsheets/d/1sSd36kbbelgYAPey114fqOQ7PNwz4uYjGlTg07byzOs/edit?gid=2120302259#gid=2120302259"",""2025-26!ag4"")"),1346730.0)</f>
        <v>1346730</v>
      </c>
      <c r="BS147" s="55">
        <f>IFERROR(__xludf.DUMMYFUNCTION("importrange(""https://docs.google.com/spreadsheets/d/1sSd36kbbelgYAPey114fqOQ7PNwz4uYjGlTg07byzOs/edit?gid=2120302259#gid=2120302259"",""2025-26!ag3"")"),29.0)</f>
        <v>29</v>
      </c>
      <c r="BT147" s="55">
        <f>IFERROR(__xludf.DUMMYFUNCTION("importrange(""https://docs.google.com/spreadsheets/d/1sSd36kbbelgYAPey114fqOQ7PNwz4uYjGlTg07byzOs/edit?gid=2120302259#gid=2120302259"",""2025-26!ah4"")"),1590000.0)</f>
        <v>1590000</v>
      </c>
      <c r="BU147" s="55">
        <f>IFERROR(__xludf.DUMMYFUNCTION("importrange(""https://docs.google.com/spreadsheets/d/1sSd36kbbelgYAPey114fqOQ7PNwz4uYjGlTg07byzOs/edit?gid=2120302259#gid=2120302259"",""2025-26!ah3"")"),83.0)</f>
        <v>83</v>
      </c>
      <c r="BV147" s="55">
        <f>IFERROR(__xludf.DUMMYFUNCTION("importrange(""https://docs.google.com/spreadsheets/d/1sSd36kbbelgYAPey114fqOQ7PNwz4uYjGlTg07byzOs/edit?gid=2120302259#gid=2120302259"",""2025-26!ai4"")"),1552274.3699999999)</f>
        <v>1552274.37</v>
      </c>
      <c r="BW147" s="55">
        <f>IFERROR(__xludf.DUMMYFUNCTION("importrange(""https://docs.google.com/spreadsheets/d/1sSd36kbbelgYAPey114fqOQ7PNwz4uYjGlTg07byzOs/edit?gid=2120302259#gid=2120302259"",""2025-26!ai3"")"),22.0)</f>
        <v>22</v>
      </c>
      <c r="BX147" s="59">
        <f t="shared" si="26"/>
        <v>0.9762735849</v>
      </c>
      <c r="BY147" s="55">
        <f>IFERROR(__xludf.DUMMYFUNCTION("importrange(""https://docs.google.com/spreadsheets/d/1sSd36kbbelgYAPey114fqOQ7PNwz4uYjGlTg07byzOs/edit?gid=2120302259#gid=2120302259"",""2025-26!aj4"")"),1552275.0)</f>
        <v>1552275</v>
      </c>
      <c r="BZ147" s="55">
        <f>IFERROR(__xludf.DUMMYFUNCTION("importrange(""https://docs.google.com/spreadsheets/d/1sSd36kbbelgYAPey114fqOQ7PNwz4uYjGlTg07byzOs/edit?gid=2120302259#gid=2120302259"",""2025-26!aj3"")"),22.0)</f>
        <v>22</v>
      </c>
      <c r="CA147" s="55">
        <f>IFERROR(__xludf.DUMMYFUNCTION("importrange(""https://docs.google.com/spreadsheets/d/1sSd36kbbelgYAPey114fqOQ7PNwz4uYjGlTg07byzOs/edit?gid=2120302259#gid=2120302259"",""2025-26!ak4"")"),1545000.0)</f>
        <v>1545000</v>
      </c>
      <c r="CB147" s="55">
        <f>IFERROR(__xludf.DUMMYFUNCTION("importrange(""https://docs.google.com/spreadsheets/d/1sSd36kbbelgYAPey114fqOQ7PNwz4uYjGlTg07byzOs/edit?gid=2120302259#gid=2120302259"",""2025-26!ak3"")"),83.0)</f>
        <v>83</v>
      </c>
      <c r="CC147" s="55">
        <f>IFERROR(__xludf.DUMMYFUNCTION("importrange(""https://docs.google.com/spreadsheets/d/1sSd36kbbelgYAPey114fqOQ7PNwz4uYjGlTg07byzOs/edit?gid=2120302259#gid=2120302259"",""2025-26!al4"")"),1033326.03)</f>
        <v>1033326.03</v>
      </c>
      <c r="CD147" s="55">
        <f>IFERROR(__xludf.DUMMYFUNCTION("importrange(""https://docs.google.com/spreadsheets/d/1sSd36kbbelgYAPey114fqOQ7PNwz4uYjGlTg07byzOs/edit?gid=2120302259#gid=2120302259"",""2025-26!ai3"")"),22.0)</f>
        <v>22</v>
      </c>
      <c r="CE147" s="59">
        <f t="shared" si="27"/>
        <v>0.6688213592</v>
      </c>
      <c r="CF147" s="55">
        <f>IFERROR(__xludf.DUMMYFUNCTION("importrange(""https://docs.google.com/spreadsheets/d/1sSd36kbbelgYAPey114fqOQ7PNwz4uYjGlTg07byzOs/edit?gid=2120302259#gid=2120302259"",""2025-26!am4"")"),1033329.0)</f>
        <v>1033329</v>
      </c>
      <c r="CG147" s="55">
        <f>IFERROR(__xludf.DUMMYFUNCTION("importrange(""https://docs.google.com/spreadsheets/d/1sSd36kbbelgYAPey114fqOQ7PNwz4uYjGlTg07byzOs/edit?gid=2120302259#gid=2120302259"",""2025-26!am3"")"),27.0)</f>
        <v>27</v>
      </c>
      <c r="CH147" s="55">
        <f>IFERROR(__xludf.DUMMYFUNCTION("importrange(""https://docs.google.com/spreadsheets/d/1sSd36kbbelgYAPey114fqOQ7PNwz4uYjGlTg07byzOs/edit?gid=2120302259#gid=2120302259"",""2025-26!an4"")"),1490000.0)</f>
        <v>1490000</v>
      </c>
      <c r="CI147" s="55">
        <f>IFERROR(__xludf.DUMMYFUNCTION("importrange(""https://docs.google.com/spreadsheets/d/1sSd36kbbelgYAPey114fqOQ7PNwz4uYjGlTg07byzOs/edit?gid=2120302259#gid=2120302259"",""2025-26!an3"")"),83.0)</f>
        <v>83</v>
      </c>
      <c r="CJ147" s="55">
        <f>IFERROR(__xludf.DUMMYFUNCTION("importrange(""https://docs.google.com/spreadsheets/d/1sSd36kbbelgYAPey114fqOQ7PNwz4uYjGlTg07byzOs/edit?gid=2120302259#gid=2120302259"",""2025-26!ao4"")"),1845104.3)</f>
        <v>1845104.3</v>
      </c>
      <c r="CK147" s="55">
        <f>IFERROR(__xludf.DUMMYFUNCTION("importrange(""https://docs.google.com/spreadsheets/d/1sSd36kbbelgYAPey114fqOQ7PNwz4uYjGlTg07byzOs/edit?gid=2120302259#gid=2120302259"",""2025-26!ao3"")"),17.0)</f>
        <v>17</v>
      </c>
      <c r="CL147" s="59">
        <f t="shared" si="28"/>
        <v>1.180026174</v>
      </c>
      <c r="CM147" s="55">
        <f>IFERROR(__xludf.DUMMYFUNCTION("importrange(""https://docs.google.com/spreadsheets/d/1sSd36kbbelgYAPey114fqOQ7PNwz4uYjGlTg07byzOs/edit?gid=2120302259#gid=2120302259"",""2025-26!ap4"")"),1758239.0)</f>
        <v>1758239</v>
      </c>
      <c r="CN147" s="55">
        <f>IFERROR(__xludf.DUMMYFUNCTION("importrange(""https://docs.google.com/spreadsheets/d/1sSd36kbbelgYAPey114fqOQ7PNwz4uYjGlTg07byzOs/edit?gid=2120302259#gid=2120302259"",""2025-26!ap3"")"),16.0)</f>
        <v>16</v>
      </c>
      <c r="CO147" s="55">
        <f>IFERROR(__xludf.DUMMYFUNCTION("importrange(""https://docs.google.com/spreadsheets/d/1sSd36kbbelgYAPey114fqOQ7PNwz4uYjGlTg07byzOs/edit?gid=2120302259#gid=2120302259"",""2025-26!aq4"")"),1545000.0)</f>
        <v>1545000</v>
      </c>
      <c r="CP147" s="55">
        <f>IFERROR(__xludf.DUMMYFUNCTION("importrange(""https://docs.google.com/spreadsheets/d/1sSd36kbbelgYAPey114fqOQ7PNwz4uYjGlTg07byzOs/edit?gid=2120302259#gid=2120302259"",""2025-26!aq3"")"),83.0)</f>
        <v>83</v>
      </c>
      <c r="CQ147" s="55">
        <f>IFERROR(__xludf.DUMMYFUNCTION("importrange(""https://docs.google.com/spreadsheets/d/1sSd36kbbelgYAPey114fqOQ7PNwz4uYjGlTg07byzOs/edit?gid=2120302259#gid=2120302259"",""2025-26!ar4"")"),1190757.12)</f>
        <v>1190757.12</v>
      </c>
      <c r="CR147" s="55">
        <f>IFERROR(__xludf.DUMMYFUNCTION("importrange(""https://docs.google.com/spreadsheets/d/1sSd36kbbelgYAPey114fqOQ7PNwz4uYjGlTg07byzOs/edit?gid=2120302259#gid=2120302259"",""2025-26!ar3"")"),16.0)</f>
        <v>16</v>
      </c>
      <c r="CS147" s="59">
        <f t="shared" si="29"/>
        <v>0.7707177994</v>
      </c>
      <c r="CT147" s="55">
        <f>IFERROR(__xludf.DUMMYFUNCTION("importrange(""https://docs.google.com/spreadsheets/d/1sSd36kbbelgYAPey114fqOQ7PNwz4uYjGlTg07byzOs/edit?gid=2120302259#gid=2120302259"",""2025-26!as4"")"),1190759.0)</f>
        <v>1190759</v>
      </c>
      <c r="CU147" s="55">
        <f>IFERROR(__xludf.DUMMYFUNCTION("importrange(""https://docs.google.com/spreadsheets/d/1sSd36kbbelgYAPey114fqOQ7PNwz4uYjGlTg07byzOs/edit?gid=2120302259#gid=2120302259"",""2025-26!as3"")"),16.0)</f>
        <v>16</v>
      </c>
      <c r="CV147" s="60" t="s">
        <v>301</v>
      </c>
    </row>
    <row r="148">
      <c r="A148" s="1" t="s">
        <v>298</v>
      </c>
      <c r="B148" s="37"/>
      <c r="C148" s="104" t="s">
        <v>318</v>
      </c>
      <c r="D148" s="49" t="s">
        <v>319</v>
      </c>
      <c r="E148" s="50">
        <v>9.665082509E9</v>
      </c>
      <c r="F148" s="82">
        <v>45887.0</v>
      </c>
      <c r="G148" s="75"/>
      <c r="H148" s="75"/>
      <c r="I148" s="83">
        <v>40885.0</v>
      </c>
      <c r="J148" s="54">
        <v>1200000.0</v>
      </c>
      <c r="K148" s="57">
        <f>IFERROR(__xludf.DUMMYFUNCTION("IMPORTRANGE(""https://docs.google.com/spreadsheets/d/1Q5bLMdU-xURO8V0-x3r5xNyq88vnfkNPCQ3hu_xHIsU/edit?gid=162659938#gid=162659938"",""2025-26!A3"")"),67.0)</f>
        <v>67</v>
      </c>
      <c r="L148" s="57">
        <f>IFERROR(__xludf.DUMMYFUNCTION("IMPORTRANGE(""https://docs.google.com/spreadsheets/d/1Q5bLMdU-xURO8V0-x3r5xNyq88vnfkNPCQ3hu_xHIsU/edit?gid=162659938#gid=162659938"",""2025-26!G4"")"),5170000.0)</f>
        <v>5170000</v>
      </c>
      <c r="M148" s="57">
        <f t="shared" si="50"/>
        <v>3134786.22</v>
      </c>
      <c r="N148" s="56">
        <f t="shared" si="51"/>
        <v>0.8959352031</v>
      </c>
      <c r="O148" s="57">
        <f t="shared" si="52"/>
        <v>4631985</v>
      </c>
      <c r="P148" s="55">
        <f>IFERROR(__xludf.DUMMYFUNCTION("IMPORTRANGE(""https://docs.google.com/spreadsheets/d/1Q5bLMdU-xURO8V0-x3r5xNyq88vnfkNPCQ3hu_xHIsU/edit?gid=162659938#gid=162659938"",""2025-26!J4"")"),0.0)</f>
        <v>0</v>
      </c>
      <c r="Q148" s="55">
        <f>IFERROR(__xludf.DUMMYFUNCTION("IMPORTRANGE(""https://docs.google.com/spreadsheets/d/1Q5bLMdU-xURO8V0-x3r5xNyq88vnfkNPCQ3hu_xHIsU/edit?gid=162659938#gid=162659938"",""2025-26!J3"")"),0.0)</f>
        <v>0</v>
      </c>
      <c r="R148" s="55">
        <f>IFERROR(__xludf.DUMMYFUNCTION("IMPORTRANGE(""https://docs.google.com/spreadsheets/d/1Q5bLMdU-xURO8V0-x3r5xNyq88vnfkNPCQ3hu_xHIsU/edit?gid=162659938#gid=162659938"",""2025-26!K4"")"),0.0)</f>
        <v>0</v>
      </c>
      <c r="S148" s="55">
        <f>IFERROR(__xludf.DUMMYFUNCTION("IMPORTRANGE(""https://docs.google.com/spreadsheets/d/1Q5bLMdU-xURO8V0-x3r5xNyq88vnfkNPCQ3hu_xHIsU/edit?gid=162659938#gid=162659938"",""2025-26!K3"")"),0.0)</f>
        <v>0</v>
      </c>
      <c r="T148" s="58" t="str">
        <f t="shared" si="18"/>
        <v/>
      </c>
      <c r="U148" s="55">
        <f>IFERROR(__xludf.DUMMYFUNCTION("IMPORTRANGE(""https://docs.google.com/spreadsheets/d/1Q5bLMdU-xURO8V0-x3r5xNyq88vnfkNPCQ3hu_xHIsU/edit?gid=162659938#gid=162659938"",""2025-26!L4"")"),0.0)</f>
        <v>0</v>
      </c>
      <c r="V148" s="79">
        <f>IFERROR(__xludf.DUMMYFUNCTION("IMPORTRANGE(""https://docs.google.com/spreadsheets/d/1Q5bLMdU-xURO8V0-x3r5xNyq88vnfkNPCQ3hu_xHIsU/edit?gid=162659938#gid=162659938"",""2025-26!L3"")"),0.0)</f>
        <v>0</v>
      </c>
      <c r="W148" s="55">
        <f>IFERROR(__xludf.DUMMYFUNCTION("IMPORTRANGE(""https://docs.google.com/spreadsheets/d/1Q5bLMdU-xURO8V0-x3r5xNyq88vnfkNPCQ3hu_xHIsU/edit?gid=162659938#gid=162659938"",""2025-26!M4"")"),0.0)</f>
        <v>0</v>
      </c>
      <c r="X148" s="79">
        <f>IFERROR(__xludf.DUMMYFUNCTION("IMPORTRANGE(""https://docs.google.com/spreadsheets/d/1Q5bLMdU-xURO8V0-x3r5xNyq88vnfkNPCQ3hu_xHIsU/edit?gid=162659938#gid=162659938"",""2025-26!M3"")"),0.0)</f>
        <v>0</v>
      </c>
      <c r="Y148" s="55">
        <f>IFERROR(__xludf.DUMMYFUNCTION("importrange(""https://docs.google.com/spreadsheets/d/1Q5bLMdU-xURO8V0-x3r5xNyq88vnfkNPCQ3hu_xHIsU/edit?gid=162659938#gid=162659938"",""2025-26!n4"")"),0.0)</f>
        <v>0</v>
      </c>
      <c r="Z148" s="55">
        <f>IFERROR(__xludf.DUMMYFUNCTION("importrange(""https://docs.google.com/spreadsheets/d/1Q5bLMdU-xURO8V0-x3r5xNyq88vnfkNPCQ3hu_xHIsU/edit?gid=162659938#gid=162659938"",""2025-26!n3"")"),0.0)</f>
        <v>0</v>
      </c>
      <c r="AA148" s="58" t="str">
        <f t="shared" si="19"/>
        <v/>
      </c>
      <c r="AB148" s="55">
        <f>IFERROR(__xludf.DUMMYFUNCTION("importrange(""https://docs.google.com/spreadsheets/d/1Q5bLMdU-xURO8V0-x3r5xNyq88vnfkNPCQ3hu_xHIsU/edit?gid=162659938#gid=162659938"",""2025-26!o4"")"),0.0)</f>
        <v>0</v>
      </c>
      <c r="AC148" s="55">
        <f>IFERROR(__xludf.DUMMYFUNCTION("importrange(""https://docs.google.com/spreadsheets/d/1Q5bLMdU-xURO8V0-x3r5xNyq88vnfkNPCQ3hu_xHIsU/edit?gid=162659938#gid=162659938"",""2025-26!o3"")"),0.0)</f>
        <v>0</v>
      </c>
      <c r="AD148" s="55">
        <f>IFERROR(__xludf.DUMMYFUNCTION("importrange(""https://docs.google.com/spreadsheets/d/1Q5bLMdU-xURO8V0-x3r5xNyq88vnfkNPCQ3hu_xHIsU/edit?gid=162659938#gid=162659938"",""2025-26!p4"")"),0.0)</f>
        <v>0</v>
      </c>
      <c r="AE148" s="55">
        <f>IFERROR(__xludf.DUMMYFUNCTION("importrange(""https://docs.google.com/spreadsheets/d/1Q5bLMdU-xURO8V0-x3r5xNyq88vnfkNPCQ3hu_xHIsU/edit?gid=162659938#gid=162659938"",""2025-26!p3"")"),0.0)</f>
        <v>0</v>
      </c>
      <c r="AF148" s="55">
        <f>IFERROR(__xludf.DUMMYFUNCTION("importrange(""https://docs.google.com/spreadsheets/d/1Q5bLMdU-xURO8V0-x3r5xNyq88vnfkNPCQ3hu_xHIsU/edit?gid=162659938#gid=162659938"",""2025-26!q4"")"),0.0)</f>
        <v>0</v>
      </c>
      <c r="AG148" s="55">
        <f>IFERROR(__xludf.DUMMYFUNCTION("importrange(""https://docs.google.com/spreadsheets/d/1Q5bLMdU-xURO8V0-x3r5xNyq88vnfkNPCQ3hu_xHIsU/edit?gid=162659938#gid=162659938"",""2025-26!q3"")"),0.0)</f>
        <v>0</v>
      </c>
      <c r="AH148" s="58" t="str">
        <f t="shared" si="20"/>
        <v/>
      </c>
      <c r="AI148" s="55">
        <f>IFERROR(__xludf.DUMMYFUNCTION("importrange(""https://docs.google.com/spreadsheets/d/1Q5bLMdU-xURO8V0-x3r5xNyq88vnfkNPCQ3hu_xHIsU/edit?gid=162659938#gid=162659938"",""2025-26!r4"")"),0.0)</f>
        <v>0</v>
      </c>
      <c r="AJ148" s="55">
        <f>IFERROR(__xludf.DUMMYFUNCTION("importrange(""https://docs.google.com/spreadsheets/d/1Q5bLMdU-xURO8V0-x3r5xNyq88vnfkNPCQ3hu_xHIsU/edit?gid=162659938#gid=162659938"",""2025-26!r3"")"),0.0)</f>
        <v>0</v>
      </c>
      <c r="AK148" s="55">
        <f>IFERROR(__xludf.DUMMYFUNCTION("importrange(""https://docs.google.com/spreadsheets/d/1Q5bLMdU-xURO8V0-x3r5xNyq88vnfkNPCQ3hu_xHIsU/edit?gid=162659938#gid=162659938"",""2025-26!s4"")"),0.0)</f>
        <v>0</v>
      </c>
      <c r="AL148" s="55">
        <f>IFERROR(__xludf.DUMMYFUNCTION("importrange(""https://docs.google.com/spreadsheets/d/1Q5bLMdU-xURO8V0-x3r5xNyq88vnfkNPCQ3hu_xHIsU/edit?gid=162659938#gid=162659938"",""2025-26!s3"")"),0.0)</f>
        <v>0</v>
      </c>
      <c r="AM148" s="57">
        <f>IFERROR(__xludf.DUMMYFUNCTION("importrange(""https://docs.google.com/spreadsheets/d/1Q5bLMdU-xURO8V0-x3r5xNyq88vnfkNPCQ3hu_xHIsU/edit?gid=162659938#gid=162659938"",""2025-26!t4"")"),0.0)</f>
        <v>0</v>
      </c>
      <c r="AN148" s="55">
        <f>IFERROR(__xludf.DUMMYFUNCTION("importrange(""https://docs.google.com/spreadsheets/d/1Q5bLMdU-xURO8V0-x3r5xNyq88vnfkNPCQ3hu_xHIsU/edit?gid=162659938#gid=162659938"",""2025-26!t3"")"),0.0)</f>
        <v>0</v>
      </c>
      <c r="AO148" s="58" t="str">
        <f t="shared" si="21"/>
        <v/>
      </c>
      <c r="AP148" s="55">
        <f>IFERROR(__xludf.DUMMYFUNCTION("importrange(""https://docs.google.com/spreadsheets/d/1Q5bLMdU-xURO8V0-x3r5xNyq88vnfkNPCQ3hu_xHIsU/edit?gid=162659938#gid=162659938"",""2025-26!u4"")"),0.0)</f>
        <v>0</v>
      </c>
      <c r="AQ148" s="55">
        <f>IFERROR(__xludf.DUMMYFUNCTION("importrange(""https://docs.google.com/spreadsheets/d/1Q5bLMdU-xURO8V0-x3r5xNyq88vnfkNPCQ3hu_xHIsU/edit?gid=162659938#gid=162659938"",""2025-26!u3"")"),0.0)</f>
        <v>0</v>
      </c>
      <c r="AR148" s="55">
        <f>IFERROR(__xludf.DUMMYFUNCTION("importrange(""https://docs.google.com/spreadsheets/d/1Q5bLMdU-xURO8V0-x3r5xNyq88vnfkNPCQ3hu_xHIsU/edit?gid=162659938#gid=162659938"",""2025-26!v4"")"),0.0)</f>
        <v>0</v>
      </c>
      <c r="AS148" s="55">
        <f>IFERROR(__xludf.DUMMYFUNCTION("importrange(""https://docs.google.com/spreadsheets/d/1Q5bLMdU-xURO8V0-x3r5xNyq88vnfkNPCQ3hu_xHIsU/edit?gid=162659938#gid=162659938"",""2025-26!v3"")"),0.0)</f>
        <v>0</v>
      </c>
      <c r="AT148" s="57">
        <f>IFERROR(__xludf.DUMMYFUNCTION("importrange(""https://docs.google.com/spreadsheets/d/1Q5bLMdU-xURO8V0-x3r5xNyq88vnfkNPCQ3hu_xHIsU/edit?gid=162659938#gid=162659938"",""2025-26!w4"")"),0.0)</f>
        <v>0</v>
      </c>
      <c r="AU148" s="55">
        <f>IFERROR(__xludf.DUMMYFUNCTION("importrange(""https://docs.google.com/spreadsheets/d/1Q5bLMdU-xURO8V0-x3r5xNyq88vnfkNPCQ3hu_xHIsU/edit?gid=162659938#gid=162659938"",""2025-26!w3"")"),0.0)</f>
        <v>0</v>
      </c>
      <c r="AV148" s="58" t="str">
        <f t="shared" si="22"/>
        <v/>
      </c>
      <c r="AW148" s="55">
        <f>IFERROR(__xludf.DUMMYFUNCTION("importrange(""https://docs.google.com/spreadsheets/d/1Q5bLMdU-xURO8V0-x3r5xNyq88vnfkNPCQ3hu_xHIsU/edit?gid=162659938#gid=162659938"",""2025-26!x4"")"),0.0)</f>
        <v>0</v>
      </c>
      <c r="AX148" s="55">
        <f>IFERROR(__xludf.DUMMYFUNCTION("importrange(""https://docs.google.com/spreadsheets/d/1Q5bLMdU-xURO8V0-x3r5xNyq88vnfkNPCQ3hu_xHIsU/edit?gid=162659938#gid=162659938"",""2025-26!x3"")"),0.0)</f>
        <v>0</v>
      </c>
      <c r="AY148" s="55">
        <f>IFERROR(__xludf.DUMMYFUNCTION("importrange(""https://docs.google.com/spreadsheets/d/1Q5bLMdU-xURO8V0-x3r5xNyq88vnfkNPCQ3hu_xHIsU/edit?gid=162659938#gid=162659938"",""2025-26!y4"")"),875000.0)</f>
        <v>875000</v>
      </c>
      <c r="AZ148" s="55">
        <f>IFERROR(__xludf.DUMMYFUNCTION("importrange(""https://docs.google.com/spreadsheets/d/1Q5bLMdU-xURO8V0-x3r5xNyq88vnfkNPCQ3hu_xHIsU/edit?gid=162659938#gid=162659938"",""2025-26!y3"")"),31.0)</f>
        <v>31</v>
      </c>
      <c r="BA148" s="57">
        <f>IFERROR(__xludf.DUMMYFUNCTION("importrange(""https://docs.google.com/spreadsheets/d/1Q5bLMdU-xURO8V0-x3r5xNyq88vnfkNPCQ3hu_xHIsU/edit?gid=162659938#gid=162659938"",""2025-26!z4"")"),365966.79999999993)</f>
        <v>365966.8</v>
      </c>
      <c r="BB148" s="55">
        <f>IFERROR(__xludf.DUMMYFUNCTION("importrange(""https://docs.google.com/spreadsheets/d/1Q5bLMdU-xURO8V0-x3r5xNyq88vnfkNPCQ3hu_xHIsU/edit?gid=162659938#gid=162659938"",""2025-26!z3"")"),11.0)</f>
        <v>11</v>
      </c>
      <c r="BC148" s="59">
        <f t="shared" si="23"/>
        <v>0.6766262857</v>
      </c>
      <c r="BD148" s="55">
        <f>IFERROR(__xludf.DUMMYFUNCTION("importrange(""https://docs.google.com/spreadsheets/d/1Q5bLMdU-xURO8V0-x3r5xNyq88vnfkNPCQ3hu_xHIsU/edit?gid=162659938#gid=162659938"",""2025-26!aa4"")"),592048.0)</f>
        <v>592048</v>
      </c>
      <c r="BE148" s="55">
        <f>IFERROR(__xludf.DUMMYFUNCTION("importrange(""https://docs.google.com/spreadsheets/d/1Q5bLMdU-xURO8V0-x3r5xNyq88vnfkNPCQ3hu_xHIsU/edit?gid=162659938#gid=162659938"",""2025-26!aa3"")"),21.0)</f>
        <v>21</v>
      </c>
      <c r="BF148" s="55">
        <f>IFERROR(__xludf.DUMMYFUNCTION("importrange(""https://docs.google.com/spreadsheets/d/1Q5bLMdU-xURO8V0-x3r5xNyq88vnfkNPCQ3hu_xHIsU/edit?gid=162659938#gid=162659938"",""2025-26!ab4"")"),960000.0)</f>
        <v>960000</v>
      </c>
      <c r="BG148" s="55">
        <f>IFERROR(__xludf.DUMMYFUNCTION("importrange(""https://docs.google.com/spreadsheets/d/1Q5bLMdU-xURO8V0-x3r5xNyq88vnfkNPCQ3hu_xHIsU/edit?gid=162659938#gid=162659938"",""2025-26!ab3"")"),33.0)</f>
        <v>33</v>
      </c>
      <c r="BH148" s="55">
        <f>IFERROR(__xludf.DUMMYFUNCTION("importrange(""https://docs.google.com/spreadsheets/d/1Q5bLMdU-xURO8V0-x3r5xNyq88vnfkNPCQ3hu_xHIsU/edit?gid=162659938#gid=162659938"",""2025-26!ac4"")"),302481.3)</f>
        <v>302481.3</v>
      </c>
      <c r="BI148" s="55">
        <f>IFERROR(__xludf.DUMMYFUNCTION("importrange(""https://docs.google.com/spreadsheets/d/1Q5bLMdU-xURO8V0-x3r5xNyq88vnfkNPCQ3hu_xHIsU/edit?gid=162659938#gid=162659938"",""2025-26!ac3"")"),9.0)</f>
        <v>9</v>
      </c>
      <c r="BJ148" s="59">
        <f t="shared" si="24"/>
        <v>0.6608572917</v>
      </c>
      <c r="BK148" s="55">
        <f>IFERROR(__xludf.DUMMYFUNCTION("importrange(""https://docs.google.com/spreadsheets/d/1Q5bLMdU-xURO8V0-x3r5xNyq88vnfkNPCQ3hu_xHIsU/edit?gid=162659938#gid=162659938"",""2025-26!ad4"")"),634423.0)</f>
        <v>634423</v>
      </c>
      <c r="BL148" s="55">
        <f>IFERROR(__xludf.DUMMYFUNCTION("importrange(""https://docs.google.com/spreadsheets/d/1Q5bLMdU-xURO8V0-x3r5xNyq88vnfkNPCQ3hu_xHIsU/edit?gid=162659938#gid=162659938"",""2025-26!ad3"")"),21.0)</f>
        <v>21</v>
      </c>
      <c r="BM148" s="55">
        <f>IFERROR(__xludf.DUMMYFUNCTION("importrange(""https://docs.google.com/spreadsheets/d/1Q5bLMdU-xURO8V0-x3r5xNyq88vnfkNPCQ3hu_xHIsU/edit?gid=162659938#gid=162659938"",""2025-26!ae4"")"),1070000.0)</f>
        <v>1070000</v>
      </c>
      <c r="BN148" s="55">
        <f>IFERROR(__xludf.DUMMYFUNCTION("importrange(""https://docs.google.com/spreadsheets/d/1Q5bLMdU-xURO8V0-x3r5xNyq88vnfkNPCQ3hu_xHIsU/edit?gid=162659938#gid=162659938"",""2025-26!ae3"")"),34.0)</f>
        <v>34</v>
      </c>
      <c r="BO148" s="55">
        <f>IFERROR(__xludf.DUMMYFUNCTION("importrange(""https://docs.google.com/spreadsheets/d/1Q5bLMdU-xURO8V0-x3r5xNyq88vnfkNPCQ3hu_xHIsU/edit?gid=162659938#gid=162659938"",""2025-26!af4"")"),308107.22)</f>
        <v>308107.22</v>
      </c>
      <c r="BP148" s="55">
        <f>IFERROR(__xludf.DUMMYFUNCTION("importrange(""https://docs.google.com/spreadsheets/d/1Q5bLMdU-xURO8V0-x3r5xNyq88vnfkNPCQ3hu_xHIsU/edit?gid=162659938#gid=162659938"",""2025-26!af3"")"),10.0)</f>
        <v>10</v>
      </c>
      <c r="BQ148" s="59">
        <f t="shared" si="25"/>
        <v>0.5938869159</v>
      </c>
      <c r="BR148" s="55">
        <f>IFERROR(__xludf.DUMMYFUNCTION("importrange(""https://docs.google.com/spreadsheets/d/1Q5bLMdU-xURO8V0-x3r5xNyq88vnfkNPCQ3hu_xHIsU/edit?gid=162659938#gid=162659938"",""2025-26!ag4"")"),635459.0)</f>
        <v>635459</v>
      </c>
      <c r="BS148" s="55">
        <f>IFERROR(__xludf.DUMMYFUNCTION("importrange(""https://docs.google.com/spreadsheets/d/1Q5bLMdU-xURO8V0-x3r5xNyq88vnfkNPCQ3hu_xHIsU/edit?gid=162659938#gid=162659938"",""2025-26!ag3"")"),25.0)</f>
        <v>25</v>
      </c>
      <c r="BT148" s="55">
        <f>IFERROR(__xludf.DUMMYFUNCTION("importrange(""https://docs.google.com/spreadsheets/d/1Q5bLMdU-xURO8V0-x3r5xNyq88vnfkNPCQ3hu_xHIsU/edit?gid=162659938#gid=162659938"",""2025-26!ah4"")"),1170000.0)</f>
        <v>1170000</v>
      </c>
      <c r="BU148" s="55">
        <f>IFERROR(__xludf.DUMMYFUNCTION("importrange(""https://docs.google.com/spreadsheets/d/1Q5bLMdU-xURO8V0-x3r5xNyq88vnfkNPCQ3hu_xHIsU/edit?gid=162659938#gid=162659938"",""2025-26!ah3"")"),36.0)</f>
        <v>36</v>
      </c>
      <c r="BV148" s="55">
        <f>IFERROR(__xludf.DUMMYFUNCTION("importrange(""https://docs.google.com/spreadsheets/d/1Q5bLMdU-xURO8V0-x3r5xNyq88vnfkNPCQ3hu_xHIsU/edit?gid=162659938#gid=162659938"",""2025-26!ai4"")"),500885.04)</f>
        <v>500885.04</v>
      </c>
      <c r="BW148" s="55">
        <f>IFERROR(__xludf.DUMMYFUNCTION("importrange(""https://docs.google.com/spreadsheets/d/1Q5bLMdU-xURO8V0-x3r5xNyq88vnfkNPCQ3hu_xHIsU/edit?gid=162659938#gid=162659938"",""2025-26!ai3"")"),15.0)</f>
        <v>15</v>
      </c>
      <c r="BX148" s="59">
        <f t="shared" si="26"/>
        <v>0.5498196581</v>
      </c>
      <c r="BY148" s="55">
        <f>IFERROR(__xludf.DUMMYFUNCTION("importrange(""https://docs.google.com/spreadsheets/d/1Q5bLMdU-xURO8V0-x3r5xNyq88vnfkNPCQ3hu_xHIsU/edit?gid=162659938#gid=162659938"",""2025-26!aj4"")"),643289.0)</f>
        <v>643289</v>
      </c>
      <c r="BZ148" s="55">
        <f>IFERROR(__xludf.DUMMYFUNCTION("importrange(""https://docs.google.com/spreadsheets/d/1Q5bLMdU-xURO8V0-x3r5xNyq88vnfkNPCQ3hu_xHIsU/edit?gid=162659938#gid=162659938"",""2025-26!aj3"")"),26.0)</f>
        <v>26</v>
      </c>
      <c r="CA148" s="55">
        <f>IFERROR(__xludf.DUMMYFUNCTION("importrange(""https://docs.google.com/spreadsheets/d/1Q5bLMdU-xURO8V0-x3r5xNyq88vnfkNPCQ3hu_xHIsU/edit?gid=162659938#gid=162659938"",""2025-26!ak4"")"),1285000.0)</f>
        <v>1285000</v>
      </c>
      <c r="CB148" s="55">
        <f>IFERROR(__xludf.DUMMYFUNCTION("importrange(""https://docs.google.com/spreadsheets/d/1Q5bLMdU-xURO8V0-x3r5xNyq88vnfkNPCQ3hu_xHIsU/edit?gid=162659938#gid=162659938"",""2025-26!ak3"")"),38.0)</f>
        <v>38</v>
      </c>
      <c r="CC148" s="55">
        <f>IFERROR(__xludf.DUMMYFUNCTION("importrange(""https://docs.google.com/spreadsheets/d/1Q5bLMdU-xURO8V0-x3r5xNyq88vnfkNPCQ3hu_xHIsU/edit?gid=162659938#gid=162659938"",""2025-26!al4"")"),469867.9)</f>
        <v>469867.9</v>
      </c>
      <c r="CD148" s="55">
        <f>IFERROR(__xludf.DUMMYFUNCTION("importrange(""https://docs.google.com/spreadsheets/d/1Q5bLMdU-xURO8V0-x3r5xNyq88vnfkNPCQ3hu_xHIsU/edit?gid=162659938#gid=162659938"",""2025-26!ai3"")"),15.0)</f>
        <v>15</v>
      </c>
      <c r="CE148" s="59">
        <f t="shared" si="27"/>
        <v>0.492770428</v>
      </c>
      <c r="CF148" s="55">
        <f>IFERROR(__xludf.DUMMYFUNCTION("importrange(""https://docs.google.com/spreadsheets/d/1Q5bLMdU-xURO8V0-x3r5xNyq88vnfkNPCQ3hu_xHIsU/edit?gid=162659938#gid=162659938"",""2025-26!am4"")"),633210.0)</f>
        <v>633210</v>
      </c>
      <c r="CG148" s="55">
        <f>IFERROR(__xludf.DUMMYFUNCTION("importrange(""https://docs.google.com/spreadsheets/d/1Q5bLMdU-xURO8V0-x3r5xNyq88vnfkNPCQ3hu_xHIsU/edit?gid=162659938#gid=162659938"",""2025-26!am3"")"),24.0)</f>
        <v>24</v>
      </c>
      <c r="CH148" s="55">
        <f>IFERROR(__xludf.DUMMYFUNCTION("importrange(""https://docs.google.com/spreadsheets/d/1Q5bLMdU-xURO8V0-x3r5xNyq88vnfkNPCQ3hu_xHIsU/edit?gid=162659938#gid=162659938"",""2025-26!an4"")"),1290000.0)</f>
        <v>1290000</v>
      </c>
      <c r="CI148" s="55">
        <f>IFERROR(__xludf.DUMMYFUNCTION("importrange(""https://docs.google.com/spreadsheets/d/1Q5bLMdU-xURO8V0-x3r5xNyq88vnfkNPCQ3hu_xHIsU/edit?gid=162659938#gid=162659938"",""2025-26!an3"")"),37.0)</f>
        <v>37</v>
      </c>
      <c r="CJ148" s="55">
        <f>IFERROR(__xludf.DUMMYFUNCTION("importrange(""https://docs.google.com/spreadsheets/d/1Q5bLMdU-xURO8V0-x3r5xNyq88vnfkNPCQ3hu_xHIsU/edit?gid=162659938#gid=162659938"",""2025-26!ao4"")"),376384.26)</f>
        <v>376384.26</v>
      </c>
      <c r="CK148" s="55">
        <f>IFERROR(__xludf.DUMMYFUNCTION("importrange(""https://docs.google.com/spreadsheets/d/1Q5bLMdU-xURO8V0-x3r5xNyq88vnfkNPCQ3hu_xHIsU/edit?gid=162659938#gid=162659938"",""2025-26!ao3"")"),10.0)</f>
        <v>10</v>
      </c>
      <c r="CL148" s="59">
        <f t="shared" si="28"/>
        <v>0.4857131783</v>
      </c>
      <c r="CM148" s="55">
        <f>IFERROR(__xludf.DUMMYFUNCTION("importrange(""https://docs.google.com/spreadsheets/d/1Q5bLMdU-xURO8V0-x3r5xNyq88vnfkNPCQ3hu_xHIsU/edit?gid=162659938#gid=162659938"",""2025-26!ap4"")"),626570.0)</f>
        <v>626570</v>
      </c>
      <c r="CN148" s="55">
        <f>IFERROR(__xludf.DUMMYFUNCTION("importrange(""https://docs.google.com/spreadsheets/d/1Q5bLMdU-xURO8V0-x3r5xNyq88vnfkNPCQ3hu_xHIsU/edit?gid=162659938#gid=162659938"",""2025-26!ap3"")"),24.0)</f>
        <v>24</v>
      </c>
      <c r="CO148" s="55">
        <f>IFERROR(__xludf.DUMMYFUNCTION("importrange(""https://docs.google.com/spreadsheets/d/1Q5bLMdU-xURO8V0-x3r5xNyq88vnfkNPCQ3hu_xHIsU/edit?gid=162659938#gid=162659938"",""2025-26!aq4"")"),1340000.0)</f>
        <v>1340000</v>
      </c>
      <c r="CP148" s="55">
        <f>IFERROR(__xludf.DUMMYFUNCTION("importrange(""https://docs.google.com/spreadsheets/d/1Q5bLMdU-xURO8V0-x3r5xNyq88vnfkNPCQ3hu_xHIsU/edit?gid=162659938#gid=162659938"",""2025-26!aq3"")"),36.0)</f>
        <v>36</v>
      </c>
      <c r="CQ148" s="55">
        <f>IFERROR(__xludf.DUMMYFUNCTION("importrange(""https://docs.google.com/spreadsheets/d/1Q5bLMdU-xURO8V0-x3r5xNyq88vnfkNPCQ3hu_xHIsU/edit?gid=162659938#gid=162659938"",""2025-26!ar4"")"),811093.7)</f>
        <v>811093.7</v>
      </c>
      <c r="CR148" s="55">
        <f>IFERROR(__xludf.DUMMYFUNCTION("importrange(""https://docs.google.com/spreadsheets/d/1Q5bLMdU-xURO8V0-x3r5xNyq88vnfkNPCQ3hu_xHIsU/edit?gid=162659938#gid=162659938"",""2025-26!ar3"")"),14.0)</f>
        <v>14</v>
      </c>
      <c r="CS148" s="59">
        <f t="shared" si="29"/>
        <v>0.6470044776</v>
      </c>
      <c r="CT148" s="55">
        <f>IFERROR(__xludf.DUMMYFUNCTION("importrange(""https://docs.google.com/spreadsheets/d/1Q5bLMdU-xURO8V0-x3r5xNyq88vnfkNPCQ3hu_xHIsU/edit?gid=162659938#gid=162659938"",""2025-26!as4"")"),866986.0)</f>
        <v>866986</v>
      </c>
      <c r="CU148" s="55">
        <f>IFERROR(__xludf.DUMMYFUNCTION("importrange(""https://docs.google.com/spreadsheets/d/1Q5bLMdU-xURO8V0-x3r5xNyq88vnfkNPCQ3hu_xHIsU/edit?gid=162659938#gid=162659938"",""2025-26!as3"")"),19.0)</f>
        <v>19</v>
      </c>
      <c r="CV148" s="60" t="s">
        <v>301</v>
      </c>
    </row>
    <row r="149">
      <c r="A149" s="1" t="s">
        <v>298</v>
      </c>
      <c r="B149" s="43"/>
      <c r="C149" s="64" t="s">
        <v>320</v>
      </c>
      <c r="D149" s="50" t="s">
        <v>321</v>
      </c>
      <c r="E149" s="68">
        <v>9.762346164E9</v>
      </c>
      <c r="F149" s="115">
        <v>45936.0</v>
      </c>
      <c r="G149" s="62"/>
      <c r="H149" s="62"/>
      <c r="I149" s="53">
        <v>27500.0</v>
      </c>
      <c r="J149" s="54">
        <v>1200000.0</v>
      </c>
      <c r="K149" s="57">
        <f>IFERROR(__xludf.DUMMYFUNCTION("IMPORTRANGE(""https://docs.google.com/spreadsheets/d/1SMt1pqYCvGPpiMknRM26ek7JjvdwZJqK-Li4_SyFHEc/edit?gid=1089458672#gid=1089458672"",""2025-26!A3"")"),42.0)</f>
        <v>42</v>
      </c>
      <c r="L149" s="57">
        <f>IFERROR(__xludf.DUMMYFUNCTION("IMPORTRANGE(""https://docs.google.com/spreadsheets/d/1SMt1pqYCvGPpiMknRM26ek7JjvdwZJqK-Li4_SyFHEc/edit?gid=1089458672#gid=1089458672"",""2025-26!G4"")"),905000.0)</f>
        <v>905000</v>
      </c>
      <c r="M149" s="57">
        <f t="shared" si="50"/>
        <v>431144.24</v>
      </c>
      <c r="N149" s="56">
        <f t="shared" si="51"/>
        <v>0.3882828729</v>
      </c>
      <c r="O149" s="57">
        <f t="shared" si="52"/>
        <v>351396</v>
      </c>
      <c r="P149" s="55">
        <f>IFERROR(__xludf.DUMMYFUNCTION("IMPORTRANGE(""https://docs.google.com/spreadsheets/d/1SMt1pqYCvGPpiMknRM26ek7JjvdwZJqK-Li4_SyFHEc/edit?gid=1089458672#gid=1089458672"",""2025-26!J4"")"),0.0)</f>
        <v>0</v>
      </c>
      <c r="Q149" s="55">
        <f>IFERROR(__xludf.DUMMYFUNCTION("IMPORTRANGE(""https://docs.google.com/spreadsheets/d/1SMt1pqYCvGPpiMknRM26ek7JjvdwZJqK-Li4_SyFHEc/edit?gid=1089458672#gid=1089458672"",""2025-26!J3"")"),0.0)</f>
        <v>0</v>
      </c>
      <c r="R149" s="55">
        <f>IFERROR(__xludf.DUMMYFUNCTION("IMPORTRANGE(""https://docs.google.com/spreadsheets/d/1SMt1pqYCvGPpiMknRM26ek7JjvdwZJqK-Li4_SyFHEc/edit?gid=1089458672#gid=1089458672"",""2025-26!K4"")"),0.0)</f>
        <v>0</v>
      </c>
      <c r="S149" s="55">
        <f>IFERROR(__xludf.DUMMYFUNCTION("IMPORTRANGE(""https://docs.google.com/spreadsheets/d/1SMt1pqYCvGPpiMknRM26ek7JjvdwZJqK-Li4_SyFHEc/edit?gid=1089458672#gid=1089458672"",""2025-26!K3"")"),0.0)</f>
        <v>0</v>
      </c>
      <c r="T149" s="58" t="str">
        <f t="shared" si="18"/>
        <v/>
      </c>
      <c r="U149" s="55">
        <f>IFERROR(__xludf.DUMMYFUNCTION("IMPORTRANGE(""https://docs.google.com/spreadsheets/d/1SMt1pqYCvGPpiMknRM26ek7JjvdwZJqK-Li4_SyFHEc/edit?gid=1089458672#gid=1089458672"",""2025-26!L4"")"),0.0)</f>
        <v>0</v>
      </c>
      <c r="V149" s="79">
        <f>IFERROR(__xludf.DUMMYFUNCTION("IMPORTRANGE(""https://docs.google.com/spreadsheets/d/1SMt1pqYCvGPpiMknRM26ek7JjvdwZJqK-Li4_SyFHEc/edit?gid=1089458672#gid=1089458672"",""2025-26!L3"")"),0.0)</f>
        <v>0</v>
      </c>
      <c r="W149" s="55">
        <f>IFERROR(__xludf.DUMMYFUNCTION("IMPORTRANGE(""https://docs.google.com/spreadsheets/d/1SMt1pqYCvGPpiMknRM26ek7JjvdwZJqK-Li4_SyFHEc/edit?gid=1089458672#gid=1089458672"",""2025-26!M4"")"),0.0)</f>
        <v>0</v>
      </c>
      <c r="X149" s="79">
        <f>IFERROR(__xludf.DUMMYFUNCTION("IMPORTRANGE(""https://docs.google.com/spreadsheets/d/1SMt1pqYCvGPpiMknRM26ek7JjvdwZJqK-Li4_SyFHEc/edit?gid=1089458672#gid=1089458672"",""2025-26!M3"")"),0.0)</f>
        <v>0</v>
      </c>
      <c r="Y149" s="55">
        <f>IFERROR(__xludf.DUMMYFUNCTION("importrange(""https://docs.google.com/spreadsheets/d/1SMt1pqYCvGPpiMknRM26ek7JjvdwZJqK-Li4_SyFHEc/edit?gid=1089458672#gid=1089458672"",""2025-26!n4"")"),0.0)</f>
        <v>0</v>
      </c>
      <c r="Z149" s="55">
        <f>IFERROR(__xludf.DUMMYFUNCTION("importrange(""https://docs.google.com/spreadsheets/d/1SMt1pqYCvGPpiMknRM26ek7JjvdwZJqK-Li4_SyFHEc/edit?gid=1089458672#gid=1089458672"",""2025-26!n3"")"),0.0)</f>
        <v>0</v>
      </c>
      <c r="AA149" s="58" t="str">
        <f t="shared" si="19"/>
        <v/>
      </c>
      <c r="AB149" s="55">
        <f>IFERROR(__xludf.DUMMYFUNCTION("importrange(""https://docs.google.com/spreadsheets/d/1SMt1pqYCvGPpiMknRM26ek7JjvdwZJqK-Li4_SyFHEc/edit?gid=1089458672#gid=1089458672"",""2025-26!o4"")"),0.0)</f>
        <v>0</v>
      </c>
      <c r="AC149" s="55">
        <f>IFERROR(__xludf.DUMMYFUNCTION("importrange(""https://docs.google.com/spreadsheets/d/1SMt1pqYCvGPpiMknRM26ek7JjvdwZJqK-Li4_SyFHEc/edit?gid=1089458672#gid=1089458672"",""2025-26!o3"")"),0.0)</f>
        <v>0</v>
      </c>
      <c r="AD149" s="55">
        <f>IFERROR(__xludf.DUMMYFUNCTION("importrange(""https://docs.google.com/spreadsheets/d/1SMt1pqYCvGPpiMknRM26ek7JjvdwZJqK-Li4_SyFHEc/edit?gid=1089458672#gid=1089458672"",""2025-26!p4"")"),0.0)</f>
        <v>0</v>
      </c>
      <c r="AE149" s="55">
        <f>IFERROR(__xludf.DUMMYFUNCTION("importrange(""https://docs.google.com/spreadsheets/d/1SMt1pqYCvGPpiMknRM26ek7JjvdwZJqK-Li4_SyFHEc/edit?gid=1089458672#gid=1089458672"",""2025-26!p3"")"),0.0)</f>
        <v>0</v>
      </c>
      <c r="AF149" s="55">
        <f>IFERROR(__xludf.DUMMYFUNCTION("importrange(""https://docs.google.com/spreadsheets/d/1SMt1pqYCvGPpiMknRM26ek7JjvdwZJqK-Li4_SyFHEc/edit?gid=1089458672#gid=1089458672"",""2025-26!q4"")"),0.0)</f>
        <v>0</v>
      </c>
      <c r="AG149" s="55">
        <f>IFERROR(__xludf.DUMMYFUNCTION("importrange(""https://docs.google.com/spreadsheets/d/1SMt1pqYCvGPpiMknRM26ek7JjvdwZJqK-Li4_SyFHEc/edit?gid=1089458672#gid=1089458672"",""2025-26!q3"")"),0.0)</f>
        <v>0</v>
      </c>
      <c r="AH149" s="58" t="str">
        <f t="shared" si="20"/>
        <v/>
      </c>
      <c r="AI149" s="55">
        <f>IFERROR(__xludf.DUMMYFUNCTION("importrange(""https://docs.google.com/spreadsheets/d/1SMt1pqYCvGPpiMknRM26ek7JjvdwZJqK-Li4_SyFHEc/edit?gid=1089458672#gid=1089458672"",""2025-26!r4"")"),0.0)</f>
        <v>0</v>
      </c>
      <c r="AJ149" s="55">
        <f>IFERROR(__xludf.DUMMYFUNCTION("importrange(""https://docs.google.com/spreadsheets/d/1SMt1pqYCvGPpiMknRM26ek7JjvdwZJqK-Li4_SyFHEc/edit?gid=1089458672#gid=1089458672"",""2025-26!r3"")"),0.0)</f>
        <v>0</v>
      </c>
      <c r="AK149" s="55">
        <f>IFERROR(__xludf.DUMMYFUNCTION("importrange(""https://docs.google.com/spreadsheets/d/1SMt1pqYCvGPpiMknRM26ek7JjvdwZJqK-Li4_SyFHEc/edit?gid=1089458672#gid=1089458672"",""2025-26!s4"")"),0.0)</f>
        <v>0</v>
      </c>
      <c r="AL149" s="55">
        <f>IFERROR(__xludf.DUMMYFUNCTION("importrange(""https://docs.google.com/spreadsheets/d/1SMt1pqYCvGPpiMknRM26ek7JjvdwZJqK-Li4_SyFHEc/edit?gid=1089458672#gid=1089458672"",""2025-26!s3"")"),0.0)</f>
        <v>0</v>
      </c>
      <c r="AM149" s="57">
        <f>IFERROR(__xludf.DUMMYFUNCTION("importrange(""https://docs.google.com/spreadsheets/d/1SMt1pqYCvGPpiMknRM26ek7JjvdwZJqK-Li4_SyFHEc/edit?gid=1089458672#gid=1089458672"",""2025-26!t4"")"),0.0)</f>
        <v>0</v>
      </c>
      <c r="AN149" s="55">
        <f>IFERROR(__xludf.DUMMYFUNCTION("importrange(""https://docs.google.com/spreadsheets/d/1SMt1pqYCvGPpiMknRM26ek7JjvdwZJqK-Li4_SyFHEc/edit?gid=1089458672#gid=1089458672"",""2025-26!t3"")"),0.0)</f>
        <v>0</v>
      </c>
      <c r="AO149" s="58" t="str">
        <f t="shared" si="21"/>
        <v/>
      </c>
      <c r="AP149" s="55">
        <f>IFERROR(__xludf.DUMMYFUNCTION("importrange(""https://docs.google.com/spreadsheets/d/1SMt1pqYCvGPpiMknRM26ek7JjvdwZJqK-Li4_SyFHEc/edit?gid=1089458672#gid=1089458672"",""2025-26!u4"")"),0.0)</f>
        <v>0</v>
      </c>
      <c r="AQ149" s="55">
        <f>IFERROR(__xludf.DUMMYFUNCTION("importrange(""https://docs.google.com/spreadsheets/d/1SMt1pqYCvGPpiMknRM26ek7JjvdwZJqK-Li4_SyFHEc/edit?gid=1089458672#gid=1089458672"",""2025-26!u3"")"),0.0)</f>
        <v>0</v>
      </c>
      <c r="AR149" s="55">
        <f>IFERROR(__xludf.DUMMYFUNCTION("importrange(""https://docs.google.com/spreadsheets/d/1SMt1pqYCvGPpiMknRM26ek7JjvdwZJqK-Li4_SyFHEc/edit?gid=1089458672#gid=1089458672"",""2025-26!v4"")"),0.0)</f>
        <v>0</v>
      </c>
      <c r="AS149" s="55">
        <f>IFERROR(__xludf.DUMMYFUNCTION("importrange(""https://docs.google.com/spreadsheets/d/1SMt1pqYCvGPpiMknRM26ek7JjvdwZJqK-Li4_SyFHEc/edit?gid=1089458672#gid=1089458672"",""2025-26!v3"")"),0.0)</f>
        <v>0</v>
      </c>
      <c r="AT149" s="57">
        <f>IFERROR(__xludf.DUMMYFUNCTION("importrange(""https://docs.google.com/spreadsheets/d/1SMt1pqYCvGPpiMknRM26ek7JjvdwZJqK-Li4_SyFHEc/edit?gid=1089458672#gid=1089458672"",""2025-26!w4"")"),0.0)</f>
        <v>0</v>
      </c>
      <c r="AU149" s="55">
        <f>IFERROR(__xludf.DUMMYFUNCTION("importrange(""https://docs.google.com/spreadsheets/d/1SMt1pqYCvGPpiMknRM26ek7JjvdwZJqK-Li4_SyFHEc/edit?gid=1089458672#gid=1089458672"",""2025-26!w3"")"),0.0)</f>
        <v>0</v>
      </c>
      <c r="AV149" s="58" t="str">
        <f t="shared" si="22"/>
        <v/>
      </c>
      <c r="AW149" s="55">
        <f>IFERROR(__xludf.DUMMYFUNCTION("importrange(""https://docs.google.com/spreadsheets/d/1SMt1pqYCvGPpiMknRM26ek7JjvdwZJqK-Li4_SyFHEc/edit?gid=1089458672#gid=1089458672"",""2025-26!x4"")"),0.0)</f>
        <v>0</v>
      </c>
      <c r="AX149" s="55">
        <f>IFERROR(__xludf.DUMMYFUNCTION("importrange(""https://docs.google.com/spreadsheets/d/1SMt1pqYCvGPpiMknRM26ek7JjvdwZJqK-Li4_SyFHEc/edit?gid=1089458672#gid=1089458672"",""2025-26!x3"")"),0.0)</f>
        <v>0</v>
      </c>
      <c r="AY149" s="55">
        <f>IFERROR(__xludf.DUMMYFUNCTION("importrange(""https://docs.google.com/spreadsheets/d/1SMt1pqYCvGPpiMknRM26ek7JjvdwZJqK-Li4_SyFHEc/edit?gid=1089458672#gid=1089458672"",""2025-26!y4"")"),0.0)</f>
        <v>0</v>
      </c>
      <c r="AZ149" s="55">
        <f>IFERROR(__xludf.DUMMYFUNCTION("importrange(""https://docs.google.com/spreadsheets/d/1SMt1pqYCvGPpiMknRM26ek7JjvdwZJqK-Li4_SyFHEc/edit?gid=1089458672#gid=1089458672"",""2025-26!y3"")"),0.0)</f>
        <v>0</v>
      </c>
      <c r="BA149" s="57">
        <f>IFERROR(__xludf.DUMMYFUNCTION("importrange(""https://docs.google.com/spreadsheets/d/1SMt1pqYCvGPpiMknRM26ek7JjvdwZJqK-Li4_SyFHEc/edit?gid=1089458672#gid=1089458672"",""2025-26!z4"")"),0.0)</f>
        <v>0</v>
      </c>
      <c r="BB149" s="55">
        <f>IFERROR(__xludf.DUMMYFUNCTION("importrange(""https://docs.google.com/spreadsheets/d/1SMt1pqYCvGPpiMknRM26ek7JjvdwZJqK-Li4_SyFHEc/edit?gid=1089458672#gid=1089458672"",""2025-26!z3"")"),0.0)</f>
        <v>0</v>
      </c>
      <c r="BC149" s="59" t="str">
        <f t="shared" si="23"/>
        <v/>
      </c>
      <c r="BD149" s="55">
        <f>IFERROR(__xludf.DUMMYFUNCTION("importrange(""https://docs.google.com/spreadsheets/d/1SMt1pqYCvGPpiMknRM26ek7JjvdwZJqK-Li4_SyFHEc/edit?gid=1089458672#gid=1089458672"",""2025-26!aa4"")"),0.0)</f>
        <v>0</v>
      </c>
      <c r="BE149" s="55">
        <f>IFERROR(__xludf.DUMMYFUNCTION("importrange(""https://docs.google.com/spreadsheets/d/1SMt1pqYCvGPpiMknRM26ek7JjvdwZJqK-Li4_SyFHEc/edit?gid=1089458672#gid=1089458672"",""2025-26!aa3"")"),0.0)</f>
        <v>0</v>
      </c>
      <c r="BF149" s="55">
        <f>IFERROR(__xludf.DUMMYFUNCTION("importrange(""https://docs.google.com/spreadsheets/d/1SMt1pqYCvGPpiMknRM26ek7JjvdwZJqK-Li4_SyFHEc/edit?gid=1089458672#gid=1089458672"",""2025-26!ab4"")"),0.0)</f>
        <v>0</v>
      </c>
      <c r="BG149" s="55">
        <f>IFERROR(__xludf.DUMMYFUNCTION("importrange(""https://docs.google.com/spreadsheets/d/1SMt1pqYCvGPpiMknRM26ek7JjvdwZJqK-Li4_SyFHEc/edit?gid=1089458672#gid=1089458672"",""2025-26!ab3"")"),0.0)</f>
        <v>0</v>
      </c>
      <c r="BH149" s="55">
        <f>IFERROR(__xludf.DUMMYFUNCTION("importrange(""https://docs.google.com/spreadsheets/d/1SMt1pqYCvGPpiMknRM26ek7JjvdwZJqK-Li4_SyFHEc/edit?gid=1089458672#gid=1089458672"",""2025-26!ac4"")"),0.0)</f>
        <v>0</v>
      </c>
      <c r="BI149" s="55">
        <f>IFERROR(__xludf.DUMMYFUNCTION("importrange(""https://docs.google.com/spreadsheets/d/1SMt1pqYCvGPpiMknRM26ek7JjvdwZJqK-Li4_SyFHEc/edit?gid=1089458672#gid=1089458672"",""2025-26!ac3"")"),0.0)</f>
        <v>0</v>
      </c>
      <c r="BJ149" s="59" t="str">
        <f t="shared" si="24"/>
        <v/>
      </c>
      <c r="BK149" s="55">
        <f>IFERROR(__xludf.DUMMYFUNCTION("importrange(""https://docs.google.com/spreadsheets/d/1SMt1pqYCvGPpiMknRM26ek7JjvdwZJqK-Li4_SyFHEc/edit?gid=1089458672#gid=1089458672"",""2025-26!ad4"")"),0.0)</f>
        <v>0</v>
      </c>
      <c r="BL149" s="55">
        <f>IFERROR(__xludf.DUMMYFUNCTION("importrange(""https://docs.google.com/spreadsheets/d/1SMt1pqYCvGPpiMknRM26ek7JjvdwZJqK-Li4_SyFHEc/edit?gid=1089458672#gid=1089458672"",""2025-26!ad3"")"),0.0)</f>
        <v>0</v>
      </c>
      <c r="BM149" s="55">
        <f>IFERROR(__xludf.DUMMYFUNCTION("importrange(""https://docs.google.com/spreadsheets/d/1SMt1pqYCvGPpiMknRM26ek7JjvdwZJqK-Li4_SyFHEc/edit?gid=1089458672#gid=1089458672"",""2025-26!ae4"")"),45000.0)</f>
        <v>45000</v>
      </c>
      <c r="BN149" s="55">
        <f>IFERROR(__xludf.DUMMYFUNCTION("importrange(""https://docs.google.com/spreadsheets/d/1SMt1pqYCvGPpiMknRM26ek7JjvdwZJqK-Li4_SyFHEc/edit?gid=1089458672#gid=1089458672"",""2025-26!ae3"")"),5.0)</f>
        <v>5</v>
      </c>
      <c r="BO149" s="55">
        <f>IFERROR(__xludf.DUMMYFUNCTION("importrange(""https://docs.google.com/spreadsheets/d/1SMt1pqYCvGPpiMknRM26ek7JjvdwZJqK-Li4_SyFHEc/edit?gid=1089458672#gid=1089458672"",""2025-26!af4"")"),0.0)</f>
        <v>0</v>
      </c>
      <c r="BP149" s="55">
        <f>IFERROR(__xludf.DUMMYFUNCTION("importrange(""https://docs.google.com/spreadsheets/d/1SMt1pqYCvGPpiMknRM26ek7JjvdwZJqK-Li4_SyFHEc/edit?gid=1089458672#gid=1089458672"",""2025-26!af3"")"),0.0)</f>
        <v>0</v>
      </c>
      <c r="BQ149" s="59">
        <f t="shared" si="25"/>
        <v>0</v>
      </c>
      <c r="BR149" s="55">
        <f>IFERROR(__xludf.DUMMYFUNCTION("importrange(""https://docs.google.com/spreadsheets/d/1SMt1pqYCvGPpiMknRM26ek7JjvdwZJqK-Li4_SyFHEc/edit?gid=1089458672#gid=1089458672"",""2025-26!ag4"")"),0.0)</f>
        <v>0</v>
      </c>
      <c r="BS149" s="55">
        <f>IFERROR(__xludf.DUMMYFUNCTION("importrange(""https://docs.google.com/spreadsheets/d/1SMt1pqYCvGPpiMknRM26ek7JjvdwZJqK-Li4_SyFHEc/edit?gid=1089458672#gid=1089458672"",""2025-26!ag3"")"),0.0)</f>
        <v>0</v>
      </c>
      <c r="BT149" s="55">
        <f>IFERROR(__xludf.DUMMYFUNCTION("importrange(""https://docs.google.com/spreadsheets/d/1SMt1pqYCvGPpiMknRM26ek7JjvdwZJqK-Li4_SyFHEc/edit?gid=1089458672#gid=1089458672"",""2025-26!ah4"")"),125000.0)</f>
        <v>125000</v>
      </c>
      <c r="BU149" s="55">
        <f>IFERROR(__xludf.DUMMYFUNCTION("importrange(""https://docs.google.com/spreadsheets/d/1SMt1pqYCvGPpiMknRM26ek7JjvdwZJqK-Li4_SyFHEc/edit?gid=1089458672#gid=1089458672"",""2025-26!ah3"")"),17.0)</f>
        <v>17</v>
      </c>
      <c r="BV149" s="55">
        <f>IFERROR(__xludf.DUMMYFUNCTION("importrange(""https://docs.google.com/spreadsheets/d/1SMt1pqYCvGPpiMknRM26ek7JjvdwZJqK-Li4_SyFHEc/edit?gid=1089458672#gid=1089458672"",""2025-26!ai4"")"),25753.0)</f>
        <v>25753</v>
      </c>
      <c r="BW149" s="55">
        <f>IFERROR(__xludf.DUMMYFUNCTION("importrange(""https://docs.google.com/spreadsheets/d/1SMt1pqYCvGPpiMknRM26ek7JjvdwZJqK-Li4_SyFHEc/edit?gid=1089458672#gid=1089458672"",""2025-26!ai3"")"),2.0)</f>
        <v>2</v>
      </c>
      <c r="BX149" s="59">
        <f t="shared" si="26"/>
        <v>0.206024</v>
      </c>
      <c r="BY149" s="55">
        <f>IFERROR(__xludf.DUMMYFUNCTION("importrange(""https://docs.google.com/spreadsheets/d/1SMt1pqYCvGPpiMknRM26ek7JjvdwZJqK-Li4_SyFHEc/edit?gid=1089458672#gid=1089458672"",""2025-26!aj4"")"),25753.0)</f>
        <v>25753</v>
      </c>
      <c r="BZ149" s="55">
        <f>IFERROR(__xludf.DUMMYFUNCTION("importrange(""https://docs.google.com/spreadsheets/d/1SMt1pqYCvGPpiMknRM26ek7JjvdwZJqK-Li4_SyFHEc/edit?gid=1089458672#gid=1089458672"",""2025-26!aj3"")"),2.0)</f>
        <v>2</v>
      </c>
      <c r="CA149" s="55">
        <f>IFERROR(__xludf.DUMMYFUNCTION("importrange(""https://docs.google.com/spreadsheets/d/1SMt1pqYCvGPpiMknRM26ek7JjvdwZJqK-Li4_SyFHEc/edit?gid=1089458672#gid=1089458672"",""2025-26!ak4"")"),230000.0)</f>
        <v>230000</v>
      </c>
      <c r="CB149" s="55">
        <f>IFERROR(__xludf.DUMMYFUNCTION("importrange(""https://docs.google.com/spreadsheets/d/1SMt1pqYCvGPpiMknRM26ek7JjvdwZJqK-Li4_SyFHEc/edit?gid=1089458672#gid=1089458672"",""2025-26!ak3"")"),25.0)</f>
        <v>25</v>
      </c>
      <c r="CC149" s="55">
        <f>IFERROR(__xludf.DUMMYFUNCTION("importrange(""https://docs.google.com/spreadsheets/d/1SMt1pqYCvGPpiMknRM26ek7JjvdwZJqK-Li4_SyFHEc/edit?gid=1089458672#gid=1089458672"",""2025-26!al4"")"),160139.6)</f>
        <v>160139.6</v>
      </c>
      <c r="CD149" s="55">
        <f>IFERROR(__xludf.DUMMYFUNCTION("importrange(""https://docs.google.com/spreadsheets/d/1SMt1pqYCvGPpiMknRM26ek7JjvdwZJqK-Li4_SyFHEc/edit?gid=1089458672#gid=1089458672"",""2025-26!ai3"")"),2.0)</f>
        <v>2</v>
      </c>
      <c r="CE149" s="59">
        <f t="shared" si="27"/>
        <v>0.6962608696</v>
      </c>
      <c r="CF149" s="55">
        <f>IFERROR(__xludf.DUMMYFUNCTION("importrange(""https://docs.google.com/spreadsheets/d/1SMt1pqYCvGPpiMknRM26ek7JjvdwZJqK-Li4_SyFHEc/edit?gid=1089458672#gid=1089458672"",""2025-26!am4"")"),160140.0)</f>
        <v>160140</v>
      </c>
      <c r="CG149" s="55">
        <f>IFERROR(__xludf.DUMMYFUNCTION("importrange(""https://docs.google.com/spreadsheets/d/1SMt1pqYCvGPpiMknRM26ek7JjvdwZJqK-Li4_SyFHEc/edit?gid=1089458672#gid=1089458672"",""2025-26!am3"")"),14.0)</f>
        <v>14</v>
      </c>
      <c r="CH149" s="55">
        <f>IFERROR(__xludf.DUMMYFUNCTION("importrange(""https://docs.google.com/spreadsheets/d/1SMt1pqYCvGPpiMknRM26ek7JjvdwZJqK-Li4_SyFHEc/edit?gid=1089458672#gid=1089458672"",""2025-26!an4"")"),320000.0)</f>
        <v>320000</v>
      </c>
      <c r="CI149" s="55">
        <f>IFERROR(__xludf.DUMMYFUNCTION("importrange(""https://docs.google.com/spreadsheets/d/1SMt1pqYCvGPpiMknRM26ek7JjvdwZJqK-Li4_SyFHEc/edit?gid=1089458672#gid=1089458672"",""2025-26!an3"")"),30.0)</f>
        <v>30</v>
      </c>
      <c r="CJ149" s="55">
        <f>IFERROR(__xludf.DUMMYFUNCTION("importrange(""https://docs.google.com/spreadsheets/d/1SMt1pqYCvGPpiMknRM26ek7JjvdwZJqK-Li4_SyFHEc/edit?gid=1089458672#gid=1089458672"",""2025-26!ao4"")"),106939.5)</f>
        <v>106939.5</v>
      </c>
      <c r="CK149" s="55">
        <f>IFERROR(__xludf.DUMMYFUNCTION("importrange(""https://docs.google.com/spreadsheets/d/1SMt1pqYCvGPpiMknRM26ek7JjvdwZJqK-Li4_SyFHEc/edit?gid=1089458672#gid=1089458672"",""2025-26!ao3"")"),10.0)</f>
        <v>10</v>
      </c>
      <c r="CL149" s="59">
        <f t="shared" si="28"/>
        <v>0.26816875</v>
      </c>
      <c r="CM149" s="55">
        <f>IFERROR(__xludf.DUMMYFUNCTION("importrange(""https://docs.google.com/spreadsheets/d/1SMt1pqYCvGPpiMknRM26ek7JjvdwZJqK-Li4_SyFHEc/edit?gid=1089458672#gid=1089458672"",""2025-26!ap4"")"),85814.0)</f>
        <v>85814</v>
      </c>
      <c r="CN149" s="55">
        <f>IFERROR(__xludf.DUMMYFUNCTION("importrange(""https://docs.google.com/spreadsheets/d/1SMt1pqYCvGPpiMknRM26ek7JjvdwZJqK-Li4_SyFHEc/edit?gid=1089458672#gid=1089458672"",""2025-26!ap3"")"),8.0)</f>
        <v>8</v>
      </c>
      <c r="CO149" s="55">
        <f>IFERROR(__xludf.DUMMYFUNCTION("importrange(""https://docs.google.com/spreadsheets/d/1SMt1pqYCvGPpiMknRM26ek7JjvdwZJqK-Li4_SyFHEc/edit?gid=1089458672#gid=1089458672"",""2025-26!aq4"")"),230000.0)</f>
        <v>230000</v>
      </c>
      <c r="CP149" s="55">
        <f>IFERROR(__xludf.DUMMYFUNCTION("importrange(""https://docs.google.com/spreadsheets/d/1SMt1pqYCvGPpiMknRM26ek7JjvdwZJqK-Li4_SyFHEc/edit?gid=1089458672#gid=1089458672"",""2025-26!aq3"")"),28.0)</f>
        <v>28</v>
      </c>
      <c r="CQ149" s="55">
        <f>IFERROR(__xludf.DUMMYFUNCTION("importrange(""https://docs.google.com/spreadsheets/d/1SMt1pqYCvGPpiMknRM26ek7JjvdwZJqK-Li4_SyFHEc/edit?gid=1089458672#gid=1089458672"",""2025-26!ar4"")"),138312.14)</f>
        <v>138312.14</v>
      </c>
      <c r="CR149" s="55">
        <f>IFERROR(__xludf.DUMMYFUNCTION("importrange(""https://docs.google.com/spreadsheets/d/1SMt1pqYCvGPpiMknRM26ek7JjvdwZJqK-Li4_SyFHEc/edit?gid=1089458672#gid=1089458672"",""2025-26!ar3"")"),16.0)</f>
        <v>16</v>
      </c>
      <c r="CS149" s="59">
        <f t="shared" si="29"/>
        <v>0.346473913</v>
      </c>
      <c r="CT149" s="55">
        <f>IFERROR(__xludf.DUMMYFUNCTION("importrange(""https://docs.google.com/spreadsheets/d/1SMt1pqYCvGPpiMknRM26ek7JjvdwZJqK-Li4_SyFHEc/edit?gid=1089458672#gid=1089458672"",""2025-26!as4"")"),79689.0)</f>
        <v>79689</v>
      </c>
      <c r="CU149" s="55">
        <f>IFERROR(__xludf.DUMMYFUNCTION("importrange(""https://docs.google.com/spreadsheets/d/1SMt1pqYCvGPpiMknRM26ek7JjvdwZJqK-Li4_SyFHEc/edit?gid=1089458672#gid=1089458672"",""2025-26!as3"")"),7.0)</f>
        <v>7</v>
      </c>
      <c r="CV149" s="60" t="s">
        <v>301</v>
      </c>
    </row>
    <row r="150">
      <c r="A150" s="1" t="s">
        <v>322</v>
      </c>
      <c r="B150" s="112" t="s">
        <v>322</v>
      </c>
      <c r="C150" s="64" t="s">
        <v>323</v>
      </c>
      <c r="D150" s="50" t="s">
        <v>324</v>
      </c>
      <c r="E150" s="50">
        <v>8.448199551E9</v>
      </c>
      <c r="F150" s="74">
        <v>42992.0</v>
      </c>
      <c r="G150" s="62"/>
      <c r="H150" s="62"/>
      <c r="I150" s="53">
        <v>46667.0</v>
      </c>
      <c r="J150" s="54">
        <v>1250000.0</v>
      </c>
      <c r="K150" s="57">
        <f>IFERROR(__xludf.DUMMYFUNCTION("IMPORTRANGE(""https://docs.google.com/spreadsheets/d/1TtPg-FlLO1jhwMXHbfK3fOdebITZM3SHDdYgDdsun-o/edit#gid=1753586248"",""2025-26!A3"")"),143.0)</f>
        <v>143</v>
      </c>
      <c r="L150" s="57">
        <f>IFERROR(__xludf.DUMMYFUNCTION("IMPORTRANGE(""https://docs.google.com/spreadsheets/d/1TtPg-FlLO1jhwMXHbfK3fOdebITZM3SHDdYgDdsun-o/edit#gid=1753586248"",""2025-26!G4"")"),1.5855E7)</f>
        <v>15855000</v>
      </c>
      <c r="M150" s="57">
        <f t="shared" si="50"/>
        <v>10971999.8</v>
      </c>
      <c r="N150" s="56">
        <f t="shared" si="51"/>
        <v>0.6684279407</v>
      </c>
      <c r="O150" s="57">
        <f t="shared" si="52"/>
        <v>10597925</v>
      </c>
      <c r="P150" s="55">
        <f>IFERROR(__xludf.DUMMYFUNCTION("IMPORTRANGE(""https://docs.google.com/spreadsheets/d/1TtPg-FlLO1jhwMXHbfK3fOdebITZM3SHDdYgDdsun-o/edit#gid=1753586248"",""2025-26!J4"")"),925000.0)</f>
        <v>925000</v>
      </c>
      <c r="Q150" s="55">
        <f>IFERROR(__xludf.DUMMYFUNCTION("IMPORTRANGE(""https://docs.google.com/spreadsheets/d/1TtPg-FlLO1jhwMXHbfK3fOdebITZM3SHDdYgDdsun-o/edit#gid=1753586248"",""2025-26!J3"")"),99.0)</f>
        <v>99</v>
      </c>
      <c r="R150" s="55">
        <f>IFERROR(__xludf.DUMMYFUNCTION("IMPORTRANGE(""https://docs.google.com/spreadsheets/d/1TtPg-FlLO1jhwMXHbfK3fOdebITZM3SHDdYgDdsun-o/edit#gid=1753586248"",""2025-26!K4"")"),1171067.08)</f>
        <v>1171067.08</v>
      </c>
      <c r="S150" s="55">
        <f>IFERROR(__xludf.DUMMYFUNCTION("IMPORTRANGE(""https://docs.google.com/spreadsheets/d/1TtPg-FlLO1jhwMXHbfK3fOdebITZM3SHDdYgDdsun-o/edit#gid=1753586248"",""2025-26!K3"")"),45.0)</f>
        <v>45</v>
      </c>
      <c r="T150" s="58">
        <f t="shared" si="18"/>
        <v>1.253911351</v>
      </c>
      <c r="U150" s="55">
        <f>IFERROR(__xludf.DUMMYFUNCTION("IMPORTRANGE(""https://docs.google.com/spreadsheets/d/1TtPg-FlLO1jhwMXHbfK3fOdebITZM3SHDdYgDdsun-o/edit#gid=1753586248"",""2025-26!L4"")"),1159868.0)</f>
        <v>1159868</v>
      </c>
      <c r="V150" s="79">
        <f>IFERROR(__xludf.DUMMYFUNCTION("IMPORTRANGE(""https://docs.google.com/spreadsheets/d/1TtPg-FlLO1jhwMXHbfK3fOdebITZM3SHDdYgDdsun-o/edit#gid=1753586248"",""2025-26!L3"")"),45.0)</f>
        <v>45</v>
      </c>
      <c r="W150" s="55">
        <f>IFERROR(__xludf.DUMMYFUNCTION("IMPORTRANGE(""https://docs.google.com/spreadsheets/d/1TtPg-FlLO1jhwMXHbfK3fOdebITZM3SHDdYgDdsun-o/edit#gid=1753586248"",""2025-26!M4"")"),1050000.0)</f>
        <v>1050000</v>
      </c>
      <c r="X150" s="79">
        <f>IFERROR(__xludf.DUMMYFUNCTION("IMPORTRANGE(""https://docs.google.com/spreadsheets/d/1TtPg-FlLO1jhwMXHbfK3fOdebITZM3SHDdYgDdsun-o/edit#gid=1753586248"",""2025-26!M3"")"),100.0)</f>
        <v>100</v>
      </c>
      <c r="Y150" s="55">
        <f>IFERROR(__xludf.DUMMYFUNCTION("importrange(""https://docs.google.com/spreadsheets/d/1TtPg-FlLO1jhwMXHbfK3fOdebITZM3SHDdYgDdsun-o/edit#gid=1753586248"",""2025-26!n4"")"),691044.62)</f>
        <v>691044.62</v>
      </c>
      <c r="Z150" s="55">
        <f>IFERROR(__xludf.DUMMYFUNCTION("importrange(""https://docs.google.com/spreadsheets/d/1TtPg-FlLO1jhwMXHbfK3fOdebITZM3SHDdYgDdsun-o/edit#gid=1753586248"",""2025-26!n3"")"),38.0)</f>
        <v>38</v>
      </c>
      <c r="AA150" s="58">
        <f t="shared" si="19"/>
        <v>0.6411047619</v>
      </c>
      <c r="AB150" s="55">
        <f>IFERROR(__xludf.DUMMYFUNCTION("importrange(""https://docs.google.com/spreadsheets/d/1TtPg-FlLO1jhwMXHbfK3fOdebITZM3SHDdYgDdsun-o/edit#gid=1753586248"",""2025-26!o4"")"),673160.0)</f>
        <v>673160</v>
      </c>
      <c r="AC150" s="55">
        <f>IFERROR(__xludf.DUMMYFUNCTION("importrange(""https://docs.google.com/spreadsheets/d/1TtPg-FlLO1jhwMXHbfK3fOdebITZM3SHDdYgDdsun-o/edit#gid=1753586248"",""2025-26!o3"")"),37.0)</f>
        <v>37</v>
      </c>
      <c r="AD150" s="55">
        <f>IFERROR(__xludf.DUMMYFUNCTION("importrange(""https://docs.google.com/spreadsheets/d/1TtPg-FlLO1jhwMXHbfK3fOdebITZM3SHDdYgDdsun-o/edit#gid=1753586248"",""2025-26!p4"")"),1000000.0)</f>
        <v>1000000</v>
      </c>
      <c r="AE150" s="55">
        <f>IFERROR(__xludf.DUMMYFUNCTION("importrange(""https://docs.google.com/spreadsheets/d/1TtPg-FlLO1jhwMXHbfK3fOdebITZM3SHDdYgDdsun-o/edit#gid=1753586248"",""2025-26!p3"")"),101.0)</f>
        <v>101</v>
      </c>
      <c r="AF150" s="55">
        <f>IFERROR(__xludf.DUMMYFUNCTION("importrange(""https://docs.google.com/spreadsheets/d/1TtPg-FlLO1jhwMXHbfK3fOdebITZM3SHDdYgDdsun-o/edit#gid=1753586248"",""2025-26!q4"")"),721257.06)</f>
        <v>721257.06</v>
      </c>
      <c r="AG150" s="55">
        <f>IFERROR(__xludf.DUMMYFUNCTION("importrange(""https://docs.google.com/spreadsheets/d/1TtPg-FlLO1jhwMXHbfK3fOdebITZM3SHDdYgDdsun-o/edit#gid=1753586248"",""2025-26!q3"")"),40.0)</f>
        <v>40</v>
      </c>
      <c r="AH150" s="58">
        <f t="shared" si="20"/>
        <v>0.704927</v>
      </c>
      <c r="AI150" s="55">
        <f>IFERROR(__xludf.DUMMYFUNCTION("importrange(""https://docs.google.com/spreadsheets/d/1TtPg-FlLO1jhwMXHbfK3fOdebITZM3SHDdYgDdsun-o/edit#gid=1753586248"",""2025-26!r4"")"),704927.0)</f>
        <v>704927</v>
      </c>
      <c r="AJ150" s="55">
        <f>IFERROR(__xludf.DUMMYFUNCTION("importrange(""https://docs.google.com/spreadsheets/d/1TtPg-FlLO1jhwMXHbfK3fOdebITZM3SHDdYgDdsun-o/edit#gid=1753586248"",""2025-26!r3"")"),40.0)</f>
        <v>40</v>
      </c>
      <c r="AK150" s="55">
        <f>IFERROR(__xludf.DUMMYFUNCTION("importrange(""https://docs.google.com/spreadsheets/d/1TtPg-FlLO1jhwMXHbfK3fOdebITZM3SHDdYgDdsun-o/edit#gid=1753586248"",""2025-26!s4"")"),1000000.0)</f>
        <v>1000000</v>
      </c>
      <c r="AL150" s="55">
        <f>IFERROR(__xludf.DUMMYFUNCTION("importrange(""https://docs.google.com/spreadsheets/d/1TtPg-FlLO1jhwMXHbfK3fOdebITZM3SHDdYgDdsun-o/edit#gid=1753586248"",""2025-26!s3"")"),104.0)</f>
        <v>104</v>
      </c>
      <c r="AM150" s="57">
        <f>IFERROR(__xludf.DUMMYFUNCTION("importrange(""https://docs.google.com/spreadsheets/d/1TtPg-FlLO1jhwMXHbfK3fOdebITZM3SHDdYgDdsun-o/edit#gid=1753586248"",""2025-26!t4"")"),1019544.68)</f>
        <v>1019544.68</v>
      </c>
      <c r="AN150" s="55">
        <f>IFERROR(__xludf.DUMMYFUNCTION("importrange(""https://docs.google.com/spreadsheets/d/1TtPg-FlLO1jhwMXHbfK3fOdebITZM3SHDdYgDdsun-o/edit#gid=1753586248"",""2025-26!t3"")"),49.0)</f>
        <v>49</v>
      </c>
      <c r="AO150" s="58">
        <f t="shared" si="21"/>
        <v>0.989687</v>
      </c>
      <c r="AP150" s="55">
        <f>IFERROR(__xludf.DUMMYFUNCTION("importrange(""https://docs.google.com/spreadsheets/d/1TtPg-FlLO1jhwMXHbfK3fOdebITZM3SHDdYgDdsun-o/edit#gid=1753586248"",""2025-26!u4"")"),989687.0)</f>
        <v>989687</v>
      </c>
      <c r="AQ150" s="55">
        <f>IFERROR(__xludf.DUMMYFUNCTION("importrange(""https://docs.google.com/spreadsheets/d/1TtPg-FlLO1jhwMXHbfK3fOdebITZM3SHDdYgDdsun-o/edit#gid=1753586248"",""2025-26!u3"")"),45.0)</f>
        <v>45</v>
      </c>
      <c r="AR150" s="55">
        <f>IFERROR(__xludf.DUMMYFUNCTION("importrange(""https://docs.google.com/spreadsheets/d/1TtPg-FlLO1jhwMXHbfK3fOdebITZM3SHDdYgDdsun-o/edit#gid=1753586248"",""2025-26!v4"")"),950000.0)</f>
        <v>950000</v>
      </c>
      <c r="AS150" s="55">
        <f>IFERROR(__xludf.DUMMYFUNCTION("importrange(""https://docs.google.com/spreadsheets/d/1TtPg-FlLO1jhwMXHbfK3fOdebITZM3SHDdYgDdsun-o/edit#gid=1753586248"",""2025-26!v3"")"),105.0)</f>
        <v>105</v>
      </c>
      <c r="AT150" s="57">
        <f>IFERROR(__xludf.DUMMYFUNCTION("importrange(""https://docs.google.com/spreadsheets/d/1TtPg-FlLO1jhwMXHbfK3fOdebITZM3SHDdYgDdsun-o/edit#gid=1753586248"",""2025-26!w4"")"),925580.26)</f>
        <v>925580.26</v>
      </c>
      <c r="AU150" s="55">
        <f>IFERROR(__xludf.DUMMYFUNCTION("importrange(""https://docs.google.com/spreadsheets/d/1TtPg-FlLO1jhwMXHbfK3fOdebITZM3SHDdYgDdsun-o/edit#gid=1753586248"",""2025-26!w3"")"),36.0)</f>
        <v>36</v>
      </c>
      <c r="AV150" s="58">
        <f t="shared" si="22"/>
        <v>0.9549842105</v>
      </c>
      <c r="AW150" s="55">
        <f>IFERROR(__xludf.DUMMYFUNCTION("importrange(""https://docs.google.com/spreadsheets/d/1TtPg-FlLO1jhwMXHbfK3fOdebITZM3SHDdYgDdsun-o/edit#gid=1753586248"",""2025-26!x4"")"),907235.0)</f>
        <v>907235</v>
      </c>
      <c r="AX150" s="55">
        <f>IFERROR(__xludf.DUMMYFUNCTION("importrange(""https://docs.google.com/spreadsheets/d/1TtPg-FlLO1jhwMXHbfK3fOdebITZM3SHDdYgDdsun-o/edit#gid=1753586248"",""2025-26!x3"")"),36.0)</f>
        <v>36</v>
      </c>
      <c r="AY150" s="55">
        <f>IFERROR(__xludf.DUMMYFUNCTION("importrange(""https://docs.google.com/spreadsheets/d/1TtPg-FlLO1jhwMXHbfK3fOdebITZM3SHDdYgDdsun-o/edit#gid=1753586248"",""2025-26!y4"")"),1100000.0)</f>
        <v>1100000</v>
      </c>
      <c r="AZ150" s="55">
        <f>IFERROR(__xludf.DUMMYFUNCTION("importrange(""https://docs.google.com/spreadsheets/d/1TtPg-FlLO1jhwMXHbfK3fOdebITZM3SHDdYgDdsun-o/edit#gid=1753586248"",""2025-26!y3"")"),105.0)</f>
        <v>105</v>
      </c>
      <c r="BA150" s="57">
        <f>IFERROR(__xludf.DUMMYFUNCTION("importrange(""https://docs.google.com/spreadsheets/d/1TtPg-FlLO1jhwMXHbfK3fOdebITZM3SHDdYgDdsun-o/edit#gid=1753586248"",""2025-26!z4"")"),833298.92)</f>
        <v>833298.92</v>
      </c>
      <c r="BB150" s="55">
        <f>IFERROR(__xludf.DUMMYFUNCTION("importrange(""https://docs.google.com/spreadsheets/d/1TtPg-FlLO1jhwMXHbfK3fOdebITZM3SHDdYgDdsun-o/edit#gid=1753586248"",""2025-26!z3"")"),40.0)</f>
        <v>40</v>
      </c>
      <c r="BC150" s="59">
        <f t="shared" si="23"/>
        <v>0.7387627273</v>
      </c>
      <c r="BD150" s="55">
        <f>IFERROR(__xludf.DUMMYFUNCTION("importrange(""https://docs.google.com/spreadsheets/d/1TtPg-FlLO1jhwMXHbfK3fOdebITZM3SHDdYgDdsun-o/edit#gid=1753586248"",""2025-26!aa4"")"),812639.0)</f>
        <v>812639</v>
      </c>
      <c r="BE150" s="55">
        <f>IFERROR(__xludf.DUMMYFUNCTION("importrange(""https://docs.google.com/spreadsheets/d/1TtPg-FlLO1jhwMXHbfK3fOdebITZM3SHDdYgDdsun-o/edit#gid=1753586248"",""2025-26!aa3"")"),37.0)</f>
        <v>37</v>
      </c>
      <c r="BF150" s="55">
        <f>IFERROR(__xludf.DUMMYFUNCTION("importrange(""https://docs.google.com/spreadsheets/d/1TtPg-FlLO1jhwMXHbfK3fOdebITZM3SHDdYgDdsun-o/edit#gid=1753586248"",""2025-26!ab4"")"),800000.0)</f>
        <v>800000</v>
      </c>
      <c r="BG150" s="55">
        <f>IFERROR(__xludf.DUMMYFUNCTION("importrange(""https://docs.google.com/spreadsheets/d/1TtPg-FlLO1jhwMXHbfK3fOdebITZM3SHDdYgDdsun-o/edit#gid=1753586248"",""2025-26!ab3"")"),104.0)</f>
        <v>104</v>
      </c>
      <c r="BH150" s="55">
        <f>IFERROR(__xludf.DUMMYFUNCTION("importrange(""https://docs.google.com/spreadsheets/d/1TtPg-FlLO1jhwMXHbfK3fOdebITZM3SHDdYgDdsun-o/edit#gid=1753586248"",""2025-26!ac4"")"),804732.6799999999)</f>
        <v>804732.68</v>
      </c>
      <c r="BI150" s="55">
        <f>IFERROR(__xludf.DUMMYFUNCTION("importrange(""https://docs.google.com/spreadsheets/d/1TtPg-FlLO1jhwMXHbfK3fOdebITZM3SHDdYgDdsun-o/edit#gid=1753586248"",""2025-26!ac3"")"),33.0)</f>
        <v>33</v>
      </c>
      <c r="BJ150" s="59">
        <f t="shared" si="24"/>
        <v>1.00195875</v>
      </c>
      <c r="BK150" s="55">
        <f>IFERROR(__xludf.DUMMYFUNCTION("importrange(""https://docs.google.com/spreadsheets/d/1TtPg-FlLO1jhwMXHbfK3fOdebITZM3SHDdYgDdsun-o/edit#gid=1753586248"",""2025-26!ad4"")"),801567.0)</f>
        <v>801567</v>
      </c>
      <c r="BL150" s="55">
        <f>IFERROR(__xludf.DUMMYFUNCTION("importrange(""https://docs.google.com/spreadsheets/d/1TtPg-FlLO1jhwMXHbfK3fOdebITZM3SHDdYgDdsun-o/edit#gid=1753586248"",""2025-26!ad3"")"),33.0)</f>
        <v>33</v>
      </c>
      <c r="BM150" s="55">
        <f>IFERROR(__xludf.DUMMYFUNCTION("importrange(""https://docs.google.com/spreadsheets/d/1TtPg-FlLO1jhwMXHbfK3fOdebITZM3SHDdYgDdsun-o/edit#gid=1753586248"",""2025-26!ae4"")"),1000000.0)</f>
        <v>1000000</v>
      </c>
      <c r="BN150" s="55">
        <f>IFERROR(__xludf.DUMMYFUNCTION("importrange(""https://docs.google.com/spreadsheets/d/1TtPg-FlLO1jhwMXHbfK3fOdebITZM3SHDdYgDdsun-o/edit#gid=1753586248"",""2025-26!ae3"")"),104.0)</f>
        <v>104</v>
      </c>
      <c r="BO150" s="55">
        <f>IFERROR(__xludf.DUMMYFUNCTION("importrange(""https://docs.google.com/spreadsheets/d/1TtPg-FlLO1jhwMXHbfK3fOdebITZM3SHDdYgDdsun-o/edit#gid=1753586248"",""2025-26!af4"")"),719617.9800000001)</f>
        <v>719617.98</v>
      </c>
      <c r="BP150" s="55">
        <f>IFERROR(__xludf.DUMMYFUNCTION("importrange(""https://docs.google.com/spreadsheets/d/1TtPg-FlLO1jhwMXHbfK3fOdebITZM3SHDdYgDdsun-o/edit#gid=1753586248"",""2025-26!af3"")"),39.0)</f>
        <v>39</v>
      </c>
      <c r="BQ150" s="59">
        <f t="shared" si="25"/>
        <v>0.698721</v>
      </c>
      <c r="BR150" s="55">
        <f>IFERROR(__xludf.DUMMYFUNCTION("importrange(""https://docs.google.com/spreadsheets/d/1TtPg-FlLO1jhwMXHbfK3fOdebITZM3SHDdYgDdsun-o/edit#gid=1753586248"",""2025-26!ag4"")"),698721.0)</f>
        <v>698721</v>
      </c>
      <c r="BS150" s="55">
        <f>IFERROR(__xludf.DUMMYFUNCTION("importrange(""https://docs.google.com/spreadsheets/d/1TtPg-FlLO1jhwMXHbfK3fOdebITZM3SHDdYgDdsun-o/edit#gid=1753586248"",""2025-26!ag3"")"),38.0)</f>
        <v>38</v>
      </c>
      <c r="BT150" s="55">
        <f>IFERROR(__xludf.DUMMYFUNCTION("importrange(""https://docs.google.com/spreadsheets/d/1TtPg-FlLO1jhwMXHbfK3fOdebITZM3SHDdYgDdsun-o/edit#gid=1753586248"",""2025-26!ah4"")"),1100000.0)</f>
        <v>1100000</v>
      </c>
      <c r="BU150" s="55">
        <f>IFERROR(__xludf.DUMMYFUNCTION("importrange(""https://docs.google.com/spreadsheets/d/1TtPg-FlLO1jhwMXHbfK3fOdebITZM3SHDdYgDdsun-o/edit#gid=1753586248"",""2025-26!ah3"")"),104.0)</f>
        <v>104</v>
      </c>
      <c r="BV150" s="55">
        <f>IFERROR(__xludf.DUMMYFUNCTION("importrange(""https://docs.google.com/spreadsheets/d/1TtPg-FlLO1jhwMXHbfK3fOdebITZM3SHDdYgDdsun-o/edit#gid=1753586248"",""2025-26!ai4"")"),1543914.3199999998)</f>
        <v>1543914.32</v>
      </c>
      <c r="BW150" s="55">
        <f>IFERROR(__xludf.DUMMYFUNCTION("importrange(""https://docs.google.com/spreadsheets/d/1TtPg-FlLO1jhwMXHbfK3fOdebITZM3SHDdYgDdsun-o/edit#gid=1753586248"",""2025-26!ai3"")"),45.0)</f>
        <v>45</v>
      </c>
      <c r="BX150" s="59">
        <f t="shared" si="26"/>
        <v>1.376702727</v>
      </c>
      <c r="BY150" s="55">
        <f>IFERROR(__xludf.DUMMYFUNCTION("importrange(""https://docs.google.com/spreadsheets/d/1TtPg-FlLO1jhwMXHbfK3fOdebITZM3SHDdYgDdsun-o/edit#gid=1753586248"",""2025-26!aj4"")"),1514373.0)</f>
        <v>1514373</v>
      </c>
      <c r="BZ150" s="55">
        <f>IFERROR(__xludf.DUMMYFUNCTION("importrange(""https://docs.google.com/spreadsheets/d/1TtPg-FlLO1jhwMXHbfK3fOdebITZM3SHDdYgDdsun-o/edit#gid=1753586248"",""2025-26!aj3"")"),42.0)</f>
        <v>42</v>
      </c>
      <c r="CA150" s="55">
        <f>IFERROR(__xludf.DUMMYFUNCTION("importrange(""https://docs.google.com/spreadsheets/d/1TtPg-FlLO1jhwMXHbfK3fOdebITZM3SHDdYgDdsun-o/edit#gid=1753586248"",""2025-26!ak4"")"),1050000.0)</f>
        <v>1050000</v>
      </c>
      <c r="CB150" s="55">
        <f>IFERROR(__xludf.DUMMYFUNCTION("importrange(""https://docs.google.com/spreadsheets/d/1TtPg-FlLO1jhwMXHbfK3fOdebITZM3SHDdYgDdsun-o/edit#gid=1753586248"",""2025-26!ak3"")"),103.0)</f>
        <v>103</v>
      </c>
      <c r="CC150" s="55">
        <f>IFERROR(__xludf.DUMMYFUNCTION("importrange(""https://docs.google.com/spreadsheets/d/1TtPg-FlLO1jhwMXHbfK3fOdebITZM3SHDdYgDdsun-o/edit#gid=1753586248"",""2025-26!al4"")"),919381.88)</f>
        <v>919381.88</v>
      </c>
      <c r="CD150" s="55">
        <f>IFERROR(__xludf.DUMMYFUNCTION("importrange(""https://docs.google.com/spreadsheets/d/1TtPg-FlLO1jhwMXHbfK3fOdebITZM3SHDdYgDdsun-o/edit#gid=1753586248"",""2025-26!ai3"")"),45.0)</f>
        <v>45</v>
      </c>
      <c r="CE150" s="59">
        <f t="shared" si="27"/>
        <v>0.852232381</v>
      </c>
      <c r="CF150" s="55">
        <f>IFERROR(__xludf.DUMMYFUNCTION("importrange(""https://docs.google.com/spreadsheets/d/1TtPg-FlLO1jhwMXHbfK3fOdebITZM3SHDdYgDdsun-o/edit#gid=1753586248"",""2025-26!am4"")"),894844.0)</f>
        <v>894844</v>
      </c>
      <c r="CG150" s="55">
        <f>IFERROR(__xludf.DUMMYFUNCTION("importrange(""https://docs.google.com/spreadsheets/d/1TtPg-FlLO1jhwMXHbfK3fOdebITZM3SHDdYgDdsun-o/edit#gid=1753586248"",""2025-26!am3"")"),44.0)</f>
        <v>44</v>
      </c>
      <c r="CH150" s="55">
        <f>IFERROR(__xludf.DUMMYFUNCTION("importrange(""https://docs.google.com/spreadsheets/d/1TtPg-FlLO1jhwMXHbfK3fOdebITZM3SHDdYgDdsun-o/edit#gid=1753586248"",""2025-26!an4"")"),1000000.0)</f>
        <v>1000000</v>
      </c>
      <c r="CI150" s="55">
        <f>IFERROR(__xludf.DUMMYFUNCTION("importrange(""https://docs.google.com/spreadsheets/d/1TtPg-FlLO1jhwMXHbfK3fOdebITZM3SHDdYgDdsun-o/edit#gid=1753586248"",""2025-26!an3"")"),103.0)</f>
        <v>103</v>
      </c>
      <c r="CJ150" s="55">
        <f>IFERROR(__xludf.DUMMYFUNCTION("importrange(""https://docs.google.com/spreadsheets/d/1TtPg-FlLO1jhwMXHbfK3fOdebITZM3SHDdYgDdsun-o/edit#gid=1753586248"",""2025-26!ao4"")"),810315.4)</f>
        <v>810315.4</v>
      </c>
      <c r="CK150" s="55">
        <f>IFERROR(__xludf.DUMMYFUNCTION("importrange(""https://docs.google.com/spreadsheets/d/1TtPg-FlLO1jhwMXHbfK3fOdebITZM3SHDdYgDdsun-o/edit#gid=1753586248"",""2025-26!ao3"")"),42.0)</f>
        <v>42</v>
      </c>
      <c r="CL150" s="59">
        <f t="shared" si="28"/>
        <v>0.782628</v>
      </c>
      <c r="CM150" s="55">
        <f>IFERROR(__xludf.DUMMYFUNCTION("importrange(""https://docs.google.com/spreadsheets/d/1TtPg-FlLO1jhwMXHbfK3fOdebITZM3SHDdYgDdsun-o/edit#gid=1753586248"",""2025-26!ap4"")"),782628.0)</f>
        <v>782628</v>
      </c>
      <c r="CN150" s="55">
        <f>IFERROR(__xludf.DUMMYFUNCTION("importrange(""https://docs.google.com/spreadsheets/d/1TtPg-FlLO1jhwMXHbfK3fOdebITZM3SHDdYgDdsun-o/edit#gid=1753586248"",""2025-26!ap3"")"),41.0)</f>
        <v>41</v>
      </c>
      <c r="CO150" s="55">
        <f>IFERROR(__xludf.DUMMYFUNCTION("importrange(""https://docs.google.com/spreadsheets/d/1TtPg-FlLO1jhwMXHbfK3fOdebITZM3SHDdYgDdsun-o/edit#gid=1753586248"",""2025-26!aq4"")"),1000000.0)</f>
        <v>1000000</v>
      </c>
      <c r="CP150" s="55">
        <f>IFERROR(__xludf.DUMMYFUNCTION("importrange(""https://docs.google.com/spreadsheets/d/1TtPg-FlLO1jhwMXHbfK3fOdebITZM3SHDdYgDdsun-o/edit#gid=1753586248"",""2025-26!aq3"")"),107.0)</f>
        <v>107</v>
      </c>
      <c r="CQ150" s="55">
        <f>IFERROR(__xludf.DUMMYFUNCTION("importrange(""https://docs.google.com/spreadsheets/d/1TtPg-FlLO1jhwMXHbfK3fOdebITZM3SHDdYgDdsun-o/edit#gid=1753586248"",""2025-26!ar4"")"),812244.92)</f>
        <v>812244.92</v>
      </c>
      <c r="CR150" s="55">
        <f>IFERROR(__xludf.DUMMYFUNCTION("importrange(""https://docs.google.com/spreadsheets/d/1TtPg-FlLO1jhwMXHbfK3fOdebITZM3SHDdYgDdsun-o/edit#gid=1753586248"",""2025-26!ar3"")"),38.0)</f>
        <v>38</v>
      </c>
      <c r="CS150" s="59">
        <f t="shared" si="29"/>
        <v>0.658276</v>
      </c>
      <c r="CT150" s="55">
        <f>IFERROR(__xludf.DUMMYFUNCTION("importrange(""https://docs.google.com/spreadsheets/d/1TtPg-FlLO1jhwMXHbfK3fOdebITZM3SHDdYgDdsun-o/edit#gid=1753586248"",""2025-26!as4"")"),658276.0)</f>
        <v>658276</v>
      </c>
      <c r="CU150" s="55">
        <f>IFERROR(__xludf.DUMMYFUNCTION("importrange(""https://docs.google.com/spreadsheets/d/1TtPg-FlLO1jhwMXHbfK3fOdebITZM3SHDdYgDdsun-o/edit#gid=1753586248"",""2025-26!as3"")"),36.0)</f>
        <v>36</v>
      </c>
      <c r="CV150" s="60" t="s">
        <v>325</v>
      </c>
    </row>
    <row r="151">
      <c r="A151" s="1" t="s">
        <v>322</v>
      </c>
      <c r="B151" s="37"/>
      <c r="C151" s="64" t="s">
        <v>326</v>
      </c>
      <c r="D151" s="68" t="s">
        <v>327</v>
      </c>
      <c r="E151" s="83">
        <v>9.429043468E9</v>
      </c>
      <c r="F151" s="74">
        <v>45638.0</v>
      </c>
      <c r="G151" s="62"/>
      <c r="H151" s="62"/>
      <c r="I151" s="116">
        <v>47720.0</v>
      </c>
      <c r="J151" s="54">
        <v>1041667.0</v>
      </c>
      <c r="K151" s="57">
        <f>IFERROR(__xludf.DUMMYFUNCTION("IMPORTRANGE(""https://docs.google.com/spreadsheets/d/1I474VIS3tjOdc5ji7ckmL-ZCqzOM_zk53P3oK2g9VTM/edit?gid=216875875#gid=216875875"",""2025-26!A3"")"),101.0)</f>
        <v>101</v>
      </c>
      <c r="L151" s="57">
        <f>IFERROR(__xludf.DUMMYFUNCTION("IMPORTRANGE(""https://docs.google.com/spreadsheets/d/1I474VIS3tjOdc5ji7ckmL-ZCqzOM_zk53P3oK2g9VTM/edit?gid=216875875#gid=216875875"",""2025-26!G4"")"),6000000.0)</f>
        <v>6000000</v>
      </c>
      <c r="M151" s="57">
        <f t="shared" si="50"/>
        <v>244183.86</v>
      </c>
      <c r="N151" s="56">
        <f t="shared" si="51"/>
        <v>0</v>
      </c>
      <c r="O151" s="57">
        <f t="shared" si="52"/>
        <v>0</v>
      </c>
      <c r="P151" s="55">
        <f>IFERROR(__xludf.DUMMYFUNCTION("IMPORTRANGE(""https://docs.google.com/spreadsheets/d/1I474VIS3tjOdc5ji7ckmL-ZCqzOM_zk53P3oK2g9VTM/edit?gid=216875875#gid=216875875"",""2025-26!J4"")"),0.0)</f>
        <v>0</v>
      </c>
      <c r="Q151" s="55">
        <f>IFERROR(__xludf.DUMMYFUNCTION("IMPORTRANGE(""https://docs.google.com/spreadsheets/d/1I474VIS3tjOdc5ji7ckmL-ZCqzOM_zk53P3oK2g9VTM/edit?gid=216875875#gid=216875875"",""2025-26!J3"")"),0.0)</f>
        <v>0</v>
      </c>
      <c r="R151" s="55">
        <f>IFERROR(__xludf.DUMMYFUNCTION("IMPORTRANGE(""https://docs.google.com/spreadsheets/d/1I474VIS3tjOdc5ji7ckmL-ZCqzOM_zk53P3oK2g9VTM/edit?gid=216875875#gid=216875875"",""2025-26!K4"")"),0.0)</f>
        <v>0</v>
      </c>
      <c r="S151" s="55">
        <f>IFERROR(__xludf.DUMMYFUNCTION("IMPORTRANGE(""https://docs.google.com/spreadsheets/d/1I474VIS3tjOdc5ji7ckmL-ZCqzOM_zk53P3oK2g9VTM/edit?gid=216875875#gid=216875875"",""2025-26!K3"")"),0.0)</f>
        <v>0</v>
      </c>
      <c r="T151" s="58" t="str">
        <f t="shared" si="18"/>
        <v/>
      </c>
      <c r="U151" s="55">
        <f>IFERROR(__xludf.DUMMYFUNCTION("IMPORTRANGE(""https://docs.google.com/spreadsheets/d/1I474VIS3tjOdc5ji7ckmL-ZCqzOM_zk53P3oK2g9VTM/edit?gid=216875875#gid=216875875"",""2025-26!L4"")"),0.0)</f>
        <v>0</v>
      </c>
      <c r="V151" s="79">
        <f>IFERROR(__xludf.DUMMYFUNCTION("IMPORTRANGE(""https://docs.google.com/spreadsheets/d/1I474VIS3tjOdc5ji7ckmL-ZCqzOM_zk53P3oK2g9VTM/edit?gid=216875875#gid=216875875"",""2025-26!L3"")"),0.0)</f>
        <v>0</v>
      </c>
      <c r="W151" s="55">
        <f>IFERROR(__xludf.DUMMYFUNCTION("IMPORTRANGE(""https://docs.google.com/spreadsheets/d/1I474VIS3tjOdc5ji7ckmL-ZCqzOM_zk53P3oK2g9VTM/edit?gid=216875875#gid=216875875"",""2025-26!M4"")"),0.0)</f>
        <v>0</v>
      </c>
      <c r="X151" s="79">
        <f>IFERROR(__xludf.DUMMYFUNCTION("IMPORTRANGE(""https://docs.google.com/spreadsheets/d/1I474VIS3tjOdc5ji7ckmL-ZCqzOM_zk53P3oK2g9VTM/edit?gid=216875875#gid=216875875"",""2025-26!M3"")"),0.0)</f>
        <v>0</v>
      </c>
      <c r="Y151" s="55">
        <f>IFERROR(__xludf.DUMMYFUNCTION("importrange(""https://docs.google.com/spreadsheets/d/1I474VIS3tjOdc5ji7ckmL-ZCqzOM_zk53P3oK2g9VTM/edit?gid=216875875#gid=216875875"",""2025-26!n4"")"),0.0)</f>
        <v>0</v>
      </c>
      <c r="Z151" s="55">
        <f>IFERROR(__xludf.DUMMYFUNCTION("importrange(""https://docs.google.com/spreadsheets/d/1I474VIS3tjOdc5ji7ckmL-ZCqzOM_zk53P3oK2g9VTM/edit?gid=216875875#gid=216875875"",""2025-26!n3"")"),0.0)</f>
        <v>0</v>
      </c>
      <c r="AA151" s="58" t="str">
        <f t="shared" si="19"/>
        <v/>
      </c>
      <c r="AB151" s="55">
        <f>IFERROR(__xludf.DUMMYFUNCTION("importrange(""https://docs.google.com/spreadsheets/d/1I474VIS3tjOdc5ji7ckmL-ZCqzOM_zk53P3oK2g9VTM/edit?gid=216875875#gid=216875875"",""2025-26!o4"")"),0.0)</f>
        <v>0</v>
      </c>
      <c r="AC151" s="55">
        <f>IFERROR(__xludf.DUMMYFUNCTION("importrange(""https://docs.google.com/spreadsheets/d/1I474VIS3tjOdc5ji7ckmL-ZCqzOM_zk53P3oK2g9VTM/edit?gid=216875875#gid=216875875"",""2025-26!o3"")"),0.0)</f>
        <v>0</v>
      </c>
      <c r="AD151" s="55">
        <f>IFERROR(__xludf.DUMMYFUNCTION("importrange(""https://docs.google.com/spreadsheets/d/1I474VIS3tjOdc5ji7ckmL-ZCqzOM_zk53P3oK2g9VTM/edit?gid=216875875#gid=216875875"",""2025-26!p4"")"),575000.0)</f>
        <v>575000</v>
      </c>
      <c r="AE151" s="55">
        <f>IFERROR(__xludf.DUMMYFUNCTION("importrange(""https://docs.google.com/spreadsheets/d/1I474VIS3tjOdc5ji7ckmL-ZCqzOM_zk53P3oK2g9VTM/edit?gid=216875875#gid=216875875"",""2025-26!p3"")"),23.0)</f>
        <v>23</v>
      </c>
      <c r="AF151" s="55">
        <f>IFERROR(__xludf.DUMMYFUNCTION("importrange(""https://docs.google.com/spreadsheets/d/1I474VIS3tjOdc5ji7ckmL-ZCqzOM_zk53P3oK2g9VTM/edit?gid=216875875#gid=216875875"",""2025-26!q4"")"),0.0)</f>
        <v>0</v>
      </c>
      <c r="AG151" s="55">
        <f>IFERROR(__xludf.DUMMYFUNCTION("importrange(""https://docs.google.com/spreadsheets/d/1I474VIS3tjOdc5ji7ckmL-ZCqzOM_zk53P3oK2g9VTM/edit?gid=216875875#gid=216875875"",""2025-26!q3"")"),0.0)</f>
        <v>0</v>
      </c>
      <c r="AH151" s="58">
        <f t="shared" si="20"/>
        <v>0</v>
      </c>
      <c r="AI151" s="55">
        <f>IFERROR(__xludf.DUMMYFUNCTION("importrange(""https://docs.google.com/spreadsheets/d/1I474VIS3tjOdc5ji7ckmL-ZCqzOM_zk53P3oK2g9VTM/edit?gid=216875875#gid=216875875"",""2025-26!r4"")"),0.0)</f>
        <v>0</v>
      </c>
      <c r="AJ151" s="55">
        <f>IFERROR(__xludf.DUMMYFUNCTION("importrange(""https://docs.google.com/spreadsheets/d/1I474VIS3tjOdc5ji7ckmL-ZCqzOM_zk53P3oK2g9VTM/edit?gid=216875875#gid=216875875"",""2025-26!r3"")"),0.0)</f>
        <v>0</v>
      </c>
      <c r="AK151" s="55">
        <f>IFERROR(__xludf.DUMMYFUNCTION("importrange(""https://docs.google.com/spreadsheets/d/1I474VIS3tjOdc5ji7ckmL-ZCqzOM_zk53P3oK2g9VTM/edit?gid=216875875#gid=216875875"",""2025-26!s4"")"),645000.0)</f>
        <v>645000</v>
      </c>
      <c r="AL151" s="55">
        <f>IFERROR(__xludf.DUMMYFUNCTION("importrange(""https://docs.google.com/spreadsheets/d/1I474VIS3tjOdc5ji7ckmL-ZCqzOM_zk53P3oK2g9VTM/edit?gid=216875875#gid=216875875"",""2025-26!s3"")"),23.0)</f>
        <v>23</v>
      </c>
      <c r="AM151" s="57">
        <f>IFERROR(__xludf.DUMMYFUNCTION("importrange(""https://docs.google.com/spreadsheets/d/1I474VIS3tjOdc5ji7ckmL-ZCqzOM_zk53P3oK2g9VTM/edit?gid=216875875#gid=216875875"",""2025-26!t4"")"),0.0)</f>
        <v>0</v>
      </c>
      <c r="AN151" s="55">
        <f>IFERROR(__xludf.DUMMYFUNCTION("importrange(""https://docs.google.com/spreadsheets/d/1I474VIS3tjOdc5ji7ckmL-ZCqzOM_zk53P3oK2g9VTM/edit?gid=216875875#gid=216875875"",""2025-26!t3"")"),0.0)</f>
        <v>0</v>
      </c>
      <c r="AO151" s="58">
        <f t="shared" si="21"/>
        <v>0</v>
      </c>
      <c r="AP151" s="55">
        <f>IFERROR(__xludf.DUMMYFUNCTION("importrange(""https://docs.google.com/spreadsheets/d/1I474VIS3tjOdc5ji7ckmL-ZCqzOM_zk53P3oK2g9VTM/edit?gid=216875875#gid=216875875"",""2025-26!u4"")"),0.0)</f>
        <v>0</v>
      </c>
      <c r="AQ151" s="55">
        <f>IFERROR(__xludf.DUMMYFUNCTION("importrange(""https://docs.google.com/spreadsheets/d/1I474VIS3tjOdc5ji7ckmL-ZCqzOM_zk53P3oK2g9VTM/edit?gid=216875875#gid=216875875"",""2025-26!u3"")"),0.0)</f>
        <v>0</v>
      </c>
      <c r="AR151" s="55">
        <f>IFERROR(__xludf.DUMMYFUNCTION("importrange(""https://docs.google.com/spreadsheets/d/1I474VIS3tjOdc5ji7ckmL-ZCqzOM_zk53P3oK2g9VTM/edit?gid=216875875#gid=216875875"",""2025-26!v4"")"),0.0)</f>
        <v>0</v>
      </c>
      <c r="AS151" s="55">
        <f>IFERROR(__xludf.DUMMYFUNCTION("importrange(""https://docs.google.com/spreadsheets/d/1I474VIS3tjOdc5ji7ckmL-ZCqzOM_zk53P3oK2g9VTM/edit?gid=216875875#gid=216875875"",""2025-26!v3"")"),0.0)</f>
        <v>0</v>
      </c>
      <c r="AT151" s="57">
        <f>IFERROR(__xludf.DUMMYFUNCTION("importrange(""https://docs.google.com/spreadsheets/d/1I474VIS3tjOdc5ji7ckmL-ZCqzOM_zk53P3oK2g9VTM/edit?gid=216875875#gid=216875875"",""2025-26!w4"")"),90151.22)</f>
        <v>90151.22</v>
      </c>
      <c r="AU151" s="55">
        <f>IFERROR(__xludf.DUMMYFUNCTION("importrange(""https://docs.google.com/spreadsheets/d/1I474VIS3tjOdc5ji7ckmL-ZCqzOM_zk53P3oK2g9VTM/edit?gid=216875875#gid=216875875"",""2025-26!w3"")"),9.0)</f>
        <v>9</v>
      </c>
      <c r="AV151" s="58" t="str">
        <f t="shared" si="22"/>
        <v/>
      </c>
      <c r="AW151" s="55">
        <f>IFERROR(__xludf.DUMMYFUNCTION("importrange(""https://docs.google.com/spreadsheets/d/1I474VIS3tjOdc5ji7ckmL-ZCqzOM_zk53P3oK2g9VTM/edit?gid=216875875#gid=216875875"",""2025-26!x4"")"),0.0)</f>
        <v>0</v>
      </c>
      <c r="AX151" s="55">
        <f>IFERROR(__xludf.DUMMYFUNCTION("importrange(""https://docs.google.com/spreadsheets/d/1I474VIS3tjOdc5ji7ckmL-ZCqzOM_zk53P3oK2g9VTM/edit?gid=216875875#gid=216875875"",""2025-26!x3"")"),0.0)</f>
        <v>0</v>
      </c>
      <c r="AY151" s="55">
        <f>IFERROR(__xludf.DUMMYFUNCTION("importrange(""https://docs.google.com/spreadsheets/d/1I474VIS3tjOdc5ji7ckmL-ZCqzOM_zk53P3oK2g9VTM/edit?gid=216875875#gid=216875875"",""2025-26!y4"")"),0.0)</f>
        <v>0</v>
      </c>
      <c r="AZ151" s="55">
        <f>IFERROR(__xludf.DUMMYFUNCTION("importrange(""https://docs.google.com/spreadsheets/d/1I474VIS3tjOdc5ji7ckmL-ZCqzOM_zk53P3oK2g9VTM/edit?gid=216875875#gid=216875875"",""2025-26!y3"")"),0.0)</f>
        <v>0</v>
      </c>
      <c r="BA151" s="57">
        <f>IFERROR(__xludf.DUMMYFUNCTION("importrange(""https://docs.google.com/spreadsheets/d/1I474VIS3tjOdc5ji7ckmL-ZCqzOM_zk53P3oK2g9VTM/edit?gid=216875875#gid=216875875"",""2025-26!z4"")"),109438.64)</f>
        <v>109438.64</v>
      </c>
      <c r="BB151" s="55">
        <f>IFERROR(__xludf.DUMMYFUNCTION("importrange(""https://docs.google.com/spreadsheets/d/1I474VIS3tjOdc5ji7ckmL-ZCqzOM_zk53P3oK2g9VTM/edit?gid=216875875#gid=216875875"",""2025-26!z3"")"),7.0)</f>
        <v>7</v>
      </c>
      <c r="BC151" s="59" t="str">
        <f t="shared" si="23"/>
        <v/>
      </c>
      <c r="BD151" s="55">
        <f>IFERROR(__xludf.DUMMYFUNCTION("importrange(""https://docs.google.com/spreadsheets/d/1I474VIS3tjOdc5ji7ckmL-ZCqzOM_zk53P3oK2g9VTM/edit?gid=216875875#gid=216875875"",""2025-26!aa4"")"),0.0)</f>
        <v>0</v>
      </c>
      <c r="BE151" s="55">
        <f>IFERROR(__xludf.DUMMYFUNCTION("importrange(""https://docs.google.com/spreadsheets/d/1I474VIS3tjOdc5ji7ckmL-ZCqzOM_zk53P3oK2g9VTM/edit?gid=216875875#gid=216875875"",""2025-26!aa3"")"),0.0)</f>
        <v>0</v>
      </c>
      <c r="BF151" s="55">
        <f>IFERROR(__xludf.DUMMYFUNCTION("importrange(""https://docs.google.com/spreadsheets/d/1I474VIS3tjOdc5ji7ckmL-ZCqzOM_zk53P3oK2g9VTM/edit?gid=216875875#gid=216875875"",""2025-26!ab4"")"),520000.0)</f>
        <v>520000</v>
      </c>
      <c r="BG151" s="55">
        <f>IFERROR(__xludf.DUMMYFUNCTION("importrange(""https://docs.google.com/spreadsheets/d/1I474VIS3tjOdc5ji7ckmL-ZCqzOM_zk53P3oK2g9VTM/edit?gid=216875875#gid=216875875"",""2025-26!ab3"")"),21.0)</f>
        <v>21</v>
      </c>
      <c r="BH151" s="55">
        <f>IFERROR(__xludf.DUMMYFUNCTION("importrange(""https://docs.google.com/spreadsheets/d/1I474VIS3tjOdc5ji7ckmL-ZCqzOM_zk53P3oK2g9VTM/edit?gid=216875875#gid=216875875"",""2025-26!ac4"")"),0.0)</f>
        <v>0</v>
      </c>
      <c r="BI151" s="55">
        <f>IFERROR(__xludf.DUMMYFUNCTION("importrange(""https://docs.google.com/spreadsheets/d/1I474VIS3tjOdc5ji7ckmL-ZCqzOM_zk53P3oK2g9VTM/edit?gid=216875875#gid=216875875"",""2025-26!ac3"")"),0.0)</f>
        <v>0</v>
      </c>
      <c r="BJ151" s="59">
        <f t="shared" si="24"/>
        <v>0</v>
      </c>
      <c r="BK151" s="55">
        <f>IFERROR(__xludf.DUMMYFUNCTION("importrange(""https://docs.google.com/spreadsheets/d/1I474VIS3tjOdc5ji7ckmL-ZCqzOM_zk53P3oK2g9VTM/edit?gid=216875875#gid=216875875"",""2025-26!ad4"")"),0.0)</f>
        <v>0</v>
      </c>
      <c r="BL151" s="55">
        <f>IFERROR(__xludf.DUMMYFUNCTION("importrange(""https://docs.google.com/spreadsheets/d/1I474VIS3tjOdc5ji7ckmL-ZCqzOM_zk53P3oK2g9VTM/edit?gid=216875875#gid=216875875"",""2025-26!ad3"")"),0.0)</f>
        <v>0</v>
      </c>
      <c r="BM151" s="55">
        <f>IFERROR(__xludf.DUMMYFUNCTION("importrange(""https://docs.google.com/spreadsheets/d/1I474VIS3tjOdc5ji7ckmL-ZCqzOM_zk53P3oK2g9VTM/edit?gid=216875875#gid=216875875"",""2025-26!ae4"")"),520000.0)</f>
        <v>520000</v>
      </c>
      <c r="BN151" s="55">
        <f>IFERROR(__xludf.DUMMYFUNCTION("importrange(""https://docs.google.com/spreadsheets/d/1I474VIS3tjOdc5ji7ckmL-ZCqzOM_zk53P3oK2g9VTM/edit?gid=216875875#gid=216875875"",""2025-26!ae3"")"),21.0)</f>
        <v>21</v>
      </c>
      <c r="BO151" s="55">
        <f>IFERROR(__xludf.DUMMYFUNCTION("importrange(""https://docs.google.com/spreadsheets/d/1I474VIS3tjOdc5ji7ckmL-ZCqzOM_zk53P3oK2g9VTM/edit?gid=216875875#gid=216875875"",""2025-26!af4"")"),0.0)</f>
        <v>0</v>
      </c>
      <c r="BP151" s="55">
        <f>IFERROR(__xludf.DUMMYFUNCTION("importrange(""https://docs.google.com/spreadsheets/d/1I474VIS3tjOdc5ji7ckmL-ZCqzOM_zk53P3oK2g9VTM/edit?gid=216875875#gid=216875875"",""2025-26!af3"")"),0.0)</f>
        <v>0</v>
      </c>
      <c r="BQ151" s="59">
        <f t="shared" si="25"/>
        <v>0</v>
      </c>
      <c r="BR151" s="55">
        <f>IFERROR(__xludf.DUMMYFUNCTION("importrange(""https://docs.google.com/spreadsheets/d/1I474VIS3tjOdc5ji7ckmL-ZCqzOM_zk53P3oK2g9VTM/edit?gid=216875875#gid=216875875"",""2025-26!ag4"")"),0.0)</f>
        <v>0</v>
      </c>
      <c r="BS151" s="55">
        <f>IFERROR(__xludf.DUMMYFUNCTION("importrange(""https://docs.google.com/spreadsheets/d/1I474VIS3tjOdc5ji7ckmL-ZCqzOM_zk53P3oK2g9VTM/edit?gid=216875875#gid=216875875"",""2025-26!ag3"")"),0.0)</f>
        <v>0</v>
      </c>
      <c r="BT151" s="55">
        <f>IFERROR(__xludf.DUMMYFUNCTION("importrange(""https://docs.google.com/spreadsheets/d/1I474VIS3tjOdc5ji7ckmL-ZCqzOM_zk53P3oK2g9VTM/edit?gid=216875875#gid=216875875"",""2025-26!ah4"")"),520000.0)</f>
        <v>520000</v>
      </c>
      <c r="BU151" s="55">
        <f>IFERROR(__xludf.DUMMYFUNCTION("importrange(""https://docs.google.com/spreadsheets/d/1I474VIS3tjOdc5ji7ckmL-ZCqzOM_zk53P3oK2g9VTM/edit?gid=216875875#gid=216875875"",""2025-26!ah3"")"),21.0)</f>
        <v>21</v>
      </c>
      <c r="BV151" s="55">
        <f>IFERROR(__xludf.DUMMYFUNCTION("importrange(""https://docs.google.com/spreadsheets/d/1I474VIS3tjOdc5ji7ckmL-ZCqzOM_zk53P3oK2g9VTM/edit?gid=216875875#gid=216875875"",""2025-26!ai4"")"),0.0)</f>
        <v>0</v>
      </c>
      <c r="BW151" s="55">
        <f>IFERROR(__xludf.DUMMYFUNCTION("importrange(""https://docs.google.com/spreadsheets/d/1I474VIS3tjOdc5ji7ckmL-ZCqzOM_zk53P3oK2g9VTM/edit?gid=216875875#gid=216875875"",""2025-26!ai3"")"),0.0)</f>
        <v>0</v>
      </c>
      <c r="BX151" s="59">
        <f t="shared" si="26"/>
        <v>0</v>
      </c>
      <c r="BY151" s="55">
        <f>IFERROR(__xludf.DUMMYFUNCTION("importrange(""https://docs.google.com/spreadsheets/d/1I474VIS3tjOdc5ji7ckmL-ZCqzOM_zk53P3oK2g9VTM/edit?gid=216875875#gid=216875875"",""2025-26!aj4"")"),0.0)</f>
        <v>0</v>
      </c>
      <c r="BZ151" s="55">
        <f>IFERROR(__xludf.DUMMYFUNCTION("importrange(""https://docs.google.com/spreadsheets/d/1I474VIS3tjOdc5ji7ckmL-ZCqzOM_zk53P3oK2g9VTM/edit?gid=216875875#gid=216875875"",""2025-26!aj3"")"),0.0)</f>
        <v>0</v>
      </c>
      <c r="CA151" s="55">
        <f>IFERROR(__xludf.DUMMYFUNCTION("importrange(""https://docs.google.com/spreadsheets/d/1I474VIS3tjOdc5ji7ckmL-ZCqzOM_zk53P3oK2g9VTM/edit?gid=216875875#gid=216875875"",""2025-26!ak4"")"),665500.0)</f>
        <v>665500</v>
      </c>
      <c r="CB151" s="55">
        <f>IFERROR(__xludf.DUMMYFUNCTION("importrange(""https://docs.google.com/spreadsheets/d/1I474VIS3tjOdc5ji7ckmL-ZCqzOM_zk53P3oK2g9VTM/edit?gid=216875875#gid=216875875"",""2025-26!ak3"")"),40.0)</f>
        <v>40</v>
      </c>
      <c r="CC151" s="55">
        <f>IFERROR(__xludf.DUMMYFUNCTION("importrange(""https://docs.google.com/spreadsheets/d/1I474VIS3tjOdc5ji7ckmL-ZCqzOM_zk53P3oK2g9VTM/edit?gid=216875875#gid=216875875"",""2025-26!al4"")"),26114.0)</f>
        <v>26114</v>
      </c>
      <c r="CD151" s="55">
        <f>IFERROR(__xludf.DUMMYFUNCTION("importrange(""https://docs.google.com/spreadsheets/d/1I474VIS3tjOdc5ji7ckmL-ZCqzOM_zk53P3oK2g9VTM/edit?gid=216875875#gid=216875875"",""2025-26!ai3"")"),0.0)</f>
        <v>0</v>
      </c>
      <c r="CE151" s="59">
        <f t="shared" si="27"/>
        <v>0</v>
      </c>
      <c r="CF151" s="55">
        <f>IFERROR(__xludf.DUMMYFUNCTION("importrange(""https://docs.google.com/spreadsheets/d/1I474VIS3tjOdc5ji7ckmL-ZCqzOM_zk53P3oK2g9VTM/edit?gid=216875875#gid=216875875"",""2025-26!am4"")"),0.0)</f>
        <v>0</v>
      </c>
      <c r="CG151" s="55">
        <f>IFERROR(__xludf.DUMMYFUNCTION("importrange(""https://docs.google.com/spreadsheets/d/1I474VIS3tjOdc5ji7ckmL-ZCqzOM_zk53P3oK2g9VTM/edit?gid=216875875#gid=216875875"",""2025-26!am3"")"),0.0)</f>
        <v>0</v>
      </c>
      <c r="CH151" s="55">
        <f>IFERROR(__xludf.DUMMYFUNCTION("importrange(""https://docs.google.com/spreadsheets/d/1I474VIS3tjOdc5ji7ckmL-ZCqzOM_zk53P3oK2g9VTM/edit?gid=216875875#gid=216875875"",""2025-26!an4"")"),0.0)</f>
        <v>0</v>
      </c>
      <c r="CI151" s="55">
        <f>IFERROR(__xludf.DUMMYFUNCTION("importrange(""https://docs.google.com/spreadsheets/d/1I474VIS3tjOdc5ji7ckmL-ZCqzOM_zk53P3oK2g9VTM/edit?gid=216875875#gid=216875875"",""2025-26!an3"")"),0.0)</f>
        <v>0</v>
      </c>
      <c r="CJ151" s="55">
        <f>IFERROR(__xludf.DUMMYFUNCTION("importrange(""https://docs.google.com/spreadsheets/d/1I474VIS3tjOdc5ji7ckmL-ZCqzOM_zk53P3oK2g9VTM/edit?gid=216875875#gid=216875875"",""2025-26!ao4"")"),18480.0)</f>
        <v>18480</v>
      </c>
      <c r="CK151" s="55">
        <f>IFERROR(__xludf.DUMMYFUNCTION("importrange(""https://docs.google.com/spreadsheets/d/1I474VIS3tjOdc5ji7ckmL-ZCqzOM_zk53P3oK2g9VTM/edit?gid=216875875#gid=216875875"",""2025-26!ao3"")"),3.0)</f>
        <v>3</v>
      </c>
      <c r="CL151" s="59" t="str">
        <f t="shared" si="28"/>
        <v/>
      </c>
      <c r="CM151" s="55">
        <f>IFERROR(__xludf.DUMMYFUNCTION("importrange(""https://docs.google.com/spreadsheets/d/1I474VIS3tjOdc5ji7ckmL-ZCqzOM_zk53P3oK2g9VTM/edit?gid=216875875#gid=216875875"",""2025-26!ap4"")"),0.0)</f>
        <v>0</v>
      </c>
      <c r="CN151" s="55">
        <f>IFERROR(__xludf.DUMMYFUNCTION("importrange(""https://docs.google.com/spreadsheets/d/1I474VIS3tjOdc5ji7ckmL-ZCqzOM_zk53P3oK2g9VTM/edit?gid=216875875#gid=216875875"",""2025-26!ap3"")"),0.0)</f>
        <v>0</v>
      </c>
      <c r="CO151" s="55">
        <f>IFERROR(__xludf.DUMMYFUNCTION("importrange(""https://docs.google.com/spreadsheets/d/1I474VIS3tjOdc5ji7ckmL-ZCqzOM_zk53P3oK2g9VTM/edit?gid=216875875#gid=216875875"",""2025-26!aq4"")"),0.0)</f>
        <v>0</v>
      </c>
      <c r="CP151" s="55">
        <f>IFERROR(__xludf.DUMMYFUNCTION("importrange(""https://docs.google.com/spreadsheets/d/1I474VIS3tjOdc5ji7ckmL-ZCqzOM_zk53P3oK2g9VTM/edit?gid=216875875#gid=216875875"",""2025-26!aq3"")"),0.0)</f>
        <v>0</v>
      </c>
      <c r="CQ151" s="55">
        <f>IFERROR(__xludf.DUMMYFUNCTION("importrange(""https://docs.google.com/spreadsheets/d/1I474VIS3tjOdc5ji7ckmL-ZCqzOM_zk53P3oK2g9VTM/edit?gid=216875875#gid=216875875"",""2025-26!ar4"")"),0.0)</f>
        <v>0</v>
      </c>
      <c r="CR151" s="55">
        <f>IFERROR(__xludf.DUMMYFUNCTION("importrange(""https://docs.google.com/spreadsheets/d/1I474VIS3tjOdc5ji7ckmL-ZCqzOM_zk53P3oK2g9VTM/edit?gid=216875875#gid=216875875"",""2025-26!ar3"")"),0.0)</f>
        <v>0</v>
      </c>
      <c r="CS151" s="59" t="str">
        <f t="shared" si="29"/>
        <v/>
      </c>
      <c r="CT151" s="55">
        <f>IFERROR(__xludf.DUMMYFUNCTION("importrange(""https://docs.google.com/spreadsheets/d/1I474VIS3tjOdc5ji7ckmL-ZCqzOM_zk53P3oK2g9VTM/edit?gid=216875875#gid=216875875"",""2025-26!as4"")"),0.0)</f>
        <v>0</v>
      </c>
      <c r="CU151" s="55">
        <f>IFERROR(__xludf.DUMMYFUNCTION("importrange(""https://docs.google.com/spreadsheets/d/1I474VIS3tjOdc5ji7ckmL-ZCqzOM_zk53P3oK2g9VTM/edit?gid=216875875#gid=216875875"",""2025-26!as3"")"),0.0)</f>
        <v>0</v>
      </c>
      <c r="CV151" s="60" t="s">
        <v>325</v>
      </c>
    </row>
    <row r="152">
      <c r="A152" s="1" t="s">
        <v>322</v>
      </c>
      <c r="B152" s="37"/>
      <c r="C152" s="104" t="s">
        <v>328</v>
      </c>
      <c r="D152" s="83" t="s">
        <v>329</v>
      </c>
      <c r="E152" s="83">
        <v>9.879922199E9</v>
      </c>
      <c r="F152" s="117">
        <v>45810.0</v>
      </c>
      <c r="G152" s="75"/>
      <c r="H152" s="75"/>
      <c r="I152" s="53">
        <f>VLOOKUP($C152,Data!$C:$BV,34,0)</f>
        <v>38285</v>
      </c>
      <c r="J152" s="54">
        <v>800000.0</v>
      </c>
      <c r="K152" s="57">
        <f>IFERROR(__xludf.DUMMYFUNCTION("IMPORTRANGE(""https://docs.google.com/spreadsheets/d/1-ogoWjnzIVLNWtmtxffbKqxjIGfK2GUBdU2m2vHuN1s/edit?gid=0#gid=0"",""2025-26!A3"")"),44.0)</f>
        <v>44</v>
      </c>
      <c r="L152" s="57">
        <f>IFERROR(__xludf.DUMMYFUNCTION("IMPORTRANGE(""https://docs.google.com/spreadsheets/d/1-ogoWjnzIVLNWtmtxffbKqxjIGfK2GUBdU2m2vHuN1s/edit?gid=0#gid=0"",""2025-26!G4"")"),0.0)</f>
        <v>0</v>
      </c>
      <c r="M152" s="57">
        <f t="shared" si="50"/>
        <v>2939713.64</v>
      </c>
      <c r="N152" s="56" t="str">
        <f t="shared" si="51"/>
        <v/>
      </c>
      <c r="O152" s="57">
        <f t="shared" si="52"/>
        <v>0</v>
      </c>
      <c r="P152" s="55">
        <f>IFERROR(__xludf.DUMMYFUNCTION("IMPORTRANGE(""https://docs.google.com/spreadsheets/d/1-ogoWjnzIVLNWtmtxffbKqxjIGfK2GUBdU2m2vHuN1s/edit?gid=0#gid=0"",""2025-26!J4"")"),245000.0)</f>
        <v>245000</v>
      </c>
      <c r="Q152" s="55">
        <f>IFERROR(__xludf.DUMMYFUNCTION("IMPORTRANGE(""https://docs.google.com/spreadsheets/d/1-ogoWjnzIVLNWtmtxffbKqxjIGfK2GUBdU2m2vHuN1s/edit?gid=0#gid=0"",""2025-26!J3"")"),17.0)</f>
        <v>17</v>
      </c>
      <c r="R152" s="55">
        <f>IFERROR(__xludf.DUMMYFUNCTION("IMPORTRANGE(""https://docs.google.com/spreadsheets/d/1-ogoWjnzIVLNWtmtxffbKqxjIGfK2GUBdU2m2vHuN1s/edit?gid=0#gid=0"",""2025-26!K4"")"),0.0)</f>
        <v>0</v>
      </c>
      <c r="S152" s="55">
        <f>IFERROR(__xludf.DUMMYFUNCTION("IMPORTRANGE(""https://docs.google.com/spreadsheets/d/1-ogoWjnzIVLNWtmtxffbKqxjIGfK2GUBdU2m2vHuN1s/edit?gid=0#gid=0"",""2025-26!K3"")"),0.0)</f>
        <v>0</v>
      </c>
      <c r="T152" s="58">
        <f t="shared" si="18"/>
        <v>0</v>
      </c>
      <c r="U152" s="55">
        <f>IFERROR(__xludf.DUMMYFUNCTION("IMPORTRANGE(""https://docs.google.com/spreadsheets/d/1-ogoWjnzIVLNWtmtxffbKqxjIGfK2GUBdU2m2vHuN1s/edit?gid=0#gid=0"",""2025-26!L4"")"),0.0)</f>
        <v>0</v>
      </c>
      <c r="V152" s="79">
        <f>IFERROR(__xludf.DUMMYFUNCTION("IMPORTRANGE(""https://docs.google.com/spreadsheets/d/1-ogoWjnzIVLNWtmtxffbKqxjIGfK2GUBdU2m2vHuN1s/edit?gid=0#gid=0"",""2025-26!L3"")"),0.0)</f>
        <v>0</v>
      </c>
      <c r="W152" s="55">
        <f>IFERROR(__xludf.DUMMYFUNCTION("IMPORTRANGE(""https://docs.google.com/spreadsheets/d/1-ogoWjnzIVLNWtmtxffbKqxjIGfK2GUBdU2m2vHuN1s/edit?gid=0#gid=0"",""2025-26!M4"")"),285000.0)</f>
        <v>285000</v>
      </c>
      <c r="X152" s="79">
        <f>IFERROR(__xludf.DUMMYFUNCTION("IMPORTRANGE(""https://docs.google.com/spreadsheets/d/1-ogoWjnzIVLNWtmtxffbKqxjIGfK2GUBdU2m2vHuN1s/edit?gid=0#gid=0"",""2025-26!M3"")"),19.0)</f>
        <v>19</v>
      </c>
      <c r="Y152" s="55">
        <f>IFERROR(__xludf.DUMMYFUNCTION("importrange(""https://docs.google.com/spreadsheets/d/1-ogoWjnzIVLNWtmtxffbKqxjIGfK2GUBdU2m2vHuN1s/edit?gid=0#gid=0"",""2025-26!n4"")"),0.0)</f>
        <v>0</v>
      </c>
      <c r="Z152" s="55">
        <f>IFERROR(__xludf.DUMMYFUNCTION("importrange(""https://docs.google.com/spreadsheets/d/1-ogoWjnzIVLNWtmtxffbKqxjIGfK2GUBdU2m2vHuN1s/edit?gid=0#gid=0"",""2025-26!n3"")"),0.0)</f>
        <v>0</v>
      </c>
      <c r="AA152" s="58">
        <f t="shared" si="19"/>
        <v>0</v>
      </c>
      <c r="AB152" s="55">
        <f>IFERROR(__xludf.DUMMYFUNCTION("importrange(""https://docs.google.com/spreadsheets/d/1-ogoWjnzIVLNWtmtxffbKqxjIGfK2GUBdU2m2vHuN1s/edit?gid=0#gid=0"",""2025-26!o4"")"),0.0)</f>
        <v>0</v>
      </c>
      <c r="AC152" s="55">
        <f>IFERROR(__xludf.DUMMYFUNCTION("importrange(""https://docs.google.com/spreadsheets/d/1-ogoWjnzIVLNWtmtxffbKqxjIGfK2GUBdU2m2vHuN1s/edit?gid=0#gid=0"",""2025-26!o3"")"),0.0)</f>
        <v>0</v>
      </c>
      <c r="AD152" s="55">
        <f>IFERROR(__xludf.DUMMYFUNCTION("importrange(""https://docs.google.com/spreadsheets/d/1-ogoWjnzIVLNWtmtxffbKqxjIGfK2GUBdU2m2vHuN1s/edit?gid=0#gid=0"",""2025-26!p4"")"),260000.0)</f>
        <v>260000</v>
      </c>
      <c r="AE152" s="55">
        <f>IFERROR(__xludf.DUMMYFUNCTION("importrange(""https://docs.google.com/spreadsheets/d/1-ogoWjnzIVLNWtmtxffbKqxjIGfK2GUBdU2m2vHuN1s/edit?gid=0#gid=0"",""2025-26!p3"")"),19.0)</f>
        <v>19</v>
      </c>
      <c r="AF152" s="55">
        <f>IFERROR(__xludf.DUMMYFUNCTION("importrange(""https://docs.google.com/spreadsheets/d/1-ogoWjnzIVLNWtmtxffbKqxjIGfK2GUBdU2m2vHuN1s/edit?gid=0#gid=0"",""2025-26!q4"")"),47444.28)</f>
        <v>47444.28</v>
      </c>
      <c r="AG152" s="55">
        <f>IFERROR(__xludf.DUMMYFUNCTION("importrange(""https://docs.google.com/spreadsheets/d/1-ogoWjnzIVLNWtmtxffbKqxjIGfK2GUBdU2m2vHuN1s/edit?gid=0#gid=0"",""2025-26!q3"")"),3.0)</f>
        <v>3</v>
      </c>
      <c r="AH152" s="58">
        <f t="shared" si="20"/>
        <v>0</v>
      </c>
      <c r="AI152" s="55">
        <f>IFERROR(__xludf.DUMMYFUNCTION("importrange(""https://docs.google.com/spreadsheets/d/1-ogoWjnzIVLNWtmtxffbKqxjIGfK2GUBdU2m2vHuN1s/edit?gid=0#gid=0"",""2025-26!r4"")"),0.0)</f>
        <v>0</v>
      </c>
      <c r="AJ152" s="55">
        <f>IFERROR(__xludf.DUMMYFUNCTION("importrange(""https://docs.google.com/spreadsheets/d/1-ogoWjnzIVLNWtmtxffbKqxjIGfK2GUBdU2m2vHuN1s/edit?gid=0#gid=0"",""2025-26!r3"")"),0.0)</f>
        <v>0</v>
      </c>
      <c r="AK152" s="55">
        <f>IFERROR(__xludf.DUMMYFUNCTION("importrange(""https://docs.google.com/spreadsheets/d/1-ogoWjnzIVLNWtmtxffbKqxjIGfK2GUBdU2m2vHuN1s/edit?gid=0#gid=0"",""2025-26!s4"")"),310000.0)</f>
        <v>310000</v>
      </c>
      <c r="AL152" s="55">
        <f>IFERROR(__xludf.DUMMYFUNCTION("importrange(""https://docs.google.com/spreadsheets/d/1-ogoWjnzIVLNWtmtxffbKqxjIGfK2GUBdU2m2vHuN1s/edit?gid=0#gid=0"",""2025-26!s3"")"),22.0)</f>
        <v>22</v>
      </c>
      <c r="AM152" s="57">
        <f>IFERROR(__xludf.DUMMYFUNCTION("importrange(""https://docs.google.com/spreadsheets/d/1-ogoWjnzIVLNWtmtxffbKqxjIGfK2GUBdU2m2vHuN1s/edit?gid=0#gid=0"",""2025-26!t4"")"),219059.16)</f>
        <v>219059.16</v>
      </c>
      <c r="AN152" s="55">
        <f>IFERROR(__xludf.DUMMYFUNCTION("importrange(""https://docs.google.com/spreadsheets/d/1-ogoWjnzIVLNWtmtxffbKqxjIGfK2GUBdU2m2vHuN1s/edit?gid=0#gid=0"",""2025-26!t3"")"),10.0)</f>
        <v>10</v>
      </c>
      <c r="AO152" s="58">
        <f t="shared" si="21"/>
        <v>0</v>
      </c>
      <c r="AP152" s="55">
        <f>IFERROR(__xludf.DUMMYFUNCTION("importrange(""https://docs.google.com/spreadsheets/d/1-ogoWjnzIVLNWtmtxffbKqxjIGfK2GUBdU2m2vHuN1s/edit?gid=0#gid=0"",""2025-26!u4"")"),0.0)</f>
        <v>0</v>
      </c>
      <c r="AQ152" s="55">
        <f>IFERROR(__xludf.DUMMYFUNCTION("importrange(""https://docs.google.com/spreadsheets/d/1-ogoWjnzIVLNWtmtxffbKqxjIGfK2GUBdU2m2vHuN1s/edit?gid=0#gid=0"",""2025-26!u3"")"),0.0)</f>
        <v>0</v>
      </c>
      <c r="AR152" s="55">
        <f>IFERROR(__xludf.DUMMYFUNCTION("importrange(""https://docs.google.com/spreadsheets/d/1-ogoWjnzIVLNWtmtxffbKqxjIGfK2GUBdU2m2vHuN1s/edit?gid=0#gid=0"",""2025-26!v4"")"),390000.0)</f>
        <v>390000</v>
      </c>
      <c r="AS152" s="55">
        <f>IFERROR(__xludf.DUMMYFUNCTION("importrange(""https://docs.google.com/spreadsheets/d/1-ogoWjnzIVLNWtmtxffbKqxjIGfK2GUBdU2m2vHuN1s/edit?gid=0#gid=0"",""2025-26!v3"")"),25.0)</f>
        <v>25</v>
      </c>
      <c r="AT152" s="57">
        <f>IFERROR(__xludf.DUMMYFUNCTION("importrange(""https://docs.google.com/spreadsheets/d/1-ogoWjnzIVLNWtmtxffbKqxjIGfK2GUBdU2m2vHuN1s/edit?gid=0#gid=0"",""2025-26!w4"")"),215910.82999999993)</f>
        <v>215910.83</v>
      </c>
      <c r="AU152" s="55">
        <f>IFERROR(__xludf.DUMMYFUNCTION("importrange(""https://docs.google.com/spreadsheets/d/1-ogoWjnzIVLNWtmtxffbKqxjIGfK2GUBdU2m2vHuN1s/edit?gid=0#gid=0"",""2025-26!w3"")"),19.0)</f>
        <v>19</v>
      </c>
      <c r="AV152" s="58">
        <f t="shared" si="22"/>
        <v>0</v>
      </c>
      <c r="AW152" s="55">
        <f>IFERROR(__xludf.DUMMYFUNCTION("importrange(""https://docs.google.com/spreadsheets/d/1-ogoWjnzIVLNWtmtxffbKqxjIGfK2GUBdU2m2vHuN1s/edit?gid=0#gid=0"",""2025-26!x4"")"),0.0)</f>
        <v>0</v>
      </c>
      <c r="AX152" s="55">
        <f>IFERROR(__xludf.DUMMYFUNCTION("importrange(""https://docs.google.com/spreadsheets/d/1-ogoWjnzIVLNWtmtxffbKqxjIGfK2GUBdU2m2vHuN1s/edit?gid=0#gid=0"",""2025-26!x3"")"),0.0)</f>
        <v>0</v>
      </c>
      <c r="AY152" s="55">
        <f>IFERROR(__xludf.DUMMYFUNCTION("importrange(""https://docs.google.com/spreadsheets/d/1-ogoWjnzIVLNWtmtxffbKqxjIGfK2GUBdU2m2vHuN1s/edit?gid=0#gid=0"",""2025-26!y4"")"),370000.0)</f>
        <v>370000</v>
      </c>
      <c r="AZ152" s="55">
        <f>IFERROR(__xludf.DUMMYFUNCTION("importrange(""https://docs.google.com/spreadsheets/d/1-ogoWjnzIVLNWtmtxffbKqxjIGfK2GUBdU2m2vHuN1s/edit?gid=0#gid=0"",""2025-26!y3"")"),27.0)</f>
        <v>27</v>
      </c>
      <c r="BA152" s="57">
        <f>IFERROR(__xludf.DUMMYFUNCTION("importrange(""https://docs.google.com/spreadsheets/d/1-ogoWjnzIVLNWtmtxffbKqxjIGfK2GUBdU2m2vHuN1s/edit?gid=0#gid=0"",""2025-26!z4"")"),180935.03999999998)</f>
        <v>180935.04</v>
      </c>
      <c r="BB152" s="55">
        <f>IFERROR(__xludf.DUMMYFUNCTION("importrange(""https://docs.google.com/spreadsheets/d/1-ogoWjnzIVLNWtmtxffbKqxjIGfK2GUBdU2m2vHuN1s/edit?gid=0#gid=0"",""2025-26!z3"")"),12.0)</f>
        <v>12</v>
      </c>
      <c r="BC152" s="59">
        <f t="shared" si="23"/>
        <v>0</v>
      </c>
      <c r="BD152" s="55">
        <f>IFERROR(__xludf.DUMMYFUNCTION("importrange(""https://docs.google.com/spreadsheets/d/1-ogoWjnzIVLNWtmtxffbKqxjIGfK2GUBdU2m2vHuN1s/edit?gid=0#gid=0"",""2025-26!aa4"")"),0.0)</f>
        <v>0</v>
      </c>
      <c r="BE152" s="55">
        <f>IFERROR(__xludf.DUMMYFUNCTION("importrange(""https://docs.google.com/spreadsheets/d/1-ogoWjnzIVLNWtmtxffbKqxjIGfK2GUBdU2m2vHuN1s/edit?gid=0#gid=0"",""2025-26!aa3"")"),0.0)</f>
        <v>0</v>
      </c>
      <c r="BF152" s="55">
        <f>IFERROR(__xludf.DUMMYFUNCTION("importrange(""https://docs.google.com/spreadsheets/d/1-ogoWjnzIVLNWtmtxffbKqxjIGfK2GUBdU2m2vHuN1s/edit?gid=0#gid=0"",""2025-26!ab4"")"),205000.0)</f>
        <v>205000</v>
      </c>
      <c r="BG152" s="55">
        <f>IFERROR(__xludf.DUMMYFUNCTION("importrange(""https://docs.google.com/spreadsheets/d/1-ogoWjnzIVLNWtmtxffbKqxjIGfK2GUBdU2m2vHuN1s/edit?gid=0#gid=0"",""2025-26!ab3"")"),11.0)</f>
        <v>11</v>
      </c>
      <c r="BH152" s="55">
        <f>IFERROR(__xludf.DUMMYFUNCTION("importrange(""https://docs.google.com/spreadsheets/d/1-ogoWjnzIVLNWtmtxffbKqxjIGfK2GUBdU2m2vHuN1s/edit?gid=0#gid=0"",""2025-26!ac4"")"),249851.08000000002)</f>
        <v>249851.08</v>
      </c>
      <c r="BI152" s="55">
        <f>IFERROR(__xludf.DUMMYFUNCTION("importrange(""https://docs.google.com/spreadsheets/d/1-ogoWjnzIVLNWtmtxffbKqxjIGfK2GUBdU2m2vHuN1s/edit?gid=0#gid=0"",""2025-26!ac3"")"),13.0)</f>
        <v>13</v>
      </c>
      <c r="BJ152" s="59">
        <f t="shared" si="24"/>
        <v>0</v>
      </c>
      <c r="BK152" s="55">
        <f>IFERROR(__xludf.DUMMYFUNCTION("importrange(""https://docs.google.com/spreadsheets/d/1-ogoWjnzIVLNWtmtxffbKqxjIGfK2GUBdU2m2vHuN1s/edit?gid=0#gid=0"",""2025-26!ad4"")"),0.0)</f>
        <v>0</v>
      </c>
      <c r="BL152" s="55">
        <f>IFERROR(__xludf.DUMMYFUNCTION("importrange(""https://docs.google.com/spreadsheets/d/1-ogoWjnzIVLNWtmtxffbKqxjIGfK2GUBdU2m2vHuN1s/edit?gid=0#gid=0"",""2025-26!ad3"")"),0.0)</f>
        <v>0</v>
      </c>
      <c r="BM152" s="55">
        <f>IFERROR(__xludf.DUMMYFUNCTION("importrange(""https://docs.google.com/spreadsheets/d/1-ogoWjnzIVLNWtmtxffbKqxjIGfK2GUBdU2m2vHuN1s/edit?gid=0#gid=0"",""2025-26!ae4"")"),220000.0)</f>
        <v>220000</v>
      </c>
      <c r="BN152" s="55">
        <f>IFERROR(__xludf.DUMMYFUNCTION("importrange(""https://docs.google.com/spreadsheets/d/1-ogoWjnzIVLNWtmtxffbKqxjIGfK2GUBdU2m2vHuN1s/edit?gid=0#gid=0"",""2025-26!ae3"")"),12.0)</f>
        <v>12</v>
      </c>
      <c r="BO152" s="55">
        <f>IFERROR(__xludf.DUMMYFUNCTION("importrange(""https://docs.google.com/spreadsheets/d/1-ogoWjnzIVLNWtmtxffbKqxjIGfK2GUBdU2m2vHuN1s/edit?gid=0#gid=0"",""2025-26!af4"")"),214166.47)</f>
        <v>214166.47</v>
      </c>
      <c r="BP152" s="55">
        <f>IFERROR(__xludf.DUMMYFUNCTION("importrange(""https://docs.google.com/spreadsheets/d/1-ogoWjnzIVLNWtmtxffbKqxjIGfK2GUBdU2m2vHuN1s/edit?gid=0#gid=0"",""2025-26!af3"")"),20.0)</f>
        <v>20</v>
      </c>
      <c r="BQ152" s="59">
        <f t="shared" si="25"/>
        <v>0</v>
      </c>
      <c r="BR152" s="55">
        <f>IFERROR(__xludf.DUMMYFUNCTION("importrange(""https://docs.google.com/spreadsheets/d/1-ogoWjnzIVLNWtmtxffbKqxjIGfK2GUBdU2m2vHuN1s/edit?gid=0#gid=0"",""2025-26!ag4"")"),0.0)</f>
        <v>0</v>
      </c>
      <c r="BS152" s="55">
        <f>IFERROR(__xludf.DUMMYFUNCTION("importrange(""https://docs.google.com/spreadsheets/d/1-ogoWjnzIVLNWtmtxffbKqxjIGfK2GUBdU2m2vHuN1s/edit?gid=0#gid=0"",""2025-26!ag3"")"),0.0)</f>
        <v>0</v>
      </c>
      <c r="BT152" s="55">
        <f>IFERROR(__xludf.DUMMYFUNCTION("importrange(""https://docs.google.com/spreadsheets/d/1-ogoWjnzIVLNWtmtxffbKqxjIGfK2GUBdU2m2vHuN1s/edit?gid=0#gid=0"",""2025-26!ah4"")"),430000.0)</f>
        <v>430000</v>
      </c>
      <c r="BU152" s="55">
        <f>IFERROR(__xludf.DUMMYFUNCTION("importrange(""https://docs.google.com/spreadsheets/d/1-ogoWjnzIVLNWtmtxffbKqxjIGfK2GUBdU2m2vHuN1s/edit?gid=0#gid=0"",""2025-26!ah3"")"),30.0)</f>
        <v>30</v>
      </c>
      <c r="BV152" s="55">
        <f>IFERROR(__xludf.DUMMYFUNCTION("importrange(""https://docs.google.com/spreadsheets/d/1-ogoWjnzIVLNWtmtxffbKqxjIGfK2GUBdU2m2vHuN1s/edit?gid=0#gid=0"",""2025-26!ai4"")"),252420.11000000002)</f>
        <v>252420.11</v>
      </c>
      <c r="BW152" s="55">
        <f>IFERROR(__xludf.DUMMYFUNCTION("importrange(""https://docs.google.com/spreadsheets/d/1-ogoWjnzIVLNWtmtxffbKqxjIGfK2GUBdU2m2vHuN1s/edit?gid=0#gid=0"",""2025-26!ai3"")"),14.0)</f>
        <v>14</v>
      </c>
      <c r="BX152" s="59">
        <f t="shared" si="26"/>
        <v>0</v>
      </c>
      <c r="BY152" s="55">
        <f>IFERROR(__xludf.DUMMYFUNCTION("importrange(""https://docs.google.com/spreadsheets/d/1-ogoWjnzIVLNWtmtxffbKqxjIGfK2GUBdU2m2vHuN1s/edit?gid=0#gid=0"",""2025-26!aj4"")"),0.0)</f>
        <v>0</v>
      </c>
      <c r="BZ152" s="55">
        <f>IFERROR(__xludf.DUMMYFUNCTION("importrange(""https://docs.google.com/spreadsheets/d/1-ogoWjnzIVLNWtmtxffbKqxjIGfK2GUBdU2m2vHuN1s/edit?gid=0#gid=0"",""2025-26!aj3"")"),0.0)</f>
        <v>0</v>
      </c>
      <c r="CA152" s="55">
        <f>IFERROR(__xludf.DUMMYFUNCTION("importrange(""https://docs.google.com/spreadsheets/d/1-ogoWjnzIVLNWtmtxffbKqxjIGfK2GUBdU2m2vHuN1s/edit?gid=0#gid=0"",""2025-26!ak4"")"),1021000.0)</f>
        <v>1021000</v>
      </c>
      <c r="CB152" s="55">
        <f>IFERROR(__xludf.DUMMYFUNCTION("importrange(""https://docs.google.com/spreadsheets/d/1-ogoWjnzIVLNWtmtxffbKqxjIGfK2GUBdU2m2vHuN1s/edit?gid=0#gid=0"",""2025-26!ak3"")"),29.0)</f>
        <v>29</v>
      </c>
      <c r="CC152" s="55">
        <f>IFERROR(__xludf.DUMMYFUNCTION("importrange(""https://docs.google.com/spreadsheets/d/1-ogoWjnzIVLNWtmtxffbKqxjIGfK2GUBdU2m2vHuN1s/edit?gid=0#gid=0"",""2025-26!al4"")"),904849.88)</f>
        <v>904849.88</v>
      </c>
      <c r="CD152" s="55">
        <f>IFERROR(__xludf.DUMMYFUNCTION("importrange(""https://docs.google.com/spreadsheets/d/1-ogoWjnzIVLNWtmtxffbKqxjIGfK2GUBdU2m2vHuN1s/edit?gid=0#gid=0"",""2025-26!ai3"")"),14.0)</f>
        <v>14</v>
      </c>
      <c r="CE152" s="59">
        <f t="shared" si="27"/>
        <v>0</v>
      </c>
      <c r="CF152" s="55">
        <f>IFERROR(__xludf.DUMMYFUNCTION("importrange(""https://docs.google.com/spreadsheets/d/1-ogoWjnzIVLNWtmtxffbKqxjIGfK2GUBdU2m2vHuN1s/edit?gid=0#gid=0"",""2025-26!am4"")"),0.0)</f>
        <v>0</v>
      </c>
      <c r="CG152" s="55">
        <f>IFERROR(__xludf.DUMMYFUNCTION("importrange(""https://docs.google.com/spreadsheets/d/1-ogoWjnzIVLNWtmtxffbKqxjIGfK2GUBdU2m2vHuN1s/edit?gid=0#gid=0"",""2025-26!am3"")"),0.0)</f>
        <v>0</v>
      </c>
      <c r="CH152" s="55">
        <f>IFERROR(__xludf.DUMMYFUNCTION("importrange(""https://docs.google.com/spreadsheets/d/1-ogoWjnzIVLNWtmtxffbKqxjIGfK2GUBdU2m2vHuN1s/edit?gid=0#gid=0"",""2025-26!an4"")"),885000.0)</f>
        <v>885000</v>
      </c>
      <c r="CI152" s="55">
        <f>IFERROR(__xludf.DUMMYFUNCTION("importrange(""https://docs.google.com/spreadsheets/d/1-ogoWjnzIVLNWtmtxffbKqxjIGfK2GUBdU2m2vHuN1s/edit?gid=0#gid=0"",""2025-26!an3"")"),27.0)</f>
        <v>27</v>
      </c>
      <c r="CJ152" s="55">
        <f>IFERROR(__xludf.DUMMYFUNCTION("importrange(""https://docs.google.com/spreadsheets/d/1-ogoWjnzIVLNWtmtxffbKqxjIGfK2GUBdU2m2vHuN1s/edit?gid=0#gid=0"",""2025-26!ao4"")"),526308.63)</f>
        <v>526308.63</v>
      </c>
      <c r="CK152" s="55">
        <f>IFERROR(__xludf.DUMMYFUNCTION("importrange(""https://docs.google.com/spreadsheets/d/1-ogoWjnzIVLNWtmtxffbKqxjIGfK2GUBdU2m2vHuN1s/edit?gid=0#gid=0"",""2025-26!ao3"")"),13.0)</f>
        <v>13</v>
      </c>
      <c r="CL152" s="59">
        <f t="shared" si="28"/>
        <v>0</v>
      </c>
      <c r="CM152" s="55">
        <f>IFERROR(__xludf.DUMMYFUNCTION("importrange(""https://docs.google.com/spreadsheets/d/1-ogoWjnzIVLNWtmtxffbKqxjIGfK2GUBdU2m2vHuN1s/edit?gid=0#gid=0"",""2025-26!ap4"")"),0.0)</f>
        <v>0</v>
      </c>
      <c r="CN152" s="55">
        <f>IFERROR(__xludf.DUMMYFUNCTION("importrange(""https://docs.google.com/spreadsheets/d/1-ogoWjnzIVLNWtmtxffbKqxjIGfK2GUBdU2m2vHuN1s/edit?gid=0#gid=0"",""2025-26!ap3"")"),0.0)</f>
        <v>0</v>
      </c>
      <c r="CO152" s="55">
        <f>IFERROR(__xludf.DUMMYFUNCTION("importrange(""https://docs.google.com/spreadsheets/d/1-ogoWjnzIVLNWtmtxffbKqxjIGfK2GUBdU2m2vHuN1s/edit?gid=0#gid=0"",""2025-26!aq4"")"),539000.0)</f>
        <v>539000</v>
      </c>
      <c r="CP152" s="55">
        <f>IFERROR(__xludf.DUMMYFUNCTION("importrange(""https://docs.google.com/spreadsheets/d/1-ogoWjnzIVLNWtmtxffbKqxjIGfK2GUBdU2m2vHuN1s/edit?gid=0#gid=0"",""2025-26!aq3"")"),24.0)</f>
        <v>24</v>
      </c>
      <c r="CQ152" s="55">
        <f>IFERROR(__xludf.DUMMYFUNCTION("importrange(""https://docs.google.com/spreadsheets/d/1-ogoWjnzIVLNWtmtxffbKqxjIGfK2GUBdU2m2vHuN1s/edit?gid=0#gid=0"",""2025-26!ar4"")"),128768.15999999997)</f>
        <v>128768.16</v>
      </c>
      <c r="CR152" s="55">
        <f>IFERROR(__xludf.DUMMYFUNCTION("importrange(""https://docs.google.com/spreadsheets/d/1-ogoWjnzIVLNWtmtxffbKqxjIGfK2GUBdU2m2vHuN1s/edit?gid=0#gid=0"",""2025-26!ar3"")"),14.0)</f>
        <v>14</v>
      </c>
      <c r="CS152" s="59">
        <f t="shared" si="29"/>
        <v>0</v>
      </c>
      <c r="CT152" s="55">
        <f>IFERROR(__xludf.DUMMYFUNCTION("importrange(""https://docs.google.com/spreadsheets/d/1-ogoWjnzIVLNWtmtxffbKqxjIGfK2GUBdU2m2vHuN1s/edit?gid=0#gid=0"",""2025-26!as4"")"),0.0)</f>
        <v>0</v>
      </c>
      <c r="CU152" s="55">
        <f>IFERROR(__xludf.DUMMYFUNCTION("importrange(""https://docs.google.com/spreadsheets/d/1-ogoWjnzIVLNWtmtxffbKqxjIGfK2GUBdU2m2vHuN1s/edit?gid=0#gid=0"",""2025-26!as3"")"),0.0)</f>
        <v>0</v>
      </c>
      <c r="CV152" s="60" t="s">
        <v>325</v>
      </c>
    </row>
    <row r="153">
      <c r="A153" s="1" t="s">
        <v>322</v>
      </c>
      <c r="B153" s="37"/>
      <c r="C153" s="104" t="s">
        <v>330</v>
      </c>
      <c r="D153" s="83" t="s">
        <v>331</v>
      </c>
      <c r="E153" s="83">
        <v>9.978490826E9</v>
      </c>
      <c r="F153" s="118">
        <v>46027.0</v>
      </c>
      <c r="G153" s="75"/>
      <c r="H153" s="75"/>
      <c r="I153" s="53">
        <v>26215.0</v>
      </c>
      <c r="J153" s="54">
        <v>800000.0</v>
      </c>
      <c r="K153" s="57">
        <f>IFERROR(__xludf.DUMMYFUNCTION("IMPORTRANGE(""https://docs.google.com/spreadsheets/d/1n5sVpozdF8VHwo-uFhrw_AnVhMcO3o9pnhcPjkIP1nQ/edit?gid=350932188#gid=350932188"",""2025-26!A3"")"),3.0)</f>
        <v>3</v>
      </c>
      <c r="L153" s="57">
        <f>IFERROR(__xludf.DUMMYFUNCTION("IMPORTRANGE(""https://docs.google.com/spreadsheets/d/1n5sVpozdF8VHwo-uFhrw_AnVhMcO3o9pnhcPjkIP1nQ/edit?gid=350932188#gid=350932188"",""2025-26!G4"")"),0.0)</f>
        <v>0</v>
      </c>
      <c r="M153" s="57">
        <f t="shared" si="50"/>
        <v>0</v>
      </c>
      <c r="N153" s="56" t="str">
        <f t="shared" si="51"/>
        <v/>
      </c>
      <c r="O153" s="57">
        <f t="shared" si="52"/>
        <v>0</v>
      </c>
      <c r="P153" s="55">
        <f>IFERROR(__xludf.DUMMYFUNCTION("IMPORTRANGE(""https://docs.google.com/spreadsheets/d/1n5sVpozdF8VHwo-uFhrw_AnVhMcO3o9pnhcPjkIP1nQ/edit?gid=350932188#gid=350932188"",""2025-26!J4"")"),0.0)</f>
        <v>0</v>
      </c>
      <c r="Q153" s="55">
        <f>IFERROR(__xludf.DUMMYFUNCTION("IMPORTRANGE(""https://docs.google.com/spreadsheets/d/1n5sVpozdF8VHwo-uFhrw_AnVhMcO3o9pnhcPjkIP1nQ/edit?gid=350932188#gid=350932188"",""2025-26!J3"")"),0.0)</f>
        <v>0</v>
      </c>
      <c r="R153" s="55">
        <f>IFERROR(__xludf.DUMMYFUNCTION("IMPORTRANGE(""https://docs.google.com/spreadsheets/d/1n5sVpozdF8VHwo-uFhrw_AnVhMcO3o9pnhcPjkIP1nQ/edit?gid=350932188#gid=350932188"",""2025-26!K4"")"),0.0)</f>
        <v>0</v>
      </c>
      <c r="S153" s="55">
        <f>IFERROR(__xludf.DUMMYFUNCTION("IMPORTRANGE(""https://docs.google.com/spreadsheets/d/1n5sVpozdF8VHwo-uFhrw_AnVhMcO3o9pnhcPjkIP1nQ/edit?gid=350932188#gid=350932188"",""2025-26!K3"")"),0.0)</f>
        <v>0</v>
      </c>
      <c r="T153" s="58" t="str">
        <f t="shared" si="18"/>
        <v/>
      </c>
      <c r="U153" s="55">
        <f>IFERROR(__xludf.DUMMYFUNCTION("IMPORTRANGE(""https://docs.google.com/spreadsheets/d/1n5sVpozdF8VHwo-uFhrw_AnVhMcO3o9pnhcPjkIP1nQ/edit?gid=350932188#gid=350932188"",""2025-26!L4"")"),0.0)</f>
        <v>0</v>
      </c>
      <c r="V153" s="79">
        <f>IFERROR(__xludf.DUMMYFUNCTION("IMPORTRANGE(""https://docs.google.com/spreadsheets/d/1n5sVpozdF8VHwo-uFhrw_AnVhMcO3o9pnhcPjkIP1nQ/edit?gid=350932188#gid=350932188"",""2025-26!L3"")"),0.0)</f>
        <v>0</v>
      </c>
      <c r="W153" s="55">
        <f>IFERROR(__xludf.DUMMYFUNCTION("IMPORTRANGE(""https://docs.google.com/spreadsheets/d/1n5sVpozdF8VHwo-uFhrw_AnVhMcO3o9pnhcPjkIP1nQ/edit?gid=350932188#gid=350932188"",""2025-26!M4"")"),0.0)</f>
        <v>0</v>
      </c>
      <c r="X153" s="79">
        <f>IFERROR(__xludf.DUMMYFUNCTION("IMPORTRANGE(""https://docs.google.com/spreadsheets/d/1n5sVpozdF8VHwo-uFhrw_AnVhMcO3o9pnhcPjkIP1nQ/edit?gid=350932188#gid=350932188"",""2025-26!M3"")"),0.0)</f>
        <v>0</v>
      </c>
      <c r="Y153" s="55">
        <f>IFERROR(__xludf.DUMMYFUNCTION("importrange(""https://docs.google.com/spreadsheets/d/1n5sVpozdF8VHwo-uFhrw_AnVhMcO3o9pnhcPjkIP1nQ/edit?gid=350932188#gid=350932188"",""2025-26!n4"")"),0.0)</f>
        <v>0</v>
      </c>
      <c r="Z153" s="55">
        <f>IFERROR(__xludf.DUMMYFUNCTION("importrange(""https://docs.google.com/spreadsheets/d/1n5sVpozdF8VHwo-uFhrw_AnVhMcO3o9pnhcPjkIP1nQ/edit?gid=350932188#gid=350932188"",""2025-26!n3"")"),0.0)</f>
        <v>0</v>
      </c>
      <c r="AA153" s="58" t="str">
        <f t="shared" si="19"/>
        <v/>
      </c>
      <c r="AB153" s="55">
        <f>IFERROR(__xludf.DUMMYFUNCTION("importrange(""https://docs.google.com/spreadsheets/d/1n5sVpozdF8VHwo-uFhrw_AnVhMcO3o9pnhcPjkIP1nQ/edit?gid=350932188#gid=350932188"",""2025-26!o4"")"),0.0)</f>
        <v>0</v>
      </c>
      <c r="AC153" s="55">
        <f>IFERROR(__xludf.DUMMYFUNCTION("importrange(""https://docs.google.com/spreadsheets/d/1n5sVpozdF8VHwo-uFhrw_AnVhMcO3o9pnhcPjkIP1nQ/edit?gid=350932188#gid=350932188"",""2025-26!o3"")"),0.0)</f>
        <v>0</v>
      </c>
      <c r="AD153" s="55">
        <f>IFERROR(__xludf.DUMMYFUNCTION("importrange(""https://docs.google.com/spreadsheets/d/1n5sVpozdF8VHwo-uFhrw_AnVhMcO3o9pnhcPjkIP1nQ/edit?gid=350932188#gid=350932188"",""2025-26!p4"")"),0.0)</f>
        <v>0</v>
      </c>
      <c r="AE153" s="55">
        <f>IFERROR(__xludf.DUMMYFUNCTION("importrange(""https://docs.google.com/spreadsheets/d/1n5sVpozdF8VHwo-uFhrw_AnVhMcO3o9pnhcPjkIP1nQ/edit?gid=350932188#gid=350932188"",""2025-26!p3"")"),0.0)</f>
        <v>0</v>
      </c>
      <c r="AF153" s="55">
        <f>IFERROR(__xludf.DUMMYFUNCTION("importrange(""https://docs.google.com/spreadsheets/d/1n5sVpozdF8VHwo-uFhrw_AnVhMcO3o9pnhcPjkIP1nQ/edit?gid=350932188#gid=350932188"",""2025-26!q4"")"),0.0)</f>
        <v>0</v>
      </c>
      <c r="AG153" s="55">
        <f>IFERROR(__xludf.DUMMYFUNCTION("importrange(""https://docs.google.com/spreadsheets/d/1n5sVpozdF8VHwo-uFhrw_AnVhMcO3o9pnhcPjkIP1nQ/edit?gid=350932188#gid=350932188"",""2025-26!q3"")"),0.0)</f>
        <v>0</v>
      </c>
      <c r="AH153" s="58" t="str">
        <f t="shared" si="20"/>
        <v/>
      </c>
      <c r="AI153" s="55">
        <f>IFERROR(__xludf.DUMMYFUNCTION("importrange(""https://docs.google.com/spreadsheets/d/1n5sVpozdF8VHwo-uFhrw_AnVhMcO3o9pnhcPjkIP1nQ/edit?gid=350932188#gid=350932188"",""2025-26!r4"")"),0.0)</f>
        <v>0</v>
      </c>
      <c r="AJ153" s="55">
        <f>IFERROR(__xludf.DUMMYFUNCTION("importrange(""https://docs.google.com/spreadsheets/d/1n5sVpozdF8VHwo-uFhrw_AnVhMcO3o9pnhcPjkIP1nQ/edit?gid=350932188#gid=350932188"",""2025-26!r3"")"),0.0)</f>
        <v>0</v>
      </c>
      <c r="AK153" s="55">
        <f>IFERROR(__xludf.DUMMYFUNCTION("importrange(""https://docs.google.com/spreadsheets/d/1n5sVpozdF8VHwo-uFhrw_AnVhMcO3o9pnhcPjkIP1nQ/edit?gid=350932188#gid=350932188"",""2025-26!s4"")"),0.0)</f>
        <v>0</v>
      </c>
      <c r="AL153" s="55">
        <f>IFERROR(__xludf.DUMMYFUNCTION("importrange(""https://docs.google.com/spreadsheets/d/1n5sVpozdF8VHwo-uFhrw_AnVhMcO3o9pnhcPjkIP1nQ/edit?gid=350932188#gid=350932188"",""2025-26!s3"")"),0.0)</f>
        <v>0</v>
      </c>
      <c r="AM153" s="57">
        <f>IFERROR(__xludf.DUMMYFUNCTION("importrange(""https://docs.google.com/spreadsheets/d/1n5sVpozdF8VHwo-uFhrw_AnVhMcO3o9pnhcPjkIP1nQ/edit?gid=350932188#gid=350932188"",""2025-26!t4"")"),0.0)</f>
        <v>0</v>
      </c>
      <c r="AN153" s="55">
        <f>IFERROR(__xludf.DUMMYFUNCTION("importrange(""https://docs.google.com/spreadsheets/d/1n5sVpozdF8VHwo-uFhrw_AnVhMcO3o9pnhcPjkIP1nQ/edit?gid=350932188#gid=350932188"",""2025-26!t3"")"),0.0)</f>
        <v>0</v>
      </c>
      <c r="AO153" s="58" t="str">
        <f t="shared" si="21"/>
        <v/>
      </c>
      <c r="AP153" s="55">
        <f>IFERROR(__xludf.DUMMYFUNCTION("importrange(""https://docs.google.com/spreadsheets/d/1n5sVpozdF8VHwo-uFhrw_AnVhMcO3o9pnhcPjkIP1nQ/edit?gid=350932188#gid=350932188"",""2025-26!u4"")"),0.0)</f>
        <v>0</v>
      </c>
      <c r="AQ153" s="55">
        <f>IFERROR(__xludf.DUMMYFUNCTION("importrange(""https://docs.google.com/spreadsheets/d/1n5sVpozdF8VHwo-uFhrw_AnVhMcO3o9pnhcPjkIP1nQ/edit?gid=350932188#gid=350932188"",""2025-26!u3"")"),0.0)</f>
        <v>0</v>
      </c>
      <c r="AR153" s="55">
        <f>IFERROR(__xludf.DUMMYFUNCTION("importrange(""https://docs.google.com/spreadsheets/d/1n5sVpozdF8VHwo-uFhrw_AnVhMcO3o9pnhcPjkIP1nQ/edit?gid=350932188#gid=350932188"",""2025-26!v4"")"),0.0)</f>
        <v>0</v>
      </c>
      <c r="AS153" s="55">
        <f>IFERROR(__xludf.DUMMYFUNCTION("importrange(""https://docs.google.com/spreadsheets/d/1n5sVpozdF8VHwo-uFhrw_AnVhMcO3o9pnhcPjkIP1nQ/edit?gid=350932188#gid=350932188"",""2025-26!v3"")"),0.0)</f>
        <v>0</v>
      </c>
      <c r="AT153" s="57">
        <f>IFERROR(__xludf.DUMMYFUNCTION("importrange(""https://docs.google.com/spreadsheets/d/1n5sVpozdF8VHwo-uFhrw_AnVhMcO3o9pnhcPjkIP1nQ/edit?gid=350932188#gid=350932188"",""2025-26!w4"")"),0.0)</f>
        <v>0</v>
      </c>
      <c r="AU153" s="55">
        <f>IFERROR(__xludf.DUMMYFUNCTION("importrange(""https://docs.google.com/spreadsheets/d/1n5sVpozdF8VHwo-uFhrw_AnVhMcO3o9pnhcPjkIP1nQ/edit?gid=350932188#gid=350932188"",""2025-26!w3"")"),0.0)</f>
        <v>0</v>
      </c>
      <c r="AV153" s="58" t="str">
        <f t="shared" si="22"/>
        <v/>
      </c>
      <c r="AW153" s="55">
        <f>IFERROR(__xludf.DUMMYFUNCTION("importrange(""https://docs.google.com/spreadsheets/d/1n5sVpozdF8VHwo-uFhrw_AnVhMcO3o9pnhcPjkIP1nQ/edit?gid=350932188#gid=350932188"",""2025-26!x4"")"),0.0)</f>
        <v>0</v>
      </c>
      <c r="AX153" s="55">
        <f>IFERROR(__xludf.DUMMYFUNCTION("importrange(""https://docs.google.com/spreadsheets/d/1n5sVpozdF8VHwo-uFhrw_AnVhMcO3o9pnhcPjkIP1nQ/edit?gid=350932188#gid=350932188"",""2025-26!x3"")"),0.0)</f>
        <v>0</v>
      </c>
      <c r="AY153" s="55">
        <f>IFERROR(__xludf.DUMMYFUNCTION("importrange(""https://docs.google.com/spreadsheets/d/1n5sVpozdF8VHwo-uFhrw_AnVhMcO3o9pnhcPjkIP1nQ/edit?gid=350932188#gid=350932188"",""2025-26!y4"")"),0.0)</f>
        <v>0</v>
      </c>
      <c r="AZ153" s="55">
        <f>IFERROR(__xludf.DUMMYFUNCTION("importrange(""https://docs.google.com/spreadsheets/d/1n5sVpozdF8VHwo-uFhrw_AnVhMcO3o9pnhcPjkIP1nQ/edit?gid=350932188#gid=350932188"",""2025-26!y3"")"),0.0)</f>
        <v>0</v>
      </c>
      <c r="BA153" s="57">
        <f>IFERROR(__xludf.DUMMYFUNCTION("importrange(""https://docs.google.com/spreadsheets/d/1n5sVpozdF8VHwo-uFhrw_AnVhMcO3o9pnhcPjkIP1nQ/edit?gid=350932188#gid=350932188"",""2025-26!z4"")"),0.0)</f>
        <v>0</v>
      </c>
      <c r="BB153" s="55">
        <f>IFERROR(__xludf.DUMMYFUNCTION("importrange(""https://docs.google.com/spreadsheets/d/1n5sVpozdF8VHwo-uFhrw_AnVhMcO3o9pnhcPjkIP1nQ/edit?gid=350932188#gid=350932188"",""2025-26!z3"")"),0.0)</f>
        <v>0</v>
      </c>
      <c r="BC153" s="59" t="str">
        <f t="shared" si="23"/>
        <v/>
      </c>
      <c r="BD153" s="55">
        <f>IFERROR(__xludf.DUMMYFUNCTION("importrange(""https://docs.google.com/spreadsheets/d/1n5sVpozdF8VHwo-uFhrw_AnVhMcO3o9pnhcPjkIP1nQ/edit?gid=350932188#gid=350932188"",""2025-26!aa4"")"),0.0)</f>
        <v>0</v>
      </c>
      <c r="BE153" s="55">
        <f>IFERROR(__xludf.DUMMYFUNCTION("importrange(""https://docs.google.com/spreadsheets/d/1n5sVpozdF8VHwo-uFhrw_AnVhMcO3o9pnhcPjkIP1nQ/edit?gid=350932188#gid=350932188"",""2025-26!aa3"")"),0.0)</f>
        <v>0</v>
      </c>
      <c r="BF153" s="55">
        <f>IFERROR(__xludf.DUMMYFUNCTION("importrange(""https://docs.google.com/spreadsheets/d/1n5sVpozdF8VHwo-uFhrw_AnVhMcO3o9pnhcPjkIP1nQ/edit?gid=350932188#gid=350932188"",""2025-26!ab4"")"),0.0)</f>
        <v>0</v>
      </c>
      <c r="BG153" s="55">
        <f>IFERROR(__xludf.DUMMYFUNCTION("importrange(""https://docs.google.com/spreadsheets/d/1n5sVpozdF8VHwo-uFhrw_AnVhMcO3o9pnhcPjkIP1nQ/edit?gid=350932188#gid=350932188"",""2025-26!ab3"")"),0.0)</f>
        <v>0</v>
      </c>
      <c r="BH153" s="55">
        <f>IFERROR(__xludf.DUMMYFUNCTION("importrange(""https://docs.google.com/spreadsheets/d/1n5sVpozdF8VHwo-uFhrw_AnVhMcO3o9pnhcPjkIP1nQ/edit?gid=350932188#gid=350932188"",""2025-26!ac4"")"),0.0)</f>
        <v>0</v>
      </c>
      <c r="BI153" s="55">
        <f>IFERROR(__xludf.DUMMYFUNCTION("importrange(""https://docs.google.com/spreadsheets/d/1n5sVpozdF8VHwo-uFhrw_AnVhMcO3o9pnhcPjkIP1nQ/edit?gid=350932188#gid=350932188"",""2025-26!ac3"")"),0.0)</f>
        <v>0</v>
      </c>
      <c r="BJ153" s="59" t="str">
        <f t="shared" si="24"/>
        <v/>
      </c>
      <c r="BK153" s="55">
        <f>IFERROR(__xludf.DUMMYFUNCTION("importrange(""https://docs.google.com/spreadsheets/d/1n5sVpozdF8VHwo-uFhrw_AnVhMcO3o9pnhcPjkIP1nQ/edit?gid=350932188#gid=350932188"",""2025-26!ad4"")"),0.0)</f>
        <v>0</v>
      </c>
      <c r="BL153" s="55">
        <f>IFERROR(__xludf.DUMMYFUNCTION("importrange(""https://docs.google.com/spreadsheets/d/1n5sVpozdF8VHwo-uFhrw_AnVhMcO3o9pnhcPjkIP1nQ/edit?gid=350932188#gid=350932188"",""2025-26!ad3"")"),0.0)</f>
        <v>0</v>
      </c>
      <c r="BM153" s="55">
        <f>IFERROR(__xludf.DUMMYFUNCTION("importrange(""https://docs.google.com/spreadsheets/d/1n5sVpozdF8VHwo-uFhrw_AnVhMcO3o9pnhcPjkIP1nQ/edit?gid=350932188#gid=350932188"",""2025-26!ae4"")"),0.0)</f>
        <v>0</v>
      </c>
      <c r="BN153" s="55">
        <f>IFERROR(__xludf.DUMMYFUNCTION("importrange(""https://docs.google.com/spreadsheets/d/1n5sVpozdF8VHwo-uFhrw_AnVhMcO3o9pnhcPjkIP1nQ/edit?gid=350932188#gid=350932188"",""2025-26!ae3"")"),0.0)</f>
        <v>0</v>
      </c>
      <c r="BO153" s="55">
        <f>IFERROR(__xludf.DUMMYFUNCTION("importrange(""https://docs.google.com/spreadsheets/d/1n5sVpozdF8VHwo-uFhrw_AnVhMcO3o9pnhcPjkIP1nQ/edit?gid=350932188#gid=350932188"",""2025-26!af4"")"),0.0)</f>
        <v>0</v>
      </c>
      <c r="BP153" s="55">
        <f>IFERROR(__xludf.DUMMYFUNCTION("importrange(""https://docs.google.com/spreadsheets/d/1n5sVpozdF8VHwo-uFhrw_AnVhMcO3o9pnhcPjkIP1nQ/edit?gid=350932188#gid=350932188"",""2025-26!af3"")"),0.0)</f>
        <v>0</v>
      </c>
      <c r="BQ153" s="59" t="str">
        <f t="shared" si="25"/>
        <v/>
      </c>
      <c r="BR153" s="55">
        <f>IFERROR(__xludf.DUMMYFUNCTION("importrange(""https://docs.google.com/spreadsheets/d/1n5sVpozdF8VHwo-uFhrw_AnVhMcO3o9pnhcPjkIP1nQ/edit?gid=350932188#gid=350932188"",""2025-26!ag4"")"),0.0)</f>
        <v>0</v>
      </c>
      <c r="BS153" s="55">
        <f>IFERROR(__xludf.DUMMYFUNCTION("importrange(""https://docs.google.com/spreadsheets/d/1n5sVpozdF8VHwo-uFhrw_AnVhMcO3o9pnhcPjkIP1nQ/edit?gid=350932188#gid=350932188"",""2025-26!ag3"")"),0.0)</f>
        <v>0</v>
      </c>
      <c r="BT153" s="55">
        <f>IFERROR(__xludf.DUMMYFUNCTION("importrange(""https://docs.google.com/spreadsheets/d/1n5sVpozdF8VHwo-uFhrw_AnVhMcO3o9pnhcPjkIP1nQ/edit?gid=350932188#gid=350932188"",""2025-26!ah4"")"),0.0)</f>
        <v>0</v>
      </c>
      <c r="BU153" s="55">
        <f>IFERROR(__xludf.DUMMYFUNCTION("importrange(""https://docs.google.com/spreadsheets/d/1n5sVpozdF8VHwo-uFhrw_AnVhMcO3o9pnhcPjkIP1nQ/edit?gid=350932188#gid=350932188"",""2025-26!ah3"")"),0.0)</f>
        <v>0</v>
      </c>
      <c r="BV153" s="55">
        <f>IFERROR(__xludf.DUMMYFUNCTION("importrange(""https://docs.google.com/spreadsheets/d/1n5sVpozdF8VHwo-uFhrw_AnVhMcO3o9pnhcPjkIP1nQ/edit?gid=350932188#gid=350932188"",""2025-26!ai4"")"),0.0)</f>
        <v>0</v>
      </c>
      <c r="BW153" s="55">
        <f>IFERROR(__xludf.DUMMYFUNCTION("importrange(""https://docs.google.com/spreadsheets/d/1n5sVpozdF8VHwo-uFhrw_AnVhMcO3o9pnhcPjkIP1nQ/edit?gid=350932188#gid=350932188"",""2025-26!ai3"")"),0.0)</f>
        <v>0</v>
      </c>
      <c r="BX153" s="59" t="str">
        <f t="shared" si="26"/>
        <v/>
      </c>
      <c r="BY153" s="55">
        <f>IFERROR(__xludf.DUMMYFUNCTION("importrange(""https://docs.google.com/spreadsheets/d/1n5sVpozdF8VHwo-uFhrw_AnVhMcO3o9pnhcPjkIP1nQ/edit?gid=350932188#gid=350932188"",""2025-26!aj4"")"),0.0)</f>
        <v>0</v>
      </c>
      <c r="BZ153" s="55">
        <f>IFERROR(__xludf.DUMMYFUNCTION("importrange(""https://docs.google.com/spreadsheets/d/1n5sVpozdF8VHwo-uFhrw_AnVhMcO3o9pnhcPjkIP1nQ/edit?gid=350932188#gid=350932188"",""2025-26!aj3"")"),0.0)</f>
        <v>0</v>
      </c>
      <c r="CA153" s="55">
        <f>IFERROR(__xludf.DUMMYFUNCTION("importrange(""https://docs.google.com/spreadsheets/d/1n5sVpozdF8VHwo-uFhrw_AnVhMcO3o9pnhcPjkIP1nQ/edit?gid=350932188#gid=350932188"",""2025-26!ak4"")"),0.0)</f>
        <v>0</v>
      </c>
      <c r="CB153" s="55">
        <f>IFERROR(__xludf.DUMMYFUNCTION("importrange(""https://docs.google.com/spreadsheets/d/1n5sVpozdF8VHwo-uFhrw_AnVhMcO3o9pnhcPjkIP1nQ/edit?gid=350932188#gid=350932188"",""2025-26!ak3"")"),0.0)</f>
        <v>0</v>
      </c>
      <c r="CC153" s="55">
        <f>IFERROR(__xludf.DUMMYFUNCTION("importrange(""https://docs.google.com/spreadsheets/d/1n5sVpozdF8VHwo-uFhrw_AnVhMcO3o9pnhcPjkIP1nQ/edit?gid=350932188#gid=350932188"",""2025-26!al4"")"),0.0)</f>
        <v>0</v>
      </c>
      <c r="CD153" s="55">
        <f>IFERROR(__xludf.DUMMYFUNCTION("importrange(""https://docs.google.com/spreadsheets/d/1n5sVpozdF8VHwo-uFhrw_AnVhMcO3o9pnhcPjkIP1nQ/edit?gid=350932188#gid=350932188"",""2025-26!ai3"")"),0.0)</f>
        <v>0</v>
      </c>
      <c r="CE153" s="59" t="str">
        <f t="shared" si="27"/>
        <v/>
      </c>
      <c r="CF153" s="55">
        <f>IFERROR(__xludf.DUMMYFUNCTION("importrange(""https://docs.google.com/spreadsheets/d/1n5sVpozdF8VHwo-uFhrw_AnVhMcO3o9pnhcPjkIP1nQ/edit?gid=350932188#gid=350932188"",""2025-26!am4"")"),0.0)</f>
        <v>0</v>
      </c>
      <c r="CG153" s="55">
        <f>IFERROR(__xludf.DUMMYFUNCTION("importrange(""https://docs.google.com/spreadsheets/d/1n5sVpozdF8VHwo-uFhrw_AnVhMcO3o9pnhcPjkIP1nQ/edit?gid=350932188#gid=350932188"",""2025-26!am3"")"),0.0)</f>
        <v>0</v>
      </c>
      <c r="CH153" s="55">
        <f>IFERROR(__xludf.DUMMYFUNCTION("importrange(""https://docs.google.com/spreadsheets/d/1n5sVpozdF8VHwo-uFhrw_AnVhMcO3o9pnhcPjkIP1nQ/edit?gid=350932188#gid=350932188"",""2025-26!an4"")"),0.0)</f>
        <v>0</v>
      </c>
      <c r="CI153" s="55">
        <f>IFERROR(__xludf.DUMMYFUNCTION("importrange(""https://docs.google.com/spreadsheets/d/1n5sVpozdF8VHwo-uFhrw_AnVhMcO3o9pnhcPjkIP1nQ/edit?gid=350932188#gid=350932188"",""2025-26!an3"")"),0.0)</f>
        <v>0</v>
      </c>
      <c r="CJ153" s="55">
        <f>IFERROR(__xludf.DUMMYFUNCTION("importrange(""https://docs.google.com/spreadsheets/d/1n5sVpozdF8VHwo-uFhrw_AnVhMcO3o9pnhcPjkIP1nQ/edit?gid=350932188#gid=350932188"",""2025-26!ao4"")"),0.0)</f>
        <v>0</v>
      </c>
      <c r="CK153" s="55">
        <f>IFERROR(__xludf.DUMMYFUNCTION("importrange(""https://docs.google.com/spreadsheets/d/1n5sVpozdF8VHwo-uFhrw_AnVhMcO3o9pnhcPjkIP1nQ/edit?gid=350932188#gid=350932188"",""2025-26!ao3"")"),0.0)</f>
        <v>0</v>
      </c>
      <c r="CL153" s="59" t="str">
        <f t="shared" si="28"/>
        <v/>
      </c>
      <c r="CM153" s="55">
        <f>IFERROR(__xludf.DUMMYFUNCTION("importrange(""https://docs.google.com/spreadsheets/d/1n5sVpozdF8VHwo-uFhrw_AnVhMcO3o9pnhcPjkIP1nQ/edit?gid=350932188#gid=350932188"",""2025-26!ap4"")"),0.0)</f>
        <v>0</v>
      </c>
      <c r="CN153" s="55">
        <f>IFERROR(__xludf.DUMMYFUNCTION("importrange(""https://docs.google.com/spreadsheets/d/1n5sVpozdF8VHwo-uFhrw_AnVhMcO3o9pnhcPjkIP1nQ/edit?gid=350932188#gid=350932188"",""2025-26!ap3"")"),0.0)</f>
        <v>0</v>
      </c>
      <c r="CO153" s="55">
        <f>IFERROR(__xludf.DUMMYFUNCTION("importrange(""https://docs.google.com/spreadsheets/d/1n5sVpozdF8VHwo-uFhrw_AnVhMcO3o9pnhcPjkIP1nQ/edit?gid=350932188#gid=350932188"",""2025-26!aq4"")"),0.0)</f>
        <v>0</v>
      </c>
      <c r="CP153" s="55">
        <f>IFERROR(__xludf.DUMMYFUNCTION("importrange(""https://docs.google.com/spreadsheets/d/1n5sVpozdF8VHwo-uFhrw_AnVhMcO3o9pnhcPjkIP1nQ/edit?gid=350932188#gid=350932188"",""2025-26!aq3"")"),0.0)</f>
        <v>0</v>
      </c>
      <c r="CQ153" s="55">
        <f>IFERROR(__xludf.DUMMYFUNCTION("importrange(""https://docs.google.com/spreadsheets/d/1n5sVpozdF8VHwo-uFhrw_AnVhMcO3o9pnhcPjkIP1nQ/edit?gid=350932188#gid=350932188"",""2025-26!ar4"")"),0.0)</f>
        <v>0</v>
      </c>
      <c r="CR153" s="55">
        <f>IFERROR(__xludf.DUMMYFUNCTION("importrange(""https://docs.google.com/spreadsheets/d/1n5sVpozdF8VHwo-uFhrw_AnVhMcO3o9pnhcPjkIP1nQ/edit?gid=350932188#gid=350932188"",""2025-26!ar3"")"),0.0)</f>
        <v>0</v>
      </c>
      <c r="CS153" s="59" t="str">
        <f t="shared" si="29"/>
        <v/>
      </c>
      <c r="CT153" s="55">
        <f>IFERROR(__xludf.DUMMYFUNCTION("importrange(""https://docs.google.com/spreadsheets/d/1n5sVpozdF8VHwo-uFhrw_AnVhMcO3o9pnhcPjkIP1nQ/edit?gid=350932188#gid=350932188"",""2025-26!as4"")"),0.0)</f>
        <v>0</v>
      </c>
      <c r="CU153" s="55">
        <f>IFERROR(__xludf.DUMMYFUNCTION("importrange(""https://docs.google.com/spreadsheets/d/1n5sVpozdF8VHwo-uFhrw_AnVhMcO3o9pnhcPjkIP1nQ/edit?gid=350932188#gid=350932188"",""2025-26!as3"")"),0.0)</f>
        <v>0</v>
      </c>
      <c r="CV153" s="60" t="s">
        <v>325</v>
      </c>
    </row>
    <row r="154">
      <c r="A154" s="1" t="s">
        <v>322</v>
      </c>
      <c r="B154" s="43"/>
      <c r="C154" s="104" t="s">
        <v>332</v>
      </c>
      <c r="D154" s="83" t="s">
        <v>333</v>
      </c>
      <c r="E154" s="83">
        <v>9.173698944E9</v>
      </c>
      <c r="F154" s="118">
        <v>46027.0</v>
      </c>
      <c r="G154" s="75"/>
      <c r="H154" s="75"/>
      <c r="I154" s="53">
        <v>46670.0</v>
      </c>
      <c r="J154" s="54">
        <v>800000.0</v>
      </c>
      <c r="K154" s="57">
        <f>IFERROR(__xludf.DUMMYFUNCTION("IMPORTRANGE(""https://docs.google.com/spreadsheets/u/0/d/1YvSh2rjgF0T-h2qLpMJUtjvUSYxrh1i61z24Ydm9_tI/edit"",""2025-26!A3"")"),71.0)</f>
        <v>71</v>
      </c>
      <c r="L154" s="57">
        <f>IFERROR(__xludf.DUMMYFUNCTION("IMPORTRANGE(""https://docs.google.com/spreadsheets/u/0/d/1YvSh2rjgF0T-h2qLpMJUtjvUSYxrh1i61z24Ydm9_tI/edit"",""2025-26!G4"")"),0.0)</f>
        <v>0</v>
      </c>
      <c r="M154" s="57">
        <f t="shared" si="50"/>
        <v>604841.29</v>
      </c>
      <c r="N154" s="56" t="str">
        <f t="shared" si="51"/>
        <v/>
      </c>
      <c r="O154" s="57">
        <f t="shared" si="52"/>
        <v>314114</v>
      </c>
      <c r="P154" s="55">
        <f>IFERROR(__xludf.DUMMYFUNCTION("IMPORTRANGE(""https://docs.google.com/spreadsheets/u/0/d/1YvSh2rjgF0T-h2qLpMJUtjvUSYxrh1i61z24Ydm9_tI/edit"",""2025-26!J4"")"),0.0)</f>
        <v>0</v>
      </c>
      <c r="Q154" s="55">
        <f>IFERROR(__xludf.DUMMYFUNCTION("IMPORTRANGE(""https://docs.google.com/spreadsheets/u/0/d/1YvSh2rjgF0T-h2qLpMJUtjvUSYxrh1i61z24Ydm9_tI/edit"",""2025-26!J3"")"),0.0)</f>
        <v>0</v>
      </c>
      <c r="R154" s="55">
        <f>IFERROR(__xludf.DUMMYFUNCTION("IMPORTRANGE(""https://docs.google.com/spreadsheets/u/0/d/1YvSh2rjgF0T-h2qLpMJUtjvUSYxrh1i61z24Ydm9_tI/edit"",""2025-26!K4"")"),0.0)</f>
        <v>0</v>
      </c>
      <c r="S154" s="55">
        <f>IFERROR(__xludf.DUMMYFUNCTION("IMPORTRANGE(""https://docs.google.com/spreadsheets/u/0/d/1YvSh2rjgF0T-h2qLpMJUtjvUSYxrh1i61z24Ydm9_tI/edit"",""2025-26!K3"")"),0.0)</f>
        <v>0</v>
      </c>
      <c r="T154" s="58" t="str">
        <f t="shared" si="18"/>
        <v/>
      </c>
      <c r="U154" s="55">
        <f>IFERROR(__xludf.DUMMYFUNCTION("IMPORTRANGE(""https://docs.google.com/spreadsheets/u/0/d/1YvSh2rjgF0T-h2qLpMJUtjvUSYxrh1i61z24Ydm9_tI/edit"",""2025-26!L4"")"),0.0)</f>
        <v>0</v>
      </c>
      <c r="V154" s="79">
        <f>IFERROR(__xludf.DUMMYFUNCTION("IMPORTRANGE(""https://docs.google.com/spreadsheets/u/0/d/1YvSh2rjgF0T-h2qLpMJUtjvUSYxrh1i61z24Ydm9_tI/edit"",""2025-26!L3"")"),0.0)</f>
        <v>0</v>
      </c>
      <c r="W154" s="55">
        <f>IFERROR(__xludf.DUMMYFUNCTION("IMPORTRANGE(""https://docs.google.com/spreadsheets/u/0/d/1YvSh2rjgF0T-h2qLpMJUtjvUSYxrh1i61z24Ydm9_tI/edit"",""2025-26!M4"")"),0.0)</f>
        <v>0</v>
      </c>
      <c r="X154" s="79">
        <f>IFERROR(__xludf.DUMMYFUNCTION("IMPORTRANGE(""https://docs.google.com/spreadsheets/u/0/d/1YvSh2rjgF0T-h2qLpMJUtjvUSYxrh1i61z24Ydm9_tI/edit"",""2025-26!M3"")"),0.0)</f>
        <v>0</v>
      </c>
      <c r="Y154" s="55">
        <f>IFERROR(__xludf.DUMMYFUNCTION("importrange(""https://docs.google.com/spreadsheets/u/0/d/1YvSh2rjgF0T-h2qLpMJUtjvUSYxrh1i61z24Ydm9_tI/edit"",""2025-26!n4"")"),0.0)</f>
        <v>0</v>
      </c>
      <c r="Z154" s="55">
        <f>IFERROR(__xludf.DUMMYFUNCTION("importrange(""https://docs.google.com/spreadsheets/u/0/d/1YvSh2rjgF0T-h2qLpMJUtjvUSYxrh1i61z24Ydm9_tI/edit"",""2025-26!n3"")"),0.0)</f>
        <v>0</v>
      </c>
      <c r="AA154" s="58" t="str">
        <f t="shared" si="19"/>
        <v/>
      </c>
      <c r="AB154" s="55">
        <f>IFERROR(__xludf.DUMMYFUNCTION("importrange(""https://docs.google.com/spreadsheets/u/0/d/1YvSh2rjgF0T-h2qLpMJUtjvUSYxrh1i61z24Ydm9_tI/edit"",""2025-26!o4"")"),0.0)</f>
        <v>0</v>
      </c>
      <c r="AC154" s="55">
        <f>IFERROR(__xludf.DUMMYFUNCTION("importrange(""https://docs.google.com/spreadsheets/u/0/d/1YvSh2rjgF0T-h2qLpMJUtjvUSYxrh1i61z24Ydm9_tI/edit"",""2025-26!o3"")"),0.0)</f>
        <v>0</v>
      </c>
      <c r="AD154" s="55">
        <f>IFERROR(__xludf.DUMMYFUNCTION("importrange(""https://docs.google.com/spreadsheets/u/0/d/1YvSh2rjgF0T-h2qLpMJUtjvUSYxrh1i61z24Ydm9_tI/edit"",""2025-26!p4"")"),0.0)</f>
        <v>0</v>
      </c>
      <c r="AE154" s="55">
        <f>IFERROR(__xludf.DUMMYFUNCTION("importrange(""https://docs.google.com/spreadsheets/u/0/d/1YvSh2rjgF0T-h2qLpMJUtjvUSYxrh1i61z24Ydm9_tI/edit"",""2025-26!p3"")"),0.0)</f>
        <v>0</v>
      </c>
      <c r="AF154" s="55">
        <f>IFERROR(__xludf.DUMMYFUNCTION("importrange(""https://docs.google.com/spreadsheets/u/0/d/1YvSh2rjgF0T-h2qLpMJUtjvUSYxrh1i61z24Ydm9_tI/edit"",""2025-26!q4"")"),0.0)</f>
        <v>0</v>
      </c>
      <c r="AG154" s="55">
        <f>IFERROR(__xludf.DUMMYFUNCTION("importrange(""https://docs.google.com/spreadsheets/u/0/d/1YvSh2rjgF0T-h2qLpMJUtjvUSYxrh1i61z24Ydm9_tI/edit"",""2025-26!q3"")"),0.0)</f>
        <v>0</v>
      </c>
      <c r="AH154" s="58" t="str">
        <f t="shared" si="20"/>
        <v/>
      </c>
      <c r="AI154" s="55">
        <f>IFERROR(__xludf.DUMMYFUNCTION("importrange(""https://docs.google.com/spreadsheets/u/0/d/1YvSh2rjgF0T-h2qLpMJUtjvUSYxrh1i61z24Ydm9_tI/edit"",""2025-26!r4"")"),0.0)</f>
        <v>0</v>
      </c>
      <c r="AJ154" s="55">
        <f>IFERROR(__xludf.DUMMYFUNCTION("importrange(""https://docs.google.com/spreadsheets/u/0/d/1YvSh2rjgF0T-h2qLpMJUtjvUSYxrh1i61z24Ydm9_tI/edit"",""2025-26!r3"")"),0.0)</f>
        <v>0</v>
      </c>
      <c r="AK154" s="55">
        <f>IFERROR(__xludf.DUMMYFUNCTION("importrange(""https://docs.google.com/spreadsheets/u/0/d/1YvSh2rjgF0T-h2qLpMJUtjvUSYxrh1i61z24Ydm9_tI/edit"",""2025-26!s4"")"),0.0)</f>
        <v>0</v>
      </c>
      <c r="AL154" s="55">
        <f>IFERROR(__xludf.DUMMYFUNCTION("importrange(""https://docs.google.com/spreadsheets/u/0/d/1YvSh2rjgF0T-h2qLpMJUtjvUSYxrh1i61z24Ydm9_tI/edit"",""2025-26!s3"")"),0.0)</f>
        <v>0</v>
      </c>
      <c r="AM154" s="57">
        <f>IFERROR(__xludf.DUMMYFUNCTION("importrange(""https://docs.google.com/spreadsheets/u/0/d/1YvSh2rjgF0T-h2qLpMJUtjvUSYxrh1i61z24Ydm9_tI/edit"",""2025-26!t4"")"),0.0)</f>
        <v>0</v>
      </c>
      <c r="AN154" s="55">
        <f>IFERROR(__xludf.DUMMYFUNCTION("importrange(""https://docs.google.com/spreadsheets/u/0/d/1YvSh2rjgF0T-h2qLpMJUtjvUSYxrh1i61z24Ydm9_tI/edit"",""2025-26!t3"")"),0.0)</f>
        <v>0</v>
      </c>
      <c r="AO154" s="58" t="str">
        <f t="shared" si="21"/>
        <v/>
      </c>
      <c r="AP154" s="55">
        <f>IFERROR(__xludf.DUMMYFUNCTION("importrange(""https://docs.google.com/spreadsheets/u/0/d/1YvSh2rjgF0T-h2qLpMJUtjvUSYxrh1i61z24Ydm9_tI/edit"",""2025-26!u4"")"),0.0)</f>
        <v>0</v>
      </c>
      <c r="AQ154" s="55">
        <f>IFERROR(__xludf.DUMMYFUNCTION("importrange(""https://docs.google.com/spreadsheets/u/0/d/1YvSh2rjgF0T-h2qLpMJUtjvUSYxrh1i61z24Ydm9_tI/edit"",""2025-26!u3"")"),0.0)</f>
        <v>0</v>
      </c>
      <c r="AR154" s="55">
        <f>IFERROR(__xludf.DUMMYFUNCTION("importrange(""https://docs.google.com/spreadsheets/u/0/d/1YvSh2rjgF0T-h2qLpMJUtjvUSYxrh1i61z24Ydm9_tI/edit"",""2025-26!v4"")"),0.0)</f>
        <v>0</v>
      </c>
      <c r="AS154" s="55">
        <f>IFERROR(__xludf.DUMMYFUNCTION("importrange(""https://docs.google.com/spreadsheets/u/0/d/1YvSh2rjgF0T-h2qLpMJUtjvUSYxrh1i61z24Ydm9_tI/edit"",""2025-26!v3"")"),0.0)</f>
        <v>0</v>
      </c>
      <c r="AT154" s="57">
        <f>IFERROR(__xludf.DUMMYFUNCTION("importrange(""https://docs.google.com/spreadsheets/u/0/d/1YvSh2rjgF0T-h2qLpMJUtjvUSYxrh1i61z24Ydm9_tI/edit"",""2025-26!w4"")"),0.0)</f>
        <v>0</v>
      </c>
      <c r="AU154" s="55">
        <f>IFERROR(__xludf.DUMMYFUNCTION("importrange(""https://docs.google.com/spreadsheets/u/0/d/1YvSh2rjgF0T-h2qLpMJUtjvUSYxrh1i61z24Ydm9_tI/edit"",""2025-26!w3"")"),0.0)</f>
        <v>0</v>
      </c>
      <c r="AV154" s="58" t="str">
        <f t="shared" si="22"/>
        <v/>
      </c>
      <c r="AW154" s="55">
        <f>IFERROR(__xludf.DUMMYFUNCTION("importrange(""https://docs.google.com/spreadsheets/u/0/d/1YvSh2rjgF0T-h2qLpMJUtjvUSYxrh1i61z24Ydm9_tI/edit"",""2025-26!x4"")"),0.0)</f>
        <v>0</v>
      </c>
      <c r="AX154" s="55">
        <f>IFERROR(__xludf.DUMMYFUNCTION("importrange(""https://docs.google.com/spreadsheets/u/0/d/1YvSh2rjgF0T-h2qLpMJUtjvUSYxrh1i61z24Ydm9_tI/edit"",""2025-26!x3"")"),0.0)</f>
        <v>0</v>
      </c>
      <c r="AY154" s="55">
        <f>IFERROR(__xludf.DUMMYFUNCTION("importrange(""https://docs.google.com/spreadsheets/u/0/d/1YvSh2rjgF0T-h2qLpMJUtjvUSYxrh1i61z24Ydm9_tI/edit"",""2025-26!y4"")"),0.0)</f>
        <v>0</v>
      </c>
      <c r="AZ154" s="55">
        <f>IFERROR(__xludf.DUMMYFUNCTION("importrange(""https://docs.google.com/spreadsheets/u/0/d/1YvSh2rjgF0T-h2qLpMJUtjvUSYxrh1i61z24Ydm9_tI/edit"",""2025-26!y3"")"),0.0)</f>
        <v>0</v>
      </c>
      <c r="BA154" s="57">
        <f>IFERROR(__xludf.DUMMYFUNCTION("importrange(""https://docs.google.com/spreadsheets/u/0/d/1YvSh2rjgF0T-h2qLpMJUtjvUSYxrh1i61z24Ydm9_tI/edit"",""2025-26!z4"")"),0.0)</f>
        <v>0</v>
      </c>
      <c r="BB154" s="55">
        <f>IFERROR(__xludf.DUMMYFUNCTION("importrange(""https://docs.google.com/spreadsheets/u/0/d/1YvSh2rjgF0T-h2qLpMJUtjvUSYxrh1i61z24Ydm9_tI/edit"",""2025-26!z3"")"),0.0)</f>
        <v>0</v>
      </c>
      <c r="BC154" s="59" t="str">
        <f t="shared" si="23"/>
        <v/>
      </c>
      <c r="BD154" s="55">
        <f>IFERROR(__xludf.DUMMYFUNCTION("importrange(""https://docs.google.com/spreadsheets/u/0/d/1YvSh2rjgF0T-h2qLpMJUtjvUSYxrh1i61z24Ydm9_tI/edit"",""2025-26!aa4"")"),0.0)</f>
        <v>0</v>
      </c>
      <c r="BE154" s="55">
        <f>IFERROR(__xludf.DUMMYFUNCTION("importrange(""https://docs.google.com/spreadsheets/u/0/d/1YvSh2rjgF0T-h2qLpMJUtjvUSYxrh1i61z24Ydm9_tI/edit"",""2025-26!aa3"")"),0.0)</f>
        <v>0</v>
      </c>
      <c r="BF154" s="55">
        <f>IFERROR(__xludf.DUMMYFUNCTION("importrange(""https://docs.google.com/spreadsheets/u/0/d/1YvSh2rjgF0T-h2qLpMJUtjvUSYxrh1i61z24Ydm9_tI/edit"",""2025-26!ab4"")"),0.0)</f>
        <v>0</v>
      </c>
      <c r="BG154" s="55">
        <f>IFERROR(__xludf.DUMMYFUNCTION("importrange(""https://docs.google.com/spreadsheets/u/0/d/1YvSh2rjgF0T-h2qLpMJUtjvUSYxrh1i61z24Ydm9_tI/edit"",""2025-26!ab3"")"),0.0)</f>
        <v>0</v>
      </c>
      <c r="BH154" s="55">
        <f>IFERROR(__xludf.DUMMYFUNCTION("importrange(""https://docs.google.com/spreadsheets/u/0/d/1YvSh2rjgF0T-h2qLpMJUtjvUSYxrh1i61z24Ydm9_tI/edit"",""2025-26!ac4"")"),0.0)</f>
        <v>0</v>
      </c>
      <c r="BI154" s="55">
        <f>IFERROR(__xludf.DUMMYFUNCTION("importrange(""https://docs.google.com/spreadsheets/u/0/d/1YvSh2rjgF0T-h2qLpMJUtjvUSYxrh1i61z24Ydm9_tI/edit"",""2025-26!ac3"")"),0.0)</f>
        <v>0</v>
      </c>
      <c r="BJ154" s="59" t="str">
        <f t="shared" si="24"/>
        <v/>
      </c>
      <c r="BK154" s="55">
        <f>IFERROR(__xludf.DUMMYFUNCTION("importrange(""https://docs.google.com/spreadsheets/u/0/d/1YvSh2rjgF0T-h2qLpMJUtjvUSYxrh1i61z24Ydm9_tI/edit"",""2025-26!ad4"")"),0.0)</f>
        <v>0</v>
      </c>
      <c r="BL154" s="55">
        <f>IFERROR(__xludf.DUMMYFUNCTION("importrange(""https://docs.google.com/spreadsheets/u/0/d/1YvSh2rjgF0T-h2qLpMJUtjvUSYxrh1i61z24Ydm9_tI/edit"",""2025-26!ad3"")"),0.0)</f>
        <v>0</v>
      </c>
      <c r="BM154" s="55">
        <f>IFERROR(__xludf.DUMMYFUNCTION("importrange(""https://docs.google.com/spreadsheets/u/0/d/1YvSh2rjgF0T-h2qLpMJUtjvUSYxrh1i61z24Ydm9_tI/edit"",""2025-26!ae4"")"),0.0)</f>
        <v>0</v>
      </c>
      <c r="BN154" s="55">
        <f>IFERROR(__xludf.DUMMYFUNCTION("importrange(""https://docs.google.com/spreadsheets/u/0/d/1YvSh2rjgF0T-h2qLpMJUtjvUSYxrh1i61z24Ydm9_tI/edit"",""2025-26!ae3"")"),0.0)</f>
        <v>0</v>
      </c>
      <c r="BO154" s="55">
        <f>IFERROR(__xludf.DUMMYFUNCTION("importrange(""https://docs.google.com/spreadsheets/u/0/d/1YvSh2rjgF0T-h2qLpMJUtjvUSYxrh1i61z24Ydm9_tI/edit"",""2025-26!af4"")"),0.0)</f>
        <v>0</v>
      </c>
      <c r="BP154" s="55">
        <f>IFERROR(__xludf.DUMMYFUNCTION("importrange(""https://docs.google.com/spreadsheets/u/0/d/1YvSh2rjgF0T-h2qLpMJUtjvUSYxrh1i61z24Ydm9_tI/edit"",""2025-26!af3"")"),0.0)</f>
        <v>0</v>
      </c>
      <c r="BQ154" s="59" t="str">
        <f t="shared" si="25"/>
        <v/>
      </c>
      <c r="BR154" s="55">
        <f>IFERROR(__xludf.DUMMYFUNCTION("importrange(""https://docs.google.com/spreadsheets/u/0/d/1YvSh2rjgF0T-h2qLpMJUtjvUSYxrh1i61z24Ydm9_tI/edit"",""2025-26!ag4"")"),0.0)</f>
        <v>0</v>
      </c>
      <c r="BS154" s="55">
        <f>IFERROR(__xludf.DUMMYFUNCTION("importrange(""https://docs.google.com/spreadsheets/u/0/d/1YvSh2rjgF0T-h2qLpMJUtjvUSYxrh1i61z24Ydm9_tI/edit"",""2025-26!ag3"")"),0.0)</f>
        <v>0</v>
      </c>
      <c r="BT154" s="55">
        <f>IFERROR(__xludf.DUMMYFUNCTION("importrange(""https://docs.google.com/spreadsheets/u/0/d/1YvSh2rjgF0T-h2qLpMJUtjvUSYxrh1i61z24Ydm9_tI/edit"",""2025-26!ah4"")"),0.0)</f>
        <v>0</v>
      </c>
      <c r="BU154" s="55">
        <f>IFERROR(__xludf.DUMMYFUNCTION("importrange(""https://docs.google.com/spreadsheets/u/0/d/1YvSh2rjgF0T-h2qLpMJUtjvUSYxrh1i61z24Ydm9_tI/edit"",""2025-26!ah3"")"),0.0)</f>
        <v>0</v>
      </c>
      <c r="BV154" s="55">
        <f>IFERROR(__xludf.DUMMYFUNCTION("importrange(""https://docs.google.com/spreadsheets/u/0/d/1YvSh2rjgF0T-h2qLpMJUtjvUSYxrh1i61z24Ydm9_tI/edit"",""2025-26!ai4"")"),0.0)</f>
        <v>0</v>
      </c>
      <c r="BW154" s="55">
        <f>IFERROR(__xludf.DUMMYFUNCTION("importrange(""https://docs.google.com/spreadsheets/u/0/d/1YvSh2rjgF0T-h2qLpMJUtjvUSYxrh1i61z24Ydm9_tI/edit"",""2025-26!ai3"")"),0.0)</f>
        <v>0</v>
      </c>
      <c r="BX154" s="59" t="str">
        <f t="shared" si="26"/>
        <v/>
      </c>
      <c r="BY154" s="55">
        <f>IFERROR(__xludf.DUMMYFUNCTION("importrange(""https://docs.google.com/spreadsheets/u/0/d/1YvSh2rjgF0T-h2qLpMJUtjvUSYxrh1i61z24Ydm9_tI/edit"",""2025-26!aj4"")"),0.0)</f>
        <v>0</v>
      </c>
      <c r="BZ154" s="55">
        <f>IFERROR(__xludf.DUMMYFUNCTION("importrange(""https://docs.google.com/spreadsheets/u/0/d/1YvSh2rjgF0T-h2qLpMJUtjvUSYxrh1i61z24Ydm9_tI/edit"",""2025-26!aj3"")"),0.0)</f>
        <v>0</v>
      </c>
      <c r="CA154" s="55">
        <f>IFERROR(__xludf.DUMMYFUNCTION("importrange(""https://docs.google.com/spreadsheets/u/0/d/1YvSh2rjgF0T-h2qLpMJUtjvUSYxrh1i61z24Ydm9_tI/edit"",""2025-26!ak4"")"),0.0)</f>
        <v>0</v>
      </c>
      <c r="CB154" s="55">
        <f>IFERROR(__xludf.DUMMYFUNCTION("importrange(""https://docs.google.com/spreadsheets/u/0/d/1YvSh2rjgF0T-h2qLpMJUtjvUSYxrh1i61z24Ydm9_tI/edit"",""2025-26!ak3"")"),0.0)</f>
        <v>0</v>
      </c>
      <c r="CC154" s="55">
        <f>IFERROR(__xludf.DUMMYFUNCTION("importrange(""https://docs.google.com/spreadsheets/u/0/d/1YvSh2rjgF0T-h2qLpMJUtjvUSYxrh1i61z24Ydm9_tI/edit"",""2025-26!al4"")"),161212.15000000002)</f>
        <v>161212.15</v>
      </c>
      <c r="CD154" s="55">
        <f>IFERROR(__xludf.DUMMYFUNCTION("importrange(""https://docs.google.com/spreadsheets/u/0/d/1YvSh2rjgF0T-h2qLpMJUtjvUSYxrh1i61z24Ydm9_tI/edit"",""2025-26!ai3"")"),0.0)</f>
        <v>0</v>
      </c>
      <c r="CE154" s="59" t="str">
        <f t="shared" si="27"/>
        <v/>
      </c>
      <c r="CF154" s="55">
        <f>IFERROR(__xludf.DUMMYFUNCTION("importrange(""https://docs.google.com/spreadsheets/u/0/d/1YvSh2rjgF0T-h2qLpMJUtjvUSYxrh1i61z24Ydm9_tI/edit"",""2025-26!am4"")"),179376.0)</f>
        <v>179376</v>
      </c>
      <c r="CG154" s="55">
        <f>IFERROR(__xludf.DUMMYFUNCTION("importrange(""https://docs.google.com/spreadsheets/u/0/d/1YvSh2rjgF0T-h2qLpMJUtjvUSYxrh1i61z24Ydm9_tI/edit"",""2025-26!am3"")"),17.0)</f>
        <v>17</v>
      </c>
      <c r="CH154" s="55">
        <f>IFERROR(__xludf.DUMMYFUNCTION("importrange(""https://docs.google.com/spreadsheets/u/0/d/1YvSh2rjgF0T-h2qLpMJUtjvUSYxrh1i61z24Ydm9_tI/edit"",""2025-26!an4"")"),0.0)</f>
        <v>0</v>
      </c>
      <c r="CI154" s="55">
        <f>IFERROR(__xludf.DUMMYFUNCTION("importrange(""https://docs.google.com/spreadsheets/u/0/d/1YvSh2rjgF0T-h2qLpMJUtjvUSYxrh1i61z24Ydm9_tI/edit"",""2025-26!an3"")"),0.0)</f>
        <v>0</v>
      </c>
      <c r="CJ154" s="55">
        <f>IFERROR(__xludf.DUMMYFUNCTION("importrange(""https://docs.google.com/spreadsheets/u/0/d/1YvSh2rjgF0T-h2qLpMJUtjvUSYxrh1i61z24Ydm9_tI/edit"",""2025-26!ao4"")"),214714.24)</f>
        <v>214714.24</v>
      </c>
      <c r="CK154" s="55">
        <f>IFERROR(__xludf.DUMMYFUNCTION("importrange(""https://docs.google.com/spreadsheets/u/0/d/1YvSh2rjgF0T-h2qLpMJUtjvUSYxrh1i61z24Ydm9_tI/edit"",""2025-26!ao3"")"),21.0)</f>
        <v>21</v>
      </c>
      <c r="CL154" s="59" t="str">
        <f t="shared" si="28"/>
        <v/>
      </c>
      <c r="CM154" s="55">
        <f>IFERROR(__xludf.DUMMYFUNCTION("importrange(""https://docs.google.com/spreadsheets/u/0/d/1YvSh2rjgF0T-h2qLpMJUtjvUSYxrh1i61z24Ydm9_tI/edit"",""2025-26!ap4"")"),50530.0)</f>
        <v>50530</v>
      </c>
      <c r="CN154" s="55">
        <f>IFERROR(__xludf.DUMMYFUNCTION("importrange(""https://docs.google.com/spreadsheets/u/0/d/1YvSh2rjgF0T-h2qLpMJUtjvUSYxrh1i61z24Ydm9_tI/edit"",""2025-26!ap3"")"),9.0)</f>
        <v>9</v>
      </c>
      <c r="CO154" s="55">
        <f>IFERROR(__xludf.DUMMYFUNCTION("importrange(""https://docs.google.com/spreadsheets/u/0/d/1YvSh2rjgF0T-h2qLpMJUtjvUSYxrh1i61z24Ydm9_tI/edit"",""2025-26!aq4"")"),0.0)</f>
        <v>0</v>
      </c>
      <c r="CP154" s="55">
        <f>IFERROR(__xludf.DUMMYFUNCTION("importrange(""https://docs.google.com/spreadsheets/u/0/d/1YvSh2rjgF0T-h2qLpMJUtjvUSYxrh1i61z24Ydm9_tI/edit"",""2025-26!aq3"")"),0.0)</f>
        <v>0</v>
      </c>
      <c r="CQ154" s="55">
        <f>IFERROR(__xludf.DUMMYFUNCTION("importrange(""https://docs.google.com/spreadsheets/u/0/d/1YvSh2rjgF0T-h2qLpMJUtjvUSYxrh1i61z24Ydm9_tI/edit"",""2025-26!ar4"")"),228914.90000000005)</f>
        <v>228914.9</v>
      </c>
      <c r="CR154" s="55">
        <f>IFERROR(__xludf.DUMMYFUNCTION("importrange(""https://docs.google.com/spreadsheets/u/0/d/1YvSh2rjgF0T-h2qLpMJUtjvUSYxrh1i61z24Ydm9_tI/edit"",""2025-26!ar3"")"),20.0)</f>
        <v>20</v>
      </c>
      <c r="CS154" s="59" t="str">
        <f t="shared" si="29"/>
        <v/>
      </c>
      <c r="CT154" s="55">
        <f>IFERROR(__xludf.DUMMYFUNCTION("importrange(""https://docs.google.com/spreadsheets/u/0/d/1YvSh2rjgF0T-h2qLpMJUtjvUSYxrh1i61z24Ydm9_tI/edit"",""2025-26!as4"")"),84208.0)</f>
        <v>84208</v>
      </c>
      <c r="CU154" s="55">
        <f>IFERROR(__xludf.DUMMYFUNCTION("importrange(""https://docs.google.com/spreadsheets/u/0/d/1YvSh2rjgF0T-h2qLpMJUtjvUSYxrh1i61z24Ydm9_tI/edit"",""2025-26!as3"")"),5.0)</f>
        <v>5</v>
      </c>
      <c r="CV154" s="60" t="s">
        <v>325</v>
      </c>
    </row>
    <row r="155">
      <c r="A155" s="119"/>
      <c r="C155" s="120"/>
      <c r="D155" s="121"/>
      <c r="E155" s="121"/>
      <c r="F155" s="121"/>
      <c r="N155" s="122"/>
      <c r="R155" s="123"/>
      <c r="CV155" s="124" t="e">
        <v>#N/A</v>
      </c>
    </row>
    <row r="156">
      <c r="A156" s="119"/>
      <c r="C156" s="120"/>
      <c r="D156" s="121"/>
      <c r="E156" s="121"/>
      <c r="F156" s="121"/>
      <c r="N156" s="122"/>
      <c r="R156" s="123"/>
      <c r="CV156" s="124" t="e">
        <v>#N/A</v>
      </c>
    </row>
    <row r="157">
      <c r="A157" s="119"/>
      <c r="B157" s="125" t="s">
        <v>334</v>
      </c>
      <c r="I157" s="126"/>
      <c r="J157" s="126"/>
      <c r="K157" s="126"/>
      <c r="L157" s="126"/>
      <c r="M157" s="126"/>
      <c r="N157" s="127"/>
      <c r="O157" s="126"/>
      <c r="P157" s="126"/>
      <c r="Q157" s="126"/>
      <c r="R157" s="128"/>
      <c r="S157" s="126"/>
      <c r="T157" s="126"/>
      <c r="U157" s="126"/>
      <c r="V157" s="126"/>
      <c r="W157" s="126"/>
      <c r="X157" s="126"/>
      <c r="Y157" s="126"/>
      <c r="Z157" s="126"/>
      <c r="AA157" s="126"/>
      <c r="AB157" s="126"/>
      <c r="AC157" s="126"/>
      <c r="AD157" s="126"/>
      <c r="AE157" s="126"/>
      <c r="AF157" s="126"/>
      <c r="AG157" s="126"/>
      <c r="AH157" s="126"/>
      <c r="AI157" s="126"/>
      <c r="AJ157" s="126"/>
      <c r="AK157" s="126"/>
      <c r="AL157" s="126"/>
      <c r="AM157" s="126"/>
      <c r="AN157" s="126"/>
      <c r="AO157" s="126"/>
      <c r="AP157" s="126"/>
      <c r="AQ157" s="126"/>
      <c r="AR157" s="126"/>
      <c r="AS157" s="126"/>
      <c r="AT157" s="126"/>
      <c r="AU157" s="126"/>
      <c r="AV157" s="126"/>
      <c r="AW157" s="126"/>
      <c r="AX157" s="126"/>
      <c r="AY157" s="126"/>
      <c r="AZ157" s="126"/>
      <c r="BA157" s="126"/>
      <c r="BB157" s="126"/>
      <c r="BC157" s="126"/>
      <c r="BD157" s="126"/>
      <c r="BE157" s="126"/>
      <c r="BF157" s="126"/>
      <c r="BG157" s="126"/>
      <c r="BH157" s="126"/>
      <c r="BI157" s="126"/>
      <c r="BJ157" s="126"/>
      <c r="BK157" s="126"/>
      <c r="BL157" s="126"/>
      <c r="BM157" s="126"/>
      <c r="BN157" s="126"/>
      <c r="BO157" s="126"/>
      <c r="BP157" s="126"/>
      <c r="BQ157" s="126"/>
      <c r="BR157" s="126"/>
      <c r="BS157" s="126"/>
      <c r="BT157" s="126"/>
      <c r="BU157" s="126"/>
      <c r="BV157" s="126"/>
      <c r="BW157" s="126"/>
      <c r="BX157" s="126"/>
      <c r="BY157" s="126"/>
      <c r="BZ157" s="126"/>
      <c r="CA157" s="126"/>
      <c r="CB157" s="126"/>
      <c r="CC157" s="126"/>
      <c r="CD157" s="126"/>
      <c r="CE157" s="126"/>
      <c r="CF157" s="126"/>
      <c r="CG157" s="126"/>
      <c r="CH157" s="126"/>
      <c r="CI157" s="126"/>
      <c r="CJ157" s="126"/>
      <c r="CK157" s="126"/>
      <c r="CL157" s="126"/>
      <c r="CM157" s="126"/>
      <c r="CN157" s="126"/>
      <c r="CO157" s="126"/>
      <c r="CP157" s="126"/>
      <c r="CQ157" s="126"/>
      <c r="CR157" s="126"/>
      <c r="CS157" s="126"/>
      <c r="CT157" s="126"/>
      <c r="CU157" s="126"/>
      <c r="CV157" s="126" t="e">
        <v>#N/A</v>
      </c>
    </row>
    <row r="158">
      <c r="A158" s="129" t="s">
        <v>23</v>
      </c>
      <c r="B158" s="129" t="s">
        <v>23</v>
      </c>
      <c r="C158" s="130" t="s">
        <v>335</v>
      </c>
      <c r="D158" s="49" t="s">
        <v>46</v>
      </c>
      <c r="E158" s="50">
        <v>7.982303401E9</v>
      </c>
      <c r="F158" s="74">
        <v>45384.0</v>
      </c>
      <c r="G158" s="62"/>
      <c r="H158" s="62"/>
      <c r="I158" s="53">
        <f>VLOOKUP($C158,Data!$C:$BV,72,0)</f>
        <v>36400</v>
      </c>
      <c r="J158" s="54">
        <f>1200000+300000</f>
        <v>1500000</v>
      </c>
      <c r="K158" s="55">
        <f>IFERROR(__xludf.DUMMYFUNCTION("IMPORTRANGE(""1LrmcoKTCV8L3ma6OI-AJpPEckWu_kbK-gIz1jwwPTfM"",""2025-26!A3"")"),70.0)</f>
        <v>70</v>
      </c>
      <c r="L158" s="55">
        <f>IFERROR(__xludf.DUMMYFUNCTION("IMPORTRANGE(""1LrmcoKTCV8L3ma6OI-AJpPEckWu_kbK-gIz1jwwPTfM"",""2025-26!G4"")"),1.56E7)</f>
        <v>15600000</v>
      </c>
      <c r="M158" s="55">
        <f t="shared" ref="M158:M167" si="53">R158+Y158+AF158+AM158+AT158+BA158+BH158+BO158+BV158+CC158+CJ158+CQ158</f>
        <v>7191266.12</v>
      </c>
      <c r="N158" s="56">
        <f t="shared" ref="N158:N167" si="54">O158/L158</f>
        <v>0.389418141</v>
      </c>
      <c r="O158" s="57">
        <f t="shared" ref="O158:O167" si="55">U158+AB158+AI158+AP158+AW158+BD158+BK158+BR158+BY158+CF158+CM158+CT158</f>
        <v>6074923</v>
      </c>
      <c r="P158" s="55">
        <f>IFERROR(__xludf.DUMMYFUNCTION("IMPORTRANGE(""1LrmcoKTCV8L3ma6OI-AJpPEckWu_kbK-gIz1jwwPTfM"",""2025-26!J4"")"),1189000.0)</f>
        <v>1189000</v>
      </c>
      <c r="Q158" s="55">
        <f>IFERROR(__xludf.DUMMYFUNCTION("IMPORTRANGE(""1LrmcoKTCV8L3ma6OI-AJpPEckWu_kbK-gIz1jwwPTfM"",""2025-26!J3"")"),53.0)</f>
        <v>53</v>
      </c>
      <c r="R158" s="55">
        <f>IFERROR(__xludf.DUMMYFUNCTION("IMPORTRANGE(""1LrmcoKTCV8L3ma6OI-AJpPEckWu_kbK-gIz1jwwPTfM"",""2025-26!K4"")"),558156.6)</f>
        <v>558156.6</v>
      </c>
      <c r="S158" s="55">
        <f>IFERROR(__xludf.DUMMYFUNCTION("IMPORTRANGE(""1LrmcoKTCV8L3ma6OI-AJpPEckWu_kbK-gIz1jwwPTfM"",""2025-26!K3"")"),14.0)</f>
        <v>14</v>
      </c>
      <c r="T158" s="58">
        <f t="shared" ref="T158:T225" si="56">IFERROR((U158/P158),"")</f>
        <v>0.4500773759</v>
      </c>
      <c r="U158" s="55">
        <f>IFERROR(__xludf.DUMMYFUNCTION("IMPORTRANGE(""1LrmcoKTCV8L3ma6OI-AJpPEckWu_kbK-gIz1jwwPTfM"",""2025-26!L4"")"),535142.0)</f>
        <v>535142</v>
      </c>
      <c r="V158" s="55">
        <f>IFERROR(__xludf.DUMMYFUNCTION("IMPORTRANGE(""1LrmcoKTCV8L3ma6OI-AJpPEckWu_kbK-gIz1jwwPTfM"",""2025-26!L3"")"),14.0)</f>
        <v>14</v>
      </c>
      <c r="W158" s="55">
        <f>IFERROR(__xludf.DUMMYFUNCTION("IMPORTRANGE(""1LrmcoKTCV8L3ma6OI-AJpPEckWu_kbK-gIz1jwwPTfM"",""2025-26!m4"")"),1202000.0)</f>
        <v>1202000</v>
      </c>
      <c r="X158" s="55">
        <f>IFERROR(__xludf.DUMMYFUNCTION("IMPORTRANGE(""1LrmcoKTCV8L3ma6OI-AJpPEckWu_kbK-gIz1jwwPTfM"",""2025-26!m3"")"),56.0)</f>
        <v>56</v>
      </c>
      <c r="Y158" s="55">
        <f>IFERROR(__xludf.DUMMYFUNCTION("IMPORTRANGE(""1LrmcoKTCV8L3ma6OI-AJpPEckWu_kbK-gIz1jwwPTfM"",""2025-26!N4"")"),1076562.4199999997)</f>
        <v>1076562.42</v>
      </c>
      <c r="Z158" s="55">
        <f>IFERROR(__xludf.DUMMYFUNCTION("IMPORTRANGE(""1LrmcoKTCV8L3ma6OI-AJpPEckWu_kbK-gIz1jwwPTfM"",""2025-26!N3"")"),27.0)</f>
        <v>27</v>
      </c>
      <c r="AA158" s="58">
        <f t="shared" ref="AA158:AA225" si="57">IFERROR((AB158/W158),"")</f>
        <v>0.8081863561</v>
      </c>
      <c r="AB158" s="55">
        <f>IFERROR(__xludf.DUMMYFUNCTION("IMPORTRANGE(""1LrmcoKTCV8L3ma6OI-AJpPEckWu_kbK-gIz1jwwPTfM"",""2025-26!O4"")"),971440.0)</f>
        <v>971440</v>
      </c>
      <c r="AC158" s="55">
        <f>IFERROR(__xludf.DUMMYFUNCTION("IMPORTRANGE(""1LrmcoKTCV8L3ma6OI-AJpPEckWu_kbK-gIz1jwwPTfM"",""2025-26!O3"")"),28.0)</f>
        <v>28</v>
      </c>
      <c r="AD158" s="55">
        <f>IFERROR(__xludf.DUMMYFUNCTION("IMPORTRANGE(""1LrmcoKTCV8L3ma6OI-AJpPEckWu_kbK-gIz1jwwPTfM"",""2025-26!P4"")"),3095000.0)</f>
        <v>3095000</v>
      </c>
      <c r="AE158" s="55">
        <f>IFERROR(__xludf.DUMMYFUNCTION("IMPORTRANGE(""1LrmcoKTCV8L3ma6OI-AJpPEckWu_kbK-gIz1jwwPTfM"",""2025-26!P3"")"),59.0)</f>
        <v>59</v>
      </c>
      <c r="AF158" s="55">
        <f>IFERROR(__xludf.DUMMYFUNCTION("IMPORTRANGE(""1LrmcoKTCV8L3ma6OI-AJpPEckWu_kbK-gIz1jwwPTfM"",""2025-26!Q4"")"),943100.8199999998)</f>
        <v>943100.82</v>
      </c>
      <c r="AG158" s="55">
        <f>IFERROR(__xludf.DUMMYFUNCTION("IMPORTRANGE(""1LrmcoKTCV8L3ma6OI-AJpPEckWu_kbK-gIz1jwwPTfM"",""2025-26!Q3"")"),26.0)</f>
        <v>26</v>
      </c>
      <c r="AH158" s="58">
        <f t="shared" ref="AH158:AH225" si="58">IFERROR((AI158/AD158),"")</f>
        <v>0.2871886914</v>
      </c>
      <c r="AI158" s="55">
        <f>IFERROR(__xludf.DUMMYFUNCTION("IMPORTRANGE(""1LrmcoKTCV8L3ma6OI-AJpPEckWu_kbK-gIz1jwwPTfM"",""2025-26!R4"")"),888849.0)</f>
        <v>888849</v>
      </c>
      <c r="AJ158" s="55">
        <f>IFERROR(__xludf.DUMMYFUNCTION("IMPORTRANGE(""1LrmcoKTCV8L3ma6OI-AJpPEckWu_kbK-gIz1jwwPTfM"",""2025-26!R3"")"),23.0)</f>
        <v>23</v>
      </c>
      <c r="AK158" s="55">
        <f>IFERROR(__xludf.DUMMYFUNCTION("IMPORTRANGE(""1LrmcoKTCV8L3ma6OI-AJpPEckWu_kbK-gIz1jwwPTfM"",""2025-26!S4"")"),1300300.0)</f>
        <v>1300300</v>
      </c>
      <c r="AL158" s="55">
        <f>IFERROR(__xludf.DUMMYFUNCTION("IMPORTRANGE(""1LrmcoKTCV8L3ma6OI-AJpPEckWu_kbK-gIz1jwwPTfM"",""2025-26!S3"")"),63.0)</f>
        <v>63</v>
      </c>
      <c r="AM158" s="55">
        <f>IFERROR(__xludf.DUMMYFUNCTION("IMPORTRANGE(""1LrmcoKTCV8L3ma6OI-AJpPEckWu_kbK-gIz1jwwPTfM"",""2025-26!T4"")"),631174.6300000002)</f>
        <v>631174.63</v>
      </c>
      <c r="AN158" s="55">
        <f>IFERROR(__xludf.DUMMYFUNCTION("IMPORTRANGE(""1LrmcoKTCV8L3ma6OI-AJpPEckWu_kbK-gIz1jwwPTfM"",""2025-26!T3"")"),20.0)</f>
        <v>20</v>
      </c>
      <c r="AO158" s="58">
        <f t="shared" ref="AO158:AO225" si="59">IFERROR((AP158/AK158),"")</f>
        <v>0.3876805353</v>
      </c>
      <c r="AP158" s="55">
        <f>IFERROR(__xludf.DUMMYFUNCTION("IMPORTRANGE(""1LrmcoKTCV8L3ma6OI-AJpPEckWu_kbK-gIz1jwwPTfM"",""2025-26!U4"")"),504101.0)</f>
        <v>504101</v>
      </c>
      <c r="AQ158" s="55">
        <f>IFERROR(__xludf.DUMMYFUNCTION("IMPORTRANGE(""1LrmcoKTCV8L3ma6OI-AJpPEckWu_kbK-gIz1jwwPTfM"",""2025-26!U3"")"),13.0)</f>
        <v>13</v>
      </c>
      <c r="AR158" s="55">
        <f>IFERROR(__xludf.DUMMYFUNCTION("IMPORTRANGE(""1LrmcoKTCV8L3ma6OI-AJpPEckWu_kbK-gIz1jwwPTfM"",""2025-26!V4"")"),1301480.0)</f>
        <v>1301480</v>
      </c>
      <c r="AS158" s="55">
        <f>IFERROR(__xludf.DUMMYFUNCTION("IMPORTRANGE(""1LrmcoKTCV8L3ma6OI-AJpPEckWu_kbK-gIz1jwwPTfM"",""2025-26!V3"")"),63.0)</f>
        <v>63</v>
      </c>
      <c r="AT158" s="55">
        <f>IFERROR(__xludf.DUMMYFUNCTION("IMPORTRANGE(""1LrmcoKTCV8L3ma6OI-AJpPEckWu_kbK-gIz1jwwPTfM"",""2025-26!W4"")"),1056575.08)</f>
        <v>1056575.08</v>
      </c>
      <c r="AU158" s="55">
        <f>IFERROR(__xludf.DUMMYFUNCTION("IMPORTRANGE(""1LrmcoKTCV8L3ma6OI-AJpPEckWu_kbK-gIz1jwwPTfM"",""2025-26!W3"")"),27.0)</f>
        <v>27</v>
      </c>
      <c r="AV158" s="58">
        <f t="shared" ref="AV158:AV225" si="60">IFERROR((AW158/AR158),"")</f>
        <v>0.7043888496</v>
      </c>
      <c r="AW158" s="55">
        <f>IFERROR(__xludf.DUMMYFUNCTION("IMPORTRANGE(""1LrmcoKTCV8L3ma6OI-AJpPEckWu_kbK-gIz1jwwPTfM"",""2025-26!X4"")"),916748.0)</f>
        <v>916748</v>
      </c>
      <c r="AX158" s="55">
        <f>IFERROR(__xludf.DUMMYFUNCTION("IMPORTRANGE(""1LrmcoKTCV8L3ma6OI-AJpPEckWu_kbK-gIz1jwwPTfM"",""2025-26!X3"")"),24.0)</f>
        <v>24</v>
      </c>
      <c r="AY158" s="55">
        <f>IFERROR(__xludf.DUMMYFUNCTION("IMPORTRANGE(""1LrmcoKTCV8L3ma6OI-AJpPEckWu_kbK-gIz1jwwPTfM"",""2025-26!Y4"")"),1309480.0)</f>
        <v>1309480</v>
      </c>
      <c r="AZ158" s="55">
        <f>IFERROR(__xludf.DUMMYFUNCTION("IMPORTRANGE(""1LrmcoKTCV8L3ma6OI-AJpPEckWu_kbK-gIz1jwwPTfM"",""2025-26!Y3"")"),66.0)</f>
        <v>66</v>
      </c>
      <c r="BA158" s="55">
        <f>IFERROR(__xludf.DUMMYFUNCTION("IMPORTRANGE(""1LrmcoKTCV8L3ma6OI-AJpPEckWu_kbK-gIz1jwwPTfM"",""2025-26!Z4"")"),951826.34)</f>
        <v>951826.34</v>
      </c>
      <c r="BB158" s="55">
        <f>IFERROR(__xludf.DUMMYFUNCTION("IMPORTRANGE(""1LrmcoKTCV8L3ma6OI-AJpPEckWu_kbK-gIz1jwwPTfM"",""2025-26!Z3"")"),38.0)</f>
        <v>38</v>
      </c>
      <c r="BC158" s="59">
        <f t="shared" ref="BC158:BC225" si="61">IFERROR((BD158/AY158),"")</f>
        <v>0.5961221248</v>
      </c>
      <c r="BD158" s="55">
        <f>IFERROR(__xludf.DUMMYFUNCTION("IMPORTRANGE(""1LrmcoKTCV8L3ma6OI-AJpPEckWu_kbK-gIz1jwwPTfM"",""2025-26!AA4"")"),780610.0)</f>
        <v>780610</v>
      </c>
      <c r="BE158" s="55">
        <f>IFERROR(__xludf.DUMMYFUNCTION("IMPORTRANGE(""1LrmcoKTCV8L3ma6OI-AJpPEckWu_kbK-gIz1jwwPTfM"",""2025-26!AA3"")"),32.0)</f>
        <v>32</v>
      </c>
      <c r="BF158" s="55">
        <f>IFERROR(__xludf.DUMMYFUNCTION("IMPORTRANGE(""1LrmcoKTCV8L3ma6OI-AJpPEckWu_kbK-gIz1jwwPTfM"",""2025-26!AB4"")"),1295800.0)</f>
        <v>1295800</v>
      </c>
      <c r="BG158" s="55">
        <f>IFERROR(__xludf.DUMMYFUNCTION("IMPORTRANGE(""1LrmcoKTCV8L3ma6OI-AJpPEckWu_kbK-gIz1jwwPTfM"",""2025-26!AB3"")"),67.0)</f>
        <v>67</v>
      </c>
      <c r="BH158" s="55">
        <f>IFERROR(__xludf.DUMMYFUNCTION("IMPORTRANGE(""1LrmcoKTCV8L3ma6OI-AJpPEckWu_kbK-gIz1jwwPTfM"",""2025-26!AC4"")"),773132.42)</f>
        <v>773132.42</v>
      </c>
      <c r="BI158" s="55">
        <f>IFERROR(__xludf.DUMMYFUNCTION("IMPORTRANGE(""1LrmcoKTCV8L3ma6OI-AJpPEckWu_kbK-gIz1jwwPTfM"",""2025-26!AC3"")"),29.0)</f>
        <v>29</v>
      </c>
      <c r="BJ158" s="59">
        <f t="shared" ref="BJ158:BJ225" si="62">IFERROR((BK158/BF158),"")</f>
        <v>0.4238231209</v>
      </c>
      <c r="BK158" s="55">
        <f>IFERROR(__xludf.DUMMYFUNCTION("IMPORTRANGE(""1LrmcoKTCV8L3ma6OI-AJpPEckWu_kbK-gIz1jwwPTfM"",""2025-26!AD4"")"),549190.0)</f>
        <v>549190</v>
      </c>
      <c r="BL158" s="55">
        <f>IFERROR(__xludf.DUMMYFUNCTION("IMPORTRANGE(""1LrmcoKTCV8L3ma6OI-AJpPEckWu_kbK-gIz1jwwPTfM"",""2025-26!AD3"")"),20.0)</f>
        <v>20</v>
      </c>
      <c r="BM158" s="55">
        <f>IFERROR(__xludf.DUMMYFUNCTION("IMPORTRANGE(""1LrmcoKTCV8L3ma6OI-AJpPEckWu_kbK-gIz1jwwPTfM"",""2025-26!AE4"")"),1300500.0)</f>
        <v>1300500</v>
      </c>
      <c r="BN158" s="55">
        <f>IFERROR(__xludf.DUMMYFUNCTION("IMPORTRANGE(""1LrmcoKTCV8L3ma6OI-AJpPEckWu_kbK-gIz1jwwPTfM"",""2025-26!AE3"")"),67.0)</f>
        <v>67</v>
      </c>
      <c r="BO158" s="55">
        <f>IFERROR(__xludf.DUMMYFUNCTION("IMPORTRANGE(""1LrmcoKTCV8L3ma6OI-AJpPEckWu_kbK-gIz1jwwPTfM"",""2025-26!AF4"")"),467434.25)</f>
        <v>467434.25</v>
      </c>
      <c r="BP158" s="55">
        <f>IFERROR(__xludf.DUMMYFUNCTION("IMPORTRANGE(""1LrmcoKTCV8L3ma6OI-AJpPEckWu_kbK-gIz1jwwPTfM"",""2025-26!AF3"")"),13.0)</f>
        <v>13</v>
      </c>
      <c r="BQ158" s="59">
        <f t="shared" ref="BQ158:BQ225" si="63">IFERROR((BR158/BM158),"")</f>
        <v>0.3184467512</v>
      </c>
      <c r="BR158" s="55">
        <f>IFERROR(__xludf.DUMMYFUNCTION("IMPORTRANGE(""1LrmcoKTCV8L3ma6OI-AJpPEckWu_kbK-gIz1jwwPTfM"",""2025-26!AG4"")"),414140.0)</f>
        <v>414140</v>
      </c>
      <c r="BS158" s="55">
        <f>IFERROR(__xludf.DUMMYFUNCTION("IMPORTRANGE(""1LrmcoKTCV8L3ma6OI-AJpPEckWu_kbK-gIz1jwwPTfM"",""2025-26!AG3"")"),13.0)</f>
        <v>13</v>
      </c>
      <c r="BT158" s="55">
        <f>IFERROR(__xludf.DUMMYFUNCTION("IMPORTRANGE(""1LrmcoKTCV8L3ma6OI-AJpPEckWu_kbK-gIz1jwwPTfM"",""2025-26!AH4"")"),1300000.0)</f>
        <v>1300000</v>
      </c>
      <c r="BU158" s="55">
        <f>IFERROR(__xludf.DUMMYFUNCTION("IMPORTRANGE(""1LrmcoKTCV8L3ma6OI-AJpPEckWu_kbK-gIz1jwwPTfM"",""2025-26!AH3"")"),67.0)</f>
        <v>67</v>
      </c>
      <c r="BV158" s="55">
        <f>IFERROR(__xludf.DUMMYFUNCTION("IMPORTRANGE(""1LrmcoKTCV8L3ma6OI-AJpPEckWu_kbK-gIz1jwwPTfM"",""2025-26!AI4"")"),519951.11)</f>
        <v>519951.11</v>
      </c>
      <c r="BW158" s="55">
        <f>IFERROR(__xludf.DUMMYFUNCTION("IMPORTRANGE(""1LrmcoKTCV8L3ma6OI-AJpPEckWu_kbK-gIz1jwwPTfM"",""2025-26!AI3"")"),11.0)</f>
        <v>11</v>
      </c>
      <c r="BX158" s="59">
        <f t="shared" ref="BX158:BX225" si="64">IFERROR((BY158/BT158),"")</f>
        <v>0.3959253846</v>
      </c>
      <c r="BY158" s="55">
        <f>IFERROR(__xludf.DUMMYFUNCTION("IMPORTRANGE(""1LrmcoKTCV8L3ma6OI-AJpPEckWu_kbK-gIz1jwwPTfM"",""2025-26!AJ4"")"),514703.0)</f>
        <v>514703</v>
      </c>
      <c r="BZ158" s="55">
        <f>IFERROR(__xludf.DUMMYFUNCTION("IMPORTRANGE(""1LrmcoKTCV8L3ma6OI-AJpPEckWu_kbK-gIz1jwwPTfM"",""2025-26!AJ3"")"),11.0)</f>
        <v>11</v>
      </c>
      <c r="CA158" s="55">
        <f>IFERROR(__xludf.DUMMYFUNCTION("IMPORTRANGE(""1LrmcoKTCV8L3ma6OI-AJpPEckWu_kbK-gIz1jwwPTfM"",""2025-26!AK4"")"),1272300.0)</f>
        <v>1272300</v>
      </c>
      <c r="CB158" s="55">
        <f>IFERROR(__xludf.DUMMYFUNCTION("IMPORTRANGE(""1LrmcoKTCV8L3ma6OI-AJpPEckWu_kbK-gIz1jwwPTfM"",""2025-26!AK3"")"),67.0)</f>
        <v>67</v>
      </c>
      <c r="CC158" s="55">
        <f>IFERROR(__xludf.DUMMYFUNCTION("IMPORTRANGE(""1LrmcoKTCV8L3ma6OI-AJpPEckWu_kbK-gIz1jwwPTfM"",""2025-26!AL4"")"),213352.44999999998)</f>
        <v>213352.45</v>
      </c>
      <c r="CD158" s="55">
        <f>IFERROR(__xludf.DUMMYFUNCTION("IMPORTRANGE(""1LrmcoKTCV8L3ma6OI-AJpPEckWu_kbK-gIz1jwwPTfM"",""2025-26!AL3"")"),6.0)</f>
        <v>6</v>
      </c>
      <c r="CE158" s="59">
        <f t="shared" ref="CE158:CE225" si="65">IFERROR((CF158/CA158),"")</f>
        <v>0</v>
      </c>
      <c r="CF158" s="55">
        <f>IFERROR(__xludf.DUMMYFUNCTION("IMPORTRANGE(""1LrmcoKTCV8L3ma6OI-AJpPEckWu_kbK-gIz1jwwPTfM"",""2025-26!AM4"")"),0.0)</f>
        <v>0</v>
      </c>
      <c r="CG158" s="55">
        <f>IFERROR(__xludf.DUMMYFUNCTION("IMPORTRANGE(""1LrmcoKTCV8L3ma6OI-AJpPEckWu_kbK-gIz1jwwPTfM"",""2025-26!AM3"")"),0.0)</f>
        <v>0</v>
      </c>
      <c r="CH158" s="55">
        <f>IFERROR(__xludf.DUMMYFUNCTION("IMPORTRANGE(""1LrmcoKTCV8L3ma6OI-AJpPEckWu_kbK-gIz1jwwPTfM"",""2025-26!AN4"")"),0.0)</f>
        <v>0</v>
      </c>
      <c r="CI158" s="55">
        <f>IFERROR(__xludf.DUMMYFUNCTION("IMPORTRANGE(""1LrmcoKTCV8L3ma6OI-AJpPEckWu_kbK-gIz1jwwPTfM"",""2025-26!AN3"")"),0.0)</f>
        <v>0</v>
      </c>
      <c r="CJ158" s="55">
        <f>IFERROR(__xludf.DUMMYFUNCTION("IMPORTRANGE(""1LrmcoKTCV8L3ma6OI-AJpPEckWu_kbK-gIz1jwwPTfM"",""2025-26!AO4"")"),0.0)</f>
        <v>0</v>
      </c>
      <c r="CK158" s="55">
        <f>IFERROR(__xludf.DUMMYFUNCTION("IMPORTRANGE(""1LrmcoKTCV8L3ma6OI-AJpPEckWu_kbK-gIz1jwwPTfM"",""2025-26!AO3"")"),0.0)</f>
        <v>0</v>
      </c>
      <c r="CL158" s="59" t="str">
        <f t="shared" ref="CL158:CL225" si="66">IFERROR((CM158/CH158),"")</f>
        <v/>
      </c>
      <c r="CM158" s="55">
        <f>IFERROR(__xludf.DUMMYFUNCTION("IMPORTRANGE(""1LrmcoKTCV8L3ma6OI-AJpPEckWu_kbK-gIz1jwwPTfM"",""2025-26!AP4"")"),0.0)</f>
        <v>0</v>
      </c>
      <c r="CN158" s="55">
        <f>IFERROR(__xludf.DUMMYFUNCTION("IMPORTRANGE(""1LrmcoKTCV8L3ma6OI-AJpPEckWu_kbK-gIz1jwwPTfM"",""2025-26!AP3"")"),0.0)</f>
        <v>0</v>
      </c>
      <c r="CO158" s="55">
        <f>IFERROR(__xludf.DUMMYFUNCTION("IMPORTRANGE(""1LrmcoKTCV8L3ma6OI-AJpPEckWu_kbK-gIz1jwwPTfM"",""2025-26!AQ4"")"),0.0)</f>
        <v>0</v>
      </c>
      <c r="CP158" s="55">
        <f>IFERROR(__xludf.DUMMYFUNCTION("IMPORTRANGE(""1LrmcoKTCV8L3ma6OI-AJpPEckWu_kbK-gIz1jwwPTfM"",""2025-26!AQ3"")"),0.0)</f>
        <v>0</v>
      </c>
      <c r="CQ158" s="55">
        <f>IFERROR(__xludf.DUMMYFUNCTION("IMPORTRANGE(""1LrmcoKTCV8L3ma6OI-AJpPEckWu_kbK-gIz1jwwPTfM"",""2025-26!AR4"")"),0.0)</f>
        <v>0</v>
      </c>
      <c r="CR158" s="55">
        <f>IFERROR(__xludf.DUMMYFUNCTION("IMPORTRANGE(""1LrmcoKTCV8L3ma6OI-AJpPEckWu_kbK-gIz1jwwPTfM"",""2025-26!AR3"")"),0.0)</f>
        <v>0</v>
      </c>
      <c r="CS158" s="59" t="str">
        <f t="shared" ref="CS158:CS225" si="67">IFERROR((CT158/CO158),"")</f>
        <v/>
      </c>
      <c r="CT158" s="55">
        <f>IFERROR(__xludf.DUMMYFUNCTION("IMPORTRANGE(""1LrmcoKTCV8L3ma6OI-AJpPEckWu_kbK-gIz1jwwPTfM"",""2025-26!AS4"")"),0.0)</f>
        <v>0</v>
      </c>
      <c r="CU158" s="55">
        <f>IFERROR(__xludf.DUMMYFUNCTION("IMPORTRANGE(""1LrmcoKTCV8L3ma6OI-AJpPEckWu_kbK-gIz1jwwPTfM"",""2025-26!AS3"")"),0.0)</f>
        <v>0</v>
      </c>
      <c r="CV158" s="60" t="s">
        <v>30</v>
      </c>
    </row>
    <row r="159">
      <c r="A159" s="129" t="s">
        <v>23</v>
      </c>
      <c r="B159" s="129" t="s">
        <v>23</v>
      </c>
      <c r="C159" s="131" t="s">
        <v>336</v>
      </c>
      <c r="D159" s="65" t="s">
        <v>44</v>
      </c>
      <c r="E159" s="68">
        <v>9.458874114E9</v>
      </c>
      <c r="F159" s="66">
        <v>45722.0</v>
      </c>
      <c r="G159" s="62"/>
      <c r="H159" s="62"/>
      <c r="I159" s="53">
        <f>VLOOKUP($C159,Data!$C:$BV,72,0)</f>
        <v>27260</v>
      </c>
      <c r="J159" s="54">
        <v>1200000.0</v>
      </c>
      <c r="K159" s="55">
        <f>IFERROR(__xludf.DUMMYFUNCTION("IMPORTRANGE(""16h2fb5Ba4T_JehXOJvw2y92bfSG0-j9wjn4OKSOFK-Y"",""2025-26!A3"")"),82.0)</f>
        <v>82</v>
      </c>
      <c r="L159" s="55">
        <f>IFERROR(__xludf.DUMMYFUNCTION("IMPORTRANGE(""16h2fb5Ba4T_JehXOJvw2y92bfSG0-j9wjn4OKSOFK-Y"",""2025-26!G4"")"),1.405E7)</f>
        <v>14050000</v>
      </c>
      <c r="M159" s="55">
        <f t="shared" si="53"/>
        <v>3758218.66</v>
      </c>
      <c r="N159" s="56">
        <f t="shared" si="54"/>
        <v>0.2596582918</v>
      </c>
      <c r="O159" s="57">
        <f t="shared" si="55"/>
        <v>3648199</v>
      </c>
      <c r="P159" s="55">
        <f>IFERROR(__xludf.DUMMYFUNCTION("IMPORTRANGE(""16h2fb5Ba4T_JehXOJvw2y92bfSG0-j9wjn4OKSOFK-Y"",""2025-26!J4"")"),795000.0)</f>
        <v>795000</v>
      </c>
      <c r="Q159" s="55">
        <f>IFERROR(__xludf.DUMMYFUNCTION("IMPORTRANGE(""16h2fb5Ba4T_JehXOJvw2y92bfSG0-j9wjn4OKSOFK-Y"",""2025-26!J3"")"),16.0)</f>
        <v>16</v>
      </c>
      <c r="R159" s="55">
        <f>IFERROR(__xludf.DUMMYFUNCTION("IMPORTRANGE(""16h2fb5Ba4T_JehXOJvw2y92bfSG0-j9wjn4OKSOFK-Y"",""2025-26!K4"")"),597430.4400000001)</f>
        <v>597430.44</v>
      </c>
      <c r="S159" s="55">
        <f>IFERROR(__xludf.DUMMYFUNCTION("IMPORTRANGE(""16h2fb5Ba4T_JehXOJvw2y92bfSG0-j9wjn4OKSOFK-Y"",""2025-26!K3"")"),18.0)</f>
        <v>18</v>
      </c>
      <c r="T159" s="58">
        <f t="shared" si="56"/>
        <v>0.7514842767</v>
      </c>
      <c r="U159" s="55">
        <f>IFERROR(__xludf.DUMMYFUNCTION("IMPORTRANGE(""16h2fb5Ba4T_JehXOJvw2y92bfSG0-j9wjn4OKSOFK-Y"",""2025-26!L4"")"),597430.0)</f>
        <v>597430</v>
      </c>
      <c r="V159" s="55">
        <f>IFERROR(__xludf.DUMMYFUNCTION("IMPORTRANGE(""16h2fb5Ba4T_JehXOJvw2y92bfSG0-j9wjn4OKSOFK-Y"",""2025-26!L3"")"),18.0)</f>
        <v>18</v>
      </c>
      <c r="W159" s="55">
        <f>IFERROR(__xludf.DUMMYFUNCTION("IMPORTRANGE(""16h2fb5Ba4T_JehXOJvw2y92bfSG0-j9wjn4OKSOFK-Y"",""2025-26!m4"")"),820000.0)</f>
        <v>820000</v>
      </c>
      <c r="X159" s="55">
        <f>IFERROR(__xludf.DUMMYFUNCTION("IMPORTRANGE(""16h2fb5Ba4T_JehXOJvw2y92bfSG0-j9wjn4OKSOFK-Y"",""2025-26!m3"")"),21.0)</f>
        <v>21</v>
      </c>
      <c r="Y159" s="55">
        <f>IFERROR(__xludf.DUMMYFUNCTION("IMPORTRANGE(""16h2fb5Ba4T_JehXOJvw2y92bfSG0-j9wjn4OKSOFK-Y"",""2025-26!N4"")"),551091.0900000001)</f>
        <v>551091.09</v>
      </c>
      <c r="Z159" s="55">
        <f>IFERROR(__xludf.DUMMYFUNCTION("IMPORTRANGE(""16h2fb5Ba4T_JehXOJvw2y92bfSG0-j9wjn4OKSOFK-Y"",""2025-26!N3"")"),22.0)</f>
        <v>22</v>
      </c>
      <c r="AA159" s="58">
        <f t="shared" si="57"/>
        <v>0.7691743902</v>
      </c>
      <c r="AB159" s="55">
        <f>IFERROR(__xludf.DUMMYFUNCTION("IMPORTRANGE(""16h2fb5Ba4T_JehXOJvw2y92bfSG0-j9wjn4OKSOFK-Y"",""2025-26!O4"")"),630723.0)</f>
        <v>630723</v>
      </c>
      <c r="AC159" s="55">
        <f>IFERROR(__xludf.DUMMYFUNCTION("IMPORTRANGE(""16h2fb5Ba4T_JehXOJvw2y92bfSG0-j9wjn4OKSOFK-Y"",""2025-26!O3"")"),21.0)</f>
        <v>21</v>
      </c>
      <c r="AD159" s="55">
        <f>IFERROR(__xludf.DUMMYFUNCTION("IMPORTRANGE(""16h2fb5Ba4T_JehXOJvw2y92bfSG0-j9wjn4OKSOFK-Y"",""2025-26!P4"")"),1200000.0)</f>
        <v>1200000</v>
      </c>
      <c r="AE159" s="55">
        <f>IFERROR(__xludf.DUMMYFUNCTION("IMPORTRANGE(""16h2fb5Ba4T_JehXOJvw2y92bfSG0-j9wjn4OKSOFK-Y"",""2025-26!P3"")"),21.0)</f>
        <v>21</v>
      </c>
      <c r="AF159" s="55">
        <f>IFERROR(__xludf.DUMMYFUNCTION("IMPORTRANGE(""16h2fb5Ba4T_JehXOJvw2y92bfSG0-j9wjn4OKSOFK-Y"",""2025-26!Q4"")"),667480.0700000001)</f>
        <v>667480.07</v>
      </c>
      <c r="AG159" s="55">
        <f>IFERROR(__xludf.DUMMYFUNCTION("IMPORTRANGE(""16h2fb5Ba4T_JehXOJvw2y92bfSG0-j9wjn4OKSOFK-Y"",""2025-26!Q3"")"),20.0)</f>
        <v>20</v>
      </c>
      <c r="AH159" s="58">
        <f t="shared" si="58"/>
        <v>0.5328625</v>
      </c>
      <c r="AI159" s="55">
        <f>IFERROR(__xludf.DUMMYFUNCTION("IMPORTRANGE(""16h2fb5Ba4T_JehXOJvw2y92bfSG0-j9wjn4OKSOFK-Y"",""2025-26!R4"")"),639435.0)</f>
        <v>639435</v>
      </c>
      <c r="AJ159" s="55">
        <f>IFERROR(__xludf.DUMMYFUNCTION("IMPORTRANGE(""16h2fb5Ba4T_JehXOJvw2y92bfSG0-j9wjn4OKSOFK-Y"",""2025-26!R3"")"),17.0)</f>
        <v>17</v>
      </c>
      <c r="AK159" s="55">
        <f>IFERROR(__xludf.DUMMYFUNCTION("IMPORTRANGE(""16h2fb5Ba4T_JehXOJvw2y92bfSG0-j9wjn4OKSOFK-Y"",""2025-26!S4"")"),970000.0)</f>
        <v>970000</v>
      </c>
      <c r="AL159" s="55">
        <f>IFERROR(__xludf.DUMMYFUNCTION("IMPORTRANGE(""16h2fb5Ba4T_JehXOJvw2y92bfSG0-j9wjn4OKSOFK-Y"",""2025-26!S3"")"),27.0)</f>
        <v>27</v>
      </c>
      <c r="AM159" s="55">
        <f>IFERROR(__xludf.DUMMYFUNCTION("IMPORTRANGE(""16h2fb5Ba4T_JehXOJvw2y92bfSG0-j9wjn4OKSOFK-Y"",""2025-26!T4"")"),627120.83)</f>
        <v>627120.83</v>
      </c>
      <c r="AN159" s="55">
        <f>IFERROR(__xludf.DUMMYFUNCTION("IMPORTRANGE(""16h2fb5Ba4T_JehXOJvw2y92bfSG0-j9wjn4OKSOFK-Y"",""2025-26!T3"")"),17.0)</f>
        <v>17</v>
      </c>
      <c r="AO159" s="58">
        <f t="shared" si="59"/>
        <v>0.6166876289</v>
      </c>
      <c r="AP159" s="55">
        <f>IFERROR(__xludf.DUMMYFUNCTION("IMPORTRANGE(""16h2fb5Ba4T_JehXOJvw2y92bfSG0-j9wjn4OKSOFK-Y"",""2025-26!U4"")"),598187.0)</f>
        <v>598187</v>
      </c>
      <c r="AQ159" s="55">
        <f>IFERROR(__xludf.DUMMYFUNCTION("IMPORTRANGE(""16h2fb5Ba4T_JehXOJvw2y92bfSG0-j9wjn4OKSOFK-Y"",""2025-26!U3"")"),16.0)</f>
        <v>16</v>
      </c>
      <c r="AR159" s="55">
        <f>IFERROR(__xludf.DUMMYFUNCTION("IMPORTRANGE(""16h2fb5Ba4T_JehXOJvw2y92bfSG0-j9wjn4OKSOFK-Y"",""2025-26!V4"")"),1180000.0)</f>
        <v>1180000</v>
      </c>
      <c r="AS159" s="55">
        <f>IFERROR(__xludf.DUMMYFUNCTION("IMPORTRANGE(""16h2fb5Ba4T_JehXOJvw2y92bfSG0-j9wjn4OKSOFK-Y"",""2025-26!V3"")"),39.0)</f>
        <v>39</v>
      </c>
      <c r="AT159" s="55">
        <f>IFERROR(__xludf.DUMMYFUNCTION("IMPORTRANGE(""16h2fb5Ba4T_JehXOJvw2y92bfSG0-j9wjn4OKSOFK-Y"",""2025-26!W4"")"),491963.98000000004)</f>
        <v>491963.98</v>
      </c>
      <c r="AU159" s="55">
        <f>IFERROR(__xludf.DUMMYFUNCTION("IMPORTRANGE(""16h2fb5Ba4T_JehXOJvw2y92bfSG0-j9wjn4OKSOFK-Y"",""2025-26!W3"")"),19.0)</f>
        <v>19</v>
      </c>
      <c r="AV159" s="58">
        <f t="shared" si="60"/>
        <v>0.4126449153</v>
      </c>
      <c r="AW159" s="55">
        <f>IFERROR(__xludf.DUMMYFUNCTION("IMPORTRANGE(""16h2fb5Ba4T_JehXOJvw2y92bfSG0-j9wjn4OKSOFK-Y"",""2025-26!X4"")"),486921.0)</f>
        <v>486921</v>
      </c>
      <c r="AX159" s="55">
        <f>IFERROR(__xludf.DUMMYFUNCTION("IMPORTRANGE(""16h2fb5Ba4T_JehXOJvw2y92bfSG0-j9wjn4OKSOFK-Y"",""2025-26!X3"")"),19.0)</f>
        <v>19</v>
      </c>
      <c r="AY159" s="55">
        <f>IFERROR(__xludf.DUMMYFUNCTION("IMPORTRANGE(""16h2fb5Ba4T_JehXOJvw2y92bfSG0-j9wjn4OKSOFK-Y"",""2025-26!Y4"")"),1185000.0)</f>
        <v>1185000</v>
      </c>
      <c r="AZ159" s="55">
        <f>IFERROR(__xludf.DUMMYFUNCTION("IMPORTRANGE(""16h2fb5Ba4T_JehXOJvw2y92bfSG0-j9wjn4OKSOFK-Y"",""2025-26!Y3"")"),31.0)</f>
        <v>31</v>
      </c>
      <c r="BA159" s="55">
        <f>IFERROR(__xludf.DUMMYFUNCTION("IMPORTRANGE(""16h2fb5Ba4T_JehXOJvw2y92bfSG0-j9wjn4OKSOFK-Y"",""2025-26!Z4"")"),715629.3599999998)</f>
        <v>715629.36</v>
      </c>
      <c r="BB159" s="55">
        <f>IFERROR(__xludf.DUMMYFUNCTION("IMPORTRANGE(""16h2fb5Ba4T_JehXOJvw2y92bfSG0-j9wjn4OKSOFK-Y"",""2025-26!Z3"")"),32.0)</f>
        <v>32</v>
      </c>
      <c r="BC159" s="59">
        <f t="shared" si="61"/>
        <v>0.5869223629</v>
      </c>
      <c r="BD159" s="55">
        <f>IFERROR(__xludf.DUMMYFUNCTION("IMPORTRANGE(""16h2fb5Ba4T_JehXOJvw2y92bfSG0-j9wjn4OKSOFK-Y"",""2025-26!AA4"")"),695503.0)</f>
        <v>695503</v>
      </c>
      <c r="BE159" s="55">
        <f>IFERROR(__xludf.DUMMYFUNCTION("IMPORTRANGE(""16h2fb5Ba4T_JehXOJvw2y92bfSG0-j9wjn4OKSOFK-Y"",""2025-26!AA3"")"),31.0)</f>
        <v>31</v>
      </c>
      <c r="BF159" s="55">
        <f>IFERROR(__xludf.DUMMYFUNCTION("IMPORTRANGE(""16h2fb5Ba4T_JehXOJvw2y92bfSG0-j9wjn4OKSOFK-Y"",""2025-26!AB4"")"),1225000.0)</f>
        <v>1225000</v>
      </c>
      <c r="BG159" s="55">
        <f>IFERROR(__xludf.DUMMYFUNCTION("IMPORTRANGE(""16h2fb5Ba4T_JehXOJvw2y92bfSG0-j9wjn4OKSOFK-Y"",""2025-26!AB3"")"),37.0)</f>
        <v>37</v>
      </c>
      <c r="BH159" s="55">
        <f>IFERROR(__xludf.DUMMYFUNCTION("IMPORTRANGE(""16h2fb5Ba4T_JehXOJvw2y92bfSG0-j9wjn4OKSOFK-Y"",""2025-26!AC4"")"),107502.89)</f>
        <v>107502.89</v>
      </c>
      <c r="BI159" s="55">
        <f>IFERROR(__xludf.DUMMYFUNCTION("IMPORTRANGE(""16h2fb5Ba4T_JehXOJvw2y92bfSG0-j9wjn4OKSOFK-Y"",""2025-26!AC3"")"),10.0)</f>
        <v>10</v>
      </c>
      <c r="BJ159" s="59">
        <f t="shared" si="62"/>
        <v>0</v>
      </c>
      <c r="BK159" s="55">
        <f>IFERROR(__xludf.DUMMYFUNCTION("IMPORTRANGE(""16h2fb5Ba4T_JehXOJvw2y92bfSG0-j9wjn4OKSOFK-Y"",""2025-26!AD4"")"),0.0)</f>
        <v>0</v>
      </c>
      <c r="BL159" s="55">
        <f>IFERROR(__xludf.DUMMYFUNCTION("IMPORTRANGE(""16h2fb5Ba4T_JehXOJvw2y92bfSG0-j9wjn4OKSOFK-Y"",""2025-26!AD3"")"),0.0)</f>
        <v>0</v>
      </c>
      <c r="BM159" s="55">
        <f>IFERROR(__xludf.DUMMYFUNCTION("IMPORTRANGE(""16h2fb5Ba4T_JehXOJvw2y92bfSG0-j9wjn4OKSOFK-Y"",""2025-26!AE4"")"),0.0)</f>
        <v>0</v>
      </c>
      <c r="BN159" s="55">
        <f>IFERROR(__xludf.DUMMYFUNCTION("IMPORTRANGE(""16h2fb5Ba4T_JehXOJvw2y92bfSG0-j9wjn4OKSOFK-Y"",""2025-26!AE3"")"),0.0)</f>
        <v>0</v>
      </c>
      <c r="BO159" s="55">
        <f>IFERROR(__xludf.DUMMYFUNCTION("IMPORTRANGE(""16h2fb5Ba4T_JehXOJvw2y92bfSG0-j9wjn4OKSOFK-Y"",""2025-26!AF4"")"),0.0)</f>
        <v>0</v>
      </c>
      <c r="BP159" s="55">
        <f>IFERROR(__xludf.DUMMYFUNCTION("IMPORTRANGE(""16h2fb5Ba4T_JehXOJvw2y92bfSG0-j9wjn4OKSOFK-Y"",""2025-26!AF3"")"),0.0)</f>
        <v>0</v>
      </c>
      <c r="BQ159" s="59" t="str">
        <f t="shared" si="63"/>
        <v/>
      </c>
      <c r="BR159" s="55">
        <f>IFERROR(__xludf.DUMMYFUNCTION("IMPORTRANGE(""16h2fb5Ba4T_JehXOJvw2y92bfSG0-j9wjn4OKSOFK-Y"",""2025-26!AG4"")"),0.0)</f>
        <v>0</v>
      </c>
      <c r="BS159" s="55">
        <f>IFERROR(__xludf.DUMMYFUNCTION("IMPORTRANGE(""16h2fb5Ba4T_JehXOJvw2y92bfSG0-j9wjn4OKSOFK-Y"",""2025-26!AG3"")"),0.0)</f>
        <v>0</v>
      </c>
      <c r="BT159" s="55">
        <f>IFERROR(__xludf.DUMMYFUNCTION("IMPORTRANGE(""16h2fb5Ba4T_JehXOJvw2y92bfSG0-j9wjn4OKSOFK-Y"",""2025-26!AH4"")"),0.0)</f>
        <v>0</v>
      </c>
      <c r="BU159" s="55">
        <f>IFERROR(__xludf.DUMMYFUNCTION("IMPORTRANGE(""16h2fb5Ba4T_JehXOJvw2y92bfSG0-j9wjn4OKSOFK-Y"",""2025-26!AH3"")"),0.0)</f>
        <v>0</v>
      </c>
      <c r="BV159" s="55">
        <f>IFERROR(__xludf.DUMMYFUNCTION("IMPORTRANGE(""16h2fb5Ba4T_JehXOJvw2y92bfSG0-j9wjn4OKSOFK-Y"",""2025-26!AI4"")"),0.0)</f>
        <v>0</v>
      </c>
      <c r="BW159" s="55">
        <f>IFERROR(__xludf.DUMMYFUNCTION("IMPORTRANGE(""16h2fb5Ba4T_JehXOJvw2y92bfSG0-j9wjn4OKSOFK-Y"",""2025-26!AI3"")"),0.0)</f>
        <v>0</v>
      </c>
      <c r="BX159" s="59" t="str">
        <f t="shared" si="64"/>
        <v/>
      </c>
      <c r="BY159" s="55">
        <f>IFERROR(__xludf.DUMMYFUNCTION("IMPORTRANGE(""16h2fb5Ba4T_JehXOJvw2y92bfSG0-j9wjn4OKSOFK-Y"",""2025-26!AJ4"")"),0.0)</f>
        <v>0</v>
      </c>
      <c r="BZ159" s="55">
        <f>IFERROR(__xludf.DUMMYFUNCTION("IMPORTRANGE(""16h2fb5Ba4T_JehXOJvw2y92bfSG0-j9wjn4OKSOFK-Y"",""2025-26!AJ3"")"),0.0)</f>
        <v>0</v>
      </c>
      <c r="CA159" s="55">
        <f>IFERROR(__xludf.DUMMYFUNCTION("IMPORTRANGE(""16h2fb5Ba4T_JehXOJvw2y92bfSG0-j9wjn4OKSOFK-Y"",""2025-26!AK4"")"),0.0)</f>
        <v>0</v>
      </c>
      <c r="CB159" s="55">
        <f>IFERROR(__xludf.DUMMYFUNCTION("IMPORTRANGE(""16h2fb5Ba4T_JehXOJvw2y92bfSG0-j9wjn4OKSOFK-Y"",""2025-26!AK3"")"),0.0)</f>
        <v>0</v>
      </c>
      <c r="CC159" s="55">
        <f>IFERROR(__xludf.DUMMYFUNCTION("IMPORTRANGE(""16h2fb5Ba4T_JehXOJvw2y92bfSG0-j9wjn4OKSOFK-Y"",""2025-26!AL4"")"),0.0)</f>
        <v>0</v>
      </c>
      <c r="CD159" s="55">
        <f>IFERROR(__xludf.DUMMYFUNCTION("IMPORTRANGE(""16h2fb5Ba4T_JehXOJvw2y92bfSG0-j9wjn4OKSOFK-Y"",""2025-26!AL3"")"),0.0)</f>
        <v>0</v>
      </c>
      <c r="CE159" s="59" t="str">
        <f t="shared" si="65"/>
        <v/>
      </c>
      <c r="CF159" s="55">
        <f>IFERROR(__xludf.DUMMYFUNCTION("IMPORTRANGE(""16h2fb5Ba4T_JehXOJvw2y92bfSG0-j9wjn4OKSOFK-Y"",""2025-26!AM4"")"),0.0)</f>
        <v>0</v>
      </c>
      <c r="CG159" s="55">
        <f>IFERROR(__xludf.DUMMYFUNCTION("IMPORTRANGE(""16h2fb5Ba4T_JehXOJvw2y92bfSG0-j9wjn4OKSOFK-Y"",""2025-26!AM3"")"),0.0)</f>
        <v>0</v>
      </c>
      <c r="CH159" s="55">
        <f>IFERROR(__xludf.DUMMYFUNCTION("IMPORTRANGE(""16h2fb5Ba4T_JehXOJvw2y92bfSG0-j9wjn4OKSOFK-Y"",""2025-26!AN4"")"),0.0)</f>
        <v>0</v>
      </c>
      <c r="CI159" s="55">
        <f>IFERROR(__xludf.DUMMYFUNCTION("IMPORTRANGE(""16h2fb5Ba4T_JehXOJvw2y92bfSG0-j9wjn4OKSOFK-Y"",""2025-26!AN3"")"),0.0)</f>
        <v>0</v>
      </c>
      <c r="CJ159" s="55">
        <f>IFERROR(__xludf.DUMMYFUNCTION("IMPORTRANGE(""16h2fb5Ba4T_JehXOJvw2y92bfSG0-j9wjn4OKSOFK-Y"",""2025-26!AO4"")"),0.0)</f>
        <v>0</v>
      </c>
      <c r="CK159" s="55">
        <f>IFERROR(__xludf.DUMMYFUNCTION("IMPORTRANGE(""16h2fb5Ba4T_JehXOJvw2y92bfSG0-j9wjn4OKSOFK-Y"",""2025-26!AO3"")"),0.0)</f>
        <v>0</v>
      </c>
      <c r="CL159" s="59" t="str">
        <f t="shared" si="66"/>
        <v/>
      </c>
      <c r="CM159" s="55">
        <f>IFERROR(__xludf.DUMMYFUNCTION("IMPORTRANGE(""16h2fb5Ba4T_JehXOJvw2y92bfSG0-j9wjn4OKSOFK-Y"",""2025-26!AP4"")"),0.0)</f>
        <v>0</v>
      </c>
      <c r="CN159" s="55">
        <f>IFERROR(__xludf.DUMMYFUNCTION("IMPORTRANGE(""16h2fb5Ba4T_JehXOJvw2y92bfSG0-j9wjn4OKSOFK-Y"",""2025-26!AP3"")"),0.0)</f>
        <v>0</v>
      </c>
      <c r="CO159" s="55">
        <f>IFERROR(__xludf.DUMMYFUNCTION("IMPORTRANGE(""16h2fb5Ba4T_JehXOJvw2y92bfSG0-j9wjn4OKSOFK-Y"",""2025-26!AQ4"")"),0.0)</f>
        <v>0</v>
      </c>
      <c r="CP159" s="55">
        <f>IFERROR(__xludf.DUMMYFUNCTION("IMPORTRANGE(""16h2fb5Ba4T_JehXOJvw2y92bfSG0-j9wjn4OKSOFK-Y"",""2025-26!AQ3"")"),0.0)</f>
        <v>0</v>
      </c>
      <c r="CQ159" s="55">
        <f>IFERROR(__xludf.DUMMYFUNCTION("IMPORTRANGE(""16h2fb5Ba4T_JehXOJvw2y92bfSG0-j9wjn4OKSOFK-Y"",""2025-26!AR4"")"),0.0)</f>
        <v>0</v>
      </c>
      <c r="CR159" s="55">
        <f>IFERROR(__xludf.DUMMYFUNCTION("IMPORTRANGE(""16h2fb5Ba4T_JehXOJvw2y92bfSG0-j9wjn4OKSOFK-Y"",""2025-26!AR3"")"),0.0)</f>
        <v>0</v>
      </c>
      <c r="CS159" s="59" t="str">
        <f t="shared" si="67"/>
        <v/>
      </c>
      <c r="CT159" s="55">
        <f>IFERROR(__xludf.DUMMYFUNCTION("IMPORTRANGE(""16h2fb5Ba4T_JehXOJvw2y92bfSG0-j9wjn4OKSOFK-Y"",""2025-26!AS4"")"),0.0)</f>
        <v>0</v>
      </c>
      <c r="CU159" s="55">
        <f>IFERROR(__xludf.DUMMYFUNCTION("IMPORTRANGE(""16h2fb5Ba4T_JehXOJvw2y92bfSG0-j9wjn4OKSOFK-Y"",""2025-26!AS3"")"),0.0)</f>
        <v>0</v>
      </c>
      <c r="CV159" s="60" t="s">
        <v>30</v>
      </c>
    </row>
    <row r="160">
      <c r="A160" s="129" t="s">
        <v>23</v>
      </c>
      <c r="B160" s="129" t="s">
        <v>23</v>
      </c>
      <c r="C160" s="130" t="s">
        <v>337</v>
      </c>
      <c r="D160" s="65" t="s">
        <v>338</v>
      </c>
      <c r="E160" s="68">
        <v>8.750860557E9</v>
      </c>
      <c r="F160" s="66">
        <v>45831.0</v>
      </c>
      <c r="G160" s="62"/>
      <c r="H160" s="62"/>
      <c r="I160" s="53">
        <f>VLOOKUP($C160,Data!$C:$BV,72,0)</f>
        <v>24116</v>
      </c>
      <c r="J160" s="54">
        <v>1000000.0</v>
      </c>
      <c r="K160" s="55">
        <f>IFERROR(__xludf.DUMMYFUNCTION("IMPORTRANGE(""1WyA5y91MAdOf-UYazaFWPigXw7bMDxTg4tFg3GFWjT4"",""2025-26!A3"")"),16.0)</f>
        <v>16</v>
      </c>
      <c r="L160" s="55">
        <f>IFERROR(__xludf.DUMMYFUNCTION("IMPORTRANGE(""1WyA5y91MAdOf-UYazaFWPigXw7bMDxTg4tFg3GFWjT4"",""2025-26!G4"")"),1555000.0)</f>
        <v>1555000</v>
      </c>
      <c r="M160" s="55">
        <f t="shared" si="53"/>
        <v>306861.16</v>
      </c>
      <c r="N160" s="56">
        <f t="shared" si="54"/>
        <v>0.083385209</v>
      </c>
      <c r="O160" s="57">
        <f t="shared" si="55"/>
        <v>129664</v>
      </c>
      <c r="P160" s="55">
        <f>IFERROR(__xludf.DUMMYFUNCTION("IMPORTRANGE(""1WyA5y91MAdOf-UYazaFWPigXw7bMDxTg4tFg3GFWjT4"",""2025-26!J4"")"),0.0)</f>
        <v>0</v>
      </c>
      <c r="Q160" s="55">
        <f>IFERROR(__xludf.DUMMYFUNCTION("IMPORTRANGE(""1WyA5y91MAdOf-UYazaFWPigXw7bMDxTg4tFg3GFWjT4"",""2025-26!J3"")"),0.0)</f>
        <v>0</v>
      </c>
      <c r="R160" s="55">
        <f>IFERROR(__xludf.DUMMYFUNCTION("IMPORTRANGE(""1WyA5y91MAdOf-UYazaFWPigXw7bMDxTg4tFg3GFWjT4"",""2025-26!K4"")"),0.0)</f>
        <v>0</v>
      </c>
      <c r="S160" s="55">
        <f>IFERROR(__xludf.DUMMYFUNCTION("IMPORTRANGE(""1WyA5y91MAdOf-UYazaFWPigXw7bMDxTg4tFg3GFWjT4"",""2025-26!K3"")"),0.0)</f>
        <v>0</v>
      </c>
      <c r="T160" s="58" t="str">
        <f t="shared" si="56"/>
        <v/>
      </c>
      <c r="U160" s="55">
        <f>IFERROR(__xludf.DUMMYFUNCTION("IMPORTRANGE(""1WyA5y91MAdOf-UYazaFWPigXw7bMDxTg4tFg3GFWjT4"",""2025-26!L4"")"),0.0)</f>
        <v>0</v>
      </c>
      <c r="V160" s="55">
        <f>IFERROR(__xludf.DUMMYFUNCTION("IMPORTRANGE(""1WyA5y91MAdOf-UYazaFWPigXw7bMDxTg4tFg3GFWjT4"",""2025-26!L3"")"),0.0)</f>
        <v>0</v>
      </c>
      <c r="W160" s="55">
        <f>IFERROR(__xludf.DUMMYFUNCTION("IMPORTRANGE(""1WyA5y91MAdOf-UYazaFWPigXw7bMDxTg4tFg3GFWjT4"",""2025-26!m4"")"),0.0)</f>
        <v>0</v>
      </c>
      <c r="X160" s="55">
        <f>IFERROR(__xludf.DUMMYFUNCTION("IMPORTRANGE(""1WyA5y91MAdOf-UYazaFWPigXw7bMDxTg4tFg3GFWjT4"",""2025-26!m3"")"),0.0)</f>
        <v>0</v>
      </c>
      <c r="Y160" s="55">
        <f>IFERROR(__xludf.DUMMYFUNCTION("IMPORTRANGE(""1WyA5y91MAdOf-UYazaFWPigXw7bMDxTg4tFg3GFWjT4"",""2025-26!N4"")"),0.0)</f>
        <v>0</v>
      </c>
      <c r="Z160" s="55">
        <f>IFERROR(__xludf.DUMMYFUNCTION("IMPORTRANGE(""1WyA5y91MAdOf-UYazaFWPigXw7bMDxTg4tFg3GFWjT4"",""2025-26!N3"")"),0.0)</f>
        <v>0</v>
      </c>
      <c r="AA160" s="58" t="str">
        <f t="shared" si="57"/>
        <v/>
      </c>
      <c r="AB160" s="55">
        <f>IFERROR(__xludf.DUMMYFUNCTION("IMPORTRANGE(""1WyA5y91MAdOf-UYazaFWPigXw7bMDxTg4tFg3GFWjT4"",""2025-26!O4"")"),0.0)</f>
        <v>0</v>
      </c>
      <c r="AC160" s="55">
        <f>IFERROR(__xludf.DUMMYFUNCTION("IMPORTRANGE(""1WyA5y91MAdOf-UYazaFWPigXw7bMDxTg4tFg3GFWjT4"",""2025-26!O3"")"),0.0)</f>
        <v>0</v>
      </c>
      <c r="AD160" s="55">
        <f>IFERROR(__xludf.DUMMYFUNCTION("IMPORTRANGE(""1WyA5y91MAdOf-UYazaFWPigXw7bMDxTg4tFg3GFWjT4"",""2025-26!P4"")"),0.0)</f>
        <v>0</v>
      </c>
      <c r="AE160" s="55">
        <f>IFERROR(__xludf.DUMMYFUNCTION("IMPORTRANGE(""1WyA5y91MAdOf-UYazaFWPigXw7bMDxTg4tFg3GFWjT4"",""2025-26!P3"")"),0.0)</f>
        <v>0</v>
      </c>
      <c r="AF160" s="55">
        <f>IFERROR(__xludf.DUMMYFUNCTION("IMPORTRANGE(""1WyA5y91MAdOf-UYazaFWPigXw7bMDxTg4tFg3GFWjT4"",""2025-26!Q4"")"),0.0)</f>
        <v>0</v>
      </c>
      <c r="AG160" s="55">
        <f>IFERROR(__xludf.DUMMYFUNCTION("IMPORTRANGE(""1WyA5y91MAdOf-UYazaFWPigXw7bMDxTg4tFg3GFWjT4"",""2025-26!Q3"")"),0.0)</f>
        <v>0</v>
      </c>
      <c r="AH160" s="58" t="str">
        <f t="shared" si="58"/>
        <v/>
      </c>
      <c r="AI160" s="55">
        <f>IFERROR(__xludf.DUMMYFUNCTION("IMPORTRANGE(""1WyA5y91MAdOf-UYazaFWPigXw7bMDxTg4tFg3GFWjT4"",""2025-26!R4"")"),0.0)</f>
        <v>0</v>
      </c>
      <c r="AJ160" s="55">
        <f>IFERROR(__xludf.DUMMYFUNCTION("IMPORTRANGE(""1WyA5y91MAdOf-UYazaFWPigXw7bMDxTg4tFg3GFWjT4"",""2025-26!R3"")"),0.0)</f>
        <v>0</v>
      </c>
      <c r="AK160" s="55">
        <f>IFERROR(__xludf.DUMMYFUNCTION("IMPORTRANGE(""1WyA5y91MAdOf-UYazaFWPigXw7bMDxTg4tFg3GFWjT4"",""2025-26!S4"")"),132000.0)</f>
        <v>132000</v>
      </c>
      <c r="AL160" s="55">
        <f>IFERROR(__xludf.DUMMYFUNCTION("IMPORTRANGE(""1WyA5y91MAdOf-UYazaFWPigXw7bMDxTg4tFg3GFWjT4"",""2025-26!S3"")"),13.0)</f>
        <v>13</v>
      </c>
      <c r="AM160" s="55">
        <f>IFERROR(__xludf.DUMMYFUNCTION("IMPORTRANGE(""1WyA5y91MAdOf-UYazaFWPigXw7bMDxTg4tFg3GFWjT4"",""2025-26!T4"")"),121068.9)</f>
        <v>121068.9</v>
      </c>
      <c r="AN160" s="55">
        <f>IFERROR(__xludf.DUMMYFUNCTION("IMPORTRANGE(""1WyA5y91MAdOf-UYazaFWPigXw7bMDxTg4tFg3GFWjT4"",""2025-26!T3"")"),7.0)</f>
        <v>7</v>
      </c>
      <c r="AO160" s="58">
        <f t="shared" si="59"/>
        <v>0</v>
      </c>
      <c r="AP160" s="55">
        <f>IFERROR(__xludf.DUMMYFUNCTION("IMPORTRANGE(""1WyA5y91MAdOf-UYazaFWPigXw7bMDxTg4tFg3GFWjT4"",""2025-26!U4"")"),0.0)</f>
        <v>0</v>
      </c>
      <c r="AQ160" s="55">
        <f>IFERROR(__xludf.DUMMYFUNCTION("IMPORTRANGE(""1WyA5y91MAdOf-UYazaFWPigXw7bMDxTg4tFg3GFWjT4"",""2025-26!U3"")"),0.0)</f>
        <v>0</v>
      </c>
      <c r="AR160" s="55">
        <f>IFERROR(__xludf.DUMMYFUNCTION("IMPORTRANGE(""1WyA5y91MAdOf-UYazaFWPigXw7bMDxTg4tFg3GFWjT4"",""2025-26!V4"")"),217000.0)</f>
        <v>217000</v>
      </c>
      <c r="AS160" s="55">
        <f>IFERROR(__xludf.DUMMYFUNCTION("IMPORTRANGE(""1WyA5y91MAdOf-UYazaFWPigXw7bMDxTg4tFg3GFWjT4"",""2025-26!V3"")"),13.0)</f>
        <v>13</v>
      </c>
      <c r="AT160" s="55">
        <f>IFERROR(__xludf.DUMMYFUNCTION("IMPORTRANGE(""1WyA5y91MAdOf-UYazaFWPigXw7bMDxTg4tFg3GFWjT4"",""2025-26!W4"")"),37626.6)</f>
        <v>37626.6</v>
      </c>
      <c r="AU160" s="55">
        <f>IFERROR(__xludf.DUMMYFUNCTION("IMPORTRANGE(""1WyA5y91MAdOf-UYazaFWPigXw7bMDxTg4tFg3GFWjT4"",""2025-26!W3"")"),5.0)</f>
        <v>5</v>
      </c>
      <c r="AV160" s="58">
        <f t="shared" si="60"/>
        <v>0.5975299539</v>
      </c>
      <c r="AW160" s="55">
        <f>IFERROR(__xludf.DUMMYFUNCTION("IMPORTRANGE(""1WyA5y91MAdOf-UYazaFWPigXw7bMDxTg4tFg3GFWjT4"",""2025-26!X4"")"),129664.0)</f>
        <v>129664</v>
      </c>
      <c r="AX160" s="55">
        <f>IFERROR(__xludf.DUMMYFUNCTION("IMPORTRANGE(""1WyA5y91MAdOf-UYazaFWPigXw7bMDxTg4tFg3GFWjT4"",""2025-26!X3"")"),7.0)</f>
        <v>7</v>
      </c>
      <c r="AY160" s="55">
        <f>IFERROR(__xludf.DUMMYFUNCTION("IMPORTRANGE(""1WyA5y91MAdOf-UYazaFWPigXw7bMDxTg4tFg3GFWjT4"",""2025-26!Y4"")"),217000.0)</f>
        <v>217000</v>
      </c>
      <c r="AZ160" s="55">
        <f>IFERROR(__xludf.DUMMYFUNCTION("IMPORTRANGE(""1WyA5y91MAdOf-UYazaFWPigXw7bMDxTg4tFg3GFWjT4"",""2025-26!Y3"")"),13.0)</f>
        <v>13</v>
      </c>
      <c r="BA160" s="55">
        <f>IFERROR(__xludf.DUMMYFUNCTION("IMPORTRANGE(""1WyA5y91MAdOf-UYazaFWPigXw7bMDxTg4tFg3GFWjT4"",""2025-26!Z4"")"),148165.66)</f>
        <v>148165.66</v>
      </c>
      <c r="BB160" s="55">
        <f>IFERROR(__xludf.DUMMYFUNCTION("IMPORTRANGE(""1WyA5y91MAdOf-UYazaFWPigXw7bMDxTg4tFg3GFWjT4"",""2025-26!Z3"")"),5.0)</f>
        <v>5</v>
      </c>
      <c r="BC160" s="59">
        <f t="shared" si="61"/>
        <v>0</v>
      </c>
      <c r="BD160" s="55">
        <f>IFERROR(__xludf.DUMMYFUNCTION("IMPORTRANGE(""1WyA5y91MAdOf-UYazaFWPigXw7bMDxTg4tFg3GFWjT4"",""2025-26!AA4"")"),0.0)</f>
        <v>0</v>
      </c>
      <c r="BE160" s="55">
        <f>IFERROR(__xludf.DUMMYFUNCTION("IMPORTRANGE(""1WyA5y91MAdOf-UYazaFWPigXw7bMDxTg4tFg3GFWjT4"",""2025-26!AA3"")"),0.0)</f>
        <v>0</v>
      </c>
      <c r="BF160" s="55">
        <f>IFERROR(__xludf.DUMMYFUNCTION("IMPORTRANGE(""1WyA5y91MAdOf-UYazaFWPigXw7bMDxTg4tFg3GFWjT4"",""2025-26!AB4"")"),0.0)</f>
        <v>0</v>
      </c>
      <c r="BG160" s="55">
        <f>IFERROR(__xludf.DUMMYFUNCTION("IMPORTRANGE(""1WyA5y91MAdOf-UYazaFWPigXw7bMDxTg4tFg3GFWjT4"",""2025-26!AB3"")"),0.0)</f>
        <v>0</v>
      </c>
      <c r="BH160" s="55">
        <f>IFERROR(__xludf.DUMMYFUNCTION("IMPORTRANGE(""1WyA5y91MAdOf-UYazaFWPigXw7bMDxTg4tFg3GFWjT4"",""2025-26!AC4"")"),0.0)</f>
        <v>0</v>
      </c>
      <c r="BI160" s="55">
        <f>IFERROR(__xludf.DUMMYFUNCTION("IMPORTRANGE(""1WyA5y91MAdOf-UYazaFWPigXw7bMDxTg4tFg3GFWjT4"",""2025-26!AC3"")"),0.0)</f>
        <v>0</v>
      </c>
      <c r="BJ160" s="59" t="str">
        <f t="shared" si="62"/>
        <v/>
      </c>
      <c r="BK160" s="55">
        <f>IFERROR(__xludf.DUMMYFUNCTION("IMPORTRANGE(""1WyA5y91MAdOf-UYazaFWPigXw7bMDxTg4tFg3GFWjT4"",""2025-26!AD4"")"),0.0)</f>
        <v>0</v>
      </c>
      <c r="BL160" s="55">
        <f>IFERROR(__xludf.DUMMYFUNCTION("IMPORTRANGE(""1WyA5y91MAdOf-UYazaFWPigXw7bMDxTg4tFg3GFWjT4"",""2025-26!AD3"")"),0.0)</f>
        <v>0</v>
      </c>
      <c r="BM160" s="55">
        <f>IFERROR(__xludf.DUMMYFUNCTION("IMPORTRANGE(""1WyA5y91MAdOf-UYazaFWPigXw7bMDxTg4tFg3GFWjT4"",""2025-26!AE4"")"),0.0)</f>
        <v>0</v>
      </c>
      <c r="BN160" s="55">
        <f>IFERROR(__xludf.DUMMYFUNCTION("IMPORTRANGE(""1WyA5y91MAdOf-UYazaFWPigXw7bMDxTg4tFg3GFWjT4"",""2025-26!AE3"")"),0.0)</f>
        <v>0</v>
      </c>
      <c r="BO160" s="55">
        <f>IFERROR(__xludf.DUMMYFUNCTION("IMPORTRANGE(""1WyA5y91MAdOf-UYazaFWPigXw7bMDxTg4tFg3GFWjT4"",""2025-26!AF4"")"),0.0)</f>
        <v>0</v>
      </c>
      <c r="BP160" s="55">
        <f>IFERROR(__xludf.DUMMYFUNCTION("IMPORTRANGE(""1WyA5y91MAdOf-UYazaFWPigXw7bMDxTg4tFg3GFWjT4"",""2025-26!AF3"")"),0.0)</f>
        <v>0</v>
      </c>
      <c r="BQ160" s="59" t="str">
        <f t="shared" si="63"/>
        <v/>
      </c>
      <c r="BR160" s="55">
        <f>IFERROR(__xludf.DUMMYFUNCTION("IMPORTRANGE(""1WyA5y91MAdOf-UYazaFWPigXw7bMDxTg4tFg3GFWjT4"",""2025-26!AG4"")"),0.0)</f>
        <v>0</v>
      </c>
      <c r="BS160" s="55">
        <f>IFERROR(__xludf.DUMMYFUNCTION("IMPORTRANGE(""1WyA5y91MAdOf-UYazaFWPigXw7bMDxTg4tFg3GFWjT4"",""2025-26!AG3"")"),0.0)</f>
        <v>0</v>
      </c>
      <c r="BT160" s="55">
        <f>IFERROR(__xludf.DUMMYFUNCTION("IMPORTRANGE(""1WyA5y91MAdOf-UYazaFWPigXw7bMDxTg4tFg3GFWjT4"",""2025-26!AH4"")"),0.0)</f>
        <v>0</v>
      </c>
      <c r="BU160" s="55">
        <f>IFERROR(__xludf.DUMMYFUNCTION("IMPORTRANGE(""1WyA5y91MAdOf-UYazaFWPigXw7bMDxTg4tFg3GFWjT4"",""2025-26!AH3"")"),0.0)</f>
        <v>0</v>
      </c>
      <c r="BV160" s="55">
        <f>IFERROR(__xludf.DUMMYFUNCTION("IMPORTRANGE(""1WyA5y91MAdOf-UYazaFWPigXw7bMDxTg4tFg3GFWjT4"",""2025-26!AI4"")"),0.0)</f>
        <v>0</v>
      </c>
      <c r="BW160" s="55">
        <f>IFERROR(__xludf.DUMMYFUNCTION("IMPORTRANGE(""1WyA5y91MAdOf-UYazaFWPigXw7bMDxTg4tFg3GFWjT4"",""2025-26!AI3"")"),0.0)</f>
        <v>0</v>
      </c>
      <c r="BX160" s="59" t="str">
        <f t="shared" si="64"/>
        <v/>
      </c>
      <c r="BY160" s="55">
        <f>IFERROR(__xludf.DUMMYFUNCTION("IMPORTRANGE(""1WyA5y91MAdOf-UYazaFWPigXw7bMDxTg4tFg3GFWjT4"",""2025-26!AJ4"")"),0.0)</f>
        <v>0</v>
      </c>
      <c r="BZ160" s="55">
        <f>IFERROR(__xludf.DUMMYFUNCTION("IMPORTRANGE(""1WyA5y91MAdOf-UYazaFWPigXw7bMDxTg4tFg3GFWjT4"",""2025-26!AJ3"")"),0.0)</f>
        <v>0</v>
      </c>
      <c r="CA160" s="55">
        <f>IFERROR(__xludf.DUMMYFUNCTION("IMPORTRANGE(""1WyA5y91MAdOf-UYazaFWPigXw7bMDxTg4tFg3GFWjT4"",""2025-26!AK4"")"),0.0)</f>
        <v>0</v>
      </c>
      <c r="CB160" s="55">
        <f>IFERROR(__xludf.DUMMYFUNCTION("IMPORTRANGE(""1WyA5y91MAdOf-UYazaFWPigXw7bMDxTg4tFg3GFWjT4"",""2025-26!AK3"")"),0.0)</f>
        <v>0</v>
      </c>
      <c r="CC160" s="55">
        <f>IFERROR(__xludf.DUMMYFUNCTION("IMPORTRANGE(""1WyA5y91MAdOf-UYazaFWPigXw7bMDxTg4tFg3GFWjT4"",""2025-26!AL4"")"),0.0)</f>
        <v>0</v>
      </c>
      <c r="CD160" s="55">
        <f>IFERROR(__xludf.DUMMYFUNCTION("IMPORTRANGE(""1WyA5y91MAdOf-UYazaFWPigXw7bMDxTg4tFg3GFWjT4"",""2025-26!AL3"")"),0.0)</f>
        <v>0</v>
      </c>
      <c r="CE160" s="59" t="str">
        <f t="shared" si="65"/>
        <v/>
      </c>
      <c r="CF160" s="55">
        <f>IFERROR(__xludf.DUMMYFUNCTION("IMPORTRANGE(""1WyA5y91MAdOf-UYazaFWPigXw7bMDxTg4tFg3GFWjT4"",""2025-26!AM4"")"),0.0)</f>
        <v>0</v>
      </c>
      <c r="CG160" s="55">
        <f>IFERROR(__xludf.DUMMYFUNCTION("IMPORTRANGE(""1WyA5y91MAdOf-UYazaFWPigXw7bMDxTg4tFg3GFWjT4"",""2025-26!AM3"")"),0.0)</f>
        <v>0</v>
      </c>
      <c r="CH160" s="55">
        <f>IFERROR(__xludf.DUMMYFUNCTION("IMPORTRANGE(""1WyA5y91MAdOf-UYazaFWPigXw7bMDxTg4tFg3GFWjT4"",""2025-26!AN4"")"),0.0)</f>
        <v>0</v>
      </c>
      <c r="CI160" s="55">
        <f>IFERROR(__xludf.DUMMYFUNCTION("IMPORTRANGE(""1WyA5y91MAdOf-UYazaFWPigXw7bMDxTg4tFg3GFWjT4"",""2025-26!AN3"")"),0.0)</f>
        <v>0</v>
      </c>
      <c r="CJ160" s="55">
        <f>IFERROR(__xludf.DUMMYFUNCTION("IMPORTRANGE(""1WyA5y91MAdOf-UYazaFWPigXw7bMDxTg4tFg3GFWjT4"",""2025-26!AO4"")"),0.0)</f>
        <v>0</v>
      </c>
      <c r="CK160" s="55">
        <f>IFERROR(__xludf.DUMMYFUNCTION("IMPORTRANGE(""1WyA5y91MAdOf-UYazaFWPigXw7bMDxTg4tFg3GFWjT4"",""2025-26!AO3"")"),0.0)</f>
        <v>0</v>
      </c>
      <c r="CL160" s="59" t="str">
        <f t="shared" si="66"/>
        <v/>
      </c>
      <c r="CM160" s="55">
        <f>IFERROR(__xludf.DUMMYFUNCTION("IMPORTRANGE(""1WyA5y91MAdOf-UYazaFWPigXw7bMDxTg4tFg3GFWjT4"",""2025-26!AP4"")"),0.0)</f>
        <v>0</v>
      </c>
      <c r="CN160" s="55">
        <f>IFERROR(__xludf.DUMMYFUNCTION("IMPORTRANGE(""1WyA5y91MAdOf-UYazaFWPigXw7bMDxTg4tFg3GFWjT4"",""2025-26!AP3"")"),0.0)</f>
        <v>0</v>
      </c>
      <c r="CO160" s="55">
        <f>IFERROR(__xludf.DUMMYFUNCTION("IMPORTRANGE(""1WyA5y91MAdOf-UYazaFWPigXw7bMDxTg4tFg3GFWjT4"",""2025-26!AQ4"")"),0.0)</f>
        <v>0</v>
      </c>
      <c r="CP160" s="55">
        <f>IFERROR(__xludf.DUMMYFUNCTION("IMPORTRANGE(""1WyA5y91MAdOf-UYazaFWPigXw7bMDxTg4tFg3GFWjT4"",""2025-26!AQ3"")"),0.0)</f>
        <v>0</v>
      </c>
      <c r="CQ160" s="55">
        <f>IFERROR(__xludf.DUMMYFUNCTION("IMPORTRANGE(""1WyA5y91MAdOf-UYazaFWPigXw7bMDxTg4tFg3GFWjT4"",""2025-26!AR4"")"),0.0)</f>
        <v>0</v>
      </c>
      <c r="CR160" s="55">
        <f>IFERROR(__xludf.DUMMYFUNCTION("IMPORTRANGE(""1WyA5y91MAdOf-UYazaFWPigXw7bMDxTg4tFg3GFWjT4"",""2025-26!AR3"")"),0.0)</f>
        <v>0</v>
      </c>
      <c r="CS160" s="59" t="str">
        <f t="shared" si="67"/>
        <v/>
      </c>
      <c r="CT160" s="55">
        <f>IFERROR(__xludf.DUMMYFUNCTION("IMPORTRANGE(""1WyA5y91MAdOf-UYazaFWPigXw7bMDxTg4tFg3GFWjT4"",""2025-26!AS4"")"),0.0)</f>
        <v>0</v>
      </c>
      <c r="CU160" s="55">
        <f>IFERROR(__xludf.DUMMYFUNCTION("IMPORTRANGE(""1WyA5y91MAdOf-UYazaFWPigXw7bMDxTg4tFg3GFWjT4"",""2025-26!AS3"")"),0.0)</f>
        <v>0</v>
      </c>
      <c r="CV160" s="60" t="s">
        <v>27</v>
      </c>
    </row>
    <row r="161">
      <c r="A161" s="129" t="s">
        <v>23</v>
      </c>
      <c r="B161" s="129" t="s">
        <v>23</v>
      </c>
      <c r="C161" s="132" t="s">
        <v>339</v>
      </c>
      <c r="D161" s="65" t="s">
        <v>340</v>
      </c>
      <c r="E161" s="68">
        <v>8.923749651E9</v>
      </c>
      <c r="F161" s="66">
        <v>45917.0</v>
      </c>
      <c r="G161" s="62"/>
      <c r="H161" s="62"/>
      <c r="I161" s="53">
        <f>VLOOKUP($C161,Data!$C:$BV,34,0)</f>
        <v>32500</v>
      </c>
      <c r="J161" s="54">
        <v>1200000.0</v>
      </c>
      <c r="K161" s="55">
        <f>IFERROR(__xludf.DUMMYFUNCTION("IMPORTRANGE(""1JLs-b2-TsYv3zlBlou8InJtcgbX59Ua1BGkOwDisNIo"",""2025-26!A3"")"),42.0)</f>
        <v>42</v>
      </c>
      <c r="L161" s="55">
        <f>IFERROR(__xludf.DUMMYFUNCTION("IMPORTRANGE(""1JLs-b2-TsYv3zlBlou8InJtcgbX59Ua1BGkOwDisNIo"",""2025-26!G4"")"),200000.0)</f>
        <v>200000</v>
      </c>
      <c r="M161" s="55">
        <f t="shared" si="53"/>
        <v>219410.09</v>
      </c>
      <c r="N161" s="56">
        <f t="shared" si="54"/>
        <v>0.787335</v>
      </c>
      <c r="O161" s="57">
        <f t="shared" si="55"/>
        <v>157467</v>
      </c>
      <c r="P161" s="55">
        <f>IFERROR(__xludf.DUMMYFUNCTION("IMPORTRANGE(""1JLs-b2-TsYv3zlBlou8InJtcgbX59Ua1BGkOwDisNIo"",""2025-26!J4"")"),0.0)</f>
        <v>0</v>
      </c>
      <c r="Q161" s="55">
        <f>IFERROR(__xludf.DUMMYFUNCTION("IMPORTRANGE(""1JLs-b2-TsYv3zlBlou8InJtcgbX59Ua1BGkOwDisNIo"",""2025-26!J3"")"),0.0)</f>
        <v>0</v>
      </c>
      <c r="R161" s="55">
        <f>IFERROR(__xludf.DUMMYFUNCTION("IMPORTRANGE(""1JLs-b2-TsYv3zlBlou8InJtcgbX59Ua1BGkOwDisNIo"",""2025-26!K4"")"),0.0)</f>
        <v>0</v>
      </c>
      <c r="S161" s="55">
        <f>IFERROR(__xludf.DUMMYFUNCTION("IMPORTRANGE(""1JLs-b2-TsYv3zlBlou8InJtcgbX59Ua1BGkOwDisNIo"",""2025-26!K3"")"),0.0)</f>
        <v>0</v>
      </c>
      <c r="T161" s="58" t="str">
        <f t="shared" si="56"/>
        <v/>
      </c>
      <c r="U161" s="55">
        <f>IFERROR(__xludf.DUMMYFUNCTION("IMPORTRANGE(""1JLs-b2-TsYv3zlBlou8InJtcgbX59Ua1BGkOwDisNIo"",""2025-26!L4"")"),0.0)</f>
        <v>0</v>
      </c>
      <c r="V161" s="55">
        <f>IFERROR(__xludf.DUMMYFUNCTION("IMPORTRANGE(""1JLs-b2-TsYv3zlBlou8InJtcgbX59Ua1BGkOwDisNIo"",""2025-26!L3"")"),0.0)</f>
        <v>0</v>
      </c>
      <c r="W161" s="55">
        <f>IFERROR(__xludf.DUMMYFUNCTION("IMPORTRANGE(""1JLs-b2-TsYv3zlBlou8InJtcgbX59Ua1BGkOwDisNIo"",""2025-26!m4"")"),0.0)</f>
        <v>0</v>
      </c>
      <c r="X161" s="55">
        <f>IFERROR(__xludf.DUMMYFUNCTION("IMPORTRANGE(""1JLs-b2-TsYv3zlBlou8InJtcgbX59Ua1BGkOwDisNIo"",""2025-26!m3"")"),0.0)</f>
        <v>0</v>
      </c>
      <c r="Y161" s="55">
        <f>IFERROR(__xludf.DUMMYFUNCTION("IMPORTRANGE(""1JLs-b2-TsYv3zlBlou8InJtcgbX59Ua1BGkOwDisNIo"",""2025-26!N4"")"),0.0)</f>
        <v>0</v>
      </c>
      <c r="Z161" s="55">
        <f>IFERROR(__xludf.DUMMYFUNCTION("IMPORTRANGE(""1JLs-b2-TsYv3zlBlou8InJtcgbX59Ua1BGkOwDisNIo"",""2025-26!N3"")"),0.0)</f>
        <v>0</v>
      </c>
      <c r="AA161" s="58" t="str">
        <f t="shared" si="57"/>
        <v/>
      </c>
      <c r="AB161" s="55">
        <f>IFERROR(__xludf.DUMMYFUNCTION("IMPORTRANGE(""1JLs-b2-TsYv3zlBlou8InJtcgbX59Ua1BGkOwDisNIo"",""2025-26!O4"")"),0.0)</f>
        <v>0</v>
      </c>
      <c r="AC161" s="55">
        <f>IFERROR(__xludf.DUMMYFUNCTION("IMPORTRANGE(""1JLs-b2-TsYv3zlBlou8InJtcgbX59Ua1BGkOwDisNIo"",""2025-26!O3"")"),0.0)</f>
        <v>0</v>
      </c>
      <c r="AD161" s="55">
        <f>IFERROR(__xludf.DUMMYFUNCTION("IMPORTRANGE(""1JLs-b2-TsYv3zlBlou8InJtcgbX59Ua1BGkOwDisNIo"",""2025-26!P4"")"),0.0)</f>
        <v>0</v>
      </c>
      <c r="AE161" s="55">
        <f>IFERROR(__xludf.DUMMYFUNCTION("IMPORTRANGE(""1JLs-b2-TsYv3zlBlou8InJtcgbX59Ua1BGkOwDisNIo"",""2025-26!P3"")"),0.0)</f>
        <v>0</v>
      </c>
      <c r="AF161" s="55">
        <f>IFERROR(__xludf.DUMMYFUNCTION("IMPORTRANGE(""1JLs-b2-TsYv3zlBlou8InJtcgbX59Ua1BGkOwDisNIo"",""2025-26!Q4"")"),0.0)</f>
        <v>0</v>
      </c>
      <c r="AG161" s="55">
        <f>IFERROR(__xludf.DUMMYFUNCTION("IMPORTRANGE(""1JLs-b2-TsYv3zlBlou8InJtcgbX59Ua1BGkOwDisNIo"",""2025-26!Q3"")"),0.0)</f>
        <v>0</v>
      </c>
      <c r="AH161" s="58" t="str">
        <f t="shared" si="58"/>
        <v/>
      </c>
      <c r="AI161" s="55">
        <f>IFERROR(__xludf.DUMMYFUNCTION("IMPORTRANGE(""1JLs-b2-TsYv3zlBlou8InJtcgbX59Ua1BGkOwDisNIo"",""2025-26!R4"")"),0.0)</f>
        <v>0</v>
      </c>
      <c r="AJ161" s="55">
        <f>IFERROR(__xludf.DUMMYFUNCTION("IMPORTRANGE(""1JLs-b2-TsYv3zlBlou8InJtcgbX59Ua1BGkOwDisNIo"",""2025-26!R3"")"),0.0)</f>
        <v>0</v>
      </c>
      <c r="AK161" s="55">
        <f>IFERROR(__xludf.DUMMYFUNCTION("IMPORTRANGE(""1JLs-b2-TsYv3zlBlou8InJtcgbX59Ua1BGkOwDisNIo"",""2025-26!S4"")"),0.0)</f>
        <v>0</v>
      </c>
      <c r="AL161" s="55">
        <f>IFERROR(__xludf.DUMMYFUNCTION("IMPORTRANGE(""1JLs-b2-TsYv3zlBlou8InJtcgbX59Ua1BGkOwDisNIo"",""2025-26!S3"")"),0.0)</f>
        <v>0</v>
      </c>
      <c r="AM161" s="55">
        <f>IFERROR(__xludf.DUMMYFUNCTION("IMPORTRANGE(""1JLs-b2-TsYv3zlBlou8InJtcgbX59Ua1BGkOwDisNIo"",""2025-26!T4"")"),0.0)</f>
        <v>0</v>
      </c>
      <c r="AN161" s="55">
        <f>IFERROR(__xludf.DUMMYFUNCTION("IMPORTRANGE(""1JLs-b2-TsYv3zlBlou8InJtcgbX59Ua1BGkOwDisNIo"",""2025-26!T3"")"),0.0)</f>
        <v>0</v>
      </c>
      <c r="AO161" s="58" t="str">
        <f t="shared" si="59"/>
        <v/>
      </c>
      <c r="AP161" s="55">
        <f>IFERROR(__xludf.DUMMYFUNCTION("IMPORTRANGE(""1JLs-b2-TsYv3zlBlou8InJtcgbX59Ua1BGkOwDisNIo"",""2025-26!U4"")"),0.0)</f>
        <v>0</v>
      </c>
      <c r="AQ161" s="55">
        <f>IFERROR(__xludf.DUMMYFUNCTION("IMPORTRANGE(""1JLs-b2-TsYv3zlBlou8InJtcgbX59Ua1BGkOwDisNIo"",""2025-26!U3"")"),0.0)</f>
        <v>0</v>
      </c>
      <c r="AR161" s="55">
        <f>IFERROR(__xludf.DUMMYFUNCTION("IMPORTRANGE(""1JLs-b2-TsYv3zlBlou8InJtcgbX59Ua1BGkOwDisNIo"",""2025-26!V4"")"),0.0)</f>
        <v>0</v>
      </c>
      <c r="AS161" s="55">
        <f>IFERROR(__xludf.DUMMYFUNCTION("IMPORTRANGE(""1JLs-b2-TsYv3zlBlou8InJtcgbX59Ua1BGkOwDisNIo"",""2025-26!V3"")"),0.0)</f>
        <v>0</v>
      </c>
      <c r="AT161" s="55">
        <f>IFERROR(__xludf.DUMMYFUNCTION("IMPORTRANGE(""1JLs-b2-TsYv3zlBlou8InJtcgbX59Ua1BGkOwDisNIo"",""2025-26!W4"")"),0.0)</f>
        <v>0</v>
      </c>
      <c r="AU161" s="55">
        <f>IFERROR(__xludf.DUMMYFUNCTION("IMPORTRANGE(""1JLs-b2-TsYv3zlBlou8InJtcgbX59Ua1BGkOwDisNIo"",""2025-26!W3"")"),0.0)</f>
        <v>0</v>
      </c>
      <c r="AV161" s="58" t="str">
        <f t="shared" si="60"/>
        <v/>
      </c>
      <c r="AW161" s="55">
        <f>IFERROR(__xludf.DUMMYFUNCTION("IMPORTRANGE(""1JLs-b2-TsYv3zlBlou8InJtcgbX59Ua1BGkOwDisNIo"",""2025-26!X4"")"),0.0)</f>
        <v>0</v>
      </c>
      <c r="AX161" s="55">
        <f>IFERROR(__xludf.DUMMYFUNCTION("IMPORTRANGE(""1JLs-b2-TsYv3zlBlou8InJtcgbX59Ua1BGkOwDisNIo"",""2025-26!X3"")"),0.0)</f>
        <v>0</v>
      </c>
      <c r="AY161" s="55">
        <f>IFERROR(__xludf.DUMMYFUNCTION("IMPORTRANGE(""1JLs-b2-TsYv3zlBlou8InJtcgbX59Ua1BGkOwDisNIo"",""2025-26!Y4"")"),0.0)</f>
        <v>0</v>
      </c>
      <c r="AZ161" s="55">
        <f>IFERROR(__xludf.DUMMYFUNCTION("IMPORTRANGE(""1JLs-b2-TsYv3zlBlou8InJtcgbX59Ua1BGkOwDisNIo"",""2025-26!Y3"")"),0.0)</f>
        <v>0</v>
      </c>
      <c r="BA161" s="55">
        <f>IFERROR(__xludf.DUMMYFUNCTION("IMPORTRANGE(""1JLs-b2-TsYv3zlBlou8InJtcgbX59Ua1BGkOwDisNIo"",""2025-26!Z4"")"),0.0)</f>
        <v>0</v>
      </c>
      <c r="BB161" s="55">
        <f>IFERROR(__xludf.DUMMYFUNCTION("IMPORTRANGE(""1JLs-b2-TsYv3zlBlou8InJtcgbX59Ua1BGkOwDisNIo"",""2025-26!Z3"")"),0.0)</f>
        <v>0</v>
      </c>
      <c r="BC161" s="59" t="str">
        <f t="shared" si="61"/>
        <v/>
      </c>
      <c r="BD161" s="55">
        <f>IFERROR(__xludf.DUMMYFUNCTION("IMPORTRANGE(""1JLs-b2-TsYv3zlBlou8InJtcgbX59Ua1BGkOwDisNIo"",""2025-26!AA4"")"),0.0)</f>
        <v>0</v>
      </c>
      <c r="BE161" s="55">
        <f>IFERROR(__xludf.DUMMYFUNCTION("IMPORTRANGE(""1JLs-b2-TsYv3zlBlou8InJtcgbX59Ua1BGkOwDisNIo"",""2025-26!AA3"")"),0.0)</f>
        <v>0</v>
      </c>
      <c r="BF161" s="55">
        <f>IFERROR(__xludf.DUMMYFUNCTION("IMPORTRANGE(""1JLs-b2-TsYv3zlBlou8InJtcgbX59Ua1BGkOwDisNIo"",""2025-26!AB4"")"),1200000.0)</f>
        <v>1200000</v>
      </c>
      <c r="BG161" s="55">
        <f>IFERROR(__xludf.DUMMYFUNCTION("IMPORTRANGE(""1JLs-b2-TsYv3zlBlou8InJtcgbX59Ua1BGkOwDisNIo"",""2025-26!AB3"")"),1.0)</f>
        <v>1</v>
      </c>
      <c r="BH161" s="55">
        <f>IFERROR(__xludf.DUMMYFUNCTION("IMPORTRANGE(""1JLs-b2-TsYv3zlBlou8InJtcgbX59Ua1BGkOwDisNIo"",""2025-26!AC4"")"),0.0)</f>
        <v>0</v>
      </c>
      <c r="BI161" s="55">
        <f>IFERROR(__xludf.DUMMYFUNCTION("IMPORTRANGE(""1JLs-b2-TsYv3zlBlou8InJtcgbX59Ua1BGkOwDisNIo"",""2025-26!AC3"")"),0.0)</f>
        <v>0</v>
      </c>
      <c r="BJ161" s="59">
        <f t="shared" si="62"/>
        <v>0</v>
      </c>
      <c r="BK161" s="55">
        <f>IFERROR(__xludf.DUMMYFUNCTION("IMPORTRANGE(""1JLs-b2-TsYv3zlBlou8InJtcgbX59Ua1BGkOwDisNIo"",""2025-26!AD4"")"),0.0)</f>
        <v>0</v>
      </c>
      <c r="BL161" s="55">
        <f>IFERROR(__xludf.DUMMYFUNCTION("IMPORTRANGE(""1JLs-b2-TsYv3zlBlou8InJtcgbX59Ua1BGkOwDisNIo"",""2025-26!AD3"")"),0.0)</f>
        <v>0</v>
      </c>
      <c r="BM161" s="55">
        <f>IFERROR(__xludf.DUMMYFUNCTION("IMPORTRANGE(""1JLs-b2-TsYv3zlBlou8InJtcgbX59Ua1BGkOwDisNIo"",""2025-26!AE4"")"),1200000.0)</f>
        <v>1200000</v>
      </c>
      <c r="BN161" s="55">
        <f>IFERROR(__xludf.DUMMYFUNCTION("IMPORTRANGE(""1JLs-b2-TsYv3zlBlou8InJtcgbX59Ua1BGkOwDisNIo"",""2025-26!AE3"")"),1.0)</f>
        <v>1</v>
      </c>
      <c r="BO161" s="55">
        <f>IFERROR(__xludf.DUMMYFUNCTION("IMPORTRANGE(""1JLs-b2-TsYv3zlBlou8InJtcgbX59Ua1BGkOwDisNIo"",""2025-26!AF4"")"),0.0)</f>
        <v>0</v>
      </c>
      <c r="BP161" s="55">
        <f>IFERROR(__xludf.DUMMYFUNCTION("IMPORTRANGE(""1JLs-b2-TsYv3zlBlou8InJtcgbX59Ua1BGkOwDisNIo"",""2025-26!AF3"")"),0.0)</f>
        <v>0</v>
      </c>
      <c r="BQ161" s="59">
        <f t="shared" si="63"/>
        <v>0</v>
      </c>
      <c r="BR161" s="55">
        <f>IFERROR(__xludf.DUMMYFUNCTION("IMPORTRANGE(""1JLs-b2-TsYv3zlBlou8InJtcgbX59Ua1BGkOwDisNIo"",""2025-26!AG4"")"),0.0)</f>
        <v>0</v>
      </c>
      <c r="BS161" s="55">
        <f>IFERROR(__xludf.DUMMYFUNCTION("IMPORTRANGE(""1JLs-b2-TsYv3zlBlou8InJtcgbX59Ua1BGkOwDisNIo"",""2025-26!AG3"")"),0.0)</f>
        <v>0</v>
      </c>
      <c r="BT161" s="55">
        <f>IFERROR(__xludf.DUMMYFUNCTION("IMPORTRANGE(""1JLs-b2-TsYv3zlBlou8InJtcgbX59Ua1BGkOwDisNIo"",""2025-26!AH4"")"),0.0)</f>
        <v>0</v>
      </c>
      <c r="BU161" s="55">
        <f>IFERROR(__xludf.DUMMYFUNCTION("IMPORTRANGE(""1JLs-b2-TsYv3zlBlou8InJtcgbX59Ua1BGkOwDisNIo"",""2025-26!AH3"")"),0.0)</f>
        <v>0</v>
      </c>
      <c r="BV161" s="55">
        <f>IFERROR(__xludf.DUMMYFUNCTION("IMPORTRANGE(""1JLs-b2-TsYv3zlBlou8InJtcgbX59Ua1BGkOwDisNIo"",""2025-26!AI4"")"),50190.96)</f>
        <v>50190.96</v>
      </c>
      <c r="BW161" s="55">
        <f>IFERROR(__xludf.DUMMYFUNCTION("IMPORTRANGE(""1JLs-b2-TsYv3zlBlou8InJtcgbX59Ua1BGkOwDisNIo"",""2025-26!AI3"")"),7.0)</f>
        <v>7</v>
      </c>
      <c r="BX161" s="59" t="str">
        <f t="shared" si="64"/>
        <v/>
      </c>
      <c r="BY161" s="55">
        <f>IFERROR(__xludf.DUMMYFUNCTION("IMPORTRANGE(""1JLs-b2-TsYv3zlBlou8InJtcgbX59Ua1BGkOwDisNIo"",""2025-26!AJ4"")"),50190.0)</f>
        <v>50190</v>
      </c>
      <c r="BZ161" s="55">
        <f>IFERROR(__xludf.DUMMYFUNCTION("IMPORTRANGE(""1JLs-b2-TsYv3zlBlou8InJtcgbX59Ua1BGkOwDisNIo"",""2025-26!AJ3"")"),7.0)</f>
        <v>7</v>
      </c>
      <c r="CA161" s="55">
        <f>IFERROR(__xludf.DUMMYFUNCTION("IMPORTRANGE(""1JLs-b2-TsYv3zlBlou8InJtcgbX59Ua1BGkOwDisNIo"",""2025-26!AK4"")"),0.0)</f>
        <v>0</v>
      </c>
      <c r="CB161" s="55">
        <f>IFERROR(__xludf.DUMMYFUNCTION("IMPORTRANGE(""1JLs-b2-TsYv3zlBlou8InJtcgbX59Ua1BGkOwDisNIo"",""2025-26!AK3"")"),0.0)</f>
        <v>0</v>
      </c>
      <c r="CC161" s="55">
        <f>IFERROR(__xludf.DUMMYFUNCTION("IMPORTRANGE(""1JLs-b2-TsYv3zlBlou8InJtcgbX59Ua1BGkOwDisNIo"",""2025-26!AL4"")"),93348.29)</f>
        <v>93348.29</v>
      </c>
      <c r="CD161" s="55">
        <f>IFERROR(__xludf.DUMMYFUNCTION("IMPORTRANGE(""1JLs-b2-TsYv3zlBlou8InJtcgbX59Ua1BGkOwDisNIo"",""2025-26!AL3"")"),8.0)</f>
        <v>8</v>
      </c>
      <c r="CE161" s="59" t="str">
        <f t="shared" si="65"/>
        <v/>
      </c>
      <c r="CF161" s="55">
        <f>IFERROR(__xludf.DUMMYFUNCTION("IMPORTRANGE(""1JLs-b2-TsYv3zlBlou8InJtcgbX59Ua1BGkOwDisNIo"",""2025-26!AM4"")"),107277.0)</f>
        <v>107277</v>
      </c>
      <c r="CG161" s="55">
        <f>IFERROR(__xludf.DUMMYFUNCTION("IMPORTRANGE(""1JLs-b2-TsYv3zlBlou8InJtcgbX59Ua1BGkOwDisNIo"",""2025-26!AM3"")"),8.0)</f>
        <v>8</v>
      </c>
      <c r="CH161" s="55">
        <f>IFERROR(__xludf.DUMMYFUNCTION("IMPORTRANGE(""1JLs-b2-TsYv3zlBlou8InJtcgbX59Ua1BGkOwDisNIo"",""2025-26!AN4"")"),180000.0)</f>
        <v>180000</v>
      </c>
      <c r="CI161" s="55">
        <f>IFERROR(__xludf.DUMMYFUNCTION("IMPORTRANGE(""1JLs-b2-TsYv3zlBlou8InJtcgbX59Ua1BGkOwDisNIo"",""2025-26!AN3"")"),16.0)</f>
        <v>16</v>
      </c>
      <c r="CJ161" s="55">
        <f>IFERROR(__xludf.DUMMYFUNCTION("IMPORTRANGE(""1JLs-b2-TsYv3zlBlou8InJtcgbX59Ua1BGkOwDisNIo"",""2025-26!AO4"")"),75870.84)</f>
        <v>75870.84</v>
      </c>
      <c r="CK161" s="55">
        <f>IFERROR(__xludf.DUMMYFUNCTION("IMPORTRANGE(""1JLs-b2-TsYv3zlBlou8InJtcgbX59Ua1BGkOwDisNIo"",""2025-26!AO3"")"),7.0)</f>
        <v>7</v>
      </c>
      <c r="CL161" s="59">
        <f t="shared" si="66"/>
        <v>0</v>
      </c>
      <c r="CM161" s="55">
        <f>IFERROR(__xludf.DUMMYFUNCTION("IMPORTRANGE(""1JLs-b2-TsYv3zlBlou8InJtcgbX59Ua1BGkOwDisNIo"",""2025-26!AP4"")"),0.0)</f>
        <v>0</v>
      </c>
      <c r="CN161" s="55">
        <f>IFERROR(__xludf.DUMMYFUNCTION("IMPORTRANGE(""1JLs-b2-TsYv3zlBlou8InJtcgbX59Ua1BGkOwDisNIo"",""2025-26!AP3"")"),0.0)</f>
        <v>0</v>
      </c>
      <c r="CO161" s="55">
        <f>IFERROR(__xludf.DUMMYFUNCTION("IMPORTRANGE(""1JLs-b2-TsYv3zlBlou8InJtcgbX59Ua1BGkOwDisNIo"",""2025-26!AQ4"")"),0.0)</f>
        <v>0</v>
      </c>
      <c r="CP161" s="55">
        <f>IFERROR(__xludf.DUMMYFUNCTION("IMPORTRANGE(""1JLs-b2-TsYv3zlBlou8InJtcgbX59Ua1BGkOwDisNIo"",""2025-26!AQ3"")"),0.0)</f>
        <v>0</v>
      </c>
      <c r="CQ161" s="55">
        <f>IFERROR(__xludf.DUMMYFUNCTION("IMPORTRANGE(""1JLs-b2-TsYv3zlBlou8InJtcgbX59Ua1BGkOwDisNIo"",""2025-26!AR4"")"),0.0)</f>
        <v>0</v>
      </c>
      <c r="CR161" s="55">
        <f>IFERROR(__xludf.DUMMYFUNCTION("IMPORTRANGE(""1JLs-b2-TsYv3zlBlou8InJtcgbX59Ua1BGkOwDisNIo"",""2025-26!AR3"")"),0.0)</f>
        <v>0</v>
      </c>
      <c r="CS161" s="59" t="str">
        <f t="shared" si="67"/>
        <v/>
      </c>
      <c r="CT161" s="55">
        <f>IFERROR(__xludf.DUMMYFUNCTION("IMPORTRANGE(""1JLs-b2-TsYv3zlBlou8InJtcgbX59Ua1BGkOwDisNIo"",""2025-26!AS4"")"),0.0)</f>
        <v>0</v>
      </c>
      <c r="CU161" s="55">
        <f>IFERROR(__xludf.DUMMYFUNCTION("IMPORTRANGE(""1JLs-b2-TsYv3zlBlou8InJtcgbX59Ua1BGkOwDisNIo"",""2025-26!AS3"")"),0.0)</f>
        <v>0</v>
      </c>
      <c r="CV161" s="60" t="s">
        <v>30</v>
      </c>
    </row>
    <row r="162">
      <c r="A162" s="133" t="s">
        <v>97</v>
      </c>
      <c r="B162" s="134" t="s">
        <v>97</v>
      </c>
      <c r="C162" s="131" t="s">
        <v>341</v>
      </c>
      <c r="D162" s="65" t="s">
        <v>105</v>
      </c>
      <c r="E162" s="68">
        <v>9.207008925E9</v>
      </c>
      <c r="F162" s="66">
        <v>45694.0</v>
      </c>
      <c r="G162" s="62"/>
      <c r="H162" s="62"/>
      <c r="I162" s="53">
        <f>VLOOKUP($C162,Data!$C:$BV,34,0)</f>
        <v>23000</v>
      </c>
      <c r="J162" s="54">
        <v>1333333.333</v>
      </c>
      <c r="K162" s="55">
        <f>IFERROR(__xludf.DUMMYFUNCTION("IMPORTRANGE(""1zURJm1oFm5EAktQ3_pqZzBthoHcc4825AzQJJJEATcs"",""2025-26!A3"")"),75.0)</f>
        <v>75</v>
      </c>
      <c r="L162" s="55">
        <f>IFERROR(__xludf.DUMMYFUNCTION("IMPORTRANGE(""1zURJm1oFm5EAktQ3_pqZzBthoHcc4825AzQJJJEATcs"",""2025-26!G4"")"),1.365E7)</f>
        <v>13650000</v>
      </c>
      <c r="M162" s="55">
        <f t="shared" si="53"/>
        <v>3321347.18</v>
      </c>
      <c r="N162" s="56">
        <f t="shared" si="54"/>
        <v>0.208327156</v>
      </c>
      <c r="O162" s="57">
        <f t="shared" si="55"/>
        <v>2843665.68</v>
      </c>
      <c r="P162" s="55">
        <f>IFERROR(__xludf.DUMMYFUNCTION("IMPORTRANGE(""1zURJm1oFm5EAktQ3_pqZzBthoHcc4825AzQJJJEATcs"",""2025-26!J4"")"),0.0)</f>
        <v>0</v>
      </c>
      <c r="Q162" s="55">
        <f>IFERROR(__xludf.DUMMYFUNCTION("IMPORTRANGE(""1zURJm1oFm5EAktQ3_pqZzBthoHcc4825AzQJJJEATcs"",""2025-26!J3"")"),0.0)</f>
        <v>0</v>
      </c>
      <c r="R162" s="55">
        <f>IFERROR(__xludf.DUMMYFUNCTION("IMPORTRANGE(""1zURJm1oFm5EAktQ3_pqZzBthoHcc4825AzQJJJEATcs"",""2025-26!K4"")"),345392.78)</f>
        <v>345392.78</v>
      </c>
      <c r="S162" s="55">
        <f>IFERROR(__xludf.DUMMYFUNCTION("IMPORTRANGE(""1zURJm1oFm5EAktQ3_pqZzBthoHcc4825AzQJJJEATcs"",""2025-26!K3"")"),22.0)</f>
        <v>22</v>
      </c>
      <c r="T162" s="58" t="str">
        <f t="shared" si="56"/>
        <v/>
      </c>
      <c r="U162" s="55">
        <f>IFERROR(__xludf.DUMMYFUNCTION("IMPORTRANGE(""1zURJm1oFm5EAktQ3_pqZzBthoHcc4825AzQJJJEATcs"",""2025-26!L4"")"),459979.0)</f>
        <v>459979</v>
      </c>
      <c r="V162" s="55">
        <f>IFERROR(__xludf.DUMMYFUNCTION("IMPORTRANGE(""1zURJm1oFm5EAktQ3_pqZzBthoHcc4825AzQJJJEATcs"",""2025-26!L3"")"),28.0)</f>
        <v>28</v>
      </c>
      <c r="W162" s="55">
        <f>IFERROR(__xludf.DUMMYFUNCTION("IMPORTRANGE(""1zURJm1oFm5EAktQ3_pqZzBthoHcc4825AzQJJJEATcs"",""2025-26!m4"")"),1257000.0)</f>
        <v>1257000</v>
      </c>
      <c r="X162" s="55">
        <f>IFERROR(__xludf.DUMMYFUNCTION("IMPORTRANGE(""1zURJm1oFm5EAktQ3_pqZzBthoHcc4825AzQJJJEATcs"",""2025-26!m3"")"),42.0)</f>
        <v>42</v>
      </c>
      <c r="Y162" s="55">
        <f>IFERROR(__xludf.DUMMYFUNCTION("IMPORTRANGE(""1zURJm1oFm5EAktQ3_pqZzBthoHcc4825AzQJJJEATcs"",""2025-26!N4"")"),1388137.7999999989)</f>
        <v>1388137.8</v>
      </c>
      <c r="Z162" s="55">
        <f>IFERROR(__xludf.DUMMYFUNCTION("IMPORTRANGE(""1zURJm1oFm5EAktQ3_pqZzBthoHcc4825AzQJJJEATcs"",""2025-26!N3"")"),38.0)</f>
        <v>38</v>
      </c>
      <c r="AA162" s="58">
        <f t="shared" si="57"/>
        <v>1.073583453</v>
      </c>
      <c r="AB162" s="55">
        <f>IFERROR(__xludf.DUMMYFUNCTION("IMPORTRANGE(""1zURJm1oFm5EAktQ3_pqZzBthoHcc4825AzQJJJEATcs"",""2025-26!O4"")"),1349494.4)</f>
        <v>1349494.4</v>
      </c>
      <c r="AC162" s="55">
        <f>IFERROR(__xludf.DUMMYFUNCTION("IMPORTRANGE(""1zURJm1oFm5EAktQ3_pqZzBthoHcc4825AzQJJJEATcs"",""2025-26!O3"")"),39.0)</f>
        <v>39</v>
      </c>
      <c r="AD162" s="55">
        <f>IFERROR(__xludf.DUMMYFUNCTION("IMPORTRANGE(""1zURJm1oFm5EAktQ3_pqZzBthoHcc4825AzQJJJEATcs"",""2025-26!P4"")"),1257000.0)</f>
        <v>1257000</v>
      </c>
      <c r="AE162" s="55">
        <f>IFERROR(__xludf.DUMMYFUNCTION("IMPORTRANGE(""1zURJm1oFm5EAktQ3_pqZzBthoHcc4825AzQJJJEATcs"",""2025-26!P3"")"),42.0)</f>
        <v>42</v>
      </c>
      <c r="AF162" s="55">
        <f>IFERROR(__xludf.DUMMYFUNCTION("IMPORTRANGE(""1zURJm1oFm5EAktQ3_pqZzBthoHcc4825AzQJJJEATcs"",""2025-26!Q4"")"),1172152.2)</f>
        <v>1172152.2</v>
      </c>
      <c r="AG162" s="55">
        <f>IFERROR(__xludf.DUMMYFUNCTION("IMPORTRANGE(""1zURJm1oFm5EAktQ3_pqZzBthoHcc4825AzQJJJEATcs"",""2025-26!Q3"")"),28.0)</f>
        <v>28</v>
      </c>
      <c r="AH162" s="58">
        <f t="shared" si="58"/>
        <v>0.8227464439</v>
      </c>
      <c r="AI162" s="55">
        <f>IFERROR(__xludf.DUMMYFUNCTION("IMPORTRANGE(""1zURJm1oFm5EAktQ3_pqZzBthoHcc4825AzQJJJEATcs"",""2025-26!R4"")"),1034192.28)</f>
        <v>1034192.28</v>
      </c>
      <c r="AJ162" s="55">
        <f>IFERROR(__xludf.DUMMYFUNCTION("IMPORTRANGE(""1zURJm1oFm5EAktQ3_pqZzBthoHcc4825AzQJJJEATcs"",""2025-26!R3"")"),25.0)</f>
        <v>25</v>
      </c>
      <c r="AK162" s="55">
        <f>IFERROR(__xludf.DUMMYFUNCTION("IMPORTRANGE(""1zURJm1oFm5EAktQ3_pqZzBthoHcc4825AzQJJJEATcs"",""2025-26!S4"")"),0.0)</f>
        <v>0</v>
      </c>
      <c r="AL162" s="55">
        <f>IFERROR(__xludf.DUMMYFUNCTION("IMPORTRANGE(""1zURJm1oFm5EAktQ3_pqZzBthoHcc4825AzQJJJEATcs"",""2025-26!S3"")"),0.0)</f>
        <v>0</v>
      </c>
      <c r="AM162" s="55">
        <f>IFERROR(__xludf.DUMMYFUNCTION("IMPORTRANGE(""1zURJm1oFm5EAktQ3_pqZzBthoHcc4825AzQJJJEATcs"",""2025-26!T4"")"),377134.8)</f>
        <v>377134.8</v>
      </c>
      <c r="AN162" s="55">
        <f>IFERROR(__xludf.DUMMYFUNCTION("IMPORTRANGE(""1zURJm1oFm5EAktQ3_pqZzBthoHcc4825AzQJJJEATcs"",""2025-26!T3"")"),27.0)</f>
        <v>27</v>
      </c>
      <c r="AO162" s="58" t="str">
        <f t="shared" si="59"/>
        <v/>
      </c>
      <c r="AP162" s="55">
        <f>IFERROR(__xludf.DUMMYFUNCTION("IMPORTRANGE(""1zURJm1oFm5EAktQ3_pqZzBthoHcc4825AzQJJJEATcs"",""2025-26!U4"")"),0.0)</f>
        <v>0</v>
      </c>
      <c r="AQ162" s="55">
        <f>IFERROR(__xludf.DUMMYFUNCTION("IMPORTRANGE(""1zURJm1oFm5EAktQ3_pqZzBthoHcc4825AzQJJJEATcs"",""2025-26!U3"")"),0.0)</f>
        <v>0</v>
      </c>
      <c r="AR162" s="55">
        <f>IFERROR(__xludf.DUMMYFUNCTION("IMPORTRANGE(""1zURJm1oFm5EAktQ3_pqZzBthoHcc4825AzQJJJEATcs"",""2025-26!V4"")"),0.0)</f>
        <v>0</v>
      </c>
      <c r="AS162" s="55">
        <f>IFERROR(__xludf.DUMMYFUNCTION("IMPORTRANGE(""1zURJm1oFm5EAktQ3_pqZzBthoHcc4825AzQJJJEATcs"",""2025-26!V3"")"),0.0)</f>
        <v>0</v>
      </c>
      <c r="AT162" s="55">
        <f>IFERROR(__xludf.DUMMYFUNCTION("IMPORTRANGE(""1zURJm1oFm5EAktQ3_pqZzBthoHcc4825AzQJJJEATcs"",""2025-26!W4"")"),38529.6)</f>
        <v>38529.6</v>
      </c>
      <c r="AU162" s="55">
        <f>IFERROR(__xludf.DUMMYFUNCTION("IMPORTRANGE(""1zURJm1oFm5EAktQ3_pqZzBthoHcc4825AzQJJJEATcs"",""2025-26!W3"")"),9.0)</f>
        <v>9</v>
      </c>
      <c r="AV162" s="58" t="str">
        <f t="shared" si="60"/>
        <v/>
      </c>
      <c r="AW162" s="55">
        <f>IFERROR(__xludf.DUMMYFUNCTION("IMPORTRANGE(""1zURJm1oFm5EAktQ3_pqZzBthoHcc4825AzQJJJEATcs"",""2025-26!X4"")"),0.0)</f>
        <v>0</v>
      </c>
      <c r="AX162" s="55">
        <f>IFERROR(__xludf.DUMMYFUNCTION("IMPORTRANGE(""1zURJm1oFm5EAktQ3_pqZzBthoHcc4825AzQJJJEATcs"",""2025-26!X3"")"),0.0)</f>
        <v>0</v>
      </c>
      <c r="AY162" s="55">
        <f>IFERROR(__xludf.DUMMYFUNCTION("IMPORTRANGE(""1zURJm1oFm5EAktQ3_pqZzBthoHcc4825AzQJJJEATcs"",""2025-26!Y4"")"),0.0)</f>
        <v>0</v>
      </c>
      <c r="AZ162" s="55">
        <f>IFERROR(__xludf.DUMMYFUNCTION("IMPORTRANGE(""1zURJm1oFm5EAktQ3_pqZzBthoHcc4825AzQJJJEATcs"",""2025-26!Y3"")"),0.0)</f>
        <v>0</v>
      </c>
      <c r="BA162" s="55">
        <f>IFERROR(__xludf.DUMMYFUNCTION("IMPORTRANGE(""1zURJm1oFm5EAktQ3_pqZzBthoHcc4825AzQJJJEATcs"",""2025-26!Z4"")"),0.0)</f>
        <v>0</v>
      </c>
      <c r="BB162" s="55">
        <f>IFERROR(__xludf.DUMMYFUNCTION("IMPORTRANGE(""1zURJm1oFm5EAktQ3_pqZzBthoHcc4825AzQJJJEATcs"",""2025-26!Z3"")"),0.0)</f>
        <v>0</v>
      </c>
      <c r="BC162" s="59" t="str">
        <f t="shared" si="61"/>
        <v/>
      </c>
      <c r="BD162" s="55">
        <f>IFERROR(__xludf.DUMMYFUNCTION("IMPORTRANGE(""1zURJm1oFm5EAktQ3_pqZzBthoHcc4825AzQJJJEATcs"",""2025-26!AA4"")"),0.0)</f>
        <v>0</v>
      </c>
      <c r="BE162" s="55">
        <f>IFERROR(__xludf.DUMMYFUNCTION("IMPORTRANGE(""1zURJm1oFm5EAktQ3_pqZzBthoHcc4825AzQJJJEATcs"",""2025-26!AA3"")"),0.0)</f>
        <v>0</v>
      </c>
      <c r="BF162" s="55">
        <f>IFERROR(__xludf.DUMMYFUNCTION("IMPORTRANGE(""1zURJm1oFm5EAktQ3_pqZzBthoHcc4825AzQJJJEATcs"",""2025-26!AB4"")"),0.0)</f>
        <v>0</v>
      </c>
      <c r="BG162" s="55">
        <f>IFERROR(__xludf.DUMMYFUNCTION("IMPORTRANGE(""1zURJm1oFm5EAktQ3_pqZzBthoHcc4825AzQJJJEATcs"",""2025-26!AB3"")"),0.0)</f>
        <v>0</v>
      </c>
      <c r="BH162" s="55">
        <f>IFERROR(__xludf.DUMMYFUNCTION("IMPORTRANGE(""1zURJm1oFm5EAktQ3_pqZzBthoHcc4825AzQJJJEATcs"",""2025-26!AC4"")"),0.0)</f>
        <v>0</v>
      </c>
      <c r="BI162" s="55">
        <f>IFERROR(__xludf.DUMMYFUNCTION("IMPORTRANGE(""1zURJm1oFm5EAktQ3_pqZzBthoHcc4825AzQJJJEATcs"",""2025-26!AC3"")"),0.0)</f>
        <v>0</v>
      </c>
      <c r="BJ162" s="59" t="str">
        <f t="shared" si="62"/>
        <v/>
      </c>
      <c r="BK162" s="55">
        <f>IFERROR(__xludf.DUMMYFUNCTION("IMPORTRANGE(""1zURJm1oFm5EAktQ3_pqZzBthoHcc4825AzQJJJEATcs"",""2025-26!AD4"")"),0.0)</f>
        <v>0</v>
      </c>
      <c r="BL162" s="55">
        <f>IFERROR(__xludf.DUMMYFUNCTION("IMPORTRANGE(""1zURJm1oFm5EAktQ3_pqZzBthoHcc4825AzQJJJEATcs"",""2025-26!AD3"")"),0.0)</f>
        <v>0</v>
      </c>
      <c r="BM162" s="55">
        <f>IFERROR(__xludf.DUMMYFUNCTION("IMPORTRANGE(""1zURJm1oFm5EAktQ3_pqZzBthoHcc4825AzQJJJEATcs"",""2025-26!AE4"")"),0.0)</f>
        <v>0</v>
      </c>
      <c r="BN162" s="55">
        <f>IFERROR(__xludf.DUMMYFUNCTION("IMPORTRANGE(""1zURJm1oFm5EAktQ3_pqZzBthoHcc4825AzQJJJEATcs"",""2025-26!AE3"")"),0.0)</f>
        <v>0</v>
      </c>
      <c r="BO162" s="55">
        <f>IFERROR(__xludf.DUMMYFUNCTION("IMPORTRANGE(""1zURJm1oFm5EAktQ3_pqZzBthoHcc4825AzQJJJEATcs"",""2025-26!AF4"")"),0.0)</f>
        <v>0</v>
      </c>
      <c r="BP162" s="55">
        <f>IFERROR(__xludf.DUMMYFUNCTION("IMPORTRANGE(""1zURJm1oFm5EAktQ3_pqZzBthoHcc4825AzQJJJEATcs"",""2025-26!AF3"")"),0.0)</f>
        <v>0</v>
      </c>
      <c r="BQ162" s="59" t="str">
        <f t="shared" si="63"/>
        <v/>
      </c>
      <c r="BR162" s="55">
        <f>IFERROR(__xludf.DUMMYFUNCTION("IMPORTRANGE(""1zURJm1oFm5EAktQ3_pqZzBthoHcc4825AzQJJJEATcs"",""2025-26!AG4"")"),0.0)</f>
        <v>0</v>
      </c>
      <c r="BS162" s="55">
        <f>IFERROR(__xludf.DUMMYFUNCTION("IMPORTRANGE(""1zURJm1oFm5EAktQ3_pqZzBthoHcc4825AzQJJJEATcs"",""2025-26!AG3"")"),0.0)</f>
        <v>0</v>
      </c>
      <c r="BT162" s="55">
        <f>IFERROR(__xludf.DUMMYFUNCTION("IMPORTRANGE(""1zURJm1oFm5EAktQ3_pqZzBthoHcc4825AzQJJJEATcs"",""2025-26!AH4"")"),0.0)</f>
        <v>0</v>
      </c>
      <c r="BU162" s="55">
        <f>IFERROR(__xludf.DUMMYFUNCTION("IMPORTRANGE(""1zURJm1oFm5EAktQ3_pqZzBthoHcc4825AzQJJJEATcs"",""2025-26!AH3"")"),0.0)</f>
        <v>0</v>
      </c>
      <c r="BV162" s="55">
        <f>IFERROR(__xludf.DUMMYFUNCTION("IMPORTRANGE(""1zURJm1oFm5EAktQ3_pqZzBthoHcc4825AzQJJJEATcs"",""2025-26!AI4"")"),0.0)</f>
        <v>0</v>
      </c>
      <c r="BW162" s="55">
        <f>IFERROR(__xludf.DUMMYFUNCTION("IMPORTRANGE(""1zURJm1oFm5EAktQ3_pqZzBthoHcc4825AzQJJJEATcs"",""2025-26!AI3"")"),0.0)</f>
        <v>0</v>
      </c>
      <c r="BX162" s="59" t="str">
        <f t="shared" si="64"/>
        <v/>
      </c>
      <c r="BY162" s="55">
        <f>IFERROR(__xludf.DUMMYFUNCTION("IMPORTRANGE(""1zURJm1oFm5EAktQ3_pqZzBthoHcc4825AzQJJJEATcs"",""2025-26!AJ4"")"),0.0)</f>
        <v>0</v>
      </c>
      <c r="BZ162" s="55">
        <f>IFERROR(__xludf.DUMMYFUNCTION("IMPORTRANGE(""1zURJm1oFm5EAktQ3_pqZzBthoHcc4825AzQJJJEATcs"",""2025-26!AJ3"")"),0.0)</f>
        <v>0</v>
      </c>
      <c r="CA162" s="55">
        <f>IFERROR(__xludf.DUMMYFUNCTION("IMPORTRANGE(""1zURJm1oFm5EAktQ3_pqZzBthoHcc4825AzQJJJEATcs"",""2025-26!AK4"")"),0.0)</f>
        <v>0</v>
      </c>
      <c r="CB162" s="55">
        <f>IFERROR(__xludf.DUMMYFUNCTION("IMPORTRANGE(""1zURJm1oFm5EAktQ3_pqZzBthoHcc4825AzQJJJEATcs"",""2025-26!AK3"")"),0.0)</f>
        <v>0</v>
      </c>
      <c r="CC162" s="55">
        <f>IFERROR(__xludf.DUMMYFUNCTION("IMPORTRANGE(""1zURJm1oFm5EAktQ3_pqZzBthoHcc4825AzQJJJEATcs"",""2025-26!AL4"")"),0.0)</f>
        <v>0</v>
      </c>
      <c r="CD162" s="55">
        <f>IFERROR(__xludf.DUMMYFUNCTION("IMPORTRANGE(""1zURJm1oFm5EAktQ3_pqZzBthoHcc4825AzQJJJEATcs"",""2025-26!AL3"")"),0.0)</f>
        <v>0</v>
      </c>
      <c r="CE162" s="59" t="str">
        <f t="shared" si="65"/>
        <v/>
      </c>
      <c r="CF162" s="55">
        <f>IFERROR(__xludf.DUMMYFUNCTION("IMPORTRANGE(""1zURJm1oFm5EAktQ3_pqZzBthoHcc4825AzQJJJEATcs"",""2025-26!AM4"")"),0.0)</f>
        <v>0</v>
      </c>
      <c r="CG162" s="55">
        <f>IFERROR(__xludf.DUMMYFUNCTION("IMPORTRANGE(""1zURJm1oFm5EAktQ3_pqZzBthoHcc4825AzQJJJEATcs"",""2025-26!AM3"")"),0.0)</f>
        <v>0</v>
      </c>
      <c r="CH162" s="55">
        <f>IFERROR(__xludf.DUMMYFUNCTION("IMPORTRANGE(""1zURJm1oFm5EAktQ3_pqZzBthoHcc4825AzQJJJEATcs"",""2025-26!AN4"")"),0.0)</f>
        <v>0</v>
      </c>
      <c r="CI162" s="55">
        <f>IFERROR(__xludf.DUMMYFUNCTION("IMPORTRANGE(""1zURJm1oFm5EAktQ3_pqZzBthoHcc4825AzQJJJEATcs"",""2025-26!AN3"")"),0.0)</f>
        <v>0</v>
      </c>
      <c r="CJ162" s="55">
        <f>IFERROR(__xludf.DUMMYFUNCTION("IMPORTRANGE(""1zURJm1oFm5EAktQ3_pqZzBthoHcc4825AzQJJJEATcs"",""2025-26!AO4"")"),0.0)</f>
        <v>0</v>
      </c>
      <c r="CK162" s="55">
        <f>IFERROR(__xludf.DUMMYFUNCTION("IMPORTRANGE(""1zURJm1oFm5EAktQ3_pqZzBthoHcc4825AzQJJJEATcs"",""2025-26!AO3"")"),0.0)</f>
        <v>0</v>
      </c>
      <c r="CL162" s="59" t="str">
        <f t="shared" si="66"/>
        <v/>
      </c>
      <c r="CM162" s="55">
        <f>IFERROR(__xludf.DUMMYFUNCTION("IMPORTRANGE(""1zURJm1oFm5EAktQ3_pqZzBthoHcc4825AzQJJJEATcs"",""2025-26!AP4"")"),0.0)</f>
        <v>0</v>
      </c>
      <c r="CN162" s="55">
        <f>IFERROR(__xludf.DUMMYFUNCTION("IMPORTRANGE(""1zURJm1oFm5EAktQ3_pqZzBthoHcc4825AzQJJJEATcs"",""2025-26!AP3"")"),0.0)</f>
        <v>0</v>
      </c>
      <c r="CO162" s="55">
        <f>IFERROR(__xludf.DUMMYFUNCTION("IMPORTRANGE(""1zURJm1oFm5EAktQ3_pqZzBthoHcc4825AzQJJJEATcs"",""2025-26!AQ4"")"),0.0)</f>
        <v>0</v>
      </c>
      <c r="CP162" s="55">
        <f>IFERROR(__xludf.DUMMYFUNCTION("IMPORTRANGE(""1zURJm1oFm5EAktQ3_pqZzBthoHcc4825AzQJJJEATcs"",""2025-26!AQ3"")"),0.0)</f>
        <v>0</v>
      </c>
      <c r="CQ162" s="55">
        <f>IFERROR(__xludf.DUMMYFUNCTION("IMPORTRANGE(""1zURJm1oFm5EAktQ3_pqZzBthoHcc4825AzQJJJEATcs"",""2025-26!AR4"")"),0.0)</f>
        <v>0</v>
      </c>
      <c r="CR162" s="55">
        <f>IFERROR(__xludf.DUMMYFUNCTION("IMPORTRANGE(""1zURJm1oFm5EAktQ3_pqZzBthoHcc4825AzQJJJEATcs"",""2025-26!AR3"")"),0.0)</f>
        <v>0</v>
      </c>
      <c r="CS162" s="59" t="str">
        <f t="shared" si="67"/>
        <v/>
      </c>
      <c r="CT162" s="55">
        <f>IFERROR(__xludf.DUMMYFUNCTION("IMPORTRANGE(""1zURJm1oFm5EAktQ3_pqZzBthoHcc4825AzQJJJEATcs"",""2025-26!AS4"")"),0.0)</f>
        <v>0</v>
      </c>
      <c r="CU162" s="55">
        <f>IFERROR(__xludf.DUMMYFUNCTION("IMPORTRANGE(""1zURJm1oFm5EAktQ3_pqZzBthoHcc4825AzQJJJEATcs"",""2025-26!AS3"")"),0.0)</f>
        <v>0</v>
      </c>
      <c r="CV162" s="60" t="s">
        <v>101</v>
      </c>
    </row>
    <row r="163">
      <c r="A163" s="133" t="s">
        <v>97</v>
      </c>
      <c r="B163" s="134" t="s">
        <v>97</v>
      </c>
      <c r="C163" s="131" t="s">
        <v>342</v>
      </c>
      <c r="D163" s="65" t="s">
        <v>343</v>
      </c>
      <c r="E163" s="68">
        <v>8.157830021E9</v>
      </c>
      <c r="F163" s="66">
        <v>45751.0</v>
      </c>
      <c r="G163" s="62"/>
      <c r="H163" s="62"/>
      <c r="I163" s="53">
        <f>VLOOKUP($C163,Data!$C:$BV,72,0)</f>
        <v>37760</v>
      </c>
      <c r="J163" s="54">
        <v>1881250.0</v>
      </c>
      <c r="K163" s="55">
        <f>IFERROR(__xludf.DUMMYFUNCTION("IMPORTRANGE(""1A47NaRY9Ez80_IndAlNdl9ozjHJpwBqyo9WI4sWIq3g"",""2025-26!A3"")"),233.0)</f>
        <v>233</v>
      </c>
      <c r="L163" s="55">
        <f>IFERROR(__xludf.DUMMYFUNCTION("IMPORTRANGE(""1A47NaRY9Ez80_IndAlNdl9ozjHJpwBqyo9WI4sWIq3g"",""2025-26!G4"")"),2.2575E7)</f>
        <v>22575000</v>
      </c>
      <c r="M163" s="55">
        <f t="shared" si="53"/>
        <v>2797610.9</v>
      </c>
      <c r="N163" s="56">
        <f t="shared" si="54"/>
        <v>0</v>
      </c>
      <c r="O163" s="57">
        <f t="shared" si="55"/>
        <v>0</v>
      </c>
      <c r="P163" s="55">
        <f>IFERROR(__xludf.DUMMYFUNCTION("IMPORTRANGE(""1A47NaRY9Ez80_IndAlNdl9ozjHJpwBqyo9WI4sWIq3g"",""2025-26!J4"")"),1006000.0)</f>
        <v>1006000</v>
      </c>
      <c r="Q163" s="55">
        <f>IFERROR(__xludf.DUMMYFUNCTION("IMPORTRANGE(""1A47NaRY9Ez80_IndAlNdl9ozjHJpwBqyo9WI4sWIq3g"",""2025-26!J3"")"),51.0)</f>
        <v>51</v>
      </c>
      <c r="R163" s="55">
        <f>IFERROR(__xludf.DUMMYFUNCTION("IMPORTRANGE(""1A47NaRY9Ez80_IndAlNdl9ozjHJpwBqyo9WI4sWIq3g"",""2025-26!K4"")"),0.0)</f>
        <v>0</v>
      </c>
      <c r="S163" s="55">
        <f>IFERROR(__xludf.DUMMYFUNCTION("IMPORTRANGE(""1A47NaRY9Ez80_IndAlNdl9ozjHJpwBqyo9WI4sWIq3g"",""2025-26!K3"")"),0.0)</f>
        <v>0</v>
      </c>
      <c r="T163" s="58">
        <f t="shared" si="56"/>
        <v>0</v>
      </c>
      <c r="U163" s="55">
        <f>IFERROR(__xludf.DUMMYFUNCTION("IMPORTRANGE(""1A47NaRY9Ez80_IndAlNdl9ozjHJpwBqyo9WI4sWIq3g"",""2025-26!L4"")"),0.0)</f>
        <v>0</v>
      </c>
      <c r="V163" s="55">
        <f>IFERROR(__xludf.DUMMYFUNCTION("IMPORTRANGE(""1A47NaRY9Ez80_IndAlNdl9ozjHJpwBqyo9WI4sWIq3g"",""2025-26!L3"")"),0.0)</f>
        <v>0</v>
      </c>
      <c r="W163" s="55">
        <f>IFERROR(__xludf.DUMMYFUNCTION("IMPORTRANGE(""1A47NaRY9Ez80_IndAlNdl9ozjHJpwBqyo9WI4sWIq3g"",""2025-26!m4"")"),2184000.0)</f>
        <v>2184000</v>
      </c>
      <c r="X163" s="55">
        <f>IFERROR(__xludf.DUMMYFUNCTION("IMPORTRANGE(""1A47NaRY9Ez80_IndAlNdl9ozjHJpwBqyo9WI4sWIq3g"",""2025-26!m3"")"),71.0)</f>
        <v>71</v>
      </c>
      <c r="Y163" s="55">
        <f>IFERROR(__xludf.DUMMYFUNCTION("IMPORTRANGE(""1A47NaRY9Ez80_IndAlNdl9ozjHJpwBqyo9WI4sWIq3g"",""2025-26!N4"")"),1004701.4)</f>
        <v>1004701.4</v>
      </c>
      <c r="Z163" s="55">
        <f>IFERROR(__xludf.DUMMYFUNCTION("IMPORTRANGE(""1A47NaRY9Ez80_IndAlNdl9ozjHJpwBqyo9WI4sWIq3g"",""2025-26!N3"")"),35.0)</f>
        <v>35</v>
      </c>
      <c r="AA163" s="58">
        <f t="shared" si="57"/>
        <v>0</v>
      </c>
      <c r="AB163" s="55">
        <f>IFERROR(__xludf.DUMMYFUNCTION("IMPORTRANGE(""1A47NaRY9Ez80_IndAlNdl9ozjHJpwBqyo9WI4sWIq3g"",""2025-26!O4"")"),0.0)</f>
        <v>0</v>
      </c>
      <c r="AC163" s="55">
        <f>IFERROR(__xludf.DUMMYFUNCTION("IMPORTRANGE(""1A47NaRY9Ez80_IndAlNdl9ozjHJpwBqyo9WI4sWIq3g"",""2025-26!O3"")"),0.0)</f>
        <v>0</v>
      </c>
      <c r="AD163" s="55">
        <f>IFERROR(__xludf.DUMMYFUNCTION("IMPORTRANGE(""1A47NaRY9Ez80_IndAlNdl9ozjHJpwBqyo9WI4sWIq3g"",""2025-26!P4"")"),2150000.0)</f>
        <v>2150000</v>
      </c>
      <c r="AE163" s="55">
        <f>IFERROR(__xludf.DUMMYFUNCTION("IMPORTRANGE(""1A47NaRY9Ez80_IndAlNdl9ozjHJpwBqyo9WI4sWIq3g"",""2025-26!P3"")"),74.0)</f>
        <v>74</v>
      </c>
      <c r="AF163" s="55">
        <f>IFERROR(__xludf.DUMMYFUNCTION("IMPORTRANGE(""1A47NaRY9Ez80_IndAlNdl9ozjHJpwBqyo9WI4sWIq3g"",""2025-26!Q4"")"),1221952.2)</f>
        <v>1221952.2</v>
      </c>
      <c r="AG163" s="55">
        <f>IFERROR(__xludf.DUMMYFUNCTION("IMPORTRANGE(""1A47NaRY9Ez80_IndAlNdl9ozjHJpwBqyo9WI4sWIq3g"",""2025-26!Q3"")"),40.0)</f>
        <v>40</v>
      </c>
      <c r="AH163" s="58">
        <f t="shared" si="58"/>
        <v>0</v>
      </c>
      <c r="AI163" s="55">
        <f>IFERROR(__xludf.DUMMYFUNCTION("IMPORTRANGE(""1A47NaRY9Ez80_IndAlNdl9ozjHJpwBqyo9WI4sWIq3g"",""2025-26!R4"")"),0.0)</f>
        <v>0</v>
      </c>
      <c r="AJ163" s="55">
        <f>IFERROR(__xludf.DUMMYFUNCTION("IMPORTRANGE(""1A47NaRY9Ez80_IndAlNdl9ozjHJpwBqyo9WI4sWIq3g"",""2025-26!R3"")"),0.0)</f>
        <v>0</v>
      </c>
      <c r="AK163" s="55">
        <f>IFERROR(__xludf.DUMMYFUNCTION("IMPORTRANGE(""1A47NaRY9Ez80_IndAlNdl9ozjHJpwBqyo9WI4sWIq3g"",""2025-26!S4"")"),1242000.0)</f>
        <v>1242000</v>
      </c>
      <c r="AL163" s="55">
        <f>IFERROR(__xludf.DUMMYFUNCTION("IMPORTRANGE(""1A47NaRY9Ez80_IndAlNdl9ozjHJpwBqyo9WI4sWIq3g"",""2025-26!S3"")"),51.0)</f>
        <v>51</v>
      </c>
      <c r="AM163" s="55">
        <f>IFERROR(__xludf.DUMMYFUNCTION("IMPORTRANGE(""1A47NaRY9Ez80_IndAlNdl9ozjHJpwBqyo9WI4sWIq3g"",""2025-26!T4"")"),489139.6999999999)</f>
        <v>489139.7</v>
      </c>
      <c r="AN163" s="55">
        <f>IFERROR(__xludf.DUMMYFUNCTION("IMPORTRANGE(""1A47NaRY9Ez80_IndAlNdl9ozjHJpwBqyo9WI4sWIq3g"",""2025-26!T3"")"),22.0)</f>
        <v>22</v>
      </c>
      <c r="AO163" s="58">
        <f t="shared" si="59"/>
        <v>0</v>
      </c>
      <c r="AP163" s="55">
        <f>IFERROR(__xludf.DUMMYFUNCTION("IMPORTRANGE(""1A47NaRY9Ez80_IndAlNdl9ozjHJpwBqyo9WI4sWIq3g"",""2025-26!U4"")"),0.0)</f>
        <v>0</v>
      </c>
      <c r="AQ163" s="55">
        <f>IFERROR(__xludf.DUMMYFUNCTION("IMPORTRANGE(""1A47NaRY9Ez80_IndAlNdl9ozjHJpwBqyo9WI4sWIq3g"",""2025-26!U3"")"),0.0)</f>
        <v>0</v>
      </c>
      <c r="AR163" s="55">
        <f>IFERROR(__xludf.DUMMYFUNCTION("IMPORTRANGE(""1A47NaRY9Ez80_IndAlNdl9ozjHJpwBqyo9WI4sWIq3g"",""2025-26!V4"")"),1738000.0)</f>
        <v>1738000</v>
      </c>
      <c r="AS163" s="55">
        <f>IFERROR(__xludf.DUMMYFUNCTION("IMPORTRANGE(""1A47NaRY9Ez80_IndAlNdl9ozjHJpwBqyo9WI4sWIq3g"",""2025-26!V3"")"),63.0)</f>
        <v>63</v>
      </c>
      <c r="AT163" s="55">
        <f>IFERROR(__xludf.DUMMYFUNCTION("IMPORTRANGE(""1A47NaRY9Ez80_IndAlNdl9ozjHJpwBqyo9WI4sWIq3g"",""2025-26!W4"")"),81817.6)</f>
        <v>81817.6</v>
      </c>
      <c r="AU163" s="55">
        <f>IFERROR(__xludf.DUMMYFUNCTION("IMPORTRANGE(""1A47NaRY9Ez80_IndAlNdl9ozjHJpwBqyo9WI4sWIq3g"",""2025-26!W3"")"),7.0)</f>
        <v>7</v>
      </c>
      <c r="AV163" s="58">
        <f t="shared" si="60"/>
        <v>0</v>
      </c>
      <c r="AW163" s="55">
        <f>IFERROR(__xludf.DUMMYFUNCTION("IMPORTRANGE(""1A47NaRY9Ez80_IndAlNdl9ozjHJpwBqyo9WI4sWIq3g"",""2025-26!X4"")"),0.0)</f>
        <v>0</v>
      </c>
      <c r="AX163" s="55">
        <f>IFERROR(__xludf.DUMMYFUNCTION("IMPORTRANGE(""1A47NaRY9Ez80_IndAlNdl9ozjHJpwBqyo9WI4sWIq3g"",""2025-26!X3"")"),0.0)</f>
        <v>0</v>
      </c>
      <c r="AY163" s="55">
        <f>IFERROR(__xludf.DUMMYFUNCTION("IMPORTRANGE(""1A47NaRY9Ez80_IndAlNdl9ozjHJpwBqyo9WI4sWIq3g"",""2025-26!Y4"")"),1976000.0)</f>
        <v>1976000</v>
      </c>
      <c r="AZ163" s="55">
        <f>IFERROR(__xludf.DUMMYFUNCTION("IMPORTRANGE(""1A47NaRY9Ez80_IndAlNdl9ozjHJpwBqyo9WI4sWIq3g"",""2025-26!Y3"")"),57.0)</f>
        <v>57</v>
      </c>
      <c r="BA163" s="55">
        <f>IFERROR(__xludf.DUMMYFUNCTION("IMPORTRANGE(""1A47NaRY9Ez80_IndAlNdl9ozjHJpwBqyo9WI4sWIq3g"",""2025-26!Z4"")"),0.0)</f>
        <v>0</v>
      </c>
      <c r="BB163" s="55">
        <f>IFERROR(__xludf.DUMMYFUNCTION("IMPORTRANGE(""1A47NaRY9Ez80_IndAlNdl9ozjHJpwBqyo9WI4sWIq3g"",""2025-26!Z3"")"),0.0)</f>
        <v>0</v>
      </c>
      <c r="BC163" s="59">
        <f t="shared" si="61"/>
        <v>0</v>
      </c>
      <c r="BD163" s="55">
        <f>IFERROR(__xludf.DUMMYFUNCTION("IMPORTRANGE(""1A47NaRY9Ez80_IndAlNdl9ozjHJpwBqyo9WI4sWIq3g"",""2025-26!AA4"")"),0.0)</f>
        <v>0</v>
      </c>
      <c r="BE163" s="55">
        <f>IFERROR(__xludf.DUMMYFUNCTION("IMPORTRANGE(""1A47NaRY9Ez80_IndAlNdl9ozjHJpwBqyo9WI4sWIq3g"",""2025-26!AA3"")"),0.0)</f>
        <v>0</v>
      </c>
      <c r="BF163" s="55">
        <f>IFERROR(__xludf.DUMMYFUNCTION("IMPORTRANGE(""1A47NaRY9Ez80_IndAlNdl9ozjHJpwBqyo9WI4sWIq3g"",""2025-26!AB4"")"),0.0)</f>
        <v>0</v>
      </c>
      <c r="BG163" s="55">
        <f>IFERROR(__xludf.DUMMYFUNCTION("IMPORTRANGE(""1A47NaRY9Ez80_IndAlNdl9ozjHJpwBqyo9WI4sWIq3g"",""2025-26!AB3"")"),0.0)</f>
        <v>0</v>
      </c>
      <c r="BH163" s="55">
        <f>IFERROR(__xludf.DUMMYFUNCTION("IMPORTRANGE(""1A47NaRY9Ez80_IndAlNdl9ozjHJpwBqyo9WI4sWIq3g"",""2025-26!AC4"")"),0.0)</f>
        <v>0</v>
      </c>
      <c r="BI163" s="55">
        <f>IFERROR(__xludf.DUMMYFUNCTION("IMPORTRANGE(""1A47NaRY9Ez80_IndAlNdl9ozjHJpwBqyo9WI4sWIq3g"",""2025-26!AC3"")"),0.0)</f>
        <v>0</v>
      </c>
      <c r="BJ163" s="59" t="str">
        <f t="shared" si="62"/>
        <v/>
      </c>
      <c r="BK163" s="55">
        <f>IFERROR(__xludf.DUMMYFUNCTION("IMPORTRANGE(""1A47NaRY9Ez80_IndAlNdl9ozjHJpwBqyo9WI4sWIq3g"",""2025-26!AD4"")"),0.0)</f>
        <v>0</v>
      </c>
      <c r="BL163" s="55">
        <f>IFERROR(__xludf.DUMMYFUNCTION("IMPORTRANGE(""1A47NaRY9Ez80_IndAlNdl9ozjHJpwBqyo9WI4sWIq3g"",""2025-26!AD3"")"),0.0)</f>
        <v>0</v>
      </c>
      <c r="BM163" s="55">
        <f>IFERROR(__xludf.DUMMYFUNCTION("IMPORTRANGE(""1A47NaRY9Ez80_IndAlNdl9ozjHJpwBqyo9WI4sWIq3g"",""2025-26!AE4"")"),0.0)</f>
        <v>0</v>
      </c>
      <c r="BN163" s="55">
        <f>IFERROR(__xludf.DUMMYFUNCTION("IMPORTRANGE(""1A47NaRY9Ez80_IndAlNdl9ozjHJpwBqyo9WI4sWIq3g"",""2025-26!AE3"")"),0.0)</f>
        <v>0</v>
      </c>
      <c r="BO163" s="55">
        <f>IFERROR(__xludf.DUMMYFUNCTION("IMPORTRANGE(""1A47NaRY9Ez80_IndAlNdl9ozjHJpwBqyo9WI4sWIq3g"",""2025-26!AF4"")"),0.0)</f>
        <v>0</v>
      </c>
      <c r="BP163" s="55">
        <f>IFERROR(__xludf.DUMMYFUNCTION("IMPORTRANGE(""1A47NaRY9Ez80_IndAlNdl9ozjHJpwBqyo9WI4sWIq3g"",""2025-26!AF3"")"),0.0)</f>
        <v>0</v>
      </c>
      <c r="BQ163" s="59" t="str">
        <f t="shared" si="63"/>
        <v/>
      </c>
      <c r="BR163" s="55">
        <f>IFERROR(__xludf.DUMMYFUNCTION("IMPORTRANGE(""1A47NaRY9Ez80_IndAlNdl9ozjHJpwBqyo9WI4sWIq3g"",""2025-26!AG4"")"),0.0)</f>
        <v>0</v>
      </c>
      <c r="BS163" s="55">
        <f>IFERROR(__xludf.DUMMYFUNCTION("IMPORTRANGE(""1A47NaRY9Ez80_IndAlNdl9ozjHJpwBqyo9WI4sWIq3g"",""2025-26!AG3"")"),0.0)</f>
        <v>0</v>
      </c>
      <c r="BT163" s="55">
        <f>IFERROR(__xludf.DUMMYFUNCTION("IMPORTRANGE(""1A47NaRY9Ez80_IndAlNdl9ozjHJpwBqyo9WI4sWIq3g"",""2025-26!AH4"")"),0.0)</f>
        <v>0</v>
      </c>
      <c r="BU163" s="55">
        <f>IFERROR(__xludf.DUMMYFUNCTION("IMPORTRANGE(""1A47NaRY9Ez80_IndAlNdl9ozjHJpwBqyo9WI4sWIq3g"",""2025-26!AH3"")"),0.0)</f>
        <v>0</v>
      </c>
      <c r="BV163" s="55">
        <f>IFERROR(__xludf.DUMMYFUNCTION("IMPORTRANGE(""1A47NaRY9Ez80_IndAlNdl9ozjHJpwBqyo9WI4sWIq3g"",""2025-26!AI4"")"),0.0)</f>
        <v>0</v>
      </c>
      <c r="BW163" s="55">
        <f>IFERROR(__xludf.DUMMYFUNCTION("IMPORTRANGE(""1A47NaRY9Ez80_IndAlNdl9ozjHJpwBqyo9WI4sWIq3g"",""2025-26!AI3"")"),0.0)</f>
        <v>0</v>
      </c>
      <c r="BX163" s="59" t="str">
        <f t="shared" si="64"/>
        <v/>
      </c>
      <c r="BY163" s="55">
        <f>IFERROR(__xludf.DUMMYFUNCTION("IMPORTRANGE(""1A47NaRY9Ez80_IndAlNdl9ozjHJpwBqyo9WI4sWIq3g"",""2025-26!AJ4"")"),0.0)</f>
        <v>0</v>
      </c>
      <c r="BZ163" s="55">
        <f>IFERROR(__xludf.DUMMYFUNCTION("IMPORTRANGE(""1A47NaRY9Ez80_IndAlNdl9ozjHJpwBqyo9WI4sWIq3g"",""2025-26!AJ3"")"),0.0)</f>
        <v>0</v>
      </c>
      <c r="CA163" s="55">
        <f>IFERROR(__xludf.DUMMYFUNCTION("IMPORTRANGE(""1A47NaRY9Ez80_IndAlNdl9ozjHJpwBqyo9WI4sWIq3g"",""2025-26!AK4"")"),0.0)</f>
        <v>0</v>
      </c>
      <c r="CB163" s="55">
        <f>IFERROR(__xludf.DUMMYFUNCTION("IMPORTRANGE(""1A47NaRY9Ez80_IndAlNdl9ozjHJpwBqyo9WI4sWIq3g"",""2025-26!AK3"")"),0.0)</f>
        <v>0</v>
      </c>
      <c r="CC163" s="55">
        <f>IFERROR(__xludf.DUMMYFUNCTION("IMPORTRANGE(""1A47NaRY9Ez80_IndAlNdl9ozjHJpwBqyo9WI4sWIq3g"",""2025-26!AL4"")"),0.0)</f>
        <v>0</v>
      </c>
      <c r="CD163" s="55">
        <f>IFERROR(__xludf.DUMMYFUNCTION("IMPORTRANGE(""1A47NaRY9Ez80_IndAlNdl9ozjHJpwBqyo9WI4sWIq3g"",""2025-26!AL3"")"),0.0)</f>
        <v>0</v>
      </c>
      <c r="CE163" s="59" t="str">
        <f t="shared" si="65"/>
        <v/>
      </c>
      <c r="CF163" s="55">
        <f>IFERROR(__xludf.DUMMYFUNCTION("IMPORTRANGE(""1A47NaRY9Ez80_IndAlNdl9ozjHJpwBqyo9WI4sWIq3g"",""2025-26!AM4"")"),0.0)</f>
        <v>0</v>
      </c>
      <c r="CG163" s="55">
        <f>IFERROR(__xludf.DUMMYFUNCTION("IMPORTRANGE(""1A47NaRY9Ez80_IndAlNdl9ozjHJpwBqyo9WI4sWIq3g"",""2025-26!AM3"")"),0.0)</f>
        <v>0</v>
      </c>
      <c r="CH163" s="55">
        <f>IFERROR(__xludf.DUMMYFUNCTION("IMPORTRANGE(""1A47NaRY9Ez80_IndAlNdl9ozjHJpwBqyo9WI4sWIq3g"",""2025-26!AN4"")"),0.0)</f>
        <v>0</v>
      </c>
      <c r="CI163" s="55">
        <f>IFERROR(__xludf.DUMMYFUNCTION("IMPORTRANGE(""1A47NaRY9Ez80_IndAlNdl9ozjHJpwBqyo9WI4sWIq3g"",""2025-26!AN3"")"),0.0)</f>
        <v>0</v>
      </c>
      <c r="CJ163" s="55">
        <f>IFERROR(__xludf.DUMMYFUNCTION("IMPORTRANGE(""1A47NaRY9Ez80_IndAlNdl9ozjHJpwBqyo9WI4sWIq3g"",""2025-26!AO4"")"),0.0)</f>
        <v>0</v>
      </c>
      <c r="CK163" s="55">
        <f>IFERROR(__xludf.DUMMYFUNCTION("IMPORTRANGE(""1A47NaRY9Ez80_IndAlNdl9ozjHJpwBqyo9WI4sWIq3g"",""2025-26!AO3"")"),0.0)</f>
        <v>0</v>
      </c>
      <c r="CL163" s="59" t="str">
        <f t="shared" si="66"/>
        <v/>
      </c>
      <c r="CM163" s="55">
        <f>IFERROR(__xludf.DUMMYFUNCTION("IMPORTRANGE(""1A47NaRY9Ez80_IndAlNdl9ozjHJpwBqyo9WI4sWIq3g"",""2025-26!AP4"")"),0.0)</f>
        <v>0</v>
      </c>
      <c r="CN163" s="55">
        <f>IFERROR(__xludf.DUMMYFUNCTION("IMPORTRANGE(""1A47NaRY9Ez80_IndAlNdl9ozjHJpwBqyo9WI4sWIq3g"",""2025-26!AP3"")"),0.0)</f>
        <v>0</v>
      </c>
      <c r="CO163" s="55">
        <f>IFERROR(__xludf.DUMMYFUNCTION("IMPORTRANGE(""1A47NaRY9Ez80_IndAlNdl9ozjHJpwBqyo9WI4sWIq3g"",""2025-26!AQ4"")"),0.0)</f>
        <v>0</v>
      </c>
      <c r="CP163" s="55">
        <f>IFERROR(__xludf.DUMMYFUNCTION("IMPORTRANGE(""1A47NaRY9Ez80_IndAlNdl9ozjHJpwBqyo9WI4sWIq3g"",""2025-26!AQ3"")"),0.0)</f>
        <v>0</v>
      </c>
      <c r="CQ163" s="55">
        <f>IFERROR(__xludf.DUMMYFUNCTION("IMPORTRANGE(""1A47NaRY9Ez80_IndAlNdl9ozjHJpwBqyo9WI4sWIq3g"",""2025-26!AR4"")"),0.0)</f>
        <v>0</v>
      </c>
      <c r="CR163" s="55">
        <f>IFERROR(__xludf.DUMMYFUNCTION("IMPORTRANGE(""1A47NaRY9Ez80_IndAlNdl9ozjHJpwBqyo9WI4sWIq3g"",""2025-26!AR3"")"),0.0)</f>
        <v>0</v>
      </c>
      <c r="CS163" s="59" t="str">
        <f t="shared" si="67"/>
        <v/>
      </c>
      <c r="CT163" s="55">
        <f>IFERROR(__xludf.DUMMYFUNCTION("IMPORTRANGE(""1A47NaRY9Ez80_IndAlNdl9ozjHJpwBqyo9WI4sWIq3g"",""2025-26!AS4"")"),0.0)</f>
        <v>0</v>
      </c>
      <c r="CU163" s="55">
        <f>IFERROR(__xludf.DUMMYFUNCTION("IMPORTRANGE(""1A47NaRY9Ez80_IndAlNdl9ozjHJpwBqyo9WI4sWIq3g"",""2025-26!AS3"")"),0.0)</f>
        <v>0</v>
      </c>
      <c r="CV163" s="60" t="s">
        <v>101</v>
      </c>
    </row>
    <row r="164">
      <c r="A164" s="133" t="s">
        <v>97</v>
      </c>
      <c r="B164" s="134" t="s">
        <v>97</v>
      </c>
      <c r="C164" s="135" t="s">
        <v>344</v>
      </c>
      <c r="D164" s="65" t="s">
        <v>345</v>
      </c>
      <c r="E164" s="68">
        <v>9.747835234E9</v>
      </c>
      <c r="F164" s="66">
        <v>45842.0</v>
      </c>
      <c r="G164" s="62"/>
      <c r="H164" s="62"/>
      <c r="I164" s="53">
        <f>VLOOKUP($C164,Data!$C:$BV,34,0)</f>
        <v>36190</v>
      </c>
      <c r="J164" s="54">
        <v>1097777.778</v>
      </c>
      <c r="K164" s="55">
        <f>IFERROR(__xludf.DUMMYFUNCTION("IMPORTRANGE(""1Xam3HNG_r0r6TYycyBKmMsliick4kXfGwMFnVdM4MRU"",""2025-26!A3"")"),22.0)</f>
        <v>22</v>
      </c>
      <c r="L164" s="55">
        <f>IFERROR(__xludf.DUMMYFUNCTION("IMPORTRANGE(""1Xam3HNG_r0r6TYycyBKmMsliick4kXfGwMFnVdM4MRU"",""2025-26!G4"")"),0.0)</f>
        <v>0</v>
      </c>
      <c r="M164" s="55">
        <f t="shared" si="53"/>
        <v>0</v>
      </c>
      <c r="N164" s="56" t="str">
        <f t="shared" si="54"/>
        <v>#DIV/0!</v>
      </c>
      <c r="O164" s="57">
        <f t="shared" si="55"/>
        <v>0</v>
      </c>
      <c r="P164" s="55">
        <f>IFERROR(__xludf.DUMMYFUNCTION("IMPORTRANGE(""1Xam3HNG_r0r6TYycyBKmMsliick4kXfGwMFnVdM4MRU"",""2025-26!J4"")"),0.0)</f>
        <v>0</v>
      </c>
      <c r="Q164" s="55">
        <f>IFERROR(__xludf.DUMMYFUNCTION("IMPORTRANGE(""1Xam3HNG_r0r6TYycyBKmMsliick4kXfGwMFnVdM4MRU"",""2025-26!J3"")"),0.0)</f>
        <v>0</v>
      </c>
      <c r="R164" s="55">
        <f>IFERROR(__xludf.DUMMYFUNCTION("IMPORTRANGE(""1Xam3HNG_r0r6TYycyBKmMsliick4kXfGwMFnVdM4MRU"",""2025-26!K4"")"),0.0)</f>
        <v>0</v>
      </c>
      <c r="S164" s="55">
        <f>IFERROR(__xludf.DUMMYFUNCTION("IMPORTRANGE(""1Xam3HNG_r0r6TYycyBKmMsliick4kXfGwMFnVdM4MRU"",""2025-26!K3"")"),0.0)</f>
        <v>0</v>
      </c>
      <c r="T164" s="58" t="str">
        <f t="shared" si="56"/>
        <v/>
      </c>
      <c r="U164" s="55">
        <f>IFERROR(__xludf.DUMMYFUNCTION("IMPORTRANGE(""1Xam3HNG_r0r6TYycyBKmMsliick4kXfGwMFnVdM4MRU"",""2025-26!L4"")"),0.0)</f>
        <v>0</v>
      </c>
      <c r="V164" s="55">
        <f>IFERROR(__xludf.DUMMYFUNCTION("IMPORTRANGE(""1Xam3HNG_r0r6TYycyBKmMsliick4kXfGwMFnVdM4MRU"",""2025-26!L3"")"),0.0)</f>
        <v>0</v>
      </c>
      <c r="W164" s="55">
        <f>IFERROR(__xludf.DUMMYFUNCTION("IMPORTRANGE(""1Xam3HNG_r0r6TYycyBKmMsliick4kXfGwMFnVdM4MRU"",""2025-26!m4"")"),0.0)</f>
        <v>0</v>
      </c>
      <c r="X164" s="55">
        <f>IFERROR(__xludf.DUMMYFUNCTION("IMPORTRANGE(""1Xam3HNG_r0r6TYycyBKmMsliick4kXfGwMFnVdM4MRU"",""2025-26!m3"")"),0.0)</f>
        <v>0</v>
      </c>
      <c r="Y164" s="55">
        <f>IFERROR(__xludf.DUMMYFUNCTION("IMPORTRANGE(""1Xam3HNG_r0r6TYycyBKmMsliick4kXfGwMFnVdM4MRU"",""2025-26!N4"")"),0.0)</f>
        <v>0</v>
      </c>
      <c r="Z164" s="55">
        <f>IFERROR(__xludf.DUMMYFUNCTION("IMPORTRANGE(""1Xam3HNG_r0r6TYycyBKmMsliick4kXfGwMFnVdM4MRU"",""2025-26!N3"")"),0.0)</f>
        <v>0</v>
      </c>
      <c r="AA164" s="58" t="str">
        <f t="shared" si="57"/>
        <v/>
      </c>
      <c r="AB164" s="55">
        <f>IFERROR(__xludf.DUMMYFUNCTION("IMPORTRANGE(""1Xam3HNG_r0r6TYycyBKmMsliick4kXfGwMFnVdM4MRU"",""2025-26!O4"")"),0.0)</f>
        <v>0</v>
      </c>
      <c r="AC164" s="55">
        <f>IFERROR(__xludf.DUMMYFUNCTION("IMPORTRANGE(""1Xam3HNG_r0r6TYycyBKmMsliick4kXfGwMFnVdM4MRU"",""2025-26!O3"")"),0.0)</f>
        <v>0</v>
      </c>
      <c r="AD164" s="55">
        <f>IFERROR(__xludf.DUMMYFUNCTION("IMPORTRANGE(""1Xam3HNG_r0r6TYycyBKmMsliick4kXfGwMFnVdM4MRU"",""2025-26!P4"")"),0.0)</f>
        <v>0</v>
      </c>
      <c r="AE164" s="55">
        <f>IFERROR(__xludf.DUMMYFUNCTION("IMPORTRANGE(""1Xam3HNG_r0r6TYycyBKmMsliick4kXfGwMFnVdM4MRU"",""2025-26!P3"")"),0.0)</f>
        <v>0</v>
      </c>
      <c r="AF164" s="55">
        <f>IFERROR(__xludf.DUMMYFUNCTION("IMPORTRANGE(""1Xam3HNG_r0r6TYycyBKmMsliick4kXfGwMFnVdM4MRU"",""2025-26!Q4"")"),0.0)</f>
        <v>0</v>
      </c>
      <c r="AG164" s="55">
        <f>IFERROR(__xludf.DUMMYFUNCTION("IMPORTRANGE(""1Xam3HNG_r0r6TYycyBKmMsliick4kXfGwMFnVdM4MRU"",""2025-26!Q3"")"),0.0)</f>
        <v>0</v>
      </c>
      <c r="AH164" s="58" t="str">
        <f t="shared" si="58"/>
        <v/>
      </c>
      <c r="AI164" s="55">
        <f>IFERROR(__xludf.DUMMYFUNCTION("IMPORTRANGE(""1Xam3HNG_r0r6TYycyBKmMsliick4kXfGwMFnVdM4MRU"",""2025-26!R4"")"),0.0)</f>
        <v>0</v>
      </c>
      <c r="AJ164" s="55">
        <f>IFERROR(__xludf.DUMMYFUNCTION("IMPORTRANGE(""1Xam3HNG_r0r6TYycyBKmMsliick4kXfGwMFnVdM4MRU"",""2025-26!R3"")"),0.0)</f>
        <v>0</v>
      </c>
      <c r="AK164" s="55">
        <f>IFERROR(__xludf.DUMMYFUNCTION("IMPORTRANGE(""1Xam3HNG_r0r6TYycyBKmMsliick4kXfGwMFnVdM4MRU"",""2025-26!S4"")"),0.0)</f>
        <v>0</v>
      </c>
      <c r="AL164" s="55">
        <f>IFERROR(__xludf.DUMMYFUNCTION("IMPORTRANGE(""1Xam3HNG_r0r6TYycyBKmMsliick4kXfGwMFnVdM4MRU"",""2025-26!S3"")"),0.0)</f>
        <v>0</v>
      </c>
      <c r="AM164" s="55">
        <f>IFERROR(__xludf.DUMMYFUNCTION("IMPORTRANGE(""1Xam3HNG_r0r6TYycyBKmMsliick4kXfGwMFnVdM4MRU"",""2025-26!T4"")"),0.0)</f>
        <v>0</v>
      </c>
      <c r="AN164" s="55">
        <f>IFERROR(__xludf.DUMMYFUNCTION("IMPORTRANGE(""1Xam3HNG_r0r6TYycyBKmMsliick4kXfGwMFnVdM4MRU"",""2025-26!T3"")"),0.0)</f>
        <v>0</v>
      </c>
      <c r="AO164" s="58" t="str">
        <f t="shared" si="59"/>
        <v/>
      </c>
      <c r="AP164" s="55">
        <f>IFERROR(__xludf.DUMMYFUNCTION("IMPORTRANGE(""1Xam3HNG_r0r6TYycyBKmMsliick4kXfGwMFnVdM4MRU"",""2025-26!U4"")"),0.0)</f>
        <v>0</v>
      </c>
      <c r="AQ164" s="55">
        <f>IFERROR(__xludf.DUMMYFUNCTION("IMPORTRANGE(""1Xam3HNG_r0r6TYycyBKmMsliick4kXfGwMFnVdM4MRU"",""2025-26!U3"")"),0.0)</f>
        <v>0</v>
      </c>
      <c r="AR164" s="55">
        <f>IFERROR(__xludf.DUMMYFUNCTION("IMPORTRANGE(""1Xam3HNG_r0r6TYycyBKmMsliick4kXfGwMFnVdM4MRU"",""2025-26!V4"")"),0.0)</f>
        <v>0</v>
      </c>
      <c r="AS164" s="55">
        <f>IFERROR(__xludf.DUMMYFUNCTION("IMPORTRANGE(""1Xam3HNG_r0r6TYycyBKmMsliick4kXfGwMFnVdM4MRU"",""2025-26!V3"")"),0.0)</f>
        <v>0</v>
      </c>
      <c r="AT164" s="55">
        <f>IFERROR(__xludf.DUMMYFUNCTION("IMPORTRANGE(""1Xam3HNG_r0r6TYycyBKmMsliick4kXfGwMFnVdM4MRU"",""2025-26!W4"")"),0.0)</f>
        <v>0</v>
      </c>
      <c r="AU164" s="55">
        <f>IFERROR(__xludf.DUMMYFUNCTION("IMPORTRANGE(""1Xam3HNG_r0r6TYycyBKmMsliick4kXfGwMFnVdM4MRU"",""2025-26!W3"")"),0.0)</f>
        <v>0</v>
      </c>
      <c r="AV164" s="58" t="str">
        <f t="shared" si="60"/>
        <v/>
      </c>
      <c r="AW164" s="55">
        <f>IFERROR(__xludf.DUMMYFUNCTION("IMPORTRANGE(""1Xam3HNG_r0r6TYycyBKmMsliick4kXfGwMFnVdM4MRU"",""2025-26!X4"")"),0.0)</f>
        <v>0</v>
      </c>
      <c r="AX164" s="55">
        <f>IFERROR(__xludf.DUMMYFUNCTION("IMPORTRANGE(""1Xam3HNG_r0r6TYycyBKmMsliick4kXfGwMFnVdM4MRU"",""2025-26!X3"")"),0.0)</f>
        <v>0</v>
      </c>
      <c r="AY164" s="55">
        <f>IFERROR(__xludf.DUMMYFUNCTION("IMPORTRANGE(""1Xam3HNG_r0r6TYycyBKmMsliick4kXfGwMFnVdM4MRU"",""2025-26!Y4"")"),0.0)</f>
        <v>0</v>
      </c>
      <c r="AZ164" s="55">
        <f>IFERROR(__xludf.DUMMYFUNCTION("IMPORTRANGE(""1Xam3HNG_r0r6TYycyBKmMsliick4kXfGwMFnVdM4MRU"",""2025-26!Y3"")"),0.0)</f>
        <v>0</v>
      </c>
      <c r="BA164" s="55">
        <f>IFERROR(__xludf.DUMMYFUNCTION("IMPORTRANGE(""1Xam3HNG_r0r6TYycyBKmMsliick4kXfGwMFnVdM4MRU"",""2025-26!Z4"")"),0.0)</f>
        <v>0</v>
      </c>
      <c r="BB164" s="55">
        <f>IFERROR(__xludf.DUMMYFUNCTION("IMPORTRANGE(""1Xam3HNG_r0r6TYycyBKmMsliick4kXfGwMFnVdM4MRU"",""2025-26!Z3"")"),0.0)</f>
        <v>0</v>
      </c>
      <c r="BC164" s="59" t="str">
        <f t="shared" si="61"/>
        <v/>
      </c>
      <c r="BD164" s="55">
        <f>IFERROR(__xludf.DUMMYFUNCTION("IMPORTRANGE(""1Xam3HNG_r0r6TYycyBKmMsliick4kXfGwMFnVdM4MRU"",""2025-26!AA4"")"),0.0)</f>
        <v>0</v>
      </c>
      <c r="BE164" s="55">
        <f>IFERROR(__xludf.DUMMYFUNCTION("IMPORTRANGE(""1Xam3HNG_r0r6TYycyBKmMsliick4kXfGwMFnVdM4MRU"",""2025-26!AA3"")"),0.0)</f>
        <v>0</v>
      </c>
      <c r="BF164" s="55">
        <f>IFERROR(__xludf.DUMMYFUNCTION("IMPORTRANGE(""1Xam3HNG_r0r6TYycyBKmMsliick4kXfGwMFnVdM4MRU"",""2025-26!AB4"")"),0.0)</f>
        <v>0</v>
      </c>
      <c r="BG164" s="55">
        <f>IFERROR(__xludf.DUMMYFUNCTION("IMPORTRANGE(""1Xam3HNG_r0r6TYycyBKmMsliick4kXfGwMFnVdM4MRU"",""2025-26!AB3"")"),0.0)</f>
        <v>0</v>
      </c>
      <c r="BH164" s="55">
        <f>IFERROR(__xludf.DUMMYFUNCTION("IMPORTRANGE(""1Xam3HNG_r0r6TYycyBKmMsliick4kXfGwMFnVdM4MRU"",""2025-26!AC4"")"),0.0)</f>
        <v>0</v>
      </c>
      <c r="BI164" s="55">
        <f>IFERROR(__xludf.DUMMYFUNCTION("IMPORTRANGE(""1Xam3HNG_r0r6TYycyBKmMsliick4kXfGwMFnVdM4MRU"",""2025-26!AC3"")"),0.0)</f>
        <v>0</v>
      </c>
      <c r="BJ164" s="59" t="str">
        <f t="shared" si="62"/>
        <v/>
      </c>
      <c r="BK164" s="55">
        <f>IFERROR(__xludf.DUMMYFUNCTION("IMPORTRANGE(""1Xam3HNG_r0r6TYycyBKmMsliick4kXfGwMFnVdM4MRU"",""2025-26!AD4"")"),0.0)</f>
        <v>0</v>
      </c>
      <c r="BL164" s="55">
        <f>IFERROR(__xludf.DUMMYFUNCTION("IMPORTRANGE(""1Xam3HNG_r0r6TYycyBKmMsliick4kXfGwMFnVdM4MRU"",""2025-26!AD3"")"),0.0)</f>
        <v>0</v>
      </c>
      <c r="BM164" s="55">
        <f>IFERROR(__xludf.DUMMYFUNCTION("IMPORTRANGE(""1Xam3HNG_r0r6TYycyBKmMsliick4kXfGwMFnVdM4MRU"",""2025-26!AE4"")"),0.0)</f>
        <v>0</v>
      </c>
      <c r="BN164" s="55">
        <f>IFERROR(__xludf.DUMMYFUNCTION("IMPORTRANGE(""1Xam3HNG_r0r6TYycyBKmMsliick4kXfGwMFnVdM4MRU"",""2025-26!AE3"")"),0.0)</f>
        <v>0</v>
      </c>
      <c r="BO164" s="55">
        <f>IFERROR(__xludf.DUMMYFUNCTION("IMPORTRANGE(""1Xam3HNG_r0r6TYycyBKmMsliick4kXfGwMFnVdM4MRU"",""2025-26!AF4"")"),0.0)</f>
        <v>0</v>
      </c>
      <c r="BP164" s="55">
        <f>IFERROR(__xludf.DUMMYFUNCTION("IMPORTRANGE(""1Xam3HNG_r0r6TYycyBKmMsliick4kXfGwMFnVdM4MRU"",""2025-26!AF3"")"),0.0)</f>
        <v>0</v>
      </c>
      <c r="BQ164" s="59" t="str">
        <f t="shared" si="63"/>
        <v/>
      </c>
      <c r="BR164" s="55">
        <f>IFERROR(__xludf.DUMMYFUNCTION("IMPORTRANGE(""1Xam3HNG_r0r6TYycyBKmMsliick4kXfGwMFnVdM4MRU"",""2025-26!AG4"")"),0.0)</f>
        <v>0</v>
      </c>
      <c r="BS164" s="55">
        <f>IFERROR(__xludf.DUMMYFUNCTION("IMPORTRANGE(""1Xam3HNG_r0r6TYycyBKmMsliick4kXfGwMFnVdM4MRU"",""2025-26!AG3"")"),0.0)</f>
        <v>0</v>
      </c>
      <c r="BT164" s="55">
        <f>IFERROR(__xludf.DUMMYFUNCTION("IMPORTRANGE(""1Xam3HNG_r0r6TYycyBKmMsliick4kXfGwMFnVdM4MRU"",""2025-26!AH4"")"),0.0)</f>
        <v>0</v>
      </c>
      <c r="BU164" s="55">
        <f>IFERROR(__xludf.DUMMYFUNCTION("IMPORTRANGE(""1Xam3HNG_r0r6TYycyBKmMsliick4kXfGwMFnVdM4MRU"",""2025-26!AH3"")"),0.0)</f>
        <v>0</v>
      </c>
      <c r="BV164" s="55">
        <f>IFERROR(__xludf.DUMMYFUNCTION("IMPORTRANGE(""1Xam3HNG_r0r6TYycyBKmMsliick4kXfGwMFnVdM4MRU"",""2025-26!AI4"")"),0.0)</f>
        <v>0</v>
      </c>
      <c r="BW164" s="55">
        <f>IFERROR(__xludf.DUMMYFUNCTION("IMPORTRANGE(""1Xam3HNG_r0r6TYycyBKmMsliick4kXfGwMFnVdM4MRU"",""2025-26!AI3"")"),0.0)</f>
        <v>0</v>
      </c>
      <c r="BX164" s="59" t="str">
        <f t="shared" si="64"/>
        <v/>
      </c>
      <c r="BY164" s="55">
        <f>IFERROR(__xludf.DUMMYFUNCTION("IMPORTRANGE(""1Xam3HNG_r0r6TYycyBKmMsliick4kXfGwMFnVdM4MRU"",""2025-26!AJ4"")"),0.0)</f>
        <v>0</v>
      </c>
      <c r="BZ164" s="55">
        <f>IFERROR(__xludf.DUMMYFUNCTION("IMPORTRANGE(""1Xam3HNG_r0r6TYycyBKmMsliick4kXfGwMFnVdM4MRU"",""2025-26!AJ3"")"),0.0)</f>
        <v>0</v>
      </c>
      <c r="CA164" s="55">
        <f>IFERROR(__xludf.DUMMYFUNCTION("IMPORTRANGE(""1Xam3HNG_r0r6TYycyBKmMsliick4kXfGwMFnVdM4MRU"",""2025-26!AK4"")"),0.0)</f>
        <v>0</v>
      </c>
      <c r="CB164" s="55">
        <f>IFERROR(__xludf.DUMMYFUNCTION("IMPORTRANGE(""1Xam3HNG_r0r6TYycyBKmMsliick4kXfGwMFnVdM4MRU"",""2025-26!AK3"")"),0.0)</f>
        <v>0</v>
      </c>
      <c r="CC164" s="55">
        <f>IFERROR(__xludf.DUMMYFUNCTION("IMPORTRANGE(""1Xam3HNG_r0r6TYycyBKmMsliick4kXfGwMFnVdM4MRU"",""2025-26!AL4"")"),0.0)</f>
        <v>0</v>
      </c>
      <c r="CD164" s="55">
        <f>IFERROR(__xludf.DUMMYFUNCTION("IMPORTRANGE(""1Xam3HNG_r0r6TYycyBKmMsliick4kXfGwMFnVdM4MRU"",""2025-26!AL3"")"),0.0)</f>
        <v>0</v>
      </c>
      <c r="CE164" s="59" t="str">
        <f t="shared" si="65"/>
        <v/>
      </c>
      <c r="CF164" s="55">
        <f>IFERROR(__xludf.DUMMYFUNCTION("IMPORTRANGE(""1Xam3HNG_r0r6TYycyBKmMsliick4kXfGwMFnVdM4MRU"",""2025-26!AM4"")"),0.0)</f>
        <v>0</v>
      </c>
      <c r="CG164" s="55">
        <f>IFERROR(__xludf.DUMMYFUNCTION("IMPORTRANGE(""1Xam3HNG_r0r6TYycyBKmMsliick4kXfGwMFnVdM4MRU"",""2025-26!AM3"")"),0.0)</f>
        <v>0</v>
      </c>
      <c r="CH164" s="55">
        <f>IFERROR(__xludf.DUMMYFUNCTION("IMPORTRANGE(""1Xam3HNG_r0r6TYycyBKmMsliick4kXfGwMFnVdM4MRU"",""2025-26!AN4"")"),0.0)</f>
        <v>0</v>
      </c>
      <c r="CI164" s="55">
        <f>IFERROR(__xludf.DUMMYFUNCTION("IMPORTRANGE(""1Xam3HNG_r0r6TYycyBKmMsliick4kXfGwMFnVdM4MRU"",""2025-26!AN3"")"),0.0)</f>
        <v>0</v>
      </c>
      <c r="CJ164" s="55">
        <f>IFERROR(__xludf.DUMMYFUNCTION("IMPORTRANGE(""1Xam3HNG_r0r6TYycyBKmMsliick4kXfGwMFnVdM4MRU"",""2025-26!AO4"")"),0.0)</f>
        <v>0</v>
      </c>
      <c r="CK164" s="55">
        <f>IFERROR(__xludf.DUMMYFUNCTION("IMPORTRANGE(""1Xam3HNG_r0r6TYycyBKmMsliick4kXfGwMFnVdM4MRU"",""2025-26!AO3"")"),0.0)</f>
        <v>0</v>
      </c>
      <c r="CL164" s="59" t="str">
        <f t="shared" si="66"/>
        <v/>
      </c>
      <c r="CM164" s="55">
        <f>IFERROR(__xludf.DUMMYFUNCTION("IMPORTRANGE(""1Xam3HNG_r0r6TYycyBKmMsliick4kXfGwMFnVdM4MRU"",""2025-26!AP4"")"),0.0)</f>
        <v>0</v>
      </c>
      <c r="CN164" s="55">
        <f>IFERROR(__xludf.DUMMYFUNCTION("IMPORTRANGE(""1Xam3HNG_r0r6TYycyBKmMsliick4kXfGwMFnVdM4MRU"",""2025-26!AP3"")"),0.0)</f>
        <v>0</v>
      </c>
      <c r="CO164" s="55">
        <f>IFERROR(__xludf.DUMMYFUNCTION("IMPORTRANGE(""1Xam3HNG_r0r6TYycyBKmMsliick4kXfGwMFnVdM4MRU"",""2025-26!AQ4"")"),0.0)</f>
        <v>0</v>
      </c>
      <c r="CP164" s="55">
        <f>IFERROR(__xludf.DUMMYFUNCTION("IMPORTRANGE(""1Xam3HNG_r0r6TYycyBKmMsliick4kXfGwMFnVdM4MRU"",""2025-26!AQ3"")"),0.0)</f>
        <v>0</v>
      </c>
      <c r="CQ164" s="55">
        <f>IFERROR(__xludf.DUMMYFUNCTION("IMPORTRANGE(""1Xam3HNG_r0r6TYycyBKmMsliick4kXfGwMFnVdM4MRU"",""2025-26!AR4"")"),0.0)</f>
        <v>0</v>
      </c>
      <c r="CR164" s="55">
        <f>IFERROR(__xludf.DUMMYFUNCTION("IMPORTRANGE(""1Xam3HNG_r0r6TYycyBKmMsliick4kXfGwMFnVdM4MRU"",""2025-26!AR3"")"),0.0)</f>
        <v>0</v>
      </c>
      <c r="CS164" s="59" t="str">
        <f t="shared" si="67"/>
        <v/>
      </c>
      <c r="CT164" s="55">
        <f>IFERROR(__xludf.DUMMYFUNCTION("IMPORTRANGE(""1Xam3HNG_r0r6TYycyBKmMsliick4kXfGwMFnVdM4MRU"",""2025-26!AS4"")"),0.0)</f>
        <v>0</v>
      </c>
      <c r="CU164" s="55">
        <f>IFERROR(__xludf.DUMMYFUNCTION("IMPORTRANGE(""1Xam3HNG_r0r6TYycyBKmMsliick4kXfGwMFnVdM4MRU"",""2025-26!AS3"")"),0.0)</f>
        <v>0</v>
      </c>
      <c r="CV164" s="60" t="s">
        <v>101</v>
      </c>
    </row>
    <row r="165">
      <c r="A165" s="133" t="s">
        <v>97</v>
      </c>
      <c r="B165" s="94" t="s">
        <v>97</v>
      </c>
      <c r="C165" s="130" t="s">
        <v>346</v>
      </c>
      <c r="D165" s="65" t="s">
        <v>347</v>
      </c>
      <c r="E165" s="50">
        <v>9.447030229E9</v>
      </c>
      <c r="F165" s="66">
        <v>45444.0</v>
      </c>
      <c r="G165" s="62"/>
      <c r="H165" s="62"/>
      <c r="I165" s="53">
        <f>VLOOKUP($C165,Data!$C:$BV,34,0)</f>
        <v>36000</v>
      </c>
      <c r="J165" s="54">
        <v>1375000.0</v>
      </c>
      <c r="K165" s="55">
        <f>IFERROR(__xludf.DUMMYFUNCTION("IMPORTRANGE(""1xaLXHXbfkC0WLAYbBrJ8IoXnSnNyeO3X9X4WeRz89cw"",""2025-26!A3"")"),82.0)</f>
        <v>82</v>
      </c>
      <c r="L165" s="55">
        <f>IFERROR(__xludf.DUMMYFUNCTION("IMPORTRANGE(""1xaLXHXbfkC0WLAYbBrJ8IoXnSnNyeO3X9X4WeRz89cw"",""2025-26!G4"")"),0.0)</f>
        <v>0</v>
      </c>
      <c r="M165" s="55">
        <f t="shared" si="53"/>
        <v>7594541.4</v>
      </c>
      <c r="N165" s="56" t="str">
        <f t="shared" si="54"/>
        <v>#DIV/0!</v>
      </c>
      <c r="O165" s="57">
        <f t="shared" si="55"/>
        <v>0</v>
      </c>
      <c r="P165" s="55">
        <f>IFERROR(__xludf.DUMMYFUNCTION("IMPORTRANGE(""1xaLXHXbfkC0WLAYbBrJ8IoXnSnNyeO3X9X4WeRz89cw"",""2025-26!J4"")"),0.0)</f>
        <v>0</v>
      </c>
      <c r="Q165" s="55">
        <f>IFERROR(__xludf.DUMMYFUNCTION("IMPORTRANGE(""1xaLXHXbfkC0WLAYbBrJ8IoXnSnNyeO3X9X4WeRz89cw"",""2025-26!J3"")"),0.0)</f>
        <v>0</v>
      </c>
      <c r="R165" s="55">
        <f>IFERROR(__xludf.DUMMYFUNCTION("IMPORTRANGE(""1xaLXHXbfkC0WLAYbBrJ8IoXnSnNyeO3X9X4WeRz89cw"",""2025-26!K4"")"),741258.2)</f>
        <v>741258.2</v>
      </c>
      <c r="S165" s="55">
        <f>IFERROR(__xludf.DUMMYFUNCTION("IMPORTRANGE(""1xaLXHXbfkC0WLAYbBrJ8IoXnSnNyeO3X9X4WeRz89cw"",""2025-26!K3"")"),13.0)</f>
        <v>13</v>
      </c>
      <c r="T165" s="58" t="str">
        <f t="shared" si="56"/>
        <v/>
      </c>
      <c r="U165" s="55">
        <f>IFERROR(__xludf.DUMMYFUNCTION("IMPORTRANGE(""1xaLXHXbfkC0WLAYbBrJ8IoXnSnNyeO3X9X4WeRz89cw"",""2025-26!L4"")"),0.0)</f>
        <v>0</v>
      </c>
      <c r="V165" s="55">
        <f>IFERROR(__xludf.DUMMYFUNCTION("IMPORTRANGE(""1xaLXHXbfkC0WLAYbBrJ8IoXnSnNyeO3X9X4WeRz89cw"",""2025-26!L3"")"),0.0)</f>
        <v>0</v>
      </c>
      <c r="W165" s="55">
        <f>IFERROR(__xludf.DUMMYFUNCTION("IMPORTRANGE(""1xaLXHXbfkC0WLAYbBrJ8IoXnSnNyeO3X9X4WeRz89cw"",""2025-26!m4"")"),0.0)</f>
        <v>0</v>
      </c>
      <c r="X165" s="55">
        <f>IFERROR(__xludf.DUMMYFUNCTION("IMPORTRANGE(""1xaLXHXbfkC0WLAYbBrJ8IoXnSnNyeO3X9X4WeRz89cw"",""2025-26!m3"")"),0.0)</f>
        <v>0</v>
      </c>
      <c r="Y165" s="55">
        <f>IFERROR(__xludf.DUMMYFUNCTION("IMPORTRANGE(""1xaLXHXbfkC0WLAYbBrJ8IoXnSnNyeO3X9X4WeRz89cw"",""2025-26!N4"")"),664076.2)</f>
        <v>664076.2</v>
      </c>
      <c r="Z165" s="55">
        <f>IFERROR(__xludf.DUMMYFUNCTION("IMPORTRANGE(""1xaLXHXbfkC0WLAYbBrJ8IoXnSnNyeO3X9X4WeRz89cw"",""2025-26!N3"")"),11.0)</f>
        <v>11</v>
      </c>
      <c r="AA165" s="58" t="str">
        <f t="shared" si="57"/>
        <v/>
      </c>
      <c r="AB165" s="55">
        <f>IFERROR(__xludf.DUMMYFUNCTION("IMPORTRANGE(""1xaLXHXbfkC0WLAYbBrJ8IoXnSnNyeO3X9X4WeRz89cw"",""2025-26!O4"")"),0.0)</f>
        <v>0</v>
      </c>
      <c r="AC165" s="55">
        <f>IFERROR(__xludf.DUMMYFUNCTION("IMPORTRANGE(""1xaLXHXbfkC0WLAYbBrJ8IoXnSnNyeO3X9X4WeRz89cw"",""2025-26!O3"")"),0.0)</f>
        <v>0</v>
      </c>
      <c r="AD165" s="55">
        <f>IFERROR(__xludf.DUMMYFUNCTION("IMPORTRANGE(""1xaLXHXbfkC0WLAYbBrJ8IoXnSnNyeO3X9X4WeRz89cw"",""2025-26!P4"")"),0.0)</f>
        <v>0</v>
      </c>
      <c r="AE165" s="55">
        <f>IFERROR(__xludf.DUMMYFUNCTION("IMPORTRANGE(""1xaLXHXbfkC0WLAYbBrJ8IoXnSnNyeO3X9X4WeRz89cw"",""2025-26!P3"")"),0.0)</f>
        <v>0</v>
      </c>
      <c r="AF165" s="55">
        <f>IFERROR(__xludf.DUMMYFUNCTION("IMPORTRANGE(""1xaLXHXbfkC0WLAYbBrJ8IoXnSnNyeO3X9X4WeRz89cw"",""2025-26!Q4"")"),838656.0)</f>
        <v>838656</v>
      </c>
      <c r="AG165" s="55">
        <f>IFERROR(__xludf.DUMMYFUNCTION("IMPORTRANGE(""1xaLXHXbfkC0WLAYbBrJ8IoXnSnNyeO3X9X4WeRz89cw"",""2025-26!Q3"")"),18.0)</f>
        <v>18</v>
      </c>
      <c r="AH165" s="58" t="str">
        <f t="shared" si="58"/>
        <v/>
      </c>
      <c r="AI165" s="55">
        <f>IFERROR(__xludf.DUMMYFUNCTION("IMPORTRANGE(""1xaLXHXbfkC0WLAYbBrJ8IoXnSnNyeO3X9X4WeRz89cw"",""2025-26!R4"")"),0.0)</f>
        <v>0</v>
      </c>
      <c r="AJ165" s="55">
        <f>IFERROR(__xludf.DUMMYFUNCTION("IMPORTRANGE(""1xaLXHXbfkC0WLAYbBrJ8IoXnSnNyeO3X9X4WeRz89cw"",""2025-26!R3"")"),0.0)</f>
        <v>0</v>
      </c>
      <c r="AK165" s="55">
        <f>IFERROR(__xludf.DUMMYFUNCTION("IMPORTRANGE(""1xaLXHXbfkC0WLAYbBrJ8IoXnSnNyeO3X9X4WeRz89cw"",""2025-26!S4"")"),0.0)</f>
        <v>0</v>
      </c>
      <c r="AL165" s="55">
        <f>IFERROR(__xludf.DUMMYFUNCTION("IMPORTRANGE(""1xaLXHXbfkC0WLAYbBrJ8IoXnSnNyeO3X9X4WeRz89cw"",""2025-26!S3"")"),0.0)</f>
        <v>0</v>
      </c>
      <c r="AM165" s="55">
        <f>IFERROR(__xludf.DUMMYFUNCTION("IMPORTRANGE(""1xaLXHXbfkC0WLAYbBrJ8IoXnSnNyeO3X9X4WeRz89cw"",""2025-26!T4"")"),446298.0)</f>
        <v>446298</v>
      </c>
      <c r="AN165" s="55">
        <f>IFERROR(__xludf.DUMMYFUNCTION("IMPORTRANGE(""1xaLXHXbfkC0WLAYbBrJ8IoXnSnNyeO3X9X4WeRz89cw"",""2025-26!T3"")"),12.0)</f>
        <v>12</v>
      </c>
      <c r="AO165" s="58" t="str">
        <f t="shared" si="59"/>
        <v/>
      </c>
      <c r="AP165" s="55">
        <f>IFERROR(__xludf.DUMMYFUNCTION("IMPORTRANGE(""1xaLXHXbfkC0WLAYbBrJ8IoXnSnNyeO3X9X4WeRz89cw"",""2025-26!U4"")"),0.0)</f>
        <v>0</v>
      </c>
      <c r="AQ165" s="55">
        <f>IFERROR(__xludf.DUMMYFUNCTION("IMPORTRANGE(""1xaLXHXbfkC0WLAYbBrJ8IoXnSnNyeO3X9X4WeRz89cw"",""2025-26!U3"")"),0.0)</f>
        <v>0</v>
      </c>
      <c r="AR165" s="55">
        <f>IFERROR(__xludf.DUMMYFUNCTION("IMPORTRANGE(""1xaLXHXbfkC0WLAYbBrJ8IoXnSnNyeO3X9X4WeRz89cw"",""2025-26!V4"")"),0.0)</f>
        <v>0</v>
      </c>
      <c r="AS165" s="55">
        <f>IFERROR(__xludf.DUMMYFUNCTION("IMPORTRANGE(""1xaLXHXbfkC0WLAYbBrJ8IoXnSnNyeO3X9X4WeRz89cw"",""2025-26!V3"")"),0.0)</f>
        <v>0</v>
      </c>
      <c r="AT165" s="55">
        <f>IFERROR(__xludf.DUMMYFUNCTION("IMPORTRANGE(""1xaLXHXbfkC0WLAYbBrJ8IoXnSnNyeO3X9X4WeRz89cw"",""2025-26!W4"")"),701930.4)</f>
        <v>701930.4</v>
      </c>
      <c r="AU165" s="55">
        <f>IFERROR(__xludf.DUMMYFUNCTION("IMPORTRANGE(""1xaLXHXbfkC0WLAYbBrJ8IoXnSnNyeO3X9X4WeRz89cw"",""2025-26!W3"")"),15.0)</f>
        <v>15</v>
      </c>
      <c r="AV165" s="58" t="str">
        <f t="shared" si="60"/>
        <v/>
      </c>
      <c r="AW165" s="55">
        <f>IFERROR(__xludf.DUMMYFUNCTION("IMPORTRANGE(""1xaLXHXbfkC0WLAYbBrJ8IoXnSnNyeO3X9X4WeRz89cw"",""2025-26!X4"")"),0.0)</f>
        <v>0</v>
      </c>
      <c r="AX165" s="55">
        <f>IFERROR(__xludf.DUMMYFUNCTION("IMPORTRANGE(""1xaLXHXbfkC0WLAYbBrJ8IoXnSnNyeO3X9X4WeRz89cw"",""2025-26!X3"")"),0.0)</f>
        <v>0</v>
      </c>
      <c r="AY165" s="55">
        <f>IFERROR(__xludf.DUMMYFUNCTION("IMPORTRANGE(""1xaLXHXbfkC0WLAYbBrJ8IoXnSnNyeO3X9X4WeRz89cw"",""2025-26!Y4"")"),0.0)</f>
        <v>0</v>
      </c>
      <c r="AZ165" s="55">
        <f>IFERROR(__xludf.DUMMYFUNCTION("IMPORTRANGE(""1xaLXHXbfkC0WLAYbBrJ8IoXnSnNyeO3X9X4WeRz89cw"",""2025-26!Y3"")"),0.0)</f>
        <v>0</v>
      </c>
      <c r="BA165" s="55">
        <f>IFERROR(__xludf.DUMMYFUNCTION("IMPORTRANGE(""1xaLXHXbfkC0WLAYbBrJ8IoXnSnNyeO3X9X4WeRz89cw"",""2025-26!Z4"")"),727728.0)</f>
        <v>727728</v>
      </c>
      <c r="BB165" s="55">
        <f>IFERROR(__xludf.DUMMYFUNCTION("IMPORTRANGE(""1xaLXHXbfkC0WLAYbBrJ8IoXnSnNyeO3X9X4WeRz89cw"",""2025-26!Z3"")"),18.0)</f>
        <v>18</v>
      </c>
      <c r="BC165" s="59" t="str">
        <f t="shared" si="61"/>
        <v/>
      </c>
      <c r="BD165" s="55">
        <f>IFERROR(__xludf.DUMMYFUNCTION("IMPORTRANGE(""1xaLXHXbfkC0WLAYbBrJ8IoXnSnNyeO3X9X4WeRz89cw"",""2025-26!AA4"")"),0.0)</f>
        <v>0</v>
      </c>
      <c r="BE165" s="55">
        <f>IFERROR(__xludf.DUMMYFUNCTION("IMPORTRANGE(""1xaLXHXbfkC0WLAYbBrJ8IoXnSnNyeO3X9X4WeRz89cw"",""2025-26!AA3"")"),0.0)</f>
        <v>0</v>
      </c>
      <c r="BF165" s="55">
        <f>IFERROR(__xludf.DUMMYFUNCTION("IMPORTRANGE(""1xaLXHXbfkC0WLAYbBrJ8IoXnSnNyeO3X9X4WeRz89cw"",""2025-26!AB4"")"),0.0)</f>
        <v>0</v>
      </c>
      <c r="BG165" s="55">
        <f>IFERROR(__xludf.DUMMYFUNCTION("IMPORTRANGE(""1xaLXHXbfkC0WLAYbBrJ8IoXnSnNyeO3X9X4WeRz89cw"",""2025-26!AB3"")"),0.0)</f>
        <v>0</v>
      </c>
      <c r="BH165" s="55">
        <f>IFERROR(__xludf.DUMMYFUNCTION("IMPORTRANGE(""1xaLXHXbfkC0WLAYbBrJ8IoXnSnNyeO3X9X4WeRz89cw"",""2025-26!AC4"")"),390960.0)</f>
        <v>390960</v>
      </c>
      <c r="BI165" s="55">
        <f>IFERROR(__xludf.DUMMYFUNCTION("IMPORTRANGE(""1xaLXHXbfkC0WLAYbBrJ8IoXnSnNyeO3X9X4WeRz89cw"",""2025-26!AC3"")"),10.0)</f>
        <v>10</v>
      </c>
      <c r="BJ165" s="59" t="str">
        <f t="shared" si="62"/>
        <v/>
      </c>
      <c r="BK165" s="55">
        <f>IFERROR(__xludf.DUMMYFUNCTION("IMPORTRANGE(""1xaLXHXbfkC0WLAYbBrJ8IoXnSnNyeO3X9X4WeRz89cw"",""2025-26!AD4"")"),0.0)</f>
        <v>0</v>
      </c>
      <c r="BL165" s="55">
        <f>IFERROR(__xludf.DUMMYFUNCTION("IMPORTRANGE(""1xaLXHXbfkC0WLAYbBrJ8IoXnSnNyeO3X9X4WeRz89cw"",""2025-26!AD3"")"),0.0)</f>
        <v>0</v>
      </c>
      <c r="BM165" s="55">
        <f>IFERROR(__xludf.DUMMYFUNCTION("IMPORTRANGE(""1xaLXHXbfkC0WLAYbBrJ8IoXnSnNyeO3X9X4WeRz89cw"",""2025-26!AE4"")"),0.0)</f>
        <v>0</v>
      </c>
      <c r="BN165" s="55">
        <f>IFERROR(__xludf.DUMMYFUNCTION("IMPORTRANGE(""1xaLXHXbfkC0WLAYbBrJ8IoXnSnNyeO3X9X4WeRz89cw"",""2025-26!AE3"")"),0.0)</f>
        <v>0</v>
      </c>
      <c r="BO165" s="55">
        <f>IFERROR(__xludf.DUMMYFUNCTION("IMPORTRANGE(""1xaLXHXbfkC0WLAYbBrJ8IoXnSnNyeO3X9X4WeRz89cw"",""2025-26!AF4"")"),682980.0)</f>
        <v>682980</v>
      </c>
      <c r="BP165" s="55">
        <f>IFERROR(__xludf.DUMMYFUNCTION("IMPORTRANGE(""1xaLXHXbfkC0WLAYbBrJ8IoXnSnNyeO3X9X4WeRz89cw"",""2025-26!AF3"")"),16.0)</f>
        <v>16</v>
      </c>
      <c r="BQ165" s="59" t="str">
        <f t="shared" si="63"/>
        <v/>
      </c>
      <c r="BR165" s="55">
        <f>IFERROR(__xludf.DUMMYFUNCTION("IMPORTRANGE(""1xaLXHXbfkC0WLAYbBrJ8IoXnSnNyeO3X9X4WeRz89cw"",""2025-26!AG4"")"),0.0)</f>
        <v>0</v>
      </c>
      <c r="BS165" s="55">
        <f>IFERROR(__xludf.DUMMYFUNCTION("IMPORTRANGE(""1xaLXHXbfkC0WLAYbBrJ8IoXnSnNyeO3X9X4WeRz89cw"",""2025-26!AG3"")"),0.0)</f>
        <v>0</v>
      </c>
      <c r="BT165" s="55">
        <f>IFERROR(__xludf.DUMMYFUNCTION("IMPORTRANGE(""1xaLXHXbfkC0WLAYbBrJ8IoXnSnNyeO3X9X4WeRz89cw"",""2025-26!AH4"")"),0.0)</f>
        <v>0</v>
      </c>
      <c r="BU165" s="55">
        <f>IFERROR(__xludf.DUMMYFUNCTION("IMPORTRANGE(""1xaLXHXbfkC0WLAYbBrJ8IoXnSnNyeO3X9X4WeRz89cw"",""2025-26!AH3"")"),0.0)</f>
        <v>0</v>
      </c>
      <c r="BV165" s="55">
        <f>IFERROR(__xludf.DUMMYFUNCTION("IMPORTRANGE(""1xaLXHXbfkC0WLAYbBrJ8IoXnSnNyeO3X9X4WeRz89cw"",""2025-26!AI4"")"),388833.60000000003)</f>
        <v>388833.6</v>
      </c>
      <c r="BW165" s="55">
        <f>IFERROR(__xludf.DUMMYFUNCTION("IMPORTRANGE(""1xaLXHXbfkC0WLAYbBrJ8IoXnSnNyeO3X9X4WeRz89cw"",""2025-26!AI3"")"),9.0)</f>
        <v>9</v>
      </c>
      <c r="BX165" s="59" t="str">
        <f t="shared" si="64"/>
        <v/>
      </c>
      <c r="BY165" s="55">
        <f>IFERROR(__xludf.DUMMYFUNCTION("IMPORTRANGE(""1xaLXHXbfkC0WLAYbBrJ8IoXnSnNyeO3X9X4WeRz89cw"",""2025-26!AJ4"")"),0.0)</f>
        <v>0</v>
      </c>
      <c r="BZ165" s="55">
        <f>IFERROR(__xludf.DUMMYFUNCTION("IMPORTRANGE(""1xaLXHXbfkC0WLAYbBrJ8IoXnSnNyeO3X9X4WeRz89cw"",""2025-26!AJ3"")"),0.0)</f>
        <v>0</v>
      </c>
      <c r="CA165" s="55">
        <f>IFERROR(__xludf.DUMMYFUNCTION("IMPORTRANGE(""1xaLXHXbfkC0WLAYbBrJ8IoXnSnNyeO3X9X4WeRz89cw"",""2025-26!AK4"")"),0.0)</f>
        <v>0</v>
      </c>
      <c r="CB165" s="55">
        <f>IFERROR(__xludf.DUMMYFUNCTION("IMPORTRANGE(""1xaLXHXbfkC0WLAYbBrJ8IoXnSnNyeO3X9X4WeRz89cw"",""2025-26!AK3"")"),0.0)</f>
        <v>0</v>
      </c>
      <c r="CC165" s="55">
        <f>IFERROR(__xludf.DUMMYFUNCTION("IMPORTRANGE(""1xaLXHXbfkC0WLAYbBrJ8IoXnSnNyeO3X9X4WeRz89cw"",""2025-26!AL4"")"),1374828.0)</f>
        <v>1374828</v>
      </c>
      <c r="CD165" s="55">
        <f>IFERROR(__xludf.DUMMYFUNCTION("IMPORTRANGE(""1xaLXHXbfkC0WLAYbBrJ8IoXnSnNyeO3X9X4WeRz89cw"",""2025-26!AL3"")"),17.0)</f>
        <v>17</v>
      </c>
      <c r="CE165" s="59" t="str">
        <f t="shared" si="65"/>
        <v/>
      </c>
      <c r="CF165" s="55">
        <f>IFERROR(__xludf.DUMMYFUNCTION("IMPORTRANGE(""1xaLXHXbfkC0WLAYbBrJ8IoXnSnNyeO3X9X4WeRz89cw"",""2025-26!AM4"")"),0.0)</f>
        <v>0</v>
      </c>
      <c r="CG165" s="55">
        <f>IFERROR(__xludf.DUMMYFUNCTION("IMPORTRANGE(""1xaLXHXbfkC0WLAYbBrJ8IoXnSnNyeO3X9X4WeRz89cw"",""2025-26!AM3"")"),0.0)</f>
        <v>0</v>
      </c>
      <c r="CH165" s="55">
        <f>IFERROR(__xludf.DUMMYFUNCTION("IMPORTRANGE(""1xaLXHXbfkC0WLAYbBrJ8IoXnSnNyeO3X9X4WeRz89cw"",""2025-26!AN4"")"),0.0)</f>
        <v>0</v>
      </c>
      <c r="CI165" s="55">
        <f>IFERROR(__xludf.DUMMYFUNCTION("IMPORTRANGE(""1xaLXHXbfkC0WLAYbBrJ8IoXnSnNyeO3X9X4WeRz89cw"",""2025-26!AN3"")"),0.0)</f>
        <v>0</v>
      </c>
      <c r="CJ165" s="55">
        <f>IFERROR(__xludf.DUMMYFUNCTION("IMPORTRANGE(""1xaLXHXbfkC0WLAYbBrJ8IoXnSnNyeO3X9X4WeRz89cw"",""2025-26!AO4"")"),236262.0)</f>
        <v>236262</v>
      </c>
      <c r="CK165" s="55">
        <f>IFERROR(__xludf.DUMMYFUNCTION("IMPORTRANGE(""1xaLXHXbfkC0WLAYbBrJ8IoXnSnNyeO3X9X4WeRz89cw"",""2025-26!AO3"")"),5.0)</f>
        <v>5</v>
      </c>
      <c r="CL165" s="59" t="str">
        <f t="shared" si="66"/>
        <v/>
      </c>
      <c r="CM165" s="55">
        <f>IFERROR(__xludf.DUMMYFUNCTION("IMPORTRANGE(""1xaLXHXbfkC0WLAYbBrJ8IoXnSnNyeO3X9X4WeRz89cw"",""2025-26!AP4"")"),0.0)</f>
        <v>0</v>
      </c>
      <c r="CN165" s="55">
        <f>IFERROR(__xludf.DUMMYFUNCTION("IMPORTRANGE(""1xaLXHXbfkC0WLAYbBrJ8IoXnSnNyeO3X9X4WeRz89cw"",""2025-26!AP3"")"),0.0)</f>
        <v>0</v>
      </c>
      <c r="CO165" s="55">
        <f>IFERROR(__xludf.DUMMYFUNCTION("IMPORTRANGE(""1xaLXHXbfkC0WLAYbBrJ8IoXnSnNyeO3X9X4WeRz89cw"",""2025-26!AQ4"")"),0.0)</f>
        <v>0</v>
      </c>
      <c r="CP165" s="55">
        <f>IFERROR(__xludf.DUMMYFUNCTION("IMPORTRANGE(""1xaLXHXbfkC0WLAYbBrJ8IoXnSnNyeO3X9X4WeRz89cw"",""2025-26!AQ3"")"),0.0)</f>
        <v>0</v>
      </c>
      <c r="CQ165" s="55">
        <f>IFERROR(__xludf.DUMMYFUNCTION("IMPORTRANGE(""1xaLXHXbfkC0WLAYbBrJ8IoXnSnNyeO3X9X4WeRz89cw"",""2025-26!AR4"")"),400731.0)</f>
        <v>400731</v>
      </c>
      <c r="CR165" s="55">
        <f>IFERROR(__xludf.DUMMYFUNCTION("IMPORTRANGE(""1xaLXHXbfkC0WLAYbBrJ8IoXnSnNyeO3X9X4WeRz89cw"",""2025-26!AR3"")"),8.0)</f>
        <v>8</v>
      </c>
      <c r="CS165" s="59" t="str">
        <f t="shared" si="67"/>
        <v/>
      </c>
      <c r="CT165" s="55">
        <f>IFERROR(__xludf.DUMMYFUNCTION("IMPORTRANGE(""1xaLXHXbfkC0WLAYbBrJ8IoXnSnNyeO3X9X4WeRz89cw"",""2025-26!AS4"")"),0.0)</f>
        <v>0</v>
      </c>
      <c r="CU165" s="55">
        <f>IFERROR(__xludf.DUMMYFUNCTION("IMPORTRANGE(""1xaLXHXbfkC0WLAYbBrJ8IoXnSnNyeO3X9X4WeRz89cw"",""2025-26!AS3"")"),0.0)</f>
        <v>0</v>
      </c>
      <c r="CV165" s="60" t="s">
        <v>101</v>
      </c>
    </row>
    <row r="166">
      <c r="A166" s="133" t="s">
        <v>97</v>
      </c>
      <c r="B166" s="94" t="s">
        <v>97</v>
      </c>
      <c r="C166" s="131" t="s">
        <v>348</v>
      </c>
      <c r="D166" s="65" t="s">
        <v>349</v>
      </c>
      <c r="E166" s="50">
        <v>9.53964677E9</v>
      </c>
      <c r="F166" s="83" t="s">
        <v>350</v>
      </c>
      <c r="G166" s="62"/>
      <c r="H166" s="62"/>
      <c r="I166" s="53">
        <f>VLOOKUP($C166,Data!$C:$BV,72,0)</f>
        <v>26792</v>
      </c>
      <c r="J166" s="54">
        <v>1166666.667</v>
      </c>
      <c r="K166" s="55">
        <f>IFERROR(__xludf.DUMMYFUNCTION("IMPORTRANGE(""1hnyLRjEoQlSh_U0zxMrdRMGzEWIA7gaDnPP-iyIBG6A"",""2025-26!A3"")"),102.0)</f>
        <v>102</v>
      </c>
      <c r="L166" s="55">
        <f>IFERROR(__xludf.DUMMYFUNCTION("IMPORTRANGE(""1hnyLRjEoQlSh_U0zxMrdRMGzEWIA7gaDnPP-iyIBG6A"",""2025-26!G4"")"),2.266E7)</f>
        <v>22660000</v>
      </c>
      <c r="M166" s="55">
        <f t="shared" si="53"/>
        <v>4551251.08</v>
      </c>
      <c r="N166" s="56">
        <f t="shared" si="54"/>
        <v>0</v>
      </c>
      <c r="O166" s="57">
        <f t="shared" si="55"/>
        <v>0</v>
      </c>
      <c r="P166" s="55">
        <f>IFERROR(__xludf.DUMMYFUNCTION("IMPORTRANGE(""1hnyLRjEoQlSh_U0zxMrdRMGzEWIA7gaDnPP-iyIBG6A"",""2025-26!J4"")"),1133400.0)</f>
        <v>1133400</v>
      </c>
      <c r="Q166" s="55">
        <f>IFERROR(__xludf.DUMMYFUNCTION("IMPORTRANGE(""1hnyLRjEoQlSh_U0zxMrdRMGzEWIA7gaDnPP-iyIBG6A"",""2025-26!J3"")"),54.0)</f>
        <v>54</v>
      </c>
      <c r="R166" s="55">
        <f>IFERROR(__xludf.DUMMYFUNCTION("IMPORTRANGE(""1hnyLRjEoQlSh_U0zxMrdRMGzEWIA7gaDnPP-iyIBG6A"",""2025-26!K4"")"),669224.5)</f>
        <v>669224.5</v>
      </c>
      <c r="S166" s="55">
        <f>IFERROR(__xludf.DUMMYFUNCTION("IMPORTRANGE(""1hnyLRjEoQlSh_U0zxMrdRMGzEWIA7gaDnPP-iyIBG6A"",""2025-26!K3"")"),23.0)</f>
        <v>23</v>
      </c>
      <c r="T166" s="58">
        <f t="shared" si="56"/>
        <v>0</v>
      </c>
      <c r="U166" s="55">
        <f>IFERROR(__xludf.DUMMYFUNCTION("IMPORTRANGE(""1hnyLRjEoQlSh_U0zxMrdRMGzEWIA7gaDnPP-iyIBG6A"",""2025-26!L4"")"),0.0)</f>
        <v>0</v>
      </c>
      <c r="V166" s="55">
        <f>IFERROR(__xludf.DUMMYFUNCTION("IMPORTRANGE(""1hnyLRjEoQlSh_U0zxMrdRMGzEWIA7gaDnPP-iyIBG6A"",""2025-26!L3"")"),0.0)</f>
        <v>0</v>
      </c>
      <c r="W166" s="55">
        <f>IFERROR(__xludf.DUMMYFUNCTION("IMPORTRANGE(""1hnyLRjEoQlSh_U0zxMrdRMGzEWIA7gaDnPP-iyIBG6A"",""2025-26!m4"")"),2140800.0)</f>
        <v>2140800</v>
      </c>
      <c r="X166" s="55">
        <f>IFERROR(__xludf.DUMMYFUNCTION("IMPORTRANGE(""1hnyLRjEoQlSh_U0zxMrdRMGzEWIA7gaDnPP-iyIBG6A"",""2025-26!m3"")"),54.0)</f>
        <v>54</v>
      </c>
      <c r="Y166" s="55">
        <f>IFERROR(__xludf.DUMMYFUNCTION("IMPORTRANGE(""1hnyLRjEoQlSh_U0zxMrdRMGzEWIA7gaDnPP-iyIBG6A"",""2025-26!N4"")"),459484.98000000004)</f>
        <v>459484.98</v>
      </c>
      <c r="Z166" s="55">
        <f>IFERROR(__xludf.DUMMYFUNCTION("IMPORTRANGE(""1hnyLRjEoQlSh_U0zxMrdRMGzEWIA7gaDnPP-iyIBG6A"",""2025-26!N3"")"),19.0)</f>
        <v>19</v>
      </c>
      <c r="AA166" s="58">
        <f t="shared" si="57"/>
        <v>0</v>
      </c>
      <c r="AB166" s="55">
        <f>IFERROR(__xludf.DUMMYFUNCTION("IMPORTRANGE(""1hnyLRjEoQlSh_U0zxMrdRMGzEWIA7gaDnPP-iyIBG6A"",""2025-26!O4"")"),0.0)</f>
        <v>0</v>
      </c>
      <c r="AC166" s="55">
        <f>IFERROR(__xludf.DUMMYFUNCTION("IMPORTRANGE(""1hnyLRjEoQlSh_U0zxMrdRMGzEWIA7gaDnPP-iyIBG6A"",""2025-26!O3"")"),0.0)</f>
        <v>0</v>
      </c>
      <c r="AD166" s="55">
        <f>IFERROR(__xludf.DUMMYFUNCTION("IMPORTRANGE(""1hnyLRjEoQlSh_U0zxMrdRMGzEWIA7gaDnPP-iyIBG6A"",""2025-26!P4"")"),2140800.0)</f>
        <v>2140800</v>
      </c>
      <c r="AE166" s="55">
        <f>IFERROR(__xludf.DUMMYFUNCTION("IMPORTRANGE(""1hnyLRjEoQlSh_U0zxMrdRMGzEWIA7gaDnPP-iyIBG6A"",""2025-26!P3"")"),53.0)</f>
        <v>53</v>
      </c>
      <c r="AF166" s="55">
        <f>IFERROR(__xludf.DUMMYFUNCTION("IMPORTRANGE(""1hnyLRjEoQlSh_U0zxMrdRMGzEWIA7gaDnPP-iyIBG6A"",""2025-26!Q4"")"),500701.19999999995)</f>
        <v>500701.2</v>
      </c>
      <c r="AG166" s="55">
        <f>IFERROR(__xludf.DUMMYFUNCTION("IMPORTRANGE(""1hnyLRjEoQlSh_U0zxMrdRMGzEWIA7gaDnPP-iyIBG6A"",""2025-26!Q3"")"),11.0)</f>
        <v>11</v>
      </c>
      <c r="AH166" s="58">
        <f t="shared" si="58"/>
        <v>0</v>
      </c>
      <c r="AI166" s="55">
        <f>IFERROR(__xludf.DUMMYFUNCTION("IMPORTRANGE(""1hnyLRjEoQlSh_U0zxMrdRMGzEWIA7gaDnPP-iyIBG6A"",""2025-26!R4"")"),0.0)</f>
        <v>0</v>
      </c>
      <c r="AJ166" s="55">
        <f>IFERROR(__xludf.DUMMYFUNCTION("IMPORTRANGE(""1hnyLRjEoQlSh_U0zxMrdRMGzEWIA7gaDnPP-iyIBG6A"",""2025-26!R3"")"),0.0)</f>
        <v>0</v>
      </c>
      <c r="AK166" s="55">
        <f>IFERROR(__xludf.DUMMYFUNCTION("IMPORTRANGE(""1hnyLRjEoQlSh_U0zxMrdRMGzEWIA7gaDnPP-iyIBG6A"",""2025-26!S4"")"),774000.0)</f>
        <v>774000</v>
      </c>
      <c r="AL166" s="55">
        <f>IFERROR(__xludf.DUMMYFUNCTION("IMPORTRANGE(""1hnyLRjEoQlSh_U0zxMrdRMGzEWIA7gaDnPP-iyIBG6A"",""2025-26!S3"")"),51.0)</f>
        <v>51</v>
      </c>
      <c r="AM166" s="55">
        <f>IFERROR(__xludf.DUMMYFUNCTION("IMPORTRANGE(""1hnyLRjEoQlSh_U0zxMrdRMGzEWIA7gaDnPP-iyIBG6A"",""2025-26!T4"")"),718097.9999999999)</f>
        <v>718098</v>
      </c>
      <c r="AN166" s="55">
        <f>IFERROR(__xludf.DUMMYFUNCTION("IMPORTRANGE(""1hnyLRjEoQlSh_U0zxMrdRMGzEWIA7gaDnPP-iyIBG6A"",""2025-26!T3"")"),22.0)</f>
        <v>22</v>
      </c>
      <c r="AO166" s="58">
        <f t="shared" si="59"/>
        <v>0</v>
      </c>
      <c r="AP166" s="55">
        <f>IFERROR(__xludf.DUMMYFUNCTION("IMPORTRANGE(""1hnyLRjEoQlSh_U0zxMrdRMGzEWIA7gaDnPP-iyIBG6A"",""2025-26!U4"")"),0.0)</f>
        <v>0</v>
      </c>
      <c r="AQ166" s="55">
        <f>IFERROR(__xludf.DUMMYFUNCTION("IMPORTRANGE(""1hnyLRjEoQlSh_U0zxMrdRMGzEWIA7gaDnPP-iyIBG6A"",""2025-26!U3"")"),0.0)</f>
        <v>0</v>
      </c>
      <c r="AR166" s="55">
        <f>IFERROR(__xludf.DUMMYFUNCTION("IMPORTRANGE(""1hnyLRjEoQlSh_U0zxMrdRMGzEWIA7gaDnPP-iyIBG6A"",""2025-26!V4"")"),1079000.0)</f>
        <v>1079000</v>
      </c>
      <c r="AS166" s="55">
        <f>IFERROR(__xludf.DUMMYFUNCTION("IMPORTRANGE(""1hnyLRjEoQlSh_U0zxMrdRMGzEWIA7gaDnPP-iyIBG6A"",""2025-26!V3"")"),51.0)</f>
        <v>51</v>
      </c>
      <c r="AT166" s="55">
        <f>IFERROR(__xludf.DUMMYFUNCTION("IMPORTRANGE(""1hnyLRjEoQlSh_U0zxMrdRMGzEWIA7gaDnPP-iyIBG6A"",""2025-26!W4"")"),753784.8)</f>
        <v>753784.8</v>
      </c>
      <c r="AU166" s="55">
        <f>IFERROR(__xludf.DUMMYFUNCTION("IMPORTRANGE(""1hnyLRjEoQlSh_U0zxMrdRMGzEWIA7gaDnPP-iyIBG6A"",""2025-26!W3"")"),17.0)</f>
        <v>17</v>
      </c>
      <c r="AV166" s="58">
        <f t="shared" si="60"/>
        <v>0</v>
      </c>
      <c r="AW166" s="55">
        <f>IFERROR(__xludf.DUMMYFUNCTION("IMPORTRANGE(""1hnyLRjEoQlSh_U0zxMrdRMGzEWIA7gaDnPP-iyIBG6A"",""2025-26!X4"")"),0.0)</f>
        <v>0</v>
      </c>
      <c r="AX166" s="55">
        <f>IFERROR(__xludf.DUMMYFUNCTION("IMPORTRANGE(""1hnyLRjEoQlSh_U0zxMrdRMGzEWIA7gaDnPP-iyIBG6A"",""2025-26!X3"")"),0.0)</f>
        <v>0</v>
      </c>
      <c r="AY166" s="55">
        <f>IFERROR(__xludf.DUMMYFUNCTION("IMPORTRANGE(""1hnyLRjEoQlSh_U0zxMrdRMGzEWIA7gaDnPP-iyIBG6A"",""2025-26!Y4"")"),1233000.0)</f>
        <v>1233000</v>
      </c>
      <c r="AZ166" s="55">
        <f>IFERROR(__xludf.DUMMYFUNCTION("IMPORTRANGE(""1hnyLRjEoQlSh_U0zxMrdRMGzEWIA7gaDnPP-iyIBG6A"",""2025-26!Y3"")"),51.0)</f>
        <v>51</v>
      </c>
      <c r="BA166" s="55">
        <f>IFERROR(__xludf.DUMMYFUNCTION("IMPORTRANGE(""1hnyLRjEoQlSh_U0zxMrdRMGzEWIA7gaDnPP-iyIBG6A"",""2025-26!Z4"")"),413254.8)</f>
        <v>413254.8</v>
      </c>
      <c r="BB166" s="55">
        <f>IFERROR(__xludf.DUMMYFUNCTION("IMPORTRANGE(""1hnyLRjEoQlSh_U0zxMrdRMGzEWIA7gaDnPP-iyIBG6A"",""2025-26!Z3"")"),13.0)</f>
        <v>13</v>
      </c>
      <c r="BC166" s="59">
        <f t="shared" si="61"/>
        <v>0</v>
      </c>
      <c r="BD166" s="55">
        <f>IFERROR(__xludf.DUMMYFUNCTION("IMPORTRANGE(""1hnyLRjEoQlSh_U0zxMrdRMGzEWIA7gaDnPP-iyIBG6A"",""2025-26!AA4"")"),0.0)</f>
        <v>0</v>
      </c>
      <c r="BE166" s="55">
        <f>IFERROR(__xludf.DUMMYFUNCTION("IMPORTRANGE(""1hnyLRjEoQlSh_U0zxMrdRMGzEWIA7gaDnPP-iyIBG6A"",""2025-26!AA3"")"),0.0)</f>
        <v>0</v>
      </c>
      <c r="BF166" s="55">
        <f>IFERROR(__xludf.DUMMYFUNCTION("IMPORTRANGE(""1hnyLRjEoQlSh_U0zxMrdRMGzEWIA7gaDnPP-iyIBG6A"",""2025-26!AB4"")"),879000.0)</f>
        <v>879000</v>
      </c>
      <c r="BG166" s="55">
        <f>IFERROR(__xludf.DUMMYFUNCTION("IMPORTRANGE(""1hnyLRjEoQlSh_U0zxMrdRMGzEWIA7gaDnPP-iyIBG6A"",""2025-26!AB3"")"),48.0)</f>
        <v>48</v>
      </c>
      <c r="BH166" s="55">
        <f>IFERROR(__xludf.DUMMYFUNCTION("IMPORTRANGE(""1hnyLRjEoQlSh_U0zxMrdRMGzEWIA7gaDnPP-iyIBG6A"",""2025-26!AC4"")"),754990.8)</f>
        <v>754990.8</v>
      </c>
      <c r="BI166" s="55">
        <f>IFERROR(__xludf.DUMMYFUNCTION("IMPORTRANGE(""1hnyLRjEoQlSh_U0zxMrdRMGzEWIA7gaDnPP-iyIBG6A"",""2025-26!AC3"")"),16.0)</f>
        <v>16</v>
      </c>
      <c r="BJ166" s="59">
        <f t="shared" si="62"/>
        <v>0</v>
      </c>
      <c r="BK166" s="55">
        <f>IFERROR(__xludf.DUMMYFUNCTION("IMPORTRANGE(""1hnyLRjEoQlSh_U0zxMrdRMGzEWIA7gaDnPP-iyIBG6A"",""2025-26!AD4"")"),0.0)</f>
        <v>0</v>
      </c>
      <c r="BL166" s="55">
        <f>IFERROR(__xludf.DUMMYFUNCTION("IMPORTRANGE(""1hnyLRjEoQlSh_U0zxMrdRMGzEWIA7gaDnPP-iyIBG6A"",""2025-26!AD3"")"),0.0)</f>
        <v>0</v>
      </c>
      <c r="BM166" s="55">
        <f>IFERROR(__xludf.DUMMYFUNCTION("IMPORTRANGE(""1hnyLRjEoQlSh_U0zxMrdRMGzEWIA7gaDnPP-iyIBG6A"",""2025-26!AE4"")"),0.0)</f>
        <v>0</v>
      </c>
      <c r="BN166" s="55">
        <f>IFERROR(__xludf.DUMMYFUNCTION("IMPORTRANGE(""1hnyLRjEoQlSh_U0zxMrdRMGzEWIA7gaDnPP-iyIBG6A"",""2025-26!AE3"")"),0.0)</f>
        <v>0</v>
      </c>
      <c r="BO166" s="55">
        <f>IFERROR(__xludf.DUMMYFUNCTION("IMPORTRANGE(""1hnyLRjEoQlSh_U0zxMrdRMGzEWIA7gaDnPP-iyIBG6A"",""2025-26!AF4"")"),239694.0)</f>
        <v>239694</v>
      </c>
      <c r="BP166" s="55">
        <f>IFERROR(__xludf.DUMMYFUNCTION("IMPORTRANGE(""1hnyLRjEoQlSh_U0zxMrdRMGzEWIA7gaDnPP-iyIBG6A"",""2025-26!AF3"")"),8.0)</f>
        <v>8</v>
      </c>
      <c r="BQ166" s="59" t="str">
        <f t="shared" si="63"/>
        <v/>
      </c>
      <c r="BR166" s="55">
        <f>IFERROR(__xludf.DUMMYFUNCTION("IMPORTRANGE(""1hnyLRjEoQlSh_U0zxMrdRMGzEWIA7gaDnPP-iyIBG6A"",""2025-26!AG4"")"),0.0)</f>
        <v>0</v>
      </c>
      <c r="BS166" s="55">
        <f>IFERROR(__xludf.DUMMYFUNCTION("IMPORTRANGE(""1hnyLRjEoQlSh_U0zxMrdRMGzEWIA7gaDnPP-iyIBG6A"",""2025-26!AG3"")"),0.0)</f>
        <v>0</v>
      </c>
      <c r="BT166" s="55">
        <f>IFERROR(__xludf.DUMMYFUNCTION("IMPORTRANGE(""1hnyLRjEoQlSh_U0zxMrdRMGzEWIA7gaDnPP-iyIBG6A"",""2025-26!AH4"")"),0.0)</f>
        <v>0</v>
      </c>
      <c r="BU166" s="55">
        <f>IFERROR(__xludf.DUMMYFUNCTION("IMPORTRANGE(""1hnyLRjEoQlSh_U0zxMrdRMGzEWIA7gaDnPP-iyIBG6A"",""2025-26!AH3"")"),0.0)</f>
        <v>0</v>
      </c>
      <c r="BV166" s="55">
        <f>IFERROR(__xludf.DUMMYFUNCTION("IMPORTRANGE(""1hnyLRjEoQlSh_U0zxMrdRMGzEWIA7gaDnPP-iyIBG6A"",""2025-26!AI4"")"),42018.0)</f>
        <v>42018</v>
      </c>
      <c r="BW166" s="55">
        <f>IFERROR(__xludf.DUMMYFUNCTION("IMPORTRANGE(""1hnyLRjEoQlSh_U0zxMrdRMGzEWIA7gaDnPP-iyIBG6A"",""2025-26!AI3"")"),1.0)</f>
        <v>1</v>
      </c>
      <c r="BX166" s="59" t="str">
        <f t="shared" si="64"/>
        <v/>
      </c>
      <c r="BY166" s="55">
        <f>IFERROR(__xludf.DUMMYFUNCTION("IMPORTRANGE(""1hnyLRjEoQlSh_U0zxMrdRMGzEWIA7gaDnPP-iyIBG6A"",""2025-26!AJ4"")"),0.0)</f>
        <v>0</v>
      </c>
      <c r="BZ166" s="55">
        <f>IFERROR(__xludf.DUMMYFUNCTION("IMPORTRANGE(""1hnyLRjEoQlSh_U0zxMrdRMGzEWIA7gaDnPP-iyIBG6A"",""2025-26!AJ3"")"),0.0)</f>
        <v>0</v>
      </c>
      <c r="CA166" s="55">
        <f>IFERROR(__xludf.DUMMYFUNCTION("IMPORTRANGE(""1hnyLRjEoQlSh_U0zxMrdRMGzEWIA7gaDnPP-iyIBG6A"",""2025-26!AK4"")"),0.0)</f>
        <v>0</v>
      </c>
      <c r="CB166" s="55">
        <f>IFERROR(__xludf.DUMMYFUNCTION("IMPORTRANGE(""1hnyLRjEoQlSh_U0zxMrdRMGzEWIA7gaDnPP-iyIBG6A"",""2025-26!AK3"")"),0.0)</f>
        <v>0</v>
      </c>
      <c r="CC166" s="55">
        <f>IFERROR(__xludf.DUMMYFUNCTION("IMPORTRANGE(""1hnyLRjEoQlSh_U0zxMrdRMGzEWIA7gaDnPP-iyIBG6A"",""2025-26!AL4"")"),0.0)</f>
        <v>0</v>
      </c>
      <c r="CD166" s="55">
        <f>IFERROR(__xludf.DUMMYFUNCTION("IMPORTRANGE(""1hnyLRjEoQlSh_U0zxMrdRMGzEWIA7gaDnPP-iyIBG6A"",""2025-26!AL3"")"),0.0)</f>
        <v>0</v>
      </c>
      <c r="CE166" s="59" t="str">
        <f t="shared" si="65"/>
        <v/>
      </c>
      <c r="CF166" s="55">
        <f>IFERROR(__xludf.DUMMYFUNCTION("IMPORTRANGE(""1hnyLRjEoQlSh_U0zxMrdRMGzEWIA7gaDnPP-iyIBG6A"",""2025-26!AM4"")"),0.0)</f>
        <v>0</v>
      </c>
      <c r="CG166" s="55">
        <f>IFERROR(__xludf.DUMMYFUNCTION("IMPORTRANGE(""1hnyLRjEoQlSh_U0zxMrdRMGzEWIA7gaDnPP-iyIBG6A"",""2025-26!AM3"")"),0.0)</f>
        <v>0</v>
      </c>
      <c r="CH166" s="55">
        <f>IFERROR(__xludf.DUMMYFUNCTION("IMPORTRANGE(""1hnyLRjEoQlSh_U0zxMrdRMGzEWIA7gaDnPP-iyIBG6A"",""2025-26!AN4"")"),0.0)</f>
        <v>0</v>
      </c>
      <c r="CI166" s="55">
        <f>IFERROR(__xludf.DUMMYFUNCTION("IMPORTRANGE(""1hnyLRjEoQlSh_U0zxMrdRMGzEWIA7gaDnPP-iyIBG6A"",""2025-26!AN3"")"),0.0)</f>
        <v>0</v>
      </c>
      <c r="CJ166" s="55">
        <f>IFERROR(__xludf.DUMMYFUNCTION("IMPORTRANGE(""1hnyLRjEoQlSh_U0zxMrdRMGzEWIA7gaDnPP-iyIBG6A"",""2025-26!AO4"")"),0.0)</f>
        <v>0</v>
      </c>
      <c r="CK166" s="55">
        <f>IFERROR(__xludf.DUMMYFUNCTION("IMPORTRANGE(""1hnyLRjEoQlSh_U0zxMrdRMGzEWIA7gaDnPP-iyIBG6A"",""2025-26!AO3"")"),0.0)</f>
        <v>0</v>
      </c>
      <c r="CL166" s="59" t="str">
        <f t="shared" si="66"/>
        <v/>
      </c>
      <c r="CM166" s="55">
        <f>IFERROR(__xludf.DUMMYFUNCTION("IMPORTRANGE(""1hnyLRjEoQlSh_U0zxMrdRMGzEWIA7gaDnPP-iyIBG6A"",""2025-26!AP4"")"),0.0)</f>
        <v>0</v>
      </c>
      <c r="CN166" s="55">
        <f>IFERROR(__xludf.DUMMYFUNCTION("IMPORTRANGE(""1hnyLRjEoQlSh_U0zxMrdRMGzEWIA7gaDnPP-iyIBG6A"",""2025-26!AP3"")"),0.0)</f>
        <v>0</v>
      </c>
      <c r="CO166" s="55">
        <f>IFERROR(__xludf.DUMMYFUNCTION("IMPORTRANGE(""1hnyLRjEoQlSh_U0zxMrdRMGzEWIA7gaDnPP-iyIBG6A"",""2025-26!AQ4"")"),0.0)</f>
        <v>0</v>
      </c>
      <c r="CP166" s="55">
        <f>IFERROR(__xludf.DUMMYFUNCTION("IMPORTRANGE(""1hnyLRjEoQlSh_U0zxMrdRMGzEWIA7gaDnPP-iyIBG6A"",""2025-26!AQ3"")"),0.0)</f>
        <v>0</v>
      </c>
      <c r="CQ166" s="55">
        <f>IFERROR(__xludf.DUMMYFUNCTION("IMPORTRANGE(""1hnyLRjEoQlSh_U0zxMrdRMGzEWIA7gaDnPP-iyIBG6A"",""2025-26!AR4"")"),0.0)</f>
        <v>0</v>
      </c>
      <c r="CR166" s="55">
        <f>IFERROR(__xludf.DUMMYFUNCTION("IMPORTRANGE(""1hnyLRjEoQlSh_U0zxMrdRMGzEWIA7gaDnPP-iyIBG6A"",""2025-26!AR3"")"),0.0)</f>
        <v>0</v>
      </c>
      <c r="CS166" s="59" t="str">
        <f t="shared" si="67"/>
        <v/>
      </c>
      <c r="CT166" s="55">
        <f>IFERROR(__xludf.DUMMYFUNCTION("IMPORTRANGE(""1hnyLRjEoQlSh_U0zxMrdRMGzEWIA7gaDnPP-iyIBG6A"",""2025-26!AS4"")"),0.0)</f>
        <v>0</v>
      </c>
      <c r="CU166" s="55">
        <f>IFERROR(__xludf.DUMMYFUNCTION("IMPORTRANGE(""1hnyLRjEoQlSh_U0zxMrdRMGzEWIA7gaDnPP-iyIBG6A"",""2025-26!AS3"")"),0.0)</f>
        <v>0</v>
      </c>
      <c r="CV166" s="60" t="s">
        <v>101</v>
      </c>
    </row>
    <row r="167">
      <c r="A167" s="133" t="s">
        <v>97</v>
      </c>
      <c r="B167" s="94" t="s">
        <v>97</v>
      </c>
      <c r="C167" s="130" t="s">
        <v>351</v>
      </c>
      <c r="D167" s="65" t="s">
        <v>352</v>
      </c>
      <c r="E167" s="68">
        <v>9.84707074E9</v>
      </c>
      <c r="F167" s="66">
        <v>45894.0</v>
      </c>
      <c r="G167" s="62"/>
      <c r="H167" s="62"/>
      <c r="I167" s="53">
        <f>VLOOKUP($C167,Data!$C:$BV,72,0)</f>
        <v>36190</v>
      </c>
      <c r="J167" s="54">
        <v>1166286.0</v>
      </c>
      <c r="K167" s="55">
        <f>IFERROR(__xludf.DUMMYFUNCTION("IMPORTRANGE(""1AYloUVSTDGdGqJ_eWKQ8B7c2FBAbDZjpTE5YDlbpYoE"",""2025-26!A3"")"),48.0)</f>
        <v>48</v>
      </c>
      <c r="L167" s="55">
        <f>IFERROR(__xludf.DUMMYFUNCTION("IMPORTRANGE(""1AYloUVSTDGdGqJ_eWKQ8B7c2FBAbDZjpTE5YDlbpYoE"",""2025-26!G4"")"),0.0)</f>
        <v>0</v>
      </c>
      <c r="M167" s="55">
        <f t="shared" si="53"/>
        <v>1341417</v>
      </c>
      <c r="N167" s="56" t="str">
        <f t="shared" si="54"/>
        <v>#DIV/0!</v>
      </c>
      <c r="O167" s="57">
        <f t="shared" si="55"/>
        <v>719293</v>
      </c>
      <c r="P167" s="55">
        <f>IFERROR(__xludf.DUMMYFUNCTION("IMPORTRANGE(""1AYloUVSTDGdGqJ_eWKQ8B7c2FBAbDZjpTE5YDlbpYoE"",""2025-26!J4"")"),0.0)</f>
        <v>0</v>
      </c>
      <c r="Q167" s="55">
        <f>IFERROR(__xludf.DUMMYFUNCTION("IMPORTRANGE(""1AYloUVSTDGdGqJ_eWKQ8B7c2FBAbDZjpTE5YDlbpYoE"",""2025-26!J3"")"),0.0)</f>
        <v>0</v>
      </c>
      <c r="R167" s="55">
        <f>IFERROR(__xludf.DUMMYFUNCTION("IMPORTRANGE(""1AYloUVSTDGdGqJ_eWKQ8B7c2FBAbDZjpTE5YDlbpYoE"",""2025-26!K4"")"),0.0)</f>
        <v>0</v>
      </c>
      <c r="S167" s="55">
        <f>IFERROR(__xludf.DUMMYFUNCTION("IMPORTRANGE(""1AYloUVSTDGdGqJ_eWKQ8B7c2FBAbDZjpTE5YDlbpYoE"",""2025-26!K3"")"),0.0)</f>
        <v>0</v>
      </c>
      <c r="T167" s="58" t="str">
        <f t="shared" si="56"/>
        <v/>
      </c>
      <c r="U167" s="55">
        <f>IFERROR(__xludf.DUMMYFUNCTION("IMPORTRANGE(""1AYloUVSTDGdGqJ_eWKQ8B7c2FBAbDZjpTE5YDlbpYoE"",""2025-26!L4"")"),0.0)</f>
        <v>0</v>
      </c>
      <c r="V167" s="55">
        <f>IFERROR(__xludf.DUMMYFUNCTION("IMPORTRANGE(""1AYloUVSTDGdGqJ_eWKQ8B7c2FBAbDZjpTE5YDlbpYoE"",""2025-26!L3"")"),0.0)</f>
        <v>0</v>
      </c>
      <c r="W167" s="55">
        <f>IFERROR(__xludf.DUMMYFUNCTION("IMPORTRANGE(""1AYloUVSTDGdGqJ_eWKQ8B7c2FBAbDZjpTE5YDlbpYoE"",""2025-26!m4"")"),0.0)</f>
        <v>0</v>
      </c>
      <c r="X167" s="55">
        <f>IFERROR(__xludf.DUMMYFUNCTION("IMPORTRANGE(""1AYloUVSTDGdGqJ_eWKQ8B7c2FBAbDZjpTE5YDlbpYoE"",""2025-26!m3"")"),0.0)</f>
        <v>0</v>
      </c>
      <c r="Y167" s="55">
        <f>IFERROR(__xludf.DUMMYFUNCTION("IMPORTRANGE(""1AYloUVSTDGdGqJ_eWKQ8B7c2FBAbDZjpTE5YDlbpYoE"",""2025-26!N4"")"),0.0)</f>
        <v>0</v>
      </c>
      <c r="Z167" s="55">
        <f>IFERROR(__xludf.DUMMYFUNCTION("IMPORTRANGE(""1AYloUVSTDGdGqJ_eWKQ8B7c2FBAbDZjpTE5YDlbpYoE"",""2025-26!N3"")"),0.0)</f>
        <v>0</v>
      </c>
      <c r="AA167" s="58" t="str">
        <f t="shared" si="57"/>
        <v/>
      </c>
      <c r="AB167" s="55">
        <f>IFERROR(__xludf.DUMMYFUNCTION("IMPORTRANGE(""1AYloUVSTDGdGqJ_eWKQ8B7c2FBAbDZjpTE5YDlbpYoE"",""2025-26!O4"")"),0.0)</f>
        <v>0</v>
      </c>
      <c r="AC167" s="55">
        <f>IFERROR(__xludf.DUMMYFUNCTION("IMPORTRANGE(""1AYloUVSTDGdGqJ_eWKQ8B7c2FBAbDZjpTE5YDlbpYoE"",""2025-26!O3"")"),0.0)</f>
        <v>0</v>
      </c>
      <c r="AD167" s="55">
        <f>IFERROR(__xludf.DUMMYFUNCTION("IMPORTRANGE(""1AYloUVSTDGdGqJ_eWKQ8B7c2FBAbDZjpTE5YDlbpYoE"",""2025-26!P4"")"),0.0)</f>
        <v>0</v>
      </c>
      <c r="AE167" s="55">
        <f>IFERROR(__xludf.DUMMYFUNCTION("IMPORTRANGE(""1AYloUVSTDGdGqJ_eWKQ8B7c2FBAbDZjpTE5YDlbpYoE"",""2025-26!P3"")"),0.0)</f>
        <v>0</v>
      </c>
      <c r="AF167" s="55">
        <f>IFERROR(__xludf.DUMMYFUNCTION("IMPORTRANGE(""1AYloUVSTDGdGqJ_eWKQ8B7c2FBAbDZjpTE5YDlbpYoE"",""2025-26!Q4"")"),0.0)</f>
        <v>0</v>
      </c>
      <c r="AG167" s="55">
        <f>IFERROR(__xludf.DUMMYFUNCTION("IMPORTRANGE(""1AYloUVSTDGdGqJ_eWKQ8B7c2FBAbDZjpTE5YDlbpYoE"",""2025-26!Q3"")"),0.0)</f>
        <v>0</v>
      </c>
      <c r="AH167" s="58" t="str">
        <f t="shared" si="58"/>
        <v/>
      </c>
      <c r="AI167" s="55">
        <f>IFERROR(__xludf.DUMMYFUNCTION("IMPORTRANGE(""1AYloUVSTDGdGqJ_eWKQ8B7c2FBAbDZjpTE5YDlbpYoE"",""2025-26!R4"")"),0.0)</f>
        <v>0</v>
      </c>
      <c r="AJ167" s="55">
        <f>IFERROR(__xludf.DUMMYFUNCTION("IMPORTRANGE(""1AYloUVSTDGdGqJ_eWKQ8B7c2FBAbDZjpTE5YDlbpYoE"",""2025-26!R3"")"),0.0)</f>
        <v>0</v>
      </c>
      <c r="AK167" s="55">
        <f>IFERROR(__xludf.DUMMYFUNCTION("IMPORTRANGE(""1AYloUVSTDGdGqJ_eWKQ8B7c2FBAbDZjpTE5YDlbpYoE"",""2025-26!S4"")"),0.0)</f>
        <v>0</v>
      </c>
      <c r="AL167" s="55">
        <f>IFERROR(__xludf.DUMMYFUNCTION("IMPORTRANGE(""1AYloUVSTDGdGqJ_eWKQ8B7c2FBAbDZjpTE5YDlbpYoE"",""2025-26!S3"")"),0.0)</f>
        <v>0</v>
      </c>
      <c r="AM167" s="55">
        <f>IFERROR(__xludf.DUMMYFUNCTION("IMPORTRANGE(""1AYloUVSTDGdGqJ_eWKQ8B7c2FBAbDZjpTE5YDlbpYoE"",""2025-26!T4"")"),0.0)</f>
        <v>0</v>
      </c>
      <c r="AN167" s="55">
        <f>IFERROR(__xludf.DUMMYFUNCTION("IMPORTRANGE(""1AYloUVSTDGdGqJ_eWKQ8B7c2FBAbDZjpTE5YDlbpYoE"",""2025-26!T3"")"),0.0)</f>
        <v>0</v>
      </c>
      <c r="AO167" s="58" t="str">
        <f t="shared" si="59"/>
        <v/>
      </c>
      <c r="AP167" s="55">
        <f>IFERROR(__xludf.DUMMYFUNCTION("IMPORTRANGE(""1AYloUVSTDGdGqJ_eWKQ8B7c2FBAbDZjpTE5YDlbpYoE"",""2025-26!U4"")"),0.0)</f>
        <v>0</v>
      </c>
      <c r="AQ167" s="55">
        <f>IFERROR(__xludf.DUMMYFUNCTION("IMPORTRANGE(""1AYloUVSTDGdGqJ_eWKQ8B7c2FBAbDZjpTE5YDlbpYoE"",""2025-26!U3"")"),0.0)</f>
        <v>0</v>
      </c>
      <c r="AR167" s="55">
        <f>IFERROR(__xludf.DUMMYFUNCTION("IMPORTRANGE(""1AYloUVSTDGdGqJ_eWKQ8B7c2FBAbDZjpTE5YDlbpYoE"",""2025-26!V4"")"),0.0)</f>
        <v>0</v>
      </c>
      <c r="AS167" s="55">
        <f>IFERROR(__xludf.DUMMYFUNCTION("IMPORTRANGE(""1AYloUVSTDGdGqJ_eWKQ8B7c2FBAbDZjpTE5YDlbpYoE"",""2025-26!V3"")"),0.0)</f>
        <v>0</v>
      </c>
      <c r="AT167" s="55">
        <f>IFERROR(__xludf.DUMMYFUNCTION("IMPORTRANGE(""1AYloUVSTDGdGqJ_eWKQ8B7c2FBAbDZjpTE5YDlbpYoE"",""2025-26!W4"")"),0.0)</f>
        <v>0</v>
      </c>
      <c r="AU167" s="55">
        <f>IFERROR(__xludf.DUMMYFUNCTION("IMPORTRANGE(""1AYloUVSTDGdGqJ_eWKQ8B7c2FBAbDZjpTE5YDlbpYoE"",""2025-26!W3"")"),0.0)</f>
        <v>0</v>
      </c>
      <c r="AV167" s="58" t="str">
        <f t="shared" si="60"/>
        <v/>
      </c>
      <c r="AW167" s="55">
        <f>IFERROR(__xludf.DUMMYFUNCTION("IMPORTRANGE(""1AYloUVSTDGdGqJ_eWKQ8B7c2FBAbDZjpTE5YDlbpYoE"",""2025-26!X4"")"),0.0)</f>
        <v>0</v>
      </c>
      <c r="AX167" s="55">
        <f>IFERROR(__xludf.DUMMYFUNCTION("IMPORTRANGE(""1AYloUVSTDGdGqJ_eWKQ8B7c2FBAbDZjpTE5YDlbpYoE"",""2025-26!X3"")"),0.0)</f>
        <v>0</v>
      </c>
      <c r="AY167" s="55">
        <f>IFERROR(__xludf.DUMMYFUNCTION("IMPORTRANGE(""1AYloUVSTDGdGqJ_eWKQ8B7c2FBAbDZjpTE5YDlbpYoE"",""2025-26!Y4"")"),0.0)</f>
        <v>0</v>
      </c>
      <c r="AZ167" s="55">
        <f>IFERROR(__xludf.DUMMYFUNCTION("IMPORTRANGE(""1AYloUVSTDGdGqJ_eWKQ8B7c2FBAbDZjpTE5YDlbpYoE"",""2025-26!Y3"")"),0.0)</f>
        <v>0</v>
      </c>
      <c r="BA167" s="55">
        <f>IFERROR(__xludf.DUMMYFUNCTION("IMPORTRANGE(""1AYloUVSTDGdGqJ_eWKQ8B7c2FBAbDZjpTE5YDlbpYoE"",""2025-26!Z4"")"),0.0)</f>
        <v>0</v>
      </c>
      <c r="BB167" s="55">
        <f>IFERROR(__xludf.DUMMYFUNCTION("IMPORTRANGE(""1AYloUVSTDGdGqJ_eWKQ8B7c2FBAbDZjpTE5YDlbpYoE"",""2025-26!Z3"")"),0.0)</f>
        <v>0</v>
      </c>
      <c r="BC167" s="59" t="str">
        <f t="shared" si="61"/>
        <v/>
      </c>
      <c r="BD167" s="55">
        <f>IFERROR(__xludf.DUMMYFUNCTION("IMPORTRANGE(""1AYloUVSTDGdGqJ_eWKQ8B7c2FBAbDZjpTE5YDlbpYoE"",""2025-26!AA4"")"),0.0)</f>
        <v>0</v>
      </c>
      <c r="BE167" s="55">
        <f>IFERROR(__xludf.DUMMYFUNCTION("IMPORTRANGE(""1AYloUVSTDGdGqJ_eWKQ8B7c2FBAbDZjpTE5YDlbpYoE"",""2025-26!AA3"")"),0.0)</f>
        <v>0</v>
      </c>
      <c r="BF167" s="55">
        <f>IFERROR(__xludf.DUMMYFUNCTION("IMPORTRANGE(""1AYloUVSTDGdGqJ_eWKQ8B7c2FBAbDZjpTE5YDlbpYoE"",""2025-26!AB4"")"),685000.0)</f>
        <v>685000</v>
      </c>
      <c r="BG167" s="55">
        <f>IFERROR(__xludf.DUMMYFUNCTION("IMPORTRANGE(""1AYloUVSTDGdGqJ_eWKQ8B7c2FBAbDZjpTE5YDlbpYoE"",""2025-26!AB3"")"),11.0)</f>
        <v>11</v>
      </c>
      <c r="BH167" s="55">
        <f>IFERROR(__xludf.DUMMYFUNCTION("IMPORTRANGE(""1AYloUVSTDGdGqJ_eWKQ8B7c2FBAbDZjpTE5YDlbpYoE"",""2025-26!AC4"")"),0.0)</f>
        <v>0</v>
      </c>
      <c r="BI167" s="55">
        <f>IFERROR(__xludf.DUMMYFUNCTION("IMPORTRANGE(""1AYloUVSTDGdGqJ_eWKQ8B7c2FBAbDZjpTE5YDlbpYoE"",""2025-26!AC3"")"),0.0)</f>
        <v>0</v>
      </c>
      <c r="BJ167" s="59">
        <f t="shared" si="62"/>
        <v>0</v>
      </c>
      <c r="BK167" s="55">
        <f>IFERROR(__xludf.DUMMYFUNCTION("IMPORTRANGE(""1AYloUVSTDGdGqJ_eWKQ8B7c2FBAbDZjpTE5YDlbpYoE"",""2025-26!AD4"")"),0.0)</f>
        <v>0</v>
      </c>
      <c r="BL167" s="55">
        <f>IFERROR(__xludf.DUMMYFUNCTION("IMPORTRANGE(""1AYloUVSTDGdGqJ_eWKQ8B7c2FBAbDZjpTE5YDlbpYoE"",""2025-26!AD3"")"),0.0)</f>
        <v>0</v>
      </c>
      <c r="BM167" s="55">
        <f>IFERROR(__xludf.DUMMYFUNCTION("IMPORTRANGE(""1AYloUVSTDGdGqJ_eWKQ8B7c2FBAbDZjpTE5YDlbpYoE"",""2025-26!AE4"")"),1150000.0)</f>
        <v>1150000</v>
      </c>
      <c r="BN167" s="55">
        <f>IFERROR(__xludf.DUMMYFUNCTION("IMPORTRANGE(""1AYloUVSTDGdGqJ_eWKQ8B7c2FBAbDZjpTE5YDlbpYoE"",""2025-26!AE3"")"),15.0)</f>
        <v>15</v>
      </c>
      <c r="BO167" s="55">
        <f>IFERROR(__xludf.DUMMYFUNCTION("IMPORTRANGE(""1AYloUVSTDGdGqJ_eWKQ8B7c2FBAbDZjpTE5YDlbpYoE"",""2025-26!AF4"")"),155466.0)</f>
        <v>155466</v>
      </c>
      <c r="BP167" s="55">
        <f>IFERROR(__xludf.DUMMYFUNCTION("IMPORTRANGE(""1AYloUVSTDGdGqJ_eWKQ8B7c2FBAbDZjpTE5YDlbpYoE"",""2025-26!AF3"")"),5.0)</f>
        <v>5</v>
      </c>
      <c r="BQ167" s="59">
        <f t="shared" si="63"/>
        <v>0.1258834783</v>
      </c>
      <c r="BR167" s="55">
        <f>IFERROR(__xludf.DUMMYFUNCTION("IMPORTRANGE(""1AYloUVSTDGdGqJ_eWKQ8B7c2FBAbDZjpTE5YDlbpYoE"",""2025-26!AG4"")"),144766.0)</f>
        <v>144766</v>
      </c>
      <c r="BS167" s="55">
        <f>IFERROR(__xludf.DUMMYFUNCTION("IMPORTRANGE(""1AYloUVSTDGdGqJ_eWKQ8B7c2FBAbDZjpTE5YDlbpYoE"",""2025-26!AG3"")"),5.0)</f>
        <v>5</v>
      </c>
      <c r="BT167" s="55">
        <f>IFERROR(__xludf.DUMMYFUNCTION("IMPORTRANGE(""1AYloUVSTDGdGqJ_eWKQ8B7c2FBAbDZjpTE5YDlbpYoE"",""2025-26!AH4"")"),1325000.0)</f>
        <v>1325000</v>
      </c>
      <c r="BU167" s="55">
        <f>IFERROR(__xludf.DUMMYFUNCTION("IMPORTRANGE(""1AYloUVSTDGdGqJ_eWKQ8B7c2FBAbDZjpTE5YDlbpYoE"",""2025-26!AH3"")"),13.0)</f>
        <v>13</v>
      </c>
      <c r="BV167" s="55">
        <f>IFERROR(__xludf.DUMMYFUNCTION("IMPORTRANGE(""1AYloUVSTDGdGqJ_eWKQ8B7c2FBAbDZjpTE5YDlbpYoE"",""2025-26!AI4"")"),414288.0)</f>
        <v>414288</v>
      </c>
      <c r="BW167" s="55">
        <f>IFERROR(__xludf.DUMMYFUNCTION("IMPORTRANGE(""1AYloUVSTDGdGqJ_eWKQ8B7c2FBAbDZjpTE5YDlbpYoE"",""2025-26!AI3"")"),5.0)</f>
        <v>5</v>
      </c>
      <c r="BX167" s="59">
        <f t="shared" si="64"/>
        <v>0.3098988679</v>
      </c>
      <c r="BY167" s="55">
        <f>IFERROR(__xludf.DUMMYFUNCTION("IMPORTRANGE(""1AYloUVSTDGdGqJ_eWKQ8B7c2FBAbDZjpTE5YDlbpYoE"",""2025-26!AJ4"")"),410616.0)</f>
        <v>410616</v>
      </c>
      <c r="BZ167" s="55">
        <f>IFERROR(__xludf.DUMMYFUNCTION("IMPORTRANGE(""1AYloUVSTDGdGqJ_eWKQ8B7c2FBAbDZjpTE5YDlbpYoE"",""2025-26!AJ3"")"),5.0)</f>
        <v>5</v>
      </c>
      <c r="CA167" s="55">
        <f>IFERROR(__xludf.DUMMYFUNCTION("IMPORTRANGE(""1AYloUVSTDGdGqJ_eWKQ8B7c2FBAbDZjpTE5YDlbpYoE"",""2025-26!AK4"")"),960000.0)</f>
        <v>960000</v>
      </c>
      <c r="CB167" s="55">
        <f>IFERROR(__xludf.DUMMYFUNCTION("IMPORTRANGE(""1AYloUVSTDGdGqJ_eWKQ8B7c2FBAbDZjpTE5YDlbpYoE"",""2025-26!AK3"")"),16.0)</f>
        <v>16</v>
      </c>
      <c r="CC167" s="55">
        <f>IFERROR(__xludf.DUMMYFUNCTION("IMPORTRANGE(""1AYloUVSTDGdGqJ_eWKQ8B7c2FBAbDZjpTE5YDlbpYoE"",""2025-26!AL4"")"),214632.0)</f>
        <v>214632</v>
      </c>
      <c r="CD167" s="55">
        <f>IFERROR(__xludf.DUMMYFUNCTION("IMPORTRANGE(""1AYloUVSTDGdGqJ_eWKQ8B7c2FBAbDZjpTE5YDlbpYoE"",""2025-26!AL3"")"),6.0)</f>
        <v>6</v>
      </c>
      <c r="CE167" s="59">
        <f t="shared" si="65"/>
        <v>0.170740625</v>
      </c>
      <c r="CF167" s="55">
        <f>IFERROR(__xludf.DUMMYFUNCTION("IMPORTRANGE(""1AYloUVSTDGdGqJ_eWKQ8B7c2FBAbDZjpTE5YDlbpYoE"",""2025-26!AM4"")"),163911.0)</f>
        <v>163911</v>
      </c>
      <c r="CG167" s="55">
        <f>IFERROR(__xludf.DUMMYFUNCTION("IMPORTRANGE(""1AYloUVSTDGdGqJ_eWKQ8B7c2FBAbDZjpTE5YDlbpYoE"",""2025-26!AM3"")"),5.0)</f>
        <v>5</v>
      </c>
      <c r="CH167" s="55">
        <f>IFERROR(__xludf.DUMMYFUNCTION("IMPORTRANGE(""1AYloUVSTDGdGqJ_eWKQ8B7c2FBAbDZjpTE5YDlbpYoE"",""2025-26!AN4"")"),1395000.0)</f>
        <v>1395000</v>
      </c>
      <c r="CI167" s="55">
        <f>IFERROR(__xludf.DUMMYFUNCTION("IMPORTRANGE(""1AYloUVSTDGdGqJ_eWKQ8B7c2FBAbDZjpTE5YDlbpYoE"",""2025-26!AN3"")"),21.0)</f>
        <v>21</v>
      </c>
      <c r="CJ167" s="55">
        <f>IFERROR(__xludf.DUMMYFUNCTION("IMPORTRANGE(""1AYloUVSTDGdGqJ_eWKQ8B7c2FBAbDZjpTE5YDlbpYoE"",""2025-26!AO4"")"),354951.0)</f>
        <v>354951</v>
      </c>
      <c r="CK167" s="55">
        <f>IFERROR(__xludf.DUMMYFUNCTION("IMPORTRANGE(""1AYloUVSTDGdGqJ_eWKQ8B7c2FBAbDZjpTE5YDlbpYoE"",""2025-26!AO3"")"),8.0)</f>
        <v>8</v>
      </c>
      <c r="CL167" s="59">
        <f t="shared" si="66"/>
        <v>0</v>
      </c>
      <c r="CM167" s="55">
        <f>IFERROR(__xludf.DUMMYFUNCTION("IMPORTRANGE(""1AYloUVSTDGdGqJ_eWKQ8B7c2FBAbDZjpTE5YDlbpYoE"",""2025-26!AP4"")"),0.0)</f>
        <v>0</v>
      </c>
      <c r="CN167" s="55">
        <f>IFERROR(__xludf.DUMMYFUNCTION("IMPORTRANGE(""1AYloUVSTDGdGqJ_eWKQ8B7c2FBAbDZjpTE5YDlbpYoE"",""2025-26!AP3"")"),0.0)</f>
        <v>0</v>
      </c>
      <c r="CO167" s="55">
        <f>IFERROR(__xludf.DUMMYFUNCTION("IMPORTRANGE(""1AYloUVSTDGdGqJ_eWKQ8B7c2FBAbDZjpTE5YDlbpYoE"",""2025-26!AQ4"")"),1565000.0)</f>
        <v>1565000</v>
      </c>
      <c r="CP167" s="55">
        <f>IFERROR(__xludf.DUMMYFUNCTION("IMPORTRANGE(""1AYloUVSTDGdGqJ_eWKQ8B7c2FBAbDZjpTE5YDlbpYoE"",""2025-26!AQ3"")"),20.0)</f>
        <v>20</v>
      </c>
      <c r="CQ167" s="55">
        <f>IFERROR(__xludf.DUMMYFUNCTION("IMPORTRANGE(""1AYloUVSTDGdGqJ_eWKQ8B7c2FBAbDZjpTE5YDlbpYoE"",""2025-26!AR4"")"),202080.0)</f>
        <v>202080</v>
      </c>
      <c r="CR167" s="55">
        <f>IFERROR(__xludf.DUMMYFUNCTION("IMPORTRANGE(""1AYloUVSTDGdGqJ_eWKQ8B7c2FBAbDZjpTE5YDlbpYoE"",""2025-26!AR3"")"),4.0)</f>
        <v>4</v>
      </c>
      <c r="CS167" s="59">
        <f t="shared" si="67"/>
        <v>0</v>
      </c>
      <c r="CT167" s="55">
        <f>IFERROR(__xludf.DUMMYFUNCTION("IMPORTRANGE(""1AYloUVSTDGdGqJ_eWKQ8B7c2FBAbDZjpTE5YDlbpYoE"",""2025-26!AS4"")"),0.0)</f>
        <v>0</v>
      </c>
      <c r="CU167" s="55">
        <f>IFERROR(__xludf.DUMMYFUNCTION("IMPORTRANGE(""1AYloUVSTDGdGqJ_eWKQ8B7c2FBAbDZjpTE5YDlbpYoE"",""2025-26!AS3"")"),0.0)</f>
        <v>0</v>
      </c>
      <c r="CV167" s="60" t="s">
        <v>101</v>
      </c>
    </row>
    <row r="168">
      <c r="A168" s="133" t="s">
        <v>298</v>
      </c>
      <c r="B168" s="134" t="s">
        <v>298</v>
      </c>
      <c r="C168" s="136" t="s">
        <v>353</v>
      </c>
      <c r="D168" s="50" t="s">
        <v>354</v>
      </c>
      <c r="E168" s="50">
        <v>9.545433666E9</v>
      </c>
      <c r="F168" s="74">
        <v>45047.0</v>
      </c>
      <c r="G168" s="62"/>
      <c r="H168" s="62"/>
      <c r="I168" s="53">
        <v>37335.0</v>
      </c>
      <c r="J168" s="54"/>
      <c r="K168" s="57">
        <f>IFERROR(__xludf.DUMMYFUNCTION("IMPORTRANGE(""https://docs.google.com/spreadsheets/d/1ZL0WmzMWgaxhSUSYMtDaXBQAqQsk5yIryNK9DFcpki0/edit#gid=1564326506"",""2025-26!A3"")"),35.0)</f>
        <v>35</v>
      </c>
      <c r="L168" s="57">
        <f>IFERROR(__xludf.DUMMYFUNCTION("IMPORTRANGE(""https://docs.google.com/spreadsheets/d/1ZL0WmzMWgaxhSUSYMtDaXBQAqQsk5yIryNK9DFcpki0/edit#gid=1564326506"",""2025-26!G4"")"),0.0)</f>
        <v>0</v>
      </c>
      <c r="M168" s="57">
        <f t="shared" ref="M168:M172" si="68">SUM(R168+Y168+AF168+AM168+AT168+BA168+BH168+BO168+BV168+CC168+CJ168+CQ168)</f>
        <v>0</v>
      </c>
      <c r="N168" s="56" t="str">
        <f t="shared" ref="N168:N172" si="69">iferror(O168/L168,"")</f>
        <v/>
      </c>
      <c r="O168" s="57">
        <f t="shared" ref="O168:O172" si="70">SUM(U168,AB168,AI168,AP168,AW168,BD168,BK168,BR168,BY168,CF168,CM168,CT168)</f>
        <v>0</v>
      </c>
      <c r="P168" s="55">
        <f>IFERROR(__xludf.DUMMYFUNCTION("IMPORTRANGE(""https://docs.google.com/spreadsheets/d/1ZL0WmzMWgaxhSUSYMtDaXBQAqQsk5yIryNK9DFcpki0/edit#gid=1564326506"",""2025-26!J4"")"),0.0)</f>
        <v>0</v>
      </c>
      <c r="Q168" s="55">
        <f>IFERROR(__xludf.DUMMYFUNCTION("IMPORTRANGE(""https://docs.google.com/spreadsheets/d/1ZL0WmzMWgaxhSUSYMtDaXBQAqQsk5yIryNK9DFcpki0/edit#gid=1564326506"",""2025-26!J3"")"),0.0)</f>
        <v>0</v>
      </c>
      <c r="R168" s="55">
        <f>IFERROR(__xludf.DUMMYFUNCTION("IMPORTRANGE(""https://docs.google.com/spreadsheets/d/1ZL0WmzMWgaxhSUSYMtDaXBQAqQsk5yIryNK9DFcpki0/edit#gid=1564326506"",""2025-26!K4"")"),0.0)</f>
        <v>0</v>
      </c>
      <c r="S168" s="55">
        <f>IFERROR(__xludf.DUMMYFUNCTION("IMPORTRANGE(""https://docs.google.com/spreadsheets/d/1ZL0WmzMWgaxhSUSYMtDaXBQAqQsk5yIryNK9DFcpki0/edit#gid=1564326506"",""2025-26!K3"")"),0.0)</f>
        <v>0</v>
      </c>
      <c r="T168" s="58" t="str">
        <f t="shared" si="56"/>
        <v/>
      </c>
      <c r="U168" s="55">
        <f>IFERROR(__xludf.DUMMYFUNCTION("IMPORTRANGE(""https://docs.google.com/spreadsheets/d/1ZL0WmzMWgaxhSUSYMtDaXBQAqQsk5yIryNK9DFcpki0/edit#gid=1564326506"",""2025-26!L4"")"),0.0)</f>
        <v>0</v>
      </c>
      <c r="V168" s="79">
        <f>IFERROR(__xludf.DUMMYFUNCTION("IMPORTRANGE(""https://docs.google.com/spreadsheets/d/1ZL0WmzMWgaxhSUSYMtDaXBQAqQsk5yIryNK9DFcpki0/edit#gid=1564326506"",""2025-26!L3"")"),0.0)</f>
        <v>0</v>
      </c>
      <c r="W168" s="55">
        <f>IFERROR(__xludf.DUMMYFUNCTION("IMPORTRANGE(""https://docs.google.com/spreadsheets/d/1ZL0WmzMWgaxhSUSYMtDaXBQAqQsk5yIryNK9DFcpki0/edit#gid=1564326506"",""2025-26!M4"")"),0.0)</f>
        <v>0</v>
      </c>
      <c r="X168" s="79">
        <f>IFERROR(__xludf.DUMMYFUNCTION("IMPORTRANGE(""https://docs.google.com/spreadsheets/d/1ZL0WmzMWgaxhSUSYMtDaXBQAqQsk5yIryNK9DFcpki0/edit#gid=1564326506"",""2025-26!M3"")"),0.0)</f>
        <v>0</v>
      </c>
      <c r="Y168" s="55">
        <f>IFERROR(__xludf.DUMMYFUNCTION("importrange(""https://docs.google.com/spreadsheets/d/1ZL0WmzMWgaxhSUSYMtDaXBQAqQsk5yIryNK9DFcpki0/edit#gid=1564326506"",""2025-26!n4"")"),0.0)</f>
        <v>0</v>
      </c>
      <c r="Z168" s="55">
        <f>IFERROR(__xludf.DUMMYFUNCTION("importrange(""https://docs.google.com/spreadsheets/d/1ZL0WmzMWgaxhSUSYMtDaXBQAqQsk5yIryNK9DFcpki0/edit#gid=1564326506"",""2025-26!n3"")"),0.0)</f>
        <v>0</v>
      </c>
      <c r="AA168" s="58" t="str">
        <f t="shared" si="57"/>
        <v/>
      </c>
      <c r="AB168" s="55">
        <f>IFERROR(__xludf.DUMMYFUNCTION("importrange(""https://docs.google.com/spreadsheets/d/1ZL0WmzMWgaxhSUSYMtDaXBQAqQsk5yIryNK9DFcpki0/edit#gid=1564326506"",""2025-26!o4"")"),0.0)</f>
        <v>0</v>
      </c>
      <c r="AC168" s="55">
        <f>IFERROR(__xludf.DUMMYFUNCTION("importrange(""https://docs.google.com/spreadsheets/d/1ZL0WmzMWgaxhSUSYMtDaXBQAqQsk5yIryNK9DFcpki0/edit#gid=1564326506"",""2025-26!o3"")"),0.0)</f>
        <v>0</v>
      </c>
      <c r="AD168" s="55">
        <f>IFERROR(__xludf.DUMMYFUNCTION("importrange(""https://docs.google.com/spreadsheets/d/1ZL0WmzMWgaxhSUSYMtDaXBQAqQsk5yIryNK9DFcpki0/edit#gid=1564326506"",""2025-26!p4"")"),0.0)</f>
        <v>0</v>
      </c>
      <c r="AE168" s="55">
        <f>IFERROR(__xludf.DUMMYFUNCTION("importrange(""https://docs.google.com/spreadsheets/d/1ZL0WmzMWgaxhSUSYMtDaXBQAqQsk5yIryNK9DFcpki0/edit#gid=1564326506"",""2025-26!p3"")"),0.0)</f>
        <v>0</v>
      </c>
      <c r="AF168" s="55">
        <f>IFERROR(__xludf.DUMMYFUNCTION("importrange(""https://docs.google.com/spreadsheets/d/1ZL0WmzMWgaxhSUSYMtDaXBQAqQsk5yIryNK9DFcpki0/edit#gid=1564326506"",""2025-26!q4"")"),0.0)</f>
        <v>0</v>
      </c>
      <c r="AG168" s="55">
        <f>IFERROR(__xludf.DUMMYFUNCTION("importrange(""https://docs.google.com/spreadsheets/d/1ZL0WmzMWgaxhSUSYMtDaXBQAqQsk5yIryNK9DFcpki0/edit#gid=1564326506"",""2025-26!q3"")"),0.0)</f>
        <v>0</v>
      </c>
      <c r="AH168" s="58" t="str">
        <f t="shared" si="58"/>
        <v/>
      </c>
      <c r="AI168" s="55">
        <f>IFERROR(__xludf.DUMMYFUNCTION("importrange(""https://docs.google.com/spreadsheets/d/1ZL0WmzMWgaxhSUSYMtDaXBQAqQsk5yIryNK9DFcpki0/edit#gid=1564326506"",""2025-26!r4"")"),0.0)</f>
        <v>0</v>
      </c>
      <c r="AJ168" s="55">
        <f>IFERROR(__xludf.DUMMYFUNCTION("importrange(""https://docs.google.com/spreadsheets/d/1ZL0WmzMWgaxhSUSYMtDaXBQAqQsk5yIryNK9DFcpki0/edit#gid=1564326506"",""2025-26!r3"")"),0.0)</f>
        <v>0</v>
      </c>
      <c r="AK168" s="55">
        <f>IFERROR(__xludf.DUMMYFUNCTION("importrange(""https://docs.google.com/spreadsheets/d/1ZL0WmzMWgaxhSUSYMtDaXBQAqQsk5yIryNK9DFcpki0/edit#gid=1564326506"",""2025-26!s4"")"),0.0)</f>
        <v>0</v>
      </c>
      <c r="AL168" s="55">
        <f>IFERROR(__xludf.DUMMYFUNCTION("importrange(""https://docs.google.com/spreadsheets/d/1ZL0WmzMWgaxhSUSYMtDaXBQAqQsk5yIryNK9DFcpki0/edit#gid=1564326506"",""2025-26!s3"")"),0.0)</f>
        <v>0</v>
      </c>
      <c r="AM168" s="57">
        <f>IFERROR(__xludf.DUMMYFUNCTION("importrange(""https://docs.google.com/spreadsheets/d/1ZL0WmzMWgaxhSUSYMtDaXBQAqQsk5yIryNK9DFcpki0/edit#gid=1564326506"",""2025-26!t4"")"),0.0)</f>
        <v>0</v>
      </c>
      <c r="AN168" s="55">
        <f>IFERROR(__xludf.DUMMYFUNCTION("importrange(""https://docs.google.com/spreadsheets/d/1ZL0WmzMWgaxhSUSYMtDaXBQAqQsk5yIryNK9DFcpki0/edit#gid=1564326506"",""2025-26!t3"")"),0.0)</f>
        <v>0</v>
      </c>
      <c r="AO168" s="58" t="str">
        <f t="shared" si="59"/>
        <v/>
      </c>
      <c r="AP168" s="55">
        <f>IFERROR(__xludf.DUMMYFUNCTION("importrange(""https://docs.google.com/spreadsheets/d/1ZL0WmzMWgaxhSUSYMtDaXBQAqQsk5yIryNK9DFcpki0/edit#gid=1564326506"",""2025-26!u4"")"),0.0)</f>
        <v>0</v>
      </c>
      <c r="AQ168" s="55">
        <f>IFERROR(__xludf.DUMMYFUNCTION("importrange(""https://docs.google.com/spreadsheets/d/1ZL0WmzMWgaxhSUSYMtDaXBQAqQsk5yIryNK9DFcpki0/edit#gid=1564326506"",""2025-26!u3"")"),0.0)</f>
        <v>0</v>
      </c>
      <c r="AR168" s="55">
        <f>IFERROR(__xludf.DUMMYFUNCTION("importrange(""https://docs.google.com/spreadsheets/d/1ZL0WmzMWgaxhSUSYMtDaXBQAqQsk5yIryNK9DFcpki0/edit#gid=1564326506"",""2025-26!v4"")"),0.0)</f>
        <v>0</v>
      </c>
      <c r="AS168" s="55">
        <f>IFERROR(__xludf.DUMMYFUNCTION("importrange(""https://docs.google.com/spreadsheets/d/1ZL0WmzMWgaxhSUSYMtDaXBQAqQsk5yIryNK9DFcpki0/edit#gid=1564326506"",""2025-26!v3"")"),0.0)</f>
        <v>0</v>
      </c>
      <c r="AT168" s="57">
        <f>IFERROR(__xludf.DUMMYFUNCTION("importrange(""https://docs.google.com/spreadsheets/d/1ZL0WmzMWgaxhSUSYMtDaXBQAqQsk5yIryNK9DFcpki0/edit#gid=1564326506"",""2025-26!w4"")"),0.0)</f>
        <v>0</v>
      </c>
      <c r="AU168" s="55">
        <f>IFERROR(__xludf.DUMMYFUNCTION("importrange(""https://docs.google.com/spreadsheets/d/1ZL0WmzMWgaxhSUSYMtDaXBQAqQsk5yIryNK9DFcpki0/edit#gid=1564326506"",""2025-26!w3"")"),0.0)</f>
        <v>0</v>
      </c>
      <c r="AV168" s="58" t="str">
        <f t="shared" si="60"/>
        <v/>
      </c>
      <c r="AW168" s="55">
        <f>IFERROR(__xludf.DUMMYFUNCTION("importrange(""https://docs.google.com/spreadsheets/d/1ZL0WmzMWgaxhSUSYMtDaXBQAqQsk5yIryNK9DFcpki0/edit#gid=1564326506"",""2025-26!x4"")"),0.0)</f>
        <v>0</v>
      </c>
      <c r="AX168" s="55">
        <f>IFERROR(__xludf.DUMMYFUNCTION("importrange(""https://docs.google.com/spreadsheets/d/1ZL0WmzMWgaxhSUSYMtDaXBQAqQsk5yIryNK9DFcpki0/edit#gid=1564326506"",""2025-26!x3"")"),0.0)</f>
        <v>0</v>
      </c>
      <c r="AY168" s="55">
        <f>IFERROR(__xludf.DUMMYFUNCTION("importrange(""https://docs.google.com/spreadsheets/d/1ZL0WmzMWgaxhSUSYMtDaXBQAqQsk5yIryNK9DFcpki0/edit#gid=1564326506"",""2025-26!y4"")"),0.0)</f>
        <v>0</v>
      </c>
      <c r="AZ168" s="55">
        <f>IFERROR(__xludf.DUMMYFUNCTION("importrange(""https://docs.google.com/spreadsheets/d/1ZL0WmzMWgaxhSUSYMtDaXBQAqQsk5yIryNK9DFcpki0/edit#gid=1564326506"",""2025-26!y3"")"),0.0)</f>
        <v>0</v>
      </c>
      <c r="BA168" s="57">
        <f>IFERROR(__xludf.DUMMYFUNCTION("importrange(""https://docs.google.com/spreadsheets/d/1ZL0WmzMWgaxhSUSYMtDaXBQAqQsk5yIryNK9DFcpki0/edit#gid=1564326506"",""2025-26!z4"")"),0.0)</f>
        <v>0</v>
      </c>
      <c r="BB168" s="55">
        <f>IFERROR(__xludf.DUMMYFUNCTION("importrange(""https://docs.google.com/spreadsheets/d/1ZL0WmzMWgaxhSUSYMtDaXBQAqQsk5yIryNK9DFcpki0/edit#gid=1564326506"",""2025-26!z3"")"),0.0)</f>
        <v>0</v>
      </c>
      <c r="BC168" s="59" t="str">
        <f t="shared" si="61"/>
        <v/>
      </c>
      <c r="BD168" s="55">
        <f>IFERROR(__xludf.DUMMYFUNCTION("importrange(""https://docs.google.com/spreadsheets/d/1ZL0WmzMWgaxhSUSYMtDaXBQAqQsk5yIryNK9DFcpki0/edit#gid=1564326506"",""2025-26!aa4"")"),0.0)</f>
        <v>0</v>
      </c>
      <c r="BE168" s="55">
        <f>IFERROR(__xludf.DUMMYFUNCTION("importrange(""https://docs.google.com/spreadsheets/d/1ZL0WmzMWgaxhSUSYMtDaXBQAqQsk5yIryNK9DFcpki0/edit#gid=1564326506"",""2025-26!aa3"")"),0.0)</f>
        <v>0</v>
      </c>
      <c r="BF168" s="55">
        <f>IFERROR(__xludf.DUMMYFUNCTION("importrange(""https://docs.google.com/spreadsheets/d/1ZL0WmzMWgaxhSUSYMtDaXBQAqQsk5yIryNK9DFcpki0/edit#gid=1564326506"",""2025-26!ab4"")"),0.0)</f>
        <v>0</v>
      </c>
      <c r="BG168" s="55">
        <f>IFERROR(__xludf.DUMMYFUNCTION("importrange(""https://docs.google.com/spreadsheets/d/1ZL0WmzMWgaxhSUSYMtDaXBQAqQsk5yIryNK9DFcpki0/edit#gid=1564326506"",""2025-26!ab3"")"),0.0)</f>
        <v>0</v>
      </c>
      <c r="BH168" s="55">
        <f>IFERROR(__xludf.DUMMYFUNCTION("importrange(""https://docs.google.com/spreadsheets/d/1ZL0WmzMWgaxhSUSYMtDaXBQAqQsk5yIryNK9DFcpki0/edit#gid=1564326506"",""2025-26!ac4"")"),0.0)</f>
        <v>0</v>
      </c>
      <c r="BI168" s="55">
        <f>IFERROR(__xludf.DUMMYFUNCTION("importrange(""https://docs.google.com/spreadsheets/d/1ZL0WmzMWgaxhSUSYMtDaXBQAqQsk5yIryNK9DFcpki0/edit#gid=1564326506"",""2025-26!ac3"")"),0.0)</f>
        <v>0</v>
      </c>
      <c r="BJ168" s="59" t="str">
        <f t="shared" si="62"/>
        <v/>
      </c>
      <c r="BK168" s="55">
        <f>IFERROR(__xludf.DUMMYFUNCTION("importrange(""https://docs.google.com/spreadsheets/d/1ZL0WmzMWgaxhSUSYMtDaXBQAqQsk5yIryNK9DFcpki0/edit#gid=1564326506"",""2025-26!ad4"")"),0.0)</f>
        <v>0</v>
      </c>
      <c r="BL168" s="55">
        <f>IFERROR(__xludf.DUMMYFUNCTION("importrange(""https://docs.google.com/spreadsheets/d/1ZL0WmzMWgaxhSUSYMtDaXBQAqQsk5yIryNK9DFcpki0/edit#gid=1564326506"",""2025-26!ad3"")"),0.0)</f>
        <v>0</v>
      </c>
      <c r="BM168" s="55">
        <f>IFERROR(__xludf.DUMMYFUNCTION("importrange(""https://docs.google.com/spreadsheets/d/1ZL0WmzMWgaxhSUSYMtDaXBQAqQsk5yIryNK9DFcpki0/edit#gid=1564326506"",""2025-26!ae4"")"),0.0)</f>
        <v>0</v>
      </c>
      <c r="BN168" s="55">
        <f>IFERROR(__xludf.DUMMYFUNCTION("importrange(""https://docs.google.com/spreadsheets/d/1ZL0WmzMWgaxhSUSYMtDaXBQAqQsk5yIryNK9DFcpki0/edit#gid=1564326506"",""2025-26!ae3"")"),0.0)</f>
        <v>0</v>
      </c>
      <c r="BO168" s="55">
        <f>IFERROR(__xludf.DUMMYFUNCTION("importrange(""https://docs.google.com/spreadsheets/d/1ZL0WmzMWgaxhSUSYMtDaXBQAqQsk5yIryNK9DFcpki0/edit#gid=1564326506"",""2025-26!af4"")"),0.0)</f>
        <v>0</v>
      </c>
      <c r="BP168" s="55">
        <f>IFERROR(__xludf.DUMMYFUNCTION("importrange(""https://docs.google.com/spreadsheets/d/1ZL0WmzMWgaxhSUSYMtDaXBQAqQsk5yIryNK9DFcpki0/edit#gid=1564326506"",""2025-26!af3"")"),0.0)</f>
        <v>0</v>
      </c>
      <c r="BQ168" s="59" t="str">
        <f t="shared" si="63"/>
        <v/>
      </c>
      <c r="BR168" s="55">
        <f>IFERROR(__xludf.DUMMYFUNCTION("importrange(""https://docs.google.com/spreadsheets/d/1ZL0WmzMWgaxhSUSYMtDaXBQAqQsk5yIryNK9DFcpki0/edit#gid=1564326506"",""2025-26!ag4"")"),0.0)</f>
        <v>0</v>
      </c>
      <c r="BS168" s="55">
        <f>IFERROR(__xludf.DUMMYFUNCTION("importrange(""https://docs.google.com/spreadsheets/d/1ZL0WmzMWgaxhSUSYMtDaXBQAqQsk5yIryNK9DFcpki0/edit#gid=1564326506"",""2025-26!ag3"")"),0.0)</f>
        <v>0</v>
      </c>
      <c r="BT168" s="55">
        <f>IFERROR(__xludf.DUMMYFUNCTION("importrange(""https://docs.google.com/spreadsheets/d/1ZL0WmzMWgaxhSUSYMtDaXBQAqQsk5yIryNK9DFcpki0/edit#gid=1564326506"",""2025-26!ah4"")"),0.0)</f>
        <v>0</v>
      </c>
      <c r="BU168" s="55">
        <f>IFERROR(__xludf.DUMMYFUNCTION("importrange(""https://docs.google.com/spreadsheets/d/1ZL0WmzMWgaxhSUSYMtDaXBQAqQsk5yIryNK9DFcpki0/edit#gid=1564326506"",""2025-26!ah3"")"),0.0)</f>
        <v>0</v>
      </c>
      <c r="BV168" s="55">
        <f>IFERROR(__xludf.DUMMYFUNCTION("importrange(""https://docs.google.com/spreadsheets/d/1ZL0WmzMWgaxhSUSYMtDaXBQAqQsk5yIryNK9DFcpki0/edit#gid=1564326506"",""2025-26!ai4"")"),0.0)</f>
        <v>0</v>
      </c>
      <c r="BW168" s="55">
        <f>IFERROR(__xludf.DUMMYFUNCTION("importrange(""https://docs.google.com/spreadsheets/d/1ZL0WmzMWgaxhSUSYMtDaXBQAqQsk5yIryNK9DFcpki0/edit#gid=1564326506"",""2025-26!ai3"")"),0.0)</f>
        <v>0</v>
      </c>
      <c r="BX168" s="59" t="str">
        <f t="shared" si="64"/>
        <v/>
      </c>
      <c r="BY168" s="55">
        <f>IFERROR(__xludf.DUMMYFUNCTION("importrange(""https://docs.google.com/spreadsheets/d/1ZL0WmzMWgaxhSUSYMtDaXBQAqQsk5yIryNK9DFcpki0/edit#gid=1564326506"",""2025-26!aj4"")"),0.0)</f>
        <v>0</v>
      </c>
      <c r="BZ168" s="55">
        <f>IFERROR(__xludf.DUMMYFUNCTION("importrange(""https://docs.google.com/spreadsheets/d/1ZL0WmzMWgaxhSUSYMtDaXBQAqQsk5yIryNK9DFcpki0/edit#gid=1564326506"",""2025-26!aj3"")"),0.0)</f>
        <v>0</v>
      </c>
      <c r="CA168" s="55">
        <f>IFERROR(__xludf.DUMMYFUNCTION("importrange(""https://docs.google.com/spreadsheets/d/1ZL0WmzMWgaxhSUSYMtDaXBQAqQsk5yIryNK9DFcpki0/edit#gid=1564326506"",""2025-26!ak4"")"),0.0)</f>
        <v>0</v>
      </c>
      <c r="CB168" s="55">
        <f>IFERROR(__xludf.DUMMYFUNCTION("importrange(""https://docs.google.com/spreadsheets/d/1ZL0WmzMWgaxhSUSYMtDaXBQAqQsk5yIryNK9DFcpki0/edit#gid=1564326506"",""2025-26!ak3"")"),0.0)</f>
        <v>0</v>
      </c>
      <c r="CC168" s="55">
        <f>IFERROR(__xludf.DUMMYFUNCTION("importrange(""https://docs.google.com/spreadsheets/d/1ZL0WmzMWgaxhSUSYMtDaXBQAqQsk5yIryNK9DFcpki0/edit#gid=1564326506"",""2025-26!al4"")"),0.0)</f>
        <v>0</v>
      </c>
      <c r="CD168" s="55">
        <f>IFERROR(__xludf.DUMMYFUNCTION("importrange(""https://docs.google.com/spreadsheets/d/1ZL0WmzMWgaxhSUSYMtDaXBQAqQsk5yIryNK9DFcpki0/edit#gid=1564326506"",""2025-26!ai3"")"),0.0)</f>
        <v>0</v>
      </c>
      <c r="CE168" s="59" t="str">
        <f t="shared" si="65"/>
        <v/>
      </c>
      <c r="CF168" s="55">
        <f>IFERROR(__xludf.DUMMYFUNCTION("importrange(""https://docs.google.com/spreadsheets/d/1ZL0WmzMWgaxhSUSYMtDaXBQAqQsk5yIryNK9DFcpki0/edit#gid=1564326506"",""2025-26!am4"")"),0.0)</f>
        <v>0</v>
      </c>
      <c r="CG168" s="55">
        <f>IFERROR(__xludf.DUMMYFUNCTION("importrange(""https://docs.google.com/spreadsheets/d/1ZL0WmzMWgaxhSUSYMtDaXBQAqQsk5yIryNK9DFcpki0/edit#gid=1564326506"",""2025-26!am3"")"),0.0)</f>
        <v>0</v>
      </c>
      <c r="CH168" s="55">
        <f>IFERROR(__xludf.DUMMYFUNCTION("importrange(""https://docs.google.com/spreadsheets/d/1ZL0WmzMWgaxhSUSYMtDaXBQAqQsk5yIryNK9DFcpki0/edit#gid=1564326506"",""2025-26!an4"")"),0.0)</f>
        <v>0</v>
      </c>
      <c r="CI168" s="55">
        <f>IFERROR(__xludf.DUMMYFUNCTION("importrange(""https://docs.google.com/spreadsheets/d/1ZL0WmzMWgaxhSUSYMtDaXBQAqQsk5yIryNK9DFcpki0/edit#gid=1564326506"",""2025-26!an3"")"),0.0)</f>
        <v>0</v>
      </c>
      <c r="CJ168" s="55">
        <f>IFERROR(__xludf.DUMMYFUNCTION("importrange(""https://docs.google.com/spreadsheets/d/1ZL0WmzMWgaxhSUSYMtDaXBQAqQsk5yIryNK9DFcpki0/edit#gid=1564326506"",""2025-26!ao4"")"),0.0)</f>
        <v>0</v>
      </c>
      <c r="CK168" s="55">
        <f>IFERROR(__xludf.DUMMYFUNCTION("importrange(""https://docs.google.com/spreadsheets/d/1ZL0WmzMWgaxhSUSYMtDaXBQAqQsk5yIryNK9DFcpki0/edit#gid=1564326506"",""2025-26!ao3"")"),0.0)</f>
        <v>0</v>
      </c>
      <c r="CL168" s="59" t="str">
        <f t="shared" si="66"/>
        <v/>
      </c>
      <c r="CM168" s="55">
        <f>IFERROR(__xludf.DUMMYFUNCTION("importrange(""https://docs.google.com/spreadsheets/d/1ZL0WmzMWgaxhSUSYMtDaXBQAqQsk5yIryNK9DFcpki0/edit#gid=1564326506"",""2025-26!ap4"")"),0.0)</f>
        <v>0</v>
      </c>
      <c r="CN168" s="55">
        <f>IFERROR(__xludf.DUMMYFUNCTION("importrange(""https://docs.google.com/spreadsheets/d/1ZL0WmzMWgaxhSUSYMtDaXBQAqQsk5yIryNK9DFcpki0/edit#gid=1564326506"",""2025-26!ap3"")"),0.0)</f>
        <v>0</v>
      </c>
      <c r="CO168" s="55">
        <f>IFERROR(__xludf.DUMMYFUNCTION("importrange(""https://docs.google.com/spreadsheets/d/1ZL0WmzMWgaxhSUSYMtDaXBQAqQsk5yIryNK9DFcpki0/edit#gid=1564326506"",""2025-26!aq4"")"),0.0)</f>
        <v>0</v>
      </c>
      <c r="CP168" s="55">
        <f>IFERROR(__xludf.DUMMYFUNCTION("importrange(""https://docs.google.com/spreadsheets/d/1ZL0WmzMWgaxhSUSYMtDaXBQAqQsk5yIryNK9DFcpki0/edit#gid=1564326506"",""2025-26!aq3"")"),0.0)</f>
        <v>0</v>
      </c>
      <c r="CQ168" s="55">
        <f>IFERROR(__xludf.DUMMYFUNCTION("importrange(""https://docs.google.com/spreadsheets/d/1ZL0WmzMWgaxhSUSYMtDaXBQAqQsk5yIryNK9DFcpki0/edit#gid=1564326506"",""2025-26!ar4"")"),0.0)</f>
        <v>0</v>
      </c>
      <c r="CR168" s="55">
        <f>IFERROR(__xludf.DUMMYFUNCTION("importrange(""https://docs.google.com/spreadsheets/d/1ZL0WmzMWgaxhSUSYMtDaXBQAqQsk5yIryNK9DFcpki0/edit#gid=1564326506"",""2025-26!ar3"")"),0.0)</f>
        <v>0</v>
      </c>
      <c r="CS168" s="59" t="str">
        <f t="shared" si="67"/>
        <v/>
      </c>
      <c r="CT168" s="55">
        <f>IFERROR(__xludf.DUMMYFUNCTION("importrange(""https://docs.google.com/spreadsheets/d/1ZL0WmzMWgaxhSUSYMtDaXBQAqQsk5yIryNK9DFcpki0/edit#gid=1564326506"",""2025-26!as4"")"),0.0)</f>
        <v>0</v>
      </c>
      <c r="CU168" s="55">
        <f>IFERROR(__xludf.DUMMYFUNCTION("importrange(""https://docs.google.com/spreadsheets/d/1ZL0WmzMWgaxhSUSYMtDaXBQAqQsk5yIryNK9DFcpki0/edit#gid=1564326506"",""2025-26!as3"")"),0.0)</f>
        <v>0</v>
      </c>
      <c r="CV168" s="60" t="s">
        <v>301</v>
      </c>
    </row>
    <row r="169">
      <c r="A169" s="133" t="s">
        <v>298</v>
      </c>
      <c r="B169" s="134" t="s">
        <v>298</v>
      </c>
      <c r="C169" s="136" t="s">
        <v>355</v>
      </c>
      <c r="D169" s="50" t="s">
        <v>319</v>
      </c>
      <c r="E169" s="50">
        <v>9.850056161E9</v>
      </c>
      <c r="F169" s="74">
        <v>44635.0</v>
      </c>
      <c r="G169" s="62"/>
      <c r="H169" s="62"/>
      <c r="I169" s="53">
        <v>38000.0</v>
      </c>
      <c r="J169" s="54"/>
      <c r="K169" s="57">
        <f>IFERROR(__xludf.DUMMYFUNCTION("IMPORTRANGE(""https://docs.google.com/spreadsheets/d/1j6rau0lEhNAOQYvtnRw0BNr_DI1X6gMKsq33shEhBzw/edit#gid=349841863"",""2025-26!A3"")"),116.0)</f>
        <v>116</v>
      </c>
      <c r="L169" s="57">
        <f>IFERROR(__xludf.DUMMYFUNCTION("IMPORTRANGE(""https://docs.google.com/spreadsheets/d/1j6rau0lEhNAOQYvtnRw0BNr_DI1X6gMKsq33shEhBzw/edit#gid=349841863"",""2025-26!G4"")"),0.0)</f>
        <v>0</v>
      </c>
      <c r="M169" s="57">
        <f t="shared" si="68"/>
        <v>0</v>
      </c>
      <c r="N169" s="56" t="str">
        <f t="shared" si="69"/>
        <v/>
      </c>
      <c r="O169" s="57">
        <f t="shared" si="70"/>
        <v>0</v>
      </c>
      <c r="P169" s="55">
        <f>IFERROR(__xludf.DUMMYFUNCTION("IMPORTRANGE(""https://docs.google.com/spreadsheets/d/1j6rau0lEhNAOQYvtnRw0BNr_DI1X6gMKsq33shEhBzw/edit#gid=349841863"",""2025-26!J4"")"),0.0)</f>
        <v>0</v>
      </c>
      <c r="Q169" s="55">
        <f>IFERROR(__xludf.DUMMYFUNCTION("IMPORTRANGE(""https://docs.google.com/spreadsheets/d/1j6rau0lEhNAOQYvtnRw0BNr_DI1X6gMKsq33shEhBzw/edit#gid=349841863"",""2025-26!J3"")"),0.0)</f>
        <v>0</v>
      </c>
      <c r="R169" s="55">
        <f>IFERROR(__xludf.DUMMYFUNCTION("IMPORTRANGE(""https://docs.google.com/spreadsheets/d/1j6rau0lEhNAOQYvtnRw0BNr_DI1X6gMKsq33shEhBzw/edit#gid=349841863"",""2025-26!K4"")"),0.0)</f>
        <v>0</v>
      </c>
      <c r="S169" s="55">
        <f>IFERROR(__xludf.DUMMYFUNCTION("IMPORTRANGE(""https://docs.google.com/spreadsheets/d/1j6rau0lEhNAOQYvtnRw0BNr_DI1X6gMKsq33shEhBzw/edit#gid=349841863"",""2025-26!K3"")"),0.0)</f>
        <v>0</v>
      </c>
      <c r="T169" s="58" t="str">
        <f t="shared" si="56"/>
        <v/>
      </c>
      <c r="U169" s="55">
        <f>IFERROR(__xludf.DUMMYFUNCTION("IMPORTRANGE(""https://docs.google.com/spreadsheets/d/1j6rau0lEhNAOQYvtnRw0BNr_DI1X6gMKsq33shEhBzw/edit#gid=349841863"",""2025-26!L4"")"),0.0)</f>
        <v>0</v>
      </c>
      <c r="V169" s="79">
        <f>IFERROR(__xludf.DUMMYFUNCTION("IMPORTRANGE(""https://docs.google.com/spreadsheets/d/1j6rau0lEhNAOQYvtnRw0BNr_DI1X6gMKsq33shEhBzw/edit#gid=349841863"",""2025-26!L3"")"),0.0)</f>
        <v>0</v>
      </c>
      <c r="W169" s="55">
        <f>IFERROR(__xludf.DUMMYFUNCTION("IMPORTRANGE(""https://docs.google.com/spreadsheets/d/1j6rau0lEhNAOQYvtnRw0BNr_DI1X6gMKsq33shEhBzw/edit#gid=349841863"",""2025-26!M4"")"),0.0)</f>
        <v>0</v>
      </c>
      <c r="X169" s="79">
        <f>IFERROR(__xludf.DUMMYFUNCTION("IMPORTRANGE(""https://docs.google.com/spreadsheets/d/1j6rau0lEhNAOQYvtnRw0BNr_DI1X6gMKsq33shEhBzw/edit#gid=349841863"",""2025-26!M3"")"),0.0)</f>
        <v>0</v>
      </c>
      <c r="Y169" s="55">
        <f>IFERROR(__xludf.DUMMYFUNCTION("importrange(""https://docs.google.com/spreadsheets/d/1j6rau0lEhNAOQYvtnRw0BNr_DI1X6gMKsq33shEhBzw/edit#gid=349841863"",""2025-26!n4"")"),0.0)</f>
        <v>0</v>
      </c>
      <c r="Z169" s="55">
        <f>IFERROR(__xludf.DUMMYFUNCTION("importrange(""https://docs.google.com/spreadsheets/d/1j6rau0lEhNAOQYvtnRw0BNr_DI1X6gMKsq33shEhBzw/edit#gid=349841863"",""2025-26!n3"")"),0.0)</f>
        <v>0</v>
      </c>
      <c r="AA169" s="58" t="str">
        <f t="shared" si="57"/>
        <v/>
      </c>
      <c r="AB169" s="55">
        <f>IFERROR(__xludf.DUMMYFUNCTION("importrange(""https://docs.google.com/spreadsheets/d/1j6rau0lEhNAOQYvtnRw0BNr_DI1X6gMKsq33shEhBzw/edit#gid=349841863"",""2025-26!o4"")"),0.0)</f>
        <v>0</v>
      </c>
      <c r="AC169" s="55">
        <f>IFERROR(__xludf.DUMMYFUNCTION("importrange(""https://docs.google.com/spreadsheets/d/1j6rau0lEhNAOQYvtnRw0BNr_DI1X6gMKsq33shEhBzw/edit#gid=349841863"",""2025-26!o3"")"),0.0)</f>
        <v>0</v>
      </c>
      <c r="AD169" s="55">
        <f>IFERROR(__xludf.DUMMYFUNCTION("importrange(""https://docs.google.com/spreadsheets/d/1j6rau0lEhNAOQYvtnRw0BNr_DI1X6gMKsq33shEhBzw/edit#gid=349841863"",""2025-26!p4"")"),0.0)</f>
        <v>0</v>
      </c>
      <c r="AE169" s="55">
        <f>IFERROR(__xludf.DUMMYFUNCTION("importrange(""https://docs.google.com/spreadsheets/d/1j6rau0lEhNAOQYvtnRw0BNr_DI1X6gMKsq33shEhBzw/edit#gid=349841863"",""2025-26!p3"")"),0.0)</f>
        <v>0</v>
      </c>
      <c r="AF169" s="55">
        <f>IFERROR(__xludf.DUMMYFUNCTION("importrange(""https://docs.google.com/spreadsheets/d/1j6rau0lEhNAOQYvtnRw0BNr_DI1X6gMKsq33shEhBzw/edit#gid=349841863"",""2025-26!q4"")"),0.0)</f>
        <v>0</v>
      </c>
      <c r="AG169" s="55">
        <f>IFERROR(__xludf.DUMMYFUNCTION("importrange(""https://docs.google.com/spreadsheets/d/1j6rau0lEhNAOQYvtnRw0BNr_DI1X6gMKsq33shEhBzw/edit#gid=349841863"",""2025-26!q3"")"),0.0)</f>
        <v>0</v>
      </c>
      <c r="AH169" s="58" t="str">
        <f t="shared" si="58"/>
        <v/>
      </c>
      <c r="AI169" s="55">
        <f>IFERROR(__xludf.DUMMYFUNCTION("importrange(""https://docs.google.com/spreadsheets/d/1j6rau0lEhNAOQYvtnRw0BNr_DI1X6gMKsq33shEhBzw/edit#gid=349841863"",""2025-26!r4"")"),0.0)</f>
        <v>0</v>
      </c>
      <c r="AJ169" s="55">
        <f>IFERROR(__xludf.DUMMYFUNCTION("importrange(""https://docs.google.com/spreadsheets/d/1j6rau0lEhNAOQYvtnRw0BNr_DI1X6gMKsq33shEhBzw/edit#gid=349841863"",""2025-26!r3"")"),0.0)</f>
        <v>0</v>
      </c>
      <c r="AK169" s="55">
        <f>IFERROR(__xludf.DUMMYFUNCTION("importrange(""https://docs.google.com/spreadsheets/d/1j6rau0lEhNAOQYvtnRw0BNr_DI1X6gMKsq33shEhBzw/edit#gid=349841863"",""2025-26!s4"")"),0.0)</f>
        <v>0</v>
      </c>
      <c r="AL169" s="55">
        <f>IFERROR(__xludf.DUMMYFUNCTION("importrange(""https://docs.google.com/spreadsheets/d/1j6rau0lEhNAOQYvtnRw0BNr_DI1X6gMKsq33shEhBzw/edit#gid=349841863"",""2025-26!s3"")"),0.0)</f>
        <v>0</v>
      </c>
      <c r="AM169" s="57">
        <f>IFERROR(__xludf.DUMMYFUNCTION("importrange(""https://docs.google.com/spreadsheets/d/1j6rau0lEhNAOQYvtnRw0BNr_DI1X6gMKsq33shEhBzw/edit#gid=349841863"",""2025-26!t4"")"),0.0)</f>
        <v>0</v>
      </c>
      <c r="AN169" s="55">
        <f>IFERROR(__xludf.DUMMYFUNCTION("importrange(""https://docs.google.com/spreadsheets/d/1j6rau0lEhNAOQYvtnRw0BNr_DI1X6gMKsq33shEhBzw/edit#gid=349841863"",""2025-26!t3"")"),0.0)</f>
        <v>0</v>
      </c>
      <c r="AO169" s="58" t="str">
        <f t="shared" si="59"/>
        <v/>
      </c>
      <c r="AP169" s="55">
        <f>IFERROR(__xludf.DUMMYFUNCTION("importrange(""https://docs.google.com/spreadsheets/d/1j6rau0lEhNAOQYvtnRw0BNr_DI1X6gMKsq33shEhBzw/edit#gid=349841863"",""2025-26!u4"")"),0.0)</f>
        <v>0</v>
      </c>
      <c r="AQ169" s="55">
        <f>IFERROR(__xludf.DUMMYFUNCTION("importrange(""https://docs.google.com/spreadsheets/d/1j6rau0lEhNAOQYvtnRw0BNr_DI1X6gMKsq33shEhBzw/edit#gid=349841863"",""2025-26!u3"")"),0.0)</f>
        <v>0</v>
      </c>
      <c r="AR169" s="55">
        <f>IFERROR(__xludf.DUMMYFUNCTION("importrange(""https://docs.google.com/spreadsheets/d/1j6rau0lEhNAOQYvtnRw0BNr_DI1X6gMKsq33shEhBzw/edit#gid=349841863"",""2025-26!v4"")"),0.0)</f>
        <v>0</v>
      </c>
      <c r="AS169" s="55">
        <f>IFERROR(__xludf.DUMMYFUNCTION("importrange(""https://docs.google.com/spreadsheets/d/1j6rau0lEhNAOQYvtnRw0BNr_DI1X6gMKsq33shEhBzw/edit#gid=349841863"",""2025-26!v3"")"),0.0)</f>
        <v>0</v>
      </c>
      <c r="AT169" s="57">
        <f>IFERROR(__xludf.DUMMYFUNCTION("importrange(""https://docs.google.com/spreadsheets/d/1j6rau0lEhNAOQYvtnRw0BNr_DI1X6gMKsq33shEhBzw/edit#gid=349841863"",""2025-26!w4"")"),0.0)</f>
        <v>0</v>
      </c>
      <c r="AU169" s="55">
        <f>IFERROR(__xludf.DUMMYFUNCTION("importrange(""https://docs.google.com/spreadsheets/d/1j6rau0lEhNAOQYvtnRw0BNr_DI1X6gMKsq33shEhBzw/edit#gid=349841863"",""2025-26!w3"")"),0.0)</f>
        <v>0</v>
      </c>
      <c r="AV169" s="58" t="str">
        <f t="shared" si="60"/>
        <v/>
      </c>
      <c r="AW169" s="55">
        <f>IFERROR(__xludf.DUMMYFUNCTION("importrange(""https://docs.google.com/spreadsheets/d/1j6rau0lEhNAOQYvtnRw0BNr_DI1X6gMKsq33shEhBzw/edit#gid=349841863"",""2025-26!x4"")"),0.0)</f>
        <v>0</v>
      </c>
      <c r="AX169" s="55">
        <f>IFERROR(__xludf.DUMMYFUNCTION("importrange(""https://docs.google.com/spreadsheets/d/1j6rau0lEhNAOQYvtnRw0BNr_DI1X6gMKsq33shEhBzw/edit#gid=349841863"",""2025-26!x3"")"),0.0)</f>
        <v>0</v>
      </c>
      <c r="AY169" s="55">
        <f>IFERROR(__xludf.DUMMYFUNCTION("importrange(""https://docs.google.com/spreadsheets/d/1j6rau0lEhNAOQYvtnRw0BNr_DI1X6gMKsq33shEhBzw/edit#gid=349841863"",""2025-26!y4"")"),0.0)</f>
        <v>0</v>
      </c>
      <c r="AZ169" s="55">
        <f>IFERROR(__xludf.DUMMYFUNCTION("importrange(""https://docs.google.com/spreadsheets/d/1j6rau0lEhNAOQYvtnRw0BNr_DI1X6gMKsq33shEhBzw/edit#gid=349841863"",""2025-26!y3"")"),0.0)</f>
        <v>0</v>
      </c>
      <c r="BA169" s="57">
        <f>IFERROR(__xludf.DUMMYFUNCTION("importrange(""https://docs.google.com/spreadsheets/d/1j6rau0lEhNAOQYvtnRw0BNr_DI1X6gMKsq33shEhBzw/edit#gid=349841863"",""2025-26!z4"")"),0.0)</f>
        <v>0</v>
      </c>
      <c r="BB169" s="55">
        <f>IFERROR(__xludf.DUMMYFUNCTION("importrange(""https://docs.google.com/spreadsheets/d/1j6rau0lEhNAOQYvtnRw0BNr_DI1X6gMKsq33shEhBzw/edit#gid=349841863"",""2025-26!z3"")"),0.0)</f>
        <v>0</v>
      </c>
      <c r="BC169" s="59" t="str">
        <f t="shared" si="61"/>
        <v/>
      </c>
      <c r="BD169" s="55">
        <f>IFERROR(__xludf.DUMMYFUNCTION("importrange(""https://docs.google.com/spreadsheets/d/1j6rau0lEhNAOQYvtnRw0BNr_DI1X6gMKsq33shEhBzw/edit#gid=349841863"",""2025-26!aa4"")"),0.0)</f>
        <v>0</v>
      </c>
      <c r="BE169" s="55">
        <f>IFERROR(__xludf.DUMMYFUNCTION("importrange(""https://docs.google.com/spreadsheets/d/1j6rau0lEhNAOQYvtnRw0BNr_DI1X6gMKsq33shEhBzw/edit#gid=349841863"",""2025-26!aa3"")"),0.0)</f>
        <v>0</v>
      </c>
      <c r="BF169" s="55">
        <f>IFERROR(__xludf.DUMMYFUNCTION("importrange(""https://docs.google.com/spreadsheets/d/1j6rau0lEhNAOQYvtnRw0BNr_DI1X6gMKsq33shEhBzw/edit#gid=349841863"",""2025-26!ab4"")"),0.0)</f>
        <v>0</v>
      </c>
      <c r="BG169" s="55">
        <f>IFERROR(__xludf.DUMMYFUNCTION("importrange(""https://docs.google.com/spreadsheets/d/1j6rau0lEhNAOQYvtnRw0BNr_DI1X6gMKsq33shEhBzw/edit#gid=349841863"",""2025-26!ab3"")"),0.0)</f>
        <v>0</v>
      </c>
      <c r="BH169" s="55">
        <f>IFERROR(__xludf.DUMMYFUNCTION("importrange(""https://docs.google.com/spreadsheets/d/1j6rau0lEhNAOQYvtnRw0BNr_DI1X6gMKsq33shEhBzw/edit#gid=349841863"",""2025-26!ac4"")"),0.0)</f>
        <v>0</v>
      </c>
      <c r="BI169" s="55">
        <f>IFERROR(__xludf.DUMMYFUNCTION("importrange(""https://docs.google.com/spreadsheets/d/1j6rau0lEhNAOQYvtnRw0BNr_DI1X6gMKsq33shEhBzw/edit#gid=349841863"",""2025-26!ac3"")"),0.0)</f>
        <v>0</v>
      </c>
      <c r="BJ169" s="59" t="str">
        <f t="shared" si="62"/>
        <v/>
      </c>
      <c r="BK169" s="55">
        <f>IFERROR(__xludf.DUMMYFUNCTION("importrange(""https://docs.google.com/spreadsheets/d/1j6rau0lEhNAOQYvtnRw0BNr_DI1X6gMKsq33shEhBzw/edit#gid=349841863"",""2025-26!ad4"")"),0.0)</f>
        <v>0</v>
      </c>
      <c r="BL169" s="55">
        <f>IFERROR(__xludf.DUMMYFUNCTION("importrange(""https://docs.google.com/spreadsheets/d/1j6rau0lEhNAOQYvtnRw0BNr_DI1X6gMKsq33shEhBzw/edit#gid=349841863"",""2025-26!ad3"")"),0.0)</f>
        <v>0</v>
      </c>
      <c r="BM169" s="55">
        <f>IFERROR(__xludf.DUMMYFUNCTION("importrange(""https://docs.google.com/spreadsheets/d/1j6rau0lEhNAOQYvtnRw0BNr_DI1X6gMKsq33shEhBzw/edit#gid=349841863"",""2025-26!ae4"")"),0.0)</f>
        <v>0</v>
      </c>
      <c r="BN169" s="55">
        <f>IFERROR(__xludf.DUMMYFUNCTION("importrange(""https://docs.google.com/spreadsheets/d/1j6rau0lEhNAOQYvtnRw0BNr_DI1X6gMKsq33shEhBzw/edit#gid=349841863"",""2025-26!ae3"")"),0.0)</f>
        <v>0</v>
      </c>
      <c r="BO169" s="55">
        <f>IFERROR(__xludf.DUMMYFUNCTION("importrange(""https://docs.google.com/spreadsheets/d/1j6rau0lEhNAOQYvtnRw0BNr_DI1X6gMKsq33shEhBzw/edit#gid=349841863"",""2025-26!af4"")"),0.0)</f>
        <v>0</v>
      </c>
      <c r="BP169" s="55">
        <f>IFERROR(__xludf.DUMMYFUNCTION("importrange(""https://docs.google.com/spreadsheets/d/1j6rau0lEhNAOQYvtnRw0BNr_DI1X6gMKsq33shEhBzw/edit#gid=349841863"",""2025-26!af3"")"),0.0)</f>
        <v>0</v>
      </c>
      <c r="BQ169" s="59" t="str">
        <f t="shared" si="63"/>
        <v/>
      </c>
      <c r="BR169" s="55">
        <f>IFERROR(__xludf.DUMMYFUNCTION("importrange(""https://docs.google.com/spreadsheets/d/1j6rau0lEhNAOQYvtnRw0BNr_DI1X6gMKsq33shEhBzw/edit#gid=349841863"",""2025-26!ag4"")"),0.0)</f>
        <v>0</v>
      </c>
      <c r="BS169" s="55">
        <f>IFERROR(__xludf.DUMMYFUNCTION("importrange(""https://docs.google.com/spreadsheets/d/1j6rau0lEhNAOQYvtnRw0BNr_DI1X6gMKsq33shEhBzw/edit#gid=349841863"",""2025-26!ag3"")"),0.0)</f>
        <v>0</v>
      </c>
      <c r="BT169" s="55">
        <f>IFERROR(__xludf.DUMMYFUNCTION("importrange(""https://docs.google.com/spreadsheets/d/1j6rau0lEhNAOQYvtnRw0BNr_DI1X6gMKsq33shEhBzw/edit#gid=349841863"",""2025-26!ah4"")"),0.0)</f>
        <v>0</v>
      </c>
      <c r="BU169" s="55">
        <f>IFERROR(__xludf.DUMMYFUNCTION("importrange(""https://docs.google.com/spreadsheets/d/1j6rau0lEhNAOQYvtnRw0BNr_DI1X6gMKsq33shEhBzw/edit#gid=349841863"",""2025-26!ah3"")"),0.0)</f>
        <v>0</v>
      </c>
      <c r="BV169" s="55">
        <f>IFERROR(__xludf.DUMMYFUNCTION("importrange(""https://docs.google.com/spreadsheets/d/1j6rau0lEhNAOQYvtnRw0BNr_DI1X6gMKsq33shEhBzw/edit#gid=349841863"",""2025-26!ai4"")"),0.0)</f>
        <v>0</v>
      </c>
      <c r="BW169" s="55">
        <f>IFERROR(__xludf.DUMMYFUNCTION("importrange(""https://docs.google.com/spreadsheets/d/1j6rau0lEhNAOQYvtnRw0BNr_DI1X6gMKsq33shEhBzw/edit#gid=349841863"",""2025-26!ai3"")"),0.0)</f>
        <v>0</v>
      </c>
      <c r="BX169" s="59" t="str">
        <f t="shared" si="64"/>
        <v/>
      </c>
      <c r="BY169" s="55">
        <f>IFERROR(__xludf.DUMMYFUNCTION("importrange(""https://docs.google.com/spreadsheets/d/1j6rau0lEhNAOQYvtnRw0BNr_DI1X6gMKsq33shEhBzw/edit#gid=349841863"",""2025-26!aj4"")"),0.0)</f>
        <v>0</v>
      </c>
      <c r="BZ169" s="55">
        <f>IFERROR(__xludf.DUMMYFUNCTION("importrange(""https://docs.google.com/spreadsheets/d/1j6rau0lEhNAOQYvtnRw0BNr_DI1X6gMKsq33shEhBzw/edit#gid=349841863"",""2025-26!aj3"")"),0.0)</f>
        <v>0</v>
      </c>
      <c r="CA169" s="55">
        <f>IFERROR(__xludf.DUMMYFUNCTION("importrange(""https://docs.google.com/spreadsheets/d/1j6rau0lEhNAOQYvtnRw0BNr_DI1X6gMKsq33shEhBzw/edit#gid=349841863"",""2025-26!ak4"")"),0.0)</f>
        <v>0</v>
      </c>
      <c r="CB169" s="55">
        <f>IFERROR(__xludf.DUMMYFUNCTION("importrange(""https://docs.google.com/spreadsheets/d/1j6rau0lEhNAOQYvtnRw0BNr_DI1X6gMKsq33shEhBzw/edit#gid=349841863"",""2025-26!ak3"")"),0.0)</f>
        <v>0</v>
      </c>
      <c r="CC169" s="55">
        <f>IFERROR(__xludf.DUMMYFUNCTION("importrange(""https://docs.google.com/spreadsheets/d/1j6rau0lEhNAOQYvtnRw0BNr_DI1X6gMKsq33shEhBzw/edit#gid=349841863"",""2025-26!al4"")"),0.0)</f>
        <v>0</v>
      </c>
      <c r="CD169" s="55">
        <f>IFERROR(__xludf.DUMMYFUNCTION("importrange(""https://docs.google.com/spreadsheets/d/1j6rau0lEhNAOQYvtnRw0BNr_DI1X6gMKsq33shEhBzw/edit#gid=349841863"",""2025-26!ai3"")"),0.0)</f>
        <v>0</v>
      </c>
      <c r="CE169" s="59" t="str">
        <f t="shared" si="65"/>
        <v/>
      </c>
      <c r="CF169" s="55">
        <f>IFERROR(__xludf.DUMMYFUNCTION("importrange(""https://docs.google.com/spreadsheets/d/1j6rau0lEhNAOQYvtnRw0BNr_DI1X6gMKsq33shEhBzw/edit#gid=349841863"",""2025-26!am4"")"),0.0)</f>
        <v>0</v>
      </c>
      <c r="CG169" s="55">
        <f>IFERROR(__xludf.DUMMYFUNCTION("importrange(""https://docs.google.com/spreadsheets/d/1j6rau0lEhNAOQYvtnRw0BNr_DI1X6gMKsq33shEhBzw/edit#gid=349841863"",""2025-26!am3"")"),0.0)</f>
        <v>0</v>
      </c>
      <c r="CH169" s="55">
        <f>IFERROR(__xludf.DUMMYFUNCTION("importrange(""https://docs.google.com/spreadsheets/d/1j6rau0lEhNAOQYvtnRw0BNr_DI1X6gMKsq33shEhBzw/edit#gid=349841863"",""2025-26!an4"")"),0.0)</f>
        <v>0</v>
      </c>
      <c r="CI169" s="55">
        <f>IFERROR(__xludf.DUMMYFUNCTION("importrange(""https://docs.google.com/spreadsheets/d/1j6rau0lEhNAOQYvtnRw0BNr_DI1X6gMKsq33shEhBzw/edit#gid=349841863"",""2025-26!an3"")"),0.0)</f>
        <v>0</v>
      </c>
      <c r="CJ169" s="55">
        <f>IFERROR(__xludf.DUMMYFUNCTION("importrange(""https://docs.google.com/spreadsheets/d/1j6rau0lEhNAOQYvtnRw0BNr_DI1X6gMKsq33shEhBzw/edit#gid=349841863"",""2025-26!ao4"")"),0.0)</f>
        <v>0</v>
      </c>
      <c r="CK169" s="55">
        <f>IFERROR(__xludf.DUMMYFUNCTION("importrange(""https://docs.google.com/spreadsheets/d/1j6rau0lEhNAOQYvtnRw0BNr_DI1X6gMKsq33shEhBzw/edit#gid=349841863"",""2025-26!ao3"")"),0.0)</f>
        <v>0</v>
      </c>
      <c r="CL169" s="59" t="str">
        <f t="shared" si="66"/>
        <v/>
      </c>
      <c r="CM169" s="55">
        <f>IFERROR(__xludf.DUMMYFUNCTION("importrange(""https://docs.google.com/spreadsheets/d/1j6rau0lEhNAOQYvtnRw0BNr_DI1X6gMKsq33shEhBzw/edit#gid=349841863"",""2025-26!ap4"")"),0.0)</f>
        <v>0</v>
      </c>
      <c r="CN169" s="55">
        <f>IFERROR(__xludf.DUMMYFUNCTION("importrange(""https://docs.google.com/spreadsheets/d/1j6rau0lEhNAOQYvtnRw0BNr_DI1X6gMKsq33shEhBzw/edit#gid=349841863"",""2025-26!ap3"")"),0.0)</f>
        <v>0</v>
      </c>
      <c r="CO169" s="55">
        <f>IFERROR(__xludf.DUMMYFUNCTION("importrange(""https://docs.google.com/spreadsheets/d/1j6rau0lEhNAOQYvtnRw0BNr_DI1X6gMKsq33shEhBzw/edit#gid=349841863"",""2025-26!aq4"")"),0.0)</f>
        <v>0</v>
      </c>
      <c r="CP169" s="55">
        <f>IFERROR(__xludf.DUMMYFUNCTION("importrange(""https://docs.google.com/spreadsheets/d/1j6rau0lEhNAOQYvtnRw0BNr_DI1X6gMKsq33shEhBzw/edit#gid=349841863"",""2025-26!aq3"")"),0.0)</f>
        <v>0</v>
      </c>
      <c r="CQ169" s="55">
        <f>IFERROR(__xludf.DUMMYFUNCTION("importrange(""https://docs.google.com/spreadsheets/d/1j6rau0lEhNAOQYvtnRw0BNr_DI1X6gMKsq33shEhBzw/edit#gid=349841863"",""2025-26!ar4"")"),0.0)</f>
        <v>0</v>
      </c>
      <c r="CR169" s="55">
        <f>IFERROR(__xludf.DUMMYFUNCTION("importrange(""https://docs.google.com/spreadsheets/d/1j6rau0lEhNAOQYvtnRw0BNr_DI1X6gMKsq33shEhBzw/edit#gid=349841863"",""2025-26!ar3"")"),0.0)</f>
        <v>0</v>
      </c>
      <c r="CS169" s="59" t="str">
        <f t="shared" si="67"/>
        <v/>
      </c>
      <c r="CT169" s="55">
        <f>IFERROR(__xludf.DUMMYFUNCTION("importrange(""https://docs.google.com/spreadsheets/d/1j6rau0lEhNAOQYvtnRw0BNr_DI1X6gMKsq33shEhBzw/edit#gid=349841863"",""2025-26!as4"")"),0.0)</f>
        <v>0</v>
      </c>
      <c r="CU169" s="55">
        <f>IFERROR(__xludf.DUMMYFUNCTION("importrange(""https://docs.google.com/spreadsheets/d/1j6rau0lEhNAOQYvtnRw0BNr_DI1X6gMKsq33shEhBzw/edit#gid=349841863"",""2025-26!as3"")"),0.0)</f>
        <v>0</v>
      </c>
      <c r="CV169" s="60" t="s">
        <v>301</v>
      </c>
    </row>
    <row r="170">
      <c r="A170" s="133" t="s">
        <v>298</v>
      </c>
      <c r="B170" s="134" t="s">
        <v>298</v>
      </c>
      <c r="C170" s="137" t="s">
        <v>356</v>
      </c>
      <c r="D170" s="68" t="s">
        <v>319</v>
      </c>
      <c r="E170" s="83">
        <v>8.055112287E9</v>
      </c>
      <c r="F170" s="66">
        <v>45651.0</v>
      </c>
      <c r="G170" s="75"/>
      <c r="H170" s="75"/>
      <c r="I170" s="53">
        <v>25165.0</v>
      </c>
      <c r="J170" s="54">
        <v>1000000.0</v>
      </c>
      <c r="K170" s="57">
        <f>IFERROR(__xludf.DUMMYFUNCTION("IMPORTRANGE(""https://docs.google.com/spreadsheets/d/1gkhkiB2XLmpBce2nkflhM1mNhMgFrRJwv7eN1I_ousc/edit?gid=1277429317#gid=1277429317"",""2025-26!A3"")"),83.0)</f>
        <v>83</v>
      </c>
      <c r="L170" s="57">
        <f>IFERROR(__xludf.DUMMYFUNCTION("IMPORTRANGE(""https://docs.google.com/spreadsheets/d/1gkhkiB2XLmpBce2nkflhM1mNhMgFrRJwv7eN1I_ousc/edit?gid=1277429317#gid=1277429317"",""2025-26!G4"")"),1.2914E7)</f>
        <v>12914000</v>
      </c>
      <c r="M170" s="57">
        <f t="shared" si="68"/>
        <v>1792672.8</v>
      </c>
      <c r="N170" s="56">
        <f t="shared" si="69"/>
        <v>0.2082653709</v>
      </c>
      <c r="O170" s="57">
        <f t="shared" si="70"/>
        <v>2689539</v>
      </c>
      <c r="P170" s="55">
        <f>IFERROR(__xludf.DUMMYFUNCTION("IMPORTRANGE(""https://docs.google.com/spreadsheets/d/1gkhkiB2XLmpBce2nkflhM1mNhMgFrRJwv7eN1I_ousc/edit?gid=1277429317#gid=1277429317"",""2025-26!J4"")"),740000.0)</f>
        <v>740000</v>
      </c>
      <c r="Q170" s="55">
        <f>IFERROR(__xludf.DUMMYFUNCTION("IMPORTRANGE(""https://docs.google.com/spreadsheets/d/1gkhkiB2XLmpBce2nkflhM1mNhMgFrRJwv7eN1I_ousc/edit?gid=1277429317#gid=1277429317"",""2025-26!J3"")"),66.0)</f>
        <v>66</v>
      </c>
      <c r="R170" s="55">
        <f>IFERROR(__xludf.DUMMYFUNCTION("IMPORTRANGE(""https://docs.google.com/spreadsheets/d/1gkhkiB2XLmpBce2nkflhM1mNhMgFrRJwv7eN1I_ousc/edit?gid=1277429317#gid=1277429317"",""2025-26!K4"")"),63650.5)</f>
        <v>63650.5</v>
      </c>
      <c r="S170" s="55">
        <f>IFERROR(__xludf.DUMMYFUNCTION("IMPORTRANGE(""https://docs.google.com/spreadsheets/d/1gkhkiB2XLmpBce2nkflhM1mNhMgFrRJwv7eN1I_ousc/edit?gid=1277429317#gid=1277429317"",""2025-26!K3"")"),4.0)</f>
        <v>4</v>
      </c>
      <c r="T170" s="58">
        <f t="shared" si="56"/>
        <v>0.7119905405</v>
      </c>
      <c r="U170" s="55">
        <f>IFERROR(__xludf.DUMMYFUNCTION("IMPORTRANGE(""https://docs.google.com/spreadsheets/d/1gkhkiB2XLmpBce2nkflhM1mNhMgFrRJwv7eN1I_ousc/edit?gid=1277429317#gid=1277429317"",""2025-26!L4"")"),526873.0)</f>
        <v>526873</v>
      </c>
      <c r="V170" s="79">
        <f>IFERROR(__xludf.DUMMYFUNCTION("IMPORTRANGE(""https://docs.google.com/spreadsheets/d/1gkhkiB2XLmpBce2nkflhM1mNhMgFrRJwv7eN1I_ousc/edit?gid=1277429317#gid=1277429317"",""2025-26!L3"")"),25.0)</f>
        <v>25</v>
      </c>
      <c r="W170" s="55">
        <f>IFERROR(__xludf.DUMMYFUNCTION("IMPORTRANGE(""https://docs.google.com/spreadsheets/d/1gkhkiB2XLmpBce2nkflhM1mNhMgFrRJwv7eN1I_ousc/edit?gid=1277429317#gid=1277429317"",""2025-26!M4"")"),880000.0)</f>
        <v>880000</v>
      </c>
      <c r="X170" s="79">
        <f>IFERROR(__xludf.DUMMYFUNCTION("IMPORTRANGE(""https://docs.google.com/spreadsheets/d/1gkhkiB2XLmpBce2nkflhM1mNhMgFrRJwv7eN1I_ousc/edit?gid=1277429317#gid=1277429317"",""2025-26!M3"")"),66.0)</f>
        <v>66</v>
      </c>
      <c r="Y170" s="55">
        <f>IFERROR(__xludf.DUMMYFUNCTION("importrange(""https://docs.google.com/spreadsheets/d/1gkhkiB2XLmpBce2nkflhM1mNhMgFrRJwv7eN1I_ousc/edit?gid=1277429317#gid=1277429317"",""2025-26!n4"")"),733049.5)</f>
        <v>733049.5</v>
      </c>
      <c r="Z170" s="55">
        <f>IFERROR(__xludf.DUMMYFUNCTION("importrange(""https://docs.google.com/spreadsheets/d/1gkhkiB2XLmpBce2nkflhM1mNhMgFrRJwv7eN1I_ousc/edit?gid=1277429317#gid=1277429317"",""2025-26!n3"")"),17.0)</f>
        <v>17</v>
      </c>
      <c r="AA170" s="58">
        <f t="shared" si="57"/>
        <v>1.002061364</v>
      </c>
      <c r="AB170" s="55">
        <f>IFERROR(__xludf.DUMMYFUNCTION("importrange(""https://docs.google.com/spreadsheets/d/1gkhkiB2XLmpBce2nkflhM1mNhMgFrRJwv7eN1I_ousc/edit?gid=1277429317#gid=1277429317"",""2025-26!o4"")"),881814.0)</f>
        <v>881814</v>
      </c>
      <c r="AC170" s="55">
        <f>IFERROR(__xludf.DUMMYFUNCTION("importrange(""https://docs.google.com/spreadsheets/d/1gkhkiB2XLmpBce2nkflhM1mNhMgFrRJwv7eN1I_ousc/edit?gid=1277429317#gid=1277429317"",""2025-26!o3"")"),37.0)</f>
        <v>37</v>
      </c>
      <c r="AD170" s="55">
        <f>IFERROR(__xludf.DUMMYFUNCTION("importrange(""https://docs.google.com/spreadsheets/d/1gkhkiB2XLmpBce2nkflhM1mNhMgFrRJwv7eN1I_ousc/edit?gid=1277429317#gid=1277429317"",""2025-26!p4"")"),810000.0)</f>
        <v>810000</v>
      </c>
      <c r="AE170" s="55">
        <f>IFERROR(__xludf.DUMMYFUNCTION("importrange(""https://docs.google.com/spreadsheets/d/1gkhkiB2XLmpBce2nkflhM1mNhMgFrRJwv7eN1I_ousc/edit?gid=1277429317#gid=1277429317"",""2025-26!p3"")"),66.0)</f>
        <v>66</v>
      </c>
      <c r="AF170" s="55">
        <f>IFERROR(__xludf.DUMMYFUNCTION("importrange(""https://docs.google.com/spreadsheets/d/1gkhkiB2XLmpBce2nkflhM1mNhMgFrRJwv7eN1I_ousc/edit?gid=1277429317#gid=1277429317"",""2025-26!q4"")"),668039.8)</f>
        <v>668039.8</v>
      </c>
      <c r="AG170" s="55">
        <f>IFERROR(__xludf.DUMMYFUNCTION("importrange(""https://docs.google.com/spreadsheets/d/1gkhkiB2XLmpBce2nkflhM1mNhMgFrRJwv7eN1I_ousc/edit?gid=1277429317#gid=1277429317"",""2025-26!q3"")"),15.0)</f>
        <v>15</v>
      </c>
      <c r="AH170" s="58">
        <f t="shared" si="58"/>
        <v>0.8108407407</v>
      </c>
      <c r="AI170" s="55">
        <f>IFERROR(__xludf.DUMMYFUNCTION("importrange(""https://docs.google.com/spreadsheets/d/1gkhkiB2XLmpBce2nkflhM1mNhMgFrRJwv7eN1I_ousc/edit?gid=1277429317#gid=1277429317"",""2025-26!r4"")"),656781.0)</f>
        <v>656781</v>
      </c>
      <c r="AJ170" s="55">
        <f>IFERROR(__xludf.DUMMYFUNCTION("importrange(""https://docs.google.com/spreadsheets/d/1gkhkiB2XLmpBce2nkflhM1mNhMgFrRJwv7eN1I_ousc/edit?gid=1277429317#gid=1277429317"",""2025-26!r3"")"),25.0)</f>
        <v>25</v>
      </c>
      <c r="AK170" s="55">
        <f>IFERROR(__xludf.DUMMYFUNCTION("importrange(""https://docs.google.com/spreadsheets/d/1gkhkiB2XLmpBce2nkflhM1mNhMgFrRJwv7eN1I_ousc/edit?gid=1277429317#gid=1277429317"",""2025-26!s4"")"),1012000.0)</f>
        <v>1012000</v>
      </c>
      <c r="AL170" s="55">
        <f>IFERROR(__xludf.DUMMYFUNCTION("importrange(""https://docs.google.com/spreadsheets/d/1gkhkiB2XLmpBce2nkflhM1mNhMgFrRJwv7eN1I_ousc/edit?gid=1277429317#gid=1277429317"",""2025-26!s3"")"),66.0)</f>
        <v>66</v>
      </c>
      <c r="AM170" s="57">
        <f>IFERROR(__xludf.DUMMYFUNCTION("importrange(""https://docs.google.com/spreadsheets/d/1gkhkiB2XLmpBce2nkflhM1mNhMgFrRJwv7eN1I_ousc/edit?gid=1277429317#gid=1277429317"",""2025-26!t4"")"),230524.0)</f>
        <v>230524</v>
      </c>
      <c r="AN170" s="55">
        <f>IFERROR(__xludf.DUMMYFUNCTION("importrange(""https://docs.google.com/spreadsheets/d/1gkhkiB2XLmpBce2nkflhM1mNhMgFrRJwv7eN1I_ousc/edit?gid=1277429317#gid=1277429317"",""2025-26!t3"")"),5.0)</f>
        <v>5</v>
      </c>
      <c r="AO170" s="58">
        <f t="shared" si="59"/>
        <v>0.6166709486</v>
      </c>
      <c r="AP170" s="55">
        <f>IFERROR(__xludf.DUMMYFUNCTION("importrange(""https://docs.google.com/spreadsheets/d/1gkhkiB2XLmpBce2nkflhM1mNhMgFrRJwv7eN1I_ousc/edit?gid=1277429317#gid=1277429317"",""2025-26!u4"")"),624071.0)</f>
        <v>624071</v>
      </c>
      <c r="AQ170" s="55">
        <f>IFERROR(__xludf.DUMMYFUNCTION("importrange(""https://docs.google.com/spreadsheets/d/1gkhkiB2XLmpBce2nkflhM1mNhMgFrRJwv7eN1I_ousc/edit?gid=1277429317#gid=1277429317"",""2025-26!u3"")"),29.0)</f>
        <v>29</v>
      </c>
      <c r="AR170" s="55">
        <f>IFERROR(__xludf.DUMMYFUNCTION("importrange(""https://docs.google.com/spreadsheets/d/1gkhkiB2XLmpBce2nkflhM1mNhMgFrRJwv7eN1I_ousc/edit?gid=1277429317#gid=1277429317"",""2025-26!v4"")"),1043000.0)</f>
        <v>1043000</v>
      </c>
      <c r="AS170" s="55">
        <f>IFERROR(__xludf.DUMMYFUNCTION("importrange(""https://docs.google.com/spreadsheets/d/1gkhkiB2XLmpBce2nkflhM1mNhMgFrRJwv7eN1I_ousc/edit?gid=1277429317#gid=1277429317"",""2025-26!v3"")"),66.0)</f>
        <v>66</v>
      </c>
      <c r="AT170" s="57">
        <f>IFERROR(__xludf.DUMMYFUNCTION("importrange(""https://docs.google.com/spreadsheets/d/1gkhkiB2XLmpBce2nkflhM1mNhMgFrRJwv7eN1I_ousc/edit?gid=1277429317#gid=1277429317"",""2025-26!w4"")"),97409.0)</f>
        <v>97409</v>
      </c>
      <c r="AU170" s="55">
        <f>IFERROR(__xludf.DUMMYFUNCTION("importrange(""https://docs.google.com/spreadsheets/d/1gkhkiB2XLmpBce2nkflhM1mNhMgFrRJwv7eN1I_ousc/edit?gid=1277429317#gid=1277429317"",""2025-26!w3"")"),4.0)</f>
        <v>4</v>
      </c>
      <c r="AV170" s="58">
        <f t="shared" si="60"/>
        <v>0</v>
      </c>
      <c r="AW170" s="55">
        <f>IFERROR(__xludf.DUMMYFUNCTION("importrange(""https://docs.google.com/spreadsheets/d/1gkhkiB2XLmpBce2nkflhM1mNhMgFrRJwv7eN1I_ousc/edit?gid=1277429317#gid=1277429317"",""2025-26!x4"")"),0.0)</f>
        <v>0</v>
      </c>
      <c r="AX170" s="55">
        <f>IFERROR(__xludf.DUMMYFUNCTION("importrange(""https://docs.google.com/spreadsheets/d/1gkhkiB2XLmpBce2nkflhM1mNhMgFrRJwv7eN1I_ousc/edit?gid=1277429317#gid=1277429317"",""2025-26!x3"")"),0.0)</f>
        <v>0</v>
      </c>
      <c r="AY170" s="55">
        <f>IFERROR(__xludf.DUMMYFUNCTION("importrange(""https://docs.google.com/spreadsheets/d/1gkhkiB2XLmpBce2nkflhM1mNhMgFrRJwv7eN1I_ousc/edit?gid=1277429317#gid=1277429317"",""2025-26!y4"")"),1101000.0)</f>
        <v>1101000</v>
      </c>
      <c r="AZ170" s="55">
        <f>IFERROR(__xludf.DUMMYFUNCTION("importrange(""https://docs.google.com/spreadsheets/d/1gkhkiB2XLmpBce2nkflhM1mNhMgFrRJwv7eN1I_ousc/edit?gid=1277429317#gid=1277429317"",""2025-26!y3"")"),66.0)</f>
        <v>66</v>
      </c>
      <c r="BA170" s="57">
        <f>IFERROR(__xludf.DUMMYFUNCTION("importrange(""https://docs.google.com/spreadsheets/d/1gkhkiB2XLmpBce2nkflhM1mNhMgFrRJwv7eN1I_ousc/edit?gid=1277429317#gid=1277429317"",""2025-26!z4"")"),0.0)</f>
        <v>0</v>
      </c>
      <c r="BB170" s="55">
        <f>IFERROR(__xludf.DUMMYFUNCTION("importrange(""https://docs.google.com/spreadsheets/d/1gkhkiB2XLmpBce2nkflhM1mNhMgFrRJwv7eN1I_ousc/edit?gid=1277429317#gid=1277429317"",""2025-26!z3"")"),0.0)</f>
        <v>0</v>
      </c>
      <c r="BC170" s="59">
        <f t="shared" si="61"/>
        <v>0</v>
      </c>
      <c r="BD170" s="55">
        <f>IFERROR(__xludf.DUMMYFUNCTION("importrange(""https://docs.google.com/spreadsheets/d/1gkhkiB2XLmpBce2nkflhM1mNhMgFrRJwv7eN1I_ousc/edit?gid=1277429317#gid=1277429317"",""2025-26!aa4"")"),0.0)</f>
        <v>0</v>
      </c>
      <c r="BE170" s="55">
        <f>IFERROR(__xludf.DUMMYFUNCTION("importrange(""https://docs.google.com/spreadsheets/d/1gkhkiB2XLmpBce2nkflhM1mNhMgFrRJwv7eN1I_ousc/edit?gid=1277429317#gid=1277429317"",""2025-26!aa3"")"),0.0)</f>
        <v>0</v>
      </c>
      <c r="BF170" s="55">
        <f>IFERROR(__xludf.DUMMYFUNCTION("importrange(""https://docs.google.com/spreadsheets/d/1gkhkiB2XLmpBce2nkflhM1mNhMgFrRJwv7eN1I_ousc/edit?gid=1277429317#gid=1277429317"",""2025-26!ab4"")"),1152000.0)</f>
        <v>1152000</v>
      </c>
      <c r="BG170" s="55">
        <f>IFERROR(__xludf.DUMMYFUNCTION("importrange(""https://docs.google.com/spreadsheets/d/1gkhkiB2XLmpBce2nkflhM1mNhMgFrRJwv7eN1I_ousc/edit?gid=1277429317#gid=1277429317"",""2025-26!ab3"")"),66.0)</f>
        <v>66</v>
      </c>
      <c r="BH170" s="55">
        <f>IFERROR(__xludf.DUMMYFUNCTION("importrange(""https://docs.google.com/spreadsheets/d/1gkhkiB2XLmpBce2nkflhM1mNhMgFrRJwv7eN1I_ousc/edit?gid=1277429317#gid=1277429317"",""2025-26!ac4"")"),0.0)</f>
        <v>0</v>
      </c>
      <c r="BI170" s="55">
        <f>IFERROR(__xludf.DUMMYFUNCTION("importrange(""https://docs.google.com/spreadsheets/d/1gkhkiB2XLmpBce2nkflhM1mNhMgFrRJwv7eN1I_ousc/edit?gid=1277429317#gid=1277429317"",""2025-26!ac3"")"),0.0)</f>
        <v>0</v>
      </c>
      <c r="BJ170" s="59">
        <f t="shared" si="62"/>
        <v>0</v>
      </c>
      <c r="BK170" s="55">
        <f>IFERROR(__xludf.DUMMYFUNCTION("importrange(""https://docs.google.com/spreadsheets/d/1gkhkiB2XLmpBce2nkflhM1mNhMgFrRJwv7eN1I_ousc/edit?gid=1277429317#gid=1277429317"",""2025-26!ad4"")"),0.0)</f>
        <v>0</v>
      </c>
      <c r="BL170" s="55">
        <f>IFERROR(__xludf.DUMMYFUNCTION("importrange(""https://docs.google.com/spreadsheets/d/1gkhkiB2XLmpBce2nkflhM1mNhMgFrRJwv7eN1I_ousc/edit?gid=1277429317#gid=1277429317"",""2025-26!ad3"")"),0.0)</f>
        <v>0</v>
      </c>
      <c r="BM170" s="55">
        <f>IFERROR(__xludf.DUMMYFUNCTION("importrange(""https://docs.google.com/spreadsheets/d/1gkhkiB2XLmpBce2nkflhM1mNhMgFrRJwv7eN1I_ousc/edit?gid=1277429317#gid=1277429317"",""2025-26!ae4"")"),1222000.0)</f>
        <v>1222000</v>
      </c>
      <c r="BN170" s="55">
        <f>IFERROR(__xludf.DUMMYFUNCTION("importrange(""https://docs.google.com/spreadsheets/d/1gkhkiB2XLmpBce2nkflhM1mNhMgFrRJwv7eN1I_ousc/edit?gid=1277429317#gid=1277429317"",""2025-26!ae3"")"),66.0)</f>
        <v>66</v>
      </c>
      <c r="BO170" s="55">
        <f>IFERROR(__xludf.DUMMYFUNCTION("importrange(""https://docs.google.com/spreadsheets/d/1gkhkiB2XLmpBce2nkflhM1mNhMgFrRJwv7eN1I_ousc/edit?gid=1277429317#gid=1277429317"",""2025-26!af4"")"),0.0)</f>
        <v>0</v>
      </c>
      <c r="BP170" s="55">
        <f>IFERROR(__xludf.DUMMYFUNCTION("importrange(""https://docs.google.com/spreadsheets/d/1gkhkiB2XLmpBce2nkflhM1mNhMgFrRJwv7eN1I_ousc/edit?gid=1277429317#gid=1277429317"",""2025-26!af3"")"),0.0)</f>
        <v>0</v>
      </c>
      <c r="BQ170" s="59">
        <f t="shared" si="63"/>
        <v>0</v>
      </c>
      <c r="BR170" s="55">
        <f>IFERROR(__xludf.DUMMYFUNCTION("importrange(""https://docs.google.com/spreadsheets/d/1gkhkiB2XLmpBce2nkflhM1mNhMgFrRJwv7eN1I_ousc/edit?gid=1277429317#gid=1277429317"",""2025-26!ag4"")"),0.0)</f>
        <v>0</v>
      </c>
      <c r="BS170" s="55">
        <f>IFERROR(__xludf.DUMMYFUNCTION("importrange(""https://docs.google.com/spreadsheets/d/1gkhkiB2XLmpBce2nkflhM1mNhMgFrRJwv7eN1I_ousc/edit?gid=1277429317#gid=1277429317"",""2025-26!ag3"")"),0.0)</f>
        <v>0</v>
      </c>
      <c r="BT170" s="55">
        <f>IFERROR(__xludf.DUMMYFUNCTION("importrange(""https://docs.google.com/spreadsheets/d/1gkhkiB2XLmpBce2nkflhM1mNhMgFrRJwv7eN1I_ousc/edit?gid=1277429317#gid=1277429317"",""2025-26!ah4"")"),1298330.0)</f>
        <v>1298330</v>
      </c>
      <c r="BU170" s="55">
        <f>IFERROR(__xludf.DUMMYFUNCTION("importrange(""https://docs.google.com/spreadsheets/d/1gkhkiB2XLmpBce2nkflhM1mNhMgFrRJwv7eN1I_ousc/edit?gid=1277429317#gid=1277429317"",""2025-26!ah3"")"),66.0)</f>
        <v>66</v>
      </c>
      <c r="BV170" s="55">
        <f>IFERROR(__xludf.DUMMYFUNCTION("importrange(""https://docs.google.com/spreadsheets/d/1gkhkiB2XLmpBce2nkflhM1mNhMgFrRJwv7eN1I_ousc/edit?gid=1277429317#gid=1277429317"",""2025-26!ai4"")"),0.0)</f>
        <v>0</v>
      </c>
      <c r="BW170" s="55">
        <f>IFERROR(__xludf.DUMMYFUNCTION("importrange(""https://docs.google.com/spreadsheets/d/1gkhkiB2XLmpBce2nkflhM1mNhMgFrRJwv7eN1I_ousc/edit?gid=1277429317#gid=1277429317"",""2025-26!ai3"")"),0.0)</f>
        <v>0</v>
      </c>
      <c r="BX170" s="59">
        <f t="shared" si="64"/>
        <v>0</v>
      </c>
      <c r="BY170" s="55">
        <f>IFERROR(__xludf.DUMMYFUNCTION("importrange(""https://docs.google.com/spreadsheets/d/1gkhkiB2XLmpBce2nkflhM1mNhMgFrRJwv7eN1I_ousc/edit?gid=1277429317#gid=1277429317"",""2025-26!aj4"")"),0.0)</f>
        <v>0</v>
      </c>
      <c r="BZ170" s="55">
        <f>IFERROR(__xludf.DUMMYFUNCTION("importrange(""https://docs.google.com/spreadsheets/d/1gkhkiB2XLmpBce2nkflhM1mNhMgFrRJwv7eN1I_ousc/edit?gid=1277429317#gid=1277429317"",""2025-26!aj3"")"),0.0)</f>
        <v>0</v>
      </c>
      <c r="CA170" s="55">
        <f>IFERROR(__xludf.DUMMYFUNCTION("importrange(""https://docs.google.com/spreadsheets/d/1gkhkiB2XLmpBce2nkflhM1mNhMgFrRJwv7eN1I_ousc/edit?gid=1277429317#gid=1277429317"",""2025-26!ak4"")"),1258330.0)</f>
        <v>1258330</v>
      </c>
      <c r="CB170" s="55">
        <f>IFERROR(__xludf.DUMMYFUNCTION("importrange(""https://docs.google.com/spreadsheets/d/1gkhkiB2XLmpBce2nkflhM1mNhMgFrRJwv7eN1I_ousc/edit?gid=1277429317#gid=1277429317"",""2025-26!ak3"")"),66.0)</f>
        <v>66</v>
      </c>
      <c r="CC170" s="55">
        <f>IFERROR(__xludf.DUMMYFUNCTION("importrange(""https://docs.google.com/spreadsheets/d/1gkhkiB2XLmpBce2nkflhM1mNhMgFrRJwv7eN1I_ousc/edit?gid=1277429317#gid=1277429317"",""2025-26!al4"")"),0.0)</f>
        <v>0</v>
      </c>
      <c r="CD170" s="55">
        <f>IFERROR(__xludf.DUMMYFUNCTION("importrange(""https://docs.google.com/spreadsheets/d/1gkhkiB2XLmpBce2nkflhM1mNhMgFrRJwv7eN1I_ousc/edit?gid=1277429317#gid=1277429317"",""2025-26!ai3"")"),0.0)</f>
        <v>0</v>
      </c>
      <c r="CE170" s="59">
        <f t="shared" si="65"/>
        <v>0</v>
      </c>
      <c r="CF170" s="55">
        <f>IFERROR(__xludf.DUMMYFUNCTION("importrange(""https://docs.google.com/spreadsheets/d/1gkhkiB2XLmpBce2nkflhM1mNhMgFrRJwv7eN1I_ousc/edit?gid=1277429317#gid=1277429317"",""2025-26!am4"")"),0.0)</f>
        <v>0</v>
      </c>
      <c r="CG170" s="55">
        <f>IFERROR(__xludf.DUMMYFUNCTION("importrange(""https://docs.google.com/spreadsheets/d/1gkhkiB2XLmpBce2nkflhM1mNhMgFrRJwv7eN1I_ousc/edit?gid=1277429317#gid=1277429317"",""2025-26!am3"")"),0.0)</f>
        <v>0</v>
      </c>
      <c r="CH170" s="55">
        <f>IFERROR(__xludf.DUMMYFUNCTION("importrange(""https://docs.google.com/spreadsheets/d/1gkhkiB2XLmpBce2nkflhM1mNhMgFrRJwv7eN1I_ousc/edit?gid=1277429317#gid=1277429317"",""2025-26!an4"")"),1133330.0)</f>
        <v>1133330</v>
      </c>
      <c r="CI170" s="55">
        <f>IFERROR(__xludf.DUMMYFUNCTION("importrange(""https://docs.google.com/spreadsheets/d/1gkhkiB2XLmpBce2nkflhM1mNhMgFrRJwv7eN1I_ousc/edit?gid=1277429317#gid=1277429317"",""2025-26!an3"")"),66.0)</f>
        <v>66</v>
      </c>
      <c r="CJ170" s="55">
        <f>IFERROR(__xludf.DUMMYFUNCTION("importrange(""https://docs.google.com/spreadsheets/d/1gkhkiB2XLmpBce2nkflhM1mNhMgFrRJwv7eN1I_ousc/edit?gid=1277429317#gid=1277429317"",""2025-26!ao4"")"),0.0)</f>
        <v>0</v>
      </c>
      <c r="CK170" s="55">
        <f>IFERROR(__xludf.DUMMYFUNCTION("importrange(""https://docs.google.com/spreadsheets/d/1gkhkiB2XLmpBce2nkflhM1mNhMgFrRJwv7eN1I_ousc/edit?gid=1277429317#gid=1277429317"",""2025-26!ao3"")"),0.0)</f>
        <v>0</v>
      </c>
      <c r="CL170" s="59">
        <f t="shared" si="66"/>
        <v>0</v>
      </c>
      <c r="CM170" s="55">
        <f>IFERROR(__xludf.DUMMYFUNCTION("importrange(""https://docs.google.com/spreadsheets/d/1gkhkiB2XLmpBce2nkflhM1mNhMgFrRJwv7eN1I_ousc/edit?gid=1277429317#gid=1277429317"",""2025-26!ap4"")"),0.0)</f>
        <v>0</v>
      </c>
      <c r="CN170" s="55">
        <f>IFERROR(__xludf.DUMMYFUNCTION("importrange(""https://docs.google.com/spreadsheets/d/1gkhkiB2XLmpBce2nkflhM1mNhMgFrRJwv7eN1I_ousc/edit?gid=1277429317#gid=1277429317"",""2025-26!ap3"")"),0.0)</f>
        <v>0</v>
      </c>
      <c r="CO170" s="55">
        <f>IFERROR(__xludf.DUMMYFUNCTION("importrange(""https://docs.google.com/spreadsheets/d/1gkhkiB2XLmpBce2nkflhM1mNhMgFrRJwv7eN1I_ousc/edit?gid=1277429317#gid=1277429317"",""2025-26!aq4"")"),1257010.0)</f>
        <v>1257010</v>
      </c>
      <c r="CP170" s="55">
        <f>IFERROR(__xludf.DUMMYFUNCTION("importrange(""https://docs.google.com/spreadsheets/d/1gkhkiB2XLmpBce2nkflhM1mNhMgFrRJwv7eN1I_ousc/edit?gid=1277429317#gid=1277429317"",""2025-26!aq3"")"),66.0)</f>
        <v>66</v>
      </c>
      <c r="CQ170" s="55">
        <f>IFERROR(__xludf.DUMMYFUNCTION("importrange(""https://docs.google.com/spreadsheets/d/1gkhkiB2XLmpBce2nkflhM1mNhMgFrRJwv7eN1I_ousc/edit?gid=1277429317#gid=1277429317"",""2025-26!ar4"")"),0.0)</f>
        <v>0</v>
      </c>
      <c r="CR170" s="55">
        <f>IFERROR(__xludf.DUMMYFUNCTION("importrange(""https://docs.google.com/spreadsheets/d/1gkhkiB2XLmpBce2nkflhM1mNhMgFrRJwv7eN1I_ousc/edit?gid=1277429317#gid=1277429317"",""2025-26!ar3"")"),0.0)</f>
        <v>0</v>
      </c>
      <c r="CS170" s="59">
        <f t="shared" si="67"/>
        <v>0</v>
      </c>
      <c r="CT170" s="55">
        <f>IFERROR(__xludf.DUMMYFUNCTION("importrange(""https://docs.google.com/spreadsheets/d/1gkhkiB2XLmpBce2nkflhM1mNhMgFrRJwv7eN1I_ousc/edit?gid=1277429317#gid=1277429317"",""2025-26!as4"")"),0.0)</f>
        <v>0</v>
      </c>
      <c r="CU170" s="55">
        <f>IFERROR(__xludf.DUMMYFUNCTION("importrange(""https://docs.google.com/spreadsheets/d/1gkhkiB2XLmpBce2nkflhM1mNhMgFrRJwv7eN1I_ousc/edit?gid=1277429317#gid=1277429317"",""2025-26!as3"")"),0.0)</f>
        <v>0</v>
      </c>
      <c r="CV170" s="60" t="s">
        <v>301</v>
      </c>
    </row>
    <row r="171">
      <c r="A171" s="133" t="s">
        <v>298</v>
      </c>
      <c r="B171" s="138" t="s">
        <v>298</v>
      </c>
      <c r="C171" s="136" t="s">
        <v>357</v>
      </c>
      <c r="D171" s="49" t="s">
        <v>358</v>
      </c>
      <c r="E171" s="50">
        <v>8.975425758E9</v>
      </c>
      <c r="F171" s="139">
        <v>45862.0</v>
      </c>
      <c r="G171" s="75"/>
      <c r="H171" s="75"/>
      <c r="I171" s="83">
        <v>39330.0</v>
      </c>
      <c r="J171" s="54">
        <v>1200000.0</v>
      </c>
      <c r="K171" s="57">
        <f>IFERROR(__xludf.DUMMYFUNCTION("IMPORTRANGE(""https://docs.google.com/spreadsheets/d/1ThCjtpSvxod_sNHFLZ_SbdIht0ndWLyAmxRBX_FI0ks/edit?gid=162659938#gid=162659938"",""2025-26!A3"")"),44.0)</f>
        <v>44</v>
      </c>
      <c r="L171" s="57">
        <f>IFERROR(__xludf.DUMMYFUNCTION("IMPORTRANGE(""https://docs.google.com/spreadsheets/d/1ThCjtpSvxod_sNHFLZ_SbdIht0ndWLyAmxRBX_FI0ks/edit?gid=162659938#gid=162659938"",""2025-26!G4"")"),4320000.0)</f>
        <v>4320000</v>
      </c>
      <c r="M171" s="57">
        <f t="shared" si="68"/>
        <v>542431.2</v>
      </c>
      <c r="N171" s="56">
        <f t="shared" si="69"/>
        <v>0.08710949074</v>
      </c>
      <c r="O171" s="57">
        <f t="shared" si="70"/>
        <v>376313</v>
      </c>
      <c r="P171" s="55">
        <f>IFERROR(__xludf.DUMMYFUNCTION("IMPORTRANGE(""https://docs.google.com/spreadsheets/d/1ThCjtpSvxod_sNHFLZ_SbdIht0ndWLyAmxRBX_FI0ks/edit?gid=162659938#gid=162659938"",""2025-26!J4"")"),360000.0)</f>
        <v>360000</v>
      </c>
      <c r="Q171" s="55">
        <f>IFERROR(__xludf.DUMMYFUNCTION("IMPORTRANGE(""https://docs.google.com/spreadsheets/d/1ThCjtpSvxod_sNHFLZ_SbdIht0ndWLyAmxRBX_FI0ks/edit?gid=162659938#gid=162659938"",""2025-26!J3"")"),36.0)</f>
        <v>36</v>
      </c>
      <c r="R171" s="55">
        <f>IFERROR(__xludf.DUMMYFUNCTION("IMPORTRANGE(""https://docs.google.com/spreadsheets/d/1ThCjtpSvxod_sNHFLZ_SbdIht0ndWLyAmxRBX_FI0ks/edit?gid=162659938#gid=162659938"",""2025-26!K4"")"),0.0)</f>
        <v>0</v>
      </c>
      <c r="S171" s="55">
        <f>IFERROR(__xludf.DUMMYFUNCTION("IMPORTRANGE(""https://docs.google.com/spreadsheets/d/1ThCjtpSvxod_sNHFLZ_SbdIht0ndWLyAmxRBX_FI0ks/edit?gid=162659938#gid=162659938"",""2025-26!K3"")"),0.0)</f>
        <v>0</v>
      </c>
      <c r="T171" s="58">
        <f t="shared" si="56"/>
        <v>0</v>
      </c>
      <c r="U171" s="55">
        <f>IFERROR(__xludf.DUMMYFUNCTION("IMPORTRANGE(""https://docs.google.com/spreadsheets/d/1ThCjtpSvxod_sNHFLZ_SbdIht0ndWLyAmxRBX_FI0ks/edit?gid=162659938#gid=162659938"",""2025-26!L4"")"),0.0)</f>
        <v>0</v>
      </c>
      <c r="V171" s="79">
        <f>IFERROR(__xludf.DUMMYFUNCTION("IMPORTRANGE(""https://docs.google.com/spreadsheets/d/1ThCjtpSvxod_sNHFLZ_SbdIht0ndWLyAmxRBX_FI0ks/edit?gid=162659938#gid=162659938"",""2025-26!L3"")"),0.0)</f>
        <v>0</v>
      </c>
      <c r="W171" s="55">
        <f>IFERROR(__xludf.DUMMYFUNCTION("IMPORTRANGE(""https://docs.google.com/spreadsheets/d/1ThCjtpSvxod_sNHFLZ_SbdIht0ndWLyAmxRBX_FI0ks/edit?gid=162659938#gid=162659938"",""2025-26!M4"")"),360000.0)</f>
        <v>360000</v>
      </c>
      <c r="X171" s="79">
        <f>IFERROR(__xludf.DUMMYFUNCTION("IMPORTRANGE(""https://docs.google.com/spreadsheets/d/1ThCjtpSvxod_sNHFLZ_SbdIht0ndWLyAmxRBX_FI0ks/edit?gid=162659938#gid=162659938"",""2025-26!M3"")"),36.0)</f>
        <v>36</v>
      </c>
      <c r="Y171" s="55">
        <f>IFERROR(__xludf.DUMMYFUNCTION("importrange(""https://docs.google.com/spreadsheets/d/1ThCjtpSvxod_sNHFLZ_SbdIht0ndWLyAmxRBX_FI0ks/edit?gid=162659938#gid=162659938"",""2025-26!n4"")"),0.0)</f>
        <v>0</v>
      </c>
      <c r="Z171" s="55">
        <f>IFERROR(__xludf.DUMMYFUNCTION("importrange(""https://docs.google.com/spreadsheets/d/1ThCjtpSvxod_sNHFLZ_SbdIht0ndWLyAmxRBX_FI0ks/edit?gid=162659938#gid=162659938"",""2025-26!n3"")"),0.0)</f>
        <v>0</v>
      </c>
      <c r="AA171" s="58">
        <f t="shared" si="57"/>
        <v>0</v>
      </c>
      <c r="AB171" s="55">
        <f>IFERROR(__xludf.DUMMYFUNCTION("importrange(""https://docs.google.com/spreadsheets/d/1ThCjtpSvxod_sNHFLZ_SbdIht0ndWLyAmxRBX_FI0ks/edit?gid=162659938#gid=162659938"",""2025-26!o4"")"),0.0)</f>
        <v>0</v>
      </c>
      <c r="AC171" s="55">
        <f>IFERROR(__xludf.DUMMYFUNCTION("importrange(""https://docs.google.com/spreadsheets/d/1ThCjtpSvxod_sNHFLZ_SbdIht0ndWLyAmxRBX_FI0ks/edit?gid=162659938#gid=162659938"",""2025-26!o3"")"),0.0)</f>
        <v>0</v>
      </c>
      <c r="AD171" s="55">
        <f>IFERROR(__xludf.DUMMYFUNCTION("importrange(""https://docs.google.com/spreadsheets/d/1ThCjtpSvxod_sNHFLZ_SbdIht0ndWLyAmxRBX_FI0ks/edit?gid=162659938#gid=162659938"",""2025-26!p4"")"),360000.0)</f>
        <v>360000</v>
      </c>
      <c r="AE171" s="55">
        <f>IFERROR(__xludf.DUMMYFUNCTION("importrange(""https://docs.google.com/spreadsheets/d/1ThCjtpSvxod_sNHFLZ_SbdIht0ndWLyAmxRBX_FI0ks/edit?gid=162659938#gid=162659938"",""2025-26!p3"")"),36.0)</f>
        <v>36</v>
      </c>
      <c r="AF171" s="55">
        <f>IFERROR(__xludf.DUMMYFUNCTION("importrange(""https://docs.google.com/spreadsheets/d/1ThCjtpSvxod_sNHFLZ_SbdIht0ndWLyAmxRBX_FI0ks/edit?gid=162659938#gid=162659938"",""2025-26!q4"")"),0.0)</f>
        <v>0</v>
      </c>
      <c r="AG171" s="55">
        <f>IFERROR(__xludf.DUMMYFUNCTION("importrange(""https://docs.google.com/spreadsheets/d/1ThCjtpSvxod_sNHFLZ_SbdIht0ndWLyAmxRBX_FI0ks/edit?gid=162659938#gid=162659938"",""2025-26!q3"")"),0.0)</f>
        <v>0</v>
      </c>
      <c r="AH171" s="58">
        <f t="shared" si="58"/>
        <v>0</v>
      </c>
      <c r="AI171" s="55">
        <f>IFERROR(__xludf.DUMMYFUNCTION("importrange(""https://docs.google.com/spreadsheets/d/1ThCjtpSvxod_sNHFLZ_SbdIht0ndWLyAmxRBX_FI0ks/edit?gid=162659938#gid=162659938"",""2025-26!r4"")"),0.0)</f>
        <v>0</v>
      </c>
      <c r="AJ171" s="55">
        <f>IFERROR(__xludf.DUMMYFUNCTION("importrange(""https://docs.google.com/spreadsheets/d/1ThCjtpSvxod_sNHFLZ_SbdIht0ndWLyAmxRBX_FI0ks/edit?gid=162659938#gid=162659938"",""2025-26!r3"")"),0.0)</f>
        <v>0</v>
      </c>
      <c r="AK171" s="55">
        <f>IFERROR(__xludf.DUMMYFUNCTION("importrange(""https://docs.google.com/spreadsheets/d/1ThCjtpSvxod_sNHFLZ_SbdIht0ndWLyAmxRBX_FI0ks/edit?gid=162659938#gid=162659938"",""2025-26!s4"")"),360000.0)</f>
        <v>360000</v>
      </c>
      <c r="AL171" s="55">
        <f>IFERROR(__xludf.DUMMYFUNCTION("importrange(""https://docs.google.com/spreadsheets/d/1ThCjtpSvxod_sNHFLZ_SbdIht0ndWLyAmxRBX_FI0ks/edit?gid=162659938#gid=162659938"",""2025-26!s3"")"),36.0)</f>
        <v>36</v>
      </c>
      <c r="AM171" s="57">
        <f>IFERROR(__xludf.DUMMYFUNCTION("importrange(""https://docs.google.com/spreadsheets/d/1ThCjtpSvxod_sNHFLZ_SbdIht0ndWLyAmxRBX_FI0ks/edit?gid=162659938#gid=162659938"",""2025-26!t4"")"),4283.4)</f>
        <v>4283.4</v>
      </c>
      <c r="AN171" s="55">
        <f>IFERROR(__xludf.DUMMYFUNCTION("importrange(""https://docs.google.com/spreadsheets/d/1ThCjtpSvxod_sNHFLZ_SbdIht0ndWLyAmxRBX_FI0ks/edit?gid=162659938#gid=162659938"",""2025-26!t3"")"),1.0)</f>
        <v>1</v>
      </c>
      <c r="AO171" s="58">
        <f t="shared" si="59"/>
        <v>0.01189722222</v>
      </c>
      <c r="AP171" s="55">
        <f>IFERROR(__xludf.DUMMYFUNCTION("importrange(""https://docs.google.com/spreadsheets/d/1ThCjtpSvxod_sNHFLZ_SbdIht0ndWLyAmxRBX_FI0ks/edit?gid=162659938#gid=162659938"",""2025-26!u4"")"),4283.0)</f>
        <v>4283</v>
      </c>
      <c r="AQ171" s="55">
        <f>IFERROR(__xludf.DUMMYFUNCTION("importrange(""https://docs.google.com/spreadsheets/d/1ThCjtpSvxod_sNHFLZ_SbdIht0ndWLyAmxRBX_FI0ks/edit?gid=162659938#gid=162659938"",""2025-26!u3"")"),1.0)</f>
        <v>1</v>
      </c>
      <c r="AR171" s="55">
        <f>IFERROR(__xludf.DUMMYFUNCTION("importrange(""https://docs.google.com/spreadsheets/d/1ThCjtpSvxod_sNHFLZ_SbdIht0ndWLyAmxRBX_FI0ks/edit?gid=162659938#gid=162659938"",""2025-26!v4"")"),360000.0)</f>
        <v>360000</v>
      </c>
      <c r="AS171" s="55">
        <f>IFERROR(__xludf.DUMMYFUNCTION("importrange(""https://docs.google.com/spreadsheets/d/1ThCjtpSvxod_sNHFLZ_SbdIht0ndWLyAmxRBX_FI0ks/edit?gid=162659938#gid=162659938"",""2025-26!v3"")"),36.0)</f>
        <v>36</v>
      </c>
      <c r="AT171" s="57">
        <f>IFERROR(__xludf.DUMMYFUNCTION("importrange(""https://docs.google.com/spreadsheets/d/1ThCjtpSvxod_sNHFLZ_SbdIht0ndWLyAmxRBX_FI0ks/edit?gid=162659938#gid=162659938"",""2025-26!w4"")"),45634.9)</f>
        <v>45634.9</v>
      </c>
      <c r="AU171" s="55">
        <f>IFERROR(__xludf.DUMMYFUNCTION("importrange(""https://docs.google.com/spreadsheets/d/1ThCjtpSvxod_sNHFLZ_SbdIht0ndWLyAmxRBX_FI0ks/edit?gid=162659938#gid=162659938"",""2025-26!w3"")"),3.0)</f>
        <v>3</v>
      </c>
      <c r="AV171" s="58">
        <f t="shared" si="60"/>
        <v>0.1267638889</v>
      </c>
      <c r="AW171" s="55">
        <f>IFERROR(__xludf.DUMMYFUNCTION("importrange(""https://docs.google.com/spreadsheets/d/1ThCjtpSvxod_sNHFLZ_SbdIht0ndWLyAmxRBX_FI0ks/edit?gid=162659938#gid=162659938"",""2025-26!x4"")"),45635.0)</f>
        <v>45635</v>
      </c>
      <c r="AX171" s="55">
        <f>IFERROR(__xludf.DUMMYFUNCTION("importrange(""https://docs.google.com/spreadsheets/d/1ThCjtpSvxod_sNHFLZ_SbdIht0ndWLyAmxRBX_FI0ks/edit?gid=162659938#gid=162659938"",""2025-26!x3"")"),3.0)</f>
        <v>3</v>
      </c>
      <c r="AY171" s="55">
        <f>IFERROR(__xludf.DUMMYFUNCTION("importrange(""https://docs.google.com/spreadsheets/d/1ThCjtpSvxod_sNHFLZ_SbdIht0ndWLyAmxRBX_FI0ks/edit?gid=162659938#gid=162659938"",""2025-26!y4"")"),360000.0)</f>
        <v>360000</v>
      </c>
      <c r="AZ171" s="55">
        <f>IFERROR(__xludf.DUMMYFUNCTION("importrange(""https://docs.google.com/spreadsheets/d/1ThCjtpSvxod_sNHFLZ_SbdIht0ndWLyAmxRBX_FI0ks/edit?gid=162659938#gid=162659938"",""2025-26!y3"")"),36.0)</f>
        <v>36</v>
      </c>
      <c r="BA171" s="57">
        <f>IFERROR(__xludf.DUMMYFUNCTION("importrange(""https://docs.google.com/spreadsheets/d/1ThCjtpSvxod_sNHFLZ_SbdIht0ndWLyAmxRBX_FI0ks/edit?gid=162659938#gid=162659938"",""2025-26!z4"")"),63484.3)</f>
        <v>63484.3</v>
      </c>
      <c r="BB171" s="55">
        <f>IFERROR(__xludf.DUMMYFUNCTION("importrange(""https://docs.google.com/spreadsheets/d/1ThCjtpSvxod_sNHFLZ_SbdIht0ndWLyAmxRBX_FI0ks/edit?gid=162659938#gid=162659938"",""2025-26!z3"")"),7.0)</f>
        <v>7</v>
      </c>
      <c r="BC171" s="59">
        <f t="shared" si="61"/>
        <v>0.1763444444</v>
      </c>
      <c r="BD171" s="55">
        <f>IFERROR(__xludf.DUMMYFUNCTION("importrange(""https://docs.google.com/spreadsheets/d/1ThCjtpSvxod_sNHFLZ_SbdIht0ndWLyAmxRBX_FI0ks/edit?gid=162659938#gid=162659938"",""2025-26!aa4"")"),63484.0)</f>
        <v>63484</v>
      </c>
      <c r="BE171" s="55">
        <f>IFERROR(__xludf.DUMMYFUNCTION("importrange(""https://docs.google.com/spreadsheets/d/1ThCjtpSvxod_sNHFLZ_SbdIht0ndWLyAmxRBX_FI0ks/edit?gid=162659938#gid=162659938"",""2025-26!aa3"")"),7.0)</f>
        <v>7</v>
      </c>
      <c r="BF171" s="55">
        <f>IFERROR(__xludf.DUMMYFUNCTION("importrange(""https://docs.google.com/spreadsheets/d/1ThCjtpSvxod_sNHFLZ_SbdIht0ndWLyAmxRBX_FI0ks/edit?gid=162659938#gid=162659938"",""2025-26!ab4"")"),360000.0)</f>
        <v>360000</v>
      </c>
      <c r="BG171" s="55">
        <f>IFERROR(__xludf.DUMMYFUNCTION("importrange(""https://docs.google.com/spreadsheets/d/1ThCjtpSvxod_sNHFLZ_SbdIht0ndWLyAmxRBX_FI0ks/edit?gid=162659938#gid=162659938"",""2025-26!ab3"")"),36.0)</f>
        <v>36</v>
      </c>
      <c r="BH171" s="55">
        <f>IFERROR(__xludf.DUMMYFUNCTION("importrange(""https://docs.google.com/spreadsheets/d/1ThCjtpSvxod_sNHFLZ_SbdIht0ndWLyAmxRBX_FI0ks/edit?gid=162659938#gid=162659938"",""2025-26!ac4"")"),39131.4)</f>
        <v>39131.4</v>
      </c>
      <c r="BI171" s="55">
        <f>IFERROR(__xludf.DUMMYFUNCTION("importrange(""https://docs.google.com/spreadsheets/d/1ThCjtpSvxod_sNHFLZ_SbdIht0ndWLyAmxRBX_FI0ks/edit?gid=162659938#gid=162659938"",""2025-26!ac3"")"),3.0)</f>
        <v>3</v>
      </c>
      <c r="BJ171" s="59">
        <f t="shared" si="62"/>
        <v>0.1087</v>
      </c>
      <c r="BK171" s="55">
        <f>IFERROR(__xludf.DUMMYFUNCTION("importrange(""https://docs.google.com/spreadsheets/d/1ThCjtpSvxod_sNHFLZ_SbdIht0ndWLyAmxRBX_FI0ks/edit?gid=162659938#gid=162659938"",""2025-26!ad4"")"),39132.0)</f>
        <v>39132</v>
      </c>
      <c r="BL171" s="55">
        <f>IFERROR(__xludf.DUMMYFUNCTION("importrange(""https://docs.google.com/spreadsheets/d/1ThCjtpSvxod_sNHFLZ_SbdIht0ndWLyAmxRBX_FI0ks/edit?gid=162659938#gid=162659938"",""2025-26!ad3"")"),3.0)</f>
        <v>3</v>
      </c>
      <c r="BM171" s="55">
        <f>IFERROR(__xludf.DUMMYFUNCTION("importrange(""https://docs.google.com/spreadsheets/d/1ThCjtpSvxod_sNHFLZ_SbdIht0ndWLyAmxRBX_FI0ks/edit?gid=162659938#gid=162659938"",""2025-26!ae4"")"),360000.0)</f>
        <v>360000</v>
      </c>
      <c r="BN171" s="55">
        <f>IFERROR(__xludf.DUMMYFUNCTION("importrange(""https://docs.google.com/spreadsheets/d/1ThCjtpSvxod_sNHFLZ_SbdIht0ndWLyAmxRBX_FI0ks/edit?gid=162659938#gid=162659938"",""2025-26!ae3"")"),36.0)</f>
        <v>36</v>
      </c>
      <c r="BO171" s="55">
        <f>IFERROR(__xludf.DUMMYFUNCTION("importrange(""https://docs.google.com/spreadsheets/d/1ThCjtpSvxod_sNHFLZ_SbdIht0ndWLyAmxRBX_FI0ks/edit?gid=162659938#gid=162659938"",""2025-26!af4"")"),133214.4)</f>
        <v>133214.4</v>
      </c>
      <c r="BP171" s="55">
        <f>IFERROR(__xludf.DUMMYFUNCTION("importrange(""https://docs.google.com/spreadsheets/d/1ThCjtpSvxod_sNHFLZ_SbdIht0ndWLyAmxRBX_FI0ks/edit?gid=162659938#gid=162659938"",""2025-26!af3"")"),7.0)</f>
        <v>7</v>
      </c>
      <c r="BQ171" s="59">
        <f t="shared" si="63"/>
        <v>0.2605222222</v>
      </c>
      <c r="BR171" s="55">
        <f>IFERROR(__xludf.DUMMYFUNCTION("importrange(""https://docs.google.com/spreadsheets/d/1ThCjtpSvxod_sNHFLZ_SbdIht0ndWLyAmxRBX_FI0ks/edit?gid=162659938#gid=162659938"",""2025-26!ag4"")"),93788.0)</f>
        <v>93788</v>
      </c>
      <c r="BS171" s="55">
        <f>IFERROR(__xludf.DUMMYFUNCTION("importrange(""https://docs.google.com/spreadsheets/d/1ThCjtpSvxod_sNHFLZ_SbdIht0ndWLyAmxRBX_FI0ks/edit?gid=162659938#gid=162659938"",""2025-26!ag3"")"),6.0)</f>
        <v>6</v>
      </c>
      <c r="BT171" s="55">
        <f>IFERROR(__xludf.DUMMYFUNCTION("importrange(""https://docs.google.com/spreadsheets/d/1ThCjtpSvxod_sNHFLZ_SbdIht0ndWLyAmxRBX_FI0ks/edit?gid=162659938#gid=162659938"",""2025-26!ah4"")"),370000.0)</f>
        <v>370000</v>
      </c>
      <c r="BU171" s="55">
        <f>IFERROR(__xludf.DUMMYFUNCTION("importrange(""https://docs.google.com/spreadsheets/d/1ThCjtpSvxod_sNHFLZ_SbdIht0ndWLyAmxRBX_FI0ks/edit?gid=162659938#gid=162659938"",""2025-26!ah3"")"),37.0)</f>
        <v>37</v>
      </c>
      <c r="BV171" s="55">
        <f>IFERROR(__xludf.DUMMYFUNCTION("importrange(""https://docs.google.com/spreadsheets/d/1ThCjtpSvxod_sNHFLZ_SbdIht0ndWLyAmxRBX_FI0ks/edit?gid=162659938#gid=162659938"",""2025-26!ai4"")"),137233.8)</f>
        <v>137233.8</v>
      </c>
      <c r="BW171" s="55">
        <f>IFERROR(__xludf.DUMMYFUNCTION("importrange(""https://docs.google.com/spreadsheets/d/1ThCjtpSvxod_sNHFLZ_SbdIht0ndWLyAmxRBX_FI0ks/edit?gid=162659938#gid=162659938"",""2025-26!ai3"")"),8.0)</f>
        <v>8</v>
      </c>
      <c r="BX171" s="59">
        <f t="shared" si="64"/>
        <v>0.3206</v>
      </c>
      <c r="BY171" s="55">
        <f>IFERROR(__xludf.DUMMYFUNCTION("importrange(""https://docs.google.com/spreadsheets/d/1ThCjtpSvxod_sNHFLZ_SbdIht0ndWLyAmxRBX_FI0ks/edit?gid=162659938#gid=162659938"",""2025-26!aj4"")"),118622.0)</f>
        <v>118622</v>
      </c>
      <c r="BZ171" s="55">
        <f>IFERROR(__xludf.DUMMYFUNCTION("importrange(""https://docs.google.com/spreadsheets/d/1ThCjtpSvxod_sNHFLZ_SbdIht0ndWLyAmxRBX_FI0ks/edit?gid=162659938#gid=162659938"",""2025-26!aj3"")"),7.0)</f>
        <v>7</v>
      </c>
      <c r="CA171" s="55">
        <f>IFERROR(__xludf.DUMMYFUNCTION("importrange(""https://docs.google.com/spreadsheets/d/1ThCjtpSvxod_sNHFLZ_SbdIht0ndWLyAmxRBX_FI0ks/edit?gid=162659938#gid=162659938"",""2025-26!ak4"")"),360000.0)</f>
        <v>360000</v>
      </c>
      <c r="CB171" s="55">
        <f>IFERROR(__xludf.DUMMYFUNCTION("importrange(""https://docs.google.com/spreadsheets/d/1ThCjtpSvxod_sNHFLZ_SbdIht0ndWLyAmxRBX_FI0ks/edit?gid=162659938#gid=162659938"",""2025-26!ak3"")"),36.0)</f>
        <v>36</v>
      </c>
      <c r="CC171" s="55">
        <f>IFERROR(__xludf.DUMMYFUNCTION("importrange(""https://docs.google.com/spreadsheets/d/1ThCjtpSvxod_sNHFLZ_SbdIht0ndWLyAmxRBX_FI0ks/edit?gid=162659938#gid=162659938"",""2025-26!al4"")"),119449.0)</f>
        <v>119449</v>
      </c>
      <c r="CD171" s="55">
        <f>IFERROR(__xludf.DUMMYFUNCTION("importrange(""https://docs.google.com/spreadsheets/d/1ThCjtpSvxod_sNHFLZ_SbdIht0ndWLyAmxRBX_FI0ks/edit?gid=162659938#gid=162659938"",""2025-26!ai3"")"),8.0)</f>
        <v>8</v>
      </c>
      <c r="CE171" s="59">
        <f t="shared" si="65"/>
        <v>0.03158055556</v>
      </c>
      <c r="CF171" s="55">
        <f>IFERROR(__xludf.DUMMYFUNCTION("importrange(""https://docs.google.com/spreadsheets/d/1ThCjtpSvxod_sNHFLZ_SbdIht0ndWLyAmxRBX_FI0ks/edit?gid=162659938#gid=162659938"",""2025-26!am4"")"),11369.0)</f>
        <v>11369</v>
      </c>
      <c r="CG171" s="55">
        <f>IFERROR(__xludf.DUMMYFUNCTION("importrange(""https://docs.google.com/spreadsheets/d/1ThCjtpSvxod_sNHFLZ_SbdIht0ndWLyAmxRBX_FI0ks/edit?gid=162659938#gid=162659938"",""2025-26!am3"")"),1.0)</f>
        <v>1</v>
      </c>
      <c r="CH171" s="55">
        <f>IFERROR(__xludf.DUMMYFUNCTION("importrange(""https://docs.google.com/spreadsheets/d/1ThCjtpSvxod_sNHFLZ_SbdIht0ndWLyAmxRBX_FI0ks/edit?gid=162659938#gid=162659938"",""2025-26!an4"")"),0.0)</f>
        <v>0</v>
      </c>
      <c r="CI171" s="55">
        <f>IFERROR(__xludf.DUMMYFUNCTION("importrange(""https://docs.google.com/spreadsheets/d/1ThCjtpSvxod_sNHFLZ_SbdIht0ndWLyAmxRBX_FI0ks/edit?gid=162659938#gid=162659938"",""2025-26!an3"")"),0.0)</f>
        <v>0</v>
      </c>
      <c r="CJ171" s="55">
        <f>IFERROR(__xludf.DUMMYFUNCTION("importrange(""https://docs.google.com/spreadsheets/d/1ThCjtpSvxod_sNHFLZ_SbdIht0ndWLyAmxRBX_FI0ks/edit?gid=162659938#gid=162659938"",""2025-26!ao4"")"),0.0)</f>
        <v>0</v>
      </c>
      <c r="CK171" s="55">
        <f>IFERROR(__xludf.DUMMYFUNCTION("importrange(""https://docs.google.com/spreadsheets/d/1ThCjtpSvxod_sNHFLZ_SbdIht0ndWLyAmxRBX_FI0ks/edit?gid=162659938#gid=162659938"",""2025-26!ao3"")"),0.0)</f>
        <v>0</v>
      </c>
      <c r="CL171" s="59" t="str">
        <f t="shared" si="66"/>
        <v/>
      </c>
      <c r="CM171" s="55">
        <f>IFERROR(__xludf.DUMMYFUNCTION("importrange(""https://docs.google.com/spreadsheets/d/1ThCjtpSvxod_sNHFLZ_SbdIht0ndWLyAmxRBX_FI0ks/edit?gid=162659938#gid=162659938"",""2025-26!ap4"")"),0.0)</f>
        <v>0</v>
      </c>
      <c r="CN171" s="55">
        <f>IFERROR(__xludf.DUMMYFUNCTION("importrange(""https://docs.google.com/spreadsheets/d/1ThCjtpSvxod_sNHFLZ_SbdIht0ndWLyAmxRBX_FI0ks/edit?gid=162659938#gid=162659938"",""2025-26!ap3"")"),0.0)</f>
        <v>0</v>
      </c>
      <c r="CO171" s="55">
        <f>IFERROR(__xludf.DUMMYFUNCTION("importrange(""https://docs.google.com/spreadsheets/d/1ThCjtpSvxod_sNHFLZ_SbdIht0ndWLyAmxRBX_FI0ks/edit?gid=162659938#gid=162659938"",""2025-26!aq4"")"),360000.0)</f>
        <v>360000</v>
      </c>
      <c r="CP171" s="55">
        <f>IFERROR(__xludf.DUMMYFUNCTION("importrange(""https://docs.google.com/spreadsheets/d/1ThCjtpSvxod_sNHFLZ_SbdIht0ndWLyAmxRBX_FI0ks/edit?gid=162659938#gid=162659938"",""2025-26!aq3"")"),36.0)</f>
        <v>36</v>
      </c>
      <c r="CQ171" s="55">
        <f>IFERROR(__xludf.DUMMYFUNCTION("importrange(""https://docs.google.com/spreadsheets/d/1ThCjtpSvxod_sNHFLZ_SbdIht0ndWLyAmxRBX_FI0ks/edit?gid=162659938#gid=162659938"",""2025-26!ar4"")"),0.0)</f>
        <v>0</v>
      </c>
      <c r="CR171" s="55">
        <f>IFERROR(__xludf.DUMMYFUNCTION("importrange(""https://docs.google.com/spreadsheets/d/1ThCjtpSvxod_sNHFLZ_SbdIht0ndWLyAmxRBX_FI0ks/edit?gid=162659938#gid=162659938"",""2025-26!ar3"")"),0.0)</f>
        <v>0</v>
      </c>
      <c r="CS171" s="59">
        <f t="shared" si="67"/>
        <v>0</v>
      </c>
      <c r="CT171" s="55">
        <f>IFERROR(__xludf.DUMMYFUNCTION("importrange(""https://docs.google.com/spreadsheets/d/1ThCjtpSvxod_sNHFLZ_SbdIht0ndWLyAmxRBX_FI0ks/edit?gid=162659938#gid=162659938"",""2025-26!as4"")"),0.0)</f>
        <v>0</v>
      </c>
      <c r="CU171" s="55">
        <f>IFERROR(__xludf.DUMMYFUNCTION("importrange(""https://docs.google.com/spreadsheets/d/1ThCjtpSvxod_sNHFLZ_SbdIht0ndWLyAmxRBX_FI0ks/edit?gid=162659938#gid=162659938"",""2025-26!as3"")"),0.0)</f>
        <v>0</v>
      </c>
      <c r="CV171" s="60" t="s">
        <v>301</v>
      </c>
    </row>
    <row r="172">
      <c r="A172" s="133" t="s">
        <v>298</v>
      </c>
      <c r="B172" s="138" t="s">
        <v>298</v>
      </c>
      <c r="C172" s="140" t="s">
        <v>359</v>
      </c>
      <c r="D172" s="83" t="s">
        <v>317</v>
      </c>
      <c r="E172" s="83">
        <v>9.529013238E9</v>
      </c>
      <c r="F172" s="118">
        <v>45910.0</v>
      </c>
      <c r="G172" s="75"/>
      <c r="H172" s="75"/>
      <c r="I172" s="53">
        <f>VLOOKUP($C172,Data!$C:$BV,34,0)</f>
        <v>40885</v>
      </c>
      <c r="J172" s="54">
        <v>1200000.0</v>
      </c>
      <c r="K172" s="57">
        <f>IFERROR(__xludf.DUMMYFUNCTION("IMPORTRANGE(""https://docs.google.com/spreadsheets/d/11Vrs5QU9RkJ8Nndx1usgA2SvilXPkisL7IGQegkAXgk/edit?gid=1089458672#gid=1089458672"",""2025-26!A3"")"),92.0)</f>
        <v>92</v>
      </c>
      <c r="L172" s="57">
        <f>IFERROR(__xludf.DUMMYFUNCTION("IMPORTRANGE(""https://docs.google.com/spreadsheets/d/11Vrs5QU9RkJ8Nndx1usgA2SvilXPkisL7IGQegkAXgk/edit?gid=1089458672#gid=1089458672"",""2025-26!G4"")"),7880000.0)</f>
        <v>7880000</v>
      </c>
      <c r="M172" s="57">
        <f t="shared" si="68"/>
        <v>2538296</v>
      </c>
      <c r="N172" s="56">
        <f t="shared" si="69"/>
        <v>0.2089581218</v>
      </c>
      <c r="O172" s="57">
        <f t="shared" si="70"/>
        <v>1646590</v>
      </c>
      <c r="P172" s="55">
        <f>IFERROR(__xludf.DUMMYFUNCTION("IMPORTRANGE(""https://docs.google.com/spreadsheets/d/11Vrs5QU9RkJ8Nndx1usgA2SvilXPkisL7IGQegkAXgk/edit?gid=1089458672#gid=1089458672"",""2025-26!J4"")"),0.0)</f>
        <v>0</v>
      </c>
      <c r="Q172" s="55">
        <f>IFERROR(__xludf.DUMMYFUNCTION("IMPORTRANGE(""https://docs.google.com/spreadsheets/d/11Vrs5QU9RkJ8Nndx1usgA2SvilXPkisL7IGQegkAXgk/edit?gid=1089458672#gid=1089458672"",""2025-26!J3"")"),0.0)</f>
        <v>0</v>
      </c>
      <c r="R172" s="55">
        <f>IFERROR(__xludf.DUMMYFUNCTION("IMPORTRANGE(""https://docs.google.com/spreadsheets/d/11Vrs5QU9RkJ8Nndx1usgA2SvilXPkisL7IGQegkAXgk/edit?gid=1089458672#gid=1089458672"",""2025-26!K4"")"),0.0)</f>
        <v>0</v>
      </c>
      <c r="S172" s="55">
        <f>IFERROR(__xludf.DUMMYFUNCTION("IMPORTRANGE(""https://docs.google.com/spreadsheets/d/11Vrs5QU9RkJ8Nndx1usgA2SvilXPkisL7IGQegkAXgk/edit?gid=1089458672#gid=1089458672"",""2025-26!K3"")"),0.0)</f>
        <v>0</v>
      </c>
      <c r="T172" s="58" t="str">
        <f t="shared" si="56"/>
        <v/>
      </c>
      <c r="U172" s="55">
        <f>IFERROR(__xludf.DUMMYFUNCTION("IMPORTRANGE(""https://docs.google.com/spreadsheets/d/11Vrs5QU9RkJ8Nndx1usgA2SvilXPkisL7IGQegkAXgk/edit?gid=1089458672#gid=1089458672"",""2025-26!L4"")"),0.0)</f>
        <v>0</v>
      </c>
      <c r="V172" s="79">
        <f>IFERROR(__xludf.DUMMYFUNCTION("IMPORTRANGE(""https://docs.google.com/spreadsheets/d/11Vrs5QU9RkJ8Nndx1usgA2SvilXPkisL7IGQegkAXgk/edit?gid=1089458672#gid=1089458672"",""2025-26!L3"")"),0.0)</f>
        <v>0</v>
      </c>
      <c r="W172" s="55">
        <f>IFERROR(__xludf.DUMMYFUNCTION("IMPORTRANGE(""https://docs.google.com/spreadsheets/d/11Vrs5QU9RkJ8Nndx1usgA2SvilXPkisL7IGQegkAXgk/edit?gid=1089458672#gid=1089458672"",""2025-26!M4"")"),0.0)</f>
        <v>0</v>
      </c>
      <c r="X172" s="79">
        <f>IFERROR(__xludf.DUMMYFUNCTION("IMPORTRANGE(""https://docs.google.com/spreadsheets/d/11Vrs5QU9RkJ8Nndx1usgA2SvilXPkisL7IGQegkAXgk/edit?gid=1089458672#gid=1089458672"",""2025-26!M3"")"),0.0)</f>
        <v>0</v>
      </c>
      <c r="Y172" s="55">
        <f>IFERROR(__xludf.DUMMYFUNCTION("importrange(""https://docs.google.com/spreadsheets/d/11Vrs5QU9RkJ8Nndx1usgA2SvilXPkisL7IGQegkAXgk/edit?gid=1089458672#gid=1089458672"",""2025-26!n4"")"),0.0)</f>
        <v>0</v>
      </c>
      <c r="Z172" s="55">
        <f>IFERROR(__xludf.DUMMYFUNCTION("importrange(""https://docs.google.com/spreadsheets/d/11Vrs5QU9RkJ8Nndx1usgA2SvilXPkisL7IGQegkAXgk/edit?gid=1089458672#gid=1089458672"",""2025-26!n3"")"),0.0)</f>
        <v>0</v>
      </c>
      <c r="AA172" s="58" t="str">
        <f t="shared" si="57"/>
        <v/>
      </c>
      <c r="AB172" s="55">
        <f>IFERROR(__xludf.DUMMYFUNCTION("importrange(""https://docs.google.com/spreadsheets/d/11Vrs5QU9RkJ8Nndx1usgA2SvilXPkisL7IGQegkAXgk/edit?gid=1089458672#gid=1089458672"",""2025-26!o4"")"),0.0)</f>
        <v>0</v>
      </c>
      <c r="AC172" s="55">
        <f>IFERROR(__xludf.DUMMYFUNCTION("importrange(""https://docs.google.com/spreadsheets/d/11Vrs5QU9RkJ8Nndx1usgA2SvilXPkisL7IGQegkAXgk/edit?gid=1089458672#gid=1089458672"",""2025-26!o3"")"),0.0)</f>
        <v>0</v>
      </c>
      <c r="AD172" s="55">
        <f>IFERROR(__xludf.DUMMYFUNCTION("importrange(""https://docs.google.com/spreadsheets/d/11Vrs5QU9RkJ8Nndx1usgA2SvilXPkisL7IGQegkAXgk/edit?gid=1089458672#gid=1089458672"",""2025-26!p4"")"),0.0)</f>
        <v>0</v>
      </c>
      <c r="AE172" s="55">
        <f>IFERROR(__xludf.DUMMYFUNCTION("importrange(""https://docs.google.com/spreadsheets/d/11Vrs5QU9RkJ8Nndx1usgA2SvilXPkisL7IGQegkAXgk/edit?gid=1089458672#gid=1089458672"",""2025-26!p3"")"),0.0)</f>
        <v>0</v>
      </c>
      <c r="AF172" s="55">
        <f>IFERROR(__xludf.DUMMYFUNCTION("importrange(""https://docs.google.com/spreadsheets/d/11Vrs5QU9RkJ8Nndx1usgA2SvilXPkisL7IGQegkAXgk/edit?gid=1089458672#gid=1089458672"",""2025-26!q4"")"),0.0)</f>
        <v>0</v>
      </c>
      <c r="AG172" s="55">
        <f>IFERROR(__xludf.DUMMYFUNCTION("importrange(""https://docs.google.com/spreadsheets/d/11Vrs5QU9RkJ8Nndx1usgA2SvilXPkisL7IGQegkAXgk/edit?gid=1089458672#gid=1089458672"",""2025-26!q3"")"),0.0)</f>
        <v>0</v>
      </c>
      <c r="AH172" s="58" t="str">
        <f t="shared" si="58"/>
        <v/>
      </c>
      <c r="AI172" s="55">
        <f>IFERROR(__xludf.DUMMYFUNCTION("importrange(""https://docs.google.com/spreadsheets/d/11Vrs5QU9RkJ8Nndx1usgA2SvilXPkisL7IGQegkAXgk/edit?gid=1089458672#gid=1089458672"",""2025-26!r4"")"),0.0)</f>
        <v>0</v>
      </c>
      <c r="AJ172" s="55">
        <f>IFERROR(__xludf.DUMMYFUNCTION("importrange(""https://docs.google.com/spreadsheets/d/11Vrs5QU9RkJ8Nndx1usgA2SvilXPkisL7IGQegkAXgk/edit?gid=1089458672#gid=1089458672"",""2025-26!r3"")"),0.0)</f>
        <v>0</v>
      </c>
      <c r="AK172" s="55">
        <f>IFERROR(__xludf.DUMMYFUNCTION("importrange(""https://docs.google.com/spreadsheets/d/11Vrs5QU9RkJ8Nndx1usgA2SvilXPkisL7IGQegkAXgk/edit?gid=1089458672#gid=1089458672"",""2025-26!s4"")"),0.0)</f>
        <v>0</v>
      </c>
      <c r="AL172" s="55">
        <f>IFERROR(__xludf.DUMMYFUNCTION("importrange(""https://docs.google.com/spreadsheets/d/11Vrs5QU9RkJ8Nndx1usgA2SvilXPkisL7IGQegkAXgk/edit?gid=1089458672#gid=1089458672"",""2025-26!s3"")"),0.0)</f>
        <v>0</v>
      </c>
      <c r="AM172" s="57">
        <f>IFERROR(__xludf.DUMMYFUNCTION("importrange(""https://docs.google.com/spreadsheets/d/11Vrs5QU9RkJ8Nndx1usgA2SvilXPkisL7IGQegkAXgk/edit?gid=1089458672#gid=1089458672"",""2025-26!t4"")"),0.0)</f>
        <v>0</v>
      </c>
      <c r="AN172" s="55">
        <f>IFERROR(__xludf.DUMMYFUNCTION("importrange(""https://docs.google.com/spreadsheets/d/11Vrs5QU9RkJ8Nndx1usgA2SvilXPkisL7IGQegkAXgk/edit?gid=1089458672#gid=1089458672"",""2025-26!t3"")"),0.0)</f>
        <v>0</v>
      </c>
      <c r="AO172" s="58" t="str">
        <f t="shared" si="59"/>
        <v/>
      </c>
      <c r="AP172" s="55">
        <f>IFERROR(__xludf.DUMMYFUNCTION("importrange(""https://docs.google.com/spreadsheets/d/11Vrs5QU9RkJ8Nndx1usgA2SvilXPkisL7IGQegkAXgk/edit?gid=1089458672#gid=1089458672"",""2025-26!u4"")"),0.0)</f>
        <v>0</v>
      </c>
      <c r="AQ172" s="55">
        <f>IFERROR(__xludf.DUMMYFUNCTION("importrange(""https://docs.google.com/spreadsheets/d/11Vrs5QU9RkJ8Nndx1usgA2SvilXPkisL7IGQegkAXgk/edit?gid=1089458672#gid=1089458672"",""2025-26!u3"")"),0.0)</f>
        <v>0</v>
      </c>
      <c r="AR172" s="55">
        <f>IFERROR(__xludf.DUMMYFUNCTION("importrange(""https://docs.google.com/spreadsheets/d/11Vrs5QU9RkJ8Nndx1usgA2SvilXPkisL7IGQegkAXgk/edit?gid=1089458672#gid=1089458672"",""2025-26!v4"")"),0.0)</f>
        <v>0</v>
      </c>
      <c r="AS172" s="55">
        <f>IFERROR(__xludf.DUMMYFUNCTION("importrange(""https://docs.google.com/spreadsheets/d/11Vrs5QU9RkJ8Nndx1usgA2SvilXPkisL7IGQegkAXgk/edit?gid=1089458672#gid=1089458672"",""2025-26!v3"")"),0.0)</f>
        <v>0</v>
      </c>
      <c r="AT172" s="57">
        <f>IFERROR(__xludf.DUMMYFUNCTION("importrange(""https://docs.google.com/spreadsheets/d/11Vrs5QU9RkJ8Nndx1usgA2SvilXPkisL7IGQegkAXgk/edit?gid=1089458672#gid=1089458672"",""2025-26!w4"")"),0.0)</f>
        <v>0</v>
      </c>
      <c r="AU172" s="55">
        <f>IFERROR(__xludf.DUMMYFUNCTION("importrange(""https://docs.google.com/spreadsheets/d/11Vrs5QU9RkJ8Nndx1usgA2SvilXPkisL7IGQegkAXgk/edit?gid=1089458672#gid=1089458672"",""2025-26!w3"")"),0.0)</f>
        <v>0</v>
      </c>
      <c r="AV172" s="58" t="str">
        <f t="shared" si="60"/>
        <v/>
      </c>
      <c r="AW172" s="55">
        <f>IFERROR(__xludf.DUMMYFUNCTION("importrange(""https://docs.google.com/spreadsheets/d/11Vrs5QU9RkJ8Nndx1usgA2SvilXPkisL7IGQegkAXgk/edit?gid=1089458672#gid=1089458672"",""2025-26!x4"")"),0.0)</f>
        <v>0</v>
      </c>
      <c r="AX172" s="55">
        <f>IFERROR(__xludf.DUMMYFUNCTION("importrange(""https://docs.google.com/spreadsheets/d/11Vrs5QU9RkJ8Nndx1usgA2SvilXPkisL7IGQegkAXgk/edit?gid=1089458672#gid=1089458672"",""2025-26!x3"")"),0.0)</f>
        <v>0</v>
      </c>
      <c r="AY172" s="55">
        <f>IFERROR(__xludf.DUMMYFUNCTION("importrange(""https://docs.google.com/spreadsheets/d/11Vrs5QU9RkJ8Nndx1usgA2SvilXPkisL7IGQegkAXgk/edit?gid=1089458672#gid=1089458672"",""2025-26!y4"")"),0.0)</f>
        <v>0</v>
      </c>
      <c r="AZ172" s="55">
        <f>IFERROR(__xludf.DUMMYFUNCTION("importrange(""https://docs.google.com/spreadsheets/d/11Vrs5QU9RkJ8Nndx1usgA2SvilXPkisL7IGQegkAXgk/edit?gid=1089458672#gid=1089458672"",""2025-26!y3"")"),0.0)</f>
        <v>0</v>
      </c>
      <c r="BA172" s="57">
        <f>IFERROR(__xludf.DUMMYFUNCTION("importrange(""https://docs.google.com/spreadsheets/d/11Vrs5QU9RkJ8Nndx1usgA2SvilXPkisL7IGQegkAXgk/edit?gid=1089458672#gid=1089458672"",""2025-26!z4"")"),121882.38)</f>
        <v>121882.38</v>
      </c>
      <c r="BB172" s="55">
        <f>IFERROR(__xludf.DUMMYFUNCTION("importrange(""https://docs.google.com/spreadsheets/d/11Vrs5QU9RkJ8Nndx1usgA2SvilXPkisL7IGQegkAXgk/edit?gid=1089458672#gid=1089458672"",""2025-26!z3"")"),5.0)</f>
        <v>5</v>
      </c>
      <c r="BC172" s="59" t="str">
        <f t="shared" si="61"/>
        <v/>
      </c>
      <c r="BD172" s="55">
        <f>IFERROR(__xludf.DUMMYFUNCTION("importrange(""https://docs.google.com/spreadsheets/d/11Vrs5QU9RkJ8Nndx1usgA2SvilXPkisL7IGQegkAXgk/edit?gid=1089458672#gid=1089458672"",""2025-26!aa4"")"),128887.0)</f>
        <v>128887</v>
      </c>
      <c r="BE172" s="55">
        <f>IFERROR(__xludf.DUMMYFUNCTION("importrange(""https://docs.google.com/spreadsheets/d/11Vrs5QU9RkJ8Nndx1usgA2SvilXPkisL7IGQegkAXgk/edit?gid=1089458672#gid=1089458672"",""2025-26!aa3"")"),8.0)</f>
        <v>8</v>
      </c>
      <c r="BF172" s="55">
        <f>IFERROR(__xludf.DUMMYFUNCTION("importrange(""https://docs.google.com/spreadsheets/d/11Vrs5QU9RkJ8Nndx1usgA2SvilXPkisL7IGQegkAXgk/edit?gid=1089458672#gid=1089458672"",""2025-26!ab4"")"),250000.0)</f>
        <v>250000</v>
      </c>
      <c r="BG172" s="55">
        <f>IFERROR(__xludf.DUMMYFUNCTION("importrange(""https://docs.google.com/spreadsheets/d/11Vrs5QU9RkJ8Nndx1usgA2SvilXPkisL7IGQegkAXgk/edit?gid=1089458672#gid=1089458672"",""2025-26!ab3"")"),16.0)</f>
        <v>16</v>
      </c>
      <c r="BH172" s="55">
        <f>IFERROR(__xludf.DUMMYFUNCTION("importrange(""https://docs.google.com/spreadsheets/d/11Vrs5QU9RkJ8Nndx1usgA2SvilXPkisL7IGQegkAXgk/edit?gid=1089458672#gid=1089458672"",""2025-26!ac4"")"),128888.64000000001)</f>
        <v>128888.64</v>
      </c>
      <c r="BI172" s="55">
        <f>IFERROR(__xludf.DUMMYFUNCTION("importrange(""https://docs.google.com/spreadsheets/d/11Vrs5QU9RkJ8Nndx1usgA2SvilXPkisL7IGQegkAXgk/edit?gid=1089458672#gid=1089458672"",""2025-26!ac3"")"),8.0)</f>
        <v>8</v>
      </c>
      <c r="BJ172" s="59">
        <f t="shared" si="62"/>
        <v>0.515548</v>
      </c>
      <c r="BK172" s="55">
        <f>IFERROR(__xludf.DUMMYFUNCTION("importrange(""https://docs.google.com/spreadsheets/d/11Vrs5QU9RkJ8Nndx1usgA2SvilXPkisL7IGQegkAXgk/edit?gid=1089458672#gid=1089458672"",""2025-26!ad4"")"),128887.0)</f>
        <v>128887</v>
      </c>
      <c r="BL172" s="55">
        <f>IFERROR(__xludf.DUMMYFUNCTION("importrange(""https://docs.google.com/spreadsheets/d/11Vrs5QU9RkJ8Nndx1usgA2SvilXPkisL7IGQegkAXgk/edit?gid=1089458672#gid=1089458672"",""2025-26!ad3"")"),8.0)</f>
        <v>8</v>
      </c>
      <c r="BM172" s="55">
        <f>IFERROR(__xludf.DUMMYFUNCTION("importrange(""https://docs.google.com/spreadsheets/d/11Vrs5QU9RkJ8Nndx1usgA2SvilXPkisL7IGQegkAXgk/edit?gid=1089458672#gid=1089458672"",""2025-26!ae4"")"),495000.0)</f>
        <v>495000</v>
      </c>
      <c r="BN172" s="55">
        <f>IFERROR(__xludf.DUMMYFUNCTION("importrange(""https://docs.google.com/spreadsheets/d/11Vrs5QU9RkJ8Nndx1usgA2SvilXPkisL7IGQegkAXgk/edit?gid=1089458672#gid=1089458672"",""2025-26!ae3"")"),27.0)</f>
        <v>27</v>
      </c>
      <c r="BO172" s="55">
        <f>IFERROR(__xludf.DUMMYFUNCTION("importrange(""https://docs.google.com/spreadsheets/d/11Vrs5QU9RkJ8Nndx1usgA2SvilXPkisL7IGQegkAXgk/edit?gid=1089458672#gid=1089458672"",""2025-26!af4"")"),505768.12)</f>
        <v>505768.12</v>
      </c>
      <c r="BP172" s="55">
        <f>IFERROR(__xludf.DUMMYFUNCTION("importrange(""https://docs.google.com/spreadsheets/d/11Vrs5QU9RkJ8Nndx1usgA2SvilXPkisL7IGQegkAXgk/edit?gid=1089458672#gid=1089458672"",""2025-26!af3"")"),19.0)</f>
        <v>19</v>
      </c>
      <c r="BQ172" s="59">
        <f t="shared" si="63"/>
        <v>0.9975050505</v>
      </c>
      <c r="BR172" s="55">
        <f>IFERROR(__xludf.DUMMYFUNCTION("importrange(""https://docs.google.com/spreadsheets/d/11Vrs5QU9RkJ8Nndx1usgA2SvilXPkisL7IGQegkAXgk/edit?gid=1089458672#gid=1089458672"",""2025-26!ag4"")"),493765.0)</f>
        <v>493765</v>
      </c>
      <c r="BS172" s="55">
        <f>IFERROR(__xludf.DUMMYFUNCTION("importrange(""https://docs.google.com/spreadsheets/d/11Vrs5QU9RkJ8Nndx1usgA2SvilXPkisL7IGQegkAXgk/edit?gid=1089458672#gid=1089458672"",""2025-26!ag3"")"),20.0)</f>
        <v>20</v>
      </c>
      <c r="BT172" s="55">
        <f>IFERROR(__xludf.DUMMYFUNCTION("importrange(""https://docs.google.com/spreadsheets/d/11Vrs5QU9RkJ8Nndx1usgA2SvilXPkisL7IGQegkAXgk/edit?gid=1089458672#gid=1089458672"",""2025-26!ah4"")"),875000.0)</f>
        <v>875000</v>
      </c>
      <c r="BU172" s="55">
        <f>IFERROR(__xludf.DUMMYFUNCTION("importrange(""https://docs.google.com/spreadsheets/d/11Vrs5QU9RkJ8Nndx1usgA2SvilXPkisL7IGQegkAXgk/edit?gid=1089458672#gid=1089458672"",""2025-26!ah3"")"),44.0)</f>
        <v>44</v>
      </c>
      <c r="BV172" s="55">
        <f>IFERROR(__xludf.DUMMYFUNCTION("importrange(""https://docs.google.com/spreadsheets/d/11Vrs5QU9RkJ8Nndx1usgA2SvilXPkisL7IGQegkAXgk/edit?gid=1089458672#gid=1089458672"",""2025-26!ai4"")"),604045.92)</f>
        <v>604045.92</v>
      </c>
      <c r="BW172" s="55">
        <f>IFERROR(__xludf.DUMMYFUNCTION("importrange(""https://docs.google.com/spreadsheets/d/11Vrs5QU9RkJ8Nndx1usgA2SvilXPkisL7IGQegkAXgk/edit?gid=1089458672#gid=1089458672"",""2025-26!ai3"")"),26.0)</f>
        <v>26</v>
      </c>
      <c r="BX172" s="59">
        <f t="shared" si="64"/>
        <v>0.4125337143</v>
      </c>
      <c r="BY172" s="55">
        <f>IFERROR(__xludf.DUMMYFUNCTION("importrange(""https://docs.google.com/spreadsheets/d/11Vrs5QU9RkJ8Nndx1usgA2SvilXPkisL7IGQegkAXgk/edit?gid=1089458672#gid=1089458672"",""2025-26!aj4"")"),360967.0)</f>
        <v>360967</v>
      </c>
      <c r="BZ172" s="55">
        <f>IFERROR(__xludf.DUMMYFUNCTION("importrange(""https://docs.google.com/spreadsheets/d/11Vrs5QU9RkJ8Nndx1usgA2SvilXPkisL7IGQegkAXgk/edit?gid=1089458672#gid=1089458672"",""2025-26!aj3"")"),13.0)</f>
        <v>13</v>
      </c>
      <c r="CA172" s="55">
        <f>IFERROR(__xludf.DUMMYFUNCTION("importrange(""https://docs.google.com/spreadsheets/d/11Vrs5QU9RkJ8Nndx1usgA2SvilXPkisL7IGQegkAXgk/edit?gid=1089458672#gid=1089458672"",""2025-26!ak4"")"),1400000.0)</f>
        <v>1400000</v>
      </c>
      <c r="CB172" s="55">
        <f>IFERROR(__xludf.DUMMYFUNCTION("importrange(""https://docs.google.com/spreadsheets/d/11Vrs5QU9RkJ8Nndx1usgA2SvilXPkisL7IGQegkAXgk/edit?gid=1089458672#gid=1089458672"",""2025-26!ak3"")"),66.0)</f>
        <v>66</v>
      </c>
      <c r="CC172" s="55">
        <f>IFERROR(__xludf.DUMMYFUNCTION("importrange(""https://docs.google.com/spreadsheets/d/11Vrs5QU9RkJ8Nndx1usgA2SvilXPkisL7IGQegkAXgk/edit?gid=1089458672#gid=1089458672"",""2025-26!al4"")"),609286.0399999999)</f>
        <v>609286.04</v>
      </c>
      <c r="CD172" s="55">
        <f>IFERROR(__xludf.DUMMYFUNCTION("importrange(""https://docs.google.com/spreadsheets/d/11Vrs5QU9RkJ8Nndx1usgA2SvilXPkisL7IGQegkAXgk/edit?gid=1089458672#gid=1089458672"",""2025-26!ai3"")"),26.0)</f>
        <v>26</v>
      </c>
      <c r="CE172" s="59">
        <f t="shared" si="65"/>
        <v>0.2606285714</v>
      </c>
      <c r="CF172" s="55">
        <f>IFERROR(__xludf.DUMMYFUNCTION("importrange(""https://docs.google.com/spreadsheets/d/11Vrs5QU9RkJ8Nndx1usgA2SvilXPkisL7IGQegkAXgk/edit?gid=1089458672#gid=1089458672"",""2025-26!am4"")"),364880.0)</f>
        <v>364880</v>
      </c>
      <c r="CG172" s="55">
        <f>IFERROR(__xludf.DUMMYFUNCTION("importrange(""https://docs.google.com/spreadsheets/d/11Vrs5QU9RkJ8Nndx1usgA2SvilXPkisL7IGQegkAXgk/edit?gid=1089458672#gid=1089458672"",""2025-26!am3"")"),13.0)</f>
        <v>13</v>
      </c>
      <c r="CH172" s="55">
        <f>IFERROR(__xludf.DUMMYFUNCTION("importrange(""https://docs.google.com/spreadsheets/d/11Vrs5QU9RkJ8Nndx1usgA2SvilXPkisL7IGQegkAXgk/edit?gid=1089458672#gid=1089458672"",""2025-26!an4"")"),2215000.0)</f>
        <v>2215000</v>
      </c>
      <c r="CI172" s="55">
        <f>IFERROR(__xludf.DUMMYFUNCTION("importrange(""https://docs.google.com/spreadsheets/d/11Vrs5QU9RkJ8Nndx1usgA2SvilXPkisL7IGQegkAXgk/edit?gid=1089458672#gid=1089458672"",""2025-26!an3"")"),92.0)</f>
        <v>92</v>
      </c>
      <c r="CJ172" s="55">
        <f>IFERROR(__xludf.DUMMYFUNCTION("importrange(""https://docs.google.com/spreadsheets/d/11Vrs5QU9RkJ8Nndx1usgA2SvilXPkisL7IGQegkAXgk/edit?gid=1089458672#gid=1089458672"",""2025-26!ao4"")"),525980.4200000002)</f>
        <v>525980.42</v>
      </c>
      <c r="CK172" s="55">
        <f>IFERROR(__xludf.DUMMYFUNCTION("importrange(""https://docs.google.com/spreadsheets/d/11Vrs5QU9RkJ8Nndx1usgA2SvilXPkisL7IGQegkAXgk/edit?gid=1089458672#gid=1089458672"",""2025-26!ao3"")"),59.0)</f>
        <v>59</v>
      </c>
      <c r="CL172" s="59">
        <f t="shared" si="66"/>
        <v>0.07639006772</v>
      </c>
      <c r="CM172" s="55">
        <f>IFERROR(__xludf.DUMMYFUNCTION("importrange(""https://docs.google.com/spreadsheets/d/11Vrs5QU9RkJ8Nndx1usgA2SvilXPkisL7IGQegkAXgk/edit?gid=1089458672#gid=1089458672"",""2025-26!ap4"")"),169204.0)</f>
        <v>169204</v>
      </c>
      <c r="CN172" s="55">
        <f>IFERROR(__xludf.DUMMYFUNCTION("importrange(""https://docs.google.com/spreadsheets/d/11Vrs5QU9RkJ8Nndx1usgA2SvilXPkisL7IGQegkAXgk/edit?gid=1089458672#gid=1089458672"",""2025-26!ap3"")"),16.0)</f>
        <v>16</v>
      </c>
      <c r="CO172" s="55">
        <f>IFERROR(__xludf.DUMMYFUNCTION("importrange(""https://docs.google.com/spreadsheets/d/11Vrs5QU9RkJ8Nndx1usgA2SvilXPkisL7IGQegkAXgk/edit?gid=1089458672#gid=1089458672"",""2025-26!aq4"")"),2610000.0)</f>
        <v>2610000</v>
      </c>
      <c r="CP172" s="55">
        <f>IFERROR(__xludf.DUMMYFUNCTION("importrange(""https://docs.google.com/spreadsheets/d/11Vrs5QU9RkJ8Nndx1usgA2SvilXPkisL7IGQegkAXgk/edit?gid=1089458672#gid=1089458672"",""2025-26!aq3"")"),92.0)</f>
        <v>92</v>
      </c>
      <c r="CQ172" s="55">
        <f>IFERROR(__xludf.DUMMYFUNCTION("importrange(""https://docs.google.com/spreadsheets/d/11Vrs5QU9RkJ8Nndx1usgA2SvilXPkisL7IGQegkAXgk/edit?gid=1089458672#gid=1089458672"",""2025-26!ar4"")"),42444.479999999996)</f>
        <v>42444.48</v>
      </c>
      <c r="CR172" s="55">
        <f>IFERROR(__xludf.DUMMYFUNCTION("importrange(""https://docs.google.com/spreadsheets/d/11Vrs5QU9RkJ8Nndx1usgA2SvilXPkisL7IGQegkAXgk/edit?gid=1089458672#gid=1089458672"",""2025-26!ar3"")"),4.0)</f>
        <v>4</v>
      </c>
      <c r="CS172" s="59">
        <f t="shared" si="67"/>
        <v>0</v>
      </c>
      <c r="CT172" s="55">
        <f>IFERROR(__xludf.DUMMYFUNCTION("importrange(""https://docs.google.com/spreadsheets/d/11Vrs5QU9RkJ8Nndx1usgA2SvilXPkisL7IGQegkAXgk/edit?gid=1089458672#gid=1089458672"",""2025-26!as4"")"),0.0)</f>
        <v>0</v>
      </c>
      <c r="CU172" s="55">
        <f>IFERROR(__xludf.DUMMYFUNCTION("importrange(""https://docs.google.com/spreadsheets/d/11Vrs5QU9RkJ8Nndx1usgA2SvilXPkisL7IGQegkAXgk/edit?gid=1089458672#gid=1089458672"",""2025-26!as3"")"),0.0)</f>
        <v>0</v>
      </c>
      <c r="CV172" s="60" t="s">
        <v>301</v>
      </c>
    </row>
    <row r="173">
      <c r="A173" s="141" t="s">
        <v>73</v>
      </c>
      <c r="B173" s="141" t="s">
        <v>73</v>
      </c>
      <c r="C173" s="142" t="s">
        <v>360</v>
      </c>
      <c r="D173" s="89" t="s">
        <v>82</v>
      </c>
      <c r="E173" s="68">
        <v>9.149586956E9</v>
      </c>
      <c r="F173" s="66">
        <v>45765.0</v>
      </c>
      <c r="G173" s="86"/>
      <c r="H173" s="86"/>
      <c r="I173" s="53">
        <f>VLOOKUP($C173,Data!$C:$BV,72,0)</f>
        <v>25690</v>
      </c>
      <c r="J173" s="54">
        <f>1000000+166667</f>
        <v>1166667</v>
      </c>
      <c r="K173" s="55">
        <f>IFERROR(__xludf.DUMMYFUNCTION("IMPORTRANGE(""/1MKbSypbOnJJNjsV317QzZqYC8X-D_KV_BBg7esWuwQY"",""2025-26!A3"")"),25.0)</f>
        <v>25</v>
      </c>
      <c r="L173" s="55">
        <f>IFERROR(__xludf.DUMMYFUNCTION("IMPORTRANGE(""/1MKbSypbOnJJNjsV317QzZqYC8X-D_KV_BBg7esWuwQY"",""2025-26!G4"")"),3107000.0)</f>
        <v>3107000</v>
      </c>
      <c r="M173" s="55">
        <f t="shared" ref="M173:M175" si="71">R173+Y173+AF173+AM173+AT173+BA173+BH173+BO173+BV173+CC173+CJ173+CQ173</f>
        <v>2743427.55</v>
      </c>
      <c r="N173" s="56">
        <f>O173/L173</f>
        <v>0.9353173479</v>
      </c>
      <c r="O173" s="57">
        <f>U173+AB173+AI173+AP173+AW173+BD173+BK173+BR173+BY173+CF173+CM173+CT173</f>
        <v>2906031</v>
      </c>
      <c r="P173" s="55">
        <f>IFERROR(__xludf.DUMMYFUNCTION("IMPORTRANGE(""/1MKbSypbOnJJNjsV317QzZqYC8X-D_KV_BBg7esWuwQY"",""2025-26!J4"")"),0.0)</f>
        <v>0</v>
      </c>
      <c r="Q173" s="55">
        <f>IFERROR(__xludf.DUMMYFUNCTION("IMPORTRANGE(""/1MKbSypbOnJJNjsV317QzZqYC8X-D_KV_BBg7esWuwQY"",""2025-26!J3"")"),0.0)</f>
        <v>0</v>
      </c>
      <c r="R173" s="55">
        <f>IFERROR(__xludf.DUMMYFUNCTION("IMPORTRANGE(""/1MKbSypbOnJJNjsV317QzZqYC8X-D_KV_BBg7esWuwQY"",""2025-26!K4"")"),0.0)</f>
        <v>0</v>
      </c>
      <c r="S173" s="55">
        <f>IFERROR(__xludf.DUMMYFUNCTION("IMPORTRANGE(""/1MKbSypbOnJJNjsV317QzZqYC8X-D_KV_BBg7esWuwQY"",""2025-26!K3"")"),0.0)</f>
        <v>0</v>
      </c>
      <c r="T173" s="58" t="str">
        <f t="shared" si="56"/>
        <v/>
      </c>
      <c r="U173" s="55">
        <f>IFERROR(__xludf.DUMMYFUNCTION("IMPORTRANGE(""/1MKbSypbOnJJNjsV317QzZqYC8X-D_KV_BBg7esWuwQY"",""2025-26!L4"")"),399953.0)</f>
        <v>399953</v>
      </c>
      <c r="V173" s="55">
        <f>IFERROR(__xludf.DUMMYFUNCTION("IMPORTRANGE(""/1MKbSypbOnJJNjsV317QzZqYC8X-D_KV_BBg7esWuwQY"",""2025-26!L3"")"),13.0)</f>
        <v>13</v>
      </c>
      <c r="W173" s="55">
        <f>IFERROR(__xludf.DUMMYFUNCTION("IMPORTRANGE(""/1MKbSypbOnJJNjsV317QzZqYC8X-D_KV_BBg7esWuwQY"",""2025-26!m4"")"),205000.0)</f>
        <v>205000</v>
      </c>
      <c r="X173" s="55">
        <f>IFERROR(__xludf.DUMMYFUNCTION("IMPORTRANGE(""/1MKbSypbOnJJNjsV317QzZqYC8X-D_KV_BBg7esWuwQY"",""2025-26!m3"")"),8.0)</f>
        <v>8</v>
      </c>
      <c r="Y173" s="55">
        <f>IFERROR(__xludf.DUMMYFUNCTION("IMPORTRANGE(""/1MKbSypbOnJJNjsV317QzZqYC8X-D_KV_BBg7esWuwQY"",""2025-26!N4"")"),91403.4)</f>
        <v>91403.4</v>
      </c>
      <c r="Z173" s="55">
        <f>IFERROR(__xludf.DUMMYFUNCTION("IMPORTRANGE(""/1MKbSypbOnJJNjsV317QzZqYC8X-D_KV_BBg7esWuwQY"",""2025-26!N3"")"),3.0)</f>
        <v>3</v>
      </c>
      <c r="AA173" s="58">
        <f t="shared" si="57"/>
        <v>1.726917073</v>
      </c>
      <c r="AB173" s="55">
        <f>IFERROR(__xludf.DUMMYFUNCTION("IMPORTRANGE(""/1MKbSypbOnJJNjsV317QzZqYC8X-D_KV_BBg7esWuwQY"",""2025-26!O4"")"),354018.0)</f>
        <v>354018</v>
      </c>
      <c r="AC173" s="55">
        <f>IFERROR(__xludf.DUMMYFUNCTION("IMPORTRANGE(""/1MKbSypbOnJJNjsV317QzZqYC8X-D_KV_BBg7esWuwQY"",""2025-26!O3"")"),14.0)</f>
        <v>14</v>
      </c>
      <c r="AD173" s="55">
        <f>IFERROR(__xludf.DUMMYFUNCTION("IMPORTRANGE(""/1MKbSypbOnJJNjsV317QzZqYC8X-D_KV_BBg7esWuwQY"",""2025-26!P4"")"),175000.0)</f>
        <v>175000</v>
      </c>
      <c r="AE173" s="55">
        <f>IFERROR(__xludf.DUMMYFUNCTION("IMPORTRANGE(""/1MKbSypbOnJJNjsV317QzZqYC8X-D_KV_BBg7esWuwQY"",""2025-26!P3"")"),8.0)</f>
        <v>8</v>
      </c>
      <c r="AF173" s="55">
        <f>IFERROR(__xludf.DUMMYFUNCTION("IMPORTRANGE(""/1MKbSypbOnJJNjsV317QzZqYC8X-D_KV_BBg7esWuwQY"",""2025-26!Q4"")"),122021.0)</f>
        <v>122021</v>
      </c>
      <c r="AG173" s="55">
        <f>IFERROR(__xludf.DUMMYFUNCTION("IMPORTRANGE(""/1MKbSypbOnJJNjsV317QzZqYC8X-D_KV_BBg7esWuwQY"",""2025-26!Q3"")"),5.0)</f>
        <v>5</v>
      </c>
      <c r="AH173" s="58">
        <f t="shared" si="58"/>
        <v>2.24052</v>
      </c>
      <c r="AI173" s="55">
        <f>IFERROR(__xludf.DUMMYFUNCTION("IMPORTRANGE(""/1MKbSypbOnJJNjsV317QzZqYC8X-D_KV_BBg7esWuwQY"",""2025-26!R4"")"),392091.0)</f>
        <v>392091</v>
      </c>
      <c r="AJ173" s="55">
        <f>IFERROR(__xludf.DUMMYFUNCTION("IMPORTRANGE(""/1MKbSypbOnJJNjsV317QzZqYC8X-D_KV_BBg7esWuwQY"",""2025-26!R3"")"),14.0)</f>
        <v>14</v>
      </c>
      <c r="AK173" s="55">
        <f>IFERROR(__xludf.DUMMYFUNCTION("IMPORTRANGE(""/1MKbSypbOnJJNjsV317QzZqYC8X-D_KV_BBg7esWuwQY"",""2025-26!S4"")"),1428000.0)</f>
        <v>1428000</v>
      </c>
      <c r="AL173" s="55">
        <f>IFERROR(__xludf.DUMMYFUNCTION("IMPORTRANGE(""/1MKbSypbOnJJNjsV317QzZqYC8X-D_KV_BBg7esWuwQY"",""2025-26!S3"")"),19.0)</f>
        <v>19</v>
      </c>
      <c r="AM173" s="55">
        <f>IFERROR(__xludf.DUMMYFUNCTION("IMPORTRANGE(""/1MKbSypbOnJJNjsV317QzZqYC8X-D_KV_BBg7esWuwQY"",""2025-26!T4"")"),195470.25)</f>
        <v>195470.25</v>
      </c>
      <c r="AN173" s="55">
        <f>IFERROR(__xludf.DUMMYFUNCTION("IMPORTRANGE(""/1MKbSypbOnJJNjsV317QzZqYC8X-D_KV_BBg7esWuwQY"",""2025-26!T3"")"),7.0)</f>
        <v>7</v>
      </c>
      <c r="AO173" s="58">
        <f t="shared" si="59"/>
        <v>0.2859558824</v>
      </c>
      <c r="AP173" s="55">
        <f>IFERROR(__xludf.DUMMYFUNCTION("IMPORTRANGE(""/1MKbSypbOnJJNjsV317QzZqYC8X-D_KV_BBg7esWuwQY"",""2025-26!U4"")"),408345.0)</f>
        <v>408345</v>
      </c>
      <c r="AQ173" s="55">
        <f>IFERROR(__xludf.DUMMYFUNCTION("IMPORTRANGE(""/1MKbSypbOnJJNjsV317QzZqYC8X-D_KV_BBg7esWuwQY"",""2025-26!U3"")"),15.0)</f>
        <v>15</v>
      </c>
      <c r="AR173" s="55">
        <f>IFERROR(__xludf.DUMMYFUNCTION("IMPORTRANGE(""/1MKbSypbOnJJNjsV317QzZqYC8X-D_KV_BBg7esWuwQY"",""2025-26!V4"")"),1246000.0)</f>
        <v>1246000</v>
      </c>
      <c r="AS173" s="55">
        <f>IFERROR(__xludf.DUMMYFUNCTION("IMPORTRANGE(""/1MKbSypbOnJJNjsV317QzZqYC8X-D_KV_BBg7esWuwQY"",""2025-26!V3"")"),19.0)</f>
        <v>19</v>
      </c>
      <c r="AT173" s="55">
        <f>IFERROR(__xludf.DUMMYFUNCTION("IMPORTRANGE(""/1MKbSypbOnJJNjsV317QzZqYC8X-D_KV_BBg7esWuwQY"",""2025-26!W4"")"),513787.25)</f>
        <v>513787.25</v>
      </c>
      <c r="AU173" s="55">
        <f>IFERROR(__xludf.DUMMYFUNCTION("IMPORTRANGE(""/1MKbSypbOnJJNjsV317QzZqYC8X-D_KV_BBg7esWuwQY"",""2025-26!W3"")"),11.0)</f>
        <v>11</v>
      </c>
      <c r="AV173" s="58">
        <f t="shared" si="60"/>
        <v>0.4542022472</v>
      </c>
      <c r="AW173" s="55">
        <f>IFERROR(__xludf.DUMMYFUNCTION("IMPORTRANGE(""/1MKbSypbOnJJNjsV317QzZqYC8X-D_KV_BBg7esWuwQY"",""2025-26!X4"")"),565936.0)</f>
        <v>565936</v>
      </c>
      <c r="AX173" s="55">
        <f>IFERROR(__xludf.DUMMYFUNCTION("IMPORTRANGE(""/1MKbSypbOnJJNjsV317QzZqYC8X-D_KV_BBg7esWuwQY"",""2025-26!X3"")"),15.0)</f>
        <v>15</v>
      </c>
      <c r="AY173" s="55">
        <f>IFERROR(__xludf.DUMMYFUNCTION("IMPORTRANGE(""/1MKbSypbOnJJNjsV317QzZqYC8X-D_KV_BBg7esWuwQY"",""2025-26!Y4"")"),1417000.0)</f>
        <v>1417000</v>
      </c>
      <c r="AZ173" s="55">
        <f>IFERROR(__xludf.DUMMYFUNCTION("IMPORTRANGE(""/1MKbSypbOnJJNjsV317QzZqYC8X-D_KV_BBg7esWuwQY"",""2025-26!Y3"")"),19.0)</f>
        <v>19</v>
      </c>
      <c r="BA173" s="55">
        <f>IFERROR(__xludf.DUMMYFUNCTION("IMPORTRANGE(""/1MKbSypbOnJJNjsV317QzZqYC8X-D_KV_BBg7esWuwQY"",""2025-26!Z4"")"),1267308.15)</f>
        <v>1267308.15</v>
      </c>
      <c r="BB173" s="55">
        <f>IFERROR(__xludf.DUMMYFUNCTION("IMPORTRANGE(""/1MKbSypbOnJJNjsV317QzZqYC8X-D_KV_BBg7esWuwQY"",""2025-26!Z3"")"),18.0)</f>
        <v>18</v>
      </c>
      <c r="BC173" s="59">
        <f t="shared" si="61"/>
        <v>0.5544728299</v>
      </c>
      <c r="BD173" s="55">
        <f>IFERROR(__xludf.DUMMYFUNCTION("IMPORTRANGE(""/1MKbSypbOnJJNjsV317QzZqYC8X-D_KV_BBg7esWuwQY"",""2025-26!AA4"")"),785688.0)</f>
        <v>785688</v>
      </c>
      <c r="BE173" s="55">
        <f>IFERROR(__xludf.DUMMYFUNCTION("IMPORTRANGE(""/1MKbSypbOnJJNjsV317QzZqYC8X-D_KV_BBg7esWuwQY"",""2025-26!AA3"")"),18.0)</f>
        <v>18</v>
      </c>
      <c r="BF173" s="55">
        <f>IFERROR(__xludf.DUMMYFUNCTION("IMPORTRANGE(""/1MKbSypbOnJJNjsV317QzZqYC8X-D_KV_BBg7esWuwQY"",""2025-26!AB4"")"),0.0)</f>
        <v>0</v>
      </c>
      <c r="BG173" s="55">
        <f>IFERROR(__xludf.DUMMYFUNCTION("IMPORTRANGE(""/1MKbSypbOnJJNjsV317QzZqYC8X-D_KV_BBg7esWuwQY"",""2025-26!AB3"")"),0.0)</f>
        <v>0</v>
      </c>
      <c r="BH173" s="55">
        <f>IFERROR(__xludf.DUMMYFUNCTION("IMPORTRANGE(""/1MKbSypbOnJJNjsV317QzZqYC8X-D_KV_BBg7esWuwQY"",""2025-26!AC4"")"),553437.5)</f>
        <v>553437.5</v>
      </c>
      <c r="BI173" s="55">
        <f>IFERROR(__xludf.DUMMYFUNCTION("IMPORTRANGE(""/1MKbSypbOnJJNjsV317QzZqYC8X-D_KV_BBg7esWuwQY"",""2025-26!AC3"")"),10.0)</f>
        <v>10</v>
      </c>
      <c r="BJ173" s="59" t="str">
        <f t="shared" si="62"/>
        <v/>
      </c>
      <c r="BK173" s="55">
        <f>IFERROR(__xludf.DUMMYFUNCTION("IMPORTRANGE(""/1MKbSypbOnJJNjsV317QzZqYC8X-D_KV_BBg7esWuwQY"",""2025-26!AD4"")"),0.0)</f>
        <v>0</v>
      </c>
      <c r="BL173" s="55">
        <f>IFERROR(__xludf.DUMMYFUNCTION("IMPORTRANGE(""/1MKbSypbOnJJNjsV317QzZqYC8X-D_KV_BBg7esWuwQY"",""2025-26!AD3"")"),0.0)</f>
        <v>0</v>
      </c>
      <c r="BM173" s="55">
        <f>IFERROR(__xludf.DUMMYFUNCTION("IMPORTRANGE(""/1MKbSypbOnJJNjsV317QzZqYC8X-D_KV_BBg7esWuwQY"",""2025-26!AE4"")"),0.0)</f>
        <v>0</v>
      </c>
      <c r="BN173" s="55">
        <f>IFERROR(__xludf.DUMMYFUNCTION("IMPORTRANGE(""/1MKbSypbOnJJNjsV317QzZqYC8X-D_KV_BBg7esWuwQY"",""2025-26!AE3"")"),0.0)</f>
        <v>0</v>
      </c>
      <c r="BO173" s="55">
        <f>IFERROR(__xludf.DUMMYFUNCTION("IMPORTRANGE(""/1MKbSypbOnJJNjsV317QzZqYC8X-D_KV_BBg7esWuwQY"",""2025-26!AF4"")"),0.0)</f>
        <v>0</v>
      </c>
      <c r="BP173" s="55">
        <f>IFERROR(__xludf.DUMMYFUNCTION("IMPORTRANGE(""/1MKbSypbOnJJNjsV317QzZqYC8X-D_KV_BBg7esWuwQY"",""2025-26!AF3"")"),0.0)</f>
        <v>0</v>
      </c>
      <c r="BQ173" s="59" t="str">
        <f t="shared" si="63"/>
        <v/>
      </c>
      <c r="BR173" s="55">
        <f>IFERROR(__xludf.DUMMYFUNCTION("IMPORTRANGE(""/1MKbSypbOnJJNjsV317QzZqYC8X-D_KV_BBg7esWuwQY"",""2025-26!AG4"")"),0.0)</f>
        <v>0</v>
      </c>
      <c r="BS173" s="55">
        <f>IFERROR(__xludf.DUMMYFUNCTION("IMPORTRANGE(""/1MKbSypbOnJJNjsV317QzZqYC8X-D_KV_BBg7esWuwQY"",""2025-26!AG3"")"),0.0)</f>
        <v>0</v>
      </c>
      <c r="BT173" s="55">
        <f>IFERROR(__xludf.DUMMYFUNCTION("IMPORTRANGE(""/1MKbSypbOnJJNjsV317QzZqYC8X-D_KV_BBg7esWuwQY"",""2025-26!AH4"")"),0.0)</f>
        <v>0</v>
      </c>
      <c r="BU173" s="55">
        <f>IFERROR(__xludf.DUMMYFUNCTION("IMPORTRANGE(""/1MKbSypbOnJJNjsV317QzZqYC8X-D_KV_BBg7esWuwQY"",""2025-26!AH3"")"),0.0)</f>
        <v>0</v>
      </c>
      <c r="BV173" s="55">
        <f>IFERROR(__xludf.DUMMYFUNCTION("IMPORTRANGE(""/1MKbSypbOnJJNjsV317QzZqYC8X-D_KV_BBg7esWuwQY"",""2025-26!AI4"")"),0.0)</f>
        <v>0</v>
      </c>
      <c r="BW173" s="55">
        <f>IFERROR(__xludf.DUMMYFUNCTION("IMPORTRANGE(""/1MKbSypbOnJJNjsV317QzZqYC8X-D_KV_BBg7esWuwQY"",""2025-26!AI3"")"),0.0)</f>
        <v>0</v>
      </c>
      <c r="BX173" s="59" t="str">
        <f t="shared" si="64"/>
        <v/>
      </c>
      <c r="BY173" s="55">
        <f>IFERROR(__xludf.DUMMYFUNCTION("IMPORTRANGE(""/1MKbSypbOnJJNjsV317QzZqYC8X-D_KV_BBg7esWuwQY"",""2025-26!AJ4"")"),0.0)</f>
        <v>0</v>
      </c>
      <c r="BZ173" s="55">
        <f>IFERROR(__xludf.DUMMYFUNCTION("IMPORTRANGE(""/1MKbSypbOnJJNjsV317QzZqYC8X-D_KV_BBg7esWuwQY"",""2025-26!AJ3"")"),0.0)</f>
        <v>0</v>
      </c>
      <c r="CA173" s="55">
        <f>IFERROR(__xludf.DUMMYFUNCTION("IMPORTRANGE(""/1MKbSypbOnJJNjsV317QzZqYC8X-D_KV_BBg7esWuwQY"",""2025-26!AK4"")"),0.0)</f>
        <v>0</v>
      </c>
      <c r="CB173" s="55">
        <f>IFERROR(__xludf.DUMMYFUNCTION("IMPORTRANGE(""/1MKbSypbOnJJNjsV317QzZqYC8X-D_KV_BBg7esWuwQY"",""2025-26!AK3"")"),0.0)</f>
        <v>0</v>
      </c>
      <c r="CC173" s="55">
        <f>IFERROR(__xludf.DUMMYFUNCTION("IMPORTRANGE(""/1MKbSypbOnJJNjsV317QzZqYC8X-D_KV_BBg7esWuwQY"",""2025-26!AL4"")"),0.0)</f>
        <v>0</v>
      </c>
      <c r="CD173" s="55">
        <f>IFERROR(__xludf.DUMMYFUNCTION("IMPORTRANGE(""/1MKbSypbOnJJNjsV317QzZqYC8X-D_KV_BBg7esWuwQY"",""2025-26!AL3"")"),0.0)</f>
        <v>0</v>
      </c>
      <c r="CE173" s="59" t="str">
        <f t="shared" si="65"/>
        <v/>
      </c>
      <c r="CF173" s="55">
        <f>IFERROR(__xludf.DUMMYFUNCTION("IMPORTRANGE(""/1MKbSypbOnJJNjsV317QzZqYC8X-D_KV_BBg7esWuwQY"",""2025-26!AM4"")"),0.0)</f>
        <v>0</v>
      </c>
      <c r="CG173" s="55">
        <f>IFERROR(__xludf.DUMMYFUNCTION("IMPORTRANGE(""/1MKbSypbOnJJNjsV317QzZqYC8X-D_KV_BBg7esWuwQY"",""2025-26!AM3"")"),0.0)</f>
        <v>0</v>
      </c>
      <c r="CH173" s="55">
        <f>IFERROR(__xludf.DUMMYFUNCTION("IMPORTRANGE(""/1MKbSypbOnJJNjsV317QzZqYC8X-D_KV_BBg7esWuwQY"",""2025-26!AN4"")"),0.0)</f>
        <v>0</v>
      </c>
      <c r="CI173" s="55">
        <f>IFERROR(__xludf.DUMMYFUNCTION("IMPORTRANGE(""/1MKbSypbOnJJNjsV317QzZqYC8X-D_KV_BBg7esWuwQY"",""2025-26!AN3"")"),0.0)</f>
        <v>0</v>
      </c>
      <c r="CJ173" s="55">
        <f>IFERROR(__xludf.DUMMYFUNCTION("IMPORTRANGE(""/1MKbSypbOnJJNjsV317QzZqYC8X-D_KV_BBg7esWuwQY"",""2025-26!AO4"")"),0.0)</f>
        <v>0</v>
      </c>
      <c r="CK173" s="55">
        <f>IFERROR(__xludf.DUMMYFUNCTION("IMPORTRANGE(""/1MKbSypbOnJJNjsV317QzZqYC8X-D_KV_BBg7esWuwQY"",""2025-26!AO3"")"),0.0)</f>
        <v>0</v>
      </c>
      <c r="CL173" s="59" t="str">
        <f t="shared" si="66"/>
        <v/>
      </c>
      <c r="CM173" s="55">
        <f>IFERROR(__xludf.DUMMYFUNCTION("IMPORTRANGE(""/1MKbSypbOnJJNjsV317QzZqYC8X-D_KV_BBg7esWuwQY"",""2025-26!AP4"")"),0.0)</f>
        <v>0</v>
      </c>
      <c r="CN173" s="55">
        <f>IFERROR(__xludf.DUMMYFUNCTION("IMPORTRANGE(""/1MKbSypbOnJJNjsV317QzZqYC8X-D_KV_BBg7esWuwQY"",""2025-26!AP3"")"),0.0)</f>
        <v>0</v>
      </c>
      <c r="CO173" s="55">
        <f>IFERROR(__xludf.DUMMYFUNCTION("IMPORTRANGE(""/1MKbSypbOnJJNjsV317QzZqYC8X-D_KV_BBg7esWuwQY"",""2025-26!AQ4"")"),0.0)</f>
        <v>0</v>
      </c>
      <c r="CP173" s="55">
        <f>IFERROR(__xludf.DUMMYFUNCTION("IMPORTRANGE(""/1MKbSypbOnJJNjsV317QzZqYC8X-D_KV_BBg7esWuwQY"",""2025-26!AQ3"")"),0.0)</f>
        <v>0</v>
      </c>
      <c r="CQ173" s="55">
        <f>IFERROR(__xludf.DUMMYFUNCTION("IMPORTRANGE(""/1MKbSypbOnJJNjsV317QzZqYC8X-D_KV_BBg7esWuwQY"",""2025-26!AR4"")"),0.0)</f>
        <v>0</v>
      </c>
      <c r="CR173" s="55">
        <f>IFERROR(__xludf.DUMMYFUNCTION("IMPORTRANGE(""/1MKbSypbOnJJNjsV317QzZqYC8X-D_KV_BBg7esWuwQY"",""2025-26!AR3"")"),0.0)</f>
        <v>0</v>
      </c>
      <c r="CS173" s="59" t="str">
        <f t="shared" si="67"/>
        <v/>
      </c>
      <c r="CT173" s="55">
        <f>IFERROR(__xludf.DUMMYFUNCTION("IMPORTRANGE(""/1MKbSypbOnJJNjsV317QzZqYC8X-D_KV_BBg7esWuwQY"",""2025-26!AS4"")"),0.0)</f>
        <v>0</v>
      </c>
      <c r="CU173" s="55">
        <f>IFERROR(__xludf.DUMMYFUNCTION("IMPORTRANGE(""/1MKbSypbOnJJNjsV317QzZqYC8X-D_KV_BBg7esWuwQY"",""2025-26!AS3"")"),0.0)</f>
        <v>0</v>
      </c>
      <c r="CV173" s="60" t="s">
        <v>76</v>
      </c>
    </row>
    <row r="174">
      <c r="A174" s="84" t="s">
        <v>53</v>
      </c>
      <c r="B174" s="134" t="s">
        <v>53</v>
      </c>
      <c r="C174" s="136" t="s">
        <v>361</v>
      </c>
      <c r="D174" s="50" t="s">
        <v>362</v>
      </c>
      <c r="E174" s="50">
        <v>9.870211691E9</v>
      </c>
      <c r="F174" s="74">
        <v>45313.0</v>
      </c>
      <c r="G174" s="62"/>
      <c r="H174" s="62"/>
      <c r="I174" s="53">
        <v>24425.0</v>
      </c>
      <c r="J174" s="54">
        <v>600000.0</v>
      </c>
      <c r="K174" s="57">
        <f>IFERROR(__xludf.DUMMYFUNCTION("IMPORTRANGE(""https://docs.google.com/spreadsheets/d/1rg6TW8NK2vz-RrwBeG1AEsBULiFh-1_f_SmPSLsH6es/edit#gid=1279908834"",""2025-26!A3"")"),42.0)</f>
        <v>42</v>
      </c>
      <c r="L174" s="57">
        <f>IFERROR(__xludf.DUMMYFUNCTION("IMPORTRANGE(""https://docs.google.com/spreadsheets/d/1rg6TW8NK2vz-RrwBeG1AEsBULiFh-1_f_SmPSLsH6es/edit#gid=1279908834"",""2025-26!G4"")"),0.0)</f>
        <v>0</v>
      </c>
      <c r="M174" s="55">
        <f t="shared" si="71"/>
        <v>0</v>
      </c>
      <c r="N174" s="56" t="str">
        <f>iferror(O174/L174,"")</f>
        <v/>
      </c>
      <c r="O174" s="57">
        <f>SUM(U174,AB174,AI174,AP174,AW174,BD174,BK174,BR174,BY174,CF174,CM174,CT174)</f>
        <v>0</v>
      </c>
      <c r="P174" s="55">
        <f>IFERROR(__xludf.DUMMYFUNCTION("IMPORTRANGE(""https://docs.google.com/spreadsheets/d/1rg6TW8NK2vz-RrwBeG1AEsBULiFh-1_f_SmPSLsH6es/edit#gid=1279908834"",""2025-26!J4"")"),0.0)</f>
        <v>0</v>
      </c>
      <c r="Q174" s="55">
        <f>IFERROR(__xludf.DUMMYFUNCTION("IMPORTRANGE(""https://docs.google.com/spreadsheets/d/1rg6TW8NK2vz-RrwBeG1AEsBULiFh-1_f_SmPSLsH6es/edit#gid=1279908834"",""2025-26!J3"")"),0.0)</f>
        <v>0</v>
      </c>
      <c r="R174" s="55">
        <f>IFERROR(__xludf.DUMMYFUNCTION("IMPORTRANGE(""https://docs.google.com/spreadsheets/d/1rg6TW8NK2vz-RrwBeG1AEsBULiFh-1_f_SmPSLsH6es/edit#gid=1279908834"",""2025-26!K4"")"),0.0)</f>
        <v>0</v>
      </c>
      <c r="S174" s="55">
        <f>IFERROR(__xludf.DUMMYFUNCTION("IMPORTRANGE(""https://docs.google.com/spreadsheets/d/1rg6TW8NK2vz-RrwBeG1AEsBULiFh-1_f_SmPSLsH6es/edit#gid=1279908834"",""2025-26!K3"")"),0.0)</f>
        <v>0</v>
      </c>
      <c r="T174" s="58" t="str">
        <f t="shared" si="56"/>
        <v/>
      </c>
      <c r="U174" s="55">
        <f>IFERROR(__xludf.DUMMYFUNCTION("IMPORTRANGE(""https://docs.google.com/spreadsheets/d/1rg6TW8NK2vz-RrwBeG1AEsBULiFh-1_f_SmPSLsH6es/edit#gid=1279908834"",""2025-26!L4"")"),0.0)</f>
        <v>0</v>
      </c>
      <c r="V174" s="79">
        <f>IFERROR(__xludf.DUMMYFUNCTION("IMPORTRANGE(""https://docs.google.com/spreadsheets/d/1rg6TW8NK2vz-RrwBeG1AEsBULiFh-1_f_SmPSLsH6es/edit#gid=1279908834"",""2025-26!L3"")"),0.0)</f>
        <v>0</v>
      </c>
      <c r="W174" s="55">
        <f>IFERROR(__xludf.DUMMYFUNCTION("IMPORTRANGE(""https://docs.google.com/spreadsheets/d/1rg6TW8NK2vz-RrwBeG1AEsBULiFh-1_f_SmPSLsH6es/edit#gid=1279908834"",""2025-26!M4"")"),0.0)</f>
        <v>0</v>
      </c>
      <c r="X174" s="79">
        <f>IFERROR(__xludf.DUMMYFUNCTION("IMPORTRANGE(""https://docs.google.com/spreadsheets/d/1rg6TW8NK2vz-RrwBeG1AEsBULiFh-1_f_SmPSLsH6es/edit#gid=1279908834"",""2025-26!M3"")"),0.0)</f>
        <v>0</v>
      </c>
      <c r="Y174" s="55">
        <f>IFERROR(__xludf.DUMMYFUNCTION("importrange(""https://docs.google.com/spreadsheets/d/1rg6TW8NK2vz-RrwBeG1AEsBULiFh-1_f_SmPSLsH6es/edit#gid=1279908834"",""2025-26!n4"")"),0.0)</f>
        <v>0</v>
      </c>
      <c r="Z174" s="55">
        <f>IFERROR(__xludf.DUMMYFUNCTION("importrange(""https://docs.google.com/spreadsheets/d/1rg6TW8NK2vz-RrwBeG1AEsBULiFh-1_f_SmPSLsH6es/edit#gid=1279908834"",""2025-26!n3"")"),0.0)</f>
        <v>0</v>
      </c>
      <c r="AA174" s="58" t="str">
        <f t="shared" si="57"/>
        <v/>
      </c>
      <c r="AB174" s="55">
        <f>IFERROR(__xludf.DUMMYFUNCTION("importrange(""https://docs.google.com/spreadsheets/d/1rg6TW8NK2vz-RrwBeG1AEsBULiFh-1_f_SmPSLsH6es/edit#gid=1279908834"",""2025-26!o4"")"),0.0)</f>
        <v>0</v>
      </c>
      <c r="AC174" s="55">
        <f>IFERROR(__xludf.DUMMYFUNCTION("importrange(""https://docs.google.com/spreadsheets/d/1rg6TW8NK2vz-RrwBeG1AEsBULiFh-1_f_SmPSLsH6es/edit#gid=1279908834"",""2025-26!o3"")"),0.0)</f>
        <v>0</v>
      </c>
      <c r="AD174" s="55">
        <f>IFERROR(__xludf.DUMMYFUNCTION("importrange(""https://docs.google.com/spreadsheets/d/1rg6TW8NK2vz-RrwBeG1AEsBULiFh-1_f_SmPSLsH6es/edit#gid=1279908834"",""2025-26!p4"")"),0.0)</f>
        <v>0</v>
      </c>
      <c r="AE174" s="55">
        <f>IFERROR(__xludf.DUMMYFUNCTION("importrange(""https://docs.google.com/spreadsheets/d/1rg6TW8NK2vz-RrwBeG1AEsBULiFh-1_f_SmPSLsH6es/edit#gid=1279908834"",""2025-26!p3"")"),0.0)</f>
        <v>0</v>
      </c>
      <c r="AF174" s="55">
        <f>IFERROR(__xludf.DUMMYFUNCTION("importrange(""https://docs.google.com/spreadsheets/d/1rg6TW8NK2vz-RrwBeG1AEsBULiFh-1_f_SmPSLsH6es/edit#gid=1279908834"",""2025-26!q4"")"),0.0)</f>
        <v>0</v>
      </c>
      <c r="AG174" s="55">
        <f>IFERROR(__xludf.DUMMYFUNCTION("importrange(""https://docs.google.com/spreadsheets/d/1rg6TW8NK2vz-RrwBeG1AEsBULiFh-1_f_SmPSLsH6es/edit#gid=1279908834"",""2025-26!q3"")"),0.0)</f>
        <v>0</v>
      </c>
      <c r="AH174" s="58" t="str">
        <f t="shared" si="58"/>
        <v/>
      </c>
      <c r="AI174" s="55">
        <f>IFERROR(__xludf.DUMMYFUNCTION("importrange(""https://docs.google.com/spreadsheets/d/1rg6TW8NK2vz-RrwBeG1AEsBULiFh-1_f_SmPSLsH6es/edit#gid=1279908834"",""2025-26!r4"")"),0.0)</f>
        <v>0</v>
      </c>
      <c r="AJ174" s="55">
        <f>IFERROR(__xludf.DUMMYFUNCTION("importrange(""https://docs.google.com/spreadsheets/d/1rg6TW8NK2vz-RrwBeG1AEsBULiFh-1_f_SmPSLsH6es/edit#gid=1279908834"",""2025-26!r3"")"),0.0)</f>
        <v>0</v>
      </c>
      <c r="AK174" s="55">
        <f>IFERROR(__xludf.DUMMYFUNCTION("importrange(""https://docs.google.com/spreadsheets/d/1rg6TW8NK2vz-RrwBeG1AEsBULiFh-1_f_SmPSLsH6es/edit#gid=1279908834"",""2025-26!s4"")"),0.0)</f>
        <v>0</v>
      </c>
      <c r="AL174" s="55">
        <f>IFERROR(__xludf.DUMMYFUNCTION("importrange(""https://docs.google.com/spreadsheets/d/1rg6TW8NK2vz-RrwBeG1AEsBULiFh-1_f_SmPSLsH6es/edit#gid=1279908834"",""2025-26!s3"")"),0.0)</f>
        <v>0</v>
      </c>
      <c r="AM174" s="57">
        <f>IFERROR(__xludf.DUMMYFUNCTION("importrange(""https://docs.google.com/spreadsheets/d/1rg6TW8NK2vz-RrwBeG1AEsBULiFh-1_f_SmPSLsH6es/edit#gid=1279908834"",""2025-26!t4"")"),0.0)</f>
        <v>0</v>
      </c>
      <c r="AN174" s="55">
        <f>IFERROR(__xludf.DUMMYFUNCTION("importrange(""https://docs.google.com/spreadsheets/d/1rg6TW8NK2vz-RrwBeG1AEsBULiFh-1_f_SmPSLsH6es/edit#gid=1279908834"",""2025-26!t3"")"),0.0)</f>
        <v>0</v>
      </c>
      <c r="AO174" s="58" t="str">
        <f t="shared" si="59"/>
        <v/>
      </c>
      <c r="AP174" s="55">
        <f>IFERROR(__xludf.DUMMYFUNCTION("importrange(""https://docs.google.com/spreadsheets/d/1rg6TW8NK2vz-RrwBeG1AEsBULiFh-1_f_SmPSLsH6es/edit#gid=1279908834"",""2025-26!u4"")"),0.0)</f>
        <v>0</v>
      </c>
      <c r="AQ174" s="55">
        <f>IFERROR(__xludf.DUMMYFUNCTION("importrange(""https://docs.google.com/spreadsheets/d/1rg6TW8NK2vz-RrwBeG1AEsBULiFh-1_f_SmPSLsH6es/edit#gid=1279908834"",""2025-26!u3"")"),0.0)</f>
        <v>0</v>
      </c>
      <c r="AR174" s="55">
        <f>IFERROR(__xludf.DUMMYFUNCTION("importrange(""https://docs.google.com/spreadsheets/d/1rg6TW8NK2vz-RrwBeG1AEsBULiFh-1_f_SmPSLsH6es/edit#gid=1279908834"",""2025-26!v4"")"),0.0)</f>
        <v>0</v>
      </c>
      <c r="AS174" s="55">
        <f>IFERROR(__xludf.DUMMYFUNCTION("importrange(""https://docs.google.com/spreadsheets/d/1rg6TW8NK2vz-RrwBeG1AEsBULiFh-1_f_SmPSLsH6es/edit#gid=1279908834"",""2025-26!v3"")"),0.0)</f>
        <v>0</v>
      </c>
      <c r="AT174" s="57">
        <f>IFERROR(__xludf.DUMMYFUNCTION("importrange(""https://docs.google.com/spreadsheets/d/1rg6TW8NK2vz-RrwBeG1AEsBULiFh-1_f_SmPSLsH6es/edit#gid=1279908834"",""2025-26!w4"")"),0.0)</f>
        <v>0</v>
      </c>
      <c r="AU174" s="55">
        <f>IFERROR(__xludf.DUMMYFUNCTION("importrange(""https://docs.google.com/spreadsheets/d/1rg6TW8NK2vz-RrwBeG1AEsBULiFh-1_f_SmPSLsH6es/edit#gid=1279908834"",""2025-26!w3"")"),0.0)</f>
        <v>0</v>
      </c>
      <c r="AV174" s="58" t="str">
        <f t="shared" si="60"/>
        <v/>
      </c>
      <c r="AW174" s="55">
        <f>IFERROR(__xludf.DUMMYFUNCTION("importrange(""https://docs.google.com/spreadsheets/d/1rg6TW8NK2vz-RrwBeG1AEsBULiFh-1_f_SmPSLsH6es/edit#gid=1279908834"",""2025-26!x4"")"),0.0)</f>
        <v>0</v>
      </c>
      <c r="AX174" s="55">
        <f>IFERROR(__xludf.DUMMYFUNCTION("importrange(""https://docs.google.com/spreadsheets/d/1rg6TW8NK2vz-RrwBeG1AEsBULiFh-1_f_SmPSLsH6es/edit#gid=1279908834"",""2025-26!x3"")"),0.0)</f>
        <v>0</v>
      </c>
      <c r="AY174" s="55">
        <f>IFERROR(__xludf.DUMMYFUNCTION("importrange(""https://docs.google.com/spreadsheets/d/1rg6TW8NK2vz-RrwBeG1AEsBULiFh-1_f_SmPSLsH6es/edit#gid=1279908834"",""2025-26!y4"")"),0.0)</f>
        <v>0</v>
      </c>
      <c r="AZ174" s="55">
        <f>IFERROR(__xludf.DUMMYFUNCTION("importrange(""https://docs.google.com/spreadsheets/d/1rg6TW8NK2vz-RrwBeG1AEsBULiFh-1_f_SmPSLsH6es/edit#gid=1279908834"",""2025-26!y3"")"),0.0)</f>
        <v>0</v>
      </c>
      <c r="BA174" s="57">
        <f>IFERROR(__xludf.DUMMYFUNCTION("importrange(""https://docs.google.com/spreadsheets/d/1rg6TW8NK2vz-RrwBeG1AEsBULiFh-1_f_SmPSLsH6es/edit#gid=1279908834"",""2025-26!z4"")"),0.0)</f>
        <v>0</v>
      </c>
      <c r="BB174" s="55">
        <f>IFERROR(__xludf.DUMMYFUNCTION("importrange(""https://docs.google.com/spreadsheets/d/1rg6TW8NK2vz-RrwBeG1AEsBULiFh-1_f_SmPSLsH6es/edit#gid=1279908834"",""2025-26!z3"")"),0.0)</f>
        <v>0</v>
      </c>
      <c r="BC174" s="59" t="str">
        <f t="shared" si="61"/>
        <v/>
      </c>
      <c r="BD174" s="55">
        <f>IFERROR(__xludf.DUMMYFUNCTION("importrange(""https://docs.google.com/spreadsheets/d/1rg6TW8NK2vz-RrwBeG1AEsBULiFh-1_f_SmPSLsH6es/edit#gid=1279908834"",""2025-26!aa4"")"),0.0)</f>
        <v>0</v>
      </c>
      <c r="BE174" s="55">
        <f>IFERROR(__xludf.DUMMYFUNCTION("importrange(""https://docs.google.com/spreadsheets/d/1rg6TW8NK2vz-RrwBeG1AEsBULiFh-1_f_SmPSLsH6es/edit#gid=1279908834"",""2025-26!aa3"")"),0.0)</f>
        <v>0</v>
      </c>
      <c r="BF174" s="55">
        <f>IFERROR(__xludf.DUMMYFUNCTION("importrange(""https://docs.google.com/spreadsheets/d/1rg6TW8NK2vz-RrwBeG1AEsBULiFh-1_f_SmPSLsH6es/edit#gid=1279908834"",""2025-26!ab4"")"),0.0)</f>
        <v>0</v>
      </c>
      <c r="BG174" s="55">
        <f>IFERROR(__xludf.DUMMYFUNCTION("importrange(""https://docs.google.com/spreadsheets/d/1rg6TW8NK2vz-RrwBeG1AEsBULiFh-1_f_SmPSLsH6es/edit#gid=1279908834"",""2025-26!ab3"")"),0.0)</f>
        <v>0</v>
      </c>
      <c r="BH174" s="55">
        <f>IFERROR(__xludf.DUMMYFUNCTION("importrange(""https://docs.google.com/spreadsheets/d/1rg6TW8NK2vz-RrwBeG1AEsBULiFh-1_f_SmPSLsH6es/edit#gid=1279908834"",""2025-26!ac4"")"),0.0)</f>
        <v>0</v>
      </c>
      <c r="BI174" s="55">
        <f>IFERROR(__xludf.DUMMYFUNCTION("importrange(""https://docs.google.com/spreadsheets/d/1rg6TW8NK2vz-RrwBeG1AEsBULiFh-1_f_SmPSLsH6es/edit#gid=1279908834"",""2025-26!ac3"")"),0.0)</f>
        <v>0</v>
      </c>
      <c r="BJ174" s="59" t="str">
        <f t="shared" si="62"/>
        <v/>
      </c>
      <c r="BK174" s="55">
        <f>IFERROR(__xludf.DUMMYFUNCTION("importrange(""https://docs.google.com/spreadsheets/d/1rg6TW8NK2vz-RrwBeG1AEsBULiFh-1_f_SmPSLsH6es/edit#gid=1279908834"",""2025-26!ad4"")"),0.0)</f>
        <v>0</v>
      </c>
      <c r="BL174" s="55">
        <f>IFERROR(__xludf.DUMMYFUNCTION("importrange(""https://docs.google.com/spreadsheets/d/1rg6TW8NK2vz-RrwBeG1AEsBULiFh-1_f_SmPSLsH6es/edit#gid=1279908834"",""2025-26!ad3"")"),0.0)</f>
        <v>0</v>
      </c>
      <c r="BM174" s="55">
        <f>IFERROR(__xludf.DUMMYFUNCTION("importrange(""https://docs.google.com/spreadsheets/d/1rg6TW8NK2vz-RrwBeG1AEsBULiFh-1_f_SmPSLsH6es/edit#gid=1279908834"",""2025-26!ae4"")"),0.0)</f>
        <v>0</v>
      </c>
      <c r="BN174" s="55">
        <f>IFERROR(__xludf.DUMMYFUNCTION("importrange(""https://docs.google.com/spreadsheets/d/1rg6TW8NK2vz-RrwBeG1AEsBULiFh-1_f_SmPSLsH6es/edit#gid=1279908834"",""2025-26!ae3"")"),0.0)</f>
        <v>0</v>
      </c>
      <c r="BO174" s="55">
        <f>IFERROR(__xludf.DUMMYFUNCTION("importrange(""https://docs.google.com/spreadsheets/d/1rg6TW8NK2vz-RrwBeG1AEsBULiFh-1_f_SmPSLsH6es/edit#gid=1279908834"",""2025-26!af4"")"),0.0)</f>
        <v>0</v>
      </c>
      <c r="BP174" s="55">
        <f>IFERROR(__xludf.DUMMYFUNCTION("importrange(""https://docs.google.com/spreadsheets/d/1rg6TW8NK2vz-RrwBeG1AEsBULiFh-1_f_SmPSLsH6es/edit#gid=1279908834"",""2025-26!af3"")"),0.0)</f>
        <v>0</v>
      </c>
      <c r="BQ174" s="59" t="str">
        <f t="shared" si="63"/>
        <v/>
      </c>
      <c r="BR174" s="55">
        <f>IFERROR(__xludf.DUMMYFUNCTION("importrange(""https://docs.google.com/spreadsheets/d/1rg6TW8NK2vz-RrwBeG1AEsBULiFh-1_f_SmPSLsH6es/edit#gid=1279908834"",""2025-26!ag4"")"),0.0)</f>
        <v>0</v>
      </c>
      <c r="BS174" s="55">
        <f>IFERROR(__xludf.DUMMYFUNCTION("importrange(""https://docs.google.com/spreadsheets/d/1rg6TW8NK2vz-RrwBeG1AEsBULiFh-1_f_SmPSLsH6es/edit#gid=1279908834"",""2025-26!ag3"")"),0.0)</f>
        <v>0</v>
      </c>
      <c r="BT174" s="55">
        <f>IFERROR(__xludf.DUMMYFUNCTION("importrange(""https://docs.google.com/spreadsheets/d/1rg6TW8NK2vz-RrwBeG1AEsBULiFh-1_f_SmPSLsH6es/edit#gid=1279908834"",""2025-26!ah4"")"),0.0)</f>
        <v>0</v>
      </c>
      <c r="BU174" s="55">
        <f>IFERROR(__xludf.DUMMYFUNCTION("importrange(""https://docs.google.com/spreadsheets/d/1rg6TW8NK2vz-RrwBeG1AEsBULiFh-1_f_SmPSLsH6es/edit#gid=1279908834"",""2025-26!ah3"")"),0.0)</f>
        <v>0</v>
      </c>
      <c r="BV174" s="55">
        <f>IFERROR(__xludf.DUMMYFUNCTION("importrange(""https://docs.google.com/spreadsheets/d/1rg6TW8NK2vz-RrwBeG1AEsBULiFh-1_f_SmPSLsH6es/edit#gid=1279908834"",""2025-26!ai4"")"),0.0)</f>
        <v>0</v>
      </c>
      <c r="BW174" s="55">
        <f>IFERROR(__xludf.DUMMYFUNCTION("importrange(""https://docs.google.com/spreadsheets/d/1rg6TW8NK2vz-RrwBeG1AEsBULiFh-1_f_SmPSLsH6es/edit#gid=1279908834"",""2025-26!ai3"")"),0.0)</f>
        <v>0</v>
      </c>
      <c r="BX174" s="59" t="str">
        <f t="shared" si="64"/>
        <v/>
      </c>
      <c r="BY174" s="55">
        <f>IFERROR(__xludf.DUMMYFUNCTION("importrange(""https://docs.google.com/spreadsheets/d/1rg6TW8NK2vz-RrwBeG1AEsBULiFh-1_f_SmPSLsH6es/edit#gid=1279908834"",""2025-26!aj4"")"),0.0)</f>
        <v>0</v>
      </c>
      <c r="BZ174" s="55">
        <f>IFERROR(__xludf.DUMMYFUNCTION("importrange(""https://docs.google.com/spreadsheets/d/1rg6TW8NK2vz-RrwBeG1AEsBULiFh-1_f_SmPSLsH6es/edit#gid=1279908834"",""2025-26!aj3"")"),0.0)</f>
        <v>0</v>
      </c>
      <c r="CA174" s="55">
        <f>IFERROR(__xludf.DUMMYFUNCTION("importrange(""https://docs.google.com/spreadsheets/d/1rg6TW8NK2vz-RrwBeG1AEsBULiFh-1_f_SmPSLsH6es/edit#gid=1279908834"",""2025-26!ak4"")"),0.0)</f>
        <v>0</v>
      </c>
      <c r="CB174" s="55">
        <f>IFERROR(__xludf.DUMMYFUNCTION("importrange(""https://docs.google.com/spreadsheets/d/1rg6TW8NK2vz-RrwBeG1AEsBULiFh-1_f_SmPSLsH6es/edit#gid=1279908834"",""2025-26!ak3"")"),0.0)</f>
        <v>0</v>
      </c>
      <c r="CC174" s="55">
        <f>IFERROR(__xludf.DUMMYFUNCTION("importrange(""https://docs.google.com/spreadsheets/d/1rg6TW8NK2vz-RrwBeG1AEsBULiFh-1_f_SmPSLsH6es/edit#gid=1279908834"",""2025-26!al4"")"),0.0)</f>
        <v>0</v>
      </c>
      <c r="CD174" s="55">
        <f>IFERROR(__xludf.DUMMYFUNCTION("importrange(""https://docs.google.com/spreadsheets/d/1rg6TW8NK2vz-RrwBeG1AEsBULiFh-1_f_SmPSLsH6es/edit#gid=1279908834"",""2025-26!ai3"")"),0.0)</f>
        <v>0</v>
      </c>
      <c r="CE174" s="59" t="str">
        <f t="shared" si="65"/>
        <v/>
      </c>
      <c r="CF174" s="55">
        <f>IFERROR(__xludf.DUMMYFUNCTION("importrange(""https://docs.google.com/spreadsheets/d/1rg6TW8NK2vz-RrwBeG1AEsBULiFh-1_f_SmPSLsH6es/edit#gid=1279908834"",""2025-26!am4"")"),0.0)</f>
        <v>0</v>
      </c>
      <c r="CG174" s="55">
        <f>IFERROR(__xludf.DUMMYFUNCTION("importrange(""https://docs.google.com/spreadsheets/d/1rg6TW8NK2vz-RrwBeG1AEsBULiFh-1_f_SmPSLsH6es/edit#gid=1279908834"",""2025-26!am3"")"),0.0)</f>
        <v>0</v>
      </c>
      <c r="CH174" s="55">
        <f>IFERROR(__xludf.DUMMYFUNCTION("importrange(""https://docs.google.com/spreadsheets/d/1rg6TW8NK2vz-RrwBeG1AEsBULiFh-1_f_SmPSLsH6es/edit#gid=1279908834"",""2025-26!an4"")"),0.0)</f>
        <v>0</v>
      </c>
      <c r="CI174" s="55">
        <f>IFERROR(__xludf.DUMMYFUNCTION("importrange(""https://docs.google.com/spreadsheets/d/1rg6TW8NK2vz-RrwBeG1AEsBULiFh-1_f_SmPSLsH6es/edit#gid=1279908834"",""2025-26!an3"")"),0.0)</f>
        <v>0</v>
      </c>
      <c r="CJ174" s="55">
        <f>IFERROR(__xludf.DUMMYFUNCTION("importrange(""https://docs.google.com/spreadsheets/d/1rg6TW8NK2vz-RrwBeG1AEsBULiFh-1_f_SmPSLsH6es/edit#gid=1279908834"",""2025-26!ao4"")"),0.0)</f>
        <v>0</v>
      </c>
      <c r="CK174" s="55">
        <f>IFERROR(__xludf.DUMMYFUNCTION("importrange(""https://docs.google.com/spreadsheets/d/1rg6TW8NK2vz-RrwBeG1AEsBULiFh-1_f_SmPSLsH6es/edit#gid=1279908834"",""2025-26!ao3"")"),0.0)</f>
        <v>0</v>
      </c>
      <c r="CL174" s="59" t="str">
        <f t="shared" si="66"/>
        <v/>
      </c>
      <c r="CM174" s="55">
        <f>IFERROR(__xludf.DUMMYFUNCTION("importrange(""https://docs.google.com/spreadsheets/d/1rg6TW8NK2vz-RrwBeG1AEsBULiFh-1_f_SmPSLsH6es/edit#gid=1279908834"",""2025-26!ap4"")"),0.0)</f>
        <v>0</v>
      </c>
      <c r="CN174" s="55">
        <f>IFERROR(__xludf.DUMMYFUNCTION("importrange(""https://docs.google.com/spreadsheets/d/1rg6TW8NK2vz-RrwBeG1AEsBULiFh-1_f_SmPSLsH6es/edit#gid=1279908834"",""2025-26!ap3"")"),0.0)</f>
        <v>0</v>
      </c>
      <c r="CO174" s="55">
        <f>IFERROR(__xludf.DUMMYFUNCTION("importrange(""https://docs.google.com/spreadsheets/d/1rg6TW8NK2vz-RrwBeG1AEsBULiFh-1_f_SmPSLsH6es/edit#gid=1279908834"",""2025-26!aq4"")"),0.0)</f>
        <v>0</v>
      </c>
      <c r="CP174" s="55">
        <f>IFERROR(__xludf.DUMMYFUNCTION("importrange(""https://docs.google.com/spreadsheets/d/1rg6TW8NK2vz-RrwBeG1AEsBULiFh-1_f_SmPSLsH6es/edit#gid=1279908834"",""2025-26!aq3"")"),0.0)</f>
        <v>0</v>
      </c>
      <c r="CQ174" s="55">
        <f>IFERROR(__xludf.DUMMYFUNCTION("importrange(""https://docs.google.com/spreadsheets/d/1rg6TW8NK2vz-RrwBeG1AEsBULiFh-1_f_SmPSLsH6es/edit#gid=1279908834"",""2025-26!ar4"")"),0.0)</f>
        <v>0</v>
      </c>
      <c r="CR174" s="55">
        <f>IFERROR(__xludf.DUMMYFUNCTION("importrange(""https://docs.google.com/spreadsheets/d/1rg6TW8NK2vz-RrwBeG1AEsBULiFh-1_f_SmPSLsH6es/edit#gid=1279908834"",""2025-26!ar3"")"),0.0)</f>
        <v>0</v>
      </c>
      <c r="CS174" s="59" t="str">
        <f t="shared" si="67"/>
        <v/>
      </c>
      <c r="CT174" s="55">
        <f>IFERROR(__xludf.DUMMYFUNCTION("importrange(""https://docs.google.com/spreadsheets/d/1rg6TW8NK2vz-RrwBeG1AEsBULiFh-1_f_SmPSLsH6es/edit#gid=1279908834"",""2025-26!as4"")"),0.0)</f>
        <v>0</v>
      </c>
      <c r="CU174" s="55">
        <f>IFERROR(__xludf.DUMMYFUNCTION("importrange(""https://docs.google.com/spreadsheets/d/1rg6TW8NK2vz-RrwBeG1AEsBULiFh-1_f_SmPSLsH6es/edit#gid=1279908834"",""2025-26!as3"")"),0.0)</f>
        <v>0</v>
      </c>
      <c r="CV174" s="60" t="s">
        <v>56</v>
      </c>
    </row>
    <row r="175">
      <c r="A175" s="133" t="s">
        <v>53</v>
      </c>
      <c r="B175" s="134" t="s">
        <v>53</v>
      </c>
      <c r="C175" s="143" t="s">
        <v>363</v>
      </c>
      <c r="D175" s="49" t="s">
        <v>60</v>
      </c>
      <c r="E175" s="50">
        <v>7.404194803E9</v>
      </c>
      <c r="F175" s="51">
        <v>45097.0</v>
      </c>
      <c r="G175" s="62"/>
      <c r="H175" s="62"/>
      <c r="I175" s="53">
        <f>VLOOKUP($C175,Data!$C:$BV,34,0)</f>
        <v>24085</v>
      </c>
      <c r="J175" s="54"/>
      <c r="K175" s="55">
        <f>IFERROR(__xludf.DUMMYFUNCTION("IMPORTRANGE(""1oE7HWatXHkhyaktecdXehUOYaBjvoHs8J-rUqfIiHgE"",""2025-26!A3"")"),85.0)</f>
        <v>85</v>
      </c>
      <c r="L175" s="55">
        <f>IFERROR(__xludf.DUMMYFUNCTION("IMPORTRANGE(""1oE7HWatXHkhyaktecdXehUOYaBjvoHs8J-rUqfIiHgE"",""2025-26!G4"")"),0.0)</f>
        <v>0</v>
      </c>
      <c r="M175" s="55">
        <f t="shared" si="71"/>
        <v>301773.45</v>
      </c>
      <c r="N175" s="56" t="str">
        <f>O175/L175</f>
        <v>#DIV/0!</v>
      </c>
      <c r="O175" s="57">
        <f>U175+AB175+AI175+AP175+AW175+BD175+BK175+BR175+BY175+CF175+CM175+CT175</f>
        <v>0</v>
      </c>
      <c r="P175" s="55">
        <f>IFERROR(__xludf.DUMMYFUNCTION("IMPORTRANGE(""1oE7HWatXHkhyaktecdXehUOYaBjvoHs8J-rUqfIiHgE"",""2025-26!J4"")"),1170000.0)</f>
        <v>1170000</v>
      </c>
      <c r="Q175" s="55">
        <f>IFERROR(__xludf.DUMMYFUNCTION("IMPORTRANGE(""1oE7HWatXHkhyaktecdXehUOYaBjvoHs8J-rUqfIiHgE"",""2025-26!J3"")"),78.0)</f>
        <v>78</v>
      </c>
      <c r="R175" s="55">
        <f>IFERROR(__xludf.DUMMYFUNCTION("IMPORTRANGE(""1oE7HWatXHkhyaktecdXehUOYaBjvoHs8J-rUqfIiHgE"",""2025-26!K4"")"),160885.32999999996)</f>
        <v>160885.33</v>
      </c>
      <c r="S175" s="55">
        <f>IFERROR(__xludf.DUMMYFUNCTION("IMPORTRANGE(""1oE7HWatXHkhyaktecdXehUOYaBjvoHs8J-rUqfIiHgE"",""2025-26!K3"")"),17.0)</f>
        <v>17</v>
      </c>
      <c r="T175" s="58">
        <f t="shared" si="56"/>
        <v>0</v>
      </c>
      <c r="U175" s="55">
        <f>IFERROR(__xludf.DUMMYFUNCTION("IMPORTRANGE(""1oE7HWatXHkhyaktecdXehUOYaBjvoHs8J-rUqfIiHgE"",""2025-26!L4"")"),0.0)</f>
        <v>0</v>
      </c>
      <c r="V175" s="55">
        <f>IFERROR(__xludf.DUMMYFUNCTION("IMPORTRANGE(""1oE7HWatXHkhyaktecdXehUOYaBjvoHs8J-rUqfIiHgE"",""2025-26!L3"")"),0.0)</f>
        <v>0</v>
      </c>
      <c r="W175" s="55">
        <f>IFERROR(__xludf.DUMMYFUNCTION("IMPORTRANGE(""1oE7HWatXHkhyaktecdXehUOYaBjvoHs8J-rUqfIiHgE"",""2025-26!m4"")"),0.0)</f>
        <v>0</v>
      </c>
      <c r="X175" s="55">
        <f>IFERROR(__xludf.DUMMYFUNCTION("IMPORTRANGE(""1oE7HWatXHkhyaktecdXehUOYaBjvoHs8J-rUqfIiHgE"",""2025-26!m3"")"),0.0)</f>
        <v>0</v>
      </c>
      <c r="Y175" s="55">
        <f>IFERROR(__xludf.DUMMYFUNCTION("IMPORTRANGE(""1oE7HWatXHkhyaktecdXehUOYaBjvoHs8J-rUqfIiHgE"",""2025-26!N4"")"),140888.12)</f>
        <v>140888.12</v>
      </c>
      <c r="Z175" s="55">
        <f>IFERROR(__xludf.DUMMYFUNCTION("IMPORTRANGE(""1oE7HWatXHkhyaktecdXehUOYaBjvoHs8J-rUqfIiHgE"",""2025-26!N3"")"),15.0)</f>
        <v>15</v>
      </c>
      <c r="AA175" s="58" t="str">
        <f t="shared" si="57"/>
        <v/>
      </c>
      <c r="AB175" s="55">
        <f>IFERROR(__xludf.DUMMYFUNCTION("IMPORTRANGE(""1oE7HWatXHkhyaktecdXehUOYaBjvoHs8J-rUqfIiHgE"",""2025-26!O4"")"),0.0)</f>
        <v>0</v>
      </c>
      <c r="AC175" s="55">
        <f>IFERROR(__xludf.DUMMYFUNCTION("IMPORTRANGE(""1oE7HWatXHkhyaktecdXehUOYaBjvoHs8J-rUqfIiHgE"",""2025-26!O3"")"),0.0)</f>
        <v>0</v>
      </c>
      <c r="AD175" s="55">
        <f>IFERROR(__xludf.DUMMYFUNCTION("IMPORTRANGE(""1oE7HWatXHkhyaktecdXehUOYaBjvoHs8J-rUqfIiHgE"",""2025-26!P4"")"),0.0)</f>
        <v>0</v>
      </c>
      <c r="AE175" s="55">
        <f>IFERROR(__xludf.DUMMYFUNCTION("IMPORTRANGE(""1oE7HWatXHkhyaktecdXehUOYaBjvoHs8J-rUqfIiHgE"",""2025-26!P3"")"),0.0)</f>
        <v>0</v>
      </c>
      <c r="AF175" s="55">
        <f>IFERROR(__xludf.DUMMYFUNCTION("IMPORTRANGE(""1oE7HWatXHkhyaktecdXehUOYaBjvoHs8J-rUqfIiHgE"",""2025-26!Q4"")"),0.0)</f>
        <v>0</v>
      </c>
      <c r="AG175" s="55">
        <f>IFERROR(__xludf.DUMMYFUNCTION("IMPORTRANGE(""1oE7HWatXHkhyaktecdXehUOYaBjvoHs8J-rUqfIiHgE"",""2025-26!Q3"")"),0.0)</f>
        <v>0</v>
      </c>
      <c r="AH175" s="58" t="str">
        <f t="shared" si="58"/>
        <v/>
      </c>
      <c r="AI175" s="55">
        <f>IFERROR(__xludf.DUMMYFUNCTION("IMPORTRANGE(""1oE7HWatXHkhyaktecdXehUOYaBjvoHs8J-rUqfIiHgE"",""2025-26!R4"")"),0.0)</f>
        <v>0</v>
      </c>
      <c r="AJ175" s="55">
        <f>IFERROR(__xludf.DUMMYFUNCTION("IMPORTRANGE(""1oE7HWatXHkhyaktecdXehUOYaBjvoHs8J-rUqfIiHgE"",""2025-26!R3"")"),0.0)</f>
        <v>0</v>
      </c>
      <c r="AK175" s="55">
        <f>IFERROR(__xludf.DUMMYFUNCTION("IMPORTRANGE(""1oE7HWatXHkhyaktecdXehUOYaBjvoHs8J-rUqfIiHgE"",""2025-26!S4"")"),0.0)</f>
        <v>0</v>
      </c>
      <c r="AL175" s="55">
        <f>IFERROR(__xludf.DUMMYFUNCTION("IMPORTRANGE(""1oE7HWatXHkhyaktecdXehUOYaBjvoHs8J-rUqfIiHgE"",""2025-26!S3"")"),0.0)</f>
        <v>0</v>
      </c>
      <c r="AM175" s="55">
        <f>IFERROR(__xludf.DUMMYFUNCTION("IMPORTRANGE(""1oE7HWatXHkhyaktecdXehUOYaBjvoHs8J-rUqfIiHgE"",""2025-26!T4"")"),0.0)</f>
        <v>0</v>
      </c>
      <c r="AN175" s="55">
        <f>IFERROR(__xludf.DUMMYFUNCTION("IMPORTRANGE(""1oE7HWatXHkhyaktecdXehUOYaBjvoHs8J-rUqfIiHgE"",""2025-26!T3"")"),0.0)</f>
        <v>0</v>
      </c>
      <c r="AO175" s="58" t="str">
        <f t="shared" si="59"/>
        <v/>
      </c>
      <c r="AP175" s="55">
        <f>IFERROR(__xludf.DUMMYFUNCTION("IMPORTRANGE(""1oE7HWatXHkhyaktecdXehUOYaBjvoHs8J-rUqfIiHgE"",""2025-26!U4"")"),0.0)</f>
        <v>0</v>
      </c>
      <c r="AQ175" s="55">
        <f>IFERROR(__xludf.DUMMYFUNCTION("IMPORTRANGE(""1oE7HWatXHkhyaktecdXehUOYaBjvoHs8J-rUqfIiHgE"",""2025-26!U3"")"),0.0)</f>
        <v>0</v>
      </c>
      <c r="AR175" s="55">
        <f>IFERROR(__xludf.DUMMYFUNCTION("IMPORTRANGE(""1oE7HWatXHkhyaktecdXehUOYaBjvoHs8J-rUqfIiHgE"",""2025-26!V4"")"),0.0)</f>
        <v>0</v>
      </c>
      <c r="AS175" s="55">
        <f>IFERROR(__xludf.DUMMYFUNCTION("IMPORTRANGE(""1oE7HWatXHkhyaktecdXehUOYaBjvoHs8J-rUqfIiHgE"",""2025-26!V3"")"),0.0)</f>
        <v>0</v>
      </c>
      <c r="AT175" s="55">
        <f>IFERROR(__xludf.DUMMYFUNCTION("IMPORTRANGE(""1oE7HWatXHkhyaktecdXehUOYaBjvoHs8J-rUqfIiHgE"",""2025-26!W4"")"),0.0)</f>
        <v>0</v>
      </c>
      <c r="AU175" s="55">
        <f>IFERROR(__xludf.DUMMYFUNCTION("IMPORTRANGE(""1oE7HWatXHkhyaktecdXehUOYaBjvoHs8J-rUqfIiHgE"",""2025-26!W3"")"),0.0)</f>
        <v>0</v>
      </c>
      <c r="AV175" s="58" t="str">
        <f t="shared" si="60"/>
        <v/>
      </c>
      <c r="AW175" s="55">
        <f>IFERROR(__xludf.DUMMYFUNCTION("IMPORTRANGE(""1oE7HWatXHkhyaktecdXehUOYaBjvoHs8J-rUqfIiHgE"",""2025-26!X4"")"),0.0)</f>
        <v>0</v>
      </c>
      <c r="AX175" s="55">
        <f>IFERROR(__xludf.DUMMYFUNCTION("IMPORTRANGE(""1oE7HWatXHkhyaktecdXehUOYaBjvoHs8J-rUqfIiHgE"",""2025-26!X3"")"),0.0)</f>
        <v>0</v>
      </c>
      <c r="AY175" s="55">
        <f>IFERROR(__xludf.DUMMYFUNCTION("IMPORTRANGE(""1oE7HWatXHkhyaktecdXehUOYaBjvoHs8J-rUqfIiHgE"",""2025-26!Y4"")"),0.0)</f>
        <v>0</v>
      </c>
      <c r="AZ175" s="55">
        <f>IFERROR(__xludf.DUMMYFUNCTION("IMPORTRANGE(""1oE7HWatXHkhyaktecdXehUOYaBjvoHs8J-rUqfIiHgE"",""2025-26!Y3"")"),0.0)</f>
        <v>0</v>
      </c>
      <c r="BA175" s="55">
        <f>IFERROR(__xludf.DUMMYFUNCTION("IMPORTRANGE(""1oE7HWatXHkhyaktecdXehUOYaBjvoHs8J-rUqfIiHgE"",""2025-26!Z4"")"),0.0)</f>
        <v>0</v>
      </c>
      <c r="BB175" s="55">
        <f>IFERROR(__xludf.DUMMYFUNCTION("IMPORTRANGE(""1oE7HWatXHkhyaktecdXehUOYaBjvoHs8J-rUqfIiHgE"",""2025-26!Z3"")"),0.0)</f>
        <v>0</v>
      </c>
      <c r="BC175" s="59" t="str">
        <f t="shared" si="61"/>
        <v/>
      </c>
      <c r="BD175" s="55">
        <f>IFERROR(__xludf.DUMMYFUNCTION("IMPORTRANGE(""1oE7HWatXHkhyaktecdXehUOYaBjvoHs8J-rUqfIiHgE"",""2025-26!AA4"")"),0.0)</f>
        <v>0</v>
      </c>
      <c r="BE175" s="55">
        <f>IFERROR(__xludf.DUMMYFUNCTION("IMPORTRANGE(""1oE7HWatXHkhyaktecdXehUOYaBjvoHs8J-rUqfIiHgE"",""2025-26!AA3"")"),0.0)</f>
        <v>0</v>
      </c>
      <c r="BF175" s="55">
        <f>IFERROR(__xludf.DUMMYFUNCTION("IMPORTRANGE(""1oE7HWatXHkhyaktecdXehUOYaBjvoHs8J-rUqfIiHgE"",""2025-26!AB4"")"),0.0)</f>
        <v>0</v>
      </c>
      <c r="BG175" s="55">
        <f>IFERROR(__xludf.DUMMYFUNCTION("IMPORTRANGE(""1oE7HWatXHkhyaktecdXehUOYaBjvoHs8J-rUqfIiHgE"",""2025-26!AB3"")"),0.0)</f>
        <v>0</v>
      </c>
      <c r="BH175" s="55">
        <f>IFERROR(__xludf.DUMMYFUNCTION("IMPORTRANGE(""1oE7HWatXHkhyaktecdXehUOYaBjvoHs8J-rUqfIiHgE"",""2025-26!AC4"")"),0.0)</f>
        <v>0</v>
      </c>
      <c r="BI175" s="55">
        <f>IFERROR(__xludf.DUMMYFUNCTION("IMPORTRANGE(""1oE7HWatXHkhyaktecdXehUOYaBjvoHs8J-rUqfIiHgE"",""2025-26!AC3"")"),0.0)</f>
        <v>0</v>
      </c>
      <c r="BJ175" s="59" t="str">
        <f t="shared" si="62"/>
        <v/>
      </c>
      <c r="BK175" s="55">
        <f>IFERROR(__xludf.DUMMYFUNCTION("IMPORTRANGE(""1oE7HWatXHkhyaktecdXehUOYaBjvoHs8J-rUqfIiHgE"",""2025-26!AD4"")"),0.0)</f>
        <v>0</v>
      </c>
      <c r="BL175" s="55">
        <f>IFERROR(__xludf.DUMMYFUNCTION("IMPORTRANGE(""1oE7HWatXHkhyaktecdXehUOYaBjvoHs8J-rUqfIiHgE"",""2025-26!AD3"")"),0.0)</f>
        <v>0</v>
      </c>
      <c r="BM175" s="55">
        <f>IFERROR(__xludf.DUMMYFUNCTION("IMPORTRANGE(""1oE7HWatXHkhyaktecdXehUOYaBjvoHs8J-rUqfIiHgE"",""2025-26!AE4"")"),0.0)</f>
        <v>0</v>
      </c>
      <c r="BN175" s="55">
        <f>IFERROR(__xludf.DUMMYFUNCTION("IMPORTRANGE(""1oE7HWatXHkhyaktecdXehUOYaBjvoHs8J-rUqfIiHgE"",""2025-26!AE3"")"),0.0)</f>
        <v>0</v>
      </c>
      <c r="BO175" s="55">
        <f>IFERROR(__xludf.DUMMYFUNCTION("IMPORTRANGE(""1oE7HWatXHkhyaktecdXehUOYaBjvoHs8J-rUqfIiHgE"",""2025-26!AF4"")"),0.0)</f>
        <v>0</v>
      </c>
      <c r="BP175" s="55">
        <f>IFERROR(__xludf.DUMMYFUNCTION("IMPORTRANGE(""1oE7HWatXHkhyaktecdXehUOYaBjvoHs8J-rUqfIiHgE"",""2025-26!AF3"")"),0.0)</f>
        <v>0</v>
      </c>
      <c r="BQ175" s="59" t="str">
        <f t="shared" si="63"/>
        <v/>
      </c>
      <c r="BR175" s="55">
        <f>IFERROR(__xludf.DUMMYFUNCTION("IMPORTRANGE(""1oE7HWatXHkhyaktecdXehUOYaBjvoHs8J-rUqfIiHgE"",""2025-26!AG4"")"),0.0)</f>
        <v>0</v>
      </c>
      <c r="BS175" s="55">
        <f>IFERROR(__xludf.DUMMYFUNCTION("IMPORTRANGE(""1oE7HWatXHkhyaktecdXehUOYaBjvoHs8J-rUqfIiHgE"",""2025-26!AG3"")"),0.0)</f>
        <v>0</v>
      </c>
      <c r="BT175" s="55">
        <f>IFERROR(__xludf.DUMMYFUNCTION("IMPORTRANGE(""1oE7HWatXHkhyaktecdXehUOYaBjvoHs8J-rUqfIiHgE"",""2025-26!AH4"")"),0.0)</f>
        <v>0</v>
      </c>
      <c r="BU175" s="55">
        <f>IFERROR(__xludf.DUMMYFUNCTION("IMPORTRANGE(""1oE7HWatXHkhyaktecdXehUOYaBjvoHs8J-rUqfIiHgE"",""2025-26!AH3"")"),0.0)</f>
        <v>0</v>
      </c>
      <c r="BV175" s="55">
        <f>IFERROR(__xludf.DUMMYFUNCTION("IMPORTRANGE(""1oE7HWatXHkhyaktecdXehUOYaBjvoHs8J-rUqfIiHgE"",""2025-26!AI4"")"),0.0)</f>
        <v>0</v>
      </c>
      <c r="BW175" s="55">
        <f>IFERROR(__xludf.DUMMYFUNCTION("IMPORTRANGE(""1oE7HWatXHkhyaktecdXehUOYaBjvoHs8J-rUqfIiHgE"",""2025-26!AI3"")"),0.0)</f>
        <v>0</v>
      </c>
      <c r="BX175" s="59" t="str">
        <f t="shared" si="64"/>
        <v/>
      </c>
      <c r="BY175" s="55">
        <f>IFERROR(__xludf.DUMMYFUNCTION("IMPORTRANGE(""1oE7HWatXHkhyaktecdXehUOYaBjvoHs8J-rUqfIiHgE"",""2025-26!AJ4"")"),0.0)</f>
        <v>0</v>
      </c>
      <c r="BZ175" s="55">
        <f>IFERROR(__xludf.DUMMYFUNCTION("IMPORTRANGE(""1oE7HWatXHkhyaktecdXehUOYaBjvoHs8J-rUqfIiHgE"",""2025-26!AJ3"")"),0.0)</f>
        <v>0</v>
      </c>
      <c r="CA175" s="55">
        <f>IFERROR(__xludf.DUMMYFUNCTION("IMPORTRANGE(""1oE7HWatXHkhyaktecdXehUOYaBjvoHs8J-rUqfIiHgE"",""2025-26!AK4"")"),0.0)</f>
        <v>0</v>
      </c>
      <c r="CB175" s="55">
        <f>IFERROR(__xludf.DUMMYFUNCTION("IMPORTRANGE(""1oE7HWatXHkhyaktecdXehUOYaBjvoHs8J-rUqfIiHgE"",""2025-26!AK3"")"),0.0)</f>
        <v>0</v>
      </c>
      <c r="CC175" s="55">
        <f>IFERROR(__xludf.DUMMYFUNCTION("IMPORTRANGE(""1oE7HWatXHkhyaktecdXehUOYaBjvoHs8J-rUqfIiHgE"",""2025-26!AL4"")"),0.0)</f>
        <v>0</v>
      </c>
      <c r="CD175" s="55">
        <f>IFERROR(__xludf.DUMMYFUNCTION("IMPORTRANGE(""1oE7HWatXHkhyaktecdXehUOYaBjvoHs8J-rUqfIiHgE"",""2025-26!AL3"")"),0.0)</f>
        <v>0</v>
      </c>
      <c r="CE175" s="59" t="str">
        <f t="shared" si="65"/>
        <v/>
      </c>
      <c r="CF175" s="55">
        <f>IFERROR(__xludf.DUMMYFUNCTION("IMPORTRANGE(""1oE7HWatXHkhyaktecdXehUOYaBjvoHs8J-rUqfIiHgE"",""2025-26!AM4"")"),0.0)</f>
        <v>0</v>
      </c>
      <c r="CG175" s="55">
        <f>IFERROR(__xludf.DUMMYFUNCTION("IMPORTRANGE(""1oE7HWatXHkhyaktecdXehUOYaBjvoHs8J-rUqfIiHgE"",""2025-26!AM3"")"),0.0)</f>
        <v>0</v>
      </c>
      <c r="CH175" s="55">
        <f>IFERROR(__xludf.DUMMYFUNCTION("IMPORTRANGE(""1oE7HWatXHkhyaktecdXehUOYaBjvoHs8J-rUqfIiHgE"",""2025-26!AN4"")"),0.0)</f>
        <v>0</v>
      </c>
      <c r="CI175" s="55">
        <f>IFERROR(__xludf.DUMMYFUNCTION("IMPORTRANGE(""1oE7HWatXHkhyaktecdXehUOYaBjvoHs8J-rUqfIiHgE"",""2025-26!AN3"")"),0.0)</f>
        <v>0</v>
      </c>
      <c r="CJ175" s="55">
        <f>IFERROR(__xludf.DUMMYFUNCTION("IMPORTRANGE(""1oE7HWatXHkhyaktecdXehUOYaBjvoHs8J-rUqfIiHgE"",""2025-26!AO4"")"),0.0)</f>
        <v>0</v>
      </c>
      <c r="CK175" s="55">
        <f>IFERROR(__xludf.DUMMYFUNCTION("IMPORTRANGE(""1oE7HWatXHkhyaktecdXehUOYaBjvoHs8J-rUqfIiHgE"",""2025-26!AO3"")"),0.0)</f>
        <v>0</v>
      </c>
      <c r="CL175" s="59" t="str">
        <f t="shared" si="66"/>
        <v/>
      </c>
      <c r="CM175" s="55">
        <f>IFERROR(__xludf.DUMMYFUNCTION("IMPORTRANGE(""1oE7HWatXHkhyaktecdXehUOYaBjvoHs8J-rUqfIiHgE"",""2025-26!AP4"")"),0.0)</f>
        <v>0</v>
      </c>
      <c r="CN175" s="55">
        <f>IFERROR(__xludf.DUMMYFUNCTION("IMPORTRANGE(""1oE7HWatXHkhyaktecdXehUOYaBjvoHs8J-rUqfIiHgE"",""2025-26!AP3"")"),0.0)</f>
        <v>0</v>
      </c>
      <c r="CO175" s="55">
        <f>IFERROR(__xludf.DUMMYFUNCTION("IMPORTRANGE(""1oE7HWatXHkhyaktecdXehUOYaBjvoHs8J-rUqfIiHgE"",""2025-26!AQ4"")"),0.0)</f>
        <v>0</v>
      </c>
      <c r="CP175" s="55">
        <f>IFERROR(__xludf.DUMMYFUNCTION("IMPORTRANGE(""1oE7HWatXHkhyaktecdXehUOYaBjvoHs8J-rUqfIiHgE"",""2025-26!AQ3"")"),0.0)</f>
        <v>0</v>
      </c>
      <c r="CQ175" s="55">
        <f>IFERROR(__xludf.DUMMYFUNCTION("IMPORTRANGE(""1oE7HWatXHkhyaktecdXehUOYaBjvoHs8J-rUqfIiHgE"",""2025-26!AR4"")"),0.0)</f>
        <v>0</v>
      </c>
      <c r="CR175" s="55">
        <f>IFERROR(__xludf.DUMMYFUNCTION("IMPORTRANGE(""1oE7HWatXHkhyaktecdXehUOYaBjvoHs8J-rUqfIiHgE"",""2025-26!AR3"")"),0.0)</f>
        <v>0</v>
      </c>
      <c r="CS175" s="59" t="str">
        <f t="shared" si="67"/>
        <v/>
      </c>
      <c r="CT175" s="55">
        <f>IFERROR(__xludf.DUMMYFUNCTION("IMPORTRANGE(""1oE7HWatXHkhyaktecdXehUOYaBjvoHs8J-rUqfIiHgE"",""2025-26!AS4"")"),0.0)</f>
        <v>0</v>
      </c>
      <c r="CU175" s="55">
        <f>IFERROR(__xludf.DUMMYFUNCTION("IMPORTRANGE(""1oE7HWatXHkhyaktecdXehUOYaBjvoHs8J-rUqfIiHgE"",""2025-26!AS3"")"),0.0)</f>
        <v>0</v>
      </c>
      <c r="CV175" s="60" t="s">
        <v>61</v>
      </c>
    </row>
    <row r="176">
      <c r="A176" s="84" t="s">
        <v>53</v>
      </c>
      <c r="B176" s="134" t="s">
        <v>53</v>
      </c>
      <c r="C176" s="132" t="s">
        <v>364</v>
      </c>
      <c r="D176" s="65" t="s">
        <v>365</v>
      </c>
      <c r="E176" s="68">
        <v>7.425965413E9</v>
      </c>
      <c r="F176" s="66">
        <v>45735.0</v>
      </c>
      <c r="G176" s="62"/>
      <c r="H176" s="62"/>
      <c r="I176" s="53">
        <v>25165.0</v>
      </c>
      <c r="J176" s="54">
        <v>700000.0</v>
      </c>
      <c r="K176" s="57">
        <f>IFERROR(__xludf.DUMMYFUNCTION("IMPORTRANGE(""https://docs.google.com/spreadsheets/d/1MPNChisESatj6Y1d2ew7so2Ekwn-ZZbDJg7Pvz0EL6Y/edit?gid=162659938#gid=162659938"",""2025-26!A3"")"),35.0)</f>
        <v>35</v>
      </c>
      <c r="L176" s="57">
        <f>IFERROR(__xludf.DUMMYFUNCTION("IMPORTRANGE(""https://docs.google.com/spreadsheets/d/1MPNChisESatj6Y1d2ew7so2Ekwn-ZZbDJg7Pvz0EL6Y/edit?gid=162659938#gid=162659938"",""2025-26!G4"")"),1345000.0)</f>
        <v>1345000</v>
      </c>
      <c r="M176" s="57">
        <f t="shared" ref="M176:M177" si="72">SUM(R176+Y176+AF176+AM176+AT176+BA176+BH176+BO176+BV176+CC176+CJ176+CQ176)</f>
        <v>19908</v>
      </c>
      <c r="N176" s="56">
        <f t="shared" ref="N176:N177" si="73">iferror(O176/L176,"")</f>
        <v>0</v>
      </c>
      <c r="O176" s="57">
        <f t="shared" ref="O176:O177" si="74">SUM(U176,AB176,AI176,AP176,AW176,BD176,BK176,BR176,BY176,CF176,CM176,CT176)</f>
        <v>0</v>
      </c>
      <c r="P176" s="55">
        <f>IFERROR(__xludf.DUMMYFUNCTION("IMPORTRANGE(""https://docs.google.com/spreadsheets/d/1MPNChisESatj6Y1d2ew7so2Ekwn-ZZbDJg7Pvz0EL6Y/edit?gid=162659938#gid=162659938"",""2025-26!J4"")"),124000.0)</f>
        <v>124000</v>
      </c>
      <c r="Q176" s="55">
        <f>IFERROR(__xludf.DUMMYFUNCTION("IMPORTRANGE(""https://docs.google.com/spreadsheets/d/1MPNChisESatj6Y1d2ew7so2Ekwn-ZZbDJg7Pvz0EL6Y/edit?gid=162659938#gid=162659938"",""2025-26!J3"")"),11.0)</f>
        <v>11</v>
      </c>
      <c r="R176" s="55">
        <f>IFERROR(__xludf.DUMMYFUNCTION("IMPORTRANGE(""https://docs.google.com/spreadsheets/d/1MPNChisESatj6Y1d2ew7so2Ekwn-ZZbDJg7Pvz0EL6Y/edit?gid=162659938#gid=162659938"",""2025-26!K4"")"),0.0)</f>
        <v>0</v>
      </c>
      <c r="S176" s="55">
        <f>IFERROR(__xludf.DUMMYFUNCTION("IMPORTRANGE(""https://docs.google.com/spreadsheets/d/1MPNChisESatj6Y1d2ew7so2Ekwn-ZZbDJg7Pvz0EL6Y/edit?gid=162659938#gid=162659938"",""2025-26!K3"")"),0.0)</f>
        <v>0</v>
      </c>
      <c r="T176" s="58">
        <f t="shared" si="56"/>
        <v>0</v>
      </c>
      <c r="U176" s="55">
        <f>IFERROR(__xludf.DUMMYFUNCTION("IMPORTRANGE(""https://docs.google.com/spreadsheets/d/1MPNChisESatj6Y1d2ew7so2Ekwn-ZZbDJg7Pvz0EL6Y/edit?gid=162659938#gid=162659938"",""2025-26!L4"")"),0.0)</f>
        <v>0</v>
      </c>
      <c r="V176" s="79">
        <f>IFERROR(__xludf.DUMMYFUNCTION("IMPORTRANGE(""https://docs.google.com/spreadsheets/d/1MPNChisESatj6Y1d2ew7so2Ekwn-ZZbDJg7Pvz0EL6Y/edit?gid=162659938#gid=162659938"",""2025-26!L3"")"),0.0)</f>
        <v>0</v>
      </c>
      <c r="W176" s="55">
        <f>IFERROR(__xludf.DUMMYFUNCTION("IMPORTRANGE(""https://docs.google.com/spreadsheets/d/1MPNChisESatj6Y1d2ew7so2Ekwn-ZZbDJg7Pvz0EL6Y/edit?gid=162659938#gid=162659938"",""2025-26!M4"")"),113000.0)</f>
        <v>113000</v>
      </c>
      <c r="X176" s="79">
        <f>IFERROR(__xludf.DUMMYFUNCTION("IMPORTRANGE(""https://docs.google.com/spreadsheets/d/1MPNChisESatj6Y1d2ew7so2Ekwn-ZZbDJg7Pvz0EL6Y/edit?gid=162659938#gid=162659938"",""2025-26!M3"")"),11.0)</f>
        <v>11</v>
      </c>
      <c r="Y176" s="55">
        <f>IFERROR(__xludf.DUMMYFUNCTION("importrange(""https://docs.google.com/spreadsheets/d/1MPNChisESatj6Y1d2ew7so2Ekwn-ZZbDJg7Pvz0EL6Y/edit?gid=162659938#gid=162659938"",""2025-26!n4"")"),19908.0)</f>
        <v>19908</v>
      </c>
      <c r="Z176" s="55">
        <f>IFERROR(__xludf.DUMMYFUNCTION("importrange(""https://docs.google.com/spreadsheets/d/1MPNChisESatj6Y1d2ew7so2Ekwn-ZZbDJg7Pvz0EL6Y/edit?gid=162659938#gid=162659938"",""2025-26!n3"")"),1.0)</f>
        <v>1</v>
      </c>
      <c r="AA176" s="58">
        <f t="shared" si="57"/>
        <v>0</v>
      </c>
      <c r="AB176" s="55">
        <f>IFERROR(__xludf.DUMMYFUNCTION("importrange(""https://docs.google.com/spreadsheets/d/1MPNChisESatj6Y1d2ew7so2Ekwn-ZZbDJg7Pvz0EL6Y/edit?gid=162659938#gid=162659938"",""2025-26!o4"")"),0.0)</f>
        <v>0</v>
      </c>
      <c r="AC176" s="55">
        <f>IFERROR(__xludf.DUMMYFUNCTION("importrange(""https://docs.google.com/spreadsheets/d/1MPNChisESatj6Y1d2ew7so2Ekwn-ZZbDJg7Pvz0EL6Y/edit?gid=162659938#gid=162659938"",""2025-26!o3"")"),0.0)</f>
        <v>0</v>
      </c>
      <c r="AD176" s="55">
        <f>IFERROR(__xludf.DUMMYFUNCTION("importrange(""https://docs.google.com/spreadsheets/d/1MPNChisESatj6Y1d2ew7so2Ekwn-ZZbDJg7Pvz0EL6Y/edit?gid=162659938#gid=162659938"",""2025-26!p4"")"),150000.0)</f>
        <v>150000</v>
      </c>
      <c r="AE176" s="55">
        <f>IFERROR(__xludf.DUMMYFUNCTION("importrange(""https://docs.google.com/spreadsheets/d/1MPNChisESatj6Y1d2ew7so2Ekwn-ZZbDJg7Pvz0EL6Y/edit?gid=162659938#gid=162659938"",""2025-26!p3"")"),12.0)</f>
        <v>12</v>
      </c>
      <c r="AF176" s="55">
        <f>IFERROR(__xludf.DUMMYFUNCTION("importrange(""https://docs.google.com/spreadsheets/d/1MPNChisESatj6Y1d2ew7so2Ekwn-ZZbDJg7Pvz0EL6Y/edit?gid=162659938#gid=162659938"",""2025-26!q4"")"),0.0)</f>
        <v>0</v>
      </c>
      <c r="AG176" s="55">
        <f>IFERROR(__xludf.DUMMYFUNCTION("importrange(""https://docs.google.com/spreadsheets/d/1MPNChisESatj6Y1d2ew7so2Ekwn-ZZbDJg7Pvz0EL6Y/edit?gid=162659938#gid=162659938"",""2025-26!q3"")"),0.0)</f>
        <v>0</v>
      </c>
      <c r="AH176" s="58">
        <f t="shared" si="58"/>
        <v>0</v>
      </c>
      <c r="AI176" s="55">
        <f>IFERROR(__xludf.DUMMYFUNCTION("importrange(""https://docs.google.com/spreadsheets/d/1MPNChisESatj6Y1d2ew7so2Ekwn-ZZbDJg7Pvz0EL6Y/edit?gid=162659938#gid=162659938"",""2025-26!r4"")"),0.0)</f>
        <v>0</v>
      </c>
      <c r="AJ176" s="55">
        <f>IFERROR(__xludf.DUMMYFUNCTION("importrange(""https://docs.google.com/spreadsheets/d/1MPNChisESatj6Y1d2ew7so2Ekwn-ZZbDJg7Pvz0EL6Y/edit?gid=162659938#gid=162659938"",""2025-26!r3"")"),0.0)</f>
        <v>0</v>
      </c>
      <c r="AK176" s="55">
        <f>IFERROR(__xludf.DUMMYFUNCTION("importrange(""https://docs.google.com/spreadsheets/d/1MPNChisESatj6Y1d2ew7so2Ekwn-ZZbDJg7Pvz0EL6Y/edit?gid=162659938#gid=162659938"",""2025-26!s4"")"),104000.0)</f>
        <v>104000</v>
      </c>
      <c r="AL176" s="55">
        <f>IFERROR(__xludf.DUMMYFUNCTION("importrange(""https://docs.google.com/spreadsheets/d/1MPNChisESatj6Y1d2ew7so2Ekwn-ZZbDJg7Pvz0EL6Y/edit?gid=162659938#gid=162659938"",""2025-26!s3"")"),11.0)</f>
        <v>11</v>
      </c>
      <c r="AM176" s="57">
        <f>IFERROR(__xludf.DUMMYFUNCTION("importrange(""https://docs.google.com/spreadsheets/d/1MPNChisESatj6Y1d2ew7so2Ekwn-ZZbDJg7Pvz0EL6Y/edit?gid=162659938#gid=162659938"",""2025-26!t4"")"),0.0)</f>
        <v>0</v>
      </c>
      <c r="AN176" s="55">
        <f>IFERROR(__xludf.DUMMYFUNCTION("importrange(""https://docs.google.com/spreadsheets/d/1MPNChisESatj6Y1d2ew7so2Ekwn-ZZbDJg7Pvz0EL6Y/edit?gid=162659938#gid=162659938"",""2025-26!t3"")"),0.0)</f>
        <v>0</v>
      </c>
      <c r="AO176" s="58">
        <f t="shared" si="59"/>
        <v>0</v>
      </c>
      <c r="AP176" s="55">
        <f>IFERROR(__xludf.DUMMYFUNCTION("importrange(""https://docs.google.com/spreadsheets/d/1MPNChisESatj6Y1d2ew7so2Ekwn-ZZbDJg7Pvz0EL6Y/edit?gid=162659938#gid=162659938"",""2025-26!u4"")"),0.0)</f>
        <v>0</v>
      </c>
      <c r="AQ176" s="55">
        <f>IFERROR(__xludf.DUMMYFUNCTION("importrange(""https://docs.google.com/spreadsheets/d/1MPNChisESatj6Y1d2ew7so2Ekwn-ZZbDJg7Pvz0EL6Y/edit?gid=162659938#gid=162659938"",""2025-26!u3"")"),0.0)</f>
        <v>0</v>
      </c>
      <c r="AR176" s="55">
        <f>IFERROR(__xludf.DUMMYFUNCTION("importrange(""https://docs.google.com/spreadsheets/d/1MPNChisESatj6Y1d2ew7so2Ekwn-ZZbDJg7Pvz0EL6Y/edit?gid=162659938#gid=162659938"",""2025-26!v4"")"),122000.0)</f>
        <v>122000</v>
      </c>
      <c r="AS176" s="55">
        <f>IFERROR(__xludf.DUMMYFUNCTION("importrange(""https://docs.google.com/spreadsheets/d/1MPNChisESatj6Y1d2ew7so2Ekwn-ZZbDJg7Pvz0EL6Y/edit?gid=162659938#gid=162659938"",""2025-26!v3"")"),11.0)</f>
        <v>11</v>
      </c>
      <c r="AT176" s="57">
        <f>IFERROR(__xludf.DUMMYFUNCTION("importrange(""https://docs.google.com/spreadsheets/d/1MPNChisESatj6Y1d2ew7so2Ekwn-ZZbDJg7Pvz0EL6Y/edit?gid=162659938#gid=162659938"",""2025-26!w4"")"),0.0)</f>
        <v>0</v>
      </c>
      <c r="AU176" s="55">
        <f>IFERROR(__xludf.DUMMYFUNCTION("importrange(""https://docs.google.com/spreadsheets/d/1MPNChisESatj6Y1d2ew7so2Ekwn-ZZbDJg7Pvz0EL6Y/edit?gid=162659938#gid=162659938"",""2025-26!w3"")"),0.0)</f>
        <v>0</v>
      </c>
      <c r="AV176" s="58">
        <f t="shared" si="60"/>
        <v>0</v>
      </c>
      <c r="AW176" s="55">
        <f>IFERROR(__xludf.DUMMYFUNCTION("importrange(""https://docs.google.com/spreadsheets/d/1MPNChisESatj6Y1d2ew7so2Ekwn-ZZbDJg7Pvz0EL6Y/edit?gid=162659938#gid=162659938"",""2025-26!x4"")"),0.0)</f>
        <v>0</v>
      </c>
      <c r="AX176" s="55">
        <f>IFERROR(__xludf.DUMMYFUNCTION("importrange(""https://docs.google.com/spreadsheets/d/1MPNChisESatj6Y1d2ew7so2Ekwn-ZZbDJg7Pvz0EL6Y/edit?gid=162659938#gid=162659938"",""2025-26!x3"")"),0.0)</f>
        <v>0</v>
      </c>
      <c r="AY176" s="55">
        <f>IFERROR(__xludf.DUMMYFUNCTION("importrange(""https://docs.google.com/spreadsheets/d/1MPNChisESatj6Y1d2ew7so2Ekwn-ZZbDJg7Pvz0EL6Y/edit?gid=162659938#gid=162659938"",""2025-26!y4"")"),113000.0)</f>
        <v>113000</v>
      </c>
      <c r="AZ176" s="55">
        <f>IFERROR(__xludf.DUMMYFUNCTION("importrange(""https://docs.google.com/spreadsheets/d/1MPNChisESatj6Y1d2ew7so2Ekwn-ZZbDJg7Pvz0EL6Y/edit?gid=162659938#gid=162659938"",""2025-26!y3"")"),11.0)</f>
        <v>11</v>
      </c>
      <c r="BA176" s="57">
        <f>IFERROR(__xludf.DUMMYFUNCTION("importrange(""https://docs.google.com/spreadsheets/d/1MPNChisESatj6Y1d2ew7so2Ekwn-ZZbDJg7Pvz0EL6Y/edit?gid=162659938#gid=162659938"",""2025-26!z4"")"),0.0)</f>
        <v>0</v>
      </c>
      <c r="BB176" s="55">
        <f>IFERROR(__xludf.DUMMYFUNCTION("importrange(""https://docs.google.com/spreadsheets/d/1MPNChisESatj6Y1d2ew7so2Ekwn-ZZbDJg7Pvz0EL6Y/edit?gid=162659938#gid=162659938"",""2025-26!z3"")"),0.0)</f>
        <v>0</v>
      </c>
      <c r="BC176" s="59">
        <f t="shared" si="61"/>
        <v>0</v>
      </c>
      <c r="BD176" s="55">
        <f>IFERROR(__xludf.DUMMYFUNCTION("importrange(""https://docs.google.com/spreadsheets/d/1MPNChisESatj6Y1d2ew7so2Ekwn-ZZbDJg7Pvz0EL6Y/edit?gid=162659938#gid=162659938"",""2025-26!aa4"")"),0.0)</f>
        <v>0</v>
      </c>
      <c r="BE176" s="55">
        <f>IFERROR(__xludf.DUMMYFUNCTION("importrange(""https://docs.google.com/spreadsheets/d/1MPNChisESatj6Y1d2ew7so2Ekwn-ZZbDJg7Pvz0EL6Y/edit?gid=162659938#gid=162659938"",""2025-26!aa3"")"),0.0)</f>
        <v>0</v>
      </c>
      <c r="BF176" s="55">
        <f>IFERROR(__xludf.DUMMYFUNCTION("importrange(""https://docs.google.com/spreadsheets/d/1MPNChisESatj6Y1d2ew7so2Ekwn-ZZbDJg7Pvz0EL6Y/edit?gid=162659938#gid=162659938"",""2025-26!ab4"")"),105000.0)</f>
        <v>105000</v>
      </c>
      <c r="BG176" s="55">
        <f>IFERROR(__xludf.DUMMYFUNCTION("importrange(""https://docs.google.com/spreadsheets/d/1MPNChisESatj6Y1d2ew7so2Ekwn-ZZbDJg7Pvz0EL6Y/edit?gid=162659938#gid=162659938"",""2025-26!ab3"")"),11.0)</f>
        <v>11</v>
      </c>
      <c r="BH176" s="55">
        <f>IFERROR(__xludf.DUMMYFUNCTION("importrange(""https://docs.google.com/spreadsheets/d/1MPNChisESatj6Y1d2ew7so2Ekwn-ZZbDJg7Pvz0EL6Y/edit?gid=162659938#gid=162659938"",""2025-26!ac4"")"),0.0)</f>
        <v>0</v>
      </c>
      <c r="BI176" s="55">
        <f>IFERROR(__xludf.DUMMYFUNCTION("importrange(""https://docs.google.com/spreadsheets/d/1MPNChisESatj6Y1d2ew7so2Ekwn-ZZbDJg7Pvz0EL6Y/edit?gid=162659938#gid=162659938"",""2025-26!ac3"")"),0.0)</f>
        <v>0</v>
      </c>
      <c r="BJ176" s="59">
        <f t="shared" si="62"/>
        <v>0</v>
      </c>
      <c r="BK176" s="55">
        <f>IFERROR(__xludf.DUMMYFUNCTION("importrange(""https://docs.google.com/spreadsheets/d/1MPNChisESatj6Y1d2ew7so2Ekwn-ZZbDJg7Pvz0EL6Y/edit?gid=162659938#gid=162659938"",""2025-26!ad4"")"),0.0)</f>
        <v>0</v>
      </c>
      <c r="BL176" s="55">
        <f>IFERROR(__xludf.DUMMYFUNCTION("importrange(""https://docs.google.com/spreadsheets/d/1MPNChisESatj6Y1d2ew7so2Ekwn-ZZbDJg7Pvz0EL6Y/edit?gid=162659938#gid=162659938"",""2025-26!ad3"")"),0.0)</f>
        <v>0</v>
      </c>
      <c r="BM176" s="55">
        <f>IFERROR(__xludf.DUMMYFUNCTION("importrange(""https://docs.google.com/spreadsheets/d/1MPNChisESatj6Y1d2ew7so2Ekwn-ZZbDJg7Pvz0EL6Y/edit?gid=162659938#gid=162659938"",""2025-26!ae4"")"),109000.0)</f>
        <v>109000</v>
      </c>
      <c r="BN176" s="55">
        <f>IFERROR(__xludf.DUMMYFUNCTION("importrange(""https://docs.google.com/spreadsheets/d/1MPNChisESatj6Y1d2ew7so2Ekwn-ZZbDJg7Pvz0EL6Y/edit?gid=162659938#gid=162659938"",""2025-26!ae3"")"),11.0)</f>
        <v>11</v>
      </c>
      <c r="BO176" s="55">
        <f>IFERROR(__xludf.DUMMYFUNCTION("importrange(""https://docs.google.com/spreadsheets/d/1MPNChisESatj6Y1d2ew7so2Ekwn-ZZbDJg7Pvz0EL6Y/edit?gid=162659938#gid=162659938"",""2025-26!af4"")"),0.0)</f>
        <v>0</v>
      </c>
      <c r="BP176" s="55">
        <f>IFERROR(__xludf.DUMMYFUNCTION("importrange(""https://docs.google.com/spreadsheets/d/1MPNChisESatj6Y1d2ew7so2Ekwn-ZZbDJg7Pvz0EL6Y/edit?gid=162659938#gid=162659938"",""2025-26!af3"")"),0.0)</f>
        <v>0</v>
      </c>
      <c r="BQ176" s="59">
        <f t="shared" si="63"/>
        <v>0</v>
      </c>
      <c r="BR176" s="55">
        <f>IFERROR(__xludf.DUMMYFUNCTION("importrange(""https://docs.google.com/spreadsheets/d/1MPNChisESatj6Y1d2ew7so2Ekwn-ZZbDJg7Pvz0EL6Y/edit?gid=162659938#gid=162659938"",""2025-26!ag4"")"),0.0)</f>
        <v>0</v>
      </c>
      <c r="BS176" s="55">
        <f>IFERROR(__xludf.DUMMYFUNCTION("importrange(""https://docs.google.com/spreadsheets/d/1MPNChisESatj6Y1d2ew7so2Ekwn-ZZbDJg7Pvz0EL6Y/edit?gid=162659938#gid=162659938"",""2025-26!ag3"")"),0.0)</f>
        <v>0</v>
      </c>
      <c r="BT176" s="55">
        <f>IFERROR(__xludf.DUMMYFUNCTION("importrange(""https://docs.google.com/spreadsheets/d/1MPNChisESatj6Y1d2ew7so2Ekwn-ZZbDJg7Pvz0EL6Y/edit?gid=162659938#gid=162659938"",""2025-26!ah4"")"),106000.0)</f>
        <v>106000</v>
      </c>
      <c r="BU176" s="55">
        <f>IFERROR(__xludf.DUMMYFUNCTION("importrange(""https://docs.google.com/spreadsheets/d/1MPNChisESatj6Y1d2ew7so2Ekwn-ZZbDJg7Pvz0EL6Y/edit?gid=162659938#gid=162659938"",""2025-26!ah3"")"),11.0)</f>
        <v>11</v>
      </c>
      <c r="BV176" s="55">
        <f>IFERROR(__xludf.DUMMYFUNCTION("importrange(""https://docs.google.com/spreadsheets/d/1MPNChisESatj6Y1d2ew7so2Ekwn-ZZbDJg7Pvz0EL6Y/edit?gid=162659938#gid=162659938"",""2025-26!ai4"")"),0.0)</f>
        <v>0</v>
      </c>
      <c r="BW176" s="55">
        <f>IFERROR(__xludf.DUMMYFUNCTION("importrange(""https://docs.google.com/spreadsheets/d/1MPNChisESatj6Y1d2ew7so2Ekwn-ZZbDJg7Pvz0EL6Y/edit?gid=162659938#gid=162659938"",""2025-26!ai3"")"),0.0)</f>
        <v>0</v>
      </c>
      <c r="BX176" s="59">
        <f t="shared" si="64"/>
        <v>0</v>
      </c>
      <c r="BY176" s="55">
        <f>IFERROR(__xludf.DUMMYFUNCTION("importrange(""https://docs.google.com/spreadsheets/d/1MPNChisESatj6Y1d2ew7so2Ekwn-ZZbDJg7Pvz0EL6Y/edit?gid=162659938#gid=162659938"",""2025-26!aj4"")"),0.0)</f>
        <v>0</v>
      </c>
      <c r="BZ176" s="55">
        <f>IFERROR(__xludf.DUMMYFUNCTION("importrange(""https://docs.google.com/spreadsheets/d/1MPNChisESatj6Y1d2ew7so2Ekwn-ZZbDJg7Pvz0EL6Y/edit?gid=162659938#gid=162659938"",""2025-26!aj3"")"),0.0)</f>
        <v>0</v>
      </c>
      <c r="CA176" s="55">
        <f>IFERROR(__xludf.DUMMYFUNCTION("importrange(""https://docs.google.com/spreadsheets/d/1MPNChisESatj6Y1d2ew7so2Ekwn-ZZbDJg7Pvz0EL6Y/edit?gid=162659938#gid=162659938"",""2025-26!ak4"")"),112000.0)</f>
        <v>112000</v>
      </c>
      <c r="CB176" s="55">
        <f>IFERROR(__xludf.DUMMYFUNCTION("importrange(""https://docs.google.com/spreadsheets/d/1MPNChisESatj6Y1d2ew7so2Ekwn-ZZbDJg7Pvz0EL6Y/edit?gid=162659938#gid=162659938"",""2025-26!ak3"")"),11.0)</f>
        <v>11</v>
      </c>
      <c r="CC176" s="55">
        <f>IFERROR(__xludf.DUMMYFUNCTION("importrange(""https://docs.google.com/spreadsheets/d/1MPNChisESatj6Y1d2ew7so2Ekwn-ZZbDJg7Pvz0EL6Y/edit?gid=162659938#gid=162659938"",""2025-26!al4"")"),0.0)</f>
        <v>0</v>
      </c>
      <c r="CD176" s="55">
        <f>IFERROR(__xludf.DUMMYFUNCTION("importrange(""https://docs.google.com/spreadsheets/d/1MPNChisESatj6Y1d2ew7so2Ekwn-ZZbDJg7Pvz0EL6Y/edit?gid=162659938#gid=162659938"",""2025-26!ai3"")"),0.0)</f>
        <v>0</v>
      </c>
      <c r="CE176" s="59">
        <f t="shared" si="65"/>
        <v>0</v>
      </c>
      <c r="CF176" s="55">
        <f>IFERROR(__xludf.DUMMYFUNCTION("importrange(""https://docs.google.com/spreadsheets/d/1MPNChisESatj6Y1d2ew7so2Ekwn-ZZbDJg7Pvz0EL6Y/edit?gid=162659938#gid=162659938"",""2025-26!am4"")"),0.0)</f>
        <v>0</v>
      </c>
      <c r="CG176" s="55">
        <f>IFERROR(__xludf.DUMMYFUNCTION("importrange(""https://docs.google.com/spreadsheets/d/1MPNChisESatj6Y1d2ew7so2Ekwn-ZZbDJg7Pvz0EL6Y/edit?gid=162659938#gid=162659938"",""2025-26!am3"")"),0.0)</f>
        <v>0</v>
      </c>
      <c r="CH176" s="55">
        <f>IFERROR(__xludf.DUMMYFUNCTION("importrange(""https://docs.google.com/spreadsheets/d/1MPNChisESatj6Y1d2ew7so2Ekwn-ZZbDJg7Pvz0EL6Y/edit?gid=162659938#gid=162659938"",""2025-26!an4"")"),105000.0)</f>
        <v>105000</v>
      </c>
      <c r="CI176" s="55">
        <f>IFERROR(__xludf.DUMMYFUNCTION("importrange(""https://docs.google.com/spreadsheets/d/1MPNChisESatj6Y1d2ew7so2Ekwn-ZZbDJg7Pvz0EL6Y/edit?gid=162659938#gid=162659938"",""2025-26!an3"")"),11.0)</f>
        <v>11</v>
      </c>
      <c r="CJ176" s="55">
        <f>IFERROR(__xludf.DUMMYFUNCTION("importrange(""https://docs.google.com/spreadsheets/d/1MPNChisESatj6Y1d2ew7so2Ekwn-ZZbDJg7Pvz0EL6Y/edit?gid=162659938#gid=162659938"",""2025-26!ao4"")"),0.0)</f>
        <v>0</v>
      </c>
      <c r="CK176" s="55">
        <f>IFERROR(__xludf.DUMMYFUNCTION("importrange(""https://docs.google.com/spreadsheets/d/1MPNChisESatj6Y1d2ew7so2Ekwn-ZZbDJg7Pvz0EL6Y/edit?gid=162659938#gid=162659938"",""2025-26!ao3"")"),0.0)</f>
        <v>0</v>
      </c>
      <c r="CL176" s="59">
        <f t="shared" si="66"/>
        <v>0</v>
      </c>
      <c r="CM176" s="55">
        <f>IFERROR(__xludf.DUMMYFUNCTION("importrange(""https://docs.google.com/spreadsheets/d/1MPNChisESatj6Y1d2ew7so2Ekwn-ZZbDJg7Pvz0EL6Y/edit?gid=162659938#gid=162659938"",""2025-26!ap4"")"),0.0)</f>
        <v>0</v>
      </c>
      <c r="CN176" s="55">
        <f>IFERROR(__xludf.DUMMYFUNCTION("importrange(""https://docs.google.com/spreadsheets/d/1MPNChisESatj6Y1d2ew7so2Ekwn-ZZbDJg7Pvz0EL6Y/edit?gid=162659938#gid=162659938"",""2025-26!ap3"")"),0.0)</f>
        <v>0</v>
      </c>
      <c r="CO176" s="55">
        <f>IFERROR(__xludf.DUMMYFUNCTION("importrange(""https://docs.google.com/spreadsheets/d/1MPNChisESatj6Y1d2ew7so2Ekwn-ZZbDJg7Pvz0EL6Y/edit?gid=162659938#gid=162659938"",""2025-26!aq4"")"),97000.0)</f>
        <v>97000</v>
      </c>
      <c r="CP176" s="55">
        <f>IFERROR(__xludf.DUMMYFUNCTION("importrange(""https://docs.google.com/spreadsheets/d/1MPNChisESatj6Y1d2ew7so2Ekwn-ZZbDJg7Pvz0EL6Y/edit?gid=162659938#gid=162659938"",""2025-26!aq3"")"),11.0)</f>
        <v>11</v>
      </c>
      <c r="CQ176" s="55">
        <f>IFERROR(__xludf.DUMMYFUNCTION("importrange(""https://docs.google.com/spreadsheets/d/1MPNChisESatj6Y1d2ew7so2Ekwn-ZZbDJg7Pvz0EL6Y/edit?gid=162659938#gid=162659938"",""2025-26!ar4"")"),0.0)</f>
        <v>0</v>
      </c>
      <c r="CR176" s="55">
        <f>IFERROR(__xludf.DUMMYFUNCTION("importrange(""https://docs.google.com/spreadsheets/d/1MPNChisESatj6Y1d2ew7so2Ekwn-ZZbDJg7Pvz0EL6Y/edit?gid=162659938#gid=162659938"",""2025-26!ar3"")"),0.0)</f>
        <v>0</v>
      </c>
      <c r="CS176" s="59">
        <f t="shared" si="67"/>
        <v>0</v>
      </c>
      <c r="CT176" s="55">
        <f>IFERROR(__xludf.DUMMYFUNCTION("importrange(""https://docs.google.com/spreadsheets/d/1MPNChisESatj6Y1d2ew7so2Ekwn-ZZbDJg7Pvz0EL6Y/edit?gid=162659938#gid=162659938"",""2025-26!as4"")"),0.0)</f>
        <v>0</v>
      </c>
      <c r="CU176" s="55">
        <f>IFERROR(__xludf.DUMMYFUNCTION("importrange(""https://docs.google.com/spreadsheets/d/1MPNChisESatj6Y1d2ew7so2Ekwn-ZZbDJg7Pvz0EL6Y/edit?gid=162659938#gid=162659938"",""2025-26!as3"")"),0.0)</f>
        <v>0</v>
      </c>
      <c r="CV176" s="60" t="s">
        <v>56</v>
      </c>
    </row>
    <row r="177">
      <c r="A177" s="84" t="s">
        <v>53</v>
      </c>
      <c r="B177" s="134" t="s">
        <v>53</v>
      </c>
      <c r="C177" s="140" t="s">
        <v>366</v>
      </c>
      <c r="D177" s="65" t="s">
        <v>71</v>
      </c>
      <c r="E177" s="68">
        <v>8.000125355E9</v>
      </c>
      <c r="F177" s="66">
        <v>45812.0</v>
      </c>
      <c r="G177" s="62"/>
      <c r="H177" s="62"/>
      <c r="I177" s="53">
        <v>24120.0</v>
      </c>
      <c r="J177" s="54"/>
      <c r="K177" s="57">
        <f>IFERROR(__xludf.DUMMYFUNCTION("IMPORTRANGE(""https://docs.google.com/spreadsheets/d/17LoMAR6dxztdjtSpt2LOJWL2N-yGdVQHU_d8rpny9GY/edit?gid=2142213318#gid=2142213318"",""2025-26!A3"")"),12.0)</f>
        <v>12</v>
      </c>
      <c r="L177" s="57">
        <f>IFERROR(__xludf.DUMMYFUNCTION("IMPORTRANGE(""https://docs.google.com/spreadsheets/d/17LoMAR6dxztdjtSpt2LOJWL2N-yGdVQHU_d8rpny9GY/edit?gid=2142213318#gid=2142213318"",""2025-26!G4"")"),0.0)</f>
        <v>0</v>
      </c>
      <c r="M177" s="57">
        <f t="shared" si="72"/>
        <v>50738.2</v>
      </c>
      <c r="N177" s="56" t="str">
        <f t="shared" si="73"/>
        <v/>
      </c>
      <c r="O177" s="57">
        <f t="shared" si="74"/>
        <v>0</v>
      </c>
      <c r="P177" s="55">
        <f>IFERROR(__xludf.DUMMYFUNCTION("IMPORTRANGE(""https://docs.google.com/spreadsheets/d/17LoMAR6dxztdjtSpt2LOJWL2N-yGdVQHU_d8rpny9GY/edit?gid=2142213318#gid=2142213318"",""2025-26!J4"")"),0.0)</f>
        <v>0</v>
      </c>
      <c r="Q177" s="55">
        <f>IFERROR(__xludf.DUMMYFUNCTION("IMPORTRANGE(""https://docs.google.com/spreadsheets/d/17LoMAR6dxztdjtSpt2LOJWL2N-yGdVQHU_d8rpny9GY/edit?gid=2142213318#gid=2142213318"",""2025-26!J3"")"),0.0)</f>
        <v>0</v>
      </c>
      <c r="R177" s="55">
        <f>IFERROR(__xludf.DUMMYFUNCTION("IMPORTRANGE(""https://docs.google.com/spreadsheets/d/17LoMAR6dxztdjtSpt2LOJWL2N-yGdVQHU_d8rpny9GY/edit?gid=2142213318#gid=2142213318"",""2025-26!K4"")"),0.0)</f>
        <v>0</v>
      </c>
      <c r="S177" s="55">
        <f>IFERROR(__xludf.DUMMYFUNCTION("IMPORTRANGE(""https://docs.google.com/spreadsheets/d/17LoMAR6dxztdjtSpt2LOJWL2N-yGdVQHU_d8rpny9GY/edit?gid=2142213318#gid=2142213318"",""2025-26!K3"")"),0.0)</f>
        <v>0</v>
      </c>
      <c r="T177" s="58" t="str">
        <f t="shared" si="56"/>
        <v/>
      </c>
      <c r="U177" s="55">
        <f>IFERROR(__xludf.DUMMYFUNCTION("IMPORTRANGE(""https://docs.google.com/spreadsheets/d/17LoMAR6dxztdjtSpt2LOJWL2N-yGdVQHU_d8rpny9GY/edit?gid=2142213318#gid=2142213318"",""2025-26!L4"")"),0.0)</f>
        <v>0</v>
      </c>
      <c r="V177" s="79">
        <f>IFERROR(__xludf.DUMMYFUNCTION("IMPORTRANGE(""https://docs.google.com/spreadsheets/d/17LoMAR6dxztdjtSpt2LOJWL2N-yGdVQHU_d8rpny9GY/edit?gid=2142213318#gid=2142213318"",""2025-26!L3"")"),0.0)</f>
        <v>0</v>
      </c>
      <c r="W177" s="55">
        <f>IFERROR(__xludf.DUMMYFUNCTION("IMPORTRANGE(""https://docs.google.com/spreadsheets/d/17LoMAR6dxztdjtSpt2LOJWL2N-yGdVQHU_d8rpny9GY/edit?gid=2142213318#gid=2142213318"",""2025-26!M4"")"),0.0)</f>
        <v>0</v>
      </c>
      <c r="X177" s="79">
        <f>IFERROR(__xludf.DUMMYFUNCTION("IMPORTRANGE(""https://docs.google.com/spreadsheets/d/17LoMAR6dxztdjtSpt2LOJWL2N-yGdVQHU_d8rpny9GY/edit?gid=2142213318#gid=2142213318"",""2025-26!M3"")"),0.0)</f>
        <v>0</v>
      </c>
      <c r="Y177" s="55">
        <f>IFERROR(__xludf.DUMMYFUNCTION("importrange(""https://docs.google.com/spreadsheets/d/17LoMAR6dxztdjtSpt2LOJWL2N-yGdVQHU_d8rpny9GY/edit?gid=2142213318#gid=2142213318"",""2025-26!n4"")"),0.0)</f>
        <v>0</v>
      </c>
      <c r="Z177" s="55">
        <f>IFERROR(__xludf.DUMMYFUNCTION("importrange(""https://docs.google.com/spreadsheets/d/17LoMAR6dxztdjtSpt2LOJWL2N-yGdVQHU_d8rpny9GY/edit?gid=2142213318#gid=2142213318"",""2025-26!n3"")"),0.0)</f>
        <v>0</v>
      </c>
      <c r="AA177" s="58" t="str">
        <f t="shared" si="57"/>
        <v/>
      </c>
      <c r="AB177" s="55">
        <f>IFERROR(__xludf.DUMMYFUNCTION("importrange(""https://docs.google.com/spreadsheets/d/17LoMAR6dxztdjtSpt2LOJWL2N-yGdVQHU_d8rpny9GY/edit?gid=2142213318#gid=2142213318"",""2025-26!o4"")"),0.0)</f>
        <v>0</v>
      </c>
      <c r="AC177" s="55">
        <f>IFERROR(__xludf.DUMMYFUNCTION("importrange(""https://docs.google.com/spreadsheets/d/17LoMAR6dxztdjtSpt2LOJWL2N-yGdVQHU_d8rpny9GY/edit?gid=2142213318#gid=2142213318"",""2025-26!o3"")"),0.0)</f>
        <v>0</v>
      </c>
      <c r="AD177" s="55">
        <f>IFERROR(__xludf.DUMMYFUNCTION("importrange(""https://docs.google.com/spreadsheets/d/17LoMAR6dxztdjtSpt2LOJWL2N-yGdVQHU_d8rpny9GY/edit?gid=2142213318#gid=2142213318"",""2025-26!p4"")"),0.0)</f>
        <v>0</v>
      </c>
      <c r="AE177" s="55">
        <f>IFERROR(__xludf.DUMMYFUNCTION("importrange(""https://docs.google.com/spreadsheets/d/17LoMAR6dxztdjtSpt2LOJWL2N-yGdVQHU_d8rpny9GY/edit?gid=2142213318#gid=2142213318"",""2025-26!p3"")"),0.0)</f>
        <v>0</v>
      </c>
      <c r="AF177" s="55">
        <f>IFERROR(__xludf.DUMMYFUNCTION("importrange(""https://docs.google.com/spreadsheets/d/17LoMAR6dxztdjtSpt2LOJWL2N-yGdVQHU_d8rpny9GY/edit?gid=2142213318#gid=2142213318"",""2025-26!q4"")"),39699.2)</f>
        <v>39699.2</v>
      </c>
      <c r="AG177" s="55">
        <f>IFERROR(__xludf.DUMMYFUNCTION("importrange(""https://docs.google.com/spreadsheets/d/17LoMAR6dxztdjtSpt2LOJWL2N-yGdVQHU_d8rpny9GY/edit?gid=2142213318#gid=2142213318"",""2025-26!q3"")"),3.0)</f>
        <v>3</v>
      </c>
      <c r="AH177" s="58" t="str">
        <f t="shared" si="58"/>
        <v/>
      </c>
      <c r="AI177" s="55">
        <f>IFERROR(__xludf.DUMMYFUNCTION("importrange(""https://docs.google.com/spreadsheets/d/17LoMAR6dxztdjtSpt2LOJWL2N-yGdVQHU_d8rpny9GY/edit?gid=2142213318#gid=2142213318"",""2025-26!r4"")"),0.0)</f>
        <v>0</v>
      </c>
      <c r="AJ177" s="55">
        <f>IFERROR(__xludf.DUMMYFUNCTION("importrange(""https://docs.google.com/spreadsheets/d/17LoMAR6dxztdjtSpt2LOJWL2N-yGdVQHU_d8rpny9GY/edit?gid=2142213318#gid=2142213318"",""2025-26!r3"")"),0.0)</f>
        <v>0</v>
      </c>
      <c r="AK177" s="55">
        <f>IFERROR(__xludf.DUMMYFUNCTION("importrange(""https://docs.google.com/spreadsheets/d/17LoMAR6dxztdjtSpt2LOJWL2N-yGdVQHU_d8rpny9GY/edit?gid=2142213318#gid=2142213318"",""2025-26!s4"")"),0.0)</f>
        <v>0</v>
      </c>
      <c r="AL177" s="55">
        <f>IFERROR(__xludf.DUMMYFUNCTION("importrange(""https://docs.google.com/spreadsheets/d/17LoMAR6dxztdjtSpt2LOJWL2N-yGdVQHU_d8rpny9GY/edit?gid=2142213318#gid=2142213318"",""2025-26!s3"")"),0.0)</f>
        <v>0</v>
      </c>
      <c r="AM177" s="57">
        <f>IFERROR(__xludf.DUMMYFUNCTION("importrange(""https://docs.google.com/spreadsheets/d/17LoMAR6dxztdjtSpt2LOJWL2N-yGdVQHU_d8rpny9GY/edit?gid=2142213318#gid=2142213318"",""2025-26!t4"")"),11039.0)</f>
        <v>11039</v>
      </c>
      <c r="AN177" s="55">
        <f>IFERROR(__xludf.DUMMYFUNCTION("importrange(""https://docs.google.com/spreadsheets/d/17LoMAR6dxztdjtSpt2LOJWL2N-yGdVQHU_d8rpny9GY/edit?gid=2142213318#gid=2142213318"",""2025-26!t3"")"),1.0)</f>
        <v>1</v>
      </c>
      <c r="AO177" s="58" t="str">
        <f t="shared" si="59"/>
        <v/>
      </c>
      <c r="AP177" s="55">
        <f>IFERROR(__xludf.DUMMYFUNCTION("importrange(""https://docs.google.com/spreadsheets/d/17LoMAR6dxztdjtSpt2LOJWL2N-yGdVQHU_d8rpny9GY/edit?gid=2142213318#gid=2142213318"",""2025-26!u4"")"),0.0)</f>
        <v>0</v>
      </c>
      <c r="AQ177" s="55">
        <f>IFERROR(__xludf.DUMMYFUNCTION("importrange(""https://docs.google.com/spreadsheets/d/17LoMAR6dxztdjtSpt2LOJWL2N-yGdVQHU_d8rpny9GY/edit?gid=2142213318#gid=2142213318"",""2025-26!u3"")"),0.0)</f>
        <v>0</v>
      </c>
      <c r="AR177" s="55">
        <f>IFERROR(__xludf.DUMMYFUNCTION("importrange(""https://docs.google.com/spreadsheets/d/17LoMAR6dxztdjtSpt2LOJWL2N-yGdVQHU_d8rpny9GY/edit?gid=2142213318#gid=2142213318"",""2025-26!v4"")"),0.0)</f>
        <v>0</v>
      </c>
      <c r="AS177" s="55">
        <f>IFERROR(__xludf.DUMMYFUNCTION("importrange(""https://docs.google.com/spreadsheets/d/17LoMAR6dxztdjtSpt2LOJWL2N-yGdVQHU_d8rpny9GY/edit?gid=2142213318#gid=2142213318"",""2025-26!v3"")"),0.0)</f>
        <v>0</v>
      </c>
      <c r="AT177" s="57">
        <f>IFERROR(__xludf.DUMMYFUNCTION("importrange(""https://docs.google.com/spreadsheets/d/17LoMAR6dxztdjtSpt2LOJWL2N-yGdVQHU_d8rpny9GY/edit?gid=2142213318#gid=2142213318"",""2025-26!w4"")"),0.0)</f>
        <v>0</v>
      </c>
      <c r="AU177" s="55">
        <f>IFERROR(__xludf.DUMMYFUNCTION("importrange(""https://docs.google.com/spreadsheets/d/17LoMAR6dxztdjtSpt2LOJWL2N-yGdVQHU_d8rpny9GY/edit?gid=2142213318#gid=2142213318"",""2025-26!w3"")"),0.0)</f>
        <v>0</v>
      </c>
      <c r="AV177" s="58" t="str">
        <f t="shared" si="60"/>
        <v/>
      </c>
      <c r="AW177" s="55">
        <f>IFERROR(__xludf.DUMMYFUNCTION("importrange(""https://docs.google.com/spreadsheets/d/17LoMAR6dxztdjtSpt2LOJWL2N-yGdVQHU_d8rpny9GY/edit?gid=2142213318#gid=2142213318"",""2025-26!x4"")"),0.0)</f>
        <v>0</v>
      </c>
      <c r="AX177" s="55">
        <f>IFERROR(__xludf.DUMMYFUNCTION("importrange(""https://docs.google.com/spreadsheets/d/17LoMAR6dxztdjtSpt2LOJWL2N-yGdVQHU_d8rpny9GY/edit?gid=2142213318#gid=2142213318"",""2025-26!x3"")"),0.0)</f>
        <v>0</v>
      </c>
      <c r="AY177" s="55">
        <f>IFERROR(__xludf.DUMMYFUNCTION("importrange(""https://docs.google.com/spreadsheets/d/17LoMAR6dxztdjtSpt2LOJWL2N-yGdVQHU_d8rpny9GY/edit?gid=2142213318#gid=2142213318"",""2025-26!y4"")"),0.0)</f>
        <v>0</v>
      </c>
      <c r="AZ177" s="55">
        <f>IFERROR(__xludf.DUMMYFUNCTION("importrange(""https://docs.google.com/spreadsheets/d/17LoMAR6dxztdjtSpt2LOJWL2N-yGdVQHU_d8rpny9GY/edit?gid=2142213318#gid=2142213318"",""2025-26!y3"")"),0.0)</f>
        <v>0</v>
      </c>
      <c r="BA177" s="57">
        <f>IFERROR(__xludf.DUMMYFUNCTION("importrange(""https://docs.google.com/spreadsheets/d/17LoMAR6dxztdjtSpt2LOJWL2N-yGdVQHU_d8rpny9GY/edit?gid=2142213318#gid=2142213318"",""2025-26!z4"")"),0.0)</f>
        <v>0</v>
      </c>
      <c r="BB177" s="55">
        <f>IFERROR(__xludf.DUMMYFUNCTION("importrange(""https://docs.google.com/spreadsheets/d/17LoMAR6dxztdjtSpt2LOJWL2N-yGdVQHU_d8rpny9GY/edit?gid=2142213318#gid=2142213318"",""2025-26!z3"")"),0.0)</f>
        <v>0</v>
      </c>
      <c r="BC177" s="59" t="str">
        <f t="shared" si="61"/>
        <v/>
      </c>
      <c r="BD177" s="55">
        <f>IFERROR(__xludf.DUMMYFUNCTION("importrange(""https://docs.google.com/spreadsheets/d/17LoMAR6dxztdjtSpt2LOJWL2N-yGdVQHU_d8rpny9GY/edit?gid=2142213318#gid=2142213318"",""2025-26!aa4"")"),0.0)</f>
        <v>0</v>
      </c>
      <c r="BE177" s="55">
        <f>IFERROR(__xludf.DUMMYFUNCTION("importrange(""https://docs.google.com/spreadsheets/d/17LoMAR6dxztdjtSpt2LOJWL2N-yGdVQHU_d8rpny9GY/edit?gid=2142213318#gid=2142213318"",""2025-26!aa3"")"),0.0)</f>
        <v>0</v>
      </c>
      <c r="BF177" s="55">
        <f>IFERROR(__xludf.DUMMYFUNCTION("importrange(""https://docs.google.com/spreadsheets/d/17LoMAR6dxztdjtSpt2LOJWL2N-yGdVQHU_d8rpny9GY/edit?gid=2142213318#gid=2142213318"",""2025-26!ab4"")"),0.0)</f>
        <v>0</v>
      </c>
      <c r="BG177" s="55">
        <f>IFERROR(__xludf.DUMMYFUNCTION("importrange(""https://docs.google.com/spreadsheets/d/17LoMAR6dxztdjtSpt2LOJWL2N-yGdVQHU_d8rpny9GY/edit?gid=2142213318#gid=2142213318"",""2025-26!ab3"")"),0.0)</f>
        <v>0</v>
      </c>
      <c r="BH177" s="55">
        <f>IFERROR(__xludf.DUMMYFUNCTION("importrange(""https://docs.google.com/spreadsheets/d/17LoMAR6dxztdjtSpt2LOJWL2N-yGdVQHU_d8rpny9GY/edit?gid=2142213318#gid=2142213318"",""2025-26!ac4"")"),0.0)</f>
        <v>0</v>
      </c>
      <c r="BI177" s="55">
        <f>IFERROR(__xludf.DUMMYFUNCTION("importrange(""https://docs.google.com/spreadsheets/d/17LoMAR6dxztdjtSpt2LOJWL2N-yGdVQHU_d8rpny9GY/edit?gid=2142213318#gid=2142213318"",""2025-26!ac3"")"),0.0)</f>
        <v>0</v>
      </c>
      <c r="BJ177" s="59" t="str">
        <f t="shared" si="62"/>
        <v/>
      </c>
      <c r="BK177" s="55">
        <f>IFERROR(__xludf.DUMMYFUNCTION("importrange(""https://docs.google.com/spreadsheets/d/17LoMAR6dxztdjtSpt2LOJWL2N-yGdVQHU_d8rpny9GY/edit?gid=2142213318#gid=2142213318"",""2025-26!ad4"")"),0.0)</f>
        <v>0</v>
      </c>
      <c r="BL177" s="55">
        <f>IFERROR(__xludf.DUMMYFUNCTION("importrange(""https://docs.google.com/spreadsheets/d/17LoMAR6dxztdjtSpt2LOJWL2N-yGdVQHU_d8rpny9GY/edit?gid=2142213318#gid=2142213318"",""2025-26!ad3"")"),0.0)</f>
        <v>0</v>
      </c>
      <c r="BM177" s="55">
        <f>IFERROR(__xludf.DUMMYFUNCTION("importrange(""https://docs.google.com/spreadsheets/d/17LoMAR6dxztdjtSpt2LOJWL2N-yGdVQHU_d8rpny9GY/edit?gid=2142213318#gid=2142213318"",""2025-26!ae4"")"),0.0)</f>
        <v>0</v>
      </c>
      <c r="BN177" s="55">
        <f>IFERROR(__xludf.DUMMYFUNCTION("importrange(""https://docs.google.com/spreadsheets/d/17LoMAR6dxztdjtSpt2LOJWL2N-yGdVQHU_d8rpny9GY/edit?gid=2142213318#gid=2142213318"",""2025-26!ae3"")"),0.0)</f>
        <v>0</v>
      </c>
      <c r="BO177" s="55">
        <f>IFERROR(__xludf.DUMMYFUNCTION("importrange(""https://docs.google.com/spreadsheets/d/17LoMAR6dxztdjtSpt2LOJWL2N-yGdVQHU_d8rpny9GY/edit?gid=2142213318#gid=2142213318"",""2025-26!af4"")"),0.0)</f>
        <v>0</v>
      </c>
      <c r="BP177" s="55">
        <f>IFERROR(__xludf.DUMMYFUNCTION("importrange(""https://docs.google.com/spreadsheets/d/17LoMAR6dxztdjtSpt2LOJWL2N-yGdVQHU_d8rpny9GY/edit?gid=2142213318#gid=2142213318"",""2025-26!af3"")"),0.0)</f>
        <v>0</v>
      </c>
      <c r="BQ177" s="59" t="str">
        <f t="shared" si="63"/>
        <v/>
      </c>
      <c r="BR177" s="55">
        <f>IFERROR(__xludf.DUMMYFUNCTION("importrange(""https://docs.google.com/spreadsheets/d/17LoMAR6dxztdjtSpt2LOJWL2N-yGdVQHU_d8rpny9GY/edit?gid=2142213318#gid=2142213318"",""2025-26!ag4"")"),0.0)</f>
        <v>0</v>
      </c>
      <c r="BS177" s="55">
        <f>IFERROR(__xludf.DUMMYFUNCTION("importrange(""https://docs.google.com/spreadsheets/d/17LoMAR6dxztdjtSpt2LOJWL2N-yGdVQHU_d8rpny9GY/edit?gid=2142213318#gid=2142213318"",""2025-26!ag3"")"),0.0)</f>
        <v>0</v>
      </c>
      <c r="BT177" s="55">
        <f>IFERROR(__xludf.DUMMYFUNCTION("importrange(""https://docs.google.com/spreadsheets/d/17LoMAR6dxztdjtSpt2LOJWL2N-yGdVQHU_d8rpny9GY/edit?gid=2142213318#gid=2142213318"",""2025-26!ah4"")"),0.0)</f>
        <v>0</v>
      </c>
      <c r="BU177" s="55">
        <f>IFERROR(__xludf.DUMMYFUNCTION("importrange(""https://docs.google.com/spreadsheets/d/17LoMAR6dxztdjtSpt2LOJWL2N-yGdVQHU_d8rpny9GY/edit?gid=2142213318#gid=2142213318"",""2025-26!ah3"")"),0.0)</f>
        <v>0</v>
      </c>
      <c r="BV177" s="55">
        <f>IFERROR(__xludf.DUMMYFUNCTION("importrange(""https://docs.google.com/spreadsheets/d/17LoMAR6dxztdjtSpt2LOJWL2N-yGdVQHU_d8rpny9GY/edit?gid=2142213318#gid=2142213318"",""2025-26!ai4"")"),0.0)</f>
        <v>0</v>
      </c>
      <c r="BW177" s="55">
        <f>IFERROR(__xludf.DUMMYFUNCTION("importrange(""https://docs.google.com/spreadsheets/d/17LoMAR6dxztdjtSpt2LOJWL2N-yGdVQHU_d8rpny9GY/edit?gid=2142213318#gid=2142213318"",""2025-26!ai3"")"),0.0)</f>
        <v>0</v>
      </c>
      <c r="BX177" s="59" t="str">
        <f t="shared" si="64"/>
        <v/>
      </c>
      <c r="BY177" s="55">
        <f>IFERROR(__xludf.DUMMYFUNCTION("importrange(""https://docs.google.com/spreadsheets/d/17LoMAR6dxztdjtSpt2LOJWL2N-yGdVQHU_d8rpny9GY/edit?gid=2142213318#gid=2142213318"",""2025-26!aj4"")"),0.0)</f>
        <v>0</v>
      </c>
      <c r="BZ177" s="55">
        <f>IFERROR(__xludf.DUMMYFUNCTION("importrange(""https://docs.google.com/spreadsheets/d/17LoMAR6dxztdjtSpt2LOJWL2N-yGdVQHU_d8rpny9GY/edit?gid=2142213318#gid=2142213318"",""2025-26!aj3"")"),0.0)</f>
        <v>0</v>
      </c>
      <c r="CA177" s="55">
        <f>IFERROR(__xludf.DUMMYFUNCTION("importrange(""https://docs.google.com/spreadsheets/d/17LoMAR6dxztdjtSpt2LOJWL2N-yGdVQHU_d8rpny9GY/edit?gid=2142213318#gid=2142213318"",""2025-26!ak4"")"),0.0)</f>
        <v>0</v>
      </c>
      <c r="CB177" s="55">
        <f>IFERROR(__xludf.DUMMYFUNCTION("importrange(""https://docs.google.com/spreadsheets/d/17LoMAR6dxztdjtSpt2LOJWL2N-yGdVQHU_d8rpny9GY/edit?gid=2142213318#gid=2142213318"",""2025-26!ak3"")"),0.0)</f>
        <v>0</v>
      </c>
      <c r="CC177" s="55">
        <f>IFERROR(__xludf.DUMMYFUNCTION("importrange(""https://docs.google.com/spreadsheets/d/17LoMAR6dxztdjtSpt2LOJWL2N-yGdVQHU_d8rpny9GY/edit?gid=2142213318#gid=2142213318"",""2025-26!al4"")"),0.0)</f>
        <v>0</v>
      </c>
      <c r="CD177" s="55">
        <f>IFERROR(__xludf.DUMMYFUNCTION("importrange(""https://docs.google.com/spreadsheets/d/17LoMAR6dxztdjtSpt2LOJWL2N-yGdVQHU_d8rpny9GY/edit?gid=2142213318#gid=2142213318"",""2025-26!ai3"")"),0.0)</f>
        <v>0</v>
      </c>
      <c r="CE177" s="59" t="str">
        <f t="shared" si="65"/>
        <v/>
      </c>
      <c r="CF177" s="55">
        <f>IFERROR(__xludf.DUMMYFUNCTION("importrange(""https://docs.google.com/spreadsheets/d/17LoMAR6dxztdjtSpt2LOJWL2N-yGdVQHU_d8rpny9GY/edit?gid=2142213318#gid=2142213318"",""2025-26!am4"")"),0.0)</f>
        <v>0</v>
      </c>
      <c r="CG177" s="55">
        <f>IFERROR(__xludf.DUMMYFUNCTION("importrange(""https://docs.google.com/spreadsheets/d/17LoMAR6dxztdjtSpt2LOJWL2N-yGdVQHU_d8rpny9GY/edit?gid=2142213318#gid=2142213318"",""2025-26!am3"")"),0.0)</f>
        <v>0</v>
      </c>
      <c r="CH177" s="55">
        <f>IFERROR(__xludf.DUMMYFUNCTION("importrange(""https://docs.google.com/spreadsheets/d/17LoMAR6dxztdjtSpt2LOJWL2N-yGdVQHU_d8rpny9GY/edit?gid=2142213318#gid=2142213318"",""2025-26!an4"")"),0.0)</f>
        <v>0</v>
      </c>
      <c r="CI177" s="55">
        <f>IFERROR(__xludf.DUMMYFUNCTION("importrange(""https://docs.google.com/spreadsheets/d/17LoMAR6dxztdjtSpt2LOJWL2N-yGdVQHU_d8rpny9GY/edit?gid=2142213318#gid=2142213318"",""2025-26!an3"")"),0.0)</f>
        <v>0</v>
      </c>
      <c r="CJ177" s="55">
        <f>IFERROR(__xludf.DUMMYFUNCTION("importrange(""https://docs.google.com/spreadsheets/d/17LoMAR6dxztdjtSpt2LOJWL2N-yGdVQHU_d8rpny9GY/edit?gid=2142213318#gid=2142213318"",""2025-26!ao4"")"),0.0)</f>
        <v>0</v>
      </c>
      <c r="CK177" s="55">
        <f>IFERROR(__xludf.DUMMYFUNCTION("importrange(""https://docs.google.com/spreadsheets/d/17LoMAR6dxztdjtSpt2LOJWL2N-yGdVQHU_d8rpny9GY/edit?gid=2142213318#gid=2142213318"",""2025-26!ao3"")"),0.0)</f>
        <v>0</v>
      </c>
      <c r="CL177" s="59" t="str">
        <f t="shared" si="66"/>
        <v/>
      </c>
      <c r="CM177" s="55">
        <f>IFERROR(__xludf.DUMMYFUNCTION("importrange(""https://docs.google.com/spreadsheets/d/17LoMAR6dxztdjtSpt2LOJWL2N-yGdVQHU_d8rpny9GY/edit?gid=2142213318#gid=2142213318"",""2025-26!ap4"")"),0.0)</f>
        <v>0</v>
      </c>
      <c r="CN177" s="55">
        <f>IFERROR(__xludf.DUMMYFUNCTION("importrange(""https://docs.google.com/spreadsheets/d/17LoMAR6dxztdjtSpt2LOJWL2N-yGdVQHU_d8rpny9GY/edit?gid=2142213318#gid=2142213318"",""2025-26!ap3"")"),0.0)</f>
        <v>0</v>
      </c>
      <c r="CO177" s="55">
        <f>IFERROR(__xludf.DUMMYFUNCTION("importrange(""https://docs.google.com/spreadsheets/d/17LoMAR6dxztdjtSpt2LOJWL2N-yGdVQHU_d8rpny9GY/edit?gid=2142213318#gid=2142213318"",""2025-26!aq4"")"),0.0)</f>
        <v>0</v>
      </c>
      <c r="CP177" s="55">
        <f>IFERROR(__xludf.DUMMYFUNCTION("importrange(""https://docs.google.com/spreadsheets/d/17LoMAR6dxztdjtSpt2LOJWL2N-yGdVQHU_d8rpny9GY/edit?gid=2142213318#gid=2142213318"",""2025-26!aq3"")"),0.0)</f>
        <v>0</v>
      </c>
      <c r="CQ177" s="55">
        <f>IFERROR(__xludf.DUMMYFUNCTION("importrange(""https://docs.google.com/spreadsheets/d/17LoMAR6dxztdjtSpt2LOJWL2N-yGdVQHU_d8rpny9GY/edit?gid=2142213318#gid=2142213318"",""2025-26!ar4"")"),0.0)</f>
        <v>0</v>
      </c>
      <c r="CR177" s="55">
        <f>IFERROR(__xludf.DUMMYFUNCTION("importrange(""https://docs.google.com/spreadsheets/d/17LoMAR6dxztdjtSpt2LOJWL2N-yGdVQHU_d8rpny9GY/edit?gid=2142213318#gid=2142213318"",""2025-26!ar3"")"),0.0)</f>
        <v>0</v>
      </c>
      <c r="CS177" s="59" t="str">
        <f t="shared" si="67"/>
        <v/>
      </c>
      <c r="CT177" s="55">
        <f>IFERROR(__xludf.DUMMYFUNCTION("importrange(""https://docs.google.com/spreadsheets/d/17LoMAR6dxztdjtSpt2LOJWL2N-yGdVQHU_d8rpny9GY/edit?gid=2142213318#gid=2142213318"",""2025-26!as4"")"),0.0)</f>
        <v>0</v>
      </c>
      <c r="CU177" s="55">
        <f>IFERROR(__xludf.DUMMYFUNCTION("importrange(""https://docs.google.com/spreadsheets/d/17LoMAR6dxztdjtSpt2LOJWL2N-yGdVQHU_d8rpny9GY/edit?gid=2142213318#gid=2142213318"",""2025-26!as3"")"),0.0)</f>
        <v>0</v>
      </c>
      <c r="CV177" s="60" t="s">
        <v>56</v>
      </c>
    </row>
    <row r="178">
      <c r="A178" s="133" t="s">
        <v>53</v>
      </c>
      <c r="B178" s="134" t="s">
        <v>53</v>
      </c>
      <c r="C178" s="132" t="s">
        <v>367</v>
      </c>
      <c r="D178" s="65" t="s">
        <v>368</v>
      </c>
      <c r="E178" s="68">
        <v>9.996148998E9</v>
      </c>
      <c r="F178" s="66">
        <v>45845.0</v>
      </c>
      <c r="G178" s="62"/>
      <c r="H178" s="62"/>
      <c r="I178" s="53">
        <f>VLOOKUP($C178,Data!$C:$BV,34,0)</f>
        <v>37760</v>
      </c>
      <c r="J178" s="54"/>
      <c r="K178" s="55">
        <f>IFERROR(__xludf.DUMMYFUNCTION("IMPORTRANGE(""1WztaRAlTNDZHaHPIOQ-rgaj8VjFGeOm0ghzedrWNPUs"",""2025-26!A3"")"),4.0)</f>
        <v>4</v>
      </c>
      <c r="L178" s="55">
        <f>IFERROR(__xludf.DUMMYFUNCTION("IMPORTRANGE(""1WztaRAlTNDZHaHPIOQ-rgaj8VjFGeOm0ghzedrWNPUs"",""2025-26!G4"")"),0.0)</f>
        <v>0</v>
      </c>
      <c r="M178" s="55">
        <f>R178+Y178+AF178+AM178+AT178+BA178+BH178+BO178+BV178+CC178+CJ178+CQ178</f>
        <v>0</v>
      </c>
      <c r="N178" s="56" t="str">
        <f>O178/L178</f>
        <v>#DIV/0!</v>
      </c>
      <c r="O178" s="57">
        <f>U178+AB178+AI178+AP178+AW178+BD178+BK178+BR178+BY178+CF178+CM178+CT178</f>
        <v>0</v>
      </c>
      <c r="P178" s="55">
        <f>IFERROR(__xludf.DUMMYFUNCTION("IMPORTRANGE(""1WztaRAlTNDZHaHPIOQ-rgaj8VjFGeOm0ghzedrWNPUs"",""2025-26!J4"")"),0.0)</f>
        <v>0</v>
      </c>
      <c r="Q178" s="55">
        <f>IFERROR(__xludf.DUMMYFUNCTION("IMPORTRANGE(""1WztaRAlTNDZHaHPIOQ-rgaj8VjFGeOm0ghzedrWNPUs"",""2025-26!J3"")"),0.0)</f>
        <v>0</v>
      </c>
      <c r="R178" s="55">
        <f>IFERROR(__xludf.DUMMYFUNCTION("IMPORTRANGE(""1WztaRAlTNDZHaHPIOQ-rgaj8VjFGeOm0ghzedrWNPUs"",""2025-26!K4"")"),0.0)</f>
        <v>0</v>
      </c>
      <c r="S178" s="55">
        <f>IFERROR(__xludf.DUMMYFUNCTION("IMPORTRANGE(""1WztaRAlTNDZHaHPIOQ-rgaj8VjFGeOm0ghzedrWNPUs"",""2025-26!K3"")"),0.0)</f>
        <v>0</v>
      </c>
      <c r="T178" s="58" t="str">
        <f t="shared" si="56"/>
        <v/>
      </c>
      <c r="U178" s="55">
        <f>IFERROR(__xludf.DUMMYFUNCTION("IMPORTRANGE(""1WztaRAlTNDZHaHPIOQ-rgaj8VjFGeOm0ghzedrWNPUs"",""2025-26!L4"")"),0.0)</f>
        <v>0</v>
      </c>
      <c r="V178" s="55">
        <f>IFERROR(__xludf.DUMMYFUNCTION("IMPORTRANGE(""1WztaRAlTNDZHaHPIOQ-rgaj8VjFGeOm0ghzedrWNPUs"",""2025-26!L3"")"),0.0)</f>
        <v>0</v>
      </c>
      <c r="W178" s="55">
        <f>IFERROR(__xludf.DUMMYFUNCTION("IMPORTRANGE(""1WztaRAlTNDZHaHPIOQ-rgaj8VjFGeOm0ghzedrWNPUs"",""2025-26!m4"")"),0.0)</f>
        <v>0</v>
      </c>
      <c r="X178" s="55">
        <f>IFERROR(__xludf.DUMMYFUNCTION("IMPORTRANGE(""1WztaRAlTNDZHaHPIOQ-rgaj8VjFGeOm0ghzedrWNPUs"",""2025-26!m3"")"),0.0)</f>
        <v>0</v>
      </c>
      <c r="Y178" s="55">
        <f>IFERROR(__xludf.DUMMYFUNCTION("IMPORTRANGE(""1WztaRAlTNDZHaHPIOQ-rgaj8VjFGeOm0ghzedrWNPUs"",""2025-26!N4"")"),0.0)</f>
        <v>0</v>
      </c>
      <c r="Z178" s="55">
        <f>IFERROR(__xludf.DUMMYFUNCTION("IMPORTRANGE(""1WztaRAlTNDZHaHPIOQ-rgaj8VjFGeOm0ghzedrWNPUs"",""2025-26!N3"")"),0.0)</f>
        <v>0</v>
      </c>
      <c r="AA178" s="58" t="str">
        <f t="shared" si="57"/>
        <v/>
      </c>
      <c r="AB178" s="55">
        <f>IFERROR(__xludf.DUMMYFUNCTION("IMPORTRANGE(""1WztaRAlTNDZHaHPIOQ-rgaj8VjFGeOm0ghzedrWNPUs"",""2025-26!O4"")"),0.0)</f>
        <v>0</v>
      </c>
      <c r="AC178" s="55">
        <f>IFERROR(__xludf.DUMMYFUNCTION("IMPORTRANGE(""1WztaRAlTNDZHaHPIOQ-rgaj8VjFGeOm0ghzedrWNPUs"",""2025-26!O3"")"),0.0)</f>
        <v>0</v>
      </c>
      <c r="AD178" s="55">
        <f>IFERROR(__xludf.DUMMYFUNCTION("IMPORTRANGE(""1WztaRAlTNDZHaHPIOQ-rgaj8VjFGeOm0ghzedrWNPUs"",""2025-26!P4"")"),0.0)</f>
        <v>0</v>
      </c>
      <c r="AE178" s="55">
        <f>IFERROR(__xludf.DUMMYFUNCTION("IMPORTRANGE(""1WztaRAlTNDZHaHPIOQ-rgaj8VjFGeOm0ghzedrWNPUs"",""2025-26!P3"")"),0.0)</f>
        <v>0</v>
      </c>
      <c r="AF178" s="55">
        <f>IFERROR(__xludf.DUMMYFUNCTION("IMPORTRANGE(""1WztaRAlTNDZHaHPIOQ-rgaj8VjFGeOm0ghzedrWNPUs"",""2025-26!Q4"")"),0.0)</f>
        <v>0</v>
      </c>
      <c r="AG178" s="55">
        <f>IFERROR(__xludf.DUMMYFUNCTION("IMPORTRANGE(""1WztaRAlTNDZHaHPIOQ-rgaj8VjFGeOm0ghzedrWNPUs"",""2025-26!Q3"")"),0.0)</f>
        <v>0</v>
      </c>
      <c r="AH178" s="58" t="str">
        <f t="shared" si="58"/>
        <v/>
      </c>
      <c r="AI178" s="55">
        <f>IFERROR(__xludf.DUMMYFUNCTION("IMPORTRANGE(""1WztaRAlTNDZHaHPIOQ-rgaj8VjFGeOm0ghzedrWNPUs"",""2025-26!R4"")"),0.0)</f>
        <v>0</v>
      </c>
      <c r="AJ178" s="55">
        <f>IFERROR(__xludf.DUMMYFUNCTION("IMPORTRANGE(""1WztaRAlTNDZHaHPIOQ-rgaj8VjFGeOm0ghzedrWNPUs"",""2025-26!R3"")"),0.0)</f>
        <v>0</v>
      </c>
      <c r="AK178" s="55">
        <f>IFERROR(__xludf.DUMMYFUNCTION("IMPORTRANGE(""1WztaRAlTNDZHaHPIOQ-rgaj8VjFGeOm0ghzedrWNPUs"",""2025-26!S4"")"),0.0)</f>
        <v>0</v>
      </c>
      <c r="AL178" s="55">
        <f>IFERROR(__xludf.DUMMYFUNCTION("IMPORTRANGE(""1WztaRAlTNDZHaHPIOQ-rgaj8VjFGeOm0ghzedrWNPUs"",""2025-26!S3"")"),0.0)</f>
        <v>0</v>
      </c>
      <c r="AM178" s="55">
        <f>IFERROR(__xludf.DUMMYFUNCTION("IMPORTRANGE(""1WztaRAlTNDZHaHPIOQ-rgaj8VjFGeOm0ghzedrWNPUs"",""2025-26!T4"")"),0.0)</f>
        <v>0</v>
      </c>
      <c r="AN178" s="55">
        <f>IFERROR(__xludf.DUMMYFUNCTION("IMPORTRANGE(""1WztaRAlTNDZHaHPIOQ-rgaj8VjFGeOm0ghzedrWNPUs"",""2025-26!T3"")"),0.0)</f>
        <v>0</v>
      </c>
      <c r="AO178" s="58" t="str">
        <f t="shared" si="59"/>
        <v/>
      </c>
      <c r="AP178" s="55">
        <f>IFERROR(__xludf.DUMMYFUNCTION("IMPORTRANGE(""1WztaRAlTNDZHaHPIOQ-rgaj8VjFGeOm0ghzedrWNPUs"",""2025-26!U4"")"),0.0)</f>
        <v>0</v>
      </c>
      <c r="AQ178" s="55">
        <f>IFERROR(__xludf.DUMMYFUNCTION("IMPORTRANGE(""1WztaRAlTNDZHaHPIOQ-rgaj8VjFGeOm0ghzedrWNPUs"",""2025-26!U3"")"),0.0)</f>
        <v>0</v>
      </c>
      <c r="AR178" s="55">
        <f>IFERROR(__xludf.DUMMYFUNCTION("IMPORTRANGE(""1WztaRAlTNDZHaHPIOQ-rgaj8VjFGeOm0ghzedrWNPUs"",""2025-26!V4"")"),0.0)</f>
        <v>0</v>
      </c>
      <c r="AS178" s="55">
        <f>IFERROR(__xludf.DUMMYFUNCTION("IMPORTRANGE(""1WztaRAlTNDZHaHPIOQ-rgaj8VjFGeOm0ghzedrWNPUs"",""2025-26!V3"")"),0.0)</f>
        <v>0</v>
      </c>
      <c r="AT178" s="55">
        <f>IFERROR(__xludf.DUMMYFUNCTION("IMPORTRANGE(""1WztaRAlTNDZHaHPIOQ-rgaj8VjFGeOm0ghzedrWNPUs"",""2025-26!W4"")"),0.0)</f>
        <v>0</v>
      </c>
      <c r="AU178" s="55">
        <f>IFERROR(__xludf.DUMMYFUNCTION("IMPORTRANGE(""1WztaRAlTNDZHaHPIOQ-rgaj8VjFGeOm0ghzedrWNPUs"",""2025-26!W3"")"),0.0)</f>
        <v>0</v>
      </c>
      <c r="AV178" s="58" t="str">
        <f t="shared" si="60"/>
        <v/>
      </c>
      <c r="AW178" s="55">
        <f>IFERROR(__xludf.DUMMYFUNCTION("IMPORTRANGE(""1WztaRAlTNDZHaHPIOQ-rgaj8VjFGeOm0ghzedrWNPUs"",""2025-26!X4"")"),0.0)</f>
        <v>0</v>
      </c>
      <c r="AX178" s="55">
        <f>IFERROR(__xludf.DUMMYFUNCTION("IMPORTRANGE(""1WztaRAlTNDZHaHPIOQ-rgaj8VjFGeOm0ghzedrWNPUs"",""2025-26!X3"")"),0.0)</f>
        <v>0</v>
      </c>
      <c r="AY178" s="55">
        <f>IFERROR(__xludf.DUMMYFUNCTION("IMPORTRANGE(""1WztaRAlTNDZHaHPIOQ-rgaj8VjFGeOm0ghzedrWNPUs"",""2025-26!Y4"")"),0.0)</f>
        <v>0</v>
      </c>
      <c r="AZ178" s="55">
        <f>IFERROR(__xludf.DUMMYFUNCTION("IMPORTRANGE(""1WztaRAlTNDZHaHPIOQ-rgaj8VjFGeOm0ghzedrWNPUs"",""2025-26!Y3"")"),0.0)</f>
        <v>0</v>
      </c>
      <c r="BA178" s="55">
        <f>IFERROR(__xludf.DUMMYFUNCTION("IMPORTRANGE(""1WztaRAlTNDZHaHPIOQ-rgaj8VjFGeOm0ghzedrWNPUs"",""2025-26!Z4"")"),0.0)</f>
        <v>0</v>
      </c>
      <c r="BB178" s="55">
        <f>IFERROR(__xludf.DUMMYFUNCTION("IMPORTRANGE(""1WztaRAlTNDZHaHPIOQ-rgaj8VjFGeOm0ghzedrWNPUs"",""2025-26!Z3"")"),0.0)</f>
        <v>0</v>
      </c>
      <c r="BC178" s="59" t="str">
        <f t="shared" si="61"/>
        <v/>
      </c>
      <c r="BD178" s="55">
        <f>IFERROR(__xludf.DUMMYFUNCTION("IMPORTRANGE(""1WztaRAlTNDZHaHPIOQ-rgaj8VjFGeOm0ghzedrWNPUs"",""2025-26!AA4"")"),0.0)</f>
        <v>0</v>
      </c>
      <c r="BE178" s="55">
        <f>IFERROR(__xludf.DUMMYFUNCTION("IMPORTRANGE(""1WztaRAlTNDZHaHPIOQ-rgaj8VjFGeOm0ghzedrWNPUs"",""2025-26!AA3"")"),0.0)</f>
        <v>0</v>
      </c>
      <c r="BF178" s="55">
        <f>IFERROR(__xludf.DUMMYFUNCTION("IMPORTRANGE(""1WztaRAlTNDZHaHPIOQ-rgaj8VjFGeOm0ghzedrWNPUs"",""2025-26!AB4"")"),0.0)</f>
        <v>0</v>
      </c>
      <c r="BG178" s="55">
        <f>IFERROR(__xludf.DUMMYFUNCTION("IMPORTRANGE(""1WztaRAlTNDZHaHPIOQ-rgaj8VjFGeOm0ghzedrWNPUs"",""2025-26!AB3"")"),0.0)</f>
        <v>0</v>
      </c>
      <c r="BH178" s="55">
        <f>IFERROR(__xludf.DUMMYFUNCTION("IMPORTRANGE(""1WztaRAlTNDZHaHPIOQ-rgaj8VjFGeOm0ghzedrWNPUs"",""2025-26!AC4"")"),0.0)</f>
        <v>0</v>
      </c>
      <c r="BI178" s="55">
        <f>IFERROR(__xludf.DUMMYFUNCTION("IMPORTRANGE(""1WztaRAlTNDZHaHPIOQ-rgaj8VjFGeOm0ghzedrWNPUs"",""2025-26!AC3"")"),0.0)</f>
        <v>0</v>
      </c>
      <c r="BJ178" s="59" t="str">
        <f t="shared" si="62"/>
        <v/>
      </c>
      <c r="BK178" s="55">
        <f>IFERROR(__xludf.DUMMYFUNCTION("IMPORTRANGE(""1WztaRAlTNDZHaHPIOQ-rgaj8VjFGeOm0ghzedrWNPUs"",""2025-26!AD4"")"),0.0)</f>
        <v>0</v>
      </c>
      <c r="BL178" s="55">
        <f>IFERROR(__xludf.DUMMYFUNCTION("IMPORTRANGE(""1WztaRAlTNDZHaHPIOQ-rgaj8VjFGeOm0ghzedrWNPUs"",""2025-26!AD3"")"),0.0)</f>
        <v>0</v>
      </c>
      <c r="BM178" s="55">
        <f>IFERROR(__xludf.DUMMYFUNCTION("IMPORTRANGE(""1WztaRAlTNDZHaHPIOQ-rgaj8VjFGeOm0ghzedrWNPUs"",""2025-26!AE4"")"),0.0)</f>
        <v>0</v>
      </c>
      <c r="BN178" s="55">
        <f>IFERROR(__xludf.DUMMYFUNCTION("IMPORTRANGE(""1WztaRAlTNDZHaHPIOQ-rgaj8VjFGeOm0ghzedrWNPUs"",""2025-26!AE3"")"),0.0)</f>
        <v>0</v>
      </c>
      <c r="BO178" s="55">
        <f>IFERROR(__xludf.DUMMYFUNCTION("IMPORTRANGE(""1WztaRAlTNDZHaHPIOQ-rgaj8VjFGeOm0ghzedrWNPUs"",""2025-26!AF4"")"),0.0)</f>
        <v>0</v>
      </c>
      <c r="BP178" s="55">
        <f>IFERROR(__xludf.DUMMYFUNCTION("IMPORTRANGE(""1WztaRAlTNDZHaHPIOQ-rgaj8VjFGeOm0ghzedrWNPUs"",""2025-26!AF3"")"),0.0)</f>
        <v>0</v>
      </c>
      <c r="BQ178" s="59" t="str">
        <f t="shared" si="63"/>
        <v/>
      </c>
      <c r="BR178" s="55">
        <f>IFERROR(__xludf.DUMMYFUNCTION("IMPORTRANGE(""1WztaRAlTNDZHaHPIOQ-rgaj8VjFGeOm0ghzedrWNPUs"",""2025-26!AG4"")"),0.0)</f>
        <v>0</v>
      </c>
      <c r="BS178" s="55">
        <f>IFERROR(__xludf.DUMMYFUNCTION("IMPORTRANGE(""1WztaRAlTNDZHaHPIOQ-rgaj8VjFGeOm0ghzedrWNPUs"",""2025-26!AG3"")"),0.0)</f>
        <v>0</v>
      </c>
      <c r="BT178" s="55">
        <f>IFERROR(__xludf.DUMMYFUNCTION("IMPORTRANGE(""1WztaRAlTNDZHaHPIOQ-rgaj8VjFGeOm0ghzedrWNPUs"",""2025-26!AH4"")"),0.0)</f>
        <v>0</v>
      </c>
      <c r="BU178" s="55">
        <f>IFERROR(__xludf.DUMMYFUNCTION("IMPORTRANGE(""1WztaRAlTNDZHaHPIOQ-rgaj8VjFGeOm0ghzedrWNPUs"",""2025-26!AH3"")"),0.0)</f>
        <v>0</v>
      </c>
      <c r="BV178" s="55">
        <f>IFERROR(__xludf.DUMMYFUNCTION("IMPORTRANGE(""1WztaRAlTNDZHaHPIOQ-rgaj8VjFGeOm0ghzedrWNPUs"",""2025-26!AI4"")"),0.0)</f>
        <v>0</v>
      </c>
      <c r="BW178" s="55">
        <f>IFERROR(__xludf.DUMMYFUNCTION("IMPORTRANGE(""1WztaRAlTNDZHaHPIOQ-rgaj8VjFGeOm0ghzedrWNPUs"",""2025-26!AI3"")"),0.0)</f>
        <v>0</v>
      </c>
      <c r="BX178" s="59" t="str">
        <f t="shared" si="64"/>
        <v/>
      </c>
      <c r="BY178" s="55">
        <f>IFERROR(__xludf.DUMMYFUNCTION("IMPORTRANGE(""1WztaRAlTNDZHaHPIOQ-rgaj8VjFGeOm0ghzedrWNPUs"",""2025-26!AJ4"")"),0.0)</f>
        <v>0</v>
      </c>
      <c r="BZ178" s="55">
        <f>IFERROR(__xludf.DUMMYFUNCTION("IMPORTRANGE(""1WztaRAlTNDZHaHPIOQ-rgaj8VjFGeOm0ghzedrWNPUs"",""2025-26!AJ3"")"),0.0)</f>
        <v>0</v>
      </c>
      <c r="CA178" s="55">
        <f>IFERROR(__xludf.DUMMYFUNCTION("IMPORTRANGE(""1WztaRAlTNDZHaHPIOQ-rgaj8VjFGeOm0ghzedrWNPUs"",""2025-26!AK4"")"),0.0)</f>
        <v>0</v>
      </c>
      <c r="CB178" s="55">
        <f>IFERROR(__xludf.DUMMYFUNCTION("IMPORTRANGE(""1WztaRAlTNDZHaHPIOQ-rgaj8VjFGeOm0ghzedrWNPUs"",""2025-26!AK3"")"),0.0)</f>
        <v>0</v>
      </c>
      <c r="CC178" s="55">
        <f>IFERROR(__xludf.DUMMYFUNCTION("IMPORTRANGE(""1WztaRAlTNDZHaHPIOQ-rgaj8VjFGeOm0ghzedrWNPUs"",""2025-26!AL4"")"),0.0)</f>
        <v>0</v>
      </c>
      <c r="CD178" s="55">
        <f>IFERROR(__xludf.DUMMYFUNCTION("IMPORTRANGE(""1WztaRAlTNDZHaHPIOQ-rgaj8VjFGeOm0ghzedrWNPUs"",""2025-26!AL3"")"),0.0)</f>
        <v>0</v>
      </c>
      <c r="CE178" s="59" t="str">
        <f t="shared" si="65"/>
        <v/>
      </c>
      <c r="CF178" s="55">
        <f>IFERROR(__xludf.DUMMYFUNCTION("IMPORTRANGE(""1WztaRAlTNDZHaHPIOQ-rgaj8VjFGeOm0ghzedrWNPUs"",""2025-26!AM4"")"),0.0)</f>
        <v>0</v>
      </c>
      <c r="CG178" s="55">
        <f>IFERROR(__xludf.DUMMYFUNCTION("IMPORTRANGE(""1WztaRAlTNDZHaHPIOQ-rgaj8VjFGeOm0ghzedrWNPUs"",""2025-26!AM3"")"),0.0)</f>
        <v>0</v>
      </c>
      <c r="CH178" s="55">
        <f>IFERROR(__xludf.DUMMYFUNCTION("IMPORTRANGE(""1WztaRAlTNDZHaHPIOQ-rgaj8VjFGeOm0ghzedrWNPUs"",""2025-26!AN4"")"),0.0)</f>
        <v>0</v>
      </c>
      <c r="CI178" s="55">
        <f>IFERROR(__xludf.DUMMYFUNCTION("IMPORTRANGE(""1WztaRAlTNDZHaHPIOQ-rgaj8VjFGeOm0ghzedrWNPUs"",""2025-26!AN3"")"),0.0)</f>
        <v>0</v>
      </c>
      <c r="CJ178" s="55">
        <f>IFERROR(__xludf.DUMMYFUNCTION("IMPORTRANGE(""1WztaRAlTNDZHaHPIOQ-rgaj8VjFGeOm0ghzedrWNPUs"",""2025-26!AO4"")"),0.0)</f>
        <v>0</v>
      </c>
      <c r="CK178" s="55">
        <f>IFERROR(__xludf.DUMMYFUNCTION("IMPORTRANGE(""1WztaRAlTNDZHaHPIOQ-rgaj8VjFGeOm0ghzedrWNPUs"",""2025-26!AO3"")"),0.0)</f>
        <v>0</v>
      </c>
      <c r="CL178" s="59" t="str">
        <f t="shared" si="66"/>
        <v/>
      </c>
      <c r="CM178" s="55">
        <f>IFERROR(__xludf.DUMMYFUNCTION("IMPORTRANGE(""1WztaRAlTNDZHaHPIOQ-rgaj8VjFGeOm0ghzedrWNPUs"",""2025-26!AP4"")"),0.0)</f>
        <v>0</v>
      </c>
      <c r="CN178" s="55">
        <f>IFERROR(__xludf.DUMMYFUNCTION("IMPORTRANGE(""1WztaRAlTNDZHaHPIOQ-rgaj8VjFGeOm0ghzedrWNPUs"",""2025-26!AP3"")"),0.0)</f>
        <v>0</v>
      </c>
      <c r="CO178" s="55">
        <f>IFERROR(__xludf.DUMMYFUNCTION("IMPORTRANGE(""1WztaRAlTNDZHaHPIOQ-rgaj8VjFGeOm0ghzedrWNPUs"",""2025-26!AQ4"")"),0.0)</f>
        <v>0</v>
      </c>
      <c r="CP178" s="55">
        <f>IFERROR(__xludf.DUMMYFUNCTION("IMPORTRANGE(""1WztaRAlTNDZHaHPIOQ-rgaj8VjFGeOm0ghzedrWNPUs"",""2025-26!AQ3"")"),0.0)</f>
        <v>0</v>
      </c>
      <c r="CQ178" s="55">
        <f>IFERROR(__xludf.DUMMYFUNCTION("IMPORTRANGE(""1WztaRAlTNDZHaHPIOQ-rgaj8VjFGeOm0ghzedrWNPUs"",""2025-26!AR4"")"),0.0)</f>
        <v>0</v>
      </c>
      <c r="CR178" s="55">
        <f>IFERROR(__xludf.DUMMYFUNCTION("IMPORTRANGE(""1WztaRAlTNDZHaHPIOQ-rgaj8VjFGeOm0ghzedrWNPUs"",""2025-26!AR3"")"),0.0)</f>
        <v>0</v>
      </c>
      <c r="CS178" s="59" t="str">
        <f t="shared" si="67"/>
        <v/>
      </c>
      <c r="CT178" s="55">
        <f>IFERROR(__xludf.DUMMYFUNCTION("IMPORTRANGE(""1WztaRAlTNDZHaHPIOQ-rgaj8VjFGeOm0ghzedrWNPUs"",""2025-26!AS4"")"),0.0)</f>
        <v>0</v>
      </c>
      <c r="CU178" s="55">
        <f>IFERROR(__xludf.DUMMYFUNCTION("IMPORTRANGE(""1WztaRAlTNDZHaHPIOQ-rgaj8VjFGeOm0ghzedrWNPUs"",""2025-26!AS3"")"),0.0)</f>
        <v>0</v>
      </c>
      <c r="CV178" s="60" t="s">
        <v>61</v>
      </c>
    </row>
    <row r="179">
      <c r="A179" s="84" t="s">
        <v>53</v>
      </c>
      <c r="B179" s="134" t="s">
        <v>53</v>
      </c>
      <c r="C179" s="136" t="s">
        <v>369</v>
      </c>
      <c r="D179" s="50" t="s">
        <v>370</v>
      </c>
      <c r="E179" s="50">
        <v>7.231855427E9</v>
      </c>
      <c r="F179" s="144">
        <v>45464.0</v>
      </c>
      <c r="G179" s="62"/>
      <c r="H179" s="62"/>
      <c r="I179" s="53">
        <v>38285.0</v>
      </c>
      <c r="J179" s="54">
        <v>1500000.0</v>
      </c>
      <c r="K179" s="57">
        <f>IFERROR(__xludf.DUMMYFUNCTION("IMPORTRANGE(""https://docs.google.com/spreadsheets/d/1jrOJVTcSm52FfzM51kTQNwIVzGkVralTGFdAWaRfSWs/edit?gid=1777742402#gid=1777742402"",""2025-26!A3"")"),34.0)</f>
        <v>34</v>
      </c>
      <c r="L179" s="57">
        <f>IFERROR(__xludf.DUMMYFUNCTION("IMPORTRANGE(""https://docs.google.com/spreadsheets/d/1jrOJVTcSm52FfzM51kTQNwIVzGkVralTGFdAWaRfSWs/edit?gid=1777742402#gid=1777742402"",""2025-26!G4"")"),1.50485E7)</f>
        <v>15048500</v>
      </c>
      <c r="M179" s="57">
        <f t="shared" ref="M179:M180" si="75">SUM(R179+Y179+AF179+AM179+AT179+BA179+BH179+BO179+BV179+CC179+CJ179+CQ179)</f>
        <v>462446.7</v>
      </c>
      <c r="N179" s="56">
        <f t="shared" ref="N179:N180" si="76">iferror(O179/L179,"")</f>
        <v>0.0613948234</v>
      </c>
      <c r="O179" s="57">
        <f t="shared" ref="O179:O180" si="77">SUM(U179,AB179,AI179,AP179,AW179,BD179,BK179,BR179,BY179,CF179,CM179,CT179)</f>
        <v>923900</v>
      </c>
      <c r="P179" s="55">
        <f>IFERROR(__xludf.DUMMYFUNCTION("IMPORTRANGE(""https://docs.google.com/spreadsheets/d/1jrOJVTcSm52FfzM51kTQNwIVzGkVralTGFdAWaRfSWs/edit?gid=1777742402#gid=1777742402"",""2025-26!J4"")"),675000.0)</f>
        <v>675000</v>
      </c>
      <c r="Q179" s="55">
        <f>IFERROR(__xludf.DUMMYFUNCTION("IMPORTRANGE(""https://docs.google.com/spreadsheets/d/1jrOJVTcSm52FfzM51kTQNwIVzGkVralTGFdAWaRfSWs/edit?gid=1777742402#gid=1777742402"",""2025-26!J3"")"),29.0)</f>
        <v>29</v>
      </c>
      <c r="R179" s="55">
        <f>IFERROR(__xludf.DUMMYFUNCTION("IMPORTRANGE(""https://docs.google.com/spreadsheets/d/1jrOJVTcSm52FfzM51kTQNwIVzGkVralTGFdAWaRfSWs/edit?gid=1777742402#gid=1777742402"",""2025-26!K4"")"),0.0)</f>
        <v>0</v>
      </c>
      <c r="S179" s="55">
        <f>IFERROR(__xludf.DUMMYFUNCTION("IMPORTRANGE(""https://docs.google.com/spreadsheets/d/1jrOJVTcSm52FfzM51kTQNwIVzGkVralTGFdAWaRfSWs/edit?gid=1777742402#gid=1777742402"",""2025-26!K3"")"),0.0)</f>
        <v>0</v>
      </c>
      <c r="T179" s="58">
        <f t="shared" si="56"/>
        <v>1.139703704</v>
      </c>
      <c r="U179" s="55">
        <f>IFERROR(__xludf.DUMMYFUNCTION("IMPORTRANGE(""https://docs.google.com/spreadsheets/d/1jrOJVTcSm52FfzM51kTQNwIVzGkVralTGFdAWaRfSWs/edit?gid=1777742402#gid=1777742402"",""2025-26!L4"")"),769300.0)</f>
        <v>769300</v>
      </c>
      <c r="V179" s="79">
        <f>IFERROR(__xludf.DUMMYFUNCTION("IMPORTRANGE(""https://docs.google.com/spreadsheets/d/1jrOJVTcSm52FfzM51kTQNwIVzGkVralTGFdAWaRfSWs/edit?gid=1777742402#gid=1777742402"",""2025-26!L3"")"),7.0)</f>
        <v>7</v>
      </c>
      <c r="W179" s="55">
        <f>IFERROR(__xludf.DUMMYFUNCTION("IMPORTRANGE(""https://docs.google.com/spreadsheets/d/1jrOJVTcSm52FfzM51kTQNwIVzGkVralTGFdAWaRfSWs/edit?gid=1777742402#gid=1777742402"",""2025-26!M4"")"),1161000.0)</f>
        <v>1161000</v>
      </c>
      <c r="X179" s="79">
        <f>IFERROR(__xludf.DUMMYFUNCTION("IMPORTRANGE(""https://docs.google.com/spreadsheets/d/1jrOJVTcSm52FfzM51kTQNwIVzGkVralTGFdAWaRfSWs/edit?gid=1777742402#gid=1777742402"",""2025-26!M3"")"),29.0)</f>
        <v>29</v>
      </c>
      <c r="Y179" s="55">
        <f>IFERROR(__xludf.DUMMYFUNCTION("importrange(""https://docs.google.com/spreadsheets/d/1jrOJVTcSm52FfzM51kTQNwIVzGkVralTGFdAWaRfSWs/edit?gid=1777742402#gid=1777742402"",""2025-26!n4"")"),418114.8)</f>
        <v>418114.8</v>
      </c>
      <c r="Z179" s="55">
        <f>IFERROR(__xludf.DUMMYFUNCTION("importrange(""https://docs.google.com/spreadsheets/d/1jrOJVTcSm52FfzM51kTQNwIVzGkVralTGFdAWaRfSWs/edit?gid=1777742402#gid=1777742402"",""2025-26!n3"")"),8.0)</f>
        <v>8</v>
      </c>
      <c r="AA179" s="58">
        <f t="shared" si="57"/>
        <v>0.133161068</v>
      </c>
      <c r="AB179" s="55">
        <f>IFERROR(__xludf.DUMMYFUNCTION("importrange(""https://docs.google.com/spreadsheets/d/1jrOJVTcSm52FfzM51kTQNwIVzGkVralTGFdAWaRfSWs/edit?gid=1777742402#gid=1777742402"",""2025-26!o4"")"),154600.0)</f>
        <v>154600</v>
      </c>
      <c r="AC179" s="55">
        <f>IFERROR(__xludf.DUMMYFUNCTION("importrange(""https://docs.google.com/spreadsheets/d/1jrOJVTcSm52FfzM51kTQNwIVzGkVralTGFdAWaRfSWs/edit?gid=1777742402#gid=1777742402"",""2025-26!o3"")"),4.0)</f>
        <v>4</v>
      </c>
      <c r="AD179" s="55">
        <f>IFERROR(__xludf.DUMMYFUNCTION("importrange(""https://docs.google.com/spreadsheets/d/1jrOJVTcSm52FfzM51kTQNwIVzGkVralTGFdAWaRfSWs/edit?gid=1777742402#gid=1777742402"",""2025-26!p4"")"),1399000.0)</f>
        <v>1399000</v>
      </c>
      <c r="AE179" s="55">
        <f>IFERROR(__xludf.DUMMYFUNCTION("importrange(""https://docs.google.com/spreadsheets/d/1jrOJVTcSm52FfzM51kTQNwIVzGkVralTGFdAWaRfSWs/edit?gid=1777742402#gid=1777742402"",""2025-26!p3"")"),29.0)</f>
        <v>29</v>
      </c>
      <c r="AF179" s="55">
        <f>IFERROR(__xludf.DUMMYFUNCTION("importrange(""https://docs.google.com/spreadsheets/d/1jrOJVTcSm52FfzM51kTQNwIVzGkVralTGFdAWaRfSWs/edit?gid=1777742402#gid=1777742402"",""2025-26!q4"")"),44331.9)</f>
        <v>44331.9</v>
      </c>
      <c r="AG179" s="55">
        <f>IFERROR(__xludf.DUMMYFUNCTION("importrange(""https://docs.google.com/spreadsheets/d/1jrOJVTcSm52FfzM51kTQNwIVzGkVralTGFdAWaRfSWs/edit?gid=1777742402#gid=1777742402"",""2025-26!q3"")"),2.0)</f>
        <v>2</v>
      </c>
      <c r="AH179" s="58">
        <f t="shared" si="58"/>
        <v>0</v>
      </c>
      <c r="AI179" s="55">
        <f>IFERROR(__xludf.DUMMYFUNCTION("importrange(""https://docs.google.com/spreadsheets/d/1jrOJVTcSm52FfzM51kTQNwIVzGkVralTGFdAWaRfSWs/edit?gid=1777742402#gid=1777742402"",""2025-26!r4"")"),0.0)</f>
        <v>0</v>
      </c>
      <c r="AJ179" s="55">
        <f>IFERROR(__xludf.DUMMYFUNCTION("importrange(""https://docs.google.com/spreadsheets/d/1jrOJVTcSm52FfzM51kTQNwIVzGkVralTGFdAWaRfSWs/edit?gid=1777742402#gid=1777742402"",""2025-26!r3"")"),0.0)</f>
        <v>0</v>
      </c>
      <c r="AK179" s="55">
        <f>IFERROR(__xludf.DUMMYFUNCTION("importrange(""https://docs.google.com/spreadsheets/d/1jrOJVTcSm52FfzM51kTQNwIVzGkVralTGFdAWaRfSWs/edit?gid=1777742402#gid=1777742402"",""2025-26!s4"")"),1301000.0)</f>
        <v>1301000</v>
      </c>
      <c r="AL179" s="55">
        <f>IFERROR(__xludf.DUMMYFUNCTION("importrange(""https://docs.google.com/spreadsheets/d/1jrOJVTcSm52FfzM51kTQNwIVzGkVralTGFdAWaRfSWs/edit?gid=1777742402#gid=1777742402"",""2025-26!s3"")"),29.0)</f>
        <v>29</v>
      </c>
      <c r="AM179" s="57">
        <f>IFERROR(__xludf.DUMMYFUNCTION("importrange(""https://docs.google.com/spreadsheets/d/1jrOJVTcSm52FfzM51kTQNwIVzGkVralTGFdAWaRfSWs/edit?gid=1777742402#gid=1777742402"",""2025-26!t4"")"),0.0)</f>
        <v>0</v>
      </c>
      <c r="AN179" s="55">
        <f>IFERROR(__xludf.DUMMYFUNCTION("importrange(""https://docs.google.com/spreadsheets/d/1jrOJVTcSm52FfzM51kTQNwIVzGkVralTGFdAWaRfSWs/edit?gid=1777742402#gid=1777742402"",""2025-26!t3"")"),0.0)</f>
        <v>0</v>
      </c>
      <c r="AO179" s="58">
        <f t="shared" si="59"/>
        <v>0</v>
      </c>
      <c r="AP179" s="55">
        <f>IFERROR(__xludf.DUMMYFUNCTION("importrange(""https://docs.google.com/spreadsheets/d/1jrOJVTcSm52FfzM51kTQNwIVzGkVralTGFdAWaRfSWs/edit?gid=1777742402#gid=1777742402"",""2025-26!u4"")"),0.0)</f>
        <v>0</v>
      </c>
      <c r="AQ179" s="55">
        <f>IFERROR(__xludf.DUMMYFUNCTION("importrange(""https://docs.google.com/spreadsheets/d/1jrOJVTcSm52FfzM51kTQNwIVzGkVralTGFdAWaRfSWs/edit?gid=1777742402#gid=1777742402"",""2025-26!u3"")"),0.0)</f>
        <v>0</v>
      </c>
      <c r="AR179" s="55">
        <f>IFERROR(__xludf.DUMMYFUNCTION("importrange(""https://docs.google.com/spreadsheets/d/1jrOJVTcSm52FfzM51kTQNwIVzGkVralTGFdAWaRfSWs/edit?gid=1777742402#gid=1777742402"",""2025-26!v4"")"),1690000.0)</f>
        <v>1690000</v>
      </c>
      <c r="AS179" s="55">
        <f>IFERROR(__xludf.DUMMYFUNCTION("importrange(""https://docs.google.com/spreadsheets/d/1jrOJVTcSm52FfzM51kTQNwIVzGkVralTGFdAWaRfSWs/edit?gid=1777742402#gid=1777742402"",""2025-26!v3"")"),29.0)</f>
        <v>29</v>
      </c>
      <c r="AT179" s="57">
        <f>IFERROR(__xludf.DUMMYFUNCTION("importrange(""https://docs.google.com/spreadsheets/d/1jrOJVTcSm52FfzM51kTQNwIVzGkVralTGFdAWaRfSWs/edit?gid=1777742402#gid=1777742402"",""2025-26!w4"")"),0.0)</f>
        <v>0</v>
      </c>
      <c r="AU179" s="55">
        <f>IFERROR(__xludf.DUMMYFUNCTION("importrange(""https://docs.google.com/spreadsheets/d/1jrOJVTcSm52FfzM51kTQNwIVzGkVralTGFdAWaRfSWs/edit?gid=1777742402#gid=1777742402"",""2025-26!w3"")"),0.0)</f>
        <v>0</v>
      </c>
      <c r="AV179" s="58">
        <f t="shared" si="60"/>
        <v>0</v>
      </c>
      <c r="AW179" s="55">
        <f>IFERROR(__xludf.DUMMYFUNCTION("importrange(""https://docs.google.com/spreadsheets/d/1jrOJVTcSm52FfzM51kTQNwIVzGkVralTGFdAWaRfSWs/edit?gid=1777742402#gid=1777742402"",""2025-26!x4"")"),0.0)</f>
        <v>0</v>
      </c>
      <c r="AX179" s="55">
        <f>IFERROR(__xludf.DUMMYFUNCTION("importrange(""https://docs.google.com/spreadsheets/d/1jrOJVTcSm52FfzM51kTQNwIVzGkVralTGFdAWaRfSWs/edit?gid=1777742402#gid=1777742402"",""2025-26!x3"")"),0.0)</f>
        <v>0</v>
      </c>
      <c r="AY179" s="55">
        <f>IFERROR(__xludf.DUMMYFUNCTION("importrange(""https://docs.google.com/spreadsheets/d/1jrOJVTcSm52FfzM51kTQNwIVzGkVralTGFdAWaRfSWs/edit?gid=1777742402#gid=1777742402"",""2025-26!y4"")"),1688500.0)</f>
        <v>1688500</v>
      </c>
      <c r="AZ179" s="55">
        <f>IFERROR(__xludf.DUMMYFUNCTION("importrange(""https://docs.google.com/spreadsheets/d/1jrOJVTcSm52FfzM51kTQNwIVzGkVralTGFdAWaRfSWs/edit?gid=1777742402#gid=1777742402"",""2025-26!y3"")"),29.0)</f>
        <v>29</v>
      </c>
      <c r="BA179" s="57">
        <f>IFERROR(__xludf.DUMMYFUNCTION("importrange(""https://docs.google.com/spreadsheets/d/1jrOJVTcSm52FfzM51kTQNwIVzGkVralTGFdAWaRfSWs/edit?gid=1777742402#gid=1777742402"",""2025-26!z4"")"),0.0)</f>
        <v>0</v>
      </c>
      <c r="BB179" s="55">
        <f>IFERROR(__xludf.DUMMYFUNCTION("importrange(""https://docs.google.com/spreadsheets/d/1jrOJVTcSm52FfzM51kTQNwIVzGkVralTGFdAWaRfSWs/edit?gid=1777742402#gid=1777742402"",""2025-26!z3"")"),0.0)</f>
        <v>0</v>
      </c>
      <c r="BC179" s="59">
        <f t="shared" si="61"/>
        <v>0</v>
      </c>
      <c r="BD179" s="55">
        <f>IFERROR(__xludf.DUMMYFUNCTION("importrange(""https://docs.google.com/spreadsheets/d/1jrOJVTcSm52FfzM51kTQNwIVzGkVralTGFdAWaRfSWs/edit?gid=1777742402#gid=1777742402"",""2025-26!aa4"")"),0.0)</f>
        <v>0</v>
      </c>
      <c r="BE179" s="55">
        <f>IFERROR(__xludf.DUMMYFUNCTION("importrange(""https://docs.google.com/spreadsheets/d/1jrOJVTcSm52FfzM51kTQNwIVzGkVralTGFdAWaRfSWs/edit?gid=1777742402#gid=1777742402"",""2025-26!aa3"")"),0.0)</f>
        <v>0</v>
      </c>
      <c r="BF179" s="55">
        <f>IFERROR(__xludf.DUMMYFUNCTION("importrange(""https://docs.google.com/spreadsheets/d/1jrOJVTcSm52FfzM51kTQNwIVzGkVralTGFdAWaRfSWs/edit?gid=1777742402#gid=1777742402"",""2025-26!ab4"")"),968000.0)</f>
        <v>968000</v>
      </c>
      <c r="BG179" s="55">
        <f>IFERROR(__xludf.DUMMYFUNCTION("importrange(""https://docs.google.com/spreadsheets/d/1jrOJVTcSm52FfzM51kTQNwIVzGkVralTGFdAWaRfSWs/edit?gid=1777742402#gid=1777742402"",""2025-26!ab3"")"),29.0)</f>
        <v>29</v>
      </c>
      <c r="BH179" s="55">
        <f>IFERROR(__xludf.DUMMYFUNCTION("importrange(""https://docs.google.com/spreadsheets/d/1jrOJVTcSm52FfzM51kTQNwIVzGkVralTGFdAWaRfSWs/edit?gid=1777742402#gid=1777742402"",""2025-26!ac4"")"),0.0)</f>
        <v>0</v>
      </c>
      <c r="BI179" s="55">
        <f>IFERROR(__xludf.DUMMYFUNCTION("importrange(""https://docs.google.com/spreadsheets/d/1jrOJVTcSm52FfzM51kTQNwIVzGkVralTGFdAWaRfSWs/edit?gid=1777742402#gid=1777742402"",""2025-26!ac3"")"),0.0)</f>
        <v>0</v>
      </c>
      <c r="BJ179" s="59">
        <f t="shared" si="62"/>
        <v>0</v>
      </c>
      <c r="BK179" s="55">
        <f>IFERROR(__xludf.DUMMYFUNCTION("importrange(""https://docs.google.com/spreadsheets/d/1jrOJVTcSm52FfzM51kTQNwIVzGkVralTGFdAWaRfSWs/edit?gid=1777742402#gid=1777742402"",""2025-26!ad4"")"),0.0)</f>
        <v>0</v>
      </c>
      <c r="BL179" s="55">
        <f>IFERROR(__xludf.DUMMYFUNCTION("importrange(""https://docs.google.com/spreadsheets/d/1jrOJVTcSm52FfzM51kTQNwIVzGkVralTGFdAWaRfSWs/edit?gid=1777742402#gid=1777742402"",""2025-26!ad3"")"),0.0)</f>
        <v>0</v>
      </c>
      <c r="BM179" s="55">
        <f>IFERROR(__xludf.DUMMYFUNCTION("importrange(""https://docs.google.com/spreadsheets/d/1jrOJVTcSm52FfzM51kTQNwIVzGkVralTGFdAWaRfSWs/edit?gid=1777742402#gid=1777742402"",""2025-26!ae4"")"),992000.0)</f>
        <v>992000</v>
      </c>
      <c r="BN179" s="55">
        <f>IFERROR(__xludf.DUMMYFUNCTION("importrange(""https://docs.google.com/spreadsheets/d/1jrOJVTcSm52FfzM51kTQNwIVzGkVralTGFdAWaRfSWs/edit?gid=1777742402#gid=1777742402"",""2025-26!ae3"")"),29.0)</f>
        <v>29</v>
      </c>
      <c r="BO179" s="55">
        <f>IFERROR(__xludf.DUMMYFUNCTION("importrange(""https://docs.google.com/spreadsheets/d/1jrOJVTcSm52FfzM51kTQNwIVzGkVralTGFdAWaRfSWs/edit?gid=1777742402#gid=1777742402"",""2025-26!af4"")"),0.0)</f>
        <v>0</v>
      </c>
      <c r="BP179" s="55">
        <f>IFERROR(__xludf.DUMMYFUNCTION("importrange(""https://docs.google.com/spreadsheets/d/1jrOJVTcSm52FfzM51kTQNwIVzGkVralTGFdAWaRfSWs/edit?gid=1777742402#gid=1777742402"",""2025-26!af3"")"),0.0)</f>
        <v>0</v>
      </c>
      <c r="BQ179" s="59">
        <f t="shared" si="63"/>
        <v>0</v>
      </c>
      <c r="BR179" s="55">
        <f>IFERROR(__xludf.DUMMYFUNCTION("importrange(""https://docs.google.com/spreadsheets/d/1jrOJVTcSm52FfzM51kTQNwIVzGkVralTGFdAWaRfSWs/edit?gid=1777742402#gid=1777742402"",""2025-26!ag4"")"),0.0)</f>
        <v>0</v>
      </c>
      <c r="BS179" s="55">
        <f>IFERROR(__xludf.DUMMYFUNCTION("importrange(""https://docs.google.com/spreadsheets/d/1jrOJVTcSm52FfzM51kTQNwIVzGkVralTGFdAWaRfSWs/edit?gid=1777742402#gid=1777742402"",""2025-26!ag3"")"),0.0)</f>
        <v>0</v>
      </c>
      <c r="BT179" s="55">
        <f>IFERROR(__xludf.DUMMYFUNCTION("importrange(""https://docs.google.com/spreadsheets/d/1jrOJVTcSm52FfzM51kTQNwIVzGkVralTGFdAWaRfSWs/edit?gid=1777742402#gid=1777742402"",""2025-26!ah4"")"),1115000.0)</f>
        <v>1115000</v>
      </c>
      <c r="BU179" s="55">
        <f>IFERROR(__xludf.DUMMYFUNCTION("importrange(""https://docs.google.com/spreadsheets/d/1jrOJVTcSm52FfzM51kTQNwIVzGkVralTGFdAWaRfSWs/edit?gid=1777742402#gid=1777742402"",""2025-26!ah3"")"),29.0)</f>
        <v>29</v>
      </c>
      <c r="BV179" s="55">
        <f>IFERROR(__xludf.DUMMYFUNCTION("importrange(""https://docs.google.com/spreadsheets/d/1jrOJVTcSm52FfzM51kTQNwIVzGkVralTGFdAWaRfSWs/edit?gid=1777742402#gid=1777742402"",""2025-26!ai4"")"),0.0)</f>
        <v>0</v>
      </c>
      <c r="BW179" s="55">
        <f>IFERROR(__xludf.DUMMYFUNCTION("importrange(""https://docs.google.com/spreadsheets/d/1jrOJVTcSm52FfzM51kTQNwIVzGkVralTGFdAWaRfSWs/edit?gid=1777742402#gid=1777742402"",""2025-26!ai3"")"),0.0)</f>
        <v>0</v>
      </c>
      <c r="BX179" s="59">
        <f t="shared" si="64"/>
        <v>0</v>
      </c>
      <c r="BY179" s="55">
        <f>IFERROR(__xludf.DUMMYFUNCTION("importrange(""https://docs.google.com/spreadsheets/d/1jrOJVTcSm52FfzM51kTQNwIVzGkVralTGFdAWaRfSWs/edit?gid=1777742402#gid=1777742402"",""2025-26!aj4"")"),0.0)</f>
        <v>0</v>
      </c>
      <c r="BZ179" s="55">
        <f>IFERROR(__xludf.DUMMYFUNCTION("importrange(""https://docs.google.com/spreadsheets/d/1jrOJVTcSm52FfzM51kTQNwIVzGkVralTGFdAWaRfSWs/edit?gid=1777742402#gid=1777742402"",""2025-26!aj3"")"),0.0)</f>
        <v>0</v>
      </c>
      <c r="CA179" s="55">
        <f>IFERROR(__xludf.DUMMYFUNCTION("importrange(""https://docs.google.com/spreadsheets/d/1jrOJVTcSm52FfzM51kTQNwIVzGkVralTGFdAWaRfSWs/edit?gid=1777742402#gid=1777742402"",""2025-26!ak4"")"),1259000.0)</f>
        <v>1259000</v>
      </c>
      <c r="CB179" s="55">
        <f>IFERROR(__xludf.DUMMYFUNCTION("importrange(""https://docs.google.com/spreadsheets/d/1jrOJVTcSm52FfzM51kTQNwIVzGkVralTGFdAWaRfSWs/edit?gid=1777742402#gid=1777742402"",""2025-26!ak3"")"),29.0)</f>
        <v>29</v>
      </c>
      <c r="CC179" s="55">
        <f>IFERROR(__xludf.DUMMYFUNCTION("importrange(""https://docs.google.com/spreadsheets/d/1jrOJVTcSm52FfzM51kTQNwIVzGkVralTGFdAWaRfSWs/edit?gid=1777742402#gid=1777742402"",""2025-26!al4"")"),0.0)</f>
        <v>0</v>
      </c>
      <c r="CD179" s="55">
        <f>IFERROR(__xludf.DUMMYFUNCTION("importrange(""https://docs.google.com/spreadsheets/d/1jrOJVTcSm52FfzM51kTQNwIVzGkVralTGFdAWaRfSWs/edit?gid=1777742402#gid=1777742402"",""2025-26!ai3"")"),0.0)</f>
        <v>0</v>
      </c>
      <c r="CE179" s="59">
        <f t="shared" si="65"/>
        <v>0</v>
      </c>
      <c r="CF179" s="55">
        <f>IFERROR(__xludf.DUMMYFUNCTION("importrange(""https://docs.google.com/spreadsheets/d/1jrOJVTcSm52FfzM51kTQNwIVzGkVralTGFdAWaRfSWs/edit?gid=1777742402#gid=1777742402"",""2025-26!am4"")"),0.0)</f>
        <v>0</v>
      </c>
      <c r="CG179" s="55">
        <f>IFERROR(__xludf.DUMMYFUNCTION("importrange(""https://docs.google.com/spreadsheets/d/1jrOJVTcSm52FfzM51kTQNwIVzGkVralTGFdAWaRfSWs/edit?gid=1777742402#gid=1777742402"",""2025-26!am3"")"),0.0)</f>
        <v>0</v>
      </c>
      <c r="CH179" s="55">
        <f>IFERROR(__xludf.DUMMYFUNCTION("importrange(""https://docs.google.com/spreadsheets/d/1jrOJVTcSm52FfzM51kTQNwIVzGkVralTGFdAWaRfSWs/edit?gid=1777742402#gid=1777742402"",""2025-26!an4"")"),1078000.0)</f>
        <v>1078000</v>
      </c>
      <c r="CI179" s="55">
        <f>IFERROR(__xludf.DUMMYFUNCTION("importrange(""https://docs.google.com/spreadsheets/d/1jrOJVTcSm52FfzM51kTQNwIVzGkVralTGFdAWaRfSWs/edit?gid=1777742402#gid=1777742402"",""2025-26!an3"")"),29.0)</f>
        <v>29</v>
      </c>
      <c r="CJ179" s="55">
        <f>IFERROR(__xludf.DUMMYFUNCTION("importrange(""https://docs.google.com/spreadsheets/d/1jrOJVTcSm52FfzM51kTQNwIVzGkVralTGFdAWaRfSWs/edit?gid=1777742402#gid=1777742402"",""2025-26!ao4"")"),0.0)</f>
        <v>0</v>
      </c>
      <c r="CK179" s="55">
        <f>IFERROR(__xludf.DUMMYFUNCTION("importrange(""https://docs.google.com/spreadsheets/d/1jrOJVTcSm52FfzM51kTQNwIVzGkVralTGFdAWaRfSWs/edit?gid=1777742402#gid=1777742402"",""2025-26!ao3"")"),0.0)</f>
        <v>0</v>
      </c>
      <c r="CL179" s="59">
        <f t="shared" si="66"/>
        <v>0</v>
      </c>
      <c r="CM179" s="55">
        <f>IFERROR(__xludf.DUMMYFUNCTION("importrange(""https://docs.google.com/spreadsheets/d/1jrOJVTcSm52FfzM51kTQNwIVzGkVralTGFdAWaRfSWs/edit?gid=1777742402#gid=1777742402"",""2025-26!ap4"")"),0.0)</f>
        <v>0</v>
      </c>
      <c r="CN179" s="55">
        <f>IFERROR(__xludf.DUMMYFUNCTION("importrange(""https://docs.google.com/spreadsheets/d/1jrOJVTcSm52FfzM51kTQNwIVzGkVralTGFdAWaRfSWs/edit?gid=1777742402#gid=1777742402"",""2025-26!ap3"")"),0.0)</f>
        <v>0</v>
      </c>
      <c r="CO179" s="55">
        <f>IFERROR(__xludf.DUMMYFUNCTION("importrange(""https://docs.google.com/spreadsheets/d/1jrOJVTcSm52FfzM51kTQNwIVzGkVralTGFdAWaRfSWs/edit?gid=1777742402#gid=1777742402"",""2025-26!aq4"")"),1722000.0)</f>
        <v>1722000</v>
      </c>
      <c r="CP179" s="55">
        <f>IFERROR(__xludf.DUMMYFUNCTION("importrange(""https://docs.google.com/spreadsheets/d/1jrOJVTcSm52FfzM51kTQNwIVzGkVralTGFdAWaRfSWs/edit?gid=1777742402#gid=1777742402"",""2025-26!aq3"")"),29.0)</f>
        <v>29</v>
      </c>
      <c r="CQ179" s="55">
        <f>IFERROR(__xludf.DUMMYFUNCTION("importrange(""https://docs.google.com/spreadsheets/d/1jrOJVTcSm52FfzM51kTQNwIVzGkVralTGFdAWaRfSWs/edit?gid=1777742402#gid=1777742402"",""2025-26!ar4"")"),0.0)</f>
        <v>0</v>
      </c>
      <c r="CR179" s="55">
        <f>IFERROR(__xludf.DUMMYFUNCTION("importrange(""https://docs.google.com/spreadsheets/d/1jrOJVTcSm52FfzM51kTQNwIVzGkVralTGFdAWaRfSWs/edit?gid=1777742402#gid=1777742402"",""2025-26!ar3"")"),0.0)</f>
        <v>0</v>
      </c>
      <c r="CS179" s="59">
        <f t="shared" si="67"/>
        <v>0</v>
      </c>
      <c r="CT179" s="55">
        <f>IFERROR(__xludf.DUMMYFUNCTION("importrange(""https://docs.google.com/spreadsheets/d/1jrOJVTcSm52FfzM51kTQNwIVzGkVralTGFdAWaRfSWs/edit?gid=1777742402#gid=1777742402"",""2025-26!as4"")"),0.0)</f>
        <v>0</v>
      </c>
      <c r="CU179" s="55">
        <f>IFERROR(__xludf.DUMMYFUNCTION("importrange(""https://docs.google.com/spreadsheets/d/1jrOJVTcSm52FfzM51kTQNwIVzGkVralTGFdAWaRfSWs/edit?gid=1777742402#gid=1777742402"",""2025-26!as3"")"),0.0)</f>
        <v>0</v>
      </c>
      <c r="CV179" s="60" t="s">
        <v>56</v>
      </c>
    </row>
    <row r="180">
      <c r="A180" s="84" t="s">
        <v>53</v>
      </c>
      <c r="B180" s="134" t="s">
        <v>53</v>
      </c>
      <c r="C180" s="136" t="s">
        <v>371</v>
      </c>
      <c r="D180" s="68" t="s">
        <v>372</v>
      </c>
      <c r="E180" s="50">
        <v>7.014699108E9</v>
      </c>
      <c r="F180" s="144">
        <v>45502.0</v>
      </c>
      <c r="G180" s="62"/>
      <c r="H180" s="62"/>
      <c r="I180" s="53">
        <v>46670.0</v>
      </c>
      <c r="J180" s="54">
        <v>1500000.0</v>
      </c>
      <c r="K180" s="57">
        <f>IFERROR(__xludf.DUMMYFUNCTION("IMPORTRANGE(""https://docs.google.com/spreadsheets/u/0/d/1GYGptXDzyVLnWnhcCb5oKA6jmkwDEo2MqJN8egqXLsc/edit"",""2025-26!A3"")"),31.0)</f>
        <v>31</v>
      </c>
      <c r="L180" s="57">
        <f>IFERROR(__xludf.DUMMYFUNCTION("IMPORTRANGE(""https://docs.google.com/spreadsheets/u/0/d/1GYGptXDzyVLnWnhcCb5oKA6jmkwDEo2MqJN8egqXLsc/edit"",""2025-26!G4"")"),1.335E7)</f>
        <v>13350000</v>
      </c>
      <c r="M180" s="57">
        <f t="shared" si="75"/>
        <v>454619.92</v>
      </c>
      <c r="N180" s="56">
        <f t="shared" si="76"/>
        <v>0.02368479401</v>
      </c>
      <c r="O180" s="57">
        <f t="shared" si="77"/>
        <v>316192</v>
      </c>
      <c r="P180" s="55">
        <f>IFERROR(__xludf.DUMMYFUNCTION("IMPORTRANGE(""https://docs.google.com/spreadsheets/u/0/d/1GYGptXDzyVLnWnhcCb5oKA6jmkwDEo2MqJN8egqXLsc/edit"",""2025-26!J4"")"),1097500.0)</f>
        <v>1097500</v>
      </c>
      <c r="Q180" s="55">
        <f>IFERROR(__xludf.DUMMYFUNCTION("IMPORTRANGE(""https://docs.google.com/spreadsheets/u/0/d/1GYGptXDzyVLnWnhcCb5oKA6jmkwDEo2MqJN8egqXLsc/edit"",""2025-26!J3"")"),31.0)</f>
        <v>31</v>
      </c>
      <c r="R180" s="55">
        <f>IFERROR(__xludf.DUMMYFUNCTION("IMPORTRANGE(""https://docs.google.com/spreadsheets/u/0/d/1GYGptXDzyVLnWnhcCb5oKA6jmkwDEo2MqJN8egqXLsc/edit"",""2025-26!K4"")"),0.0)</f>
        <v>0</v>
      </c>
      <c r="S180" s="55">
        <f>IFERROR(__xludf.DUMMYFUNCTION("IMPORTRANGE(""https://docs.google.com/spreadsheets/u/0/d/1GYGptXDzyVLnWnhcCb5oKA6jmkwDEo2MqJN8egqXLsc/edit"",""2025-26!K3"")"),0.0)</f>
        <v>0</v>
      </c>
      <c r="T180" s="58">
        <f t="shared" si="56"/>
        <v>0</v>
      </c>
      <c r="U180" s="55">
        <f>IFERROR(__xludf.DUMMYFUNCTION("IMPORTRANGE(""https://docs.google.com/spreadsheets/u/0/d/1GYGptXDzyVLnWnhcCb5oKA6jmkwDEo2MqJN8egqXLsc/edit"",""2025-26!L4"")"),0.0)</f>
        <v>0</v>
      </c>
      <c r="V180" s="79">
        <f>IFERROR(__xludf.DUMMYFUNCTION("IMPORTRANGE(""https://docs.google.com/spreadsheets/u/0/d/1GYGptXDzyVLnWnhcCb5oKA6jmkwDEo2MqJN8egqXLsc/edit"",""2025-26!L3"")"),0.0)</f>
        <v>0</v>
      </c>
      <c r="W180" s="55">
        <f>IFERROR(__xludf.DUMMYFUNCTION("IMPORTRANGE(""https://docs.google.com/spreadsheets/u/0/d/1GYGptXDzyVLnWnhcCb5oKA6jmkwDEo2MqJN8egqXLsc/edit"",""2025-26!M4"")"),1097500.0)</f>
        <v>1097500</v>
      </c>
      <c r="X180" s="79">
        <f>IFERROR(__xludf.DUMMYFUNCTION("IMPORTRANGE(""https://docs.google.com/spreadsheets/u/0/d/1GYGptXDzyVLnWnhcCb5oKA6jmkwDEo2MqJN8egqXLsc/edit"",""2025-26!M3"")"),31.0)</f>
        <v>31</v>
      </c>
      <c r="Y180" s="55">
        <f>IFERROR(__xludf.DUMMYFUNCTION("importrange(""https://docs.google.com/spreadsheets/u/0/d/1GYGptXDzyVLnWnhcCb5oKA6jmkwDEo2MqJN8egqXLsc/edit"",""2025-26!n4"")"),316190.8)</f>
        <v>316190.8</v>
      </c>
      <c r="Z180" s="55">
        <f>IFERROR(__xludf.DUMMYFUNCTION("importrange(""https://docs.google.com/spreadsheets/u/0/d/1GYGptXDzyVLnWnhcCb5oKA6jmkwDEo2MqJN8egqXLsc/edit"",""2025-26!n3"")"),8.0)</f>
        <v>8</v>
      </c>
      <c r="AA180" s="58">
        <f t="shared" si="57"/>
        <v>0.2881020501</v>
      </c>
      <c r="AB180" s="55">
        <f>IFERROR(__xludf.DUMMYFUNCTION("importrange(""https://docs.google.com/spreadsheets/u/0/d/1GYGptXDzyVLnWnhcCb5oKA6jmkwDEo2MqJN8egqXLsc/edit"",""2025-26!o4"")"),316192.0)</f>
        <v>316192</v>
      </c>
      <c r="AC180" s="55">
        <f>IFERROR(__xludf.DUMMYFUNCTION("importrange(""https://docs.google.com/spreadsheets/u/0/d/1GYGptXDzyVLnWnhcCb5oKA6jmkwDEo2MqJN8egqXLsc/edit"",""2025-26!o3"")"),8.0)</f>
        <v>8</v>
      </c>
      <c r="AD180" s="55">
        <f>IFERROR(__xludf.DUMMYFUNCTION("importrange(""https://docs.google.com/spreadsheets/u/0/d/1GYGptXDzyVLnWnhcCb5oKA6jmkwDEo2MqJN8egqXLsc/edit"",""2025-26!p4"")"),1097500.0)</f>
        <v>1097500</v>
      </c>
      <c r="AE180" s="55">
        <f>IFERROR(__xludf.DUMMYFUNCTION("importrange(""https://docs.google.com/spreadsheets/u/0/d/1GYGptXDzyVLnWnhcCb5oKA6jmkwDEo2MqJN8egqXLsc/edit"",""2025-26!p3"")"),31.0)</f>
        <v>31</v>
      </c>
      <c r="AF180" s="55">
        <f>IFERROR(__xludf.DUMMYFUNCTION("importrange(""https://docs.google.com/spreadsheets/u/0/d/1GYGptXDzyVLnWnhcCb5oKA6jmkwDEo2MqJN8egqXLsc/edit"",""2025-26!q4"")"),0.0)</f>
        <v>0</v>
      </c>
      <c r="AG180" s="55">
        <f>IFERROR(__xludf.DUMMYFUNCTION("importrange(""https://docs.google.com/spreadsheets/u/0/d/1GYGptXDzyVLnWnhcCb5oKA6jmkwDEo2MqJN8egqXLsc/edit"",""2025-26!q3"")"),0.0)</f>
        <v>0</v>
      </c>
      <c r="AH180" s="58">
        <f t="shared" si="58"/>
        <v>0</v>
      </c>
      <c r="AI180" s="55">
        <f>IFERROR(__xludf.DUMMYFUNCTION("importrange(""https://docs.google.com/spreadsheets/u/0/d/1GYGptXDzyVLnWnhcCb5oKA6jmkwDEo2MqJN8egqXLsc/edit"",""2025-26!r4"")"),0.0)</f>
        <v>0</v>
      </c>
      <c r="AJ180" s="55">
        <f>IFERROR(__xludf.DUMMYFUNCTION("importrange(""https://docs.google.com/spreadsheets/u/0/d/1GYGptXDzyVLnWnhcCb5oKA6jmkwDEo2MqJN8egqXLsc/edit"",""2025-26!r3"")"),0.0)</f>
        <v>0</v>
      </c>
      <c r="AK180" s="55">
        <f>IFERROR(__xludf.DUMMYFUNCTION("importrange(""https://docs.google.com/spreadsheets/u/0/d/1GYGptXDzyVLnWnhcCb5oKA6jmkwDEo2MqJN8egqXLsc/edit"",""2025-26!s4"")"),1097500.0)</f>
        <v>1097500</v>
      </c>
      <c r="AL180" s="55">
        <f>IFERROR(__xludf.DUMMYFUNCTION("importrange(""https://docs.google.com/spreadsheets/u/0/d/1GYGptXDzyVLnWnhcCb5oKA6jmkwDEo2MqJN8egqXLsc/edit"",""2025-26!s3"")"),31.0)</f>
        <v>31</v>
      </c>
      <c r="AM180" s="57">
        <f>IFERROR(__xludf.DUMMYFUNCTION("importrange(""https://docs.google.com/spreadsheets/u/0/d/1GYGptXDzyVLnWnhcCb5oKA6jmkwDEo2MqJN8egqXLsc/edit"",""2025-26!t4"")"),138429.12)</f>
        <v>138429.12</v>
      </c>
      <c r="AN180" s="55">
        <f>IFERROR(__xludf.DUMMYFUNCTION("importrange(""https://docs.google.com/spreadsheets/u/0/d/1GYGptXDzyVLnWnhcCb5oKA6jmkwDEo2MqJN8egqXLsc/edit"",""2025-26!t3"")"),1.0)</f>
        <v>1</v>
      </c>
      <c r="AO180" s="58">
        <f t="shared" si="59"/>
        <v>0</v>
      </c>
      <c r="AP180" s="55">
        <f>IFERROR(__xludf.DUMMYFUNCTION("importrange(""https://docs.google.com/spreadsheets/u/0/d/1GYGptXDzyVLnWnhcCb5oKA6jmkwDEo2MqJN8egqXLsc/edit"",""2025-26!u4"")"),0.0)</f>
        <v>0</v>
      </c>
      <c r="AQ180" s="55">
        <f>IFERROR(__xludf.DUMMYFUNCTION("importrange(""https://docs.google.com/spreadsheets/u/0/d/1GYGptXDzyVLnWnhcCb5oKA6jmkwDEo2MqJN8egqXLsc/edit"",""2025-26!u3"")"),0.0)</f>
        <v>0</v>
      </c>
      <c r="AR180" s="55">
        <f>IFERROR(__xludf.DUMMYFUNCTION("importrange(""https://docs.google.com/spreadsheets/u/0/d/1GYGptXDzyVLnWnhcCb5oKA6jmkwDEo2MqJN8egqXLsc/edit"",""2025-26!v4"")"),1097500.0)</f>
        <v>1097500</v>
      </c>
      <c r="AS180" s="55">
        <f>IFERROR(__xludf.DUMMYFUNCTION("importrange(""https://docs.google.com/spreadsheets/u/0/d/1GYGptXDzyVLnWnhcCb5oKA6jmkwDEo2MqJN8egqXLsc/edit"",""2025-26!v3"")"),31.0)</f>
        <v>31</v>
      </c>
      <c r="AT180" s="57">
        <f>IFERROR(__xludf.DUMMYFUNCTION("importrange(""https://docs.google.com/spreadsheets/u/0/d/1GYGptXDzyVLnWnhcCb5oKA6jmkwDEo2MqJN8egqXLsc/edit"",""2025-26!w4"")"),0.0)</f>
        <v>0</v>
      </c>
      <c r="AU180" s="55">
        <f>IFERROR(__xludf.DUMMYFUNCTION("importrange(""https://docs.google.com/spreadsheets/u/0/d/1GYGptXDzyVLnWnhcCb5oKA6jmkwDEo2MqJN8egqXLsc/edit"",""2025-26!w3"")"),0.0)</f>
        <v>0</v>
      </c>
      <c r="AV180" s="58">
        <f t="shared" si="60"/>
        <v>0</v>
      </c>
      <c r="AW180" s="55">
        <f>IFERROR(__xludf.DUMMYFUNCTION("importrange(""https://docs.google.com/spreadsheets/u/0/d/1GYGptXDzyVLnWnhcCb5oKA6jmkwDEo2MqJN8egqXLsc/edit"",""2025-26!x4"")"),0.0)</f>
        <v>0</v>
      </c>
      <c r="AX180" s="55">
        <f>IFERROR(__xludf.DUMMYFUNCTION("importrange(""https://docs.google.com/spreadsheets/u/0/d/1GYGptXDzyVLnWnhcCb5oKA6jmkwDEo2MqJN8egqXLsc/edit"",""2025-26!x3"")"),0.0)</f>
        <v>0</v>
      </c>
      <c r="AY180" s="55">
        <f>IFERROR(__xludf.DUMMYFUNCTION("importrange(""https://docs.google.com/spreadsheets/u/0/d/1GYGptXDzyVLnWnhcCb5oKA6jmkwDEo2MqJN8egqXLsc/edit"",""2025-26!y4"")"),1097500.0)</f>
        <v>1097500</v>
      </c>
      <c r="AZ180" s="55">
        <f>IFERROR(__xludf.DUMMYFUNCTION("importrange(""https://docs.google.com/spreadsheets/u/0/d/1GYGptXDzyVLnWnhcCb5oKA6jmkwDEo2MqJN8egqXLsc/edit"",""2025-26!y3"")"),31.0)</f>
        <v>31</v>
      </c>
      <c r="BA180" s="57">
        <f>IFERROR(__xludf.DUMMYFUNCTION("importrange(""https://docs.google.com/spreadsheets/u/0/d/1GYGptXDzyVLnWnhcCb5oKA6jmkwDEo2MqJN8egqXLsc/edit"",""2025-26!z4"")"),0.0)</f>
        <v>0</v>
      </c>
      <c r="BB180" s="55">
        <f>IFERROR(__xludf.DUMMYFUNCTION("importrange(""https://docs.google.com/spreadsheets/u/0/d/1GYGptXDzyVLnWnhcCb5oKA6jmkwDEo2MqJN8egqXLsc/edit"",""2025-26!z3"")"),0.0)</f>
        <v>0</v>
      </c>
      <c r="BC180" s="59">
        <f t="shared" si="61"/>
        <v>0</v>
      </c>
      <c r="BD180" s="55">
        <f>IFERROR(__xludf.DUMMYFUNCTION("importrange(""https://docs.google.com/spreadsheets/u/0/d/1GYGptXDzyVLnWnhcCb5oKA6jmkwDEo2MqJN8egqXLsc/edit"",""2025-26!aa4"")"),0.0)</f>
        <v>0</v>
      </c>
      <c r="BE180" s="55">
        <f>IFERROR(__xludf.DUMMYFUNCTION("importrange(""https://docs.google.com/spreadsheets/u/0/d/1GYGptXDzyVLnWnhcCb5oKA6jmkwDEo2MqJN8egqXLsc/edit"",""2025-26!aa3"")"),0.0)</f>
        <v>0</v>
      </c>
      <c r="BF180" s="55">
        <f>IFERROR(__xludf.DUMMYFUNCTION("importrange(""https://docs.google.com/spreadsheets/u/0/d/1GYGptXDzyVLnWnhcCb5oKA6jmkwDEo2MqJN8egqXLsc/edit"",""2025-26!ab4"")"),1097500.0)</f>
        <v>1097500</v>
      </c>
      <c r="BG180" s="55">
        <f>IFERROR(__xludf.DUMMYFUNCTION("importrange(""https://docs.google.com/spreadsheets/u/0/d/1GYGptXDzyVLnWnhcCb5oKA6jmkwDEo2MqJN8egqXLsc/edit"",""2025-26!ab3"")"),31.0)</f>
        <v>31</v>
      </c>
      <c r="BH180" s="55">
        <f>IFERROR(__xludf.DUMMYFUNCTION("importrange(""https://docs.google.com/spreadsheets/u/0/d/1GYGptXDzyVLnWnhcCb5oKA6jmkwDEo2MqJN8egqXLsc/edit"",""2025-26!ac4"")"),0.0)</f>
        <v>0</v>
      </c>
      <c r="BI180" s="55">
        <f>IFERROR(__xludf.DUMMYFUNCTION("importrange(""https://docs.google.com/spreadsheets/u/0/d/1GYGptXDzyVLnWnhcCb5oKA6jmkwDEo2MqJN8egqXLsc/edit"",""2025-26!ac3"")"),0.0)</f>
        <v>0</v>
      </c>
      <c r="BJ180" s="59">
        <f t="shared" si="62"/>
        <v>0</v>
      </c>
      <c r="BK180" s="55">
        <f>IFERROR(__xludf.DUMMYFUNCTION("importrange(""https://docs.google.com/spreadsheets/u/0/d/1GYGptXDzyVLnWnhcCb5oKA6jmkwDEo2MqJN8egqXLsc/edit"",""2025-26!ad4"")"),0.0)</f>
        <v>0</v>
      </c>
      <c r="BL180" s="55">
        <f>IFERROR(__xludf.DUMMYFUNCTION("importrange(""https://docs.google.com/spreadsheets/u/0/d/1GYGptXDzyVLnWnhcCb5oKA6jmkwDEo2MqJN8egqXLsc/edit"",""2025-26!ad3"")"),0.0)</f>
        <v>0</v>
      </c>
      <c r="BM180" s="55">
        <f>IFERROR(__xludf.DUMMYFUNCTION("importrange(""https://docs.google.com/spreadsheets/u/0/d/1GYGptXDzyVLnWnhcCb5oKA6jmkwDEo2MqJN8egqXLsc/edit"",""2025-26!ae4"")"),1097500.0)</f>
        <v>1097500</v>
      </c>
      <c r="BN180" s="55">
        <f>IFERROR(__xludf.DUMMYFUNCTION("importrange(""https://docs.google.com/spreadsheets/u/0/d/1GYGptXDzyVLnWnhcCb5oKA6jmkwDEo2MqJN8egqXLsc/edit"",""2025-26!ae3"")"),31.0)</f>
        <v>31</v>
      </c>
      <c r="BO180" s="55">
        <f>IFERROR(__xludf.DUMMYFUNCTION("importrange(""https://docs.google.com/spreadsheets/u/0/d/1GYGptXDzyVLnWnhcCb5oKA6jmkwDEo2MqJN8egqXLsc/edit"",""2025-26!af4"")"),0.0)</f>
        <v>0</v>
      </c>
      <c r="BP180" s="55">
        <f>IFERROR(__xludf.DUMMYFUNCTION("importrange(""https://docs.google.com/spreadsheets/u/0/d/1GYGptXDzyVLnWnhcCb5oKA6jmkwDEo2MqJN8egqXLsc/edit"",""2025-26!af3"")"),0.0)</f>
        <v>0</v>
      </c>
      <c r="BQ180" s="59">
        <f t="shared" si="63"/>
        <v>0</v>
      </c>
      <c r="BR180" s="55">
        <f>IFERROR(__xludf.DUMMYFUNCTION("importrange(""https://docs.google.com/spreadsheets/u/0/d/1GYGptXDzyVLnWnhcCb5oKA6jmkwDEo2MqJN8egqXLsc/edit"",""2025-26!ag4"")"),0.0)</f>
        <v>0</v>
      </c>
      <c r="BS180" s="55">
        <f>IFERROR(__xludf.DUMMYFUNCTION("importrange(""https://docs.google.com/spreadsheets/u/0/d/1GYGptXDzyVLnWnhcCb5oKA6jmkwDEo2MqJN8egqXLsc/edit"",""2025-26!ag3"")"),0.0)</f>
        <v>0</v>
      </c>
      <c r="BT180" s="55">
        <f>IFERROR(__xludf.DUMMYFUNCTION("importrange(""https://docs.google.com/spreadsheets/u/0/d/1GYGptXDzyVLnWnhcCb5oKA6jmkwDEo2MqJN8egqXLsc/edit"",""2025-26!ah4"")"),1097500.0)</f>
        <v>1097500</v>
      </c>
      <c r="BU180" s="55">
        <f>IFERROR(__xludf.DUMMYFUNCTION("importrange(""https://docs.google.com/spreadsheets/u/0/d/1GYGptXDzyVLnWnhcCb5oKA6jmkwDEo2MqJN8egqXLsc/edit"",""2025-26!ah3"")"),31.0)</f>
        <v>31</v>
      </c>
      <c r="BV180" s="55">
        <f>IFERROR(__xludf.DUMMYFUNCTION("importrange(""https://docs.google.com/spreadsheets/u/0/d/1GYGptXDzyVLnWnhcCb5oKA6jmkwDEo2MqJN8egqXLsc/edit"",""2025-26!ai4"")"),0.0)</f>
        <v>0</v>
      </c>
      <c r="BW180" s="55">
        <f>IFERROR(__xludf.DUMMYFUNCTION("importrange(""https://docs.google.com/spreadsheets/u/0/d/1GYGptXDzyVLnWnhcCb5oKA6jmkwDEo2MqJN8egqXLsc/edit"",""2025-26!ai3"")"),0.0)</f>
        <v>0</v>
      </c>
      <c r="BX180" s="59">
        <f t="shared" si="64"/>
        <v>0</v>
      </c>
      <c r="BY180" s="55">
        <f>IFERROR(__xludf.DUMMYFUNCTION("importrange(""https://docs.google.com/spreadsheets/u/0/d/1GYGptXDzyVLnWnhcCb5oKA6jmkwDEo2MqJN8egqXLsc/edit"",""2025-26!aj4"")"),0.0)</f>
        <v>0</v>
      </c>
      <c r="BZ180" s="55">
        <f>IFERROR(__xludf.DUMMYFUNCTION("importrange(""https://docs.google.com/spreadsheets/u/0/d/1GYGptXDzyVLnWnhcCb5oKA6jmkwDEo2MqJN8egqXLsc/edit"",""2025-26!aj3"")"),0.0)</f>
        <v>0</v>
      </c>
      <c r="CA180" s="55">
        <f>IFERROR(__xludf.DUMMYFUNCTION("importrange(""https://docs.google.com/spreadsheets/u/0/d/1GYGptXDzyVLnWnhcCb5oKA6jmkwDEo2MqJN8egqXLsc/edit"",""2025-26!ak4"")"),1097500.0)</f>
        <v>1097500</v>
      </c>
      <c r="CB180" s="55">
        <f>IFERROR(__xludf.DUMMYFUNCTION("importrange(""https://docs.google.com/spreadsheets/u/0/d/1GYGptXDzyVLnWnhcCb5oKA6jmkwDEo2MqJN8egqXLsc/edit"",""2025-26!ak3"")"),31.0)</f>
        <v>31</v>
      </c>
      <c r="CC180" s="55">
        <f>IFERROR(__xludf.DUMMYFUNCTION("importrange(""https://docs.google.com/spreadsheets/u/0/d/1GYGptXDzyVLnWnhcCb5oKA6jmkwDEo2MqJN8egqXLsc/edit"",""2025-26!al4"")"),0.0)</f>
        <v>0</v>
      </c>
      <c r="CD180" s="55">
        <f>IFERROR(__xludf.DUMMYFUNCTION("importrange(""https://docs.google.com/spreadsheets/u/0/d/1GYGptXDzyVLnWnhcCb5oKA6jmkwDEo2MqJN8egqXLsc/edit"",""2025-26!ai3"")"),0.0)</f>
        <v>0</v>
      </c>
      <c r="CE180" s="59">
        <f t="shared" si="65"/>
        <v>0</v>
      </c>
      <c r="CF180" s="55">
        <f>IFERROR(__xludf.DUMMYFUNCTION("importrange(""https://docs.google.com/spreadsheets/u/0/d/1GYGptXDzyVLnWnhcCb5oKA6jmkwDEo2MqJN8egqXLsc/edit"",""2025-26!am4"")"),0.0)</f>
        <v>0</v>
      </c>
      <c r="CG180" s="55">
        <f>IFERROR(__xludf.DUMMYFUNCTION("importrange(""https://docs.google.com/spreadsheets/u/0/d/1GYGptXDzyVLnWnhcCb5oKA6jmkwDEo2MqJN8egqXLsc/edit"",""2025-26!am3"")"),0.0)</f>
        <v>0</v>
      </c>
      <c r="CH180" s="55">
        <f>IFERROR(__xludf.DUMMYFUNCTION("importrange(""https://docs.google.com/spreadsheets/u/0/d/1GYGptXDzyVLnWnhcCb5oKA6jmkwDEo2MqJN8egqXLsc/edit"",""2025-26!an4"")"),1097500.0)</f>
        <v>1097500</v>
      </c>
      <c r="CI180" s="55">
        <f>IFERROR(__xludf.DUMMYFUNCTION("importrange(""https://docs.google.com/spreadsheets/u/0/d/1GYGptXDzyVLnWnhcCb5oKA6jmkwDEo2MqJN8egqXLsc/edit"",""2025-26!an3"")"),31.0)</f>
        <v>31</v>
      </c>
      <c r="CJ180" s="55">
        <f>IFERROR(__xludf.DUMMYFUNCTION("importrange(""https://docs.google.com/spreadsheets/u/0/d/1GYGptXDzyVLnWnhcCb5oKA6jmkwDEo2MqJN8egqXLsc/edit"",""2025-26!ao4"")"),0.0)</f>
        <v>0</v>
      </c>
      <c r="CK180" s="55">
        <f>IFERROR(__xludf.DUMMYFUNCTION("importrange(""https://docs.google.com/spreadsheets/u/0/d/1GYGptXDzyVLnWnhcCb5oKA6jmkwDEo2MqJN8egqXLsc/edit"",""2025-26!ao3"")"),0.0)</f>
        <v>0</v>
      </c>
      <c r="CL180" s="59">
        <f t="shared" si="66"/>
        <v>0</v>
      </c>
      <c r="CM180" s="55">
        <f>IFERROR(__xludf.DUMMYFUNCTION("importrange(""https://docs.google.com/spreadsheets/u/0/d/1GYGptXDzyVLnWnhcCb5oKA6jmkwDEo2MqJN8egqXLsc/edit"",""2025-26!ap4"")"),0.0)</f>
        <v>0</v>
      </c>
      <c r="CN180" s="55">
        <f>IFERROR(__xludf.DUMMYFUNCTION("importrange(""https://docs.google.com/spreadsheets/u/0/d/1GYGptXDzyVLnWnhcCb5oKA6jmkwDEo2MqJN8egqXLsc/edit"",""2025-26!ap3"")"),0.0)</f>
        <v>0</v>
      </c>
      <c r="CO180" s="55">
        <f>IFERROR(__xludf.DUMMYFUNCTION("importrange(""https://docs.google.com/spreadsheets/u/0/d/1GYGptXDzyVLnWnhcCb5oKA6jmkwDEo2MqJN8egqXLsc/edit"",""2025-26!aq4"")"),1097500.0)</f>
        <v>1097500</v>
      </c>
      <c r="CP180" s="55">
        <f>IFERROR(__xludf.DUMMYFUNCTION("importrange(""https://docs.google.com/spreadsheets/u/0/d/1GYGptXDzyVLnWnhcCb5oKA6jmkwDEo2MqJN8egqXLsc/edit"",""2025-26!aq3"")"),31.0)</f>
        <v>31</v>
      </c>
      <c r="CQ180" s="55">
        <f>IFERROR(__xludf.DUMMYFUNCTION("importrange(""https://docs.google.com/spreadsheets/u/0/d/1GYGptXDzyVLnWnhcCb5oKA6jmkwDEo2MqJN8egqXLsc/edit"",""2025-26!ar4"")"),0.0)</f>
        <v>0</v>
      </c>
      <c r="CR180" s="55">
        <f>IFERROR(__xludf.DUMMYFUNCTION("importrange(""https://docs.google.com/spreadsheets/u/0/d/1GYGptXDzyVLnWnhcCb5oKA6jmkwDEo2MqJN8egqXLsc/edit"",""2025-26!ar3"")"),0.0)</f>
        <v>0</v>
      </c>
      <c r="CS180" s="59">
        <f t="shared" si="67"/>
        <v>0</v>
      </c>
      <c r="CT180" s="55">
        <f>IFERROR(__xludf.DUMMYFUNCTION("importrange(""https://docs.google.com/spreadsheets/u/0/d/1GYGptXDzyVLnWnhcCb5oKA6jmkwDEo2MqJN8egqXLsc/edit"",""2025-26!as4"")"),0.0)</f>
        <v>0</v>
      </c>
      <c r="CU180" s="55">
        <f>IFERROR(__xludf.DUMMYFUNCTION("importrange(""https://docs.google.com/spreadsheets/u/0/d/1GYGptXDzyVLnWnhcCb5oKA6jmkwDEo2MqJN8egqXLsc/edit"",""2025-26!as3"")"),0.0)</f>
        <v>0</v>
      </c>
      <c r="CV180" s="60" t="s">
        <v>56</v>
      </c>
    </row>
    <row r="181">
      <c r="A181" s="145" t="s">
        <v>53</v>
      </c>
      <c r="B181" s="145" t="s">
        <v>53</v>
      </c>
      <c r="C181" s="136" t="s">
        <v>373</v>
      </c>
      <c r="D181" s="68" t="s">
        <v>374</v>
      </c>
      <c r="E181" s="68">
        <v>9.996858055E9</v>
      </c>
      <c r="F181" s="78">
        <v>45488.0</v>
      </c>
      <c r="G181" s="62"/>
      <c r="H181" s="62"/>
      <c r="I181" s="53">
        <f>VLOOKUP($C181,Data!$C:$BV,72,0)</f>
        <v>32500</v>
      </c>
      <c r="J181" s="54">
        <v>1500000.0</v>
      </c>
      <c r="K181" s="55">
        <f>IFERROR(__xludf.DUMMYFUNCTION("IMPORTRANGE(""1qF-N5gh0pzhvfnkdvK31HzspB2T2P3xi-ZoL9iStLH4"",""2025-26!A3"")"),52.0)</f>
        <v>52</v>
      </c>
      <c r="L181" s="55">
        <f>IFERROR(__xludf.DUMMYFUNCTION("IMPORTRANGE(""1qF-N5gh0pzhvfnkdvK31HzspB2T2P3xi-ZoL9iStLH4"",""2025-26!G4"")"),1.3296867666666664E7)</f>
        <v>13296867.67</v>
      </c>
      <c r="M181" s="55">
        <f t="shared" ref="M181:M182" si="78">R181+Y181+AF181+AM181+AT181+BA181+BH181+BO181+BV181+CC181+CJ181+CQ181</f>
        <v>477497.83</v>
      </c>
      <c r="N181" s="56">
        <f t="shared" ref="N181:N182" si="79">O181/L181</f>
        <v>0</v>
      </c>
      <c r="O181" s="57">
        <f t="shared" ref="O181:O182" si="80">U181+AB181+AI181+AP181+AW181+BD181+BK181+BR181+BY181+CF181+CM181+CT181</f>
        <v>0</v>
      </c>
      <c r="P181" s="55">
        <f>IFERROR(__xludf.DUMMYFUNCTION("IMPORTRANGE(""1qF-N5gh0pzhvfnkdvK31HzspB2T2P3xi-ZoL9iStLH4"",""2025-26!J4"")"),453000.0)</f>
        <v>453000</v>
      </c>
      <c r="Q181" s="55">
        <f>IFERROR(__xludf.DUMMYFUNCTION("IMPORTRANGE(""1qF-N5gh0pzhvfnkdvK31HzspB2T2P3xi-ZoL9iStLH4"",""2025-26!J3"")"),34.0)</f>
        <v>34</v>
      </c>
      <c r="R181" s="55">
        <f>IFERROR(__xludf.DUMMYFUNCTION("IMPORTRANGE(""1qF-N5gh0pzhvfnkdvK31HzspB2T2P3xi-ZoL9iStLH4"",""2025-26!K4"")"),170248.0)</f>
        <v>170248</v>
      </c>
      <c r="S181" s="55">
        <f>IFERROR(__xludf.DUMMYFUNCTION("IMPORTRANGE(""1qF-N5gh0pzhvfnkdvK31HzspB2T2P3xi-ZoL9iStLH4"",""2025-26!K3"")"),9.0)</f>
        <v>9</v>
      </c>
      <c r="T181" s="58">
        <f t="shared" si="56"/>
        <v>0</v>
      </c>
      <c r="U181" s="55">
        <f>IFERROR(__xludf.DUMMYFUNCTION("IMPORTRANGE(""1qF-N5gh0pzhvfnkdvK31HzspB2T2P3xi-ZoL9iStLH4"",""2025-26!L4"")"),0.0)</f>
        <v>0</v>
      </c>
      <c r="V181" s="55">
        <f>IFERROR(__xludf.DUMMYFUNCTION("IMPORTRANGE(""1qF-N5gh0pzhvfnkdvK31HzspB2T2P3xi-ZoL9iStLH4"",""2025-26!L3"")"),0.0)</f>
        <v>0</v>
      </c>
      <c r="W181" s="55">
        <f>IFERROR(__xludf.DUMMYFUNCTION("IMPORTRANGE(""1qF-N5gh0pzhvfnkdvK31HzspB2T2P3xi-ZoL9iStLH4"",""2025-26!m4"")"),469000.0)</f>
        <v>469000</v>
      </c>
      <c r="X181" s="55">
        <f>IFERROR(__xludf.DUMMYFUNCTION("IMPORTRANGE(""1qF-N5gh0pzhvfnkdvK31HzspB2T2P3xi-ZoL9iStLH4"",""2025-26!m3"")"),34.0)</f>
        <v>34</v>
      </c>
      <c r="Y181" s="55">
        <f>IFERROR(__xludf.DUMMYFUNCTION("IMPORTRANGE(""1qF-N5gh0pzhvfnkdvK31HzspB2T2P3xi-ZoL9iStLH4"",""2025-26!N4"")"),238074.85)</f>
        <v>238074.85</v>
      </c>
      <c r="Z181" s="55">
        <f>IFERROR(__xludf.DUMMYFUNCTION("IMPORTRANGE(""1qF-N5gh0pzhvfnkdvK31HzspB2T2P3xi-ZoL9iStLH4"",""2025-26!N3"")"),13.0)</f>
        <v>13</v>
      </c>
      <c r="AA181" s="58">
        <f t="shared" si="57"/>
        <v>0</v>
      </c>
      <c r="AB181" s="55">
        <f>IFERROR(__xludf.DUMMYFUNCTION("IMPORTRANGE(""1qF-N5gh0pzhvfnkdvK31HzspB2T2P3xi-ZoL9iStLH4"",""2025-26!O4"")"),0.0)</f>
        <v>0</v>
      </c>
      <c r="AC181" s="55">
        <f>IFERROR(__xludf.DUMMYFUNCTION("IMPORTRANGE(""1qF-N5gh0pzhvfnkdvK31HzspB2T2P3xi-ZoL9iStLH4"",""2025-26!O3"")"),0.0)</f>
        <v>0</v>
      </c>
      <c r="AD181" s="55">
        <f>IFERROR(__xludf.DUMMYFUNCTION("IMPORTRANGE(""1qF-N5gh0pzhvfnkdvK31HzspB2T2P3xi-ZoL9iStLH4"",""2025-26!P4"")"),511000.0)</f>
        <v>511000</v>
      </c>
      <c r="AE181" s="55">
        <f>IFERROR(__xludf.DUMMYFUNCTION("IMPORTRANGE(""1qF-N5gh0pzhvfnkdvK31HzspB2T2P3xi-ZoL9iStLH4"",""2025-26!P3"")"),34.0)</f>
        <v>34</v>
      </c>
      <c r="AF181" s="55">
        <f>IFERROR(__xludf.DUMMYFUNCTION("IMPORTRANGE(""1qF-N5gh0pzhvfnkdvK31HzspB2T2P3xi-ZoL9iStLH4"",""2025-26!Q4"")"),69174.98)</f>
        <v>69174.98</v>
      </c>
      <c r="AG181" s="55">
        <f>IFERROR(__xludf.DUMMYFUNCTION("IMPORTRANGE(""1qF-N5gh0pzhvfnkdvK31HzspB2T2P3xi-ZoL9iStLH4"",""2025-26!Q3"")"),3.0)</f>
        <v>3</v>
      </c>
      <c r="AH181" s="58">
        <f t="shared" si="58"/>
        <v>0</v>
      </c>
      <c r="AI181" s="55">
        <f>IFERROR(__xludf.DUMMYFUNCTION("IMPORTRANGE(""1qF-N5gh0pzhvfnkdvK31HzspB2T2P3xi-ZoL9iStLH4"",""2025-26!R4"")"),0.0)</f>
        <v>0</v>
      </c>
      <c r="AJ181" s="55">
        <f>IFERROR(__xludf.DUMMYFUNCTION("IMPORTRANGE(""1qF-N5gh0pzhvfnkdvK31HzspB2T2P3xi-ZoL9iStLH4"",""2025-26!R3"")"),0.0)</f>
        <v>0</v>
      </c>
      <c r="AK181" s="55">
        <f>IFERROR(__xludf.DUMMYFUNCTION("IMPORTRANGE(""1qF-N5gh0pzhvfnkdvK31HzspB2T2P3xi-ZoL9iStLH4"",""2025-26!S4"")"),1119000.0)</f>
        <v>1119000</v>
      </c>
      <c r="AL181" s="55">
        <f>IFERROR(__xludf.DUMMYFUNCTION("IMPORTRANGE(""1qF-N5gh0pzhvfnkdvK31HzspB2T2P3xi-ZoL9iStLH4"",""2025-26!S3"")"),37.0)</f>
        <v>37</v>
      </c>
      <c r="AM181" s="55">
        <f>IFERROR(__xludf.DUMMYFUNCTION("IMPORTRANGE(""1qF-N5gh0pzhvfnkdvK31HzspB2T2P3xi-ZoL9iStLH4"",""2025-26!T4"")"),0.0)</f>
        <v>0</v>
      </c>
      <c r="AN181" s="55">
        <f>IFERROR(__xludf.DUMMYFUNCTION("IMPORTRANGE(""1qF-N5gh0pzhvfnkdvK31HzspB2T2P3xi-ZoL9iStLH4"",""2025-26!T3"")"),0.0)</f>
        <v>0</v>
      </c>
      <c r="AO181" s="58">
        <f t="shared" si="59"/>
        <v>0</v>
      </c>
      <c r="AP181" s="55">
        <f>IFERROR(__xludf.DUMMYFUNCTION("IMPORTRANGE(""1qF-N5gh0pzhvfnkdvK31HzspB2T2P3xi-ZoL9iStLH4"",""2025-26!U4"")"),0.0)</f>
        <v>0</v>
      </c>
      <c r="AQ181" s="55">
        <f>IFERROR(__xludf.DUMMYFUNCTION("IMPORTRANGE(""1qF-N5gh0pzhvfnkdvK31HzspB2T2P3xi-ZoL9iStLH4"",""2025-26!U3"")"),0.0)</f>
        <v>0</v>
      </c>
      <c r="AR181" s="55">
        <f>IFERROR(__xludf.DUMMYFUNCTION("IMPORTRANGE(""1qF-N5gh0pzhvfnkdvK31HzspB2T2P3xi-ZoL9iStLH4"",""2025-26!V4"")"),0.0)</f>
        <v>0</v>
      </c>
      <c r="AS181" s="55">
        <f>IFERROR(__xludf.DUMMYFUNCTION("IMPORTRANGE(""1qF-N5gh0pzhvfnkdvK31HzspB2T2P3xi-ZoL9iStLH4"",""2025-26!V3"")"),0.0)</f>
        <v>0</v>
      </c>
      <c r="AT181" s="55">
        <f>IFERROR(__xludf.DUMMYFUNCTION("IMPORTRANGE(""1qF-N5gh0pzhvfnkdvK31HzspB2T2P3xi-ZoL9iStLH4"",""2025-26!W4"")"),0.0)</f>
        <v>0</v>
      </c>
      <c r="AU181" s="55">
        <f>IFERROR(__xludf.DUMMYFUNCTION("IMPORTRANGE(""1qF-N5gh0pzhvfnkdvK31HzspB2T2P3xi-ZoL9iStLH4"",""2025-26!W3"")"),0.0)</f>
        <v>0</v>
      </c>
      <c r="AV181" s="58" t="str">
        <f t="shared" si="60"/>
        <v/>
      </c>
      <c r="AW181" s="55">
        <f>IFERROR(__xludf.DUMMYFUNCTION("IMPORTRANGE(""1qF-N5gh0pzhvfnkdvK31HzspB2T2P3xi-ZoL9iStLH4"",""2025-26!X4"")"),0.0)</f>
        <v>0</v>
      </c>
      <c r="AX181" s="55">
        <f>IFERROR(__xludf.DUMMYFUNCTION("IMPORTRANGE(""1qF-N5gh0pzhvfnkdvK31HzspB2T2P3xi-ZoL9iStLH4"",""2025-26!X3"")"),0.0)</f>
        <v>0</v>
      </c>
      <c r="AY181" s="55">
        <f>IFERROR(__xludf.DUMMYFUNCTION("IMPORTRANGE(""1qF-N5gh0pzhvfnkdvK31HzspB2T2P3xi-ZoL9iStLH4"",""2025-26!Y4"")"),0.0)</f>
        <v>0</v>
      </c>
      <c r="AZ181" s="55">
        <f>IFERROR(__xludf.DUMMYFUNCTION("IMPORTRANGE(""1qF-N5gh0pzhvfnkdvK31HzspB2T2P3xi-ZoL9iStLH4"",""2025-26!Y3"")"),0.0)</f>
        <v>0</v>
      </c>
      <c r="BA181" s="55">
        <f>IFERROR(__xludf.DUMMYFUNCTION("IMPORTRANGE(""1qF-N5gh0pzhvfnkdvK31HzspB2T2P3xi-ZoL9iStLH4"",""2025-26!Z4"")"),0.0)</f>
        <v>0</v>
      </c>
      <c r="BB181" s="55">
        <f>IFERROR(__xludf.DUMMYFUNCTION("IMPORTRANGE(""1qF-N5gh0pzhvfnkdvK31HzspB2T2P3xi-ZoL9iStLH4"",""2025-26!Z3"")"),0.0)</f>
        <v>0</v>
      </c>
      <c r="BC181" s="59" t="str">
        <f t="shared" si="61"/>
        <v/>
      </c>
      <c r="BD181" s="55">
        <f>IFERROR(__xludf.DUMMYFUNCTION("IMPORTRANGE(""1qF-N5gh0pzhvfnkdvK31HzspB2T2P3xi-ZoL9iStLH4"",""2025-26!AA4"")"),0.0)</f>
        <v>0</v>
      </c>
      <c r="BE181" s="55">
        <f>IFERROR(__xludf.DUMMYFUNCTION("IMPORTRANGE(""1qF-N5gh0pzhvfnkdvK31HzspB2T2P3xi-ZoL9iStLH4"",""2025-26!AA3"")"),0.0)</f>
        <v>0</v>
      </c>
      <c r="BF181" s="55">
        <f>IFERROR(__xludf.DUMMYFUNCTION("IMPORTRANGE(""1qF-N5gh0pzhvfnkdvK31HzspB2T2P3xi-ZoL9iStLH4"",""2025-26!AB4"")"),0.0)</f>
        <v>0</v>
      </c>
      <c r="BG181" s="55">
        <f>IFERROR(__xludf.DUMMYFUNCTION("IMPORTRANGE(""1qF-N5gh0pzhvfnkdvK31HzspB2T2P3xi-ZoL9iStLH4"",""2025-26!AB3"")"),0.0)</f>
        <v>0</v>
      </c>
      <c r="BH181" s="55">
        <f>IFERROR(__xludf.DUMMYFUNCTION("IMPORTRANGE(""1qF-N5gh0pzhvfnkdvK31HzspB2T2P3xi-ZoL9iStLH4"",""2025-26!AC4"")"),0.0)</f>
        <v>0</v>
      </c>
      <c r="BI181" s="55">
        <f>IFERROR(__xludf.DUMMYFUNCTION("IMPORTRANGE(""1qF-N5gh0pzhvfnkdvK31HzspB2T2P3xi-ZoL9iStLH4"",""2025-26!AC3"")"),0.0)</f>
        <v>0</v>
      </c>
      <c r="BJ181" s="59" t="str">
        <f t="shared" si="62"/>
        <v/>
      </c>
      <c r="BK181" s="55">
        <f>IFERROR(__xludf.DUMMYFUNCTION("IMPORTRANGE(""1qF-N5gh0pzhvfnkdvK31HzspB2T2P3xi-ZoL9iStLH4"",""2025-26!AD4"")"),0.0)</f>
        <v>0</v>
      </c>
      <c r="BL181" s="55">
        <f>IFERROR(__xludf.DUMMYFUNCTION("IMPORTRANGE(""1qF-N5gh0pzhvfnkdvK31HzspB2T2P3xi-ZoL9iStLH4"",""2025-26!AD3"")"),0.0)</f>
        <v>0</v>
      </c>
      <c r="BM181" s="55">
        <f>IFERROR(__xludf.DUMMYFUNCTION("IMPORTRANGE(""1qF-N5gh0pzhvfnkdvK31HzspB2T2P3xi-ZoL9iStLH4"",""2025-26!AE4"")"),0.0)</f>
        <v>0</v>
      </c>
      <c r="BN181" s="55">
        <f>IFERROR(__xludf.DUMMYFUNCTION("IMPORTRANGE(""1qF-N5gh0pzhvfnkdvK31HzspB2T2P3xi-ZoL9iStLH4"",""2025-26!AE3"")"),0.0)</f>
        <v>0</v>
      </c>
      <c r="BO181" s="55">
        <f>IFERROR(__xludf.DUMMYFUNCTION("IMPORTRANGE(""1qF-N5gh0pzhvfnkdvK31HzspB2T2P3xi-ZoL9iStLH4"",""2025-26!AF4"")"),0.0)</f>
        <v>0</v>
      </c>
      <c r="BP181" s="55">
        <f>IFERROR(__xludf.DUMMYFUNCTION("IMPORTRANGE(""1qF-N5gh0pzhvfnkdvK31HzspB2T2P3xi-ZoL9iStLH4"",""2025-26!AF3"")"),0.0)</f>
        <v>0</v>
      </c>
      <c r="BQ181" s="59" t="str">
        <f t="shared" si="63"/>
        <v/>
      </c>
      <c r="BR181" s="55">
        <f>IFERROR(__xludf.DUMMYFUNCTION("IMPORTRANGE(""1qF-N5gh0pzhvfnkdvK31HzspB2T2P3xi-ZoL9iStLH4"",""2025-26!AG4"")"),0.0)</f>
        <v>0</v>
      </c>
      <c r="BS181" s="55">
        <f>IFERROR(__xludf.DUMMYFUNCTION("IMPORTRANGE(""1qF-N5gh0pzhvfnkdvK31HzspB2T2P3xi-ZoL9iStLH4"",""2025-26!AG3"")"),0.0)</f>
        <v>0</v>
      </c>
      <c r="BT181" s="55">
        <f>IFERROR(__xludf.DUMMYFUNCTION("IMPORTRANGE(""1qF-N5gh0pzhvfnkdvK31HzspB2T2P3xi-ZoL9iStLH4"",""2025-26!AH4"")"),0.0)</f>
        <v>0</v>
      </c>
      <c r="BU181" s="55">
        <f>IFERROR(__xludf.DUMMYFUNCTION("IMPORTRANGE(""1qF-N5gh0pzhvfnkdvK31HzspB2T2P3xi-ZoL9iStLH4"",""2025-26!AH3"")"),0.0)</f>
        <v>0</v>
      </c>
      <c r="BV181" s="55">
        <f>IFERROR(__xludf.DUMMYFUNCTION("IMPORTRANGE(""1qF-N5gh0pzhvfnkdvK31HzspB2T2P3xi-ZoL9iStLH4"",""2025-26!AI4"")"),0.0)</f>
        <v>0</v>
      </c>
      <c r="BW181" s="55">
        <f>IFERROR(__xludf.DUMMYFUNCTION("IMPORTRANGE(""1qF-N5gh0pzhvfnkdvK31HzspB2T2P3xi-ZoL9iStLH4"",""2025-26!AI3"")"),0.0)</f>
        <v>0</v>
      </c>
      <c r="BX181" s="59" t="str">
        <f t="shared" si="64"/>
        <v/>
      </c>
      <c r="BY181" s="55">
        <f>IFERROR(__xludf.DUMMYFUNCTION("IMPORTRANGE(""1qF-N5gh0pzhvfnkdvK31HzspB2T2P3xi-ZoL9iStLH4"",""2025-26!AJ4"")"),0.0)</f>
        <v>0</v>
      </c>
      <c r="BZ181" s="55">
        <f>IFERROR(__xludf.DUMMYFUNCTION("IMPORTRANGE(""1qF-N5gh0pzhvfnkdvK31HzspB2T2P3xi-ZoL9iStLH4"",""2025-26!AJ3"")"),0.0)</f>
        <v>0</v>
      </c>
      <c r="CA181" s="55">
        <f>IFERROR(__xludf.DUMMYFUNCTION("IMPORTRANGE(""1qF-N5gh0pzhvfnkdvK31HzspB2T2P3xi-ZoL9iStLH4"",""2025-26!AK4"")"),0.0)</f>
        <v>0</v>
      </c>
      <c r="CB181" s="55">
        <f>IFERROR(__xludf.DUMMYFUNCTION("IMPORTRANGE(""1qF-N5gh0pzhvfnkdvK31HzspB2T2P3xi-ZoL9iStLH4"",""2025-26!AK3"")"),0.0)</f>
        <v>0</v>
      </c>
      <c r="CC181" s="55">
        <f>IFERROR(__xludf.DUMMYFUNCTION("IMPORTRANGE(""1qF-N5gh0pzhvfnkdvK31HzspB2T2P3xi-ZoL9iStLH4"",""2025-26!AL4"")"),0.0)</f>
        <v>0</v>
      </c>
      <c r="CD181" s="55">
        <f>IFERROR(__xludf.DUMMYFUNCTION("IMPORTRANGE(""1qF-N5gh0pzhvfnkdvK31HzspB2T2P3xi-ZoL9iStLH4"",""2025-26!AL3"")"),0.0)</f>
        <v>0</v>
      </c>
      <c r="CE181" s="59" t="str">
        <f t="shared" si="65"/>
        <v/>
      </c>
      <c r="CF181" s="55">
        <f>IFERROR(__xludf.DUMMYFUNCTION("IMPORTRANGE(""1qF-N5gh0pzhvfnkdvK31HzspB2T2P3xi-ZoL9iStLH4"",""2025-26!AM4"")"),0.0)</f>
        <v>0</v>
      </c>
      <c r="CG181" s="55">
        <f>IFERROR(__xludf.DUMMYFUNCTION("IMPORTRANGE(""1qF-N5gh0pzhvfnkdvK31HzspB2T2P3xi-ZoL9iStLH4"",""2025-26!AM3"")"),0.0)</f>
        <v>0</v>
      </c>
      <c r="CH181" s="55">
        <f>IFERROR(__xludf.DUMMYFUNCTION("IMPORTRANGE(""1qF-N5gh0pzhvfnkdvK31HzspB2T2P3xi-ZoL9iStLH4"",""2025-26!AN4"")"),0.0)</f>
        <v>0</v>
      </c>
      <c r="CI181" s="55">
        <f>IFERROR(__xludf.DUMMYFUNCTION("IMPORTRANGE(""1qF-N5gh0pzhvfnkdvK31HzspB2T2P3xi-ZoL9iStLH4"",""2025-26!AN3"")"),0.0)</f>
        <v>0</v>
      </c>
      <c r="CJ181" s="55">
        <f>IFERROR(__xludf.DUMMYFUNCTION("IMPORTRANGE(""1qF-N5gh0pzhvfnkdvK31HzspB2T2P3xi-ZoL9iStLH4"",""2025-26!AO4"")"),0.0)</f>
        <v>0</v>
      </c>
      <c r="CK181" s="55">
        <f>IFERROR(__xludf.DUMMYFUNCTION("IMPORTRANGE(""1qF-N5gh0pzhvfnkdvK31HzspB2T2P3xi-ZoL9iStLH4"",""2025-26!AO3"")"),0.0)</f>
        <v>0</v>
      </c>
      <c r="CL181" s="59" t="str">
        <f t="shared" si="66"/>
        <v/>
      </c>
      <c r="CM181" s="55">
        <f>IFERROR(__xludf.DUMMYFUNCTION("IMPORTRANGE(""1qF-N5gh0pzhvfnkdvK31HzspB2T2P3xi-ZoL9iStLH4"",""2025-26!AP4"")"),0.0)</f>
        <v>0</v>
      </c>
      <c r="CN181" s="55">
        <f>IFERROR(__xludf.DUMMYFUNCTION("IMPORTRANGE(""1qF-N5gh0pzhvfnkdvK31HzspB2T2P3xi-ZoL9iStLH4"",""2025-26!AP3"")"),0.0)</f>
        <v>0</v>
      </c>
      <c r="CO181" s="55">
        <f>IFERROR(__xludf.DUMMYFUNCTION("IMPORTRANGE(""1qF-N5gh0pzhvfnkdvK31HzspB2T2P3xi-ZoL9iStLH4"",""2025-26!AQ4"")"),0.0)</f>
        <v>0</v>
      </c>
      <c r="CP181" s="55">
        <f>IFERROR(__xludf.DUMMYFUNCTION("IMPORTRANGE(""1qF-N5gh0pzhvfnkdvK31HzspB2T2P3xi-ZoL9iStLH4"",""2025-26!AQ3"")"),0.0)</f>
        <v>0</v>
      </c>
      <c r="CQ181" s="55">
        <f>IFERROR(__xludf.DUMMYFUNCTION("IMPORTRANGE(""1qF-N5gh0pzhvfnkdvK31HzspB2T2P3xi-ZoL9iStLH4"",""2025-26!AR4"")"),0.0)</f>
        <v>0</v>
      </c>
      <c r="CR181" s="55">
        <f>IFERROR(__xludf.DUMMYFUNCTION("IMPORTRANGE(""1qF-N5gh0pzhvfnkdvK31HzspB2T2P3xi-ZoL9iStLH4"",""2025-26!AR3"")"),0.0)</f>
        <v>0</v>
      </c>
      <c r="CS181" s="59" t="str">
        <f t="shared" si="67"/>
        <v/>
      </c>
      <c r="CT181" s="55">
        <f>IFERROR(__xludf.DUMMYFUNCTION("IMPORTRANGE(""1qF-N5gh0pzhvfnkdvK31HzspB2T2P3xi-ZoL9iStLH4"",""2025-26!AS4"")"),0.0)</f>
        <v>0</v>
      </c>
      <c r="CU181" s="55">
        <f>IFERROR(__xludf.DUMMYFUNCTION("IMPORTRANGE(""1qF-N5gh0pzhvfnkdvK31HzspB2T2P3xi-ZoL9iStLH4"",""2025-26!AS3"")"),0.0)</f>
        <v>0</v>
      </c>
      <c r="CV181" s="60" t="s">
        <v>61</v>
      </c>
    </row>
    <row r="182">
      <c r="A182" s="145" t="s">
        <v>53</v>
      </c>
      <c r="B182" s="145" t="s">
        <v>53</v>
      </c>
      <c r="C182" s="146" t="s">
        <v>375</v>
      </c>
      <c r="D182" s="68" t="s">
        <v>376</v>
      </c>
      <c r="E182" s="68">
        <v>8.7086567E9</v>
      </c>
      <c r="F182" s="66">
        <v>45789.0</v>
      </c>
      <c r="G182" s="62"/>
      <c r="H182" s="62"/>
      <c r="I182" s="53">
        <f>VLOOKUP($C182,Data!$C:$BV,72,0)</f>
        <v>30400</v>
      </c>
      <c r="J182" s="54">
        <v>500000.0</v>
      </c>
      <c r="K182" s="55">
        <f>IFERROR(__xludf.DUMMYFUNCTION("IMPORTRANGE(""1_DxrCI_6blyShkMQ1r1aLOYPX5gjpmyzXOigayRQJaw"",""2025-26!A3"")"),64.0)</f>
        <v>64</v>
      </c>
      <c r="L182" s="55">
        <f>IFERROR(__xludf.DUMMYFUNCTION("IMPORTRANGE(""1_DxrCI_6blyShkMQ1r1aLOYPX5gjpmyzXOigayRQJaw"",""2025-26!G4"")"),2880000.0)</f>
        <v>2880000</v>
      </c>
      <c r="M182" s="55">
        <f t="shared" si="78"/>
        <v>1043511.671</v>
      </c>
      <c r="N182" s="56">
        <f t="shared" si="79"/>
        <v>0.1729475694</v>
      </c>
      <c r="O182" s="57">
        <f t="shared" si="80"/>
        <v>498089</v>
      </c>
      <c r="P182" s="55">
        <f>IFERROR(__xludf.DUMMYFUNCTION("IMPORTRANGE(""1_DxrCI_6blyShkMQ1r1aLOYPX5gjpmyzXOigayRQJaw"",""2025-26!J4"")"),0.0)</f>
        <v>0</v>
      </c>
      <c r="Q182" s="55">
        <f>IFERROR(__xludf.DUMMYFUNCTION("IMPORTRANGE(""1_DxrCI_6blyShkMQ1r1aLOYPX5gjpmyzXOigayRQJaw"",""2025-26!J3"")"),0.0)</f>
        <v>0</v>
      </c>
      <c r="R182" s="55">
        <f>IFERROR(__xludf.DUMMYFUNCTION("IMPORTRANGE(""1_DxrCI_6blyShkMQ1r1aLOYPX5gjpmyzXOigayRQJaw"",""2025-26!K4"")"),0.0)</f>
        <v>0</v>
      </c>
      <c r="S182" s="55">
        <f>IFERROR(__xludf.DUMMYFUNCTION("IMPORTRANGE(""1_DxrCI_6blyShkMQ1r1aLOYPX5gjpmyzXOigayRQJaw"",""2025-26!K3"")"),0.0)</f>
        <v>0</v>
      </c>
      <c r="T182" s="58" t="str">
        <f t="shared" si="56"/>
        <v/>
      </c>
      <c r="U182" s="55">
        <f>IFERROR(__xludf.DUMMYFUNCTION("IMPORTRANGE(""1_DxrCI_6blyShkMQ1r1aLOYPX5gjpmyzXOigayRQJaw"",""2025-26!L4"")"),0.0)</f>
        <v>0</v>
      </c>
      <c r="V182" s="55">
        <f>IFERROR(__xludf.DUMMYFUNCTION("IMPORTRANGE(""1_DxrCI_6blyShkMQ1r1aLOYPX5gjpmyzXOigayRQJaw"",""2025-26!L3"")"),0.0)</f>
        <v>0</v>
      </c>
      <c r="W182" s="55">
        <f>IFERROR(__xludf.DUMMYFUNCTION("IMPORTRANGE(""1_DxrCI_6blyShkMQ1r1aLOYPX5gjpmyzXOigayRQJaw"",""2025-26!m4"")"),0.0)</f>
        <v>0</v>
      </c>
      <c r="X182" s="55">
        <f>IFERROR(__xludf.DUMMYFUNCTION("IMPORTRANGE(""1_DxrCI_6blyShkMQ1r1aLOYPX5gjpmyzXOigayRQJaw"",""2025-26!m3"")"),0.0)</f>
        <v>0</v>
      </c>
      <c r="Y182" s="55">
        <f>IFERROR(__xludf.DUMMYFUNCTION("IMPORTRANGE(""1_DxrCI_6blyShkMQ1r1aLOYPX5gjpmyzXOigayRQJaw"",""2025-26!N4"")"),0.0)</f>
        <v>0</v>
      </c>
      <c r="Z182" s="55">
        <f>IFERROR(__xludf.DUMMYFUNCTION("IMPORTRANGE(""1_DxrCI_6blyShkMQ1r1aLOYPX5gjpmyzXOigayRQJaw"",""2025-26!N3"")"),0.0)</f>
        <v>0</v>
      </c>
      <c r="AA182" s="58" t="str">
        <f t="shared" si="57"/>
        <v/>
      </c>
      <c r="AB182" s="55">
        <f>IFERROR(__xludf.DUMMYFUNCTION("IMPORTRANGE(""1_DxrCI_6blyShkMQ1r1aLOYPX5gjpmyzXOigayRQJaw"",""2025-26!O4"")"),0.0)</f>
        <v>0</v>
      </c>
      <c r="AC182" s="55">
        <f>IFERROR(__xludf.DUMMYFUNCTION("IMPORTRANGE(""1_DxrCI_6blyShkMQ1r1aLOYPX5gjpmyzXOigayRQJaw"",""2025-26!O3"")"),0.0)</f>
        <v>0</v>
      </c>
      <c r="AD182" s="55">
        <f>IFERROR(__xludf.DUMMYFUNCTION("IMPORTRANGE(""1_DxrCI_6blyShkMQ1r1aLOYPX5gjpmyzXOigayRQJaw"",""2025-26!P4"")"),331000.0)</f>
        <v>331000</v>
      </c>
      <c r="AE182" s="55">
        <f>IFERROR(__xludf.DUMMYFUNCTION("IMPORTRANGE(""1_DxrCI_6blyShkMQ1r1aLOYPX5gjpmyzXOigayRQJaw"",""2025-26!P3"")"),20.0)</f>
        <v>20</v>
      </c>
      <c r="AF182" s="55">
        <f>IFERROR(__xludf.DUMMYFUNCTION("IMPORTRANGE(""1_DxrCI_6blyShkMQ1r1aLOYPX5gjpmyzXOigayRQJaw"",""2025-26!Q4"")"),408270.540625)</f>
        <v>408270.5406</v>
      </c>
      <c r="AG182" s="55">
        <f>IFERROR(__xludf.DUMMYFUNCTION("IMPORTRANGE(""1_DxrCI_6blyShkMQ1r1aLOYPX5gjpmyzXOigayRQJaw"",""2025-26!Q3"")"),10.0)</f>
        <v>10</v>
      </c>
      <c r="AH182" s="58">
        <f t="shared" si="58"/>
        <v>1.007758308</v>
      </c>
      <c r="AI182" s="55">
        <f>IFERROR(__xludf.DUMMYFUNCTION("IMPORTRANGE(""1_DxrCI_6blyShkMQ1r1aLOYPX5gjpmyzXOigayRQJaw"",""2025-26!R4"")"),333568.0)</f>
        <v>333568</v>
      </c>
      <c r="AJ182" s="55">
        <f>IFERROR(__xludf.DUMMYFUNCTION("IMPORTRANGE(""1_DxrCI_6blyShkMQ1r1aLOYPX5gjpmyzXOigayRQJaw"",""2025-26!R3"")"),11.0)</f>
        <v>11</v>
      </c>
      <c r="AK182" s="55">
        <f>IFERROR(__xludf.DUMMYFUNCTION("IMPORTRANGE(""1_DxrCI_6blyShkMQ1r1aLOYPX5gjpmyzXOigayRQJaw"",""2025-26!S4"")"),598000.0)</f>
        <v>598000</v>
      </c>
      <c r="AL182" s="55">
        <f>IFERROR(__xludf.DUMMYFUNCTION("IMPORTRANGE(""1_DxrCI_6blyShkMQ1r1aLOYPX5gjpmyzXOigayRQJaw"",""2025-26!S3"")"),33.0)</f>
        <v>33</v>
      </c>
      <c r="AM182" s="55">
        <f>IFERROR(__xludf.DUMMYFUNCTION("IMPORTRANGE(""1_DxrCI_6blyShkMQ1r1aLOYPX5gjpmyzXOigayRQJaw"",""2025-26!T4"")"),243807.35)</f>
        <v>243807.35</v>
      </c>
      <c r="AN182" s="55">
        <f>IFERROR(__xludf.DUMMYFUNCTION("IMPORTRANGE(""1_DxrCI_6blyShkMQ1r1aLOYPX5gjpmyzXOigayRQJaw"",""2025-26!T3"")"),8.0)</f>
        <v>8</v>
      </c>
      <c r="AO182" s="58">
        <f t="shared" si="59"/>
        <v>0.2751187291</v>
      </c>
      <c r="AP182" s="55">
        <f>IFERROR(__xludf.DUMMYFUNCTION("IMPORTRANGE(""1_DxrCI_6blyShkMQ1r1aLOYPX5gjpmyzXOigayRQJaw"",""2025-26!U4"")"),164521.0)</f>
        <v>164521</v>
      </c>
      <c r="AQ182" s="55">
        <f>IFERROR(__xludf.DUMMYFUNCTION("IMPORTRANGE(""1_DxrCI_6blyShkMQ1r1aLOYPX5gjpmyzXOigayRQJaw"",""2025-26!U3"")"),6.0)</f>
        <v>6</v>
      </c>
      <c r="AR182" s="55">
        <f>IFERROR(__xludf.DUMMYFUNCTION("IMPORTRANGE(""1_DxrCI_6blyShkMQ1r1aLOYPX5gjpmyzXOigayRQJaw"",""2025-26!V4"")"),493000.0)</f>
        <v>493000</v>
      </c>
      <c r="AS182" s="55">
        <f>IFERROR(__xludf.DUMMYFUNCTION("IMPORTRANGE(""1_DxrCI_6blyShkMQ1r1aLOYPX5gjpmyzXOigayRQJaw"",""2025-26!V3"")"),32.0)</f>
        <v>32</v>
      </c>
      <c r="AT182" s="55">
        <f>IFERROR(__xludf.DUMMYFUNCTION("IMPORTRANGE(""1_DxrCI_6blyShkMQ1r1aLOYPX5gjpmyzXOigayRQJaw"",""2025-26!W4"")"),252522.68)</f>
        <v>252522.68</v>
      </c>
      <c r="AU182" s="55">
        <f>IFERROR(__xludf.DUMMYFUNCTION("IMPORTRANGE(""1_DxrCI_6blyShkMQ1r1aLOYPX5gjpmyzXOigayRQJaw"",""2025-26!W3"")"),8.0)</f>
        <v>8</v>
      </c>
      <c r="AV182" s="58">
        <f t="shared" si="60"/>
        <v>0</v>
      </c>
      <c r="AW182" s="55">
        <f>IFERROR(__xludf.DUMMYFUNCTION("IMPORTRANGE(""1_DxrCI_6blyShkMQ1r1aLOYPX5gjpmyzXOigayRQJaw"",""2025-26!X4"")"),0.0)</f>
        <v>0</v>
      </c>
      <c r="AX182" s="55">
        <f>IFERROR(__xludf.DUMMYFUNCTION("IMPORTRANGE(""1_DxrCI_6blyShkMQ1r1aLOYPX5gjpmyzXOigayRQJaw"",""2025-26!X3"")"),0.0)</f>
        <v>0</v>
      </c>
      <c r="AY182" s="55">
        <f>IFERROR(__xludf.DUMMYFUNCTION("IMPORTRANGE(""1_DxrCI_6blyShkMQ1r1aLOYPX5gjpmyzXOigayRQJaw"",""2025-26!Y4"")"),0.0)</f>
        <v>0</v>
      </c>
      <c r="AZ182" s="55">
        <f>IFERROR(__xludf.DUMMYFUNCTION("IMPORTRANGE(""1_DxrCI_6blyShkMQ1r1aLOYPX5gjpmyzXOigayRQJaw"",""2025-26!Y3"")"),0.0)</f>
        <v>0</v>
      </c>
      <c r="BA182" s="55">
        <f>IFERROR(__xludf.DUMMYFUNCTION("IMPORTRANGE(""1_DxrCI_6blyShkMQ1r1aLOYPX5gjpmyzXOigayRQJaw"",""2025-26!Z4"")"),138911.1)</f>
        <v>138911.1</v>
      </c>
      <c r="BB182" s="55">
        <f>IFERROR(__xludf.DUMMYFUNCTION("IMPORTRANGE(""1_DxrCI_6blyShkMQ1r1aLOYPX5gjpmyzXOigayRQJaw"",""2025-26!Z3"")"),5.0)</f>
        <v>5</v>
      </c>
      <c r="BC182" s="59" t="str">
        <f t="shared" si="61"/>
        <v/>
      </c>
      <c r="BD182" s="55">
        <f>IFERROR(__xludf.DUMMYFUNCTION("IMPORTRANGE(""1_DxrCI_6blyShkMQ1r1aLOYPX5gjpmyzXOigayRQJaw"",""2025-26!AA4"")"),0.0)</f>
        <v>0</v>
      </c>
      <c r="BE182" s="55">
        <f>IFERROR(__xludf.DUMMYFUNCTION("IMPORTRANGE(""1_DxrCI_6blyShkMQ1r1aLOYPX5gjpmyzXOigayRQJaw"",""2025-26!AA3"")"),0.0)</f>
        <v>0</v>
      </c>
      <c r="BF182" s="55">
        <f>IFERROR(__xludf.DUMMYFUNCTION("IMPORTRANGE(""1_DxrCI_6blyShkMQ1r1aLOYPX5gjpmyzXOigayRQJaw"",""2025-26!AB4"")"),0.0)</f>
        <v>0</v>
      </c>
      <c r="BG182" s="55">
        <f>IFERROR(__xludf.DUMMYFUNCTION("IMPORTRANGE(""1_DxrCI_6blyShkMQ1r1aLOYPX5gjpmyzXOigayRQJaw"",""2025-26!AB3"")"),0.0)</f>
        <v>0</v>
      </c>
      <c r="BH182" s="55">
        <f>IFERROR(__xludf.DUMMYFUNCTION("IMPORTRANGE(""1_DxrCI_6blyShkMQ1r1aLOYPX5gjpmyzXOigayRQJaw"",""2025-26!AC4"")"),0.0)</f>
        <v>0</v>
      </c>
      <c r="BI182" s="55">
        <f>IFERROR(__xludf.DUMMYFUNCTION("IMPORTRANGE(""1_DxrCI_6blyShkMQ1r1aLOYPX5gjpmyzXOigayRQJaw"",""2025-26!AC3"")"),0.0)</f>
        <v>0</v>
      </c>
      <c r="BJ182" s="59" t="str">
        <f t="shared" si="62"/>
        <v/>
      </c>
      <c r="BK182" s="55">
        <f>IFERROR(__xludf.DUMMYFUNCTION("IMPORTRANGE(""1_DxrCI_6blyShkMQ1r1aLOYPX5gjpmyzXOigayRQJaw"",""2025-26!AD4"")"),0.0)</f>
        <v>0</v>
      </c>
      <c r="BL182" s="55">
        <f>IFERROR(__xludf.DUMMYFUNCTION("IMPORTRANGE(""1_DxrCI_6blyShkMQ1r1aLOYPX5gjpmyzXOigayRQJaw"",""2025-26!AD3"")"),0.0)</f>
        <v>0</v>
      </c>
      <c r="BM182" s="55">
        <f>IFERROR(__xludf.DUMMYFUNCTION("IMPORTRANGE(""1_DxrCI_6blyShkMQ1r1aLOYPX5gjpmyzXOigayRQJaw"",""2025-26!AE4"")"),0.0)</f>
        <v>0</v>
      </c>
      <c r="BN182" s="55">
        <f>IFERROR(__xludf.DUMMYFUNCTION("IMPORTRANGE(""1_DxrCI_6blyShkMQ1r1aLOYPX5gjpmyzXOigayRQJaw"",""2025-26!AE3"")"),0.0)</f>
        <v>0</v>
      </c>
      <c r="BO182" s="55">
        <f>IFERROR(__xludf.DUMMYFUNCTION("IMPORTRANGE(""1_DxrCI_6blyShkMQ1r1aLOYPX5gjpmyzXOigayRQJaw"",""2025-26!AF4"")"),0.0)</f>
        <v>0</v>
      </c>
      <c r="BP182" s="55">
        <f>IFERROR(__xludf.DUMMYFUNCTION("IMPORTRANGE(""1_DxrCI_6blyShkMQ1r1aLOYPX5gjpmyzXOigayRQJaw"",""2025-26!AF3"")"),0.0)</f>
        <v>0</v>
      </c>
      <c r="BQ182" s="59" t="str">
        <f t="shared" si="63"/>
        <v/>
      </c>
      <c r="BR182" s="55">
        <f>IFERROR(__xludf.DUMMYFUNCTION("IMPORTRANGE(""1_DxrCI_6blyShkMQ1r1aLOYPX5gjpmyzXOigayRQJaw"",""2025-26!AG4"")"),0.0)</f>
        <v>0</v>
      </c>
      <c r="BS182" s="55">
        <f>IFERROR(__xludf.DUMMYFUNCTION("IMPORTRANGE(""1_DxrCI_6blyShkMQ1r1aLOYPX5gjpmyzXOigayRQJaw"",""2025-26!AG3"")"),0.0)</f>
        <v>0</v>
      </c>
      <c r="BT182" s="55">
        <f>IFERROR(__xludf.DUMMYFUNCTION("IMPORTRANGE(""1_DxrCI_6blyShkMQ1r1aLOYPX5gjpmyzXOigayRQJaw"",""2025-26!AH4"")"),0.0)</f>
        <v>0</v>
      </c>
      <c r="BU182" s="55">
        <f>IFERROR(__xludf.DUMMYFUNCTION("IMPORTRANGE(""1_DxrCI_6blyShkMQ1r1aLOYPX5gjpmyzXOigayRQJaw"",""2025-26!AH3"")"),0.0)</f>
        <v>0</v>
      </c>
      <c r="BV182" s="55">
        <f>IFERROR(__xludf.DUMMYFUNCTION("IMPORTRANGE(""1_DxrCI_6blyShkMQ1r1aLOYPX5gjpmyzXOigayRQJaw"",""2025-26!AI4"")"),0.0)</f>
        <v>0</v>
      </c>
      <c r="BW182" s="55">
        <f>IFERROR(__xludf.DUMMYFUNCTION("IMPORTRANGE(""1_DxrCI_6blyShkMQ1r1aLOYPX5gjpmyzXOigayRQJaw"",""2025-26!AI3"")"),0.0)</f>
        <v>0</v>
      </c>
      <c r="BX182" s="59" t="str">
        <f t="shared" si="64"/>
        <v/>
      </c>
      <c r="BY182" s="55">
        <f>IFERROR(__xludf.DUMMYFUNCTION("IMPORTRANGE(""1_DxrCI_6blyShkMQ1r1aLOYPX5gjpmyzXOigayRQJaw"",""2025-26!AJ4"")"),0.0)</f>
        <v>0</v>
      </c>
      <c r="BZ182" s="55">
        <f>IFERROR(__xludf.DUMMYFUNCTION("IMPORTRANGE(""1_DxrCI_6blyShkMQ1r1aLOYPX5gjpmyzXOigayRQJaw"",""2025-26!AJ3"")"),0.0)</f>
        <v>0</v>
      </c>
      <c r="CA182" s="55">
        <f>IFERROR(__xludf.DUMMYFUNCTION("IMPORTRANGE(""1_DxrCI_6blyShkMQ1r1aLOYPX5gjpmyzXOigayRQJaw"",""2025-26!AK4"")"),0.0)</f>
        <v>0</v>
      </c>
      <c r="CB182" s="55">
        <f>IFERROR(__xludf.DUMMYFUNCTION("IMPORTRANGE(""1_DxrCI_6blyShkMQ1r1aLOYPX5gjpmyzXOigayRQJaw"",""2025-26!AK3"")"),0.0)</f>
        <v>0</v>
      </c>
      <c r="CC182" s="55">
        <f>IFERROR(__xludf.DUMMYFUNCTION("IMPORTRANGE(""1_DxrCI_6blyShkMQ1r1aLOYPX5gjpmyzXOigayRQJaw"",""2025-26!AL4"")"),0.0)</f>
        <v>0</v>
      </c>
      <c r="CD182" s="55">
        <f>IFERROR(__xludf.DUMMYFUNCTION("IMPORTRANGE(""1_DxrCI_6blyShkMQ1r1aLOYPX5gjpmyzXOigayRQJaw"",""2025-26!AL3"")"),0.0)</f>
        <v>0</v>
      </c>
      <c r="CE182" s="59" t="str">
        <f t="shared" si="65"/>
        <v/>
      </c>
      <c r="CF182" s="55">
        <f>IFERROR(__xludf.DUMMYFUNCTION("IMPORTRANGE(""1_DxrCI_6blyShkMQ1r1aLOYPX5gjpmyzXOigayRQJaw"",""2025-26!AM4"")"),0.0)</f>
        <v>0</v>
      </c>
      <c r="CG182" s="55">
        <f>IFERROR(__xludf.DUMMYFUNCTION("IMPORTRANGE(""1_DxrCI_6blyShkMQ1r1aLOYPX5gjpmyzXOigayRQJaw"",""2025-26!AM3"")"),0.0)</f>
        <v>0</v>
      </c>
      <c r="CH182" s="55">
        <f>IFERROR(__xludf.DUMMYFUNCTION("IMPORTRANGE(""1_DxrCI_6blyShkMQ1r1aLOYPX5gjpmyzXOigayRQJaw"",""2025-26!AN4"")"),0.0)</f>
        <v>0</v>
      </c>
      <c r="CI182" s="55">
        <f>IFERROR(__xludf.DUMMYFUNCTION("IMPORTRANGE(""1_DxrCI_6blyShkMQ1r1aLOYPX5gjpmyzXOigayRQJaw"",""2025-26!AN3"")"),0.0)</f>
        <v>0</v>
      </c>
      <c r="CJ182" s="55">
        <f>IFERROR(__xludf.DUMMYFUNCTION("IMPORTRANGE(""1_DxrCI_6blyShkMQ1r1aLOYPX5gjpmyzXOigayRQJaw"",""2025-26!AO4"")"),0.0)</f>
        <v>0</v>
      </c>
      <c r="CK182" s="55">
        <f>IFERROR(__xludf.DUMMYFUNCTION("IMPORTRANGE(""1_DxrCI_6blyShkMQ1r1aLOYPX5gjpmyzXOigayRQJaw"",""2025-26!AO3"")"),0.0)</f>
        <v>0</v>
      </c>
      <c r="CL182" s="59" t="str">
        <f t="shared" si="66"/>
        <v/>
      </c>
      <c r="CM182" s="55">
        <f>IFERROR(__xludf.DUMMYFUNCTION("IMPORTRANGE(""1_DxrCI_6blyShkMQ1r1aLOYPX5gjpmyzXOigayRQJaw"",""2025-26!AP4"")"),0.0)</f>
        <v>0</v>
      </c>
      <c r="CN182" s="55">
        <f>IFERROR(__xludf.DUMMYFUNCTION("IMPORTRANGE(""1_DxrCI_6blyShkMQ1r1aLOYPX5gjpmyzXOigayRQJaw"",""2025-26!AP3"")"),0.0)</f>
        <v>0</v>
      </c>
      <c r="CO182" s="55">
        <f>IFERROR(__xludf.DUMMYFUNCTION("IMPORTRANGE(""1_DxrCI_6blyShkMQ1r1aLOYPX5gjpmyzXOigayRQJaw"",""2025-26!AQ4"")"),0.0)</f>
        <v>0</v>
      </c>
      <c r="CP182" s="55">
        <f>IFERROR(__xludf.DUMMYFUNCTION("IMPORTRANGE(""1_DxrCI_6blyShkMQ1r1aLOYPX5gjpmyzXOigayRQJaw"",""2025-26!AQ3"")"),0.0)</f>
        <v>0</v>
      </c>
      <c r="CQ182" s="55">
        <f>IFERROR(__xludf.DUMMYFUNCTION("IMPORTRANGE(""1_DxrCI_6blyShkMQ1r1aLOYPX5gjpmyzXOigayRQJaw"",""2025-26!AR4"")"),0.0)</f>
        <v>0</v>
      </c>
      <c r="CR182" s="55">
        <f>IFERROR(__xludf.DUMMYFUNCTION("IMPORTRANGE(""1_DxrCI_6blyShkMQ1r1aLOYPX5gjpmyzXOigayRQJaw"",""2025-26!AR3"")"),0.0)</f>
        <v>0</v>
      </c>
      <c r="CS182" s="59" t="str">
        <f t="shared" si="67"/>
        <v/>
      </c>
      <c r="CT182" s="55">
        <f>IFERROR(__xludf.DUMMYFUNCTION("IMPORTRANGE(""1_DxrCI_6blyShkMQ1r1aLOYPX5gjpmyzXOigayRQJaw"",""2025-26!AS4"")"),0.0)</f>
        <v>0</v>
      </c>
      <c r="CU182" s="55">
        <f>IFERROR(__xludf.DUMMYFUNCTION("IMPORTRANGE(""1_DxrCI_6blyShkMQ1r1aLOYPX5gjpmyzXOigayRQJaw"",""2025-26!AS3"")"),0.0)</f>
        <v>0</v>
      </c>
      <c r="CV182" s="60" t="s">
        <v>61</v>
      </c>
    </row>
    <row r="183">
      <c r="A183" s="145" t="s">
        <v>53</v>
      </c>
      <c r="B183" s="145" t="s">
        <v>53</v>
      </c>
      <c r="C183" s="132" t="s">
        <v>377</v>
      </c>
      <c r="D183" s="65" t="s">
        <v>378</v>
      </c>
      <c r="E183" s="68">
        <v>9.887150173E9</v>
      </c>
      <c r="F183" s="66">
        <v>45736.0</v>
      </c>
      <c r="G183" s="62"/>
      <c r="H183" s="62"/>
      <c r="I183" s="53">
        <f>VLOOKUP($C183,Data!$C:$BV,72,0)</f>
        <v>25165</v>
      </c>
      <c r="J183" s="54">
        <v>700000.0</v>
      </c>
      <c r="K183" s="57">
        <f>IFERROR(__xludf.DUMMYFUNCTION("IMPORTRANGE(""https://docs.google.com/spreadsheets/d/1hkcn0iLV2azbH_yGud-8oWhza9pgtTlncTUl53opRYU/edit?gid=162659938#gid=162659938"",""2025-26!A3"")"),75.0)</f>
        <v>75</v>
      </c>
      <c r="L183" s="57">
        <f>IFERROR(__xludf.DUMMYFUNCTION("IMPORTRANGE(""https://docs.google.com/spreadsheets/d/1hkcn0iLV2azbH_yGud-8oWhza9pgtTlncTUl53opRYU/edit?gid=162659938#gid=162659938"",""2025-26!G4"")"),0.0)</f>
        <v>0</v>
      </c>
      <c r="M183" s="57">
        <f t="shared" ref="M183:M184" si="81">SUM(R183+Y183+AF183+AM183+AT183+BA183+BH183+BO183+BV183+CC183+CJ183+CQ183)</f>
        <v>967341.51</v>
      </c>
      <c r="N183" s="56" t="str">
        <f t="shared" ref="N183:N184" si="82">iferror(O183/L183,"")</f>
        <v/>
      </c>
      <c r="O183" s="57">
        <f t="shared" ref="O183:O184" si="83">SUM(U183,AB183,AI183,AP183,AW183,BD183,BK183,BR183,BY183,CF183,CM183,CT183)</f>
        <v>0</v>
      </c>
      <c r="P183" s="55">
        <f>IFERROR(__xludf.DUMMYFUNCTION("IMPORTRANGE(""https://docs.google.com/spreadsheets/d/1hkcn0iLV2azbH_yGud-8oWhza9pgtTlncTUl53opRYU/edit?gid=162659938#gid=162659938"",""2025-26!J4"")"),0.0)</f>
        <v>0</v>
      </c>
      <c r="Q183" s="55">
        <f>IFERROR(__xludf.DUMMYFUNCTION("IMPORTRANGE(""https://docs.google.com/spreadsheets/d/1hkcn0iLV2azbH_yGud-8oWhza9pgtTlncTUl53opRYU/edit?gid=162659938#gid=162659938"",""2025-26!J3"")"),0.0)</f>
        <v>0</v>
      </c>
      <c r="R183" s="55">
        <f>IFERROR(__xludf.DUMMYFUNCTION("IMPORTRANGE(""https://docs.google.com/spreadsheets/d/1hkcn0iLV2azbH_yGud-8oWhza9pgtTlncTUl53opRYU/edit?gid=162659938#gid=162659938"",""2025-26!K4"")"),55159.0)</f>
        <v>55159</v>
      </c>
      <c r="S183" s="55">
        <f>IFERROR(__xludf.DUMMYFUNCTION("IMPORTRANGE(""https://docs.google.com/spreadsheets/d/1hkcn0iLV2azbH_yGud-8oWhza9pgtTlncTUl53opRYU/edit?gid=162659938#gid=162659938"",""2025-26!K3"")"),4.0)</f>
        <v>4</v>
      </c>
      <c r="T183" s="58" t="str">
        <f t="shared" si="56"/>
        <v/>
      </c>
      <c r="U183" s="55">
        <f>IFERROR(__xludf.DUMMYFUNCTION("IMPORTRANGE(""https://docs.google.com/spreadsheets/d/1hkcn0iLV2azbH_yGud-8oWhza9pgtTlncTUl53opRYU/edit?gid=162659938#gid=162659938"",""2025-26!L4"")"),0.0)</f>
        <v>0</v>
      </c>
      <c r="V183" s="79">
        <f>IFERROR(__xludf.DUMMYFUNCTION("IMPORTRANGE(""https://docs.google.com/spreadsheets/d/1hkcn0iLV2azbH_yGud-8oWhza9pgtTlncTUl53opRYU/edit?gid=162659938#gid=162659938"",""2025-26!L3"")"),0.0)</f>
        <v>0</v>
      </c>
      <c r="W183" s="55">
        <f>IFERROR(__xludf.DUMMYFUNCTION("IMPORTRANGE(""https://docs.google.com/spreadsheets/d/1hkcn0iLV2azbH_yGud-8oWhza9pgtTlncTUl53opRYU/edit?gid=162659938#gid=162659938"",""2025-26!M4"")"),0.0)</f>
        <v>0</v>
      </c>
      <c r="X183" s="79">
        <f>IFERROR(__xludf.DUMMYFUNCTION("IMPORTRANGE(""https://docs.google.com/spreadsheets/d/1hkcn0iLV2azbH_yGud-8oWhza9pgtTlncTUl53opRYU/edit?gid=162659938#gid=162659938"",""2025-26!M3"")"),0.0)</f>
        <v>0</v>
      </c>
      <c r="Y183" s="55">
        <f>IFERROR(__xludf.DUMMYFUNCTION("importrange(""https://docs.google.com/spreadsheets/d/1hkcn0iLV2azbH_yGud-8oWhza9pgtTlncTUl53opRYU/edit?gid=162659938#gid=162659938"",""2025-26!n4"")"),66997.59)</f>
        <v>66997.59</v>
      </c>
      <c r="Z183" s="55">
        <f>IFERROR(__xludf.DUMMYFUNCTION("importrange(""https://docs.google.com/spreadsheets/d/1hkcn0iLV2azbH_yGud-8oWhza9pgtTlncTUl53opRYU/edit?gid=162659938#gid=162659938"",""2025-26!n3"")"),5.0)</f>
        <v>5</v>
      </c>
      <c r="AA183" s="58" t="str">
        <f t="shared" si="57"/>
        <v/>
      </c>
      <c r="AB183" s="55">
        <f>IFERROR(__xludf.DUMMYFUNCTION("importrange(""https://docs.google.com/spreadsheets/d/1hkcn0iLV2azbH_yGud-8oWhza9pgtTlncTUl53opRYU/edit?gid=162659938#gid=162659938"",""2025-26!o4"")"),0.0)</f>
        <v>0</v>
      </c>
      <c r="AC183" s="55">
        <f>IFERROR(__xludf.DUMMYFUNCTION("importrange(""https://docs.google.com/spreadsheets/d/1hkcn0iLV2azbH_yGud-8oWhza9pgtTlncTUl53opRYU/edit?gid=162659938#gid=162659938"",""2025-26!o3"")"),0.0)</f>
        <v>0</v>
      </c>
      <c r="AD183" s="55">
        <f>IFERROR(__xludf.DUMMYFUNCTION("importrange(""https://docs.google.com/spreadsheets/d/1hkcn0iLV2azbH_yGud-8oWhza9pgtTlncTUl53opRYU/edit?gid=162659938#gid=162659938"",""2025-26!p4"")"),490000.0)</f>
        <v>490000</v>
      </c>
      <c r="AE183" s="55">
        <f>IFERROR(__xludf.DUMMYFUNCTION("importrange(""https://docs.google.com/spreadsheets/d/1hkcn0iLV2azbH_yGud-8oWhza9pgtTlncTUl53opRYU/edit?gid=162659938#gid=162659938"",""2025-26!p3"")"),47.0)</f>
        <v>47</v>
      </c>
      <c r="AF183" s="55">
        <f>IFERROR(__xludf.DUMMYFUNCTION("importrange(""https://docs.google.com/spreadsheets/d/1hkcn0iLV2azbH_yGud-8oWhza9pgtTlncTUl53opRYU/edit?gid=162659938#gid=162659938"",""2025-26!q4"")"),242901.05999999994)</f>
        <v>242901.06</v>
      </c>
      <c r="AG183" s="55">
        <f>IFERROR(__xludf.DUMMYFUNCTION("importrange(""https://docs.google.com/spreadsheets/d/1hkcn0iLV2azbH_yGud-8oWhza9pgtTlncTUl53opRYU/edit?gid=162659938#gid=162659938"",""2025-26!q3"")"),14.0)</f>
        <v>14</v>
      </c>
      <c r="AH183" s="58">
        <f t="shared" si="58"/>
        <v>0</v>
      </c>
      <c r="AI183" s="55">
        <f>IFERROR(__xludf.DUMMYFUNCTION("importrange(""https://docs.google.com/spreadsheets/d/1hkcn0iLV2azbH_yGud-8oWhza9pgtTlncTUl53opRYU/edit?gid=162659938#gid=162659938"",""2025-26!r4"")"),0.0)</f>
        <v>0</v>
      </c>
      <c r="AJ183" s="55">
        <f>IFERROR(__xludf.DUMMYFUNCTION("importrange(""https://docs.google.com/spreadsheets/d/1hkcn0iLV2azbH_yGud-8oWhza9pgtTlncTUl53opRYU/edit?gid=162659938#gid=162659938"",""2025-26!r3"")"),0.0)</f>
        <v>0</v>
      </c>
      <c r="AK183" s="55">
        <f>IFERROR(__xludf.DUMMYFUNCTION("importrange(""https://docs.google.com/spreadsheets/d/1hkcn0iLV2azbH_yGud-8oWhza9pgtTlncTUl53opRYU/edit?gid=162659938#gid=162659938"",""2025-26!s4"")"),0.0)</f>
        <v>0</v>
      </c>
      <c r="AL183" s="55">
        <f>IFERROR(__xludf.DUMMYFUNCTION("importrange(""https://docs.google.com/spreadsheets/d/1hkcn0iLV2azbH_yGud-8oWhza9pgtTlncTUl53opRYU/edit?gid=162659938#gid=162659938"",""2025-26!s3"")"),0.0)</f>
        <v>0</v>
      </c>
      <c r="AM183" s="57">
        <f>IFERROR(__xludf.DUMMYFUNCTION("importrange(""https://docs.google.com/spreadsheets/d/1hkcn0iLV2azbH_yGud-8oWhza9pgtTlncTUl53opRYU/edit?gid=162659938#gid=162659938"",""2025-26!t4"")"),222271.1)</f>
        <v>222271.1</v>
      </c>
      <c r="AN183" s="55">
        <f>IFERROR(__xludf.DUMMYFUNCTION("importrange(""https://docs.google.com/spreadsheets/d/1hkcn0iLV2azbH_yGud-8oWhza9pgtTlncTUl53opRYU/edit?gid=162659938#gid=162659938"",""2025-26!t3"")"),12.0)</f>
        <v>12</v>
      </c>
      <c r="AO183" s="58" t="str">
        <f t="shared" si="59"/>
        <v/>
      </c>
      <c r="AP183" s="55">
        <f>IFERROR(__xludf.DUMMYFUNCTION("importrange(""https://docs.google.com/spreadsheets/d/1hkcn0iLV2azbH_yGud-8oWhza9pgtTlncTUl53opRYU/edit?gid=162659938#gid=162659938"",""2025-26!u4"")"),0.0)</f>
        <v>0</v>
      </c>
      <c r="AQ183" s="55">
        <f>IFERROR(__xludf.DUMMYFUNCTION("importrange(""https://docs.google.com/spreadsheets/d/1hkcn0iLV2azbH_yGud-8oWhza9pgtTlncTUl53opRYU/edit?gid=162659938#gid=162659938"",""2025-26!u3"")"),0.0)</f>
        <v>0</v>
      </c>
      <c r="AR183" s="55">
        <f>IFERROR(__xludf.DUMMYFUNCTION("importrange(""https://docs.google.com/spreadsheets/d/1hkcn0iLV2azbH_yGud-8oWhza9pgtTlncTUl53opRYU/edit?gid=162659938#gid=162659938"",""2025-26!v4"")"),0.0)</f>
        <v>0</v>
      </c>
      <c r="AS183" s="55">
        <f>IFERROR(__xludf.DUMMYFUNCTION("importrange(""https://docs.google.com/spreadsheets/d/1hkcn0iLV2azbH_yGud-8oWhza9pgtTlncTUl53opRYU/edit?gid=162659938#gid=162659938"",""2025-26!v3"")"),0.0)</f>
        <v>0</v>
      </c>
      <c r="AT183" s="57">
        <f>IFERROR(__xludf.DUMMYFUNCTION("importrange(""https://docs.google.com/spreadsheets/d/1hkcn0iLV2azbH_yGud-8oWhza9pgtTlncTUl53opRYU/edit?gid=162659938#gid=162659938"",""2025-26!w4"")"),315312.56)</f>
        <v>315312.56</v>
      </c>
      <c r="AU183" s="55">
        <f>IFERROR(__xludf.DUMMYFUNCTION("importrange(""https://docs.google.com/spreadsheets/d/1hkcn0iLV2azbH_yGud-8oWhza9pgtTlncTUl53opRYU/edit?gid=162659938#gid=162659938"",""2025-26!w3"")"),8.0)</f>
        <v>8</v>
      </c>
      <c r="AV183" s="58" t="str">
        <f t="shared" si="60"/>
        <v/>
      </c>
      <c r="AW183" s="55">
        <f>IFERROR(__xludf.DUMMYFUNCTION("importrange(""https://docs.google.com/spreadsheets/d/1hkcn0iLV2azbH_yGud-8oWhza9pgtTlncTUl53opRYU/edit?gid=162659938#gid=162659938"",""2025-26!x4"")"),0.0)</f>
        <v>0</v>
      </c>
      <c r="AX183" s="55">
        <f>IFERROR(__xludf.DUMMYFUNCTION("importrange(""https://docs.google.com/spreadsheets/d/1hkcn0iLV2azbH_yGud-8oWhza9pgtTlncTUl53opRYU/edit?gid=162659938#gid=162659938"",""2025-26!x3"")"),0.0)</f>
        <v>0</v>
      </c>
      <c r="AY183" s="55">
        <f>IFERROR(__xludf.DUMMYFUNCTION("importrange(""https://docs.google.com/spreadsheets/d/1hkcn0iLV2azbH_yGud-8oWhza9pgtTlncTUl53opRYU/edit?gid=162659938#gid=162659938"",""2025-26!y4"")"),0.0)</f>
        <v>0</v>
      </c>
      <c r="AZ183" s="55">
        <f>IFERROR(__xludf.DUMMYFUNCTION("importrange(""https://docs.google.com/spreadsheets/d/1hkcn0iLV2azbH_yGud-8oWhza9pgtTlncTUl53opRYU/edit?gid=162659938#gid=162659938"",""2025-26!y3"")"),0.0)</f>
        <v>0</v>
      </c>
      <c r="BA183" s="57">
        <f>IFERROR(__xludf.DUMMYFUNCTION("importrange(""https://docs.google.com/spreadsheets/d/1hkcn0iLV2azbH_yGud-8oWhza9pgtTlncTUl53opRYU/edit?gid=162659938#gid=162659938"",""2025-26!z4"")"),64700.2)</f>
        <v>64700.2</v>
      </c>
      <c r="BB183" s="55">
        <f>IFERROR(__xludf.DUMMYFUNCTION("importrange(""https://docs.google.com/spreadsheets/d/1hkcn0iLV2azbH_yGud-8oWhza9pgtTlncTUl53opRYU/edit?gid=162659938#gid=162659938"",""2025-26!z3"")"),6.0)</f>
        <v>6</v>
      </c>
      <c r="BC183" s="59" t="str">
        <f t="shared" si="61"/>
        <v/>
      </c>
      <c r="BD183" s="55">
        <f>IFERROR(__xludf.DUMMYFUNCTION("importrange(""https://docs.google.com/spreadsheets/d/1hkcn0iLV2azbH_yGud-8oWhza9pgtTlncTUl53opRYU/edit?gid=162659938#gid=162659938"",""2025-26!aa4"")"),0.0)</f>
        <v>0</v>
      </c>
      <c r="BE183" s="55">
        <f>IFERROR(__xludf.DUMMYFUNCTION("importrange(""https://docs.google.com/spreadsheets/d/1hkcn0iLV2azbH_yGud-8oWhza9pgtTlncTUl53opRYU/edit?gid=162659938#gid=162659938"",""2025-26!aa3"")"),0.0)</f>
        <v>0</v>
      </c>
      <c r="BF183" s="55">
        <f>IFERROR(__xludf.DUMMYFUNCTION("importrange(""https://docs.google.com/spreadsheets/d/1hkcn0iLV2azbH_yGud-8oWhza9pgtTlncTUl53opRYU/edit?gid=162659938#gid=162659938"",""2025-26!ab4"")"),0.0)</f>
        <v>0</v>
      </c>
      <c r="BG183" s="55">
        <f>IFERROR(__xludf.DUMMYFUNCTION("importrange(""https://docs.google.com/spreadsheets/d/1hkcn0iLV2azbH_yGud-8oWhza9pgtTlncTUl53opRYU/edit?gid=162659938#gid=162659938"",""2025-26!ab3"")"),0.0)</f>
        <v>0</v>
      </c>
      <c r="BH183" s="55">
        <f>IFERROR(__xludf.DUMMYFUNCTION("importrange(""https://docs.google.com/spreadsheets/d/1hkcn0iLV2azbH_yGud-8oWhza9pgtTlncTUl53opRYU/edit?gid=162659938#gid=162659938"",""2025-26!ac4"")"),0.0)</f>
        <v>0</v>
      </c>
      <c r="BI183" s="55">
        <f>IFERROR(__xludf.DUMMYFUNCTION("importrange(""https://docs.google.com/spreadsheets/d/1hkcn0iLV2azbH_yGud-8oWhza9pgtTlncTUl53opRYU/edit?gid=162659938#gid=162659938"",""2025-26!ac3"")"),0.0)</f>
        <v>0</v>
      </c>
      <c r="BJ183" s="59" t="str">
        <f t="shared" si="62"/>
        <v/>
      </c>
      <c r="BK183" s="55">
        <f>IFERROR(__xludf.DUMMYFUNCTION("importrange(""https://docs.google.com/spreadsheets/d/1hkcn0iLV2azbH_yGud-8oWhza9pgtTlncTUl53opRYU/edit?gid=162659938#gid=162659938"",""2025-26!ad4"")"),0.0)</f>
        <v>0</v>
      </c>
      <c r="BL183" s="55">
        <f>IFERROR(__xludf.DUMMYFUNCTION("importrange(""https://docs.google.com/spreadsheets/d/1hkcn0iLV2azbH_yGud-8oWhza9pgtTlncTUl53opRYU/edit?gid=162659938#gid=162659938"",""2025-26!ad3"")"),0.0)</f>
        <v>0</v>
      </c>
      <c r="BM183" s="55">
        <f>IFERROR(__xludf.DUMMYFUNCTION("importrange(""https://docs.google.com/spreadsheets/d/1hkcn0iLV2azbH_yGud-8oWhza9pgtTlncTUl53opRYU/edit?gid=162659938#gid=162659938"",""2025-26!ae4"")"),0.0)</f>
        <v>0</v>
      </c>
      <c r="BN183" s="55">
        <f>IFERROR(__xludf.DUMMYFUNCTION("importrange(""https://docs.google.com/spreadsheets/d/1hkcn0iLV2azbH_yGud-8oWhza9pgtTlncTUl53opRYU/edit?gid=162659938#gid=162659938"",""2025-26!ae3"")"),0.0)</f>
        <v>0</v>
      </c>
      <c r="BO183" s="55">
        <f>IFERROR(__xludf.DUMMYFUNCTION("importrange(""https://docs.google.com/spreadsheets/d/1hkcn0iLV2azbH_yGud-8oWhza9pgtTlncTUl53opRYU/edit?gid=162659938#gid=162659938"",""2025-26!af4"")"),0.0)</f>
        <v>0</v>
      </c>
      <c r="BP183" s="55">
        <f>IFERROR(__xludf.DUMMYFUNCTION("importrange(""https://docs.google.com/spreadsheets/d/1hkcn0iLV2azbH_yGud-8oWhza9pgtTlncTUl53opRYU/edit?gid=162659938#gid=162659938"",""2025-26!af3"")"),0.0)</f>
        <v>0</v>
      </c>
      <c r="BQ183" s="59" t="str">
        <f t="shared" si="63"/>
        <v/>
      </c>
      <c r="BR183" s="55">
        <f>IFERROR(__xludf.DUMMYFUNCTION("importrange(""https://docs.google.com/spreadsheets/d/1hkcn0iLV2azbH_yGud-8oWhza9pgtTlncTUl53opRYU/edit?gid=162659938#gid=162659938"",""2025-26!ag4"")"),0.0)</f>
        <v>0</v>
      </c>
      <c r="BS183" s="55">
        <f>IFERROR(__xludf.DUMMYFUNCTION("importrange(""https://docs.google.com/spreadsheets/d/1hkcn0iLV2azbH_yGud-8oWhza9pgtTlncTUl53opRYU/edit?gid=162659938#gid=162659938"",""2025-26!ag3"")"),0.0)</f>
        <v>0</v>
      </c>
      <c r="BT183" s="55">
        <f>IFERROR(__xludf.DUMMYFUNCTION("importrange(""https://docs.google.com/spreadsheets/d/1hkcn0iLV2azbH_yGud-8oWhza9pgtTlncTUl53opRYU/edit?gid=162659938#gid=162659938"",""2025-26!ah4"")"),0.0)</f>
        <v>0</v>
      </c>
      <c r="BU183" s="55">
        <f>IFERROR(__xludf.DUMMYFUNCTION("importrange(""https://docs.google.com/spreadsheets/d/1hkcn0iLV2azbH_yGud-8oWhza9pgtTlncTUl53opRYU/edit?gid=162659938#gid=162659938"",""2025-26!ah3"")"),0.0)</f>
        <v>0</v>
      </c>
      <c r="BV183" s="55">
        <f>IFERROR(__xludf.DUMMYFUNCTION("importrange(""https://docs.google.com/spreadsheets/d/1hkcn0iLV2azbH_yGud-8oWhza9pgtTlncTUl53opRYU/edit?gid=162659938#gid=162659938"",""2025-26!ai4"")"),0.0)</f>
        <v>0</v>
      </c>
      <c r="BW183" s="55">
        <f>IFERROR(__xludf.DUMMYFUNCTION("importrange(""https://docs.google.com/spreadsheets/d/1hkcn0iLV2azbH_yGud-8oWhza9pgtTlncTUl53opRYU/edit?gid=162659938#gid=162659938"",""2025-26!ai3"")"),0.0)</f>
        <v>0</v>
      </c>
      <c r="BX183" s="59" t="str">
        <f t="shared" si="64"/>
        <v/>
      </c>
      <c r="BY183" s="55">
        <f>IFERROR(__xludf.DUMMYFUNCTION("importrange(""https://docs.google.com/spreadsheets/d/1hkcn0iLV2azbH_yGud-8oWhza9pgtTlncTUl53opRYU/edit?gid=162659938#gid=162659938"",""2025-26!aj4"")"),0.0)</f>
        <v>0</v>
      </c>
      <c r="BZ183" s="55">
        <f>IFERROR(__xludf.DUMMYFUNCTION("importrange(""https://docs.google.com/spreadsheets/d/1hkcn0iLV2azbH_yGud-8oWhza9pgtTlncTUl53opRYU/edit?gid=162659938#gid=162659938"",""2025-26!aj3"")"),0.0)</f>
        <v>0</v>
      </c>
      <c r="CA183" s="55">
        <f>IFERROR(__xludf.DUMMYFUNCTION("importrange(""https://docs.google.com/spreadsheets/d/1hkcn0iLV2azbH_yGud-8oWhza9pgtTlncTUl53opRYU/edit?gid=162659938#gid=162659938"",""2025-26!ak4"")"),0.0)</f>
        <v>0</v>
      </c>
      <c r="CB183" s="55">
        <f>IFERROR(__xludf.DUMMYFUNCTION("importrange(""https://docs.google.com/spreadsheets/d/1hkcn0iLV2azbH_yGud-8oWhza9pgtTlncTUl53opRYU/edit?gid=162659938#gid=162659938"",""2025-26!ak3"")"),0.0)</f>
        <v>0</v>
      </c>
      <c r="CC183" s="55">
        <f>IFERROR(__xludf.DUMMYFUNCTION("importrange(""https://docs.google.com/spreadsheets/d/1hkcn0iLV2azbH_yGud-8oWhza9pgtTlncTUl53opRYU/edit?gid=162659938#gid=162659938"",""2025-26!al4"")"),0.0)</f>
        <v>0</v>
      </c>
      <c r="CD183" s="55">
        <f>IFERROR(__xludf.DUMMYFUNCTION("importrange(""https://docs.google.com/spreadsheets/d/1hkcn0iLV2azbH_yGud-8oWhza9pgtTlncTUl53opRYU/edit?gid=162659938#gid=162659938"",""2025-26!ai3"")"),0.0)</f>
        <v>0</v>
      </c>
      <c r="CE183" s="59" t="str">
        <f t="shared" si="65"/>
        <v/>
      </c>
      <c r="CF183" s="55">
        <f>IFERROR(__xludf.DUMMYFUNCTION("importrange(""https://docs.google.com/spreadsheets/d/1hkcn0iLV2azbH_yGud-8oWhza9pgtTlncTUl53opRYU/edit?gid=162659938#gid=162659938"",""2025-26!am4"")"),0.0)</f>
        <v>0</v>
      </c>
      <c r="CG183" s="55">
        <f>IFERROR(__xludf.DUMMYFUNCTION("importrange(""https://docs.google.com/spreadsheets/d/1hkcn0iLV2azbH_yGud-8oWhza9pgtTlncTUl53opRYU/edit?gid=162659938#gid=162659938"",""2025-26!am3"")"),0.0)</f>
        <v>0</v>
      </c>
      <c r="CH183" s="55">
        <f>IFERROR(__xludf.DUMMYFUNCTION("importrange(""https://docs.google.com/spreadsheets/d/1hkcn0iLV2azbH_yGud-8oWhza9pgtTlncTUl53opRYU/edit?gid=162659938#gid=162659938"",""2025-26!an4"")"),0.0)</f>
        <v>0</v>
      </c>
      <c r="CI183" s="55">
        <f>IFERROR(__xludf.DUMMYFUNCTION("importrange(""https://docs.google.com/spreadsheets/d/1hkcn0iLV2azbH_yGud-8oWhza9pgtTlncTUl53opRYU/edit?gid=162659938#gid=162659938"",""2025-26!an3"")"),0.0)</f>
        <v>0</v>
      </c>
      <c r="CJ183" s="55">
        <f>IFERROR(__xludf.DUMMYFUNCTION("importrange(""https://docs.google.com/spreadsheets/d/1hkcn0iLV2azbH_yGud-8oWhza9pgtTlncTUl53opRYU/edit?gid=162659938#gid=162659938"",""2025-26!ao4"")"),0.0)</f>
        <v>0</v>
      </c>
      <c r="CK183" s="55">
        <f>IFERROR(__xludf.DUMMYFUNCTION("importrange(""https://docs.google.com/spreadsheets/d/1hkcn0iLV2azbH_yGud-8oWhza9pgtTlncTUl53opRYU/edit?gid=162659938#gid=162659938"",""2025-26!ao3"")"),0.0)</f>
        <v>0</v>
      </c>
      <c r="CL183" s="59" t="str">
        <f t="shared" si="66"/>
        <v/>
      </c>
      <c r="CM183" s="55">
        <f>IFERROR(__xludf.DUMMYFUNCTION("importrange(""https://docs.google.com/spreadsheets/d/1hkcn0iLV2azbH_yGud-8oWhza9pgtTlncTUl53opRYU/edit?gid=162659938#gid=162659938"",""2025-26!ap4"")"),0.0)</f>
        <v>0</v>
      </c>
      <c r="CN183" s="55">
        <f>IFERROR(__xludf.DUMMYFUNCTION("importrange(""https://docs.google.com/spreadsheets/d/1hkcn0iLV2azbH_yGud-8oWhza9pgtTlncTUl53opRYU/edit?gid=162659938#gid=162659938"",""2025-26!ap3"")"),0.0)</f>
        <v>0</v>
      </c>
      <c r="CO183" s="55">
        <f>IFERROR(__xludf.DUMMYFUNCTION("importrange(""https://docs.google.com/spreadsheets/d/1hkcn0iLV2azbH_yGud-8oWhza9pgtTlncTUl53opRYU/edit?gid=162659938#gid=162659938"",""2025-26!aq4"")"),0.0)</f>
        <v>0</v>
      </c>
      <c r="CP183" s="55">
        <f>IFERROR(__xludf.DUMMYFUNCTION("importrange(""https://docs.google.com/spreadsheets/d/1hkcn0iLV2azbH_yGud-8oWhza9pgtTlncTUl53opRYU/edit?gid=162659938#gid=162659938"",""2025-26!aq3"")"),0.0)</f>
        <v>0</v>
      </c>
      <c r="CQ183" s="55">
        <f>IFERROR(__xludf.DUMMYFUNCTION("importrange(""https://docs.google.com/spreadsheets/d/1hkcn0iLV2azbH_yGud-8oWhza9pgtTlncTUl53opRYU/edit?gid=162659938#gid=162659938"",""2025-26!ar4"")"),0.0)</f>
        <v>0</v>
      </c>
      <c r="CR183" s="55">
        <f>IFERROR(__xludf.DUMMYFUNCTION("importrange(""https://docs.google.com/spreadsheets/d/1hkcn0iLV2azbH_yGud-8oWhza9pgtTlncTUl53opRYU/edit?gid=162659938#gid=162659938"",""2025-26!ar3"")"),0.0)</f>
        <v>0</v>
      </c>
      <c r="CS183" s="59" t="str">
        <f t="shared" si="67"/>
        <v/>
      </c>
      <c r="CT183" s="55">
        <f>IFERROR(__xludf.DUMMYFUNCTION("importrange(""https://docs.google.com/spreadsheets/d/1hkcn0iLV2azbH_yGud-8oWhza9pgtTlncTUl53opRYU/edit?gid=162659938#gid=162659938"",""2025-26!as4"")"),0.0)</f>
        <v>0</v>
      </c>
      <c r="CU183" s="55">
        <f>IFERROR(__xludf.DUMMYFUNCTION("importrange(""https://docs.google.com/spreadsheets/d/1hkcn0iLV2azbH_yGud-8oWhza9pgtTlncTUl53opRYU/edit?gid=162659938#gid=162659938"",""2025-26!as3"")"),0.0)</f>
        <v>0</v>
      </c>
      <c r="CV183" s="60" t="s">
        <v>56</v>
      </c>
    </row>
    <row r="184">
      <c r="A184" s="84" t="s">
        <v>53</v>
      </c>
      <c r="B184" s="145" t="s">
        <v>53</v>
      </c>
      <c r="C184" s="131" t="s">
        <v>379</v>
      </c>
      <c r="D184" s="49" t="s">
        <v>380</v>
      </c>
      <c r="E184" s="50">
        <v>7.665522203E9</v>
      </c>
      <c r="F184" s="139">
        <v>45862.0</v>
      </c>
      <c r="G184" s="75"/>
      <c r="H184" s="75"/>
      <c r="I184" s="83">
        <v>25215.0</v>
      </c>
      <c r="J184" s="54">
        <v>500000.0</v>
      </c>
      <c r="K184" s="57">
        <f>IFERROR(__xludf.DUMMYFUNCTION("IMPORTRANGE(""https://docs.google.com/spreadsheets/d/1aek42LDosYQRs0t5c2f5ak34j3r4sr3C5q5taCwGMTE/edit?gid=162659938#gid=162659938"",""2025-26!A3"")"),25.0)</f>
        <v>25</v>
      </c>
      <c r="L184" s="57">
        <f>IFERROR(__xludf.DUMMYFUNCTION("IMPORTRANGE(""https://docs.google.com/spreadsheets/d/1aek42LDosYQRs0t5c2f5ak34j3r4sr3C5q5taCwGMTE/edit?gid=162659938#gid=162659938"",""2025-26!G4"")"),0.0)</f>
        <v>0</v>
      </c>
      <c r="M184" s="57">
        <f t="shared" si="81"/>
        <v>281491.7</v>
      </c>
      <c r="N184" s="56" t="str">
        <f t="shared" si="82"/>
        <v/>
      </c>
      <c r="O184" s="57">
        <f t="shared" si="83"/>
        <v>0</v>
      </c>
      <c r="P184" s="55">
        <f>IFERROR(__xludf.DUMMYFUNCTION("IMPORTRANGE(""https://docs.google.com/spreadsheets/d/1aek42LDosYQRs0t5c2f5ak34j3r4sr3C5q5taCwGMTE/edit?gid=162659938#gid=162659938"",""2025-26!J4"")"),0.0)</f>
        <v>0</v>
      </c>
      <c r="Q184" s="55">
        <f>IFERROR(__xludf.DUMMYFUNCTION("IMPORTRANGE(""https://docs.google.com/spreadsheets/d/1aek42LDosYQRs0t5c2f5ak34j3r4sr3C5q5taCwGMTE/edit?gid=162659938#gid=162659938"",""2025-26!J3"")"),0.0)</f>
        <v>0</v>
      </c>
      <c r="R184" s="55">
        <f>IFERROR(__xludf.DUMMYFUNCTION("IMPORTRANGE(""https://docs.google.com/spreadsheets/d/1aek42LDosYQRs0t5c2f5ak34j3r4sr3C5q5taCwGMTE/edit?gid=162659938#gid=162659938"",""2025-26!K4"")"),0.0)</f>
        <v>0</v>
      </c>
      <c r="S184" s="55">
        <f>IFERROR(__xludf.DUMMYFUNCTION("IMPORTRANGE(""https://docs.google.com/spreadsheets/d/1aek42LDosYQRs0t5c2f5ak34j3r4sr3C5q5taCwGMTE/edit?gid=162659938#gid=162659938"",""2025-26!K3"")"),0.0)</f>
        <v>0</v>
      </c>
      <c r="T184" s="58" t="str">
        <f t="shared" si="56"/>
        <v/>
      </c>
      <c r="U184" s="55">
        <f>IFERROR(__xludf.DUMMYFUNCTION("IMPORTRANGE(""https://docs.google.com/spreadsheets/d/1aek42LDosYQRs0t5c2f5ak34j3r4sr3C5q5taCwGMTE/edit?gid=162659938#gid=162659938"",""2025-26!L4"")"),0.0)</f>
        <v>0</v>
      </c>
      <c r="V184" s="79">
        <f>IFERROR(__xludf.DUMMYFUNCTION("IMPORTRANGE(""https://docs.google.com/spreadsheets/d/1aek42LDosYQRs0t5c2f5ak34j3r4sr3C5q5taCwGMTE/edit?gid=162659938#gid=162659938"",""2025-26!L3"")"),0.0)</f>
        <v>0</v>
      </c>
      <c r="W184" s="55">
        <f>IFERROR(__xludf.DUMMYFUNCTION("IMPORTRANGE(""https://docs.google.com/spreadsheets/d/1aek42LDosYQRs0t5c2f5ak34j3r4sr3C5q5taCwGMTE/edit?gid=162659938#gid=162659938"",""2025-26!M4"")"),0.0)</f>
        <v>0</v>
      </c>
      <c r="X184" s="79">
        <f>IFERROR(__xludf.DUMMYFUNCTION("IMPORTRANGE(""https://docs.google.com/spreadsheets/d/1aek42LDosYQRs0t5c2f5ak34j3r4sr3C5q5taCwGMTE/edit?gid=162659938#gid=162659938"",""2025-26!M3"")"),0.0)</f>
        <v>0</v>
      </c>
      <c r="Y184" s="55">
        <f>IFERROR(__xludf.DUMMYFUNCTION("importrange(""https://docs.google.com/spreadsheets/d/1aek42LDosYQRs0t5c2f5ak34j3r4sr3C5q5taCwGMTE/edit?gid=162659938#gid=162659938"",""2025-26!n4"")"),0.0)</f>
        <v>0</v>
      </c>
      <c r="Z184" s="55">
        <f>IFERROR(__xludf.DUMMYFUNCTION("importrange(""https://docs.google.com/spreadsheets/d/1aek42LDosYQRs0t5c2f5ak34j3r4sr3C5q5taCwGMTE/edit?gid=162659938#gid=162659938"",""2025-26!n3"")"),0.0)</f>
        <v>0</v>
      </c>
      <c r="AA184" s="58" t="str">
        <f t="shared" si="57"/>
        <v/>
      </c>
      <c r="AB184" s="55">
        <f>IFERROR(__xludf.DUMMYFUNCTION("importrange(""https://docs.google.com/spreadsheets/d/1aek42LDosYQRs0t5c2f5ak34j3r4sr3C5q5taCwGMTE/edit?gid=162659938#gid=162659938"",""2025-26!o4"")"),0.0)</f>
        <v>0</v>
      </c>
      <c r="AC184" s="55">
        <f>IFERROR(__xludf.DUMMYFUNCTION("importrange(""https://docs.google.com/spreadsheets/d/1aek42LDosYQRs0t5c2f5ak34j3r4sr3C5q5taCwGMTE/edit?gid=162659938#gid=162659938"",""2025-26!o3"")"),0.0)</f>
        <v>0</v>
      </c>
      <c r="AD184" s="55">
        <f>IFERROR(__xludf.DUMMYFUNCTION("importrange(""https://docs.google.com/spreadsheets/d/1aek42LDosYQRs0t5c2f5ak34j3r4sr3C5q5taCwGMTE/edit?gid=162659938#gid=162659938"",""2025-26!p4"")"),0.0)</f>
        <v>0</v>
      </c>
      <c r="AE184" s="55">
        <f>IFERROR(__xludf.DUMMYFUNCTION("importrange(""https://docs.google.com/spreadsheets/d/1aek42LDosYQRs0t5c2f5ak34j3r4sr3C5q5taCwGMTE/edit?gid=162659938#gid=162659938"",""2025-26!p3"")"),0.0)</f>
        <v>0</v>
      </c>
      <c r="AF184" s="55">
        <f>IFERROR(__xludf.DUMMYFUNCTION("importrange(""https://docs.google.com/spreadsheets/d/1aek42LDosYQRs0t5c2f5ak34j3r4sr3C5q5taCwGMTE/edit?gid=162659938#gid=162659938"",""2025-26!q4"")"),0.0)</f>
        <v>0</v>
      </c>
      <c r="AG184" s="55">
        <f>IFERROR(__xludf.DUMMYFUNCTION("importrange(""https://docs.google.com/spreadsheets/d/1aek42LDosYQRs0t5c2f5ak34j3r4sr3C5q5taCwGMTE/edit?gid=162659938#gid=162659938"",""2025-26!q3"")"),0.0)</f>
        <v>0</v>
      </c>
      <c r="AH184" s="58" t="str">
        <f t="shared" si="58"/>
        <v/>
      </c>
      <c r="AI184" s="55">
        <f>IFERROR(__xludf.DUMMYFUNCTION("importrange(""https://docs.google.com/spreadsheets/d/1aek42LDosYQRs0t5c2f5ak34j3r4sr3C5q5taCwGMTE/edit?gid=162659938#gid=162659938"",""2025-26!r4"")"),0.0)</f>
        <v>0</v>
      </c>
      <c r="AJ184" s="55">
        <f>IFERROR(__xludf.DUMMYFUNCTION("importrange(""https://docs.google.com/spreadsheets/d/1aek42LDosYQRs0t5c2f5ak34j3r4sr3C5q5taCwGMTE/edit?gid=162659938#gid=162659938"",""2025-26!r3"")"),0.0)</f>
        <v>0</v>
      </c>
      <c r="AK184" s="55">
        <f>IFERROR(__xludf.DUMMYFUNCTION("importrange(""https://docs.google.com/spreadsheets/d/1aek42LDosYQRs0t5c2f5ak34j3r4sr3C5q5taCwGMTE/edit?gid=162659938#gid=162659938"",""2025-26!s4"")"),0.0)</f>
        <v>0</v>
      </c>
      <c r="AL184" s="55">
        <f>IFERROR(__xludf.DUMMYFUNCTION("importrange(""https://docs.google.com/spreadsheets/d/1aek42LDosYQRs0t5c2f5ak34j3r4sr3C5q5taCwGMTE/edit?gid=162659938#gid=162659938"",""2025-26!s3"")"),0.0)</f>
        <v>0</v>
      </c>
      <c r="AM184" s="57">
        <f>IFERROR(__xludf.DUMMYFUNCTION("importrange(""https://docs.google.com/spreadsheets/d/1aek42LDosYQRs0t5c2f5ak34j3r4sr3C5q5taCwGMTE/edit?gid=162659938#gid=162659938"",""2025-26!t4"")"),0.0)</f>
        <v>0</v>
      </c>
      <c r="AN184" s="55">
        <f>IFERROR(__xludf.DUMMYFUNCTION("importrange(""https://docs.google.com/spreadsheets/d/1aek42LDosYQRs0t5c2f5ak34j3r4sr3C5q5taCwGMTE/edit?gid=162659938#gid=162659938"",""2025-26!t3"")"),0.0)</f>
        <v>0</v>
      </c>
      <c r="AO184" s="58" t="str">
        <f t="shared" si="59"/>
        <v/>
      </c>
      <c r="AP184" s="55">
        <f>IFERROR(__xludf.DUMMYFUNCTION("importrange(""https://docs.google.com/spreadsheets/d/1aek42LDosYQRs0t5c2f5ak34j3r4sr3C5q5taCwGMTE/edit?gid=162659938#gid=162659938"",""2025-26!u4"")"),0.0)</f>
        <v>0</v>
      </c>
      <c r="AQ184" s="55">
        <f>IFERROR(__xludf.DUMMYFUNCTION("importrange(""https://docs.google.com/spreadsheets/d/1aek42LDosYQRs0t5c2f5ak34j3r4sr3C5q5taCwGMTE/edit?gid=162659938#gid=162659938"",""2025-26!u3"")"),0.0)</f>
        <v>0</v>
      </c>
      <c r="AR184" s="55">
        <f>IFERROR(__xludf.DUMMYFUNCTION("importrange(""https://docs.google.com/spreadsheets/d/1aek42LDosYQRs0t5c2f5ak34j3r4sr3C5q5taCwGMTE/edit?gid=162659938#gid=162659938"",""2025-26!v4"")"),0.0)</f>
        <v>0</v>
      </c>
      <c r="AS184" s="55">
        <f>IFERROR(__xludf.DUMMYFUNCTION("importrange(""https://docs.google.com/spreadsheets/d/1aek42LDosYQRs0t5c2f5ak34j3r4sr3C5q5taCwGMTE/edit?gid=162659938#gid=162659938"",""2025-26!v3"")"),0.0)</f>
        <v>0</v>
      </c>
      <c r="AT184" s="57">
        <f>IFERROR(__xludf.DUMMYFUNCTION("importrange(""https://docs.google.com/spreadsheets/d/1aek42LDosYQRs0t5c2f5ak34j3r4sr3C5q5taCwGMTE/edit?gid=162659938#gid=162659938"",""2025-26!w4"")"),0.0)</f>
        <v>0</v>
      </c>
      <c r="AU184" s="55">
        <f>IFERROR(__xludf.DUMMYFUNCTION("importrange(""https://docs.google.com/spreadsheets/d/1aek42LDosYQRs0t5c2f5ak34j3r4sr3C5q5taCwGMTE/edit?gid=162659938#gid=162659938"",""2025-26!w3"")"),0.0)</f>
        <v>0</v>
      </c>
      <c r="AV184" s="58" t="str">
        <f t="shared" si="60"/>
        <v/>
      </c>
      <c r="AW184" s="55">
        <f>IFERROR(__xludf.DUMMYFUNCTION("importrange(""https://docs.google.com/spreadsheets/d/1aek42LDosYQRs0t5c2f5ak34j3r4sr3C5q5taCwGMTE/edit?gid=162659938#gid=162659938"",""2025-26!x4"")"),0.0)</f>
        <v>0</v>
      </c>
      <c r="AX184" s="55">
        <f>IFERROR(__xludf.DUMMYFUNCTION("importrange(""https://docs.google.com/spreadsheets/d/1aek42LDosYQRs0t5c2f5ak34j3r4sr3C5q5taCwGMTE/edit?gid=162659938#gid=162659938"",""2025-26!x3"")"),0.0)</f>
        <v>0</v>
      </c>
      <c r="AY184" s="55">
        <f>IFERROR(__xludf.DUMMYFUNCTION("importrange(""https://docs.google.com/spreadsheets/d/1aek42LDosYQRs0t5c2f5ak34j3r4sr3C5q5taCwGMTE/edit?gid=162659938#gid=162659938"",""2025-26!y4"")"),0.0)</f>
        <v>0</v>
      </c>
      <c r="AZ184" s="55">
        <f>IFERROR(__xludf.DUMMYFUNCTION("importrange(""https://docs.google.com/spreadsheets/d/1aek42LDosYQRs0t5c2f5ak34j3r4sr3C5q5taCwGMTE/edit?gid=162659938#gid=162659938"",""2025-26!y3"")"),0.0)</f>
        <v>0</v>
      </c>
      <c r="BA184" s="57">
        <f>IFERROR(__xludf.DUMMYFUNCTION("importrange(""https://docs.google.com/spreadsheets/d/1aek42LDosYQRs0t5c2f5ak34j3r4sr3C5q5taCwGMTE/edit?gid=162659938#gid=162659938"",""2025-26!z4"")"),85000.59999999999)</f>
        <v>85000.6</v>
      </c>
      <c r="BB184" s="55">
        <f>IFERROR(__xludf.DUMMYFUNCTION("importrange(""https://docs.google.com/spreadsheets/d/1aek42LDosYQRs0t5c2f5ak34j3r4sr3C5q5taCwGMTE/edit?gid=162659938#gid=162659938"",""2025-26!z3"")"),7.0)</f>
        <v>7</v>
      </c>
      <c r="BC184" s="59" t="str">
        <f t="shared" si="61"/>
        <v/>
      </c>
      <c r="BD184" s="55">
        <f>IFERROR(__xludf.DUMMYFUNCTION("importrange(""https://docs.google.com/spreadsheets/d/1aek42LDosYQRs0t5c2f5ak34j3r4sr3C5q5taCwGMTE/edit?gid=162659938#gid=162659938"",""2025-26!aa4"")"),0.0)</f>
        <v>0</v>
      </c>
      <c r="BE184" s="55">
        <f>IFERROR(__xludf.DUMMYFUNCTION("importrange(""https://docs.google.com/spreadsheets/d/1aek42LDosYQRs0t5c2f5ak34j3r4sr3C5q5taCwGMTE/edit?gid=162659938#gid=162659938"",""2025-26!aa3"")"),0.0)</f>
        <v>0</v>
      </c>
      <c r="BF184" s="55">
        <f>IFERROR(__xludf.DUMMYFUNCTION("importrange(""https://docs.google.com/spreadsheets/d/1aek42LDosYQRs0t5c2f5ak34j3r4sr3C5q5taCwGMTE/edit?gid=162659938#gid=162659938"",""2025-26!ab4"")"),0.0)</f>
        <v>0</v>
      </c>
      <c r="BG184" s="55">
        <f>IFERROR(__xludf.DUMMYFUNCTION("importrange(""https://docs.google.com/spreadsheets/d/1aek42LDosYQRs0t5c2f5ak34j3r4sr3C5q5taCwGMTE/edit?gid=162659938#gid=162659938"",""2025-26!ab3"")"),0.0)</f>
        <v>0</v>
      </c>
      <c r="BH184" s="55">
        <f>IFERROR(__xludf.DUMMYFUNCTION("importrange(""https://docs.google.com/spreadsheets/d/1aek42LDosYQRs0t5c2f5ak34j3r4sr3C5q5taCwGMTE/edit?gid=162659938#gid=162659938"",""2025-26!ac4"")"),52006.54000000001)</f>
        <v>52006.54</v>
      </c>
      <c r="BI184" s="55">
        <f>IFERROR(__xludf.DUMMYFUNCTION("importrange(""https://docs.google.com/spreadsheets/d/1aek42LDosYQRs0t5c2f5ak34j3r4sr3C5q5taCwGMTE/edit?gid=162659938#gid=162659938"",""2025-26!ac3"")"),8.0)</f>
        <v>8</v>
      </c>
      <c r="BJ184" s="59" t="str">
        <f t="shared" si="62"/>
        <v/>
      </c>
      <c r="BK184" s="55">
        <f>IFERROR(__xludf.DUMMYFUNCTION("importrange(""https://docs.google.com/spreadsheets/d/1aek42LDosYQRs0t5c2f5ak34j3r4sr3C5q5taCwGMTE/edit?gid=162659938#gid=162659938"",""2025-26!ad4"")"),0.0)</f>
        <v>0</v>
      </c>
      <c r="BL184" s="55">
        <f>IFERROR(__xludf.DUMMYFUNCTION("importrange(""https://docs.google.com/spreadsheets/d/1aek42LDosYQRs0t5c2f5ak34j3r4sr3C5q5taCwGMTE/edit?gid=162659938#gid=162659938"",""2025-26!ad3"")"),0.0)</f>
        <v>0</v>
      </c>
      <c r="BM184" s="55">
        <f>IFERROR(__xludf.DUMMYFUNCTION("importrange(""https://docs.google.com/spreadsheets/d/1aek42LDosYQRs0t5c2f5ak34j3r4sr3C5q5taCwGMTE/edit?gid=162659938#gid=162659938"",""2025-26!ae4"")"),0.0)</f>
        <v>0</v>
      </c>
      <c r="BN184" s="55">
        <f>IFERROR(__xludf.DUMMYFUNCTION("importrange(""https://docs.google.com/spreadsheets/d/1aek42LDosYQRs0t5c2f5ak34j3r4sr3C5q5taCwGMTE/edit?gid=162659938#gid=162659938"",""2025-26!ae3"")"),0.0)</f>
        <v>0</v>
      </c>
      <c r="BO184" s="55">
        <f>IFERROR(__xludf.DUMMYFUNCTION("importrange(""https://docs.google.com/spreadsheets/d/1aek42LDosYQRs0t5c2f5ak34j3r4sr3C5q5taCwGMTE/edit?gid=162659938#gid=162659938"",""2025-26!af4"")"),95392.68)</f>
        <v>95392.68</v>
      </c>
      <c r="BP184" s="55">
        <f>IFERROR(__xludf.DUMMYFUNCTION("importrange(""https://docs.google.com/spreadsheets/d/1aek42LDosYQRs0t5c2f5ak34j3r4sr3C5q5taCwGMTE/edit?gid=162659938#gid=162659938"",""2025-26!af3"")"),16.0)</f>
        <v>16</v>
      </c>
      <c r="BQ184" s="59" t="str">
        <f t="shared" si="63"/>
        <v/>
      </c>
      <c r="BR184" s="55">
        <f>IFERROR(__xludf.DUMMYFUNCTION("importrange(""https://docs.google.com/spreadsheets/d/1aek42LDosYQRs0t5c2f5ak34j3r4sr3C5q5taCwGMTE/edit?gid=162659938#gid=162659938"",""2025-26!ag4"")"),0.0)</f>
        <v>0</v>
      </c>
      <c r="BS184" s="55">
        <f>IFERROR(__xludf.DUMMYFUNCTION("importrange(""https://docs.google.com/spreadsheets/d/1aek42LDosYQRs0t5c2f5ak34j3r4sr3C5q5taCwGMTE/edit?gid=162659938#gid=162659938"",""2025-26!ag3"")"),0.0)</f>
        <v>0</v>
      </c>
      <c r="BT184" s="55">
        <f>IFERROR(__xludf.DUMMYFUNCTION("importrange(""https://docs.google.com/spreadsheets/d/1aek42LDosYQRs0t5c2f5ak34j3r4sr3C5q5taCwGMTE/edit?gid=162659938#gid=162659938"",""2025-26!ah4"")"),0.0)</f>
        <v>0</v>
      </c>
      <c r="BU184" s="55">
        <f>IFERROR(__xludf.DUMMYFUNCTION("importrange(""https://docs.google.com/spreadsheets/d/1aek42LDosYQRs0t5c2f5ak34j3r4sr3C5q5taCwGMTE/edit?gid=162659938#gid=162659938"",""2025-26!ah3"")"),0.0)</f>
        <v>0</v>
      </c>
      <c r="BV184" s="55">
        <f>IFERROR(__xludf.DUMMYFUNCTION("importrange(""https://docs.google.com/spreadsheets/d/1aek42LDosYQRs0t5c2f5ak34j3r4sr3C5q5taCwGMTE/edit?gid=162659938#gid=162659938"",""2025-26!ai4"")"),49091.880000000005)</f>
        <v>49091.88</v>
      </c>
      <c r="BW184" s="55">
        <f>IFERROR(__xludf.DUMMYFUNCTION("importrange(""https://docs.google.com/spreadsheets/d/1aek42LDosYQRs0t5c2f5ak34j3r4sr3C5q5taCwGMTE/edit?gid=162659938#gid=162659938"",""2025-26!ai3"")"),5.0)</f>
        <v>5</v>
      </c>
      <c r="BX184" s="59" t="str">
        <f t="shared" si="64"/>
        <v/>
      </c>
      <c r="BY184" s="55">
        <f>IFERROR(__xludf.DUMMYFUNCTION("importrange(""https://docs.google.com/spreadsheets/d/1aek42LDosYQRs0t5c2f5ak34j3r4sr3C5q5taCwGMTE/edit?gid=162659938#gid=162659938"",""2025-26!aj4"")"),0.0)</f>
        <v>0</v>
      </c>
      <c r="BZ184" s="55">
        <f>IFERROR(__xludf.DUMMYFUNCTION("importrange(""https://docs.google.com/spreadsheets/d/1aek42LDosYQRs0t5c2f5ak34j3r4sr3C5q5taCwGMTE/edit?gid=162659938#gid=162659938"",""2025-26!aj3"")"),0.0)</f>
        <v>0</v>
      </c>
      <c r="CA184" s="55">
        <f>IFERROR(__xludf.DUMMYFUNCTION("importrange(""https://docs.google.com/spreadsheets/d/1aek42LDosYQRs0t5c2f5ak34j3r4sr3C5q5taCwGMTE/edit?gid=162659938#gid=162659938"",""2025-26!ak4"")"),0.0)</f>
        <v>0</v>
      </c>
      <c r="CB184" s="55">
        <f>IFERROR(__xludf.DUMMYFUNCTION("importrange(""https://docs.google.com/spreadsheets/d/1aek42LDosYQRs0t5c2f5ak34j3r4sr3C5q5taCwGMTE/edit?gid=162659938#gid=162659938"",""2025-26!ak3"")"),0.0)</f>
        <v>0</v>
      </c>
      <c r="CC184" s="55">
        <f>IFERROR(__xludf.DUMMYFUNCTION("importrange(""https://docs.google.com/spreadsheets/d/1aek42LDosYQRs0t5c2f5ak34j3r4sr3C5q5taCwGMTE/edit?gid=162659938#gid=162659938"",""2025-26!al4"")"),0.0)</f>
        <v>0</v>
      </c>
      <c r="CD184" s="55">
        <f>IFERROR(__xludf.DUMMYFUNCTION("importrange(""https://docs.google.com/spreadsheets/d/1aek42LDosYQRs0t5c2f5ak34j3r4sr3C5q5taCwGMTE/edit?gid=162659938#gid=162659938"",""2025-26!ai3"")"),5.0)</f>
        <v>5</v>
      </c>
      <c r="CE184" s="59" t="str">
        <f t="shared" si="65"/>
        <v/>
      </c>
      <c r="CF184" s="55">
        <f>IFERROR(__xludf.DUMMYFUNCTION("importrange(""https://docs.google.com/spreadsheets/d/1aek42LDosYQRs0t5c2f5ak34j3r4sr3C5q5taCwGMTE/edit?gid=162659938#gid=162659938"",""2025-26!am4"")"),0.0)</f>
        <v>0</v>
      </c>
      <c r="CG184" s="55">
        <f>IFERROR(__xludf.DUMMYFUNCTION("importrange(""https://docs.google.com/spreadsheets/d/1aek42LDosYQRs0t5c2f5ak34j3r4sr3C5q5taCwGMTE/edit?gid=162659938#gid=162659938"",""2025-26!am3"")"),0.0)</f>
        <v>0</v>
      </c>
      <c r="CH184" s="55">
        <f>IFERROR(__xludf.DUMMYFUNCTION("importrange(""https://docs.google.com/spreadsheets/d/1aek42LDosYQRs0t5c2f5ak34j3r4sr3C5q5taCwGMTE/edit?gid=162659938#gid=162659938"",""2025-26!an4"")"),0.0)</f>
        <v>0</v>
      </c>
      <c r="CI184" s="55">
        <f>IFERROR(__xludf.DUMMYFUNCTION("importrange(""https://docs.google.com/spreadsheets/d/1aek42LDosYQRs0t5c2f5ak34j3r4sr3C5q5taCwGMTE/edit?gid=162659938#gid=162659938"",""2025-26!an3"")"),0.0)</f>
        <v>0</v>
      </c>
      <c r="CJ184" s="55">
        <f>IFERROR(__xludf.DUMMYFUNCTION("importrange(""https://docs.google.com/spreadsheets/d/1aek42LDosYQRs0t5c2f5ak34j3r4sr3C5q5taCwGMTE/edit?gid=162659938#gid=162659938"",""2025-26!ao4"")"),0.0)</f>
        <v>0</v>
      </c>
      <c r="CK184" s="55">
        <f>IFERROR(__xludf.DUMMYFUNCTION("importrange(""https://docs.google.com/spreadsheets/d/1aek42LDosYQRs0t5c2f5ak34j3r4sr3C5q5taCwGMTE/edit?gid=162659938#gid=162659938"",""2025-26!ao3"")"),0.0)</f>
        <v>0</v>
      </c>
      <c r="CL184" s="59" t="str">
        <f t="shared" si="66"/>
        <v/>
      </c>
      <c r="CM184" s="55">
        <f>IFERROR(__xludf.DUMMYFUNCTION("importrange(""https://docs.google.com/spreadsheets/d/1aek42LDosYQRs0t5c2f5ak34j3r4sr3C5q5taCwGMTE/edit?gid=162659938#gid=162659938"",""2025-26!ap4"")"),0.0)</f>
        <v>0</v>
      </c>
      <c r="CN184" s="55">
        <f>IFERROR(__xludf.DUMMYFUNCTION("importrange(""https://docs.google.com/spreadsheets/d/1aek42LDosYQRs0t5c2f5ak34j3r4sr3C5q5taCwGMTE/edit?gid=162659938#gid=162659938"",""2025-26!ap3"")"),0.0)</f>
        <v>0</v>
      </c>
      <c r="CO184" s="55">
        <f>IFERROR(__xludf.DUMMYFUNCTION("importrange(""https://docs.google.com/spreadsheets/d/1aek42LDosYQRs0t5c2f5ak34j3r4sr3C5q5taCwGMTE/edit?gid=162659938#gid=162659938"",""2025-26!aq4"")"),0.0)</f>
        <v>0</v>
      </c>
      <c r="CP184" s="55">
        <f>IFERROR(__xludf.DUMMYFUNCTION("importrange(""https://docs.google.com/spreadsheets/d/1aek42LDosYQRs0t5c2f5ak34j3r4sr3C5q5taCwGMTE/edit?gid=162659938#gid=162659938"",""2025-26!aq3"")"),0.0)</f>
        <v>0</v>
      </c>
      <c r="CQ184" s="55">
        <f>IFERROR(__xludf.DUMMYFUNCTION("importrange(""https://docs.google.com/spreadsheets/d/1aek42LDosYQRs0t5c2f5ak34j3r4sr3C5q5taCwGMTE/edit?gid=162659938#gid=162659938"",""2025-26!ar4"")"),0.0)</f>
        <v>0</v>
      </c>
      <c r="CR184" s="55">
        <f>IFERROR(__xludf.DUMMYFUNCTION("importrange(""https://docs.google.com/spreadsheets/d/1aek42LDosYQRs0t5c2f5ak34j3r4sr3C5q5taCwGMTE/edit?gid=162659938#gid=162659938"",""2025-26!ar3"")"),0.0)</f>
        <v>0</v>
      </c>
      <c r="CS184" s="59" t="str">
        <f t="shared" si="67"/>
        <v/>
      </c>
      <c r="CT184" s="55">
        <f>IFERROR(__xludf.DUMMYFUNCTION("importrange(""https://docs.google.com/spreadsheets/d/1aek42LDosYQRs0t5c2f5ak34j3r4sr3C5q5taCwGMTE/edit?gid=162659938#gid=162659938"",""2025-26!as4"")"),0.0)</f>
        <v>0</v>
      </c>
      <c r="CU184" s="55">
        <f>IFERROR(__xludf.DUMMYFUNCTION("importrange(""https://docs.google.com/spreadsheets/d/1aek42LDosYQRs0t5c2f5ak34j3r4sr3C5q5taCwGMTE/edit?gid=162659938#gid=162659938"",""2025-26!as3"")"),0.0)</f>
        <v>0</v>
      </c>
      <c r="CV184" s="60" t="s">
        <v>56</v>
      </c>
    </row>
    <row r="185">
      <c r="A185" s="84" t="s">
        <v>53</v>
      </c>
      <c r="B185" s="145" t="s">
        <v>53</v>
      </c>
      <c r="C185" s="132" t="s">
        <v>381</v>
      </c>
      <c r="D185" s="65" t="s">
        <v>382</v>
      </c>
      <c r="E185" s="68">
        <v>9.812275903E9</v>
      </c>
      <c r="F185" s="66">
        <v>45922.0</v>
      </c>
      <c r="G185" s="62"/>
      <c r="H185" s="62"/>
      <c r="I185" s="53">
        <f>VLOOKUP($C185,Data!$C:$BV,34,0)</f>
        <v>41430</v>
      </c>
      <c r="J185" s="54">
        <v>500000.0</v>
      </c>
      <c r="K185" s="55">
        <f>IFERROR(__xludf.DUMMYFUNCTION("IMPORTRANGE(""15fFRO4U9W5gIp9-k9sULn9c-rtXz2JhljW9NjBZXgk4"",""2025-26!A3"")"),19.0)</f>
        <v>19</v>
      </c>
      <c r="L185" s="55">
        <f>IFERROR(__xludf.DUMMYFUNCTION("IMPORTRANGE(""15fFRO4U9W5gIp9-k9sULn9c-rtXz2JhljW9NjBZXgk4"",""2025-26!G4"")"),7850000.0)</f>
        <v>7850000</v>
      </c>
      <c r="M185" s="55">
        <f t="shared" ref="M185:M196" si="84">R185+Y185+AF185+AM185+AT185+BA185+BH185+BO185+BV185+CC185+CJ185+CQ185</f>
        <v>357731.03</v>
      </c>
      <c r="N185" s="56">
        <f t="shared" ref="N185:N196" si="85">O185/L185</f>
        <v>0.04708229299</v>
      </c>
      <c r="O185" s="57">
        <f t="shared" ref="O185:O196" si="86">U185+AB185+AI185+AP185+AW185+BD185+BK185+BR185+BY185+CF185+CM185+CT185</f>
        <v>369596</v>
      </c>
      <c r="P185" s="55">
        <f>IFERROR(__xludf.DUMMYFUNCTION("IMPORTRANGE(""15fFRO4U9W5gIp9-k9sULn9c-rtXz2JhljW9NjBZXgk4"",""2025-26!J4"")"),0.0)</f>
        <v>0</v>
      </c>
      <c r="Q185" s="55">
        <f>IFERROR(__xludf.DUMMYFUNCTION("IMPORTRANGE(""15fFRO4U9W5gIp9-k9sULn9c-rtXz2JhljW9NjBZXgk4"",""2025-26!J3"")"),0.0)</f>
        <v>0</v>
      </c>
      <c r="R185" s="55">
        <f>IFERROR(__xludf.DUMMYFUNCTION("IMPORTRANGE(""15fFRO4U9W5gIp9-k9sULn9c-rtXz2JhljW9NjBZXgk4"",""2025-26!K4"")"),0.0)</f>
        <v>0</v>
      </c>
      <c r="S185" s="55">
        <f>IFERROR(__xludf.DUMMYFUNCTION("IMPORTRANGE(""15fFRO4U9W5gIp9-k9sULn9c-rtXz2JhljW9NjBZXgk4"",""2025-26!K3"")"),0.0)</f>
        <v>0</v>
      </c>
      <c r="T185" s="58" t="str">
        <f t="shared" si="56"/>
        <v/>
      </c>
      <c r="U185" s="55">
        <f>IFERROR(__xludf.DUMMYFUNCTION("IMPORTRANGE(""15fFRO4U9W5gIp9-k9sULn9c-rtXz2JhljW9NjBZXgk4"",""2025-26!L4"")"),0.0)</f>
        <v>0</v>
      </c>
      <c r="V185" s="55">
        <f>IFERROR(__xludf.DUMMYFUNCTION("IMPORTRANGE(""15fFRO4U9W5gIp9-k9sULn9c-rtXz2JhljW9NjBZXgk4"",""2025-26!L3"")"),0.0)</f>
        <v>0</v>
      </c>
      <c r="W185" s="55">
        <f>IFERROR(__xludf.DUMMYFUNCTION("IMPORTRANGE(""15fFRO4U9W5gIp9-k9sULn9c-rtXz2JhljW9NjBZXgk4"",""2025-26!m4"")"),0.0)</f>
        <v>0</v>
      </c>
      <c r="X185" s="55">
        <f>IFERROR(__xludf.DUMMYFUNCTION("IMPORTRANGE(""15fFRO4U9W5gIp9-k9sULn9c-rtXz2JhljW9NjBZXgk4"",""2025-26!m3"")"),0.0)</f>
        <v>0</v>
      </c>
      <c r="Y185" s="55">
        <f>IFERROR(__xludf.DUMMYFUNCTION("IMPORTRANGE(""15fFRO4U9W5gIp9-k9sULn9c-rtXz2JhljW9NjBZXgk4"",""2025-26!N4"")"),0.0)</f>
        <v>0</v>
      </c>
      <c r="Z185" s="55">
        <f>IFERROR(__xludf.DUMMYFUNCTION("IMPORTRANGE(""15fFRO4U9W5gIp9-k9sULn9c-rtXz2JhljW9NjBZXgk4"",""2025-26!N3"")"),0.0)</f>
        <v>0</v>
      </c>
      <c r="AA185" s="58" t="str">
        <f t="shared" si="57"/>
        <v/>
      </c>
      <c r="AB185" s="55">
        <f>IFERROR(__xludf.DUMMYFUNCTION("IMPORTRANGE(""15fFRO4U9W5gIp9-k9sULn9c-rtXz2JhljW9NjBZXgk4"",""2025-26!O4"")"),0.0)</f>
        <v>0</v>
      </c>
      <c r="AC185" s="55">
        <f>IFERROR(__xludf.DUMMYFUNCTION("IMPORTRANGE(""15fFRO4U9W5gIp9-k9sULn9c-rtXz2JhljW9NjBZXgk4"",""2025-26!O3"")"),0.0)</f>
        <v>0</v>
      </c>
      <c r="AD185" s="55">
        <f>IFERROR(__xludf.DUMMYFUNCTION("IMPORTRANGE(""15fFRO4U9W5gIp9-k9sULn9c-rtXz2JhljW9NjBZXgk4"",""2025-26!P4"")"),0.0)</f>
        <v>0</v>
      </c>
      <c r="AE185" s="55">
        <f>IFERROR(__xludf.DUMMYFUNCTION("IMPORTRANGE(""15fFRO4U9W5gIp9-k9sULn9c-rtXz2JhljW9NjBZXgk4"",""2025-26!P3"")"),0.0)</f>
        <v>0</v>
      </c>
      <c r="AF185" s="55">
        <f>IFERROR(__xludf.DUMMYFUNCTION("IMPORTRANGE(""15fFRO4U9W5gIp9-k9sULn9c-rtXz2JhljW9NjBZXgk4"",""2025-26!Q4"")"),0.0)</f>
        <v>0</v>
      </c>
      <c r="AG185" s="55">
        <f>IFERROR(__xludf.DUMMYFUNCTION("IMPORTRANGE(""15fFRO4U9W5gIp9-k9sULn9c-rtXz2JhljW9NjBZXgk4"",""2025-26!Q3"")"),0.0)</f>
        <v>0</v>
      </c>
      <c r="AH185" s="58" t="str">
        <f t="shared" si="58"/>
        <v/>
      </c>
      <c r="AI185" s="55">
        <f>IFERROR(__xludf.DUMMYFUNCTION("IMPORTRANGE(""15fFRO4U9W5gIp9-k9sULn9c-rtXz2JhljW9NjBZXgk4"",""2025-26!R4"")"),0.0)</f>
        <v>0</v>
      </c>
      <c r="AJ185" s="55">
        <f>IFERROR(__xludf.DUMMYFUNCTION("IMPORTRANGE(""15fFRO4U9W5gIp9-k9sULn9c-rtXz2JhljW9NjBZXgk4"",""2025-26!R3"")"),0.0)</f>
        <v>0</v>
      </c>
      <c r="AK185" s="55">
        <f>IFERROR(__xludf.DUMMYFUNCTION("IMPORTRANGE(""15fFRO4U9W5gIp9-k9sULn9c-rtXz2JhljW9NjBZXgk4"",""2025-26!S4"")"),0.0)</f>
        <v>0</v>
      </c>
      <c r="AL185" s="55">
        <f>IFERROR(__xludf.DUMMYFUNCTION("IMPORTRANGE(""15fFRO4U9W5gIp9-k9sULn9c-rtXz2JhljW9NjBZXgk4"",""2025-26!S3"")"),0.0)</f>
        <v>0</v>
      </c>
      <c r="AM185" s="55">
        <f>IFERROR(__xludf.DUMMYFUNCTION("IMPORTRANGE(""15fFRO4U9W5gIp9-k9sULn9c-rtXz2JhljW9NjBZXgk4"",""2025-26!T4"")"),0.0)</f>
        <v>0</v>
      </c>
      <c r="AN185" s="55">
        <f>IFERROR(__xludf.DUMMYFUNCTION("IMPORTRANGE(""15fFRO4U9W5gIp9-k9sULn9c-rtXz2JhljW9NjBZXgk4"",""2025-26!T3"")"),0.0)</f>
        <v>0</v>
      </c>
      <c r="AO185" s="58" t="str">
        <f t="shared" si="59"/>
        <v/>
      </c>
      <c r="AP185" s="55">
        <f>IFERROR(__xludf.DUMMYFUNCTION("IMPORTRANGE(""15fFRO4U9W5gIp9-k9sULn9c-rtXz2JhljW9NjBZXgk4"",""2025-26!U4"")"),0.0)</f>
        <v>0</v>
      </c>
      <c r="AQ185" s="55">
        <f>IFERROR(__xludf.DUMMYFUNCTION("IMPORTRANGE(""15fFRO4U9W5gIp9-k9sULn9c-rtXz2JhljW9NjBZXgk4"",""2025-26!U3"")"),0.0)</f>
        <v>0</v>
      </c>
      <c r="AR185" s="55">
        <f>IFERROR(__xludf.DUMMYFUNCTION("IMPORTRANGE(""15fFRO4U9W5gIp9-k9sULn9c-rtXz2JhljW9NjBZXgk4"",""2025-26!V4"")"),0.0)</f>
        <v>0</v>
      </c>
      <c r="AS185" s="55">
        <f>IFERROR(__xludf.DUMMYFUNCTION("IMPORTRANGE(""15fFRO4U9W5gIp9-k9sULn9c-rtXz2JhljW9NjBZXgk4"",""2025-26!V3"")"),0.0)</f>
        <v>0</v>
      </c>
      <c r="AT185" s="55">
        <f>IFERROR(__xludf.DUMMYFUNCTION("IMPORTRANGE(""15fFRO4U9W5gIp9-k9sULn9c-rtXz2JhljW9NjBZXgk4"",""2025-26!W4"")"),0.0)</f>
        <v>0</v>
      </c>
      <c r="AU185" s="55">
        <f>IFERROR(__xludf.DUMMYFUNCTION("IMPORTRANGE(""15fFRO4U9W5gIp9-k9sULn9c-rtXz2JhljW9NjBZXgk4"",""2025-26!W3"")"),0.0)</f>
        <v>0</v>
      </c>
      <c r="AV185" s="58" t="str">
        <f t="shared" si="60"/>
        <v/>
      </c>
      <c r="AW185" s="55">
        <f>IFERROR(__xludf.DUMMYFUNCTION("IMPORTRANGE(""15fFRO4U9W5gIp9-k9sULn9c-rtXz2JhljW9NjBZXgk4"",""2025-26!X4"")"),0.0)</f>
        <v>0</v>
      </c>
      <c r="AX185" s="55">
        <f>IFERROR(__xludf.DUMMYFUNCTION("IMPORTRANGE(""15fFRO4U9W5gIp9-k9sULn9c-rtXz2JhljW9NjBZXgk4"",""2025-26!X3"")"),0.0)</f>
        <v>0</v>
      </c>
      <c r="AY185" s="55">
        <f>IFERROR(__xludf.DUMMYFUNCTION("IMPORTRANGE(""15fFRO4U9W5gIp9-k9sULn9c-rtXz2JhljW9NjBZXgk4"",""2025-26!Y4"")"),0.0)</f>
        <v>0</v>
      </c>
      <c r="AZ185" s="55">
        <f>IFERROR(__xludf.DUMMYFUNCTION("IMPORTRANGE(""15fFRO4U9W5gIp9-k9sULn9c-rtXz2JhljW9NjBZXgk4"",""2025-26!Y3"")"),0.0)</f>
        <v>0</v>
      </c>
      <c r="BA185" s="55">
        <f>IFERROR(__xludf.DUMMYFUNCTION("IMPORTRANGE(""15fFRO4U9W5gIp9-k9sULn9c-rtXz2JhljW9NjBZXgk4"",""2025-26!Z4"")"),0.0)</f>
        <v>0</v>
      </c>
      <c r="BB185" s="55">
        <f>IFERROR(__xludf.DUMMYFUNCTION("IMPORTRANGE(""15fFRO4U9W5gIp9-k9sULn9c-rtXz2JhljW9NjBZXgk4"",""2025-26!Z3"")"),0.0)</f>
        <v>0</v>
      </c>
      <c r="BC185" s="59" t="str">
        <f t="shared" si="61"/>
        <v/>
      </c>
      <c r="BD185" s="55">
        <f>IFERROR(__xludf.DUMMYFUNCTION("IMPORTRANGE(""15fFRO4U9W5gIp9-k9sULn9c-rtXz2JhljW9NjBZXgk4"",""2025-26!AA4"")"),0.0)</f>
        <v>0</v>
      </c>
      <c r="BE185" s="55">
        <f>IFERROR(__xludf.DUMMYFUNCTION("IMPORTRANGE(""15fFRO4U9W5gIp9-k9sULn9c-rtXz2JhljW9NjBZXgk4"",""2025-26!AA3"")"),0.0)</f>
        <v>0</v>
      </c>
      <c r="BF185" s="55">
        <f>IFERROR(__xludf.DUMMYFUNCTION("IMPORTRANGE(""15fFRO4U9W5gIp9-k9sULn9c-rtXz2JhljW9NjBZXgk4"",""2025-26!AB4"")"),460000.0)</f>
        <v>460000</v>
      </c>
      <c r="BG185" s="55">
        <f>IFERROR(__xludf.DUMMYFUNCTION("IMPORTRANGE(""15fFRO4U9W5gIp9-k9sULn9c-rtXz2JhljW9NjBZXgk4"",""2025-26!AB3"")"),2.0)</f>
        <v>2</v>
      </c>
      <c r="BH185" s="55">
        <f>IFERROR(__xludf.DUMMYFUNCTION("IMPORTRANGE(""15fFRO4U9W5gIp9-k9sULn9c-rtXz2JhljW9NjBZXgk4"",""2025-26!AC4"")"),0.0)</f>
        <v>0</v>
      </c>
      <c r="BI185" s="55">
        <f>IFERROR(__xludf.DUMMYFUNCTION("IMPORTRANGE(""15fFRO4U9W5gIp9-k9sULn9c-rtXz2JhljW9NjBZXgk4"",""2025-26!AC3"")"),0.0)</f>
        <v>0</v>
      </c>
      <c r="BJ185" s="59">
        <f t="shared" si="62"/>
        <v>0</v>
      </c>
      <c r="BK185" s="55">
        <f>IFERROR(__xludf.DUMMYFUNCTION("IMPORTRANGE(""15fFRO4U9W5gIp9-k9sULn9c-rtXz2JhljW9NjBZXgk4"",""2025-26!AD4"")"),0.0)</f>
        <v>0</v>
      </c>
      <c r="BL185" s="55">
        <f>IFERROR(__xludf.DUMMYFUNCTION("IMPORTRANGE(""15fFRO4U9W5gIp9-k9sULn9c-rtXz2JhljW9NjBZXgk4"",""2025-26!AD3"")"),0.0)</f>
        <v>0</v>
      </c>
      <c r="BM185" s="55">
        <f>IFERROR(__xludf.DUMMYFUNCTION("IMPORTRANGE(""15fFRO4U9W5gIp9-k9sULn9c-rtXz2JhljW9NjBZXgk4"",""2025-26!AE4"")"),306249.0)</f>
        <v>306249</v>
      </c>
      <c r="BN185" s="55">
        <f>IFERROR(__xludf.DUMMYFUNCTION("IMPORTRANGE(""15fFRO4U9W5gIp9-k9sULn9c-rtXz2JhljW9NjBZXgk4"",""2025-26!AE3"")"),4.0)</f>
        <v>4</v>
      </c>
      <c r="BO185" s="55">
        <f>IFERROR(__xludf.DUMMYFUNCTION("IMPORTRANGE(""15fFRO4U9W5gIp9-k9sULn9c-rtXz2JhljW9NjBZXgk4"",""2025-26!AF4"")"),28980.0)</f>
        <v>28980</v>
      </c>
      <c r="BP185" s="55">
        <f>IFERROR(__xludf.DUMMYFUNCTION("IMPORTRANGE(""15fFRO4U9W5gIp9-k9sULn9c-rtXz2JhljW9NjBZXgk4"",""2025-26!AF3"")"),1.0)</f>
        <v>1</v>
      </c>
      <c r="BQ185" s="59">
        <f t="shared" si="63"/>
        <v>0.08000026123</v>
      </c>
      <c r="BR185" s="55">
        <f>IFERROR(__xludf.DUMMYFUNCTION("IMPORTRANGE(""15fFRO4U9W5gIp9-k9sULn9c-rtXz2JhljW9NjBZXgk4"",""2025-26!AG4"")"),24500.0)</f>
        <v>24500</v>
      </c>
      <c r="BS185" s="55">
        <f>IFERROR(__xludf.DUMMYFUNCTION("IMPORTRANGE(""15fFRO4U9W5gIp9-k9sULn9c-rtXz2JhljW9NjBZXgk4"",""2025-26!AG3"")"),1.0)</f>
        <v>1</v>
      </c>
      <c r="BT185" s="55">
        <f>IFERROR(__xludf.DUMMYFUNCTION("IMPORTRANGE(""15fFRO4U9W5gIp9-k9sULn9c-rtXz2JhljW9NjBZXgk4"",""2025-26!AH4"")"),865000.0)</f>
        <v>865000</v>
      </c>
      <c r="BU185" s="55">
        <f>IFERROR(__xludf.DUMMYFUNCTION("IMPORTRANGE(""15fFRO4U9W5gIp9-k9sULn9c-rtXz2JhljW9NjBZXgk4"",""2025-26!AH3"")"),8.0)</f>
        <v>8</v>
      </c>
      <c r="BV185" s="55">
        <f>IFERROR(__xludf.DUMMYFUNCTION("IMPORTRANGE(""15fFRO4U9W5gIp9-k9sULn9c-rtXz2JhljW9NjBZXgk4"",""2025-26!AI4"")"),328751.03)</f>
        <v>328751.03</v>
      </c>
      <c r="BW185" s="55">
        <f>IFERROR(__xludf.DUMMYFUNCTION("IMPORTRANGE(""15fFRO4U9W5gIp9-k9sULn9c-rtXz2JhljW9NjBZXgk4"",""2025-26!AI3"")"),1.0)</f>
        <v>1</v>
      </c>
      <c r="BX185" s="59">
        <f t="shared" si="64"/>
        <v>0.3989549133</v>
      </c>
      <c r="BY185" s="55">
        <f>IFERROR(__xludf.DUMMYFUNCTION("IMPORTRANGE(""15fFRO4U9W5gIp9-k9sULn9c-rtXz2JhljW9NjBZXgk4"",""2025-26!AJ4"")"),345096.0)</f>
        <v>345096</v>
      </c>
      <c r="BZ185" s="55">
        <f>IFERROR(__xludf.DUMMYFUNCTION("IMPORTRANGE(""15fFRO4U9W5gIp9-k9sULn9c-rtXz2JhljW9NjBZXgk4"",""2025-26!AJ3"")"),1.0)</f>
        <v>1</v>
      </c>
      <c r="CA185" s="55">
        <f>IFERROR(__xludf.DUMMYFUNCTION("IMPORTRANGE(""15fFRO4U9W5gIp9-k9sULn9c-rtXz2JhljW9NjBZXgk4"",""2025-26!AK4"")"),250000.0)</f>
        <v>250000</v>
      </c>
      <c r="CB185" s="55">
        <f>IFERROR(__xludf.DUMMYFUNCTION("IMPORTRANGE(""15fFRO4U9W5gIp9-k9sULn9c-rtXz2JhljW9NjBZXgk4"",""2025-26!AK3"")"),5.0)</f>
        <v>5</v>
      </c>
      <c r="CC185" s="55">
        <f>IFERROR(__xludf.DUMMYFUNCTION("IMPORTRANGE(""15fFRO4U9W5gIp9-k9sULn9c-rtXz2JhljW9NjBZXgk4"",""2025-26!AL4"")"),0.0)</f>
        <v>0</v>
      </c>
      <c r="CD185" s="55">
        <f>IFERROR(__xludf.DUMMYFUNCTION("IMPORTRANGE(""15fFRO4U9W5gIp9-k9sULn9c-rtXz2JhljW9NjBZXgk4"",""2025-26!AL3"")"),0.0)</f>
        <v>0</v>
      </c>
      <c r="CE185" s="59">
        <f t="shared" si="65"/>
        <v>0</v>
      </c>
      <c r="CF185" s="55">
        <f>IFERROR(__xludf.DUMMYFUNCTION("IMPORTRANGE(""15fFRO4U9W5gIp9-k9sULn9c-rtXz2JhljW9NjBZXgk4"",""2025-26!AM4"")"),0.0)</f>
        <v>0</v>
      </c>
      <c r="CG185" s="55">
        <f>IFERROR(__xludf.DUMMYFUNCTION("IMPORTRANGE(""15fFRO4U9W5gIp9-k9sULn9c-rtXz2JhljW9NjBZXgk4"",""2025-26!AM3"")"),0.0)</f>
        <v>0</v>
      </c>
      <c r="CH185" s="55">
        <f>IFERROR(__xludf.DUMMYFUNCTION("IMPORTRANGE(""15fFRO4U9W5gIp9-k9sULn9c-rtXz2JhljW9NjBZXgk4"",""2025-26!AN4"")"),1460000.0)</f>
        <v>1460000</v>
      </c>
      <c r="CI185" s="55">
        <f>IFERROR(__xludf.DUMMYFUNCTION("IMPORTRANGE(""15fFRO4U9W5gIp9-k9sULn9c-rtXz2JhljW9NjBZXgk4"",""2025-26!AN3"")"),14.0)</f>
        <v>14</v>
      </c>
      <c r="CJ185" s="55">
        <f>IFERROR(__xludf.DUMMYFUNCTION("IMPORTRANGE(""15fFRO4U9W5gIp9-k9sULn9c-rtXz2JhljW9NjBZXgk4"",""2025-26!AO4"")"),0.0)</f>
        <v>0</v>
      </c>
      <c r="CK185" s="55">
        <f>IFERROR(__xludf.DUMMYFUNCTION("IMPORTRANGE(""15fFRO4U9W5gIp9-k9sULn9c-rtXz2JhljW9NjBZXgk4"",""2025-26!AO3"")"),0.0)</f>
        <v>0</v>
      </c>
      <c r="CL185" s="59">
        <f t="shared" si="66"/>
        <v>0</v>
      </c>
      <c r="CM185" s="55">
        <f>IFERROR(__xludf.DUMMYFUNCTION("IMPORTRANGE(""15fFRO4U9W5gIp9-k9sULn9c-rtXz2JhljW9NjBZXgk4"",""2025-26!AP4"")"),0.0)</f>
        <v>0</v>
      </c>
      <c r="CN185" s="55">
        <f>IFERROR(__xludf.DUMMYFUNCTION("IMPORTRANGE(""15fFRO4U9W5gIp9-k9sULn9c-rtXz2JhljW9NjBZXgk4"",""2025-26!AP3"")"),0.0)</f>
        <v>0</v>
      </c>
      <c r="CO185" s="55">
        <f>IFERROR(__xludf.DUMMYFUNCTION("IMPORTRANGE(""15fFRO4U9W5gIp9-k9sULn9c-rtXz2JhljW9NjBZXgk4"",""2025-26!AQ4"")"),1680000.0)</f>
        <v>1680000</v>
      </c>
      <c r="CP185" s="55">
        <f>IFERROR(__xludf.DUMMYFUNCTION("IMPORTRANGE(""15fFRO4U9W5gIp9-k9sULn9c-rtXz2JhljW9NjBZXgk4"",""2025-26!AQ3"")"),14.0)</f>
        <v>14</v>
      </c>
      <c r="CQ185" s="55">
        <f>IFERROR(__xludf.DUMMYFUNCTION("IMPORTRANGE(""15fFRO4U9W5gIp9-k9sULn9c-rtXz2JhljW9NjBZXgk4"",""2025-26!AR4"")"),0.0)</f>
        <v>0</v>
      </c>
      <c r="CR185" s="55">
        <f>IFERROR(__xludf.DUMMYFUNCTION("IMPORTRANGE(""15fFRO4U9W5gIp9-k9sULn9c-rtXz2JhljW9NjBZXgk4"",""2025-26!AR3"")"),0.0)</f>
        <v>0</v>
      </c>
      <c r="CS185" s="59">
        <f t="shared" si="67"/>
        <v>0</v>
      </c>
      <c r="CT185" s="55">
        <f>IFERROR(__xludf.DUMMYFUNCTION("IMPORTRANGE(""15fFRO4U9W5gIp9-k9sULn9c-rtXz2JhljW9NjBZXgk4"",""2025-26!AS4"")"),0.0)</f>
        <v>0</v>
      </c>
      <c r="CU185" s="55">
        <f>IFERROR(__xludf.DUMMYFUNCTION("IMPORTRANGE(""15fFRO4U9W5gIp9-k9sULn9c-rtXz2JhljW9NjBZXgk4"",""2025-26!AS3"")"),0.0)</f>
        <v>0</v>
      </c>
      <c r="CV185" s="60" t="s">
        <v>61</v>
      </c>
    </row>
    <row r="186">
      <c r="A186" s="84" t="s">
        <v>53</v>
      </c>
      <c r="B186" s="145" t="s">
        <v>53</v>
      </c>
      <c r="C186" s="147" t="s">
        <v>383</v>
      </c>
      <c r="D186" s="49" t="s">
        <v>384</v>
      </c>
      <c r="E186" s="50">
        <v>8.683045159E9</v>
      </c>
      <c r="F186" s="66">
        <v>46043.0</v>
      </c>
      <c r="G186" s="62"/>
      <c r="H186" s="62"/>
      <c r="I186" s="70">
        <v>40380.0</v>
      </c>
      <c r="J186" s="54">
        <v>600000.0</v>
      </c>
      <c r="K186" s="55">
        <f>IFERROR(__xludf.DUMMYFUNCTION("IMPORTRANGE(""1kjJ2h0em9zX5lkI153gstTRZzcl8e2GN0m2x9Sr-w4E"",""2025-26!A3"")"),75.0)</f>
        <v>75</v>
      </c>
      <c r="L186" s="55">
        <f>IFERROR(__xludf.DUMMYFUNCTION("IMPORTRANGE(""1kjJ2h0em9zX5lkI153gstTRZzcl8e2GN0m2x9Sr-w4E"",""2025-26!G4"")"),0.0)</f>
        <v>0</v>
      </c>
      <c r="M186" s="55">
        <f t="shared" si="84"/>
        <v>0</v>
      </c>
      <c r="N186" s="56" t="str">
        <f t="shared" si="85"/>
        <v>#DIV/0!</v>
      </c>
      <c r="O186" s="57">
        <f t="shared" si="86"/>
        <v>0</v>
      </c>
      <c r="P186" s="55">
        <f>IFERROR(__xludf.DUMMYFUNCTION("IMPORTRANGE(""1kjJ2h0em9zX5lkI153gstTRZzcl8e2GN0m2x9Sr-w4E"",""2025-26!J4"")"),0.0)</f>
        <v>0</v>
      </c>
      <c r="Q186" s="55">
        <f>IFERROR(__xludf.DUMMYFUNCTION("IMPORTRANGE(""1kjJ2h0em9zX5lkI153gstTRZzcl8e2GN0m2x9Sr-w4E"",""2025-26!J3"")"),0.0)</f>
        <v>0</v>
      </c>
      <c r="R186" s="55">
        <f>IFERROR(__xludf.DUMMYFUNCTION("IMPORTRANGE(""1kjJ2h0em9zX5lkI153gstTRZzcl8e2GN0m2x9Sr-w4E"",""2025-26!K4"")"),0.0)</f>
        <v>0</v>
      </c>
      <c r="S186" s="55">
        <f>IFERROR(__xludf.DUMMYFUNCTION("IMPORTRANGE(""1kjJ2h0em9zX5lkI153gstTRZzcl8e2GN0m2x9Sr-w4E"",""2025-26!K3"")"),0.0)</f>
        <v>0</v>
      </c>
      <c r="T186" s="58" t="str">
        <f t="shared" si="56"/>
        <v/>
      </c>
      <c r="U186" s="55">
        <f>IFERROR(__xludf.DUMMYFUNCTION("IMPORTRANGE(""1kjJ2h0em9zX5lkI153gstTRZzcl8e2GN0m2x9Sr-w4E"",""2025-26!L4"")"),0.0)</f>
        <v>0</v>
      </c>
      <c r="V186" s="55">
        <f>IFERROR(__xludf.DUMMYFUNCTION("IMPORTRANGE(""1kjJ2h0em9zX5lkI153gstTRZzcl8e2GN0m2x9Sr-w4E"",""2025-26!L3"")"),0.0)</f>
        <v>0</v>
      </c>
      <c r="W186" s="55">
        <f>IFERROR(__xludf.DUMMYFUNCTION("IMPORTRANGE(""1kjJ2h0em9zX5lkI153gstTRZzcl8e2GN0m2x9Sr-w4E"",""2025-26!m4"")"),0.0)</f>
        <v>0</v>
      </c>
      <c r="X186" s="55">
        <f>IFERROR(__xludf.DUMMYFUNCTION("IMPORTRANGE(""1kjJ2h0em9zX5lkI153gstTRZzcl8e2GN0m2x9Sr-w4E"",""2025-26!m3"")"),0.0)</f>
        <v>0</v>
      </c>
      <c r="Y186" s="55">
        <f>IFERROR(__xludf.DUMMYFUNCTION("IMPORTRANGE(""1kjJ2h0em9zX5lkI153gstTRZzcl8e2GN0m2x9Sr-w4E"",""2025-26!N4"")"),0.0)</f>
        <v>0</v>
      </c>
      <c r="Z186" s="55">
        <f>IFERROR(__xludf.DUMMYFUNCTION("IMPORTRANGE(""1kjJ2h0em9zX5lkI153gstTRZzcl8e2GN0m2x9Sr-w4E"",""2025-26!N3"")"),0.0)</f>
        <v>0</v>
      </c>
      <c r="AA186" s="58" t="str">
        <f t="shared" si="57"/>
        <v/>
      </c>
      <c r="AB186" s="55">
        <f>IFERROR(__xludf.DUMMYFUNCTION("IMPORTRANGE(""1kjJ2h0em9zX5lkI153gstTRZzcl8e2GN0m2x9Sr-w4E"",""2025-26!O4"")"),0.0)</f>
        <v>0</v>
      </c>
      <c r="AC186" s="55">
        <f>IFERROR(__xludf.DUMMYFUNCTION("IMPORTRANGE(""1kjJ2h0em9zX5lkI153gstTRZzcl8e2GN0m2x9Sr-w4E"",""2025-26!O3"")"),0.0)</f>
        <v>0</v>
      </c>
      <c r="AD186" s="55">
        <f>IFERROR(__xludf.DUMMYFUNCTION("IMPORTRANGE(""1kjJ2h0em9zX5lkI153gstTRZzcl8e2GN0m2x9Sr-w4E"",""2025-26!P4"")"),0.0)</f>
        <v>0</v>
      </c>
      <c r="AE186" s="55">
        <f>IFERROR(__xludf.DUMMYFUNCTION("IMPORTRANGE(""1kjJ2h0em9zX5lkI153gstTRZzcl8e2GN0m2x9Sr-w4E"",""2025-26!P3"")"),0.0)</f>
        <v>0</v>
      </c>
      <c r="AF186" s="55">
        <f>IFERROR(__xludf.DUMMYFUNCTION("IMPORTRANGE(""1kjJ2h0em9zX5lkI153gstTRZzcl8e2GN0m2x9Sr-w4E"",""2025-26!Q4"")"),0.0)</f>
        <v>0</v>
      </c>
      <c r="AG186" s="55">
        <f>IFERROR(__xludf.DUMMYFUNCTION("IMPORTRANGE(""1kjJ2h0em9zX5lkI153gstTRZzcl8e2GN0m2x9Sr-w4E"",""2025-26!Q3"")"),0.0)</f>
        <v>0</v>
      </c>
      <c r="AH186" s="58" t="str">
        <f t="shared" si="58"/>
        <v/>
      </c>
      <c r="AI186" s="55">
        <f>IFERROR(__xludf.DUMMYFUNCTION("IMPORTRANGE(""1kjJ2h0em9zX5lkI153gstTRZzcl8e2GN0m2x9Sr-w4E"",""2025-26!R4"")"),0.0)</f>
        <v>0</v>
      </c>
      <c r="AJ186" s="55">
        <f>IFERROR(__xludf.DUMMYFUNCTION("IMPORTRANGE(""1kjJ2h0em9zX5lkI153gstTRZzcl8e2GN0m2x9Sr-w4E"",""2025-26!R3"")"),0.0)</f>
        <v>0</v>
      </c>
      <c r="AK186" s="55">
        <f>IFERROR(__xludf.DUMMYFUNCTION("IMPORTRANGE(""1kjJ2h0em9zX5lkI153gstTRZzcl8e2GN0m2x9Sr-w4E"",""2025-26!S4"")"),0.0)</f>
        <v>0</v>
      </c>
      <c r="AL186" s="55">
        <f>IFERROR(__xludf.DUMMYFUNCTION("IMPORTRANGE(""1kjJ2h0em9zX5lkI153gstTRZzcl8e2GN0m2x9Sr-w4E"",""2025-26!S3"")"),0.0)</f>
        <v>0</v>
      </c>
      <c r="AM186" s="55">
        <f>IFERROR(__xludf.DUMMYFUNCTION("IMPORTRANGE(""1kjJ2h0em9zX5lkI153gstTRZzcl8e2GN0m2x9Sr-w4E"",""2025-26!T4"")"),0.0)</f>
        <v>0</v>
      </c>
      <c r="AN186" s="55">
        <f>IFERROR(__xludf.DUMMYFUNCTION("IMPORTRANGE(""1kjJ2h0em9zX5lkI153gstTRZzcl8e2GN0m2x9Sr-w4E"",""2025-26!T3"")"),0.0)</f>
        <v>0</v>
      </c>
      <c r="AO186" s="58" t="str">
        <f t="shared" si="59"/>
        <v/>
      </c>
      <c r="AP186" s="55">
        <f>IFERROR(__xludf.DUMMYFUNCTION("IMPORTRANGE(""1kjJ2h0em9zX5lkI153gstTRZzcl8e2GN0m2x9Sr-w4E"",""2025-26!U4"")"),0.0)</f>
        <v>0</v>
      </c>
      <c r="AQ186" s="55">
        <f>IFERROR(__xludf.DUMMYFUNCTION("IMPORTRANGE(""1kjJ2h0em9zX5lkI153gstTRZzcl8e2GN0m2x9Sr-w4E"",""2025-26!U3"")"),0.0)</f>
        <v>0</v>
      </c>
      <c r="AR186" s="55">
        <f>IFERROR(__xludf.DUMMYFUNCTION("IMPORTRANGE(""1kjJ2h0em9zX5lkI153gstTRZzcl8e2GN0m2x9Sr-w4E"",""2025-26!V4"")"),0.0)</f>
        <v>0</v>
      </c>
      <c r="AS186" s="55">
        <f>IFERROR(__xludf.DUMMYFUNCTION("IMPORTRANGE(""1kjJ2h0em9zX5lkI153gstTRZzcl8e2GN0m2x9Sr-w4E"",""2025-26!V3"")"),0.0)</f>
        <v>0</v>
      </c>
      <c r="AT186" s="55">
        <f>IFERROR(__xludf.DUMMYFUNCTION("IMPORTRANGE(""1kjJ2h0em9zX5lkI153gstTRZzcl8e2GN0m2x9Sr-w4E"",""2025-26!W4"")"),0.0)</f>
        <v>0</v>
      </c>
      <c r="AU186" s="55">
        <f>IFERROR(__xludf.DUMMYFUNCTION("IMPORTRANGE(""1kjJ2h0em9zX5lkI153gstTRZzcl8e2GN0m2x9Sr-w4E"",""2025-26!W3"")"),0.0)</f>
        <v>0</v>
      </c>
      <c r="AV186" s="58" t="str">
        <f t="shared" si="60"/>
        <v/>
      </c>
      <c r="AW186" s="55">
        <f>IFERROR(__xludf.DUMMYFUNCTION("IMPORTRANGE(""1kjJ2h0em9zX5lkI153gstTRZzcl8e2GN0m2x9Sr-w4E"",""2025-26!X4"")"),0.0)</f>
        <v>0</v>
      </c>
      <c r="AX186" s="55">
        <f>IFERROR(__xludf.DUMMYFUNCTION("IMPORTRANGE(""1kjJ2h0em9zX5lkI153gstTRZzcl8e2GN0m2x9Sr-w4E"",""2025-26!X3"")"),0.0)</f>
        <v>0</v>
      </c>
      <c r="AY186" s="55">
        <f>IFERROR(__xludf.DUMMYFUNCTION("IMPORTRANGE(""1kjJ2h0em9zX5lkI153gstTRZzcl8e2GN0m2x9Sr-w4E"",""2025-26!Y4"")"),0.0)</f>
        <v>0</v>
      </c>
      <c r="AZ186" s="55">
        <f>IFERROR(__xludf.DUMMYFUNCTION("IMPORTRANGE(""1kjJ2h0em9zX5lkI153gstTRZzcl8e2GN0m2x9Sr-w4E"",""2025-26!Y3"")"),0.0)</f>
        <v>0</v>
      </c>
      <c r="BA186" s="55">
        <f>IFERROR(__xludf.DUMMYFUNCTION("IMPORTRANGE(""1kjJ2h0em9zX5lkI153gstTRZzcl8e2GN0m2x9Sr-w4E"",""2025-26!Z4"")"),0.0)</f>
        <v>0</v>
      </c>
      <c r="BB186" s="55">
        <f>IFERROR(__xludf.DUMMYFUNCTION("IMPORTRANGE(""1kjJ2h0em9zX5lkI153gstTRZzcl8e2GN0m2x9Sr-w4E"",""2025-26!Z3"")"),0.0)</f>
        <v>0</v>
      </c>
      <c r="BC186" s="59" t="str">
        <f t="shared" si="61"/>
        <v/>
      </c>
      <c r="BD186" s="55">
        <f>IFERROR(__xludf.DUMMYFUNCTION("IMPORTRANGE(""1kjJ2h0em9zX5lkI153gstTRZzcl8e2GN0m2x9Sr-w4E"",""2025-26!AA4"")"),0.0)</f>
        <v>0</v>
      </c>
      <c r="BE186" s="55">
        <f>IFERROR(__xludf.DUMMYFUNCTION("IMPORTRANGE(""1kjJ2h0em9zX5lkI153gstTRZzcl8e2GN0m2x9Sr-w4E"",""2025-26!AA3"")"),0.0)</f>
        <v>0</v>
      </c>
      <c r="BF186" s="55">
        <f>IFERROR(__xludf.DUMMYFUNCTION("IMPORTRANGE(""1kjJ2h0em9zX5lkI153gstTRZzcl8e2GN0m2x9Sr-w4E"",""2025-26!AB4"")"),0.0)</f>
        <v>0</v>
      </c>
      <c r="BG186" s="55">
        <f>IFERROR(__xludf.DUMMYFUNCTION("IMPORTRANGE(""1kjJ2h0em9zX5lkI153gstTRZzcl8e2GN0m2x9Sr-w4E"",""2025-26!AB3"")"),0.0)</f>
        <v>0</v>
      </c>
      <c r="BH186" s="55">
        <f>IFERROR(__xludf.DUMMYFUNCTION("IMPORTRANGE(""1kjJ2h0em9zX5lkI153gstTRZzcl8e2GN0m2x9Sr-w4E"",""2025-26!AC4"")"),0.0)</f>
        <v>0</v>
      </c>
      <c r="BI186" s="55">
        <f>IFERROR(__xludf.DUMMYFUNCTION("IMPORTRANGE(""1kjJ2h0em9zX5lkI153gstTRZzcl8e2GN0m2x9Sr-w4E"",""2025-26!AC3"")"),0.0)</f>
        <v>0</v>
      </c>
      <c r="BJ186" s="59" t="str">
        <f t="shared" si="62"/>
        <v/>
      </c>
      <c r="BK186" s="55">
        <f>IFERROR(__xludf.DUMMYFUNCTION("IMPORTRANGE(""1kjJ2h0em9zX5lkI153gstTRZzcl8e2GN0m2x9Sr-w4E"",""2025-26!AD4"")"),0.0)</f>
        <v>0</v>
      </c>
      <c r="BL186" s="55">
        <f>IFERROR(__xludf.DUMMYFUNCTION("IMPORTRANGE(""1kjJ2h0em9zX5lkI153gstTRZzcl8e2GN0m2x9Sr-w4E"",""2025-26!AD3"")"),0.0)</f>
        <v>0</v>
      </c>
      <c r="BM186" s="55">
        <f>IFERROR(__xludf.DUMMYFUNCTION("IMPORTRANGE(""1kjJ2h0em9zX5lkI153gstTRZzcl8e2GN0m2x9Sr-w4E"",""2025-26!AE4"")"),0.0)</f>
        <v>0</v>
      </c>
      <c r="BN186" s="55">
        <f>IFERROR(__xludf.DUMMYFUNCTION("IMPORTRANGE(""1kjJ2h0em9zX5lkI153gstTRZzcl8e2GN0m2x9Sr-w4E"",""2025-26!AE3"")"),0.0)</f>
        <v>0</v>
      </c>
      <c r="BO186" s="55">
        <f>IFERROR(__xludf.DUMMYFUNCTION("IMPORTRANGE(""1kjJ2h0em9zX5lkI153gstTRZzcl8e2GN0m2x9Sr-w4E"",""2025-26!AF4"")"),0.0)</f>
        <v>0</v>
      </c>
      <c r="BP186" s="55">
        <f>IFERROR(__xludf.DUMMYFUNCTION("IMPORTRANGE(""1kjJ2h0em9zX5lkI153gstTRZzcl8e2GN0m2x9Sr-w4E"",""2025-26!AF3"")"),0.0)</f>
        <v>0</v>
      </c>
      <c r="BQ186" s="59" t="str">
        <f t="shared" si="63"/>
        <v/>
      </c>
      <c r="BR186" s="55">
        <f>IFERROR(__xludf.DUMMYFUNCTION("IMPORTRANGE(""1kjJ2h0em9zX5lkI153gstTRZzcl8e2GN0m2x9Sr-w4E"",""2025-26!AG4"")"),0.0)</f>
        <v>0</v>
      </c>
      <c r="BS186" s="55">
        <f>IFERROR(__xludf.DUMMYFUNCTION("IMPORTRANGE(""1kjJ2h0em9zX5lkI153gstTRZzcl8e2GN0m2x9Sr-w4E"",""2025-26!AG3"")"),0.0)</f>
        <v>0</v>
      </c>
      <c r="BT186" s="55">
        <f>IFERROR(__xludf.DUMMYFUNCTION("IMPORTRANGE(""1kjJ2h0em9zX5lkI153gstTRZzcl8e2GN0m2x9Sr-w4E"",""2025-26!AH4"")"),0.0)</f>
        <v>0</v>
      </c>
      <c r="BU186" s="55">
        <f>IFERROR(__xludf.DUMMYFUNCTION("IMPORTRANGE(""1kjJ2h0em9zX5lkI153gstTRZzcl8e2GN0m2x9Sr-w4E"",""2025-26!AH3"")"),0.0)</f>
        <v>0</v>
      </c>
      <c r="BV186" s="55">
        <f>IFERROR(__xludf.DUMMYFUNCTION("IMPORTRANGE(""1kjJ2h0em9zX5lkI153gstTRZzcl8e2GN0m2x9Sr-w4E"",""2025-26!AI4"")"),0.0)</f>
        <v>0</v>
      </c>
      <c r="BW186" s="55">
        <f>IFERROR(__xludf.DUMMYFUNCTION("IMPORTRANGE(""1kjJ2h0em9zX5lkI153gstTRZzcl8e2GN0m2x9Sr-w4E"",""2025-26!AI3"")"),0.0)</f>
        <v>0</v>
      </c>
      <c r="BX186" s="59" t="str">
        <f t="shared" si="64"/>
        <v/>
      </c>
      <c r="BY186" s="55">
        <f>IFERROR(__xludf.DUMMYFUNCTION("IMPORTRANGE(""1kjJ2h0em9zX5lkI153gstTRZzcl8e2GN0m2x9Sr-w4E"",""2025-26!AJ4"")"),0.0)</f>
        <v>0</v>
      </c>
      <c r="BZ186" s="55">
        <f>IFERROR(__xludf.DUMMYFUNCTION("IMPORTRANGE(""1kjJ2h0em9zX5lkI153gstTRZzcl8e2GN0m2x9Sr-w4E"",""2025-26!AJ3"")"),0.0)</f>
        <v>0</v>
      </c>
      <c r="CA186" s="55">
        <f>IFERROR(__xludf.DUMMYFUNCTION("IMPORTRANGE(""1kjJ2h0em9zX5lkI153gstTRZzcl8e2GN0m2x9Sr-w4E"",""2025-26!AK4"")"),0.0)</f>
        <v>0</v>
      </c>
      <c r="CB186" s="55">
        <f>IFERROR(__xludf.DUMMYFUNCTION("IMPORTRANGE(""1kjJ2h0em9zX5lkI153gstTRZzcl8e2GN0m2x9Sr-w4E"",""2025-26!AK3"")"),0.0)</f>
        <v>0</v>
      </c>
      <c r="CC186" s="55">
        <f>IFERROR(__xludf.DUMMYFUNCTION("IMPORTRANGE(""1kjJ2h0em9zX5lkI153gstTRZzcl8e2GN0m2x9Sr-w4E"",""2025-26!AL4"")"),0.0)</f>
        <v>0</v>
      </c>
      <c r="CD186" s="55">
        <f>IFERROR(__xludf.DUMMYFUNCTION("IMPORTRANGE(""1kjJ2h0em9zX5lkI153gstTRZzcl8e2GN0m2x9Sr-w4E"",""2025-26!AL3"")"),0.0)</f>
        <v>0</v>
      </c>
      <c r="CE186" s="59" t="str">
        <f t="shared" si="65"/>
        <v/>
      </c>
      <c r="CF186" s="55">
        <f>IFERROR(__xludf.DUMMYFUNCTION("IMPORTRANGE(""1kjJ2h0em9zX5lkI153gstTRZzcl8e2GN0m2x9Sr-w4E"",""2025-26!AM4"")"),0.0)</f>
        <v>0</v>
      </c>
      <c r="CG186" s="55">
        <f>IFERROR(__xludf.DUMMYFUNCTION("IMPORTRANGE(""1kjJ2h0em9zX5lkI153gstTRZzcl8e2GN0m2x9Sr-w4E"",""2025-26!AM3"")"),0.0)</f>
        <v>0</v>
      </c>
      <c r="CH186" s="55">
        <f>IFERROR(__xludf.DUMMYFUNCTION("IMPORTRANGE(""1kjJ2h0em9zX5lkI153gstTRZzcl8e2GN0m2x9Sr-w4E"",""2025-26!AN4"")"),0.0)</f>
        <v>0</v>
      </c>
      <c r="CI186" s="55">
        <f>IFERROR(__xludf.DUMMYFUNCTION("IMPORTRANGE(""1kjJ2h0em9zX5lkI153gstTRZzcl8e2GN0m2x9Sr-w4E"",""2025-26!AN3"")"),0.0)</f>
        <v>0</v>
      </c>
      <c r="CJ186" s="55">
        <f>IFERROR(__xludf.DUMMYFUNCTION("IMPORTRANGE(""1kjJ2h0em9zX5lkI153gstTRZzcl8e2GN0m2x9Sr-w4E"",""2025-26!AO4"")"),0.0)</f>
        <v>0</v>
      </c>
      <c r="CK186" s="55">
        <f>IFERROR(__xludf.DUMMYFUNCTION("IMPORTRANGE(""1kjJ2h0em9zX5lkI153gstTRZzcl8e2GN0m2x9Sr-w4E"",""2025-26!AO3"")"),0.0)</f>
        <v>0</v>
      </c>
      <c r="CL186" s="59" t="str">
        <f t="shared" si="66"/>
        <v/>
      </c>
      <c r="CM186" s="55">
        <f>IFERROR(__xludf.DUMMYFUNCTION("IMPORTRANGE(""1kjJ2h0em9zX5lkI153gstTRZzcl8e2GN0m2x9Sr-w4E"",""2025-26!AP4"")"),0.0)</f>
        <v>0</v>
      </c>
      <c r="CN186" s="55">
        <f>IFERROR(__xludf.DUMMYFUNCTION("IMPORTRANGE(""1kjJ2h0em9zX5lkI153gstTRZzcl8e2GN0m2x9Sr-w4E"",""2025-26!AP3"")"),0.0)</f>
        <v>0</v>
      </c>
      <c r="CO186" s="55">
        <f>IFERROR(__xludf.DUMMYFUNCTION("IMPORTRANGE(""1kjJ2h0em9zX5lkI153gstTRZzcl8e2GN0m2x9Sr-w4E"",""2025-26!AQ4"")"),0.0)</f>
        <v>0</v>
      </c>
      <c r="CP186" s="55">
        <f>IFERROR(__xludf.DUMMYFUNCTION("IMPORTRANGE(""1kjJ2h0em9zX5lkI153gstTRZzcl8e2GN0m2x9Sr-w4E"",""2025-26!AQ3"")"),0.0)</f>
        <v>0</v>
      </c>
      <c r="CQ186" s="55">
        <f>IFERROR(__xludf.DUMMYFUNCTION("IMPORTRANGE(""1kjJ2h0em9zX5lkI153gstTRZzcl8e2GN0m2x9Sr-w4E"",""2025-26!AR4"")"),0.0)</f>
        <v>0</v>
      </c>
      <c r="CR186" s="55">
        <f>IFERROR(__xludf.DUMMYFUNCTION("IMPORTRANGE(""1kjJ2h0em9zX5lkI153gstTRZzcl8e2GN0m2x9Sr-w4E"",""2025-26!AR3"")"),0.0)</f>
        <v>0</v>
      </c>
      <c r="CS186" s="59" t="str">
        <f t="shared" si="67"/>
        <v/>
      </c>
      <c r="CT186" s="55">
        <f>IFERROR(__xludf.DUMMYFUNCTION("IMPORTRANGE(""1kjJ2h0em9zX5lkI153gstTRZzcl8e2GN0m2x9Sr-w4E"",""2025-26!AS4"")"),0.0)</f>
        <v>0</v>
      </c>
      <c r="CU186" s="55">
        <f>IFERROR(__xludf.DUMMYFUNCTION("IMPORTRANGE(""1kjJ2h0em9zX5lkI153gstTRZzcl8e2GN0m2x9Sr-w4E"",""2025-26!AS3"")"),0.0)</f>
        <v>0</v>
      </c>
      <c r="CV186" s="60" t="s">
        <v>61</v>
      </c>
    </row>
    <row r="187">
      <c r="A187" s="148" t="s">
        <v>84</v>
      </c>
      <c r="B187" s="134" t="s">
        <v>85</v>
      </c>
      <c r="C187" s="143" t="s">
        <v>385</v>
      </c>
      <c r="D187" s="49" t="s">
        <v>386</v>
      </c>
      <c r="E187" s="50">
        <v>9.78959309E9</v>
      </c>
      <c r="F187" s="51">
        <v>44508.0</v>
      </c>
      <c r="G187" s="62"/>
      <c r="H187" s="62"/>
      <c r="I187" s="53">
        <f>VLOOKUP($C187,Data!$C:$BV,34,0)</f>
        <v>21667</v>
      </c>
      <c r="J187" s="54"/>
      <c r="K187" s="55">
        <f>IFERROR(__xludf.DUMMYFUNCTION("IMPORTRANGE(""1IlW5ZsVLqwAWkx0LHG9I13Fw8WhHRa40obrJQHqRbD8"",""2025-26!A3"")"),95.0)</f>
        <v>95</v>
      </c>
      <c r="L187" s="55">
        <f>IFERROR(__xludf.DUMMYFUNCTION("IMPORTRANGE(""1IlW5ZsVLqwAWkx0LHG9I13Fw8WhHRa40obrJQHqRbD8"",""2025-26!G4"")"),0.0)</f>
        <v>0</v>
      </c>
      <c r="M187" s="55">
        <f t="shared" si="84"/>
        <v>44994.4</v>
      </c>
      <c r="N187" s="56" t="str">
        <f t="shared" si="85"/>
        <v>#DIV/0!</v>
      </c>
      <c r="O187" s="57">
        <f t="shared" si="86"/>
        <v>0</v>
      </c>
      <c r="P187" s="55">
        <f>IFERROR(__xludf.DUMMYFUNCTION("IMPORTRANGE(""1IlW5ZsVLqwAWkx0LHG9I13Fw8WhHRa40obrJQHqRbD8"",""2025-26!J4"")"),0.0)</f>
        <v>0</v>
      </c>
      <c r="Q187" s="55">
        <f>IFERROR(__xludf.DUMMYFUNCTION("IMPORTRANGE(""1IlW5ZsVLqwAWkx0LHG9I13Fw8WhHRa40obrJQHqRbD8"",""2025-26!J3"")"),0.0)</f>
        <v>0</v>
      </c>
      <c r="R187" s="55">
        <f>IFERROR(__xludf.DUMMYFUNCTION("IMPORTRANGE(""1IlW5ZsVLqwAWkx0LHG9I13Fw8WhHRa40obrJQHqRbD8"",""2025-26!K4"")"),44994.4)</f>
        <v>44994.4</v>
      </c>
      <c r="S187" s="55">
        <f>IFERROR(__xludf.DUMMYFUNCTION("IMPORTRANGE(""1IlW5ZsVLqwAWkx0LHG9I13Fw8WhHRa40obrJQHqRbD8"",""2025-26!K3"")"),7.0)</f>
        <v>7</v>
      </c>
      <c r="T187" s="58" t="str">
        <f t="shared" si="56"/>
        <v/>
      </c>
      <c r="U187" s="55">
        <f>IFERROR(__xludf.DUMMYFUNCTION("IMPORTRANGE(""1IlW5ZsVLqwAWkx0LHG9I13Fw8WhHRa40obrJQHqRbD8"",""2025-26!L4"")"),0.0)</f>
        <v>0</v>
      </c>
      <c r="V187" s="55">
        <f>IFERROR(__xludf.DUMMYFUNCTION("IMPORTRANGE(""1IlW5ZsVLqwAWkx0LHG9I13Fw8WhHRa40obrJQHqRbD8"",""2025-26!L3"")"),0.0)</f>
        <v>0</v>
      </c>
      <c r="W187" s="55">
        <f>IFERROR(__xludf.DUMMYFUNCTION("IMPORTRANGE(""1IlW5ZsVLqwAWkx0LHG9I13Fw8WhHRa40obrJQHqRbD8"",""2025-26!m4"")"),0.0)</f>
        <v>0</v>
      </c>
      <c r="X187" s="55">
        <f>IFERROR(__xludf.DUMMYFUNCTION("IMPORTRANGE(""1IlW5ZsVLqwAWkx0LHG9I13Fw8WhHRa40obrJQHqRbD8"",""2025-26!m3"")"),0.0)</f>
        <v>0</v>
      </c>
      <c r="Y187" s="55">
        <f>IFERROR(__xludf.DUMMYFUNCTION("IMPORTRANGE(""1IlW5ZsVLqwAWkx0LHG9I13Fw8WhHRa40obrJQHqRbD8"",""2025-26!N4"")"),0.0)</f>
        <v>0</v>
      </c>
      <c r="Z187" s="55">
        <f>IFERROR(__xludf.DUMMYFUNCTION("IMPORTRANGE(""1IlW5ZsVLqwAWkx0LHG9I13Fw8WhHRa40obrJQHqRbD8"",""2025-26!N3"")"),0.0)</f>
        <v>0</v>
      </c>
      <c r="AA187" s="58" t="str">
        <f t="shared" si="57"/>
        <v/>
      </c>
      <c r="AB187" s="55">
        <f>IFERROR(__xludf.DUMMYFUNCTION("IMPORTRANGE(""1IlW5ZsVLqwAWkx0LHG9I13Fw8WhHRa40obrJQHqRbD8"",""2025-26!O4"")"),0.0)</f>
        <v>0</v>
      </c>
      <c r="AC187" s="55">
        <f>IFERROR(__xludf.DUMMYFUNCTION("IMPORTRANGE(""1IlW5ZsVLqwAWkx0LHG9I13Fw8WhHRa40obrJQHqRbD8"",""2025-26!O3"")"),0.0)</f>
        <v>0</v>
      </c>
      <c r="AD187" s="55">
        <f>IFERROR(__xludf.DUMMYFUNCTION("IMPORTRANGE(""1IlW5ZsVLqwAWkx0LHG9I13Fw8WhHRa40obrJQHqRbD8"",""2025-26!P4"")"),0.0)</f>
        <v>0</v>
      </c>
      <c r="AE187" s="55">
        <f>IFERROR(__xludf.DUMMYFUNCTION("IMPORTRANGE(""1IlW5ZsVLqwAWkx0LHG9I13Fw8WhHRa40obrJQHqRbD8"",""2025-26!P3"")"),0.0)</f>
        <v>0</v>
      </c>
      <c r="AF187" s="55">
        <f>IFERROR(__xludf.DUMMYFUNCTION("IMPORTRANGE(""1IlW5ZsVLqwAWkx0LHG9I13Fw8WhHRa40obrJQHqRbD8"",""2025-26!Q4"")"),0.0)</f>
        <v>0</v>
      </c>
      <c r="AG187" s="55">
        <f>IFERROR(__xludf.DUMMYFUNCTION("IMPORTRANGE(""1IlW5ZsVLqwAWkx0LHG9I13Fw8WhHRa40obrJQHqRbD8"",""2025-26!Q3"")"),0.0)</f>
        <v>0</v>
      </c>
      <c r="AH187" s="58" t="str">
        <f t="shared" si="58"/>
        <v/>
      </c>
      <c r="AI187" s="55">
        <f>IFERROR(__xludf.DUMMYFUNCTION("IMPORTRANGE(""1IlW5ZsVLqwAWkx0LHG9I13Fw8WhHRa40obrJQHqRbD8"",""2025-26!R4"")"),0.0)</f>
        <v>0</v>
      </c>
      <c r="AJ187" s="55">
        <f>IFERROR(__xludf.DUMMYFUNCTION("IMPORTRANGE(""1IlW5ZsVLqwAWkx0LHG9I13Fw8WhHRa40obrJQHqRbD8"",""2025-26!R3"")"),0.0)</f>
        <v>0</v>
      </c>
      <c r="AK187" s="55">
        <f>IFERROR(__xludf.DUMMYFUNCTION("IMPORTRANGE(""1IlW5ZsVLqwAWkx0LHG9I13Fw8WhHRa40obrJQHqRbD8"",""2025-26!S4"")"),0.0)</f>
        <v>0</v>
      </c>
      <c r="AL187" s="55">
        <f>IFERROR(__xludf.DUMMYFUNCTION("IMPORTRANGE(""1IlW5ZsVLqwAWkx0LHG9I13Fw8WhHRa40obrJQHqRbD8"",""2025-26!S3"")"),0.0)</f>
        <v>0</v>
      </c>
      <c r="AM187" s="55">
        <f>IFERROR(__xludf.DUMMYFUNCTION("IMPORTRANGE(""1IlW5ZsVLqwAWkx0LHG9I13Fw8WhHRa40obrJQHqRbD8"",""2025-26!T4"")"),0.0)</f>
        <v>0</v>
      </c>
      <c r="AN187" s="55">
        <f>IFERROR(__xludf.DUMMYFUNCTION("IMPORTRANGE(""1IlW5ZsVLqwAWkx0LHG9I13Fw8WhHRa40obrJQHqRbD8"",""2025-26!T3"")"),0.0)</f>
        <v>0</v>
      </c>
      <c r="AO187" s="58" t="str">
        <f t="shared" si="59"/>
        <v/>
      </c>
      <c r="AP187" s="55">
        <f>IFERROR(__xludf.DUMMYFUNCTION("IMPORTRANGE(""1IlW5ZsVLqwAWkx0LHG9I13Fw8WhHRa40obrJQHqRbD8"",""2025-26!U4"")"),0.0)</f>
        <v>0</v>
      </c>
      <c r="AQ187" s="55">
        <f>IFERROR(__xludf.DUMMYFUNCTION("IMPORTRANGE(""1IlW5ZsVLqwAWkx0LHG9I13Fw8WhHRa40obrJQHqRbD8"",""2025-26!U3"")"),0.0)</f>
        <v>0</v>
      </c>
      <c r="AR187" s="55">
        <f>IFERROR(__xludf.DUMMYFUNCTION("IMPORTRANGE(""1IlW5ZsVLqwAWkx0LHG9I13Fw8WhHRa40obrJQHqRbD8"",""2025-26!V4"")"),0.0)</f>
        <v>0</v>
      </c>
      <c r="AS187" s="55">
        <f>IFERROR(__xludf.DUMMYFUNCTION("IMPORTRANGE(""1IlW5ZsVLqwAWkx0LHG9I13Fw8WhHRa40obrJQHqRbD8"",""2025-26!V3"")"),0.0)</f>
        <v>0</v>
      </c>
      <c r="AT187" s="55">
        <f>IFERROR(__xludf.DUMMYFUNCTION("IMPORTRANGE(""1IlW5ZsVLqwAWkx0LHG9I13Fw8WhHRa40obrJQHqRbD8"",""2025-26!W4"")"),0.0)</f>
        <v>0</v>
      </c>
      <c r="AU187" s="55">
        <f>IFERROR(__xludf.DUMMYFUNCTION("IMPORTRANGE(""1IlW5ZsVLqwAWkx0LHG9I13Fw8WhHRa40obrJQHqRbD8"",""2025-26!W3"")"),0.0)</f>
        <v>0</v>
      </c>
      <c r="AV187" s="58" t="str">
        <f t="shared" si="60"/>
        <v/>
      </c>
      <c r="AW187" s="55">
        <f>IFERROR(__xludf.DUMMYFUNCTION("IMPORTRANGE(""1IlW5ZsVLqwAWkx0LHG9I13Fw8WhHRa40obrJQHqRbD8"",""2025-26!X4"")"),0.0)</f>
        <v>0</v>
      </c>
      <c r="AX187" s="55">
        <f>IFERROR(__xludf.DUMMYFUNCTION("IMPORTRANGE(""1IlW5ZsVLqwAWkx0LHG9I13Fw8WhHRa40obrJQHqRbD8"",""2025-26!X3"")"),0.0)</f>
        <v>0</v>
      </c>
      <c r="AY187" s="55">
        <f>IFERROR(__xludf.DUMMYFUNCTION("IMPORTRANGE(""1IlW5ZsVLqwAWkx0LHG9I13Fw8WhHRa40obrJQHqRbD8"",""2025-26!Y4"")"),0.0)</f>
        <v>0</v>
      </c>
      <c r="AZ187" s="55">
        <f>IFERROR(__xludf.DUMMYFUNCTION("IMPORTRANGE(""1IlW5ZsVLqwAWkx0LHG9I13Fw8WhHRa40obrJQHqRbD8"",""2025-26!Y3"")"),0.0)</f>
        <v>0</v>
      </c>
      <c r="BA187" s="55">
        <f>IFERROR(__xludf.DUMMYFUNCTION("IMPORTRANGE(""1IlW5ZsVLqwAWkx0LHG9I13Fw8WhHRa40obrJQHqRbD8"",""2025-26!Z4"")"),0.0)</f>
        <v>0</v>
      </c>
      <c r="BB187" s="55">
        <f>IFERROR(__xludf.DUMMYFUNCTION("IMPORTRANGE(""1IlW5ZsVLqwAWkx0LHG9I13Fw8WhHRa40obrJQHqRbD8"",""2025-26!Z3"")"),0.0)</f>
        <v>0</v>
      </c>
      <c r="BC187" s="59" t="str">
        <f t="shared" si="61"/>
        <v/>
      </c>
      <c r="BD187" s="55">
        <f>IFERROR(__xludf.DUMMYFUNCTION("IMPORTRANGE(""1IlW5ZsVLqwAWkx0LHG9I13Fw8WhHRa40obrJQHqRbD8"",""2025-26!AA4"")"),0.0)</f>
        <v>0</v>
      </c>
      <c r="BE187" s="55">
        <f>IFERROR(__xludf.DUMMYFUNCTION("IMPORTRANGE(""1IlW5ZsVLqwAWkx0LHG9I13Fw8WhHRa40obrJQHqRbD8"",""2025-26!AA3"")"),0.0)</f>
        <v>0</v>
      </c>
      <c r="BF187" s="55">
        <f>IFERROR(__xludf.DUMMYFUNCTION("IMPORTRANGE(""1IlW5ZsVLqwAWkx0LHG9I13Fw8WhHRa40obrJQHqRbD8"",""2025-26!AB4"")"),0.0)</f>
        <v>0</v>
      </c>
      <c r="BG187" s="55">
        <f>IFERROR(__xludf.DUMMYFUNCTION("IMPORTRANGE(""1IlW5ZsVLqwAWkx0LHG9I13Fw8WhHRa40obrJQHqRbD8"",""2025-26!AB3"")"),0.0)</f>
        <v>0</v>
      </c>
      <c r="BH187" s="55">
        <f>IFERROR(__xludf.DUMMYFUNCTION("IMPORTRANGE(""1IlW5ZsVLqwAWkx0LHG9I13Fw8WhHRa40obrJQHqRbD8"",""2025-26!AC4"")"),0.0)</f>
        <v>0</v>
      </c>
      <c r="BI187" s="55">
        <f>IFERROR(__xludf.DUMMYFUNCTION("IMPORTRANGE(""1IlW5ZsVLqwAWkx0LHG9I13Fw8WhHRa40obrJQHqRbD8"",""2025-26!AC3"")"),0.0)</f>
        <v>0</v>
      </c>
      <c r="BJ187" s="59" t="str">
        <f t="shared" si="62"/>
        <v/>
      </c>
      <c r="BK187" s="55">
        <f>IFERROR(__xludf.DUMMYFUNCTION("IMPORTRANGE(""1IlW5ZsVLqwAWkx0LHG9I13Fw8WhHRa40obrJQHqRbD8"",""2025-26!AD4"")"),0.0)</f>
        <v>0</v>
      </c>
      <c r="BL187" s="55">
        <f>IFERROR(__xludf.DUMMYFUNCTION("IMPORTRANGE(""1IlW5ZsVLqwAWkx0LHG9I13Fw8WhHRa40obrJQHqRbD8"",""2025-26!AD3"")"),0.0)</f>
        <v>0</v>
      </c>
      <c r="BM187" s="55">
        <f>IFERROR(__xludf.DUMMYFUNCTION("IMPORTRANGE(""1IlW5ZsVLqwAWkx0LHG9I13Fw8WhHRa40obrJQHqRbD8"",""2025-26!AE4"")"),0.0)</f>
        <v>0</v>
      </c>
      <c r="BN187" s="55">
        <f>IFERROR(__xludf.DUMMYFUNCTION("IMPORTRANGE(""1IlW5ZsVLqwAWkx0LHG9I13Fw8WhHRa40obrJQHqRbD8"",""2025-26!AE3"")"),0.0)</f>
        <v>0</v>
      </c>
      <c r="BO187" s="55">
        <f>IFERROR(__xludf.DUMMYFUNCTION("IMPORTRANGE(""1IlW5ZsVLqwAWkx0LHG9I13Fw8WhHRa40obrJQHqRbD8"",""2025-26!AF4"")"),0.0)</f>
        <v>0</v>
      </c>
      <c r="BP187" s="55">
        <f>IFERROR(__xludf.DUMMYFUNCTION("IMPORTRANGE(""1IlW5ZsVLqwAWkx0LHG9I13Fw8WhHRa40obrJQHqRbD8"",""2025-26!AF3"")"),0.0)</f>
        <v>0</v>
      </c>
      <c r="BQ187" s="59" t="str">
        <f t="shared" si="63"/>
        <v/>
      </c>
      <c r="BR187" s="55">
        <f>IFERROR(__xludf.DUMMYFUNCTION("IMPORTRANGE(""1IlW5ZsVLqwAWkx0LHG9I13Fw8WhHRa40obrJQHqRbD8"",""2025-26!AG4"")"),0.0)</f>
        <v>0</v>
      </c>
      <c r="BS187" s="55">
        <f>IFERROR(__xludf.DUMMYFUNCTION("IMPORTRANGE(""1IlW5ZsVLqwAWkx0LHG9I13Fw8WhHRa40obrJQHqRbD8"",""2025-26!AG3"")"),0.0)</f>
        <v>0</v>
      </c>
      <c r="BT187" s="55">
        <f>IFERROR(__xludf.DUMMYFUNCTION("IMPORTRANGE(""1IlW5ZsVLqwAWkx0LHG9I13Fw8WhHRa40obrJQHqRbD8"",""2025-26!AH4"")"),0.0)</f>
        <v>0</v>
      </c>
      <c r="BU187" s="55">
        <f>IFERROR(__xludf.DUMMYFUNCTION("IMPORTRANGE(""1IlW5ZsVLqwAWkx0LHG9I13Fw8WhHRa40obrJQHqRbD8"",""2025-26!AH3"")"),0.0)</f>
        <v>0</v>
      </c>
      <c r="BV187" s="55">
        <f>IFERROR(__xludf.DUMMYFUNCTION("IMPORTRANGE(""1IlW5ZsVLqwAWkx0LHG9I13Fw8WhHRa40obrJQHqRbD8"",""2025-26!AI4"")"),0.0)</f>
        <v>0</v>
      </c>
      <c r="BW187" s="55">
        <f>IFERROR(__xludf.DUMMYFUNCTION("IMPORTRANGE(""1IlW5ZsVLqwAWkx0LHG9I13Fw8WhHRa40obrJQHqRbD8"",""2025-26!AI3"")"),0.0)</f>
        <v>0</v>
      </c>
      <c r="BX187" s="59" t="str">
        <f t="shared" si="64"/>
        <v/>
      </c>
      <c r="BY187" s="55">
        <f>IFERROR(__xludf.DUMMYFUNCTION("IMPORTRANGE(""1IlW5ZsVLqwAWkx0LHG9I13Fw8WhHRa40obrJQHqRbD8"",""2025-26!AJ4"")"),0.0)</f>
        <v>0</v>
      </c>
      <c r="BZ187" s="55">
        <f>IFERROR(__xludf.DUMMYFUNCTION("IMPORTRANGE(""1IlW5ZsVLqwAWkx0LHG9I13Fw8WhHRa40obrJQHqRbD8"",""2025-26!AJ3"")"),0.0)</f>
        <v>0</v>
      </c>
      <c r="CA187" s="55">
        <f>IFERROR(__xludf.DUMMYFUNCTION("IMPORTRANGE(""1IlW5ZsVLqwAWkx0LHG9I13Fw8WhHRa40obrJQHqRbD8"",""2025-26!AK4"")"),0.0)</f>
        <v>0</v>
      </c>
      <c r="CB187" s="55">
        <f>IFERROR(__xludf.DUMMYFUNCTION("IMPORTRANGE(""1IlW5ZsVLqwAWkx0LHG9I13Fw8WhHRa40obrJQHqRbD8"",""2025-26!AK3"")"),0.0)</f>
        <v>0</v>
      </c>
      <c r="CC187" s="55">
        <f>IFERROR(__xludf.DUMMYFUNCTION("IMPORTRANGE(""1IlW5ZsVLqwAWkx0LHG9I13Fw8WhHRa40obrJQHqRbD8"",""2025-26!AL4"")"),0.0)</f>
        <v>0</v>
      </c>
      <c r="CD187" s="55">
        <f>IFERROR(__xludf.DUMMYFUNCTION("IMPORTRANGE(""1IlW5ZsVLqwAWkx0LHG9I13Fw8WhHRa40obrJQHqRbD8"",""2025-26!AL3"")"),0.0)</f>
        <v>0</v>
      </c>
      <c r="CE187" s="59" t="str">
        <f t="shared" si="65"/>
        <v/>
      </c>
      <c r="CF187" s="55">
        <f>IFERROR(__xludf.DUMMYFUNCTION("IMPORTRANGE(""1IlW5ZsVLqwAWkx0LHG9I13Fw8WhHRa40obrJQHqRbD8"",""2025-26!AM4"")"),0.0)</f>
        <v>0</v>
      </c>
      <c r="CG187" s="55">
        <f>IFERROR(__xludf.DUMMYFUNCTION("IMPORTRANGE(""1IlW5ZsVLqwAWkx0LHG9I13Fw8WhHRa40obrJQHqRbD8"",""2025-26!AM3"")"),0.0)</f>
        <v>0</v>
      </c>
      <c r="CH187" s="55">
        <f>IFERROR(__xludf.DUMMYFUNCTION("IMPORTRANGE(""1IlW5ZsVLqwAWkx0LHG9I13Fw8WhHRa40obrJQHqRbD8"",""2025-26!AN4"")"),0.0)</f>
        <v>0</v>
      </c>
      <c r="CI187" s="55">
        <f>IFERROR(__xludf.DUMMYFUNCTION("IMPORTRANGE(""1IlW5ZsVLqwAWkx0LHG9I13Fw8WhHRa40obrJQHqRbD8"",""2025-26!AN3"")"),0.0)</f>
        <v>0</v>
      </c>
      <c r="CJ187" s="55">
        <f>IFERROR(__xludf.DUMMYFUNCTION("IMPORTRANGE(""1IlW5ZsVLqwAWkx0LHG9I13Fw8WhHRa40obrJQHqRbD8"",""2025-26!AO4"")"),0.0)</f>
        <v>0</v>
      </c>
      <c r="CK187" s="55">
        <f>IFERROR(__xludf.DUMMYFUNCTION("IMPORTRANGE(""1IlW5ZsVLqwAWkx0LHG9I13Fw8WhHRa40obrJQHqRbD8"",""2025-26!AO3"")"),0.0)</f>
        <v>0</v>
      </c>
      <c r="CL187" s="59" t="str">
        <f t="shared" si="66"/>
        <v/>
      </c>
      <c r="CM187" s="55">
        <f>IFERROR(__xludf.DUMMYFUNCTION("IMPORTRANGE(""1IlW5ZsVLqwAWkx0LHG9I13Fw8WhHRa40obrJQHqRbD8"",""2025-26!AP4"")"),0.0)</f>
        <v>0</v>
      </c>
      <c r="CN187" s="55">
        <f>IFERROR(__xludf.DUMMYFUNCTION("IMPORTRANGE(""1IlW5ZsVLqwAWkx0LHG9I13Fw8WhHRa40obrJQHqRbD8"",""2025-26!AP3"")"),0.0)</f>
        <v>0</v>
      </c>
      <c r="CO187" s="55">
        <f>IFERROR(__xludf.DUMMYFUNCTION("IMPORTRANGE(""1IlW5ZsVLqwAWkx0LHG9I13Fw8WhHRa40obrJQHqRbD8"",""2025-26!AQ4"")"),0.0)</f>
        <v>0</v>
      </c>
      <c r="CP187" s="55">
        <f>IFERROR(__xludf.DUMMYFUNCTION("IMPORTRANGE(""1IlW5ZsVLqwAWkx0LHG9I13Fw8WhHRa40obrJQHqRbD8"",""2025-26!AQ3"")"),0.0)</f>
        <v>0</v>
      </c>
      <c r="CQ187" s="55">
        <f>IFERROR(__xludf.DUMMYFUNCTION("IMPORTRANGE(""1IlW5ZsVLqwAWkx0LHG9I13Fw8WhHRa40obrJQHqRbD8"",""2025-26!AR4"")"),0.0)</f>
        <v>0</v>
      </c>
      <c r="CR187" s="55">
        <f>IFERROR(__xludf.DUMMYFUNCTION("IMPORTRANGE(""1IlW5ZsVLqwAWkx0LHG9I13Fw8WhHRa40obrJQHqRbD8"",""2025-26!AR3"")"),0.0)</f>
        <v>0</v>
      </c>
      <c r="CS187" s="59" t="str">
        <f t="shared" si="67"/>
        <v/>
      </c>
      <c r="CT187" s="55">
        <f>IFERROR(__xludf.DUMMYFUNCTION("IMPORTRANGE(""1IlW5ZsVLqwAWkx0LHG9I13Fw8WhHRa40obrJQHqRbD8"",""2025-26!AS4"")"),0.0)</f>
        <v>0</v>
      </c>
      <c r="CU187" s="55">
        <f>IFERROR(__xludf.DUMMYFUNCTION("IMPORTRANGE(""1IlW5ZsVLqwAWkx0LHG9I13Fw8WhHRa40obrJQHqRbD8"",""2025-26!AS3"")"),0.0)</f>
        <v>0</v>
      </c>
      <c r="CV187" s="60" t="s">
        <v>85</v>
      </c>
    </row>
    <row r="188">
      <c r="A188" s="148" t="s">
        <v>84</v>
      </c>
      <c r="B188" s="134" t="s">
        <v>85</v>
      </c>
      <c r="C188" s="147" t="s">
        <v>387</v>
      </c>
      <c r="D188" s="49" t="s">
        <v>87</v>
      </c>
      <c r="E188" s="50">
        <v>7.904685826E9</v>
      </c>
      <c r="F188" s="51">
        <v>45054.0</v>
      </c>
      <c r="G188" s="62"/>
      <c r="H188" s="62"/>
      <c r="I188" s="53">
        <f>VLOOKUP($C188,Data!$C:$BV,34,0)</f>
        <v>22300</v>
      </c>
      <c r="J188" s="54"/>
      <c r="K188" s="55">
        <f>IFERROR(__xludf.DUMMYFUNCTION("IMPORTRANGE(""117qv8FDf_p-n_tj7PdfFxDDg9E_iHbmat0G4PFnUq-4"",""2025-26!A3"")"),89.0)</f>
        <v>89</v>
      </c>
      <c r="L188" s="55">
        <f>IFERROR(__xludf.DUMMYFUNCTION("IMPORTRANGE(""117qv8FDf_p-n_tj7PdfFxDDg9E_iHbmat0G4PFnUq-4"",""2025-26!G4"")"),1.03E7)</f>
        <v>10300000</v>
      </c>
      <c r="M188" s="55">
        <f t="shared" si="84"/>
        <v>490239.19</v>
      </c>
      <c r="N188" s="56">
        <f t="shared" si="85"/>
        <v>0.0305492233</v>
      </c>
      <c r="O188" s="57">
        <f t="shared" si="86"/>
        <v>314657</v>
      </c>
      <c r="P188" s="55">
        <f>IFERROR(__xludf.DUMMYFUNCTION("IMPORTRANGE(""117qv8FDf_p-n_tj7PdfFxDDg9E_iHbmat0G4PFnUq-4"",""2025-26!J4"")"),1030000.0)</f>
        <v>1030000</v>
      </c>
      <c r="Q188" s="55">
        <f>IFERROR(__xludf.DUMMYFUNCTION("IMPORTRANGE(""117qv8FDf_p-n_tj7PdfFxDDg9E_iHbmat0G4PFnUq-4"",""2025-26!J3"")"),86.0)</f>
        <v>86</v>
      </c>
      <c r="R188" s="55">
        <f>IFERROR(__xludf.DUMMYFUNCTION("IMPORTRANGE(""117qv8FDf_p-n_tj7PdfFxDDg9E_iHbmat0G4PFnUq-4"",""2025-26!K4"")"),324672.69)</f>
        <v>324672.69</v>
      </c>
      <c r="S188" s="55">
        <f>IFERROR(__xludf.DUMMYFUNCTION("IMPORTRANGE(""117qv8FDf_p-n_tj7PdfFxDDg9E_iHbmat0G4PFnUq-4"",""2025-26!K3"")"),18.0)</f>
        <v>18</v>
      </c>
      <c r="T188" s="58">
        <f t="shared" si="56"/>
        <v>0.305492233</v>
      </c>
      <c r="U188" s="55">
        <f>IFERROR(__xludf.DUMMYFUNCTION("IMPORTRANGE(""117qv8FDf_p-n_tj7PdfFxDDg9E_iHbmat0G4PFnUq-4"",""2025-26!L4"")"),314657.0)</f>
        <v>314657</v>
      </c>
      <c r="V188" s="55">
        <f>IFERROR(__xludf.DUMMYFUNCTION("IMPORTRANGE(""117qv8FDf_p-n_tj7PdfFxDDg9E_iHbmat0G4PFnUq-4"",""2025-26!L3"")"),16.0)</f>
        <v>16</v>
      </c>
      <c r="W188" s="55">
        <f>IFERROR(__xludf.DUMMYFUNCTION("IMPORTRANGE(""117qv8FDf_p-n_tj7PdfFxDDg9E_iHbmat0G4PFnUq-4"",""2025-26!m4"")"),1030000.0)</f>
        <v>1030000</v>
      </c>
      <c r="X188" s="55">
        <f>IFERROR(__xludf.DUMMYFUNCTION("IMPORTRANGE(""117qv8FDf_p-n_tj7PdfFxDDg9E_iHbmat0G4PFnUq-4"",""2025-26!m3"")"),86.0)</f>
        <v>86</v>
      </c>
      <c r="Y188" s="55">
        <f>IFERROR(__xludf.DUMMYFUNCTION("IMPORTRANGE(""117qv8FDf_p-n_tj7PdfFxDDg9E_iHbmat0G4PFnUq-4"",""2025-26!N4"")"),165566.50000000003)</f>
        <v>165566.5</v>
      </c>
      <c r="Z188" s="55">
        <f>IFERROR(__xludf.DUMMYFUNCTION("IMPORTRANGE(""117qv8FDf_p-n_tj7PdfFxDDg9E_iHbmat0G4PFnUq-4"",""2025-26!N3"")"),9.0)</f>
        <v>9</v>
      </c>
      <c r="AA188" s="58">
        <f t="shared" si="57"/>
        <v>0</v>
      </c>
      <c r="AB188" s="55">
        <f>IFERROR(__xludf.DUMMYFUNCTION("IMPORTRANGE(""117qv8FDf_p-n_tj7PdfFxDDg9E_iHbmat0G4PFnUq-4"",""2025-26!O4"")"),0.0)</f>
        <v>0</v>
      </c>
      <c r="AC188" s="55">
        <f>IFERROR(__xludf.DUMMYFUNCTION("IMPORTRANGE(""117qv8FDf_p-n_tj7PdfFxDDg9E_iHbmat0G4PFnUq-4"",""2025-26!O3"")"),0.0)</f>
        <v>0</v>
      </c>
      <c r="AD188" s="55">
        <f>IFERROR(__xludf.DUMMYFUNCTION("IMPORTRANGE(""117qv8FDf_p-n_tj7PdfFxDDg9E_iHbmat0G4PFnUq-4"",""2025-26!P4"")"),1030000.0)</f>
        <v>1030000</v>
      </c>
      <c r="AE188" s="55">
        <f>IFERROR(__xludf.DUMMYFUNCTION("IMPORTRANGE(""117qv8FDf_p-n_tj7PdfFxDDg9E_iHbmat0G4PFnUq-4"",""2025-26!P3"")"),86.0)</f>
        <v>86</v>
      </c>
      <c r="AF188" s="55">
        <f>IFERROR(__xludf.DUMMYFUNCTION("IMPORTRANGE(""117qv8FDf_p-n_tj7PdfFxDDg9E_iHbmat0G4PFnUq-4"",""2025-26!Q4"")"),0.0)</f>
        <v>0</v>
      </c>
      <c r="AG188" s="55">
        <f>IFERROR(__xludf.DUMMYFUNCTION("IMPORTRANGE(""117qv8FDf_p-n_tj7PdfFxDDg9E_iHbmat0G4PFnUq-4"",""2025-26!Q3"")"),0.0)</f>
        <v>0</v>
      </c>
      <c r="AH188" s="58">
        <f t="shared" si="58"/>
        <v>0</v>
      </c>
      <c r="AI188" s="55">
        <f>IFERROR(__xludf.DUMMYFUNCTION("IMPORTRANGE(""117qv8FDf_p-n_tj7PdfFxDDg9E_iHbmat0G4PFnUq-4"",""2025-26!R4"")"),0.0)</f>
        <v>0</v>
      </c>
      <c r="AJ188" s="55">
        <f>IFERROR(__xludf.DUMMYFUNCTION("IMPORTRANGE(""117qv8FDf_p-n_tj7PdfFxDDg9E_iHbmat0G4PFnUq-4"",""2025-26!R3"")"),0.0)</f>
        <v>0</v>
      </c>
      <c r="AK188" s="55">
        <f>IFERROR(__xludf.DUMMYFUNCTION("IMPORTRANGE(""117qv8FDf_p-n_tj7PdfFxDDg9E_iHbmat0G4PFnUq-4"",""2025-26!S4"")"),0.0)</f>
        <v>0</v>
      </c>
      <c r="AL188" s="55">
        <f>IFERROR(__xludf.DUMMYFUNCTION("IMPORTRANGE(""117qv8FDf_p-n_tj7PdfFxDDg9E_iHbmat0G4PFnUq-4"",""2025-26!S3"")"),0.0)</f>
        <v>0</v>
      </c>
      <c r="AM188" s="55">
        <f>IFERROR(__xludf.DUMMYFUNCTION("IMPORTRANGE(""117qv8FDf_p-n_tj7PdfFxDDg9E_iHbmat0G4PFnUq-4"",""2025-26!T4"")"),0.0)</f>
        <v>0</v>
      </c>
      <c r="AN188" s="55">
        <f>IFERROR(__xludf.DUMMYFUNCTION("IMPORTRANGE(""117qv8FDf_p-n_tj7PdfFxDDg9E_iHbmat0G4PFnUq-4"",""2025-26!T3"")"),0.0)</f>
        <v>0</v>
      </c>
      <c r="AO188" s="58" t="str">
        <f t="shared" si="59"/>
        <v/>
      </c>
      <c r="AP188" s="55">
        <f>IFERROR(__xludf.DUMMYFUNCTION("IMPORTRANGE(""117qv8FDf_p-n_tj7PdfFxDDg9E_iHbmat0G4PFnUq-4"",""2025-26!U4"")"),0.0)</f>
        <v>0</v>
      </c>
      <c r="AQ188" s="55">
        <f>IFERROR(__xludf.DUMMYFUNCTION("IMPORTRANGE(""117qv8FDf_p-n_tj7PdfFxDDg9E_iHbmat0G4PFnUq-4"",""2025-26!U3"")"),0.0)</f>
        <v>0</v>
      </c>
      <c r="AR188" s="55">
        <f>IFERROR(__xludf.DUMMYFUNCTION("IMPORTRANGE(""117qv8FDf_p-n_tj7PdfFxDDg9E_iHbmat0G4PFnUq-4"",""2025-26!V4"")"),0.0)</f>
        <v>0</v>
      </c>
      <c r="AS188" s="55">
        <f>IFERROR(__xludf.DUMMYFUNCTION("IMPORTRANGE(""117qv8FDf_p-n_tj7PdfFxDDg9E_iHbmat0G4PFnUq-4"",""2025-26!V3"")"),0.0)</f>
        <v>0</v>
      </c>
      <c r="AT188" s="55">
        <f>IFERROR(__xludf.DUMMYFUNCTION("IMPORTRANGE(""117qv8FDf_p-n_tj7PdfFxDDg9E_iHbmat0G4PFnUq-4"",""2025-26!W4"")"),0.0)</f>
        <v>0</v>
      </c>
      <c r="AU188" s="55">
        <f>IFERROR(__xludf.DUMMYFUNCTION("IMPORTRANGE(""117qv8FDf_p-n_tj7PdfFxDDg9E_iHbmat0G4PFnUq-4"",""2025-26!W3"")"),0.0)</f>
        <v>0</v>
      </c>
      <c r="AV188" s="58" t="str">
        <f t="shared" si="60"/>
        <v/>
      </c>
      <c r="AW188" s="55">
        <f>IFERROR(__xludf.DUMMYFUNCTION("IMPORTRANGE(""117qv8FDf_p-n_tj7PdfFxDDg9E_iHbmat0G4PFnUq-4"",""2025-26!X4"")"),0.0)</f>
        <v>0</v>
      </c>
      <c r="AX188" s="55">
        <f>IFERROR(__xludf.DUMMYFUNCTION("IMPORTRANGE(""117qv8FDf_p-n_tj7PdfFxDDg9E_iHbmat0G4PFnUq-4"",""2025-26!X3"")"),0.0)</f>
        <v>0</v>
      </c>
      <c r="AY188" s="55">
        <f>IFERROR(__xludf.DUMMYFUNCTION("IMPORTRANGE(""117qv8FDf_p-n_tj7PdfFxDDg9E_iHbmat0G4PFnUq-4"",""2025-26!Y4"")"),0.0)</f>
        <v>0</v>
      </c>
      <c r="AZ188" s="55">
        <f>IFERROR(__xludf.DUMMYFUNCTION("IMPORTRANGE(""117qv8FDf_p-n_tj7PdfFxDDg9E_iHbmat0G4PFnUq-4"",""2025-26!Y3"")"),0.0)</f>
        <v>0</v>
      </c>
      <c r="BA188" s="55">
        <f>IFERROR(__xludf.DUMMYFUNCTION("IMPORTRANGE(""117qv8FDf_p-n_tj7PdfFxDDg9E_iHbmat0G4PFnUq-4"",""2025-26!Z4"")"),0.0)</f>
        <v>0</v>
      </c>
      <c r="BB188" s="55">
        <f>IFERROR(__xludf.DUMMYFUNCTION("IMPORTRANGE(""117qv8FDf_p-n_tj7PdfFxDDg9E_iHbmat0G4PFnUq-4"",""2025-26!Z3"")"),0.0)</f>
        <v>0</v>
      </c>
      <c r="BC188" s="59" t="str">
        <f t="shared" si="61"/>
        <v/>
      </c>
      <c r="BD188" s="55">
        <f>IFERROR(__xludf.DUMMYFUNCTION("IMPORTRANGE(""117qv8FDf_p-n_tj7PdfFxDDg9E_iHbmat0G4PFnUq-4"",""2025-26!AA4"")"),0.0)</f>
        <v>0</v>
      </c>
      <c r="BE188" s="55">
        <f>IFERROR(__xludf.DUMMYFUNCTION("IMPORTRANGE(""117qv8FDf_p-n_tj7PdfFxDDg9E_iHbmat0G4PFnUq-4"",""2025-26!AA3"")"),0.0)</f>
        <v>0</v>
      </c>
      <c r="BF188" s="55">
        <f>IFERROR(__xludf.DUMMYFUNCTION("IMPORTRANGE(""117qv8FDf_p-n_tj7PdfFxDDg9E_iHbmat0G4PFnUq-4"",""2025-26!AB4"")"),0.0)</f>
        <v>0</v>
      </c>
      <c r="BG188" s="55">
        <f>IFERROR(__xludf.DUMMYFUNCTION("IMPORTRANGE(""117qv8FDf_p-n_tj7PdfFxDDg9E_iHbmat0G4PFnUq-4"",""2025-26!AB3"")"),0.0)</f>
        <v>0</v>
      </c>
      <c r="BH188" s="55">
        <f>IFERROR(__xludf.DUMMYFUNCTION("IMPORTRANGE(""117qv8FDf_p-n_tj7PdfFxDDg9E_iHbmat0G4PFnUq-4"",""2025-26!AC4"")"),0.0)</f>
        <v>0</v>
      </c>
      <c r="BI188" s="55">
        <f>IFERROR(__xludf.DUMMYFUNCTION("IMPORTRANGE(""117qv8FDf_p-n_tj7PdfFxDDg9E_iHbmat0G4PFnUq-4"",""2025-26!AC3"")"),0.0)</f>
        <v>0</v>
      </c>
      <c r="BJ188" s="59" t="str">
        <f t="shared" si="62"/>
        <v/>
      </c>
      <c r="BK188" s="55">
        <f>IFERROR(__xludf.DUMMYFUNCTION("IMPORTRANGE(""117qv8FDf_p-n_tj7PdfFxDDg9E_iHbmat0G4PFnUq-4"",""2025-26!AD4"")"),0.0)</f>
        <v>0</v>
      </c>
      <c r="BL188" s="55">
        <f>IFERROR(__xludf.DUMMYFUNCTION("IMPORTRANGE(""117qv8FDf_p-n_tj7PdfFxDDg9E_iHbmat0G4PFnUq-4"",""2025-26!AD3"")"),0.0)</f>
        <v>0</v>
      </c>
      <c r="BM188" s="55">
        <f>IFERROR(__xludf.DUMMYFUNCTION("IMPORTRANGE(""117qv8FDf_p-n_tj7PdfFxDDg9E_iHbmat0G4PFnUq-4"",""2025-26!AE4"")"),0.0)</f>
        <v>0</v>
      </c>
      <c r="BN188" s="55">
        <f>IFERROR(__xludf.DUMMYFUNCTION("IMPORTRANGE(""117qv8FDf_p-n_tj7PdfFxDDg9E_iHbmat0G4PFnUq-4"",""2025-26!AE3"")"),0.0)</f>
        <v>0</v>
      </c>
      <c r="BO188" s="55">
        <f>IFERROR(__xludf.DUMMYFUNCTION("IMPORTRANGE(""117qv8FDf_p-n_tj7PdfFxDDg9E_iHbmat0G4PFnUq-4"",""2025-26!AF4"")"),0.0)</f>
        <v>0</v>
      </c>
      <c r="BP188" s="55">
        <f>IFERROR(__xludf.DUMMYFUNCTION("IMPORTRANGE(""117qv8FDf_p-n_tj7PdfFxDDg9E_iHbmat0G4PFnUq-4"",""2025-26!AF3"")"),0.0)</f>
        <v>0</v>
      </c>
      <c r="BQ188" s="59" t="str">
        <f t="shared" si="63"/>
        <v/>
      </c>
      <c r="BR188" s="55">
        <f>IFERROR(__xludf.DUMMYFUNCTION("IMPORTRANGE(""117qv8FDf_p-n_tj7PdfFxDDg9E_iHbmat0G4PFnUq-4"",""2025-26!AG4"")"),0.0)</f>
        <v>0</v>
      </c>
      <c r="BS188" s="55">
        <f>IFERROR(__xludf.DUMMYFUNCTION("IMPORTRANGE(""117qv8FDf_p-n_tj7PdfFxDDg9E_iHbmat0G4PFnUq-4"",""2025-26!AG3"")"),0.0)</f>
        <v>0</v>
      </c>
      <c r="BT188" s="55">
        <f>IFERROR(__xludf.DUMMYFUNCTION("IMPORTRANGE(""117qv8FDf_p-n_tj7PdfFxDDg9E_iHbmat0G4PFnUq-4"",""2025-26!AH4"")"),0.0)</f>
        <v>0</v>
      </c>
      <c r="BU188" s="55">
        <f>IFERROR(__xludf.DUMMYFUNCTION("IMPORTRANGE(""117qv8FDf_p-n_tj7PdfFxDDg9E_iHbmat0G4PFnUq-4"",""2025-26!AH3"")"),0.0)</f>
        <v>0</v>
      </c>
      <c r="BV188" s="55">
        <f>IFERROR(__xludf.DUMMYFUNCTION("IMPORTRANGE(""117qv8FDf_p-n_tj7PdfFxDDg9E_iHbmat0G4PFnUq-4"",""2025-26!AI4"")"),0.0)</f>
        <v>0</v>
      </c>
      <c r="BW188" s="55">
        <f>IFERROR(__xludf.DUMMYFUNCTION("IMPORTRANGE(""117qv8FDf_p-n_tj7PdfFxDDg9E_iHbmat0G4PFnUq-4"",""2025-26!AI3"")"),0.0)</f>
        <v>0</v>
      </c>
      <c r="BX188" s="59" t="str">
        <f t="shared" si="64"/>
        <v/>
      </c>
      <c r="BY188" s="55">
        <f>IFERROR(__xludf.DUMMYFUNCTION("IMPORTRANGE(""117qv8FDf_p-n_tj7PdfFxDDg9E_iHbmat0G4PFnUq-4"",""2025-26!AJ4"")"),0.0)</f>
        <v>0</v>
      </c>
      <c r="BZ188" s="55">
        <f>IFERROR(__xludf.DUMMYFUNCTION("IMPORTRANGE(""117qv8FDf_p-n_tj7PdfFxDDg9E_iHbmat0G4PFnUq-4"",""2025-26!AJ3"")"),0.0)</f>
        <v>0</v>
      </c>
      <c r="CA188" s="55">
        <f>IFERROR(__xludf.DUMMYFUNCTION("IMPORTRANGE(""117qv8FDf_p-n_tj7PdfFxDDg9E_iHbmat0G4PFnUq-4"",""2025-26!AK4"")"),0.0)</f>
        <v>0</v>
      </c>
      <c r="CB188" s="55">
        <f>IFERROR(__xludf.DUMMYFUNCTION("IMPORTRANGE(""117qv8FDf_p-n_tj7PdfFxDDg9E_iHbmat0G4PFnUq-4"",""2025-26!AK3"")"),0.0)</f>
        <v>0</v>
      </c>
      <c r="CC188" s="55">
        <f>IFERROR(__xludf.DUMMYFUNCTION("IMPORTRANGE(""117qv8FDf_p-n_tj7PdfFxDDg9E_iHbmat0G4PFnUq-4"",""2025-26!AL4"")"),0.0)</f>
        <v>0</v>
      </c>
      <c r="CD188" s="55">
        <f>IFERROR(__xludf.DUMMYFUNCTION("IMPORTRANGE(""117qv8FDf_p-n_tj7PdfFxDDg9E_iHbmat0G4PFnUq-4"",""2025-26!AL3"")"),0.0)</f>
        <v>0</v>
      </c>
      <c r="CE188" s="59" t="str">
        <f t="shared" si="65"/>
        <v/>
      </c>
      <c r="CF188" s="55">
        <f>IFERROR(__xludf.DUMMYFUNCTION("IMPORTRANGE(""117qv8FDf_p-n_tj7PdfFxDDg9E_iHbmat0G4PFnUq-4"",""2025-26!AM4"")"),0.0)</f>
        <v>0</v>
      </c>
      <c r="CG188" s="55">
        <f>IFERROR(__xludf.DUMMYFUNCTION("IMPORTRANGE(""117qv8FDf_p-n_tj7PdfFxDDg9E_iHbmat0G4PFnUq-4"",""2025-26!AM3"")"),0.0)</f>
        <v>0</v>
      </c>
      <c r="CH188" s="55">
        <f>IFERROR(__xludf.DUMMYFUNCTION("IMPORTRANGE(""117qv8FDf_p-n_tj7PdfFxDDg9E_iHbmat0G4PFnUq-4"",""2025-26!AN4"")"),0.0)</f>
        <v>0</v>
      </c>
      <c r="CI188" s="55">
        <f>IFERROR(__xludf.DUMMYFUNCTION("IMPORTRANGE(""117qv8FDf_p-n_tj7PdfFxDDg9E_iHbmat0G4PFnUq-4"",""2025-26!AN3"")"),0.0)</f>
        <v>0</v>
      </c>
      <c r="CJ188" s="55">
        <f>IFERROR(__xludf.DUMMYFUNCTION("IMPORTRANGE(""117qv8FDf_p-n_tj7PdfFxDDg9E_iHbmat0G4PFnUq-4"",""2025-26!AO4"")"),0.0)</f>
        <v>0</v>
      </c>
      <c r="CK188" s="55">
        <f>IFERROR(__xludf.DUMMYFUNCTION("IMPORTRANGE(""117qv8FDf_p-n_tj7PdfFxDDg9E_iHbmat0G4PFnUq-4"",""2025-26!AO3"")"),0.0)</f>
        <v>0</v>
      </c>
      <c r="CL188" s="59" t="str">
        <f t="shared" si="66"/>
        <v/>
      </c>
      <c r="CM188" s="55">
        <f>IFERROR(__xludf.DUMMYFUNCTION("IMPORTRANGE(""117qv8FDf_p-n_tj7PdfFxDDg9E_iHbmat0G4PFnUq-4"",""2025-26!AP4"")"),0.0)</f>
        <v>0</v>
      </c>
      <c r="CN188" s="55">
        <f>IFERROR(__xludf.DUMMYFUNCTION("IMPORTRANGE(""117qv8FDf_p-n_tj7PdfFxDDg9E_iHbmat0G4PFnUq-4"",""2025-26!AP3"")"),0.0)</f>
        <v>0</v>
      </c>
      <c r="CO188" s="55">
        <f>IFERROR(__xludf.DUMMYFUNCTION("IMPORTRANGE(""117qv8FDf_p-n_tj7PdfFxDDg9E_iHbmat0G4PFnUq-4"",""2025-26!AQ4"")"),0.0)</f>
        <v>0</v>
      </c>
      <c r="CP188" s="55">
        <f>IFERROR(__xludf.DUMMYFUNCTION("IMPORTRANGE(""117qv8FDf_p-n_tj7PdfFxDDg9E_iHbmat0G4PFnUq-4"",""2025-26!AQ3"")"),0.0)</f>
        <v>0</v>
      </c>
      <c r="CQ188" s="55">
        <f>IFERROR(__xludf.DUMMYFUNCTION("IMPORTRANGE(""117qv8FDf_p-n_tj7PdfFxDDg9E_iHbmat0G4PFnUq-4"",""2025-26!AR4"")"),0.0)</f>
        <v>0</v>
      </c>
      <c r="CR188" s="55">
        <f>IFERROR(__xludf.DUMMYFUNCTION("IMPORTRANGE(""117qv8FDf_p-n_tj7PdfFxDDg9E_iHbmat0G4PFnUq-4"",""2025-26!AR3"")"),0.0)</f>
        <v>0</v>
      </c>
      <c r="CS188" s="59" t="str">
        <f t="shared" si="67"/>
        <v/>
      </c>
      <c r="CT188" s="55">
        <f>IFERROR(__xludf.DUMMYFUNCTION("IMPORTRANGE(""117qv8FDf_p-n_tj7PdfFxDDg9E_iHbmat0G4PFnUq-4"",""2025-26!AS4"")"),0.0)</f>
        <v>0</v>
      </c>
      <c r="CU188" s="55">
        <f>IFERROR(__xludf.DUMMYFUNCTION("IMPORTRANGE(""117qv8FDf_p-n_tj7PdfFxDDg9E_iHbmat0G4PFnUq-4"",""2025-26!AS3"")"),0.0)</f>
        <v>0</v>
      </c>
      <c r="CV188" s="60" t="s">
        <v>85</v>
      </c>
    </row>
    <row r="189">
      <c r="A189" s="148" t="s">
        <v>84</v>
      </c>
      <c r="B189" s="134" t="s">
        <v>85</v>
      </c>
      <c r="C189" s="130" t="s">
        <v>388</v>
      </c>
      <c r="D189" s="65" t="s">
        <v>389</v>
      </c>
      <c r="E189" s="50"/>
      <c r="F189" s="66">
        <v>45646.0</v>
      </c>
      <c r="G189" s="62"/>
      <c r="H189" s="62"/>
      <c r="I189" s="53">
        <f>VLOOKUP($C189,Data!$C:$BV,34,0)</f>
        <v>33570</v>
      </c>
      <c r="J189" s="54"/>
      <c r="K189" s="55">
        <f>IFERROR(__xludf.DUMMYFUNCTION("IMPORTRANGE(""1fuz9yBjzpR-l0Z0QcAqBynMhcwvzcP8so5QGq4ZYH_o"",""2025-26!A3"")"),32.0)</f>
        <v>32</v>
      </c>
      <c r="L189" s="55">
        <f>IFERROR(__xludf.DUMMYFUNCTION("IMPORTRANGE(""1fuz9yBjzpR-l0Z0QcAqBynMhcwvzcP8so5QGq4ZYH_o"",""2025-26!G4"")"),0.0)</f>
        <v>0</v>
      </c>
      <c r="M189" s="55">
        <f t="shared" si="84"/>
        <v>47630</v>
      </c>
      <c r="N189" s="56" t="str">
        <f t="shared" si="85"/>
        <v>#DIV/0!</v>
      </c>
      <c r="O189" s="57">
        <f t="shared" si="86"/>
        <v>0</v>
      </c>
      <c r="P189" s="55">
        <f>IFERROR(__xludf.DUMMYFUNCTION("IMPORTRANGE(""1fuz9yBjzpR-l0Z0QcAqBynMhcwvzcP8so5QGq4ZYH_o"",""2025-26!J4"")"),0.0)</f>
        <v>0</v>
      </c>
      <c r="Q189" s="55">
        <f>IFERROR(__xludf.DUMMYFUNCTION("IMPORTRANGE(""1fuz9yBjzpR-l0Z0QcAqBynMhcwvzcP8so5QGq4ZYH_o"",""2025-26!J3"")"),0.0)</f>
        <v>0</v>
      </c>
      <c r="R189" s="55">
        <f>IFERROR(__xludf.DUMMYFUNCTION("IMPORTRANGE(""1fuz9yBjzpR-l0Z0QcAqBynMhcwvzcP8so5QGq4ZYH_o"",""2025-26!K4"")"),47630.0)</f>
        <v>47630</v>
      </c>
      <c r="S189" s="55">
        <f>IFERROR(__xludf.DUMMYFUNCTION("IMPORTRANGE(""1fuz9yBjzpR-l0Z0QcAqBynMhcwvzcP8so5QGq4ZYH_o"",""2025-26!K3"")"),8.0)</f>
        <v>8</v>
      </c>
      <c r="T189" s="58" t="str">
        <f t="shared" si="56"/>
        <v/>
      </c>
      <c r="U189" s="55">
        <f>IFERROR(__xludf.DUMMYFUNCTION("IMPORTRANGE(""1fuz9yBjzpR-l0Z0QcAqBynMhcwvzcP8so5QGq4ZYH_o"",""2025-26!L4"")"),0.0)</f>
        <v>0</v>
      </c>
      <c r="V189" s="55">
        <f>IFERROR(__xludf.DUMMYFUNCTION("IMPORTRANGE(""1fuz9yBjzpR-l0Z0QcAqBynMhcwvzcP8so5QGq4ZYH_o"",""2025-26!L3"")"),0.0)</f>
        <v>0</v>
      </c>
      <c r="W189" s="55">
        <f>IFERROR(__xludf.DUMMYFUNCTION("IMPORTRANGE(""1fuz9yBjzpR-l0Z0QcAqBynMhcwvzcP8so5QGq4ZYH_o"",""2025-26!m4"")"),0.0)</f>
        <v>0</v>
      </c>
      <c r="X189" s="55">
        <f>IFERROR(__xludf.DUMMYFUNCTION("IMPORTRANGE(""1fuz9yBjzpR-l0Z0QcAqBynMhcwvzcP8so5QGq4ZYH_o"",""2025-26!m3"")"),0.0)</f>
        <v>0</v>
      </c>
      <c r="Y189" s="55">
        <f>IFERROR(__xludf.DUMMYFUNCTION("IMPORTRANGE(""1fuz9yBjzpR-l0Z0QcAqBynMhcwvzcP8so5QGq4ZYH_o"",""2025-26!N4"")"),0.0)</f>
        <v>0</v>
      </c>
      <c r="Z189" s="55">
        <f>IFERROR(__xludf.DUMMYFUNCTION("IMPORTRANGE(""1fuz9yBjzpR-l0Z0QcAqBynMhcwvzcP8so5QGq4ZYH_o"",""2025-26!N3"")"),0.0)</f>
        <v>0</v>
      </c>
      <c r="AA189" s="58" t="str">
        <f t="shared" si="57"/>
        <v/>
      </c>
      <c r="AB189" s="55">
        <f>IFERROR(__xludf.DUMMYFUNCTION("IMPORTRANGE(""1fuz9yBjzpR-l0Z0QcAqBynMhcwvzcP8so5QGq4ZYH_o"",""2025-26!O4"")"),0.0)</f>
        <v>0</v>
      </c>
      <c r="AC189" s="55">
        <f>IFERROR(__xludf.DUMMYFUNCTION("IMPORTRANGE(""1fuz9yBjzpR-l0Z0QcAqBynMhcwvzcP8so5QGq4ZYH_o"",""2025-26!O3"")"),0.0)</f>
        <v>0</v>
      </c>
      <c r="AD189" s="55">
        <f>IFERROR(__xludf.DUMMYFUNCTION("IMPORTRANGE(""1fuz9yBjzpR-l0Z0QcAqBynMhcwvzcP8so5QGq4ZYH_o"",""2025-26!P4"")"),0.0)</f>
        <v>0</v>
      </c>
      <c r="AE189" s="55">
        <f>IFERROR(__xludf.DUMMYFUNCTION("IMPORTRANGE(""1fuz9yBjzpR-l0Z0QcAqBynMhcwvzcP8so5QGq4ZYH_o"",""2025-26!P3"")"),0.0)</f>
        <v>0</v>
      </c>
      <c r="AF189" s="55">
        <f>IFERROR(__xludf.DUMMYFUNCTION("IMPORTRANGE(""1fuz9yBjzpR-l0Z0QcAqBynMhcwvzcP8so5QGq4ZYH_o"",""2025-26!Q4"")"),0.0)</f>
        <v>0</v>
      </c>
      <c r="AG189" s="55">
        <f>IFERROR(__xludf.DUMMYFUNCTION("IMPORTRANGE(""1fuz9yBjzpR-l0Z0QcAqBynMhcwvzcP8so5QGq4ZYH_o"",""2025-26!Q3"")"),0.0)</f>
        <v>0</v>
      </c>
      <c r="AH189" s="58" t="str">
        <f t="shared" si="58"/>
        <v/>
      </c>
      <c r="AI189" s="55">
        <f>IFERROR(__xludf.DUMMYFUNCTION("IMPORTRANGE(""1fuz9yBjzpR-l0Z0QcAqBynMhcwvzcP8so5QGq4ZYH_o"",""2025-26!R4"")"),0.0)</f>
        <v>0</v>
      </c>
      <c r="AJ189" s="55">
        <f>IFERROR(__xludf.DUMMYFUNCTION("IMPORTRANGE(""1fuz9yBjzpR-l0Z0QcAqBynMhcwvzcP8so5QGq4ZYH_o"",""2025-26!R3"")"),0.0)</f>
        <v>0</v>
      </c>
      <c r="AK189" s="55">
        <f>IFERROR(__xludf.DUMMYFUNCTION("IMPORTRANGE(""1fuz9yBjzpR-l0Z0QcAqBynMhcwvzcP8so5QGq4ZYH_o"",""2025-26!S4"")"),0.0)</f>
        <v>0</v>
      </c>
      <c r="AL189" s="55">
        <f>IFERROR(__xludf.DUMMYFUNCTION("IMPORTRANGE(""1fuz9yBjzpR-l0Z0QcAqBynMhcwvzcP8so5QGq4ZYH_o"",""2025-26!S3"")"),0.0)</f>
        <v>0</v>
      </c>
      <c r="AM189" s="55">
        <f>IFERROR(__xludf.DUMMYFUNCTION("IMPORTRANGE(""1fuz9yBjzpR-l0Z0QcAqBynMhcwvzcP8so5QGq4ZYH_o"",""2025-26!T4"")"),0.0)</f>
        <v>0</v>
      </c>
      <c r="AN189" s="55">
        <f>IFERROR(__xludf.DUMMYFUNCTION("IMPORTRANGE(""1fuz9yBjzpR-l0Z0QcAqBynMhcwvzcP8so5QGq4ZYH_o"",""2025-26!T3"")"),0.0)</f>
        <v>0</v>
      </c>
      <c r="AO189" s="58" t="str">
        <f t="shared" si="59"/>
        <v/>
      </c>
      <c r="AP189" s="55">
        <f>IFERROR(__xludf.DUMMYFUNCTION("IMPORTRANGE(""1fuz9yBjzpR-l0Z0QcAqBynMhcwvzcP8so5QGq4ZYH_o"",""2025-26!U4"")"),0.0)</f>
        <v>0</v>
      </c>
      <c r="AQ189" s="55">
        <f>IFERROR(__xludf.DUMMYFUNCTION("IMPORTRANGE(""1fuz9yBjzpR-l0Z0QcAqBynMhcwvzcP8so5QGq4ZYH_o"",""2025-26!U3"")"),0.0)</f>
        <v>0</v>
      </c>
      <c r="AR189" s="55">
        <f>IFERROR(__xludf.DUMMYFUNCTION("IMPORTRANGE(""1fuz9yBjzpR-l0Z0QcAqBynMhcwvzcP8so5QGq4ZYH_o"",""2025-26!V4"")"),0.0)</f>
        <v>0</v>
      </c>
      <c r="AS189" s="55">
        <f>IFERROR(__xludf.DUMMYFUNCTION("IMPORTRANGE(""1fuz9yBjzpR-l0Z0QcAqBynMhcwvzcP8so5QGq4ZYH_o"",""2025-26!V3"")"),0.0)</f>
        <v>0</v>
      </c>
      <c r="AT189" s="55">
        <f>IFERROR(__xludf.DUMMYFUNCTION("IMPORTRANGE(""1fuz9yBjzpR-l0Z0QcAqBynMhcwvzcP8so5QGq4ZYH_o"",""2025-26!W4"")"),0.0)</f>
        <v>0</v>
      </c>
      <c r="AU189" s="55">
        <f>IFERROR(__xludf.DUMMYFUNCTION("IMPORTRANGE(""1fuz9yBjzpR-l0Z0QcAqBynMhcwvzcP8so5QGq4ZYH_o"",""2025-26!W3"")"),0.0)</f>
        <v>0</v>
      </c>
      <c r="AV189" s="58" t="str">
        <f t="shared" si="60"/>
        <v/>
      </c>
      <c r="AW189" s="55">
        <f>IFERROR(__xludf.DUMMYFUNCTION("IMPORTRANGE(""1fuz9yBjzpR-l0Z0QcAqBynMhcwvzcP8so5QGq4ZYH_o"",""2025-26!X4"")"),0.0)</f>
        <v>0</v>
      </c>
      <c r="AX189" s="55">
        <f>IFERROR(__xludf.DUMMYFUNCTION("IMPORTRANGE(""1fuz9yBjzpR-l0Z0QcAqBynMhcwvzcP8so5QGq4ZYH_o"",""2025-26!X3"")"),0.0)</f>
        <v>0</v>
      </c>
      <c r="AY189" s="55">
        <f>IFERROR(__xludf.DUMMYFUNCTION("IMPORTRANGE(""1fuz9yBjzpR-l0Z0QcAqBynMhcwvzcP8so5QGq4ZYH_o"",""2025-26!Y4"")"),0.0)</f>
        <v>0</v>
      </c>
      <c r="AZ189" s="55">
        <f>IFERROR(__xludf.DUMMYFUNCTION("IMPORTRANGE(""1fuz9yBjzpR-l0Z0QcAqBynMhcwvzcP8so5QGq4ZYH_o"",""2025-26!Y3"")"),0.0)</f>
        <v>0</v>
      </c>
      <c r="BA189" s="55">
        <f>IFERROR(__xludf.DUMMYFUNCTION("IMPORTRANGE(""1fuz9yBjzpR-l0Z0QcAqBynMhcwvzcP8so5QGq4ZYH_o"",""2025-26!Z4"")"),0.0)</f>
        <v>0</v>
      </c>
      <c r="BB189" s="55">
        <f>IFERROR(__xludf.DUMMYFUNCTION("IMPORTRANGE(""1fuz9yBjzpR-l0Z0QcAqBynMhcwvzcP8so5QGq4ZYH_o"",""2025-26!Z3"")"),0.0)</f>
        <v>0</v>
      </c>
      <c r="BC189" s="59" t="str">
        <f t="shared" si="61"/>
        <v/>
      </c>
      <c r="BD189" s="55">
        <f>IFERROR(__xludf.DUMMYFUNCTION("IMPORTRANGE(""1fuz9yBjzpR-l0Z0QcAqBynMhcwvzcP8so5QGq4ZYH_o"",""2025-26!AA4"")"),0.0)</f>
        <v>0</v>
      </c>
      <c r="BE189" s="55">
        <f>IFERROR(__xludf.DUMMYFUNCTION("IMPORTRANGE(""1fuz9yBjzpR-l0Z0QcAqBynMhcwvzcP8so5QGq4ZYH_o"",""2025-26!AA3"")"),0.0)</f>
        <v>0</v>
      </c>
      <c r="BF189" s="55">
        <f>IFERROR(__xludf.DUMMYFUNCTION("IMPORTRANGE(""1fuz9yBjzpR-l0Z0QcAqBynMhcwvzcP8so5QGq4ZYH_o"",""2025-26!AB4"")"),0.0)</f>
        <v>0</v>
      </c>
      <c r="BG189" s="55">
        <f>IFERROR(__xludf.DUMMYFUNCTION("IMPORTRANGE(""1fuz9yBjzpR-l0Z0QcAqBynMhcwvzcP8so5QGq4ZYH_o"",""2025-26!AB3"")"),0.0)</f>
        <v>0</v>
      </c>
      <c r="BH189" s="55">
        <f>IFERROR(__xludf.DUMMYFUNCTION("IMPORTRANGE(""1fuz9yBjzpR-l0Z0QcAqBynMhcwvzcP8so5QGq4ZYH_o"",""2025-26!AC4"")"),0.0)</f>
        <v>0</v>
      </c>
      <c r="BI189" s="55">
        <f>IFERROR(__xludf.DUMMYFUNCTION("IMPORTRANGE(""1fuz9yBjzpR-l0Z0QcAqBynMhcwvzcP8so5QGq4ZYH_o"",""2025-26!AC3"")"),0.0)</f>
        <v>0</v>
      </c>
      <c r="BJ189" s="59" t="str">
        <f t="shared" si="62"/>
        <v/>
      </c>
      <c r="BK189" s="55">
        <f>IFERROR(__xludf.DUMMYFUNCTION("IMPORTRANGE(""1fuz9yBjzpR-l0Z0QcAqBynMhcwvzcP8so5QGq4ZYH_o"",""2025-26!AD4"")"),0.0)</f>
        <v>0</v>
      </c>
      <c r="BL189" s="55">
        <f>IFERROR(__xludf.DUMMYFUNCTION("IMPORTRANGE(""1fuz9yBjzpR-l0Z0QcAqBynMhcwvzcP8so5QGq4ZYH_o"",""2025-26!AD3"")"),0.0)</f>
        <v>0</v>
      </c>
      <c r="BM189" s="55">
        <f>IFERROR(__xludf.DUMMYFUNCTION("IMPORTRANGE(""1fuz9yBjzpR-l0Z0QcAqBynMhcwvzcP8so5QGq4ZYH_o"",""2025-26!AE4"")"),0.0)</f>
        <v>0</v>
      </c>
      <c r="BN189" s="55">
        <f>IFERROR(__xludf.DUMMYFUNCTION("IMPORTRANGE(""1fuz9yBjzpR-l0Z0QcAqBynMhcwvzcP8so5QGq4ZYH_o"",""2025-26!AE3"")"),0.0)</f>
        <v>0</v>
      </c>
      <c r="BO189" s="55">
        <f>IFERROR(__xludf.DUMMYFUNCTION("IMPORTRANGE(""1fuz9yBjzpR-l0Z0QcAqBynMhcwvzcP8so5QGq4ZYH_o"",""2025-26!AF4"")"),0.0)</f>
        <v>0</v>
      </c>
      <c r="BP189" s="55">
        <f>IFERROR(__xludf.DUMMYFUNCTION("IMPORTRANGE(""1fuz9yBjzpR-l0Z0QcAqBynMhcwvzcP8so5QGq4ZYH_o"",""2025-26!AF3"")"),0.0)</f>
        <v>0</v>
      </c>
      <c r="BQ189" s="59" t="str">
        <f t="shared" si="63"/>
        <v/>
      </c>
      <c r="BR189" s="55">
        <f>IFERROR(__xludf.DUMMYFUNCTION("IMPORTRANGE(""1fuz9yBjzpR-l0Z0QcAqBynMhcwvzcP8so5QGq4ZYH_o"",""2025-26!AG4"")"),0.0)</f>
        <v>0</v>
      </c>
      <c r="BS189" s="55">
        <f>IFERROR(__xludf.DUMMYFUNCTION("IMPORTRANGE(""1fuz9yBjzpR-l0Z0QcAqBynMhcwvzcP8so5QGq4ZYH_o"",""2025-26!AG3"")"),0.0)</f>
        <v>0</v>
      </c>
      <c r="BT189" s="55">
        <f>IFERROR(__xludf.DUMMYFUNCTION("IMPORTRANGE(""1fuz9yBjzpR-l0Z0QcAqBynMhcwvzcP8so5QGq4ZYH_o"",""2025-26!AH4"")"),0.0)</f>
        <v>0</v>
      </c>
      <c r="BU189" s="55">
        <f>IFERROR(__xludf.DUMMYFUNCTION("IMPORTRANGE(""1fuz9yBjzpR-l0Z0QcAqBynMhcwvzcP8so5QGq4ZYH_o"",""2025-26!AH3"")"),0.0)</f>
        <v>0</v>
      </c>
      <c r="BV189" s="55">
        <f>IFERROR(__xludf.DUMMYFUNCTION("IMPORTRANGE(""1fuz9yBjzpR-l0Z0QcAqBynMhcwvzcP8so5QGq4ZYH_o"",""2025-26!AI4"")"),0.0)</f>
        <v>0</v>
      </c>
      <c r="BW189" s="55">
        <f>IFERROR(__xludf.DUMMYFUNCTION("IMPORTRANGE(""1fuz9yBjzpR-l0Z0QcAqBynMhcwvzcP8so5QGq4ZYH_o"",""2025-26!AI3"")"),0.0)</f>
        <v>0</v>
      </c>
      <c r="BX189" s="59" t="str">
        <f t="shared" si="64"/>
        <v/>
      </c>
      <c r="BY189" s="55">
        <f>IFERROR(__xludf.DUMMYFUNCTION("IMPORTRANGE(""1fuz9yBjzpR-l0Z0QcAqBynMhcwvzcP8so5QGq4ZYH_o"",""2025-26!AJ4"")"),0.0)</f>
        <v>0</v>
      </c>
      <c r="BZ189" s="55">
        <f>IFERROR(__xludf.DUMMYFUNCTION("IMPORTRANGE(""1fuz9yBjzpR-l0Z0QcAqBynMhcwvzcP8so5QGq4ZYH_o"",""2025-26!AJ3"")"),0.0)</f>
        <v>0</v>
      </c>
      <c r="CA189" s="55">
        <f>IFERROR(__xludf.DUMMYFUNCTION("IMPORTRANGE(""1fuz9yBjzpR-l0Z0QcAqBynMhcwvzcP8so5QGq4ZYH_o"",""2025-26!AK4"")"),0.0)</f>
        <v>0</v>
      </c>
      <c r="CB189" s="55">
        <f>IFERROR(__xludf.DUMMYFUNCTION("IMPORTRANGE(""1fuz9yBjzpR-l0Z0QcAqBynMhcwvzcP8so5QGq4ZYH_o"",""2025-26!AK3"")"),0.0)</f>
        <v>0</v>
      </c>
      <c r="CC189" s="55">
        <f>IFERROR(__xludf.DUMMYFUNCTION("IMPORTRANGE(""1fuz9yBjzpR-l0Z0QcAqBynMhcwvzcP8so5QGq4ZYH_o"",""2025-26!AL4"")"),0.0)</f>
        <v>0</v>
      </c>
      <c r="CD189" s="55">
        <f>IFERROR(__xludf.DUMMYFUNCTION("IMPORTRANGE(""1fuz9yBjzpR-l0Z0QcAqBynMhcwvzcP8so5QGq4ZYH_o"",""2025-26!AL3"")"),0.0)</f>
        <v>0</v>
      </c>
      <c r="CE189" s="59" t="str">
        <f t="shared" si="65"/>
        <v/>
      </c>
      <c r="CF189" s="55">
        <f>IFERROR(__xludf.DUMMYFUNCTION("IMPORTRANGE(""1fuz9yBjzpR-l0Z0QcAqBynMhcwvzcP8so5QGq4ZYH_o"",""2025-26!AM4"")"),0.0)</f>
        <v>0</v>
      </c>
      <c r="CG189" s="55">
        <f>IFERROR(__xludf.DUMMYFUNCTION("IMPORTRANGE(""1fuz9yBjzpR-l0Z0QcAqBynMhcwvzcP8so5QGq4ZYH_o"",""2025-26!AM3"")"),0.0)</f>
        <v>0</v>
      </c>
      <c r="CH189" s="55">
        <f>IFERROR(__xludf.DUMMYFUNCTION("IMPORTRANGE(""1fuz9yBjzpR-l0Z0QcAqBynMhcwvzcP8so5QGq4ZYH_o"",""2025-26!AN4"")"),0.0)</f>
        <v>0</v>
      </c>
      <c r="CI189" s="55">
        <f>IFERROR(__xludf.DUMMYFUNCTION("IMPORTRANGE(""1fuz9yBjzpR-l0Z0QcAqBynMhcwvzcP8so5QGq4ZYH_o"",""2025-26!AN3"")"),0.0)</f>
        <v>0</v>
      </c>
      <c r="CJ189" s="55">
        <f>IFERROR(__xludf.DUMMYFUNCTION("IMPORTRANGE(""1fuz9yBjzpR-l0Z0QcAqBynMhcwvzcP8so5QGq4ZYH_o"",""2025-26!AO4"")"),0.0)</f>
        <v>0</v>
      </c>
      <c r="CK189" s="55">
        <f>IFERROR(__xludf.DUMMYFUNCTION("IMPORTRANGE(""1fuz9yBjzpR-l0Z0QcAqBynMhcwvzcP8so5QGq4ZYH_o"",""2025-26!AO3"")"),0.0)</f>
        <v>0</v>
      </c>
      <c r="CL189" s="59" t="str">
        <f t="shared" si="66"/>
        <v/>
      </c>
      <c r="CM189" s="55">
        <f>IFERROR(__xludf.DUMMYFUNCTION("IMPORTRANGE(""1fuz9yBjzpR-l0Z0QcAqBynMhcwvzcP8so5QGq4ZYH_o"",""2025-26!AP4"")"),0.0)</f>
        <v>0</v>
      </c>
      <c r="CN189" s="55">
        <f>IFERROR(__xludf.DUMMYFUNCTION("IMPORTRANGE(""1fuz9yBjzpR-l0Z0QcAqBynMhcwvzcP8so5QGq4ZYH_o"",""2025-26!AP3"")"),0.0)</f>
        <v>0</v>
      </c>
      <c r="CO189" s="55">
        <f>IFERROR(__xludf.DUMMYFUNCTION("IMPORTRANGE(""1fuz9yBjzpR-l0Z0QcAqBynMhcwvzcP8so5QGq4ZYH_o"",""2025-26!AQ4"")"),0.0)</f>
        <v>0</v>
      </c>
      <c r="CP189" s="55">
        <f>IFERROR(__xludf.DUMMYFUNCTION("IMPORTRANGE(""1fuz9yBjzpR-l0Z0QcAqBynMhcwvzcP8so5QGq4ZYH_o"",""2025-26!AQ3"")"),0.0)</f>
        <v>0</v>
      </c>
      <c r="CQ189" s="55">
        <f>IFERROR(__xludf.DUMMYFUNCTION("IMPORTRANGE(""1fuz9yBjzpR-l0Z0QcAqBynMhcwvzcP8so5QGq4ZYH_o"",""2025-26!AR4"")"),0.0)</f>
        <v>0</v>
      </c>
      <c r="CR189" s="55">
        <f>IFERROR(__xludf.DUMMYFUNCTION("IMPORTRANGE(""1fuz9yBjzpR-l0Z0QcAqBynMhcwvzcP8so5QGq4ZYH_o"",""2025-26!AR3"")"),0.0)</f>
        <v>0</v>
      </c>
      <c r="CS189" s="59" t="str">
        <f t="shared" si="67"/>
        <v/>
      </c>
      <c r="CT189" s="55">
        <f>IFERROR(__xludf.DUMMYFUNCTION("IMPORTRANGE(""1fuz9yBjzpR-l0Z0QcAqBynMhcwvzcP8so5QGq4ZYH_o"",""2025-26!AS4"")"),0.0)</f>
        <v>0</v>
      </c>
      <c r="CU189" s="55">
        <f>IFERROR(__xludf.DUMMYFUNCTION("IMPORTRANGE(""1fuz9yBjzpR-l0Z0QcAqBynMhcwvzcP8so5QGq4ZYH_o"",""2025-26!AS3"")"),0.0)</f>
        <v>0</v>
      </c>
      <c r="CV189" s="60" t="s">
        <v>85</v>
      </c>
    </row>
    <row r="190">
      <c r="A190" s="148" t="s">
        <v>84</v>
      </c>
      <c r="B190" s="134" t="s">
        <v>85</v>
      </c>
      <c r="C190" s="130" t="s">
        <v>390</v>
      </c>
      <c r="D190" s="65" t="s">
        <v>391</v>
      </c>
      <c r="E190" s="50"/>
      <c r="F190" s="66">
        <v>45660.0</v>
      </c>
      <c r="G190" s="62"/>
      <c r="H190" s="62"/>
      <c r="I190" s="53">
        <f>VLOOKUP($C190,Data!$C:$BV,34,0)</f>
        <v>33885</v>
      </c>
      <c r="J190" s="54"/>
      <c r="K190" s="55">
        <f>IFERROR(__xludf.DUMMYFUNCTION("IMPORTRANGE(""1V3bxzenenGIt4kaVijFOyGgxsyaS_Sam1HElx0r4ot0"",""2025-26!A3"")"),73.0)</f>
        <v>73</v>
      </c>
      <c r="L190" s="55">
        <f>IFERROR(__xludf.DUMMYFUNCTION("IMPORTRANGE(""1V3bxzenenGIt4kaVijFOyGgxsyaS_Sam1HElx0r4ot0"",""2025-26!G4"")"),1.107E7)</f>
        <v>11070000</v>
      </c>
      <c r="M190" s="55">
        <f t="shared" si="84"/>
        <v>818223.7</v>
      </c>
      <c r="N190" s="56">
        <f t="shared" si="85"/>
        <v>0.1072631436</v>
      </c>
      <c r="O190" s="57">
        <f t="shared" si="86"/>
        <v>1187403</v>
      </c>
      <c r="P190" s="55">
        <f>IFERROR(__xludf.DUMMYFUNCTION("IMPORTRANGE(""1V3bxzenenGIt4kaVijFOyGgxsyaS_Sam1HElx0r4ot0"",""2025-26!J4"")"),0.0)</f>
        <v>0</v>
      </c>
      <c r="Q190" s="55">
        <f>IFERROR(__xludf.DUMMYFUNCTION("IMPORTRANGE(""1V3bxzenenGIt4kaVijFOyGgxsyaS_Sam1HElx0r4ot0"",""2025-26!J3"")"),0.0)</f>
        <v>0</v>
      </c>
      <c r="R190" s="55">
        <f>IFERROR(__xludf.DUMMYFUNCTION("IMPORTRANGE(""1V3bxzenenGIt4kaVijFOyGgxsyaS_Sam1HElx0r4ot0"",""2025-26!K4"")"),313718.30000000005)</f>
        <v>313718.3</v>
      </c>
      <c r="S190" s="55">
        <f>IFERROR(__xludf.DUMMYFUNCTION("IMPORTRANGE(""1V3bxzenenGIt4kaVijFOyGgxsyaS_Sam1HElx0r4ot0"",""2025-26!K3"")"),24.0)</f>
        <v>24</v>
      </c>
      <c r="T190" s="58" t="str">
        <f t="shared" si="56"/>
        <v/>
      </c>
      <c r="U190" s="55">
        <f>IFERROR(__xludf.DUMMYFUNCTION("IMPORTRANGE(""1V3bxzenenGIt4kaVijFOyGgxsyaS_Sam1HElx0r4ot0"",""2025-26!L4"")"),652867.0)</f>
        <v>652867</v>
      </c>
      <c r="V190" s="55">
        <f>IFERROR(__xludf.DUMMYFUNCTION("IMPORTRANGE(""1V3bxzenenGIt4kaVijFOyGgxsyaS_Sam1HElx0r4ot0"",""2025-26!L3"")"),45.0)</f>
        <v>45</v>
      </c>
      <c r="W190" s="55">
        <f>IFERROR(__xludf.DUMMYFUNCTION("IMPORTRANGE(""1V3bxzenenGIt4kaVijFOyGgxsyaS_Sam1HElx0r4ot0"",""2025-26!m4"")"),0.0)</f>
        <v>0</v>
      </c>
      <c r="X190" s="55">
        <f>IFERROR(__xludf.DUMMYFUNCTION("IMPORTRANGE(""1V3bxzenenGIt4kaVijFOyGgxsyaS_Sam1HElx0r4ot0"",""2025-26!m3"")"),0.0)</f>
        <v>0</v>
      </c>
      <c r="Y190" s="55">
        <f>IFERROR(__xludf.DUMMYFUNCTION("IMPORTRANGE(""1V3bxzenenGIt4kaVijFOyGgxsyaS_Sam1HElx0r4ot0"",""2025-26!N4"")"),347667.39999999997)</f>
        <v>347667.4</v>
      </c>
      <c r="Z190" s="55">
        <f>IFERROR(__xludf.DUMMYFUNCTION("IMPORTRANGE(""1V3bxzenenGIt4kaVijFOyGgxsyaS_Sam1HElx0r4ot0"",""2025-26!N3"")"),24.0)</f>
        <v>24</v>
      </c>
      <c r="AA190" s="58" t="str">
        <f t="shared" si="57"/>
        <v/>
      </c>
      <c r="AB190" s="55">
        <f>IFERROR(__xludf.DUMMYFUNCTION("IMPORTRANGE(""1V3bxzenenGIt4kaVijFOyGgxsyaS_Sam1HElx0r4ot0"",""2025-26!O4"")"),534536.0)</f>
        <v>534536</v>
      </c>
      <c r="AC190" s="55">
        <f>IFERROR(__xludf.DUMMYFUNCTION("IMPORTRANGE(""1V3bxzenenGIt4kaVijFOyGgxsyaS_Sam1HElx0r4ot0"",""2025-26!O3"")"),37.0)</f>
        <v>37</v>
      </c>
      <c r="AD190" s="55">
        <f>IFERROR(__xludf.DUMMYFUNCTION("IMPORTRANGE(""1V3bxzenenGIt4kaVijFOyGgxsyaS_Sam1HElx0r4ot0"",""2025-26!P4"")"),0.0)</f>
        <v>0</v>
      </c>
      <c r="AE190" s="55">
        <f>IFERROR(__xludf.DUMMYFUNCTION("IMPORTRANGE(""1V3bxzenenGIt4kaVijFOyGgxsyaS_Sam1HElx0r4ot0"",""2025-26!P3"")"),0.0)</f>
        <v>0</v>
      </c>
      <c r="AF190" s="55">
        <f>IFERROR(__xludf.DUMMYFUNCTION("IMPORTRANGE(""1V3bxzenenGIt4kaVijFOyGgxsyaS_Sam1HElx0r4ot0"",""2025-26!Q4"")"),156838.0)</f>
        <v>156838</v>
      </c>
      <c r="AG190" s="55">
        <f>IFERROR(__xludf.DUMMYFUNCTION("IMPORTRANGE(""1V3bxzenenGIt4kaVijFOyGgxsyaS_Sam1HElx0r4ot0"",""2025-26!Q3"")"),17.0)</f>
        <v>17</v>
      </c>
      <c r="AH190" s="58" t="str">
        <f t="shared" si="58"/>
        <v/>
      </c>
      <c r="AI190" s="55">
        <f>IFERROR(__xludf.DUMMYFUNCTION("IMPORTRANGE(""1V3bxzenenGIt4kaVijFOyGgxsyaS_Sam1HElx0r4ot0"",""2025-26!R4"")"),0.0)</f>
        <v>0</v>
      </c>
      <c r="AJ190" s="55">
        <f>IFERROR(__xludf.DUMMYFUNCTION("IMPORTRANGE(""1V3bxzenenGIt4kaVijFOyGgxsyaS_Sam1HElx0r4ot0"",""2025-26!R3"")"),0.0)</f>
        <v>0</v>
      </c>
      <c r="AK190" s="55">
        <f>IFERROR(__xludf.DUMMYFUNCTION("IMPORTRANGE(""1V3bxzenenGIt4kaVijFOyGgxsyaS_Sam1HElx0r4ot0"",""2025-26!S4"")"),0.0)</f>
        <v>0</v>
      </c>
      <c r="AL190" s="55">
        <f>IFERROR(__xludf.DUMMYFUNCTION("IMPORTRANGE(""1V3bxzenenGIt4kaVijFOyGgxsyaS_Sam1HElx0r4ot0"",""2025-26!S3"")"),0.0)</f>
        <v>0</v>
      </c>
      <c r="AM190" s="55">
        <f>IFERROR(__xludf.DUMMYFUNCTION("IMPORTRANGE(""1V3bxzenenGIt4kaVijFOyGgxsyaS_Sam1HElx0r4ot0"",""2025-26!T4"")"),0.0)</f>
        <v>0</v>
      </c>
      <c r="AN190" s="55">
        <f>IFERROR(__xludf.DUMMYFUNCTION("IMPORTRANGE(""1V3bxzenenGIt4kaVijFOyGgxsyaS_Sam1HElx0r4ot0"",""2025-26!T3"")"),0.0)</f>
        <v>0</v>
      </c>
      <c r="AO190" s="58" t="str">
        <f t="shared" si="59"/>
        <v/>
      </c>
      <c r="AP190" s="55">
        <f>IFERROR(__xludf.DUMMYFUNCTION("IMPORTRANGE(""1V3bxzenenGIt4kaVijFOyGgxsyaS_Sam1HElx0r4ot0"",""2025-26!U4"")"),0.0)</f>
        <v>0</v>
      </c>
      <c r="AQ190" s="55">
        <f>IFERROR(__xludf.DUMMYFUNCTION("IMPORTRANGE(""1V3bxzenenGIt4kaVijFOyGgxsyaS_Sam1HElx0r4ot0"",""2025-26!U3"")"),0.0)</f>
        <v>0</v>
      </c>
      <c r="AR190" s="55">
        <f>IFERROR(__xludf.DUMMYFUNCTION("IMPORTRANGE(""1V3bxzenenGIt4kaVijFOyGgxsyaS_Sam1HElx0r4ot0"",""2025-26!V4"")"),0.0)</f>
        <v>0</v>
      </c>
      <c r="AS190" s="55">
        <f>IFERROR(__xludf.DUMMYFUNCTION("IMPORTRANGE(""1V3bxzenenGIt4kaVijFOyGgxsyaS_Sam1HElx0r4ot0"",""2025-26!V3"")"),0.0)</f>
        <v>0</v>
      </c>
      <c r="AT190" s="55">
        <f>IFERROR(__xludf.DUMMYFUNCTION("IMPORTRANGE(""1V3bxzenenGIt4kaVijFOyGgxsyaS_Sam1HElx0r4ot0"",""2025-26!W4"")"),0.0)</f>
        <v>0</v>
      </c>
      <c r="AU190" s="55">
        <f>IFERROR(__xludf.DUMMYFUNCTION("IMPORTRANGE(""1V3bxzenenGIt4kaVijFOyGgxsyaS_Sam1HElx0r4ot0"",""2025-26!W3"")"),0.0)</f>
        <v>0</v>
      </c>
      <c r="AV190" s="58" t="str">
        <f t="shared" si="60"/>
        <v/>
      </c>
      <c r="AW190" s="55">
        <f>IFERROR(__xludf.DUMMYFUNCTION("IMPORTRANGE(""1V3bxzenenGIt4kaVijFOyGgxsyaS_Sam1HElx0r4ot0"",""2025-26!X4"")"),0.0)</f>
        <v>0</v>
      </c>
      <c r="AX190" s="55">
        <f>IFERROR(__xludf.DUMMYFUNCTION("IMPORTRANGE(""1V3bxzenenGIt4kaVijFOyGgxsyaS_Sam1HElx0r4ot0"",""2025-26!X3"")"),0.0)</f>
        <v>0</v>
      </c>
      <c r="AY190" s="55">
        <f>IFERROR(__xludf.DUMMYFUNCTION("IMPORTRANGE(""1V3bxzenenGIt4kaVijFOyGgxsyaS_Sam1HElx0r4ot0"",""2025-26!Y4"")"),0.0)</f>
        <v>0</v>
      </c>
      <c r="AZ190" s="55">
        <f>IFERROR(__xludf.DUMMYFUNCTION("IMPORTRANGE(""1V3bxzenenGIt4kaVijFOyGgxsyaS_Sam1HElx0r4ot0"",""2025-26!Y3"")"),0.0)</f>
        <v>0</v>
      </c>
      <c r="BA190" s="55">
        <f>IFERROR(__xludf.DUMMYFUNCTION("IMPORTRANGE(""1V3bxzenenGIt4kaVijFOyGgxsyaS_Sam1HElx0r4ot0"",""2025-26!Z4"")"),0.0)</f>
        <v>0</v>
      </c>
      <c r="BB190" s="55">
        <f>IFERROR(__xludf.DUMMYFUNCTION("IMPORTRANGE(""1V3bxzenenGIt4kaVijFOyGgxsyaS_Sam1HElx0r4ot0"",""2025-26!Z3"")"),0.0)</f>
        <v>0</v>
      </c>
      <c r="BC190" s="59" t="str">
        <f t="shared" si="61"/>
        <v/>
      </c>
      <c r="BD190" s="55">
        <f>IFERROR(__xludf.DUMMYFUNCTION("IMPORTRANGE(""1V3bxzenenGIt4kaVijFOyGgxsyaS_Sam1HElx0r4ot0"",""2025-26!AA4"")"),0.0)</f>
        <v>0</v>
      </c>
      <c r="BE190" s="55">
        <f>IFERROR(__xludf.DUMMYFUNCTION("IMPORTRANGE(""1V3bxzenenGIt4kaVijFOyGgxsyaS_Sam1HElx0r4ot0"",""2025-26!AA3"")"),0.0)</f>
        <v>0</v>
      </c>
      <c r="BF190" s="55">
        <f>IFERROR(__xludf.DUMMYFUNCTION("IMPORTRANGE(""1V3bxzenenGIt4kaVijFOyGgxsyaS_Sam1HElx0r4ot0"",""2025-26!AB4"")"),0.0)</f>
        <v>0</v>
      </c>
      <c r="BG190" s="55">
        <f>IFERROR(__xludf.DUMMYFUNCTION("IMPORTRANGE(""1V3bxzenenGIt4kaVijFOyGgxsyaS_Sam1HElx0r4ot0"",""2025-26!AB3"")"),0.0)</f>
        <v>0</v>
      </c>
      <c r="BH190" s="55">
        <f>IFERROR(__xludf.DUMMYFUNCTION("IMPORTRANGE(""1V3bxzenenGIt4kaVijFOyGgxsyaS_Sam1HElx0r4ot0"",""2025-26!AC4"")"),0.0)</f>
        <v>0</v>
      </c>
      <c r="BI190" s="55">
        <f>IFERROR(__xludf.DUMMYFUNCTION("IMPORTRANGE(""1V3bxzenenGIt4kaVijFOyGgxsyaS_Sam1HElx0r4ot0"",""2025-26!AC3"")"),0.0)</f>
        <v>0</v>
      </c>
      <c r="BJ190" s="59" t="str">
        <f t="shared" si="62"/>
        <v/>
      </c>
      <c r="BK190" s="55">
        <f>IFERROR(__xludf.DUMMYFUNCTION("IMPORTRANGE(""1V3bxzenenGIt4kaVijFOyGgxsyaS_Sam1HElx0r4ot0"",""2025-26!AD4"")"),0.0)</f>
        <v>0</v>
      </c>
      <c r="BL190" s="55">
        <f>IFERROR(__xludf.DUMMYFUNCTION("IMPORTRANGE(""1V3bxzenenGIt4kaVijFOyGgxsyaS_Sam1HElx0r4ot0"",""2025-26!AD3"")"),0.0)</f>
        <v>0</v>
      </c>
      <c r="BM190" s="55">
        <f>IFERROR(__xludf.DUMMYFUNCTION("IMPORTRANGE(""1V3bxzenenGIt4kaVijFOyGgxsyaS_Sam1HElx0r4ot0"",""2025-26!AE4"")"),0.0)</f>
        <v>0</v>
      </c>
      <c r="BN190" s="55">
        <f>IFERROR(__xludf.DUMMYFUNCTION("IMPORTRANGE(""1V3bxzenenGIt4kaVijFOyGgxsyaS_Sam1HElx0r4ot0"",""2025-26!AE3"")"),0.0)</f>
        <v>0</v>
      </c>
      <c r="BO190" s="55">
        <f>IFERROR(__xludf.DUMMYFUNCTION("IMPORTRANGE(""1V3bxzenenGIt4kaVijFOyGgxsyaS_Sam1HElx0r4ot0"",""2025-26!AF4"")"),0.0)</f>
        <v>0</v>
      </c>
      <c r="BP190" s="55">
        <f>IFERROR(__xludf.DUMMYFUNCTION("IMPORTRANGE(""1V3bxzenenGIt4kaVijFOyGgxsyaS_Sam1HElx0r4ot0"",""2025-26!AF3"")"),0.0)</f>
        <v>0</v>
      </c>
      <c r="BQ190" s="59" t="str">
        <f t="shared" si="63"/>
        <v/>
      </c>
      <c r="BR190" s="55">
        <f>IFERROR(__xludf.DUMMYFUNCTION("IMPORTRANGE(""1V3bxzenenGIt4kaVijFOyGgxsyaS_Sam1HElx0r4ot0"",""2025-26!AG4"")"),0.0)</f>
        <v>0</v>
      </c>
      <c r="BS190" s="55">
        <f>IFERROR(__xludf.DUMMYFUNCTION("IMPORTRANGE(""1V3bxzenenGIt4kaVijFOyGgxsyaS_Sam1HElx0r4ot0"",""2025-26!AG3"")"),0.0)</f>
        <v>0</v>
      </c>
      <c r="BT190" s="55">
        <f>IFERROR(__xludf.DUMMYFUNCTION("IMPORTRANGE(""1V3bxzenenGIt4kaVijFOyGgxsyaS_Sam1HElx0r4ot0"",""2025-26!AH4"")"),0.0)</f>
        <v>0</v>
      </c>
      <c r="BU190" s="55">
        <f>IFERROR(__xludf.DUMMYFUNCTION("IMPORTRANGE(""1V3bxzenenGIt4kaVijFOyGgxsyaS_Sam1HElx0r4ot0"",""2025-26!AH3"")"),0.0)</f>
        <v>0</v>
      </c>
      <c r="BV190" s="55">
        <f>IFERROR(__xludf.DUMMYFUNCTION("IMPORTRANGE(""1V3bxzenenGIt4kaVijFOyGgxsyaS_Sam1HElx0r4ot0"",""2025-26!AI4"")"),0.0)</f>
        <v>0</v>
      </c>
      <c r="BW190" s="55">
        <f>IFERROR(__xludf.DUMMYFUNCTION("IMPORTRANGE(""1V3bxzenenGIt4kaVijFOyGgxsyaS_Sam1HElx0r4ot0"",""2025-26!AI3"")"),0.0)</f>
        <v>0</v>
      </c>
      <c r="BX190" s="59" t="str">
        <f t="shared" si="64"/>
        <v/>
      </c>
      <c r="BY190" s="55">
        <f>IFERROR(__xludf.DUMMYFUNCTION("IMPORTRANGE(""1V3bxzenenGIt4kaVijFOyGgxsyaS_Sam1HElx0r4ot0"",""2025-26!AJ4"")"),0.0)</f>
        <v>0</v>
      </c>
      <c r="BZ190" s="55">
        <f>IFERROR(__xludf.DUMMYFUNCTION("IMPORTRANGE(""1V3bxzenenGIt4kaVijFOyGgxsyaS_Sam1HElx0r4ot0"",""2025-26!AJ3"")"),0.0)</f>
        <v>0</v>
      </c>
      <c r="CA190" s="55">
        <f>IFERROR(__xludf.DUMMYFUNCTION("IMPORTRANGE(""1V3bxzenenGIt4kaVijFOyGgxsyaS_Sam1HElx0r4ot0"",""2025-26!AK4"")"),0.0)</f>
        <v>0</v>
      </c>
      <c r="CB190" s="55">
        <f>IFERROR(__xludf.DUMMYFUNCTION("IMPORTRANGE(""1V3bxzenenGIt4kaVijFOyGgxsyaS_Sam1HElx0r4ot0"",""2025-26!AK3"")"),0.0)</f>
        <v>0</v>
      </c>
      <c r="CC190" s="55">
        <f>IFERROR(__xludf.DUMMYFUNCTION("IMPORTRANGE(""1V3bxzenenGIt4kaVijFOyGgxsyaS_Sam1HElx0r4ot0"",""2025-26!AL4"")"),0.0)</f>
        <v>0</v>
      </c>
      <c r="CD190" s="55">
        <f>IFERROR(__xludf.DUMMYFUNCTION("IMPORTRANGE(""1V3bxzenenGIt4kaVijFOyGgxsyaS_Sam1HElx0r4ot0"",""2025-26!AL3"")"),0.0)</f>
        <v>0</v>
      </c>
      <c r="CE190" s="59" t="str">
        <f t="shared" si="65"/>
        <v/>
      </c>
      <c r="CF190" s="55">
        <f>IFERROR(__xludf.DUMMYFUNCTION("IMPORTRANGE(""1V3bxzenenGIt4kaVijFOyGgxsyaS_Sam1HElx0r4ot0"",""2025-26!AM4"")"),0.0)</f>
        <v>0</v>
      </c>
      <c r="CG190" s="55">
        <f>IFERROR(__xludf.DUMMYFUNCTION("IMPORTRANGE(""1V3bxzenenGIt4kaVijFOyGgxsyaS_Sam1HElx0r4ot0"",""2025-26!AM3"")"),0.0)</f>
        <v>0</v>
      </c>
      <c r="CH190" s="55">
        <f>IFERROR(__xludf.DUMMYFUNCTION("IMPORTRANGE(""1V3bxzenenGIt4kaVijFOyGgxsyaS_Sam1HElx0r4ot0"",""2025-26!AN4"")"),0.0)</f>
        <v>0</v>
      </c>
      <c r="CI190" s="55">
        <f>IFERROR(__xludf.DUMMYFUNCTION("IMPORTRANGE(""1V3bxzenenGIt4kaVijFOyGgxsyaS_Sam1HElx0r4ot0"",""2025-26!AN3"")"),0.0)</f>
        <v>0</v>
      </c>
      <c r="CJ190" s="55">
        <f>IFERROR(__xludf.DUMMYFUNCTION("IMPORTRANGE(""1V3bxzenenGIt4kaVijFOyGgxsyaS_Sam1HElx0r4ot0"",""2025-26!AO4"")"),0.0)</f>
        <v>0</v>
      </c>
      <c r="CK190" s="55">
        <f>IFERROR(__xludf.DUMMYFUNCTION("IMPORTRANGE(""1V3bxzenenGIt4kaVijFOyGgxsyaS_Sam1HElx0r4ot0"",""2025-26!AO3"")"),0.0)</f>
        <v>0</v>
      </c>
      <c r="CL190" s="59" t="str">
        <f t="shared" si="66"/>
        <v/>
      </c>
      <c r="CM190" s="55">
        <f>IFERROR(__xludf.DUMMYFUNCTION("IMPORTRANGE(""1V3bxzenenGIt4kaVijFOyGgxsyaS_Sam1HElx0r4ot0"",""2025-26!AP4"")"),0.0)</f>
        <v>0</v>
      </c>
      <c r="CN190" s="55">
        <f>IFERROR(__xludf.DUMMYFUNCTION("IMPORTRANGE(""1V3bxzenenGIt4kaVijFOyGgxsyaS_Sam1HElx0r4ot0"",""2025-26!AP3"")"),0.0)</f>
        <v>0</v>
      </c>
      <c r="CO190" s="55">
        <f>IFERROR(__xludf.DUMMYFUNCTION("IMPORTRANGE(""1V3bxzenenGIt4kaVijFOyGgxsyaS_Sam1HElx0r4ot0"",""2025-26!AQ4"")"),0.0)</f>
        <v>0</v>
      </c>
      <c r="CP190" s="55">
        <f>IFERROR(__xludf.DUMMYFUNCTION("IMPORTRANGE(""1V3bxzenenGIt4kaVijFOyGgxsyaS_Sam1HElx0r4ot0"",""2025-26!AQ3"")"),0.0)</f>
        <v>0</v>
      </c>
      <c r="CQ190" s="55">
        <f>IFERROR(__xludf.DUMMYFUNCTION("IMPORTRANGE(""1V3bxzenenGIt4kaVijFOyGgxsyaS_Sam1HElx0r4ot0"",""2025-26!AR4"")"),0.0)</f>
        <v>0</v>
      </c>
      <c r="CR190" s="55">
        <f>IFERROR(__xludf.DUMMYFUNCTION("IMPORTRANGE(""1V3bxzenenGIt4kaVijFOyGgxsyaS_Sam1HElx0r4ot0"",""2025-26!AR3"")"),0.0)</f>
        <v>0</v>
      </c>
      <c r="CS190" s="59" t="str">
        <f t="shared" si="67"/>
        <v/>
      </c>
      <c r="CT190" s="55">
        <f>IFERROR(__xludf.DUMMYFUNCTION("IMPORTRANGE(""1V3bxzenenGIt4kaVijFOyGgxsyaS_Sam1HElx0r4ot0"",""2025-26!AS4"")"),0.0)</f>
        <v>0</v>
      </c>
      <c r="CU190" s="55">
        <f>IFERROR(__xludf.DUMMYFUNCTION("IMPORTRANGE(""1V3bxzenenGIt4kaVijFOyGgxsyaS_Sam1HElx0r4ot0"",""2025-26!AS3"")"),0.0)</f>
        <v>0</v>
      </c>
      <c r="CV190" s="60" t="s">
        <v>85</v>
      </c>
    </row>
    <row r="191">
      <c r="A191" s="148" t="s">
        <v>84</v>
      </c>
      <c r="B191" s="134" t="s">
        <v>85</v>
      </c>
      <c r="C191" s="136" t="s">
        <v>392</v>
      </c>
      <c r="D191" s="65" t="s">
        <v>393</v>
      </c>
      <c r="E191" s="50">
        <v>8.778489561E9</v>
      </c>
      <c r="F191" s="66">
        <v>45474.0</v>
      </c>
      <c r="G191" s="62"/>
      <c r="H191" s="62"/>
      <c r="I191" s="53">
        <f>VLOOKUP($C191,Data!$C:$BV,72,0)</f>
        <v>35645</v>
      </c>
      <c r="J191" s="54">
        <v>1250000.0</v>
      </c>
      <c r="K191" s="55">
        <f>IFERROR(__xludf.DUMMYFUNCTION("IMPORTRANGE(""1tcMcPapopj1lPzcHEWq3y3M4f_wup9ka7t_rXSzZHMA"",""2025-26!A3"")"),21.0)</f>
        <v>21</v>
      </c>
      <c r="L191" s="55">
        <f>IFERROR(__xludf.DUMMYFUNCTION("IMPORTRANGE(""1tcMcPapopj1lPzcHEWq3y3M4f_wup9ka7t_rXSzZHMA"",""2025-26!G4"")"),6958000.0)</f>
        <v>6958000</v>
      </c>
      <c r="M191" s="55">
        <f t="shared" si="84"/>
        <v>546971</v>
      </c>
      <c r="N191" s="56">
        <f t="shared" si="85"/>
        <v>0.08072118425</v>
      </c>
      <c r="O191" s="57">
        <f t="shared" si="86"/>
        <v>561658</v>
      </c>
      <c r="P191" s="55">
        <f>IFERROR(__xludf.DUMMYFUNCTION("IMPORTRANGE(""1tcMcPapopj1lPzcHEWq3y3M4f_wup9ka7t_rXSzZHMA"",""2025-26!J4"")"),541150.0)</f>
        <v>541150</v>
      </c>
      <c r="Q191" s="55">
        <f>IFERROR(__xludf.DUMMYFUNCTION("IMPORTRANGE(""1tcMcPapopj1lPzcHEWq3y3M4f_wup9ka7t_rXSzZHMA"",""2025-26!J3"")"),19.0)</f>
        <v>19</v>
      </c>
      <c r="R191" s="55">
        <f>IFERROR(__xludf.DUMMYFUNCTION("IMPORTRANGE(""1tcMcPapopj1lPzcHEWq3y3M4f_wup9ka7t_rXSzZHMA"",""2025-26!K4"")"),229850.0)</f>
        <v>229850</v>
      </c>
      <c r="S191" s="55">
        <f>IFERROR(__xludf.DUMMYFUNCTION("IMPORTRANGE(""1tcMcPapopj1lPzcHEWq3y3M4f_wup9ka7t_rXSzZHMA"",""2025-26!K3"")"),1.0)</f>
        <v>1</v>
      </c>
      <c r="T191" s="58">
        <f t="shared" si="56"/>
        <v>0.4247436016</v>
      </c>
      <c r="U191" s="55">
        <f>IFERROR(__xludf.DUMMYFUNCTION("IMPORTRANGE(""1tcMcPapopj1lPzcHEWq3y3M4f_wup9ka7t_rXSzZHMA"",""2025-26!L4"")"),229850.0)</f>
        <v>229850</v>
      </c>
      <c r="V191" s="55">
        <f>IFERROR(__xludf.DUMMYFUNCTION("IMPORTRANGE(""1tcMcPapopj1lPzcHEWq3y3M4f_wup9ka7t_rXSzZHMA"",""2025-26!L3"")"),1.0)</f>
        <v>1</v>
      </c>
      <c r="W191" s="55">
        <f>IFERROR(__xludf.DUMMYFUNCTION("IMPORTRANGE(""1tcMcPapopj1lPzcHEWq3y3M4f_wup9ka7t_rXSzZHMA"",""2025-26!m4"")"),541150.0)</f>
        <v>541150</v>
      </c>
      <c r="X191" s="55">
        <f>IFERROR(__xludf.DUMMYFUNCTION("IMPORTRANGE(""1tcMcPapopj1lPzcHEWq3y3M4f_wup9ka7t_rXSzZHMA"",""2025-26!m3"")"),19.0)</f>
        <v>19</v>
      </c>
      <c r="Y191" s="55">
        <f>IFERROR(__xludf.DUMMYFUNCTION("IMPORTRANGE(""1tcMcPapopj1lPzcHEWq3y3M4f_wup9ka7t_rXSzZHMA"",""2025-26!N4"")"),317121.0)</f>
        <v>317121</v>
      </c>
      <c r="Z191" s="55">
        <f>IFERROR(__xludf.DUMMYFUNCTION("IMPORTRANGE(""1tcMcPapopj1lPzcHEWq3y3M4f_wup9ka7t_rXSzZHMA"",""2025-26!N3"")"),1.0)</f>
        <v>1</v>
      </c>
      <c r="AA191" s="58">
        <f t="shared" si="57"/>
        <v>0.6131534695</v>
      </c>
      <c r="AB191" s="55">
        <f>IFERROR(__xludf.DUMMYFUNCTION("IMPORTRANGE(""1tcMcPapopj1lPzcHEWq3y3M4f_wup9ka7t_rXSzZHMA"",""2025-26!O4"")"),331808.0)</f>
        <v>331808</v>
      </c>
      <c r="AC191" s="55">
        <f>IFERROR(__xludf.DUMMYFUNCTION("IMPORTRANGE(""1tcMcPapopj1lPzcHEWq3y3M4f_wup9ka7t_rXSzZHMA"",""2025-26!O3"")"),2.0)</f>
        <v>2</v>
      </c>
      <c r="AD191" s="55">
        <f>IFERROR(__xludf.DUMMYFUNCTION("IMPORTRANGE(""1tcMcPapopj1lPzcHEWq3y3M4f_wup9ka7t_rXSzZHMA"",""2025-26!P4"")"),544483.0)</f>
        <v>544483</v>
      </c>
      <c r="AE191" s="55">
        <f>IFERROR(__xludf.DUMMYFUNCTION("IMPORTRANGE(""1tcMcPapopj1lPzcHEWq3y3M4f_wup9ka7t_rXSzZHMA"",""2025-26!P3"")"),19.0)</f>
        <v>19</v>
      </c>
      <c r="AF191" s="55">
        <f>IFERROR(__xludf.DUMMYFUNCTION("IMPORTRANGE(""1tcMcPapopj1lPzcHEWq3y3M4f_wup9ka7t_rXSzZHMA"",""2025-26!Q4"")"),0.0)</f>
        <v>0</v>
      </c>
      <c r="AG191" s="55">
        <f>IFERROR(__xludf.DUMMYFUNCTION("IMPORTRANGE(""1tcMcPapopj1lPzcHEWq3y3M4f_wup9ka7t_rXSzZHMA"",""2025-26!Q3"")"),0.0)</f>
        <v>0</v>
      </c>
      <c r="AH191" s="58">
        <f t="shared" si="58"/>
        <v>0</v>
      </c>
      <c r="AI191" s="55">
        <f>IFERROR(__xludf.DUMMYFUNCTION("IMPORTRANGE(""1tcMcPapopj1lPzcHEWq3y3M4f_wup9ka7t_rXSzZHMA"",""2025-26!R4"")"),0.0)</f>
        <v>0</v>
      </c>
      <c r="AJ191" s="55">
        <f>IFERROR(__xludf.DUMMYFUNCTION("IMPORTRANGE(""1tcMcPapopj1lPzcHEWq3y3M4f_wup9ka7t_rXSzZHMA"",""2025-26!R3"")"),0.0)</f>
        <v>0</v>
      </c>
      <c r="AK191" s="55">
        <f>IFERROR(__xludf.DUMMYFUNCTION("IMPORTRANGE(""1tcMcPapopj1lPzcHEWq3y3M4f_wup9ka7t_rXSzZHMA"",""2025-26!S4"")"),0.0)</f>
        <v>0</v>
      </c>
      <c r="AL191" s="55">
        <f>IFERROR(__xludf.DUMMYFUNCTION("IMPORTRANGE(""1tcMcPapopj1lPzcHEWq3y3M4f_wup9ka7t_rXSzZHMA"",""2025-26!S3"")"),0.0)</f>
        <v>0</v>
      </c>
      <c r="AM191" s="55">
        <f>IFERROR(__xludf.DUMMYFUNCTION("IMPORTRANGE(""1tcMcPapopj1lPzcHEWq3y3M4f_wup9ka7t_rXSzZHMA"",""2025-26!T4"")"),0.0)</f>
        <v>0</v>
      </c>
      <c r="AN191" s="55">
        <f>IFERROR(__xludf.DUMMYFUNCTION("IMPORTRANGE(""1tcMcPapopj1lPzcHEWq3y3M4f_wup9ka7t_rXSzZHMA"",""2025-26!T3"")"),0.0)</f>
        <v>0</v>
      </c>
      <c r="AO191" s="58" t="str">
        <f t="shared" si="59"/>
        <v/>
      </c>
      <c r="AP191" s="55">
        <f>IFERROR(__xludf.DUMMYFUNCTION("IMPORTRANGE(""1tcMcPapopj1lPzcHEWq3y3M4f_wup9ka7t_rXSzZHMA"",""2025-26!U4"")"),0.0)</f>
        <v>0</v>
      </c>
      <c r="AQ191" s="55">
        <f>IFERROR(__xludf.DUMMYFUNCTION("IMPORTRANGE(""1tcMcPapopj1lPzcHEWq3y3M4f_wup9ka7t_rXSzZHMA"",""2025-26!U3"")"),0.0)</f>
        <v>0</v>
      </c>
      <c r="AR191" s="55">
        <f>IFERROR(__xludf.DUMMYFUNCTION("IMPORTRANGE(""1tcMcPapopj1lPzcHEWq3y3M4f_wup9ka7t_rXSzZHMA"",""2025-26!V4"")"),0.0)</f>
        <v>0</v>
      </c>
      <c r="AS191" s="55">
        <f>IFERROR(__xludf.DUMMYFUNCTION("IMPORTRANGE(""1tcMcPapopj1lPzcHEWq3y3M4f_wup9ka7t_rXSzZHMA"",""2025-26!V3"")"),0.0)</f>
        <v>0</v>
      </c>
      <c r="AT191" s="55">
        <f>IFERROR(__xludf.DUMMYFUNCTION("IMPORTRANGE(""1tcMcPapopj1lPzcHEWq3y3M4f_wup9ka7t_rXSzZHMA"",""2025-26!W4"")"),0.0)</f>
        <v>0</v>
      </c>
      <c r="AU191" s="55">
        <f>IFERROR(__xludf.DUMMYFUNCTION("IMPORTRANGE(""1tcMcPapopj1lPzcHEWq3y3M4f_wup9ka7t_rXSzZHMA"",""2025-26!W3"")"),0.0)</f>
        <v>0</v>
      </c>
      <c r="AV191" s="58" t="str">
        <f t="shared" si="60"/>
        <v/>
      </c>
      <c r="AW191" s="55">
        <f>IFERROR(__xludf.DUMMYFUNCTION("IMPORTRANGE(""1tcMcPapopj1lPzcHEWq3y3M4f_wup9ka7t_rXSzZHMA"",""2025-26!X4"")"),0.0)</f>
        <v>0</v>
      </c>
      <c r="AX191" s="55">
        <f>IFERROR(__xludf.DUMMYFUNCTION("IMPORTRANGE(""1tcMcPapopj1lPzcHEWq3y3M4f_wup9ka7t_rXSzZHMA"",""2025-26!X3"")"),0.0)</f>
        <v>0</v>
      </c>
      <c r="AY191" s="55">
        <f>IFERROR(__xludf.DUMMYFUNCTION("IMPORTRANGE(""1tcMcPapopj1lPzcHEWq3y3M4f_wup9ka7t_rXSzZHMA"",""2025-26!Y4"")"),0.0)</f>
        <v>0</v>
      </c>
      <c r="AZ191" s="55">
        <f>IFERROR(__xludf.DUMMYFUNCTION("IMPORTRANGE(""1tcMcPapopj1lPzcHEWq3y3M4f_wup9ka7t_rXSzZHMA"",""2025-26!Y3"")"),0.0)</f>
        <v>0</v>
      </c>
      <c r="BA191" s="55">
        <f>IFERROR(__xludf.DUMMYFUNCTION("IMPORTRANGE(""1tcMcPapopj1lPzcHEWq3y3M4f_wup9ka7t_rXSzZHMA"",""2025-26!Z4"")"),0.0)</f>
        <v>0</v>
      </c>
      <c r="BB191" s="55">
        <f>IFERROR(__xludf.DUMMYFUNCTION("IMPORTRANGE(""1tcMcPapopj1lPzcHEWq3y3M4f_wup9ka7t_rXSzZHMA"",""2025-26!Z3"")"),0.0)</f>
        <v>0</v>
      </c>
      <c r="BC191" s="59" t="str">
        <f t="shared" si="61"/>
        <v/>
      </c>
      <c r="BD191" s="55">
        <f>IFERROR(__xludf.DUMMYFUNCTION("IMPORTRANGE(""1tcMcPapopj1lPzcHEWq3y3M4f_wup9ka7t_rXSzZHMA"",""2025-26!AA4"")"),0.0)</f>
        <v>0</v>
      </c>
      <c r="BE191" s="55">
        <f>IFERROR(__xludf.DUMMYFUNCTION("IMPORTRANGE(""1tcMcPapopj1lPzcHEWq3y3M4f_wup9ka7t_rXSzZHMA"",""2025-26!AA3"")"),0.0)</f>
        <v>0</v>
      </c>
      <c r="BF191" s="55">
        <f>IFERROR(__xludf.DUMMYFUNCTION("IMPORTRANGE(""1tcMcPapopj1lPzcHEWq3y3M4f_wup9ka7t_rXSzZHMA"",""2025-26!AB4"")"),0.0)</f>
        <v>0</v>
      </c>
      <c r="BG191" s="55">
        <f>IFERROR(__xludf.DUMMYFUNCTION("IMPORTRANGE(""1tcMcPapopj1lPzcHEWq3y3M4f_wup9ka7t_rXSzZHMA"",""2025-26!AB3"")"),0.0)</f>
        <v>0</v>
      </c>
      <c r="BH191" s="55">
        <f>IFERROR(__xludf.DUMMYFUNCTION("IMPORTRANGE(""1tcMcPapopj1lPzcHEWq3y3M4f_wup9ka7t_rXSzZHMA"",""2025-26!AC4"")"),0.0)</f>
        <v>0</v>
      </c>
      <c r="BI191" s="55">
        <f>IFERROR(__xludf.DUMMYFUNCTION("IMPORTRANGE(""1tcMcPapopj1lPzcHEWq3y3M4f_wup9ka7t_rXSzZHMA"",""2025-26!AC3"")"),0.0)</f>
        <v>0</v>
      </c>
      <c r="BJ191" s="59" t="str">
        <f t="shared" si="62"/>
        <v/>
      </c>
      <c r="BK191" s="55">
        <f>IFERROR(__xludf.DUMMYFUNCTION("IMPORTRANGE(""1tcMcPapopj1lPzcHEWq3y3M4f_wup9ka7t_rXSzZHMA"",""2025-26!AD4"")"),0.0)</f>
        <v>0</v>
      </c>
      <c r="BL191" s="55">
        <f>IFERROR(__xludf.DUMMYFUNCTION("IMPORTRANGE(""1tcMcPapopj1lPzcHEWq3y3M4f_wup9ka7t_rXSzZHMA"",""2025-26!AD3"")"),0.0)</f>
        <v>0</v>
      </c>
      <c r="BM191" s="55">
        <f>IFERROR(__xludf.DUMMYFUNCTION("IMPORTRANGE(""1tcMcPapopj1lPzcHEWq3y3M4f_wup9ka7t_rXSzZHMA"",""2025-26!AE4"")"),0.0)</f>
        <v>0</v>
      </c>
      <c r="BN191" s="55">
        <f>IFERROR(__xludf.DUMMYFUNCTION("IMPORTRANGE(""1tcMcPapopj1lPzcHEWq3y3M4f_wup9ka7t_rXSzZHMA"",""2025-26!AE3"")"),0.0)</f>
        <v>0</v>
      </c>
      <c r="BO191" s="55">
        <f>IFERROR(__xludf.DUMMYFUNCTION("IMPORTRANGE(""1tcMcPapopj1lPzcHEWq3y3M4f_wup9ka7t_rXSzZHMA"",""2025-26!AF4"")"),0.0)</f>
        <v>0</v>
      </c>
      <c r="BP191" s="55">
        <f>IFERROR(__xludf.DUMMYFUNCTION("IMPORTRANGE(""1tcMcPapopj1lPzcHEWq3y3M4f_wup9ka7t_rXSzZHMA"",""2025-26!AF3"")"),0.0)</f>
        <v>0</v>
      </c>
      <c r="BQ191" s="59" t="str">
        <f t="shared" si="63"/>
        <v/>
      </c>
      <c r="BR191" s="55">
        <f>IFERROR(__xludf.DUMMYFUNCTION("IMPORTRANGE(""1tcMcPapopj1lPzcHEWq3y3M4f_wup9ka7t_rXSzZHMA"",""2025-26!AG4"")"),0.0)</f>
        <v>0</v>
      </c>
      <c r="BS191" s="55">
        <f>IFERROR(__xludf.DUMMYFUNCTION("IMPORTRANGE(""1tcMcPapopj1lPzcHEWq3y3M4f_wup9ka7t_rXSzZHMA"",""2025-26!AG3"")"),0.0)</f>
        <v>0</v>
      </c>
      <c r="BT191" s="55">
        <f>IFERROR(__xludf.DUMMYFUNCTION("IMPORTRANGE(""1tcMcPapopj1lPzcHEWq3y3M4f_wup9ka7t_rXSzZHMA"",""2025-26!AH4"")"),0.0)</f>
        <v>0</v>
      </c>
      <c r="BU191" s="55">
        <f>IFERROR(__xludf.DUMMYFUNCTION("IMPORTRANGE(""1tcMcPapopj1lPzcHEWq3y3M4f_wup9ka7t_rXSzZHMA"",""2025-26!AH3"")"),0.0)</f>
        <v>0</v>
      </c>
      <c r="BV191" s="55">
        <f>IFERROR(__xludf.DUMMYFUNCTION("IMPORTRANGE(""1tcMcPapopj1lPzcHEWq3y3M4f_wup9ka7t_rXSzZHMA"",""2025-26!AI4"")"),0.0)</f>
        <v>0</v>
      </c>
      <c r="BW191" s="55">
        <f>IFERROR(__xludf.DUMMYFUNCTION("IMPORTRANGE(""1tcMcPapopj1lPzcHEWq3y3M4f_wup9ka7t_rXSzZHMA"",""2025-26!AI3"")"),0.0)</f>
        <v>0</v>
      </c>
      <c r="BX191" s="59" t="str">
        <f t="shared" si="64"/>
        <v/>
      </c>
      <c r="BY191" s="55">
        <f>IFERROR(__xludf.DUMMYFUNCTION("IMPORTRANGE(""1tcMcPapopj1lPzcHEWq3y3M4f_wup9ka7t_rXSzZHMA"",""2025-26!AJ4"")"),0.0)</f>
        <v>0</v>
      </c>
      <c r="BZ191" s="55">
        <f>IFERROR(__xludf.DUMMYFUNCTION("IMPORTRANGE(""1tcMcPapopj1lPzcHEWq3y3M4f_wup9ka7t_rXSzZHMA"",""2025-26!AJ3"")"),0.0)</f>
        <v>0</v>
      </c>
      <c r="CA191" s="55">
        <f>IFERROR(__xludf.DUMMYFUNCTION("IMPORTRANGE(""1tcMcPapopj1lPzcHEWq3y3M4f_wup9ka7t_rXSzZHMA"",""2025-26!AK4"")"),0.0)</f>
        <v>0</v>
      </c>
      <c r="CB191" s="55">
        <f>IFERROR(__xludf.DUMMYFUNCTION("IMPORTRANGE(""1tcMcPapopj1lPzcHEWq3y3M4f_wup9ka7t_rXSzZHMA"",""2025-26!AK3"")"),0.0)</f>
        <v>0</v>
      </c>
      <c r="CC191" s="55">
        <f>IFERROR(__xludf.DUMMYFUNCTION("IMPORTRANGE(""1tcMcPapopj1lPzcHEWq3y3M4f_wup9ka7t_rXSzZHMA"",""2025-26!AL4"")"),0.0)</f>
        <v>0</v>
      </c>
      <c r="CD191" s="55">
        <f>IFERROR(__xludf.DUMMYFUNCTION("IMPORTRANGE(""1tcMcPapopj1lPzcHEWq3y3M4f_wup9ka7t_rXSzZHMA"",""2025-26!AL3"")"),0.0)</f>
        <v>0</v>
      </c>
      <c r="CE191" s="59" t="str">
        <f t="shared" si="65"/>
        <v/>
      </c>
      <c r="CF191" s="55">
        <f>IFERROR(__xludf.DUMMYFUNCTION("IMPORTRANGE(""1tcMcPapopj1lPzcHEWq3y3M4f_wup9ka7t_rXSzZHMA"",""2025-26!AM4"")"),0.0)</f>
        <v>0</v>
      </c>
      <c r="CG191" s="55">
        <f>IFERROR(__xludf.DUMMYFUNCTION("IMPORTRANGE(""1tcMcPapopj1lPzcHEWq3y3M4f_wup9ka7t_rXSzZHMA"",""2025-26!AM3"")"),0.0)</f>
        <v>0</v>
      </c>
      <c r="CH191" s="55">
        <f>IFERROR(__xludf.DUMMYFUNCTION("IMPORTRANGE(""1tcMcPapopj1lPzcHEWq3y3M4f_wup9ka7t_rXSzZHMA"",""2025-26!AN4"")"),0.0)</f>
        <v>0</v>
      </c>
      <c r="CI191" s="55">
        <f>IFERROR(__xludf.DUMMYFUNCTION("IMPORTRANGE(""1tcMcPapopj1lPzcHEWq3y3M4f_wup9ka7t_rXSzZHMA"",""2025-26!AN3"")"),0.0)</f>
        <v>0</v>
      </c>
      <c r="CJ191" s="55">
        <f>IFERROR(__xludf.DUMMYFUNCTION("IMPORTRANGE(""1tcMcPapopj1lPzcHEWq3y3M4f_wup9ka7t_rXSzZHMA"",""2025-26!AO4"")"),0.0)</f>
        <v>0</v>
      </c>
      <c r="CK191" s="55">
        <f>IFERROR(__xludf.DUMMYFUNCTION("IMPORTRANGE(""1tcMcPapopj1lPzcHEWq3y3M4f_wup9ka7t_rXSzZHMA"",""2025-26!AO3"")"),0.0)</f>
        <v>0</v>
      </c>
      <c r="CL191" s="59" t="str">
        <f t="shared" si="66"/>
        <v/>
      </c>
      <c r="CM191" s="55">
        <f>IFERROR(__xludf.DUMMYFUNCTION("IMPORTRANGE(""1tcMcPapopj1lPzcHEWq3y3M4f_wup9ka7t_rXSzZHMA"",""2025-26!AP4"")"),0.0)</f>
        <v>0</v>
      </c>
      <c r="CN191" s="55">
        <f>IFERROR(__xludf.DUMMYFUNCTION("IMPORTRANGE(""1tcMcPapopj1lPzcHEWq3y3M4f_wup9ka7t_rXSzZHMA"",""2025-26!AP3"")"),0.0)</f>
        <v>0</v>
      </c>
      <c r="CO191" s="55">
        <f>IFERROR(__xludf.DUMMYFUNCTION("IMPORTRANGE(""1tcMcPapopj1lPzcHEWq3y3M4f_wup9ka7t_rXSzZHMA"",""2025-26!AQ4"")"),0.0)</f>
        <v>0</v>
      </c>
      <c r="CP191" s="55">
        <f>IFERROR(__xludf.DUMMYFUNCTION("IMPORTRANGE(""1tcMcPapopj1lPzcHEWq3y3M4f_wup9ka7t_rXSzZHMA"",""2025-26!AQ3"")"),0.0)</f>
        <v>0</v>
      </c>
      <c r="CQ191" s="55">
        <f>IFERROR(__xludf.DUMMYFUNCTION("IMPORTRANGE(""1tcMcPapopj1lPzcHEWq3y3M4f_wup9ka7t_rXSzZHMA"",""2025-26!AR4"")"),0.0)</f>
        <v>0</v>
      </c>
      <c r="CR191" s="55">
        <f>IFERROR(__xludf.DUMMYFUNCTION("IMPORTRANGE(""1tcMcPapopj1lPzcHEWq3y3M4f_wup9ka7t_rXSzZHMA"",""2025-26!AR3"")"),0.0)</f>
        <v>0</v>
      </c>
      <c r="CS191" s="59" t="str">
        <f t="shared" si="67"/>
        <v/>
      </c>
      <c r="CT191" s="55">
        <f>IFERROR(__xludf.DUMMYFUNCTION("IMPORTRANGE(""1tcMcPapopj1lPzcHEWq3y3M4f_wup9ka7t_rXSzZHMA"",""2025-26!AS4"")"),0.0)</f>
        <v>0</v>
      </c>
      <c r="CU191" s="55">
        <f>IFERROR(__xludf.DUMMYFUNCTION("IMPORTRANGE(""1tcMcPapopj1lPzcHEWq3y3M4f_wup9ka7t_rXSzZHMA"",""2025-26!AS3"")"),0.0)</f>
        <v>0</v>
      </c>
      <c r="CV191" s="60" t="s">
        <v>85</v>
      </c>
    </row>
    <row r="192">
      <c r="A192" s="148" t="s">
        <v>84</v>
      </c>
      <c r="B192" s="149" t="s">
        <v>85</v>
      </c>
      <c r="C192" s="143" t="s">
        <v>394</v>
      </c>
      <c r="D192" s="49" t="s">
        <v>91</v>
      </c>
      <c r="E192" s="50">
        <v>9.20528703E9</v>
      </c>
      <c r="F192" s="51">
        <v>45294.0</v>
      </c>
      <c r="G192" s="62"/>
      <c r="H192" s="62"/>
      <c r="I192" s="53">
        <f>VLOOKUP($C192,Data!$C:$BV,72,0)</f>
        <v>66887</v>
      </c>
      <c r="J192" s="54">
        <v>1666667.0</v>
      </c>
      <c r="K192" s="55">
        <f>IFERROR(__xludf.DUMMYFUNCTION("IMPORTRANGE(""1-76WnzKQvx06iq-WDJXC8AHZuyV30dn80RS4xOJBKQs"",""2025-26!A3"")"),135.0)</f>
        <v>135</v>
      </c>
      <c r="L192" s="55">
        <f>IFERROR(__xludf.DUMMYFUNCTION("IMPORTRANGE(""1-76WnzKQvx06iq-WDJXC8AHZuyV30dn80RS4xOJBKQs"",""2025-26!G4"")"),5.36E7)</f>
        <v>53600000</v>
      </c>
      <c r="M192" s="55">
        <f t="shared" si="84"/>
        <v>9331955.6</v>
      </c>
      <c r="N192" s="56">
        <f t="shared" si="85"/>
        <v>0.1442721847</v>
      </c>
      <c r="O192" s="57">
        <f t="shared" si="86"/>
        <v>7732989.1</v>
      </c>
      <c r="P192" s="55">
        <f>IFERROR(__xludf.DUMMYFUNCTION("IMPORTRANGE(""1-76WnzKQvx06iq-WDJXC8AHZuyV30dn80RS4xOJBKQs"",""2025-26!J4"")"),4448800.0)</f>
        <v>4448800</v>
      </c>
      <c r="Q192" s="55">
        <f>IFERROR(__xludf.DUMMYFUNCTION("IMPORTRANGE(""1-76WnzKQvx06iq-WDJXC8AHZuyV30dn80RS4xOJBKQs"",""2025-26!J3"")"),111.0)</f>
        <v>111</v>
      </c>
      <c r="R192" s="55">
        <f>IFERROR(__xludf.DUMMYFUNCTION("IMPORTRANGE(""1-76WnzKQvx06iq-WDJXC8AHZuyV30dn80RS4xOJBKQs"",""2025-26!K4"")"),418852.4)</f>
        <v>418852.4</v>
      </c>
      <c r="S192" s="55">
        <f>IFERROR(__xludf.DUMMYFUNCTION("IMPORTRANGE(""1-76WnzKQvx06iq-WDJXC8AHZuyV30dn80RS4xOJBKQs"",""2025-26!K3"")"),5.0)</f>
        <v>5</v>
      </c>
      <c r="T192" s="58">
        <f t="shared" si="56"/>
        <v>0.1307215429</v>
      </c>
      <c r="U192" s="55">
        <f>IFERROR(__xludf.DUMMYFUNCTION("IMPORTRANGE(""1-76WnzKQvx06iq-WDJXC8AHZuyV30dn80RS4xOJBKQs"",""2025-26!L4"")"),581554.0)</f>
        <v>581554</v>
      </c>
      <c r="V192" s="55">
        <f>IFERROR(__xludf.DUMMYFUNCTION("IMPORTRANGE(""1-76WnzKQvx06iq-WDJXC8AHZuyV30dn80RS4xOJBKQs"",""2025-26!L3"")"),11.0)</f>
        <v>11</v>
      </c>
      <c r="W192" s="55">
        <f>IFERROR(__xludf.DUMMYFUNCTION("IMPORTRANGE(""1-76WnzKQvx06iq-WDJXC8AHZuyV30dn80RS4xOJBKQs"",""2025-26!m4"")"),4448800.0)</f>
        <v>4448800</v>
      </c>
      <c r="X192" s="55">
        <f>IFERROR(__xludf.DUMMYFUNCTION("IMPORTRANGE(""1-76WnzKQvx06iq-WDJXC8AHZuyV30dn80RS4xOJBKQs"",""2025-26!m3"")"),111.0)</f>
        <v>111</v>
      </c>
      <c r="Y192" s="55">
        <f>IFERROR(__xludf.DUMMYFUNCTION("IMPORTRANGE(""1-76WnzKQvx06iq-WDJXC8AHZuyV30dn80RS4xOJBKQs"",""2025-26!N4"")"),442923.3)</f>
        <v>442923.3</v>
      </c>
      <c r="Z192" s="55">
        <f>IFERROR(__xludf.DUMMYFUNCTION("IMPORTRANGE(""1-76WnzKQvx06iq-WDJXC8AHZuyV30dn80RS4xOJBKQs"",""2025-26!N3"")"),8.0)</f>
        <v>8</v>
      </c>
      <c r="AA192" s="58">
        <f t="shared" si="57"/>
        <v>0.1493658964</v>
      </c>
      <c r="AB192" s="55">
        <f>IFERROR(__xludf.DUMMYFUNCTION("IMPORTRANGE(""1-76WnzKQvx06iq-WDJXC8AHZuyV30dn80RS4xOJBKQs"",""2025-26!O4"")"),664499.0)</f>
        <v>664499</v>
      </c>
      <c r="AC192" s="55">
        <f>IFERROR(__xludf.DUMMYFUNCTION("IMPORTRANGE(""1-76WnzKQvx06iq-WDJXC8AHZuyV30dn80RS4xOJBKQs"",""2025-26!O3"")"),14.0)</f>
        <v>14</v>
      </c>
      <c r="AD192" s="55">
        <f>IFERROR(__xludf.DUMMYFUNCTION("IMPORTRANGE(""1-76WnzKQvx06iq-WDJXC8AHZuyV30dn80RS4xOJBKQs"",""2025-26!P4"")"),4448800.0)</f>
        <v>4448800</v>
      </c>
      <c r="AE192" s="55">
        <f>IFERROR(__xludf.DUMMYFUNCTION("IMPORTRANGE(""1-76WnzKQvx06iq-WDJXC8AHZuyV30dn80RS4xOJBKQs"",""2025-26!P3"")"),111.0)</f>
        <v>111</v>
      </c>
      <c r="AF192" s="55">
        <f>IFERROR(__xludf.DUMMYFUNCTION("IMPORTRANGE(""1-76WnzKQvx06iq-WDJXC8AHZuyV30dn80RS4xOJBKQs"",""2025-26!Q4"")"),1848025.8499999999)</f>
        <v>1848025.85</v>
      </c>
      <c r="AG192" s="55">
        <f>IFERROR(__xludf.DUMMYFUNCTION("IMPORTRANGE(""1-76WnzKQvx06iq-WDJXC8AHZuyV30dn80RS4xOJBKQs"",""2025-26!Q3"")"),13.0)</f>
        <v>13</v>
      </c>
      <c r="AH192" s="58">
        <f t="shared" si="58"/>
        <v>0.2507287358</v>
      </c>
      <c r="AI192" s="55">
        <f>IFERROR(__xludf.DUMMYFUNCTION("IMPORTRANGE(""1-76WnzKQvx06iq-WDJXC8AHZuyV30dn80RS4xOJBKQs"",""2025-26!R4"")"),1115442.0)</f>
        <v>1115442</v>
      </c>
      <c r="AJ192" s="55">
        <f>IFERROR(__xludf.DUMMYFUNCTION("IMPORTRANGE(""1-76WnzKQvx06iq-WDJXC8AHZuyV30dn80RS4xOJBKQs"",""2025-26!R3"")"),17.0)</f>
        <v>17</v>
      </c>
      <c r="AK192" s="55">
        <f>IFERROR(__xludf.DUMMYFUNCTION("IMPORTRANGE(""1-76WnzKQvx06iq-WDJXC8AHZuyV30dn80RS4xOJBKQs"",""2025-26!S4"")"),4448800.0)</f>
        <v>4448800</v>
      </c>
      <c r="AL192" s="55">
        <f>IFERROR(__xludf.DUMMYFUNCTION("IMPORTRANGE(""1-76WnzKQvx06iq-WDJXC8AHZuyV30dn80RS4xOJBKQs"",""2025-26!S3"")"),111.0)</f>
        <v>111</v>
      </c>
      <c r="AM192" s="55">
        <f>IFERROR(__xludf.DUMMYFUNCTION("IMPORTRANGE(""1-76WnzKQvx06iq-WDJXC8AHZuyV30dn80RS4xOJBKQs"",""2025-26!T4"")"),1703610.65)</f>
        <v>1703610.65</v>
      </c>
      <c r="AN192" s="55">
        <f>IFERROR(__xludf.DUMMYFUNCTION("IMPORTRANGE(""1-76WnzKQvx06iq-WDJXC8AHZuyV30dn80RS4xOJBKQs"",""2025-26!T3"")"),28.0)</f>
        <v>28</v>
      </c>
      <c r="AO192" s="58">
        <f t="shared" si="59"/>
        <v>0.3116136936</v>
      </c>
      <c r="AP192" s="55">
        <f>IFERROR(__xludf.DUMMYFUNCTION("IMPORTRANGE(""1-76WnzKQvx06iq-WDJXC8AHZuyV30dn80RS4xOJBKQs"",""2025-26!U4"")"),1386307.0)</f>
        <v>1386307</v>
      </c>
      <c r="AQ192" s="55">
        <f>IFERROR(__xludf.DUMMYFUNCTION("IMPORTRANGE(""1-76WnzKQvx06iq-WDJXC8AHZuyV30dn80RS4xOJBKQs"",""2025-26!U3"")"),8.0)</f>
        <v>8</v>
      </c>
      <c r="AR192" s="55">
        <f>IFERROR(__xludf.DUMMYFUNCTION("IMPORTRANGE(""1-76WnzKQvx06iq-WDJXC8AHZuyV30dn80RS4xOJBKQs"",""2025-26!V4"")"),4448800.0)</f>
        <v>4448800</v>
      </c>
      <c r="AS192" s="55">
        <f>IFERROR(__xludf.DUMMYFUNCTION("IMPORTRANGE(""1-76WnzKQvx06iq-WDJXC8AHZuyV30dn80RS4xOJBKQs"",""2025-26!V3"")"),111.0)</f>
        <v>111</v>
      </c>
      <c r="AT192" s="55">
        <f>IFERROR(__xludf.DUMMYFUNCTION("IMPORTRANGE(""1-76WnzKQvx06iq-WDJXC8AHZuyV30dn80RS4xOJBKQs"",""2025-26!W4"")"),878532.05)</f>
        <v>878532.05</v>
      </c>
      <c r="AU192" s="55">
        <f>IFERROR(__xludf.DUMMYFUNCTION("IMPORTRANGE(""1-76WnzKQvx06iq-WDJXC8AHZuyV30dn80RS4xOJBKQs"",""2025-26!W3"")"),16.0)</f>
        <v>16</v>
      </c>
      <c r="AV192" s="58">
        <f t="shared" si="60"/>
        <v>0.238691355</v>
      </c>
      <c r="AW192" s="55">
        <f>IFERROR(__xludf.DUMMYFUNCTION("IMPORTRANGE(""1-76WnzKQvx06iq-WDJXC8AHZuyV30dn80RS4xOJBKQs"",""2025-26!X4"")"),1061890.1)</f>
        <v>1061890.1</v>
      </c>
      <c r="AX192" s="55">
        <f>IFERROR(__xludf.DUMMYFUNCTION("IMPORTRANGE(""1-76WnzKQvx06iq-WDJXC8AHZuyV30dn80RS4xOJBKQs"",""2025-26!X3"")"),15.0)</f>
        <v>15</v>
      </c>
      <c r="AY192" s="55">
        <f>IFERROR(__xludf.DUMMYFUNCTION("IMPORTRANGE(""1-76WnzKQvx06iq-WDJXC8AHZuyV30dn80RS4xOJBKQs"",""2025-26!Y4"")"),4448800.0)</f>
        <v>4448800</v>
      </c>
      <c r="AZ192" s="55">
        <f>IFERROR(__xludf.DUMMYFUNCTION("IMPORTRANGE(""1-76WnzKQvx06iq-WDJXC8AHZuyV30dn80RS4xOJBKQs"",""2025-26!Y3"")"),111.0)</f>
        <v>111</v>
      </c>
      <c r="BA192" s="55">
        <f>IFERROR(__xludf.DUMMYFUNCTION("IMPORTRANGE(""1-76WnzKQvx06iq-WDJXC8AHZuyV30dn80RS4xOJBKQs"",""2025-26!Z4"")"),997267.1)</f>
        <v>997267.1</v>
      </c>
      <c r="BB192" s="55">
        <f>IFERROR(__xludf.DUMMYFUNCTION("IMPORTRANGE(""1-76WnzKQvx06iq-WDJXC8AHZuyV30dn80RS4xOJBKQs"",""2025-26!Z3"")"),14.0)</f>
        <v>14</v>
      </c>
      <c r="BC192" s="59">
        <f t="shared" si="61"/>
        <v>0.2140298507</v>
      </c>
      <c r="BD192" s="55">
        <f>IFERROR(__xludf.DUMMYFUNCTION("IMPORTRANGE(""1-76WnzKQvx06iq-WDJXC8AHZuyV30dn80RS4xOJBKQs"",""2025-26!AA4"")"),952176.0)</f>
        <v>952176</v>
      </c>
      <c r="BE192" s="55">
        <f>IFERROR(__xludf.DUMMYFUNCTION("IMPORTRANGE(""1-76WnzKQvx06iq-WDJXC8AHZuyV30dn80RS4xOJBKQs"",""2025-26!AA3"")"),13.0)</f>
        <v>13</v>
      </c>
      <c r="BF192" s="55">
        <f>IFERROR(__xludf.DUMMYFUNCTION("IMPORTRANGE(""1-76WnzKQvx06iq-WDJXC8AHZuyV30dn80RS4xOJBKQs"",""2025-26!AB4"")"),1700000.0)</f>
        <v>1700000</v>
      </c>
      <c r="BG192" s="55">
        <f>IFERROR(__xludf.DUMMYFUNCTION("IMPORTRANGE(""1-76WnzKQvx06iq-WDJXC8AHZuyV30dn80RS4xOJBKQs"",""2025-26!AB3"")"),38.0)</f>
        <v>38</v>
      </c>
      <c r="BH192" s="55">
        <f>IFERROR(__xludf.DUMMYFUNCTION("IMPORTRANGE(""1-76WnzKQvx06iq-WDJXC8AHZuyV30dn80RS4xOJBKQs"",""2025-26!AC4"")"),907273.75)</f>
        <v>907273.75</v>
      </c>
      <c r="BI192" s="55">
        <f>IFERROR(__xludf.DUMMYFUNCTION("IMPORTRANGE(""1-76WnzKQvx06iq-WDJXC8AHZuyV30dn80RS4xOJBKQs"",""2025-26!AC3"")"),15.0)</f>
        <v>15</v>
      </c>
      <c r="BJ192" s="59">
        <f t="shared" si="62"/>
        <v>0.5481870588</v>
      </c>
      <c r="BK192" s="55">
        <f>IFERROR(__xludf.DUMMYFUNCTION("IMPORTRANGE(""1-76WnzKQvx06iq-WDJXC8AHZuyV30dn80RS4xOJBKQs"",""2025-26!AD4"")"),931918.0)</f>
        <v>931918</v>
      </c>
      <c r="BL192" s="55">
        <f>IFERROR(__xludf.DUMMYFUNCTION("IMPORTRANGE(""1-76WnzKQvx06iq-WDJXC8AHZuyV30dn80RS4xOJBKQs"",""2025-26!AD3"")"),18.0)</f>
        <v>18</v>
      </c>
      <c r="BM192" s="55">
        <f>IFERROR(__xludf.DUMMYFUNCTION("IMPORTRANGE(""1-76WnzKQvx06iq-WDJXC8AHZuyV30dn80RS4xOJBKQs"",""2025-26!AE4"")"),1700000.0)</f>
        <v>1700000</v>
      </c>
      <c r="BN192" s="55">
        <f>IFERROR(__xludf.DUMMYFUNCTION("IMPORTRANGE(""1-76WnzKQvx06iq-WDJXC8AHZuyV30dn80RS4xOJBKQs"",""2025-26!AE3"")"),40.0)</f>
        <v>40</v>
      </c>
      <c r="BO192" s="55">
        <f>IFERROR(__xludf.DUMMYFUNCTION("IMPORTRANGE(""1-76WnzKQvx06iq-WDJXC8AHZuyV30dn80RS4xOJBKQs"",""2025-26!AF4"")"),877284.75)</f>
        <v>877284.75</v>
      </c>
      <c r="BP192" s="55">
        <f>IFERROR(__xludf.DUMMYFUNCTION("IMPORTRANGE(""1-76WnzKQvx06iq-WDJXC8AHZuyV30dn80RS4xOJBKQs"",""2025-26!AF3"")"),8.0)</f>
        <v>8</v>
      </c>
      <c r="BQ192" s="59">
        <f t="shared" si="63"/>
        <v>0.6112958824</v>
      </c>
      <c r="BR192" s="55">
        <f>IFERROR(__xludf.DUMMYFUNCTION("IMPORTRANGE(""1-76WnzKQvx06iq-WDJXC8AHZuyV30dn80RS4xOJBKQs"",""2025-26!AG4"")"),1039203.0)</f>
        <v>1039203</v>
      </c>
      <c r="BS192" s="55">
        <f>IFERROR(__xludf.DUMMYFUNCTION("IMPORTRANGE(""1-76WnzKQvx06iq-WDJXC8AHZuyV30dn80RS4xOJBKQs"",""2025-26!AG3"")"),11.0)</f>
        <v>11</v>
      </c>
      <c r="BT192" s="55">
        <f>IFERROR(__xludf.DUMMYFUNCTION("IMPORTRANGE(""1-76WnzKQvx06iq-WDJXC8AHZuyV30dn80RS4xOJBKQs"",""2025-26!AH4"")"),1700000.0)</f>
        <v>1700000</v>
      </c>
      <c r="BU192" s="55">
        <f>IFERROR(__xludf.DUMMYFUNCTION("IMPORTRANGE(""1-76WnzKQvx06iq-WDJXC8AHZuyV30dn80RS4xOJBKQs"",""2025-26!AH3"")"),40.0)</f>
        <v>40</v>
      </c>
      <c r="BV192" s="55">
        <f>IFERROR(__xludf.DUMMYFUNCTION("IMPORTRANGE(""1-76WnzKQvx06iq-WDJXC8AHZuyV30dn80RS4xOJBKQs"",""2025-26!AI4"")"),1258185.75)</f>
        <v>1258185.75</v>
      </c>
      <c r="BW192" s="55">
        <f>IFERROR(__xludf.DUMMYFUNCTION("IMPORTRANGE(""1-76WnzKQvx06iq-WDJXC8AHZuyV30dn80RS4xOJBKQs"",""2025-26!AI3"")"),14.0)</f>
        <v>14</v>
      </c>
      <c r="BX192" s="59">
        <f t="shared" si="64"/>
        <v>0</v>
      </c>
      <c r="BY192" s="55">
        <f>IFERROR(__xludf.DUMMYFUNCTION("IMPORTRANGE(""1-76WnzKQvx06iq-WDJXC8AHZuyV30dn80RS4xOJBKQs"",""2025-26!AJ4"")"),0.0)</f>
        <v>0</v>
      </c>
      <c r="BZ192" s="55">
        <f>IFERROR(__xludf.DUMMYFUNCTION("IMPORTRANGE(""1-76WnzKQvx06iq-WDJXC8AHZuyV30dn80RS4xOJBKQs"",""2025-26!AJ3"")"),0.0)</f>
        <v>0</v>
      </c>
      <c r="CA192" s="55">
        <f>IFERROR(__xludf.DUMMYFUNCTION("IMPORTRANGE(""1-76WnzKQvx06iq-WDJXC8AHZuyV30dn80RS4xOJBKQs"",""2025-26!AK4"")"),110000.0)</f>
        <v>110000</v>
      </c>
      <c r="CB192" s="55">
        <f>IFERROR(__xludf.DUMMYFUNCTION("IMPORTRANGE(""1-76WnzKQvx06iq-WDJXC8AHZuyV30dn80RS4xOJBKQs"",""2025-26!AK3"")"),2.0)</f>
        <v>2</v>
      </c>
      <c r="CC192" s="55">
        <f>IFERROR(__xludf.DUMMYFUNCTION("IMPORTRANGE(""1-76WnzKQvx06iq-WDJXC8AHZuyV30dn80RS4xOJBKQs"",""2025-26!AL4"")"),0.0)</f>
        <v>0</v>
      </c>
      <c r="CD192" s="55">
        <f>IFERROR(__xludf.DUMMYFUNCTION("IMPORTRANGE(""1-76WnzKQvx06iq-WDJXC8AHZuyV30dn80RS4xOJBKQs"",""2025-26!AL3"")"),0.0)</f>
        <v>0</v>
      </c>
      <c r="CE192" s="59">
        <f t="shared" si="65"/>
        <v>0</v>
      </c>
      <c r="CF192" s="55">
        <f>IFERROR(__xludf.DUMMYFUNCTION("IMPORTRANGE(""1-76WnzKQvx06iq-WDJXC8AHZuyV30dn80RS4xOJBKQs"",""2025-26!AM4"")"),0.0)</f>
        <v>0</v>
      </c>
      <c r="CG192" s="55">
        <f>IFERROR(__xludf.DUMMYFUNCTION("IMPORTRANGE(""1-76WnzKQvx06iq-WDJXC8AHZuyV30dn80RS4xOJBKQs"",""2025-26!AM3"")"),0.0)</f>
        <v>0</v>
      </c>
      <c r="CH192" s="55">
        <f>IFERROR(__xludf.DUMMYFUNCTION("IMPORTRANGE(""1-76WnzKQvx06iq-WDJXC8AHZuyV30dn80RS4xOJBKQs"",""2025-26!AN4"")"),110000.0)</f>
        <v>110000</v>
      </c>
      <c r="CI192" s="55">
        <f>IFERROR(__xludf.DUMMYFUNCTION("IMPORTRANGE(""1-76WnzKQvx06iq-WDJXC8AHZuyV30dn80RS4xOJBKQs"",""2025-26!AN3"")"),2.0)</f>
        <v>2</v>
      </c>
      <c r="CJ192" s="55">
        <f>IFERROR(__xludf.DUMMYFUNCTION("IMPORTRANGE(""1-76WnzKQvx06iq-WDJXC8AHZuyV30dn80RS4xOJBKQs"",""2025-26!AO4"")"),0.0)</f>
        <v>0</v>
      </c>
      <c r="CK192" s="55">
        <f>IFERROR(__xludf.DUMMYFUNCTION("IMPORTRANGE(""1-76WnzKQvx06iq-WDJXC8AHZuyV30dn80RS4xOJBKQs"",""2025-26!AO3"")"),0.0)</f>
        <v>0</v>
      </c>
      <c r="CL192" s="59">
        <f t="shared" si="66"/>
        <v>0</v>
      </c>
      <c r="CM192" s="55">
        <f>IFERROR(__xludf.DUMMYFUNCTION("IMPORTRANGE(""1-76WnzKQvx06iq-WDJXC8AHZuyV30dn80RS4xOJBKQs"",""2025-26!AP4"")"),0.0)</f>
        <v>0</v>
      </c>
      <c r="CN192" s="55">
        <f>IFERROR(__xludf.DUMMYFUNCTION("IMPORTRANGE(""1-76WnzKQvx06iq-WDJXC8AHZuyV30dn80RS4xOJBKQs"",""2025-26!AP3"")"),0.0)</f>
        <v>0</v>
      </c>
      <c r="CO192" s="55">
        <f>IFERROR(__xludf.DUMMYFUNCTION("IMPORTRANGE(""1-76WnzKQvx06iq-WDJXC8AHZuyV30dn80RS4xOJBKQs"",""2025-26!AQ4"")"),110000.0)</f>
        <v>110000</v>
      </c>
      <c r="CP192" s="55">
        <f>IFERROR(__xludf.DUMMYFUNCTION("IMPORTRANGE(""1-76WnzKQvx06iq-WDJXC8AHZuyV30dn80RS4xOJBKQs"",""2025-26!AQ3"")"),2.0)</f>
        <v>2</v>
      </c>
      <c r="CQ192" s="55">
        <f>IFERROR(__xludf.DUMMYFUNCTION("IMPORTRANGE(""1-76WnzKQvx06iq-WDJXC8AHZuyV30dn80RS4xOJBKQs"",""2025-26!AR4"")"),0.0)</f>
        <v>0</v>
      </c>
      <c r="CR192" s="55">
        <f>IFERROR(__xludf.DUMMYFUNCTION("IMPORTRANGE(""1-76WnzKQvx06iq-WDJXC8AHZuyV30dn80RS4xOJBKQs"",""2025-26!AR3"")"),0.0)</f>
        <v>0</v>
      </c>
      <c r="CS192" s="59">
        <f t="shared" si="67"/>
        <v>0</v>
      </c>
      <c r="CT192" s="55">
        <f>IFERROR(__xludf.DUMMYFUNCTION("IMPORTRANGE(""1-76WnzKQvx06iq-WDJXC8AHZuyV30dn80RS4xOJBKQs"",""2025-26!AS4"")"),0.0)</f>
        <v>0</v>
      </c>
      <c r="CU192" s="55">
        <f>IFERROR(__xludf.DUMMYFUNCTION("IMPORTRANGE(""1-76WnzKQvx06iq-WDJXC8AHZuyV30dn80RS4xOJBKQs"",""2025-26!AS3"")"),0.0)</f>
        <v>0</v>
      </c>
      <c r="CV192" s="60" t="s">
        <v>85</v>
      </c>
    </row>
    <row r="193">
      <c r="A193" s="148" t="s">
        <v>84</v>
      </c>
      <c r="B193" s="149" t="s">
        <v>85</v>
      </c>
      <c r="C193" s="130" t="s">
        <v>395</v>
      </c>
      <c r="D193" s="65" t="s">
        <v>396</v>
      </c>
      <c r="E193" s="68">
        <v>7.538839157E9</v>
      </c>
      <c r="F193" s="66">
        <v>45817.0</v>
      </c>
      <c r="G193" s="62"/>
      <c r="H193" s="62"/>
      <c r="I193" s="53">
        <f>VLOOKUP($C193,Data!$C:$BV,72,0)</f>
        <v>24116</v>
      </c>
      <c r="J193" s="54">
        <v>1500000.0</v>
      </c>
      <c r="K193" s="55">
        <f>IFERROR(__xludf.DUMMYFUNCTION("IMPORTRANGE(""105P0VdpAP2SpAXw79GG0zlXJ6FhfZ8ajcwiWU7XuAbI"",""2025-26!A3"")"),28.0)</f>
        <v>28</v>
      </c>
      <c r="L193" s="55">
        <f>IFERROR(__xludf.DUMMYFUNCTION("IMPORTRANGE(""105P0VdpAP2SpAXw79GG0zlXJ6FhfZ8ajcwiWU7XuAbI"",""2025-26!G4"")"),1.44E7)</f>
        <v>14400000</v>
      </c>
      <c r="M193" s="55">
        <f t="shared" si="84"/>
        <v>463452.7</v>
      </c>
      <c r="N193" s="56">
        <f t="shared" si="85"/>
        <v>0.03694298611</v>
      </c>
      <c r="O193" s="57">
        <f t="shared" si="86"/>
        <v>531979</v>
      </c>
      <c r="P193" s="55">
        <f>IFERROR(__xludf.DUMMYFUNCTION("IMPORTRANGE(""105P0VdpAP2SpAXw79GG0zlXJ6FhfZ8ajcwiWU7XuAbI"",""2025-26!J4"")"),0.0)</f>
        <v>0</v>
      </c>
      <c r="Q193" s="55">
        <f>IFERROR(__xludf.DUMMYFUNCTION("IMPORTRANGE(""105P0VdpAP2SpAXw79GG0zlXJ6FhfZ8ajcwiWU7XuAbI"",""2025-26!J3"")"),0.0)</f>
        <v>0</v>
      </c>
      <c r="R193" s="55">
        <f>IFERROR(__xludf.DUMMYFUNCTION("IMPORTRANGE(""105P0VdpAP2SpAXw79GG0zlXJ6FhfZ8ajcwiWU7XuAbI"",""2025-26!K4"")"),0.0)</f>
        <v>0</v>
      </c>
      <c r="S193" s="55">
        <f>IFERROR(__xludf.DUMMYFUNCTION("IMPORTRANGE(""105P0VdpAP2SpAXw79GG0zlXJ6FhfZ8ajcwiWU7XuAbI"",""2025-26!K3"")"),0.0)</f>
        <v>0</v>
      </c>
      <c r="T193" s="58" t="str">
        <f t="shared" si="56"/>
        <v/>
      </c>
      <c r="U193" s="55">
        <f>IFERROR(__xludf.DUMMYFUNCTION("IMPORTRANGE(""105P0VdpAP2SpAXw79GG0zlXJ6FhfZ8ajcwiWU7XuAbI"",""2025-26!L4"")"),0.0)</f>
        <v>0</v>
      </c>
      <c r="V193" s="55">
        <f>IFERROR(__xludf.DUMMYFUNCTION("IMPORTRANGE(""105P0VdpAP2SpAXw79GG0zlXJ6FhfZ8ajcwiWU7XuAbI"",""2025-26!L3"")"),0.0)</f>
        <v>0</v>
      </c>
      <c r="W193" s="55">
        <f>IFERROR(__xludf.DUMMYFUNCTION("IMPORTRANGE(""105P0VdpAP2SpAXw79GG0zlXJ6FhfZ8ajcwiWU7XuAbI"",""2025-26!m4"")"),0.0)</f>
        <v>0</v>
      </c>
      <c r="X193" s="55">
        <f>IFERROR(__xludf.DUMMYFUNCTION("IMPORTRANGE(""105P0VdpAP2SpAXw79GG0zlXJ6FhfZ8ajcwiWU7XuAbI"",""2025-26!m3"")"),0.0)</f>
        <v>0</v>
      </c>
      <c r="Y193" s="55">
        <f>IFERROR(__xludf.DUMMYFUNCTION("IMPORTRANGE(""105P0VdpAP2SpAXw79GG0zlXJ6FhfZ8ajcwiWU7XuAbI"",""2025-26!N4"")"),0.0)</f>
        <v>0</v>
      </c>
      <c r="Z193" s="55">
        <f>IFERROR(__xludf.DUMMYFUNCTION("IMPORTRANGE(""105P0VdpAP2SpAXw79GG0zlXJ6FhfZ8ajcwiWU7XuAbI"",""2025-26!N3"")"),0.0)</f>
        <v>0</v>
      </c>
      <c r="AA193" s="58" t="str">
        <f t="shared" si="57"/>
        <v/>
      </c>
      <c r="AB193" s="55">
        <f>IFERROR(__xludf.DUMMYFUNCTION("IMPORTRANGE(""105P0VdpAP2SpAXw79GG0zlXJ6FhfZ8ajcwiWU7XuAbI"",""2025-26!O4"")"),0.0)</f>
        <v>0</v>
      </c>
      <c r="AC193" s="55">
        <f>IFERROR(__xludf.DUMMYFUNCTION("IMPORTRANGE(""105P0VdpAP2SpAXw79GG0zlXJ6FhfZ8ajcwiWU7XuAbI"",""2025-26!O3"")"),0.0)</f>
        <v>0</v>
      </c>
      <c r="AD193" s="55">
        <f>IFERROR(__xludf.DUMMYFUNCTION("IMPORTRANGE(""105P0VdpAP2SpAXw79GG0zlXJ6FhfZ8ajcwiWU7XuAbI"",""2025-26!P4"")"),0.0)</f>
        <v>0</v>
      </c>
      <c r="AE193" s="55">
        <f>IFERROR(__xludf.DUMMYFUNCTION("IMPORTRANGE(""105P0VdpAP2SpAXw79GG0zlXJ6FhfZ8ajcwiWU7XuAbI"",""2025-26!P3"")"),0.0)</f>
        <v>0</v>
      </c>
      <c r="AF193" s="55">
        <f>IFERROR(__xludf.DUMMYFUNCTION("IMPORTRANGE(""105P0VdpAP2SpAXw79GG0zlXJ6FhfZ8ajcwiWU7XuAbI"",""2025-26!Q4"")"),0.0)</f>
        <v>0</v>
      </c>
      <c r="AG193" s="55">
        <f>IFERROR(__xludf.DUMMYFUNCTION("IMPORTRANGE(""105P0VdpAP2SpAXw79GG0zlXJ6FhfZ8ajcwiWU7XuAbI"",""2025-26!Q3"")"),0.0)</f>
        <v>0</v>
      </c>
      <c r="AH193" s="58" t="str">
        <f t="shared" si="58"/>
        <v/>
      </c>
      <c r="AI193" s="55">
        <f>IFERROR(__xludf.DUMMYFUNCTION("IMPORTRANGE(""105P0VdpAP2SpAXw79GG0zlXJ6FhfZ8ajcwiWU7XuAbI"",""2025-26!R4"")"),183806.0)</f>
        <v>183806</v>
      </c>
      <c r="AJ193" s="55">
        <f>IFERROR(__xludf.DUMMYFUNCTION("IMPORTRANGE(""105P0VdpAP2SpAXw79GG0zlXJ6FhfZ8ajcwiWU7XuAbI"",""2025-26!R3"")"),2.0)</f>
        <v>2</v>
      </c>
      <c r="AK193" s="55">
        <f>IFERROR(__xludf.DUMMYFUNCTION("IMPORTRANGE(""105P0VdpAP2SpAXw79GG0zlXJ6FhfZ8ajcwiWU7XuAbI"",""2025-26!S4"")"),1100000.0)</f>
        <v>1100000</v>
      </c>
      <c r="AL193" s="55">
        <f>IFERROR(__xludf.DUMMYFUNCTION("IMPORTRANGE(""105P0VdpAP2SpAXw79GG0zlXJ6FhfZ8ajcwiWU7XuAbI"",""2025-26!S3"")"),22.0)</f>
        <v>22</v>
      </c>
      <c r="AM193" s="55">
        <f>IFERROR(__xludf.DUMMYFUNCTION("IMPORTRANGE(""105P0VdpAP2SpAXw79GG0zlXJ6FhfZ8ajcwiWU7XuAbI"",""2025-26!T4"")"),66055.0)</f>
        <v>66055</v>
      </c>
      <c r="AN193" s="55">
        <f>IFERROR(__xludf.DUMMYFUNCTION("IMPORTRANGE(""105P0VdpAP2SpAXw79GG0zlXJ6FhfZ8ajcwiWU7XuAbI"",""2025-26!T3"")"),2.0)</f>
        <v>2</v>
      </c>
      <c r="AO193" s="58">
        <f t="shared" si="59"/>
        <v>0.1515918182</v>
      </c>
      <c r="AP193" s="55">
        <f>IFERROR(__xludf.DUMMYFUNCTION("IMPORTRANGE(""105P0VdpAP2SpAXw79GG0zlXJ6FhfZ8ajcwiWU7XuAbI"",""2025-26!U4"")"),166751.0)</f>
        <v>166751</v>
      </c>
      <c r="AQ193" s="55">
        <f>IFERROR(__xludf.DUMMYFUNCTION("IMPORTRANGE(""105P0VdpAP2SpAXw79GG0zlXJ6FhfZ8ajcwiWU7XuAbI"",""2025-26!U3"")"),5.0)</f>
        <v>5</v>
      </c>
      <c r="AR193" s="55">
        <f>IFERROR(__xludf.DUMMYFUNCTION("IMPORTRANGE(""105P0VdpAP2SpAXw79GG0zlXJ6FhfZ8ajcwiWU7XuAbI"",""2025-26!V4"")"),1100000.0)</f>
        <v>1100000</v>
      </c>
      <c r="AS193" s="55">
        <f>IFERROR(__xludf.DUMMYFUNCTION("IMPORTRANGE(""105P0VdpAP2SpAXw79GG0zlXJ6FhfZ8ajcwiWU7XuAbI"",""2025-26!V3"")"),22.0)</f>
        <v>22</v>
      </c>
      <c r="AT193" s="55">
        <f>IFERROR(__xludf.DUMMYFUNCTION("IMPORTRANGE(""105P0VdpAP2SpAXw79GG0zlXJ6FhfZ8ajcwiWU7XuAbI"",""2025-26!W4"")"),40722.0)</f>
        <v>40722</v>
      </c>
      <c r="AU193" s="55">
        <f>IFERROR(__xludf.DUMMYFUNCTION("IMPORTRANGE(""105P0VdpAP2SpAXw79GG0zlXJ6FhfZ8ajcwiWU7XuAbI"",""2025-26!W3"")"),2.0)</f>
        <v>2</v>
      </c>
      <c r="AV193" s="58">
        <f t="shared" si="60"/>
        <v>0.1649290909</v>
      </c>
      <c r="AW193" s="55">
        <f>IFERROR(__xludf.DUMMYFUNCTION("IMPORTRANGE(""105P0VdpAP2SpAXw79GG0zlXJ6FhfZ8ajcwiWU7XuAbI"",""2025-26!X4"")"),181422.0)</f>
        <v>181422</v>
      </c>
      <c r="AX193" s="55">
        <f>IFERROR(__xludf.DUMMYFUNCTION("IMPORTRANGE(""105P0VdpAP2SpAXw79GG0zlXJ6FhfZ8ajcwiWU7XuAbI"",""2025-26!X3"")"),4.0)</f>
        <v>4</v>
      </c>
      <c r="AY193" s="55">
        <f>IFERROR(__xludf.DUMMYFUNCTION("IMPORTRANGE(""105P0VdpAP2SpAXw79GG0zlXJ6FhfZ8ajcwiWU7XuAbI"",""2025-26!Y4"")"),1100000.0)</f>
        <v>1100000</v>
      </c>
      <c r="AZ193" s="55">
        <f>IFERROR(__xludf.DUMMYFUNCTION("IMPORTRANGE(""105P0VdpAP2SpAXw79GG0zlXJ6FhfZ8ajcwiWU7XuAbI"",""2025-26!Y3"")"),22.0)</f>
        <v>22</v>
      </c>
      <c r="BA193" s="55">
        <f>IFERROR(__xludf.DUMMYFUNCTION("IMPORTRANGE(""105P0VdpAP2SpAXw79GG0zlXJ6FhfZ8ajcwiWU7XuAbI"",""2025-26!Z4"")"),36340.7)</f>
        <v>36340.7</v>
      </c>
      <c r="BB193" s="55">
        <f>IFERROR(__xludf.DUMMYFUNCTION("IMPORTRANGE(""105P0VdpAP2SpAXw79GG0zlXJ6FhfZ8ajcwiWU7XuAbI"",""2025-26!Z3"")"),2.0)</f>
        <v>2</v>
      </c>
      <c r="BC193" s="59">
        <f t="shared" si="61"/>
        <v>0</v>
      </c>
      <c r="BD193" s="55">
        <f>IFERROR(__xludf.DUMMYFUNCTION("IMPORTRANGE(""105P0VdpAP2SpAXw79GG0zlXJ6FhfZ8ajcwiWU7XuAbI"",""2025-26!AA4"")"),0.0)</f>
        <v>0</v>
      </c>
      <c r="BE193" s="55">
        <f>IFERROR(__xludf.DUMMYFUNCTION("IMPORTRANGE(""105P0VdpAP2SpAXw79GG0zlXJ6FhfZ8ajcwiWU7XuAbI"",""2025-26!AA3"")"),0.0)</f>
        <v>0</v>
      </c>
      <c r="BF193" s="55">
        <f>IFERROR(__xludf.DUMMYFUNCTION("IMPORTRANGE(""105P0VdpAP2SpAXw79GG0zlXJ6FhfZ8ajcwiWU7XuAbI"",""2025-26!AB4"")"),1500000.0)</f>
        <v>1500000</v>
      </c>
      <c r="BG193" s="55">
        <f>IFERROR(__xludf.DUMMYFUNCTION("IMPORTRANGE(""105P0VdpAP2SpAXw79GG0zlXJ6FhfZ8ajcwiWU7XuAbI"",""2025-26!AB3"")"),24.0)</f>
        <v>24</v>
      </c>
      <c r="BH193" s="55">
        <f>IFERROR(__xludf.DUMMYFUNCTION("IMPORTRANGE(""105P0VdpAP2SpAXw79GG0zlXJ6FhfZ8ajcwiWU7XuAbI"",""2025-26!AC4"")"),53816.0)</f>
        <v>53816</v>
      </c>
      <c r="BI193" s="55">
        <f>IFERROR(__xludf.DUMMYFUNCTION("IMPORTRANGE(""105P0VdpAP2SpAXw79GG0zlXJ6FhfZ8ajcwiWU7XuAbI"",""2025-26!AC3"")"),3.0)</f>
        <v>3</v>
      </c>
      <c r="BJ193" s="59">
        <f t="shared" si="62"/>
        <v>0</v>
      </c>
      <c r="BK193" s="55">
        <f>IFERROR(__xludf.DUMMYFUNCTION("IMPORTRANGE(""105P0VdpAP2SpAXw79GG0zlXJ6FhfZ8ajcwiWU7XuAbI"",""2025-26!AD4"")"),0.0)</f>
        <v>0</v>
      </c>
      <c r="BL193" s="55">
        <f>IFERROR(__xludf.DUMMYFUNCTION("IMPORTRANGE(""105P0VdpAP2SpAXw79GG0zlXJ6FhfZ8ajcwiWU7XuAbI"",""2025-26!AD3"")"),0.0)</f>
        <v>0</v>
      </c>
      <c r="BM193" s="55">
        <f>IFERROR(__xludf.DUMMYFUNCTION("IMPORTRANGE(""105P0VdpAP2SpAXw79GG0zlXJ6FhfZ8ajcwiWU7XuAbI"",""2025-26!AE4"")"),1500000.0)</f>
        <v>1500000</v>
      </c>
      <c r="BN193" s="55">
        <f>IFERROR(__xludf.DUMMYFUNCTION("IMPORTRANGE(""105P0VdpAP2SpAXw79GG0zlXJ6FhfZ8ajcwiWU7XuAbI"",""2025-26!AE3"")"),24.0)</f>
        <v>24</v>
      </c>
      <c r="BO193" s="55">
        <f>IFERROR(__xludf.DUMMYFUNCTION("IMPORTRANGE(""105P0VdpAP2SpAXw79GG0zlXJ6FhfZ8ajcwiWU7XuAbI"",""2025-26!AF4"")"),227524.0)</f>
        <v>227524</v>
      </c>
      <c r="BP193" s="55">
        <f>IFERROR(__xludf.DUMMYFUNCTION("IMPORTRANGE(""105P0VdpAP2SpAXw79GG0zlXJ6FhfZ8ajcwiWU7XuAbI"",""2025-26!AF3"")"),5.0)</f>
        <v>5</v>
      </c>
      <c r="BQ193" s="59">
        <f t="shared" si="63"/>
        <v>0</v>
      </c>
      <c r="BR193" s="55">
        <f>IFERROR(__xludf.DUMMYFUNCTION("IMPORTRANGE(""105P0VdpAP2SpAXw79GG0zlXJ6FhfZ8ajcwiWU7XuAbI"",""2025-26!AG4"")"),0.0)</f>
        <v>0</v>
      </c>
      <c r="BS193" s="55">
        <f>IFERROR(__xludf.DUMMYFUNCTION("IMPORTRANGE(""105P0VdpAP2SpAXw79GG0zlXJ6FhfZ8ajcwiWU7XuAbI"",""2025-26!AG3"")"),0.0)</f>
        <v>0</v>
      </c>
      <c r="BT193" s="55">
        <f>IFERROR(__xludf.DUMMYFUNCTION("IMPORTRANGE(""105P0VdpAP2SpAXw79GG0zlXJ6FhfZ8ajcwiWU7XuAbI"",""2025-26!AH4"")"),1500000.0)</f>
        <v>1500000</v>
      </c>
      <c r="BU193" s="55">
        <f>IFERROR(__xludf.DUMMYFUNCTION("IMPORTRANGE(""105P0VdpAP2SpAXw79GG0zlXJ6FhfZ8ajcwiWU7XuAbI"",""2025-26!AH3"")"),24.0)</f>
        <v>24</v>
      </c>
      <c r="BV193" s="55">
        <f>IFERROR(__xludf.DUMMYFUNCTION("IMPORTRANGE(""105P0VdpAP2SpAXw79GG0zlXJ6FhfZ8ajcwiWU7XuAbI"",""2025-26!AI4"")"),38995.0)</f>
        <v>38995</v>
      </c>
      <c r="BW193" s="55">
        <f>IFERROR(__xludf.DUMMYFUNCTION("IMPORTRANGE(""105P0VdpAP2SpAXw79GG0zlXJ6FhfZ8ajcwiWU7XuAbI"",""2025-26!AI3"")"),1.0)</f>
        <v>1</v>
      </c>
      <c r="BX193" s="59">
        <f t="shared" si="64"/>
        <v>0</v>
      </c>
      <c r="BY193" s="55">
        <f>IFERROR(__xludf.DUMMYFUNCTION("IMPORTRANGE(""105P0VdpAP2SpAXw79GG0zlXJ6FhfZ8ajcwiWU7XuAbI"",""2025-26!AJ4"")"),0.0)</f>
        <v>0</v>
      </c>
      <c r="BZ193" s="55">
        <f>IFERROR(__xludf.DUMMYFUNCTION("IMPORTRANGE(""105P0VdpAP2SpAXw79GG0zlXJ6FhfZ8ajcwiWU7XuAbI"",""2025-26!AJ3"")"),0.0)</f>
        <v>0</v>
      </c>
      <c r="CA193" s="55">
        <f>IFERROR(__xludf.DUMMYFUNCTION("IMPORTRANGE(""105P0VdpAP2SpAXw79GG0zlXJ6FhfZ8ajcwiWU7XuAbI"",""2025-26!AK4"")"),0.0)</f>
        <v>0</v>
      </c>
      <c r="CB193" s="55">
        <f>IFERROR(__xludf.DUMMYFUNCTION("IMPORTRANGE(""105P0VdpAP2SpAXw79GG0zlXJ6FhfZ8ajcwiWU7XuAbI"",""2025-26!AK3"")"),0.0)</f>
        <v>0</v>
      </c>
      <c r="CC193" s="55">
        <f>IFERROR(__xludf.DUMMYFUNCTION("IMPORTRANGE(""105P0VdpAP2SpAXw79GG0zlXJ6FhfZ8ajcwiWU7XuAbI"",""2025-26!AL4"")"),0.0)</f>
        <v>0</v>
      </c>
      <c r="CD193" s="55">
        <f>IFERROR(__xludf.DUMMYFUNCTION("IMPORTRANGE(""105P0VdpAP2SpAXw79GG0zlXJ6FhfZ8ajcwiWU7XuAbI"",""2025-26!AL3"")"),0.0)</f>
        <v>0</v>
      </c>
      <c r="CE193" s="59" t="str">
        <f t="shared" si="65"/>
        <v/>
      </c>
      <c r="CF193" s="55">
        <f>IFERROR(__xludf.DUMMYFUNCTION("IMPORTRANGE(""105P0VdpAP2SpAXw79GG0zlXJ6FhfZ8ajcwiWU7XuAbI"",""2025-26!AM4"")"),0.0)</f>
        <v>0</v>
      </c>
      <c r="CG193" s="55">
        <f>IFERROR(__xludf.DUMMYFUNCTION("IMPORTRANGE(""105P0VdpAP2SpAXw79GG0zlXJ6FhfZ8ajcwiWU7XuAbI"",""2025-26!AM3"")"),0.0)</f>
        <v>0</v>
      </c>
      <c r="CH193" s="55">
        <f>IFERROR(__xludf.DUMMYFUNCTION("IMPORTRANGE(""105P0VdpAP2SpAXw79GG0zlXJ6FhfZ8ajcwiWU7XuAbI"",""2025-26!AN4"")"),0.0)</f>
        <v>0</v>
      </c>
      <c r="CI193" s="55">
        <f>IFERROR(__xludf.DUMMYFUNCTION("IMPORTRANGE(""105P0VdpAP2SpAXw79GG0zlXJ6FhfZ8ajcwiWU7XuAbI"",""2025-26!AN3"")"),0.0)</f>
        <v>0</v>
      </c>
      <c r="CJ193" s="55">
        <f>IFERROR(__xludf.DUMMYFUNCTION("IMPORTRANGE(""105P0VdpAP2SpAXw79GG0zlXJ6FhfZ8ajcwiWU7XuAbI"",""2025-26!AO4"")"),0.0)</f>
        <v>0</v>
      </c>
      <c r="CK193" s="55">
        <f>IFERROR(__xludf.DUMMYFUNCTION("IMPORTRANGE(""105P0VdpAP2SpAXw79GG0zlXJ6FhfZ8ajcwiWU7XuAbI"",""2025-26!AO3"")"),0.0)</f>
        <v>0</v>
      </c>
      <c r="CL193" s="59" t="str">
        <f t="shared" si="66"/>
        <v/>
      </c>
      <c r="CM193" s="55">
        <f>IFERROR(__xludf.DUMMYFUNCTION("IMPORTRANGE(""105P0VdpAP2SpAXw79GG0zlXJ6FhfZ8ajcwiWU7XuAbI"",""2025-26!AP4"")"),0.0)</f>
        <v>0</v>
      </c>
      <c r="CN193" s="55">
        <f>IFERROR(__xludf.DUMMYFUNCTION("IMPORTRANGE(""105P0VdpAP2SpAXw79GG0zlXJ6FhfZ8ajcwiWU7XuAbI"",""2025-26!AP3"")"),0.0)</f>
        <v>0</v>
      </c>
      <c r="CO193" s="55">
        <f>IFERROR(__xludf.DUMMYFUNCTION("IMPORTRANGE(""105P0VdpAP2SpAXw79GG0zlXJ6FhfZ8ajcwiWU7XuAbI"",""2025-26!AQ4"")"),0.0)</f>
        <v>0</v>
      </c>
      <c r="CP193" s="55">
        <f>IFERROR(__xludf.DUMMYFUNCTION("IMPORTRANGE(""105P0VdpAP2SpAXw79GG0zlXJ6FhfZ8ajcwiWU7XuAbI"",""2025-26!AQ3"")"),0.0)</f>
        <v>0</v>
      </c>
      <c r="CQ193" s="55">
        <f>IFERROR(__xludf.DUMMYFUNCTION("IMPORTRANGE(""105P0VdpAP2SpAXw79GG0zlXJ6FhfZ8ajcwiWU7XuAbI"",""2025-26!AR4"")"),0.0)</f>
        <v>0</v>
      </c>
      <c r="CR193" s="55">
        <f>IFERROR(__xludf.DUMMYFUNCTION("IMPORTRANGE(""105P0VdpAP2SpAXw79GG0zlXJ6FhfZ8ajcwiWU7XuAbI"",""2025-26!AR3"")"),0.0)</f>
        <v>0</v>
      </c>
      <c r="CS193" s="59" t="str">
        <f t="shared" si="67"/>
        <v/>
      </c>
      <c r="CT193" s="55">
        <f>IFERROR(__xludf.DUMMYFUNCTION("IMPORTRANGE(""105P0VdpAP2SpAXw79GG0zlXJ6FhfZ8ajcwiWU7XuAbI"",""2025-26!AS4"")"),0.0)</f>
        <v>0</v>
      </c>
      <c r="CU193" s="55">
        <f>IFERROR(__xludf.DUMMYFUNCTION("IMPORTRANGE(""105P0VdpAP2SpAXw79GG0zlXJ6FhfZ8ajcwiWU7XuAbI"",""2025-26!AS3"")"),0.0)</f>
        <v>0</v>
      </c>
      <c r="CV193" s="60" t="s">
        <v>85</v>
      </c>
    </row>
    <row r="194">
      <c r="A194" s="148" t="s">
        <v>84</v>
      </c>
      <c r="B194" s="149" t="s">
        <v>85</v>
      </c>
      <c r="C194" s="130" t="s">
        <v>397</v>
      </c>
      <c r="D194" s="65" t="s">
        <v>398</v>
      </c>
      <c r="E194" s="68">
        <v>9.789076669E9</v>
      </c>
      <c r="F194" s="66">
        <v>45824.0</v>
      </c>
      <c r="G194" s="62"/>
      <c r="H194" s="62"/>
      <c r="I194" s="53">
        <f>VLOOKUP($C194,Data!$C:$BV,72,0)</f>
        <v>32500</v>
      </c>
      <c r="J194" s="54">
        <v>1500000.0</v>
      </c>
      <c r="K194" s="55">
        <f>IFERROR(__xludf.DUMMYFUNCTION("IMPORTRANGE(""1uS2K-_NfZJp1Fw9r1D_4Fxj13GD9hwVAYCWpIBxx8-Y"",""2025-26!A3"")"),37.0)</f>
        <v>37</v>
      </c>
      <c r="L194" s="55">
        <f>IFERROR(__xludf.DUMMYFUNCTION("IMPORTRANGE(""1uS2K-_NfZJp1Fw9r1D_4Fxj13GD9hwVAYCWpIBxx8-Y"",""2025-26!G4"")"),0.0)</f>
        <v>0</v>
      </c>
      <c r="M194" s="55">
        <f t="shared" si="84"/>
        <v>523145.87</v>
      </c>
      <c r="N194" s="56" t="str">
        <f t="shared" si="85"/>
        <v>#DIV/0!</v>
      </c>
      <c r="O194" s="57">
        <f t="shared" si="86"/>
        <v>610578</v>
      </c>
      <c r="P194" s="55">
        <f>IFERROR(__xludf.DUMMYFUNCTION("IMPORTRANGE(""1uS2K-_NfZJp1Fw9r1D_4Fxj13GD9hwVAYCWpIBxx8-Y"",""2025-26!J4"")"),0.0)</f>
        <v>0</v>
      </c>
      <c r="Q194" s="55">
        <f>IFERROR(__xludf.DUMMYFUNCTION("IMPORTRANGE(""1uS2K-_NfZJp1Fw9r1D_4Fxj13GD9hwVAYCWpIBxx8-Y"",""2025-26!J3"")"),0.0)</f>
        <v>0</v>
      </c>
      <c r="R194" s="55">
        <f>IFERROR(__xludf.DUMMYFUNCTION("IMPORTRANGE(""1uS2K-_NfZJp1Fw9r1D_4Fxj13GD9hwVAYCWpIBxx8-Y"",""2025-26!K4"")"),0.0)</f>
        <v>0</v>
      </c>
      <c r="S194" s="55">
        <f>IFERROR(__xludf.DUMMYFUNCTION("IMPORTRANGE(""1uS2K-_NfZJp1Fw9r1D_4Fxj13GD9hwVAYCWpIBxx8-Y"",""2025-26!K3"")"),0.0)</f>
        <v>0</v>
      </c>
      <c r="T194" s="58" t="str">
        <f t="shared" si="56"/>
        <v/>
      </c>
      <c r="U194" s="55">
        <f>IFERROR(__xludf.DUMMYFUNCTION("IMPORTRANGE(""1uS2K-_NfZJp1Fw9r1D_4Fxj13GD9hwVAYCWpIBxx8-Y"",""2025-26!L4"")"),0.0)</f>
        <v>0</v>
      </c>
      <c r="V194" s="55">
        <f>IFERROR(__xludf.DUMMYFUNCTION("IMPORTRANGE(""1uS2K-_NfZJp1Fw9r1D_4Fxj13GD9hwVAYCWpIBxx8-Y"",""2025-26!L3"")"),0.0)</f>
        <v>0</v>
      </c>
      <c r="W194" s="55">
        <f>IFERROR(__xludf.DUMMYFUNCTION("IMPORTRANGE(""1uS2K-_NfZJp1Fw9r1D_4Fxj13GD9hwVAYCWpIBxx8-Y"",""2025-26!m4"")"),0.0)</f>
        <v>0</v>
      </c>
      <c r="X194" s="55">
        <f>IFERROR(__xludf.DUMMYFUNCTION("IMPORTRANGE(""1uS2K-_NfZJp1Fw9r1D_4Fxj13GD9hwVAYCWpIBxx8-Y"",""2025-26!m3"")"),0.0)</f>
        <v>0</v>
      </c>
      <c r="Y194" s="55">
        <f>IFERROR(__xludf.DUMMYFUNCTION("IMPORTRANGE(""1uS2K-_NfZJp1Fw9r1D_4Fxj13GD9hwVAYCWpIBxx8-Y"",""2025-26!N4"")"),0.0)</f>
        <v>0</v>
      </c>
      <c r="Z194" s="55">
        <f>IFERROR(__xludf.DUMMYFUNCTION("IMPORTRANGE(""1uS2K-_NfZJp1Fw9r1D_4Fxj13GD9hwVAYCWpIBxx8-Y"",""2025-26!N3"")"),0.0)</f>
        <v>0</v>
      </c>
      <c r="AA194" s="58" t="str">
        <f t="shared" si="57"/>
        <v/>
      </c>
      <c r="AB194" s="55">
        <f>IFERROR(__xludf.DUMMYFUNCTION("IMPORTRANGE(""1uS2K-_NfZJp1Fw9r1D_4Fxj13GD9hwVAYCWpIBxx8-Y"",""2025-26!O4"")"),0.0)</f>
        <v>0</v>
      </c>
      <c r="AC194" s="55">
        <f>IFERROR(__xludf.DUMMYFUNCTION("IMPORTRANGE(""1uS2K-_NfZJp1Fw9r1D_4Fxj13GD9hwVAYCWpIBxx8-Y"",""2025-26!O3"")"),0.0)</f>
        <v>0</v>
      </c>
      <c r="AD194" s="55">
        <f>IFERROR(__xludf.DUMMYFUNCTION("IMPORTRANGE(""1uS2K-_NfZJp1Fw9r1D_4Fxj13GD9hwVAYCWpIBxx8-Y"",""2025-26!P4"")"),0.0)</f>
        <v>0</v>
      </c>
      <c r="AE194" s="55">
        <f>IFERROR(__xludf.DUMMYFUNCTION("IMPORTRANGE(""1uS2K-_NfZJp1Fw9r1D_4Fxj13GD9hwVAYCWpIBxx8-Y"",""2025-26!P3"")"),0.0)</f>
        <v>0</v>
      </c>
      <c r="AF194" s="55">
        <f>IFERROR(__xludf.DUMMYFUNCTION("IMPORTRANGE(""1uS2K-_NfZJp1Fw9r1D_4Fxj13GD9hwVAYCWpIBxx8-Y"",""2025-26!Q4"")"),0.0)</f>
        <v>0</v>
      </c>
      <c r="AG194" s="55">
        <f>IFERROR(__xludf.DUMMYFUNCTION("IMPORTRANGE(""1uS2K-_NfZJp1Fw9r1D_4Fxj13GD9hwVAYCWpIBxx8-Y"",""2025-26!Q3"")"),0.0)</f>
        <v>0</v>
      </c>
      <c r="AH194" s="58" t="str">
        <f t="shared" si="58"/>
        <v/>
      </c>
      <c r="AI194" s="55">
        <f>IFERROR(__xludf.DUMMYFUNCTION("IMPORTRANGE(""1uS2K-_NfZJp1Fw9r1D_4Fxj13GD9hwVAYCWpIBxx8-Y"",""2025-26!R4"")"),0.0)</f>
        <v>0</v>
      </c>
      <c r="AJ194" s="55">
        <f>IFERROR(__xludf.DUMMYFUNCTION("IMPORTRANGE(""1uS2K-_NfZJp1Fw9r1D_4Fxj13GD9hwVAYCWpIBxx8-Y"",""2025-26!R3"")"),0.0)</f>
        <v>0</v>
      </c>
      <c r="AK194" s="55">
        <f>IFERROR(__xludf.DUMMYFUNCTION("IMPORTRANGE(""1uS2K-_NfZJp1Fw9r1D_4Fxj13GD9hwVAYCWpIBxx8-Y"",""2025-26!S4"")"),0.0)</f>
        <v>0</v>
      </c>
      <c r="AL194" s="55">
        <f>IFERROR(__xludf.DUMMYFUNCTION("IMPORTRANGE(""1uS2K-_NfZJp1Fw9r1D_4Fxj13GD9hwVAYCWpIBxx8-Y"",""2025-26!S3"")"),0.0)</f>
        <v>0</v>
      </c>
      <c r="AM194" s="55">
        <f>IFERROR(__xludf.DUMMYFUNCTION("IMPORTRANGE(""1uS2K-_NfZJp1Fw9r1D_4Fxj13GD9hwVAYCWpIBxx8-Y"",""2025-26!T4"")"),0.0)</f>
        <v>0</v>
      </c>
      <c r="AN194" s="55">
        <f>IFERROR(__xludf.DUMMYFUNCTION("IMPORTRANGE(""1uS2K-_NfZJp1Fw9r1D_4Fxj13GD9hwVAYCWpIBxx8-Y"",""2025-26!T3"")"),0.0)</f>
        <v>0</v>
      </c>
      <c r="AO194" s="58" t="str">
        <f t="shared" si="59"/>
        <v/>
      </c>
      <c r="AP194" s="55">
        <f>IFERROR(__xludf.DUMMYFUNCTION("IMPORTRANGE(""1uS2K-_NfZJp1Fw9r1D_4Fxj13GD9hwVAYCWpIBxx8-Y"",""2025-26!U4"")"),0.0)</f>
        <v>0</v>
      </c>
      <c r="AQ194" s="55">
        <f>IFERROR(__xludf.DUMMYFUNCTION("IMPORTRANGE(""1uS2K-_NfZJp1Fw9r1D_4Fxj13GD9hwVAYCWpIBxx8-Y"",""2025-26!U3"")"),0.0)</f>
        <v>0</v>
      </c>
      <c r="AR194" s="55">
        <f>IFERROR(__xludf.DUMMYFUNCTION("IMPORTRANGE(""1uS2K-_NfZJp1Fw9r1D_4Fxj13GD9hwVAYCWpIBxx8-Y"",""2025-26!V4"")"),0.0)</f>
        <v>0</v>
      </c>
      <c r="AS194" s="55">
        <f>IFERROR(__xludf.DUMMYFUNCTION("IMPORTRANGE(""1uS2K-_NfZJp1Fw9r1D_4Fxj13GD9hwVAYCWpIBxx8-Y"",""2025-26!V3"")"),0.0)</f>
        <v>0</v>
      </c>
      <c r="AT194" s="55">
        <f>IFERROR(__xludf.DUMMYFUNCTION("IMPORTRANGE(""1uS2K-_NfZJp1Fw9r1D_4Fxj13GD9hwVAYCWpIBxx8-Y"",""2025-26!W4"")"),0.0)</f>
        <v>0</v>
      </c>
      <c r="AU194" s="55">
        <f>IFERROR(__xludf.DUMMYFUNCTION("IMPORTRANGE(""1uS2K-_NfZJp1Fw9r1D_4Fxj13GD9hwVAYCWpIBxx8-Y"",""2025-26!W3"")"),0.0)</f>
        <v>0</v>
      </c>
      <c r="AV194" s="58" t="str">
        <f t="shared" si="60"/>
        <v/>
      </c>
      <c r="AW194" s="55">
        <f>IFERROR(__xludf.DUMMYFUNCTION("IMPORTRANGE(""1uS2K-_NfZJp1Fw9r1D_4Fxj13GD9hwVAYCWpIBxx8-Y"",""2025-26!X4"")"),228800.0)</f>
        <v>228800</v>
      </c>
      <c r="AX194" s="55">
        <f>IFERROR(__xludf.DUMMYFUNCTION("IMPORTRANGE(""1uS2K-_NfZJp1Fw9r1D_4Fxj13GD9hwVAYCWpIBxx8-Y"",""2025-26!X3"")"),8.0)</f>
        <v>8</v>
      </c>
      <c r="AY194" s="55">
        <f>IFERROR(__xludf.DUMMYFUNCTION("IMPORTRANGE(""1uS2K-_NfZJp1Fw9r1D_4Fxj13GD9hwVAYCWpIBxx8-Y"",""2025-26!Y4"")"),0.0)</f>
        <v>0</v>
      </c>
      <c r="AZ194" s="55">
        <f>IFERROR(__xludf.DUMMYFUNCTION("IMPORTRANGE(""1uS2K-_NfZJp1Fw9r1D_4Fxj13GD9hwVAYCWpIBxx8-Y"",""2025-26!Y3"")"),0.0)</f>
        <v>0</v>
      </c>
      <c r="BA194" s="55">
        <f>IFERROR(__xludf.DUMMYFUNCTION("IMPORTRANGE(""1uS2K-_NfZJp1Fw9r1D_4Fxj13GD9hwVAYCWpIBxx8-Y"",""2025-26!Z4"")"),191794.84999999998)</f>
        <v>191794.85</v>
      </c>
      <c r="BB194" s="55">
        <f>IFERROR(__xludf.DUMMYFUNCTION("IMPORTRANGE(""1uS2K-_NfZJp1Fw9r1D_4Fxj13GD9hwVAYCWpIBxx8-Y"",""2025-26!Z3"")"),6.0)</f>
        <v>6</v>
      </c>
      <c r="BC194" s="59" t="str">
        <f t="shared" si="61"/>
        <v/>
      </c>
      <c r="BD194" s="55">
        <f>IFERROR(__xludf.DUMMYFUNCTION("IMPORTRANGE(""1uS2K-_NfZJp1Fw9r1D_4Fxj13GD9hwVAYCWpIBxx8-Y"",""2025-26!AA4"")"),175778.0)</f>
        <v>175778</v>
      </c>
      <c r="BE194" s="55">
        <f>IFERROR(__xludf.DUMMYFUNCTION("IMPORTRANGE(""1uS2K-_NfZJp1Fw9r1D_4Fxj13GD9hwVAYCWpIBxx8-Y"",""2025-26!AA3"")"),4.0)</f>
        <v>4</v>
      </c>
      <c r="BF194" s="55">
        <f>IFERROR(__xludf.DUMMYFUNCTION("IMPORTRANGE(""1uS2K-_NfZJp1Fw9r1D_4Fxj13GD9hwVAYCWpIBxx8-Y"",""2025-26!AB4"")"),0.0)</f>
        <v>0</v>
      </c>
      <c r="BG194" s="55">
        <f>IFERROR(__xludf.DUMMYFUNCTION("IMPORTRANGE(""1uS2K-_NfZJp1Fw9r1D_4Fxj13GD9hwVAYCWpIBxx8-Y"",""2025-26!AB3"")"),0.0)</f>
        <v>0</v>
      </c>
      <c r="BH194" s="55">
        <f>IFERROR(__xludf.DUMMYFUNCTION("IMPORTRANGE(""1uS2K-_NfZJp1Fw9r1D_4Fxj13GD9hwVAYCWpIBxx8-Y"",""2025-26!AC4"")"),99749.5)</f>
        <v>99749.5</v>
      </c>
      <c r="BI194" s="55">
        <f>IFERROR(__xludf.DUMMYFUNCTION("IMPORTRANGE(""1uS2K-_NfZJp1Fw9r1D_4Fxj13GD9hwVAYCWpIBxx8-Y"",""2025-26!AC3"")"),10.0)</f>
        <v>10</v>
      </c>
      <c r="BJ194" s="59" t="str">
        <f t="shared" si="62"/>
        <v/>
      </c>
      <c r="BK194" s="55">
        <f>IFERROR(__xludf.DUMMYFUNCTION("IMPORTRANGE(""1uS2K-_NfZJp1Fw9r1D_4Fxj13GD9hwVAYCWpIBxx8-Y"",""2025-26!AD4"")"),39500.0)</f>
        <v>39500</v>
      </c>
      <c r="BL194" s="55">
        <f>IFERROR(__xludf.DUMMYFUNCTION("IMPORTRANGE(""1uS2K-_NfZJp1Fw9r1D_4Fxj13GD9hwVAYCWpIBxx8-Y"",""2025-26!AD3"")"),3.0)</f>
        <v>3</v>
      </c>
      <c r="BM194" s="55">
        <f>IFERROR(__xludf.DUMMYFUNCTION("IMPORTRANGE(""1uS2K-_NfZJp1Fw9r1D_4Fxj13GD9hwVAYCWpIBxx8-Y"",""2025-26!AE4"")"),0.0)</f>
        <v>0</v>
      </c>
      <c r="BN194" s="55">
        <f>IFERROR(__xludf.DUMMYFUNCTION("IMPORTRANGE(""1uS2K-_NfZJp1Fw9r1D_4Fxj13GD9hwVAYCWpIBxx8-Y"",""2025-26!AE3"")"),0.0)</f>
        <v>0</v>
      </c>
      <c r="BO194" s="55">
        <f>IFERROR(__xludf.DUMMYFUNCTION("IMPORTRANGE(""1uS2K-_NfZJp1Fw9r1D_4Fxj13GD9hwVAYCWpIBxx8-Y"",""2025-26!AF4"")"),155355.9)</f>
        <v>155355.9</v>
      </c>
      <c r="BP194" s="55">
        <f>IFERROR(__xludf.DUMMYFUNCTION("IMPORTRANGE(""1uS2K-_NfZJp1Fw9r1D_4Fxj13GD9hwVAYCWpIBxx8-Y"",""2025-26!AF3"")"),7.0)</f>
        <v>7</v>
      </c>
      <c r="BQ194" s="59" t="str">
        <f t="shared" si="63"/>
        <v/>
      </c>
      <c r="BR194" s="55">
        <f>IFERROR(__xludf.DUMMYFUNCTION("IMPORTRANGE(""1uS2K-_NfZJp1Fw9r1D_4Fxj13GD9hwVAYCWpIBxx8-Y"",""2025-26!AG4"")"),166500.0)</f>
        <v>166500</v>
      </c>
      <c r="BS194" s="55">
        <f>IFERROR(__xludf.DUMMYFUNCTION("IMPORTRANGE(""1uS2K-_NfZJp1Fw9r1D_4Fxj13GD9hwVAYCWpIBxx8-Y"",""2025-26!AG3"")"),6.0)</f>
        <v>6</v>
      </c>
      <c r="BT194" s="55">
        <f>IFERROR(__xludf.DUMMYFUNCTION("IMPORTRANGE(""1uS2K-_NfZJp1Fw9r1D_4Fxj13GD9hwVAYCWpIBxx8-Y"",""2025-26!AH4"")"),0.0)</f>
        <v>0</v>
      </c>
      <c r="BU194" s="55">
        <f>IFERROR(__xludf.DUMMYFUNCTION("IMPORTRANGE(""1uS2K-_NfZJp1Fw9r1D_4Fxj13GD9hwVAYCWpIBxx8-Y"",""2025-26!AH3"")"),0.0)</f>
        <v>0</v>
      </c>
      <c r="BV194" s="55">
        <f>IFERROR(__xludf.DUMMYFUNCTION("IMPORTRANGE(""1uS2K-_NfZJp1Fw9r1D_4Fxj13GD9hwVAYCWpIBxx8-Y"",""2025-26!AI4"")"),76245.62)</f>
        <v>76245.62</v>
      </c>
      <c r="BW194" s="55">
        <f>IFERROR(__xludf.DUMMYFUNCTION("IMPORTRANGE(""1uS2K-_NfZJp1Fw9r1D_4Fxj13GD9hwVAYCWpIBxx8-Y"",""2025-26!AI3"")"),6.0)</f>
        <v>6</v>
      </c>
      <c r="BX194" s="59" t="str">
        <f t="shared" si="64"/>
        <v/>
      </c>
      <c r="BY194" s="55">
        <f>IFERROR(__xludf.DUMMYFUNCTION("IMPORTRANGE(""1uS2K-_NfZJp1Fw9r1D_4Fxj13GD9hwVAYCWpIBxx8-Y"",""2025-26!AJ4"")"),0.0)</f>
        <v>0</v>
      </c>
      <c r="BZ194" s="55">
        <f>IFERROR(__xludf.DUMMYFUNCTION("IMPORTRANGE(""1uS2K-_NfZJp1Fw9r1D_4Fxj13GD9hwVAYCWpIBxx8-Y"",""2025-26!AJ3"")"),0.0)</f>
        <v>0</v>
      </c>
      <c r="CA194" s="55">
        <f>IFERROR(__xludf.DUMMYFUNCTION("IMPORTRANGE(""1uS2K-_NfZJp1Fw9r1D_4Fxj13GD9hwVAYCWpIBxx8-Y"",""2025-26!AK4"")"),0.0)</f>
        <v>0</v>
      </c>
      <c r="CB194" s="55">
        <f>IFERROR(__xludf.DUMMYFUNCTION("IMPORTRANGE(""1uS2K-_NfZJp1Fw9r1D_4Fxj13GD9hwVAYCWpIBxx8-Y"",""2025-26!AK3"")"),0.0)</f>
        <v>0</v>
      </c>
      <c r="CC194" s="55">
        <f>IFERROR(__xludf.DUMMYFUNCTION("IMPORTRANGE(""1uS2K-_NfZJp1Fw9r1D_4Fxj13GD9hwVAYCWpIBxx8-Y"",""2025-26!AL4"")"),0.0)</f>
        <v>0</v>
      </c>
      <c r="CD194" s="55">
        <f>IFERROR(__xludf.DUMMYFUNCTION("IMPORTRANGE(""1uS2K-_NfZJp1Fw9r1D_4Fxj13GD9hwVAYCWpIBxx8-Y"",""2025-26!AL3"")"),0.0)</f>
        <v>0</v>
      </c>
      <c r="CE194" s="59" t="str">
        <f t="shared" si="65"/>
        <v/>
      </c>
      <c r="CF194" s="55">
        <f>IFERROR(__xludf.DUMMYFUNCTION("IMPORTRANGE(""1uS2K-_NfZJp1Fw9r1D_4Fxj13GD9hwVAYCWpIBxx8-Y"",""2025-26!AM4"")"),0.0)</f>
        <v>0</v>
      </c>
      <c r="CG194" s="55">
        <f>IFERROR(__xludf.DUMMYFUNCTION("IMPORTRANGE(""1uS2K-_NfZJp1Fw9r1D_4Fxj13GD9hwVAYCWpIBxx8-Y"",""2025-26!AM3"")"),0.0)</f>
        <v>0</v>
      </c>
      <c r="CH194" s="55">
        <f>IFERROR(__xludf.DUMMYFUNCTION("IMPORTRANGE(""1uS2K-_NfZJp1Fw9r1D_4Fxj13GD9hwVAYCWpIBxx8-Y"",""2025-26!AN4"")"),0.0)</f>
        <v>0</v>
      </c>
      <c r="CI194" s="55">
        <f>IFERROR(__xludf.DUMMYFUNCTION("IMPORTRANGE(""1uS2K-_NfZJp1Fw9r1D_4Fxj13GD9hwVAYCWpIBxx8-Y"",""2025-26!AN3"")"),0.0)</f>
        <v>0</v>
      </c>
      <c r="CJ194" s="55">
        <f>IFERROR(__xludf.DUMMYFUNCTION("IMPORTRANGE(""1uS2K-_NfZJp1Fw9r1D_4Fxj13GD9hwVAYCWpIBxx8-Y"",""2025-26!AO4"")"),0.0)</f>
        <v>0</v>
      </c>
      <c r="CK194" s="55">
        <f>IFERROR(__xludf.DUMMYFUNCTION("IMPORTRANGE(""1uS2K-_NfZJp1Fw9r1D_4Fxj13GD9hwVAYCWpIBxx8-Y"",""2025-26!AO3"")"),0.0)</f>
        <v>0</v>
      </c>
      <c r="CL194" s="59" t="str">
        <f t="shared" si="66"/>
        <v/>
      </c>
      <c r="CM194" s="55">
        <f>IFERROR(__xludf.DUMMYFUNCTION("IMPORTRANGE(""1uS2K-_NfZJp1Fw9r1D_4Fxj13GD9hwVAYCWpIBxx8-Y"",""2025-26!AP4"")"),0.0)</f>
        <v>0</v>
      </c>
      <c r="CN194" s="55">
        <f>IFERROR(__xludf.DUMMYFUNCTION("IMPORTRANGE(""1uS2K-_NfZJp1Fw9r1D_4Fxj13GD9hwVAYCWpIBxx8-Y"",""2025-26!AP3"")"),0.0)</f>
        <v>0</v>
      </c>
      <c r="CO194" s="55">
        <f>IFERROR(__xludf.DUMMYFUNCTION("IMPORTRANGE(""1uS2K-_NfZJp1Fw9r1D_4Fxj13GD9hwVAYCWpIBxx8-Y"",""2025-26!AQ4"")"),0.0)</f>
        <v>0</v>
      </c>
      <c r="CP194" s="55">
        <f>IFERROR(__xludf.DUMMYFUNCTION("IMPORTRANGE(""1uS2K-_NfZJp1Fw9r1D_4Fxj13GD9hwVAYCWpIBxx8-Y"",""2025-26!AQ3"")"),0.0)</f>
        <v>0</v>
      </c>
      <c r="CQ194" s="55">
        <f>IFERROR(__xludf.DUMMYFUNCTION("IMPORTRANGE(""1uS2K-_NfZJp1Fw9r1D_4Fxj13GD9hwVAYCWpIBxx8-Y"",""2025-26!AR4"")"),0.0)</f>
        <v>0</v>
      </c>
      <c r="CR194" s="55">
        <f>IFERROR(__xludf.DUMMYFUNCTION("IMPORTRANGE(""1uS2K-_NfZJp1Fw9r1D_4Fxj13GD9hwVAYCWpIBxx8-Y"",""2025-26!AR3"")"),0.0)</f>
        <v>0</v>
      </c>
      <c r="CS194" s="59" t="str">
        <f t="shared" si="67"/>
        <v/>
      </c>
      <c r="CT194" s="55">
        <f>IFERROR(__xludf.DUMMYFUNCTION("IMPORTRANGE(""1uS2K-_NfZJp1Fw9r1D_4Fxj13GD9hwVAYCWpIBxx8-Y"",""2025-26!AS4"")"),0.0)</f>
        <v>0</v>
      </c>
      <c r="CU194" s="55">
        <f>IFERROR(__xludf.DUMMYFUNCTION("IMPORTRANGE(""1uS2K-_NfZJp1Fw9r1D_4Fxj13GD9hwVAYCWpIBxx8-Y"",""2025-26!AS3"")"),0.0)</f>
        <v>0</v>
      </c>
      <c r="CV194" s="60" t="s">
        <v>85</v>
      </c>
    </row>
    <row r="195">
      <c r="A195" s="148" t="s">
        <v>84</v>
      </c>
      <c r="B195" s="149" t="s">
        <v>85</v>
      </c>
      <c r="C195" s="130" t="s">
        <v>399</v>
      </c>
      <c r="D195" s="65" t="s">
        <v>87</v>
      </c>
      <c r="E195" s="68">
        <v>6.379853162E9</v>
      </c>
      <c r="F195" s="66">
        <v>45831.0</v>
      </c>
      <c r="G195" s="62"/>
      <c r="H195" s="62"/>
      <c r="I195" s="53">
        <f>VLOOKUP($C195,Data!$C:$BV,72,0)</f>
        <v>27785</v>
      </c>
      <c r="J195" s="54">
        <v>1500000.0</v>
      </c>
      <c r="K195" s="55">
        <f>IFERROR(__xludf.DUMMYFUNCTION("IMPORTRANGE(""19Rk4iqsIrqVhUR0Wl3I4sjy1_X5PL-NL_s-A5UH5HyE"",""2025-26!A3"")"),123.0)</f>
        <v>123</v>
      </c>
      <c r="L195" s="55">
        <f>IFERROR(__xludf.DUMMYFUNCTION("IMPORTRANGE(""19Rk4iqsIrqVhUR0Wl3I4sjy1_X5PL-NL_s-A5UH5HyE"",""2025-26!G4"")"),9510000.0)</f>
        <v>9510000</v>
      </c>
      <c r="M195" s="55">
        <f t="shared" si="84"/>
        <v>1405374.08</v>
      </c>
      <c r="N195" s="56">
        <f t="shared" si="85"/>
        <v>0.1438425868</v>
      </c>
      <c r="O195" s="57">
        <f t="shared" si="86"/>
        <v>1367943</v>
      </c>
      <c r="P195" s="55">
        <f>IFERROR(__xludf.DUMMYFUNCTION("IMPORTRANGE(""19Rk4iqsIrqVhUR0Wl3I4sjy1_X5PL-NL_s-A5UH5HyE"",""2025-26!J4"")"),0.0)</f>
        <v>0</v>
      </c>
      <c r="Q195" s="55">
        <f>IFERROR(__xludf.DUMMYFUNCTION("IMPORTRANGE(""19Rk4iqsIrqVhUR0Wl3I4sjy1_X5PL-NL_s-A5UH5HyE"",""2025-26!J3"")"),0.0)</f>
        <v>0</v>
      </c>
      <c r="R195" s="55">
        <f>IFERROR(__xludf.DUMMYFUNCTION("IMPORTRANGE(""19Rk4iqsIrqVhUR0Wl3I4sjy1_X5PL-NL_s-A5UH5HyE"",""2025-26!K4"")"),0.0)</f>
        <v>0</v>
      </c>
      <c r="S195" s="55">
        <f>IFERROR(__xludf.DUMMYFUNCTION("IMPORTRANGE(""19Rk4iqsIrqVhUR0Wl3I4sjy1_X5PL-NL_s-A5UH5HyE"",""2025-26!K3"")"),0.0)</f>
        <v>0</v>
      </c>
      <c r="T195" s="58" t="str">
        <f t="shared" si="56"/>
        <v/>
      </c>
      <c r="U195" s="55">
        <f>IFERROR(__xludf.DUMMYFUNCTION("IMPORTRANGE(""19Rk4iqsIrqVhUR0Wl3I4sjy1_X5PL-NL_s-A5UH5HyE"",""2025-26!L4"")"),0.0)</f>
        <v>0</v>
      </c>
      <c r="V195" s="55">
        <f>IFERROR(__xludf.DUMMYFUNCTION("IMPORTRANGE(""19Rk4iqsIrqVhUR0Wl3I4sjy1_X5PL-NL_s-A5UH5HyE"",""2025-26!L3"")"),0.0)</f>
        <v>0</v>
      </c>
      <c r="W195" s="55">
        <f>IFERROR(__xludf.DUMMYFUNCTION("IMPORTRANGE(""19Rk4iqsIrqVhUR0Wl3I4sjy1_X5PL-NL_s-A5UH5HyE"",""2025-26!m4"")"),0.0)</f>
        <v>0</v>
      </c>
      <c r="X195" s="55">
        <f>IFERROR(__xludf.DUMMYFUNCTION("IMPORTRANGE(""19Rk4iqsIrqVhUR0Wl3I4sjy1_X5PL-NL_s-A5UH5HyE"",""2025-26!m3"")"),0.0)</f>
        <v>0</v>
      </c>
      <c r="Y195" s="55">
        <f>IFERROR(__xludf.DUMMYFUNCTION("IMPORTRANGE(""19Rk4iqsIrqVhUR0Wl3I4sjy1_X5PL-NL_s-A5UH5HyE"",""2025-26!N4"")"),0.0)</f>
        <v>0</v>
      </c>
      <c r="Z195" s="55">
        <f>IFERROR(__xludf.DUMMYFUNCTION("IMPORTRANGE(""19Rk4iqsIrqVhUR0Wl3I4sjy1_X5PL-NL_s-A5UH5HyE"",""2025-26!N3"")"),0.0)</f>
        <v>0</v>
      </c>
      <c r="AA195" s="58" t="str">
        <f t="shared" si="57"/>
        <v/>
      </c>
      <c r="AB195" s="55">
        <f>IFERROR(__xludf.DUMMYFUNCTION("IMPORTRANGE(""19Rk4iqsIrqVhUR0Wl3I4sjy1_X5PL-NL_s-A5UH5HyE"",""2025-26!O4"")"),0.0)</f>
        <v>0</v>
      </c>
      <c r="AC195" s="55">
        <f>IFERROR(__xludf.DUMMYFUNCTION("IMPORTRANGE(""19Rk4iqsIrqVhUR0Wl3I4sjy1_X5PL-NL_s-A5UH5HyE"",""2025-26!O3"")"),0.0)</f>
        <v>0</v>
      </c>
      <c r="AD195" s="55">
        <f>IFERROR(__xludf.DUMMYFUNCTION("IMPORTRANGE(""19Rk4iqsIrqVhUR0Wl3I4sjy1_X5PL-NL_s-A5UH5HyE"",""2025-26!P4"")"),0.0)</f>
        <v>0</v>
      </c>
      <c r="AE195" s="55">
        <f>IFERROR(__xludf.DUMMYFUNCTION("IMPORTRANGE(""19Rk4iqsIrqVhUR0Wl3I4sjy1_X5PL-NL_s-A5UH5HyE"",""2025-26!P3"")"),0.0)</f>
        <v>0</v>
      </c>
      <c r="AF195" s="55">
        <f>IFERROR(__xludf.DUMMYFUNCTION("IMPORTRANGE(""19Rk4iqsIrqVhUR0Wl3I4sjy1_X5PL-NL_s-A5UH5HyE"",""2025-26!Q4"")"),0.0)</f>
        <v>0</v>
      </c>
      <c r="AG195" s="55">
        <f>IFERROR(__xludf.DUMMYFUNCTION("IMPORTRANGE(""19Rk4iqsIrqVhUR0Wl3I4sjy1_X5PL-NL_s-A5UH5HyE"",""2025-26!Q3"")"),0.0)</f>
        <v>0</v>
      </c>
      <c r="AH195" s="58" t="str">
        <f t="shared" si="58"/>
        <v/>
      </c>
      <c r="AI195" s="55">
        <f>IFERROR(__xludf.DUMMYFUNCTION("IMPORTRANGE(""19Rk4iqsIrqVhUR0Wl3I4sjy1_X5PL-NL_s-A5UH5HyE"",""2025-26!R4"")"),0.0)</f>
        <v>0</v>
      </c>
      <c r="AJ195" s="55">
        <f>IFERROR(__xludf.DUMMYFUNCTION("IMPORTRANGE(""19Rk4iqsIrqVhUR0Wl3I4sjy1_X5PL-NL_s-A5UH5HyE"",""2025-26!R3"")"),0.0)</f>
        <v>0</v>
      </c>
      <c r="AK195" s="55">
        <f>IFERROR(__xludf.DUMMYFUNCTION("IMPORTRANGE(""19Rk4iqsIrqVhUR0Wl3I4sjy1_X5PL-NL_s-A5UH5HyE"",""2025-26!S4"")"),920000.0)</f>
        <v>920000</v>
      </c>
      <c r="AL195" s="55">
        <f>IFERROR(__xludf.DUMMYFUNCTION("IMPORTRANGE(""19Rk4iqsIrqVhUR0Wl3I4sjy1_X5PL-NL_s-A5UH5HyE"",""2025-26!S3"")"),46.0)</f>
        <v>46</v>
      </c>
      <c r="AM195" s="55">
        <f>IFERROR(__xludf.DUMMYFUNCTION("IMPORTRANGE(""19Rk4iqsIrqVhUR0Wl3I4sjy1_X5PL-NL_s-A5UH5HyE"",""2025-26!T4"")"),39501.0)</f>
        <v>39501</v>
      </c>
      <c r="AN195" s="55">
        <f>IFERROR(__xludf.DUMMYFUNCTION("IMPORTRANGE(""19Rk4iqsIrqVhUR0Wl3I4sjy1_X5PL-NL_s-A5UH5HyE"",""2025-26!T3"")"),5.0)</f>
        <v>5</v>
      </c>
      <c r="AO195" s="58">
        <f t="shared" si="59"/>
        <v>0.03778695652</v>
      </c>
      <c r="AP195" s="55">
        <f>IFERROR(__xludf.DUMMYFUNCTION("IMPORTRANGE(""19Rk4iqsIrqVhUR0Wl3I4sjy1_X5PL-NL_s-A5UH5HyE"",""2025-26!U4"")"),34764.0)</f>
        <v>34764</v>
      </c>
      <c r="AQ195" s="55">
        <f>IFERROR(__xludf.DUMMYFUNCTION("IMPORTRANGE(""19Rk4iqsIrqVhUR0Wl3I4sjy1_X5PL-NL_s-A5UH5HyE"",""2025-26!U3"")"),4.0)</f>
        <v>4</v>
      </c>
      <c r="AR195" s="55">
        <f>IFERROR(__xludf.DUMMYFUNCTION("IMPORTRANGE(""19Rk4iqsIrqVhUR0Wl3I4sjy1_X5PL-NL_s-A5UH5HyE"",""2025-26!V4"")"),920000.0)</f>
        <v>920000</v>
      </c>
      <c r="AS195" s="55">
        <f>IFERROR(__xludf.DUMMYFUNCTION("IMPORTRANGE(""19Rk4iqsIrqVhUR0Wl3I4sjy1_X5PL-NL_s-A5UH5HyE"",""2025-26!V3"")"),46.0)</f>
        <v>46</v>
      </c>
      <c r="AT195" s="55">
        <f>IFERROR(__xludf.DUMMYFUNCTION("IMPORTRANGE(""19Rk4iqsIrqVhUR0Wl3I4sjy1_X5PL-NL_s-A5UH5HyE"",""2025-26!W4"")"),80037.1)</f>
        <v>80037.1</v>
      </c>
      <c r="AU195" s="55">
        <f>IFERROR(__xludf.DUMMYFUNCTION("IMPORTRANGE(""19Rk4iqsIrqVhUR0Wl3I4sjy1_X5PL-NL_s-A5UH5HyE"",""2025-26!W3"")"),7.0)</f>
        <v>7</v>
      </c>
      <c r="AV195" s="58">
        <f t="shared" si="60"/>
        <v>0.08651195652</v>
      </c>
      <c r="AW195" s="55">
        <f>IFERROR(__xludf.DUMMYFUNCTION("IMPORTRANGE(""19Rk4iqsIrqVhUR0Wl3I4sjy1_X5PL-NL_s-A5UH5HyE"",""2025-26!X4"")"),79591.0)</f>
        <v>79591</v>
      </c>
      <c r="AX195" s="55">
        <f>IFERROR(__xludf.DUMMYFUNCTION("IMPORTRANGE(""19Rk4iqsIrqVhUR0Wl3I4sjy1_X5PL-NL_s-A5UH5HyE"",""2025-26!X3"")"),7.0)</f>
        <v>7</v>
      </c>
      <c r="AY195" s="55">
        <f>IFERROR(__xludf.DUMMYFUNCTION("IMPORTRANGE(""19Rk4iqsIrqVhUR0Wl3I4sjy1_X5PL-NL_s-A5UH5HyE"",""2025-26!Y4"")"),920000.0)</f>
        <v>920000</v>
      </c>
      <c r="AZ195" s="55">
        <f>IFERROR(__xludf.DUMMYFUNCTION("IMPORTRANGE(""19Rk4iqsIrqVhUR0Wl3I4sjy1_X5PL-NL_s-A5UH5HyE"",""2025-26!Y3"")"),46.0)</f>
        <v>46</v>
      </c>
      <c r="BA195" s="55">
        <f>IFERROR(__xludf.DUMMYFUNCTION("IMPORTRANGE(""19Rk4iqsIrqVhUR0Wl3I4sjy1_X5PL-NL_s-A5UH5HyE"",""2025-26!Z4"")"),357746.23999999993)</f>
        <v>357746.24</v>
      </c>
      <c r="BB195" s="55">
        <f>IFERROR(__xludf.DUMMYFUNCTION("IMPORTRANGE(""19Rk4iqsIrqVhUR0Wl3I4sjy1_X5PL-NL_s-A5UH5HyE"",""2025-26!Z3"")"),23.0)</f>
        <v>23</v>
      </c>
      <c r="BC195" s="59">
        <f t="shared" si="61"/>
        <v>0.3879543478</v>
      </c>
      <c r="BD195" s="55">
        <f>IFERROR(__xludf.DUMMYFUNCTION("IMPORTRANGE(""19Rk4iqsIrqVhUR0Wl3I4sjy1_X5PL-NL_s-A5UH5HyE"",""2025-26!AA4"")"),356918.0)</f>
        <v>356918</v>
      </c>
      <c r="BE195" s="55">
        <f>IFERROR(__xludf.DUMMYFUNCTION("IMPORTRANGE(""19Rk4iqsIrqVhUR0Wl3I4sjy1_X5PL-NL_s-A5UH5HyE"",""2025-26!AA3"")"),23.0)</f>
        <v>23</v>
      </c>
      <c r="BF195" s="55">
        <f>IFERROR(__xludf.DUMMYFUNCTION("IMPORTRANGE(""19Rk4iqsIrqVhUR0Wl3I4sjy1_X5PL-NL_s-A5UH5HyE"",""2025-26!AB4"")"),1920000.0)</f>
        <v>1920000</v>
      </c>
      <c r="BG195" s="55">
        <f>IFERROR(__xludf.DUMMYFUNCTION("IMPORTRANGE(""19Rk4iqsIrqVhUR0Wl3I4sjy1_X5PL-NL_s-A5UH5HyE"",""2025-26!AB3"")"),96.0)</f>
        <v>96</v>
      </c>
      <c r="BH195" s="55">
        <f>IFERROR(__xludf.DUMMYFUNCTION("IMPORTRANGE(""19Rk4iqsIrqVhUR0Wl3I4sjy1_X5PL-NL_s-A5UH5HyE"",""2025-26!AC4"")"),234968.50999999998)</f>
        <v>234968.51</v>
      </c>
      <c r="BI195" s="55">
        <f>IFERROR(__xludf.DUMMYFUNCTION("IMPORTRANGE(""19Rk4iqsIrqVhUR0Wl3I4sjy1_X5PL-NL_s-A5UH5HyE"",""2025-26!AC3"")"),17.0)</f>
        <v>17</v>
      </c>
      <c r="BJ195" s="59">
        <f t="shared" si="62"/>
        <v>0.1229609375</v>
      </c>
      <c r="BK195" s="55">
        <f>IFERROR(__xludf.DUMMYFUNCTION("IMPORTRANGE(""19Rk4iqsIrqVhUR0Wl3I4sjy1_X5PL-NL_s-A5UH5HyE"",""2025-26!AD4"")"),236085.0)</f>
        <v>236085</v>
      </c>
      <c r="BL195" s="55">
        <f>IFERROR(__xludf.DUMMYFUNCTION("IMPORTRANGE(""19Rk4iqsIrqVhUR0Wl3I4sjy1_X5PL-NL_s-A5UH5HyE"",""2025-26!AD3"")"),16.0)</f>
        <v>16</v>
      </c>
      <c r="BM195" s="55">
        <f>IFERROR(__xludf.DUMMYFUNCTION("IMPORTRANGE(""19Rk4iqsIrqVhUR0Wl3I4sjy1_X5PL-NL_s-A5UH5HyE"",""2025-26!AE4"")"),1920000.0)</f>
        <v>1920000</v>
      </c>
      <c r="BN195" s="55">
        <f>IFERROR(__xludf.DUMMYFUNCTION("IMPORTRANGE(""19Rk4iqsIrqVhUR0Wl3I4sjy1_X5PL-NL_s-A5UH5HyE"",""2025-26!AE3"")"),96.0)</f>
        <v>96</v>
      </c>
      <c r="BO195" s="55">
        <f>IFERROR(__xludf.DUMMYFUNCTION("IMPORTRANGE(""19Rk4iqsIrqVhUR0Wl3I4sjy1_X5PL-NL_s-A5UH5HyE"",""2025-26!AF4"")"),195846.55000000002)</f>
        <v>195846.55</v>
      </c>
      <c r="BP195" s="55">
        <f>IFERROR(__xludf.DUMMYFUNCTION("IMPORTRANGE(""19Rk4iqsIrqVhUR0Wl3I4sjy1_X5PL-NL_s-A5UH5HyE"",""2025-26!AF3"")"),16.0)</f>
        <v>16</v>
      </c>
      <c r="BQ195" s="59">
        <f t="shared" si="63"/>
        <v>0.10088125</v>
      </c>
      <c r="BR195" s="55">
        <f>IFERROR(__xludf.DUMMYFUNCTION("IMPORTRANGE(""19Rk4iqsIrqVhUR0Wl3I4sjy1_X5PL-NL_s-A5UH5HyE"",""2025-26!AG4"")"),193692.0)</f>
        <v>193692</v>
      </c>
      <c r="BS195" s="55">
        <f>IFERROR(__xludf.DUMMYFUNCTION("IMPORTRANGE(""19Rk4iqsIrqVhUR0Wl3I4sjy1_X5PL-NL_s-A5UH5HyE"",""2025-26!AG3"")"),15.0)</f>
        <v>15</v>
      </c>
      <c r="BT195" s="55">
        <f>IFERROR(__xludf.DUMMYFUNCTION("IMPORTRANGE(""19Rk4iqsIrqVhUR0Wl3I4sjy1_X5PL-NL_s-A5UH5HyE"",""2025-26!AH4"")"),1920000.0)</f>
        <v>1920000</v>
      </c>
      <c r="BU195" s="55">
        <f>IFERROR(__xludf.DUMMYFUNCTION("IMPORTRANGE(""19Rk4iqsIrqVhUR0Wl3I4sjy1_X5PL-NL_s-A5UH5HyE"",""2025-26!AH3"")"),96.0)</f>
        <v>96</v>
      </c>
      <c r="BV195" s="55">
        <f>IFERROR(__xludf.DUMMYFUNCTION("IMPORTRANGE(""19Rk4iqsIrqVhUR0Wl3I4sjy1_X5PL-NL_s-A5UH5HyE"",""2025-26!AI4"")"),392062.56999999995)</f>
        <v>392062.57</v>
      </c>
      <c r="BW195" s="55">
        <f>IFERROR(__xludf.DUMMYFUNCTION("IMPORTRANGE(""19Rk4iqsIrqVhUR0Wl3I4sjy1_X5PL-NL_s-A5UH5HyE"",""2025-26!AI3"")"),30.0)</f>
        <v>30</v>
      </c>
      <c r="BX195" s="59">
        <f t="shared" si="64"/>
        <v>0.19280625</v>
      </c>
      <c r="BY195" s="55">
        <f>IFERROR(__xludf.DUMMYFUNCTION("IMPORTRANGE(""19Rk4iqsIrqVhUR0Wl3I4sjy1_X5PL-NL_s-A5UH5HyE"",""2025-26!AJ4"")"),370188.0)</f>
        <v>370188</v>
      </c>
      <c r="BZ195" s="55">
        <f>IFERROR(__xludf.DUMMYFUNCTION("IMPORTRANGE(""19Rk4iqsIrqVhUR0Wl3I4sjy1_X5PL-NL_s-A5UH5HyE"",""2025-26!AJ3"")"),28.0)</f>
        <v>28</v>
      </c>
      <c r="CA195" s="55">
        <f>IFERROR(__xludf.DUMMYFUNCTION("IMPORTRANGE(""19Rk4iqsIrqVhUR0Wl3I4sjy1_X5PL-NL_s-A5UH5HyE"",""2025-26!AK4"")"),0.0)</f>
        <v>0</v>
      </c>
      <c r="CB195" s="55">
        <f>IFERROR(__xludf.DUMMYFUNCTION("IMPORTRANGE(""19Rk4iqsIrqVhUR0Wl3I4sjy1_X5PL-NL_s-A5UH5HyE"",""2025-26!AK3"")"),0.0)</f>
        <v>0</v>
      </c>
      <c r="CC195" s="55">
        <f>IFERROR(__xludf.DUMMYFUNCTION("IMPORTRANGE(""19Rk4iqsIrqVhUR0Wl3I4sjy1_X5PL-NL_s-A5UH5HyE"",""2025-26!AL4"")"),105212.11)</f>
        <v>105212.11</v>
      </c>
      <c r="CD195" s="55">
        <f>IFERROR(__xludf.DUMMYFUNCTION("IMPORTRANGE(""19Rk4iqsIrqVhUR0Wl3I4sjy1_X5PL-NL_s-A5UH5HyE"",""2025-26!AL3"")"),10.0)</f>
        <v>10</v>
      </c>
      <c r="CE195" s="59" t="str">
        <f t="shared" si="65"/>
        <v/>
      </c>
      <c r="CF195" s="55">
        <f>IFERROR(__xludf.DUMMYFUNCTION("IMPORTRANGE(""19Rk4iqsIrqVhUR0Wl3I4sjy1_X5PL-NL_s-A5UH5HyE"",""2025-26!AM4"")"),96705.0)</f>
        <v>96705</v>
      </c>
      <c r="CG195" s="55">
        <f>IFERROR(__xludf.DUMMYFUNCTION("IMPORTRANGE(""19Rk4iqsIrqVhUR0Wl3I4sjy1_X5PL-NL_s-A5UH5HyE"",""2025-26!AM3"")"),9.0)</f>
        <v>9</v>
      </c>
      <c r="CH195" s="55">
        <f>IFERROR(__xludf.DUMMYFUNCTION("IMPORTRANGE(""19Rk4iqsIrqVhUR0Wl3I4sjy1_X5PL-NL_s-A5UH5HyE"",""2025-26!AN4"")"),0.0)</f>
        <v>0</v>
      </c>
      <c r="CI195" s="55">
        <f>IFERROR(__xludf.DUMMYFUNCTION("IMPORTRANGE(""19Rk4iqsIrqVhUR0Wl3I4sjy1_X5PL-NL_s-A5UH5HyE"",""2025-26!AN3"")"),0.0)</f>
        <v>0</v>
      </c>
      <c r="CJ195" s="55">
        <f>IFERROR(__xludf.DUMMYFUNCTION("IMPORTRANGE(""19Rk4iqsIrqVhUR0Wl3I4sjy1_X5PL-NL_s-A5UH5HyE"",""2025-26!AO4"")"),0.0)</f>
        <v>0</v>
      </c>
      <c r="CK195" s="55">
        <f>IFERROR(__xludf.DUMMYFUNCTION("IMPORTRANGE(""19Rk4iqsIrqVhUR0Wl3I4sjy1_X5PL-NL_s-A5UH5HyE"",""2025-26!AO3"")"),0.0)</f>
        <v>0</v>
      </c>
      <c r="CL195" s="59" t="str">
        <f t="shared" si="66"/>
        <v/>
      </c>
      <c r="CM195" s="55">
        <f>IFERROR(__xludf.DUMMYFUNCTION("IMPORTRANGE(""19Rk4iqsIrqVhUR0Wl3I4sjy1_X5PL-NL_s-A5UH5HyE"",""2025-26!AP4"")"),0.0)</f>
        <v>0</v>
      </c>
      <c r="CN195" s="55">
        <f>IFERROR(__xludf.DUMMYFUNCTION("IMPORTRANGE(""19Rk4iqsIrqVhUR0Wl3I4sjy1_X5PL-NL_s-A5UH5HyE"",""2025-26!AP3"")"),0.0)</f>
        <v>0</v>
      </c>
      <c r="CO195" s="55">
        <f>IFERROR(__xludf.DUMMYFUNCTION("IMPORTRANGE(""19Rk4iqsIrqVhUR0Wl3I4sjy1_X5PL-NL_s-A5UH5HyE"",""2025-26!AQ4"")"),0.0)</f>
        <v>0</v>
      </c>
      <c r="CP195" s="55">
        <f>IFERROR(__xludf.DUMMYFUNCTION("IMPORTRANGE(""19Rk4iqsIrqVhUR0Wl3I4sjy1_X5PL-NL_s-A5UH5HyE"",""2025-26!AQ3"")"),0.0)</f>
        <v>0</v>
      </c>
      <c r="CQ195" s="55">
        <f>IFERROR(__xludf.DUMMYFUNCTION("IMPORTRANGE(""19Rk4iqsIrqVhUR0Wl3I4sjy1_X5PL-NL_s-A5UH5HyE"",""2025-26!AR4"")"),0.0)</f>
        <v>0</v>
      </c>
      <c r="CR195" s="55">
        <f>IFERROR(__xludf.DUMMYFUNCTION("IMPORTRANGE(""19Rk4iqsIrqVhUR0Wl3I4sjy1_X5PL-NL_s-A5UH5HyE"",""2025-26!AR3"")"),0.0)</f>
        <v>0</v>
      </c>
      <c r="CS195" s="59" t="str">
        <f t="shared" si="67"/>
        <v/>
      </c>
      <c r="CT195" s="55">
        <f>IFERROR(__xludf.DUMMYFUNCTION("IMPORTRANGE(""19Rk4iqsIrqVhUR0Wl3I4sjy1_X5PL-NL_s-A5UH5HyE"",""2025-26!AS4"")"),0.0)</f>
        <v>0</v>
      </c>
      <c r="CU195" s="55">
        <f>IFERROR(__xludf.DUMMYFUNCTION("IMPORTRANGE(""19Rk4iqsIrqVhUR0Wl3I4sjy1_X5PL-NL_s-A5UH5HyE"",""2025-26!AS3"")"),0.0)</f>
        <v>0</v>
      </c>
      <c r="CV195" s="60" t="s">
        <v>85</v>
      </c>
    </row>
    <row r="196">
      <c r="A196" s="148" t="s">
        <v>84</v>
      </c>
      <c r="B196" s="149" t="s">
        <v>85</v>
      </c>
      <c r="C196" s="130" t="s">
        <v>400</v>
      </c>
      <c r="D196" s="65" t="s">
        <v>398</v>
      </c>
      <c r="E196" s="68">
        <v>6.383073283E9</v>
      </c>
      <c r="F196" s="150" t="s">
        <v>401</v>
      </c>
      <c r="G196" s="62"/>
      <c r="H196" s="62"/>
      <c r="I196" s="70">
        <v>48765.0</v>
      </c>
      <c r="J196" s="54">
        <v>1500000.0</v>
      </c>
      <c r="K196" s="55">
        <f>IFERROR(__xludf.DUMMYFUNCTION("IMPORTRANGE(""1VL8r5XxKOp6ZSy76JrbWBrP1HeaWGPkBMKImWbVh_Mk"",""2025-26!A3"")"),6.0)</f>
        <v>6</v>
      </c>
      <c r="L196" s="55">
        <f>IFERROR(__xludf.DUMMYFUNCTION("IMPORTRANGE(""1VL8r5XxKOp6ZSy76JrbWBrP1HeaWGPkBMKImWbVh_Mk"",""2025-26!G4"")"),0.0)</f>
        <v>0</v>
      </c>
      <c r="M196" s="55">
        <f t="shared" si="84"/>
        <v>0</v>
      </c>
      <c r="N196" s="56" t="str">
        <f t="shared" si="85"/>
        <v>#DIV/0!</v>
      </c>
      <c r="O196" s="57">
        <f t="shared" si="86"/>
        <v>0</v>
      </c>
      <c r="P196" s="55">
        <f>IFERROR(__xludf.DUMMYFUNCTION("IMPORTRANGE(""1VL8r5XxKOp6ZSy76JrbWBrP1HeaWGPkBMKImWbVh_Mk"",""2025-26!J4"")"),0.0)</f>
        <v>0</v>
      </c>
      <c r="Q196" s="55">
        <f>IFERROR(__xludf.DUMMYFUNCTION("IMPORTRANGE(""1VL8r5XxKOp6ZSy76JrbWBrP1HeaWGPkBMKImWbVh_Mk"",""2025-26!J3"")"),0.0)</f>
        <v>0</v>
      </c>
      <c r="R196" s="55">
        <f>IFERROR(__xludf.DUMMYFUNCTION("IMPORTRANGE(""1VL8r5XxKOp6ZSy76JrbWBrP1HeaWGPkBMKImWbVh_Mk"",""2025-26!K4"")"),0.0)</f>
        <v>0</v>
      </c>
      <c r="S196" s="55">
        <f>IFERROR(__xludf.DUMMYFUNCTION("IMPORTRANGE(""1VL8r5XxKOp6ZSy76JrbWBrP1HeaWGPkBMKImWbVh_Mk"",""2025-26!K3"")"),0.0)</f>
        <v>0</v>
      </c>
      <c r="T196" s="58" t="str">
        <f t="shared" si="56"/>
        <v/>
      </c>
      <c r="U196" s="55">
        <f>IFERROR(__xludf.DUMMYFUNCTION("IMPORTRANGE(""1VL8r5XxKOp6ZSy76JrbWBrP1HeaWGPkBMKImWbVh_Mk"",""2025-26!L4"")"),0.0)</f>
        <v>0</v>
      </c>
      <c r="V196" s="55">
        <f>IFERROR(__xludf.DUMMYFUNCTION("IMPORTRANGE(""1VL8r5XxKOp6ZSy76JrbWBrP1HeaWGPkBMKImWbVh_Mk"",""2025-26!L3"")"),0.0)</f>
        <v>0</v>
      </c>
      <c r="W196" s="55">
        <f>IFERROR(__xludf.DUMMYFUNCTION("IMPORTRANGE(""1VL8r5XxKOp6ZSy76JrbWBrP1HeaWGPkBMKImWbVh_Mk"",""2025-26!m4"")"),0.0)</f>
        <v>0</v>
      </c>
      <c r="X196" s="55">
        <f>IFERROR(__xludf.DUMMYFUNCTION("IMPORTRANGE(""1VL8r5XxKOp6ZSy76JrbWBrP1HeaWGPkBMKImWbVh_Mk"",""2025-26!m3"")"),0.0)</f>
        <v>0</v>
      </c>
      <c r="Y196" s="55">
        <f>IFERROR(__xludf.DUMMYFUNCTION("IMPORTRANGE(""1VL8r5XxKOp6ZSy76JrbWBrP1HeaWGPkBMKImWbVh_Mk"",""2025-26!N4"")"),0.0)</f>
        <v>0</v>
      </c>
      <c r="Z196" s="55">
        <f>IFERROR(__xludf.DUMMYFUNCTION("IMPORTRANGE(""1VL8r5XxKOp6ZSy76JrbWBrP1HeaWGPkBMKImWbVh_Mk"",""2025-26!N3"")"),0.0)</f>
        <v>0</v>
      </c>
      <c r="AA196" s="58" t="str">
        <f t="shared" si="57"/>
        <v/>
      </c>
      <c r="AB196" s="55">
        <f>IFERROR(__xludf.DUMMYFUNCTION("IMPORTRANGE(""1VL8r5XxKOp6ZSy76JrbWBrP1HeaWGPkBMKImWbVh_Mk"",""2025-26!O4"")"),0.0)</f>
        <v>0</v>
      </c>
      <c r="AC196" s="55">
        <f>IFERROR(__xludf.DUMMYFUNCTION("IMPORTRANGE(""1VL8r5XxKOp6ZSy76JrbWBrP1HeaWGPkBMKImWbVh_Mk"",""2025-26!O3"")"),0.0)</f>
        <v>0</v>
      </c>
      <c r="AD196" s="55">
        <f>IFERROR(__xludf.DUMMYFUNCTION("IMPORTRANGE(""1VL8r5XxKOp6ZSy76JrbWBrP1HeaWGPkBMKImWbVh_Mk"",""2025-26!P4"")"),0.0)</f>
        <v>0</v>
      </c>
      <c r="AE196" s="55">
        <f>IFERROR(__xludf.DUMMYFUNCTION("IMPORTRANGE(""1VL8r5XxKOp6ZSy76JrbWBrP1HeaWGPkBMKImWbVh_Mk"",""2025-26!P3"")"),0.0)</f>
        <v>0</v>
      </c>
      <c r="AF196" s="55">
        <f>IFERROR(__xludf.DUMMYFUNCTION("IMPORTRANGE(""1VL8r5XxKOp6ZSy76JrbWBrP1HeaWGPkBMKImWbVh_Mk"",""2025-26!Q4"")"),0.0)</f>
        <v>0</v>
      </c>
      <c r="AG196" s="55">
        <f>IFERROR(__xludf.DUMMYFUNCTION("IMPORTRANGE(""1VL8r5XxKOp6ZSy76JrbWBrP1HeaWGPkBMKImWbVh_Mk"",""2025-26!Q3"")"),0.0)</f>
        <v>0</v>
      </c>
      <c r="AH196" s="58" t="str">
        <f t="shared" si="58"/>
        <v/>
      </c>
      <c r="AI196" s="55">
        <f>IFERROR(__xludf.DUMMYFUNCTION("IMPORTRANGE(""1VL8r5XxKOp6ZSy76JrbWBrP1HeaWGPkBMKImWbVh_Mk"",""2025-26!R4"")"),0.0)</f>
        <v>0</v>
      </c>
      <c r="AJ196" s="55">
        <f>IFERROR(__xludf.DUMMYFUNCTION("IMPORTRANGE(""1VL8r5XxKOp6ZSy76JrbWBrP1HeaWGPkBMKImWbVh_Mk"",""2025-26!R3"")"),0.0)</f>
        <v>0</v>
      </c>
      <c r="AK196" s="55">
        <f>IFERROR(__xludf.DUMMYFUNCTION("IMPORTRANGE(""1VL8r5XxKOp6ZSy76JrbWBrP1HeaWGPkBMKImWbVh_Mk"",""2025-26!S4"")"),0.0)</f>
        <v>0</v>
      </c>
      <c r="AL196" s="55">
        <f>IFERROR(__xludf.DUMMYFUNCTION("IMPORTRANGE(""1VL8r5XxKOp6ZSy76JrbWBrP1HeaWGPkBMKImWbVh_Mk"",""2025-26!S3"")"),0.0)</f>
        <v>0</v>
      </c>
      <c r="AM196" s="55">
        <f>IFERROR(__xludf.DUMMYFUNCTION("IMPORTRANGE(""1VL8r5XxKOp6ZSy76JrbWBrP1HeaWGPkBMKImWbVh_Mk"",""2025-26!T4"")"),0.0)</f>
        <v>0</v>
      </c>
      <c r="AN196" s="55">
        <f>IFERROR(__xludf.DUMMYFUNCTION("IMPORTRANGE(""1VL8r5XxKOp6ZSy76JrbWBrP1HeaWGPkBMKImWbVh_Mk"",""2025-26!T3"")"),0.0)</f>
        <v>0</v>
      </c>
      <c r="AO196" s="58" t="str">
        <f t="shared" si="59"/>
        <v/>
      </c>
      <c r="AP196" s="55">
        <f>IFERROR(__xludf.DUMMYFUNCTION("IMPORTRANGE(""1VL8r5XxKOp6ZSy76JrbWBrP1HeaWGPkBMKImWbVh_Mk"",""2025-26!U4"")"),0.0)</f>
        <v>0</v>
      </c>
      <c r="AQ196" s="55">
        <f>IFERROR(__xludf.DUMMYFUNCTION("IMPORTRANGE(""1VL8r5XxKOp6ZSy76JrbWBrP1HeaWGPkBMKImWbVh_Mk"",""2025-26!U3"")"),0.0)</f>
        <v>0</v>
      </c>
      <c r="AR196" s="55">
        <f>IFERROR(__xludf.DUMMYFUNCTION("IMPORTRANGE(""1VL8r5XxKOp6ZSy76JrbWBrP1HeaWGPkBMKImWbVh_Mk"",""2025-26!V4"")"),0.0)</f>
        <v>0</v>
      </c>
      <c r="AS196" s="55">
        <f>IFERROR(__xludf.DUMMYFUNCTION("IMPORTRANGE(""1VL8r5XxKOp6ZSy76JrbWBrP1HeaWGPkBMKImWbVh_Mk"",""2025-26!V3"")"),0.0)</f>
        <v>0</v>
      </c>
      <c r="AT196" s="55">
        <f>IFERROR(__xludf.DUMMYFUNCTION("IMPORTRANGE(""1VL8r5XxKOp6ZSy76JrbWBrP1HeaWGPkBMKImWbVh_Mk"",""2025-26!W4"")"),0.0)</f>
        <v>0</v>
      </c>
      <c r="AU196" s="55">
        <f>IFERROR(__xludf.DUMMYFUNCTION("IMPORTRANGE(""1VL8r5XxKOp6ZSy76JrbWBrP1HeaWGPkBMKImWbVh_Mk"",""2025-26!W3"")"),0.0)</f>
        <v>0</v>
      </c>
      <c r="AV196" s="58" t="str">
        <f t="shared" si="60"/>
        <v/>
      </c>
      <c r="AW196" s="55">
        <f>IFERROR(__xludf.DUMMYFUNCTION("IMPORTRANGE(""1VL8r5XxKOp6ZSy76JrbWBrP1HeaWGPkBMKImWbVh_Mk"",""2025-26!X4"")"),0.0)</f>
        <v>0</v>
      </c>
      <c r="AX196" s="55">
        <f>IFERROR(__xludf.DUMMYFUNCTION("IMPORTRANGE(""1VL8r5XxKOp6ZSy76JrbWBrP1HeaWGPkBMKImWbVh_Mk"",""2025-26!X3"")"),0.0)</f>
        <v>0</v>
      </c>
      <c r="AY196" s="55">
        <f>IFERROR(__xludf.DUMMYFUNCTION("IMPORTRANGE(""1VL8r5XxKOp6ZSy76JrbWBrP1HeaWGPkBMKImWbVh_Mk"",""2025-26!Y4"")"),0.0)</f>
        <v>0</v>
      </c>
      <c r="AZ196" s="55">
        <f>IFERROR(__xludf.DUMMYFUNCTION("IMPORTRANGE(""1VL8r5XxKOp6ZSy76JrbWBrP1HeaWGPkBMKImWbVh_Mk"",""2025-26!Y3"")"),0.0)</f>
        <v>0</v>
      </c>
      <c r="BA196" s="55">
        <f>IFERROR(__xludf.DUMMYFUNCTION("IMPORTRANGE(""1VL8r5XxKOp6ZSy76JrbWBrP1HeaWGPkBMKImWbVh_Mk"",""2025-26!Z4"")"),0.0)</f>
        <v>0</v>
      </c>
      <c r="BB196" s="55">
        <f>IFERROR(__xludf.DUMMYFUNCTION("IMPORTRANGE(""1VL8r5XxKOp6ZSy76JrbWBrP1HeaWGPkBMKImWbVh_Mk"",""2025-26!Z3"")"),0.0)</f>
        <v>0</v>
      </c>
      <c r="BC196" s="59" t="str">
        <f t="shared" si="61"/>
        <v/>
      </c>
      <c r="BD196" s="55">
        <f>IFERROR(__xludf.DUMMYFUNCTION("IMPORTRANGE(""1VL8r5XxKOp6ZSy76JrbWBrP1HeaWGPkBMKImWbVh_Mk"",""2025-26!AA4"")"),0.0)</f>
        <v>0</v>
      </c>
      <c r="BE196" s="55">
        <f>IFERROR(__xludf.DUMMYFUNCTION("IMPORTRANGE(""1VL8r5XxKOp6ZSy76JrbWBrP1HeaWGPkBMKImWbVh_Mk"",""2025-26!AA3"")"),0.0)</f>
        <v>0</v>
      </c>
      <c r="BF196" s="55">
        <f>IFERROR(__xludf.DUMMYFUNCTION("IMPORTRANGE(""1VL8r5XxKOp6ZSy76JrbWBrP1HeaWGPkBMKImWbVh_Mk"",""2025-26!AB4"")"),0.0)</f>
        <v>0</v>
      </c>
      <c r="BG196" s="55">
        <f>IFERROR(__xludf.DUMMYFUNCTION("IMPORTRANGE(""1VL8r5XxKOp6ZSy76JrbWBrP1HeaWGPkBMKImWbVh_Mk"",""2025-26!AB3"")"),0.0)</f>
        <v>0</v>
      </c>
      <c r="BH196" s="55">
        <f>IFERROR(__xludf.DUMMYFUNCTION("IMPORTRANGE(""1VL8r5XxKOp6ZSy76JrbWBrP1HeaWGPkBMKImWbVh_Mk"",""2025-26!AC4"")"),0.0)</f>
        <v>0</v>
      </c>
      <c r="BI196" s="55">
        <f>IFERROR(__xludf.DUMMYFUNCTION("IMPORTRANGE(""1VL8r5XxKOp6ZSy76JrbWBrP1HeaWGPkBMKImWbVh_Mk"",""2025-26!AC3"")"),0.0)</f>
        <v>0</v>
      </c>
      <c r="BJ196" s="59" t="str">
        <f t="shared" si="62"/>
        <v/>
      </c>
      <c r="BK196" s="55">
        <f>IFERROR(__xludf.DUMMYFUNCTION("IMPORTRANGE(""1VL8r5XxKOp6ZSy76JrbWBrP1HeaWGPkBMKImWbVh_Mk"",""2025-26!AD4"")"),0.0)</f>
        <v>0</v>
      </c>
      <c r="BL196" s="55">
        <f>IFERROR(__xludf.DUMMYFUNCTION("IMPORTRANGE(""1VL8r5XxKOp6ZSy76JrbWBrP1HeaWGPkBMKImWbVh_Mk"",""2025-26!AD3"")"),0.0)</f>
        <v>0</v>
      </c>
      <c r="BM196" s="55">
        <f>IFERROR(__xludf.DUMMYFUNCTION("IMPORTRANGE(""1VL8r5XxKOp6ZSy76JrbWBrP1HeaWGPkBMKImWbVh_Mk"",""2025-26!AE4"")"),0.0)</f>
        <v>0</v>
      </c>
      <c r="BN196" s="55">
        <f>IFERROR(__xludf.DUMMYFUNCTION("IMPORTRANGE(""1VL8r5XxKOp6ZSy76JrbWBrP1HeaWGPkBMKImWbVh_Mk"",""2025-26!AE3"")"),0.0)</f>
        <v>0</v>
      </c>
      <c r="BO196" s="55">
        <f>IFERROR(__xludf.DUMMYFUNCTION("IMPORTRANGE(""1VL8r5XxKOp6ZSy76JrbWBrP1HeaWGPkBMKImWbVh_Mk"",""2025-26!AF4"")"),0.0)</f>
        <v>0</v>
      </c>
      <c r="BP196" s="55">
        <f>IFERROR(__xludf.DUMMYFUNCTION("IMPORTRANGE(""1VL8r5XxKOp6ZSy76JrbWBrP1HeaWGPkBMKImWbVh_Mk"",""2025-26!AF3"")"),0.0)</f>
        <v>0</v>
      </c>
      <c r="BQ196" s="59" t="str">
        <f t="shared" si="63"/>
        <v/>
      </c>
      <c r="BR196" s="55">
        <f>IFERROR(__xludf.DUMMYFUNCTION("IMPORTRANGE(""1VL8r5XxKOp6ZSy76JrbWBrP1HeaWGPkBMKImWbVh_Mk"",""2025-26!AG4"")"),0.0)</f>
        <v>0</v>
      </c>
      <c r="BS196" s="55">
        <f>IFERROR(__xludf.DUMMYFUNCTION("IMPORTRANGE(""1VL8r5XxKOp6ZSy76JrbWBrP1HeaWGPkBMKImWbVh_Mk"",""2025-26!AG3"")"),0.0)</f>
        <v>0</v>
      </c>
      <c r="BT196" s="55">
        <f>IFERROR(__xludf.DUMMYFUNCTION("IMPORTRANGE(""1VL8r5XxKOp6ZSy76JrbWBrP1HeaWGPkBMKImWbVh_Mk"",""2025-26!AH4"")"),0.0)</f>
        <v>0</v>
      </c>
      <c r="BU196" s="55">
        <f>IFERROR(__xludf.DUMMYFUNCTION("IMPORTRANGE(""1VL8r5XxKOp6ZSy76JrbWBrP1HeaWGPkBMKImWbVh_Mk"",""2025-26!AH3"")"),0.0)</f>
        <v>0</v>
      </c>
      <c r="BV196" s="55">
        <f>IFERROR(__xludf.DUMMYFUNCTION("IMPORTRANGE(""1VL8r5XxKOp6ZSy76JrbWBrP1HeaWGPkBMKImWbVh_Mk"",""2025-26!AI4"")"),0.0)</f>
        <v>0</v>
      </c>
      <c r="BW196" s="55">
        <f>IFERROR(__xludf.DUMMYFUNCTION("IMPORTRANGE(""1VL8r5XxKOp6ZSy76JrbWBrP1HeaWGPkBMKImWbVh_Mk"",""2025-26!AI3"")"),0.0)</f>
        <v>0</v>
      </c>
      <c r="BX196" s="59" t="str">
        <f t="shared" si="64"/>
        <v/>
      </c>
      <c r="BY196" s="55">
        <f>IFERROR(__xludf.DUMMYFUNCTION("IMPORTRANGE(""1VL8r5XxKOp6ZSy76JrbWBrP1HeaWGPkBMKImWbVh_Mk"",""2025-26!AJ4"")"),0.0)</f>
        <v>0</v>
      </c>
      <c r="BZ196" s="55">
        <f>IFERROR(__xludf.DUMMYFUNCTION("IMPORTRANGE(""1VL8r5XxKOp6ZSy76JrbWBrP1HeaWGPkBMKImWbVh_Mk"",""2025-26!AJ3"")"),0.0)</f>
        <v>0</v>
      </c>
      <c r="CA196" s="55">
        <f>IFERROR(__xludf.DUMMYFUNCTION("IMPORTRANGE(""1VL8r5XxKOp6ZSy76JrbWBrP1HeaWGPkBMKImWbVh_Mk"",""2025-26!AK4"")"),0.0)</f>
        <v>0</v>
      </c>
      <c r="CB196" s="55">
        <f>IFERROR(__xludf.DUMMYFUNCTION("IMPORTRANGE(""1VL8r5XxKOp6ZSy76JrbWBrP1HeaWGPkBMKImWbVh_Mk"",""2025-26!AK3"")"),0.0)</f>
        <v>0</v>
      </c>
      <c r="CC196" s="55">
        <f>IFERROR(__xludf.DUMMYFUNCTION("IMPORTRANGE(""1VL8r5XxKOp6ZSy76JrbWBrP1HeaWGPkBMKImWbVh_Mk"",""2025-26!AL4"")"),0.0)</f>
        <v>0</v>
      </c>
      <c r="CD196" s="55">
        <f>IFERROR(__xludf.DUMMYFUNCTION("IMPORTRANGE(""1VL8r5XxKOp6ZSy76JrbWBrP1HeaWGPkBMKImWbVh_Mk"",""2025-26!AL3"")"),0.0)</f>
        <v>0</v>
      </c>
      <c r="CE196" s="59" t="str">
        <f t="shared" si="65"/>
        <v/>
      </c>
      <c r="CF196" s="55">
        <f>IFERROR(__xludf.DUMMYFUNCTION("IMPORTRANGE(""1VL8r5XxKOp6ZSy76JrbWBrP1HeaWGPkBMKImWbVh_Mk"",""2025-26!AM4"")"),0.0)</f>
        <v>0</v>
      </c>
      <c r="CG196" s="55">
        <f>IFERROR(__xludf.DUMMYFUNCTION("IMPORTRANGE(""1VL8r5XxKOp6ZSy76JrbWBrP1HeaWGPkBMKImWbVh_Mk"",""2025-26!AM3"")"),0.0)</f>
        <v>0</v>
      </c>
      <c r="CH196" s="55">
        <f>IFERROR(__xludf.DUMMYFUNCTION("IMPORTRANGE(""1VL8r5XxKOp6ZSy76JrbWBrP1HeaWGPkBMKImWbVh_Mk"",""2025-26!AN4"")"),0.0)</f>
        <v>0</v>
      </c>
      <c r="CI196" s="55">
        <f>IFERROR(__xludf.DUMMYFUNCTION("IMPORTRANGE(""1VL8r5XxKOp6ZSy76JrbWBrP1HeaWGPkBMKImWbVh_Mk"",""2025-26!AN3"")"),0.0)</f>
        <v>0</v>
      </c>
      <c r="CJ196" s="55">
        <f>IFERROR(__xludf.DUMMYFUNCTION("IMPORTRANGE(""1VL8r5XxKOp6ZSy76JrbWBrP1HeaWGPkBMKImWbVh_Mk"",""2025-26!AO4"")"),0.0)</f>
        <v>0</v>
      </c>
      <c r="CK196" s="55">
        <f>IFERROR(__xludf.DUMMYFUNCTION("IMPORTRANGE(""1VL8r5XxKOp6ZSy76JrbWBrP1HeaWGPkBMKImWbVh_Mk"",""2025-26!AO3"")"),0.0)</f>
        <v>0</v>
      </c>
      <c r="CL196" s="59" t="str">
        <f t="shared" si="66"/>
        <v/>
      </c>
      <c r="CM196" s="55">
        <f>IFERROR(__xludf.DUMMYFUNCTION("IMPORTRANGE(""1VL8r5XxKOp6ZSy76JrbWBrP1HeaWGPkBMKImWbVh_Mk"",""2025-26!AP4"")"),0.0)</f>
        <v>0</v>
      </c>
      <c r="CN196" s="55">
        <f>IFERROR(__xludf.DUMMYFUNCTION("IMPORTRANGE(""1VL8r5XxKOp6ZSy76JrbWBrP1HeaWGPkBMKImWbVh_Mk"",""2025-26!AP3"")"),0.0)</f>
        <v>0</v>
      </c>
      <c r="CO196" s="55">
        <f>IFERROR(__xludf.DUMMYFUNCTION("IMPORTRANGE(""1VL8r5XxKOp6ZSy76JrbWBrP1HeaWGPkBMKImWbVh_Mk"",""2025-26!AQ4"")"),0.0)</f>
        <v>0</v>
      </c>
      <c r="CP196" s="55">
        <f>IFERROR(__xludf.DUMMYFUNCTION("IMPORTRANGE(""1VL8r5XxKOp6ZSy76JrbWBrP1HeaWGPkBMKImWbVh_Mk"",""2025-26!AQ3"")"),0.0)</f>
        <v>0</v>
      </c>
      <c r="CQ196" s="55">
        <f>IFERROR(__xludf.DUMMYFUNCTION("IMPORTRANGE(""1VL8r5XxKOp6ZSy76JrbWBrP1HeaWGPkBMKImWbVh_Mk"",""2025-26!AR4"")"),0.0)</f>
        <v>0</v>
      </c>
      <c r="CR196" s="55">
        <f>IFERROR(__xludf.DUMMYFUNCTION("IMPORTRANGE(""1VL8r5XxKOp6ZSy76JrbWBrP1HeaWGPkBMKImWbVh_Mk"",""2025-26!AR3"")"),0.0)</f>
        <v>0</v>
      </c>
      <c r="CS196" s="59" t="str">
        <f t="shared" si="67"/>
        <v/>
      </c>
      <c r="CT196" s="55">
        <f>IFERROR(__xludf.DUMMYFUNCTION("IMPORTRANGE(""1VL8r5XxKOp6ZSy76JrbWBrP1HeaWGPkBMKImWbVh_Mk"",""2025-26!AS4"")"),0.0)</f>
        <v>0</v>
      </c>
      <c r="CU196" s="55">
        <f>IFERROR(__xludf.DUMMYFUNCTION("IMPORTRANGE(""1VL8r5XxKOp6ZSy76JrbWBrP1HeaWGPkBMKImWbVh_Mk"",""2025-26!AS3"")"),0.0)</f>
        <v>0</v>
      </c>
      <c r="CV196" s="60" t="s">
        <v>85</v>
      </c>
    </row>
    <row r="197">
      <c r="A197" s="133" t="s">
        <v>185</v>
      </c>
      <c r="B197" s="134" t="s">
        <v>185</v>
      </c>
      <c r="C197" s="136" t="s">
        <v>402</v>
      </c>
      <c r="D197" s="50" t="s">
        <v>243</v>
      </c>
      <c r="E197" s="50">
        <v>9.064165906E9</v>
      </c>
      <c r="F197" s="74">
        <v>45042.0</v>
      </c>
      <c r="G197" s="62"/>
      <c r="H197" s="62"/>
      <c r="I197" s="53">
        <v>24000.0</v>
      </c>
      <c r="J197" s="54">
        <v>1500000.0</v>
      </c>
      <c r="K197" s="57">
        <f>IFERROR(__xludf.DUMMYFUNCTION("IMPORTRANGE(""https://docs.google.com/spreadsheets/d/1_N_I4ldw7jSXANNwvfkS1RWeo5M0ZRiXn1CZxlEUmWU/edit#gid=835357230"",""2025-26!A3"")"),76.0)</f>
        <v>76</v>
      </c>
      <c r="L197" s="57">
        <f>IFERROR(__xludf.DUMMYFUNCTION("IMPORTRANGE(""https://docs.google.com/spreadsheets/d/1_N_I4ldw7jSXANNwvfkS1RWeo5M0ZRiXn1CZxlEUmWU/edit#gid=835357230"",""2025-26!G4"")"),1.9675E7)</f>
        <v>19675000</v>
      </c>
      <c r="M197" s="57">
        <f t="shared" ref="M197:M208" si="87">SUM(R197+Y197+AF197+AM197+AT197+BA197+BH197+BO197+BV197+CC197+CJ197+CQ197)</f>
        <v>4573013.85</v>
      </c>
      <c r="N197" s="56">
        <f t="shared" ref="N197:N208" si="88">iferror(O197/L197,"")</f>
        <v>0.1602871156</v>
      </c>
      <c r="O197" s="57">
        <f t="shared" ref="O197:O208" si="89">SUM(U197,AB197,AI197,AP197,AW197,BD197,BK197,BR197,BY197,CF197,CM197,CT197)</f>
        <v>3153649</v>
      </c>
      <c r="P197" s="55">
        <f>IFERROR(__xludf.DUMMYFUNCTION("IMPORTRANGE(""https://docs.google.com/spreadsheets/d/1_N_I4ldw7jSXANNwvfkS1RWeo5M0ZRiXn1CZxlEUmWU/edit#gid=835357230"",""2025-26!J4"")"),0.0)</f>
        <v>0</v>
      </c>
      <c r="Q197" s="55">
        <f>IFERROR(__xludf.DUMMYFUNCTION("IMPORTRANGE(""https://docs.google.com/spreadsheets/d/1_N_I4ldw7jSXANNwvfkS1RWeo5M0ZRiXn1CZxlEUmWU/edit#gid=835357230"",""2025-26!J3"")"),0.0)</f>
        <v>0</v>
      </c>
      <c r="R197" s="55">
        <f>IFERROR(__xludf.DUMMYFUNCTION("IMPORTRANGE(""https://docs.google.com/spreadsheets/d/1_N_I4ldw7jSXANNwvfkS1RWeo5M0ZRiXn1CZxlEUmWU/edit#gid=835357230"",""2025-26!K4"")"),583492.7999999999)</f>
        <v>583492.8</v>
      </c>
      <c r="S197" s="55">
        <f>IFERROR(__xludf.DUMMYFUNCTION("IMPORTRANGE(""https://docs.google.com/spreadsheets/d/1_N_I4ldw7jSXANNwvfkS1RWeo5M0ZRiXn1CZxlEUmWU/edit#gid=835357230"",""2025-26!K3"")"),10.0)</f>
        <v>10</v>
      </c>
      <c r="T197" s="58" t="str">
        <f t="shared" si="56"/>
        <v/>
      </c>
      <c r="U197" s="55">
        <f>IFERROR(__xludf.DUMMYFUNCTION("IMPORTRANGE(""https://docs.google.com/spreadsheets/d/1_N_I4ldw7jSXANNwvfkS1RWeo5M0ZRiXn1CZxlEUmWU/edit#gid=835357230"",""2025-26!L4"")"),563569.0)</f>
        <v>563569</v>
      </c>
      <c r="V197" s="79">
        <f>IFERROR(__xludf.DUMMYFUNCTION("IMPORTRANGE(""https://docs.google.com/spreadsheets/d/1_N_I4ldw7jSXANNwvfkS1RWeo5M0ZRiXn1CZxlEUmWU/edit#gid=835357230"",""2025-26!L3"")"),18.0)</f>
        <v>18</v>
      </c>
      <c r="W197" s="55">
        <f>IFERROR(__xludf.DUMMYFUNCTION("IMPORTRANGE(""https://docs.google.com/spreadsheets/d/1_N_I4ldw7jSXANNwvfkS1RWeo5M0ZRiXn1CZxlEUmWU/edit#gid=835357230"",""2025-26!M4"")"),0.0)</f>
        <v>0</v>
      </c>
      <c r="X197" s="79">
        <f>IFERROR(__xludf.DUMMYFUNCTION("IMPORTRANGE(""https://docs.google.com/spreadsheets/d/1_N_I4ldw7jSXANNwvfkS1RWeo5M0ZRiXn1CZxlEUmWU/edit#gid=835357230"",""2025-26!M3"")"),0.0)</f>
        <v>0</v>
      </c>
      <c r="Y197" s="55">
        <f>IFERROR(__xludf.DUMMYFUNCTION("importrange(""https://docs.google.com/spreadsheets/d/1_N_I4ldw7jSXANNwvfkS1RWeo5M0ZRiXn1CZxlEUmWU/edit#gid=835357230"",""2025-26!n4"")"),1055089.9)</f>
        <v>1055089.9</v>
      </c>
      <c r="Z197" s="55">
        <f>IFERROR(__xludf.DUMMYFUNCTION("importrange(""https://docs.google.com/spreadsheets/d/1_N_I4ldw7jSXANNwvfkS1RWeo5M0ZRiXn1CZxlEUmWU/edit#gid=835357230"",""2025-26!n3"")"),13.0)</f>
        <v>13</v>
      </c>
      <c r="AA197" s="58" t="str">
        <f t="shared" si="57"/>
        <v/>
      </c>
      <c r="AB197" s="55">
        <f>IFERROR(__xludf.DUMMYFUNCTION("importrange(""https://docs.google.com/spreadsheets/d/1_N_I4ldw7jSXANNwvfkS1RWeo5M0ZRiXn1CZxlEUmWU/edit#gid=835357230"",""2025-26!o4"")"),812332.0)</f>
        <v>812332</v>
      </c>
      <c r="AC197" s="55">
        <f>IFERROR(__xludf.DUMMYFUNCTION("importrange(""https://docs.google.com/spreadsheets/d/1_N_I4ldw7jSXANNwvfkS1RWeo5M0ZRiXn1CZxlEUmWU/edit#gid=835357230"",""2025-26!o3"")"),18.0)</f>
        <v>18</v>
      </c>
      <c r="AD197" s="55">
        <f>IFERROR(__xludf.DUMMYFUNCTION("importrange(""https://docs.google.com/spreadsheets/d/1_N_I4ldw7jSXANNwvfkS1RWeo5M0ZRiXn1CZxlEUmWU/edit#gid=835357230"",""2025-26!p4"")"),1080000.0)</f>
        <v>1080000</v>
      </c>
      <c r="AE197" s="55">
        <f>IFERROR(__xludf.DUMMYFUNCTION("importrange(""https://docs.google.com/spreadsheets/d/1_N_I4ldw7jSXANNwvfkS1RWeo5M0ZRiXn1CZxlEUmWU/edit#gid=835357230"",""2025-26!p3"")"),20.0)</f>
        <v>20</v>
      </c>
      <c r="AF197" s="55">
        <f>IFERROR(__xludf.DUMMYFUNCTION("importrange(""https://docs.google.com/spreadsheets/d/1_N_I4ldw7jSXANNwvfkS1RWeo5M0ZRiXn1CZxlEUmWU/edit#gid=835357230"",""2025-26!q4"")"),634565.25)</f>
        <v>634565.25</v>
      </c>
      <c r="AG197" s="55">
        <f>IFERROR(__xludf.DUMMYFUNCTION("importrange(""https://docs.google.com/spreadsheets/d/1_N_I4ldw7jSXANNwvfkS1RWeo5M0ZRiXn1CZxlEUmWU/edit#gid=835357230"",""2025-26!q3"")"),10.0)</f>
        <v>10</v>
      </c>
      <c r="AH197" s="58">
        <f t="shared" si="58"/>
        <v>0.5612064815</v>
      </c>
      <c r="AI197" s="55">
        <f>IFERROR(__xludf.DUMMYFUNCTION("importrange(""https://docs.google.com/spreadsheets/d/1_N_I4ldw7jSXANNwvfkS1RWeo5M0ZRiXn1CZxlEUmWU/edit#gid=835357230"",""2025-26!r4"")"),606103.0)</f>
        <v>606103</v>
      </c>
      <c r="AJ197" s="55">
        <f>IFERROR(__xludf.DUMMYFUNCTION("importrange(""https://docs.google.com/spreadsheets/d/1_N_I4ldw7jSXANNwvfkS1RWeo5M0ZRiXn1CZxlEUmWU/edit#gid=835357230"",""2025-26!r3"")"),16.0)</f>
        <v>16</v>
      </c>
      <c r="AK197" s="55">
        <f>IFERROR(__xludf.DUMMYFUNCTION("importrange(""https://docs.google.com/spreadsheets/d/1_N_I4ldw7jSXANNwvfkS1RWeo5M0ZRiXn1CZxlEUmWU/edit#gid=835357230"",""2025-26!s4"")"),1080000.0)</f>
        <v>1080000</v>
      </c>
      <c r="AL197" s="55">
        <f>IFERROR(__xludf.DUMMYFUNCTION("importrange(""https://docs.google.com/spreadsheets/d/1_N_I4ldw7jSXANNwvfkS1RWeo5M0ZRiXn1CZxlEUmWU/edit#gid=835357230"",""2025-26!s3"")"),20.0)</f>
        <v>20</v>
      </c>
      <c r="AM197" s="57">
        <f>IFERROR(__xludf.DUMMYFUNCTION("importrange(""https://docs.google.com/spreadsheets/d/1_N_I4ldw7jSXANNwvfkS1RWeo5M0ZRiXn1CZxlEUmWU/edit#gid=835357230"",""2025-26!t4"")"),1052732.0)</f>
        <v>1052732</v>
      </c>
      <c r="AN197" s="55">
        <f>IFERROR(__xludf.DUMMYFUNCTION("importrange(""https://docs.google.com/spreadsheets/d/1_N_I4ldw7jSXANNwvfkS1RWeo5M0ZRiXn1CZxlEUmWU/edit#gid=835357230"",""2025-26!t3"")"),16.0)</f>
        <v>16</v>
      </c>
      <c r="AO197" s="58">
        <f t="shared" si="59"/>
        <v>0.5317861111</v>
      </c>
      <c r="AP197" s="55">
        <f>IFERROR(__xludf.DUMMYFUNCTION("importrange(""https://docs.google.com/spreadsheets/d/1_N_I4ldw7jSXANNwvfkS1RWeo5M0ZRiXn1CZxlEUmWU/edit#gid=835357230"",""2025-26!u4"")"),574329.0)</f>
        <v>574329</v>
      </c>
      <c r="AQ197" s="55">
        <f>IFERROR(__xludf.DUMMYFUNCTION("importrange(""https://docs.google.com/spreadsheets/d/1_N_I4ldw7jSXANNwvfkS1RWeo5M0ZRiXn1CZxlEUmWU/edit#gid=835357230"",""2025-26!u3"")"),14.0)</f>
        <v>14</v>
      </c>
      <c r="AR197" s="55">
        <f>IFERROR(__xludf.DUMMYFUNCTION("importrange(""https://docs.google.com/spreadsheets/d/1_N_I4ldw7jSXANNwvfkS1RWeo5M0ZRiXn1CZxlEUmWU/edit#gid=835357230"",""2025-26!v4"")"),1075000.0)</f>
        <v>1075000</v>
      </c>
      <c r="AS197" s="55">
        <f>IFERROR(__xludf.DUMMYFUNCTION("importrange(""https://docs.google.com/spreadsheets/d/1_N_I4ldw7jSXANNwvfkS1RWeo5M0ZRiXn1CZxlEUmWU/edit#gid=835357230"",""2025-26!v3"")"),20.0)</f>
        <v>20</v>
      </c>
      <c r="AT197" s="57">
        <f>IFERROR(__xludf.DUMMYFUNCTION("importrange(""https://docs.google.com/spreadsheets/d/1_N_I4ldw7jSXANNwvfkS1RWeo5M0ZRiXn1CZxlEUmWU/edit#gid=835357230"",""2025-26!w4"")"),826311.7400000001)</f>
        <v>826311.74</v>
      </c>
      <c r="AU197" s="55">
        <f>IFERROR(__xludf.DUMMYFUNCTION("importrange(""https://docs.google.com/spreadsheets/d/1_N_I4ldw7jSXANNwvfkS1RWeo5M0ZRiXn1CZxlEUmWU/edit#gid=835357230"",""2025-26!w3"")"),11.0)</f>
        <v>11</v>
      </c>
      <c r="AV197" s="58">
        <f t="shared" si="60"/>
        <v>0.2373367442</v>
      </c>
      <c r="AW197" s="55">
        <f>IFERROR(__xludf.DUMMYFUNCTION("importrange(""https://docs.google.com/spreadsheets/d/1_N_I4ldw7jSXANNwvfkS1RWeo5M0ZRiXn1CZxlEUmWU/edit#gid=835357230"",""2025-26!x4"")"),255137.0)</f>
        <v>255137</v>
      </c>
      <c r="AX197" s="55">
        <f>IFERROR(__xludf.DUMMYFUNCTION("importrange(""https://docs.google.com/spreadsheets/d/1_N_I4ldw7jSXANNwvfkS1RWeo5M0ZRiXn1CZxlEUmWU/edit#gid=835357230"",""2025-26!x3"")"),8.0)</f>
        <v>8</v>
      </c>
      <c r="AY197" s="55">
        <f>IFERROR(__xludf.DUMMYFUNCTION("importrange(""https://docs.google.com/spreadsheets/d/1_N_I4ldw7jSXANNwvfkS1RWeo5M0ZRiXn1CZxlEUmWU/edit#gid=835357230"",""2025-26!y4"")"),1075000.0)</f>
        <v>1075000</v>
      </c>
      <c r="AZ197" s="55">
        <f>IFERROR(__xludf.DUMMYFUNCTION("importrange(""https://docs.google.com/spreadsheets/d/1_N_I4ldw7jSXANNwvfkS1RWeo5M0ZRiXn1CZxlEUmWU/edit#gid=835357230"",""2025-26!y3"")"),20.0)</f>
        <v>20</v>
      </c>
      <c r="BA197" s="57">
        <f>IFERROR(__xludf.DUMMYFUNCTION("importrange(""https://docs.google.com/spreadsheets/d/1_N_I4ldw7jSXANNwvfkS1RWeo5M0ZRiXn1CZxlEUmWU/edit#gid=835357230"",""2025-26!z4"")"),420822.16)</f>
        <v>420822.16</v>
      </c>
      <c r="BB197" s="55">
        <f>IFERROR(__xludf.DUMMYFUNCTION("importrange(""https://docs.google.com/spreadsheets/d/1_N_I4ldw7jSXANNwvfkS1RWeo5M0ZRiXn1CZxlEUmWU/edit#gid=835357230"",""2025-26!z3"")"),3.0)</f>
        <v>3</v>
      </c>
      <c r="BC197" s="59">
        <f t="shared" si="61"/>
        <v>0.3183060465</v>
      </c>
      <c r="BD197" s="55">
        <f>IFERROR(__xludf.DUMMYFUNCTION("importrange(""https://docs.google.com/spreadsheets/d/1_N_I4ldw7jSXANNwvfkS1RWeo5M0ZRiXn1CZxlEUmWU/edit#gid=835357230"",""2025-26!aa4"")"),342179.0)</f>
        <v>342179</v>
      </c>
      <c r="BE197" s="55">
        <f>IFERROR(__xludf.DUMMYFUNCTION("importrange(""https://docs.google.com/spreadsheets/d/1_N_I4ldw7jSXANNwvfkS1RWeo5M0ZRiXn1CZxlEUmWU/edit#gid=835357230"",""2025-26!aa3"")"),5.0)</f>
        <v>5</v>
      </c>
      <c r="BF197" s="55">
        <f>IFERROR(__xludf.DUMMYFUNCTION("importrange(""https://docs.google.com/spreadsheets/d/1_N_I4ldw7jSXANNwvfkS1RWeo5M0ZRiXn1CZxlEUmWU/edit#gid=835357230"",""2025-26!ab4"")"),1075000.0)</f>
        <v>1075000</v>
      </c>
      <c r="BG197" s="55">
        <f>IFERROR(__xludf.DUMMYFUNCTION("importrange(""https://docs.google.com/spreadsheets/d/1_N_I4ldw7jSXANNwvfkS1RWeo5M0ZRiXn1CZxlEUmWU/edit#gid=835357230"",""2025-26!ab3"")"),20.0)</f>
        <v>20</v>
      </c>
      <c r="BH197" s="55">
        <f>IFERROR(__xludf.DUMMYFUNCTION("importrange(""https://docs.google.com/spreadsheets/d/1_N_I4ldw7jSXANNwvfkS1RWeo5M0ZRiXn1CZxlEUmWU/edit#gid=835357230"",""2025-26!ac4"")"),0.0)</f>
        <v>0</v>
      </c>
      <c r="BI197" s="55">
        <f>IFERROR(__xludf.DUMMYFUNCTION("importrange(""https://docs.google.com/spreadsheets/d/1_N_I4ldw7jSXANNwvfkS1RWeo5M0ZRiXn1CZxlEUmWU/edit#gid=835357230"",""2025-26!ac3"")"),0.0)</f>
        <v>0</v>
      </c>
      <c r="BJ197" s="59">
        <f t="shared" si="62"/>
        <v>0</v>
      </c>
      <c r="BK197" s="55">
        <f>IFERROR(__xludf.DUMMYFUNCTION("importrange(""https://docs.google.com/spreadsheets/d/1_N_I4ldw7jSXANNwvfkS1RWeo5M0ZRiXn1CZxlEUmWU/edit#gid=835357230"",""2025-26!ad4"")"),0.0)</f>
        <v>0</v>
      </c>
      <c r="BL197" s="55">
        <f>IFERROR(__xludf.DUMMYFUNCTION("importrange(""https://docs.google.com/spreadsheets/d/1_N_I4ldw7jSXANNwvfkS1RWeo5M0ZRiXn1CZxlEUmWU/edit#gid=835357230"",""2025-26!ad3"")"),0.0)</f>
        <v>0</v>
      </c>
      <c r="BM197" s="55">
        <f>IFERROR(__xludf.DUMMYFUNCTION("importrange(""https://docs.google.com/spreadsheets/d/1_N_I4ldw7jSXANNwvfkS1RWeo5M0ZRiXn1CZxlEUmWU/edit#gid=835357230"",""2025-26!ae4"")"),1075000.0)</f>
        <v>1075000</v>
      </c>
      <c r="BN197" s="55">
        <f>IFERROR(__xludf.DUMMYFUNCTION("importrange(""https://docs.google.com/spreadsheets/d/1_N_I4ldw7jSXANNwvfkS1RWeo5M0ZRiXn1CZxlEUmWU/edit#gid=835357230"",""2025-26!ae3"")"),20.0)</f>
        <v>20</v>
      </c>
      <c r="BO197" s="55">
        <f>IFERROR(__xludf.DUMMYFUNCTION("importrange(""https://docs.google.com/spreadsheets/d/1_N_I4ldw7jSXANNwvfkS1RWeo5M0ZRiXn1CZxlEUmWU/edit#gid=835357230"",""2025-26!af4"")"),0.0)</f>
        <v>0</v>
      </c>
      <c r="BP197" s="55">
        <f>IFERROR(__xludf.DUMMYFUNCTION("importrange(""https://docs.google.com/spreadsheets/d/1_N_I4ldw7jSXANNwvfkS1RWeo5M0ZRiXn1CZxlEUmWU/edit#gid=835357230"",""2025-26!af3"")"),0.0)</f>
        <v>0</v>
      </c>
      <c r="BQ197" s="59">
        <f t="shared" si="63"/>
        <v>0</v>
      </c>
      <c r="BR197" s="55">
        <f>IFERROR(__xludf.DUMMYFUNCTION("importrange(""https://docs.google.com/spreadsheets/d/1_N_I4ldw7jSXANNwvfkS1RWeo5M0ZRiXn1CZxlEUmWU/edit#gid=835357230"",""2025-26!ag4"")"),0.0)</f>
        <v>0</v>
      </c>
      <c r="BS197" s="55">
        <f>IFERROR(__xludf.DUMMYFUNCTION("importrange(""https://docs.google.com/spreadsheets/d/1_N_I4ldw7jSXANNwvfkS1RWeo5M0ZRiXn1CZxlEUmWU/edit#gid=835357230"",""2025-26!ag3"")"),0.0)</f>
        <v>0</v>
      </c>
      <c r="BT197" s="55">
        <f>IFERROR(__xludf.DUMMYFUNCTION("importrange(""https://docs.google.com/spreadsheets/d/1_N_I4ldw7jSXANNwvfkS1RWeo5M0ZRiXn1CZxlEUmWU/edit#gid=835357230"",""2025-26!ah4"")"),1075000.0)</f>
        <v>1075000</v>
      </c>
      <c r="BU197" s="55">
        <f>IFERROR(__xludf.DUMMYFUNCTION("importrange(""https://docs.google.com/spreadsheets/d/1_N_I4ldw7jSXANNwvfkS1RWeo5M0ZRiXn1CZxlEUmWU/edit#gid=835357230"",""2025-26!ah3"")"),20.0)</f>
        <v>20</v>
      </c>
      <c r="BV197" s="55">
        <f>IFERROR(__xludf.DUMMYFUNCTION("importrange(""https://docs.google.com/spreadsheets/d/1_N_I4ldw7jSXANNwvfkS1RWeo5M0ZRiXn1CZxlEUmWU/edit#gid=835357230"",""2025-26!ai4"")"),0.0)</f>
        <v>0</v>
      </c>
      <c r="BW197" s="55">
        <f>IFERROR(__xludf.DUMMYFUNCTION("importrange(""https://docs.google.com/spreadsheets/d/1_N_I4ldw7jSXANNwvfkS1RWeo5M0ZRiXn1CZxlEUmWU/edit#gid=835357230"",""2025-26!ai3"")"),0.0)</f>
        <v>0</v>
      </c>
      <c r="BX197" s="59">
        <f t="shared" si="64"/>
        <v>0</v>
      </c>
      <c r="BY197" s="55">
        <f>IFERROR(__xludf.DUMMYFUNCTION("importrange(""https://docs.google.com/spreadsheets/d/1_N_I4ldw7jSXANNwvfkS1RWeo5M0ZRiXn1CZxlEUmWU/edit#gid=835357230"",""2025-26!aj4"")"),0.0)</f>
        <v>0</v>
      </c>
      <c r="BZ197" s="55">
        <f>IFERROR(__xludf.DUMMYFUNCTION("importrange(""https://docs.google.com/spreadsheets/d/1_N_I4ldw7jSXANNwvfkS1RWeo5M0ZRiXn1CZxlEUmWU/edit#gid=835357230"",""2025-26!aj3"")"),0.0)</f>
        <v>0</v>
      </c>
      <c r="CA197" s="55">
        <f>IFERROR(__xludf.DUMMYFUNCTION("importrange(""https://docs.google.com/spreadsheets/d/1_N_I4ldw7jSXANNwvfkS1RWeo5M0ZRiXn1CZxlEUmWU/edit#gid=835357230"",""2025-26!ak4"")"),1050000.0)</f>
        <v>1050000</v>
      </c>
      <c r="CB197" s="55">
        <f>IFERROR(__xludf.DUMMYFUNCTION("importrange(""https://docs.google.com/spreadsheets/d/1_N_I4ldw7jSXANNwvfkS1RWeo5M0ZRiXn1CZxlEUmWU/edit#gid=835357230"",""2025-26!ak3"")"),19.0)</f>
        <v>19</v>
      </c>
      <c r="CC197" s="55">
        <f>IFERROR(__xludf.DUMMYFUNCTION("importrange(""https://docs.google.com/spreadsheets/d/1_N_I4ldw7jSXANNwvfkS1RWeo5M0ZRiXn1CZxlEUmWU/edit#gid=835357230"",""2025-26!al4"")"),0.0)</f>
        <v>0</v>
      </c>
      <c r="CD197" s="55">
        <f>IFERROR(__xludf.DUMMYFUNCTION("importrange(""https://docs.google.com/spreadsheets/d/1_N_I4ldw7jSXANNwvfkS1RWeo5M0ZRiXn1CZxlEUmWU/edit#gid=835357230"",""2025-26!ai3"")"),0.0)</f>
        <v>0</v>
      </c>
      <c r="CE197" s="59">
        <f t="shared" si="65"/>
        <v>0</v>
      </c>
      <c r="CF197" s="55">
        <f>IFERROR(__xludf.DUMMYFUNCTION("importrange(""https://docs.google.com/spreadsheets/d/1_N_I4ldw7jSXANNwvfkS1RWeo5M0ZRiXn1CZxlEUmWU/edit#gid=835357230"",""2025-26!am4"")"),0.0)</f>
        <v>0</v>
      </c>
      <c r="CG197" s="55">
        <f>IFERROR(__xludf.DUMMYFUNCTION("importrange(""https://docs.google.com/spreadsheets/d/1_N_I4ldw7jSXANNwvfkS1RWeo5M0ZRiXn1CZxlEUmWU/edit#gid=835357230"",""2025-26!am3"")"),0.0)</f>
        <v>0</v>
      </c>
      <c r="CH197" s="55">
        <f>IFERROR(__xludf.DUMMYFUNCTION("importrange(""https://docs.google.com/spreadsheets/d/1_N_I4ldw7jSXANNwvfkS1RWeo5M0ZRiXn1CZxlEUmWU/edit#gid=835357230"",""2025-26!an4"")"),1050000.0)</f>
        <v>1050000</v>
      </c>
      <c r="CI197" s="55">
        <f>IFERROR(__xludf.DUMMYFUNCTION("importrange(""https://docs.google.com/spreadsheets/d/1_N_I4ldw7jSXANNwvfkS1RWeo5M0ZRiXn1CZxlEUmWU/edit#gid=835357230"",""2025-26!an3"")"),19.0)</f>
        <v>19</v>
      </c>
      <c r="CJ197" s="55">
        <f>IFERROR(__xludf.DUMMYFUNCTION("importrange(""https://docs.google.com/spreadsheets/d/1_N_I4ldw7jSXANNwvfkS1RWeo5M0ZRiXn1CZxlEUmWU/edit#gid=835357230"",""2025-26!ao4"")"),0.0)</f>
        <v>0</v>
      </c>
      <c r="CK197" s="55">
        <f>IFERROR(__xludf.DUMMYFUNCTION("importrange(""https://docs.google.com/spreadsheets/d/1_N_I4ldw7jSXANNwvfkS1RWeo5M0ZRiXn1CZxlEUmWU/edit#gid=835357230"",""2025-26!ao3"")"),0.0)</f>
        <v>0</v>
      </c>
      <c r="CL197" s="59">
        <f t="shared" si="66"/>
        <v>0</v>
      </c>
      <c r="CM197" s="55">
        <f>IFERROR(__xludf.DUMMYFUNCTION("importrange(""https://docs.google.com/spreadsheets/d/1_N_I4ldw7jSXANNwvfkS1RWeo5M0ZRiXn1CZxlEUmWU/edit#gid=835357230"",""2025-26!ap4"")"),0.0)</f>
        <v>0</v>
      </c>
      <c r="CN197" s="55">
        <f>IFERROR(__xludf.DUMMYFUNCTION("importrange(""https://docs.google.com/spreadsheets/d/1_N_I4ldw7jSXANNwvfkS1RWeo5M0ZRiXn1CZxlEUmWU/edit#gid=835357230"",""2025-26!ap3"")"),0.0)</f>
        <v>0</v>
      </c>
      <c r="CO197" s="55">
        <f>IFERROR(__xludf.DUMMYFUNCTION("importrange(""https://docs.google.com/spreadsheets/d/1_N_I4ldw7jSXANNwvfkS1RWeo5M0ZRiXn1CZxlEUmWU/edit#gid=835357230"",""2025-26!aq4"")"),1050000.0)</f>
        <v>1050000</v>
      </c>
      <c r="CP197" s="55">
        <f>IFERROR(__xludf.DUMMYFUNCTION("importrange(""https://docs.google.com/spreadsheets/d/1_N_I4ldw7jSXANNwvfkS1RWeo5M0ZRiXn1CZxlEUmWU/edit#gid=835357230"",""2025-26!aq3"")"),19.0)</f>
        <v>19</v>
      </c>
      <c r="CQ197" s="55">
        <f>IFERROR(__xludf.DUMMYFUNCTION("importrange(""https://docs.google.com/spreadsheets/d/1_N_I4ldw7jSXANNwvfkS1RWeo5M0ZRiXn1CZxlEUmWU/edit#gid=835357230"",""2025-26!ar4"")"),0.0)</f>
        <v>0</v>
      </c>
      <c r="CR197" s="55">
        <f>IFERROR(__xludf.DUMMYFUNCTION("importrange(""https://docs.google.com/spreadsheets/d/1_N_I4ldw7jSXANNwvfkS1RWeo5M0ZRiXn1CZxlEUmWU/edit#gid=835357230"",""2025-26!ar3"")"),0.0)</f>
        <v>0</v>
      </c>
      <c r="CS197" s="59">
        <f t="shared" si="67"/>
        <v>0</v>
      </c>
      <c r="CT197" s="55">
        <f>IFERROR(__xludf.DUMMYFUNCTION("importrange(""https://docs.google.com/spreadsheets/d/1_N_I4ldw7jSXANNwvfkS1RWeo5M0ZRiXn1CZxlEUmWU/edit#gid=835357230"",""2025-26!as4"")"),0.0)</f>
        <v>0</v>
      </c>
      <c r="CU197" s="55">
        <f>IFERROR(__xludf.DUMMYFUNCTION("importrange(""https://docs.google.com/spreadsheets/d/1_N_I4ldw7jSXANNwvfkS1RWeo5M0ZRiXn1CZxlEUmWU/edit#gid=835357230"",""2025-26!as3"")"),0.0)</f>
        <v>0</v>
      </c>
      <c r="CV197" s="60" t="s">
        <v>189</v>
      </c>
    </row>
    <row r="198">
      <c r="A198" s="133" t="s">
        <v>185</v>
      </c>
      <c r="B198" s="134" t="s">
        <v>185</v>
      </c>
      <c r="C198" s="136" t="s">
        <v>403</v>
      </c>
      <c r="D198" s="50" t="s">
        <v>404</v>
      </c>
      <c r="E198" s="50">
        <v>7.488524029E9</v>
      </c>
      <c r="F198" s="74">
        <v>45058.0</v>
      </c>
      <c r="G198" s="62"/>
      <c r="H198" s="62"/>
      <c r="I198" s="53">
        <v>28750.0</v>
      </c>
      <c r="J198" s="54">
        <v>2000000.0</v>
      </c>
      <c r="K198" s="57">
        <f>IFERROR(__xludf.DUMMYFUNCTION("IMPORTRANGE(""https://docs.google.com/spreadsheets/d/1jor4uYuanvYtGhsvoocz_67jaLbkIuKJKdd2gNs-d_Y/edit#gid=1000421200"",""2025-26!A3"")"),122.0)</f>
        <v>122</v>
      </c>
      <c r="L198" s="57">
        <f>IFERROR(__xludf.DUMMYFUNCTION("IMPORTRANGE(""https://docs.google.com/spreadsheets/d/1jor4uYuanvYtGhsvoocz_67jaLbkIuKJKdd2gNs-d_Y/edit#gid=1000421200"",""2025-26!G4"")"),1.1871821E7)</f>
        <v>11871821</v>
      </c>
      <c r="M198" s="57">
        <f t="shared" si="87"/>
        <v>5399095.98</v>
      </c>
      <c r="N198" s="56">
        <f t="shared" si="88"/>
        <v>0.8830576034</v>
      </c>
      <c r="O198" s="57">
        <f t="shared" si="89"/>
        <v>10483501.8</v>
      </c>
      <c r="P198" s="55">
        <f>IFERROR(__xludf.DUMMYFUNCTION("IMPORTRANGE(""https://docs.google.com/spreadsheets/d/1jor4uYuanvYtGhsvoocz_67jaLbkIuKJKdd2gNs-d_Y/edit#gid=1000421200"",""2025-26!J4"")"),988502.0)</f>
        <v>988502</v>
      </c>
      <c r="Q198" s="55">
        <f>IFERROR(__xludf.DUMMYFUNCTION("IMPORTRANGE(""https://docs.google.com/spreadsheets/d/1jor4uYuanvYtGhsvoocz_67jaLbkIuKJKdd2gNs-d_Y/edit#gid=1000421200"",""2025-26!J3"")"),32.0)</f>
        <v>32</v>
      </c>
      <c r="R198" s="55">
        <f>IFERROR(__xludf.DUMMYFUNCTION("IMPORTRANGE(""https://docs.google.com/spreadsheets/d/1jor4uYuanvYtGhsvoocz_67jaLbkIuKJKdd2gNs-d_Y/edit#gid=1000421200"",""2025-26!K4"")"),519039.7)</f>
        <v>519039.7</v>
      </c>
      <c r="S198" s="55">
        <f>IFERROR(__xludf.DUMMYFUNCTION("IMPORTRANGE(""https://docs.google.com/spreadsheets/d/1jor4uYuanvYtGhsvoocz_67jaLbkIuKJKdd2gNs-d_Y/edit#gid=1000421200"",""2025-26!K3"")"),14.0)</f>
        <v>14</v>
      </c>
      <c r="T198" s="58">
        <f t="shared" si="56"/>
        <v>1.347136374</v>
      </c>
      <c r="U198" s="55">
        <f>IFERROR(__xludf.DUMMYFUNCTION("IMPORTRANGE(""https://docs.google.com/spreadsheets/d/1jor4uYuanvYtGhsvoocz_67jaLbkIuKJKdd2gNs-d_Y/edit#gid=1000421200"",""2025-26!L4"")"),1331647.0)</f>
        <v>1331647</v>
      </c>
      <c r="V198" s="79">
        <f>IFERROR(__xludf.DUMMYFUNCTION("IMPORTRANGE(""https://docs.google.com/spreadsheets/d/1jor4uYuanvYtGhsvoocz_67jaLbkIuKJKdd2gNs-d_Y/edit#gid=1000421200"",""2025-26!L3"")"),20.0)</f>
        <v>20</v>
      </c>
      <c r="W198" s="55">
        <f>IFERROR(__xludf.DUMMYFUNCTION("IMPORTRANGE(""https://docs.google.com/spreadsheets/d/1jor4uYuanvYtGhsvoocz_67jaLbkIuKJKdd2gNs-d_Y/edit#gid=1000421200"",""2025-26!M4"")"),988502.0)</f>
        <v>988502</v>
      </c>
      <c r="X198" s="79">
        <f>IFERROR(__xludf.DUMMYFUNCTION("IMPORTRANGE(""https://docs.google.com/spreadsheets/d/1jor4uYuanvYtGhsvoocz_67jaLbkIuKJKdd2gNs-d_Y/edit#gid=1000421200"",""2025-26!M3"")"),32.0)</f>
        <v>32</v>
      </c>
      <c r="Y198" s="55">
        <f>IFERROR(__xludf.DUMMYFUNCTION("importrange(""https://docs.google.com/spreadsheets/d/1jor4uYuanvYtGhsvoocz_67jaLbkIuKJKdd2gNs-d_Y/edit#gid=1000421200"",""2025-26!n4"")"),724781.7200000001)</f>
        <v>724781.72</v>
      </c>
      <c r="Z198" s="55">
        <f>IFERROR(__xludf.DUMMYFUNCTION("importrange(""https://docs.google.com/spreadsheets/d/1jor4uYuanvYtGhsvoocz_67jaLbkIuKJKdd2gNs-d_Y/edit#gid=1000421200"",""2025-26!n3"")"),16.0)</f>
        <v>16</v>
      </c>
      <c r="AA198" s="58">
        <f t="shared" si="57"/>
        <v>1.268533802</v>
      </c>
      <c r="AB198" s="55">
        <f>IFERROR(__xludf.DUMMYFUNCTION("importrange(""https://docs.google.com/spreadsheets/d/1jor4uYuanvYtGhsvoocz_67jaLbkIuKJKdd2gNs-d_Y/edit#gid=1000421200"",""2025-26!o4"")"),1253948.2)</f>
        <v>1253948.2</v>
      </c>
      <c r="AC198" s="55">
        <f>IFERROR(__xludf.DUMMYFUNCTION("importrange(""https://docs.google.com/spreadsheets/d/1jor4uYuanvYtGhsvoocz_67jaLbkIuKJKdd2gNs-d_Y/edit#gid=1000421200"",""2025-26!o3"")"),17.0)</f>
        <v>17</v>
      </c>
      <c r="AD198" s="55">
        <f>IFERROR(__xludf.DUMMYFUNCTION("importrange(""https://docs.google.com/spreadsheets/d/1jor4uYuanvYtGhsvoocz_67jaLbkIuKJKdd2gNs-d_Y/edit#gid=1000421200"",""2025-26!p4"")"),988502.0)</f>
        <v>988502</v>
      </c>
      <c r="AE198" s="55">
        <f>IFERROR(__xludf.DUMMYFUNCTION("importrange(""https://docs.google.com/spreadsheets/d/1jor4uYuanvYtGhsvoocz_67jaLbkIuKJKdd2gNs-d_Y/edit#gid=1000421200"",""2025-26!p3"")"),32.0)</f>
        <v>32</v>
      </c>
      <c r="AF198" s="55">
        <f>IFERROR(__xludf.DUMMYFUNCTION("importrange(""https://docs.google.com/spreadsheets/d/1jor4uYuanvYtGhsvoocz_67jaLbkIuKJKdd2gNs-d_Y/edit#gid=1000421200"",""2025-26!q4"")"),552433.6)</f>
        <v>552433.6</v>
      </c>
      <c r="AG198" s="55">
        <f>IFERROR(__xludf.DUMMYFUNCTION("importrange(""https://docs.google.com/spreadsheets/d/1jor4uYuanvYtGhsvoocz_67jaLbkIuKJKdd2gNs-d_Y/edit#gid=1000421200"",""2025-26!q3"")"),10.0)</f>
        <v>10</v>
      </c>
      <c r="AH198" s="58">
        <f t="shared" si="58"/>
        <v>2.117257224</v>
      </c>
      <c r="AI198" s="55">
        <f>IFERROR(__xludf.DUMMYFUNCTION("importrange(""https://docs.google.com/spreadsheets/d/1jor4uYuanvYtGhsvoocz_67jaLbkIuKJKdd2gNs-d_Y/edit#gid=1000421200"",""2025-26!r4"")"),2092913.0)</f>
        <v>2092913</v>
      </c>
      <c r="AJ198" s="55">
        <f>IFERROR(__xludf.DUMMYFUNCTION("importrange(""https://docs.google.com/spreadsheets/d/1jor4uYuanvYtGhsvoocz_67jaLbkIuKJKdd2gNs-d_Y/edit#gid=1000421200"",""2025-26!r3"")"),20.0)</f>
        <v>20</v>
      </c>
      <c r="AK198" s="55">
        <f>IFERROR(__xludf.DUMMYFUNCTION("importrange(""https://docs.google.com/spreadsheets/d/1jor4uYuanvYtGhsvoocz_67jaLbkIuKJKdd2gNs-d_Y/edit#gid=1000421200"",""2025-26!s4"")"),988502.0)</f>
        <v>988502</v>
      </c>
      <c r="AL198" s="55">
        <f>IFERROR(__xludf.DUMMYFUNCTION("importrange(""https://docs.google.com/spreadsheets/d/1jor4uYuanvYtGhsvoocz_67jaLbkIuKJKdd2gNs-d_Y/edit#gid=1000421200"",""2025-26!s3"")"),32.0)</f>
        <v>32</v>
      </c>
      <c r="AM198" s="57">
        <f>IFERROR(__xludf.DUMMYFUNCTION("importrange(""https://docs.google.com/spreadsheets/d/1jor4uYuanvYtGhsvoocz_67jaLbkIuKJKdd2gNs-d_Y/edit#gid=1000421200"",""2025-26!t4"")"),744257.45)</f>
        <v>744257.45</v>
      </c>
      <c r="AN198" s="55">
        <f>IFERROR(__xludf.DUMMYFUNCTION("importrange(""https://docs.google.com/spreadsheets/d/1jor4uYuanvYtGhsvoocz_67jaLbkIuKJKdd2gNs-d_Y/edit#gid=1000421200"",""2025-26!t3"")"),14.0)</f>
        <v>14</v>
      </c>
      <c r="AO198" s="58">
        <f t="shared" si="59"/>
        <v>1.039664057</v>
      </c>
      <c r="AP198" s="55">
        <f>IFERROR(__xludf.DUMMYFUNCTION("importrange(""https://docs.google.com/spreadsheets/d/1jor4uYuanvYtGhsvoocz_67jaLbkIuKJKdd2gNs-d_Y/edit#gid=1000421200"",""2025-26!u4"")"),1027710.0)</f>
        <v>1027710</v>
      </c>
      <c r="AQ198" s="55">
        <f>IFERROR(__xludf.DUMMYFUNCTION("importrange(""https://docs.google.com/spreadsheets/d/1jor4uYuanvYtGhsvoocz_67jaLbkIuKJKdd2gNs-d_Y/edit#gid=1000421200"",""2025-26!u3"")"),12.0)</f>
        <v>12</v>
      </c>
      <c r="AR198" s="55">
        <f>IFERROR(__xludf.DUMMYFUNCTION("importrange(""https://docs.google.com/spreadsheets/d/1jor4uYuanvYtGhsvoocz_67jaLbkIuKJKdd2gNs-d_Y/edit#gid=1000421200"",""2025-26!v4"")"),988502.0)</f>
        <v>988502</v>
      </c>
      <c r="AS198" s="55">
        <f>IFERROR(__xludf.DUMMYFUNCTION("importrange(""https://docs.google.com/spreadsheets/d/1jor4uYuanvYtGhsvoocz_67jaLbkIuKJKdd2gNs-d_Y/edit#gid=1000421200"",""2025-26!v3"")"),32.0)</f>
        <v>32</v>
      </c>
      <c r="AT198" s="57">
        <f>IFERROR(__xludf.DUMMYFUNCTION("importrange(""https://docs.google.com/spreadsheets/d/1jor4uYuanvYtGhsvoocz_67jaLbkIuKJKdd2gNs-d_Y/edit#gid=1000421200"",""2025-26!w4"")"),397582.01)</f>
        <v>397582.01</v>
      </c>
      <c r="AU198" s="55">
        <f>IFERROR(__xludf.DUMMYFUNCTION("importrange(""https://docs.google.com/spreadsheets/d/1jor4uYuanvYtGhsvoocz_67jaLbkIuKJKdd2gNs-d_Y/edit#gid=1000421200"",""2025-26!w3"")"),9.0)</f>
        <v>9</v>
      </c>
      <c r="AV198" s="58">
        <f t="shared" si="60"/>
        <v>1.502334441</v>
      </c>
      <c r="AW198" s="55">
        <f>IFERROR(__xludf.DUMMYFUNCTION("importrange(""https://docs.google.com/spreadsheets/d/1jor4uYuanvYtGhsvoocz_67jaLbkIuKJKdd2gNs-d_Y/edit#gid=1000421200"",""2025-26!x4"")"),1485060.6)</f>
        <v>1485060.6</v>
      </c>
      <c r="AX198" s="55">
        <f>IFERROR(__xludf.DUMMYFUNCTION("importrange(""https://docs.google.com/spreadsheets/d/1jor4uYuanvYtGhsvoocz_67jaLbkIuKJKdd2gNs-d_Y/edit#gid=1000421200"",""2025-26!x3"")"),23.0)</f>
        <v>23</v>
      </c>
      <c r="AY198" s="55">
        <f>IFERROR(__xludf.DUMMYFUNCTION("importrange(""https://docs.google.com/spreadsheets/d/1jor4uYuanvYtGhsvoocz_67jaLbkIuKJKdd2gNs-d_Y/edit#gid=1000421200"",""2025-26!y4"")"),988502.0)</f>
        <v>988502</v>
      </c>
      <c r="AZ198" s="55">
        <f>IFERROR(__xludf.DUMMYFUNCTION("importrange(""https://docs.google.com/spreadsheets/d/1jor4uYuanvYtGhsvoocz_67jaLbkIuKJKdd2gNs-d_Y/edit#gid=1000421200"",""2025-26!y3"")"),32.0)</f>
        <v>32</v>
      </c>
      <c r="BA198" s="57">
        <f>IFERROR(__xludf.DUMMYFUNCTION("importrange(""https://docs.google.com/spreadsheets/d/1jor4uYuanvYtGhsvoocz_67jaLbkIuKJKdd2gNs-d_Y/edit#gid=1000421200"",""2025-26!z4"")"),1320101.67)</f>
        <v>1320101.67</v>
      </c>
      <c r="BB198" s="55">
        <f>IFERROR(__xludf.DUMMYFUNCTION("importrange(""https://docs.google.com/spreadsheets/d/1jor4uYuanvYtGhsvoocz_67jaLbkIuKJKdd2gNs-d_Y/edit#gid=1000421200"",""2025-26!z3"")"),20.0)</f>
        <v>20</v>
      </c>
      <c r="BC198" s="59">
        <f t="shared" si="61"/>
        <v>1.657091235</v>
      </c>
      <c r="BD198" s="55">
        <f>IFERROR(__xludf.DUMMYFUNCTION("importrange(""https://docs.google.com/spreadsheets/d/1jor4uYuanvYtGhsvoocz_67jaLbkIuKJKdd2gNs-d_Y/edit#gid=1000421200"",""2025-26!aa4"")"),1638038.0)</f>
        <v>1638038</v>
      </c>
      <c r="BE198" s="55">
        <f>IFERROR(__xludf.DUMMYFUNCTION("importrange(""https://docs.google.com/spreadsheets/d/1jor4uYuanvYtGhsvoocz_67jaLbkIuKJKdd2gNs-d_Y/edit#gid=1000421200"",""2025-26!aa3"")"),21.0)</f>
        <v>21</v>
      </c>
      <c r="BF198" s="55">
        <f>IFERROR(__xludf.DUMMYFUNCTION("importrange(""https://docs.google.com/spreadsheets/d/1jor4uYuanvYtGhsvoocz_67jaLbkIuKJKdd2gNs-d_Y/edit#gid=1000421200"",""2025-26!ab4"")"),988502.0)</f>
        <v>988502</v>
      </c>
      <c r="BG198" s="55">
        <f>IFERROR(__xludf.DUMMYFUNCTION("importrange(""https://docs.google.com/spreadsheets/d/1jor4uYuanvYtGhsvoocz_67jaLbkIuKJKdd2gNs-d_Y/edit#gid=1000421200"",""2025-26!ab3"")"),32.0)</f>
        <v>32</v>
      </c>
      <c r="BH198" s="55">
        <f>IFERROR(__xludf.DUMMYFUNCTION("importrange(""https://docs.google.com/spreadsheets/d/1jor4uYuanvYtGhsvoocz_67jaLbkIuKJKdd2gNs-d_Y/edit#gid=1000421200"",""2025-26!ac4"")"),627943.4099999999)</f>
        <v>627943.41</v>
      </c>
      <c r="BI198" s="55">
        <f>IFERROR(__xludf.DUMMYFUNCTION("importrange(""https://docs.google.com/spreadsheets/d/1jor4uYuanvYtGhsvoocz_67jaLbkIuKJKdd2gNs-d_Y/edit#gid=1000421200"",""2025-26!ac3"")"),10.0)</f>
        <v>10</v>
      </c>
      <c r="BJ198" s="59">
        <f t="shared" si="62"/>
        <v>1.673426053</v>
      </c>
      <c r="BK198" s="55">
        <f>IFERROR(__xludf.DUMMYFUNCTION("importrange(""https://docs.google.com/spreadsheets/d/1jor4uYuanvYtGhsvoocz_67jaLbkIuKJKdd2gNs-d_Y/edit#gid=1000421200"",""2025-26!ad4"")"),1654185.0)</f>
        <v>1654185</v>
      </c>
      <c r="BL198" s="55">
        <f>IFERROR(__xludf.DUMMYFUNCTION("importrange(""https://docs.google.com/spreadsheets/d/1jor4uYuanvYtGhsvoocz_67jaLbkIuKJKdd2gNs-d_Y/edit#gid=1000421200"",""2025-26!ad3"")"),18.0)</f>
        <v>18</v>
      </c>
      <c r="BM198" s="55">
        <f>IFERROR(__xludf.DUMMYFUNCTION("importrange(""https://docs.google.com/spreadsheets/d/1jor4uYuanvYtGhsvoocz_67jaLbkIuKJKdd2gNs-d_Y/edit#gid=1000421200"",""2025-26!ae4"")"),988502.0)</f>
        <v>988502</v>
      </c>
      <c r="BN198" s="55">
        <f>IFERROR(__xludf.DUMMYFUNCTION("importrange(""https://docs.google.com/spreadsheets/d/1jor4uYuanvYtGhsvoocz_67jaLbkIuKJKdd2gNs-d_Y/edit#gid=1000421200"",""2025-26!ae3"")"),32.0)</f>
        <v>32</v>
      </c>
      <c r="BO198" s="55">
        <f>IFERROR(__xludf.DUMMYFUNCTION("importrange(""https://docs.google.com/spreadsheets/d/1jor4uYuanvYtGhsvoocz_67jaLbkIuKJKdd2gNs-d_Y/edit#gid=1000421200"",""2025-26!af4"")"),512956.4199999999)</f>
        <v>512956.42</v>
      </c>
      <c r="BP198" s="55">
        <f>IFERROR(__xludf.DUMMYFUNCTION("importrange(""https://docs.google.com/spreadsheets/d/1jor4uYuanvYtGhsvoocz_67jaLbkIuKJKdd2gNs-d_Y/edit#gid=1000421200"",""2025-26!af3"")"),7.0)</f>
        <v>7</v>
      </c>
      <c r="BQ198" s="59">
        <f t="shared" si="63"/>
        <v>0</v>
      </c>
      <c r="BR198" s="55">
        <f>IFERROR(__xludf.DUMMYFUNCTION("importrange(""https://docs.google.com/spreadsheets/d/1jor4uYuanvYtGhsvoocz_67jaLbkIuKJKdd2gNs-d_Y/edit#gid=1000421200"",""2025-26!ag4"")"),0.0)</f>
        <v>0</v>
      </c>
      <c r="BS198" s="55">
        <f>IFERROR(__xludf.DUMMYFUNCTION("importrange(""https://docs.google.com/spreadsheets/d/1jor4uYuanvYtGhsvoocz_67jaLbkIuKJKdd2gNs-d_Y/edit#gid=1000421200"",""2025-26!ag3"")"),0.0)</f>
        <v>0</v>
      </c>
      <c r="BT198" s="55">
        <f>IFERROR(__xludf.DUMMYFUNCTION("importrange(""https://docs.google.com/spreadsheets/d/1jor4uYuanvYtGhsvoocz_67jaLbkIuKJKdd2gNs-d_Y/edit#gid=1000421200"",""2025-26!ah4"")"),988502.0)</f>
        <v>988502</v>
      </c>
      <c r="BU198" s="55">
        <f>IFERROR(__xludf.DUMMYFUNCTION("importrange(""https://docs.google.com/spreadsheets/d/1jor4uYuanvYtGhsvoocz_67jaLbkIuKJKdd2gNs-d_Y/edit#gid=1000421200"",""2025-26!ah3"")"),32.0)</f>
        <v>32</v>
      </c>
      <c r="BV198" s="55">
        <f>IFERROR(__xludf.DUMMYFUNCTION("importrange(""https://docs.google.com/spreadsheets/d/1jor4uYuanvYtGhsvoocz_67jaLbkIuKJKdd2gNs-d_Y/edit#gid=1000421200"",""2025-26!ai4"")"),0.0)</f>
        <v>0</v>
      </c>
      <c r="BW198" s="55">
        <f>IFERROR(__xludf.DUMMYFUNCTION("importrange(""https://docs.google.com/spreadsheets/d/1jor4uYuanvYtGhsvoocz_67jaLbkIuKJKdd2gNs-d_Y/edit#gid=1000421200"",""2025-26!ai3"")"),0.0)</f>
        <v>0</v>
      </c>
      <c r="BX198" s="59">
        <f t="shared" si="64"/>
        <v>0</v>
      </c>
      <c r="BY198" s="55">
        <f>IFERROR(__xludf.DUMMYFUNCTION("importrange(""https://docs.google.com/spreadsheets/d/1jor4uYuanvYtGhsvoocz_67jaLbkIuKJKdd2gNs-d_Y/edit#gid=1000421200"",""2025-26!aj4"")"),0.0)</f>
        <v>0</v>
      </c>
      <c r="BZ198" s="55">
        <f>IFERROR(__xludf.DUMMYFUNCTION("importrange(""https://docs.google.com/spreadsheets/d/1jor4uYuanvYtGhsvoocz_67jaLbkIuKJKdd2gNs-d_Y/edit#gid=1000421200"",""2025-26!aj3"")"),0.0)</f>
        <v>0</v>
      </c>
      <c r="CA198" s="55">
        <f>IFERROR(__xludf.DUMMYFUNCTION("importrange(""https://docs.google.com/spreadsheets/d/1jor4uYuanvYtGhsvoocz_67jaLbkIuKJKdd2gNs-d_Y/edit#gid=1000421200"",""2025-26!ak4"")"),988502.0)</f>
        <v>988502</v>
      </c>
      <c r="CB198" s="55">
        <f>IFERROR(__xludf.DUMMYFUNCTION("importrange(""https://docs.google.com/spreadsheets/d/1jor4uYuanvYtGhsvoocz_67jaLbkIuKJKdd2gNs-d_Y/edit#gid=1000421200"",""2025-26!ak3"")"),32.0)</f>
        <v>32</v>
      </c>
      <c r="CC198" s="55">
        <f>IFERROR(__xludf.DUMMYFUNCTION("importrange(""https://docs.google.com/spreadsheets/d/1jor4uYuanvYtGhsvoocz_67jaLbkIuKJKdd2gNs-d_Y/edit#gid=1000421200"",""2025-26!al4"")"),0.0)</f>
        <v>0</v>
      </c>
      <c r="CD198" s="55">
        <f>IFERROR(__xludf.DUMMYFUNCTION("importrange(""https://docs.google.com/spreadsheets/d/1jor4uYuanvYtGhsvoocz_67jaLbkIuKJKdd2gNs-d_Y/edit#gid=1000421200"",""2025-26!ai3"")"),0.0)</f>
        <v>0</v>
      </c>
      <c r="CE198" s="59">
        <f t="shared" si="65"/>
        <v>0</v>
      </c>
      <c r="CF198" s="55">
        <f>IFERROR(__xludf.DUMMYFUNCTION("importrange(""https://docs.google.com/spreadsheets/d/1jor4uYuanvYtGhsvoocz_67jaLbkIuKJKdd2gNs-d_Y/edit#gid=1000421200"",""2025-26!am4"")"),0.0)</f>
        <v>0</v>
      </c>
      <c r="CG198" s="55">
        <f>IFERROR(__xludf.DUMMYFUNCTION("importrange(""https://docs.google.com/spreadsheets/d/1jor4uYuanvYtGhsvoocz_67jaLbkIuKJKdd2gNs-d_Y/edit#gid=1000421200"",""2025-26!am3"")"),0.0)</f>
        <v>0</v>
      </c>
      <c r="CH198" s="55">
        <f>IFERROR(__xludf.DUMMYFUNCTION("importrange(""https://docs.google.com/spreadsheets/d/1jor4uYuanvYtGhsvoocz_67jaLbkIuKJKdd2gNs-d_Y/edit#gid=1000421200"",""2025-26!an4"")"),989502.0)</f>
        <v>989502</v>
      </c>
      <c r="CI198" s="55">
        <f>IFERROR(__xludf.DUMMYFUNCTION("importrange(""https://docs.google.com/spreadsheets/d/1jor4uYuanvYtGhsvoocz_67jaLbkIuKJKdd2gNs-d_Y/edit#gid=1000421200"",""2025-26!an3"")"),32.0)</f>
        <v>32</v>
      </c>
      <c r="CJ198" s="55">
        <f>IFERROR(__xludf.DUMMYFUNCTION("importrange(""https://docs.google.com/spreadsheets/d/1jor4uYuanvYtGhsvoocz_67jaLbkIuKJKdd2gNs-d_Y/edit#gid=1000421200"",""2025-26!ao4"")"),0.0)</f>
        <v>0</v>
      </c>
      <c r="CK198" s="55">
        <f>IFERROR(__xludf.DUMMYFUNCTION("importrange(""https://docs.google.com/spreadsheets/d/1jor4uYuanvYtGhsvoocz_67jaLbkIuKJKdd2gNs-d_Y/edit#gid=1000421200"",""2025-26!ao3"")"),0.0)</f>
        <v>0</v>
      </c>
      <c r="CL198" s="59">
        <f t="shared" si="66"/>
        <v>0</v>
      </c>
      <c r="CM198" s="55">
        <f>IFERROR(__xludf.DUMMYFUNCTION("importrange(""https://docs.google.com/spreadsheets/d/1jor4uYuanvYtGhsvoocz_67jaLbkIuKJKdd2gNs-d_Y/edit#gid=1000421200"",""2025-26!ap4"")"),0.0)</f>
        <v>0</v>
      </c>
      <c r="CN198" s="55">
        <f>IFERROR(__xludf.DUMMYFUNCTION("importrange(""https://docs.google.com/spreadsheets/d/1jor4uYuanvYtGhsvoocz_67jaLbkIuKJKdd2gNs-d_Y/edit#gid=1000421200"",""2025-26!ap3"")"),0.0)</f>
        <v>0</v>
      </c>
      <c r="CO198" s="55">
        <f>IFERROR(__xludf.DUMMYFUNCTION("importrange(""https://docs.google.com/spreadsheets/d/1jor4uYuanvYtGhsvoocz_67jaLbkIuKJKdd2gNs-d_Y/edit#gid=1000421200"",""2025-26!aq4"")"),989502.0)</f>
        <v>989502</v>
      </c>
      <c r="CP198" s="55">
        <f>IFERROR(__xludf.DUMMYFUNCTION("importrange(""https://docs.google.com/spreadsheets/d/1jor4uYuanvYtGhsvoocz_67jaLbkIuKJKdd2gNs-d_Y/edit#gid=1000421200"",""2025-26!aq3"")"),32.0)</f>
        <v>32</v>
      </c>
      <c r="CQ198" s="55">
        <f>IFERROR(__xludf.DUMMYFUNCTION("importrange(""https://docs.google.com/spreadsheets/d/1jor4uYuanvYtGhsvoocz_67jaLbkIuKJKdd2gNs-d_Y/edit#gid=1000421200"",""2025-26!ar4"")"),0.0)</f>
        <v>0</v>
      </c>
      <c r="CR198" s="55">
        <f>IFERROR(__xludf.DUMMYFUNCTION("importrange(""https://docs.google.com/spreadsheets/d/1jor4uYuanvYtGhsvoocz_67jaLbkIuKJKdd2gNs-d_Y/edit#gid=1000421200"",""2025-26!ar3"")"),0.0)</f>
        <v>0</v>
      </c>
      <c r="CS198" s="59">
        <f t="shared" si="67"/>
        <v>0</v>
      </c>
      <c r="CT198" s="55">
        <f>IFERROR(__xludf.DUMMYFUNCTION("importrange(""https://docs.google.com/spreadsheets/d/1jor4uYuanvYtGhsvoocz_67jaLbkIuKJKdd2gNs-d_Y/edit#gid=1000421200"",""2025-26!as4"")"),0.0)</f>
        <v>0</v>
      </c>
      <c r="CU198" s="55">
        <f>IFERROR(__xludf.DUMMYFUNCTION("importrange(""https://docs.google.com/spreadsheets/d/1jor4uYuanvYtGhsvoocz_67jaLbkIuKJKdd2gNs-d_Y/edit#gid=1000421200"",""2025-26!as3"")"),0.0)</f>
        <v>0</v>
      </c>
      <c r="CV198" s="60" t="s">
        <v>212</v>
      </c>
    </row>
    <row r="199">
      <c r="A199" s="133" t="s">
        <v>185</v>
      </c>
      <c r="B199" s="134" t="s">
        <v>185</v>
      </c>
      <c r="C199" s="136" t="s">
        <v>405</v>
      </c>
      <c r="D199" s="50" t="s">
        <v>406</v>
      </c>
      <c r="E199" s="50">
        <v>8.617689063E9</v>
      </c>
      <c r="F199" s="74">
        <v>45202.0</v>
      </c>
      <c r="G199" s="62"/>
      <c r="H199" s="62"/>
      <c r="I199" s="53">
        <v>24120.0</v>
      </c>
      <c r="J199" s="54">
        <v>1500000.0</v>
      </c>
      <c r="K199" s="57">
        <f>IFERROR(__xludf.DUMMYFUNCTION("IMPORTRANGE(""https://docs.google.com/spreadsheets/d/1OHotHZ3l-xI-Dl4Gf6Pm8glzWqKQkPB46kcKJ5qYC2w/edit#gid=1996990278"",""2025-26!A3"")"),54.0)</f>
        <v>54</v>
      </c>
      <c r="L199" s="57">
        <f>IFERROR(__xludf.DUMMYFUNCTION("IMPORTRANGE(""https://docs.google.com/spreadsheets/d/1OHotHZ3l-xI-Dl4Gf6Pm8glzWqKQkPB46kcKJ5qYC2w/edit#gid=1996990278"",""2025-26!G4"")"),1.225E7)</f>
        <v>12250000</v>
      </c>
      <c r="M199" s="57">
        <f t="shared" si="87"/>
        <v>6836553.3</v>
      </c>
      <c r="N199" s="56">
        <f t="shared" si="88"/>
        <v>0.3717973878</v>
      </c>
      <c r="O199" s="57">
        <f t="shared" si="89"/>
        <v>4554518</v>
      </c>
      <c r="P199" s="55">
        <f>IFERROR(__xludf.DUMMYFUNCTION("IMPORTRANGE(""https://docs.google.com/spreadsheets/d/1OHotHZ3l-xI-Dl4Gf6Pm8glzWqKQkPB46kcKJ5qYC2w/edit#gid=1996990278"",""2025-26!J4"")"),575000.0)</f>
        <v>575000</v>
      </c>
      <c r="Q199" s="55">
        <f>IFERROR(__xludf.DUMMYFUNCTION("IMPORTRANGE(""https://docs.google.com/spreadsheets/d/1OHotHZ3l-xI-Dl4Gf6Pm8glzWqKQkPB46kcKJ5qYC2w/edit#gid=1996990278"",""2025-26!J3"")"),7.0)</f>
        <v>7</v>
      </c>
      <c r="R199" s="55">
        <f>IFERROR(__xludf.DUMMYFUNCTION("IMPORTRANGE(""https://docs.google.com/spreadsheets/d/1OHotHZ3l-xI-Dl4Gf6Pm8glzWqKQkPB46kcKJ5qYC2w/edit#gid=1996990278"",""2025-26!K4"")"),1161674.7699999998)</f>
        <v>1161674.77</v>
      </c>
      <c r="S199" s="55">
        <f>IFERROR(__xludf.DUMMYFUNCTION("IMPORTRANGE(""https://docs.google.com/spreadsheets/d/1OHotHZ3l-xI-Dl4Gf6Pm8glzWqKQkPB46kcKJ5qYC2w/edit#gid=1996990278"",""2025-26!K3"")"),7.0)</f>
        <v>7</v>
      </c>
      <c r="T199" s="58">
        <f t="shared" si="56"/>
        <v>0.9577356522</v>
      </c>
      <c r="U199" s="55">
        <f>IFERROR(__xludf.DUMMYFUNCTION("IMPORTRANGE(""https://docs.google.com/spreadsheets/d/1OHotHZ3l-xI-Dl4Gf6Pm8glzWqKQkPB46kcKJ5qYC2w/edit#gid=1996990278"",""2025-26!L4"")"),550698.0)</f>
        <v>550698</v>
      </c>
      <c r="V199" s="79">
        <f>IFERROR(__xludf.DUMMYFUNCTION("IMPORTRANGE(""https://docs.google.com/spreadsheets/d/1OHotHZ3l-xI-Dl4Gf6Pm8glzWqKQkPB46kcKJ5qYC2w/edit#gid=1996990278"",""2025-26!L3"")"),8.0)</f>
        <v>8</v>
      </c>
      <c r="W199" s="55">
        <f>IFERROR(__xludf.DUMMYFUNCTION("IMPORTRANGE(""https://docs.google.com/spreadsheets/d/1OHotHZ3l-xI-Dl4Gf6Pm8glzWqKQkPB46kcKJ5qYC2w/edit#gid=1996990278"",""2025-26!M4"")"),885000.0)</f>
        <v>885000</v>
      </c>
      <c r="X199" s="79">
        <f>IFERROR(__xludf.DUMMYFUNCTION("IMPORTRANGE(""https://docs.google.com/spreadsheets/d/1OHotHZ3l-xI-Dl4Gf6Pm8glzWqKQkPB46kcKJ5qYC2w/edit#gid=1996990278"",""2025-26!M3"")"),19.0)</f>
        <v>19</v>
      </c>
      <c r="Y199" s="55">
        <f>IFERROR(__xludf.DUMMYFUNCTION("importrange(""https://docs.google.com/spreadsheets/d/1OHotHZ3l-xI-Dl4Gf6Pm8glzWqKQkPB46kcKJ5qYC2w/edit#gid=1996990278"",""2025-26!n4"")"),1088893.55)</f>
        <v>1088893.55</v>
      </c>
      <c r="Z199" s="55">
        <f>IFERROR(__xludf.DUMMYFUNCTION("importrange(""https://docs.google.com/spreadsheets/d/1OHotHZ3l-xI-Dl4Gf6Pm8glzWqKQkPB46kcKJ5qYC2w/edit#gid=1996990278"",""2025-26!n3"")"),9.0)</f>
        <v>9</v>
      </c>
      <c r="AA199" s="58">
        <f t="shared" si="57"/>
        <v>0.9135627119</v>
      </c>
      <c r="AB199" s="55">
        <f>IFERROR(__xludf.DUMMYFUNCTION("importrange(""https://docs.google.com/spreadsheets/d/1OHotHZ3l-xI-Dl4Gf6Pm8glzWqKQkPB46kcKJ5qYC2w/edit#gid=1996990278"",""2025-26!o4"")"),808503.0)</f>
        <v>808503</v>
      </c>
      <c r="AC199" s="55">
        <f>IFERROR(__xludf.DUMMYFUNCTION("importrange(""https://docs.google.com/spreadsheets/d/1OHotHZ3l-xI-Dl4Gf6Pm8glzWqKQkPB46kcKJ5qYC2w/edit#gid=1996990278"",""2025-26!o3"")"),8.0)</f>
        <v>8</v>
      </c>
      <c r="AD199" s="55">
        <f>IFERROR(__xludf.DUMMYFUNCTION("importrange(""https://docs.google.com/spreadsheets/d/1OHotHZ3l-xI-Dl4Gf6Pm8glzWqKQkPB46kcKJ5qYC2w/edit#gid=1996990278"",""2025-26!p4"")"),1135000.0)</f>
        <v>1135000</v>
      </c>
      <c r="AE199" s="55">
        <f>IFERROR(__xludf.DUMMYFUNCTION("importrange(""https://docs.google.com/spreadsheets/d/1OHotHZ3l-xI-Dl4Gf6Pm8glzWqKQkPB46kcKJ5qYC2w/edit#gid=1996990278"",""2025-26!p3"")"),20.0)</f>
        <v>20</v>
      </c>
      <c r="AF199" s="55">
        <f>IFERROR(__xludf.DUMMYFUNCTION("importrange(""https://docs.google.com/spreadsheets/d/1OHotHZ3l-xI-Dl4Gf6Pm8glzWqKQkPB46kcKJ5qYC2w/edit#gid=1996990278"",""2025-26!q4"")"),736341.85)</f>
        <v>736341.85</v>
      </c>
      <c r="AG199" s="55">
        <f>IFERROR(__xludf.DUMMYFUNCTION("importrange(""https://docs.google.com/spreadsheets/d/1OHotHZ3l-xI-Dl4Gf6Pm8glzWqKQkPB46kcKJ5qYC2w/edit#gid=1996990278"",""2025-26!q3"")"),10.0)</f>
        <v>10</v>
      </c>
      <c r="AH199" s="58">
        <f t="shared" si="58"/>
        <v>0.5610599119</v>
      </c>
      <c r="AI199" s="55">
        <f>IFERROR(__xludf.DUMMYFUNCTION("importrange(""https://docs.google.com/spreadsheets/d/1OHotHZ3l-xI-Dl4Gf6Pm8glzWqKQkPB46kcKJ5qYC2w/edit#gid=1996990278"",""2025-26!r4"")"),636803.0)</f>
        <v>636803</v>
      </c>
      <c r="AJ199" s="55">
        <f>IFERROR(__xludf.DUMMYFUNCTION("importrange(""https://docs.google.com/spreadsheets/d/1OHotHZ3l-xI-Dl4Gf6Pm8glzWqKQkPB46kcKJ5qYC2w/edit#gid=1996990278"",""2025-26!r3"")"),8.0)</f>
        <v>8</v>
      </c>
      <c r="AK199" s="55">
        <f>IFERROR(__xludf.DUMMYFUNCTION("importrange(""https://docs.google.com/spreadsheets/d/1OHotHZ3l-xI-Dl4Gf6Pm8glzWqKQkPB46kcKJ5qYC2w/edit#gid=1996990278"",""2025-26!s4"")"),1135000.0)</f>
        <v>1135000</v>
      </c>
      <c r="AL199" s="55">
        <f>IFERROR(__xludf.DUMMYFUNCTION("importrange(""https://docs.google.com/spreadsheets/d/1OHotHZ3l-xI-Dl4Gf6Pm8glzWqKQkPB46kcKJ5qYC2w/edit#gid=1996990278"",""2025-26!s3"")"),20.0)</f>
        <v>20</v>
      </c>
      <c r="AM199" s="57">
        <f>IFERROR(__xludf.DUMMYFUNCTION("importrange(""https://docs.google.com/spreadsheets/d/1OHotHZ3l-xI-Dl4Gf6Pm8glzWqKQkPB46kcKJ5qYC2w/edit#gid=1996990278"",""2025-26!t4"")"),1095172.43)</f>
        <v>1095172.43</v>
      </c>
      <c r="AN199" s="55">
        <f>IFERROR(__xludf.DUMMYFUNCTION("importrange(""https://docs.google.com/spreadsheets/d/1OHotHZ3l-xI-Dl4Gf6Pm8glzWqKQkPB46kcKJ5qYC2w/edit#gid=1996990278"",""2025-26!t3"")"),10.0)</f>
        <v>10</v>
      </c>
      <c r="AO199" s="58">
        <f t="shared" si="59"/>
        <v>0.9223198238</v>
      </c>
      <c r="AP199" s="55">
        <f>IFERROR(__xludf.DUMMYFUNCTION("importrange(""https://docs.google.com/spreadsheets/d/1OHotHZ3l-xI-Dl4Gf6Pm8glzWqKQkPB46kcKJ5qYC2w/edit#gid=1996990278"",""2025-26!u4"")"),1046833.0)</f>
        <v>1046833</v>
      </c>
      <c r="AQ199" s="55">
        <f>IFERROR(__xludf.DUMMYFUNCTION("importrange(""https://docs.google.com/spreadsheets/d/1OHotHZ3l-xI-Dl4Gf6Pm8glzWqKQkPB46kcKJ5qYC2w/edit#gid=1996990278"",""2025-26!u3"")"),8.0)</f>
        <v>8</v>
      </c>
      <c r="AR199" s="55">
        <f>IFERROR(__xludf.DUMMYFUNCTION("importrange(""https://docs.google.com/spreadsheets/d/1OHotHZ3l-xI-Dl4Gf6Pm8glzWqKQkPB46kcKJ5qYC2w/edit#gid=1996990278"",""2025-26!v4"")"),1135000.0)</f>
        <v>1135000</v>
      </c>
      <c r="AS199" s="55">
        <f>IFERROR(__xludf.DUMMYFUNCTION("importrange(""https://docs.google.com/spreadsheets/d/1OHotHZ3l-xI-Dl4Gf6Pm8glzWqKQkPB46kcKJ5qYC2w/edit#gid=1996990278"",""2025-26!v3"")"),20.0)</f>
        <v>20</v>
      </c>
      <c r="AT199" s="57">
        <f>IFERROR(__xludf.DUMMYFUNCTION("importrange(""https://docs.google.com/spreadsheets/d/1OHotHZ3l-xI-Dl4Gf6Pm8glzWqKQkPB46kcKJ5qYC2w/edit#gid=1996990278"",""2025-26!w4"")"),1527256.9500000002)</f>
        <v>1527256.95</v>
      </c>
      <c r="AU199" s="55">
        <f>IFERROR(__xludf.DUMMYFUNCTION("importrange(""https://docs.google.com/spreadsheets/d/1OHotHZ3l-xI-Dl4Gf6Pm8glzWqKQkPB46kcKJ5qYC2w/edit#gid=1996990278"",""2025-26!w3"")"),16.0)</f>
        <v>16</v>
      </c>
      <c r="AV199" s="58">
        <f t="shared" si="60"/>
        <v>1.331877533</v>
      </c>
      <c r="AW199" s="55">
        <f>IFERROR(__xludf.DUMMYFUNCTION("importrange(""https://docs.google.com/spreadsheets/d/1OHotHZ3l-xI-Dl4Gf6Pm8glzWqKQkPB46kcKJ5qYC2w/edit#gid=1996990278"",""2025-26!x4"")"),1511681.0)</f>
        <v>1511681</v>
      </c>
      <c r="AX199" s="55">
        <f>IFERROR(__xludf.DUMMYFUNCTION("importrange(""https://docs.google.com/spreadsheets/d/1OHotHZ3l-xI-Dl4Gf6Pm8glzWqKQkPB46kcKJ5qYC2w/edit#gid=1996990278"",""2025-26!x3"")"),17.0)</f>
        <v>17</v>
      </c>
      <c r="AY199" s="55">
        <f>IFERROR(__xludf.DUMMYFUNCTION("importrange(""https://docs.google.com/spreadsheets/d/1OHotHZ3l-xI-Dl4Gf6Pm8glzWqKQkPB46kcKJ5qYC2w/edit#gid=1996990278"",""2025-26!y4"")"),1135000.0)</f>
        <v>1135000</v>
      </c>
      <c r="AZ199" s="55">
        <f>IFERROR(__xludf.DUMMYFUNCTION("importrange(""https://docs.google.com/spreadsheets/d/1OHotHZ3l-xI-Dl4Gf6Pm8glzWqKQkPB46kcKJ5qYC2w/edit#gid=1996990278"",""2025-26!y3"")"),20.0)</f>
        <v>20</v>
      </c>
      <c r="BA199" s="57">
        <f>IFERROR(__xludf.DUMMYFUNCTION("importrange(""https://docs.google.com/spreadsheets/d/1OHotHZ3l-xI-Dl4Gf6Pm8glzWqKQkPB46kcKJ5qYC2w/edit#gid=1996990278"",""2025-26!z4"")"),1227213.7499999998)</f>
        <v>1227213.75</v>
      </c>
      <c r="BB199" s="55">
        <f>IFERROR(__xludf.DUMMYFUNCTION("importrange(""https://docs.google.com/spreadsheets/d/1OHotHZ3l-xI-Dl4Gf6Pm8glzWqKQkPB46kcKJ5qYC2w/edit#gid=1996990278"",""2025-26!z3"")"),7.0)</f>
        <v>7</v>
      </c>
      <c r="BC199" s="59">
        <f t="shared" si="61"/>
        <v>0</v>
      </c>
      <c r="BD199" s="55">
        <f>IFERROR(__xludf.DUMMYFUNCTION("importrange(""https://docs.google.com/spreadsheets/d/1OHotHZ3l-xI-Dl4Gf6Pm8glzWqKQkPB46kcKJ5qYC2w/edit#gid=1996990278"",""2025-26!aa4"")"),0.0)</f>
        <v>0</v>
      </c>
      <c r="BE199" s="55">
        <f>IFERROR(__xludf.DUMMYFUNCTION("importrange(""https://docs.google.com/spreadsheets/d/1OHotHZ3l-xI-Dl4Gf6Pm8glzWqKQkPB46kcKJ5qYC2w/edit#gid=1996990278"",""2025-26!aa3"")"),0.0)</f>
        <v>0</v>
      </c>
      <c r="BF199" s="55">
        <f>IFERROR(__xludf.DUMMYFUNCTION("importrange(""https://docs.google.com/spreadsheets/d/1OHotHZ3l-xI-Dl4Gf6Pm8glzWqKQkPB46kcKJ5qYC2w/edit#gid=1996990278"",""2025-26!ab4"")"),935000.0)</f>
        <v>935000</v>
      </c>
      <c r="BG199" s="55">
        <f>IFERROR(__xludf.DUMMYFUNCTION("importrange(""https://docs.google.com/spreadsheets/d/1OHotHZ3l-xI-Dl4Gf6Pm8glzWqKQkPB46kcKJ5qYC2w/edit#gid=1996990278"",""2025-26!ab3"")"),20.0)</f>
        <v>20</v>
      </c>
      <c r="BH199" s="55">
        <f>IFERROR(__xludf.DUMMYFUNCTION("importrange(""https://docs.google.com/spreadsheets/d/1OHotHZ3l-xI-Dl4Gf6Pm8glzWqKQkPB46kcKJ5qYC2w/edit#gid=1996990278"",""2025-26!ac4"")"),0.0)</f>
        <v>0</v>
      </c>
      <c r="BI199" s="55">
        <f>IFERROR(__xludf.DUMMYFUNCTION("importrange(""https://docs.google.com/spreadsheets/d/1OHotHZ3l-xI-Dl4Gf6Pm8glzWqKQkPB46kcKJ5qYC2w/edit#gid=1996990278"",""2025-26!ac3"")"),0.0)</f>
        <v>0</v>
      </c>
      <c r="BJ199" s="59">
        <f t="shared" si="62"/>
        <v>0</v>
      </c>
      <c r="BK199" s="55">
        <f>IFERROR(__xludf.DUMMYFUNCTION("importrange(""https://docs.google.com/spreadsheets/d/1OHotHZ3l-xI-Dl4Gf6Pm8glzWqKQkPB46kcKJ5qYC2w/edit#gid=1996990278"",""2025-26!ad4"")"),0.0)</f>
        <v>0</v>
      </c>
      <c r="BL199" s="55">
        <f>IFERROR(__xludf.DUMMYFUNCTION("importrange(""https://docs.google.com/spreadsheets/d/1OHotHZ3l-xI-Dl4Gf6Pm8glzWqKQkPB46kcKJ5qYC2w/edit#gid=1996990278"",""2025-26!ad3"")"),0.0)</f>
        <v>0</v>
      </c>
      <c r="BM199" s="55">
        <f>IFERROR(__xludf.DUMMYFUNCTION("importrange(""https://docs.google.com/spreadsheets/d/1OHotHZ3l-xI-Dl4Gf6Pm8glzWqKQkPB46kcKJ5qYC2w/edit#gid=1996990278"",""2025-26!ae4"")"),935000.0)</f>
        <v>935000</v>
      </c>
      <c r="BN199" s="55">
        <f>IFERROR(__xludf.DUMMYFUNCTION("importrange(""https://docs.google.com/spreadsheets/d/1OHotHZ3l-xI-Dl4Gf6Pm8glzWqKQkPB46kcKJ5qYC2w/edit#gid=1996990278"",""2025-26!ae3"")"),20.0)</f>
        <v>20</v>
      </c>
      <c r="BO199" s="55">
        <f>IFERROR(__xludf.DUMMYFUNCTION("importrange(""https://docs.google.com/spreadsheets/d/1OHotHZ3l-xI-Dl4Gf6Pm8glzWqKQkPB46kcKJ5qYC2w/edit#gid=1996990278"",""2025-26!af4"")"),0.0)</f>
        <v>0</v>
      </c>
      <c r="BP199" s="55">
        <f>IFERROR(__xludf.DUMMYFUNCTION("importrange(""https://docs.google.com/spreadsheets/d/1OHotHZ3l-xI-Dl4Gf6Pm8glzWqKQkPB46kcKJ5qYC2w/edit#gid=1996990278"",""2025-26!af3"")"),0.0)</f>
        <v>0</v>
      </c>
      <c r="BQ199" s="59">
        <f t="shared" si="63"/>
        <v>0</v>
      </c>
      <c r="BR199" s="55">
        <f>IFERROR(__xludf.DUMMYFUNCTION("importrange(""https://docs.google.com/spreadsheets/d/1OHotHZ3l-xI-Dl4Gf6Pm8glzWqKQkPB46kcKJ5qYC2w/edit#gid=1996990278"",""2025-26!ag4"")"),0.0)</f>
        <v>0</v>
      </c>
      <c r="BS199" s="55">
        <f>IFERROR(__xludf.DUMMYFUNCTION("importrange(""https://docs.google.com/spreadsheets/d/1OHotHZ3l-xI-Dl4Gf6Pm8glzWqKQkPB46kcKJ5qYC2w/edit#gid=1996990278"",""2025-26!ag3"")"),0.0)</f>
        <v>0</v>
      </c>
      <c r="BT199" s="55">
        <f>IFERROR(__xludf.DUMMYFUNCTION("importrange(""https://docs.google.com/spreadsheets/d/1OHotHZ3l-xI-Dl4Gf6Pm8glzWqKQkPB46kcKJ5qYC2w/edit#gid=1996990278"",""2025-26!ah4"")"),935000.0)</f>
        <v>935000</v>
      </c>
      <c r="BU199" s="55">
        <f>IFERROR(__xludf.DUMMYFUNCTION("importrange(""https://docs.google.com/spreadsheets/d/1OHotHZ3l-xI-Dl4Gf6Pm8glzWqKQkPB46kcKJ5qYC2w/edit#gid=1996990278"",""2025-26!ah3"")"),20.0)</f>
        <v>20</v>
      </c>
      <c r="BV199" s="55">
        <f>IFERROR(__xludf.DUMMYFUNCTION("importrange(""https://docs.google.com/spreadsheets/d/1OHotHZ3l-xI-Dl4Gf6Pm8glzWqKQkPB46kcKJ5qYC2w/edit#gid=1996990278"",""2025-26!ai4"")"),0.0)</f>
        <v>0</v>
      </c>
      <c r="BW199" s="55">
        <f>IFERROR(__xludf.DUMMYFUNCTION("importrange(""https://docs.google.com/spreadsheets/d/1OHotHZ3l-xI-Dl4Gf6Pm8glzWqKQkPB46kcKJ5qYC2w/edit#gid=1996990278"",""2025-26!ai3"")"),0.0)</f>
        <v>0</v>
      </c>
      <c r="BX199" s="59">
        <f t="shared" si="64"/>
        <v>0</v>
      </c>
      <c r="BY199" s="55">
        <f>IFERROR(__xludf.DUMMYFUNCTION("importrange(""https://docs.google.com/spreadsheets/d/1OHotHZ3l-xI-Dl4Gf6Pm8glzWqKQkPB46kcKJ5qYC2w/edit#gid=1996990278"",""2025-26!aj4"")"),0.0)</f>
        <v>0</v>
      </c>
      <c r="BZ199" s="55">
        <f>IFERROR(__xludf.DUMMYFUNCTION("importrange(""https://docs.google.com/spreadsheets/d/1OHotHZ3l-xI-Dl4Gf6Pm8glzWqKQkPB46kcKJ5qYC2w/edit#gid=1996990278"",""2025-26!aj3"")"),0.0)</f>
        <v>0</v>
      </c>
      <c r="CA199" s="55">
        <f>IFERROR(__xludf.DUMMYFUNCTION("importrange(""https://docs.google.com/spreadsheets/d/1OHotHZ3l-xI-Dl4Gf6Pm8glzWqKQkPB46kcKJ5qYC2w/edit#gid=1996990278"",""2025-26!ak4"")"),1135000.0)</f>
        <v>1135000</v>
      </c>
      <c r="CB199" s="55">
        <f>IFERROR(__xludf.DUMMYFUNCTION("importrange(""https://docs.google.com/spreadsheets/d/1OHotHZ3l-xI-Dl4Gf6Pm8glzWqKQkPB46kcKJ5qYC2w/edit#gid=1996990278"",""2025-26!ak3"")"),20.0)</f>
        <v>20</v>
      </c>
      <c r="CC199" s="55">
        <f>IFERROR(__xludf.DUMMYFUNCTION("importrange(""https://docs.google.com/spreadsheets/d/1OHotHZ3l-xI-Dl4Gf6Pm8glzWqKQkPB46kcKJ5qYC2w/edit#gid=1996990278"",""2025-26!al4"")"),0.0)</f>
        <v>0</v>
      </c>
      <c r="CD199" s="55">
        <f>IFERROR(__xludf.DUMMYFUNCTION("importrange(""https://docs.google.com/spreadsheets/d/1OHotHZ3l-xI-Dl4Gf6Pm8glzWqKQkPB46kcKJ5qYC2w/edit#gid=1996990278"",""2025-26!ai3"")"),0.0)</f>
        <v>0</v>
      </c>
      <c r="CE199" s="59">
        <f t="shared" si="65"/>
        <v>0</v>
      </c>
      <c r="CF199" s="55">
        <f>IFERROR(__xludf.DUMMYFUNCTION("importrange(""https://docs.google.com/spreadsheets/d/1OHotHZ3l-xI-Dl4Gf6Pm8glzWqKQkPB46kcKJ5qYC2w/edit#gid=1996990278"",""2025-26!am4"")"),0.0)</f>
        <v>0</v>
      </c>
      <c r="CG199" s="55">
        <f>IFERROR(__xludf.DUMMYFUNCTION("importrange(""https://docs.google.com/spreadsheets/d/1OHotHZ3l-xI-Dl4Gf6Pm8glzWqKQkPB46kcKJ5qYC2w/edit#gid=1996990278"",""2025-26!am3"")"),0.0)</f>
        <v>0</v>
      </c>
      <c r="CH199" s="55">
        <f>IFERROR(__xludf.DUMMYFUNCTION("importrange(""https://docs.google.com/spreadsheets/d/1OHotHZ3l-xI-Dl4Gf6Pm8glzWqKQkPB46kcKJ5qYC2w/edit#gid=1996990278"",""2025-26!an4"")"),1135000.0)</f>
        <v>1135000</v>
      </c>
      <c r="CI199" s="55">
        <f>IFERROR(__xludf.DUMMYFUNCTION("importrange(""https://docs.google.com/spreadsheets/d/1OHotHZ3l-xI-Dl4Gf6Pm8glzWqKQkPB46kcKJ5qYC2w/edit#gid=1996990278"",""2025-26!an3"")"),20.0)</f>
        <v>20</v>
      </c>
      <c r="CJ199" s="55">
        <f>IFERROR(__xludf.DUMMYFUNCTION("importrange(""https://docs.google.com/spreadsheets/d/1OHotHZ3l-xI-Dl4Gf6Pm8glzWqKQkPB46kcKJ5qYC2w/edit#gid=1996990278"",""2025-26!ao4"")"),0.0)</f>
        <v>0</v>
      </c>
      <c r="CK199" s="55">
        <f>IFERROR(__xludf.DUMMYFUNCTION("importrange(""https://docs.google.com/spreadsheets/d/1OHotHZ3l-xI-Dl4Gf6Pm8glzWqKQkPB46kcKJ5qYC2w/edit#gid=1996990278"",""2025-26!ao3"")"),0.0)</f>
        <v>0</v>
      </c>
      <c r="CL199" s="59">
        <f t="shared" si="66"/>
        <v>0</v>
      </c>
      <c r="CM199" s="55">
        <f>IFERROR(__xludf.DUMMYFUNCTION("importrange(""https://docs.google.com/spreadsheets/d/1OHotHZ3l-xI-Dl4Gf6Pm8glzWqKQkPB46kcKJ5qYC2w/edit#gid=1996990278"",""2025-26!ap4"")"),0.0)</f>
        <v>0</v>
      </c>
      <c r="CN199" s="55">
        <f>IFERROR(__xludf.DUMMYFUNCTION("importrange(""https://docs.google.com/spreadsheets/d/1OHotHZ3l-xI-Dl4Gf6Pm8glzWqKQkPB46kcKJ5qYC2w/edit#gid=1996990278"",""2025-26!ap3"")"),0.0)</f>
        <v>0</v>
      </c>
      <c r="CO199" s="55">
        <f>IFERROR(__xludf.DUMMYFUNCTION("importrange(""https://docs.google.com/spreadsheets/d/1OHotHZ3l-xI-Dl4Gf6Pm8glzWqKQkPB46kcKJ5qYC2w/edit#gid=1996990278"",""2025-26!aq4"")"),1235000.0)</f>
        <v>1235000</v>
      </c>
      <c r="CP199" s="55">
        <f>IFERROR(__xludf.DUMMYFUNCTION("importrange(""https://docs.google.com/spreadsheets/d/1OHotHZ3l-xI-Dl4Gf6Pm8glzWqKQkPB46kcKJ5qYC2w/edit#gid=1996990278"",""2025-26!aq3"")"),20.0)</f>
        <v>20</v>
      </c>
      <c r="CQ199" s="55">
        <f>IFERROR(__xludf.DUMMYFUNCTION("importrange(""https://docs.google.com/spreadsheets/d/1OHotHZ3l-xI-Dl4Gf6Pm8glzWqKQkPB46kcKJ5qYC2w/edit#gid=1996990278"",""2025-26!ar4"")"),0.0)</f>
        <v>0</v>
      </c>
      <c r="CR199" s="55">
        <f>IFERROR(__xludf.DUMMYFUNCTION("importrange(""https://docs.google.com/spreadsheets/d/1OHotHZ3l-xI-Dl4Gf6Pm8glzWqKQkPB46kcKJ5qYC2w/edit#gid=1996990278"",""2025-26!ar3"")"),0.0)</f>
        <v>0</v>
      </c>
      <c r="CS199" s="59">
        <f t="shared" si="67"/>
        <v>0</v>
      </c>
      <c r="CT199" s="55">
        <f>IFERROR(__xludf.DUMMYFUNCTION("importrange(""https://docs.google.com/spreadsheets/d/1OHotHZ3l-xI-Dl4Gf6Pm8glzWqKQkPB46kcKJ5qYC2w/edit#gid=1996990278"",""2025-26!as4"")"),0.0)</f>
        <v>0</v>
      </c>
      <c r="CU199" s="55">
        <f>IFERROR(__xludf.DUMMYFUNCTION("importrange(""https://docs.google.com/spreadsheets/d/1OHotHZ3l-xI-Dl4Gf6Pm8glzWqKQkPB46kcKJ5qYC2w/edit#gid=1996990278"",""2025-26!as3"")"),0.0)</f>
        <v>0</v>
      </c>
      <c r="CV199" s="60" t="s">
        <v>189</v>
      </c>
    </row>
    <row r="200">
      <c r="A200" s="133" t="s">
        <v>185</v>
      </c>
      <c r="B200" s="134" t="s">
        <v>185</v>
      </c>
      <c r="C200" s="151" t="s">
        <v>407</v>
      </c>
      <c r="D200" s="49" t="s">
        <v>187</v>
      </c>
      <c r="E200" s="50">
        <v>9.7489433E9</v>
      </c>
      <c r="F200" s="82">
        <v>45876.0</v>
      </c>
      <c r="G200" s="75"/>
      <c r="H200" s="75"/>
      <c r="I200" s="83">
        <v>33570.0</v>
      </c>
      <c r="J200" s="108">
        <v>1500000.0</v>
      </c>
      <c r="K200" s="57">
        <f>IFERROR(__xludf.DUMMYFUNCTION("IMPORTRANGE(""https://docs.google.com/spreadsheets/d/13dftCqnLXGxGta9pcy18GHh8WGP45Y7njJ4UI-jcPGI/edit?gid=1586402276#gid=1586402276"",""2025-26!A3"")"),60.0)</f>
        <v>60</v>
      </c>
      <c r="L200" s="57">
        <f>IFERROR(__xludf.DUMMYFUNCTION("IMPORTRANGE(""https://docs.google.com/spreadsheets/d/13dftCqnLXGxGta9pcy18GHh8WGP45Y7njJ4UI-jcPGI/edit?gid=1586402276#gid=1586402276"",""2025-26!G4"")"),0.0)</f>
        <v>0</v>
      </c>
      <c r="M200" s="57">
        <f t="shared" si="87"/>
        <v>3410282.73</v>
      </c>
      <c r="N200" s="56" t="str">
        <f t="shared" si="88"/>
        <v/>
      </c>
      <c r="O200" s="57">
        <f t="shared" si="89"/>
        <v>2352532</v>
      </c>
      <c r="P200" s="55">
        <f>IFERROR(__xludf.DUMMYFUNCTION("IMPORTRANGE(""https://docs.google.com/spreadsheets/d/13dftCqnLXGxGta9pcy18GHh8WGP45Y7njJ4UI-jcPGI/edit?gid=1586402276#gid=1586402276"",""2025-26!J4"")"),0.0)</f>
        <v>0</v>
      </c>
      <c r="Q200" s="55">
        <f>IFERROR(__xludf.DUMMYFUNCTION("IMPORTRANGE(""https://docs.google.com/spreadsheets/d/13dftCqnLXGxGta9pcy18GHh8WGP45Y7njJ4UI-jcPGI/edit?gid=1586402276#gid=1586402276"",""2025-26!J3"")"),0.0)</f>
        <v>0</v>
      </c>
      <c r="R200" s="55">
        <f>IFERROR(__xludf.DUMMYFUNCTION("IMPORTRANGE(""https://docs.google.com/spreadsheets/d/13dftCqnLXGxGta9pcy18GHh8WGP45Y7njJ4UI-jcPGI/edit?gid=1586402276#gid=1586402276"",""2025-26!K4"")"),0.0)</f>
        <v>0</v>
      </c>
      <c r="S200" s="55">
        <f>IFERROR(__xludf.DUMMYFUNCTION("IMPORTRANGE(""https://docs.google.com/spreadsheets/d/13dftCqnLXGxGta9pcy18GHh8WGP45Y7njJ4UI-jcPGI/edit?gid=1586402276#gid=1586402276"",""2025-26!K3"")"),0.0)</f>
        <v>0</v>
      </c>
      <c r="T200" s="58" t="str">
        <f t="shared" si="56"/>
        <v/>
      </c>
      <c r="U200" s="55">
        <f>IFERROR(__xludf.DUMMYFUNCTION("IMPORTRANGE(""https://docs.google.com/spreadsheets/d/13dftCqnLXGxGta9pcy18GHh8WGP45Y7njJ4UI-jcPGI/edit?gid=1586402276#gid=1586402276"",""2025-26!L4"")"),0.0)</f>
        <v>0</v>
      </c>
      <c r="V200" s="79">
        <f>IFERROR(__xludf.DUMMYFUNCTION("IMPORTRANGE(""https://docs.google.com/spreadsheets/d/13dftCqnLXGxGta9pcy18GHh8WGP45Y7njJ4UI-jcPGI/edit?gid=1586402276#gid=1586402276"",""2025-26!L3"")"),0.0)</f>
        <v>0</v>
      </c>
      <c r="W200" s="55">
        <f>IFERROR(__xludf.DUMMYFUNCTION("IMPORTRANGE(""https://docs.google.com/spreadsheets/d/13dftCqnLXGxGta9pcy18GHh8WGP45Y7njJ4UI-jcPGI/edit?gid=1586402276#gid=1586402276"",""2025-26!M4"")"),0.0)</f>
        <v>0</v>
      </c>
      <c r="X200" s="79">
        <f>IFERROR(__xludf.DUMMYFUNCTION("IMPORTRANGE(""https://docs.google.com/spreadsheets/d/13dftCqnLXGxGta9pcy18GHh8WGP45Y7njJ4UI-jcPGI/edit?gid=1586402276#gid=1586402276"",""2025-26!M3"")"),0.0)</f>
        <v>0</v>
      </c>
      <c r="Y200" s="55">
        <f>IFERROR(__xludf.DUMMYFUNCTION("importrange(""https://docs.google.com/spreadsheets/d/13dftCqnLXGxGta9pcy18GHh8WGP45Y7njJ4UI-jcPGI/edit?gid=1586402276#gid=1586402276"",""2025-26!n4"")"),0.0)</f>
        <v>0</v>
      </c>
      <c r="Z200" s="55">
        <f>IFERROR(__xludf.DUMMYFUNCTION("importrange(""https://docs.google.com/spreadsheets/d/13dftCqnLXGxGta9pcy18GHh8WGP45Y7njJ4UI-jcPGI/edit?gid=1586402276#gid=1586402276"",""2025-26!n3"")"),0.0)</f>
        <v>0</v>
      </c>
      <c r="AA200" s="58" t="str">
        <f t="shared" si="57"/>
        <v/>
      </c>
      <c r="AB200" s="55">
        <f>IFERROR(__xludf.DUMMYFUNCTION("importrange(""https://docs.google.com/spreadsheets/d/13dftCqnLXGxGta9pcy18GHh8WGP45Y7njJ4UI-jcPGI/edit?gid=1586402276#gid=1586402276"",""2025-26!o4"")"),0.0)</f>
        <v>0</v>
      </c>
      <c r="AC200" s="55">
        <f>IFERROR(__xludf.DUMMYFUNCTION("importrange(""https://docs.google.com/spreadsheets/d/13dftCqnLXGxGta9pcy18GHh8WGP45Y7njJ4UI-jcPGI/edit?gid=1586402276#gid=1586402276"",""2025-26!o3"")"),0.0)</f>
        <v>0</v>
      </c>
      <c r="AD200" s="55">
        <f>IFERROR(__xludf.DUMMYFUNCTION("importrange(""https://docs.google.com/spreadsheets/d/13dftCqnLXGxGta9pcy18GHh8WGP45Y7njJ4UI-jcPGI/edit?gid=1586402276#gid=1586402276"",""2025-26!p4"")"),0.0)</f>
        <v>0</v>
      </c>
      <c r="AE200" s="55">
        <f>IFERROR(__xludf.DUMMYFUNCTION("importrange(""https://docs.google.com/spreadsheets/d/13dftCqnLXGxGta9pcy18GHh8WGP45Y7njJ4UI-jcPGI/edit?gid=1586402276#gid=1586402276"",""2025-26!p3"")"),0.0)</f>
        <v>0</v>
      </c>
      <c r="AF200" s="55">
        <f>IFERROR(__xludf.DUMMYFUNCTION("importrange(""https://docs.google.com/spreadsheets/d/13dftCqnLXGxGta9pcy18GHh8WGP45Y7njJ4UI-jcPGI/edit?gid=1586402276#gid=1586402276"",""2025-26!q4"")"),0.0)</f>
        <v>0</v>
      </c>
      <c r="AG200" s="55">
        <f>IFERROR(__xludf.DUMMYFUNCTION("importrange(""https://docs.google.com/spreadsheets/d/13dftCqnLXGxGta9pcy18GHh8WGP45Y7njJ4UI-jcPGI/edit?gid=1586402276#gid=1586402276"",""2025-26!q3"")"),0.0)</f>
        <v>0</v>
      </c>
      <c r="AH200" s="58" t="str">
        <f t="shared" si="58"/>
        <v/>
      </c>
      <c r="AI200" s="55">
        <f>IFERROR(__xludf.DUMMYFUNCTION("importrange(""https://docs.google.com/spreadsheets/d/13dftCqnLXGxGta9pcy18GHh8WGP45Y7njJ4UI-jcPGI/edit?gid=1586402276#gid=1586402276"",""2025-26!r4"")"),0.0)</f>
        <v>0</v>
      </c>
      <c r="AJ200" s="55">
        <f>IFERROR(__xludf.DUMMYFUNCTION("importrange(""https://docs.google.com/spreadsheets/d/13dftCqnLXGxGta9pcy18GHh8WGP45Y7njJ4UI-jcPGI/edit?gid=1586402276#gid=1586402276"",""2025-26!r3"")"),0.0)</f>
        <v>0</v>
      </c>
      <c r="AK200" s="55">
        <f>IFERROR(__xludf.DUMMYFUNCTION("importrange(""https://docs.google.com/spreadsheets/d/13dftCqnLXGxGta9pcy18GHh8WGP45Y7njJ4UI-jcPGI/edit?gid=1586402276#gid=1586402276"",""2025-26!s4"")"),0.0)</f>
        <v>0</v>
      </c>
      <c r="AL200" s="55">
        <f>IFERROR(__xludf.DUMMYFUNCTION("importrange(""https://docs.google.com/spreadsheets/d/13dftCqnLXGxGta9pcy18GHh8WGP45Y7njJ4UI-jcPGI/edit?gid=1586402276#gid=1586402276"",""2025-26!s3"")"),0.0)</f>
        <v>0</v>
      </c>
      <c r="AM200" s="57">
        <f>IFERROR(__xludf.DUMMYFUNCTION("importrange(""https://docs.google.com/spreadsheets/d/13dftCqnLXGxGta9pcy18GHh8WGP45Y7njJ4UI-jcPGI/edit?gid=1586402276#gid=1586402276"",""2025-26!t4"")"),0.0)</f>
        <v>0</v>
      </c>
      <c r="AN200" s="55">
        <f>IFERROR(__xludf.DUMMYFUNCTION("importrange(""https://docs.google.com/spreadsheets/d/13dftCqnLXGxGta9pcy18GHh8WGP45Y7njJ4UI-jcPGI/edit?gid=1586402276#gid=1586402276"",""2025-26!t3"")"),0.0)</f>
        <v>0</v>
      </c>
      <c r="AO200" s="58" t="str">
        <f t="shared" si="59"/>
        <v/>
      </c>
      <c r="AP200" s="55">
        <f>IFERROR(__xludf.DUMMYFUNCTION("importrange(""https://docs.google.com/spreadsheets/d/13dftCqnLXGxGta9pcy18GHh8WGP45Y7njJ4UI-jcPGI/edit?gid=1586402276#gid=1586402276"",""2025-26!u4"")"),0.0)</f>
        <v>0</v>
      </c>
      <c r="AQ200" s="55">
        <f>IFERROR(__xludf.DUMMYFUNCTION("importrange(""https://docs.google.com/spreadsheets/d/13dftCqnLXGxGta9pcy18GHh8WGP45Y7njJ4UI-jcPGI/edit?gid=1586402276#gid=1586402276"",""2025-26!u3"")"),0.0)</f>
        <v>0</v>
      </c>
      <c r="AR200" s="55">
        <f>IFERROR(__xludf.DUMMYFUNCTION("importrange(""https://docs.google.com/spreadsheets/d/13dftCqnLXGxGta9pcy18GHh8WGP45Y7njJ4UI-jcPGI/edit?gid=1586402276#gid=1586402276"",""2025-26!v4"")"),0.0)</f>
        <v>0</v>
      </c>
      <c r="AS200" s="55">
        <f>IFERROR(__xludf.DUMMYFUNCTION("importrange(""https://docs.google.com/spreadsheets/d/13dftCqnLXGxGta9pcy18GHh8WGP45Y7njJ4UI-jcPGI/edit?gid=1586402276#gid=1586402276"",""2025-26!v3"")"),0.0)</f>
        <v>0</v>
      </c>
      <c r="AT200" s="57">
        <f>IFERROR(__xludf.DUMMYFUNCTION("importrange(""https://docs.google.com/spreadsheets/d/13dftCqnLXGxGta9pcy18GHh8WGP45Y7njJ4UI-jcPGI/edit?gid=1586402276#gid=1586402276"",""2025-26!w4"")"),1433051.33)</f>
        <v>1433051.33</v>
      </c>
      <c r="AU200" s="55">
        <f>IFERROR(__xludf.DUMMYFUNCTION("importrange(""https://docs.google.com/spreadsheets/d/13dftCqnLXGxGta9pcy18GHh8WGP45Y7njJ4UI-jcPGI/edit?gid=1586402276#gid=1586402276"",""2025-26!w3"")"),16.0)</f>
        <v>16</v>
      </c>
      <c r="AV200" s="58" t="str">
        <f t="shared" si="60"/>
        <v/>
      </c>
      <c r="AW200" s="55">
        <f>IFERROR(__xludf.DUMMYFUNCTION("importrange(""https://docs.google.com/spreadsheets/d/13dftCqnLXGxGta9pcy18GHh8WGP45Y7njJ4UI-jcPGI/edit?gid=1586402276#gid=1586402276"",""2025-26!x4"")"),1205942.0)</f>
        <v>1205942</v>
      </c>
      <c r="AX200" s="55">
        <f>IFERROR(__xludf.DUMMYFUNCTION("importrange(""https://docs.google.com/spreadsheets/d/13dftCqnLXGxGta9pcy18GHh8WGP45Y7njJ4UI-jcPGI/edit?gid=1586402276#gid=1586402276"",""2025-26!x3"")"),15.0)</f>
        <v>15</v>
      </c>
      <c r="AY200" s="55">
        <f>IFERROR(__xludf.DUMMYFUNCTION("importrange(""https://docs.google.com/spreadsheets/d/13dftCqnLXGxGta9pcy18GHh8WGP45Y7njJ4UI-jcPGI/edit?gid=1586402276#gid=1586402276"",""2025-26!y4"")"),0.0)</f>
        <v>0</v>
      </c>
      <c r="AZ200" s="55">
        <f>IFERROR(__xludf.DUMMYFUNCTION("importrange(""https://docs.google.com/spreadsheets/d/13dftCqnLXGxGta9pcy18GHh8WGP45Y7njJ4UI-jcPGI/edit?gid=1586402276#gid=1586402276"",""2025-26!y3"")"),0.0)</f>
        <v>0</v>
      </c>
      <c r="BA200" s="57">
        <f>IFERROR(__xludf.DUMMYFUNCTION("importrange(""https://docs.google.com/spreadsheets/d/13dftCqnLXGxGta9pcy18GHh8WGP45Y7njJ4UI-jcPGI/edit?gid=1586402276#gid=1586402276"",""2025-26!z4"")"),936653.0)</f>
        <v>936653</v>
      </c>
      <c r="BB200" s="55">
        <f>IFERROR(__xludf.DUMMYFUNCTION("importrange(""https://docs.google.com/spreadsheets/d/13dftCqnLXGxGta9pcy18GHh8WGP45Y7njJ4UI-jcPGI/edit?gid=1586402276#gid=1586402276"",""2025-26!z3"")"),15.0)</f>
        <v>15</v>
      </c>
      <c r="BC200" s="59" t="str">
        <f t="shared" si="61"/>
        <v/>
      </c>
      <c r="BD200" s="55">
        <f>IFERROR(__xludf.DUMMYFUNCTION("importrange(""https://docs.google.com/spreadsheets/d/13dftCqnLXGxGta9pcy18GHh8WGP45Y7njJ4UI-jcPGI/edit?gid=1586402276#gid=1586402276"",""2025-26!aa4"")"),1146590.0)</f>
        <v>1146590</v>
      </c>
      <c r="BE200" s="55">
        <f>IFERROR(__xludf.DUMMYFUNCTION("importrange(""https://docs.google.com/spreadsheets/d/13dftCqnLXGxGta9pcy18GHh8WGP45Y7njJ4UI-jcPGI/edit?gid=1586402276#gid=1586402276"",""2025-26!aa3"")"),18.0)</f>
        <v>18</v>
      </c>
      <c r="BF200" s="55">
        <f>IFERROR(__xludf.DUMMYFUNCTION("importrange(""https://docs.google.com/spreadsheets/d/13dftCqnLXGxGta9pcy18GHh8WGP45Y7njJ4UI-jcPGI/edit?gid=1586402276#gid=1586402276"",""2025-26!ab4"")"),0.0)</f>
        <v>0</v>
      </c>
      <c r="BG200" s="55">
        <f>IFERROR(__xludf.DUMMYFUNCTION("importrange(""https://docs.google.com/spreadsheets/d/13dftCqnLXGxGta9pcy18GHh8WGP45Y7njJ4UI-jcPGI/edit?gid=1586402276#gid=1586402276"",""2025-26!ab3"")"),0.0)</f>
        <v>0</v>
      </c>
      <c r="BH200" s="55">
        <f>IFERROR(__xludf.DUMMYFUNCTION("importrange(""https://docs.google.com/spreadsheets/d/13dftCqnLXGxGta9pcy18GHh8WGP45Y7njJ4UI-jcPGI/edit?gid=1586402276#gid=1586402276"",""2025-26!ac4"")"),884068.6400000001)</f>
        <v>884068.64</v>
      </c>
      <c r="BI200" s="55">
        <f>IFERROR(__xludf.DUMMYFUNCTION("importrange(""https://docs.google.com/spreadsheets/d/13dftCqnLXGxGta9pcy18GHh8WGP45Y7njJ4UI-jcPGI/edit?gid=1586402276#gid=1586402276"",""2025-26!ac3"")"),9.0)</f>
        <v>9</v>
      </c>
      <c r="BJ200" s="59" t="str">
        <f t="shared" si="62"/>
        <v/>
      </c>
      <c r="BK200" s="55">
        <f>IFERROR(__xludf.DUMMYFUNCTION("importrange(""https://docs.google.com/spreadsheets/d/13dftCqnLXGxGta9pcy18GHh8WGP45Y7njJ4UI-jcPGI/edit?gid=1586402276#gid=1586402276"",""2025-26!ad4"")"),0.0)</f>
        <v>0</v>
      </c>
      <c r="BL200" s="55">
        <f>IFERROR(__xludf.DUMMYFUNCTION("importrange(""https://docs.google.com/spreadsheets/d/13dftCqnLXGxGta9pcy18GHh8WGP45Y7njJ4UI-jcPGI/edit?gid=1586402276#gid=1586402276"",""2025-26!ad3"")"),0.0)</f>
        <v>0</v>
      </c>
      <c r="BM200" s="55">
        <f>IFERROR(__xludf.DUMMYFUNCTION("importrange(""https://docs.google.com/spreadsheets/d/13dftCqnLXGxGta9pcy18GHh8WGP45Y7njJ4UI-jcPGI/edit?gid=1586402276#gid=1586402276"",""2025-26!ae4"")"),0.0)</f>
        <v>0</v>
      </c>
      <c r="BN200" s="55">
        <f>IFERROR(__xludf.DUMMYFUNCTION("importrange(""https://docs.google.com/spreadsheets/d/13dftCqnLXGxGta9pcy18GHh8WGP45Y7njJ4UI-jcPGI/edit?gid=1586402276#gid=1586402276"",""2025-26!ae3"")"),0.0)</f>
        <v>0</v>
      </c>
      <c r="BO200" s="55">
        <f>IFERROR(__xludf.DUMMYFUNCTION("importrange(""https://docs.google.com/spreadsheets/d/13dftCqnLXGxGta9pcy18GHh8WGP45Y7njJ4UI-jcPGI/edit?gid=1586402276#gid=1586402276"",""2025-26!af4"")"),156509.76)</f>
        <v>156509.76</v>
      </c>
      <c r="BP200" s="55">
        <f>IFERROR(__xludf.DUMMYFUNCTION("importrange(""https://docs.google.com/spreadsheets/d/13dftCqnLXGxGta9pcy18GHh8WGP45Y7njJ4UI-jcPGI/edit?gid=1586402276#gid=1586402276"",""2025-26!af3"")"),5.0)</f>
        <v>5</v>
      </c>
      <c r="BQ200" s="59" t="str">
        <f t="shared" si="63"/>
        <v/>
      </c>
      <c r="BR200" s="55">
        <f>IFERROR(__xludf.DUMMYFUNCTION("importrange(""https://docs.google.com/spreadsheets/d/13dftCqnLXGxGta9pcy18GHh8WGP45Y7njJ4UI-jcPGI/edit?gid=1586402276#gid=1586402276"",""2025-26!ag4"")"),0.0)</f>
        <v>0</v>
      </c>
      <c r="BS200" s="55">
        <f>IFERROR(__xludf.DUMMYFUNCTION("importrange(""https://docs.google.com/spreadsheets/d/13dftCqnLXGxGta9pcy18GHh8WGP45Y7njJ4UI-jcPGI/edit?gid=1586402276#gid=1586402276"",""2025-26!ag3"")"),0.0)</f>
        <v>0</v>
      </c>
      <c r="BT200" s="55">
        <f>IFERROR(__xludf.DUMMYFUNCTION("importrange(""https://docs.google.com/spreadsheets/d/13dftCqnLXGxGta9pcy18GHh8WGP45Y7njJ4UI-jcPGI/edit?gid=1586402276#gid=1586402276"",""2025-26!ah4"")"),0.0)</f>
        <v>0</v>
      </c>
      <c r="BU200" s="55">
        <f>IFERROR(__xludf.DUMMYFUNCTION("importrange(""https://docs.google.com/spreadsheets/d/13dftCqnLXGxGta9pcy18GHh8WGP45Y7njJ4UI-jcPGI/edit?gid=1586402276#gid=1586402276"",""2025-26!ah3"")"),0.0)</f>
        <v>0</v>
      </c>
      <c r="BV200" s="55">
        <f>IFERROR(__xludf.DUMMYFUNCTION("importrange(""https://docs.google.com/spreadsheets/d/13dftCqnLXGxGta9pcy18GHh8WGP45Y7njJ4UI-jcPGI/edit?gid=1586402276#gid=1586402276"",""2025-26!ai4"")"),0.0)</f>
        <v>0</v>
      </c>
      <c r="BW200" s="55">
        <f>IFERROR(__xludf.DUMMYFUNCTION("importrange(""https://docs.google.com/spreadsheets/d/13dftCqnLXGxGta9pcy18GHh8WGP45Y7njJ4UI-jcPGI/edit?gid=1586402276#gid=1586402276"",""2025-26!ai3"")"),0.0)</f>
        <v>0</v>
      </c>
      <c r="BX200" s="59" t="str">
        <f t="shared" si="64"/>
        <v/>
      </c>
      <c r="BY200" s="55">
        <f>IFERROR(__xludf.DUMMYFUNCTION("importrange(""https://docs.google.com/spreadsheets/d/13dftCqnLXGxGta9pcy18GHh8WGP45Y7njJ4UI-jcPGI/edit?gid=1586402276#gid=1586402276"",""2025-26!aj4"")"),0.0)</f>
        <v>0</v>
      </c>
      <c r="BZ200" s="55">
        <f>IFERROR(__xludf.DUMMYFUNCTION("importrange(""https://docs.google.com/spreadsheets/d/13dftCqnLXGxGta9pcy18GHh8WGP45Y7njJ4UI-jcPGI/edit?gid=1586402276#gid=1586402276"",""2025-26!aj3"")"),0.0)</f>
        <v>0</v>
      </c>
      <c r="CA200" s="55">
        <f>IFERROR(__xludf.DUMMYFUNCTION("importrange(""https://docs.google.com/spreadsheets/d/13dftCqnLXGxGta9pcy18GHh8WGP45Y7njJ4UI-jcPGI/edit?gid=1586402276#gid=1586402276"",""2025-26!ak4"")"),0.0)</f>
        <v>0</v>
      </c>
      <c r="CB200" s="55">
        <f>IFERROR(__xludf.DUMMYFUNCTION("importrange(""https://docs.google.com/spreadsheets/d/13dftCqnLXGxGta9pcy18GHh8WGP45Y7njJ4UI-jcPGI/edit?gid=1586402276#gid=1586402276"",""2025-26!ak3"")"),0.0)</f>
        <v>0</v>
      </c>
      <c r="CC200" s="55">
        <f>IFERROR(__xludf.DUMMYFUNCTION("importrange(""https://docs.google.com/spreadsheets/d/13dftCqnLXGxGta9pcy18GHh8WGP45Y7njJ4UI-jcPGI/edit?gid=1586402276#gid=1586402276"",""2025-26!al4"")"),0.0)</f>
        <v>0</v>
      </c>
      <c r="CD200" s="55">
        <f>IFERROR(__xludf.DUMMYFUNCTION("importrange(""https://docs.google.com/spreadsheets/d/13dftCqnLXGxGta9pcy18GHh8WGP45Y7njJ4UI-jcPGI/edit?gid=1586402276#gid=1586402276"",""2025-26!ai3"")"),0.0)</f>
        <v>0</v>
      </c>
      <c r="CE200" s="59" t="str">
        <f t="shared" si="65"/>
        <v/>
      </c>
      <c r="CF200" s="55">
        <f>IFERROR(__xludf.DUMMYFUNCTION("importrange(""https://docs.google.com/spreadsheets/d/13dftCqnLXGxGta9pcy18GHh8WGP45Y7njJ4UI-jcPGI/edit?gid=1586402276#gid=1586402276"",""2025-26!am4"")"),0.0)</f>
        <v>0</v>
      </c>
      <c r="CG200" s="55">
        <f>IFERROR(__xludf.DUMMYFUNCTION("importrange(""https://docs.google.com/spreadsheets/d/13dftCqnLXGxGta9pcy18GHh8WGP45Y7njJ4UI-jcPGI/edit?gid=1586402276#gid=1586402276"",""2025-26!am3"")"),0.0)</f>
        <v>0</v>
      </c>
      <c r="CH200" s="55">
        <f>IFERROR(__xludf.DUMMYFUNCTION("importrange(""https://docs.google.com/spreadsheets/d/13dftCqnLXGxGta9pcy18GHh8WGP45Y7njJ4UI-jcPGI/edit?gid=1586402276#gid=1586402276"",""2025-26!an4"")"),0.0)</f>
        <v>0</v>
      </c>
      <c r="CI200" s="55">
        <f>IFERROR(__xludf.DUMMYFUNCTION("importrange(""https://docs.google.com/spreadsheets/d/13dftCqnLXGxGta9pcy18GHh8WGP45Y7njJ4UI-jcPGI/edit?gid=1586402276#gid=1586402276"",""2025-26!an3"")"),0.0)</f>
        <v>0</v>
      </c>
      <c r="CJ200" s="55">
        <f>IFERROR(__xludf.DUMMYFUNCTION("importrange(""https://docs.google.com/spreadsheets/d/13dftCqnLXGxGta9pcy18GHh8WGP45Y7njJ4UI-jcPGI/edit?gid=1586402276#gid=1586402276"",""2025-26!ao4"")"),0.0)</f>
        <v>0</v>
      </c>
      <c r="CK200" s="55">
        <f>IFERROR(__xludf.DUMMYFUNCTION("importrange(""https://docs.google.com/spreadsheets/d/13dftCqnLXGxGta9pcy18GHh8WGP45Y7njJ4UI-jcPGI/edit?gid=1586402276#gid=1586402276"",""2025-26!ao3"")"),0.0)</f>
        <v>0</v>
      </c>
      <c r="CL200" s="59" t="str">
        <f t="shared" si="66"/>
        <v/>
      </c>
      <c r="CM200" s="55">
        <f>IFERROR(__xludf.DUMMYFUNCTION("importrange(""https://docs.google.com/spreadsheets/d/13dftCqnLXGxGta9pcy18GHh8WGP45Y7njJ4UI-jcPGI/edit?gid=1586402276#gid=1586402276"",""2025-26!ap4"")"),0.0)</f>
        <v>0</v>
      </c>
      <c r="CN200" s="55">
        <f>IFERROR(__xludf.DUMMYFUNCTION("importrange(""https://docs.google.com/spreadsheets/d/13dftCqnLXGxGta9pcy18GHh8WGP45Y7njJ4UI-jcPGI/edit?gid=1586402276#gid=1586402276"",""2025-26!ap3"")"),0.0)</f>
        <v>0</v>
      </c>
      <c r="CO200" s="55">
        <f>IFERROR(__xludf.DUMMYFUNCTION("importrange(""https://docs.google.com/spreadsheets/d/13dftCqnLXGxGta9pcy18GHh8WGP45Y7njJ4UI-jcPGI/edit?gid=1586402276#gid=1586402276"",""2025-26!aq4"")"),0.0)</f>
        <v>0</v>
      </c>
      <c r="CP200" s="55">
        <f>IFERROR(__xludf.DUMMYFUNCTION("importrange(""https://docs.google.com/spreadsheets/d/13dftCqnLXGxGta9pcy18GHh8WGP45Y7njJ4UI-jcPGI/edit?gid=1586402276#gid=1586402276"",""2025-26!aq3"")"),0.0)</f>
        <v>0</v>
      </c>
      <c r="CQ200" s="55">
        <f>IFERROR(__xludf.DUMMYFUNCTION("importrange(""https://docs.google.com/spreadsheets/d/13dftCqnLXGxGta9pcy18GHh8WGP45Y7njJ4UI-jcPGI/edit?gid=1586402276#gid=1586402276"",""2025-26!ar4"")"),0.0)</f>
        <v>0</v>
      </c>
      <c r="CR200" s="55">
        <f>IFERROR(__xludf.DUMMYFUNCTION("importrange(""https://docs.google.com/spreadsheets/d/13dftCqnLXGxGta9pcy18GHh8WGP45Y7njJ4UI-jcPGI/edit?gid=1586402276#gid=1586402276"",""2025-26!ar3"")"),0.0)</f>
        <v>0</v>
      </c>
      <c r="CS200" s="59" t="str">
        <f t="shared" si="67"/>
        <v/>
      </c>
      <c r="CT200" s="55">
        <f>IFERROR(__xludf.DUMMYFUNCTION("importrange(""https://docs.google.com/spreadsheets/d/13dftCqnLXGxGta9pcy18GHh8WGP45Y7njJ4UI-jcPGI/edit?gid=1586402276#gid=1586402276"",""2025-26!as4"")"),0.0)</f>
        <v>0</v>
      </c>
      <c r="CU200" s="55">
        <f>IFERROR(__xludf.DUMMYFUNCTION("importrange(""https://docs.google.com/spreadsheets/d/13dftCqnLXGxGta9pcy18GHh8WGP45Y7njJ4UI-jcPGI/edit?gid=1586402276#gid=1586402276"",""2025-26!as3"")"),0.0)</f>
        <v>0</v>
      </c>
      <c r="CV200" s="60" t="s">
        <v>189</v>
      </c>
    </row>
    <row r="201">
      <c r="A201" s="133" t="s">
        <v>185</v>
      </c>
      <c r="B201" s="134" t="s">
        <v>185</v>
      </c>
      <c r="C201" s="136" t="s">
        <v>408</v>
      </c>
      <c r="D201" s="68" t="s">
        <v>409</v>
      </c>
      <c r="E201" s="68">
        <v>7.003426159E9</v>
      </c>
      <c r="F201" s="78">
        <v>45824.0</v>
      </c>
      <c r="G201" s="62"/>
      <c r="H201" s="62"/>
      <c r="I201" s="53">
        <v>28850.0</v>
      </c>
      <c r="J201" s="54"/>
      <c r="K201" s="57">
        <f>IFERROR(__xludf.DUMMYFUNCTION("IMPORTRANGE(""https://docs.google.com/spreadsheets/d/1z8uLFFSv7QQ8DnlcRxTwGSIjj5rWVWR2PCS0eEJ8egU/edit?gid=1586402276#gid=1586402276"",""2025-26!A3"")"),12.0)</f>
        <v>12</v>
      </c>
      <c r="L201" s="57">
        <f>IFERROR(__xludf.DUMMYFUNCTION("IMPORTRANGE(""https://docs.google.com/spreadsheets/d/1z8uLFFSv7QQ8DnlcRxTwGSIjj5rWVWR2PCS0eEJ8egU/edit?gid=1586402276#gid=1586402276"",""2025-26!G4"")"),0.0)</f>
        <v>0</v>
      </c>
      <c r="M201" s="57">
        <f t="shared" si="87"/>
        <v>1333155.4</v>
      </c>
      <c r="N201" s="56" t="str">
        <f t="shared" si="88"/>
        <v/>
      </c>
      <c r="O201" s="57">
        <f t="shared" si="89"/>
        <v>0</v>
      </c>
      <c r="P201" s="55">
        <f>IFERROR(__xludf.DUMMYFUNCTION("IMPORTRANGE(""https://docs.google.com/spreadsheets/d/1z8uLFFSv7QQ8DnlcRxTwGSIjj5rWVWR2PCS0eEJ8egU/edit?gid=1586402276#gid=1586402276"",""2025-26!J4"")"),0.0)</f>
        <v>0</v>
      </c>
      <c r="Q201" s="55">
        <f>IFERROR(__xludf.DUMMYFUNCTION("IMPORTRANGE(""https://docs.google.com/spreadsheets/d/1z8uLFFSv7QQ8DnlcRxTwGSIjj5rWVWR2PCS0eEJ8egU/edit?gid=1586402276#gid=1586402276"",""2025-26!J3"")"),0.0)</f>
        <v>0</v>
      </c>
      <c r="R201" s="55">
        <f>IFERROR(__xludf.DUMMYFUNCTION("IMPORTRANGE(""https://docs.google.com/spreadsheets/d/1z8uLFFSv7QQ8DnlcRxTwGSIjj5rWVWR2PCS0eEJ8egU/edit?gid=1586402276#gid=1586402276"",""2025-26!K4"")"),0.0)</f>
        <v>0</v>
      </c>
      <c r="S201" s="55">
        <f>IFERROR(__xludf.DUMMYFUNCTION("IMPORTRANGE(""https://docs.google.com/spreadsheets/d/1z8uLFFSv7QQ8DnlcRxTwGSIjj5rWVWR2PCS0eEJ8egU/edit?gid=1586402276#gid=1586402276"",""2025-26!K3"")"),0.0)</f>
        <v>0</v>
      </c>
      <c r="T201" s="58" t="str">
        <f t="shared" si="56"/>
        <v/>
      </c>
      <c r="U201" s="55">
        <f>IFERROR(__xludf.DUMMYFUNCTION("IMPORTRANGE(""https://docs.google.com/spreadsheets/d/1z8uLFFSv7QQ8DnlcRxTwGSIjj5rWVWR2PCS0eEJ8egU/edit?gid=1586402276#gid=1586402276"",""2025-26!L4"")"),0.0)</f>
        <v>0</v>
      </c>
      <c r="V201" s="79">
        <f>IFERROR(__xludf.DUMMYFUNCTION("IMPORTRANGE(""https://docs.google.com/spreadsheets/d/1z8uLFFSv7QQ8DnlcRxTwGSIjj5rWVWR2PCS0eEJ8egU/edit?gid=1586402276#gid=1586402276"",""2025-26!L3"")"),0.0)</f>
        <v>0</v>
      </c>
      <c r="W201" s="55">
        <f>IFERROR(__xludf.DUMMYFUNCTION("IMPORTRANGE(""https://docs.google.com/spreadsheets/d/1z8uLFFSv7QQ8DnlcRxTwGSIjj5rWVWR2PCS0eEJ8egU/edit?gid=1586402276#gid=1586402276"",""2025-26!M4"")"),0.0)</f>
        <v>0</v>
      </c>
      <c r="X201" s="79">
        <f>IFERROR(__xludf.DUMMYFUNCTION("IMPORTRANGE(""https://docs.google.com/spreadsheets/d/1z8uLFFSv7QQ8DnlcRxTwGSIjj5rWVWR2PCS0eEJ8egU/edit?gid=1586402276#gid=1586402276"",""2025-26!M3"")"),0.0)</f>
        <v>0</v>
      </c>
      <c r="Y201" s="55">
        <f>IFERROR(__xludf.DUMMYFUNCTION("importrange(""https://docs.google.com/spreadsheets/d/1z8uLFFSv7QQ8DnlcRxTwGSIjj5rWVWR2PCS0eEJ8egU/edit?gid=1586402276#gid=1586402276"",""2025-26!n4"")"),0.0)</f>
        <v>0</v>
      </c>
      <c r="Z201" s="55">
        <f>IFERROR(__xludf.DUMMYFUNCTION("importrange(""https://docs.google.com/spreadsheets/d/1z8uLFFSv7QQ8DnlcRxTwGSIjj5rWVWR2PCS0eEJ8egU/edit?gid=1586402276#gid=1586402276"",""2025-26!n3"")"),0.0)</f>
        <v>0</v>
      </c>
      <c r="AA201" s="58" t="str">
        <f t="shared" si="57"/>
        <v/>
      </c>
      <c r="AB201" s="55">
        <f>IFERROR(__xludf.DUMMYFUNCTION("importrange(""https://docs.google.com/spreadsheets/d/1z8uLFFSv7QQ8DnlcRxTwGSIjj5rWVWR2PCS0eEJ8egU/edit?gid=1586402276#gid=1586402276"",""2025-26!o4"")"),0.0)</f>
        <v>0</v>
      </c>
      <c r="AC201" s="55">
        <f>IFERROR(__xludf.DUMMYFUNCTION("importrange(""https://docs.google.com/spreadsheets/d/1z8uLFFSv7QQ8DnlcRxTwGSIjj5rWVWR2PCS0eEJ8egU/edit?gid=1586402276#gid=1586402276"",""2025-26!o3"")"),0.0)</f>
        <v>0</v>
      </c>
      <c r="AD201" s="55">
        <f>IFERROR(__xludf.DUMMYFUNCTION("importrange(""https://docs.google.com/spreadsheets/d/1z8uLFFSv7QQ8DnlcRxTwGSIjj5rWVWR2PCS0eEJ8egU/edit?gid=1586402276#gid=1586402276"",""2025-26!p4"")"),0.0)</f>
        <v>0</v>
      </c>
      <c r="AE201" s="55">
        <f>IFERROR(__xludf.DUMMYFUNCTION("importrange(""https://docs.google.com/spreadsheets/d/1z8uLFFSv7QQ8DnlcRxTwGSIjj5rWVWR2PCS0eEJ8egU/edit?gid=1586402276#gid=1586402276"",""2025-26!p3"")"),0.0)</f>
        <v>0</v>
      </c>
      <c r="AF201" s="55">
        <f>IFERROR(__xludf.DUMMYFUNCTION("importrange(""https://docs.google.com/spreadsheets/d/1z8uLFFSv7QQ8DnlcRxTwGSIjj5rWVWR2PCS0eEJ8egU/edit?gid=1586402276#gid=1586402276"",""2025-26!q4"")"),1319427.4000000001)</f>
        <v>1319427.4</v>
      </c>
      <c r="AG201" s="55">
        <f>IFERROR(__xludf.DUMMYFUNCTION("importrange(""https://docs.google.com/spreadsheets/d/1z8uLFFSv7QQ8DnlcRxTwGSIjj5rWVWR2PCS0eEJ8egU/edit?gid=1586402276#gid=1586402276"",""2025-26!q3"")"),7.0)</f>
        <v>7</v>
      </c>
      <c r="AH201" s="58" t="str">
        <f t="shared" si="58"/>
        <v/>
      </c>
      <c r="AI201" s="55">
        <f>IFERROR(__xludf.DUMMYFUNCTION("importrange(""https://docs.google.com/spreadsheets/d/1z8uLFFSv7QQ8DnlcRxTwGSIjj5rWVWR2PCS0eEJ8egU/edit?gid=1586402276#gid=1586402276"",""2025-26!r4"")"),0.0)</f>
        <v>0</v>
      </c>
      <c r="AJ201" s="55">
        <f>IFERROR(__xludf.DUMMYFUNCTION("importrange(""https://docs.google.com/spreadsheets/d/1z8uLFFSv7QQ8DnlcRxTwGSIjj5rWVWR2PCS0eEJ8egU/edit?gid=1586402276#gid=1586402276"",""2025-26!r3"")"),0.0)</f>
        <v>0</v>
      </c>
      <c r="AK201" s="55">
        <f>IFERROR(__xludf.DUMMYFUNCTION("importrange(""https://docs.google.com/spreadsheets/d/1z8uLFFSv7QQ8DnlcRxTwGSIjj5rWVWR2PCS0eEJ8egU/edit?gid=1586402276#gid=1586402276"",""2025-26!s4"")"),0.0)</f>
        <v>0</v>
      </c>
      <c r="AL201" s="55">
        <f>IFERROR(__xludf.DUMMYFUNCTION("importrange(""https://docs.google.com/spreadsheets/d/1z8uLFFSv7QQ8DnlcRxTwGSIjj5rWVWR2PCS0eEJ8egU/edit?gid=1586402276#gid=1586402276"",""2025-26!s3"")"),0.0)</f>
        <v>0</v>
      </c>
      <c r="AM201" s="57">
        <f>IFERROR(__xludf.DUMMYFUNCTION("importrange(""https://docs.google.com/spreadsheets/d/1z8uLFFSv7QQ8DnlcRxTwGSIjj5rWVWR2PCS0eEJ8egU/edit?gid=1586402276#gid=1586402276"",""2025-26!t4"")"),13728.0)</f>
        <v>13728</v>
      </c>
      <c r="AN201" s="55">
        <f>IFERROR(__xludf.DUMMYFUNCTION("importrange(""https://docs.google.com/spreadsheets/d/1z8uLFFSv7QQ8DnlcRxTwGSIjj5rWVWR2PCS0eEJ8egU/edit?gid=1586402276#gid=1586402276"",""2025-26!t3"")"),1.0)</f>
        <v>1</v>
      </c>
      <c r="AO201" s="58" t="str">
        <f t="shared" si="59"/>
        <v/>
      </c>
      <c r="AP201" s="55">
        <f>IFERROR(__xludf.DUMMYFUNCTION("importrange(""https://docs.google.com/spreadsheets/d/1z8uLFFSv7QQ8DnlcRxTwGSIjj5rWVWR2PCS0eEJ8egU/edit?gid=1586402276#gid=1586402276"",""2025-26!u4"")"),0.0)</f>
        <v>0</v>
      </c>
      <c r="AQ201" s="55">
        <f>IFERROR(__xludf.DUMMYFUNCTION("importrange(""https://docs.google.com/spreadsheets/d/1z8uLFFSv7QQ8DnlcRxTwGSIjj5rWVWR2PCS0eEJ8egU/edit?gid=1586402276#gid=1586402276"",""2025-26!u3"")"),0.0)</f>
        <v>0</v>
      </c>
      <c r="AR201" s="55">
        <f>IFERROR(__xludf.DUMMYFUNCTION("importrange(""https://docs.google.com/spreadsheets/d/1z8uLFFSv7QQ8DnlcRxTwGSIjj5rWVWR2PCS0eEJ8egU/edit?gid=1586402276#gid=1586402276"",""2025-26!v4"")"),0.0)</f>
        <v>0</v>
      </c>
      <c r="AS201" s="55">
        <f>IFERROR(__xludf.DUMMYFUNCTION("importrange(""https://docs.google.com/spreadsheets/d/1z8uLFFSv7QQ8DnlcRxTwGSIjj5rWVWR2PCS0eEJ8egU/edit?gid=1586402276#gid=1586402276"",""2025-26!v3"")"),0.0)</f>
        <v>0</v>
      </c>
      <c r="AT201" s="57">
        <f>IFERROR(__xludf.DUMMYFUNCTION("importrange(""https://docs.google.com/spreadsheets/d/1z8uLFFSv7QQ8DnlcRxTwGSIjj5rWVWR2PCS0eEJ8egU/edit?gid=1586402276#gid=1586402276"",""2025-26!w4"")"),0.0)</f>
        <v>0</v>
      </c>
      <c r="AU201" s="55">
        <f>IFERROR(__xludf.DUMMYFUNCTION("importrange(""https://docs.google.com/spreadsheets/d/1z8uLFFSv7QQ8DnlcRxTwGSIjj5rWVWR2PCS0eEJ8egU/edit?gid=1586402276#gid=1586402276"",""2025-26!w3"")"),0.0)</f>
        <v>0</v>
      </c>
      <c r="AV201" s="58" t="str">
        <f t="shared" si="60"/>
        <v/>
      </c>
      <c r="AW201" s="55">
        <f>IFERROR(__xludf.DUMMYFUNCTION("importrange(""https://docs.google.com/spreadsheets/d/1z8uLFFSv7QQ8DnlcRxTwGSIjj5rWVWR2PCS0eEJ8egU/edit?gid=1586402276#gid=1586402276"",""2025-26!x4"")"),0.0)</f>
        <v>0</v>
      </c>
      <c r="AX201" s="55">
        <f>IFERROR(__xludf.DUMMYFUNCTION("importrange(""https://docs.google.com/spreadsheets/d/1z8uLFFSv7QQ8DnlcRxTwGSIjj5rWVWR2PCS0eEJ8egU/edit?gid=1586402276#gid=1586402276"",""2025-26!x3"")"),0.0)</f>
        <v>0</v>
      </c>
      <c r="AY201" s="55">
        <f>IFERROR(__xludf.DUMMYFUNCTION("importrange(""https://docs.google.com/spreadsheets/d/1z8uLFFSv7QQ8DnlcRxTwGSIjj5rWVWR2PCS0eEJ8egU/edit?gid=1586402276#gid=1586402276"",""2025-26!y4"")"),0.0)</f>
        <v>0</v>
      </c>
      <c r="AZ201" s="55">
        <f>IFERROR(__xludf.DUMMYFUNCTION("importrange(""https://docs.google.com/spreadsheets/d/1z8uLFFSv7QQ8DnlcRxTwGSIjj5rWVWR2PCS0eEJ8egU/edit?gid=1586402276#gid=1586402276"",""2025-26!y3"")"),0.0)</f>
        <v>0</v>
      </c>
      <c r="BA201" s="57">
        <f>IFERROR(__xludf.DUMMYFUNCTION("importrange(""https://docs.google.com/spreadsheets/d/1z8uLFFSv7QQ8DnlcRxTwGSIjj5rWVWR2PCS0eEJ8egU/edit?gid=1586402276#gid=1586402276"",""2025-26!z4"")"),0.0)</f>
        <v>0</v>
      </c>
      <c r="BB201" s="55">
        <f>IFERROR(__xludf.DUMMYFUNCTION("importrange(""https://docs.google.com/spreadsheets/d/1z8uLFFSv7QQ8DnlcRxTwGSIjj5rWVWR2PCS0eEJ8egU/edit?gid=1586402276#gid=1586402276"",""2025-26!z3"")"),0.0)</f>
        <v>0</v>
      </c>
      <c r="BC201" s="59" t="str">
        <f t="shared" si="61"/>
        <v/>
      </c>
      <c r="BD201" s="55">
        <f>IFERROR(__xludf.DUMMYFUNCTION("importrange(""https://docs.google.com/spreadsheets/d/1z8uLFFSv7QQ8DnlcRxTwGSIjj5rWVWR2PCS0eEJ8egU/edit?gid=1586402276#gid=1586402276"",""2025-26!aa4"")"),0.0)</f>
        <v>0</v>
      </c>
      <c r="BE201" s="55">
        <f>IFERROR(__xludf.DUMMYFUNCTION("importrange(""https://docs.google.com/spreadsheets/d/1z8uLFFSv7QQ8DnlcRxTwGSIjj5rWVWR2PCS0eEJ8egU/edit?gid=1586402276#gid=1586402276"",""2025-26!aa3"")"),0.0)</f>
        <v>0</v>
      </c>
      <c r="BF201" s="55">
        <f>IFERROR(__xludf.DUMMYFUNCTION("importrange(""https://docs.google.com/spreadsheets/d/1z8uLFFSv7QQ8DnlcRxTwGSIjj5rWVWR2PCS0eEJ8egU/edit?gid=1586402276#gid=1586402276"",""2025-26!ab4"")"),0.0)</f>
        <v>0</v>
      </c>
      <c r="BG201" s="55">
        <f>IFERROR(__xludf.DUMMYFUNCTION("importrange(""https://docs.google.com/spreadsheets/d/1z8uLFFSv7QQ8DnlcRxTwGSIjj5rWVWR2PCS0eEJ8egU/edit?gid=1586402276#gid=1586402276"",""2025-26!ab3"")"),0.0)</f>
        <v>0</v>
      </c>
      <c r="BH201" s="55">
        <f>IFERROR(__xludf.DUMMYFUNCTION("importrange(""https://docs.google.com/spreadsheets/d/1z8uLFFSv7QQ8DnlcRxTwGSIjj5rWVWR2PCS0eEJ8egU/edit?gid=1586402276#gid=1586402276"",""2025-26!ac4"")"),0.0)</f>
        <v>0</v>
      </c>
      <c r="BI201" s="55">
        <f>IFERROR(__xludf.DUMMYFUNCTION("importrange(""https://docs.google.com/spreadsheets/d/1z8uLFFSv7QQ8DnlcRxTwGSIjj5rWVWR2PCS0eEJ8egU/edit?gid=1586402276#gid=1586402276"",""2025-26!ac3"")"),0.0)</f>
        <v>0</v>
      </c>
      <c r="BJ201" s="59" t="str">
        <f t="shared" si="62"/>
        <v/>
      </c>
      <c r="BK201" s="55">
        <f>IFERROR(__xludf.DUMMYFUNCTION("importrange(""https://docs.google.com/spreadsheets/d/1z8uLFFSv7QQ8DnlcRxTwGSIjj5rWVWR2PCS0eEJ8egU/edit?gid=1586402276#gid=1586402276"",""2025-26!ad4"")"),0.0)</f>
        <v>0</v>
      </c>
      <c r="BL201" s="55">
        <f>IFERROR(__xludf.DUMMYFUNCTION("importrange(""https://docs.google.com/spreadsheets/d/1z8uLFFSv7QQ8DnlcRxTwGSIjj5rWVWR2PCS0eEJ8egU/edit?gid=1586402276#gid=1586402276"",""2025-26!ad3"")"),0.0)</f>
        <v>0</v>
      </c>
      <c r="BM201" s="55">
        <f>IFERROR(__xludf.DUMMYFUNCTION("importrange(""https://docs.google.com/spreadsheets/d/1z8uLFFSv7QQ8DnlcRxTwGSIjj5rWVWR2PCS0eEJ8egU/edit?gid=1586402276#gid=1586402276"",""2025-26!ae4"")"),0.0)</f>
        <v>0</v>
      </c>
      <c r="BN201" s="55">
        <f>IFERROR(__xludf.DUMMYFUNCTION("importrange(""https://docs.google.com/spreadsheets/d/1z8uLFFSv7QQ8DnlcRxTwGSIjj5rWVWR2PCS0eEJ8egU/edit?gid=1586402276#gid=1586402276"",""2025-26!ae3"")"),0.0)</f>
        <v>0</v>
      </c>
      <c r="BO201" s="55">
        <f>IFERROR(__xludf.DUMMYFUNCTION("importrange(""https://docs.google.com/spreadsheets/d/1z8uLFFSv7QQ8DnlcRxTwGSIjj5rWVWR2PCS0eEJ8egU/edit?gid=1586402276#gid=1586402276"",""2025-26!af4"")"),0.0)</f>
        <v>0</v>
      </c>
      <c r="BP201" s="55">
        <f>IFERROR(__xludf.DUMMYFUNCTION("importrange(""https://docs.google.com/spreadsheets/d/1z8uLFFSv7QQ8DnlcRxTwGSIjj5rWVWR2PCS0eEJ8egU/edit?gid=1586402276#gid=1586402276"",""2025-26!af3"")"),0.0)</f>
        <v>0</v>
      </c>
      <c r="BQ201" s="59" t="str">
        <f t="shared" si="63"/>
        <v/>
      </c>
      <c r="BR201" s="55">
        <f>IFERROR(__xludf.DUMMYFUNCTION("importrange(""https://docs.google.com/spreadsheets/d/1z8uLFFSv7QQ8DnlcRxTwGSIjj5rWVWR2PCS0eEJ8egU/edit?gid=1586402276#gid=1586402276"",""2025-26!ag4"")"),0.0)</f>
        <v>0</v>
      </c>
      <c r="BS201" s="55">
        <f>IFERROR(__xludf.DUMMYFUNCTION("importrange(""https://docs.google.com/spreadsheets/d/1z8uLFFSv7QQ8DnlcRxTwGSIjj5rWVWR2PCS0eEJ8egU/edit?gid=1586402276#gid=1586402276"",""2025-26!ag3"")"),0.0)</f>
        <v>0</v>
      </c>
      <c r="BT201" s="55">
        <f>IFERROR(__xludf.DUMMYFUNCTION("importrange(""https://docs.google.com/spreadsheets/d/1z8uLFFSv7QQ8DnlcRxTwGSIjj5rWVWR2PCS0eEJ8egU/edit?gid=1586402276#gid=1586402276"",""2025-26!ah4"")"),0.0)</f>
        <v>0</v>
      </c>
      <c r="BU201" s="55">
        <f>IFERROR(__xludf.DUMMYFUNCTION("importrange(""https://docs.google.com/spreadsheets/d/1z8uLFFSv7QQ8DnlcRxTwGSIjj5rWVWR2PCS0eEJ8egU/edit?gid=1586402276#gid=1586402276"",""2025-26!ah3"")"),0.0)</f>
        <v>0</v>
      </c>
      <c r="BV201" s="55">
        <f>IFERROR(__xludf.DUMMYFUNCTION("importrange(""https://docs.google.com/spreadsheets/d/1z8uLFFSv7QQ8DnlcRxTwGSIjj5rWVWR2PCS0eEJ8egU/edit?gid=1586402276#gid=1586402276"",""2025-26!ai4"")"),0.0)</f>
        <v>0</v>
      </c>
      <c r="BW201" s="55">
        <f>IFERROR(__xludf.DUMMYFUNCTION("importrange(""https://docs.google.com/spreadsheets/d/1z8uLFFSv7QQ8DnlcRxTwGSIjj5rWVWR2PCS0eEJ8egU/edit?gid=1586402276#gid=1586402276"",""2025-26!ai3"")"),0.0)</f>
        <v>0</v>
      </c>
      <c r="BX201" s="59" t="str">
        <f t="shared" si="64"/>
        <v/>
      </c>
      <c r="BY201" s="55">
        <f>IFERROR(__xludf.DUMMYFUNCTION("importrange(""https://docs.google.com/spreadsheets/d/1z8uLFFSv7QQ8DnlcRxTwGSIjj5rWVWR2PCS0eEJ8egU/edit?gid=1586402276#gid=1586402276"",""2025-26!aj4"")"),0.0)</f>
        <v>0</v>
      </c>
      <c r="BZ201" s="55">
        <f>IFERROR(__xludf.DUMMYFUNCTION("importrange(""https://docs.google.com/spreadsheets/d/1z8uLFFSv7QQ8DnlcRxTwGSIjj5rWVWR2PCS0eEJ8egU/edit?gid=1586402276#gid=1586402276"",""2025-26!aj3"")"),0.0)</f>
        <v>0</v>
      </c>
      <c r="CA201" s="55">
        <f>IFERROR(__xludf.DUMMYFUNCTION("importrange(""https://docs.google.com/spreadsheets/d/1z8uLFFSv7QQ8DnlcRxTwGSIjj5rWVWR2PCS0eEJ8egU/edit?gid=1586402276#gid=1586402276"",""2025-26!ak4"")"),0.0)</f>
        <v>0</v>
      </c>
      <c r="CB201" s="55">
        <f>IFERROR(__xludf.DUMMYFUNCTION("importrange(""https://docs.google.com/spreadsheets/d/1z8uLFFSv7QQ8DnlcRxTwGSIjj5rWVWR2PCS0eEJ8egU/edit?gid=1586402276#gid=1586402276"",""2025-26!ak3"")"),0.0)</f>
        <v>0</v>
      </c>
      <c r="CC201" s="55">
        <f>IFERROR(__xludf.DUMMYFUNCTION("importrange(""https://docs.google.com/spreadsheets/d/1z8uLFFSv7QQ8DnlcRxTwGSIjj5rWVWR2PCS0eEJ8egU/edit?gid=1586402276#gid=1586402276"",""2025-26!al4"")"),0.0)</f>
        <v>0</v>
      </c>
      <c r="CD201" s="55">
        <f>IFERROR(__xludf.DUMMYFUNCTION("importrange(""https://docs.google.com/spreadsheets/d/1z8uLFFSv7QQ8DnlcRxTwGSIjj5rWVWR2PCS0eEJ8egU/edit?gid=1586402276#gid=1586402276"",""2025-26!ai3"")"),0.0)</f>
        <v>0</v>
      </c>
      <c r="CE201" s="59" t="str">
        <f t="shared" si="65"/>
        <v/>
      </c>
      <c r="CF201" s="55">
        <f>IFERROR(__xludf.DUMMYFUNCTION("importrange(""https://docs.google.com/spreadsheets/d/1z8uLFFSv7QQ8DnlcRxTwGSIjj5rWVWR2PCS0eEJ8egU/edit?gid=1586402276#gid=1586402276"",""2025-26!am4"")"),0.0)</f>
        <v>0</v>
      </c>
      <c r="CG201" s="55">
        <f>IFERROR(__xludf.DUMMYFUNCTION("importrange(""https://docs.google.com/spreadsheets/d/1z8uLFFSv7QQ8DnlcRxTwGSIjj5rWVWR2PCS0eEJ8egU/edit?gid=1586402276#gid=1586402276"",""2025-26!am3"")"),0.0)</f>
        <v>0</v>
      </c>
      <c r="CH201" s="55">
        <f>IFERROR(__xludf.DUMMYFUNCTION("importrange(""https://docs.google.com/spreadsheets/d/1z8uLFFSv7QQ8DnlcRxTwGSIjj5rWVWR2PCS0eEJ8egU/edit?gid=1586402276#gid=1586402276"",""2025-26!an4"")"),0.0)</f>
        <v>0</v>
      </c>
      <c r="CI201" s="55">
        <f>IFERROR(__xludf.DUMMYFUNCTION("importrange(""https://docs.google.com/spreadsheets/d/1z8uLFFSv7QQ8DnlcRxTwGSIjj5rWVWR2PCS0eEJ8egU/edit?gid=1586402276#gid=1586402276"",""2025-26!an3"")"),0.0)</f>
        <v>0</v>
      </c>
      <c r="CJ201" s="55">
        <f>IFERROR(__xludf.DUMMYFUNCTION("importrange(""https://docs.google.com/spreadsheets/d/1z8uLFFSv7QQ8DnlcRxTwGSIjj5rWVWR2PCS0eEJ8egU/edit?gid=1586402276#gid=1586402276"",""2025-26!ao4"")"),0.0)</f>
        <v>0</v>
      </c>
      <c r="CK201" s="55">
        <f>IFERROR(__xludf.DUMMYFUNCTION("importrange(""https://docs.google.com/spreadsheets/d/1z8uLFFSv7QQ8DnlcRxTwGSIjj5rWVWR2PCS0eEJ8egU/edit?gid=1586402276#gid=1586402276"",""2025-26!ao3"")"),0.0)</f>
        <v>0</v>
      </c>
      <c r="CL201" s="59" t="str">
        <f t="shared" si="66"/>
        <v/>
      </c>
      <c r="CM201" s="55">
        <f>IFERROR(__xludf.DUMMYFUNCTION("importrange(""https://docs.google.com/spreadsheets/d/1z8uLFFSv7QQ8DnlcRxTwGSIjj5rWVWR2PCS0eEJ8egU/edit?gid=1586402276#gid=1586402276"",""2025-26!ap4"")"),0.0)</f>
        <v>0</v>
      </c>
      <c r="CN201" s="55">
        <f>IFERROR(__xludf.DUMMYFUNCTION("importrange(""https://docs.google.com/spreadsheets/d/1z8uLFFSv7QQ8DnlcRxTwGSIjj5rWVWR2PCS0eEJ8egU/edit?gid=1586402276#gid=1586402276"",""2025-26!ap3"")"),0.0)</f>
        <v>0</v>
      </c>
      <c r="CO201" s="55">
        <f>IFERROR(__xludf.DUMMYFUNCTION("importrange(""https://docs.google.com/spreadsheets/d/1z8uLFFSv7QQ8DnlcRxTwGSIjj5rWVWR2PCS0eEJ8egU/edit?gid=1586402276#gid=1586402276"",""2025-26!aq4"")"),0.0)</f>
        <v>0</v>
      </c>
      <c r="CP201" s="55">
        <f>IFERROR(__xludf.DUMMYFUNCTION("importrange(""https://docs.google.com/spreadsheets/d/1z8uLFFSv7QQ8DnlcRxTwGSIjj5rWVWR2PCS0eEJ8egU/edit?gid=1586402276#gid=1586402276"",""2025-26!aq3"")"),0.0)</f>
        <v>0</v>
      </c>
      <c r="CQ201" s="55">
        <f>IFERROR(__xludf.DUMMYFUNCTION("importrange(""https://docs.google.com/spreadsheets/d/1z8uLFFSv7QQ8DnlcRxTwGSIjj5rWVWR2PCS0eEJ8egU/edit?gid=1586402276#gid=1586402276"",""2025-26!ar4"")"),0.0)</f>
        <v>0</v>
      </c>
      <c r="CR201" s="55">
        <f>IFERROR(__xludf.DUMMYFUNCTION("importrange(""https://docs.google.com/spreadsheets/d/1z8uLFFSv7QQ8DnlcRxTwGSIjj5rWVWR2PCS0eEJ8egU/edit?gid=1586402276#gid=1586402276"",""2025-26!ar3"")"),0.0)</f>
        <v>0</v>
      </c>
      <c r="CS201" s="59" t="str">
        <f t="shared" si="67"/>
        <v/>
      </c>
      <c r="CT201" s="55">
        <f>IFERROR(__xludf.DUMMYFUNCTION("importrange(""https://docs.google.com/spreadsheets/d/1z8uLFFSv7QQ8DnlcRxTwGSIjj5rWVWR2PCS0eEJ8egU/edit?gid=1586402276#gid=1586402276"",""2025-26!as4"")"),0.0)</f>
        <v>0</v>
      </c>
      <c r="CU201" s="55">
        <f>IFERROR(__xludf.DUMMYFUNCTION("importrange(""https://docs.google.com/spreadsheets/d/1z8uLFFSv7QQ8DnlcRxTwGSIjj5rWVWR2PCS0eEJ8egU/edit?gid=1586402276#gid=1586402276"",""2025-26!as3"")"),0.0)</f>
        <v>0</v>
      </c>
      <c r="CV201" s="60" t="s">
        <v>189</v>
      </c>
    </row>
    <row r="202">
      <c r="A202" s="133" t="s">
        <v>185</v>
      </c>
      <c r="B202" s="134" t="s">
        <v>185</v>
      </c>
      <c r="C202" s="136" t="s">
        <v>410</v>
      </c>
      <c r="D202" s="50" t="s">
        <v>241</v>
      </c>
      <c r="E202" s="50">
        <v>9.433305566E9</v>
      </c>
      <c r="F202" s="74">
        <v>45047.0</v>
      </c>
      <c r="G202" s="62"/>
      <c r="H202" s="62"/>
      <c r="I202" s="53">
        <v>25167.0</v>
      </c>
      <c r="J202" s="54">
        <v>3300000.0</v>
      </c>
      <c r="K202" s="57">
        <f>IFERROR(__xludf.DUMMYFUNCTION("IMPORTRANGE(""https://docs.google.com/spreadsheets/d/1BjqZFgZMEUHH99UxeDQWBa1xyzoLyjK-9TOV255VLKM/edit#gid=1894046849"",""2025-26!A3"")"),113.0)</f>
        <v>113</v>
      </c>
      <c r="L202" s="57">
        <f>IFERROR(__xludf.DUMMYFUNCTION("IMPORTRANGE(""https://docs.google.com/spreadsheets/d/1BjqZFgZMEUHH99UxeDQWBa1xyzoLyjK-9TOV255VLKM/edit#gid=1894046849"",""2025-26!G4"")"),3.73E7)</f>
        <v>37300000</v>
      </c>
      <c r="M202" s="57">
        <f t="shared" si="87"/>
        <v>6097041.44</v>
      </c>
      <c r="N202" s="56">
        <f t="shared" si="88"/>
        <v>0.1663010992</v>
      </c>
      <c r="O202" s="57">
        <f t="shared" si="89"/>
        <v>6203031</v>
      </c>
      <c r="P202" s="55">
        <f>IFERROR(__xludf.DUMMYFUNCTION("IMPORTRANGE(""https://docs.google.com/spreadsheets/d/1BjqZFgZMEUHH99UxeDQWBa1xyzoLyjK-9TOV255VLKM/edit#gid=1894046849"",""2025-26!J4"")"),3271000.0)</f>
        <v>3271000</v>
      </c>
      <c r="Q202" s="55">
        <f>IFERROR(__xludf.DUMMYFUNCTION("IMPORTRANGE(""https://docs.google.com/spreadsheets/d/1BjqZFgZMEUHH99UxeDQWBa1xyzoLyjK-9TOV255VLKM/edit#gid=1894046849"",""2025-26!J3"")"),103.0)</f>
        <v>103</v>
      </c>
      <c r="R202" s="55">
        <f>IFERROR(__xludf.DUMMYFUNCTION("IMPORTRANGE(""https://docs.google.com/spreadsheets/d/1BjqZFgZMEUHH99UxeDQWBa1xyzoLyjK-9TOV255VLKM/edit#gid=1894046849"",""2025-26!K4"")"),1376319.1500000001)</f>
        <v>1376319.15</v>
      </c>
      <c r="S202" s="55">
        <f>IFERROR(__xludf.DUMMYFUNCTION("IMPORTRANGE(""https://docs.google.com/spreadsheets/d/1BjqZFgZMEUHH99UxeDQWBa1xyzoLyjK-9TOV255VLKM/edit#gid=1894046849"",""2025-26!K3"")"),37.0)</f>
        <v>37</v>
      </c>
      <c r="T202" s="58">
        <f t="shared" si="56"/>
        <v>0.3548138184</v>
      </c>
      <c r="U202" s="55">
        <f>IFERROR(__xludf.DUMMYFUNCTION("IMPORTRANGE(""https://docs.google.com/spreadsheets/d/1BjqZFgZMEUHH99UxeDQWBa1xyzoLyjK-9TOV255VLKM/edit#gid=1894046849"",""2025-26!L4"")"),1160596.0)</f>
        <v>1160596</v>
      </c>
      <c r="V202" s="79">
        <f>IFERROR(__xludf.DUMMYFUNCTION("IMPORTRANGE(""https://docs.google.com/spreadsheets/d/1BjqZFgZMEUHH99UxeDQWBa1xyzoLyjK-9TOV255VLKM/edit#gid=1894046849"",""2025-26!L3"")"),43.0)</f>
        <v>43</v>
      </c>
      <c r="W202" s="55">
        <f>IFERROR(__xludf.DUMMYFUNCTION("IMPORTRANGE(""https://docs.google.com/spreadsheets/d/1BjqZFgZMEUHH99UxeDQWBa1xyzoLyjK-9TOV255VLKM/edit#gid=1894046849"",""2025-26!M4"")"),3266000.0)</f>
        <v>3266000</v>
      </c>
      <c r="X202" s="79">
        <f>IFERROR(__xludf.DUMMYFUNCTION("IMPORTRANGE(""https://docs.google.com/spreadsheets/d/1BjqZFgZMEUHH99UxeDQWBa1xyzoLyjK-9TOV255VLKM/edit#gid=1894046849"",""2025-26!M3"")"),103.0)</f>
        <v>103</v>
      </c>
      <c r="Y202" s="55">
        <f>IFERROR(__xludf.DUMMYFUNCTION("importrange(""https://docs.google.com/spreadsheets/d/1BjqZFgZMEUHH99UxeDQWBa1xyzoLyjK-9TOV255VLKM/edit#gid=1894046849"",""2025-26!n4"")"),1087060.66)</f>
        <v>1087060.66</v>
      </c>
      <c r="Z202" s="55">
        <f>IFERROR(__xludf.DUMMYFUNCTION("importrange(""https://docs.google.com/spreadsheets/d/1BjqZFgZMEUHH99UxeDQWBa1xyzoLyjK-9TOV255VLKM/edit#gid=1894046849"",""2025-26!n3"")"),29.0)</f>
        <v>29</v>
      </c>
      <c r="AA202" s="58">
        <f t="shared" si="57"/>
        <v>0.3944608083</v>
      </c>
      <c r="AB202" s="55">
        <f>IFERROR(__xludf.DUMMYFUNCTION("importrange(""https://docs.google.com/spreadsheets/d/1BjqZFgZMEUHH99UxeDQWBa1xyzoLyjK-9TOV255VLKM/edit#gid=1894046849"",""2025-26!o4"")"),1288309.0)</f>
        <v>1288309</v>
      </c>
      <c r="AC202" s="55">
        <f>IFERROR(__xludf.DUMMYFUNCTION("importrange(""https://docs.google.com/spreadsheets/d/1BjqZFgZMEUHH99UxeDQWBa1xyzoLyjK-9TOV255VLKM/edit#gid=1894046849"",""2025-26!o3"")"),46.0)</f>
        <v>46</v>
      </c>
      <c r="AD202" s="55">
        <f>IFERROR(__xludf.DUMMYFUNCTION("importrange(""https://docs.google.com/spreadsheets/d/1BjqZFgZMEUHH99UxeDQWBa1xyzoLyjK-9TOV255VLKM/edit#gid=1894046849"",""2025-26!p4"")"),3286000.0)</f>
        <v>3286000</v>
      </c>
      <c r="AE202" s="55">
        <f>IFERROR(__xludf.DUMMYFUNCTION("importrange(""https://docs.google.com/spreadsheets/d/1BjqZFgZMEUHH99UxeDQWBa1xyzoLyjK-9TOV255VLKM/edit#gid=1894046849"",""2025-26!p3"")"),103.0)</f>
        <v>103</v>
      </c>
      <c r="AF202" s="55">
        <f>IFERROR(__xludf.DUMMYFUNCTION("importrange(""https://docs.google.com/spreadsheets/d/1BjqZFgZMEUHH99UxeDQWBa1xyzoLyjK-9TOV255VLKM/edit#gid=1894046849"",""2025-26!q4"")"),2101569.5)</f>
        <v>2101569.5</v>
      </c>
      <c r="AG202" s="55">
        <f>IFERROR(__xludf.DUMMYFUNCTION("importrange(""https://docs.google.com/spreadsheets/d/1BjqZFgZMEUHH99UxeDQWBa1xyzoLyjK-9TOV255VLKM/edit#gid=1894046849"",""2025-26!q3"")"),43.0)</f>
        <v>43</v>
      </c>
      <c r="AH202" s="58">
        <f t="shared" si="58"/>
        <v>0.7118271455</v>
      </c>
      <c r="AI202" s="55">
        <f>IFERROR(__xludf.DUMMYFUNCTION("importrange(""https://docs.google.com/spreadsheets/d/1BjqZFgZMEUHH99UxeDQWBa1xyzoLyjK-9TOV255VLKM/edit#gid=1894046849"",""2025-26!r4"")"),2339064.0)</f>
        <v>2339064</v>
      </c>
      <c r="AJ202" s="55">
        <f>IFERROR(__xludf.DUMMYFUNCTION("importrange(""https://docs.google.com/spreadsheets/d/1BjqZFgZMEUHH99UxeDQWBa1xyzoLyjK-9TOV255VLKM/edit#gid=1894046849"",""2025-26!r3"")"),57.0)</f>
        <v>57</v>
      </c>
      <c r="AK202" s="55">
        <f>IFERROR(__xludf.DUMMYFUNCTION("importrange(""https://docs.google.com/spreadsheets/d/1BjqZFgZMEUHH99UxeDQWBa1xyzoLyjK-9TOV255VLKM/edit#gid=1894046849"",""2025-26!s4"")"),3278000.0)</f>
        <v>3278000</v>
      </c>
      <c r="AL202" s="55">
        <f>IFERROR(__xludf.DUMMYFUNCTION("importrange(""https://docs.google.com/spreadsheets/d/1BjqZFgZMEUHH99UxeDQWBa1xyzoLyjK-9TOV255VLKM/edit#gid=1894046849"",""2025-26!s3"")"),103.0)</f>
        <v>103</v>
      </c>
      <c r="AM202" s="57">
        <f>IFERROR(__xludf.DUMMYFUNCTION("importrange(""https://docs.google.com/spreadsheets/d/1BjqZFgZMEUHH99UxeDQWBa1xyzoLyjK-9TOV255VLKM/edit#gid=1894046849"",""2025-26!t4"")"),1532092.13)</f>
        <v>1532092.13</v>
      </c>
      <c r="AN202" s="55">
        <f>IFERROR(__xludf.DUMMYFUNCTION("importrange(""https://docs.google.com/spreadsheets/d/1BjqZFgZMEUHH99UxeDQWBa1xyzoLyjK-9TOV255VLKM/edit#gid=1894046849"",""2025-26!t3"")"),51.0)</f>
        <v>51</v>
      </c>
      <c r="AO202" s="58">
        <f t="shared" si="59"/>
        <v>0.4316845638</v>
      </c>
      <c r="AP202" s="55">
        <f>IFERROR(__xludf.DUMMYFUNCTION("importrange(""https://docs.google.com/spreadsheets/d/1BjqZFgZMEUHH99UxeDQWBa1xyzoLyjK-9TOV255VLKM/edit#gid=1894046849"",""2025-26!u4"")"),1415062.0)</f>
        <v>1415062</v>
      </c>
      <c r="AQ202" s="55">
        <f>IFERROR(__xludf.DUMMYFUNCTION("importrange(""https://docs.google.com/spreadsheets/d/1BjqZFgZMEUHH99UxeDQWBa1xyzoLyjK-9TOV255VLKM/edit#gid=1894046849"",""2025-26!u3"")"),59.0)</f>
        <v>59</v>
      </c>
      <c r="AR202" s="55">
        <f>IFERROR(__xludf.DUMMYFUNCTION("importrange(""https://docs.google.com/spreadsheets/d/1BjqZFgZMEUHH99UxeDQWBa1xyzoLyjK-9TOV255VLKM/edit#gid=1894046849"",""2025-26!v4"")"),3286000.0)</f>
        <v>3286000</v>
      </c>
      <c r="AS202" s="55">
        <f>IFERROR(__xludf.DUMMYFUNCTION("importrange(""https://docs.google.com/spreadsheets/d/1BjqZFgZMEUHH99UxeDQWBa1xyzoLyjK-9TOV255VLKM/edit#gid=1894046849"",""2025-26!v3"")"),103.0)</f>
        <v>103</v>
      </c>
      <c r="AT202" s="57">
        <f>IFERROR(__xludf.DUMMYFUNCTION("importrange(""https://docs.google.com/spreadsheets/d/1BjqZFgZMEUHH99UxeDQWBa1xyzoLyjK-9TOV255VLKM/edit#gid=1894046849"",""2025-26!w4"")"),0.0)</f>
        <v>0</v>
      </c>
      <c r="AU202" s="55">
        <f>IFERROR(__xludf.DUMMYFUNCTION("importrange(""https://docs.google.com/spreadsheets/d/1BjqZFgZMEUHH99UxeDQWBa1xyzoLyjK-9TOV255VLKM/edit#gid=1894046849"",""2025-26!w3"")"),0.0)</f>
        <v>0</v>
      </c>
      <c r="AV202" s="58">
        <f t="shared" si="60"/>
        <v>0</v>
      </c>
      <c r="AW202" s="55">
        <f>IFERROR(__xludf.DUMMYFUNCTION("importrange(""https://docs.google.com/spreadsheets/d/1BjqZFgZMEUHH99UxeDQWBa1xyzoLyjK-9TOV255VLKM/edit#gid=1894046849"",""2025-26!x4"")"),0.0)</f>
        <v>0</v>
      </c>
      <c r="AX202" s="55">
        <f>IFERROR(__xludf.DUMMYFUNCTION("importrange(""https://docs.google.com/spreadsheets/d/1BjqZFgZMEUHH99UxeDQWBa1xyzoLyjK-9TOV255VLKM/edit#gid=1894046849"",""2025-26!x3"")"),0.0)</f>
        <v>0</v>
      </c>
      <c r="AY202" s="55">
        <f>IFERROR(__xludf.DUMMYFUNCTION("importrange(""https://docs.google.com/spreadsheets/d/1BjqZFgZMEUHH99UxeDQWBa1xyzoLyjK-9TOV255VLKM/edit#gid=1894046849"",""2025-26!y4"")"),3131000.0)</f>
        <v>3131000</v>
      </c>
      <c r="AZ202" s="55">
        <f>IFERROR(__xludf.DUMMYFUNCTION("importrange(""https://docs.google.com/spreadsheets/d/1BjqZFgZMEUHH99UxeDQWBa1xyzoLyjK-9TOV255VLKM/edit#gid=1894046849"",""2025-26!y3"")"),103.0)</f>
        <v>103</v>
      </c>
      <c r="BA202" s="57">
        <f>IFERROR(__xludf.DUMMYFUNCTION("importrange(""https://docs.google.com/spreadsheets/d/1BjqZFgZMEUHH99UxeDQWBa1xyzoLyjK-9TOV255VLKM/edit#gid=1894046849"",""2025-26!z4"")"),0.0)</f>
        <v>0</v>
      </c>
      <c r="BB202" s="55">
        <f>IFERROR(__xludf.DUMMYFUNCTION("importrange(""https://docs.google.com/spreadsheets/d/1BjqZFgZMEUHH99UxeDQWBa1xyzoLyjK-9TOV255VLKM/edit#gid=1894046849"",""2025-26!z3"")"),0.0)</f>
        <v>0</v>
      </c>
      <c r="BC202" s="59">
        <f t="shared" si="61"/>
        <v>0</v>
      </c>
      <c r="BD202" s="55">
        <f>IFERROR(__xludf.DUMMYFUNCTION("importrange(""https://docs.google.com/spreadsheets/d/1BjqZFgZMEUHH99UxeDQWBa1xyzoLyjK-9TOV255VLKM/edit#gid=1894046849"",""2025-26!aa4"")"),0.0)</f>
        <v>0</v>
      </c>
      <c r="BE202" s="55">
        <f>IFERROR(__xludf.DUMMYFUNCTION("importrange(""https://docs.google.com/spreadsheets/d/1BjqZFgZMEUHH99UxeDQWBa1xyzoLyjK-9TOV255VLKM/edit#gid=1894046849"",""2025-26!aa3"")"),0.0)</f>
        <v>0</v>
      </c>
      <c r="BF202" s="55">
        <f>IFERROR(__xludf.DUMMYFUNCTION("importrange(""https://docs.google.com/spreadsheets/d/1BjqZFgZMEUHH99UxeDQWBa1xyzoLyjK-9TOV255VLKM/edit#gid=1894046849"",""2025-26!ab4"")"),2472000.0)</f>
        <v>2472000</v>
      </c>
      <c r="BG202" s="55">
        <f>IFERROR(__xludf.DUMMYFUNCTION("importrange(""https://docs.google.com/spreadsheets/d/1BjqZFgZMEUHH99UxeDQWBa1xyzoLyjK-9TOV255VLKM/edit#gid=1894046849"",""2025-26!ab3"")"),103.0)</f>
        <v>103</v>
      </c>
      <c r="BH202" s="55">
        <f>IFERROR(__xludf.DUMMYFUNCTION("importrange(""https://docs.google.com/spreadsheets/d/1BjqZFgZMEUHH99UxeDQWBa1xyzoLyjK-9TOV255VLKM/edit#gid=1894046849"",""2025-26!ac4"")"),0.0)</f>
        <v>0</v>
      </c>
      <c r="BI202" s="55">
        <f>IFERROR(__xludf.DUMMYFUNCTION("importrange(""https://docs.google.com/spreadsheets/d/1BjqZFgZMEUHH99UxeDQWBa1xyzoLyjK-9TOV255VLKM/edit#gid=1894046849"",""2025-26!ac3"")"),0.0)</f>
        <v>0</v>
      </c>
      <c r="BJ202" s="59">
        <f t="shared" si="62"/>
        <v>0</v>
      </c>
      <c r="BK202" s="55">
        <f>IFERROR(__xludf.DUMMYFUNCTION("importrange(""https://docs.google.com/spreadsheets/d/1BjqZFgZMEUHH99UxeDQWBa1xyzoLyjK-9TOV255VLKM/edit#gid=1894046849"",""2025-26!ad4"")"),0.0)</f>
        <v>0</v>
      </c>
      <c r="BL202" s="55">
        <f>IFERROR(__xludf.DUMMYFUNCTION("importrange(""https://docs.google.com/spreadsheets/d/1BjqZFgZMEUHH99UxeDQWBa1xyzoLyjK-9TOV255VLKM/edit#gid=1894046849"",""2025-26!ad3"")"),0.0)</f>
        <v>0</v>
      </c>
      <c r="BM202" s="55">
        <f>IFERROR(__xludf.DUMMYFUNCTION("importrange(""https://docs.google.com/spreadsheets/d/1BjqZFgZMEUHH99UxeDQWBa1xyzoLyjK-9TOV255VLKM/edit#gid=1894046849"",""2025-26!ae4"")"),2487000.0)</f>
        <v>2487000</v>
      </c>
      <c r="BN202" s="55">
        <f>IFERROR(__xludf.DUMMYFUNCTION("importrange(""https://docs.google.com/spreadsheets/d/1BjqZFgZMEUHH99UxeDQWBa1xyzoLyjK-9TOV255VLKM/edit#gid=1894046849"",""2025-26!ae3"")"),103.0)</f>
        <v>103</v>
      </c>
      <c r="BO202" s="55">
        <f>IFERROR(__xludf.DUMMYFUNCTION("importrange(""https://docs.google.com/spreadsheets/d/1BjqZFgZMEUHH99UxeDQWBa1xyzoLyjK-9TOV255VLKM/edit#gid=1894046849"",""2025-26!af4"")"),0.0)</f>
        <v>0</v>
      </c>
      <c r="BP202" s="55">
        <f>IFERROR(__xludf.DUMMYFUNCTION("importrange(""https://docs.google.com/spreadsheets/d/1BjqZFgZMEUHH99UxeDQWBa1xyzoLyjK-9TOV255VLKM/edit#gid=1894046849"",""2025-26!af3"")"),0.0)</f>
        <v>0</v>
      </c>
      <c r="BQ202" s="59">
        <f t="shared" si="63"/>
        <v>0</v>
      </c>
      <c r="BR202" s="55">
        <f>IFERROR(__xludf.DUMMYFUNCTION("importrange(""https://docs.google.com/spreadsheets/d/1BjqZFgZMEUHH99UxeDQWBa1xyzoLyjK-9TOV255VLKM/edit#gid=1894046849"",""2025-26!ag4"")"),0.0)</f>
        <v>0</v>
      </c>
      <c r="BS202" s="55">
        <f>IFERROR(__xludf.DUMMYFUNCTION("importrange(""https://docs.google.com/spreadsheets/d/1BjqZFgZMEUHH99UxeDQWBa1xyzoLyjK-9TOV255VLKM/edit#gid=1894046849"",""2025-26!ag3"")"),0.0)</f>
        <v>0</v>
      </c>
      <c r="BT202" s="55">
        <f>IFERROR(__xludf.DUMMYFUNCTION("importrange(""https://docs.google.com/spreadsheets/d/1BjqZFgZMEUHH99UxeDQWBa1xyzoLyjK-9TOV255VLKM/edit#gid=1894046849"",""2025-26!ah4"")"),2577000.0)</f>
        <v>2577000</v>
      </c>
      <c r="BU202" s="55">
        <f>IFERROR(__xludf.DUMMYFUNCTION("importrange(""https://docs.google.com/spreadsheets/d/1BjqZFgZMEUHH99UxeDQWBa1xyzoLyjK-9TOV255VLKM/edit#gid=1894046849"",""2025-26!ah3"")"),103.0)</f>
        <v>103</v>
      </c>
      <c r="BV202" s="55">
        <f>IFERROR(__xludf.DUMMYFUNCTION("importrange(""https://docs.google.com/spreadsheets/d/1BjqZFgZMEUHH99UxeDQWBa1xyzoLyjK-9TOV255VLKM/edit#gid=1894046849"",""2025-26!ai4"")"),0.0)</f>
        <v>0</v>
      </c>
      <c r="BW202" s="55">
        <f>IFERROR(__xludf.DUMMYFUNCTION("importrange(""https://docs.google.com/spreadsheets/d/1BjqZFgZMEUHH99UxeDQWBa1xyzoLyjK-9TOV255VLKM/edit#gid=1894046849"",""2025-26!ai3"")"),0.0)</f>
        <v>0</v>
      </c>
      <c r="BX202" s="59">
        <f t="shared" si="64"/>
        <v>0</v>
      </c>
      <c r="BY202" s="55">
        <f>IFERROR(__xludf.DUMMYFUNCTION("importrange(""https://docs.google.com/spreadsheets/d/1BjqZFgZMEUHH99UxeDQWBa1xyzoLyjK-9TOV255VLKM/edit#gid=1894046849"",""2025-26!aj4"")"),0.0)</f>
        <v>0</v>
      </c>
      <c r="BZ202" s="55">
        <f>IFERROR(__xludf.DUMMYFUNCTION("importrange(""https://docs.google.com/spreadsheets/d/1BjqZFgZMEUHH99UxeDQWBa1xyzoLyjK-9TOV255VLKM/edit#gid=1894046849"",""2025-26!aj3"")"),0.0)</f>
        <v>0</v>
      </c>
      <c r="CA202" s="55">
        <f>IFERROR(__xludf.DUMMYFUNCTION("importrange(""https://docs.google.com/spreadsheets/d/1BjqZFgZMEUHH99UxeDQWBa1xyzoLyjK-9TOV255VLKM/edit#gid=1894046849"",""2025-26!ak4"")"),3380000.0)</f>
        <v>3380000</v>
      </c>
      <c r="CB202" s="55">
        <f>IFERROR(__xludf.DUMMYFUNCTION("importrange(""https://docs.google.com/spreadsheets/d/1BjqZFgZMEUHH99UxeDQWBa1xyzoLyjK-9TOV255VLKM/edit#gid=1894046849"",""2025-26!ak3"")"),103.0)</f>
        <v>103</v>
      </c>
      <c r="CC202" s="55">
        <f>IFERROR(__xludf.DUMMYFUNCTION("importrange(""https://docs.google.com/spreadsheets/d/1BjqZFgZMEUHH99UxeDQWBa1xyzoLyjK-9TOV255VLKM/edit#gid=1894046849"",""2025-26!al4"")"),0.0)</f>
        <v>0</v>
      </c>
      <c r="CD202" s="55">
        <f>IFERROR(__xludf.DUMMYFUNCTION("importrange(""https://docs.google.com/spreadsheets/d/1BjqZFgZMEUHH99UxeDQWBa1xyzoLyjK-9TOV255VLKM/edit#gid=1894046849"",""2025-26!ai3"")"),0.0)</f>
        <v>0</v>
      </c>
      <c r="CE202" s="59">
        <f t="shared" si="65"/>
        <v>0</v>
      </c>
      <c r="CF202" s="55">
        <f>IFERROR(__xludf.DUMMYFUNCTION("importrange(""https://docs.google.com/spreadsheets/d/1BjqZFgZMEUHH99UxeDQWBa1xyzoLyjK-9TOV255VLKM/edit#gid=1894046849"",""2025-26!am4"")"),0.0)</f>
        <v>0</v>
      </c>
      <c r="CG202" s="55">
        <f>IFERROR(__xludf.DUMMYFUNCTION("importrange(""https://docs.google.com/spreadsheets/d/1BjqZFgZMEUHH99UxeDQWBa1xyzoLyjK-9TOV255VLKM/edit#gid=1894046849"",""2025-26!am3"")"),0.0)</f>
        <v>0</v>
      </c>
      <c r="CH202" s="55">
        <f>IFERROR(__xludf.DUMMYFUNCTION("importrange(""https://docs.google.com/spreadsheets/d/1BjqZFgZMEUHH99UxeDQWBa1xyzoLyjK-9TOV255VLKM/edit#gid=1894046849"",""2025-26!an4"")"),3402000.0)</f>
        <v>3402000</v>
      </c>
      <c r="CI202" s="55">
        <f>IFERROR(__xludf.DUMMYFUNCTION("importrange(""https://docs.google.com/spreadsheets/d/1BjqZFgZMEUHH99UxeDQWBa1xyzoLyjK-9TOV255VLKM/edit#gid=1894046849"",""2025-26!an3"")"),103.0)</f>
        <v>103</v>
      </c>
      <c r="CJ202" s="55">
        <f>IFERROR(__xludf.DUMMYFUNCTION("importrange(""https://docs.google.com/spreadsheets/d/1BjqZFgZMEUHH99UxeDQWBa1xyzoLyjK-9TOV255VLKM/edit#gid=1894046849"",""2025-26!ao4"")"),0.0)</f>
        <v>0</v>
      </c>
      <c r="CK202" s="55">
        <f>IFERROR(__xludf.DUMMYFUNCTION("importrange(""https://docs.google.com/spreadsheets/d/1BjqZFgZMEUHH99UxeDQWBa1xyzoLyjK-9TOV255VLKM/edit#gid=1894046849"",""2025-26!ao3"")"),0.0)</f>
        <v>0</v>
      </c>
      <c r="CL202" s="59">
        <f t="shared" si="66"/>
        <v>0</v>
      </c>
      <c r="CM202" s="55">
        <f>IFERROR(__xludf.DUMMYFUNCTION("importrange(""https://docs.google.com/spreadsheets/d/1BjqZFgZMEUHH99UxeDQWBa1xyzoLyjK-9TOV255VLKM/edit#gid=1894046849"",""2025-26!ap4"")"),0.0)</f>
        <v>0</v>
      </c>
      <c r="CN202" s="55">
        <f>IFERROR(__xludf.DUMMYFUNCTION("importrange(""https://docs.google.com/spreadsheets/d/1BjqZFgZMEUHH99UxeDQWBa1xyzoLyjK-9TOV255VLKM/edit#gid=1894046849"",""2025-26!ap3"")"),0.0)</f>
        <v>0</v>
      </c>
      <c r="CO202" s="55">
        <f>IFERROR(__xludf.DUMMYFUNCTION("importrange(""https://docs.google.com/spreadsheets/d/1BjqZFgZMEUHH99UxeDQWBa1xyzoLyjK-9TOV255VLKM/edit#gid=1894046849"",""2025-26!aq4"")"),3391000.0)</f>
        <v>3391000</v>
      </c>
      <c r="CP202" s="55">
        <f>IFERROR(__xludf.DUMMYFUNCTION("importrange(""https://docs.google.com/spreadsheets/d/1BjqZFgZMEUHH99UxeDQWBa1xyzoLyjK-9TOV255VLKM/edit#gid=1894046849"",""2025-26!aq3"")"),103.0)</f>
        <v>103</v>
      </c>
      <c r="CQ202" s="55">
        <f>IFERROR(__xludf.DUMMYFUNCTION("importrange(""https://docs.google.com/spreadsheets/d/1BjqZFgZMEUHH99UxeDQWBa1xyzoLyjK-9TOV255VLKM/edit#gid=1894046849"",""2025-26!ar4"")"),0.0)</f>
        <v>0</v>
      </c>
      <c r="CR202" s="55">
        <f>IFERROR(__xludf.DUMMYFUNCTION("importrange(""https://docs.google.com/spreadsheets/d/1BjqZFgZMEUHH99UxeDQWBa1xyzoLyjK-9TOV255VLKM/edit#gid=1894046849"",""2025-26!ar3"")"),0.0)</f>
        <v>0</v>
      </c>
      <c r="CS202" s="59">
        <f t="shared" si="67"/>
        <v>0</v>
      </c>
      <c r="CT202" s="55">
        <f>IFERROR(__xludf.DUMMYFUNCTION("importrange(""https://docs.google.com/spreadsheets/d/1BjqZFgZMEUHH99UxeDQWBa1xyzoLyjK-9TOV255VLKM/edit#gid=1894046849"",""2025-26!as4"")"),0.0)</f>
        <v>0</v>
      </c>
      <c r="CU202" s="55">
        <f>IFERROR(__xludf.DUMMYFUNCTION("importrange(""https://docs.google.com/spreadsheets/d/1BjqZFgZMEUHH99UxeDQWBa1xyzoLyjK-9TOV255VLKM/edit#gid=1894046849"",""2025-26!as3"")"),0.0)</f>
        <v>0</v>
      </c>
      <c r="CV202" s="60" t="s">
        <v>189</v>
      </c>
    </row>
    <row r="203">
      <c r="A203" s="133" t="s">
        <v>185</v>
      </c>
      <c r="B203" s="134" t="s">
        <v>185</v>
      </c>
      <c r="C203" s="136" t="s">
        <v>411</v>
      </c>
      <c r="D203" s="50" t="s">
        <v>187</v>
      </c>
      <c r="E203" s="50">
        <v>6.289350075E9</v>
      </c>
      <c r="F203" s="74">
        <v>45084.0</v>
      </c>
      <c r="G203" s="62"/>
      <c r="H203" s="62"/>
      <c r="I203" s="53">
        <v>23500.0</v>
      </c>
      <c r="J203" s="54">
        <v>2500000.0</v>
      </c>
      <c r="K203" s="57">
        <f>IFERROR(__xludf.DUMMYFUNCTION("IMPORTRANGE(""https://docs.google.com/spreadsheets/d/1KUPmAuOzC9wuzzZ_zAAVEqO-41V0l3L_tTcLTYCCjFE/edit#gid=867855662"",""2025-26!A3"")"),86.0)</f>
        <v>86</v>
      </c>
      <c r="L203" s="57">
        <f>IFERROR(__xludf.DUMMYFUNCTION("IMPORTRANGE(""https://docs.google.com/spreadsheets/d/1KUPmAuOzC9wuzzZ_zAAVEqO-41V0l3L_tTcLTYCCjFE/edit#gid=867855662"",""2025-26!G4"")"),1.3E7)</f>
        <v>13000000</v>
      </c>
      <c r="M203" s="57">
        <f t="shared" si="87"/>
        <v>2069428.97</v>
      </c>
      <c r="N203" s="56">
        <f t="shared" si="88"/>
        <v>0.2181388462</v>
      </c>
      <c r="O203" s="57">
        <f t="shared" si="89"/>
        <v>2835805</v>
      </c>
      <c r="P203" s="55">
        <f>IFERROR(__xludf.DUMMYFUNCTION("IMPORTRANGE(""https://docs.google.com/spreadsheets/d/1KUPmAuOzC9wuzzZ_zAAVEqO-41V0l3L_tTcLTYCCjFE/edit#gid=867855662"",""2025-26!J4"")"),1160000.0)</f>
        <v>1160000</v>
      </c>
      <c r="Q203" s="55">
        <f>IFERROR(__xludf.DUMMYFUNCTION("IMPORTRANGE(""https://docs.google.com/spreadsheets/d/1KUPmAuOzC9wuzzZ_zAAVEqO-41V0l3L_tTcLTYCCjFE/edit#gid=867855662"",""2025-26!J3"")"),35.0)</f>
        <v>35</v>
      </c>
      <c r="R203" s="55">
        <f>IFERROR(__xludf.DUMMYFUNCTION("IMPORTRANGE(""https://docs.google.com/spreadsheets/d/1KUPmAuOzC9wuzzZ_zAAVEqO-41V0l3L_tTcLTYCCjFE/edit#gid=867855662"",""2025-26!K4"")"),417255.10000000003)</f>
        <v>417255.1</v>
      </c>
      <c r="S203" s="55">
        <f>IFERROR(__xludf.DUMMYFUNCTION("IMPORTRANGE(""https://docs.google.com/spreadsheets/d/1KUPmAuOzC9wuzzZ_zAAVEqO-41V0l3L_tTcLTYCCjFE/edit#gid=867855662"",""2025-26!K3"")"),9.0)</f>
        <v>9</v>
      </c>
      <c r="T203" s="58">
        <f t="shared" si="56"/>
        <v>0.337512931</v>
      </c>
      <c r="U203" s="55">
        <f>IFERROR(__xludf.DUMMYFUNCTION("IMPORTRANGE(""https://docs.google.com/spreadsheets/d/1KUPmAuOzC9wuzzZ_zAAVEqO-41V0l3L_tTcLTYCCjFE/edit#gid=867855662"",""2025-26!L4"")"),391515.0)</f>
        <v>391515</v>
      </c>
      <c r="V203" s="79">
        <f>IFERROR(__xludf.DUMMYFUNCTION("IMPORTRANGE(""https://docs.google.com/spreadsheets/d/1KUPmAuOzC9wuzzZ_zAAVEqO-41V0l3L_tTcLTYCCjFE/edit#gid=867855662"",""2025-26!L3"")"),11.0)</f>
        <v>11</v>
      </c>
      <c r="W203" s="55">
        <f>IFERROR(__xludf.DUMMYFUNCTION("IMPORTRANGE(""https://docs.google.com/spreadsheets/d/1KUPmAuOzC9wuzzZ_zAAVEqO-41V0l3L_tTcLTYCCjFE/edit#gid=867855662"",""2025-26!M4"")"),1160000.0)</f>
        <v>1160000</v>
      </c>
      <c r="X203" s="79">
        <f>IFERROR(__xludf.DUMMYFUNCTION("IMPORTRANGE(""https://docs.google.com/spreadsheets/d/1KUPmAuOzC9wuzzZ_zAAVEqO-41V0l3L_tTcLTYCCjFE/edit#gid=867855662"",""2025-26!M3"")"),35.0)</f>
        <v>35</v>
      </c>
      <c r="Y203" s="55">
        <f>IFERROR(__xludf.DUMMYFUNCTION("importrange(""https://docs.google.com/spreadsheets/d/1KUPmAuOzC9wuzzZ_zAAVEqO-41V0l3L_tTcLTYCCjFE/edit#gid=867855662"",""2025-26!n4"")"),0.0)</f>
        <v>0</v>
      </c>
      <c r="Z203" s="55">
        <f>IFERROR(__xludf.DUMMYFUNCTION("importrange(""https://docs.google.com/spreadsheets/d/1KUPmAuOzC9wuzzZ_zAAVEqO-41V0l3L_tTcLTYCCjFE/edit#gid=867855662"",""2025-26!n3"")"),0.0)</f>
        <v>0</v>
      </c>
      <c r="AA203" s="58">
        <f t="shared" si="57"/>
        <v>0.4366603448</v>
      </c>
      <c r="AB203" s="55">
        <f>IFERROR(__xludf.DUMMYFUNCTION("importrange(""https://docs.google.com/spreadsheets/d/1KUPmAuOzC9wuzzZ_zAAVEqO-41V0l3L_tTcLTYCCjFE/edit#gid=867855662"",""2025-26!o4"")"),506526.0)</f>
        <v>506526</v>
      </c>
      <c r="AC203" s="55">
        <f>IFERROR(__xludf.DUMMYFUNCTION("importrange(""https://docs.google.com/spreadsheets/d/1KUPmAuOzC9wuzzZ_zAAVEqO-41V0l3L_tTcLTYCCjFE/edit#gid=867855662"",""2025-26!o3"")"),10.0)</f>
        <v>10</v>
      </c>
      <c r="AD203" s="55">
        <f>IFERROR(__xludf.DUMMYFUNCTION("importrange(""https://docs.google.com/spreadsheets/d/1KUPmAuOzC9wuzzZ_zAAVEqO-41V0l3L_tTcLTYCCjFE/edit#gid=867855662"",""2025-26!p4"")"),1160000.0)</f>
        <v>1160000</v>
      </c>
      <c r="AE203" s="55">
        <f>IFERROR(__xludf.DUMMYFUNCTION("importrange(""https://docs.google.com/spreadsheets/d/1KUPmAuOzC9wuzzZ_zAAVEqO-41V0l3L_tTcLTYCCjFE/edit#gid=867855662"",""2025-26!p3"")"),35.0)</f>
        <v>35</v>
      </c>
      <c r="AF203" s="55">
        <f>IFERROR(__xludf.DUMMYFUNCTION("importrange(""https://docs.google.com/spreadsheets/d/1KUPmAuOzC9wuzzZ_zAAVEqO-41V0l3L_tTcLTYCCjFE/edit#gid=867855662"",""2025-26!q4"")"),1236649.1)</f>
        <v>1236649.1</v>
      </c>
      <c r="AG203" s="55">
        <f>IFERROR(__xludf.DUMMYFUNCTION("importrange(""https://docs.google.com/spreadsheets/d/1KUPmAuOzC9wuzzZ_zAAVEqO-41V0l3L_tTcLTYCCjFE/edit#gid=867855662"",""2025-26!q3"")"),16.0)</f>
        <v>16</v>
      </c>
      <c r="AH203" s="58">
        <f t="shared" si="58"/>
        <v>0.8729137931</v>
      </c>
      <c r="AI203" s="55">
        <f>IFERROR(__xludf.DUMMYFUNCTION("importrange(""https://docs.google.com/spreadsheets/d/1KUPmAuOzC9wuzzZ_zAAVEqO-41V0l3L_tTcLTYCCjFE/edit#gid=867855662"",""2025-26!r4"")"),1012580.0)</f>
        <v>1012580</v>
      </c>
      <c r="AJ203" s="55">
        <f>IFERROR(__xludf.DUMMYFUNCTION("importrange(""https://docs.google.com/spreadsheets/d/1KUPmAuOzC9wuzzZ_zAAVEqO-41V0l3L_tTcLTYCCjFE/edit#gid=867855662"",""2025-26!r3"")"),13.0)</f>
        <v>13</v>
      </c>
      <c r="AK203" s="55">
        <f>IFERROR(__xludf.DUMMYFUNCTION("importrange(""https://docs.google.com/spreadsheets/d/1KUPmAuOzC9wuzzZ_zAAVEqO-41V0l3L_tTcLTYCCjFE/edit#gid=867855662"",""2025-26!s4"")"),1160000.0)</f>
        <v>1160000</v>
      </c>
      <c r="AL203" s="55">
        <f>IFERROR(__xludf.DUMMYFUNCTION("importrange(""https://docs.google.com/spreadsheets/d/1KUPmAuOzC9wuzzZ_zAAVEqO-41V0l3L_tTcLTYCCjFE/edit#gid=867855662"",""2025-26!s3"")"),35.0)</f>
        <v>35</v>
      </c>
      <c r="AM203" s="57">
        <f>IFERROR(__xludf.DUMMYFUNCTION("importrange(""https://docs.google.com/spreadsheets/d/1KUPmAuOzC9wuzzZ_zAAVEqO-41V0l3L_tTcLTYCCjFE/edit#gid=867855662"",""2025-26!t4"")"),415524.76999999996)</f>
        <v>415524.77</v>
      </c>
      <c r="AN203" s="55">
        <f>IFERROR(__xludf.DUMMYFUNCTION("importrange(""https://docs.google.com/spreadsheets/d/1KUPmAuOzC9wuzzZ_zAAVEqO-41V0l3L_tTcLTYCCjFE/edit#gid=867855662"",""2025-26!t3"")"),8.0)</f>
        <v>8</v>
      </c>
      <c r="AO203" s="58">
        <f t="shared" si="59"/>
        <v>0.7975724138</v>
      </c>
      <c r="AP203" s="55">
        <f>IFERROR(__xludf.DUMMYFUNCTION("importrange(""https://docs.google.com/spreadsheets/d/1KUPmAuOzC9wuzzZ_zAAVEqO-41V0l3L_tTcLTYCCjFE/edit#gid=867855662"",""2025-26!u4"")"),925184.0)</f>
        <v>925184</v>
      </c>
      <c r="AQ203" s="55">
        <f>IFERROR(__xludf.DUMMYFUNCTION("importrange(""https://docs.google.com/spreadsheets/d/1KUPmAuOzC9wuzzZ_zAAVEqO-41V0l3L_tTcLTYCCjFE/edit#gid=867855662"",""2025-26!u3"")"),20.0)</f>
        <v>20</v>
      </c>
      <c r="AR203" s="55">
        <f>IFERROR(__xludf.DUMMYFUNCTION("importrange(""https://docs.google.com/spreadsheets/d/1KUPmAuOzC9wuzzZ_zAAVEqO-41V0l3L_tTcLTYCCjFE/edit#gid=867855662"",""2025-26!v4"")"),1160000.0)</f>
        <v>1160000</v>
      </c>
      <c r="AS203" s="55">
        <f>IFERROR(__xludf.DUMMYFUNCTION("importrange(""https://docs.google.com/spreadsheets/d/1KUPmAuOzC9wuzzZ_zAAVEqO-41V0l3L_tTcLTYCCjFE/edit#gid=867855662"",""2025-26!v3"")"),35.0)</f>
        <v>35</v>
      </c>
      <c r="AT203" s="57">
        <f>IFERROR(__xludf.DUMMYFUNCTION("importrange(""https://docs.google.com/spreadsheets/d/1KUPmAuOzC9wuzzZ_zAAVEqO-41V0l3L_tTcLTYCCjFE/edit#gid=867855662"",""2025-26!w4"")"),0.0)</f>
        <v>0</v>
      </c>
      <c r="AU203" s="55">
        <f>IFERROR(__xludf.DUMMYFUNCTION("importrange(""https://docs.google.com/spreadsheets/d/1KUPmAuOzC9wuzzZ_zAAVEqO-41V0l3L_tTcLTYCCjFE/edit#gid=867855662"",""2025-26!w3"")"),0.0)</f>
        <v>0</v>
      </c>
      <c r="AV203" s="58">
        <f t="shared" si="60"/>
        <v>0</v>
      </c>
      <c r="AW203" s="55">
        <f>IFERROR(__xludf.DUMMYFUNCTION("importrange(""https://docs.google.com/spreadsheets/d/1KUPmAuOzC9wuzzZ_zAAVEqO-41V0l3L_tTcLTYCCjFE/edit#gid=867855662"",""2025-26!x4"")"),0.0)</f>
        <v>0</v>
      </c>
      <c r="AX203" s="55">
        <f>IFERROR(__xludf.DUMMYFUNCTION("importrange(""https://docs.google.com/spreadsheets/d/1KUPmAuOzC9wuzzZ_zAAVEqO-41V0l3L_tTcLTYCCjFE/edit#gid=867855662"",""2025-26!x3"")"),0.0)</f>
        <v>0</v>
      </c>
      <c r="AY203" s="55">
        <f>IFERROR(__xludf.DUMMYFUNCTION("importrange(""https://docs.google.com/spreadsheets/d/1KUPmAuOzC9wuzzZ_zAAVEqO-41V0l3L_tTcLTYCCjFE/edit#gid=867855662"",""2025-26!y4"")"),1160000.0)</f>
        <v>1160000</v>
      </c>
      <c r="AZ203" s="55">
        <f>IFERROR(__xludf.DUMMYFUNCTION("importrange(""https://docs.google.com/spreadsheets/d/1KUPmAuOzC9wuzzZ_zAAVEqO-41V0l3L_tTcLTYCCjFE/edit#gid=867855662"",""2025-26!y3"")"),35.0)</f>
        <v>35</v>
      </c>
      <c r="BA203" s="57">
        <f>IFERROR(__xludf.DUMMYFUNCTION("importrange(""https://docs.google.com/spreadsheets/d/1KUPmAuOzC9wuzzZ_zAAVEqO-41V0l3L_tTcLTYCCjFE/edit#gid=867855662"",""2025-26!z4"")"),0.0)</f>
        <v>0</v>
      </c>
      <c r="BB203" s="55">
        <f>IFERROR(__xludf.DUMMYFUNCTION("importrange(""https://docs.google.com/spreadsheets/d/1KUPmAuOzC9wuzzZ_zAAVEqO-41V0l3L_tTcLTYCCjFE/edit#gid=867855662"",""2025-26!z3"")"),0.0)</f>
        <v>0</v>
      </c>
      <c r="BC203" s="59">
        <f t="shared" si="61"/>
        <v>0</v>
      </c>
      <c r="BD203" s="55">
        <f>IFERROR(__xludf.DUMMYFUNCTION("importrange(""https://docs.google.com/spreadsheets/d/1KUPmAuOzC9wuzzZ_zAAVEqO-41V0l3L_tTcLTYCCjFE/edit#gid=867855662"",""2025-26!aa4"")"),0.0)</f>
        <v>0</v>
      </c>
      <c r="BE203" s="55">
        <f>IFERROR(__xludf.DUMMYFUNCTION("importrange(""https://docs.google.com/spreadsheets/d/1KUPmAuOzC9wuzzZ_zAAVEqO-41V0l3L_tTcLTYCCjFE/edit#gid=867855662"",""2025-26!aa3"")"),0.0)</f>
        <v>0</v>
      </c>
      <c r="BF203" s="55">
        <f>IFERROR(__xludf.DUMMYFUNCTION("importrange(""https://docs.google.com/spreadsheets/d/1KUPmAuOzC9wuzzZ_zAAVEqO-41V0l3L_tTcLTYCCjFE/edit#gid=867855662"",""2025-26!ab4"")"),1160000.0)</f>
        <v>1160000</v>
      </c>
      <c r="BG203" s="55">
        <f>IFERROR(__xludf.DUMMYFUNCTION("importrange(""https://docs.google.com/spreadsheets/d/1KUPmAuOzC9wuzzZ_zAAVEqO-41V0l3L_tTcLTYCCjFE/edit#gid=867855662"",""2025-26!ab3"")"),35.0)</f>
        <v>35</v>
      </c>
      <c r="BH203" s="55">
        <f>IFERROR(__xludf.DUMMYFUNCTION("importrange(""https://docs.google.com/spreadsheets/d/1KUPmAuOzC9wuzzZ_zAAVEqO-41V0l3L_tTcLTYCCjFE/edit#gid=867855662"",""2025-26!ac4"")"),0.0)</f>
        <v>0</v>
      </c>
      <c r="BI203" s="55">
        <f>IFERROR(__xludf.DUMMYFUNCTION("importrange(""https://docs.google.com/spreadsheets/d/1KUPmAuOzC9wuzzZ_zAAVEqO-41V0l3L_tTcLTYCCjFE/edit#gid=867855662"",""2025-26!ac3"")"),0.0)</f>
        <v>0</v>
      </c>
      <c r="BJ203" s="59">
        <f t="shared" si="62"/>
        <v>0</v>
      </c>
      <c r="BK203" s="55">
        <f>IFERROR(__xludf.DUMMYFUNCTION("importrange(""https://docs.google.com/spreadsheets/d/1KUPmAuOzC9wuzzZ_zAAVEqO-41V0l3L_tTcLTYCCjFE/edit#gid=867855662"",""2025-26!ad4"")"),0.0)</f>
        <v>0</v>
      </c>
      <c r="BL203" s="55">
        <f>IFERROR(__xludf.DUMMYFUNCTION("importrange(""https://docs.google.com/spreadsheets/d/1KUPmAuOzC9wuzzZ_zAAVEqO-41V0l3L_tTcLTYCCjFE/edit#gid=867855662"",""2025-26!ad3"")"),0.0)</f>
        <v>0</v>
      </c>
      <c r="BM203" s="55">
        <f>IFERROR(__xludf.DUMMYFUNCTION("importrange(""https://docs.google.com/spreadsheets/d/1KUPmAuOzC9wuzzZ_zAAVEqO-41V0l3L_tTcLTYCCjFE/edit#gid=867855662"",""2025-26!ae4"")"),1160000.0)</f>
        <v>1160000</v>
      </c>
      <c r="BN203" s="55">
        <f>IFERROR(__xludf.DUMMYFUNCTION("importrange(""https://docs.google.com/spreadsheets/d/1KUPmAuOzC9wuzzZ_zAAVEqO-41V0l3L_tTcLTYCCjFE/edit#gid=867855662"",""2025-26!ae3"")"),35.0)</f>
        <v>35</v>
      </c>
      <c r="BO203" s="55">
        <f>IFERROR(__xludf.DUMMYFUNCTION("importrange(""https://docs.google.com/spreadsheets/d/1KUPmAuOzC9wuzzZ_zAAVEqO-41V0l3L_tTcLTYCCjFE/edit#gid=867855662"",""2025-26!af4"")"),0.0)</f>
        <v>0</v>
      </c>
      <c r="BP203" s="55">
        <f>IFERROR(__xludf.DUMMYFUNCTION("importrange(""https://docs.google.com/spreadsheets/d/1KUPmAuOzC9wuzzZ_zAAVEqO-41V0l3L_tTcLTYCCjFE/edit#gid=867855662"",""2025-26!af3"")"),0.0)</f>
        <v>0</v>
      </c>
      <c r="BQ203" s="59">
        <f t="shared" si="63"/>
        <v>0</v>
      </c>
      <c r="BR203" s="55">
        <f>IFERROR(__xludf.DUMMYFUNCTION("importrange(""https://docs.google.com/spreadsheets/d/1KUPmAuOzC9wuzzZ_zAAVEqO-41V0l3L_tTcLTYCCjFE/edit#gid=867855662"",""2025-26!ag4"")"),0.0)</f>
        <v>0</v>
      </c>
      <c r="BS203" s="55">
        <f>IFERROR(__xludf.DUMMYFUNCTION("importrange(""https://docs.google.com/spreadsheets/d/1KUPmAuOzC9wuzzZ_zAAVEqO-41V0l3L_tTcLTYCCjFE/edit#gid=867855662"",""2025-26!ag3"")"),0.0)</f>
        <v>0</v>
      </c>
      <c r="BT203" s="55">
        <f>IFERROR(__xludf.DUMMYFUNCTION("importrange(""https://docs.google.com/spreadsheets/d/1KUPmAuOzC9wuzzZ_zAAVEqO-41V0l3L_tTcLTYCCjFE/edit#gid=867855662"",""2025-26!ah4"")"),1160000.0)</f>
        <v>1160000</v>
      </c>
      <c r="BU203" s="55">
        <f>IFERROR(__xludf.DUMMYFUNCTION("importrange(""https://docs.google.com/spreadsheets/d/1KUPmAuOzC9wuzzZ_zAAVEqO-41V0l3L_tTcLTYCCjFE/edit#gid=867855662"",""2025-26!ah3"")"),35.0)</f>
        <v>35</v>
      </c>
      <c r="BV203" s="55">
        <f>IFERROR(__xludf.DUMMYFUNCTION("importrange(""https://docs.google.com/spreadsheets/d/1KUPmAuOzC9wuzzZ_zAAVEqO-41V0l3L_tTcLTYCCjFE/edit#gid=867855662"",""2025-26!ai4"")"),0.0)</f>
        <v>0</v>
      </c>
      <c r="BW203" s="55">
        <f>IFERROR(__xludf.DUMMYFUNCTION("importrange(""https://docs.google.com/spreadsheets/d/1KUPmAuOzC9wuzzZ_zAAVEqO-41V0l3L_tTcLTYCCjFE/edit#gid=867855662"",""2025-26!ai3"")"),0.0)</f>
        <v>0</v>
      </c>
      <c r="BX203" s="59">
        <f t="shared" si="64"/>
        <v>0</v>
      </c>
      <c r="BY203" s="55">
        <f>IFERROR(__xludf.DUMMYFUNCTION("importrange(""https://docs.google.com/spreadsheets/d/1KUPmAuOzC9wuzzZ_zAAVEqO-41V0l3L_tTcLTYCCjFE/edit#gid=867855662"",""2025-26!aj4"")"),0.0)</f>
        <v>0</v>
      </c>
      <c r="BZ203" s="55">
        <f>IFERROR(__xludf.DUMMYFUNCTION("importrange(""https://docs.google.com/spreadsheets/d/1KUPmAuOzC9wuzzZ_zAAVEqO-41V0l3L_tTcLTYCCjFE/edit#gid=867855662"",""2025-26!aj3"")"),0.0)</f>
        <v>0</v>
      </c>
      <c r="CA203" s="55">
        <f>IFERROR(__xludf.DUMMYFUNCTION("importrange(""https://docs.google.com/spreadsheets/d/1KUPmAuOzC9wuzzZ_zAAVEqO-41V0l3L_tTcLTYCCjFE/edit#gid=867855662"",""2025-26!ak4"")"),1160000.0)</f>
        <v>1160000</v>
      </c>
      <c r="CB203" s="55">
        <f>IFERROR(__xludf.DUMMYFUNCTION("importrange(""https://docs.google.com/spreadsheets/d/1KUPmAuOzC9wuzzZ_zAAVEqO-41V0l3L_tTcLTYCCjFE/edit#gid=867855662"",""2025-26!ak3"")"),35.0)</f>
        <v>35</v>
      </c>
      <c r="CC203" s="55">
        <f>IFERROR(__xludf.DUMMYFUNCTION("importrange(""https://docs.google.com/spreadsheets/d/1KUPmAuOzC9wuzzZ_zAAVEqO-41V0l3L_tTcLTYCCjFE/edit#gid=867855662"",""2025-26!al4"")"),0.0)</f>
        <v>0</v>
      </c>
      <c r="CD203" s="55">
        <f>IFERROR(__xludf.DUMMYFUNCTION("importrange(""https://docs.google.com/spreadsheets/d/1KUPmAuOzC9wuzzZ_zAAVEqO-41V0l3L_tTcLTYCCjFE/edit#gid=867855662"",""2025-26!ai3"")"),0.0)</f>
        <v>0</v>
      </c>
      <c r="CE203" s="59">
        <f t="shared" si="65"/>
        <v>0</v>
      </c>
      <c r="CF203" s="55">
        <f>IFERROR(__xludf.DUMMYFUNCTION("importrange(""https://docs.google.com/spreadsheets/d/1KUPmAuOzC9wuzzZ_zAAVEqO-41V0l3L_tTcLTYCCjFE/edit#gid=867855662"",""2025-26!am4"")"),0.0)</f>
        <v>0</v>
      </c>
      <c r="CG203" s="55">
        <f>IFERROR(__xludf.DUMMYFUNCTION("importrange(""https://docs.google.com/spreadsheets/d/1KUPmAuOzC9wuzzZ_zAAVEqO-41V0l3L_tTcLTYCCjFE/edit#gid=867855662"",""2025-26!am3"")"),0.0)</f>
        <v>0</v>
      </c>
      <c r="CH203" s="55">
        <f>IFERROR(__xludf.DUMMYFUNCTION("importrange(""https://docs.google.com/spreadsheets/d/1KUPmAuOzC9wuzzZ_zAAVEqO-41V0l3L_tTcLTYCCjFE/edit#gid=867855662"",""2025-26!an4"")"),1160000.0)</f>
        <v>1160000</v>
      </c>
      <c r="CI203" s="55">
        <f>IFERROR(__xludf.DUMMYFUNCTION("importrange(""https://docs.google.com/spreadsheets/d/1KUPmAuOzC9wuzzZ_zAAVEqO-41V0l3L_tTcLTYCCjFE/edit#gid=867855662"",""2025-26!an3"")"),35.0)</f>
        <v>35</v>
      </c>
      <c r="CJ203" s="55">
        <f>IFERROR(__xludf.DUMMYFUNCTION("importrange(""https://docs.google.com/spreadsheets/d/1KUPmAuOzC9wuzzZ_zAAVEqO-41V0l3L_tTcLTYCCjFE/edit#gid=867855662"",""2025-26!ao4"")"),0.0)</f>
        <v>0</v>
      </c>
      <c r="CK203" s="55">
        <f>IFERROR(__xludf.DUMMYFUNCTION("importrange(""https://docs.google.com/spreadsheets/d/1KUPmAuOzC9wuzzZ_zAAVEqO-41V0l3L_tTcLTYCCjFE/edit#gid=867855662"",""2025-26!ao3"")"),0.0)</f>
        <v>0</v>
      </c>
      <c r="CL203" s="59">
        <f t="shared" si="66"/>
        <v>0</v>
      </c>
      <c r="CM203" s="55">
        <f>IFERROR(__xludf.DUMMYFUNCTION("importrange(""https://docs.google.com/spreadsheets/d/1KUPmAuOzC9wuzzZ_zAAVEqO-41V0l3L_tTcLTYCCjFE/edit#gid=867855662"",""2025-26!ap4"")"),0.0)</f>
        <v>0</v>
      </c>
      <c r="CN203" s="55">
        <f>IFERROR(__xludf.DUMMYFUNCTION("importrange(""https://docs.google.com/spreadsheets/d/1KUPmAuOzC9wuzzZ_zAAVEqO-41V0l3L_tTcLTYCCjFE/edit#gid=867855662"",""2025-26!ap3"")"),0.0)</f>
        <v>0</v>
      </c>
      <c r="CO203" s="55">
        <f>IFERROR(__xludf.DUMMYFUNCTION("importrange(""https://docs.google.com/spreadsheets/d/1KUPmAuOzC9wuzzZ_zAAVEqO-41V0l3L_tTcLTYCCjFE/edit#gid=867855662"",""2025-26!aq4"")"),1160000.0)</f>
        <v>1160000</v>
      </c>
      <c r="CP203" s="55">
        <f>IFERROR(__xludf.DUMMYFUNCTION("importrange(""https://docs.google.com/spreadsheets/d/1KUPmAuOzC9wuzzZ_zAAVEqO-41V0l3L_tTcLTYCCjFE/edit#gid=867855662"",""2025-26!aq3"")"),35.0)</f>
        <v>35</v>
      </c>
      <c r="CQ203" s="55">
        <f>IFERROR(__xludf.DUMMYFUNCTION("importrange(""https://docs.google.com/spreadsheets/d/1KUPmAuOzC9wuzzZ_zAAVEqO-41V0l3L_tTcLTYCCjFE/edit#gid=867855662"",""2025-26!ar4"")"),0.0)</f>
        <v>0</v>
      </c>
      <c r="CR203" s="55">
        <f>IFERROR(__xludf.DUMMYFUNCTION("importrange(""https://docs.google.com/spreadsheets/d/1KUPmAuOzC9wuzzZ_zAAVEqO-41V0l3L_tTcLTYCCjFE/edit#gid=867855662"",""2025-26!ar3"")"),0.0)</f>
        <v>0</v>
      </c>
      <c r="CS203" s="59">
        <f t="shared" si="67"/>
        <v>0</v>
      </c>
      <c r="CT203" s="55">
        <f>IFERROR(__xludf.DUMMYFUNCTION("importrange(""https://docs.google.com/spreadsheets/d/1KUPmAuOzC9wuzzZ_zAAVEqO-41V0l3L_tTcLTYCCjFE/edit#gid=867855662"",""2025-26!as4"")"),0.0)</f>
        <v>0</v>
      </c>
      <c r="CU203" s="55">
        <f>IFERROR(__xludf.DUMMYFUNCTION("importrange(""https://docs.google.com/spreadsheets/d/1KUPmAuOzC9wuzzZ_zAAVEqO-41V0l3L_tTcLTYCCjFE/edit#gid=867855662"",""2025-26!as3"")"),0.0)</f>
        <v>0</v>
      </c>
      <c r="CV203" s="60" t="s">
        <v>189</v>
      </c>
    </row>
    <row r="204">
      <c r="A204" s="133" t="s">
        <v>185</v>
      </c>
      <c r="B204" s="134" t="s">
        <v>185</v>
      </c>
      <c r="C204" s="131" t="s">
        <v>412</v>
      </c>
      <c r="D204" s="65" t="s">
        <v>209</v>
      </c>
      <c r="E204" s="152">
        <v>8.0031787E9</v>
      </c>
      <c r="F204" s="74">
        <v>45516.0</v>
      </c>
      <c r="G204" s="62"/>
      <c r="H204" s="62"/>
      <c r="I204" s="53">
        <v>25700.0</v>
      </c>
      <c r="J204" s="54">
        <v>1500000.0</v>
      </c>
      <c r="K204" s="57">
        <f>IFERROR(__xludf.DUMMYFUNCTION("IMPORTRANGE(""https://docs.google.com/spreadsheets/d/1KYkJgTGHVqDhF6S7KdlhfxtvLh968QkFZxeTKDgd3UI/edit?gid=1910704515#gid=1910704515"",""2025-26!A3"")"),14.0)</f>
        <v>14</v>
      </c>
      <c r="L204" s="57">
        <f>IFERROR(__xludf.DUMMYFUNCTION("IMPORTRANGE(""https://docs.google.com/spreadsheets/d/1KYkJgTGHVqDhF6S7KdlhfxtvLh968QkFZxeTKDgd3UI/edit?gid=1910704515#gid=1910704515"",""2025-26!G4"")"),1.073E7)</f>
        <v>10730000</v>
      </c>
      <c r="M204" s="57">
        <f t="shared" si="87"/>
        <v>383734</v>
      </c>
      <c r="N204" s="56">
        <f t="shared" si="88"/>
        <v>0.03574687791</v>
      </c>
      <c r="O204" s="57">
        <f t="shared" si="89"/>
        <v>383564</v>
      </c>
      <c r="P204" s="55">
        <f>IFERROR(__xludf.DUMMYFUNCTION("IMPORTRANGE(""https://docs.google.com/spreadsheets/d/1KYkJgTGHVqDhF6S7KdlhfxtvLh968QkFZxeTKDgd3UI/edit?gid=1910704515#gid=1910704515"",""2025-26!J4"")"),0.0)</f>
        <v>0</v>
      </c>
      <c r="Q204" s="55">
        <f>IFERROR(__xludf.DUMMYFUNCTION("IMPORTRANGE(""https://docs.google.com/spreadsheets/d/1KYkJgTGHVqDhF6S7KdlhfxtvLh968QkFZxeTKDgd3UI/edit?gid=1910704515#gid=1910704515"",""2025-26!J3"")"),0.0)</f>
        <v>0</v>
      </c>
      <c r="R204" s="55">
        <f>IFERROR(__xludf.DUMMYFUNCTION("IMPORTRANGE(""https://docs.google.com/spreadsheets/d/1KYkJgTGHVqDhF6S7KdlhfxtvLh968QkFZxeTKDgd3UI/edit?gid=1910704515#gid=1910704515"",""2025-26!K4"")"),0.0)</f>
        <v>0</v>
      </c>
      <c r="S204" s="55">
        <f>IFERROR(__xludf.DUMMYFUNCTION("IMPORTRANGE(""https://docs.google.com/spreadsheets/d/1KYkJgTGHVqDhF6S7KdlhfxtvLh968QkFZxeTKDgd3UI/edit?gid=1910704515#gid=1910704515"",""2025-26!K3"")"),0.0)</f>
        <v>0</v>
      </c>
      <c r="T204" s="58" t="str">
        <f t="shared" si="56"/>
        <v/>
      </c>
      <c r="U204" s="55">
        <f>IFERROR(__xludf.DUMMYFUNCTION("IMPORTRANGE(""https://docs.google.com/spreadsheets/d/1KYkJgTGHVqDhF6S7KdlhfxtvLh968QkFZxeTKDgd3UI/edit?gid=1910704515#gid=1910704515"",""2025-26!L4"")"),0.0)</f>
        <v>0</v>
      </c>
      <c r="V204" s="79">
        <f>IFERROR(__xludf.DUMMYFUNCTION("IMPORTRANGE(""https://docs.google.com/spreadsheets/d/1KYkJgTGHVqDhF6S7KdlhfxtvLh968QkFZxeTKDgd3UI/edit?gid=1910704515#gid=1910704515"",""2025-26!L3"")"),0.0)</f>
        <v>0</v>
      </c>
      <c r="W204" s="55">
        <f>IFERROR(__xludf.DUMMYFUNCTION("IMPORTRANGE(""https://docs.google.com/spreadsheets/d/1KYkJgTGHVqDhF6S7KdlhfxtvLh968QkFZxeTKDgd3UI/edit?gid=1910704515#gid=1910704515"",""2025-26!M4"")"),0.0)</f>
        <v>0</v>
      </c>
      <c r="X204" s="79">
        <f>IFERROR(__xludf.DUMMYFUNCTION("IMPORTRANGE(""https://docs.google.com/spreadsheets/d/1KYkJgTGHVqDhF6S7KdlhfxtvLh968QkFZxeTKDgd3UI/edit?gid=1910704515#gid=1910704515"",""2025-26!M3"")"),0.0)</f>
        <v>0</v>
      </c>
      <c r="Y204" s="55">
        <f>IFERROR(__xludf.DUMMYFUNCTION("importrange(""https://docs.google.com/spreadsheets/d/1KYkJgTGHVqDhF6S7KdlhfxtvLh968QkFZxeTKDgd3UI/edit?gid=1910704515#gid=1910704515"",""2025-26!n4"")"),383734.0)</f>
        <v>383734</v>
      </c>
      <c r="Z204" s="55">
        <f>IFERROR(__xludf.DUMMYFUNCTION("importrange(""https://docs.google.com/spreadsheets/d/1KYkJgTGHVqDhF6S7KdlhfxtvLh968QkFZxeTKDgd3UI/edit?gid=1910704515#gid=1910704515"",""2025-26!n3"")"),1.0)</f>
        <v>1</v>
      </c>
      <c r="AA204" s="58" t="str">
        <f t="shared" si="57"/>
        <v/>
      </c>
      <c r="AB204" s="55">
        <f>IFERROR(__xludf.DUMMYFUNCTION("importrange(""https://docs.google.com/spreadsheets/d/1KYkJgTGHVqDhF6S7KdlhfxtvLh968QkFZxeTKDgd3UI/edit?gid=1910704515#gid=1910704515"",""2025-26!o4"")"),383564.0)</f>
        <v>383564</v>
      </c>
      <c r="AC204" s="55">
        <f>IFERROR(__xludf.DUMMYFUNCTION("importrange(""https://docs.google.com/spreadsheets/d/1KYkJgTGHVqDhF6S7KdlhfxtvLh968QkFZxeTKDgd3UI/edit?gid=1910704515#gid=1910704515"",""2025-26!o3"")"),1.0)</f>
        <v>1</v>
      </c>
      <c r="AD204" s="55">
        <f>IFERROR(__xludf.DUMMYFUNCTION("importrange(""https://docs.google.com/spreadsheets/d/1KYkJgTGHVqDhF6S7KdlhfxtvLh968QkFZxeTKDgd3UI/edit?gid=1910704515#gid=1910704515"",""2025-26!p4"")"),0.0)</f>
        <v>0</v>
      </c>
      <c r="AE204" s="55">
        <f>IFERROR(__xludf.DUMMYFUNCTION("importrange(""https://docs.google.com/spreadsheets/d/1KYkJgTGHVqDhF6S7KdlhfxtvLh968QkFZxeTKDgd3UI/edit?gid=1910704515#gid=1910704515"",""2025-26!p3"")"),0.0)</f>
        <v>0</v>
      </c>
      <c r="AF204" s="55">
        <f>IFERROR(__xludf.DUMMYFUNCTION("importrange(""https://docs.google.com/spreadsheets/d/1KYkJgTGHVqDhF6S7KdlhfxtvLh968QkFZxeTKDgd3UI/edit?gid=1910704515#gid=1910704515"",""2025-26!q4"")"),0.0)</f>
        <v>0</v>
      </c>
      <c r="AG204" s="55">
        <f>IFERROR(__xludf.DUMMYFUNCTION("importrange(""https://docs.google.com/spreadsheets/d/1KYkJgTGHVqDhF6S7KdlhfxtvLh968QkFZxeTKDgd3UI/edit?gid=1910704515#gid=1910704515"",""2025-26!q3"")"),0.0)</f>
        <v>0</v>
      </c>
      <c r="AH204" s="58" t="str">
        <f t="shared" si="58"/>
        <v/>
      </c>
      <c r="AI204" s="55">
        <f>IFERROR(__xludf.DUMMYFUNCTION("importrange(""https://docs.google.com/spreadsheets/d/1KYkJgTGHVqDhF6S7KdlhfxtvLh968QkFZxeTKDgd3UI/edit?gid=1910704515#gid=1910704515"",""2025-26!r4"")"),0.0)</f>
        <v>0</v>
      </c>
      <c r="AJ204" s="55">
        <f>IFERROR(__xludf.DUMMYFUNCTION("importrange(""https://docs.google.com/spreadsheets/d/1KYkJgTGHVqDhF6S7KdlhfxtvLh968QkFZxeTKDgd3UI/edit?gid=1910704515#gid=1910704515"",""2025-26!r3"")"),0.0)</f>
        <v>0</v>
      </c>
      <c r="AK204" s="55">
        <f>IFERROR(__xludf.DUMMYFUNCTION("importrange(""https://docs.google.com/spreadsheets/d/1KYkJgTGHVqDhF6S7KdlhfxtvLh968QkFZxeTKDgd3UI/edit?gid=1910704515#gid=1910704515"",""2025-26!s4"")"),0.0)</f>
        <v>0</v>
      </c>
      <c r="AL204" s="55">
        <f>IFERROR(__xludf.DUMMYFUNCTION("importrange(""https://docs.google.com/spreadsheets/d/1KYkJgTGHVqDhF6S7KdlhfxtvLh968QkFZxeTKDgd3UI/edit?gid=1910704515#gid=1910704515"",""2025-26!s3"")"),0.0)</f>
        <v>0</v>
      </c>
      <c r="AM204" s="57">
        <f>IFERROR(__xludf.DUMMYFUNCTION("importrange(""https://docs.google.com/spreadsheets/d/1KYkJgTGHVqDhF6S7KdlhfxtvLh968QkFZxeTKDgd3UI/edit?gid=1910704515#gid=1910704515"",""2025-26!t4"")"),0.0)</f>
        <v>0</v>
      </c>
      <c r="AN204" s="55">
        <f>IFERROR(__xludf.DUMMYFUNCTION("importrange(""https://docs.google.com/spreadsheets/d/1KYkJgTGHVqDhF6S7KdlhfxtvLh968QkFZxeTKDgd3UI/edit?gid=1910704515#gid=1910704515"",""2025-26!t3"")"),0.0)</f>
        <v>0</v>
      </c>
      <c r="AO204" s="58" t="str">
        <f t="shared" si="59"/>
        <v/>
      </c>
      <c r="AP204" s="55">
        <f>IFERROR(__xludf.DUMMYFUNCTION("importrange(""https://docs.google.com/spreadsheets/d/1KYkJgTGHVqDhF6S7KdlhfxtvLh968QkFZxeTKDgd3UI/edit?gid=1910704515#gid=1910704515"",""2025-26!u4"")"),0.0)</f>
        <v>0</v>
      </c>
      <c r="AQ204" s="55">
        <f>IFERROR(__xludf.DUMMYFUNCTION("importrange(""https://docs.google.com/spreadsheets/d/1KYkJgTGHVqDhF6S7KdlhfxtvLh968QkFZxeTKDgd3UI/edit?gid=1910704515#gid=1910704515"",""2025-26!u3"")"),0.0)</f>
        <v>0</v>
      </c>
      <c r="AR204" s="55">
        <f>IFERROR(__xludf.DUMMYFUNCTION("importrange(""https://docs.google.com/spreadsheets/d/1KYkJgTGHVqDhF6S7KdlhfxtvLh968QkFZxeTKDgd3UI/edit?gid=1910704515#gid=1910704515"",""2025-26!v4"")"),0.0)</f>
        <v>0</v>
      </c>
      <c r="AS204" s="55">
        <f>IFERROR(__xludf.DUMMYFUNCTION("importrange(""https://docs.google.com/spreadsheets/d/1KYkJgTGHVqDhF6S7KdlhfxtvLh968QkFZxeTKDgd3UI/edit?gid=1910704515#gid=1910704515"",""2025-26!v3"")"),0.0)</f>
        <v>0</v>
      </c>
      <c r="AT204" s="57">
        <f>IFERROR(__xludf.DUMMYFUNCTION("importrange(""https://docs.google.com/spreadsheets/d/1KYkJgTGHVqDhF6S7KdlhfxtvLh968QkFZxeTKDgd3UI/edit?gid=1910704515#gid=1910704515"",""2025-26!w4"")"),0.0)</f>
        <v>0</v>
      </c>
      <c r="AU204" s="55">
        <f>IFERROR(__xludf.DUMMYFUNCTION("importrange(""https://docs.google.com/spreadsheets/d/1KYkJgTGHVqDhF6S7KdlhfxtvLh968QkFZxeTKDgd3UI/edit?gid=1910704515#gid=1910704515"",""2025-26!w3"")"),0.0)</f>
        <v>0</v>
      </c>
      <c r="AV204" s="58" t="str">
        <f t="shared" si="60"/>
        <v/>
      </c>
      <c r="AW204" s="55">
        <f>IFERROR(__xludf.DUMMYFUNCTION("importrange(""https://docs.google.com/spreadsheets/d/1KYkJgTGHVqDhF6S7KdlhfxtvLh968QkFZxeTKDgd3UI/edit?gid=1910704515#gid=1910704515"",""2025-26!x4"")"),0.0)</f>
        <v>0</v>
      </c>
      <c r="AX204" s="55">
        <f>IFERROR(__xludf.DUMMYFUNCTION("importrange(""https://docs.google.com/spreadsheets/d/1KYkJgTGHVqDhF6S7KdlhfxtvLh968QkFZxeTKDgd3UI/edit?gid=1910704515#gid=1910704515"",""2025-26!x3"")"),0.0)</f>
        <v>0</v>
      </c>
      <c r="AY204" s="55">
        <f>IFERROR(__xludf.DUMMYFUNCTION("importrange(""https://docs.google.com/spreadsheets/d/1KYkJgTGHVqDhF6S7KdlhfxtvLh968QkFZxeTKDgd3UI/edit?gid=1910704515#gid=1910704515"",""2025-26!y4"")"),0.0)</f>
        <v>0</v>
      </c>
      <c r="AZ204" s="55">
        <f>IFERROR(__xludf.DUMMYFUNCTION("importrange(""https://docs.google.com/spreadsheets/d/1KYkJgTGHVqDhF6S7KdlhfxtvLh968QkFZxeTKDgd3UI/edit?gid=1910704515#gid=1910704515"",""2025-26!y3"")"),0.0)</f>
        <v>0</v>
      </c>
      <c r="BA204" s="57">
        <f>IFERROR(__xludf.DUMMYFUNCTION("importrange(""https://docs.google.com/spreadsheets/d/1KYkJgTGHVqDhF6S7KdlhfxtvLh968QkFZxeTKDgd3UI/edit?gid=1910704515#gid=1910704515"",""2025-26!z4"")"),0.0)</f>
        <v>0</v>
      </c>
      <c r="BB204" s="55">
        <f>IFERROR(__xludf.DUMMYFUNCTION("importrange(""https://docs.google.com/spreadsheets/d/1KYkJgTGHVqDhF6S7KdlhfxtvLh968QkFZxeTKDgd3UI/edit?gid=1910704515#gid=1910704515"",""2025-26!z3"")"),0.0)</f>
        <v>0</v>
      </c>
      <c r="BC204" s="59" t="str">
        <f t="shared" si="61"/>
        <v/>
      </c>
      <c r="BD204" s="55">
        <f>IFERROR(__xludf.DUMMYFUNCTION("importrange(""https://docs.google.com/spreadsheets/d/1KYkJgTGHVqDhF6S7KdlhfxtvLh968QkFZxeTKDgd3UI/edit?gid=1910704515#gid=1910704515"",""2025-26!aa4"")"),0.0)</f>
        <v>0</v>
      </c>
      <c r="BE204" s="55">
        <f>IFERROR(__xludf.DUMMYFUNCTION("importrange(""https://docs.google.com/spreadsheets/d/1KYkJgTGHVqDhF6S7KdlhfxtvLh968QkFZxeTKDgd3UI/edit?gid=1910704515#gid=1910704515"",""2025-26!aa3"")"),0.0)</f>
        <v>0</v>
      </c>
      <c r="BF204" s="55">
        <f>IFERROR(__xludf.DUMMYFUNCTION("importrange(""https://docs.google.com/spreadsheets/d/1KYkJgTGHVqDhF6S7KdlhfxtvLh968QkFZxeTKDgd3UI/edit?gid=1910704515#gid=1910704515"",""2025-26!ab4"")"),0.0)</f>
        <v>0</v>
      </c>
      <c r="BG204" s="55">
        <f>IFERROR(__xludf.DUMMYFUNCTION("importrange(""https://docs.google.com/spreadsheets/d/1KYkJgTGHVqDhF6S7KdlhfxtvLh968QkFZxeTKDgd3UI/edit?gid=1910704515#gid=1910704515"",""2025-26!ab3"")"),0.0)</f>
        <v>0</v>
      </c>
      <c r="BH204" s="55">
        <f>IFERROR(__xludf.DUMMYFUNCTION("importrange(""https://docs.google.com/spreadsheets/d/1KYkJgTGHVqDhF6S7KdlhfxtvLh968QkFZxeTKDgd3UI/edit?gid=1910704515#gid=1910704515"",""2025-26!ac4"")"),0.0)</f>
        <v>0</v>
      </c>
      <c r="BI204" s="55">
        <f>IFERROR(__xludf.DUMMYFUNCTION("importrange(""https://docs.google.com/spreadsheets/d/1KYkJgTGHVqDhF6S7KdlhfxtvLh968QkFZxeTKDgd3UI/edit?gid=1910704515#gid=1910704515"",""2025-26!ac3"")"),0.0)</f>
        <v>0</v>
      </c>
      <c r="BJ204" s="59" t="str">
        <f t="shared" si="62"/>
        <v/>
      </c>
      <c r="BK204" s="55">
        <f>IFERROR(__xludf.DUMMYFUNCTION("importrange(""https://docs.google.com/spreadsheets/d/1KYkJgTGHVqDhF6S7KdlhfxtvLh968QkFZxeTKDgd3UI/edit?gid=1910704515#gid=1910704515"",""2025-26!ad4"")"),0.0)</f>
        <v>0</v>
      </c>
      <c r="BL204" s="55">
        <f>IFERROR(__xludf.DUMMYFUNCTION("importrange(""https://docs.google.com/spreadsheets/d/1KYkJgTGHVqDhF6S7KdlhfxtvLh968QkFZxeTKDgd3UI/edit?gid=1910704515#gid=1910704515"",""2025-26!ad3"")"),0.0)</f>
        <v>0</v>
      </c>
      <c r="BM204" s="55">
        <f>IFERROR(__xludf.DUMMYFUNCTION("importrange(""https://docs.google.com/spreadsheets/d/1KYkJgTGHVqDhF6S7KdlhfxtvLh968QkFZxeTKDgd3UI/edit?gid=1910704515#gid=1910704515"",""2025-26!ae4"")"),0.0)</f>
        <v>0</v>
      </c>
      <c r="BN204" s="55">
        <f>IFERROR(__xludf.DUMMYFUNCTION("importrange(""https://docs.google.com/spreadsheets/d/1KYkJgTGHVqDhF6S7KdlhfxtvLh968QkFZxeTKDgd3UI/edit?gid=1910704515#gid=1910704515"",""2025-26!ae3"")"),0.0)</f>
        <v>0</v>
      </c>
      <c r="BO204" s="55">
        <f>IFERROR(__xludf.DUMMYFUNCTION("importrange(""https://docs.google.com/spreadsheets/d/1KYkJgTGHVqDhF6S7KdlhfxtvLh968QkFZxeTKDgd3UI/edit?gid=1910704515#gid=1910704515"",""2025-26!af4"")"),0.0)</f>
        <v>0</v>
      </c>
      <c r="BP204" s="55">
        <f>IFERROR(__xludf.DUMMYFUNCTION("importrange(""https://docs.google.com/spreadsheets/d/1KYkJgTGHVqDhF6S7KdlhfxtvLh968QkFZxeTKDgd3UI/edit?gid=1910704515#gid=1910704515"",""2025-26!af3"")"),0.0)</f>
        <v>0</v>
      </c>
      <c r="BQ204" s="59" t="str">
        <f t="shared" si="63"/>
        <v/>
      </c>
      <c r="BR204" s="55">
        <f>IFERROR(__xludf.DUMMYFUNCTION("importrange(""https://docs.google.com/spreadsheets/d/1KYkJgTGHVqDhF6S7KdlhfxtvLh968QkFZxeTKDgd3UI/edit?gid=1910704515#gid=1910704515"",""2025-26!ag4"")"),0.0)</f>
        <v>0</v>
      </c>
      <c r="BS204" s="55">
        <f>IFERROR(__xludf.DUMMYFUNCTION("importrange(""https://docs.google.com/spreadsheets/d/1KYkJgTGHVqDhF6S7KdlhfxtvLh968QkFZxeTKDgd3UI/edit?gid=1910704515#gid=1910704515"",""2025-26!ag3"")"),0.0)</f>
        <v>0</v>
      </c>
      <c r="BT204" s="55">
        <f>IFERROR(__xludf.DUMMYFUNCTION("importrange(""https://docs.google.com/spreadsheets/d/1KYkJgTGHVqDhF6S7KdlhfxtvLh968QkFZxeTKDgd3UI/edit?gid=1910704515#gid=1910704515"",""2025-26!ah4"")"),0.0)</f>
        <v>0</v>
      </c>
      <c r="BU204" s="55">
        <f>IFERROR(__xludf.DUMMYFUNCTION("importrange(""https://docs.google.com/spreadsheets/d/1KYkJgTGHVqDhF6S7KdlhfxtvLh968QkFZxeTKDgd3UI/edit?gid=1910704515#gid=1910704515"",""2025-26!ah3"")"),0.0)</f>
        <v>0</v>
      </c>
      <c r="BV204" s="55">
        <f>IFERROR(__xludf.DUMMYFUNCTION("importrange(""https://docs.google.com/spreadsheets/d/1KYkJgTGHVqDhF6S7KdlhfxtvLh968QkFZxeTKDgd3UI/edit?gid=1910704515#gid=1910704515"",""2025-26!ai4"")"),0.0)</f>
        <v>0</v>
      </c>
      <c r="BW204" s="55">
        <f>IFERROR(__xludf.DUMMYFUNCTION("importrange(""https://docs.google.com/spreadsheets/d/1KYkJgTGHVqDhF6S7KdlhfxtvLh968QkFZxeTKDgd3UI/edit?gid=1910704515#gid=1910704515"",""2025-26!ai3"")"),0.0)</f>
        <v>0</v>
      </c>
      <c r="BX204" s="59" t="str">
        <f t="shared" si="64"/>
        <v/>
      </c>
      <c r="BY204" s="55">
        <f>IFERROR(__xludf.DUMMYFUNCTION("importrange(""https://docs.google.com/spreadsheets/d/1KYkJgTGHVqDhF6S7KdlhfxtvLh968QkFZxeTKDgd3UI/edit?gid=1910704515#gid=1910704515"",""2025-26!aj4"")"),0.0)</f>
        <v>0</v>
      </c>
      <c r="BZ204" s="55">
        <f>IFERROR(__xludf.DUMMYFUNCTION("importrange(""https://docs.google.com/spreadsheets/d/1KYkJgTGHVqDhF6S7KdlhfxtvLh968QkFZxeTKDgd3UI/edit?gid=1910704515#gid=1910704515"",""2025-26!aj3"")"),0.0)</f>
        <v>0</v>
      </c>
      <c r="CA204" s="55">
        <f>IFERROR(__xludf.DUMMYFUNCTION("importrange(""https://docs.google.com/spreadsheets/d/1KYkJgTGHVqDhF6S7KdlhfxtvLh968QkFZxeTKDgd3UI/edit?gid=1910704515#gid=1910704515"",""2025-26!ak4"")"),0.0)</f>
        <v>0</v>
      </c>
      <c r="CB204" s="55">
        <f>IFERROR(__xludf.DUMMYFUNCTION("importrange(""https://docs.google.com/spreadsheets/d/1KYkJgTGHVqDhF6S7KdlhfxtvLh968QkFZxeTKDgd3UI/edit?gid=1910704515#gid=1910704515"",""2025-26!ak3"")"),0.0)</f>
        <v>0</v>
      </c>
      <c r="CC204" s="55">
        <f>IFERROR(__xludf.DUMMYFUNCTION("importrange(""https://docs.google.com/spreadsheets/d/1KYkJgTGHVqDhF6S7KdlhfxtvLh968QkFZxeTKDgd3UI/edit?gid=1910704515#gid=1910704515"",""2025-26!al4"")"),0.0)</f>
        <v>0</v>
      </c>
      <c r="CD204" s="55">
        <f>IFERROR(__xludf.DUMMYFUNCTION("importrange(""https://docs.google.com/spreadsheets/d/1KYkJgTGHVqDhF6S7KdlhfxtvLh968QkFZxeTKDgd3UI/edit?gid=1910704515#gid=1910704515"",""2025-26!ai3"")"),0.0)</f>
        <v>0</v>
      </c>
      <c r="CE204" s="59" t="str">
        <f t="shared" si="65"/>
        <v/>
      </c>
      <c r="CF204" s="55">
        <f>IFERROR(__xludf.DUMMYFUNCTION("importrange(""https://docs.google.com/spreadsheets/d/1KYkJgTGHVqDhF6S7KdlhfxtvLh968QkFZxeTKDgd3UI/edit?gid=1910704515#gid=1910704515"",""2025-26!am4"")"),0.0)</f>
        <v>0</v>
      </c>
      <c r="CG204" s="55">
        <f>IFERROR(__xludf.DUMMYFUNCTION("importrange(""https://docs.google.com/spreadsheets/d/1KYkJgTGHVqDhF6S7KdlhfxtvLh968QkFZxeTKDgd3UI/edit?gid=1910704515#gid=1910704515"",""2025-26!am3"")"),0.0)</f>
        <v>0</v>
      </c>
      <c r="CH204" s="55">
        <f>IFERROR(__xludf.DUMMYFUNCTION("importrange(""https://docs.google.com/spreadsheets/d/1KYkJgTGHVqDhF6S7KdlhfxtvLh968QkFZxeTKDgd3UI/edit?gid=1910704515#gid=1910704515"",""2025-26!an4"")"),0.0)</f>
        <v>0</v>
      </c>
      <c r="CI204" s="55">
        <f>IFERROR(__xludf.DUMMYFUNCTION("importrange(""https://docs.google.com/spreadsheets/d/1KYkJgTGHVqDhF6S7KdlhfxtvLh968QkFZxeTKDgd3UI/edit?gid=1910704515#gid=1910704515"",""2025-26!an3"")"),0.0)</f>
        <v>0</v>
      </c>
      <c r="CJ204" s="55">
        <f>IFERROR(__xludf.DUMMYFUNCTION("importrange(""https://docs.google.com/spreadsheets/d/1KYkJgTGHVqDhF6S7KdlhfxtvLh968QkFZxeTKDgd3UI/edit?gid=1910704515#gid=1910704515"",""2025-26!ao4"")"),0.0)</f>
        <v>0</v>
      </c>
      <c r="CK204" s="55">
        <f>IFERROR(__xludf.DUMMYFUNCTION("importrange(""https://docs.google.com/spreadsheets/d/1KYkJgTGHVqDhF6S7KdlhfxtvLh968QkFZxeTKDgd3UI/edit?gid=1910704515#gid=1910704515"",""2025-26!ao3"")"),0.0)</f>
        <v>0</v>
      </c>
      <c r="CL204" s="59" t="str">
        <f t="shared" si="66"/>
        <v/>
      </c>
      <c r="CM204" s="55">
        <f>IFERROR(__xludf.DUMMYFUNCTION("importrange(""https://docs.google.com/spreadsheets/d/1KYkJgTGHVqDhF6S7KdlhfxtvLh968QkFZxeTKDgd3UI/edit?gid=1910704515#gid=1910704515"",""2025-26!ap4"")"),0.0)</f>
        <v>0</v>
      </c>
      <c r="CN204" s="55">
        <f>IFERROR(__xludf.DUMMYFUNCTION("importrange(""https://docs.google.com/spreadsheets/d/1KYkJgTGHVqDhF6S7KdlhfxtvLh968QkFZxeTKDgd3UI/edit?gid=1910704515#gid=1910704515"",""2025-26!ap3"")"),0.0)</f>
        <v>0</v>
      </c>
      <c r="CO204" s="55">
        <f>IFERROR(__xludf.DUMMYFUNCTION("importrange(""https://docs.google.com/spreadsheets/d/1KYkJgTGHVqDhF6S7KdlhfxtvLh968QkFZxeTKDgd3UI/edit?gid=1910704515#gid=1910704515"",""2025-26!aq4"")"),0.0)</f>
        <v>0</v>
      </c>
      <c r="CP204" s="55">
        <f>IFERROR(__xludf.DUMMYFUNCTION("importrange(""https://docs.google.com/spreadsheets/d/1KYkJgTGHVqDhF6S7KdlhfxtvLh968QkFZxeTKDgd3UI/edit?gid=1910704515#gid=1910704515"",""2025-26!aq3"")"),0.0)</f>
        <v>0</v>
      </c>
      <c r="CQ204" s="55">
        <f>IFERROR(__xludf.DUMMYFUNCTION("importrange(""https://docs.google.com/spreadsheets/d/1KYkJgTGHVqDhF6S7KdlhfxtvLh968QkFZxeTKDgd3UI/edit?gid=1910704515#gid=1910704515"",""2025-26!ar4"")"),0.0)</f>
        <v>0</v>
      </c>
      <c r="CR204" s="55">
        <f>IFERROR(__xludf.DUMMYFUNCTION("importrange(""https://docs.google.com/spreadsheets/d/1KYkJgTGHVqDhF6S7KdlhfxtvLh968QkFZxeTKDgd3UI/edit?gid=1910704515#gid=1910704515"",""2025-26!ar3"")"),0.0)</f>
        <v>0</v>
      </c>
      <c r="CS204" s="59" t="str">
        <f t="shared" si="67"/>
        <v/>
      </c>
      <c r="CT204" s="55">
        <f>IFERROR(__xludf.DUMMYFUNCTION("importrange(""https://docs.google.com/spreadsheets/d/1KYkJgTGHVqDhF6S7KdlhfxtvLh968QkFZxeTKDgd3UI/edit?gid=1910704515#gid=1910704515"",""2025-26!as4"")"),0.0)</f>
        <v>0</v>
      </c>
      <c r="CU204" s="55">
        <f>IFERROR(__xludf.DUMMYFUNCTION("importrange(""https://docs.google.com/spreadsheets/d/1KYkJgTGHVqDhF6S7KdlhfxtvLh968QkFZxeTKDgd3UI/edit?gid=1910704515#gid=1910704515"",""2025-26!as3"")"),0.0)</f>
        <v>0</v>
      </c>
      <c r="CV204" s="60" t="s">
        <v>196</v>
      </c>
    </row>
    <row r="205">
      <c r="A205" s="133" t="s">
        <v>185</v>
      </c>
      <c r="B205" s="134" t="s">
        <v>185</v>
      </c>
      <c r="C205" s="136" t="s">
        <v>413</v>
      </c>
      <c r="D205" s="50" t="s">
        <v>270</v>
      </c>
      <c r="E205" s="50">
        <v>9.776346885E9</v>
      </c>
      <c r="F205" s="74">
        <v>42826.0</v>
      </c>
      <c r="G205" s="62"/>
      <c r="H205" s="62"/>
      <c r="I205" s="53">
        <v>73334.0</v>
      </c>
      <c r="J205" s="54">
        <v>2000000.0</v>
      </c>
      <c r="K205" s="57">
        <f>IFERROR(__xludf.DUMMYFUNCTION("IMPORTRANGE(""1xSvPZfXvMICHiNx5twnhUe07KjqWf-qD_46hZs7CJuc"",""2025-26!A3"")"),94.0)</f>
        <v>94</v>
      </c>
      <c r="L205" s="57">
        <f>IFERROR(__xludf.DUMMYFUNCTION("IMPORTRANGE(""1xSvPZfXvMICHiNx5twnhUe07KjqWf-qD_46hZs7CJuc"",""2025-26!G4"")"),1.13E7)</f>
        <v>11300000</v>
      </c>
      <c r="M205" s="57">
        <f t="shared" si="87"/>
        <v>6304003.74</v>
      </c>
      <c r="N205" s="56">
        <f t="shared" si="88"/>
        <v>0.8439094018</v>
      </c>
      <c r="O205" s="57">
        <f t="shared" si="89"/>
        <v>9536176.24</v>
      </c>
      <c r="P205" s="55">
        <f>IFERROR(__xludf.DUMMYFUNCTION("IMPORTRANGE(""1xSvPZfXvMICHiNx5twnhUe07KjqWf-qD_46hZs7CJuc"",""2025-26!J4"")"),0.0)</f>
        <v>0</v>
      </c>
      <c r="Q205" s="55">
        <f>IFERROR(__xludf.DUMMYFUNCTION("IMPORTRANGE(""1xSvPZfXvMICHiNx5twnhUe07KjqWf-qD_46hZs7CJuc"",""2025-26!J3"")"),0.0)</f>
        <v>0</v>
      </c>
      <c r="R205" s="55">
        <f>IFERROR(__xludf.DUMMYFUNCTION("IMPORTRANGE(""1xSvPZfXvMICHiNx5twnhUe07KjqWf-qD_46hZs7CJuc"",""2025-26!K4"")"),179433.6)</f>
        <v>179433.6</v>
      </c>
      <c r="S205" s="55">
        <f>IFERROR(__xludf.DUMMYFUNCTION("IMPORTRANGE(""1xSvPZfXvMICHiNx5twnhUe07KjqWf-qD_46hZs7CJuc"",""2025-26!K3"")"),10.0)</f>
        <v>10</v>
      </c>
      <c r="T205" s="58" t="str">
        <f t="shared" si="56"/>
        <v/>
      </c>
      <c r="U205" s="55">
        <f>IFERROR(__xludf.DUMMYFUNCTION("IMPORTRANGE(""1xSvPZfXvMICHiNx5twnhUe07KjqWf-qD_46hZs7CJuc"",""2025-26!L4"")"),933777.6600000001)</f>
        <v>933777.66</v>
      </c>
      <c r="V205" s="79">
        <f>IFERROR(__xludf.DUMMYFUNCTION("IMPORTRANGE(""1xSvPZfXvMICHiNx5twnhUe07KjqWf-qD_46hZs7CJuc"",""2025-26!L3"")"),29.0)</f>
        <v>29</v>
      </c>
      <c r="W205" s="55">
        <f>IFERROR(__xludf.DUMMYFUNCTION("IMPORTRANGE(""1xSvPZfXvMICHiNx5twnhUe07KjqWf-qD_46hZs7CJuc"",""2025-26!M4"")"),0.0)</f>
        <v>0</v>
      </c>
      <c r="X205" s="79">
        <f>IFERROR(__xludf.DUMMYFUNCTION("IMPORTRANGE(""1xSvPZfXvMICHiNx5twnhUe07KjqWf-qD_46hZs7CJuc"",""2025-26!M3"")"),0.0)</f>
        <v>0</v>
      </c>
      <c r="Y205" s="55">
        <f>IFERROR(__xludf.DUMMYFUNCTION("importrange(""1xSvPZfXvMICHiNx5twnhUe07KjqWf-qD_46hZs7CJuc"",""2025-26!n4"")"),634841.1)</f>
        <v>634841.1</v>
      </c>
      <c r="Z205" s="55">
        <f>IFERROR(__xludf.DUMMYFUNCTION("importrange(""1xSvPZfXvMICHiNx5twnhUe07KjqWf-qD_46hZs7CJuc"",""2025-26!n3"")"),19.0)</f>
        <v>19</v>
      </c>
      <c r="AA205" s="58" t="str">
        <f t="shared" si="57"/>
        <v/>
      </c>
      <c r="AB205" s="55">
        <f>IFERROR(__xludf.DUMMYFUNCTION("importrange(""1xSvPZfXvMICHiNx5twnhUe07KjqWf-qD_46hZs7CJuc"",""2025-26!o4"")"),1073740.8699999999)</f>
        <v>1073740.87</v>
      </c>
      <c r="AC205" s="55">
        <f>IFERROR(__xludf.DUMMYFUNCTION("importrange(""1xSvPZfXvMICHiNx5twnhUe07KjqWf-qD_46hZs7CJuc"",""2025-26!o3"")"),27.0)</f>
        <v>27</v>
      </c>
      <c r="AD205" s="55">
        <f>IFERROR(__xludf.DUMMYFUNCTION("importrange(""1xSvPZfXvMICHiNx5twnhUe07KjqWf-qD_46hZs7CJuc"",""2025-26!p4"")"),1403000.0)</f>
        <v>1403000</v>
      </c>
      <c r="AE205" s="55">
        <f>IFERROR(__xludf.DUMMYFUNCTION("importrange(""1xSvPZfXvMICHiNx5twnhUe07KjqWf-qD_46hZs7CJuc"",""2025-26!p3"")"),46.0)</f>
        <v>46</v>
      </c>
      <c r="AF205" s="55">
        <f>IFERROR(__xludf.DUMMYFUNCTION("importrange(""1xSvPZfXvMICHiNx5twnhUe07KjqWf-qD_46hZs7CJuc"",""2025-26!q4"")"),813264.8999999999)</f>
        <v>813264.9</v>
      </c>
      <c r="AG205" s="55">
        <f>IFERROR(__xludf.DUMMYFUNCTION("importrange(""1xSvPZfXvMICHiNx5twnhUe07KjqWf-qD_46hZs7CJuc"",""2025-26!q3"")"),25.0)</f>
        <v>25</v>
      </c>
      <c r="AH205" s="58">
        <f t="shared" si="58"/>
        <v>0.9256145973</v>
      </c>
      <c r="AI205" s="55">
        <f>IFERROR(__xludf.DUMMYFUNCTION("importrange(""1xSvPZfXvMICHiNx5twnhUe07KjqWf-qD_46hZs7CJuc"",""2025-26!r4"")"),1298637.2800000003)</f>
        <v>1298637.28</v>
      </c>
      <c r="AJ205" s="55">
        <f>IFERROR(__xludf.DUMMYFUNCTION("importrange(""1xSvPZfXvMICHiNx5twnhUe07KjqWf-qD_46hZs7CJuc"",""2025-26!r3"")"),36.0)</f>
        <v>36</v>
      </c>
      <c r="AK205" s="55">
        <f>IFERROR(__xludf.DUMMYFUNCTION("importrange(""1xSvPZfXvMICHiNx5twnhUe07KjqWf-qD_46hZs7CJuc"",""2025-26!s4"")"),0.0)</f>
        <v>0</v>
      </c>
      <c r="AL205" s="55">
        <f>IFERROR(__xludf.DUMMYFUNCTION("importrange(""1xSvPZfXvMICHiNx5twnhUe07KjqWf-qD_46hZs7CJuc"",""2025-26!s3"")"),0.0)</f>
        <v>0</v>
      </c>
      <c r="AM205" s="57">
        <f>IFERROR(__xludf.DUMMYFUNCTION("importrange(""1xSvPZfXvMICHiNx5twnhUe07KjqWf-qD_46hZs7CJuc"",""2025-26!t4"")"),1217060.7099999997)</f>
        <v>1217060.71</v>
      </c>
      <c r="AN205" s="55">
        <f>IFERROR(__xludf.DUMMYFUNCTION("importrange(""1xSvPZfXvMICHiNx5twnhUe07KjqWf-qD_46hZs7CJuc"",""2025-26!t3"")"),36.0)</f>
        <v>36</v>
      </c>
      <c r="AO205" s="58" t="str">
        <f t="shared" si="59"/>
        <v/>
      </c>
      <c r="AP205" s="55">
        <f>IFERROR(__xludf.DUMMYFUNCTION("importrange(""1xSvPZfXvMICHiNx5twnhUe07KjqWf-qD_46hZs7CJuc"",""2025-26!u4"")"),1169874.9000000001)</f>
        <v>1169874.9</v>
      </c>
      <c r="AQ205" s="55">
        <f>IFERROR(__xludf.DUMMYFUNCTION("importrange(""1xSvPZfXvMICHiNx5twnhUe07KjqWf-qD_46hZs7CJuc"",""2025-26!u3"")"),35.0)</f>
        <v>35</v>
      </c>
      <c r="AR205" s="55">
        <f>IFERROR(__xludf.DUMMYFUNCTION("importrange(""1xSvPZfXvMICHiNx5twnhUe07KjqWf-qD_46hZs7CJuc"",""2025-26!v4"")"),0.0)</f>
        <v>0</v>
      </c>
      <c r="AS205" s="55">
        <f>IFERROR(__xludf.DUMMYFUNCTION("importrange(""1xSvPZfXvMICHiNx5twnhUe07KjqWf-qD_46hZs7CJuc"",""2025-26!v3"")"),0.0)</f>
        <v>0</v>
      </c>
      <c r="AT205" s="57">
        <f>IFERROR(__xludf.DUMMYFUNCTION("importrange(""1xSvPZfXvMICHiNx5twnhUe07KjqWf-qD_46hZs7CJuc"",""2025-26!w4"")"),839771.08)</f>
        <v>839771.08</v>
      </c>
      <c r="AU205" s="55">
        <f>IFERROR(__xludf.DUMMYFUNCTION("importrange(""1xSvPZfXvMICHiNx5twnhUe07KjqWf-qD_46hZs7CJuc"",""2025-26!w3"")"),23.0)</f>
        <v>23</v>
      </c>
      <c r="AV205" s="58" t="str">
        <f t="shared" si="60"/>
        <v/>
      </c>
      <c r="AW205" s="55">
        <f>IFERROR(__xludf.DUMMYFUNCTION("importrange(""1xSvPZfXvMICHiNx5twnhUe07KjqWf-qD_46hZs7CJuc"",""2025-26!x4"")"),819545.58)</f>
        <v>819545.58</v>
      </c>
      <c r="AX205" s="55">
        <f>IFERROR(__xludf.DUMMYFUNCTION("importrange(""1xSvPZfXvMICHiNx5twnhUe07KjqWf-qD_46hZs7CJuc"",""2025-26!x3"")"),28.0)</f>
        <v>28</v>
      </c>
      <c r="AY205" s="55">
        <f>IFERROR(__xludf.DUMMYFUNCTION("importrange(""1xSvPZfXvMICHiNx5twnhUe07KjqWf-qD_46hZs7CJuc"",""2025-26!y4"")"),0.0)</f>
        <v>0</v>
      </c>
      <c r="AZ205" s="55">
        <f>IFERROR(__xludf.DUMMYFUNCTION("importrange(""1xSvPZfXvMICHiNx5twnhUe07KjqWf-qD_46hZs7CJuc"",""2025-26!y3"")"),0.0)</f>
        <v>0</v>
      </c>
      <c r="BA205" s="57">
        <f>IFERROR(__xludf.DUMMYFUNCTION("importrange(""1xSvPZfXvMICHiNx5twnhUe07KjqWf-qD_46hZs7CJuc"",""2025-26!z4"")"),583898.85)</f>
        <v>583898.85</v>
      </c>
      <c r="BB205" s="55">
        <f>IFERROR(__xludf.DUMMYFUNCTION("importrange(""1xSvPZfXvMICHiNx5twnhUe07KjqWf-qD_46hZs7CJuc"",""2025-26!z3"")"),21.0)</f>
        <v>21</v>
      </c>
      <c r="BC205" s="59" t="str">
        <f t="shared" si="61"/>
        <v/>
      </c>
      <c r="BD205" s="55">
        <f>IFERROR(__xludf.DUMMYFUNCTION("importrange(""1xSvPZfXvMICHiNx5twnhUe07KjqWf-qD_46hZs7CJuc"",""2025-26!aa4"")"),751670.1399999999)</f>
        <v>751670.14</v>
      </c>
      <c r="BE205" s="55">
        <f>IFERROR(__xludf.DUMMYFUNCTION("importrange(""1xSvPZfXvMICHiNx5twnhUe07KjqWf-qD_46hZs7CJuc"",""2025-26!aa3"")"),33.0)</f>
        <v>33</v>
      </c>
      <c r="BF205" s="55">
        <f>IFERROR(__xludf.DUMMYFUNCTION("importrange(""1xSvPZfXvMICHiNx5twnhUe07KjqWf-qD_46hZs7CJuc"",""2025-26!ab4"")"),0.0)</f>
        <v>0</v>
      </c>
      <c r="BG205" s="55">
        <f>IFERROR(__xludf.DUMMYFUNCTION("importrange(""1xSvPZfXvMICHiNx5twnhUe07KjqWf-qD_46hZs7CJuc"",""2025-26!ab3"")"),0.0)</f>
        <v>0</v>
      </c>
      <c r="BH205" s="55">
        <f>IFERROR(__xludf.DUMMYFUNCTION("importrange(""1xSvPZfXvMICHiNx5twnhUe07KjqWf-qD_46hZs7CJuc"",""2025-26!ac4"")"),565702.8800000001)</f>
        <v>565702.88</v>
      </c>
      <c r="BI205" s="55">
        <f>IFERROR(__xludf.DUMMYFUNCTION("importrange(""1xSvPZfXvMICHiNx5twnhUe07KjqWf-qD_46hZs7CJuc"",""2025-26!ac3"")"),24.0)</f>
        <v>24</v>
      </c>
      <c r="BJ205" s="59" t="str">
        <f t="shared" si="62"/>
        <v/>
      </c>
      <c r="BK205" s="55">
        <f>IFERROR(__xludf.DUMMYFUNCTION("importrange(""1xSvPZfXvMICHiNx5twnhUe07KjqWf-qD_46hZs7CJuc"",""2025-26!ad4"")"),809080.82)</f>
        <v>809080.82</v>
      </c>
      <c r="BL205" s="55">
        <f>IFERROR(__xludf.DUMMYFUNCTION("importrange(""1xSvPZfXvMICHiNx5twnhUe07KjqWf-qD_46hZs7CJuc"",""2025-26!ad3"")"),38.0)</f>
        <v>38</v>
      </c>
      <c r="BM205" s="55">
        <f>IFERROR(__xludf.DUMMYFUNCTION("importrange(""1xSvPZfXvMICHiNx5twnhUe07KjqWf-qD_46hZs7CJuc"",""2025-26!ae4"")"),0.0)</f>
        <v>0</v>
      </c>
      <c r="BN205" s="55">
        <f>IFERROR(__xludf.DUMMYFUNCTION("importrange(""1xSvPZfXvMICHiNx5twnhUe07KjqWf-qD_46hZs7CJuc"",""2025-26!ae3"")"),0.0)</f>
        <v>0</v>
      </c>
      <c r="BO205" s="55">
        <f>IFERROR(__xludf.DUMMYFUNCTION("importrange(""1xSvPZfXvMICHiNx5twnhUe07KjqWf-qD_46hZs7CJuc"",""2025-26!af4"")"),704093.62)</f>
        <v>704093.62</v>
      </c>
      <c r="BP205" s="55">
        <f>IFERROR(__xludf.DUMMYFUNCTION("importrange(""1xSvPZfXvMICHiNx5twnhUe07KjqWf-qD_46hZs7CJuc"",""2025-26!af3"")"),18.0)</f>
        <v>18</v>
      </c>
      <c r="BQ205" s="59" t="str">
        <f t="shared" si="63"/>
        <v/>
      </c>
      <c r="BR205" s="55">
        <f>IFERROR(__xludf.DUMMYFUNCTION("importrange(""1xSvPZfXvMICHiNx5twnhUe07KjqWf-qD_46hZs7CJuc"",""2025-26!ag4"")"),865514.24)</f>
        <v>865514.24</v>
      </c>
      <c r="BS205" s="55">
        <f>IFERROR(__xludf.DUMMYFUNCTION("importrange(""1xSvPZfXvMICHiNx5twnhUe07KjqWf-qD_46hZs7CJuc"",""2025-26!ag3"")"),24.0)</f>
        <v>24</v>
      </c>
      <c r="BT205" s="55">
        <f>IFERROR(__xludf.DUMMYFUNCTION("importrange(""1xSvPZfXvMICHiNx5twnhUe07KjqWf-qD_46hZs7CJuc"",""2025-26!ah4"")"),0.0)</f>
        <v>0</v>
      </c>
      <c r="BU205" s="55">
        <f>IFERROR(__xludf.DUMMYFUNCTION("importrange(""1xSvPZfXvMICHiNx5twnhUe07KjqWf-qD_46hZs7CJuc"",""2025-26!ah3"")"),0.0)</f>
        <v>0</v>
      </c>
      <c r="BV205" s="55">
        <f>IFERROR(__xludf.DUMMYFUNCTION("importrange(""1xSvPZfXvMICHiNx5twnhUe07KjqWf-qD_46hZs7CJuc"",""2025-26!ai4"")"),599512.2)</f>
        <v>599512.2</v>
      </c>
      <c r="BW205" s="55">
        <f>IFERROR(__xludf.DUMMYFUNCTION("importrange(""1xSvPZfXvMICHiNx5twnhUe07KjqWf-qD_46hZs7CJuc"",""2025-26!ai3"")"),14.0)</f>
        <v>14</v>
      </c>
      <c r="BX205" s="59" t="str">
        <f t="shared" si="64"/>
        <v/>
      </c>
      <c r="BY205" s="55">
        <f>IFERROR(__xludf.DUMMYFUNCTION("importrange(""1xSvPZfXvMICHiNx5twnhUe07KjqWf-qD_46hZs7CJuc"",""2025-26!aj4"")"),1214559.7600000002)</f>
        <v>1214559.76</v>
      </c>
      <c r="BZ205" s="55">
        <f>IFERROR(__xludf.DUMMYFUNCTION("importrange(""1xSvPZfXvMICHiNx5twnhUe07KjqWf-qD_46hZs7CJuc"",""2025-26!aj3"")"),28.0)</f>
        <v>28</v>
      </c>
      <c r="CA205" s="55">
        <f>IFERROR(__xludf.DUMMYFUNCTION("importrange(""1xSvPZfXvMICHiNx5twnhUe07KjqWf-qD_46hZs7CJuc"",""2025-26!ak4"")"),2025000.0)</f>
        <v>2025000</v>
      </c>
      <c r="CB205" s="55">
        <f>IFERROR(__xludf.DUMMYFUNCTION("importrange(""1xSvPZfXvMICHiNx5twnhUe07KjqWf-qD_46hZs7CJuc"",""2025-26!ak3"")"),57.0)</f>
        <v>57</v>
      </c>
      <c r="CC205" s="55">
        <f>IFERROR(__xludf.DUMMYFUNCTION("importrange(""1xSvPZfXvMICHiNx5twnhUe07KjqWf-qD_46hZs7CJuc"",""2025-26!al4"")"),166424.80000000002)</f>
        <v>166424.8</v>
      </c>
      <c r="CD205" s="55">
        <f>IFERROR(__xludf.DUMMYFUNCTION("importrange(""1xSvPZfXvMICHiNx5twnhUe07KjqWf-qD_46hZs7CJuc"",""2025-26!ai3"")"),14.0)</f>
        <v>14</v>
      </c>
      <c r="CE205" s="59">
        <f t="shared" si="65"/>
        <v>0.2961851802</v>
      </c>
      <c r="CF205" s="55">
        <f>IFERROR(__xludf.DUMMYFUNCTION("importrange(""1xSvPZfXvMICHiNx5twnhUe07KjqWf-qD_46hZs7CJuc"",""2025-26!am4"")"),599774.99)</f>
        <v>599774.99</v>
      </c>
      <c r="CG205" s="55">
        <f>IFERROR(__xludf.DUMMYFUNCTION("importrange(""1xSvPZfXvMICHiNx5twnhUe07KjqWf-qD_46hZs7CJuc"",""2025-26!am3"")"),20.0)</f>
        <v>20</v>
      </c>
      <c r="CH205" s="55">
        <f>IFERROR(__xludf.DUMMYFUNCTION("importrange(""1xSvPZfXvMICHiNx5twnhUe07KjqWf-qD_46hZs7CJuc"",""2025-26!an4"")"),0.0)</f>
        <v>0</v>
      </c>
      <c r="CI205" s="55">
        <f>IFERROR(__xludf.DUMMYFUNCTION("importrange(""1xSvPZfXvMICHiNx5twnhUe07KjqWf-qD_46hZs7CJuc"",""2025-26!an3"")"),0.0)</f>
        <v>0</v>
      </c>
      <c r="CJ205" s="55">
        <f>IFERROR(__xludf.DUMMYFUNCTION("importrange(""1xSvPZfXvMICHiNx5twnhUe07KjqWf-qD_46hZs7CJuc"",""2025-26!ao4"")"),0.0)</f>
        <v>0</v>
      </c>
      <c r="CK205" s="55">
        <f>IFERROR(__xludf.DUMMYFUNCTION("importrange(""1xSvPZfXvMICHiNx5twnhUe07KjqWf-qD_46hZs7CJuc"",""2025-26!ao3"")"),0.0)</f>
        <v>0</v>
      </c>
      <c r="CL205" s="59" t="str">
        <f t="shared" si="66"/>
        <v/>
      </c>
      <c r="CM205" s="55">
        <f>IFERROR(__xludf.DUMMYFUNCTION("importrange(""1xSvPZfXvMICHiNx5twnhUe07KjqWf-qD_46hZs7CJuc"",""2025-26!ap4"")"),0.0)</f>
        <v>0</v>
      </c>
      <c r="CN205" s="55">
        <f>IFERROR(__xludf.DUMMYFUNCTION("importrange(""1xSvPZfXvMICHiNx5twnhUe07KjqWf-qD_46hZs7CJuc"",""2025-26!ap3"")"),0.0)</f>
        <v>0</v>
      </c>
      <c r="CO205" s="55">
        <f>IFERROR(__xludf.DUMMYFUNCTION("importrange(""1xSvPZfXvMICHiNx5twnhUe07KjqWf-qD_46hZs7CJuc"",""2025-26!aq4"")"),0.0)</f>
        <v>0</v>
      </c>
      <c r="CP205" s="55">
        <f>IFERROR(__xludf.DUMMYFUNCTION("importrange(""1xSvPZfXvMICHiNx5twnhUe07KjqWf-qD_46hZs7CJuc"",""2025-26!aq3"")"),0.0)</f>
        <v>0</v>
      </c>
      <c r="CQ205" s="55">
        <f>IFERROR(__xludf.DUMMYFUNCTION("importrange(""1xSvPZfXvMICHiNx5twnhUe07KjqWf-qD_46hZs7CJuc"",""2025-26!ar4"")"),0.0)</f>
        <v>0</v>
      </c>
      <c r="CR205" s="55">
        <f>IFERROR(__xludf.DUMMYFUNCTION("importrange(""1xSvPZfXvMICHiNx5twnhUe07KjqWf-qD_46hZs7CJuc"",""2025-26!ar3"")"),0.0)</f>
        <v>0</v>
      </c>
      <c r="CS205" s="59" t="str">
        <f t="shared" si="67"/>
        <v/>
      </c>
      <c r="CT205" s="55">
        <f>IFERROR(__xludf.DUMMYFUNCTION("importrange(""1xSvPZfXvMICHiNx5twnhUe07KjqWf-qD_46hZs7CJuc"",""2025-26!as4"")"),0.0)</f>
        <v>0</v>
      </c>
      <c r="CU205" s="55">
        <f>IFERROR(__xludf.DUMMYFUNCTION("importrange(""1xSvPZfXvMICHiNx5twnhUe07KjqWf-qD_46hZs7CJuc"",""2025-26!as3"")"),0.0)</f>
        <v>0</v>
      </c>
      <c r="CV205" s="60" t="s">
        <v>196</v>
      </c>
    </row>
    <row r="206">
      <c r="A206" s="133" t="s">
        <v>185</v>
      </c>
      <c r="B206" s="134" t="s">
        <v>185</v>
      </c>
      <c r="C206" s="136" t="s">
        <v>414</v>
      </c>
      <c r="D206" s="50" t="s">
        <v>415</v>
      </c>
      <c r="E206" s="50">
        <v>9.679348741E9</v>
      </c>
      <c r="F206" s="74">
        <v>45148.0</v>
      </c>
      <c r="G206" s="62"/>
      <c r="H206" s="62"/>
      <c r="I206" s="53">
        <v>24425.0</v>
      </c>
      <c r="J206" s="54">
        <v>1733333.0</v>
      </c>
      <c r="K206" s="57">
        <f>IFERROR(__xludf.DUMMYFUNCTION("IMPORTRANGE(""https://docs.google.com/spreadsheets/d/1BQE1z8Wbo5oxG2TFYmJvlqzjy76XHVZPSNlrebDw0Ps/edit#gid=187761907"",""2025-26!A3"")"),100.0)</f>
        <v>100</v>
      </c>
      <c r="L206" s="57">
        <f>IFERROR(__xludf.DUMMYFUNCTION("IMPORTRANGE(""https://docs.google.com/spreadsheets/d/1BQE1z8Wbo5oxG2TFYmJvlqzjy76XHVZPSNlrebDw0Ps/edit#gid=187761907"",""2025-26!G4"")"),2.58E7)</f>
        <v>25800000</v>
      </c>
      <c r="M206" s="57">
        <f t="shared" si="87"/>
        <v>9834470.96</v>
      </c>
      <c r="N206" s="56">
        <f t="shared" si="88"/>
        <v>0.4093945349</v>
      </c>
      <c r="O206" s="57">
        <f t="shared" si="89"/>
        <v>10562379</v>
      </c>
      <c r="P206" s="55">
        <f>IFERROR(__xludf.DUMMYFUNCTION("IMPORTRANGE(""https://docs.google.com/spreadsheets/d/1BQE1z8Wbo5oxG2TFYmJvlqzjy76XHVZPSNlrebDw0Ps/edit#gid=187761907"",""2025-26!J4"")"),2057833.0)</f>
        <v>2057833</v>
      </c>
      <c r="Q206" s="55">
        <f>IFERROR(__xludf.DUMMYFUNCTION("IMPORTRANGE(""https://docs.google.com/spreadsheets/d/1BQE1z8Wbo5oxG2TFYmJvlqzjy76XHVZPSNlrebDw0Ps/edit#gid=187761907"",""2025-26!J3"")"),84.0)</f>
        <v>84</v>
      </c>
      <c r="R206" s="55">
        <f>IFERROR(__xludf.DUMMYFUNCTION("IMPORTRANGE(""https://docs.google.com/spreadsheets/d/1BQE1z8Wbo5oxG2TFYmJvlqzjy76XHVZPSNlrebDw0Ps/edit#gid=187761907"",""2025-26!K4"")"),609851.4)</f>
        <v>609851.4</v>
      </c>
      <c r="S206" s="55">
        <f>IFERROR(__xludf.DUMMYFUNCTION("IMPORTRANGE(""https://docs.google.com/spreadsheets/d/1BQE1z8Wbo5oxG2TFYmJvlqzjy76XHVZPSNlrebDw0Ps/edit#gid=187761907"",""2025-26!K3"")"),12.0)</f>
        <v>12</v>
      </c>
      <c r="T206" s="58">
        <f t="shared" si="56"/>
        <v>0.21117943</v>
      </c>
      <c r="U206" s="55">
        <f>IFERROR(__xludf.DUMMYFUNCTION("IMPORTRANGE(""https://docs.google.com/spreadsheets/d/1BQE1z8Wbo5oxG2TFYmJvlqzjy76XHVZPSNlrebDw0Ps/edit#gid=187761907"",""2025-26!L4"")"),434572.0)</f>
        <v>434572</v>
      </c>
      <c r="V206" s="79">
        <f>IFERROR(__xludf.DUMMYFUNCTION("IMPORTRANGE(""https://docs.google.com/spreadsheets/d/1BQE1z8Wbo5oxG2TFYmJvlqzjy76XHVZPSNlrebDw0Ps/edit#gid=187761907"",""2025-26!L3"")"),18.0)</f>
        <v>18</v>
      </c>
      <c r="W206" s="55">
        <f>IFERROR(__xludf.DUMMYFUNCTION("IMPORTRANGE(""https://docs.google.com/spreadsheets/d/1BQE1z8Wbo5oxG2TFYmJvlqzjy76XHVZPSNlrebDw0Ps/edit#gid=187761907"",""2025-26!M4"")"),2057833.0)</f>
        <v>2057833</v>
      </c>
      <c r="X206" s="79">
        <f>IFERROR(__xludf.DUMMYFUNCTION("IMPORTRANGE(""https://docs.google.com/spreadsheets/d/1BQE1z8Wbo5oxG2TFYmJvlqzjy76XHVZPSNlrebDw0Ps/edit#gid=187761907"",""2025-26!M3"")"),84.0)</f>
        <v>84</v>
      </c>
      <c r="Y206" s="55">
        <f>IFERROR(__xludf.DUMMYFUNCTION("importrange(""https://docs.google.com/spreadsheets/d/1BQE1z8Wbo5oxG2TFYmJvlqzjy76XHVZPSNlrebDw0Ps/edit#gid=187761907"",""2025-26!n4"")"),1117283.5)</f>
        <v>1117283.5</v>
      </c>
      <c r="Z206" s="55">
        <f>IFERROR(__xludf.DUMMYFUNCTION("importrange(""https://docs.google.com/spreadsheets/d/1BQE1z8Wbo5oxG2TFYmJvlqzjy76XHVZPSNlrebDw0Ps/edit#gid=187761907"",""2025-26!n3"")"),26.0)</f>
        <v>26</v>
      </c>
      <c r="AA206" s="58">
        <f t="shared" si="57"/>
        <v>0.6651326906</v>
      </c>
      <c r="AB206" s="55">
        <f>IFERROR(__xludf.DUMMYFUNCTION("importrange(""https://docs.google.com/spreadsheets/d/1BQE1z8Wbo5oxG2TFYmJvlqzjy76XHVZPSNlrebDw0Ps/edit#gid=187761907"",""2025-26!o4"")"),1368732.0)</f>
        <v>1368732</v>
      </c>
      <c r="AC206" s="55">
        <f>IFERROR(__xludf.DUMMYFUNCTION("importrange(""https://docs.google.com/spreadsheets/d/1BQE1z8Wbo5oxG2TFYmJvlqzjy76XHVZPSNlrebDw0Ps/edit#gid=187761907"",""2025-26!o3"")"),32.0)</f>
        <v>32</v>
      </c>
      <c r="AD206" s="55">
        <f>IFERROR(__xludf.DUMMYFUNCTION("importrange(""https://docs.google.com/spreadsheets/d/1BQE1z8Wbo5oxG2TFYmJvlqzjy76XHVZPSNlrebDw0Ps/edit#gid=187761907"",""2025-26!p4"")"),2057833.0)</f>
        <v>2057833</v>
      </c>
      <c r="AE206" s="55">
        <f>IFERROR(__xludf.DUMMYFUNCTION("importrange(""https://docs.google.com/spreadsheets/d/1BQE1z8Wbo5oxG2TFYmJvlqzjy76XHVZPSNlrebDw0Ps/edit#gid=187761907"",""2025-26!p3"")"),84.0)</f>
        <v>84</v>
      </c>
      <c r="AF206" s="55">
        <f>IFERROR(__xludf.DUMMYFUNCTION("importrange(""https://docs.google.com/spreadsheets/d/1BQE1z8Wbo5oxG2TFYmJvlqzjy76XHVZPSNlrebDw0Ps/edit#gid=187761907"",""2025-26!q4"")"),2011217.2000000002)</f>
        <v>2011217.2</v>
      </c>
      <c r="AG206" s="55">
        <f>IFERROR(__xludf.DUMMYFUNCTION("importrange(""https://docs.google.com/spreadsheets/d/1BQE1z8Wbo5oxG2TFYmJvlqzjy76XHVZPSNlrebDw0Ps/edit#gid=187761907"",""2025-26!q3"")"),34.0)</f>
        <v>34</v>
      </c>
      <c r="AH206" s="58">
        <f t="shared" si="58"/>
        <v>0.539359122</v>
      </c>
      <c r="AI206" s="55">
        <f>IFERROR(__xludf.DUMMYFUNCTION("importrange(""https://docs.google.com/spreadsheets/d/1BQE1z8Wbo5oxG2TFYmJvlqzjy76XHVZPSNlrebDw0Ps/edit#gid=187761907"",""2025-26!r4"")"),1109911.0)</f>
        <v>1109911</v>
      </c>
      <c r="AJ206" s="55">
        <f>IFERROR(__xludf.DUMMYFUNCTION("importrange(""https://docs.google.com/spreadsheets/d/1BQE1z8Wbo5oxG2TFYmJvlqzjy76XHVZPSNlrebDw0Ps/edit#gid=187761907"",""2025-26!r3"")"),11.0)</f>
        <v>11</v>
      </c>
      <c r="AK206" s="55">
        <f>IFERROR(__xludf.DUMMYFUNCTION("importrange(""https://docs.google.com/spreadsheets/d/1BQE1z8Wbo5oxG2TFYmJvlqzjy76XHVZPSNlrebDw0Ps/edit#gid=187761907"",""2025-26!s4"")"),2057833.0)</f>
        <v>2057833</v>
      </c>
      <c r="AL206" s="55">
        <f>IFERROR(__xludf.DUMMYFUNCTION("importrange(""https://docs.google.com/spreadsheets/d/1BQE1z8Wbo5oxG2TFYmJvlqzjy76XHVZPSNlrebDw0Ps/edit#gid=187761907"",""2025-26!s3"")"),84.0)</f>
        <v>84</v>
      </c>
      <c r="AM206" s="57">
        <f>IFERROR(__xludf.DUMMYFUNCTION("importrange(""https://docs.google.com/spreadsheets/d/1BQE1z8Wbo5oxG2TFYmJvlqzjy76XHVZPSNlrebDw0Ps/edit#gid=187761907"",""2025-26!t4"")"),1060032.06)</f>
        <v>1060032.06</v>
      </c>
      <c r="AN206" s="55">
        <f>IFERROR(__xludf.DUMMYFUNCTION("importrange(""https://docs.google.com/spreadsheets/d/1BQE1z8Wbo5oxG2TFYmJvlqzjy76XHVZPSNlrebDw0Ps/edit#gid=187761907"",""2025-26!t3"")"),13.0)</f>
        <v>13</v>
      </c>
      <c r="AO206" s="58">
        <f t="shared" si="59"/>
        <v>0.607499248</v>
      </c>
      <c r="AP206" s="55">
        <f>IFERROR(__xludf.DUMMYFUNCTION("importrange(""https://docs.google.com/spreadsheets/d/1BQE1z8Wbo5oxG2TFYmJvlqzjy76XHVZPSNlrebDw0Ps/edit#gid=187761907"",""2025-26!u4"")"),1250132.0)</f>
        <v>1250132</v>
      </c>
      <c r="AQ206" s="55">
        <f>IFERROR(__xludf.DUMMYFUNCTION("importrange(""https://docs.google.com/spreadsheets/d/1BQE1z8Wbo5oxG2TFYmJvlqzjy76XHVZPSNlrebDw0Ps/edit#gid=187761907"",""2025-26!u3"")"),18.0)</f>
        <v>18</v>
      </c>
      <c r="AR206" s="55">
        <f>IFERROR(__xludf.DUMMYFUNCTION("importrange(""https://docs.google.com/spreadsheets/d/1BQE1z8Wbo5oxG2TFYmJvlqzjy76XHVZPSNlrebDw0Ps/edit#gid=187761907"",""2025-26!v4"")"),2057833.0)</f>
        <v>2057833</v>
      </c>
      <c r="AS206" s="55">
        <f>IFERROR(__xludf.DUMMYFUNCTION("importrange(""https://docs.google.com/spreadsheets/d/1BQE1z8Wbo5oxG2TFYmJvlqzjy76XHVZPSNlrebDw0Ps/edit#gid=187761907"",""2025-26!v3"")"),84.0)</f>
        <v>84</v>
      </c>
      <c r="AT206" s="57">
        <f>IFERROR(__xludf.DUMMYFUNCTION("importrange(""https://docs.google.com/spreadsheets/d/1BQE1z8Wbo5oxG2TFYmJvlqzjy76XHVZPSNlrebDw0Ps/edit#gid=187761907"",""2025-26!w4"")"),1030368.3400000001)</f>
        <v>1030368.34</v>
      </c>
      <c r="AU206" s="55">
        <f>IFERROR(__xludf.DUMMYFUNCTION("importrange(""https://docs.google.com/spreadsheets/d/1BQE1z8Wbo5oxG2TFYmJvlqzjy76XHVZPSNlrebDw0Ps/edit#gid=187761907"",""2025-26!w3"")"),19.0)</f>
        <v>19</v>
      </c>
      <c r="AV206" s="58">
        <f t="shared" si="60"/>
        <v>0.545480124</v>
      </c>
      <c r="AW206" s="55">
        <f>IFERROR(__xludf.DUMMYFUNCTION("importrange(""https://docs.google.com/spreadsheets/d/1BQE1z8Wbo5oxG2TFYmJvlqzjy76XHVZPSNlrebDw0Ps/edit#gid=187761907"",""2025-26!x4"")"),1122507.0)</f>
        <v>1122507</v>
      </c>
      <c r="AX206" s="55">
        <f>IFERROR(__xludf.DUMMYFUNCTION("importrange(""https://docs.google.com/spreadsheets/d/1BQE1z8Wbo5oxG2TFYmJvlqzjy76XHVZPSNlrebDw0Ps/edit#gid=187761907"",""2025-26!x3"")"),24.0)</f>
        <v>24</v>
      </c>
      <c r="AY206" s="55">
        <f>IFERROR(__xludf.DUMMYFUNCTION("importrange(""https://docs.google.com/spreadsheets/d/1BQE1z8Wbo5oxG2TFYmJvlqzjy76XHVZPSNlrebDw0Ps/edit#gid=187761907"",""2025-26!y4"")"),2035333.0)</f>
        <v>2035333</v>
      </c>
      <c r="AZ206" s="55">
        <f>IFERROR(__xludf.DUMMYFUNCTION("importrange(""https://docs.google.com/spreadsheets/d/1BQE1z8Wbo5oxG2TFYmJvlqzjy76XHVZPSNlrebDw0Ps/edit#gid=187761907"",""2025-26!y3"")"),84.0)</f>
        <v>84</v>
      </c>
      <c r="BA206" s="57">
        <f>IFERROR(__xludf.DUMMYFUNCTION("importrange(""https://docs.google.com/spreadsheets/d/1BQE1z8Wbo5oxG2TFYmJvlqzjy76XHVZPSNlrebDw0Ps/edit#gid=187761907"",""2025-26!z4"")"),1119204.49)</f>
        <v>1119204.49</v>
      </c>
      <c r="BB206" s="55">
        <f>IFERROR(__xludf.DUMMYFUNCTION("importrange(""https://docs.google.com/spreadsheets/d/1BQE1z8Wbo5oxG2TFYmJvlqzjy76XHVZPSNlrebDw0Ps/edit#gid=187761907"",""2025-26!z3"")"),21.0)</f>
        <v>21</v>
      </c>
      <c r="BC206" s="59">
        <f t="shared" si="61"/>
        <v>0.6581832064</v>
      </c>
      <c r="BD206" s="55">
        <f>IFERROR(__xludf.DUMMYFUNCTION("importrange(""https://docs.google.com/spreadsheets/d/1BQE1z8Wbo5oxG2TFYmJvlqzjy76XHVZPSNlrebDw0Ps/edit#gid=187761907"",""2025-26!aa4"")"),1339622.0)</f>
        <v>1339622</v>
      </c>
      <c r="BE206" s="55">
        <f>IFERROR(__xludf.DUMMYFUNCTION("importrange(""https://docs.google.com/spreadsheets/d/1BQE1z8Wbo5oxG2TFYmJvlqzjy76XHVZPSNlrebDw0Ps/edit#gid=187761907"",""2025-26!aa3"")"),18.0)</f>
        <v>18</v>
      </c>
      <c r="BF206" s="55">
        <f>IFERROR(__xludf.DUMMYFUNCTION("importrange(""https://docs.google.com/spreadsheets/d/1BQE1z8Wbo5oxG2TFYmJvlqzjy76XHVZPSNlrebDw0Ps/edit#gid=187761907"",""2025-26!ab4"")"),2035333.0)</f>
        <v>2035333</v>
      </c>
      <c r="BG206" s="55">
        <f>IFERROR(__xludf.DUMMYFUNCTION("importrange(""https://docs.google.com/spreadsheets/d/1BQE1z8Wbo5oxG2TFYmJvlqzjy76XHVZPSNlrebDw0Ps/edit#gid=187761907"",""2025-26!ab3"")"),84.0)</f>
        <v>84</v>
      </c>
      <c r="BH206" s="55">
        <f>IFERROR(__xludf.DUMMYFUNCTION("importrange(""https://docs.google.com/spreadsheets/d/1BQE1z8Wbo5oxG2TFYmJvlqzjy76XHVZPSNlrebDw0Ps/edit#gid=187761907"",""2025-26!ac4"")"),1039723.0199999999)</f>
        <v>1039723.02</v>
      </c>
      <c r="BI206" s="55">
        <f>IFERROR(__xludf.DUMMYFUNCTION("importrange(""https://docs.google.com/spreadsheets/d/1BQE1z8Wbo5oxG2TFYmJvlqzjy76XHVZPSNlrebDw0Ps/edit#gid=187761907"",""2025-26!ac3"")"),23.0)</f>
        <v>23</v>
      </c>
      <c r="BJ206" s="59">
        <f t="shared" si="62"/>
        <v>0.4194257156</v>
      </c>
      <c r="BK206" s="55">
        <f>IFERROR(__xludf.DUMMYFUNCTION("importrange(""https://docs.google.com/spreadsheets/d/1BQE1z8Wbo5oxG2TFYmJvlqzjy76XHVZPSNlrebDw0Ps/edit#gid=187761907"",""2025-26!ad4"")"),853671.0)</f>
        <v>853671</v>
      </c>
      <c r="BL206" s="55">
        <f>IFERROR(__xludf.DUMMYFUNCTION("importrange(""https://docs.google.com/spreadsheets/d/1BQE1z8Wbo5oxG2TFYmJvlqzjy76XHVZPSNlrebDw0Ps/edit#gid=187761907"",""2025-26!ad3"")"),17.0)</f>
        <v>17</v>
      </c>
      <c r="BM206" s="55">
        <f>IFERROR(__xludf.DUMMYFUNCTION("importrange(""https://docs.google.com/spreadsheets/d/1BQE1z8Wbo5oxG2TFYmJvlqzjy76XHVZPSNlrebDw0Ps/edit#gid=187761907"",""2025-26!ae4"")"),2035333.0)</f>
        <v>2035333</v>
      </c>
      <c r="BN206" s="55">
        <f>IFERROR(__xludf.DUMMYFUNCTION("importrange(""https://docs.google.com/spreadsheets/d/1BQE1z8Wbo5oxG2TFYmJvlqzjy76XHVZPSNlrebDw0Ps/edit#gid=187761907"",""2025-26!ae3"")"),84.0)</f>
        <v>84</v>
      </c>
      <c r="BO206" s="55">
        <f>IFERROR(__xludf.DUMMYFUNCTION("importrange(""https://docs.google.com/spreadsheets/d/1BQE1z8Wbo5oxG2TFYmJvlqzjy76XHVZPSNlrebDw0Ps/edit#gid=187761907"",""2025-26!af4"")"),901387.5700000001)</f>
        <v>901387.57</v>
      </c>
      <c r="BP206" s="55">
        <f>IFERROR(__xludf.DUMMYFUNCTION("importrange(""https://docs.google.com/spreadsheets/d/1BQE1z8Wbo5oxG2TFYmJvlqzjy76XHVZPSNlrebDw0Ps/edit#gid=187761907"",""2025-26!af3"")"),19.0)</f>
        <v>19</v>
      </c>
      <c r="BQ206" s="59">
        <f t="shared" si="63"/>
        <v>0.4617799643</v>
      </c>
      <c r="BR206" s="55">
        <f>IFERROR(__xludf.DUMMYFUNCTION("importrange(""https://docs.google.com/spreadsheets/d/1BQE1z8Wbo5oxG2TFYmJvlqzjy76XHVZPSNlrebDw0Ps/edit#gid=187761907"",""2025-26!ag4"")"),939876.0)</f>
        <v>939876</v>
      </c>
      <c r="BS206" s="55">
        <f>IFERROR(__xludf.DUMMYFUNCTION("importrange(""https://docs.google.com/spreadsheets/d/1BQE1z8Wbo5oxG2TFYmJvlqzjy76XHVZPSNlrebDw0Ps/edit#gid=187761907"",""2025-26!ag3"")"),14.0)</f>
        <v>14</v>
      </c>
      <c r="BT206" s="55">
        <f>IFERROR(__xludf.DUMMYFUNCTION("importrange(""https://docs.google.com/spreadsheets/d/1BQE1z8Wbo5oxG2TFYmJvlqzjy76XHVZPSNlrebDw0Ps/edit#gid=187761907"",""2025-26!ah4"")"),2035333.0)</f>
        <v>2035333</v>
      </c>
      <c r="BU206" s="55">
        <f>IFERROR(__xludf.DUMMYFUNCTION("importrange(""https://docs.google.com/spreadsheets/d/1BQE1z8Wbo5oxG2TFYmJvlqzjy76XHVZPSNlrebDw0Ps/edit#gid=187761907"",""2025-26!ah3"")"),84.0)</f>
        <v>84</v>
      </c>
      <c r="BV206" s="55">
        <f>IFERROR(__xludf.DUMMYFUNCTION("importrange(""https://docs.google.com/spreadsheets/d/1BQE1z8Wbo5oxG2TFYmJvlqzjy76XHVZPSNlrebDw0Ps/edit#gid=187761907"",""2025-26!ai4"")"),945403.3800000001)</f>
        <v>945403.38</v>
      </c>
      <c r="BW206" s="55">
        <f>IFERROR(__xludf.DUMMYFUNCTION("importrange(""https://docs.google.com/spreadsheets/d/1BQE1z8Wbo5oxG2TFYmJvlqzjy76XHVZPSNlrebDw0Ps/edit#gid=187761907"",""2025-26!ai3"")"),15.0)</f>
        <v>15</v>
      </c>
      <c r="BX206" s="59">
        <f t="shared" si="64"/>
        <v>0.186030001</v>
      </c>
      <c r="BY206" s="55">
        <f>IFERROR(__xludf.DUMMYFUNCTION("importrange(""https://docs.google.com/spreadsheets/d/1BQE1z8Wbo5oxG2TFYmJvlqzjy76XHVZPSNlrebDw0Ps/edit#gid=187761907"",""2025-26!aj4"")"),378633.0)</f>
        <v>378633</v>
      </c>
      <c r="BZ206" s="55">
        <f>IFERROR(__xludf.DUMMYFUNCTION("importrange(""https://docs.google.com/spreadsheets/d/1BQE1z8Wbo5oxG2TFYmJvlqzjy76XHVZPSNlrebDw0Ps/edit#gid=187761907"",""2025-26!aj3"")"),3.0)</f>
        <v>3</v>
      </c>
      <c r="CA206" s="55">
        <f>IFERROR(__xludf.DUMMYFUNCTION("importrange(""https://docs.google.com/spreadsheets/d/1BQE1z8Wbo5oxG2TFYmJvlqzjy76XHVZPSNlrebDw0Ps/edit#gid=187761907"",""2025-26!ak4"")"),2057833.0)</f>
        <v>2057833</v>
      </c>
      <c r="CB206" s="55">
        <f>IFERROR(__xludf.DUMMYFUNCTION("importrange(""https://docs.google.com/spreadsheets/d/1BQE1z8Wbo5oxG2TFYmJvlqzjy76XHVZPSNlrebDw0Ps/edit#gid=187761907"",""2025-26!ak3"")"),84.0)</f>
        <v>84</v>
      </c>
      <c r="CC206" s="55">
        <f>IFERROR(__xludf.DUMMYFUNCTION("importrange(""https://docs.google.com/spreadsheets/d/1BQE1z8Wbo5oxG2TFYmJvlqzjy76XHVZPSNlrebDw0Ps/edit#gid=187761907"",""2025-26!al4"")"),0.0)</f>
        <v>0</v>
      </c>
      <c r="CD206" s="55">
        <f>IFERROR(__xludf.DUMMYFUNCTION("importrange(""https://docs.google.com/spreadsheets/d/1BQE1z8Wbo5oxG2TFYmJvlqzjy76XHVZPSNlrebDw0Ps/edit#gid=187761907"",""2025-26!ai3"")"),15.0)</f>
        <v>15</v>
      </c>
      <c r="CE206" s="59">
        <f t="shared" si="65"/>
        <v>0.4455896081</v>
      </c>
      <c r="CF206" s="55">
        <f>IFERROR(__xludf.DUMMYFUNCTION("importrange(""https://docs.google.com/spreadsheets/d/1BQE1z8Wbo5oxG2TFYmJvlqzjy76XHVZPSNlrebDw0Ps/edit#gid=187761907"",""2025-26!am4"")"),916949.0)</f>
        <v>916949</v>
      </c>
      <c r="CG206" s="55">
        <f>IFERROR(__xludf.DUMMYFUNCTION("importrange(""https://docs.google.com/spreadsheets/d/1BQE1z8Wbo5oxG2TFYmJvlqzjy76XHVZPSNlrebDw0Ps/edit#gid=187761907"",""2025-26!am3"")"),9.0)</f>
        <v>9</v>
      </c>
      <c r="CH206" s="55">
        <f>IFERROR(__xludf.DUMMYFUNCTION("importrange(""https://docs.google.com/spreadsheets/d/1BQE1z8Wbo5oxG2TFYmJvlqzjy76XHVZPSNlrebDw0Ps/edit#gid=187761907"",""2025-26!an4"")"),2365833.0)</f>
        <v>2365833</v>
      </c>
      <c r="CI206" s="55">
        <f>IFERROR(__xludf.DUMMYFUNCTION("importrange(""https://docs.google.com/spreadsheets/d/1BQE1z8Wbo5oxG2TFYmJvlqzjy76XHVZPSNlrebDw0Ps/edit#gid=187761907"",""2025-26!an3"")"),84.0)</f>
        <v>84</v>
      </c>
      <c r="CJ206" s="55">
        <f>IFERROR(__xludf.DUMMYFUNCTION("importrange(""https://docs.google.com/spreadsheets/d/1BQE1z8Wbo5oxG2TFYmJvlqzjy76XHVZPSNlrebDw0Ps/edit#gid=187761907"",""2025-26!ao4"")"),0.0)</f>
        <v>0</v>
      </c>
      <c r="CK206" s="55">
        <f>IFERROR(__xludf.DUMMYFUNCTION("importrange(""https://docs.google.com/spreadsheets/d/1BQE1z8Wbo5oxG2TFYmJvlqzjy76XHVZPSNlrebDw0Ps/edit#gid=187761907"",""2025-26!ao3"")"),0.0)</f>
        <v>0</v>
      </c>
      <c r="CL206" s="59">
        <f t="shared" si="66"/>
        <v>0.214228984</v>
      </c>
      <c r="CM206" s="55">
        <f>IFERROR(__xludf.DUMMYFUNCTION("importrange(""https://docs.google.com/spreadsheets/d/1BQE1z8Wbo5oxG2TFYmJvlqzjy76XHVZPSNlrebDw0Ps/edit#gid=187761907"",""2025-26!ap4"")"),506830.0)</f>
        <v>506830</v>
      </c>
      <c r="CN206" s="55">
        <f>IFERROR(__xludf.DUMMYFUNCTION("importrange(""https://docs.google.com/spreadsheets/d/1BQE1z8Wbo5oxG2TFYmJvlqzjy76XHVZPSNlrebDw0Ps/edit#gid=187761907"",""2025-26!ap3"")"),5.0)</f>
        <v>5</v>
      </c>
      <c r="CO206" s="55">
        <f>IFERROR(__xludf.DUMMYFUNCTION("importrange(""https://docs.google.com/spreadsheets/d/1BQE1z8Wbo5oxG2TFYmJvlqzjy76XHVZPSNlrebDw0Ps/edit#gid=187761907"",""2025-26!aq4"")"),2515833.0)</f>
        <v>2515833</v>
      </c>
      <c r="CP206" s="55">
        <f>IFERROR(__xludf.DUMMYFUNCTION("importrange(""https://docs.google.com/spreadsheets/d/1BQE1z8Wbo5oxG2TFYmJvlqzjy76XHVZPSNlrebDw0Ps/edit#gid=187761907"",""2025-26!aq3"")"),84.0)</f>
        <v>84</v>
      </c>
      <c r="CQ206" s="55">
        <f>IFERROR(__xludf.DUMMYFUNCTION("importrange(""https://docs.google.com/spreadsheets/d/1BQE1z8Wbo5oxG2TFYmJvlqzjy76XHVZPSNlrebDw0Ps/edit#gid=187761907"",""2025-26!ar4"")"),0.0)</f>
        <v>0</v>
      </c>
      <c r="CR206" s="55">
        <f>IFERROR(__xludf.DUMMYFUNCTION("importrange(""https://docs.google.com/spreadsheets/d/1BQE1z8Wbo5oxG2TFYmJvlqzjy76XHVZPSNlrebDw0Ps/edit#gid=187761907"",""2025-26!ar3"")"),0.0)</f>
        <v>0</v>
      </c>
      <c r="CS206" s="59">
        <f t="shared" si="67"/>
        <v>0.135519329</v>
      </c>
      <c r="CT206" s="55">
        <f>IFERROR(__xludf.DUMMYFUNCTION("importrange(""https://docs.google.com/spreadsheets/d/1BQE1z8Wbo5oxG2TFYmJvlqzjy76XHVZPSNlrebDw0Ps/edit#gid=187761907"",""2025-26!as4"")"),340944.0)</f>
        <v>340944</v>
      </c>
      <c r="CU206" s="55">
        <f>IFERROR(__xludf.DUMMYFUNCTION("importrange(""https://docs.google.com/spreadsheets/d/1BQE1z8Wbo5oxG2TFYmJvlqzjy76XHVZPSNlrebDw0Ps/edit#gid=187761907"",""2025-26!as3"")"),6.0)</f>
        <v>6</v>
      </c>
      <c r="CV206" s="60" t="s">
        <v>189</v>
      </c>
    </row>
    <row r="207">
      <c r="A207" s="133" t="s">
        <v>185</v>
      </c>
      <c r="B207" s="134" t="s">
        <v>185</v>
      </c>
      <c r="C207" s="136" t="s">
        <v>416</v>
      </c>
      <c r="D207" s="68" t="s">
        <v>417</v>
      </c>
      <c r="E207" s="50">
        <v>8.789672084E9</v>
      </c>
      <c r="F207" s="78">
        <v>45488.0</v>
      </c>
      <c r="G207" s="62"/>
      <c r="H207" s="62"/>
      <c r="I207" s="53">
        <v>30950.0</v>
      </c>
      <c r="J207" s="54">
        <v>1500000.0</v>
      </c>
      <c r="K207" s="57">
        <f>IFERROR(__xludf.DUMMYFUNCTION("IMPORTRANGE(""https://docs.google.com/spreadsheets/d/1_LqJP6DheLf1agwgcZJ0Mg7h0JptwOFu1VXpP7VjbMA/edit?gid=1996990278#gid=1996990278"",""2025-26!A3"")"),59.0)</f>
        <v>59</v>
      </c>
      <c r="L207" s="57">
        <f>IFERROR(__xludf.DUMMYFUNCTION("IMPORTRANGE(""https://docs.google.com/spreadsheets/d/1_LqJP6DheLf1agwgcZJ0Mg7h0JptwOFu1VXpP7VjbMA/edit?gid=1996990278#gid=1996990278"",""2025-26!G4"")"),9527363.8)</f>
        <v>9527363.8</v>
      </c>
      <c r="M207" s="57">
        <f t="shared" si="87"/>
        <v>4884663.1</v>
      </c>
      <c r="N207" s="56">
        <f t="shared" si="88"/>
        <v>0.5125726195</v>
      </c>
      <c r="O207" s="57">
        <f t="shared" si="89"/>
        <v>4883465.82</v>
      </c>
      <c r="P207" s="55">
        <f>IFERROR(__xludf.DUMMYFUNCTION("IMPORTRANGE(""https://docs.google.com/spreadsheets/d/1_LqJP6DheLf1agwgcZJ0Mg7h0JptwOFu1VXpP7VjbMA/edit?gid=1996990278#gid=1996990278"",""2025-26!J4"")"),793946.79)</f>
        <v>793946.79</v>
      </c>
      <c r="Q207" s="55">
        <f>IFERROR(__xludf.DUMMYFUNCTION("IMPORTRANGE(""https://docs.google.com/spreadsheets/d/1_LqJP6DheLf1agwgcZJ0Mg7h0JptwOFu1VXpP7VjbMA/edit?gid=1996990278#gid=1996990278"",""2025-26!J3"")"),38.0)</f>
        <v>38</v>
      </c>
      <c r="R207" s="55">
        <f>IFERROR(__xludf.DUMMYFUNCTION("IMPORTRANGE(""https://docs.google.com/spreadsheets/d/1_LqJP6DheLf1agwgcZJ0Mg7h0JptwOFu1VXpP7VjbMA/edit?gid=1996990278#gid=1996990278"",""2025-26!K4"")"),223428.7)</f>
        <v>223428.7</v>
      </c>
      <c r="S207" s="55">
        <f>IFERROR(__xludf.DUMMYFUNCTION("IMPORTRANGE(""https://docs.google.com/spreadsheets/d/1_LqJP6DheLf1agwgcZJ0Mg7h0JptwOFu1VXpP7VjbMA/edit?gid=1996990278#gid=1996990278"",""2025-26!K3"")"),4.0)</f>
        <v>4</v>
      </c>
      <c r="T207" s="58">
        <f t="shared" si="56"/>
        <v>0.7277229372</v>
      </c>
      <c r="U207" s="55">
        <f>IFERROR(__xludf.DUMMYFUNCTION("IMPORTRANGE(""https://docs.google.com/spreadsheets/d/1_LqJP6DheLf1agwgcZJ0Mg7h0JptwOFu1VXpP7VjbMA/edit?gid=1996990278#gid=1996990278"",""2025-26!L4"")"),577773.29)</f>
        <v>577773.29</v>
      </c>
      <c r="V207" s="79">
        <f>IFERROR(__xludf.DUMMYFUNCTION("IMPORTRANGE(""https://docs.google.com/spreadsheets/d/1_LqJP6DheLf1agwgcZJ0Mg7h0JptwOFu1VXpP7VjbMA/edit?gid=1996990278#gid=1996990278"",""2025-26!L3"")"),16.0)</f>
        <v>16</v>
      </c>
      <c r="W207" s="55">
        <f>IFERROR(__xludf.DUMMYFUNCTION("IMPORTRANGE(""https://docs.google.com/spreadsheets/d/1_LqJP6DheLf1agwgcZJ0Mg7h0JptwOFu1VXpP7VjbMA/edit?gid=1996990278#gid=1996990278"",""2025-26!M4"")"),793946.79)</f>
        <v>793946.79</v>
      </c>
      <c r="X207" s="79">
        <f>IFERROR(__xludf.DUMMYFUNCTION("IMPORTRANGE(""https://docs.google.com/spreadsheets/d/1_LqJP6DheLf1agwgcZJ0Mg7h0JptwOFu1VXpP7VjbMA/edit?gid=1996990278#gid=1996990278"",""2025-26!M3"")"),38.0)</f>
        <v>38</v>
      </c>
      <c r="Y207" s="55">
        <f>IFERROR(__xludf.DUMMYFUNCTION("importrange(""https://docs.google.com/spreadsheets/d/1_LqJP6DheLf1agwgcZJ0Mg7h0JptwOFu1VXpP7VjbMA/edit?gid=1996990278#gid=1996990278"",""2025-26!n4"")"),180786.13)</f>
        <v>180786.13</v>
      </c>
      <c r="Z207" s="55">
        <f>IFERROR(__xludf.DUMMYFUNCTION("importrange(""https://docs.google.com/spreadsheets/d/1_LqJP6DheLf1agwgcZJ0Mg7h0JptwOFu1VXpP7VjbMA/edit?gid=1996990278#gid=1996990278"",""2025-26!n3"")"),3.0)</f>
        <v>3</v>
      </c>
      <c r="AA207" s="58">
        <f t="shared" si="57"/>
        <v>0.9411503887</v>
      </c>
      <c r="AB207" s="55">
        <f>IFERROR(__xludf.DUMMYFUNCTION("importrange(""https://docs.google.com/spreadsheets/d/1_LqJP6DheLf1agwgcZJ0Mg7h0JptwOFu1VXpP7VjbMA/edit?gid=1996990278#gid=1996990278"",""2025-26!o4"")"),747223.33)</f>
        <v>747223.33</v>
      </c>
      <c r="AC207" s="55">
        <f>IFERROR(__xludf.DUMMYFUNCTION("importrange(""https://docs.google.com/spreadsheets/d/1_LqJP6DheLf1agwgcZJ0Mg7h0JptwOFu1VXpP7VjbMA/edit?gid=1996990278#gid=1996990278"",""2025-26!o3"")"),23.0)</f>
        <v>23</v>
      </c>
      <c r="AD207" s="55">
        <f>IFERROR(__xludf.DUMMYFUNCTION("importrange(""https://docs.google.com/spreadsheets/d/1_LqJP6DheLf1agwgcZJ0Mg7h0JptwOFu1VXpP7VjbMA/edit?gid=1996990278#gid=1996990278"",""2025-26!p4"")"),793946.79)</f>
        <v>793946.79</v>
      </c>
      <c r="AE207" s="55">
        <f>IFERROR(__xludf.DUMMYFUNCTION("importrange(""https://docs.google.com/spreadsheets/d/1_LqJP6DheLf1agwgcZJ0Mg7h0JptwOFu1VXpP7VjbMA/edit?gid=1996990278#gid=1996990278"",""2025-26!p3"")"),38.0)</f>
        <v>38</v>
      </c>
      <c r="AF207" s="55">
        <f>IFERROR(__xludf.DUMMYFUNCTION("importrange(""https://docs.google.com/spreadsheets/d/1_LqJP6DheLf1agwgcZJ0Mg7h0JptwOFu1VXpP7VjbMA/edit?gid=1996990278#gid=1996990278"",""2025-26!q4"")"),807223.3)</f>
        <v>807223.3</v>
      </c>
      <c r="AG207" s="55">
        <f>IFERROR(__xludf.DUMMYFUNCTION("importrange(""https://docs.google.com/spreadsheets/d/1_LqJP6DheLf1agwgcZJ0Mg7h0JptwOFu1VXpP7VjbMA/edit?gid=1996990278#gid=1996990278"",""2025-26!q3"")"),14.0)</f>
        <v>14</v>
      </c>
      <c r="AH207" s="58">
        <f t="shared" si="58"/>
        <v>1.259635913</v>
      </c>
      <c r="AI207" s="55">
        <f>IFERROR(__xludf.DUMMYFUNCTION("importrange(""https://docs.google.com/spreadsheets/d/1_LqJP6DheLf1agwgcZJ0Mg7h0JptwOFu1VXpP7VjbMA/edit?gid=1996990278#gid=1996990278"",""2025-26!r4"")"),1000083.8900000001)</f>
        <v>1000083.89</v>
      </c>
      <c r="AJ207" s="55">
        <f>IFERROR(__xludf.DUMMYFUNCTION("importrange(""https://docs.google.com/spreadsheets/d/1_LqJP6DheLf1agwgcZJ0Mg7h0JptwOFu1VXpP7VjbMA/edit?gid=1996990278#gid=1996990278"",""2025-26!r3"")"),14.0)</f>
        <v>14</v>
      </c>
      <c r="AK207" s="55">
        <f>IFERROR(__xludf.DUMMYFUNCTION("importrange(""https://docs.google.com/spreadsheets/d/1_LqJP6DheLf1agwgcZJ0Mg7h0JptwOFu1VXpP7VjbMA/edit?gid=1996990278#gid=1996990278"",""2025-26!s4"")"),793946.79)</f>
        <v>793946.79</v>
      </c>
      <c r="AL207" s="55">
        <f>IFERROR(__xludf.DUMMYFUNCTION("importrange(""https://docs.google.com/spreadsheets/d/1_LqJP6DheLf1agwgcZJ0Mg7h0JptwOFu1VXpP7VjbMA/edit?gid=1996990278#gid=1996990278"",""2025-26!s3"")"),38.0)</f>
        <v>38</v>
      </c>
      <c r="AM207" s="57">
        <f>IFERROR(__xludf.DUMMYFUNCTION("importrange(""https://docs.google.com/spreadsheets/d/1_LqJP6DheLf1agwgcZJ0Mg7h0JptwOFu1VXpP7VjbMA/edit?gid=1996990278#gid=1996990278"",""2025-26!t4"")"),1232915.88)</f>
        <v>1232915.88</v>
      </c>
      <c r="AN207" s="55">
        <f>IFERROR(__xludf.DUMMYFUNCTION("importrange(""https://docs.google.com/spreadsheets/d/1_LqJP6DheLf1agwgcZJ0Mg7h0JptwOFu1VXpP7VjbMA/edit?gid=1996990278#gid=1996990278"",""2025-26!t3"")"),24.0)</f>
        <v>24</v>
      </c>
      <c r="AO207" s="58">
        <f t="shared" si="59"/>
        <v>1.537864131</v>
      </c>
      <c r="AP207" s="55">
        <f>IFERROR(__xludf.DUMMYFUNCTION("importrange(""https://docs.google.com/spreadsheets/d/1_LqJP6DheLf1agwgcZJ0Mg7h0JptwOFu1VXpP7VjbMA/edit?gid=1996990278#gid=1996990278"",""2025-26!u4"")"),1220982.2899999996)</f>
        <v>1220982.29</v>
      </c>
      <c r="AQ207" s="55">
        <f>IFERROR(__xludf.DUMMYFUNCTION("importrange(""https://docs.google.com/spreadsheets/d/1_LqJP6DheLf1agwgcZJ0Mg7h0JptwOFu1VXpP7VjbMA/edit?gid=1996990278#gid=1996990278"",""2025-26!u3"")"),24.0)</f>
        <v>24</v>
      </c>
      <c r="AR207" s="55">
        <f>IFERROR(__xludf.DUMMYFUNCTION("importrange(""https://docs.google.com/spreadsheets/d/1_LqJP6DheLf1agwgcZJ0Mg7h0JptwOFu1VXpP7VjbMA/edit?gid=1996990278#gid=1996990278"",""2025-26!v4"")"),793946.79)</f>
        <v>793946.79</v>
      </c>
      <c r="AS207" s="55">
        <f>IFERROR(__xludf.DUMMYFUNCTION("importrange(""https://docs.google.com/spreadsheets/d/1_LqJP6DheLf1agwgcZJ0Mg7h0JptwOFu1VXpP7VjbMA/edit?gid=1996990278#gid=1996990278"",""2025-26!v3"")"),38.0)</f>
        <v>38</v>
      </c>
      <c r="AT207" s="57">
        <f>IFERROR(__xludf.DUMMYFUNCTION("importrange(""https://docs.google.com/spreadsheets/d/1_LqJP6DheLf1agwgcZJ0Mg7h0JptwOFu1VXpP7VjbMA/edit?gid=1996990278#gid=1996990278"",""2025-26!w4"")"),108748.38)</f>
        <v>108748.38</v>
      </c>
      <c r="AU207" s="55">
        <f>IFERROR(__xludf.DUMMYFUNCTION("importrange(""https://docs.google.com/spreadsheets/d/1_LqJP6DheLf1agwgcZJ0Mg7h0JptwOFu1VXpP7VjbMA/edit?gid=1996990278#gid=1996990278"",""2025-26!w3"")"),2.0)</f>
        <v>2</v>
      </c>
      <c r="AV207" s="58">
        <f t="shared" si="60"/>
        <v>0.9278014336</v>
      </c>
      <c r="AW207" s="55">
        <f>IFERROR(__xludf.DUMMYFUNCTION("importrange(""https://docs.google.com/spreadsheets/d/1_LqJP6DheLf1agwgcZJ0Mg7h0JptwOFu1VXpP7VjbMA/edit?gid=1996990278#gid=1996990278"",""2025-26!x4"")"),736624.97)</f>
        <v>736624.97</v>
      </c>
      <c r="AX207" s="55">
        <f>IFERROR(__xludf.DUMMYFUNCTION("importrange(""https://docs.google.com/spreadsheets/d/1_LqJP6DheLf1agwgcZJ0Mg7h0JptwOFu1VXpP7VjbMA/edit?gid=1996990278#gid=1996990278"",""2025-26!x3"")"),18.0)</f>
        <v>18</v>
      </c>
      <c r="AY207" s="55">
        <f>IFERROR(__xludf.DUMMYFUNCTION("importrange(""https://docs.google.com/spreadsheets/d/1_LqJP6DheLf1agwgcZJ0Mg7h0JptwOFu1VXpP7VjbMA/edit?gid=1996990278#gid=1996990278"",""2025-26!y4"")"),793946.79)</f>
        <v>793946.79</v>
      </c>
      <c r="AZ207" s="55">
        <f>IFERROR(__xludf.DUMMYFUNCTION("importrange(""https://docs.google.com/spreadsheets/d/1_LqJP6DheLf1agwgcZJ0Mg7h0JptwOFu1VXpP7VjbMA/edit?gid=1996990278#gid=1996990278"",""2025-26!y3"")"),38.0)</f>
        <v>38</v>
      </c>
      <c r="BA207" s="57">
        <f>IFERROR(__xludf.DUMMYFUNCTION("importrange(""https://docs.google.com/spreadsheets/d/1_LqJP6DheLf1agwgcZJ0Mg7h0JptwOFu1VXpP7VjbMA/edit?gid=1996990278#gid=1996990278"",""2025-26!z4"")"),1225105.4699999997)</f>
        <v>1225105.47</v>
      </c>
      <c r="BB207" s="55">
        <f>IFERROR(__xludf.DUMMYFUNCTION("importrange(""https://docs.google.com/spreadsheets/d/1_LqJP6DheLf1agwgcZJ0Mg7h0JptwOFu1VXpP7VjbMA/edit?gid=1996990278#gid=1996990278"",""2025-26!z3"")"),21.0)</f>
        <v>21</v>
      </c>
      <c r="BC207" s="59">
        <f t="shared" si="61"/>
        <v>0.4947781072</v>
      </c>
      <c r="BD207" s="55">
        <f>IFERROR(__xludf.DUMMYFUNCTION("importrange(""https://docs.google.com/spreadsheets/d/1_LqJP6DheLf1agwgcZJ0Mg7h0JptwOFu1VXpP7VjbMA/edit?gid=1996990278#gid=1996990278"",""2025-26!aa4"")"),392827.49)</f>
        <v>392827.49</v>
      </c>
      <c r="BE207" s="55">
        <f>IFERROR(__xludf.DUMMYFUNCTION("importrange(""https://docs.google.com/spreadsheets/d/1_LqJP6DheLf1agwgcZJ0Mg7h0JptwOFu1VXpP7VjbMA/edit?gid=1996990278#gid=1996990278"",""2025-26!aa3"")"),7.0)</f>
        <v>7</v>
      </c>
      <c r="BF207" s="55">
        <f>IFERROR(__xludf.DUMMYFUNCTION("importrange(""https://docs.google.com/spreadsheets/d/1_LqJP6DheLf1agwgcZJ0Mg7h0JptwOFu1VXpP7VjbMA/edit?gid=1996990278#gid=1996990278"",""2025-26!ab4"")"),793946.79)</f>
        <v>793946.79</v>
      </c>
      <c r="BG207" s="55">
        <f>IFERROR(__xludf.DUMMYFUNCTION("importrange(""https://docs.google.com/spreadsheets/d/1_LqJP6DheLf1agwgcZJ0Mg7h0JptwOFu1VXpP7VjbMA/edit?gid=1996990278#gid=1996990278"",""2025-26!ab3"")"),38.0)</f>
        <v>38</v>
      </c>
      <c r="BH207" s="55">
        <f>IFERROR(__xludf.DUMMYFUNCTION("importrange(""https://docs.google.com/spreadsheets/d/1_LqJP6DheLf1agwgcZJ0Mg7h0JptwOFu1VXpP7VjbMA/edit?gid=1996990278#gid=1996990278"",""2025-26!ac4"")"),1077364.43)</f>
        <v>1077364.43</v>
      </c>
      <c r="BI207" s="55">
        <f>IFERROR(__xludf.DUMMYFUNCTION("importrange(""https://docs.google.com/spreadsheets/d/1_LqJP6DheLf1agwgcZJ0Mg7h0JptwOFu1VXpP7VjbMA/edit?gid=1996990278#gid=1996990278"",""2025-26!ac3"")"),18.0)</f>
        <v>18</v>
      </c>
      <c r="BJ207" s="59">
        <f t="shared" si="62"/>
        <v>0.1015433289</v>
      </c>
      <c r="BK207" s="55">
        <f>IFERROR(__xludf.DUMMYFUNCTION("importrange(""https://docs.google.com/spreadsheets/d/1_LqJP6DheLf1agwgcZJ0Mg7h0JptwOFu1VXpP7VjbMA/edit?gid=1996990278#gid=1996990278"",""2025-26!ad4"")"),80620.0)</f>
        <v>80620</v>
      </c>
      <c r="BL207" s="55">
        <f>IFERROR(__xludf.DUMMYFUNCTION("importrange(""https://docs.google.com/spreadsheets/d/1_LqJP6DheLf1agwgcZJ0Mg7h0JptwOFu1VXpP7VjbMA/edit?gid=1996990278#gid=1996990278"",""2025-26!ad3"")"),3.0)</f>
        <v>3</v>
      </c>
      <c r="BM207" s="55">
        <f>IFERROR(__xludf.DUMMYFUNCTION("importrange(""https://docs.google.com/spreadsheets/d/1_LqJP6DheLf1agwgcZJ0Mg7h0JptwOFu1VXpP7VjbMA/edit?gid=1996990278#gid=1996990278"",""2025-26!ae4"")"),793946.79)</f>
        <v>793946.79</v>
      </c>
      <c r="BN207" s="55">
        <f>IFERROR(__xludf.DUMMYFUNCTION("importrange(""https://docs.google.com/spreadsheets/d/1_LqJP6DheLf1agwgcZJ0Mg7h0JptwOFu1VXpP7VjbMA/edit?gid=1996990278#gid=1996990278"",""2025-26!ae3"")"),38.0)</f>
        <v>38</v>
      </c>
      <c r="BO207" s="55">
        <f>IFERROR(__xludf.DUMMYFUNCTION("importrange(""https://docs.google.com/spreadsheets/d/1_LqJP6DheLf1agwgcZJ0Mg7h0JptwOFu1VXpP7VjbMA/edit?gid=1996990278#gid=1996990278"",""2025-26!af4"")"),29090.81)</f>
        <v>29090.81</v>
      </c>
      <c r="BP207" s="55">
        <f>IFERROR(__xludf.DUMMYFUNCTION("importrange(""https://docs.google.com/spreadsheets/d/1_LqJP6DheLf1agwgcZJ0Mg7h0JptwOFu1VXpP7VjbMA/edit?gid=1996990278#gid=1996990278"",""2025-26!af3"")"),2.0)</f>
        <v>2</v>
      </c>
      <c r="BQ207" s="59">
        <f t="shared" si="63"/>
        <v>0.1603766922</v>
      </c>
      <c r="BR207" s="55">
        <f>IFERROR(__xludf.DUMMYFUNCTION("importrange(""https://docs.google.com/spreadsheets/d/1_LqJP6DheLf1agwgcZJ0Mg7h0JptwOFu1VXpP7VjbMA/edit?gid=1996990278#gid=1996990278"",""2025-26!ag4"")"),127330.56)</f>
        <v>127330.56</v>
      </c>
      <c r="BS207" s="55">
        <f>IFERROR(__xludf.DUMMYFUNCTION("importrange(""https://docs.google.com/spreadsheets/d/1_LqJP6DheLf1agwgcZJ0Mg7h0JptwOFu1VXpP7VjbMA/edit?gid=1996990278#gid=1996990278"",""2025-26!ag3"")"),6.0)</f>
        <v>6</v>
      </c>
      <c r="BT207" s="55">
        <f>IFERROR(__xludf.DUMMYFUNCTION("importrange(""https://docs.google.com/spreadsheets/d/1_LqJP6DheLf1agwgcZJ0Mg7h0JptwOFu1VXpP7VjbMA/edit?gid=1996990278#gid=1996990278"",""2025-26!ah4"")"),793946.79)</f>
        <v>793946.79</v>
      </c>
      <c r="BU207" s="55">
        <f>IFERROR(__xludf.DUMMYFUNCTION("importrange(""https://docs.google.com/spreadsheets/d/1_LqJP6DheLf1agwgcZJ0Mg7h0JptwOFu1VXpP7VjbMA/edit?gid=1996990278#gid=1996990278"",""2025-26!ah3"")"),38.0)</f>
        <v>38</v>
      </c>
      <c r="BV207" s="55">
        <f>IFERROR(__xludf.DUMMYFUNCTION("importrange(""https://docs.google.com/spreadsheets/d/1_LqJP6DheLf1agwgcZJ0Mg7h0JptwOFu1VXpP7VjbMA/edit?gid=1996990278#gid=1996990278"",""2025-26!ai4"")"),0.0)</f>
        <v>0</v>
      </c>
      <c r="BW207" s="55">
        <f>IFERROR(__xludf.DUMMYFUNCTION("importrange(""https://docs.google.com/spreadsheets/d/1_LqJP6DheLf1agwgcZJ0Mg7h0JptwOFu1VXpP7VjbMA/edit?gid=1996990278#gid=1996990278"",""2025-26!ai3"")"),0.0)</f>
        <v>0</v>
      </c>
      <c r="BX207" s="59">
        <f t="shared" si="64"/>
        <v>0</v>
      </c>
      <c r="BY207" s="55">
        <f>IFERROR(__xludf.DUMMYFUNCTION("importrange(""https://docs.google.com/spreadsheets/d/1_LqJP6DheLf1agwgcZJ0Mg7h0JptwOFu1VXpP7VjbMA/edit?gid=1996990278#gid=1996990278"",""2025-26!aj4"")"),0.0)</f>
        <v>0</v>
      </c>
      <c r="BZ207" s="55">
        <f>IFERROR(__xludf.DUMMYFUNCTION("importrange(""https://docs.google.com/spreadsheets/d/1_LqJP6DheLf1agwgcZJ0Mg7h0JptwOFu1VXpP7VjbMA/edit?gid=1996990278#gid=1996990278"",""2025-26!aj3"")"),0.0)</f>
        <v>0</v>
      </c>
      <c r="CA207" s="55">
        <f>IFERROR(__xludf.DUMMYFUNCTION("importrange(""https://docs.google.com/spreadsheets/d/1_LqJP6DheLf1agwgcZJ0Mg7h0JptwOFu1VXpP7VjbMA/edit?gid=1996990278#gid=1996990278"",""2025-26!ak4"")"),793946.79)</f>
        <v>793946.79</v>
      </c>
      <c r="CB207" s="55">
        <f>IFERROR(__xludf.DUMMYFUNCTION("importrange(""https://docs.google.com/spreadsheets/d/1_LqJP6DheLf1agwgcZJ0Mg7h0JptwOFu1VXpP7VjbMA/edit?gid=1996990278#gid=1996990278"",""2025-26!ak3"")"),38.0)</f>
        <v>38</v>
      </c>
      <c r="CC207" s="55">
        <f>IFERROR(__xludf.DUMMYFUNCTION("importrange(""https://docs.google.com/spreadsheets/d/1_LqJP6DheLf1agwgcZJ0Mg7h0JptwOFu1VXpP7VjbMA/edit?gid=1996990278#gid=1996990278"",""2025-26!al4"")"),0.0)</f>
        <v>0</v>
      </c>
      <c r="CD207" s="55">
        <f>IFERROR(__xludf.DUMMYFUNCTION("importrange(""https://docs.google.com/spreadsheets/d/1_LqJP6DheLf1agwgcZJ0Mg7h0JptwOFu1VXpP7VjbMA/edit?gid=1996990278#gid=1996990278"",""2025-26!ai3"")"),0.0)</f>
        <v>0</v>
      </c>
      <c r="CE207" s="59">
        <f t="shared" si="65"/>
        <v>0</v>
      </c>
      <c r="CF207" s="55">
        <f>IFERROR(__xludf.DUMMYFUNCTION("importrange(""https://docs.google.com/spreadsheets/d/1_LqJP6DheLf1agwgcZJ0Mg7h0JptwOFu1VXpP7VjbMA/edit?gid=1996990278#gid=1996990278"",""2025-26!am4"")"),0.0)</f>
        <v>0</v>
      </c>
      <c r="CG207" s="55">
        <f>IFERROR(__xludf.DUMMYFUNCTION("importrange(""https://docs.google.com/spreadsheets/d/1_LqJP6DheLf1agwgcZJ0Mg7h0JptwOFu1VXpP7VjbMA/edit?gid=1996990278#gid=1996990278"",""2025-26!am3"")"),0.0)</f>
        <v>0</v>
      </c>
      <c r="CH207" s="55">
        <f>IFERROR(__xludf.DUMMYFUNCTION("importrange(""https://docs.google.com/spreadsheets/d/1_LqJP6DheLf1agwgcZJ0Mg7h0JptwOFu1VXpP7VjbMA/edit?gid=1996990278#gid=1996990278"",""2025-26!an4"")"),793946.79)</f>
        <v>793946.79</v>
      </c>
      <c r="CI207" s="55">
        <f>IFERROR(__xludf.DUMMYFUNCTION("importrange(""https://docs.google.com/spreadsheets/d/1_LqJP6DheLf1agwgcZJ0Mg7h0JptwOFu1VXpP7VjbMA/edit?gid=1996990278#gid=1996990278"",""2025-26!an3"")"),38.0)</f>
        <v>38</v>
      </c>
      <c r="CJ207" s="55">
        <f>IFERROR(__xludf.DUMMYFUNCTION("importrange(""https://docs.google.com/spreadsheets/d/1_LqJP6DheLf1agwgcZJ0Mg7h0JptwOFu1VXpP7VjbMA/edit?gid=1996990278#gid=1996990278"",""2025-26!ao4"")"),0.0)</f>
        <v>0</v>
      </c>
      <c r="CK207" s="55">
        <f>IFERROR(__xludf.DUMMYFUNCTION("importrange(""https://docs.google.com/spreadsheets/d/1_LqJP6DheLf1agwgcZJ0Mg7h0JptwOFu1VXpP7VjbMA/edit?gid=1996990278#gid=1996990278"",""2025-26!ao3"")"),0.0)</f>
        <v>0</v>
      </c>
      <c r="CL207" s="59">
        <f t="shared" si="66"/>
        <v>0</v>
      </c>
      <c r="CM207" s="55">
        <f>IFERROR(__xludf.DUMMYFUNCTION("importrange(""https://docs.google.com/spreadsheets/d/1_LqJP6DheLf1agwgcZJ0Mg7h0JptwOFu1VXpP7VjbMA/edit?gid=1996990278#gid=1996990278"",""2025-26!ap4"")"),0.0)</f>
        <v>0</v>
      </c>
      <c r="CN207" s="55">
        <f>IFERROR(__xludf.DUMMYFUNCTION("importrange(""https://docs.google.com/spreadsheets/d/1_LqJP6DheLf1agwgcZJ0Mg7h0JptwOFu1VXpP7VjbMA/edit?gid=1996990278#gid=1996990278"",""2025-26!ap3"")"),0.0)</f>
        <v>0</v>
      </c>
      <c r="CO207" s="55">
        <f>IFERROR(__xludf.DUMMYFUNCTION("importrange(""https://docs.google.com/spreadsheets/d/1_LqJP6DheLf1agwgcZJ0Mg7h0JptwOFu1VXpP7VjbMA/edit?gid=1996990278#gid=1996990278"",""2025-26!aq4"")"),793946.79)</f>
        <v>793946.79</v>
      </c>
      <c r="CP207" s="55">
        <f>IFERROR(__xludf.DUMMYFUNCTION("importrange(""https://docs.google.com/spreadsheets/d/1_LqJP6DheLf1agwgcZJ0Mg7h0JptwOFu1VXpP7VjbMA/edit?gid=1996990278#gid=1996990278"",""2025-26!aq3"")"),38.0)</f>
        <v>38</v>
      </c>
      <c r="CQ207" s="55">
        <f>IFERROR(__xludf.DUMMYFUNCTION("importrange(""https://docs.google.com/spreadsheets/d/1_LqJP6DheLf1agwgcZJ0Mg7h0JptwOFu1VXpP7VjbMA/edit?gid=1996990278#gid=1996990278"",""2025-26!ar4"")"),0.0)</f>
        <v>0</v>
      </c>
      <c r="CR207" s="55">
        <f>IFERROR(__xludf.DUMMYFUNCTION("importrange(""https://docs.google.com/spreadsheets/d/1_LqJP6DheLf1agwgcZJ0Mg7h0JptwOFu1VXpP7VjbMA/edit?gid=1996990278#gid=1996990278"",""2025-26!ar3"")"),0.0)</f>
        <v>0</v>
      </c>
      <c r="CS207" s="59">
        <f t="shared" si="67"/>
        <v>0</v>
      </c>
      <c r="CT207" s="55">
        <f>IFERROR(__xludf.DUMMYFUNCTION("importrange(""https://docs.google.com/spreadsheets/d/1_LqJP6DheLf1agwgcZJ0Mg7h0JptwOFu1VXpP7VjbMA/edit?gid=1996990278#gid=1996990278"",""2025-26!as4"")"),0.0)</f>
        <v>0</v>
      </c>
      <c r="CU207" s="55">
        <f>IFERROR(__xludf.DUMMYFUNCTION("importrange(""https://docs.google.com/spreadsheets/d/1_LqJP6DheLf1agwgcZJ0Mg7h0JptwOFu1VXpP7VjbMA/edit?gid=1996990278#gid=1996990278"",""2025-26!as3"")"),0.0)</f>
        <v>0</v>
      </c>
      <c r="CV207" s="60" t="s">
        <v>212</v>
      </c>
    </row>
    <row r="208">
      <c r="A208" s="133" t="s">
        <v>185</v>
      </c>
      <c r="B208" s="134" t="s">
        <v>185</v>
      </c>
      <c r="C208" s="131" t="s">
        <v>418</v>
      </c>
      <c r="D208" s="65" t="s">
        <v>419</v>
      </c>
      <c r="E208" s="68">
        <v>9.43422157E9</v>
      </c>
      <c r="F208" s="78">
        <v>45614.0</v>
      </c>
      <c r="G208" s="62"/>
      <c r="H208" s="62"/>
      <c r="I208" s="70">
        <v>46670.0</v>
      </c>
      <c r="J208" s="54" t="s">
        <v>188</v>
      </c>
      <c r="K208" s="57">
        <f>IFERROR(__xludf.DUMMYFUNCTION("IMPORTRANGE(""https://docs.google.com/spreadsheets/d/1MhtL6kjz5kw9OF8Iihe8GijJQfwdS2pTKIboN5e5hUk/edit?gid=1996990278#gid=1996990278"",""2025-26!A3"")"),92.0)</f>
        <v>92</v>
      </c>
      <c r="L208" s="57">
        <f>IFERROR(__xludf.DUMMYFUNCTION("IMPORTRANGE(""https://docs.google.com/spreadsheets/d/1MhtL6kjz5kw9OF8Iihe8GijJQfwdS2pTKIboN5e5hUk/edit?gid=1996990278#gid=1996990278"",""2025-26!G4"")"),0.0)</f>
        <v>0</v>
      </c>
      <c r="M208" s="57">
        <f t="shared" si="87"/>
        <v>2236523.53</v>
      </c>
      <c r="N208" s="56" t="str">
        <f t="shared" si="88"/>
        <v/>
      </c>
      <c r="O208" s="57">
        <f t="shared" si="89"/>
        <v>0</v>
      </c>
      <c r="P208" s="55">
        <f>IFERROR(__xludf.DUMMYFUNCTION("IMPORTRANGE(""https://docs.google.com/spreadsheets/d/1MhtL6kjz5kw9OF8Iihe8GijJQfwdS2pTKIboN5e5hUk/edit?gid=1996990278#gid=1996990278"",""2025-26!J4"")"),0.0)</f>
        <v>0</v>
      </c>
      <c r="Q208" s="55">
        <f>IFERROR(__xludf.DUMMYFUNCTION("IMPORTRANGE(""https://docs.google.com/spreadsheets/d/1MhtL6kjz5kw9OF8Iihe8GijJQfwdS2pTKIboN5e5hUk/edit?gid=1996990278#gid=1996990278"",""2025-26!J3"")"),0.0)</f>
        <v>0</v>
      </c>
      <c r="R208" s="55">
        <f>IFERROR(__xludf.DUMMYFUNCTION("IMPORTRANGE(""https://docs.google.com/spreadsheets/d/1MhtL6kjz5kw9OF8Iihe8GijJQfwdS2pTKIboN5e5hUk/edit?gid=1996990278#gid=1996990278"",""2025-26!K4"")"),346795.3)</f>
        <v>346795.3</v>
      </c>
      <c r="S208" s="55">
        <f>IFERROR(__xludf.DUMMYFUNCTION("IMPORTRANGE(""https://docs.google.com/spreadsheets/d/1MhtL6kjz5kw9OF8Iihe8GijJQfwdS2pTKIboN5e5hUk/edit?gid=1996990278#gid=1996990278"",""2025-26!K3"")"),17.0)</f>
        <v>17</v>
      </c>
      <c r="T208" s="58" t="str">
        <f t="shared" si="56"/>
        <v/>
      </c>
      <c r="U208" s="55">
        <f>IFERROR(__xludf.DUMMYFUNCTION("IMPORTRANGE(""https://docs.google.com/spreadsheets/d/1MhtL6kjz5kw9OF8Iihe8GijJQfwdS2pTKIboN5e5hUk/edit?gid=1996990278#gid=1996990278"",""2025-26!L4"")"),0.0)</f>
        <v>0</v>
      </c>
      <c r="V208" s="79">
        <f>IFERROR(__xludf.DUMMYFUNCTION("IMPORTRANGE(""https://docs.google.com/spreadsheets/d/1MhtL6kjz5kw9OF8Iihe8GijJQfwdS2pTKIboN5e5hUk/edit?gid=1996990278#gid=1996990278"",""2025-26!L3"")"),0.0)</f>
        <v>0</v>
      </c>
      <c r="W208" s="55">
        <f>IFERROR(__xludf.DUMMYFUNCTION("IMPORTRANGE(""https://docs.google.com/spreadsheets/d/1MhtL6kjz5kw9OF8Iihe8GijJQfwdS2pTKIboN5e5hUk/edit?gid=1996990278#gid=1996990278"",""2025-26!M4"")"),0.0)</f>
        <v>0</v>
      </c>
      <c r="X208" s="79">
        <f>IFERROR(__xludf.DUMMYFUNCTION("IMPORTRANGE(""https://docs.google.com/spreadsheets/d/1MhtL6kjz5kw9OF8Iihe8GijJQfwdS2pTKIboN5e5hUk/edit?gid=1996990278#gid=1996990278"",""2025-26!M3"")"),0.0)</f>
        <v>0</v>
      </c>
      <c r="Y208" s="55">
        <f>IFERROR(__xludf.DUMMYFUNCTION("importrange(""https://docs.google.com/spreadsheets/d/1MhtL6kjz5kw9OF8Iihe8GijJQfwdS2pTKIboN5e5hUk/edit?gid=1996990278#gid=1996990278"",""2025-26!n4"")"),216604.43)</f>
        <v>216604.43</v>
      </c>
      <c r="Z208" s="55">
        <f>IFERROR(__xludf.DUMMYFUNCTION("importrange(""https://docs.google.com/spreadsheets/d/1MhtL6kjz5kw9OF8Iihe8GijJQfwdS2pTKIboN5e5hUk/edit?gid=1996990278#gid=1996990278"",""2025-26!n3"")"),12.0)</f>
        <v>12</v>
      </c>
      <c r="AA208" s="58" t="str">
        <f t="shared" si="57"/>
        <v/>
      </c>
      <c r="AB208" s="55">
        <f>IFERROR(__xludf.DUMMYFUNCTION("importrange(""https://docs.google.com/spreadsheets/d/1MhtL6kjz5kw9OF8Iihe8GijJQfwdS2pTKIboN5e5hUk/edit?gid=1996990278#gid=1996990278"",""2025-26!o4"")"),0.0)</f>
        <v>0</v>
      </c>
      <c r="AC208" s="55">
        <f>IFERROR(__xludf.DUMMYFUNCTION("importrange(""https://docs.google.com/spreadsheets/d/1MhtL6kjz5kw9OF8Iihe8GijJQfwdS2pTKIboN5e5hUk/edit?gid=1996990278#gid=1996990278"",""2025-26!o3"")"),0.0)</f>
        <v>0</v>
      </c>
      <c r="AD208" s="55">
        <f>IFERROR(__xludf.DUMMYFUNCTION("importrange(""https://docs.google.com/spreadsheets/d/1MhtL6kjz5kw9OF8Iihe8GijJQfwdS2pTKIboN5e5hUk/edit?gid=1996990278#gid=1996990278"",""2025-26!p4"")"),0.0)</f>
        <v>0</v>
      </c>
      <c r="AE208" s="55">
        <f>IFERROR(__xludf.DUMMYFUNCTION("importrange(""https://docs.google.com/spreadsheets/d/1MhtL6kjz5kw9OF8Iihe8GijJQfwdS2pTKIboN5e5hUk/edit?gid=1996990278#gid=1996990278"",""2025-26!p3"")"),0.0)</f>
        <v>0</v>
      </c>
      <c r="AF208" s="55">
        <f>IFERROR(__xludf.DUMMYFUNCTION("importrange(""https://docs.google.com/spreadsheets/d/1MhtL6kjz5kw9OF8Iihe8GijJQfwdS2pTKIboN5e5hUk/edit?gid=1996990278#gid=1996990278"",""2025-26!q4"")"),306182.33)</f>
        <v>306182.33</v>
      </c>
      <c r="AG208" s="55">
        <f>IFERROR(__xludf.DUMMYFUNCTION("importrange(""https://docs.google.com/spreadsheets/d/1MhtL6kjz5kw9OF8Iihe8GijJQfwdS2pTKIboN5e5hUk/edit?gid=1996990278#gid=1996990278"",""2025-26!q3"")"),11.0)</f>
        <v>11</v>
      </c>
      <c r="AH208" s="58" t="str">
        <f t="shared" si="58"/>
        <v/>
      </c>
      <c r="AI208" s="55">
        <f>IFERROR(__xludf.DUMMYFUNCTION("importrange(""https://docs.google.com/spreadsheets/d/1MhtL6kjz5kw9OF8Iihe8GijJQfwdS2pTKIboN5e5hUk/edit?gid=1996990278#gid=1996990278"",""2025-26!r4"")"),0.0)</f>
        <v>0</v>
      </c>
      <c r="AJ208" s="55">
        <f>IFERROR(__xludf.DUMMYFUNCTION("importrange(""https://docs.google.com/spreadsheets/d/1MhtL6kjz5kw9OF8Iihe8GijJQfwdS2pTKIboN5e5hUk/edit?gid=1996990278#gid=1996990278"",""2025-26!r3"")"),0.0)</f>
        <v>0</v>
      </c>
      <c r="AK208" s="55">
        <f>IFERROR(__xludf.DUMMYFUNCTION("importrange(""https://docs.google.com/spreadsheets/d/1MhtL6kjz5kw9OF8Iihe8GijJQfwdS2pTKIboN5e5hUk/edit?gid=1996990278#gid=1996990278"",""2025-26!s4"")"),0.0)</f>
        <v>0</v>
      </c>
      <c r="AL208" s="55">
        <f>IFERROR(__xludf.DUMMYFUNCTION("importrange(""https://docs.google.com/spreadsheets/d/1MhtL6kjz5kw9OF8Iihe8GijJQfwdS2pTKIboN5e5hUk/edit?gid=1996990278#gid=1996990278"",""2025-26!s3"")"),0.0)</f>
        <v>0</v>
      </c>
      <c r="AM208" s="57">
        <f>IFERROR(__xludf.DUMMYFUNCTION("importrange(""https://docs.google.com/spreadsheets/d/1MhtL6kjz5kw9OF8Iihe8GijJQfwdS2pTKIboN5e5hUk/edit?gid=1996990278#gid=1996990278"",""2025-26!t4"")"),341949.91000000003)</f>
        <v>341949.91</v>
      </c>
      <c r="AN208" s="55">
        <f>IFERROR(__xludf.DUMMYFUNCTION("importrange(""https://docs.google.com/spreadsheets/d/1MhtL6kjz5kw9OF8Iihe8GijJQfwdS2pTKIboN5e5hUk/edit?gid=1996990278#gid=1996990278"",""2025-26!t3"")"),20.0)</f>
        <v>20</v>
      </c>
      <c r="AO208" s="58" t="str">
        <f t="shared" si="59"/>
        <v/>
      </c>
      <c r="AP208" s="55">
        <f>IFERROR(__xludf.DUMMYFUNCTION("importrange(""https://docs.google.com/spreadsheets/d/1MhtL6kjz5kw9OF8Iihe8GijJQfwdS2pTKIboN5e5hUk/edit?gid=1996990278#gid=1996990278"",""2025-26!u4"")"),0.0)</f>
        <v>0</v>
      </c>
      <c r="AQ208" s="55">
        <f>IFERROR(__xludf.DUMMYFUNCTION("importrange(""https://docs.google.com/spreadsheets/d/1MhtL6kjz5kw9OF8Iihe8GijJQfwdS2pTKIboN5e5hUk/edit?gid=1996990278#gid=1996990278"",""2025-26!u3"")"),0.0)</f>
        <v>0</v>
      </c>
      <c r="AR208" s="55">
        <f>IFERROR(__xludf.DUMMYFUNCTION("importrange(""https://docs.google.com/spreadsheets/d/1MhtL6kjz5kw9OF8Iihe8GijJQfwdS2pTKIboN5e5hUk/edit?gid=1996990278#gid=1996990278"",""2025-26!v4"")"),0.0)</f>
        <v>0</v>
      </c>
      <c r="AS208" s="55">
        <f>IFERROR(__xludf.DUMMYFUNCTION("importrange(""https://docs.google.com/spreadsheets/d/1MhtL6kjz5kw9OF8Iihe8GijJQfwdS2pTKIboN5e5hUk/edit?gid=1996990278#gid=1996990278"",""2025-26!v3"")"),0.0)</f>
        <v>0</v>
      </c>
      <c r="AT208" s="57">
        <f>IFERROR(__xludf.DUMMYFUNCTION("importrange(""https://docs.google.com/spreadsheets/d/1MhtL6kjz5kw9OF8Iihe8GijJQfwdS2pTKIboN5e5hUk/edit?gid=1996990278#gid=1996990278"",""2025-26!w4"")"),328350.49000000005)</f>
        <v>328350.49</v>
      </c>
      <c r="AU208" s="55">
        <f>IFERROR(__xludf.DUMMYFUNCTION("importrange(""https://docs.google.com/spreadsheets/d/1MhtL6kjz5kw9OF8Iihe8GijJQfwdS2pTKIboN5e5hUk/edit?gid=1996990278#gid=1996990278"",""2025-26!w3"")"),19.0)</f>
        <v>19</v>
      </c>
      <c r="AV208" s="58" t="str">
        <f t="shared" si="60"/>
        <v/>
      </c>
      <c r="AW208" s="55">
        <f>IFERROR(__xludf.DUMMYFUNCTION("importrange(""https://docs.google.com/spreadsheets/d/1MhtL6kjz5kw9OF8Iihe8GijJQfwdS2pTKIboN5e5hUk/edit?gid=1996990278#gid=1996990278"",""2025-26!x4"")"),0.0)</f>
        <v>0</v>
      </c>
      <c r="AX208" s="55">
        <f>IFERROR(__xludf.DUMMYFUNCTION("importrange(""https://docs.google.com/spreadsheets/d/1MhtL6kjz5kw9OF8Iihe8GijJQfwdS2pTKIboN5e5hUk/edit?gid=1996990278#gid=1996990278"",""2025-26!x3"")"),0.0)</f>
        <v>0</v>
      </c>
      <c r="AY208" s="55">
        <f>IFERROR(__xludf.DUMMYFUNCTION("importrange(""https://docs.google.com/spreadsheets/d/1MhtL6kjz5kw9OF8Iihe8GijJQfwdS2pTKIboN5e5hUk/edit?gid=1996990278#gid=1996990278"",""2025-26!y4"")"),0.0)</f>
        <v>0</v>
      </c>
      <c r="AZ208" s="55">
        <f>IFERROR(__xludf.DUMMYFUNCTION("importrange(""https://docs.google.com/spreadsheets/d/1MhtL6kjz5kw9OF8Iihe8GijJQfwdS2pTKIboN5e5hUk/edit?gid=1996990278#gid=1996990278"",""2025-26!y3"")"),0.0)</f>
        <v>0</v>
      </c>
      <c r="BA208" s="57">
        <f>IFERROR(__xludf.DUMMYFUNCTION("importrange(""https://docs.google.com/spreadsheets/d/1MhtL6kjz5kw9OF8Iihe8GijJQfwdS2pTKIboN5e5hUk/edit?gid=1996990278#gid=1996990278"",""2025-26!z4"")"),271522.07999999996)</f>
        <v>271522.08</v>
      </c>
      <c r="BB208" s="55">
        <f>IFERROR(__xludf.DUMMYFUNCTION("importrange(""https://docs.google.com/spreadsheets/d/1MhtL6kjz5kw9OF8Iihe8GijJQfwdS2pTKIboN5e5hUk/edit?gid=1996990278#gid=1996990278"",""2025-26!z3"")"),15.0)</f>
        <v>15</v>
      </c>
      <c r="BC208" s="59" t="str">
        <f t="shared" si="61"/>
        <v/>
      </c>
      <c r="BD208" s="55">
        <f>IFERROR(__xludf.DUMMYFUNCTION("importrange(""https://docs.google.com/spreadsheets/d/1MhtL6kjz5kw9OF8Iihe8GijJQfwdS2pTKIboN5e5hUk/edit?gid=1996990278#gid=1996990278"",""2025-26!aa4"")"),0.0)</f>
        <v>0</v>
      </c>
      <c r="BE208" s="55">
        <f>IFERROR(__xludf.DUMMYFUNCTION("importrange(""https://docs.google.com/spreadsheets/d/1MhtL6kjz5kw9OF8Iihe8GijJQfwdS2pTKIboN5e5hUk/edit?gid=1996990278#gid=1996990278"",""2025-26!aa3"")"),0.0)</f>
        <v>0</v>
      </c>
      <c r="BF208" s="55">
        <f>IFERROR(__xludf.DUMMYFUNCTION("importrange(""https://docs.google.com/spreadsheets/d/1MhtL6kjz5kw9OF8Iihe8GijJQfwdS2pTKIboN5e5hUk/edit?gid=1996990278#gid=1996990278"",""2025-26!ab4"")"),0.0)</f>
        <v>0</v>
      </c>
      <c r="BG208" s="55">
        <f>IFERROR(__xludf.DUMMYFUNCTION("importrange(""https://docs.google.com/spreadsheets/d/1MhtL6kjz5kw9OF8Iihe8GijJQfwdS2pTKIboN5e5hUk/edit?gid=1996990278#gid=1996990278"",""2025-26!ab3"")"),0.0)</f>
        <v>0</v>
      </c>
      <c r="BH208" s="55">
        <f>IFERROR(__xludf.DUMMYFUNCTION("importrange(""https://docs.google.com/spreadsheets/d/1MhtL6kjz5kw9OF8Iihe8GijJQfwdS2pTKIboN5e5hUk/edit?gid=1996990278#gid=1996990278"",""2025-26!ac4"")"),215770.04)</f>
        <v>215770.04</v>
      </c>
      <c r="BI208" s="55">
        <f>IFERROR(__xludf.DUMMYFUNCTION("importrange(""https://docs.google.com/spreadsheets/d/1MhtL6kjz5kw9OF8Iihe8GijJQfwdS2pTKIboN5e5hUk/edit?gid=1996990278#gid=1996990278"",""2025-26!ac3"")"),8.0)</f>
        <v>8</v>
      </c>
      <c r="BJ208" s="59" t="str">
        <f t="shared" si="62"/>
        <v/>
      </c>
      <c r="BK208" s="55">
        <f>IFERROR(__xludf.DUMMYFUNCTION("importrange(""https://docs.google.com/spreadsheets/d/1MhtL6kjz5kw9OF8Iihe8GijJQfwdS2pTKIboN5e5hUk/edit?gid=1996990278#gid=1996990278"",""2025-26!ad4"")"),0.0)</f>
        <v>0</v>
      </c>
      <c r="BL208" s="55">
        <f>IFERROR(__xludf.DUMMYFUNCTION("importrange(""https://docs.google.com/spreadsheets/d/1MhtL6kjz5kw9OF8Iihe8GijJQfwdS2pTKIboN5e5hUk/edit?gid=1996990278#gid=1996990278"",""2025-26!ad3"")"),0.0)</f>
        <v>0</v>
      </c>
      <c r="BM208" s="55">
        <f>IFERROR(__xludf.DUMMYFUNCTION("importrange(""https://docs.google.com/spreadsheets/d/1MhtL6kjz5kw9OF8Iihe8GijJQfwdS2pTKIboN5e5hUk/edit?gid=1996990278#gid=1996990278"",""2025-26!ae4"")"),0.0)</f>
        <v>0</v>
      </c>
      <c r="BN208" s="55">
        <f>IFERROR(__xludf.DUMMYFUNCTION("importrange(""https://docs.google.com/spreadsheets/d/1MhtL6kjz5kw9OF8Iihe8GijJQfwdS2pTKIboN5e5hUk/edit?gid=1996990278#gid=1996990278"",""2025-26!ae3"")"),0.0)</f>
        <v>0</v>
      </c>
      <c r="BO208" s="55">
        <f>IFERROR(__xludf.DUMMYFUNCTION("importrange(""https://docs.google.com/spreadsheets/d/1MhtL6kjz5kw9OF8Iihe8GijJQfwdS2pTKIboN5e5hUk/edit?gid=1996990278#gid=1996990278"",""2025-26!af4"")"),209348.94999999998)</f>
        <v>209348.95</v>
      </c>
      <c r="BP208" s="55">
        <f>IFERROR(__xludf.DUMMYFUNCTION("importrange(""https://docs.google.com/spreadsheets/d/1MhtL6kjz5kw9OF8Iihe8GijJQfwdS2pTKIboN5e5hUk/edit?gid=1996990278#gid=1996990278"",""2025-26!af3"")"),13.0)</f>
        <v>13</v>
      </c>
      <c r="BQ208" s="59" t="str">
        <f t="shared" si="63"/>
        <v/>
      </c>
      <c r="BR208" s="55">
        <f>IFERROR(__xludf.DUMMYFUNCTION("importrange(""https://docs.google.com/spreadsheets/d/1MhtL6kjz5kw9OF8Iihe8GijJQfwdS2pTKIboN5e5hUk/edit?gid=1996990278#gid=1996990278"",""2025-26!ag4"")"),0.0)</f>
        <v>0</v>
      </c>
      <c r="BS208" s="55">
        <f>IFERROR(__xludf.DUMMYFUNCTION("importrange(""https://docs.google.com/spreadsheets/d/1MhtL6kjz5kw9OF8Iihe8GijJQfwdS2pTKIboN5e5hUk/edit?gid=1996990278#gid=1996990278"",""2025-26!ag3"")"),0.0)</f>
        <v>0</v>
      </c>
      <c r="BT208" s="55">
        <f>IFERROR(__xludf.DUMMYFUNCTION("importrange(""https://docs.google.com/spreadsheets/d/1MhtL6kjz5kw9OF8Iihe8GijJQfwdS2pTKIboN5e5hUk/edit?gid=1996990278#gid=1996990278"",""2025-26!ah4"")"),0.0)</f>
        <v>0</v>
      </c>
      <c r="BU208" s="55">
        <f>IFERROR(__xludf.DUMMYFUNCTION("importrange(""https://docs.google.com/spreadsheets/d/1MhtL6kjz5kw9OF8Iihe8GijJQfwdS2pTKIboN5e5hUk/edit?gid=1996990278#gid=1996990278"",""2025-26!ah3"")"),0.0)</f>
        <v>0</v>
      </c>
      <c r="BV208" s="55">
        <f>IFERROR(__xludf.DUMMYFUNCTION("importrange(""https://docs.google.com/spreadsheets/d/1MhtL6kjz5kw9OF8Iihe8GijJQfwdS2pTKIboN5e5hUk/edit?gid=1996990278#gid=1996990278"",""2025-26!ai4"")"),0.0)</f>
        <v>0</v>
      </c>
      <c r="BW208" s="55">
        <f>IFERROR(__xludf.DUMMYFUNCTION("importrange(""https://docs.google.com/spreadsheets/d/1MhtL6kjz5kw9OF8Iihe8GijJQfwdS2pTKIboN5e5hUk/edit?gid=1996990278#gid=1996990278"",""2025-26!ai3"")"),0.0)</f>
        <v>0</v>
      </c>
      <c r="BX208" s="59" t="str">
        <f t="shared" si="64"/>
        <v/>
      </c>
      <c r="BY208" s="55">
        <f>IFERROR(__xludf.DUMMYFUNCTION("importrange(""https://docs.google.com/spreadsheets/d/1MhtL6kjz5kw9OF8Iihe8GijJQfwdS2pTKIboN5e5hUk/edit?gid=1996990278#gid=1996990278"",""2025-26!aj4"")"),0.0)</f>
        <v>0</v>
      </c>
      <c r="BZ208" s="55">
        <f>IFERROR(__xludf.DUMMYFUNCTION("importrange(""https://docs.google.com/spreadsheets/d/1MhtL6kjz5kw9OF8Iihe8GijJQfwdS2pTKIboN5e5hUk/edit?gid=1996990278#gid=1996990278"",""2025-26!aj3"")"),0.0)</f>
        <v>0</v>
      </c>
      <c r="CA208" s="55">
        <f>IFERROR(__xludf.DUMMYFUNCTION("importrange(""https://docs.google.com/spreadsheets/d/1MhtL6kjz5kw9OF8Iihe8GijJQfwdS2pTKIboN5e5hUk/edit?gid=1996990278#gid=1996990278"",""2025-26!ak4"")"),0.0)</f>
        <v>0</v>
      </c>
      <c r="CB208" s="55">
        <f>IFERROR(__xludf.DUMMYFUNCTION("importrange(""https://docs.google.com/spreadsheets/d/1MhtL6kjz5kw9OF8Iihe8GijJQfwdS2pTKIboN5e5hUk/edit?gid=1996990278#gid=1996990278"",""2025-26!ak3"")"),0.0)</f>
        <v>0</v>
      </c>
      <c r="CC208" s="55">
        <f>IFERROR(__xludf.DUMMYFUNCTION("importrange(""https://docs.google.com/spreadsheets/d/1MhtL6kjz5kw9OF8Iihe8GijJQfwdS2pTKIboN5e5hUk/edit?gid=1996990278#gid=1996990278"",""2025-26!al4"")"),0.0)</f>
        <v>0</v>
      </c>
      <c r="CD208" s="55">
        <f>IFERROR(__xludf.DUMMYFUNCTION("importrange(""https://docs.google.com/spreadsheets/d/1MhtL6kjz5kw9OF8Iihe8GijJQfwdS2pTKIboN5e5hUk/edit?gid=1996990278#gid=1996990278"",""2025-26!ai3"")"),0.0)</f>
        <v>0</v>
      </c>
      <c r="CE208" s="59" t="str">
        <f t="shared" si="65"/>
        <v/>
      </c>
      <c r="CF208" s="55">
        <f>IFERROR(__xludf.DUMMYFUNCTION("importrange(""https://docs.google.com/spreadsheets/d/1MhtL6kjz5kw9OF8Iihe8GijJQfwdS2pTKIboN5e5hUk/edit?gid=1996990278#gid=1996990278"",""2025-26!am4"")"),0.0)</f>
        <v>0</v>
      </c>
      <c r="CG208" s="55">
        <f>IFERROR(__xludf.DUMMYFUNCTION("importrange(""https://docs.google.com/spreadsheets/d/1MhtL6kjz5kw9OF8Iihe8GijJQfwdS2pTKIboN5e5hUk/edit?gid=1996990278#gid=1996990278"",""2025-26!am3"")"),0.0)</f>
        <v>0</v>
      </c>
      <c r="CH208" s="55">
        <f>IFERROR(__xludf.DUMMYFUNCTION("importrange(""https://docs.google.com/spreadsheets/d/1MhtL6kjz5kw9OF8Iihe8GijJQfwdS2pTKIboN5e5hUk/edit?gid=1996990278#gid=1996990278"",""2025-26!an4"")"),0.0)</f>
        <v>0</v>
      </c>
      <c r="CI208" s="55">
        <f>IFERROR(__xludf.DUMMYFUNCTION("importrange(""https://docs.google.com/spreadsheets/d/1MhtL6kjz5kw9OF8Iihe8GijJQfwdS2pTKIboN5e5hUk/edit?gid=1996990278#gid=1996990278"",""2025-26!an3"")"),0.0)</f>
        <v>0</v>
      </c>
      <c r="CJ208" s="55">
        <f>IFERROR(__xludf.DUMMYFUNCTION("importrange(""https://docs.google.com/spreadsheets/d/1MhtL6kjz5kw9OF8Iihe8GijJQfwdS2pTKIboN5e5hUk/edit?gid=1996990278#gid=1996990278"",""2025-26!ao4"")"),0.0)</f>
        <v>0</v>
      </c>
      <c r="CK208" s="55">
        <f>IFERROR(__xludf.DUMMYFUNCTION("importrange(""https://docs.google.com/spreadsheets/d/1MhtL6kjz5kw9OF8Iihe8GijJQfwdS2pTKIboN5e5hUk/edit?gid=1996990278#gid=1996990278"",""2025-26!ao3"")"),0.0)</f>
        <v>0</v>
      </c>
      <c r="CL208" s="59" t="str">
        <f t="shared" si="66"/>
        <v/>
      </c>
      <c r="CM208" s="55">
        <f>IFERROR(__xludf.DUMMYFUNCTION("importrange(""https://docs.google.com/spreadsheets/d/1MhtL6kjz5kw9OF8Iihe8GijJQfwdS2pTKIboN5e5hUk/edit?gid=1996990278#gid=1996990278"",""2025-26!ap4"")"),0.0)</f>
        <v>0</v>
      </c>
      <c r="CN208" s="55">
        <f>IFERROR(__xludf.DUMMYFUNCTION("importrange(""https://docs.google.com/spreadsheets/d/1MhtL6kjz5kw9OF8Iihe8GijJQfwdS2pTKIboN5e5hUk/edit?gid=1996990278#gid=1996990278"",""2025-26!ap3"")"),0.0)</f>
        <v>0</v>
      </c>
      <c r="CO208" s="55">
        <f>IFERROR(__xludf.DUMMYFUNCTION("importrange(""https://docs.google.com/spreadsheets/d/1MhtL6kjz5kw9OF8Iihe8GijJQfwdS2pTKIboN5e5hUk/edit?gid=1996990278#gid=1996990278"",""2025-26!aq4"")"),0.0)</f>
        <v>0</v>
      </c>
      <c r="CP208" s="55">
        <f>IFERROR(__xludf.DUMMYFUNCTION("importrange(""https://docs.google.com/spreadsheets/d/1MhtL6kjz5kw9OF8Iihe8GijJQfwdS2pTKIboN5e5hUk/edit?gid=1996990278#gid=1996990278"",""2025-26!aq3"")"),0.0)</f>
        <v>0</v>
      </c>
      <c r="CQ208" s="55">
        <f>IFERROR(__xludf.DUMMYFUNCTION("importrange(""https://docs.google.com/spreadsheets/d/1MhtL6kjz5kw9OF8Iihe8GijJQfwdS2pTKIboN5e5hUk/edit?gid=1996990278#gid=1996990278"",""2025-26!ar4"")"),0.0)</f>
        <v>0</v>
      </c>
      <c r="CR208" s="55">
        <f>IFERROR(__xludf.DUMMYFUNCTION("importrange(""https://docs.google.com/spreadsheets/d/1MhtL6kjz5kw9OF8Iihe8GijJQfwdS2pTKIboN5e5hUk/edit?gid=1996990278#gid=1996990278"",""2025-26!ar3"")"),0.0)</f>
        <v>0</v>
      </c>
      <c r="CS208" s="59" t="str">
        <f t="shared" si="67"/>
        <v/>
      </c>
      <c r="CT208" s="55">
        <f>IFERROR(__xludf.DUMMYFUNCTION("importrange(""https://docs.google.com/spreadsheets/d/1MhtL6kjz5kw9OF8Iihe8GijJQfwdS2pTKIboN5e5hUk/edit?gid=1996990278#gid=1996990278"",""2025-26!as4"")"),0.0)</f>
        <v>0</v>
      </c>
      <c r="CU208" s="55">
        <f>IFERROR(__xludf.DUMMYFUNCTION("importrange(""https://docs.google.com/spreadsheets/d/1MhtL6kjz5kw9OF8Iihe8GijJQfwdS2pTKIboN5e5hUk/edit?gid=1996990278#gid=1996990278"",""2025-26!as3"")"),0.0)</f>
        <v>0</v>
      </c>
      <c r="CV208" s="60" t="s">
        <v>189</v>
      </c>
    </row>
    <row r="209">
      <c r="A209" s="134" t="s">
        <v>47</v>
      </c>
      <c r="B209" s="134" t="s">
        <v>47</v>
      </c>
      <c r="C209" s="130" t="s">
        <v>420</v>
      </c>
      <c r="D209" s="49" t="s">
        <v>421</v>
      </c>
      <c r="E209" s="50">
        <v>7.876072925E9</v>
      </c>
      <c r="F209" s="51">
        <v>45411.0</v>
      </c>
      <c r="G209" s="62"/>
      <c r="H209" s="62"/>
      <c r="I209" s="53">
        <f>VLOOKUP($C209,Data!$C:$BV,72,0)</f>
        <v>27784</v>
      </c>
      <c r="J209" s="54">
        <v>583333.0</v>
      </c>
      <c r="K209" s="55">
        <f>IFERROR(__xludf.DUMMYFUNCTION("IMPORTRANGE(""14jfqVqr9SYA1Mxz_Dng8_Y7-MoVXkBZmFUjBs4BUQN4"",""2025-26!A3"")"),94.0)</f>
        <v>94</v>
      </c>
      <c r="L209" s="55">
        <f>IFERROR(__xludf.DUMMYFUNCTION("IMPORTRANGE(""14jfqVqr9SYA1Mxz_Dng8_Y7-MoVXkBZmFUjBs4BUQN4"",""2025-26!G4"")"),6962500.0)</f>
        <v>6962500</v>
      </c>
      <c r="M209" s="55">
        <f t="shared" ref="M209:M211" si="90">R209+Y209+AF209+AM209+AT209+BA209+BH209+BO209+BV209+CC209+CJ209+CQ209</f>
        <v>1467822</v>
      </c>
      <c r="N209" s="56">
        <f t="shared" ref="N209:N211" si="91">O209/L209</f>
        <v>0.1395811289</v>
      </c>
      <c r="O209" s="57">
        <f t="shared" ref="O209:O211" si="92">U209+AB209+AI209+AP209+AW209+BD209+BK209+BR209+BY209+CF209+CM209+CT209</f>
        <v>971833.61</v>
      </c>
      <c r="P209" s="55">
        <f>IFERROR(__xludf.DUMMYFUNCTION("IMPORTRANGE(""14jfqVqr9SYA1Mxz_Dng8_Y7-MoVXkBZmFUjBs4BUQN4"",""2025-26!J4"")"),507000.0)</f>
        <v>507000</v>
      </c>
      <c r="Q209" s="55">
        <f>IFERROR(__xludf.DUMMYFUNCTION("IMPORTRANGE(""14jfqVqr9SYA1Mxz_Dng8_Y7-MoVXkBZmFUjBs4BUQN4"",""2025-26!J3"")"),46.0)</f>
        <v>46</v>
      </c>
      <c r="R209" s="55">
        <f>IFERROR(__xludf.DUMMYFUNCTION("IMPORTRANGE(""14jfqVqr9SYA1Mxz_Dng8_Y7-MoVXkBZmFUjBs4BUQN4"",""2025-26!K4"")"),250866.59999999998)</f>
        <v>250866.6</v>
      </c>
      <c r="S209" s="55">
        <f>IFERROR(__xludf.DUMMYFUNCTION("IMPORTRANGE(""14jfqVqr9SYA1Mxz_Dng8_Y7-MoVXkBZmFUjBs4BUQN4"",""2025-26!K3"")"),13.0)</f>
        <v>13</v>
      </c>
      <c r="T209" s="58">
        <f t="shared" si="56"/>
        <v>0.4954714004</v>
      </c>
      <c r="U209" s="55">
        <f>IFERROR(__xludf.DUMMYFUNCTION("IMPORTRANGE(""14jfqVqr9SYA1Mxz_Dng8_Y7-MoVXkBZmFUjBs4BUQN4"",""2025-26!L4"")"),251204.0)</f>
        <v>251204</v>
      </c>
      <c r="V209" s="55">
        <f>IFERROR(__xludf.DUMMYFUNCTION("IMPORTRANGE(""14jfqVqr9SYA1Mxz_Dng8_Y7-MoVXkBZmFUjBs4BUQN4"",""2025-26!L3"")"),12.0)</f>
        <v>12</v>
      </c>
      <c r="W209" s="55">
        <f>IFERROR(__xludf.DUMMYFUNCTION("IMPORTRANGE(""14jfqVqr9SYA1Mxz_Dng8_Y7-MoVXkBZmFUjBs4BUQN4"",""2025-26!m4"")"),500000.0)</f>
        <v>500000</v>
      </c>
      <c r="X209" s="55">
        <f>IFERROR(__xludf.DUMMYFUNCTION("IMPORTRANGE(""14jfqVqr9SYA1Mxz_Dng8_Y7-MoVXkBZmFUjBs4BUQN4"",""2025-26!m3"")"),36.0)</f>
        <v>36</v>
      </c>
      <c r="Y209" s="55">
        <f>IFERROR(__xludf.DUMMYFUNCTION("IMPORTRANGE(""14jfqVqr9SYA1Mxz_Dng8_Y7-MoVXkBZmFUjBs4BUQN4"",""2025-26!N4"")"),453884.8)</f>
        <v>453884.8</v>
      </c>
      <c r="Z209" s="55">
        <f>IFERROR(__xludf.DUMMYFUNCTION("IMPORTRANGE(""14jfqVqr9SYA1Mxz_Dng8_Y7-MoVXkBZmFUjBs4BUQN4"",""2025-26!N3"")"),12.0)</f>
        <v>12</v>
      </c>
      <c r="AA209" s="58">
        <f t="shared" si="57"/>
        <v>1.096474</v>
      </c>
      <c r="AB209" s="55">
        <f>IFERROR(__xludf.DUMMYFUNCTION("IMPORTRANGE(""14jfqVqr9SYA1Mxz_Dng8_Y7-MoVXkBZmFUjBs4BUQN4"",""2025-26!O4"")"),548237.0)</f>
        <v>548237</v>
      </c>
      <c r="AC209" s="55">
        <f>IFERROR(__xludf.DUMMYFUNCTION("IMPORTRANGE(""14jfqVqr9SYA1Mxz_Dng8_Y7-MoVXkBZmFUjBs4BUQN4"",""2025-26!O3"")"),19.0)</f>
        <v>19</v>
      </c>
      <c r="AD209" s="55">
        <f>IFERROR(__xludf.DUMMYFUNCTION("IMPORTRANGE(""14jfqVqr9SYA1Mxz_Dng8_Y7-MoVXkBZmFUjBs4BUQN4"",""2025-26!P4"")"),620000.0)</f>
        <v>620000</v>
      </c>
      <c r="AE209" s="55">
        <f>IFERROR(__xludf.DUMMYFUNCTION("IMPORTRANGE(""14jfqVqr9SYA1Mxz_Dng8_Y7-MoVXkBZmFUjBs4BUQN4"",""2025-26!P3"")"),47.0)</f>
        <v>47</v>
      </c>
      <c r="AF209" s="55">
        <f>IFERROR(__xludf.DUMMYFUNCTION("IMPORTRANGE(""14jfqVqr9SYA1Mxz_Dng8_Y7-MoVXkBZmFUjBs4BUQN4"",""2025-26!Q4"")"),344818.7)</f>
        <v>344818.7</v>
      </c>
      <c r="AG209" s="55">
        <f>IFERROR(__xludf.DUMMYFUNCTION("IMPORTRANGE(""14jfqVqr9SYA1Mxz_Dng8_Y7-MoVXkBZmFUjBs4BUQN4"",""2025-26!Q3"")"),14.0)</f>
        <v>14</v>
      </c>
      <c r="AH209" s="58">
        <f t="shared" si="58"/>
        <v>0.2780525968</v>
      </c>
      <c r="AI209" s="55">
        <f>IFERROR(__xludf.DUMMYFUNCTION("IMPORTRANGE(""14jfqVqr9SYA1Mxz_Dng8_Y7-MoVXkBZmFUjBs4BUQN4"",""2025-26!R4"")"),172392.61)</f>
        <v>172392.61</v>
      </c>
      <c r="AJ209" s="55">
        <f>IFERROR(__xludf.DUMMYFUNCTION("IMPORTRANGE(""14jfqVqr9SYA1Mxz_Dng8_Y7-MoVXkBZmFUjBs4BUQN4"",""2025-26!R3"")"),10.0)</f>
        <v>10</v>
      </c>
      <c r="AK209" s="55">
        <f>IFERROR(__xludf.DUMMYFUNCTION("IMPORTRANGE(""14jfqVqr9SYA1Mxz_Dng8_Y7-MoVXkBZmFUjBs4BUQN4"",""2025-26!S4"")"),535000.0)</f>
        <v>535000</v>
      </c>
      <c r="AL209" s="55">
        <f>IFERROR(__xludf.DUMMYFUNCTION("IMPORTRANGE(""14jfqVqr9SYA1Mxz_Dng8_Y7-MoVXkBZmFUjBs4BUQN4"",""2025-26!S3"")"),30.0)</f>
        <v>30</v>
      </c>
      <c r="AM209" s="55">
        <f>IFERROR(__xludf.DUMMYFUNCTION("IMPORTRANGE(""14jfqVqr9SYA1Mxz_Dng8_Y7-MoVXkBZmFUjBs4BUQN4"",""2025-26!T4"")"),418251.9)</f>
        <v>418251.9</v>
      </c>
      <c r="AN209" s="55">
        <f>IFERROR(__xludf.DUMMYFUNCTION("IMPORTRANGE(""14jfqVqr9SYA1Mxz_Dng8_Y7-MoVXkBZmFUjBs4BUQN4"",""2025-26!T3"")"),16.0)</f>
        <v>16</v>
      </c>
      <c r="AO209" s="58">
        <f t="shared" si="59"/>
        <v>0</v>
      </c>
      <c r="AP209" s="55">
        <f>IFERROR(__xludf.DUMMYFUNCTION("IMPORTRANGE(""14jfqVqr9SYA1Mxz_Dng8_Y7-MoVXkBZmFUjBs4BUQN4"",""2025-26!U4"")"),0.0)</f>
        <v>0</v>
      </c>
      <c r="AQ209" s="55">
        <f>IFERROR(__xludf.DUMMYFUNCTION("IMPORTRANGE(""14jfqVqr9SYA1Mxz_Dng8_Y7-MoVXkBZmFUjBs4BUQN4"",""2025-26!U3"")"),0.0)</f>
        <v>0</v>
      </c>
      <c r="AR209" s="55">
        <f>IFERROR(__xludf.DUMMYFUNCTION("IMPORTRANGE(""14jfqVqr9SYA1Mxz_Dng8_Y7-MoVXkBZmFUjBs4BUQN4"",""2025-26!V4"")"),0.0)</f>
        <v>0</v>
      </c>
      <c r="AS209" s="55">
        <f>IFERROR(__xludf.DUMMYFUNCTION("IMPORTRANGE(""14jfqVqr9SYA1Mxz_Dng8_Y7-MoVXkBZmFUjBs4BUQN4"",""2025-26!V3"")"),0.0)</f>
        <v>0</v>
      </c>
      <c r="AT209" s="55">
        <f>IFERROR(__xludf.DUMMYFUNCTION("IMPORTRANGE(""14jfqVqr9SYA1Mxz_Dng8_Y7-MoVXkBZmFUjBs4BUQN4"",""2025-26!W4"")"),0.0)</f>
        <v>0</v>
      </c>
      <c r="AU209" s="55">
        <f>IFERROR(__xludf.DUMMYFUNCTION("IMPORTRANGE(""14jfqVqr9SYA1Mxz_Dng8_Y7-MoVXkBZmFUjBs4BUQN4"",""2025-26!W3"")"),0.0)</f>
        <v>0</v>
      </c>
      <c r="AV209" s="58" t="str">
        <f t="shared" si="60"/>
        <v/>
      </c>
      <c r="AW209" s="55">
        <f>IFERROR(__xludf.DUMMYFUNCTION("IMPORTRANGE(""14jfqVqr9SYA1Mxz_Dng8_Y7-MoVXkBZmFUjBs4BUQN4"",""2025-26!X4"")"),0.0)</f>
        <v>0</v>
      </c>
      <c r="AX209" s="55">
        <f>IFERROR(__xludf.DUMMYFUNCTION("IMPORTRANGE(""14jfqVqr9SYA1Mxz_Dng8_Y7-MoVXkBZmFUjBs4BUQN4"",""2025-26!X3"")"),0.0)</f>
        <v>0</v>
      </c>
      <c r="AY209" s="55">
        <f>IFERROR(__xludf.DUMMYFUNCTION("IMPORTRANGE(""14jfqVqr9SYA1Mxz_Dng8_Y7-MoVXkBZmFUjBs4BUQN4"",""2025-26!Y4"")"),0.0)</f>
        <v>0</v>
      </c>
      <c r="AZ209" s="55">
        <f>IFERROR(__xludf.DUMMYFUNCTION("IMPORTRANGE(""14jfqVqr9SYA1Mxz_Dng8_Y7-MoVXkBZmFUjBs4BUQN4"",""2025-26!Y3"")"),0.0)</f>
        <v>0</v>
      </c>
      <c r="BA209" s="55">
        <f>IFERROR(__xludf.DUMMYFUNCTION("IMPORTRANGE(""14jfqVqr9SYA1Mxz_Dng8_Y7-MoVXkBZmFUjBs4BUQN4"",""2025-26!Z4"")"),0.0)</f>
        <v>0</v>
      </c>
      <c r="BB209" s="55">
        <f>IFERROR(__xludf.DUMMYFUNCTION("IMPORTRANGE(""14jfqVqr9SYA1Mxz_Dng8_Y7-MoVXkBZmFUjBs4BUQN4"",""2025-26!Z3"")"),0.0)</f>
        <v>0</v>
      </c>
      <c r="BC209" s="59" t="str">
        <f t="shared" si="61"/>
        <v/>
      </c>
      <c r="BD209" s="55">
        <f>IFERROR(__xludf.DUMMYFUNCTION("IMPORTRANGE(""14jfqVqr9SYA1Mxz_Dng8_Y7-MoVXkBZmFUjBs4BUQN4"",""2025-26!AA4"")"),0.0)</f>
        <v>0</v>
      </c>
      <c r="BE209" s="55">
        <f>IFERROR(__xludf.DUMMYFUNCTION("IMPORTRANGE(""14jfqVqr9SYA1Mxz_Dng8_Y7-MoVXkBZmFUjBs4BUQN4"",""2025-26!AA3"")"),0.0)</f>
        <v>0</v>
      </c>
      <c r="BF209" s="55">
        <f>IFERROR(__xludf.DUMMYFUNCTION("IMPORTRANGE(""14jfqVqr9SYA1Mxz_Dng8_Y7-MoVXkBZmFUjBs4BUQN4"",""2025-26!AB4"")"),0.0)</f>
        <v>0</v>
      </c>
      <c r="BG209" s="55">
        <f>IFERROR(__xludf.DUMMYFUNCTION("IMPORTRANGE(""14jfqVqr9SYA1Mxz_Dng8_Y7-MoVXkBZmFUjBs4BUQN4"",""2025-26!AB3"")"),0.0)</f>
        <v>0</v>
      </c>
      <c r="BH209" s="55">
        <f>IFERROR(__xludf.DUMMYFUNCTION("IMPORTRANGE(""14jfqVqr9SYA1Mxz_Dng8_Y7-MoVXkBZmFUjBs4BUQN4"",""2025-26!AC4"")"),0.0)</f>
        <v>0</v>
      </c>
      <c r="BI209" s="55">
        <f>IFERROR(__xludf.DUMMYFUNCTION("IMPORTRANGE(""14jfqVqr9SYA1Mxz_Dng8_Y7-MoVXkBZmFUjBs4BUQN4"",""2025-26!AC3"")"),0.0)</f>
        <v>0</v>
      </c>
      <c r="BJ209" s="59" t="str">
        <f t="shared" si="62"/>
        <v/>
      </c>
      <c r="BK209" s="55">
        <f>IFERROR(__xludf.DUMMYFUNCTION("IMPORTRANGE(""14jfqVqr9SYA1Mxz_Dng8_Y7-MoVXkBZmFUjBs4BUQN4"",""2025-26!AD4"")"),0.0)</f>
        <v>0</v>
      </c>
      <c r="BL209" s="55">
        <f>IFERROR(__xludf.DUMMYFUNCTION("IMPORTRANGE(""14jfqVqr9SYA1Mxz_Dng8_Y7-MoVXkBZmFUjBs4BUQN4"",""2025-26!AD3"")"),0.0)</f>
        <v>0</v>
      </c>
      <c r="BM209" s="55">
        <f>IFERROR(__xludf.DUMMYFUNCTION("IMPORTRANGE(""14jfqVqr9SYA1Mxz_Dng8_Y7-MoVXkBZmFUjBs4BUQN4"",""2025-26!AE4"")"),0.0)</f>
        <v>0</v>
      </c>
      <c r="BN209" s="55">
        <f>IFERROR(__xludf.DUMMYFUNCTION("IMPORTRANGE(""14jfqVqr9SYA1Mxz_Dng8_Y7-MoVXkBZmFUjBs4BUQN4"",""2025-26!AE3"")"),0.0)</f>
        <v>0</v>
      </c>
      <c r="BO209" s="55">
        <f>IFERROR(__xludf.DUMMYFUNCTION("IMPORTRANGE(""14jfqVqr9SYA1Mxz_Dng8_Y7-MoVXkBZmFUjBs4BUQN4"",""2025-26!AF4"")"),0.0)</f>
        <v>0</v>
      </c>
      <c r="BP209" s="55">
        <f>IFERROR(__xludf.DUMMYFUNCTION("IMPORTRANGE(""14jfqVqr9SYA1Mxz_Dng8_Y7-MoVXkBZmFUjBs4BUQN4"",""2025-26!AF3"")"),0.0)</f>
        <v>0</v>
      </c>
      <c r="BQ209" s="59" t="str">
        <f t="shared" si="63"/>
        <v/>
      </c>
      <c r="BR209" s="55">
        <f>IFERROR(__xludf.DUMMYFUNCTION("IMPORTRANGE(""14jfqVqr9SYA1Mxz_Dng8_Y7-MoVXkBZmFUjBs4BUQN4"",""2025-26!AG4"")"),0.0)</f>
        <v>0</v>
      </c>
      <c r="BS209" s="55">
        <f>IFERROR(__xludf.DUMMYFUNCTION("IMPORTRANGE(""14jfqVqr9SYA1Mxz_Dng8_Y7-MoVXkBZmFUjBs4BUQN4"",""2025-26!AG3"")"),0.0)</f>
        <v>0</v>
      </c>
      <c r="BT209" s="55">
        <f>IFERROR(__xludf.DUMMYFUNCTION("IMPORTRANGE(""14jfqVqr9SYA1Mxz_Dng8_Y7-MoVXkBZmFUjBs4BUQN4"",""2025-26!AH4"")"),0.0)</f>
        <v>0</v>
      </c>
      <c r="BU209" s="55">
        <f>IFERROR(__xludf.DUMMYFUNCTION("IMPORTRANGE(""14jfqVqr9SYA1Mxz_Dng8_Y7-MoVXkBZmFUjBs4BUQN4"",""2025-26!AH3"")"),0.0)</f>
        <v>0</v>
      </c>
      <c r="BV209" s="55">
        <f>IFERROR(__xludf.DUMMYFUNCTION("IMPORTRANGE(""14jfqVqr9SYA1Mxz_Dng8_Y7-MoVXkBZmFUjBs4BUQN4"",""2025-26!AI4"")"),0.0)</f>
        <v>0</v>
      </c>
      <c r="BW209" s="55">
        <f>IFERROR(__xludf.DUMMYFUNCTION("IMPORTRANGE(""14jfqVqr9SYA1Mxz_Dng8_Y7-MoVXkBZmFUjBs4BUQN4"",""2025-26!AI3"")"),0.0)</f>
        <v>0</v>
      </c>
      <c r="BX209" s="59" t="str">
        <f t="shared" si="64"/>
        <v/>
      </c>
      <c r="BY209" s="55">
        <f>IFERROR(__xludf.DUMMYFUNCTION("IMPORTRANGE(""14jfqVqr9SYA1Mxz_Dng8_Y7-MoVXkBZmFUjBs4BUQN4"",""2025-26!AJ4"")"),0.0)</f>
        <v>0</v>
      </c>
      <c r="BZ209" s="55">
        <f>IFERROR(__xludf.DUMMYFUNCTION("IMPORTRANGE(""14jfqVqr9SYA1Mxz_Dng8_Y7-MoVXkBZmFUjBs4BUQN4"",""2025-26!AJ3"")"),0.0)</f>
        <v>0</v>
      </c>
      <c r="CA209" s="55">
        <f>IFERROR(__xludf.DUMMYFUNCTION("IMPORTRANGE(""14jfqVqr9SYA1Mxz_Dng8_Y7-MoVXkBZmFUjBs4BUQN4"",""2025-26!AK4"")"),0.0)</f>
        <v>0</v>
      </c>
      <c r="CB209" s="55">
        <f>IFERROR(__xludf.DUMMYFUNCTION("IMPORTRANGE(""14jfqVqr9SYA1Mxz_Dng8_Y7-MoVXkBZmFUjBs4BUQN4"",""2025-26!AK3"")"),0.0)</f>
        <v>0</v>
      </c>
      <c r="CC209" s="55">
        <f>IFERROR(__xludf.DUMMYFUNCTION("IMPORTRANGE(""14jfqVqr9SYA1Mxz_Dng8_Y7-MoVXkBZmFUjBs4BUQN4"",""2025-26!AL4"")"),0.0)</f>
        <v>0</v>
      </c>
      <c r="CD209" s="55">
        <f>IFERROR(__xludf.DUMMYFUNCTION("IMPORTRANGE(""14jfqVqr9SYA1Mxz_Dng8_Y7-MoVXkBZmFUjBs4BUQN4"",""2025-26!AL3"")"),0.0)</f>
        <v>0</v>
      </c>
      <c r="CE209" s="59" t="str">
        <f t="shared" si="65"/>
        <v/>
      </c>
      <c r="CF209" s="55">
        <f>IFERROR(__xludf.DUMMYFUNCTION("IMPORTRANGE(""14jfqVqr9SYA1Mxz_Dng8_Y7-MoVXkBZmFUjBs4BUQN4"",""2025-26!AM4"")"),0.0)</f>
        <v>0</v>
      </c>
      <c r="CG209" s="55">
        <f>IFERROR(__xludf.DUMMYFUNCTION("IMPORTRANGE(""14jfqVqr9SYA1Mxz_Dng8_Y7-MoVXkBZmFUjBs4BUQN4"",""2025-26!AM3"")"),0.0)</f>
        <v>0</v>
      </c>
      <c r="CH209" s="55">
        <f>IFERROR(__xludf.DUMMYFUNCTION("IMPORTRANGE(""14jfqVqr9SYA1Mxz_Dng8_Y7-MoVXkBZmFUjBs4BUQN4"",""2025-26!AN4"")"),0.0)</f>
        <v>0</v>
      </c>
      <c r="CI209" s="55">
        <f>IFERROR(__xludf.DUMMYFUNCTION("IMPORTRANGE(""14jfqVqr9SYA1Mxz_Dng8_Y7-MoVXkBZmFUjBs4BUQN4"",""2025-26!AN3"")"),0.0)</f>
        <v>0</v>
      </c>
      <c r="CJ209" s="55">
        <f>IFERROR(__xludf.DUMMYFUNCTION("IMPORTRANGE(""14jfqVqr9SYA1Mxz_Dng8_Y7-MoVXkBZmFUjBs4BUQN4"",""2025-26!AO4"")"),0.0)</f>
        <v>0</v>
      </c>
      <c r="CK209" s="55">
        <f>IFERROR(__xludf.DUMMYFUNCTION("IMPORTRANGE(""14jfqVqr9SYA1Mxz_Dng8_Y7-MoVXkBZmFUjBs4BUQN4"",""2025-26!AO3"")"),0.0)</f>
        <v>0</v>
      </c>
      <c r="CL209" s="59" t="str">
        <f t="shared" si="66"/>
        <v/>
      </c>
      <c r="CM209" s="55">
        <f>IFERROR(__xludf.DUMMYFUNCTION("IMPORTRANGE(""14jfqVqr9SYA1Mxz_Dng8_Y7-MoVXkBZmFUjBs4BUQN4"",""2025-26!AP4"")"),0.0)</f>
        <v>0</v>
      </c>
      <c r="CN209" s="55">
        <f>IFERROR(__xludf.DUMMYFUNCTION("IMPORTRANGE(""14jfqVqr9SYA1Mxz_Dng8_Y7-MoVXkBZmFUjBs4BUQN4"",""2025-26!AP3"")"),0.0)</f>
        <v>0</v>
      </c>
      <c r="CO209" s="55">
        <f>IFERROR(__xludf.DUMMYFUNCTION("IMPORTRANGE(""14jfqVqr9SYA1Mxz_Dng8_Y7-MoVXkBZmFUjBs4BUQN4"",""2025-26!AQ4"")"),0.0)</f>
        <v>0</v>
      </c>
      <c r="CP209" s="55">
        <f>IFERROR(__xludf.DUMMYFUNCTION("IMPORTRANGE(""14jfqVqr9SYA1Mxz_Dng8_Y7-MoVXkBZmFUjBs4BUQN4"",""2025-26!AQ3"")"),0.0)</f>
        <v>0</v>
      </c>
      <c r="CQ209" s="55">
        <f>IFERROR(__xludf.DUMMYFUNCTION("IMPORTRANGE(""14jfqVqr9SYA1Mxz_Dng8_Y7-MoVXkBZmFUjBs4BUQN4"",""2025-26!AR4"")"),0.0)</f>
        <v>0</v>
      </c>
      <c r="CR209" s="55">
        <f>IFERROR(__xludf.DUMMYFUNCTION("IMPORTRANGE(""14jfqVqr9SYA1Mxz_Dng8_Y7-MoVXkBZmFUjBs4BUQN4"",""2025-26!AR3"")"),0.0)</f>
        <v>0</v>
      </c>
      <c r="CS209" s="59" t="str">
        <f t="shared" si="67"/>
        <v/>
      </c>
      <c r="CT209" s="55">
        <f>IFERROR(__xludf.DUMMYFUNCTION("IMPORTRANGE(""14jfqVqr9SYA1Mxz_Dng8_Y7-MoVXkBZmFUjBs4BUQN4"",""2025-26!AS4"")"),0.0)</f>
        <v>0</v>
      </c>
      <c r="CU209" s="55">
        <f>IFERROR(__xludf.DUMMYFUNCTION("IMPORTRANGE(""14jfqVqr9SYA1Mxz_Dng8_Y7-MoVXkBZmFUjBs4BUQN4"",""2025-26!AS3"")"),0.0)</f>
        <v>0</v>
      </c>
      <c r="CV209" s="60" t="s">
        <v>422</v>
      </c>
    </row>
    <row r="210">
      <c r="A210" s="134" t="s">
        <v>47</v>
      </c>
      <c r="B210" s="134" t="s">
        <v>47</v>
      </c>
      <c r="C210" s="136" t="s">
        <v>423</v>
      </c>
      <c r="D210" s="68" t="s">
        <v>421</v>
      </c>
      <c r="E210" s="68">
        <v>9.817112684E9</v>
      </c>
      <c r="F210" s="66">
        <v>45761.0</v>
      </c>
      <c r="G210" s="62"/>
      <c r="H210" s="62"/>
      <c r="I210" s="53">
        <f>VLOOKUP($C210,Data!$C:$BV,72,0)</f>
        <v>24116</v>
      </c>
      <c r="J210" s="54">
        <v>666667.0</v>
      </c>
      <c r="K210" s="55">
        <f>IFERROR(__xludf.DUMMYFUNCTION("IMPORTRANGE(""17brku7jjk_GMsYWAScz5MNZZPzz-2tMl1ARBNFXs5Y0"",""2025-26!A3"")"),63.0)</f>
        <v>63</v>
      </c>
      <c r="L210" s="55">
        <f>IFERROR(__xludf.DUMMYFUNCTION("IMPORTRANGE(""17brku7jjk_GMsYWAScz5MNZZPzz-2tMl1ARBNFXs5Y0"",""2025-26!G4"")"),8700000.0)</f>
        <v>8700000</v>
      </c>
      <c r="M210" s="55">
        <f t="shared" si="90"/>
        <v>2034331.44</v>
      </c>
      <c r="N210" s="56">
        <f t="shared" si="91"/>
        <v>0.1528576057</v>
      </c>
      <c r="O210" s="57">
        <f t="shared" si="92"/>
        <v>1329861.17</v>
      </c>
      <c r="P210" s="55">
        <f>IFERROR(__xludf.DUMMYFUNCTION("IMPORTRANGE(""17brku7jjk_GMsYWAScz5MNZZPzz-2tMl1ARBNFXs5Y0"",""2025-26!J4"")"),218000.0)</f>
        <v>218000</v>
      </c>
      <c r="Q210" s="55">
        <f>IFERROR(__xludf.DUMMYFUNCTION("IMPORTRANGE(""17brku7jjk_GMsYWAScz5MNZZPzz-2tMl1ARBNFXs5Y0"",""2025-26!J3"")"),6.0)</f>
        <v>6</v>
      </c>
      <c r="R210" s="55">
        <f>IFERROR(__xludf.DUMMYFUNCTION("IMPORTRANGE(""17brku7jjk_GMsYWAScz5MNZZPzz-2tMl1ARBNFXs5Y0"",""2025-26!K4"")"),29266.4)</f>
        <v>29266.4</v>
      </c>
      <c r="S210" s="55">
        <f>IFERROR(__xludf.DUMMYFUNCTION("IMPORTRANGE(""17brku7jjk_GMsYWAScz5MNZZPzz-2tMl1ARBNFXs5Y0"",""2025-26!K3"")"),1.0)</f>
        <v>1</v>
      </c>
      <c r="T210" s="58">
        <f t="shared" si="56"/>
        <v>0</v>
      </c>
      <c r="U210" s="55">
        <f>IFERROR(__xludf.DUMMYFUNCTION("IMPORTRANGE(""17brku7jjk_GMsYWAScz5MNZZPzz-2tMl1ARBNFXs5Y0"",""2025-26!L4"")"),0.0)</f>
        <v>0</v>
      </c>
      <c r="V210" s="55">
        <f>IFERROR(__xludf.DUMMYFUNCTION("IMPORTRANGE(""17brku7jjk_GMsYWAScz5MNZZPzz-2tMl1ARBNFXs5Y0"",""2025-26!L3"")"),0.0)</f>
        <v>0</v>
      </c>
      <c r="W210" s="55">
        <f>IFERROR(__xludf.DUMMYFUNCTION("IMPORTRANGE(""17brku7jjk_GMsYWAScz5MNZZPzz-2tMl1ARBNFXs5Y0"",""2025-26!m4"")"),215000.0)</f>
        <v>215000</v>
      </c>
      <c r="X210" s="55">
        <f>IFERROR(__xludf.DUMMYFUNCTION("IMPORTRANGE(""17brku7jjk_GMsYWAScz5MNZZPzz-2tMl1ARBNFXs5Y0"",""2025-26!m3"")"),6.0)</f>
        <v>6</v>
      </c>
      <c r="Y210" s="55">
        <f>IFERROR(__xludf.DUMMYFUNCTION("IMPORTRANGE(""17brku7jjk_GMsYWAScz5MNZZPzz-2tMl1ARBNFXs5Y0"",""2025-26!N4"")"),149346.40000000002)</f>
        <v>149346.4</v>
      </c>
      <c r="Z210" s="55">
        <f>IFERROR(__xludf.DUMMYFUNCTION("IMPORTRANGE(""17brku7jjk_GMsYWAScz5MNZZPzz-2tMl1ARBNFXs5Y0"",""2025-26!N3"")"),3.0)</f>
        <v>3</v>
      </c>
      <c r="AA210" s="58">
        <f t="shared" si="57"/>
        <v>0.9588274419</v>
      </c>
      <c r="AB210" s="55">
        <f>IFERROR(__xludf.DUMMYFUNCTION("IMPORTRANGE(""17brku7jjk_GMsYWAScz5MNZZPzz-2tMl1ARBNFXs5Y0"",""2025-26!O4"")"),206147.9)</f>
        <v>206147.9</v>
      </c>
      <c r="AC210" s="55">
        <f>IFERROR(__xludf.DUMMYFUNCTION("IMPORTRANGE(""17brku7jjk_GMsYWAScz5MNZZPzz-2tMl1ARBNFXs5Y0"",""2025-26!O3"")"),4.0)</f>
        <v>4</v>
      </c>
      <c r="AD210" s="55">
        <f>IFERROR(__xludf.DUMMYFUNCTION("IMPORTRANGE(""17brku7jjk_GMsYWAScz5MNZZPzz-2tMl1ARBNFXs5Y0"",""2025-26!P4"")"),218000.0)</f>
        <v>218000</v>
      </c>
      <c r="AE210" s="55">
        <f>IFERROR(__xludf.DUMMYFUNCTION("IMPORTRANGE(""17brku7jjk_GMsYWAScz5MNZZPzz-2tMl1ARBNFXs5Y0"",""2025-26!P3"")"),6.0)</f>
        <v>6</v>
      </c>
      <c r="AF210" s="55">
        <f>IFERROR(__xludf.DUMMYFUNCTION("IMPORTRANGE(""17brku7jjk_GMsYWAScz5MNZZPzz-2tMl1ARBNFXs5Y0"",""2025-26!Q4"")"),280731.88999999996)</f>
        <v>280731.89</v>
      </c>
      <c r="AG210" s="55">
        <f>IFERROR(__xludf.DUMMYFUNCTION("IMPORTRANGE(""17brku7jjk_GMsYWAScz5MNZZPzz-2tMl1ARBNFXs5Y0"",""2025-26!Q3"")"),13.0)</f>
        <v>13</v>
      </c>
      <c r="AH210" s="58">
        <f t="shared" si="58"/>
        <v>0.9877522936</v>
      </c>
      <c r="AI210" s="55">
        <f>IFERROR(__xludf.DUMMYFUNCTION("IMPORTRANGE(""17brku7jjk_GMsYWAScz5MNZZPzz-2tMl1ARBNFXs5Y0"",""2025-26!R4"")"),215330.0)</f>
        <v>215330</v>
      </c>
      <c r="AJ210" s="55">
        <f>IFERROR(__xludf.DUMMYFUNCTION("IMPORTRANGE(""17brku7jjk_GMsYWAScz5MNZZPzz-2tMl1ARBNFXs5Y0"",""2025-26!R3"")"),12.0)</f>
        <v>12</v>
      </c>
      <c r="AK210" s="55">
        <f>IFERROR(__xludf.DUMMYFUNCTION("IMPORTRANGE(""17brku7jjk_GMsYWAScz5MNZZPzz-2tMl1ARBNFXs5Y0"",""2025-26!S4"")"),1440000.0)</f>
        <v>1440000</v>
      </c>
      <c r="AL210" s="55">
        <f>IFERROR(__xludf.DUMMYFUNCTION("IMPORTRANGE(""17brku7jjk_GMsYWAScz5MNZZPzz-2tMl1ARBNFXs5Y0"",""2025-26!S3"")"),32.0)</f>
        <v>32</v>
      </c>
      <c r="AM210" s="55">
        <f>IFERROR(__xludf.DUMMYFUNCTION("IMPORTRANGE(""17brku7jjk_GMsYWAScz5MNZZPzz-2tMl1ARBNFXs5Y0"",""2025-26!T4"")"),549291.8200000001)</f>
        <v>549291.82</v>
      </c>
      <c r="AN210" s="55">
        <f>IFERROR(__xludf.DUMMYFUNCTION("IMPORTRANGE(""17brku7jjk_GMsYWAScz5MNZZPzz-2tMl1ARBNFXs5Y0"",""2025-26!T3"")"),22.0)</f>
        <v>22</v>
      </c>
      <c r="AO210" s="58">
        <f t="shared" si="59"/>
        <v>0.2766207431</v>
      </c>
      <c r="AP210" s="55">
        <f>IFERROR(__xludf.DUMMYFUNCTION("IMPORTRANGE(""17brku7jjk_GMsYWAScz5MNZZPzz-2tMl1ARBNFXs5Y0"",""2025-26!U4"")"),398333.86999999994)</f>
        <v>398333.87</v>
      </c>
      <c r="AQ210" s="55">
        <f>IFERROR(__xludf.DUMMYFUNCTION("IMPORTRANGE(""17brku7jjk_GMsYWAScz5MNZZPzz-2tMl1ARBNFXs5Y0"",""2025-26!U3"")"),21.0)</f>
        <v>21</v>
      </c>
      <c r="AR210" s="55">
        <f>IFERROR(__xludf.DUMMYFUNCTION("IMPORTRANGE(""17brku7jjk_GMsYWAScz5MNZZPzz-2tMl1ARBNFXs5Y0"",""2025-26!V4"")"),1680000.0)</f>
        <v>1680000</v>
      </c>
      <c r="AS210" s="55">
        <f>IFERROR(__xludf.DUMMYFUNCTION("IMPORTRANGE(""17brku7jjk_GMsYWAScz5MNZZPzz-2tMl1ARBNFXs5Y0"",""2025-26!V3"")"),31.0)</f>
        <v>31</v>
      </c>
      <c r="AT210" s="55">
        <f>IFERROR(__xludf.DUMMYFUNCTION("IMPORTRANGE(""17brku7jjk_GMsYWAScz5MNZZPzz-2tMl1ARBNFXs5Y0"",""2025-26!W4"")"),582587.72)</f>
        <v>582587.72</v>
      </c>
      <c r="AU210" s="55">
        <f>IFERROR(__xludf.DUMMYFUNCTION("IMPORTRANGE(""17brku7jjk_GMsYWAScz5MNZZPzz-2tMl1ARBNFXs5Y0"",""2025-26!W3"")"),25.0)</f>
        <v>25</v>
      </c>
      <c r="AV210" s="58">
        <f t="shared" si="60"/>
        <v>0.2536329762</v>
      </c>
      <c r="AW210" s="55">
        <f>IFERROR(__xludf.DUMMYFUNCTION("IMPORTRANGE(""17brku7jjk_GMsYWAScz5MNZZPzz-2tMl1ARBNFXs5Y0"",""2025-26!X4"")"),426103.4)</f>
        <v>426103.4</v>
      </c>
      <c r="AX210" s="55">
        <f>IFERROR(__xludf.DUMMYFUNCTION("IMPORTRANGE(""17brku7jjk_GMsYWAScz5MNZZPzz-2tMl1ARBNFXs5Y0"",""2025-26!X3"")"),20.0)</f>
        <v>20</v>
      </c>
      <c r="AY210" s="55">
        <f>IFERROR(__xludf.DUMMYFUNCTION("IMPORTRANGE(""17brku7jjk_GMsYWAScz5MNZZPzz-2tMl1ARBNFXs5Y0"",""2025-26!Y4"")"),2435000.0)</f>
        <v>2435000</v>
      </c>
      <c r="AZ210" s="55">
        <f>IFERROR(__xludf.DUMMYFUNCTION("IMPORTRANGE(""17brku7jjk_GMsYWAScz5MNZZPzz-2tMl1ARBNFXs5Y0"",""2025-26!Y3"")"),32.0)</f>
        <v>32</v>
      </c>
      <c r="BA210" s="55">
        <f>IFERROR(__xludf.DUMMYFUNCTION("IMPORTRANGE(""17brku7jjk_GMsYWAScz5MNZZPzz-2tMl1ARBNFXs5Y0"",""2025-26!Z4"")"),399248.58999999997)</f>
        <v>399248.59</v>
      </c>
      <c r="BB210" s="55">
        <f>IFERROR(__xludf.DUMMYFUNCTION("IMPORTRANGE(""17brku7jjk_GMsYWAScz5MNZZPzz-2tMl1ARBNFXs5Y0"",""2025-26!Z3"")"),17.0)</f>
        <v>17</v>
      </c>
      <c r="BC210" s="59">
        <f t="shared" si="61"/>
        <v>0.03447474333</v>
      </c>
      <c r="BD210" s="55">
        <f>IFERROR(__xludf.DUMMYFUNCTION("IMPORTRANGE(""17brku7jjk_GMsYWAScz5MNZZPzz-2tMl1ARBNFXs5Y0"",""2025-26!AA4"")"),83946.0)</f>
        <v>83946</v>
      </c>
      <c r="BE210" s="55">
        <f>IFERROR(__xludf.DUMMYFUNCTION("IMPORTRANGE(""17brku7jjk_GMsYWAScz5MNZZPzz-2tMl1ARBNFXs5Y0"",""2025-26!AA3"")"),4.0)</f>
        <v>4</v>
      </c>
      <c r="BF210" s="55">
        <f>IFERROR(__xludf.DUMMYFUNCTION("IMPORTRANGE(""17brku7jjk_GMsYWAScz5MNZZPzz-2tMl1ARBNFXs5Y0"",""2025-26!AB4"")"),0.0)</f>
        <v>0</v>
      </c>
      <c r="BG210" s="55">
        <f>IFERROR(__xludf.DUMMYFUNCTION("IMPORTRANGE(""17brku7jjk_GMsYWAScz5MNZZPzz-2tMl1ARBNFXs5Y0"",""2025-26!AB3"")"),0.0)</f>
        <v>0</v>
      </c>
      <c r="BH210" s="55">
        <f>IFERROR(__xludf.DUMMYFUNCTION("IMPORTRANGE(""17brku7jjk_GMsYWAScz5MNZZPzz-2tMl1ARBNFXs5Y0"",""2025-26!AC4"")"),43858.619999999995)</f>
        <v>43858.62</v>
      </c>
      <c r="BI210" s="55">
        <f>IFERROR(__xludf.DUMMYFUNCTION("IMPORTRANGE(""17brku7jjk_GMsYWAScz5MNZZPzz-2tMl1ARBNFXs5Y0"",""2025-26!AC3"")"),3.0)</f>
        <v>3</v>
      </c>
      <c r="BJ210" s="59" t="str">
        <f t="shared" si="62"/>
        <v/>
      </c>
      <c r="BK210" s="55">
        <f>IFERROR(__xludf.DUMMYFUNCTION("IMPORTRANGE(""17brku7jjk_GMsYWAScz5MNZZPzz-2tMl1ARBNFXs5Y0"",""2025-26!AD4"")"),0.0)</f>
        <v>0</v>
      </c>
      <c r="BL210" s="55">
        <f>IFERROR(__xludf.DUMMYFUNCTION("IMPORTRANGE(""17brku7jjk_GMsYWAScz5MNZZPzz-2tMl1ARBNFXs5Y0"",""2025-26!AD3"")"),0.0)</f>
        <v>0</v>
      </c>
      <c r="BM210" s="55">
        <f>IFERROR(__xludf.DUMMYFUNCTION("IMPORTRANGE(""17brku7jjk_GMsYWAScz5MNZZPzz-2tMl1ARBNFXs5Y0"",""2025-26!AE4"")"),0.0)</f>
        <v>0</v>
      </c>
      <c r="BN210" s="55">
        <f>IFERROR(__xludf.DUMMYFUNCTION("IMPORTRANGE(""17brku7jjk_GMsYWAScz5MNZZPzz-2tMl1ARBNFXs5Y0"",""2025-26!AE3"")"),0.0)</f>
        <v>0</v>
      </c>
      <c r="BO210" s="55">
        <f>IFERROR(__xludf.DUMMYFUNCTION("IMPORTRANGE(""17brku7jjk_GMsYWAScz5MNZZPzz-2tMl1ARBNFXs5Y0"",""2025-26!AF4"")"),0.0)</f>
        <v>0</v>
      </c>
      <c r="BP210" s="55">
        <f>IFERROR(__xludf.DUMMYFUNCTION("IMPORTRANGE(""17brku7jjk_GMsYWAScz5MNZZPzz-2tMl1ARBNFXs5Y0"",""2025-26!AF3"")"),0.0)</f>
        <v>0</v>
      </c>
      <c r="BQ210" s="59" t="str">
        <f t="shared" si="63"/>
        <v/>
      </c>
      <c r="BR210" s="55">
        <f>IFERROR(__xludf.DUMMYFUNCTION("IMPORTRANGE(""17brku7jjk_GMsYWAScz5MNZZPzz-2tMl1ARBNFXs5Y0"",""2025-26!AG4"")"),0.0)</f>
        <v>0</v>
      </c>
      <c r="BS210" s="55">
        <f>IFERROR(__xludf.DUMMYFUNCTION("IMPORTRANGE(""17brku7jjk_GMsYWAScz5MNZZPzz-2tMl1ARBNFXs5Y0"",""2025-26!AG3"")"),0.0)</f>
        <v>0</v>
      </c>
      <c r="BT210" s="55">
        <f>IFERROR(__xludf.DUMMYFUNCTION("IMPORTRANGE(""17brku7jjk_GMsYWAScz5MNZZPzz-2tMl1ARBNFXs5Y0"",""2025-26!AH4"")"),0.0)</f>
        <v>0</v>
      </c>
      <c r="BU210" s="55">
        <f>IFERROR(__xludf.DUMMYFUNCTION("IMPORTRANGE(""17brku7jjk_GMsYWAScz5MNZZPzz-2tMl1ARBNFXs5Y0"",""2025-26!AH3"")"),0.0)</f>
        <v>0</v>
      </c>
      <c r="BV210" s="55">
        <f>IFERROR(__xludf.DUMMYFUNCTION("IMPORTRANGE(""17brku7jjk_GMsYWAScz5MNZZPzz-2tMl1ARBNFXs5Y0"",""2025-26!AI4"")"),0.0)</f>
        <v>0</v>
      </c>
      <c r="BW210" s="55">
        <f>IFERROR(__xludf.DUMMYFUNCTION("IMPORTRANGE(""17brku7jjk_GMsYWAScz5MNZZPzz-2tMl1ARBNFXs5Y0"",""2025-26!AI3"")"),0.0)</f>
        <v>0</v>
      </c>
      <c r="BX210" s="59" t="str">
        <f t="shared" si="64"/>
        <v/>
      </c>
      <c r="BY210" s="55">
        <f>IFERROR(__xludf.DUMMYFUNCTION("IMPORTRANGE(""17brku7jjk_GMsYWAScz5MNZZPzz-2tMl1ARBNFXs5Y0"",""2025-26!AJ4"")"),0.0)</f>
        <v>0</v>
      </c>
      <c r="BZ210" s="55">
        <f>IFERROR(__xludf.DUMMYFUNCTION("IMPORTRANGE(""17brku7jjk_GMsYWAScz5MNZZPzz-2tMl1ARBNFXs5Y0"",""2025-26!AJ3"")"),0.0)</f>
        <v>0</v>
      </c>
      <c r="CA210" s="55">
        <f>IFERROR(__xludf.DUMMYFUNCTION("IMPORTRANGE(""17brku7jjk_GMsYWAScz5MNZZPzz-2tMl1ARBNFXs5Y0"",""2025-26!AK4"")"),0.0)</f>
        <v>0</v>
      </c>
      <c r="CB210" s="55">
        <f>IFERROR(__xludf.DUMMYFUNCTION("IMPORTRANGE(""17brku7jjk_GMsYWAScz5MNZZPzz-2tMl1ARBNFXs5Y0"",""2025-26!AK3"")"),0.0)</f>
        <v>0</v>
      </c>
      <c r="CC210" s="55">
        <f>IFERROR(__xludf.DUMMYFUNCTION("IMPORTRANGE(""17brku7jjk_GMsYWAScz5MNZZPzz-2tMl1ARBNFXs5Y0"",""2025-26!AL4"")"),0.0)</f>
        <v>0</v>
      </c>
      <c r="CD210" s="55">
        <f>IFERROR(__xludf.DUMMYFUNCTION("IMPORTRANGE(""17brku7jjk_GMsYWAScz5MNZZPzz-2tMl1ARBNFXs5Y0"",""2025-26!AL3"")"),0.0)</f>
        <v>0</v>
      </c>
      <c r="CE210" s="59" t="str">
        <f t="shared" si="65"/>
        <v/>
      </c>
      <c r="CF210" s="55">
        <f>IFERROR(__xludf.DUMMYFUNCTION("IMPORTRANGE(""17brku7jjk_GMsYWAScz5MNZZPzz-2tMl1ARBNFXs5Y0"",""2025-26!AM4"")"),0.0)</f>
        <v>0</v>
      </c>
      <c r="CG210" s="55">
        <f>IFERROR(__xludf.DUMMYFUNCTION("IMPORTRANGE(""17brku7jjk_GMsYWAScz5MNZZPzz-2tMl1ARBNFXs5Y0"",""2025-26!AM3"")"),0.0)</f>
        <v>0</v>
      </c>
      <c r="CH210" s="55">
        <f>IFERROR(__xludf.DUMMYFUNCTION("IMPORTRANGE(""17brku7jjk_GMsYWAScz5MNZZPzz-2tMl1ARBNFXs5Y0"",""2025-26!AN4"")"),0.0)</f>
        <v>0</v>
      </c>
      <c r="CI210" s="55">
        <f>IFERROR(__xludf.DUMMYFUNCTION("IMPORTRANGE(""17brku7jjk_GMsYWAScz5MNZZPzz-2tMl1ARBNFXs5Y0"",""2025-26!AN3"")"),0.0)</f>
        <v>0</v>
      </c>
      <c r="CJ210" s="55">
        <f>IFERROR(__xludf.DUMMYFUNCTION("IMPORTRANGE(""17brku7jjk_GMsYWAScz5MNZZPzz-2tMl1ARBNFXs5Y0"",""2025-26!AO4"")"),0.0)</f>
        <v>0</v>
      </c>
      <c r="CK210" s="55">
        <f>IFERROR(__xludf.DUMMYFUNCTION("IMPORTRANGE(""17brku7jjk_GMsYWAScz5MNZZPzz-2tMl1ARBNFXs5Y0"",""2025-26!AO3"")"),0.0)</f>
        <v>0</v>
      </c>
      <c r="CL210" s="59" t="str">
        <f t="shared" si="66"/>
        <v/>
      </c>
      <c r="CM210" s="55">
        <f>IFERROR(__xludf.DUMMYFUNCTION("IMPORTRANGE(""17brku7jjk_GMsYWAScz5MNZZPzz-2tMl1ARBNFXs5Y0"",""2025-26!AP4"")"),0.0)</f>
        <v>0</v>
      </c>
      <c r="CN210" s="55">
        <f>IFERROR(__xludf.DUMMYFUNCTION("IMPORTRANGE(""17brku7jjk_GMsYWAScz5MNZZPzz-2tMl1ARBNFXs5Y0"",""2025-26!AP3"")"),0.0)</f>
        <v>0</v>
      </c>
      <c r="CO210" s="55">
        <f>IFERROR(__xludf.DUMMYFUNCTION("IMPORTRANGE(""17brku7jjk_GMsYWAScz5MNZZPzz-2tMl1ARBNFXs5Y0"",""2025-26!AQ4"")"),0.0)</f>
        <v>0</v>
      </c>
      <c r="CP210" s="55">
        <f>IFERROR(__xludf.DUMMYFUNCTION("IMPORTRANGE(""17brku7jjk_GMsYWAScz5MNZZPzz-2tMl1ARBNFXs5Y0"",""2025-26!AQ3"")"),0.0)</f>
        <v>0</v>
      </c>
      <c r="CQ210" s="55">
        <f>IFERROR(__xludf.DUMMYFUNCTION("IMPORTRANGE(""17brku7jjk_GMsYWAScz5MNZZPzz-2tMl1ARBNFXs5Y0"",""2025-26!AR4"")"),0.0)</f>
        <v>0</v>
      </c>
      <c r="CR210" s="55">
        <f>IFERROR(__xludf.DUMMYFUNCTION("IMPORTRANGE(""17brku7jjk_GMsYWAScz5MNZZPzz-2tMl1ARBNFXs5Y0"",""2025-26!AR3"")"),0.0)</f>
        <v>0</v>
      </c>
      <c r="CS210" s="59" t="str">
        <f t="shared" si="67"/>
        <v/>
      </c>
      <c r="CT210" s="55">
        <f>IFERROR(__xludf.DUMMYFUNCTION("IMPORTRANGE(""17brku7jjk_GMsYWAScz5MNZZPzz-2tMl1ARBNFXs5Y0"",""2025-26!AS4"")"),0.0)</f>
        <v>0</v>
      </c>
      <c r="CU210" s="55">
        <f>IFERROR(__xludf.DUMMYFUNCTION("IMPORTRANGE(""17brku7jjk_GMsYWAScz5MNZZPzz-2tMl1ARBNFXs5Y0"",""2025-26!AS3"")"),0.0)</f>
        <v>0</v>
      </c>
      <c r="CV210" s="60" t="s">
        <v>422</v>
      </c>
    </row>
    <row r="211">
      <c r="A211" s="134" t="s">
        <v>47</v>
      </c>
      <c r="B211" s="134" t="s">
        <v>47</v>
      </c>
      <c r="C211" s="140" t="s">
        <v>424</v>
      </c>
      <c r="D211" s="68" t="s">
        <v>425</v>
      </c>
      <c r="E211" s="68">
        <v>8.679008101E9</v>
      </c>
      <c r="F211" s="78">
        <v>45944.0</v>
      </c>
      <c r="G211" s="62"/>
      <c r="H211" s="62"/>
      <c r="I211" s="53"/>
      <c r="J211" s="54"/>
      <c r="K211" s="55">
        <f>IFERROR(__xludf.DUMMYFUNCTION("IMPORTRANGE(""1d9HuMLVIfyWMdnJ6bnqjZ3HU6yvuc-n_H-VBPXlBW5s"",""2025-26!A3"")"),0.0)</f>
        <v>0</v>
      </c>
      <c r="L211" s="55">
        <f>IFERROR(__xludf.DUMMYFUNCTION("IMPORTRANGE(""1d9HuMLVIfyWMdnJ6bnqjZ3HU6yvuc-n_H-VBPXlBW5s"",""2025-26!G4"")"),0.0)</f>
        <v>0</v>
      </c>
      <c r="M211" s="55">
        <f t="shared" si="90"/>
        <v>0</v>
      </c>
      <c r="N211" s="56" t="str">
        <f t="shared" si="91"/>
        <v>#DIV/0!</v>
      </c>
      <c r="O211" s="57">
        <f t="shared" si="92"/>
        <v>0</v>
      </c>
      <c r="P211" s="55">
        <f>IFERROR(__xludf.DUMMYFUNCTION("IMPORTRANGE(""1d9HuMLVIfyWMdnJ6bnqjZ3HU6yvuc-n_H-VBPXlBW5s"",""2025-26!J4"")"),0.0)</f>
        <v>0</v>
      </c>
      <c r="Q211" s="55">
        <f>IFERROR(__xludf.DUMMYFUNCTION("IMPORTRANGE(""1d9HuMLVIfyWMdnJ6bnqjZ3HU6yvuc-n_H-VBPXlBW5s"",""2025-26!J3"")"),0.0)</f>
        <v>0</v>
      </c>
      <c r="R211" s="55">
        <f>IFERROR(__xludf.DUMMYFUNCTION("IMPORTRANGE(""1d9HuMLVIfyWMdnJ6bnqjZ3HU6yvuc-n_H-VBPXlBW5s"",""2025-26!K4"")"),0.0)</f>
        <v>0</v>
      </c>
      <c r="S211" s="55">
        <f>IFERROR(__xludf.DUMMYFUNCTION("IMPORTRANGE(""1d9HuMLVIfyWMdnJ6bnqjZ3HU6yvuc-n_H-VBPXlBW5s"",""2025-26!K3"")"),0.0)</f>
        <v>0</v>
      </c>
      <c r="T211" s="58" t="str">
        <f t="shared" si="56"/>
        <v/>
      </c>
      <c r="U211" s="55">
        <f>IFERROR(__xludf.DUMMYFUNCTION("IMPORTRANGE(""1d9HuMLVIfyWMdnJ6bnqjZ3HU6yvuc-n_H-VBPXlBW5s"",""2025-26!L4"")"),0.0)</f>
        <v>0</v>
      </c>
      <c r="V211" s="55">
        <f>IFERROR(__xludf.DUMMYFUNCTION("IMPORTRANGE(""1d9HuMLVIfyWMdnJ6bnqjZ3HU6yvuc-n_H-VBPXlBW5s"",""2025-26!L3"")"),0.0)</f>
        <v>0</v>
      </c>
      <c r="W211" s="55">
        <f>IFERROR(__xludf.DUMMYFUNCTION("IMPORTRANGE(""1d9HuMLVIfyWMdnJ6bnqjZ3HU6yvuc-n_H-VBPXlBW5s"",""2025-26!m4"")"),0.0)</f>
        <v>0</v>
      </c>
      <c r="X211" s="55">
        <f>IFERROR(__xludf.DUMMYFUNCTION("IMPORTRANGE(""1d9HuMLVIfyWMdnJ6bnqjZ3HU6yvuc-n_H-VBPXlBW5s"",""2025-26!m3"")"),0.0)</f>
        <v>0</v>
      </c>
      <c r="Y211" s="55">
        <f>IFERROR(__xludf.DUMMYFUNCTION("IMPORTRANGE(""1d9HuMLVIfyWMdnJ6bnqjZ3HU6yvuc-n_H-VBPXlBW5s"",""2025-26!N4"")"),0.0)</f>
        <v>0</v>
      </c>
      <c r="Z211" s="55">
        <f>IFERROR(__xludf.DUMMYFUNCTION("IMPORTRANGE(""1d9HuMLVIfyWMdnJ6bnqjZ3HU6yvuc-n_H-VBPXlBW5s"",""2025-26!N3"")"),0.0)</f>
        <v>0</v>
      </c>
      <c r="AA211" s="58" t="str">
        <f t="shared" si="57"/>
        <v/>
      </c>
      <c r="AB211" s="55">
        <f>IFERROR(__xludf.DUMMYFUNCTION("IMPORTRANGE(""1d9HuMLVIfyWMdnJ6bnqjZ3HU6yvuc-n_H-VBPXlBW5s"",""2025-26!O4"")"),0.0)</f>
        <v>0</v>
      </c>
      <c r="AC211" s="55">
        <f>IFERROR(__xludf.DUMMYFUNCTION("IMPORTRANGE(""1d9HuMLVIfyWMdnJ6bnqjZ3HU6yvuc-n_H-VBPXlBW5s"",""2025-26!O3"")"),0.0)</f>
        <v>0</v>
      </c>
      <c r="AD211" s="55">
        <f>IFERROR(__xludf.DUMMYFUNCTION("IMPORTRANGE(""1d9HuMLVIfyWMdnJ6bnqjZ3HU6yvuc-n_H-VBPXlBW5s"",""2025-26!P4"")"),0.0)</f>
        <v>0</v>
      </c>
      <c r="AE211" s="55">
        <f>IFERROR(__xludf.DUMMYFUNCTION("IMPORTRANGE(""1d9HuMLVIfyWMdnJ6bnqjZ3HU6yvuc-n_H-VBPXlBW5s"",""2025-26!P3"")"),0.0)</f>
        <v>0</v>
      </c>
      <c r="AF211" s="55">
        <f>IFERROR(__xludf.DUMMYFUNCTION("IMPORTRANGE(""1d9HuMLVIfyWMdnJ6bnqjZ3HU6yvuc-n_H-VBPXlBW5s"",""2025-26!Q4"")"),0.0)</f>
        <v>0</v>
      </c>
      <c r="AG211" s="55">
        <f>IFERROR(__xludf.DUMMYFUNCTION("IMPORTRANGE(""1d9HuMLVIfyWMdnJ6bnqjZ3HU6yvuc-n_H-VBPXlBW5s"",""2025-26!Q3"")"),0.0)</f>
        <v>0</v>
      </c>
      <c r="AH211" s="58" t="str">
        <f t="shared" si="58"/>
        <v/>
      </c>
      <c r="AI211" s="55">
        <f>IFERROR(__xludf.DUMMYFUNCTION("IMPORTRANGE(""1d9HuMLVIfyWMdnJ6bnqjZ3HU6yvuc-n_H-VBPXlBW5s"",""2025-26!R4"")"),0.0)</f>
        <v>0</v>
      </c>
      <c r="AJ211" s="55">
        <f>IFERROR(__xludf.DUMMYFUNCTION("IMPORTRANGE(""1d9HuMLVIfyWMdnJ6bnqjZ3HU6yvuc-n_H-VBPXlBW5s"",""2025-26!R3"")"),0.0)</f>
        <v>0</v>
      </c>
      <c r="AK211" s="55">
        <f>IFERROR(__xludf.DUMMYFUNCTION("IMPORTRANGE(""1d9HuMLVIfyWMdnJ6bnqjZ3HU6yvuc-n_H-VBPXlBW5s"",""2025-26!S4"")"),0.0)</f>
        <v>0</v>
      </c>
      <c r="AL211" s="55">
        <f>IFERROR(__xludf.DUMMYFUNCTION("IMPORTRANGE(""1d9HuMLVIfyWMdnJ6bnqjZ3HU6yvuc-n_H-VBPXlBW5s"",""2025-26!S3"")"),0.0)</f>
        <v>0</v>
      </c>
      <c r="AM211" s="55">
        <f>IFERROR(__xludf.DUMMYFUNCTION("IMPORTRANGE(""1d9HuMLVIfyWMdnJ6bnqjZ3HU6yvuc-n_H-VBPXlBW5s"",""2025-26!T4"")"),0.0)</f>
        <v>0</v>
      </c>
      <c r="AN211" s="55">
        <f>IFERROR(__xludf.DUMMYFUNCTION("IMPORTRANGE(""1d9HuMLVIfyWMdnJ6bnqjZ3HU6yvuc-n_H-VBPXlBW5s"",""2025-26!T3"")"),0.0)</f>
        <v>0</v>
      </c>
      <c r="AO211" s="58" t="str">
        <f t="shared" si="59"/>
        <v/>
      </c>
      <c r="AP211" s="55">
        <f>IFERROR(__xludf.DUMMYFUNCTION("IMPORTRANGE(""1d9HuMLVIfyWMdnJ6bnqjZ3HU6yvuc-n_H-VBPXlBW5s"",""2025-26!U4"")"),0.0)</f>
        <v>0</v>
      </c>
      <c r="AQ211" s="55">
        <f>IFERROR(__xludf.DUMMYFUNCTION("IMPORTRANGE(""1d9HuMLVIfyWMdnJ6bnqjZ3HU6yvuc-n_H-VBPXlBW5s"",""2025-26!U3"")"),0.0)</f>
        <v>0</v>
      </c>
      <c r="AR211" s="55">
        <f>IFERROR(__xludf.DUMMYFUNCTION("IMPORTRANGE(""1d9HuMLVIfyWMdnJ6bnqjZ3HU6yvuc-n_H-VBPXlBW5s"",""2025-26!V4"")"),0.0)</f>
        <v>0</v>
      </c>
      <c r="AS211" s="55">
        <f>IFERROR(__xludf.DUMMYFUNCTION("IMPORTRANGE(""1d9HuMLVIfyWMdnJ6bnqjZ3HU6yvuc-n_H-VBPXlBW5s"",""2025-26!V3"")"),0.0)</f>
        <v>0</v>
      </c>
      <c r="AT211" s="55">
        <f>IFERROR(__xludf.DUMMYFUNCTION("IMPORTRANGE(""1d9HuMLVIfyWMdnJ6bnqjZ3HU6yvuc-n_H-VBPXlBW5s"",""2025-26!W4"")"),0.0)</f>
        <v>0</v>
      </c>
      <c r="AU211" s="55">
        <f>IFERROR(__xludf.DUMMYFUNCTION("IMPORTRANGE(""1d9HuMLVIfyWMdnJ6bnqjZ3HU6yvuc-n_H-VBPXlBW5s"",""2025-26!W3"")"),0.0)</f>
        <v>0</v>
      </c>
      <c r="AV211" s="58" t="str">
        <f t="shared" si="60"/>
        <v/>
      </c>
      <c r="AW211" s="55">
        <f>IFERROR(__xludf.DUMMYFUNCTION("IMPORTRANGE(""1d9HuMLVIfyWMdnJ6bnqjZ3HU6yvuc-n_H-VBPXlBW5s"",""2025-26!X4"")"),0.0)</f>
        <v>0</v>
      </c>
      <c r="AX211" s="55">
        <f>IFERROR(__xludf.DUMMYFUNCTION("IMPORTRANGE(""1d9HuMLVIfyWMdnJ6bnqjZ3HU6yvuc-n_H-VBPXlBW5s"",""2025-26!X3"")"),0.0)</f>
        <v>0</v>
      </c>
      <c r="AY211" s="55">
        <f>IFERROR(__xludf.DUMMYFUNCTION("IMPORTRANGE(""1d9HuMLVIfyWMdnJ6bnqjZ3HU6yvuc-n_H-VBPXlBW5s"",""2025-26!Y4"")"),0.0)</f>
        <v>0</v>
      </c>
      <c r="AZ211" s="55">
        <f>IFERROR(__xludf.DUMMYFUNCTION("IMPORTRANGE(""1d9HuMLVIfyWMdnJ6bnqjZ3HU6yvuc-n_H-VBPXlBW5s"",""2025-26!Y3"")"),0.0)</f>
        <v>0</v>
      </c>
      <c r="BA211" s="55">
        <f>IFERROR(__xludf.DUMMYFUNCTION("IMPORTRANGE(""1d9HuMLVIfyWMdnJ6bnqjZ3HU6yvuc-n_H-VBPXlBW5s"",""2025-26!Z4"")"),0.0)</f>
        <v>0</v>
      </c>
      <c r="BB211" s="55">
        <f>IFERROR(__xludf.DUMMYFUNCTION("IMPORTRANGE(""1d9HuMLVIfyWMdnJ6bnqjZ3HU6yvuc-n_H-VBPXlBW5s"",""2025-26!Z3"")"),0.0)</f>
        <v>0</v>
      </c>
      <c r="BC211" s="59" t="str">
        <f t="shared" si="61"/>
        <v/>
      </c>
      <c r="BD211" s="55">
        <f>IFERROR(__xludf.DUMMYFUNCTION("IMPORTRANGE(""1d9HuMLVIfyWMdnJ6bnqjZ3HU6yvuc-n_H-VBPXlBW5s"",""2025-26!AA4"")"),0.0)</f>
        <v>0</v>
      </c>
      <c r="BE211" s="55">
        <f>IFERROR(__xludf.DUMMYFUNCTION("IMPORTRANGE(""1d9HuMLVIfyWMdnJ6bnqjZ3HU6yvuc-n_H-VBPXlBW5s"",""2025-26!AA3"")"),0.0)</f>
        <v>0</v>
      </c>
      <c r="BF211" s="55">
        <f>IFERROR(__xludf.DUMMYFUNCTION("IMPORTRANGE(""1d9HuMLVIfyWMdnJ6bnqjZ3HU6yvuc-n_H-VBPXlBW5s"",""2025-26!AB4"")"),0.0)</f>
        <v>0</v>
      </c>
      <c r="BG211" s="55">
        <f>IFERROR(__xludf.DUMMYFUNCTION("IMPORTRANGE(""1d9HuMLVIfyWMdnJ6bnqjZ3HU6yvuc-n_H-VBPXlBW5s"",""2025-26!AB3"")"),0.0)</f>
        <v>0</v>
      </c>
      <c r="BH211" s="55">
        <f>IFERROR(__xludf.DUMMYFUNCTION("IMPORTRANGE(""1d9HuMLVIfyWMdnJ6bnqjZ3HU6yvuc-n_H-VBPXlBW5s"",""2025-26!AC4"")"),0.0)</f>
        <v>0</v>
      </c>
      <c r="BI211" s="55">
        <f>IFERROR(__xludf.DUMMYFUNCTION("IMPORTRANGE(""1d9HuMLVIfyWMdnJ6bnqjZ3HU6yvuc-n_H-VBPXlBW5s"",""2025-26!AC3"")"),0.0)</f>
        <v>0</v>
      </c>
      <c r="BJ211" s="59" t="str">
        <f t="shared" si="62"/>
        <v/>
      </c>
      <c r="BK211" s="55">
        <f>IFERROR(__xludf.DUMMYFUNCTION("IMPORTRANGE(""1d9HuMLVIfyWMdnJ6bnqjZ3HU6yvuc-n_H-VBPXlBW5s"",""2025-26!AD4"")"),0.0)</f>
        <v>0</v>
      </c>
      <c r="BL211" s="55">
        <f>IFERROR(__xludf.DUMMYFUNCTION("IMPORTRANGE(""1d9HuMLVIfyWMdnJ6bnqjZ3HU6yvuc-n_H-VBPXlBW5s"",""2025-26!AD3"")"),0.0)</f>
        <v>0</v>
      </c>
      <c r="BM211" s="55">
        <f>IFERROR(__xludf.DUMMYFUNCTION("IMPORTRANGE(""1d9HuMLVIfyWMdnJ6bnqjZ3HU6yvuc-n_H-VBPXlBW5s"",""2025-26!AE4"")"),0.0)</f>
        <v>0</v>
      </c>
      <c r="BN211" s="55">
        <f>IFERROR(__xludf.DUMMYFUNCTION("IMPORTRANGE(""1d9HuMLVIfyWMdnJ6bnqjZ3HU6yvuc-n_H-VBPXlBW5s"",""2025-26!AE3"")"),0.0)</f>
        <v>0</v>
      </c>
      <c r="BO211" s="55">
        <f>IFERROR(__xludf.DUMMYFUNCTION("IMPORTRANGE(""1d9HuMLVIfyWMdnJ6bnqjZ3HU6yvuc-n_H-VBPXlBW5s"",""2025-26!AF4"")"),0.0)</f>
        <v>0</v>
      </c>
      <c r="BP211" s="55">
        <f>IFERROR(__xludf.DUMMYFUNCTION("IMPORTRANGE(""1d9HuMLVIfyWMdnJ6bnqjZ3HU6yvuc-n_H-VBPXlBW5s"",""2025-26!AF3"")"),0.0)</f>
        <v>0</v>
      </c>
      <c r="BQ211" s="59" t="str">
        <f t="shared" si="63"/>
        <v/>
      </c>
      <c r="BR211" s="55">
        <f>IFERROR(__xludf.DUMMYFUNCTION("IMPORTRANGE(""1d9HuMLVIfyWMdnJ6bnqjZ3HU6yvuc-n_H-VBPXlBW5s"",""2025-26!AG4"")"),0.0)</f>
        <v>0</v>
      </c>
      <c r="BS211" s="55">
        <f>IFERROR(__xludf.DUMMYFUNCTION("IMPORTRANGE(""1d9HuMLVIfyWMdnJ6bnqjZ3HU6yvuc-n_H-VBPXlBW5s"",""2025-26!AG3"")"),0.0)</f>
        <v>0</v>
      </c>
      <c r="BT211" s="55">
        <f>IFERROR(__xludf.DUMMYFUNCTION("IMPORTRANGE(""1d9HuMLVIfyWMdnJ6bnqjZ3HU6yvuc-n_H-VBPXlBW5s"",""2025-26!AH4"")"),0.0)</f>
        <v>0</v>
      </c>
      <c r="BU211" s="55">
        <f>IFERROR(__xludf.DUMMYFUNCTION("IMPORTRANGE(""1d9HuMLVIfyWMdnJ6bnqjZ3HU6yvuc-n_H-VBPXlBW5s"",""2025-26!AH3"")"),0.0)</f>
        <v>0</v>
      </c>
      <c r="BV211" s="55">
        <f>IFERROR(__xludf.DUMMYFUNCTION("IMPORTRANGE(""1d9HuMLVIfyWMdnJ6bnqjZ3HU6yvuc-n_H-VBPXlBW5s"",""2025-26!AI4"")"),0.0)</f>
        <v>0</v>
      </c>
      <c r="BW211" s="55">
        <f>IFERROR(__xludf.DUMMYFUNCTION("IMPORTRANGE(""1d9HuMLVIfyWMdnJ6bnqjZ3HU6yvuc-n_H-VBPXlBW5s"",""2025-26!AI3"")"),0.0)</f>
        <v>0</v>
      </c>
      <c r="BX211" s="59" t="str">
        <f t="shared" si="64"/>
        <v/>
      </c>
      <c r="BY211" s="55">
        <f>IFERROR(__xludf.DUMMYFUNCTION("IMPORTRANGE(""1d9HuMLVIfyWMdnJ6bnqjZ3HU6yvuc-n_H-VBPXlBW5s"",""2025-26!AJ4"")"),0.0)</f>
        <v>0</v>
      </c>
      <c r="BZ211" s="55">
        <f>IFERROR(__xludf.DUMMYFUNCTION("IMPORTRANGE(""1d9HuMLVIfyWMdnJ6bnqjZ3HU6yvuc-n_H-VBPXlBW5s"",""2025-26!AJ3"")"),0.0)</f>
        <v>0</v>
      </c>
      <c r="CA211" s="55">
        <f>IFERROR(__xludf.DUMMYFUNCTION("IMPORTRANGE(""1d9HuMLVIfyWMdnJ6bnqjZ3HU6yvuc-n_H-VBPXlBW5s"",""2025-26!AK4"")"),0.0)</f>
        <v>0</v>
      </c>
      <c r="CB211" s="55">
        <f>IFERROR(__xludf.DUMMYFUNCTION("IMPORTRANGE(""1d9HuMLVIfyWMdnJ6bnqjZ3HU6yvuc-n_H-VBPXlBW5s"",""2025-26!AK3"")"),0.0)</f>
        <v>0</v>
      </c>
      <c r="CC211" s="55">
        <f>IFERROR(__xludf.DUMMYFUNCTION("IMPORTRANGE(""1d9HuMLVIfyWMdnJ6bnqjZ3HU6yvuc-n_H-VBPXlBW5s"",""2025-26!AL4"")"),0.0)</f>
        <v>0</v>
      </c>
      <c r="CD211" s="55">
        <f>IFERROR(__xludf.DUMMYFUNCTION("IMPORTRANGE(""1d9HuMLVIfyWMdnJ6bnqjZ3HU6yvuc-n_H-VBPXlBW5s"",""2025-26!AL3"")"),0.0)</f>
        <v>0</v>
      </c>
      <c r="CE211" s="59" t="str">
        <f t="shared" si="65"/>
        <v/>
      </c>
      <c r="CF211" s="55">
        <f>IFERROR(__xludf.DUMMYFUNCTION("IMPORTRANGE(""1d9HuMLVIfyWMdnJ6bnqjZ3HU6yvuc-n_H-VBPXlBW5s"",""2025-26!AM4"")"),0.0)</f>
        <v>0</v>
      </c>
      <c r="CG211" s="55">
        <f>IFERROR(__xludf.DUMMYFUNCTION("IMPORTRANGE(""1d9HuMLVIfyWMdnJ6bnqjZ3HU6yvuc-n_H-VBPXlBW5s"",""2025-26!AM3"")"),0.0)</f>
        <v>0</v>
      </c>
      <c r="CH211" s="55">
        <f>IFERROR(__xludf.DUMMYFUNCTION("IMPORTRANGE(""1d9HuMLVIfyWMdnJ6bnqjZ3HU6yvuc-n_H-VBPXlBW5s"",""2025-26!AN4"")"),0.0)</f>
        <v>0</v>
      </c>
      <c r="CI211" s="55">
        <f>IFERROR(__xludf.DUMMYFUNCTION("IMPORTRANGE(""1d9HuMLVIfyWMdnJ6bnqjZ3HU6yvuc-n_H-VBPXlBW5s"",""2025-26!AN3"")"),0.0)</f>
        <v>0</v>
      </c>
      <c r="CJ211" s="55">
        <f>IFERROR(__xludf.DUMMYFUNCTION("IMPORTRANGE(""1d9HuMLVIfyWMdnJ6bnqjZ3HU6yvuc-n_H-VBPXlBW5s"",""2025-26!AO4"")"),0.0)</f>
        <v>0</v>
      </c>
      <c r="CK211" s="55">
        <f>IFERROR(__xludf.DUMMYFUNCTION("IMPORTRANGE(""1d9HuMLVIfyWMdnJ6bnqjZ3HU6yvuc-n_H-VBPXlBW5s"",""2025-26!AO3"")"),0.0)</f>
        <v>0</v>
      </c>
      <c r="CL211" s="59" t="str">
        <f t="shared" si="66"/>
        <v/>
      </c>
      <c r="CM211" s="55">
        <f>IFERROR(__xludf.DUMMYFUNCTION("IMPORTRANGE(""1d9HuMLVIfyWMdnJ6bnqjZ3HU6yvuc-n_H-VBPXlBW5s"",""2025-26!AP4"")"),0.0)</f>
        <v>0</v>
      </c>
      <c r="CN211" s="55">
        <f>IFERROR(__xludf.DUMMYFUNCTION("IMPORTRANGE(""1d9HuMLVIfyWMdnJ6bnqjZ3HU6yvuc-n_H-VBPXlBW5s"",""2025-26!AP3"")"),0.0)</f>
        <v>0</v>
      </c>
      <c r="CO211" s="55">
        <f>IFERROR(__xludf.DUMMYFUNCTION("IMPORTRANGE(""1d9HuMLVIfyWMdnJ6bnqjZ3HU6yvuc-n_H-VBPXlBW5s"",""2025-26!AQ4"")"),0.0)</f>
        <v>0</v>
      </c>
      <c r="CP211" s="55">
        <f>IFERROR(__xludf.DUMMYFUNCTION("IMPORTRANGE(""1d9HuMLVIfyWMdnJ6bnqjZ3HU6yvuc-n_H-VBPXlBW5s"",""2025-26!AQ3"")"),0.0)</f>
        <v>0</v>
      </c>
      <c r="CQ211" s="55">
        <f>IFERROR(__xludf.DUMMYFUNCTION("IMPORTRANGE(""1d9HuMLVIfyWMdnJ6bnqjZ3HU6yvuc-n_H-VBPXlBW5s"",""2025-26!AR4"")"),0.0)</f>
        <v>0</v>
      </c>
      <c r="CR211" s="55">
        <f>IFERROR(__xludf.DUMMYFUNCTION("IMPORTRANGE(""1d9HuMLVIfyWMdnJ6bnqjZ3HU6yvuc-n_H-VBPXlBW5s"",""2025-26!AR3"")"),0.0)</f>
        <v>0</v>
      </c>
      <c r="CS211" s="59" t="str">
        <f t="shared" si="67"/>
        <v/>
      </c>
      <c r="CT211" s="55">
        <f>IFERROR(__xludf.DUMMYFUNCTION("IMPORTRANGE(""1d9HuMLVIfyWMdnJ6bnqjZ3HU6yvuc-n_H-VBPXlBW5s"",""2025-26!AS4"")"),0.0)</f>
        <v>0</v>
      </c>
      <c r="CU211" s="55">
        <f>IFERROR(__xludf.DUMMYFUNCTION("IMPORTRANGE(""1d9HuMLVIfyWMdnJ6bnqjZ3HU6yvuc-n_H-VBPXlBW5s"",""2025-26!AS3"")"),0.0)</f>
        <v>0</v>
      </c>
      <c r="CV211" s="60" t="s">
        <v>422</v>
      </c>
    </row>
    <row r="212">
      <c r="A212" s="133" t="s">
        <v>322</v>
      </c>
      <c r="B212" s="138" t="s">
        <v>322</v>
      </c>
      <c r="C212" s="136" t="s">
        <v>426</v>
      </c>
      <c r="D212" s="50" t="s">
        <v>427</v>
      </c>
      <c r="E212" s="50">
        <v>9.712058732E9</v>
      </c>
      <c r="F212" s="74">
        <v>44928.0</v>
      </c>
      <c r="G212" s="62"/>
      <c r="H212" s="62"/>
      <c r="I212" s="53">
        <v>45000.0</v>
      </c>
      <c r="J212" s="54">
        <v>833333.0</v>
      </c>
      <c r="K212" s="57">
        <f>IFERROR(__xludf.DUMMYFUNCTION("IMPORTRANGE(""https://docs.google.com/spreadsheets/d/1WJK-sgnpS_Do_vxIsHygJLK2Z1jVnay9VBu59Fe0GVI/edit#gid=843871140"",""2025-26!A3"")"),86.0)</f>
        <v>86</v>
      </c>
      <c r="L212" s="57">
        <f>IFERROR(__xludf.DUMMYFUNCTION("IMPORTRANGE(""https://docs.google.com/spreadsheets/d/1WJK-sgnpS_Do_vxIsHygJLK2Z1jVnay9VBu59Fe0GVI/edit#gid=843871140"",""2025-26!G4"")"),1.065E7)</f>
        <v>10650000</v>
      </c>
      <c r="M212" s="57">
        <f>SUM(R212+Y212+AF212+AM212+AT212+BA212+BH212+BO212+BV212+CC212+CJ212+CQ212)</f>
        <v>1788891.29</v>
      </c>
      <c r="N212" s="56">
        <f>iferror(O212/L212,"")</f>
        <v>0.07678178404</v>
      </c>
      <c r="O212" s="57">
        <f>SUM(U212,AB212,AI212,AP212,AW212,BD212,BK212,BR212,BY212,CF212,CM212,CT212)</f>
        <v>817726</v>
      </c>
      <c r="P212" s="55">
        <f>IFERROR(__xludf.DUMMYFUNCTION("IMPORTRANGE(""https://docs.google.com/spreadsheets/d/1WJK-sgnpS_Do_vxIsHygJLK2Z1jVnay9VBu59Fe0GVI/edit#gid=843871140"",""2025-26!J4"")"),1310000.0)</f>
        <v>1310000</v>
      </c>
      <c r="Q212" s="55">
        <f>IFERROR(__xludf.DUMMYFUNCTION("IMPORTRANGE(""https://docs.google.com/spreadsheets/d/1WJK-sgnpS_Do_vxIsHygJLK2Z1jVnay9VBu59Fe0GVI/edit#gid=843871140"",""2025-26!J3"")"),67.0)</f>
        <v>67</v>
      </c>
      <c r="R212" s="55">
        <f>IFERROR(__xludf.DUMMYFUNCTION("IMPORTRANGE(""https://docs.google.com/spreadsheets/d/1WJK-sgnpS_Do_vxIsHygJLK2Z1jVnay9VBu59Fe0GVI/edit#gid=843871140"",""2025-26!K4"")"),362942.60000000003)</f>
        <v>362942.6</v>
      </c>
      <c r="S212" s="55">
        <f>IFERROR(__xludf.DUMMYFUNCTION("IMPORTRANGE(""https://docs.google.com/spreadsheets/d/1WJK-sgnpS_Do_vxIsHygJLK2Z1jVnay9VBu59Fe0GVI/edit#gid=843871140"",""2025-26!K3"")"),22.0)</f>
        <v>22</v>
      </c>
      <c r="T212" s="58">
        <f t="shared" si="56"/>
        <v>0.2770290076</v>
      </c>
      <c r="U212" s="55">
        <f>IFERROR(__xludf.DUMMYFUNCTION("IMPORTRANGE(""https://docs.google.com/spreadsheets/d/1WJK-sgnpS_Do_vxIsHygJLK2Z1jVnay9VBu59Fe0GVI/edit#gid=843871140"",""2025-26!L4"")"),362908.0)</f>
        <v>362908</v>
      </c>
      <c r="V212" s="79">
        <f>IFERROR(__xludf.DUMMYFUNCTION("IMPORTRANGE(""https://docs.google.com/spreadsheets/d/1WJK-sgnpS_Do_vxIsHygJLK2Z1jVnay9VBu59Fe0GVI/edit#gid=843871140"",""2025-26!L3"")"),22.0)</f>
        <v>22</v>
      </c>
      <c r="W212" s="55">
        <f>IFERROR(__xludf.DUMMYFUNCTION("IMPORTRANGE(""https://docs.google.com/spreadsheets/d/1WJK-sgnpS_Do_vxIsHygJLK2Z1jVnay9VBu59Fe0GVI/edit#gid=843871140"",""2025-26!M4"")"),990000.0)</f>
        <v>990000</v>
      </c>
      <c r="X212" s="79">
        <f>IFERROR(__xludf.DUMMYFUNCTION("IMPORTRANGE(""https://docs.google.com/spreadsheets/d/1WJK-sgnpS_Do_vxIsHygJLK2Z1jVnay9VBu59Fe0GVI/edit#gid=843871140"",""2025-26!M3"")"),67.0)</f>
        <v>67</v>
      </c>
      <c r="Y212" s="55">
        <f>IFERROR(__xludf.DUMMYFUNCTION("importrange(""https://docs.google.com/spreadsheets/d/1WJK-sgnpS_Do_vxIsHygJLK2Z1jVnay9VBu59Fe0GVI/edit#gid=843871140"",""2025-26!n4"")"),139268.05)</f>
        <v>139268.05</v>
      </c>
      <c r="Z212" s="55">
        <f>IFERROR(__xludf.DUMMYFUNCTION("importrange(""https://docs.google.com/spreadsheets/d/1WJK-sgnpS_Do_vxIsHygJLK2Z1jVnay9VBu59Fe0GVI/edit#gid=843871140"",""2025-26!n3"")"),7.0)</f>
        <v>7</v>
      </c>
      <c r="AA212" s="58">
        <f t="shared" si="57"/>
        <v>0.1500252525</v>
      </c>
      <c r="AB212" s="55">
        <f>IFERROR(__xludf.DUMMYFUNCTION("importrange(""https://docs.google.com/spreadsheets/d/1WJK-sgnpS_Do_vxIsHygJLK2Z1jVnay9VBu59Fe0GVI/edit#gid=843871140"",""2025-26!o4"")"),148525.0)</f>
        <v>148525</v>
      </c>
      <c r="AC212" s="55">
        <f>IFERROR(__xludf.DUMMYFUNCTION("importrange(""https://docs.google.com/spreadsheets/d/1WJK-sgnpS_Do_vxIsHygJLK2Z1jVnay9VBu59Fe0GVI/edit#gid=843871140"",""2025-26!o3"")"),9.0)</f>
        <v>9</v>
      </c>
      <c r="AD212" s="55">
        <f>IFERROR(__xludf.DUMMYFUNCTION("importrange(""https://docs.google.com/spreadsheets/d/1WJK-sgnpS_Do_vxIsHygJLK2Z1jVnay9VBu59Fe0GVI/edit#gid=843871140"",""2025-26!p4"")"),730000.0)</f>
        <v>730000</v>
      </c>
      <c r="AE212" s="55">
        <f>IFERROR(__xludf.DUMMYFUNCTION("importrange(""https://docs.google.com/spreadsheets/d/1WJK-sgnpS_Do_vxIsHygJLK2Z1jVnay9VBu59Fe0GVI/edit#gid=843871140"",""2025-26!p3"")"),67.0)</f>
        <v>67</v>
      </c>
      <c r="AF212" s="55">
        <f>IFERROR(__xludf.DUMMYFUNCTION("importrange(""https://docs.google.com/spreadsheets/d/1WJK-sgnpS_Do_vxIsHygJLK2Z1jVnay9VBu59Fe0GVI/edit#gid=843871140"",""2025-26!q4"")"),244556.3)</f>
        <v>244556.3</v>
      </c>
      <c r="AG212" s="55">
        <f>IFERROR(__xludf.DUMMYFUNCTION("importrange(""https://docs.google.com/spreadsheets/d/1WJK-sgnpS_Do_vxIsHygJLK2Z1jVnay9VBu59Fe0GVI/edit#gid=843871140"",""2025-26!q3"")"),16.0)</f>
        <v>16</v>
      </c>
      <c r="AH212" s="58">
        <f t="shared" si="58"/>
        <v>0.4195794521</v>
      </c>
      <c r="AI212" s="55">
        <f>IFERROR(__xludf.DUMMYFUNCTION("importrange(""https://docs.google.com/spreadsheets/d/1WJK-sgnpS_Do_vxIsHygJLK2Z1jVnay9VBu59Fe0GVI/edit#gid=843871140"",""2025-26!r4"")"),306293.0)</f>
        <v>306293</v>
      </c>
      <c r="AJ212" s="55">
        <f>IFERROR(__xludf.DUMMYFUNCTION("importrange(""https://docs.google.com/spreadsheets/d/1WJK-sgnpS_Do_vxIsHygJLK2Z1jVnay9VBu59Fe0GVI/edit#gid=843871140"",""2025-26!r3"")"),18.0)</f>
        <v>18</v>
      </c>
      <c r="AK212" s="55">
        <f>IFERROR(__xludf.DUMMYFUNCTION("importrange(""https://docs.google.com/spreadsheets/d/1WJK-sgnpS_Do_vxIsHygJLK2Z1jVnay9VBu59Fe0GVI/edit#gid=843871140"",""2025-26!s4"")"),540000.0)</f>
        <v>540000</v>
      </c>
      <c r="AL212" s="55">
        <f>IFERROR(__xludf.DUMMYFUNCTION("importrange(""https://docs.google.com/spreadsheets/d/1WJK-sgnpS_Do_vxIsHygJLK2Z1jVnay9VBu59Fe0GVI/edit#gid=843871140"",""2025-26!s3"")"),67.0)</f>
        <v>67</v>
      </c>
      <c r="AM212" s="57">
        <f>IFERROR(__xludf.DUMMYFUNCTION("importrange(""https://docs.google.com/spreadsheets/d/1WJK-sgnpS_Do_vxIsHygJLK2Z1jVnay9VBu59Fe0GVI/edit#gid=843871140"",""2025-26!t4"")"),287291.69)</f>
        <v>287291.69</v>
      </c>
      <c r="AN212" s="55">
        <f>IFERROR(__xludf.DUMMYFUNCTION("importrange(""https://docs.google.com/spreadsheets/d/1WJK-sgnpS_Do_vxIsHygJLK2Z1jVnay9VBu59Fe0GVI/edit#gid=843871140"",""2025-26!t3"")"),17.0)</f>
        <v>17</v>
      </c>
      <c r="AO212" s="58">
        <f t="shared" si="59"/>
        <v>0</v>
      </c>
      <c r="AP212" s="55">
        <f>IFERROR(__xludf.DUMMYFUNCTION("importrange(""https://docs.google.com/spreadsheets/d/1WJK-sgnpS_Do_vxIsHygJLK2Z1jVnay9VBu59Fe0GVI/edit#gid=843871140"",""2025-26!u4"")"),0.0)</f>
        <v>0</v>
      </c>
      <c r="AQ212" s="55">
        <f>IFERROR(__xludf.DUMMYFUNCTION("importrange(""https://docs.google.com/spreadsheets/d/1WJK-sgnpS_Do_vxIsHygJLK2Z1jVnay9VBu59Fe0GVI/edit#gid=843871140"",""2025-26!u3"")"),0.0)</f>
        <v>0</v>
      </c>
      <c r="AR212" s="55">
        <f>IFERROR(__xludf.DUMMYFUNCTION("importrange(""https://docs.google.com/spreadsheets/d/1WJK-sgnpS_Do_vxIsHygJLK2Z1jVnay9VBu59Fe0GVI/edit#gid=843871140"",""2025-26!v4"")"),540000.0)</f>
        <v>540000</v>
      </c>
      <c r="AS212" s="55">
        <f>IFERROR(__xludf.DUMMYFUNCTION("importrange(""https://docs.google.com/spreadsheets/d/1WJK-sgnpS_Do_vxIsHygJLK2Z1jVnay9VBu59Fe0GVI/edit#gid=843871140"",""2025-26!v3"")"),67.0)</f>
        <v>67</v>
      </c>
      <c r="AT212" s="57">
        <f>IFERROR(__xludf.DUMMYFUNCTION("importrange(""https://docs.google.com/spreadsheets/d/1WJK-sgnpS_Do_vxIsHygJLK2Z1jVnay9VBu59Fe0GVI/edit#gid=843871140"",""2025-26!w4"")"),280174.22)</f>
        <v>280174.22</v>
      </c>
      <c r="AU212" s="55">
        <f>IFERROR(__xludf.DUMMYFUNCTION("importrange(""https://docs.google.com/spreadsheets/d/1WJK-sgnpS_Do_vxIsHygJLK2Z1jVnay9VBu59Fe0GVI/edit#gid=843871140"",""2025-26!w3"")"),22.0)</f>
        <v>22</v>
      </c>
      <c r="AV212" s="58">
        <f t="shared" si="60"/>
        <v>0</v>
      </c>
      <c r="AW212" s="55">
        <f>IFERROR(__xludf.DUMMYFUNCTION("importrange(""https://docs.google.com/spreadsheets/d/1WJK-sgnpS_Do_vxIsHygJLK2Z1jVnay9VBu59Fe0GVI/edit#gid=843871140"",""2025-26!x4"")"),0.0)</f>
        <v>0</v>
      </c>
      <c r="AX212" s="55">
        <f>IFERROR(__xludf.DUMMYFUNCTION("importrange(""https://docs.google.com/spreadsheets/d/1WJK-sgnpS_Do_vxIsHygJLK2Z1jVnay9VBu59Fe0GVI/edit#gid=843871140"",""2025-26!x3"")"),0.0)</f>
        <v>0</v>
      </c>
      <c r="AY212" s="55">
        <f>IFERROR(__xludf.DUMMYFUNCTION("importrange(""https://docs.google.com/spreadsheets/d/1WJK-sgnpS_Do_vxIsHygJLK2Z1jVnay9VBu59Fe0GVI/edit#gid=843871140"",""2025-26!y4"")"),730000.0)</f>
        <v>730000</v>
      </c>
      <c r="AZ212" s="55">
        <f>IFERROR(__xludf.DUMMYFUNCTION("importrange(""https://docs.google.com/spreadsheets/d/1WJK-sgnpS_Do_vxIsHygJLK2Z1jVnay9VBu59Fe0GVI/edit#gid=843871140"",""2025-26!y3"")"),67.0)</f>
        <v>67</v>
      </c>
      <c r="BA212" s="57">
        <f>IFERROR(__xludf.DUMMYFUNCTION("importrange(""https://docs.google.com/spreadsheets/d/1WJK-sgnpS_Do_vxIsHygJLK2Z1jVnay9VBu59Fe0GVI/edit#gid=843871140"",""2025-26!z4"")"),213153.4)</f>
        <v>213153.4</v>
      </c>
      <c r="BB212" s="55">
        <f>IFERROR(__xludf.DUMMYFUNCTION("importrange(""https://docs.google.com/spreadsheets/d/1WJK-sgnpS_Do_vxIsHygJLK2Z1jVnay9VBu59Fe0GVI/edit#gid=843871140"",""2025-26!z3"")"),10.0)</f>
        <v>10</v>
      </c>
      <c r="BC212" s="59">
        <f t="shared" si="61"/>
        <v>0</v>
      </c>
      <c r="BD212" s="55">
        <f>IFERROR(__xludf.DUMMYFUNCTION("importrange(""https://docs.google.com/spreadsheets/d/1WJK-sgnpS_Do_vxIsHygJLK2Z1jVnay9VBu59Fe0GVI/edit#gid=843871140"",""2025-26!aa4"")"),0.0)</f>
        <v>0</v>
      </c>
      <c r="BE212" s="55">
        <f>IFERROR(__xludf.DUMMYFUNCTION("importrange(""https://docs.google.com/spreadsheets/d/1WJK-sgnpS_Do_vxIsHygJLK2Z1jVnay9VBu59Fe0GVI/edit#gid=843871140"",""2025-26!aa3"")"),0.0)</f>
        <v>0</v>
      </c>
      <c r="BF212" s="55">
        <f>IFERROR(__xludf.DUMMYFUNCTION("importrange(""https://docs.google.com/spreadsheets/d/1WJK-sgnpS_Do_vxIsHygJLK2Z1jVnay9VBu59Fe0GVI/edit#gid=843871140"",""2025-26!ab4"")"),800000.0)</f>
        <v>800000</v>
      </c>
      <c r="BG212" s="55">
        <f>IFERROR(__xludf.DUMMYFUNCTION("importrange(""https://docs.google.com/spreadsheets/d/1WJK-sgnpS_Do_vxIsHygJLK2Z1jVnay9VBu59Fe0GVI/edit#gid=843871140"",""2025-26!ab3"")"),67.0)</f>
        <v>67</v>
      </c>
      <c r="BH212" s="55">
        <f>IFERROR(__xludf.DUMMYFUNCTION("importrange(""https://docs.google.com/spreadsheets/d/1WJK-sgnpS_Do_vxIsHygJLK2Z1jVnay9VBu59Fe0GVI/edit#gid=843871140"",""2025-26!ac4"")"),250138.62999999998)</f>
        <v>250138.63</v>
      </c>
      <c r="BI212" s="55">
        <f>IFERROR(__xludf.DUMMYFUNCTION("importrange(""https://docs.google.com/spreadsheets/d/1WJK-sgnpS_Do_vxIsHygJLK2Z1jVnay9VBu59Fe0GVI/edit#gid=843871140"",""2025-26!ac3"")"),18.0)</f>
        <v>18</v>
      </c>
      <c r="BJ212" s="59">
        <f t="shared" si="62"/>
        <v>0</v>
      </c>
      <c r="BK212" s="55">
        <f>IFERROR(__xludf.DUMMYFUNCTION("importrange(""https://docs.google.com/spreadsheets/d/1WJK-sgnpS_Do_vxIsHygJLK2Z1jVnay9VBu59Fe0GVI/edit#gid=843871140"",""2025-26!ad4"")"),0.0)</f>
        <v>0</v>
      </c>
      <c r="BL212" s="55">
        <f>IFERROR(__xludf.DUMMYFUNCTION("importrange(""https://docs.google.com/spreadsheets/d/1WJK-sgnpS_Do_vxIsHygJLK2Z1jVnay9VBu59Fe0GVI/edit#gid=843871140"",""2025-26!ad3"")"),0.0)</f>
        <v>0</v>
      </c>
      <c r="BM212" s="55">
        <f>IFERROR(__xludf.DUMMYFUNCTION("importrange(""https://docs.google.com/spreadsheets/d/1WJK-sgnpS_Do_vxIsHygJLK2Z1jVnay9VBu59Fe0GVI/edit#gid=843871140"",""2025-26!ae4"")"),570000.0)</f>
        <v>570000</v>
      </c>
      <c r="BN212" s="55">
        <f>IFERROR(__xludf.DUMMYFUNCTION("importrange(""https://docs.google.com/spreadsheets/d/1WJK-sgnpS_Do_vxIsHygJLK2Z1jVnay9VBu59Fe0GVI/edit#gid=843871140"",""2025-26!ae3"")"),67.0)</f>
        <v>67</v>
      </c>
      <c r="BO212" s="55">
        <f>IFERROR(__xludf.DUMMYFUNCTION("importrange(""https://docs.google.com/spreadsheets/d/1WJK-sgnpS_Do_vxIsHygJLK2Z1jVnay9VBu59Fe0GVI/edit#gid=843871140"",""2025-26!af4"")"),11366.4)</f>
        <v>11366.4</v>
      </c>
      <c r="BP212" s="55">
        <f>IFERROR(__xludf.DUMMYFUNCTION("importrange(""https://docs.google.com/spreadsheets/d/1WJK-sgnpS_Do_vxIsHygJLK2Z1jVnay9VBu59Fe0GVI/edit#gid=843871140"",""2025-26!af3"")"),1.0)</f>
        <v>1</v>
      </c>
      <c r="BQ212" s="59">
        <f t="shared" si="63"/>
        <v>0</v>
      </c>
      <c r="BR212" s="55">
        <f>IFERROR(__xludf.DUMMYFUNCTION("importrange(""https://docs.google.com/spreadsheets/d/1WJK-sgnpS_Do_vxIsHygJLK2Z1jVnay9VBu59Fe0GVI/edit#gid=843871140"",""2025-26!ag4"")"),0.0)</f>
        <v>0</v>
      </c>
      <c r="BS212" s="55">
        <f>IFERROR(__xludf.DUMMYFUNCTION("importrange(""https://docs.google.com/spreadsheets/d/1WJK-sgnpS_Do_vxIsHygJLK2Z1jVnay9VBu59Fe0GVI/edit#gid=843871140"",""2025-26!ag3"")"),0.0)</f>
        <v>0</v>
      </c>
      <c r="BT212" s="55">
        <f>IFERROR(__xludf.DUMMYFUNCTION("importrange(""https://docs.google.com/spreadsheets/d/1WJK-sgnpS_Do_vxIsHygJLK2Z1jVnay9VBu59Fe0GVI/edit#gid=843871140"",""2025-26!ah4"")"),990000.0)</f>
        <v>990000</v>
      </c>
      <c r="BU212" s="55">
        <f>IFERROR(__xludf.DUMMYFUNCTION("importrange(""https://docs.google.com/spreadsheets/d/1WJK-sgnpS_Do_vxIsHygJLK2Z1jVnay9VBu59Fe0GVI/edit#gid=843871140"",""2025-26!ah3"")"),67.0)</f>
        <v>67</v>
      </c>
      <c r="BV212" s="55">
        <f>IFERROR(__xludf.DUMMYFUNCTION("importrange(""https://docs.google.com/spreadsheets/d/1WJK-sgnpS_Do_vxIsHygJLK2Z1jVnay9VBu59Fe0GVI/edit#gid=843871140"",""2025-26!ai4"")"),0.0)</f>
        <v>0</v>
      </c>
      <c r="BW212" s="55">
        <f>IFERROR(__xludf.DUMMYFUNCTION("importrange(""https://docs.google.com/spreadsheets/d/1WJK-sgnpS_Do_vxIsHygJLK2Z1jVnay9VBu59Fe0GVI/edit#gid=843871140"",""2025-26!ai3"")"),0.0)</f>
        <v>0</v>
      </c>
      <c r="BX212" s="59">
        <f t="shared" si="64"/>
        <v>0</v>
      </c>
      <c r="BY212" s="55">
        <f>IFERROR(__xludf.DUMMYFUNCTION("importrange(""https://docs.google.com/spreadsheets/d/1WJK-sgnpS_Do_vxIsHygJLK2Z1jVnay9VBu59Fe0GVI/edit#gid=843871140"",""2025-26!aj4"")"),0.0)</f>
        <v>0</v>
      </c>
      <c r="BZ212" s="55">
        <f>IFERROR(__xludf.DUMMYFUNCTION("importrange(""https://docs.google.com/spreadsheets/d/1WJK-sgnpS_Do_vxIsHygJLK2Z1jVnay9VBu59Fe0GVI/edit#gid=843871140"",""2025-26!aj3"")"),0.0)</f>
        <v>0</v>
      </c>
      <c r="CA212" s="55">
        <f>IFERROR(__xludf.DUMMYFUNCTION("importrange(""https://docs.google.com/spreadsheets/d/1WJK-sgnpS_Do_vxIsHygJLK2Z1jVnay9VBu59Fe0GVI/edit#gid=843871140"",""2025-26!ak4"")"),990000.0)</f>
        <v>990000</v>
      </c>
      <c r="CB212" s="55">
        <f>IFERROR(__xludf.DUMMYFUNCTION("importrange(""https://docs.google.com/spreadsheets/d/1WJK-sgnpS_Do_vxIsHygJLK2Z1jVnay9VBu59Fe0GVI/edit#gid=843871140"",""2025-26!ak3"")"),67.0)</f>
        <v>67</v>
      </c>
      <c r="CC212" s="55">
        <f>IFERROR(__xludf.DUMMYFUNCTION("importrange(""https://docs.google.com/spreadsheets/d/1WJK-sgnpS_Do_vxIsHygJLK2Z1jVnay9VBu59Fe0GVI/edit#gid=843871140"",""2025-26!al4"")"),0.0)</f>
        <v>0</v>
      </c>
      <c r="CD212" s="55">
        <f>IFERROR(__xludf.DUMMYFUNCTION("importrange(""https://docs.google.com/spreadsheets/d/1WJK-sgnpS_Do_vxIsHygJLK2Z1jVnay9VBu59Fe0GVI/edit#gid=843871140"",""2025-26!ai3"")"),0.0)</f>
        <v>0</v>
      </c>
      <c r="CE212" s="59">
        <f t="shared" si="65"/>
        <v>0</v>
      </c>
      <c r="CF212" s="55">
        <f>IFERROR(__xludf.DUMMYFUNCTION("importrange(""https://docs.google.com/spreadsheets/d/1WJK-sgnpS_Do_vxIsHygJLK2Z1jVnay9VBu59Fe0GVI/edit#gid=843871140"",""2025-26!am4"")"),0.0)</f>
        <v>0</v>
      </c>
      <c r="CG212" s="55">
        <f>IFERROR(__xludf.DUMMYFUNCTION("importrange(""https://docs.google.com/spreadsheets/d/1WJK-sgnpS_Do_vxIsHygJLK2Z1jVnay9VBu59Fe0GVI/edit#gid=843871140"",""2025-26!am3"")"),0.0)</f>
        <v>0</v>
      </c>
      <c r="CH212" s="55">
        <f>IFERROR(__xludf.DUMMYFUNCTION("importrange(""https://docs.google.com/spreadsheets/d/1WJK-sgnpS_Do_vxIsHygJLK2Z1jVnay9VBu59Fe0GVI/edit#gid=843871140"",""2025-26!an4"")"),990000.0)</f>
        <v>990000</v>
      </c>
      <c r="CI212" s="55">
        <f>IFERROR(__xludf.DUMMYFUNCTION("importrange(""https://docs.google.com/spreadsheets/d/1WJK-sgnpS_Do_vxIsHygJLK2Z1jVnay9VBu59Fe0GVI/edit#gid=843871140"",""2025-26!an3"")"),67.0)</f>
        <v>67</v>
      </c>
      <c r="CJ212" s="55">
        <f>IFERROR(__xludf.DUMMYFUNCTION("importrange(""https://docs.google.com/spreadsheets/d/1WJK-sgnpS_Do_vxIsHygJLK2Z1jVnay9VBu59Fe0GVI/edit#gid=843871140"",""2025-26!ao4"")"),0.0)</f>
        <v>0</v>
      </c>
      <c r="CK212" s="55">
        <f>IFERROR(__xludf.DUMMYFUNCTION("importrange(""https://docs.google.com/spreadsheets/d/1WJK-sgnpS_Do_vxIsHygJLK2Z1jVnay9VBu59Fe0GVI/edit#gid=843871140"",""2025-26!ao3"")"),0.0)</f>
        <v>0</v>
      </c>
      <c r="CL212" s="59">
        <f t="shared" si="66"/>
        <v>0</v>
      </c>
      <c r="CM212" s="55">
        <f>IFERROR(__xludf.DUMMYFUNCTION("importrange(""https://docs.google.com/spreadsheets/d/1WJK-sgnpS_Do_vxIsHygJLK2Z1jVnay9VBu59Fe0GVI/edit#gid=843871140"",""2025-26!ap4"")"),0.0)</f>
        <v>0</v>
      </c>
      <c r="CN212" s="55">
        <f>IFERROR(__xludf.DUMMYFUNCTION("importrange(""https://docs.google.com/spreadsheets/d/1WJK-sgnpS_Do_vxIsHygJLK2Z1jVnay9VBu59Fe0GVI/edit#gid=843871140"",""2025-26!ap3"")"),0.0)</f>
        <v>0</v>
      </c>
      <c r="CO212" s="55">
        <f>IFERROR(__xludf.DUMMYFUNCTION("importrange(""https://docs.google.com/spreadsheets/d/1WJK-sgnpS_Do_vxIsHygJLK2Z1jVnay9VBu59Fe0GVI/edit#gid=843871140"",""2025-26!aq4"")"),1020000.0)</f>
        <v>1020000</v>
      </c>
      <c r="CP212" s="55">
        <f>IFERROR(__xludf.DUMMYFUNCTION("importrange(""https://docs.google.com/spreadsheets/d/1WJK-sgnpS_Do_vxIsHygJLK2Z1jVnay9VBu59Fe0GVI/edit#gid=843871140"",""2025-26!aq3"")"),67.0)</f>
        <v>67</v>
      </c>
      <c r="CQ212" s="55">
        <f>IFERROR(__xludf.DUMMYFUNCTION("importrange(""https://docs.google.com/spreadsheets/d/1WJK-sgnpS_Do_vxIsHygJLK2Z1jVnay9VBu59Fe0GVI/edit#gid=843871140"",""2025-26!ar4"")"),0.0)</f>
        <v>0</v>
      </c>
      <c r="CR212" s="55">
        <f>IFERROR(__xludf.DUMMYFUNCTION("importrange(""https://docs.google.com/spreadsheets/d/1WJK-sgnpS_Do_vxIsHygJLK2Z1jVnay9VBu59Fe0GVI/edit#gid=843871140"",""2025-26!ar3"")"),0.0)</f>
        <v>0</v>
      </c>
      <c r="CS212" s="59">
        <f t="shared" si="67"/>
        <v>0</v>
      </c>
      <c r="CT212" s="55">
        <f>IFERROR(__xludf.DUMMYFUNCTION("importrange(""https://docs.google.com/spreadsheets/d/1WJK-sgnpS_Do_vxIsHygJLK2Z1jVnay9VBu59Fe0GVI/edit#gid=843871140"",""2025-26!as4"")"),0.0)</f>
        <v>0</v>
      </c>
      <c r="CU212" s="55">
        <f>IFERROR(__xludf.DUMMYFUNCTION("importrange(""https://docs.google.com/spreadsheets/d/1WJK-sgnpS_Do_vxIsHygJLK2Z1jVnay9VBu59Fe0GVI/edit#gid=843871140"",""2025-26!as3"")"),0.0)</f>
        <v>0</v>
      </c>
      <c r="CV212" s="60" t="s">
        <v>325</v>
      </c>
    </row>
    <row r="213">
      <c r="A213" s="25" t="s">
        <v>111</v>
      </c>
      <c r="B213" s="134" t="s">
        <v>111</v>
      </c>
      <c r="C213" s="147" t="s">
        <v>428</v>
      </c>
      <c r="D213" s="49" t="s">
        <v>429</v>
      </c>
      <c r="E213" s="50">
        <v>9.390214387E9</v>
      </c>
      <c r="F213" s="51">
        <v>45071.0</v>
      </c>
      <c r="G213" s="62"/>
      <c r="H213" s="62"/>
      <c r="I213" s="53">
        <f>VLOOKUP($C213,Data!$C:$BV,34,0)</f>
        <v>24167</v>
      </c>
      <c r="J213" s="54">
        <v>1200000.0</v>
      </c>
      <c r="K213" s="55">
        <f>IFERROR(__xludf.DUMMYFUNCTION("IMPORTRANGE(""1noGDJmPCDUn4PCcM0eGrzvuzorTYiYauVJYp5Jbs3hA"",""2025-26!A3"")"),57.0)</f>
        <v>57</v>
      </c>
      <c r="L213" s="55">
        <f>IFERROR(__xludf.DUMMYFUNCTION("IMPORTRANGE(""1noGDJmPCDUn4PCcM0eGrzvuzorTYiYauVJYp5Jbs3hA"",""2025-26!G4"")"),0.0)</f>
        <v>0</v>
      </c>
      <c r="M213" s="55">
        <f t="shared" ref="M213:M225" si="93">R213+Y213+AF213+AM213+AT213+BA213+BH213+BO213+BV213+CC213+CJ213+CQ213</f>
        <v>606786.6</v>
      </c>
      <c r="N213" s="56" t="str">
        <f t="shared" ref="N213:N225" si="94">O213/L213</f>
        <v>#DIV/0!</v>
      </c>
      <c r="O213" s="57">
        <f t="shared" ref="O213:O225" si="95">U213+AB213+AI213+AP213+AW213+BD213+BK213+BR213+BY213+CF213+CM213+CT213</f>
        <v>0</v>
      </c>
      <c r="P213" s="55">
        <f>IFERROR(__xludf.DUMMYFUNCTION("IMPORTRANGE(""1noGDJmPCDUn4PCcM0eGrzvuzorTYiYauVJYp5Jbs3hA"",""2025-26!J4"")"),0.0)</f>
        <v>0</v>
      </c>
      <c r="Q213" s="55">
        <f>IFERROR(__xludf.DUMMYFUNCTION("IMPORTRANGE(""1noGDJmPCDUn4PCcM0eGrzvuzorTYiYauVJYp5Jbs3hA"",""2025-26!J3"")"),0.0)</f>
        <v>0</v>
      </c>
      <c r="R213" s="55">
        <f>IFERROR(__xludf.DUMMYFUNCTION("IMPORTRANGE(""1noGDJmPCDUn4PCcM0eGrzvuzorTYiYauVJYp5Jbs3hA"",""2025-26!K4"")"),243847.7)</f>
        <v>243847.7</v>
      </c>
      <c r="S213" s="55">
        <f>IFERROR(__xludf.DUMMYFUNCTION("IMPORTRANGE(""1noGDJmPCDUn4PCcM0eGrzvuzorTYiYauVJYp5Jbs3hA"",""2025-26!K3"")"),12.0)</f>
        <v>12</v>
      </c>
      <c r="T213" s="58" t="str">
        <f t="shared" si="56"/>
        <v/>
      </c>
      <c r="U213" s="55">
        <f>IFERROR(__xludf.DUMMYFUNCTION("IMPORTRANGE(""1noGDJmPCDUn4PCcM0eGrzvuzorTYiYauVJYp5Jbs3hA"",""2025-26!L4"")"),0.0)</f>
        <v>0</v>
      </c>
      <c r="V213" s="55">
        <f>IFERROR(__xludf.DUMMYFUNCTION("IMPORTRANGE(""1noGDJmPCDUn4PCcM0eGrzvuzorTYiYauVJYp5Jbs3hA"",""2025-26!L3"")"),0.0)</f>
        <v>0</v>
      </c>
      <c r="W213" s="55">
        <f>IFERROR(__xludf.DUMMYFUNCTION("IMPORTRANGE(""1noGDJmPCDUn4PCcM0eGrzvuzorTYiYauVJYp5Jbs3hA"",""2025-26!m4"")"),0.0)</f>
        <v>0</v>
      </c>
      <c r="X213" s="55">
        <f>IFERROR(__xludf.DUMMYFUNCTION("IMPORTRANGE(""1noGDJmPCDUn4PCcM0eGrzvuzorTYiYauVJYp5Jbs3hA"",""2025-26!m3"")"),0.0)</f>
        <v>0</v>
      </c>
      <c r="Y213" s="55">
        <f>IFERROR(__xludf.DUMMYFUNCTION("IMPORTRANGE(""1noGDJmPCDUn4PCcM0eGrzvuzorTYiYauVJYp5Jbs3hA"",""2025-26!N4"")"),362938.9000000001)</f>
        <v>362938.9</v>
      </c>
      <c r="Z213" s="55">
        <f>IFERROR(__xludf.DUMMYFUNCTION("IMPORTRANGE(""1noGDJmPCDUn4PCcM0eGrzvuzorTYiYauVJYp5Jbs3hA"",""2025-26!N3"")"),15.0)</f>
        <v>15</v>
      </c>
      <c r="AA213" s="58" t="str">
        <f t="shared" si="57"/>
        <v/>
      </c>
      <c r="AB213" s="55">
        <f>IFERROR(__xludf.DUMMYFUNCTION("IMPORTRANGE(""1noGDJmPCDUn4PCcM0eGrzvuzorTYiYauVJYp5Jbs3hA"",""2025-26!O4"")"),0.0)</f>
        <v>0</v>
      </c>
      <c r="AC213" s="55">
        <f>IFERROR(__xludf.DUMMYFUNCTION("IMPORTRANGE(""1noGDJmPCDUn4PCcM0eGrzvuzorTYiYauVJYp5Jbs3hA"",""2025-26!O3"")"),0.0)</f>
        <v>0</v>
      </c>
      <c r="AD213" s="55">
        <f>IFERROR(__xludf.DUMMYFUNCTION("IMPORTRANGE(""1noGDJmPCDUn4PCcM0eGrzvuzorTYiYauVJYp5Jbs3hA"",""2025-26!P4"")"),0.0)</f>
        <v>0</v>
      </c>
      <c r="AE213" s="55">
        <f>IFERROR(__xludf.DUMMYFUNCTION("IMPORTRANGE(""1noGDJmPCDUn4PCcM0eGrzvuzorTYiYauVJYp5Jbs3hA"",""2025-26!P3"")"),0.0)</f>
        <v>0</v>
      </c>
      <c r="AF213" s="55">
        <f>IFERROR(__xludf.DUMMYFUNCTION("IMPORTRANGE(""1noGDJmPCDUn4PCcM0eGrzvuzorTYiYauVJYp5Jbs3hA"",""2025-26!Q4"")"),0.0)</f>
        <v>0</v>
      </c>
      <c r="AG213" s="55">
        <f>IFERROR(__xludf.DUMMYFUNCTION("IMPORTRANGE(""1noGDJmPCDUn4PCcM0eGrzvuzorTYiYauVJYp5Jbs3hA"",""2025-26!Q3"")"),0.0)</f>
        <v>0</v>
      </c>
      <c r="AH213" s="58" t="str">
        <f t="shared" si="58"/>
        <v/>
      </c>
      <c r="AI213" s="55">
        <f>IFERROR(__xludf.DUMMYFUNCTION("IMPORTRANGE(""1noGDJmPCDUn4PCcM0eGrzvuzorTYiYauVJYp5Jbs3hA"",""2025-26!R4"")"),0.0)</f>
        <v>0</v>
      </c>
      <c r="AJ213" s="55">
        <f>IFERROR(__xludf.DUMMYFUNCTION("IMPORTRANGE(""1noGDJmPCDUn4PCcM0eGrzvuzorTYiYauVJYp5Jbs3hA"",""2025-26!R3"")"),0.0)</f>
        <v>0</v>
      </c>
      <c r="AK213" s="55">
        <f>IFERROR(__xludf.DUMMYFUNCTION("IMPORTRANGE(""1noGDJmPCDUn4PCcM0eGrzvuzorTYiYauVJYp5Jbs3hA"",""2025-26!S4"")"),0.0)</f>
        <v>0</v>
      </c>
      <c r="AL213" s="55">
        <f>IFERROR(__xludf.DUMMYFUNCTION("IMPORTRANGE(""1noGDJmPCDUn4PCcM0eGrzvuzorTYiYauVJYp5Jbs3hA"",""2025-26!S3"")"),0.0)</f>
        <v>0</v>
      </c>
      <c r="AM213" s="55">
        <f>IFERROR(__xludf.DUMMYFUNCTION("IMPORTRANGE(""1noGDJmPCDUn4PCcM0eGrzvuzorTYiYauVJYp5Jbs3hA"",""2025-26!T4"")"),0.0)</f>
        <v>0</v>
      </c>
      <c r="AN213" s="55">
        <f>IFERROR(__xludf.DUMMYFUNCTION("IMPORTRANGE(""1noGDJmPCDUn4PCcM0eGrzvuzorTYiYauVJYp5Jbs3hA"",""2025-26!T3"")"),0.0)</f>
        <v>0</v>
      </c>
      <c r="AO213" s="58" t="str">
        <f t="shared" si="59"/>
        <v/>
      </c>
      <c r="AP213" s="55">
        <f>IFERROR(__xludf.DUMMYFUNCTION("IMPORTRANGE(""1noGDJmPCDUn4PCcM0eGrzvuzorTYiYauVJYp5Jbs3hA"",""2025-26!U4"")"),0.0)</f>
        <v>0</v>
      </c>
      <c r="AQ213" s="55">
        <f>IFERROR(__xludf.DUMMYFUNCTION("IMPORTRANGE(""1noGDJmPCDUn4PCcM0eGrzvuzorTYiYauVJYp5Jbs3hA"",""2025-26!U3"")"),0.0)</f>
        <v>0</v>
      </c>
      <c r="AR213" s="55">
        <f>IFERROR(__xludf.DUMMYFUNCTION("IMPORTRANGE(""1noGDJmPCDUn4PCcM0eGrzvuzorTYiYauVJYp5Jbs3hA"",""2025-26!V4"")"),0.0)</f>
        <v>0</v>
      </c>
      <c r="AS213" s="55">
        <f>IFERROR(__xludf.DUMMYFUNCTION("IMPORTRANGE(""1noGDJmPCDUn4PCcM0eGrzvuzorTYiYauVJYp5Jbs3hA"",""2025-26!V3"")"),0.0)</f>
        <v>0</v>
      </c>
      <c r="AT213" s="55">
        <f>IFERROR(__xludf.DUMMYFUNCTION("IMPORTRANGE(""1noGDJmPCDUn4PCcM0eGrzvuzorTYiYauVJYp5Jbs3hA"",""2025-26!W4"")"),0.0)</f>
        <v>0</v>
      </c>
      <c r="AU213" s="55">
        <f>IFERROR(__xludf.DUMMYFUNCTION("IMPORTRANGE(""1noGDJmPCDUn4PCcM0eGrzvuzorTYiYauVJYp5Jbs3hA"",""2025-26!W3"")"),0.0)</f>
        <v>0</v>
      </c>
      <c r="AV213" s="58" t="str">
        <f t="shared" si="60"/>
        <v/>
      </c>
      <c r="AW213" s="55">
        <f>IFERROR(__xludf.DUMMYFUNCTION("IMPORTRANGE(""1noGDJmPCDUn4PCcM0eGrzvuzorTYiYauVJYp5Jbs3hA"",""2025-26!X4"")"),0.0)</f>
        <v>0</v>
      </c>
      <c r="AX213" s="55">
        <f>IFERROR(__xludf.DUMMYFUNCTION("IMPORTRANGE(""1noGDJmPCDUn4PCcM0eGrzvuzorTYiYauVJYp5Jbs3hA"",""2025-26!X3"")"),0.0)</f>
        <v>0</v>
      </c>
      <c r="AY213" s="55">
        <f>IFERROR(__xludf.DUMMYFUNCTION("IMPORTRANGE(""1noGDJmPCDUn4PCcM0eGrzvuzorTYiYauVJYp5Jbs3hA"",""2025-26!Y4"")"),0.0)</f>
        <v>0</v>
      </c>
      <c r="AZ213" s="55">
        <f>IFERROR(__xludf.DUMMYFUNCTION("IMPORTRANGE(""1noGDJmPCDUn4PCcM0eGrzvuzorTYiYauVJYp5Jbs3hA"",""2025-26!Y3"")"),0.0)</f>
        <v>0</v>
      </c>
      <c r="BA213" s="55">
        <f>IFERROR(__xludf.DUMMYFUNCTION("IMPORTRANGE(""1noGDJmPCDUn4PCcM0eGrzvuzorTYiYauVJYp5Jbs3hA"",""2025-26!Z4"")"),0.0)</f>
        <v>0</v>
      </c>
      <c r="BB213" s="55">
        <f>IFERROR(__xludf.DUMMYFUNCTION("IMPORTRANGE(""1noGDJmPCDUn4PCcM0eGrzvuzorTYiYauVJYp5Jbs3hA"",""2025-26!Z3"")"),0.0)</f>
        <v>0</v>
      </c>
      <c r="BC213" s="59" t="str">
        <f t="shared" si="61"/>
        <v/>
      </c>
      <c r="BD213" s="55">
        <f>IFERROR(__xludf.DUMMYFUNCTION("IMPORTRANGE(""1noGDJmPCDUn4PCcM0eGrzvuzorTYiYauVJYp5Jbs3hA"",""2025-26!AA4"")"),0.0)</f>
        <v>0</v>
      </c>
      <c r="BE213" s="55">
        <f>IFERROR(__xludf.DUMMYFUNCTION("IMPORTRANGE(""1noGDJmPCDUn4PCcM0eGrzvuzorTYiYauVJYp5Jbs3hA"",""2025-26!AA3"")"),0.0)</f>
        <v>0</v>
      </c>
      <c r="BF213" s="55">
        <f>IFERROR(__xludf.DUMMYFUNCTION("IMPORTRANGE(""1noGDJmPCDUn4PCcM0eGrzvuzorTYiYauVJYp5Jbs3hA"",""2025-26!AB4"")"),0.0)</f>
        <v>0</v>
      </c>
      <c r="BG213" s="55">
        <f>IFERROR(__xludf.DUMMYFUNCTION("IMPORTRANGE(""1noGDJmPCDUn4PCcM0eGrzvuzorTYiYauVJYp5Jbs3hA"",""2025-26!AB3"")"),0.0)</f>
        <v>0</v>
      </c>
      <c r="BH213" s="55">
        <f>IFERROR(__xludf.DUMMYFUNCTION("IMPORTRANGE(""1noGDJmPCDUn4PCcM0eGrzvuzorTYiYauVJYp5Jbs3hA"",""2025-26!AC4"")"),0.0)</f>
        <v>0</v>
      </c>
      <c r="BI213" s="55">
        <f>IFERROR(__xludf.DUMMYFUNCTION("IMPORTRANGE(""1noGDJmPCDUn4PCcM0eGrzvuzorTYiYauVJYp5Jbs3hA"",""2025-26!AC3"")"),0.0)</f>
        <v>0</v>
      </c>
      <c r="BJ213" s="59" t="str">
        <f t="shared" si="62"/>
        <v/>
      </c>
      <c r="BK213" s="55">
        <f>IFERROR(__xludf.DUMMYFUNCTION("IMPORTRANGE(""1noGDJmPCDUn4PCcM0eGrzvuzorTYiYauVJYp5Jbs3hA"",""2025-26!AD4"")"),0.0)</f>
        <v>0</v>
      </c>
      <c r="BL213" s="55">
        <f>IFERROR(__xludf.DUMMYFUNCTION("IMPORTRANGE(""1noGDJmPCDUn4PCcM0eGrzvuzorTYiYauVJYp5Jbs3hA"",""2025-26!AD3"")"),0.0)</f>
        <v>0</v>
      </c>
      <c r="BM213" s="55">
        <f>IFERROR(__xludf.DUMMYFUNCTION("IMPORTRANGE(""1noGDJmPCDUn4PCcM0eGrzvuzorTYiYauVJYp5Jbs3hA"",""2025-26!AE4"")"),0.0)</f>
        <v>0</v>
      </c>
      <c r="BN213" s="55">
        <f>IFERROR(__xludf.DUMMYFUNCTION("IMPORTRANGE(""1noGDJmPCDUn4PCcM0eGrzvuzorTYiYauVJYp5Jbs3hA"",""2025-26!AE3"")"),0.0)</f>
        <v>0</v>
      </c>
      <c r="BO213" s="55">
        <f>IFERROR(__xludf.DUMMYFUNCTION("IMPORTRANGE(""1noGDJmPCDUn4PCcM0eGrzvuzorTYiYauVJYp5Jbs3hA"",""2025-26!AF4"")"),0.0)</f>
        <v>0</v>
      </c>
      <c r="BP213" s="55">
        <f>IFERROR(__xludf.DUMMYFUNCTION("IMPORTRANGE(""1noGDJmPCDUn4PCcM0eGrzvuzorTYiYauVJYp5Jbs3hA"",""2025-26!AF3"")"),0.0)</f>
        <v>0</v>
      </c>
      <c r="BQ213" s="59" t="str">
        <f t="shared" si="63"/>
        <v/>
      </c>
      <c r="BR213" s="55">
        <f>IFERROR(__xludf.DUMMYFUNCTION("IMPORTRANGE(""1noGDJmPCDUn4PCcM0eGrzvuzorTYiYauVJYp5Jbs3hA"",""2025-26!AG4"")"),0.0)</f>
        <v>0</v>
      </c>
      <c r="BS213" s="55">
        <f>IFERROR(__xludf.DUMMYFUNCTION("IMPORTRANGE(""1noGDJmPCDUn4PCcM0eGrzvuzorTYiYauVJYp5Jbs3hA"",""2025-26!AG3"")"),0.0)</f>
        <v>0</v>
      </c>
      <c r="BT213" s="55">
        <f>IFERROR(__xludf.DUMMYFUNCTION("IMPORTRANGE(""1noGDJmPCDUn4PCcM0eGrzvuzorTYiYauVJYp5Jbs3hA"",""2025-26!AH4"")"),0.0)</f>
        <v>0</v>
      </c>
      <c r="BU213" s="55">
        <f>IFERROR(__xludf.DUMMYFUNCTION("IMPORTRANGE(""1noGDJmPCDUn4PCcM0eGrzvuzorTYiYauVJYp5Jbs3hA"",""2025-26!AH3"")"),0.0)</f>
        <v>0</v>
      </c>
      <c r="BV213" s="55">
        <f>IFERROR(__xludf.DUMMYFUNCTION("IMPORTRANGE(""1noGDJmPCDUn4PCcM0eGrzvuzorTYiYauVJYp5Jbs3hA"",""2025-26!AI4"")"),0.0)</f>
        <v>0</v>
      </c>
      <c r="BW213" s="55">
        <f>IFERROR(__xludf.DUMMYFUNCTION("IMPORTRANGE(""1noGDJmPCDUn4PCcM0eGrzvuzorTYiYauVJYp5Jbs3hA"",""2025-26!AI3"")"),0.0)</f>
        <v>0</v>
      </c>
      <c r="BX213" s="59" t="str">
        <f t="shared" si="64"/>
        <v/>
      </c>
      <c r="BY213" s="55">
        <f>IFERROR(__xludf.DUMMYFUNCTION("IMPORTRANGE(""1noGDJmPCDUn4PCcM0eGrzvuzorTYiYauVJYp5Jbs3hA"",""2025-26!AJ4"")"),0.0)</f>
        <v>0</v>
      </c>
      <c r="BZ213" s="55">
        <f>IFERROR(__xludf.DUMMYFUNCTION("IMPORTRANGE(""1noGDJmPCDUn4PCcM0eGrzvuzorTYiYauVJYp5Jbs3hA"",""2025-26!AJ3"")"),0.0)</f>
        <v>0</v>
      </c>
      <c r="CA213" s="55">
        <f>IFERROR(__xludf.DUMMYFUNCTION("IMPORTRANGE(""1noGDJmPCDUn4PCcM0eGrzvuzorTYiYauVJYp5Jbs3hA"",""2025-26!AK4"")"),0.0)</f>
        <v>0</v>
      </c>
      <c r="CB213" s="55">
        <f>IFERROR(__xludf.DUMMYFUNCTION("IMPORTRANGE(""1noGDJmPCDUn4PCcM0eGrzvuzorTYiYauVJYp5Jbs3hA"",""2025-26!AK3"")"),0.0)</f>
        <v>0</v>
      </c>
      <c r="CC213" s="55">
        <f>IFERROR(__xludf.DUMMYFUNCTION("IMPORTRANGE(""1noGDJmPCDUn4PCcM0eGrzvuzorTYiYauVJYp5Jbs3hA"",""2025-26!AL4"")"),0.0)</f>
        <v>0</v>
      </c>
      <c r="CD213" s="55">
        <f>IFERROR(__xludf.DUMMYFUNCTION("IMPORTRANGE(""1noGDJmPCDUn4PCcM0eGrzvuzorTYiYauVJYp5Jbs3hA"",""2025-26!AL3"")"),0.0)</f>
        <v>0</v>
      </c>
      <c r="CE213" s="59" t="str">
        <f t="shared" si="65"/>
        <v/>
      </c>
      <c r="CF213" s="55">
        <f>IFERROR(__xludf.DUMMYFUNCTION("IMPORTRANGE(""1noGDJmPCDUn4PCcM0eGrzvuzorTYiYauVJYp5Jbs3hA"",""2025-26!AM4"")"),0.0)</f>
        <v>0</v>
      </c>
      <c r="CG213" s="55">
        <f>IFERROR(__xludf.DUMMYFUNCTION("IMPORTRANGE(""1noGDJmPCDUn4PCcM0eGrzvuzorTYiYauVJYp5Jbs3hA"",""2025-26!AM3"")"),0.0)</f>
        <v>0</v>
      </c>
      <c r="CH213" s="55">
        <f>IFERROR(__xludf.DUMMYFUNCTION("IMPORTRANGE(""1noGDJmPCDUn4PCcM0eGrzvuzorTYiYauVJYp5Jbs3hA"",""2025-26!AN4"")"),0.0)</f>
        <v>0</v>
      </c>
      <c r="CI213" s="55">
        <f>IFERROR(__xludf.DUMMYFUNCTION("IMPORTRANGE(""1noGDJmPCDUn4PCcM0eGrzvuzorTYiYauVJYp5Jbs3hA"",""2025-26!AN3"")"),0.0)</f>
        <v>0</v>
      </c>
      <c r="CJ213" s="55">
        <f>IFERROR(__xludf.DUMMYFUNCTION("IMPORTRANGE(""1noGDJmPCDUn4PCcM0eGrzvuzorTYiYauVJYp5Jbs3hA"",""2025-26!AO4"")"),0.0)</f>
        <v>0</v>
      </c>
      <c r="CK213" s="55">
        <f>IFERROR(__xludf.DUMMYFUNCTION("IMPORTRANGE(""1noGDJmPCDUn4PCcM0eGrzvuzorTYiYauVJYp5Jbs3hA"",""2025-26!AO3"")"),0.0)</f>
        <v>0</v>
      </c>
      <c r="CL213" s="59" t="str">
        <f t="shared" si="66"/>
        <v/>
      </c>
      <c r="CM213" s="55">
        <f>IFERROR(__xludf.DUMMYFUNCTION("IMPORTRANGE(""1noGDJmPCDUn4PCcM0eGrzvuzorTYiYauVJYp5Jbs3hA"",""2025-26!AP4"")"),0.0)</f>
        <v>0</v>
      </c>
      <c r="CN213" s="55">
        <f>IFERROR(__xludf.DUMMYFUNCTION("IMPORTRANGE(""1noGDJmPCDUn4PCcM0eGrzvuzorTYiYauVJYp5Jbs3hA"",""2025-26!AP3"")"),0.0)</f>
        <v>0</v>
      </c>
      <c r="CO213" s="55">
        <f>IFERROR(__xludf.DUMMYFUNCTION("IMPORTRANGE(""1noGDJmPCDUn4PCcM0eGrzvuzorTYiYauVJYp5Jbs3hA"",""2025-26!AQ4"")"),0.0)</f>
        <v>0</v>
      </c>
      <c r="CP213" s="55">
        <f>IFERROR(__xludf.DUMMYFUNCTION("IMPORTRANGE(""1noGDJmPCDUn4PCcM0eGrzvuzorTYiYauVJYp5Jbs3hA"",""2025-26!AQ3"")"),0.0)</f>
        <v>0</v>
      </c>
      <c r="CQ213" s="55">
        <f>IFERROR(__xludf.DUMMYFUNCTION("IMPORTRANGE(""1noGDJmPCDUn4PCcM0eGrzvuzorTYiYauVJYp5Jbs3hA"",""2025-26!AR4"")"),0.0)</f>
        <v>0</v>
      </c>
      <c r="CR213" s="55">
        <f>IFERROR(__xludf.DUMMYFUNCTION("IMPORTRANGE(""1noGDJmPCDUn4PCcM0eGrzvuzorTYiYauVJYp5Jbs3hA"",""2025-26!AR3"")"),0.0)</f>
        <v>0</v>
      </c>
      <c r="CS213" s="59" t="str">
        <f t="shared" si="67"/>
        <v/>
      </c>
      <c r="CT213" s="55">
        <f>IFERROR(__xludf.DUMMYFUNCTION("IMPORTRANGE(""1noGDJmPCDUn4PCcM0eGrzvuzorTYiYauVJYp5Jbs3hA"",""2025-26!AS4"")"),0.0)</f>
        <v>0</v>
      </c>
      <c r="CU213" s="55">
        <f>IFERROR(__xludf.DUMMYFUNCTION("IMPORTRANGE(""1noGDJmPCDUn4PCcM0eGrzvuzorTYiYauVJYp5Jbs3hA"",""2025-26!AS3"")"),0.0)</f>
        <v>0</v>
      </c>
      <c r="CV213" s="60" t="s">
        <v>117</v>
      </c>
    </row>
    <row r="214">
      <c r="A214" s="25" t="s">
        <v>111</v>
      </c>
      <c r="B214" s="134" t="s">
        <v>111</v>
      </c>
      <c r="C214" s="136" t="s">
        <v>430</v>
      </c>
      <c r="D214" s="65" t="s">
        <v>431</v>
      </c>
      <c r="E214" s="50">
        <v>7.093941128E9</v>
      </c>
      <c r="F214" s="66">
        <v>45462.0</v>
      </c>
      <c r="G214" s="62"/>
      <c r="H214" s="62"/>
      <c r="I214" s="53">
        <f>VLOOKUP($C214,Data!$C:$BV,34,0)</f>
        <v>24116</v>
      </c>
      <c r="J214" s="54">
        <v>1200000.0</v>
      </c>
      <c r="K214" s="55">
        <f>IFERROR(__xludf.DUMMYFUNCTION("IMPORTRANGE(""1z3zkAsaiORfVQaNnpf3lpr76arUQR082CgqmYP3vFYI"",""2025-26!A3"")"),48.0)</f>
        <v>48</v>
      </c>
      <c r="L214" s="55">
        <f>IFERROR(__xludf.DUMMYFUNCTION("IMPORTRANGE(""1z3zkAsaiORfVQaNnpf3lpr76arUQR082CgqmYP3vFYI"",""2025-26!G4"")"),0.0)</f>
        <v>0</v>
      </c>
      <c r="M214" s="55">
        <f t="shared" si="93"/>
        <v>812156.61</v>
      </c>
      <c r="N214" s="56" t="str">
        <f t="shared" si="94"/>
        <v>#DIV/0!</v>
      </c>
      <c r="O214" s="57">
        <f t="shared" si="95"/>
        <v>207270</v>
      </c>
      <c r="P214" s="55">
        <f>IFERROR(__xludf.DUMMYFUNCTION("IMPORTRANGE(""1z3zkAsaiORfVQaNnpf3lpr76arUQR082CgqmYP3vFYI"",""2025-26!J4"")"),0.0)</f>
        <v>0</v>
      </c>
      <c r="Q214" s="55">
        <f>IFERROR(__xludf.DUMMYFUNCTION("IMPORTRANGE(""1z3zkAsaiORfVQaNnpf3lpr76arUQR082CgqmYP3vFYI"",""2025-26!J3"")"),0.0)</f>
        <v>0</v>
      </c>
      <c r="R214" s="55">
        <f>IFERROR(__xludf.DUMMYFUNCTION("IMPORTRANGE(""1z3zkAsaiORfVQaNnpf3lpr76arUQR082CgqmYP3vFYI"",""2025-26!K4"")"),377325.77999999997)</f>
        <v>377325.78</v>
      </c>
      <c r="S214" s="55">
        <f>IFERROR(__xludf.DUMMYFUNCTION("IMPORTRANGE(""1z3zkAsaiORfVQaNnpf3lpr76arUQR082CgqmYP3vFYI"",""2025-26!K3"")"),14.0)</f>
        <v>14</v>
      </c>
      <c r="T214" s="58" t="str">
        <f t="shared" si="56"/>
        <v/>
      </c>
      <c r="U214" s="55">
        <f>IFERROR(__xludf.DUMMYFUNCTION("IMPORTRANGE(""1z3zkAsaiORfVQaNnpf3lpr76arUQR082CgqmYP3vFYI"",""2025-26!L4"")"),207270.0)</f>
        <v>207270</v>
      </c>
      <c r="V214" s="55">
        <f>IFERROR(__xludf.DUMMYFUNCTION("IMPORTRANGE(""1z3zkAsaiORfVQaNnpf3lpr76arUQR082CgqmYP3vFYI"",""2025-26!L3"")"),10.0)</f>
        <v>10</v>
      </c>
      <c r="W214" s="55">
        <f>IFERROR(__xludf.DUMMYFUNCTION("IMPORTRANGE(""1z3zkAsaiORfVQaNnpf3lpr76arUQR082CgqmYP3vFYI"",""2025-26!m4"")"),0.0)</f>
        <v>0</v>
      </c>
      <c r="X214" s="55">
        <f>IFERROR(__xludf.DUMMYFUNCTION("IMPORTRANGE(""1z3zkAsaiORfVQaNnpf3lpr76arUQR082CgqmYP3vFYI"",""2025-26!m3"")"),0.0)</f>
        <v>0</v>
      </c>
      <c r="Y214" s="55">
        <f>IFERROR(__xludf.DUMMYFUNCTION("IMPORTRANGE(""1z3zkAsaiORfVQaNnpf3lpr76arUQR082CgqmYP3vFYI"",""2025-26!N4"")"),434830.83)</f>
        <v>434830.83</v>
      </c>
      <c r="Z214" s="55">
        <f>IFERROR(__xludf.DUMMYFUNCTION("IMPORTRANGE(""1z3zkAsaiORfVQaNnpf3lpr76arUQR082CgqmYP3vFYI"",""2025-26!N3"")"),15.0)</f>
        <v>15</v>
      </c>
      <c r="AA214" s="58" t="str">
        <f t="shared" si="57"/>
        <v/>
      </c>
      <c r="AB214" s="55">
        <f>IFERROR(__xludf.DUMMYFUNCTION("IMPORTRANGE(""1z3zkAsaiORfVQaNnpf3lpr76arUQR082CgqmYP3vFYI"",""2025-26!O4"")"),0.0)</f>
        <v>0</v>
      </c>
      <c r="AC214" s="55">
        <f>IFERROR(__xludf.DUMMYFUNCTION("IMPORTRANGE(""1z3zkAsaiORfVQaNnpf3lpr76arUQR082CgqmYP3vFYI"",""2025-26!O3"")"),0.0)</f>
        <v>0</v>
      </c>
      <c r="AD214" s="55">
        <f>IFERROR(__xludf.DUMMYFUNCTION("IMPORTRANGE(""1z3zkAsaiORfVQaNnpf3lpr76arUQR082CgqmYP3vFYI"",""2025-26!P4"")"),0.0)</f>
        <v>0</v>
      </c>
      <c r="AE214" s="55">
        <f>IFERROR(__xludf.DUMMYFUNCTION("IMPORTRANGE(""1z3zkAsaiORfVQaNnpf3lpr76arUQR082CgqmYP3vFYI"",""2025-26!P3"")"),0.0)</f>
        <v>0</v>
      </c>
      <c r="AF214" s="55">
        <f>IFERROR(__xludf.DUMMYFUNCTION("IMPORTRANGE(""1z3zkAsaiORfVQaNnpf3lpr76arUQR082CgqmYP3vFYI"",""2025-26!Q4"")"),0.0)</f>
        <v>0</v>
      </c>
      <c r="AG214" s="55">
        <f>IFERROR(__xludf.DUMMYFUNCTION("IMPORTRANGE(""1z3zkAsaiORfVQaNnpf3lpr76arUQR082CgqmYP3vFYI"",""2025-26!Q3"")"),0.0)</f>
        <v>0</v>
      </c>
      <c r="AH214" s="58" t="str">
        <f t="shared" si="58"/>
        <v/>
      </c>
      <c r="AI214" s="55">
        <f>IFERROR(__xludf.DUMMYFUNCTION("IMPORTRANGE(""1z3zkAsaiORfVQaNnpf3lpr76arUQR082CgqmYP3vFYI"",""2025-26!R4"")"),0.0)</f>
        <v>0</v>
      </c>
      <c r="AJ214" s="55">
        <f>IFERROR(__xludf.DUMMYFUNCTION("IMPORTRANGE(""1z3zkAsaiORfVQaNnpf3lpr76arUQR082CgqmYP3vFYI"",""2025-26!R3"")"),0.0)</f>
        <v>0</v>
      </c>
      <c r="AK214" s="55">
        <f>IFERROR(__xludf.DUMMYFUNCTION("IMPORTRANGE(""1z3zkAsaiORfVQaNnpf3lpr76arUQR082CgqmYP3vFYI"",""2025-26!S4"")"),0.0)</f>
        <v>0</v>
      </c>
      <c r="AL214" s="55">
        <f>IFERROR(__xludf.DUMMYFUNCTION("IMPORTRANGE(""1z3zkAsaiORfVQaNnpf3lpr76arUQR082CgqmYP3vFYI"",""2025-26!S3"")"),0.0)</f>
        <v>0</v>
      </c>
      <c r="AM214" s="55">
        <f>IFERROR(__xludf.DUMMYFUNCTION("IMPORTRANGE(""1z3zkAsaiORfVQaNnpf3lpr76arUQR082CgqmYP3vFYI"",""2025-26!T4"")"),0.0)</f>
        <v>0</v>
      </c>
      <c r="AN214" s="55">
        <f>IFERROR(__xludf.DUMMYFUNCTION("IMPORTRANGE(""1z3zkAsaiORfVQaNnpf3lpr76arUQR082CgqmYP3vFYI"",""2025-26!T3"")"),0.0)</f>
        <v>0</v>
      </c>
      <c r="AO214" s="58" t="str">
        <f t="shared" si="59"/>
        <v/>
      </c>
      <c r="AP214" s="55">
        <f>IFERROR(__xludf.DUMMYFUNCTION("IMPORTRANGE(""1z3zkAsaiORfVQaNnpf3lpr76arUQR082CgqmYP3vFYI"",""2025-26!U4"")"),0.0)</f>
        <v>0</v>
      </c>
      <c r="AQ214" s="55">
        <f>IFERROR(__xludf.DUMMYFUNCTION("IMPORTRANGE(""1z3zkAsaiORfVQaNnpf3lpr76arUQR082CgqmYP3vFYI"",""2025-26!U3"")"),0.0)</f>
        <v>0</v>
      </c>
      <c r="AR214" s="55">
        <f>IFERROR(__xludf.DUMMYFUNCTION("IMPORTRANGE(""1z3zkAsaiORfVQaNnpf3lpr76arUQR082CgqmYP3vFYI"",""2025-26!V4"")"),0.0)</f>
        <v>0</v>
      </c>
      <c r="AS214" s="55">
        <f>IFERROR(__xludf.DUMMYFUNCTION("IMPORTRANGE(""1z3zkAsaiORfVQaNnpf3lpr76arUQR082CgqmYP3vFYI"",""2025-26!V3"")"),0.0)</f>
        <v>0</v>
      </c>
      <c r="AT214" s="55">
        <f>IFERROR(__xludf.DUMMYFUNCTION("IMPORTRANGE(""1z3zkAsaiORfVQaNnpf3lpr76arUQR082CgqmYP3vFYI"",""2025-26!W4"")"),0.0)</f>
        <v>0</v>
      </c>
      <c r="AU214" s="55">
        <f>IFERROR(__xludf.DUMMYFUNCTION("IMPORTRANGE(""1z3zkAsaiORfVQaNnpf3lpr76arUQR082CgqmYP3vFYI"",""2025-26!W3"")"),0.0)</f>
        <v>0</v>
      </c>
      <c r="AV214" s="58" t="str">
        <f t="shared" si="60"/>
        <v/>
      </c>
      <c r="AW214" s="55">
        <f>IFERROR(__xludf.DUMMYFUNCTION("IMPORTRANGE(""1z3zkAsaiORfVQaNnpf3lpr76arUQR082CgqmYP3vFYI"",""2025-26!X4"")"),0.0)</f>
        <v>0</v>
      </c>
      <c r="AX214" s="55">
        <f>IFERROR(__xludf.DUMMYFUNCTION("IMPORTRANGE(""1z3zkAsaiORfVQaNnpf3lpr76arUQR082CgqmYP3vFYI"",""2025-26!X3"")"),0.0)</f>
        <v>0</v>
      </c>
      <c r="AY214" s="55">
        <f>IFERROR(__xludf.DUMMYFUNCTION("IMPORTRANGE(""1z3zkAsaiORfVQaNnpf3lpr76arUQR082CgqmYP3vFYI"",""2025-26!Y4"")"),0.0)</f>
        <v>0</v>
      </c>
      <c r="AZ214" s="55">
        <f>IFERROR(__xludf.DUMMYFUNCTION("IMPORTRANGE(""1z3zkAsaiORfVQaNnpf3lpr76arUQR082CgqmYP3vFYI"",""2025-26!Y3"")"),0.0)</f>
        <v>0</v>
      </c>
      <c r="BA214" s="55">
        <f>IFERROR(__xludf.DUMMYFUNCTION("IMPORTRANGE(""1z3zkAsaiORfVQaNnpf3lpr76arUQR082CgqmYP3vFYI"",""2025-26!Z4"")"),0.0)</f>
        <v>0</v>
      </c>
      <c r="BB214" s="55">
        <f>IFERROR(__xludf.DUMMYFUNCTION("IMPORTRANGE(""1z3zkAsaiORfVQaNnpf3lpr76arUQR082CgqmYP3vFYI"",""2025-26!Z3"")"),0.0)</f>
        <v>0</v>
      </c>
      <c r="BC214" s="59" t="str">
        <f t="shared" si="61"/>
        <v/>
      </c>
      <c r="BD214" s="55">
        <f>IFERROR(__xludf.DUMMYFUNCTION("IMPORTRANGE(""1z3zkAsaiORfVQaNnpf3lpr76arUQR082CgqmYP3vFYI"",""2025-26!AA4"")"),0.0)</f>
        <v>0</v>
      </c>
      <c r="BE214" s="55">
        <f>IFERROR(__xludf.DUMMYFUNCTION("IMPORTRANGE(""1z3zkAsaiORfVQaNnpf3lpr76arUQR082CgqmYP3vFYI"",""2025-26!AA3"")"),0.0)</f>
        <v>0</v>
      </c>
      <c r="BF214" s="55">
        <f>IFERROR(__xludf.DUMMYFUNCTION("IMPORTRANGE(""1z3zkAsaiORfVQaNnpf3lpr76arUQR082CgqmYP3vFYI"",""2025-26!AB4"")"),0.0)</f>
        <v>0</v>
      </c>
      <c r="BG214" s="55">
        <f>IFERROR(__xludf.DUMMYFUNCTION("IMPORTRANGE(""1z3zkAsaiORfVQaNnpf3lpr76arUQR082CgqmYP3vFYI"",""2025-26!AB3"")"),0.0)</f>
        <v>0</v>
      </c>
      <c r="BH214" s="55">
        <f>IFERROR(__xludf.DUMMYFUNCTION("IMPORTRANGE(""1z3zkAsaiORfVQaNnpf3lpr76arUQR082CgqmYP3vFYI"",""2025-26!AC4"")"),0.0)</f>
        <v>0</v>
      </c>
      <c r="BI214" s="55">
        <f>IFERROR(__xludf.DUMMYFUNCTION("IMPORTRANGE(""1z3zkAsaiORfVQaNnpf3lpr76arUQR082CgqmYP3vFYI"",""2025-26!AC3"")"),0.0)</f>
        <v>0</v>
      </c>
      <c r="BJ214" s="59" t="str">
        <f t="shared" si="62"/>
        <v/>
      </c>
      <c r="BK214" s="55">
        <f>IFERROR(__xludf.DUMMYFUNCTION("IMPORTRANGE(""1z3zkAsaiORfVQaNnpf3lpr76arUQR082CgqmYP3vFYI"",""2025-26!AD4"")"),0.0)</f>
        <v>0</v>
      </c>
      <c r="BL214" s="55">
        <f>IFERROR(__xludf.DUMMYFUNCTION("IMPORTRANGE(""1z3zkAsaiORfVQaNnpf3lpr76arUQR082CgqmYP3vFYI"",""2025-26!AD3"")"),0.0)</f>
        <v>0</v>
      </c>
      <c r="BM214" s="55">
        <f>IFERROR(__xludf.DUMMYFUNCTION("IMPORTRANGE(""1z3zkAsaiORfVQaNnpf3lpr76arUQR082CgqmYP3vFYI"",""2025-26!AE4"")"),0.0)</f>
        <v>0</v>
      </c>
      <c r="BN214" s="55">
        <f>IFERROR(__xludf.DUMMYFUNCTION("IMPORTRANGE(""1z3zkAsaiORfVQaNnpf3lpr76arUQR082CgqmYP3vFYI"",""2025-26!AE3"")"),0.0)</f>
        <v>0</v>
      </c>
      <c r="BO214" s="55">
        <f>IFERROR(__xludf.DUMMYFUNCTION("IMPORTRANGE(""1z3zkAsaiORfVQaNnpf3lpr76arUQR082CgqmYP3vFYI"",""2025-26!AF4"")"),0.0)</f>
        <v>0</v>
      </c>
      <c r="BP214" s="55">
        <f>IFERROR(__xludf.DUMMYFUNCTION("IMPORTRANGE(""1z3zkAsaiORfVQaNnpf3lpr76arUQR082CgqmYP3vFYI"",""2025-26!AF3"")"),0.0)</f>
        <v>0</v>
      </c>
      <c r="BQ214" s="59" t="str">
        <f t="shared" si="63"/>
        <v/>
      </c>
      <c r="BR214" s="55">
        <f>IFERROR(__xludf.DUMMYFUNCTION("IMPORTRANGE(""1z3zkAsaiORfVQaNnpf3lpr76arUQR082CgqmYP3vFYI"",""2025-26!AG4"")"),0.0)</f>
        <v>0</v>
      </c>
      <c r="BS214" s="55">
        <f>IFERROR(__xludf.DUMMYFUNCTION("IMPORTRANGE(""1z3zkAsaiORfVQaNnpf3lpr76arUQR082CgqmYP3vFYI"",""2025-26!AG3"")"),0.0)</f>
        <v>0</v>
      </c>
      <c r="BT214" s="55">
        <f>IFERROR(__xludf.DUMMYFUNCTION("IMPORTRANGE(""1z3zkAsaiORfVQaNnpf3lpr76arUQR082CgqmYP3vFYI"",""2025-26!AH4"")"),0.0)</f>
        <v>0</v>
      </c>
      <c r="BU214" s="55">
        <f>IFERROR(__xludf.DUMMYFUNCTION("IMPORTRANGE(""1z3zkAsaiORfVQaNnpf3lpr76arUQR082CgqmYP3vFYI"",""2025-26!AH3"")"),0.0)</f>
        <v>0</v>
      </c>
      <c r="BV214" s="55">
        <f>IFERROR(__xludf.DUMMYFUNCTION("IMPORTRANGE(""1z3zkAsaiORfVQaNnpf3lpr76arUQR082CgqmYP3vFYI"",""2025-26!AI4"")"),0.0)</f>
        <v>0</v>
      </c>
      <c r="BW214" s="55">
        <f>IFERROR(__xludf.DUMMYFUNCTION("IMPORTRANGE(""1z3zkAsaiORfVQaNnpf3lpr76arUQR082CgqmYP3vFYI"",""2025-26!AI3"")"),0.0)</f>
        <v>0</v>
      </c>
      <c r="BX214" s="59" t="str">
        <f t="shared" si="64"/>
        <v/>
      </c>
      <c r="BY214" s="55">
        <f>IFERROR(__xludf.DUMMYFUNCTION("IMPORTRANGE(""1z3zkAsaiORfVQaNnpf3lpr76arUQR082CgqmYP3vFYI"",""2025-26!AJ4"")"),0.0)</f>
        <v>0</v>
      </c>
      <c r="BZ214" s="55">
        <f>IFERROR(__xludf.DUMMYFUNCTION("IMPORTRANGE(""1z3zkAsaiORfVQaNnpf3lpr76arUQR082CgqmYP3vFYI"",""2025-26!AJ3"")"),0.0)</f>
        <v>0</v>
      </c>
      <c r="CA214" s="55">
        <f>IFERROR(__xludf.DUMMYFUNCTION("IMPORTRANGE(""1z3zkAsaiORfVQaNnpf3lpr76arUQR082CgqmYP3vFYI"",""2025-26!AK4"")"),0.0)</f>
        <v>0</v>
      </c>
      <c r="CB214" s="55">
        <f>IFERROR(__xludf.DUMMYFUNCTION("IMPORTRANGE(""1z3zkAsaiORfVQaNnpf3lpr76arUQR082CgqmYP3vFYI"",""2025-26!AK3"")"),0.0)</f>
        <v>0</v>
      </c>
      <c r="CC214" s="55">
        <f>IFERROR(__xludf.DUMMYFUNCTION("IMPORTRANGE(""1z3zkAsaiORfVQaNnpf3lpr76arUQR082CgqmYP3vFYI"",""2025-26!AL4"")"),0.0)</f>
        <v>0</v>
      </c>
      <c r="CD214" s="55">
        <f>IFERROR(__xludf.DUMMYFUNCTION("IMPORTRANGE(""1z3zkAsaiORfVQaNnpf3lpr76arUQR082CgqmYP3vFYI"",""2025-26!AL3"")"),0.0)</f>
        <v>0</v>
      </c>
      <c r="CE214" s="59" t="str">
        <f t="shared" si="65"/>
        <v/>
      </c>
      <c r="CF214" s="55">
        <f>IFERROR(__xludf.DUMMYFUNCTION("IMPORTRANGE(""1z3zkAsaiORfVQaNnpf3lpr76arUQR082CgqmYP3vFYI"",""2025-26!AM4"")"),0.0)</f>
        <v>0</v>
      </c>
      <c r="CG214" s="55">
        <f>IFERROR(__xludf.DUMMYFUNCTION("IMPORTRANGE(""1z3zkAsaiORfVQaNnpf3lpr76arUQR082CgqmYP3vFYI"",""2025-26!AM3"")"),0.0)</f>
        <v>0</v>
      </c>
      <c r="CH214" s="55">
        <f>IFERROR(__xludf.DUMMYFUNCTION("IMPORTRANGE(""1z3zkAsaiORfVQaNnpf3lpr76arUQR082CgqmYP3vFYI"",""2025-26!AN4"")"),0.0)</f>
        <v>0</v>
      </c>
      <c r="CI214" s="55">
        <f>IFERROR(__xludf.DUMMYFUNCTION("IMPORTRANGE(""1z3zkAsaiORfVQaNnpf3lpr76arUQR082CgqmYP3vFYI"",""2025-26!AN3"")"),0.0)</f>
        <v>0</v>
      </c>
      <c r="CJ214" s="55">
        <f>IFERROR(__xludf.DUMMYFUNCTION("IMPORTRANGE(""1z3zkAsaiORfVQaNnpf3lpr76arUQR082CgqmYP3vFYI"",""2025-26!AO4"")"),0.0)</f>
        <v>0</v>
      </c>
      <c r="CK214" s="55">
        <f>IFERROR(__xludf.DUMMYFUNCTION("IMPORTRANGE(""1z3zkAsaiORfVQaNnpf3lpr76arUQR082CgqmYP3vFYI"",""2025-26!AO3"")"),0.0)</f>
        <v>0</v>
      </c>
      <c r="CL214" s="59" t="str">
        <f t="shared" si="66"/>
        <v/>
      </c>
      <c r="CM214" s="55">
        <f>IFERROR(__xludf.DUMMYFUNCTION("IMPORTRANGE(""1z3zkAsaiORfVQaNnpf3lpr76arUQR082CgqmYP3vFYI"",""2025-26!AP4"")"),0.0)</f>
        <v>0</v>
      </c>
      <c r="CN214" s="55">
        <f>IFERROR(__xludf.DUMMYFUNCTION("IMPORTRANGE(""1z3zkAsaiORfVQaNnpf3lpr76arUQR082CgqmYP3vFYI"",""2025-26!AP3"")"),0.0)</f>
        <v>0</v>
      </c>
      <c r="CO214" s="55">
        <f>IFERROR(__xludf.DUMMYFUNCTION("IMPORTRANGE(""1z3zkAsaiORfVQaNnpf3lpr76arUQR082CgqmYP3vFYI"",""2025-26!AQ4"")"),0.0)</f>
        <v>0</v>
      </c>
      <c r="CP214" s="55">
        <f>IFERROR(__xludf.DUMMYFUNCTION("IMPORTRANGE(""1z3zkAsaiORfVQaNnpf3lpr76arUQR082CgqmYP3vFYI"",""2025-26!AQ3"")"),0.0)</f>
        <v>0</v>
      </c>
      <c r="CQ214" s="55">
        <f>IFERROR(__xludf.DUMMYFUNCTION("IMPORTRANGE(""1z3zkAsaiORfVQaNnpf3lpr76arUQR082CgqmYP3vFYI"",""2025-26!AR4"")"),0.0)</f>
        <v>0</v>
      </c>
      <c r="CR214" s="55">
        <f>IFERROR(__xludf.DUMMYFUNCTION("IMPORTRANGE(""1z3zkAsaiORfVQaNnpf3lpr76arUQR082CgqmYP3vFYI"",""2025-26!AR3"")"),0.0)</f>
        <v>0</v>
      </c>
      <c r="CS214" s="59" t="str">
        <f t="shared" si="67"/>
        <v/>
      </c>
      <c r="CT214" s="55">
        <f>IFERROR(__xludf.DUMMYFUNCTION("IMPORTRANGE(""1z3zkAsaiORfVQaNnpf3lpr76arUQR082CgqmYP3vFYI"",""2025-26!AS4"")"),0.0)</f>
        <v>0</v>
      </c>
      <c r="CU214" s="55">
        <f>IFERROR(__xludf.DUMMYFUNCTION("IMPORTRANGE(""1z3zkAsaiORfVQaNnpf3lpr76arUQR082CgqmYP3vFYI"",""2025-26!AS3"")"),0.0)</f>
        <v>0</v>
      </c>
      <c r="CV214" s="60" t="s">
        <v>117</v>
      </c>
    </row>
    <row r="215">
      <c r="A215" s="133" t="s">
        <v>111</v>
      </c>
      <c r="B215" s="134" t="s">
        <v>111</v>
      </c>
      <c r="C215" s="130" t="s">
        <v>432</v>
      </c>
      <c r="D215" s="65" t="s">
        <v>433</v>
      </c>
      <c r="E215" s="50">
        <v>9.885902932E9</v>
      </c>
      <c r="F215" s="66">
        <v>45444.0</v>
      </c>
      <c r="G215" s="62"/>
      <c r="H215" s="62"/>
      <c r="I215" s="53">
        <f>VLOOKUP($C215,Data!$C:$BV,34,0)</f>
        <v>27000</v>
      </c>
      <c r="J215" s="54">
        <v>1000000.0</v>
      </c>
      <c r="K215" s="55">
        <f>IFERROR(__xludf.DUMMYFUNCTION("IMPORTRANGE(""1afPv6Itln-AgmM1wSPGWgSh08mCOyf4jitO0Fx8AOdw"",""2025-26!A3"")"),27.0)</f>
        <v>27</v>
      </c>
      <c r="L215" s="55">
        <f>IFERROR(__xludf.DUMMYFUNCTION("IMPORTRANGE(""1afPv6Itln-AgmM1wSPGWgSh08mCOyf4jitO0Fx8AOdw"",""2025-26!G4"")"),9300000.0)</f>
        <v>9300000</v>
      </c>
      <c r="M215" s="55">
        <f t="shared" si="93"/>
        <v>560081.72</v>
      </c>
      <c r="N215" s="56">
        <f t="shared" si="94"/>
        <v>0.05857752688</v>
      </c>
      <c r="O215" s="57">
        <f t="shared" si="95"/>
        <v>544771</v>
      </c>
      <c r="P215" s="55">
        <f>IFERROR(__xludf.DUMMYFUNCTION("IMPORTRANGE(""1afPv6Itln-AgmM1wSPGWgSh08mCOyf4jitO0Fx8AOdw"",""2025-26!J4"")"),535000.0)</f>
        <v>535000</v>
      </c>
      <c r="Q215" s="55">
        <f>IFERROR(__xludf.DUMMYFUNCTION("IMPORTRANGE(""1afPv6Itln-AgmM1wSPGWgSh08mCOyf4jitO0Fx8AOdw"",""2025-26!J3"")"),23.0)</f>
        <v>23</v>
      </c>
      <c r="R215" s="55">
        <f>IFERROR(__xludf.DUMMYFUNCTION("IMPORTRANGE(""1afPv6Itln-AgmM1wSPGWgSh08mCOyf4jitO0Fx8AOdw"",""2025-26!K4"")"),179816.72)</f>
        <v>179816.72</v>
      </c>
      <c r="S215" s="55">
        <f>IFERROR(__xludf.DUMMYFUNCTION("IMPORTRANGE(""1afPv6Itln-AgmM1wSPGWgSh08mCOyf4jitO0Fx8AOdw"",""2025-26!K3"")"),6.0)</f>
        <v>6</v>
      </c>
      <c r="T215" s="58">
        <f t="shared" si="56"/>
        <v>0.3557962617</v>
      </c>
      <c r="U215" s="55">
        <f>IFERROR(__xludf.DUMMYFUNCTION("IMPORTRANGE(""1afPv6Itln-AgmM1wSPGWgSh08mCOyf4jitO0Fx8AOdw"",""2025-26!L4"")"),190351.0)</f>
        <v>190351</v>
      </c>
      <c r="V215" s="55">
        <f>IFERROR(__xludf.DUMMYFUNCTION("IMPORTRANGE(""1afPv6Itln-AgmM1wSPGWgSh08mCOyf4jitO0Fx8AOdw"",""2025-26!L3"")"),7.0)</f>
        <v>7</v>
      </c>
      <c r="W215" s="55">
        <f>IFERROR(__xludf.DUMMYFUNCTION("IMPORTRANGE(""1afPv6Itln-AgmM1wSPGWgSh08mCOyf4jitO0Fx8AOdw"",""2025-26!m4"")"),575000.0)</f>
        <v>575000</v>
      </c>
      <c r="X215" s="55">
        <f>IFERROR(__xludf.DUMMYFUNCTION("IMPORTRANGE(""1afPv6Itln-AgmM1wSPGWgSh08mCOyf4jitO0Fx8AOdw"",""2025-26!m3"")"),23.0)</f>
        <v>23</v>
      </c>
      <c r="Y215" s="55">
        <f>IFERROR(__xludf.DUMMYFUNCTION("IMPORTRANGE(""1afPv6Itln-AgmM1wSPGWgSh08mCOyf4jitO0Fx8AOdw"",""2025-26!N4"")"),262968.4)</f>
        <v>262968.4</v>
      </c>
      <c r="Z215" s="55">
        <f>IFERROR(__xludf.DUMMYFUNCTION("IMPORTRANGE(""1afPv6Itln-AgmM1wSPGWgSh08mCOyf4jitO0Fx8AOdw"",""2025-26!N3"")"),8.0)</f>
        <v>8</v>
      </c>
      <c r="AA215" s="58">
        <f t="shared" si="57"/>
        <v>0.4104869565</v>
      </c>
      <c r="AB215" s="55">
        <f>IFERROR(__xludf.DUMMYFUNCTION("IMPORTRANGE(""1afPv6Itln-AgmM1wSPGWgSh08mCOyf4jitO0Fx8AOdw"",""2025-26!O4"")"),236030.0)</f>
        <v>236030</v>
      </c>
      <c r="AC215" s="55">
        <f>IFERROR(__xludf.DUMMYFUNCTION("IMPORTRANGE(""1afPv6Itln-AgmM1wSPGWgSh08mCOyf4jitO0Fx8AOdw"",""2025-26!O3"")"),6.0)</f>
        <v>6</v>
      </c>
      <c r="AD215" s="55">
        <f>IFERROR(__xludf.DUMMYFUNCTION("IMPORTRANGE(""1afPv6Itln-AgmM1wSPGWgSh08mCOyf4jitO0Fx8AOdw"",""2025-26!P4"")"),1000000.0)</f>
        <v>1000000</v>
      </c>
      <c r="AE215" s="55">
        <f>IFERROR(__xludf.DUMMYFUNCTION("IMPORTRANGE(""1afPv6Itln-AgmM1wSPGWgSh08mCOyf4jitO0Fx8AOdw"",""2025-26!P3"")"),27.0)</f>
        <v>27</v>
      </c>
      <c r="AF215" s="55">
        <f>IFERROR(__xludf.DUMMYFUNCTION("IMPORTRANGE(""1afPv6Itln-AgmM1wSPGWgSh08mCOyf4jitO0Fx8AOdw"",""2025-26!Q4"")"),117296.6)</f>
        <v>117296.6</v>
      </c>
      <c r="AG215" s="55">
        <f>IFERROR(__xludf.DUMMYFUNCTION("IMPORTRANGE(""1afPv6Itln-AgmM1wSPGWgSh08mCOyf4jitO0Fx8AOdw"",""2025-26!Q3"")"),3.0)</f>
        <v>3</v>
      </c>
      <c r="AH215" s="58">
        <f t="shared" si="58"/>
        <v>0.11839</v>
      </c>
      <c r="AI215" s="55">
        <f>IFERROR(__xludf.DUMMYFUNCTION("IMPORTRANGE(""1afPv6Itln-AgmM1wSPGWgSh08mCOyf4jitO0Fx8AOdw"",""2025-26!R4"")"),118390.0)</f>
        <v>118390</v>
      </c>
      <c r="AJ215" s="55">
        <f>IFERROR(__xludf.DUMMYFUNCTION("IMPORTRANGE(""1afPv6Itln-AgmM1wSPGWgSh08mCOyf4jitO0Fx8AOdw"",""2025-26!R3"")"),3.0)</f>
        <v>3</v>
      </c>
      <c r="AK215" s="55">
        <f>IFERROR(__xludf.DUMMYFUNCTION("IMPORTRANGE(""1afPv6Itln-AgmM1wSPGWgSh08mCOyf4jitO0Fx8AOdw"",""2025-26!S4"")"),0.0)</f>
        <v>0</v>
      </c>
      <c r="AL215" s="55">
        <f>IFERROR(__xludf.DUMMYFUNCTION("IMPORTRANGE(""1afPv6Itln-AgmM1wSPGWgSh08mCOyf4jitO0Fx8AOdw"",""2025-26!S3"")"),0.0)</f>
        <v>0</v>
      </c>
      <c r="AM215" s="55">
        <f>IFERROR(__xludf.DUMMYFUNCTION("IMPORTRANGE(""1afPv6Itln-AgmM1wSPGWgSh08mCOyf4jitO0Fx8AOdw"",""2025-26!T4"")"),0.0)</f>
        <v>0</v>
      </c>
      <c r="AN215" s="55">
        <f>IFERROR(__xludf.DUMMYFUNCTION("IMPORTRANGE(""1afPv6Itln-AgmM1wSPGWgSh08mCOyf4jitO0Fx8AOdw"",""2025-26!T3"")"),0.0)</f>
        <v>0</v>
      </c>
      <c r="AO215" s="58" t="str">
        <f t="shared" si="59"/>
        <v/>
      </c>
      <c r="AP215" s="55">
        <f>IFERROR(__xludf.DUMMYFUNCTION("IMPORTRANGE(""1afPv6Itln-AgmM1wSPGWgSh08mCOyf4jitO0Fx8AOdw"",""2025-26!U4"")"),0.0)</f>
        <v>0</v>
      </c>
      <c r="AQ215" s="55">
        <f>IFERROR(__xludf.DUMMYFUNCTION("IMPORTRANGE(""1afPv6Itln-AgmM1wSPGWgSh08mCOyf4jitO0Fx8AOdw"",""2025-26!U3"")"),0.0)</f>
        <v>0</v>
      </c>
      <c r="AR215" s="55">
        <f>IFERROR(__xludf.DUMMYFUNCTION("IMPORTRANGE(""1afPv6Itln-AgmM1wSPGWgSh08mCOyf4jitO0Fx8AOdw"",""2025-26!V4"")"),0.0)</f>
        <v>0</v>
      </c>
      <c r="AS215" s="55">
        <f>IFERROR(__xludf.DUMMYFUNCTION("IMPORTRANGE(""1afPv6Itln-AgmM1wSPGWgSh08mCOyf4jitO0Fx8AOdw"",""2025-26!V3"")"),0.0)</f>
        <v>0</v>
      </c>
      <c r="AT215" s="55">
        <f>IFERROR(__xludf.DUMMYFUNCTION("IMPORTRANGE(""1afPv6Itln-AgmM1wSPGWgSh08mCOyf4jitO0Fx8AOdw"",""2025-26!W4"")"),0.0)</f>
        <v>0</v>
      </c>
      <c r="AU215" s="55">
        <f>IFERROR(__xludf.DUMMYFUNCTION("IMPORTRANGE(""1afPv6Itln-AgmM1wSPGWgSh08mCOyf4jitO0Fx8AOdw"",""2025-26!W3"")"),0.0)</f>
        <v>0</v>
      </c>
      <c r="AV215" s="58" t="str">
        <f t="shared" si="60"/>
        <v/>
      </c>
      <c r="AW215" s="55">
        <f>IFERROR(__xludf.DUMMYFUNCTION("IMPORTRANGE(""1afPv6Itln-AgmM1wSPGWgSh08mCOyf4jitO0Fx8AOdw"",""2025-26!X4"")"),0.0)</f>
        <v>0</v>
      </c>
      <c r="AX215" s="55">
        <f>IFERROR(__xludf.DUMMYFUNCTION("IMPORTRANGE(""1afPv6Itln-AgmM1wSPGWgSh08mCOyf4jitO0Fx8AOdw"",""2025-26!X3"")"),0.0)</f>
        <v>0</v>
      </c>
      <c r="AY215" s="55">
        <f>IFERROR(__xludf.DUMMYFUNCTION("IMPORTRANGE(""1afPv6Itln-AgmM1wSPGWgSh08mCOyf4jitO0Fx8AOdw"",""2025-26!Y4"")"),0.0)</f>
        <v>0</v>
      </c>
      <c r="AZ215" s="55">
        <f>IFERROR(__xludf.DUMMYFUNCTION("IMPORTRANGE(""1afPv6Itln-AgmM1wSPGWgSh08mCOyf4jitO0Fx8AOdw"",""2025-26!Y3"")"),0.0)</f>
        <v>0</v>
      </c>
      <c r="BA215" s="55">
        <f>IFERROR(__xludf.DUMMYFUNCTION("IMPORTRANGE(""1afPv6Itln-AgmM1wSPGWgSh08mCOyf4jitO0Fx8AOdw"",""2025-26!Z4"")"),0.0)</f>
        <v>0</v>
      </c>
      <c r="BB215" s="55">
        <f>IFERROR(__xludf.DUMMYFUNCTION("IMPORTRANGE(""1afPv6Itln-AgmM1wSPGWgSh08mCOyf4jitO0Fx8AOdw"",""2025-26!Z3"")"),0.0)</f>
        <v>0</v>
      </c>
      <c r="BC215" s="59" t="str">
        <f t="shared" si="61"/>
        <v/>
      </c>
      <c r="BD215" s="55">
        <f>IFERROR(__xludf.DUMMYFUNCTION("IMPORTRANGE(""1afPv6Itln-AgmM1wSPGWgSh08mCOyf4jitO0Fx8AOdw"",""2025-26!AA4"")"),0.0)</f>
        <v>0</v>
      </c>
      <c r="BE215" s="55">
        <f>IFERROR(__xludf.DUMMYFUNCTION("IMPORTRANGE(""1afPv6Itln-AgmM1wSPGWgSh08mCOyf4jitO0Fx8AOdw"",""2025-26!AA3"")"),0.0)</f>
        <v>0</v>
      </c>
      <c r="BF215" s="55">
        <f>IFERROR(__xludf.DUMMYFUNCTION("IMPORTRANGE(""1afPv6Itln-AgmM1wSPGWgSh08mCOyf4jitO0Fx8AOdw"",""2025-26!AB4"")"),0.0)</f>
        <v>0</v>
      </c>
      <c r="BG215" s="55">
        <f>IFERROR(__xludf.DUMMYFUNCTION("IMPORTRANGE(""1afPv6Itln-AgmM1wSPGWgSh08mCOyf4jitO0Fx8AOdw"",""2025-26!AB3"")"),0.0)</f>
        <v>0</v>
      </c>
      <c r="BH215" s="55">
        <f>IFERROR(__xludf.DUMMYFUNCTION("IMPORTRANGE(""1afPv6Itln-AgmM1wSPGWgSh08mCOyf4jitO0Fx8AOdw"",""2025-26!AC4"")"),0.0)</f>
        <v>0</v>
      </c>
      <c r="BI215" s="55">
        <f>IFERROR(__xludf.DUMMYFUNCTION("IMPORTRANGE(""1afPv6Itln-AgmM1wSPGWgSh08mCOyf4jitO0Fx8AOdw"",""2025-26!AC3"")"),0.0)</f>
        <v>0</v>
      </c>
      <c r="BJ215" s="59" t="str">
        <f t="shared" si="62"/>
        <v/>
      </c>
      <c r="BK215" s="55">
        <f>IFERROR(__xludf.DUMMYFUNCTION("IMPORTRANGE(""1afPv6Itln-AgmM1wSPGWgSh08mCOyf4jitO0Fx8AOdw"",""2025-26!AD4"")"),0.0)</f>
        <v>0</v>
      </c>
      <c r="BL215" s="55">
        <f>IFERROR(__xludf.DUMMYFUNCTION("IMPORTRANGE(""1afPv6Itln-AgmM1wSPGWgSh08mCOyf4jitO0Fx8AOdw"",""2025-26!AD3"")"),0.0)</f>
        <v>0</v>
      </c>
      <c r="BM215" s="55">
        <f>IFERROR(__xludf.DUMMYFUNCTION("IMPORTRANGE(""1afPv6Itln-AgmM1wSPGWgSh08mCOyf4jitO0Fx8AOdw"",""2025-26!AE4"")"),0.0)</f>
        <v>0</v>
      </c>
      <c r="BN215" s="55">
        <f>IFERROR(__xludf.DUMMYFUNCTION("IMPORTRANGE(""1afPv6Itln-AgmM1wSPGWgSh08mCOyf4jitO0Fx8AOdw"",""2025-26!AE3"")"),0.0)</f>
        <v>0</v>
      </c>
      <c r="BO215" s="55">
        <f>IFERROR(__xludf.DUMMYFUNCTION("IMPORTRANGE(""1afPv6Itln-AgmM1wSPGWgSh08mCOyf4jitO0Fx8AOdw"",""2025-26!AF4"")"),0.0)</f>
        <v>0</v>
      </c>
      <c r="BP215" s="55">
        <f>IFERROR(__xludf.DUMMYFUNCTION("IMPORTRANGE(""1afPv6Itln-AgmM1wSPGWgSh08mCOyf4jitO0Fx8AOdw"",""2025-26!AF3"")"),0.0)</f>
        <v>0</v>
      </c>
      <c r="BQ215" s="59" t="str">
        <f t="shared" si="63"/>
        <v/>
      </c>
      <c r="BR215" s="55">
        <f>IFERROR(__xludf.DUMMYFUNCTION("IMPORTRANGE(""1afPv6Itln-AgmM1wSPGWgSh08mCOyf4jitO0Fx8AOdw"",""2025-26!AG4"")"),0.0)</f>
        <v>0</v>
      </c>
      <c r="BS215" s="55">
        <f>IFERROR(__xludf.DUMMYFUNCTION("IMPORTRANGE(""1afPv6Itln-AgmM1wSPGWgSh08mCOyf4jitO0Fx8AOdw"",""2025-26!AG3"")"),0.0)</f>
        <v>0</v>
      </c>
      <c r="BT215" s="55">
        <f>IFERROR(__xludf.DUMMYFUNCTION("IMPORTRANGE(""1afPv6Itln-AgmM1wSPGWgSh08mCOyf4jitO0Fx8AOdw"",""2025-26!AH4"")"),0.0)</f>
        <v>0</v>
      </c>
      <c r="BU215" s="55">
        <f>IFERROR(__xludf.DUMMYFUNCTION("IMPORTRANGE(""1afPv6Itln-AgmM1wSPGWgSh08mCOyf4jitO0Fx8AOdw"",""2025-26!AH3"")"),0.0)</f>
        <v>0</v>
      </c>
      <c r="BV215" s="55">
        <f>IFERROR(__xludf.DUMMYFUNCTION("IMPORTRANGE(""1afPv6Itln-AgmM1wSPGWgSh08mCOyf4jitO0Fx8AOdw"",""2025-26!AI4"")"),0.0)</f>
        <v>0</v>
      </c>
      <c r="BW215" s="55">
        <f>IFERROR(__xludf.DUMMYFUNCTION("IMPORTRANGE(""1afPv6Itln-AgmM1wSPGWgSh08mCOyf4jitO0Fx8AOdw"",""2025-26!AI3"")"),0.0)</f>
        <v>0</v>
      </c>
      <c r="BX215" s="59" t="str">
        <f t="shared" si="64"/>
        <v/>
      </c>
      <c r="BY215" s="55">
        <f>IFERROR(__xludf.DUMMYFUNCTION("IMPORTRANGE(""1afPv6Itln-AgmM1wSPGWgSh08mCOyf4jitO0Fx8AOdw"",""2025-26!AJ4"")"),0.0)</f>
        <v>0</v>
      </c>
      <c r="BZ215" s="55">
        <f>IFERROR(__xludf.DUMMYFUNCTION("IMPORTRANGE(""1afPv6Itln-AgmM1wSPGWgSh08mCOyf4jitO0Fx8AOdw"",""2025-26!AJ3"")"),0.0)</f>
        <v>0</v>
      </c>
      <c r="CA215" s="55">
        <f>IFERROR(__xludf.DUMMYFUNCTION("IMPORTRANGE(""1afPv6Itln-AgmM1wSPGWgSh08mCOyf4jitO0Fx8AOdw"",""2025-26!AK4"")"),0.0)</f>
        <v>0</v>
      </c>
      <c r="CB215" s="55">
        <f>IFERROR(__xludf.DUMMYFUNCTION("IMPORTRANGE(""1afPv6Itln-AgmM1wSPGWgSh08mCOyf4jitO0Fx8AOdw"",""2025-26!AK3"")"),0.0)</f>
        <v>0</v>
      </c>
      <c r="CC215" s="55">
        <f>IFERROR(__xludf.DUMMYFUNCTION("IMPORTRANGE(""1afPv6Itln-AgmM1wSPGWgSh08mCOyf4jitO0Fx8AOdw"",""2025-26!AL4"")"),0.0)</f>
        <v>0</v>
      </c>
      <c r="CD215" s="55">
        <f>IFERROR(__xludf.DUMMYFUNCTION("IMPORTRANGE(""1afPv6Itln-AgmM1wSPGWgSh08mCOyf4jitO0Fx8AOdw"",""2025-26!AL3"")"),0.0)</f>
        <v>0</v>
      </c>
      <c r="CE215" s="59" t="str">
        <f t="shared" si="65"/>
        <v/>
      </c>
      <c r="CF215" s="55">
        <f>IFERROR(__xludf.DUMMYFUNCTION("IMPORTRANGE(""1afPv6Itln-AgmM1wSPGWgSh08mCOyf4jitO0Fx8AOdw"",""2025-26!AM4"")"),0.0)</f>
        <v>0</v>
      </c>
      <c r="CG215" s="55">
        <f>IFERROR(__xludf.DUMMYFUNCTION("IMPORTRANGE(""1afPv6Itln-AgmM1wSPGWgSh08mCOyf4jitO0Fx8AOdw"",""2025-26!AM3"")"),0.0)</f>
        <v>0</v>
      </c>
      <c r="CH215" s="55">
        <f>IFERROR(__xludf.DUMMYFUNCTION("IMPORTRANGE(""1afPv6Itln-AgmM1wSPGWgSh08mCOyf4jitO0Fx8AOdw"",""2025-26!AN4"")"),0.0)</f>
        <v>0</v>
      </c>
      <c r="CI215" s="55">
        <f>IFERROR(__xludf.DUMMYFUNCTION("IMPORTRANGE(""1afPv6Itln-AgmM1wSPGWgSh08mCOyf4jitO0Fx8AOdw"",""2025-26!AN3"")"),0.0)</f>
        <v>0</v>
      </c>
      <c r="CJ215" s="55">
        <f>IFERROR(__xludf.DUMMYFUNCTION("IMPORTRANGE(""1afPv6Itln-AgmM1wSPGWgSh08mCOyf4jitO0Fx8AOdw"",""2025-26!AO4"")"),0.0)</f>
        <v>0</v>
      </c>
      <c r="CK215" s="55">
        <f>IFERROR(__xludf.DUMMYFUNCTION("IMPORTRANGE(""1afPv6Itln-AgmM1wSPGWgSh08mCOyf4jitO0Fx8AOdw"",""2025-26!AO3"")"),0.0)</f>
        <v>0</v>
      </c>
      <c r="CL215" s="59" t="str">
        <f t="shared" si="66"/>
        <v/>
      </c>
      <c r="CM215" s="55">
        <f>IFERROR(__xludf.DUMMYFUNCTION("IMPORTRANGE(""1afPv6Itln-AgmM1wSPGWgSh08mCOyf4jitO0Fx8AOdw"",""2025-26!AP4"")"),0.0)</f>
        <v>0</v>
      </c>
      <c r="CN215" s="55">
        <f>IFERROR(__xludf.DUMMYFUNCTION("IMPORTRANGE(""1afPv6Itln-AgmM1wSPGWgSh08mCOyf4jitO0Fx8AOdw"",""2025-26!AP3"")"),0.0)</f>
        <v>0</v>
      </c>
      <c r="CO215" s="55">
        <f>IFERROR(__xludf.DUMMYFUNCTION("IMPORTRANGE(""1afPv6Itln-AgmM1wSPGWgSh08mCOyf4jitO0Fx8AOdw"",""2025-26!AQ4"")"),0.0)</f>
        <v>0</v>
      </c>
      <c r="CP215" s="55">
        <f>IFERROR(__xludf.DUMMYFUNCTION("IMPORTRANGE(""1afPv6Itln-AgmM1wSPGWgSh08mCOyf4jitO0Fx8AOdw"",""2025-26!AQ3"")"),0.0)</f>
        <v>0</v>
      </c>
      <c r="CQ215" s="55">
        <f>IFERROR(__xludf.DUMMYFUNCTION("IMPORTRANGE(""1afPv6Itln-AgmM1wSPGWgSh08mCOyf4jitO0Fx8AOdw"",""2025-26!AR4"")"),0.0)</f>
        <v>0</v>
      </c>
      <c r="CR215" s="55">
        <f>IFERROR(__xludf.DUMMYFUNCTION("IMPORTRANGE(""1afPv6Itln-AgmM1wSPGWgSh08mCOyf4jitO0Fx8AOdw"",""2025-26!AR3"")"),0.0)</f>
        <v>0</v>
      </c>
      <c r="CS215" s="59" t="str">
        <f t="shared" si="67"/>
        <v/>
      </c>
      <c r="CT215" s="55">
        <f>IFERROR(__xludf.DUMMYFUNCTION("IMPORTRANGE(""1afPv6Itln-AgmM1wSPGWgSh08mCOyf4jitO0Fx8AOdw"",""2025-26!AS4"")"),0.0)</f>
        <v>0</v>
      </c>
      <c r="CU215" s="55">
        <f>IFERROR(__xludf.DUMMYFUNCTION("IMPORTRANGE(""1afPv6Itln-AgmM1wSPGWgSh08mCOyf4jitO0Fx8AOdw"",""2025-26!AS3"")"),0.0)</f>
        <v>0</v>
      </c>
      <c r="CV215" s="60" t="s">
        <v>117</v>
      </c>
    </row>
    <row r="216">
      <c r="A216" s="133" t="s">
        <v>111</v>
      </c>
      <c r="B216" s="134" t="s">
        <v>111</v>
      </c>
      <c r="C216" s="147" t="s">
        <v>434</v>
      </c>
      <c r="D216" s="49" t="s">
        <v>435</v>
      </c>
      <c r="E216" s="50">
        <v>9.205287009E9</v>
      </c>
      <c r="F216" s="51">
        <v>42772.0</v>
      </c>
      <c r="G216" s="62"/>
      <c r="H216" s="62"/>
      <c r="I216" s="53">
        <f>VLOOKUP($C216,Data!$C:$BV,72,0)</f>
        <v>37355</v>
      </c>
      <c r="J216" s="54">
        <v>1400000.0</v>
      </c>
      <c r="K216" s="55">
        <f>IFERROR(__xludf.DUMMYFUNCTION("IMPORTRANGE(""1KtLc5obE_6VKCzPev5r5J9lFw6lt8gHztkItNMpjPvA"",""2025-26!A3"")"),45.0)</f>
        <v>45</v>
      </c>
      <c r="L216" s="55">
        <f>IFERROR(__xludf.DUMMYFUNCTION("IMPORTRANGE(""1KtLc5obE_6VKCzPev5r5J9lFw6lt8gHztkItNMpjPvA"",""2025-26!G4"")"),1.68E7)</f>
        <v>16800000</v>
      </c>
      <c r="M216" s="55">
        <f t="shared" si="93"/>
        <v>3645541.34</v>
      </c>
      <c r="N216" s="56">
        <f t="shared" si="94"/>
        <v>0.2169779167</v>
      </c>
      <c r="O216" s="57">
        <f t="shared" si="95"/>
        <v>3645229</v>
      </c>
      <c r="P216" s="55">
        <f>IFERROR(__xludf.DUMMYFUNCTION("IMPORTRANGE(""1KtLc5obE_6VKCzPev5r5J9lFw6lt8gHztkItNMpjPvA"",""2025-26!J4"")"),1400000.0)</f>
        <v>1400000</v>
      </c>
      <c r="Q216" s="55">
        <f>IFERROR(__xludf.DUMMYFUNCTION("IMPORTRANGE(""1KtLc5obE_6VKCzPev5r5J9lFw6lt8gHztkItNMpjPvA"",""2025-26!J3"")"),44.0)</f>
        <v>44</v>
      </c>
      <c r="R216" s="55">
        <f>IFERROR(__xludf.DUMMYFUNCTION("IMPORTRANGE(""1KtLc5obE_6VKCzPev5r5J9lFw6lt8gHztkItNMpjPvA"",""2025-26!K4"")"),305910.5)</f>
        <v>305910.5</v>
      </c>
      <c r="S216" s="55">
        <f>IFERROR(__xludf.DUMMYFUNCTION("IMPORTRANGE(""1KtLc5obE_6VKCzPev5r5J9lFw6lt8gHztkItNMpjPvA"",""2025-26!K3"")"),13.0)</f>
        <v>13</v>
      </c>
      <c r="T216" s="58">
        <f t="shared" si="56"/>
        <v>0.3377878571</v>
      </c>
      <c r="U216" s="55">
        <f>IFERROR(__xludf.DUMMYFUNCTION("IMPORTRANGE(""1KtLc5obE_6VKCzPev5r5J9lFw6lt8gHztkItNMpjPvA"",""2025-26!L4"")"),472903.0)</f>
        <v>472903</v>
      </c>
      <c r="V216" s="55">
        <f>IFERROR(__xludf.DUMMYFUNCTION("IMPORTRANGE(""1KtLc5obE_6VKCzPev5r5J9lFw6lt8gHztkItNMpjPvA"",""2025-26!L3"")"),17.0)</f>
        <v>17</v>
      </c>
      <c r="W216" s="55">
        <f>IFERROR(__xludf.DUMMYFUNCTION("IMPORTRANGE(""1KtLc5obE_6VKCzPev5r5J9lFw6lt8gHztkItNMpjPvA"",""2025-26!m4"")"),1400000.0)</f>
        <v>1400000</v>
      </c>
      <c r="X216" s="55">
        <f>IFERROR(__xludf.DUMMYFUNCTION("IMPORTRANGE(""1KtLc5obE_6VKCzPev5r5J9lFw6lt8gHztkItNMpjPvA"",""2025-26!m3"")"),44.0)</f>
        <v>44</v>
      </c>
      <c r="Y216" s="55">
        <f>IFERROR(__xludf.DUMMYFUNCTION("IMPORTRANGE(""1KtLc5obE_6VKCzPev5r5J9lFw6lt8gHztkItNMpjPvA"",""2025-26!N4"")"),489664.77999999997)</f>
        <v>489664.78</v>
      </c>
      <c r="Z216" s="55">
        <f>IFERROR(__xludf.DUMMYFUNCTION("IMPORTRANGE(""1KtLc5obE_6VKCzPev5r5J9lFw6lt8gHztkItNMpjPvA"",""2025-26!N3"")"),15.0)</f>
        <v>15</v>
      </c>
      <c r="AA216" s="58">
        <f t="shared" si="57"/>
        <v>0.28751</v>
      </c>
      <c r="AB216" s="55">
        <f>IFERROR(__xludf.DUMMYFUNCTION("IMPORTRANGE(""1KtLc5obE_6VKCzPev5r5J9lFw6lt8gHztkItNMpjPvA"",""2025-26!O4"")"),402514.0)</f>
        <v>402514</v>
      </c>
      <c r="AC216" s="55">
        <f>IFERROR(__xludf.DUMMYFUNCTION("IMPORTRANGE(""1KtLc5obE_6VKCzPev5r5J9lFw6lt8gHztkItNMpjPvA"",""2025-26!O3"")"),16.0)</f>
        <v>16</v>
      </c>
      <c r="AD216" s="55">
        <f>IFERROR(__xludf.DUMMYFUNCTION("IMPORTRANGE(""1KtLc5obE_6VKCzPev5r5J9lFw6lt8gHztkItNMpjPvA"",""2025-26!P4"")"),1400000.0)</f>
        <v>1400000</v>
      </c>
      <c r="AE216" s="55">
        <f>IFERROR(__xludf.DUMMYFUNCTION("IMPORTRANGE(""1KtLc5obE_6VKCzPev5r5J9lFw6lt8gHztkItNMpjPvA"",""2025-26!P3"")"),44.0)</f>
        <v>44</v>
      </c>
      <c r="AF216" s="55">
        <f>IFERROR(__xludf.DUMMYFUNCTION("IMPORTRANGE(""1KtLc5obE_6VKCzPev5r5J9lFw6lt8gHztkItNMpjPvA"",""2025-26!Q4"")"),508009.1)</f>
        <v>508009.1</v>
      </c>
      <c r="AG216" s="55">
        <f>IFERROR(__xludf.DUMMYFUNCTION("IMPORTRANGE(""1KtLc5obE_6VKCzPev5r5J9lFw6lt8gHztkItNMpjPvA"",""2025-26!Q3"")"),15.0)</f>
        <v>15</v>
      </c>
      <c r="AH216" s="58">
        <f t="shared" si="58"/>
        <v>0.3991135714</v>
      </c>
      <c r="AI216" s="55">
        <f>IFERROR(__xludf.DUMMYFUNCTION("IMPORTRANGE(""1KtLc5obE_6VKCzPev5r5J9lFw6lt8gHztkItNMpjPvA"",""2025-26!R4"")"),558759.0)</f>
        <v>558759</v>
      </c>
      <c r="AJ216" s="55">
        <f>IFERROR(__xludf.DUMMYFUNCTION("IMPORTRANGE(""1KtLc5obE_6VKCzPev5r5J9lFw6lt8gHztkItNMpjPvA"",""2025-26!R3"")"),15.0)</f>
        <v>15</v>
      </c>
      <c r="AK216" s="55">
        <f>IFERROR(__xludf.DUMMYFUNCTION("IMPORTRANGE(""1KtLc5obE_6VKCzPev5r5J9lFw6lt8gHztkItNMpjPvA"",""2025-26!S4"")"),1400000.0)</f>
        <v>1400000</v>
      </c>
      <c r="AL216" s="55">
        <f>IFERROR(__xludf.DUMMYFUNCTION("IMPORTRANGE(""1KtLc5obE_6VKCzPev5r5J9lFw6lt8gHztkItNMpjPvA"",""2025-26!S3"")"),44.0)</f>
        <v>44</v>
      </c>
      <c r="AM216" s="55">
        <f>IFERROR(__xludf.DUMMYFUNCTION("IMPORTRANGE(""1KtLc5obE_6VKCzPev5r5J9lFw6lt8gHztkItNMpjPvA"",""2025-26!T4"")"),644458.7)</f>
        <v>644458.7</v>
      </c>
      <c r="AN216" s="55">
        <f>IFERROR(__xludf.DUMMYFUNCTION("IMPORTRANGE(""1KtLc5obE_6VKCzPev5r5J9lFw6lt8gHztkItNMpjPvA"",""2025-26!T3"")"),14.0)</f>
        <v>14</v>
      </c>
      <c r="AO216" s="58">
        <f t="shared" si="59"/>
        <v>0.4479028571</v>
      </c>
      <c r="AP216" s="55">
        <f>IFERROR(__xludf.DUMMYFUNCTION("IMPORTRANGE(""1KtLc5obE_6VKCzPev5r5J9lFw6lt8gHztkItNMpjPvA"",""2025-26!U4"")"),627064.0)</f>
        <v>627064</v>
      </c>
      <c r="AQ216" s="55">
        <f>IFERROR(__xludf.DUMMYFUNCTION("IMPORTRANGE(""1KtLc5obE_6VKCzPev5r5J9lFw6lt8gHztkItNMpjPvA"",""2025-26!U3"")"),15.0)</f>
        <v>15</v>
      </c>
      <c r="AR216" s="55">
        <f>IFERROR(__xludf.DUMMYFUNCTION("IMPORTRANGE(""1KtLc5obE_6VKCzPev5r5J9lFw6lt8gHztkItNMpjPvA"",""2025-26!V4"")"),1400000.0)</f>
        <v>1400000</v>
      </c>
      <c r="AS216" s="55">
        <f>IFERROR(__xludf.DUMMYFUNCTION("IMPORTRANGE(""1KtLc5obE_6VKCzPev5r5J9lFw6lt8gHztkItNMpjPvA"",""2025-26!V3"")"),44.0)</f>
        <v>44</v>
      </c>
      <c r="AT216" s="55">
        <f>IFERROR(__xludf.DUMMYFUNCTION("IMPORTRANGE(""1KtLc5obE_6VKCzPev5r5J9lFw6lt8gHztkItNMpjPvA"",""2025-26!W4"")"),401339.83999999997)</f>
        <v>401339.84</v>
      </c>
      <c r="AU216" s="55">
        <f>IFERROR(__xludf.DUMMYFUNCTION("IMPORTRANGE(""1KtLc5obE_6VKCzPev5r5J9lFw6lt8gHztkItNMpjPvA"",""2025-26!W3"")"),12.0)</f>
        <v>12</v>
      </c>
      <c r="AV216" s="58">
        <f t="shared" si="60"/>
        <v>0.3944192857</v>
      </c>
      <c r="AW216" s="55">
        <f>IFERROR(__xludf.DUMMYFUNCTION("IMPORTRANGE(""1KtLc5obE_6VKCzPev5r5J9lFw6lt8gHztkItNMpjPvA"",""2025-26!X4"")"),552187.0)</f>
        <v>552187</v>
      </c>
      <c r="AX216" s="55">
        <f>IFERROR(__xludf.DUMMYFUNCTION("IMPORTRANGE(""1KtLc5obE_6VKCzPev5r5J9lFw6lt8gHztkItNMpjPvA"",""2025-26!X3"")"),17.0)</f>
        <v>17</v>
      </c>
      <c r="AY216" s="55">
        <f>IFERROR(__xludf.DUMMYFUNCTION("IMPORTRANGE(""1KtLc5obE_6VKCzPev5r5J9lFw6lt8gHztkItNMpjPvA"",""2025-26!Y4"")"),1400000.0)</f>
        <v>1400000</v>
      </c>
      <c r="AZ216" s="55">
        <f>IFERROR(__xludf.DUMMYFUNCTION("IMPORTRANGE(""1KtLc5obE_6VKCzPev5r5J9lFw6lt8gHztkItNMpjPvA"",""2025-26!Y3"")"),44.0)</f>
        <v>44</v>
      </c>
      <c r="BA216" s="55">
        <f>IFERROR(__xludf.DUMMYFUNCTION("IMPORTRANGE(""1KtLc5obE_6VKCzPev5r5J9lFw6lt8gHztkItNMpjPvA"",""2025-26!Z4"")"),686827.4)</f>
        <v>686827.4</v>
      </c>
      <c r="BB216" s="55">
        <f>IFERROR(__xludf.DUMMYFUNCTION("IMPORTRANGE(""1KtLc5obE_6VKCzPev5r5J9lFw6lt8gHztkItNMpjPvA"",""2025-26!Z3"")"),16.0)</f>
        <v>16</v>
      </c>
      <c r="BC216" s="59">
        <f t="shared" si="61"/>
        <v>0.480675</v>
      </c>
      <c r="BD216" s="55">
        <f>IFERROR(__xludf.DUMMYFUNCTION("IMPORTRANGE(""1KtLc5obE_6VKCzPev5r5J9lFw6lt8gHztkItNMpjPvA"",""2025-26!AA4"")"),672945.0)</f>
        <v>672945</v>
      </c>
      <c r="BE216" s="55">
        <f>IFERROR(__xludf.DUMMYFUNCTION("IMPORTRANGE(""1KtLc5obE_6VKCzPev5r5J9lFw6lt8gHztkItNMpjPvA"",""2025-26!AA3"")"),24.0)</f>
        <v>24</v>
      </c>
      <c r="BF216" s="55">
        <f>IFERROR(__xludf.DUMMYFUNCTION("IMPORTRANGE(""1KtLc5obE_6VKCzPev5r5J9lFw6lt8gHztkItNMpjPvA"",""2025-26!AB4"")"),1400000.0)</f>
        <v>1400000</v>
      </c>
      <c r="BG216" s="55">
        <f>IFERROR(__xludf.DUMMYFUNCTION("IMPORTRANGE(""1KtLc5obE_6VKCzPev5r5J9lFw6lt8gHztkItNMpjPvA"",""2025-26!AB3"")"),45.0)</f>
        <v>45</v>
      </c>
      <c r="BH216" s="55">
        <f>IFERROR(__xludf.DUMMYFUNCTION("IMPORTRANGE(""1KtLc5obE_6VKCzPev5r5J9lFw6lt8gHztkItNMpjPvA"",""2025-26!AC4"")"),283789.07999999996)</f>
        <v>283789.08</v>
      </c>
      <c r="BI216" s="55">
        <f>IFERROR(__xludf.DUMMYFUNCTION("IMPORTRANGE(""1KtLc5obE_6VKCzPev5r5J9lFw6lt8gHztkItNMpjPvA"",""2025-26!AC3"")"),9.0)</f>
        <v>9</v>
      </c>
      <c r="BJ216" s="59">
        <f t="shared" si="62"/>
        <v>0.2563264286</v>
      </c>
      <c r="BK216" s="55">
        <f>IFERROR(__xludf.DUMMYFUNCTION("IMPORTRANGE(""1KtLc5obE_6VKCzPev5r5J9lFw6lt8gHztkItNMpjPvA"",""2025-26!AD4"")"),358857.0)</f>
        <v>358857</v>
      </c>
      <c r="BL216" s="55">
        <f>IFERROR(__xludf.DUMMYFUNCTION("IMPORTRANGE(""1KtLc5obE_6VKCzPev5r5J9lFw6lt8gHztkItNMpjPvA"",""2025-26!AD3"")"),14.0)</f>
        <v>14</v>
      </c>
      <c r="BM216" s="55">
        <f>IFERROR(__xludf.DUMMYFUNCTION("IMPORTRANGE(""1KtLc5obE_6VKCzPev5r5J9lFw6lt8gHztkItNMpjPvA"",""2025-26!AE4"")"),1400000.0)</f>
        <v>1400000</v>
      </c>
      <c r="BN216" s="55">
        <f>IFERROR(__xludf.DUMMYFUNCTION("IMPORTRANGE(""1KtLc5obE_6VKCzPev5r5J9lFw6lt8gHztkItNMpjPvA"",""2025-26!AE3"")"),45.0)</f>
        <v>45</v>
      </c>
      <c r="BO216" s="55">
        <f>IFERROR(__xludf.DUMMYFUNCTION("IMPORTRANGE(""1KtLc5obE_6VKCzPev5r5J9lFw6lt8gHztkItNMpjPvA"",""2025-26!AF4"")"),325541.94)</f>
        <v>325541.94</v>
      </c>
      <c r="BP216" s="55">
        <f>IFERROR(__xludf.DUMMYFUNCTION("IMPORTRANGE(""1KtLc5obE_6VKCzPev5r5J9lFw6lt8gHztkItNMpjPvA"",""2025-26!AF3"")"),5.0)</f>
        <v>5</v>
      </c>
      <c r="BQ216" s="59">
        <f t="shared" si="63"/>
        <v>0</v>
      </c>
      <c r="BR216" s="55">
        <f>IFERROR(__xludf.DUMMYFUNCTION("IMPORTRANGE(""1KtLc5obE_6VKCzPev5r5J9lFw6lt8gHztkItNMpjPvA"",""2025-26!AG4"")"),0.0)</f>
        <v>0</v>
      </c>
      <c r="BS216" s="55">
        <f>IFERROR(__xludf.DUMMYFUNCTION("IMPORTRANGE(""1KtLc5obE_6VKCzPev5r5J9lFw6lt8gHztkItNMpjPvA"",""2025-26!AG3"")"),0.0)</f>
        <v>0</v>
      </c>
      <c r="BT216" s="55">
        <f>IFERROR(__xludf.DUMMYFUNCTION("IMPORTRANGE(""1KtLc5obE_6VKCzPev5r5J9lFw6lt8gHztkItNMpjPvA"",""2025-26!AH4"")"),1400000.0)</f>
        <v>1400000</v>
      </c>
      <c r="BU216" s="55">
        <f>IFERROR(__xludf.DUMMYFUNCTION("IMPORTRANGE(""1KtLc5obE_6VKCzPev5r5J9lFw6lt8gHztkItNMpjPvA"",""2025-26!AH3"")"),45.0)</f>
        <v>45</v>
      </c>
      <c r="BV216" s="55">
        <f>IFERROR(__xludf.DUMMYFUNCTION("IMPORTRANGE(""1KtLc5obE_6VKCzPev5r5J9lFw6lt8gHztkItNMpjPvA"",""2025-26!AI4"")"),0.0)</f>
        <v>0</v>
      </c>
      <c r="BW216" s="55">
        <f>IFERROR(__xludf.DUMMYFUNCTION("IMPORTRANGE(""1KtLc5obE_6VKCzPev5r5J9lFw6lt8gHztkItNMpjPvA"",""2025-26!AI3"")"),0.0)</f>
        <v>0</v>
      </c>
      <c r="BX216" s="59">
        <f t="shared" si="64"/>
        <v>0</v>
      </c>
      <c r="BY216" s="55">
        <f>IFERROR(__xludf.DUMMYFUNCTION("IMPORTRANGE(""1KtLc5obE_6VKCzPev5r5J9lFw6lt8gHztkItNMpjPvA"",""2025-26!AJ4"")"),0.0)</f>
        <v>0</v>
      </c>
      <c r="BZ216" s="55">
        <f>IFERROR(__xludf.DUMMYFUNCTION("IMPORTRANGE(""1KtLc5obE_6VKCzPev5r5J9lFw6lt8gHztkItNMpjPvA"",""2025-26!AJ3"")"),0.0)</f>
        <v>0</v>
      </c>
      <c r="CA216" s="55">
        <f>IFERROR(__xludf.DUMMYFUNCTION("IMPORTRANGE(""1KtLc5obE_6VKCzPev5r5J9lFw6lt8gHztkItNMpjPvA"",""2025-26!AK4"")"),0.0)</f>
        <v>0</v>
      </c>
      <c r="CB216" s="55">
        <f>IFERROR(__xludf.DUMMYFUNCTION("IMPORTRANGE(""1KtLc5obE_6VKCzPev5r5J9lFw6lt8gHztkItNMpjPvA"",""2025-26!AK3"")"),0.0)</f>
        <v>0</v>
      </c>
      <c r="CC216" s="55">
        <f>IFERROR(__xludf.DUMMYFUNCTION("IMPORTRANGE(""1KtLc5obE_6VKCzPev5r5J9lFw6lt8gHztkItNMpjPvA"",""2025-26!AL4"")"),0.0)</f>
        <v>0</v>
      </c>
      <c r="CD216" s="55">
        <f>IFERROR(__xludf.DUMMYFUNCTION("IMPORTRANGE(""1KtLc5obE_6VKCzPev5r5J9lFw6lt8gHztkItNMpjPvA"",""2025-26!AL3"")"),0.0)</f>
        <v>0</v>
      </c>
      <c r="CE216" s="59" t="str">
        <f t="shared" si="65"/>
        <v/>
      </c>
      <c r="CF216" s="55">
        <f>IFERROR(__xludf.DUMMYFUNCTION("IMPORTRANGE(""1KtLc5obE_6VKCzPev5r5J9lFw6lt8gHztkItNMpjPvA"",""2025-26!AM4"")"),0.0)</f>
        <v>0</v>
      </c>
      <c r="CG216" s="55">
        <f>IFERROR(__xludf.DUMMYFUNCTION("IMPORTRANGE(""1KtLc5obE_6VKCzPev5r5J9lFw6lt8gHztkItNMpjPvA"",""2025-26!AM3"")"),0.0)</f>
        <v>0</v>
      </c>
      <c r="CH216" s="55">
        <f>IFERROR(__xludf.DUMMYFUNCTION("IMPORTRANGE(""1KtLc5obE_6VKCzPev5r5J9lFw6lt8gHztkItNMpjPvA"",""2025-26!AN4"")"),0.0)</f>
        <v>0</v>
      </c>
      <c r="CI216" s="55">
        <f>IFERROR(__xludf.DUMMYFUNCTION("IMPORTRANGE(""1KtLc5obE_6VKCzPev5r5J9lFw6lt8gHztkItNMpjPvA"",""2025-26!AN3"")"),0.0)</f>
        <v>0</v>
      </c>
      <c r="CJ216" s="55">
        <f>IFERROR(__xludf.DUMMYFUNCTION("IMPORTRANGE(""1KtLc5obE_6VKCzPev5r5J9lFw6lt8gHztkItNMpjPvA"",""2025-26!AO4"")"),0.0)</f>
        <v>0</v>
      </c>
      <c r="CK216" s="55">
        <f>IFERROR(__xludf.DUMMYFUNCTION("IMPORTRANGE(""1KtLc5obE_6VKCzPev5r5J9lFw6lt8gHztkItNMpjPvA"",""2025-26!AO3"")"),0.0)</f>
        <v>0</v>
      </c>
      <c r="CL216" s="59" t="str">
        <f t="shared" si="66"/>
        <v/>
      </c>
      <c r="CM216" s="55">
        <f>IFERROR(__xludf.DUMMYFUNCTION("IMPORTRANGE(""1KtLc5obE_6VKCzPev5r5J9lFw6lt8gHztkItNMpjPvA"",""2025-26!AP4"")"),0.0)</f>
        <v>0</v>
      </c>
      <c r="CN216" s="55">
        <f>IFERROR(__xludf.DUMMYFUNCTION("IMPORTRANGE(""1KtLc5obE_6VKCzPev5r5J9lFw6lt8gHztkItNMpjPvA"",""2025-26!AP3"")"),0.0)</f>
        <v>0</v>
      </c>
      <c r="CO216" s="55">
        <f>IFERROR(__xludf.DUMMYFUNCTION("IMPORTRANGE(""1KtLc5obE_6VKCzPev5r5J9lFw6lt8gHztkItNMpjPvA"",""2025-26!AQ4"")"),0.0)</f>
        <v>0</v>
      </c>
      <c r="CP216" s="55">
        <f>IFERROR(__xludf.DUMMYFUNCTION("IMPORTRANGE(""1KtLc5obE_6VKCzPev5r5J9lFw6lt8gHztkItNMpjPvA"",""2025-26!AQ3"")"),0.0)</f>
        <v>0</v>
      </c>
      <c r="CQ216" s="55">
        <f>IFERROR(__xludf.DUMMYFUNCTION("IMPORTRANGE(""1KtLc5obE_6VKCzPev5r5J9lFw6lt8gHztkItNMpjPvA"",""2025-26!AR4"")"),0.0)</f>
        <v>0</v>
      </c>
      <c r="CR216" s="55">
        <f>IFERROR(__xludf.DUMMYFUNCTION("IMPORTRANGE(""1KtLc5obE_6VKCzPev5r5J9lFw6lt8gHztkItNMpjPvA"",""2025-26!AR3"")"),0.0)</f>
        <v>0</v>
      </c>
      <c r="CS216" s="59" t="str">
        <f t="shared" si="67"/>
        <v/>
      </c>
      <c r="CT216" s="55">
        <f>IFERROR(__xludf.DUMMYFUNCTION("IMPORTRANGE(""1KtLc5obE_6VKCzPev5r5J9lFw6lt8gHztkItNMpjPvA"",""2025-26!AS4"")"),0.0)</f>
        <v>0</v>
      </c>
      <c r="CU216" s="55">
        <f>IFERROR(__xludf.DUMMYFUNCTION("IMPORTRANGE(""1KtLc5obE_6VKCzPev5r5J9lFw6lt8gHztkItNMpjPvA"",""2025-26!AS3"")"),0.0)</f>
        <v>0</v>
      </c>
      <c r="CV216" s="60" t="s">
        <v>117</v>
      </c>
    </row>
    <row r="217">
      <c r="A217" s="133" t="s">
        <v>126</v>
      </c>
      <c r="B217" s="134" t="s">
        <v>127</v>
      </c>
      <c r="C217" s="136" t="s">
        <v>436</v>
      </c>
      <c r="D217" s="49" t="s">
        <v>174</v>
      </c>
      <c r="E217" s="50">
        <v>9.770202133E9</v>
      </c>
      <c r="F217" s="74">
        <v>44207.0</v>
      </c>
      <c r="G217" s="62"/>
      <c r="H217" s="62"/>
      <c r="I217" s="53">
        <v>40085.0</v>
      </c>
      <c r="J217" s="57"/>
      <c r="K217" s="55">
        <f>IFERROR(__xludf.DUMMYFUNCTION("IMPORTRANGE(""1sVVPEI3Qs9g-agM63AHX6h_yClh0g180D6HiVCT50fY"",""2025-26!A3"")"),71.0)</f>
        <v>71</v>
      </c>
      <c r="L217" s="55">
        <f>IFERROR(__xludf.DUMMYFUNCTION("IMPORTRANGE(""1sVVPEI3Qs9g-agM63AHX6h_yClh0g180D6HiVCT50fY"",""2025-26!G4"")"),0.0)</f>
        <v>0</v>
      </c>
      <c r="M217" s="55">
        <f t="shared" si="93"/>
        <v>306632.08</v>
      </c>
      <c r="N217" s="56" t="str">
        <f t="shared" si="94"/>
        <v>#DIV/0!</v>
      </c>
      <c r="O217" s="57">
        <f t="shared" si="95"/>
        <v>0</v>
      </c>
      <c r="P217" s="55">
        <f>IFERROR(__xludf.DUMMYFUNCTION("IMPORTRANGE(""1sVVPEI3Qs9g-agM63AHX6h_yClh0g180D6HiVCT50fY"",""2025-26!J4"")"),0.0)</f>
        <v>0</v>
      </c>
      <c r="Q217" s="55">
        <f>IFERROR(__xludf.DUMMYFUNCTION("IMPORTRANGE(""1sVVPEI3Qs9g-agM63AHX6h_yClh0g180D6HiVCT50fY"",""2025-26!J3"")"),0.0)</f>
        <v>0</v>
      </c>
      <c r="R217" s="55">
        <f>IFERROR(__xludf.DUMMYFUNCTION("IMPORTRANGE(""1sVVPEI3Qs9g-agM63AHX6h_yClh0g180D6HiVCT50fY"",""2025-26!K4"")"),306632.0799999999)</f>
        <v>306632.08</v>
      </c>
      <c r="S217" s="55">
        <f>IFERROR(__xludf.DUMMYFUNCTION("IMPORTRANGE(""1sVVPEI3Qs9g-agM63AHX6h_yClh0g180D6HiVCT50fY"",""2025-26!K3"")"),13.0)</f>
        <v>13</v>
      </c>
      <c r="T217" s="58" t="str">
        <f t="shared" si="56"/>
        <v/>
      </c>
      <c r="U217" s="55">
        <f>IFERROR(__xludf.DUMMYFUNCTION("IMPORTRANGE(""1sVVPEI3Qs9g-agM63AHX6h_yClh0g180D6HiVCT50fY"",""2025-26!L4"")"),0.0)</f>
        <v>0</v>
      </c>
      <c r="V217" s="55">
        <f>IFERROR(__xludf.DUMMYFUNCTION("IMPORTRANGE(""1sVVPEI3Qs9g-agM63AHX6h_yClh0g180D6HiVCT50fY"",""2025-26!L3"")"),0.0)</f>
        <v>0</v>
      </c>
      <c r="W217" s="55">
        <f>IFERROR(__xludf.DUMMYFUNCTION("IMPORTRANGE(""1sVVPEI3Qs9g-agM63AHX6h_yClh0g180D6HiVCT50fY"",""2025-26!m4"")"),0.0)</f>
        <v>0</v>
      </c>
      <c r="X217" s="55">
        <f>IFERROR(__xludf.DUMMYFUNCTION("IMPORTRANGE(""1sVVPEI3Qs9g-agM63AHX6h_yClh0g180D6HiVCT50fY"",""2025-26!m3"")"),0.0)</f>
        <v>0</v>
      </c>
      <c r="Y217" s="55">
        <f>IFERROR(__xludf.DUMMYFUNCTION("IMPORTRANGE(""1sVVPEI3Qs9g-agM63AHX6h_yClh0g180D6HiVCT50fY"",""2025-26!N4"")"),0.0)</f>
        <v>0</v>
      </c>
      <c r="Z217" s="55">
        <f>IFERROR(__xludf.DUMMYFUNCTION("IMPORTRANGE(""1sVVPEI3Qs9g-agM63AHX6h_yClh0g180D6HiVCT50fY"",""2025-26!N3"")"),0.0)</f>
        <v>0</v>
      </c>
      <c r="AA217" s="58" t="str">
        <f t="shared" si="57"/>
        <v/>
      </c>
      <c r="AB217" s="55">
        <f>IFERROR(__xludf.DUMMYFUNCTION("IMPORTRANGE(""1sVVPEI3Qs9g-agM63AHX6h_yClh0g180D6HiVCT50fY"",""2025-26!O4"")"),0.0)</f>
        <v>0</v>
      </c>
      <c r="AC217" s="55">
        <f>IFERROR(__xludf.DUMMYFUNCTION("IMPORTRANGE(""1sVVPEI3Qs9g-agM63AHX6h_yClh0g180D6HiVCT50fY"",""2025-26!O3"")"),0.0)</f>
        <v>0</v>
      </c>
      <c r="AD217" s="55">
        <f>IFERROR(__xludf.DUMMYFUNCTION("IMPORTRANGE(""1sVVPEI3Qs9g-agM63AHX6h_yClh0g180D6HiVCT50fY"",""2025-26!P4"")"),0.0)</f>
        <v>0</v>
      </c>
      <c r="AE217" s="55">
        <f>IFERROR(__xludf.DUMMYFUNCTION("IMPORTRANGE(""1sVVPEI3Qs9g-agM63AHX6h_yClh0g180D6HiVCT50fY"",""2025-26!P3"")"),0.0)</f>
        <v>0</v>
      </c>
      <c r="AF217" s="55">
        <f>IFERROR(__xludf.DUMMYFUNCTION("IMPORTRANGE(""1sVVPEI3Qs9g-agM63AHX6h_yClh0g180D6HiVCT50fY"",""2025-26!Q4"")"),0.0)</f>
        <v>0</v>
      </c>
      <c r="AG217" s="55">
        <f>IFERROR(__xludf.DUMMYFUNCTION("IMPORTRANGE(""1sVVPEI3Qs9g-agM63AHX6h_yClh0g180D6HiVCT50fY"",""2025-26!Q3"")"),0.0)</f>
        <v>0</v>
      </c>
      <c r="AH217" s="58" t="str">
        <f t="shared" si="58"/>
        <v/>
      </c>
      <c r="AI217" s="55">
        <f>IFERROR(__xludf.DUMMYFUNCTION("IMPORTRANGE(""1sVVPEI3Qs9g-agM63AHX6h_yClh0g180D6HiVCT50fY"",""2025-26!R4"")"),0.0)</f>
        <v>0</v>
      </c>
      <c r="AJ217" s="55">
        <f>IFERROR(__xludf.DUMMYFUNCTION("IMPORTRANGE(""1sVVPEI3Qs9g-agM63AHX6h_yClh0g180D6HiVCT50fY"",""2025-26!R3"")"),0.0)</f>
        <v>0</v>
      </c>
      <c r="AK217" s="55">
        <f>IFERROR(__xludf.DUMMYFUNCTION("IMPORTRANGE(""1sVVPEI3Qs9g-agM63AHX6h_yClh0g180D6HiVCT50fY"",""2025-26!S4"")"),0.0)</f>
        <v>0</v>
      </c>
      <c r="AL217" s="55">
        <f>IFERROR(__xludf.DUMMYFUNCTION("IMPORTRANGE(""1sVVPEI3Qs9g-agM63AHX6h_yClh0g180D6HiVCT50fY"",""2025-26!S3"")"),0.0)</f>
        <v>0</v>
      </c>
      <c r="AM217" s="55">
        <f>IFERROR(__xludf.DUMMYFUNCTION("IMPORTRANGE(""1sVVPEI3Qs9g-agM63AHX6h_yClh0g180D6HiVCT50fY"",""2025-26!T4"")"),0.0)</f>
        <v>0</v>
      </c>
      <c r="AN217" s="55">
        <f>IFERROR(__xludf.DUMMYFUNCTION("IMPORTRANGE(""1sVVPEI3Qs9g-agM63AHX6h_yClh0g180D6HiVCT50fY"",""2025-26!T3"")"),0.0)</f>
        <v>0</v>
      </c>
      <c r="AO217" s="58" t="str">
        <f t="shared" si="59"/>
        <v/>
      </c>
      <c r="AP217" s="55">
        <f>IFERROR(__xludf.DUMMYFUNCTION("IMPORTRANGE(""1sVVPEI3Qs9g-agM63AHX6h_yClh0g180D6HiVCT50fY"",""2025-26!U4"")"),0.0)</f>
        <v>0</v>
      </c>
      <c r="AQ217" s="55">
        <f>IFERROR(__xludf.DUMMYFUNCTION("IMPORTRANGE(""1sVVPEI3Qs9g-agM63AHX6h_yClh0g180D6HiVCT50fY"",""2025-26!U3"")"),0.0)</f>
        <v>0</v>
      </c>
      <c r="AR217" s="55">
        <f>IFERROR(__xludf.DUMMYFUNCTION("IMPORTRANGE(""1sVVPEI3Qs9g-agM63AHX6h_yClh0g180D6HiVCT50fY"",""2025-26!V4"")"),0.0)</f>
        <v>0</v>
      </c>
      <c r="AS217" s="55">
        <f>IFERROR(__xludf.DUMMYFUNCTION("IMPORTRANGE(""1sVVPEI3Qs9g-agM63AHX6h_yClh0g180D6HiVCT50fY"",""2025-26!V3"")"),0.0)</f>
        <v>0</v>
      </c>
      <c r="AT217" s="55">
        <f>IFERROR(__xludf.DUMMYFUNCTION("IMPORTRANGE(""1sVVPEI3Qs9g-agM63AHX6h_yClh0g180D6HiVCT50fY"",""2025-26!W4"")"),0.0)</f>
        <v>0</v>
      </c>
      <c r="AU217" s="55">
        <f>IFERROR(__xludf.DUMMYFUNCTION("IMPORTRANGE(""1sVVPEI3Qs9g-agM63AHX6h_yClh0g180D6HiVCT50fY"",""2025-26!W3"")"),0.0)</f>
        <v>0</v>
      </c>
      <c r="AV217" s="58" t="str">
        <f t="shared" si="60"/>
        <v/>
      </c>
      <c r="AW217" s="55">
        <f>IFERROR(__xludf.DUMMYFUNCTION("IMPORTRANGE(""1sVVPEI3Qs9g-agM63AHX6h_yClh0g180D6HiVCT50fY"",""2025-26!X4"")"),0.0)</f>
        <v>0</v>
      </c>
      <c r="AX217" s="55">
        <f>IFERROR(__xludf.DUMMYFUNCTION("IMPORTRANGE(""1sVVPEI3Qs9g-agM63AHX6h_yClh0g180D6HiVCT50fY"",""2025-26!X3"")"),0.0)</f>
        <v>0</v>
      </c>
      <c r="AY217" s="55">
        <f>IFERROR(__xludf.DUMMYFUNCTION("IMPORTRANGE(""1sVVPEI3Qs9g-agM63AHX6h_yClh0g180D6HiVCT50fY"",""2025-26!Y4"")"),0.0)</f>
        <v>0</v>
      </c>
      <c r="AZ217" s="55">
        <f>IFERROR(__xludf.DUMMYFUNCTION("IMPORTRANGE(""1sVVPEI3Qs9g-agM63AHX6h_yClh0g180D6HiVCT50fY"",""2025-26!Y3"")"),0.0)</f>
        <v>0</v>
      </c>
      <c r="BA217" s="55">
        <f>IFERROR(__xludf.DUMMYFUNCTION("IMPORTRANGE(""1sVVPEI3Qs9g-agM63AHX6h_yClh0g180D6HiVCT50fY"",""2025-26!Z4"")"),0.0)</f>
        <v>0</v>
      </c>
      <c r="BB217" s="55">
        <f>IFERROR(__xludf.DUMMYFUNCTION("IMPORTRANGE(""1sVVPEI3Qs9g-agM63AHX6h_yClh0g180D6HiVCT50fY"",""2025-26!Z3"")"),0.0)</f>
        <v>0</v>
      </c>
      <c r="BC217" s="59" t="str">
        <f t="shared" si="61"/>
        <v/>
      </c>
      <c r="BD217" s="55">
        <f>IFERROR(__xludf.DUMMYFUNCTION("IMPORTRANGE(""1sVVPEI3Qs9g-agM63AHX6h_yClh0g180D6HiVCT50fY"",""2025-26!AA4"")"),0.0)</f>
        <v>0</v>
      </c>
      <c r="BE217" s="55">
        <f>IFERROR(__xludf.DUMMYFUNCTION("IMPORTRANGE(""1sVVPEI3Qs9g-agM63AHX6h_yClh0g180D6HiVCT50fY"",""2025-26!AA3"")"),0.0)</f>
        <v>0</v>
      </c>
      <c r="BF217" s="55">
        <f>IFERROR(__xludf.DUMMYFUNCTION("IMPORTRANGE(""1sVVPEI3Qs9g-agM63AHX6h_yClh0g180D6HiVCT50fY"",""2025-26!AB4"")"),0.0)</f>
        <v>0</v>
      </c>
      <c r="BG217" s="55">
        <f>IFERROR(__xludf.DUMMYFUNCTION("IMPORTRANGE(""1sVVPEI3Qs9g-agM63AHX6h_yClh0g180D6HiVCT50fY"",""2025-26!AB3"")"),0.0)</f>
        <v>0</v>
      </c>
      <c r="BH217" s="55">
        <f>IFERROR(__xludf.DUMMYFUNCTION("IMPORTRANGE(""1sVVPEI3Qs9g-agM63AHX6h_yClh0g180D6HiVCT50fY"",""2025-26!AC4"")"),0.0)</f>
        <v>0</v>
      </c>
      <c r="BI217" s="55">
        <f>IFERROR(__xludf.DUMMYFUNCTION("IMPORTRANGE(""1sVVPEI3Qs9g-agM63AHX6h_yClh0g180D6HiVCT50fY"",""2025-26!AC3"")"),0.0)</f>
        <v>0</v>
      </c>
      <c r="BJ217" s="59" t="str">
        <f t="shared" si="62"/>
        <v/>
      </c>
      <c r="BK217" s="55">
        <f>IFERROR(__xludf.DUMMYFUNCTION("IMPORTRANGE(""1sVVPEI3Qs9g-agM63AHX6h_yClh0g180D6HiVCT50fY"",""2025-26!AD4"")"),0.0)</f>
        <v>0</v>
      </c>
      <c r="BL217" s="55">
        <f>IFERROR(__xludf.DUMMYFUNCTION("IMPORTRANGE(""1sVVPEI3Qs9g-agM63AHX6h_yClh0g180D6HiVCT50fY"",""2025-26!AD3"")"),0.0)</f>
        <v>0</v>
      </c>
      <c r="BM217" s="55">
        <f>IFERROR(__xludf.DUMMYFUNCTION("IMPORTRANGE(""1sVVPEI3Qs9g-agM63AHX6h_yClh0g180D6HiVCT50fY"",""2025-26!AE4"")"),0.0)</f>
        <v>0</v>
      </c>
      <c r="BN217" s="55">
        <f>IFERROR(__xludf.DUMMYFUNCTION("IMPORTRANGE(""1sVVPEI3Qs9g-agM63AHX6h_yClh0g180D6HiVCT50fY"",""2025-26!AE3"")"),0.0)</f>
        <v>0</v>
      </c>
      <c r="BO217" s="55">
        <f>IFERROR(__xludf.DUMMYFUNCTION("IMPORTRANGE(""1sVVPEI3Qs9g-agM63AHX6h_yClh0g180D6HiVCT50fY"",""2025-26!AF4"")"),0.0)</f>
        <v>0</v>
      </c>
      <c r="BP217" s="55">
        <f>IFERROR(__xludf.DUMMYFUNCTION("IMPORTRANGE(""1sVVPEI3Qs9g-agM63AHX6h_yClh0g180D6HiVCT50fY"",""2025-26!AF3"")"),0.0)</f>
        <v>0</v>
      </c>
      <c r="BQ217" s="59" t="str">
        <f t="shared" si="63"/>
        <v/>
      </c>
      <c r="BR217" s="55">
        <f>IFERROR(__xludf.DUMMYFUNCTION("IMPORTRANGE(""1sVVPEI3Qs9g-agM63AHX6h_yClh0g180D6HiVCT50fY"",""2025-26!AG4"")"),0.0)</f>
        <v>0</v>
      </c>
      <c r="BS217" s="55">
        <f>IFERROR(__xludf.DUMMYFUNCTION("IMPORTRANGE(""1sVVPEI3Qs9g-agM63AHX6h_yClh0g180D6HiVCT50fY"",""2025-26!AG3"")"),0.0)</f>
        <v>0</v>
      </c>
      <c r="BT217" s="55">
        <f>IFERROR(__xludf.DUMMYFUNCTION("IMPORTRANGE(""1sVVPEI3Qs9g-agM63AHX6h_yClh0g180D6HiVCT50fY"",""2025-26!AH4"")"),0.0)</f>
        <v>0</v>
      </c>
      <c r="BU217" s="55">
        <f>IFERROR(__xludf.DUMMYFUNCTION("IMPORTRANGE(""1sVVPEI3Qs9g-agM63AHX6h_yClh0g180D6HiVCT50fY"",""2025-26!AH3"")"),0.0)</f>
        <v>0</v>
      </c>
      <c r="BV217" s="55">
        <f>IFERROR(__xludf.DUMMYFUNCTION("IMPORTRANGE(""1sVVPEI3Qs9g-agM63AHX6h_yClh0g180D6HiVCT50fY"",""2025-26!AI4"")"),0.0)</f>
        <v>0</v>
      </c>
      <c r="BW217" s="55">
        <f>IFERROR(__xludf.DUMMYFUNCTION("IMPORTRANGE(""1sVVPEI3Qs9g-agM63AHX6h_yClh0g180D6HiVCT50fY"",""2025-26!AI3"")"),0.0)</f>
        <v>0</v>
      </c>
      <c r="BX217" s="59" t="str">
        <f t="shared" si="64"/>
        <v/>
      </c>
      <c r="BY217" s="55">
        <f>IFERROR(__xludf.DUMMYFUNCTION("IMPORTRANGE(""1sVVPEI3Qs9g-agM63AHX6h_yClh0g180D6HiVCT50fY"",""2025-26!AJ4"")"),0.0)</f>
        <v>0</v>
      </c>
      <c r="BZ217" s="55">
        <f>IFERROR(__xludf.DUMMYFUNCTION("IMPORTRANGE(""1sVVPEI3Qs9g-agM63AHX6h_yClh0g180D6HiVCT50fY"",""2025-26!AJ3"")"),0.0)</f>
        <v>0</v>
      </c>
      <c r="CA217" s="55">
        <f>IFERROR(__xludf.DUMMYFUNCTION("IMPORTRANGE(""1sVVPEI3Qs9g-agM63AHX6h_yClh0g180D6HiVCT50fY"",""2025-26!AK4"")"),0.0)</f>
        <v>0</v>
      </c>
      <c r="CB217" s="55">
        <f>IFERROR(__xludf.DUMMYFUNCTION("IMPORTRANGE(""1sVVPEI3Qs9g-agM63AHX6h_yClh0g180D6HiVCT50fY"",""2025-26!AK3"")"),0.0)</f>
        <v>0</v>
      </c>
      <c r="CC217" s="55">
        <f>IFERROR(__xludf.DUMMYFUNCTION("IMPORTRANGE(""1sVVPEI3Qs9g-agM63AHX6h_yClh0g180D6HiVCT50fY"",""2025-26!AL4"")"),0.0)</f>
        <v>0</v>
      </c>
      <c r="CD217" s="55">
        <f>IFERROR(__xludf.DUMMYFUNCTION("IMPORTRANGE(""1sVVPEI3Qs9g-agM63AHX6h_yClh0g180D6HiVCT50fY"",""2025-26!AL3"")"),0.0)</f>
        <v>0</v>
      </c>
      <c r="CE217" s="59" t="str">
        <f t="shared" si="65"/>
        <v/>
      </c>
      <c r="CF217" s="55">
        <f>IFERROR(__xludf.DUMMYFUNCTION("IMPORTRANGE(""1sVVPEI3Qs9g-agM63AHX6h_yClh0g180D6HiVCT50fY"",""2025-26!AM4"")"),0.0)</f>
        <v>0</v>
      </c>
      <c r="CG217" s="55">
        <f>IFERROR(__xludf.DUMMYFUNCTION("IMPORTRANGE(""1sVVPEI3Qs9g-agM63AHX6h_yClh0g180D6HiVCT50fY"",""2025-26!AM3"")"),0.0)</f>
        <v>0</v>
      </c>
      <c r="CH217" s="55">
        <f>IFERROR(__xludf.DUMMYFUNCTION("IMPORTRANGE(""1sVVPEI3Qs9g-agM63AHX6h_yClh0g180D6HiVCT50fY"",""2025-26!AN4"")"),0.0)</f>
        <v>0</v>
      </c>
      <c r="CI217" s="55">
        <f>IFERROR(__xludf.DUMMYFUNCTION("IMPORTRANGE(""1sVVPEI3Qs9g-agM63AHX6h_yClh0g180D6HiVCT50fY"",""2025-26!AN3"")"),0.0)</f>
        <v>0</v>
      </c>
      <c r="CJ217" s="55">
        <f>IFERROR(__xludf.DUMMYFUNCTION("IMPORTRANGE(""1sVVPEI3Qs9g-agM63AHX6h_yClh0g180D6HiVCT50fY"",""2025-26!AO4"")"),0.0)</f>
        <v>0</v>
      </c>
      <c r="CK217" s="55">
        <f>IFERROR(__xludf.DUMMYFUNCTION("IMPORTRANGE(""1sVVPEI3Qs9g-agM63AHX6h_yClh0g180D6HiVCT50fY"",""2025-26!AO3"")"),0.0)</f>
        <v>0</v>
      </c>
      <c r="CL217" s="59" t="str">
        <f t="shared" si="66"/>
        <v/>
      </c>
      <c r="CM217" s="55">
        <f>IFERROR(__xludf.DUMMYFUNCTION("IMPORTRANGE(""1sVVPEI3Qs9g-agM63AHX6h_yClh0g180D6HiVCT50fY"",""2025-26!AP4"")"),0.0)</f>
        <v>0</v>
      </c>
      <c r="CN217" s="55">
        <f>IFERROR(__xludf.DUMMYFUNCTION("IMPORTRANGE(""1sVVPEI3Qs9g-agM63AHX6h_yClh0g180D6HiVCT50fY"",""2025-26!AP3"")"),0.0)</f>
        <v>0</v>
      </c>
      <c r="CO217" s="55">
        <f>IFERROR(__xludf.DUMMYFUNCTION("IMPORTRANGE(""1sVVPEI3Qs9g-agM63AHX6h_yClh0g180D6HiVCT50fY"",""2025-26!AQ4"")"),0.0)</f>
        <v>0</v>
      </c>
      <c r="CP217" s="55">
        <f>IFERROR(__xludf.DUMMYFUNCTION("IMPORTRANGE(""1sVVPEI3Qs9g-agM63AHX6h_yClh0g180D6HiVCT50fY"",""2025-26!AQ3"")"),0.0)</f>
        <v>0</v>
      </c>
      <c r="CQ217" s="55">
        <f>IFERROR(__xludf.DUMMYFUNCTION("IMPORTRANGE(""1sVVPEI3Qs9g-agM63AHX6h_yClh0g180D6HiVCT50fY"",""2025-26!AR4"")"),0.0)</f>
        <v>0</v>
      </c>
      <c r="CR217" s="55">
        <f>IFERROR(__xludf.DUMMYFUNCTION("IMPORTRANGE(""1sVVPEI3Qs9g-agM63AHX6h_yClh0g180D6HiVCT50fY"",""2025-26!AR3"")"),0.0)</f>
        <v>0</v>
      </c>
      <c r="CS217" s="59" t="str">
        <f t="shared" si="67"/>
        <v/>
      </c>
      <c r="CT217" s="55">
        <f>IFERROR(__xludf.DUMMYFUNCTION("IMPORTRANGE(""1sVVPEI3Qs9g-agM63AHX6h_yClh0g180D6HiVCT50fY"",""2025-26!AS4"")"),0.0)</f>
        <v>0</v>
      </c>
      <c r="CU217" s="55">
        <f>IFERROR(__xludf.DUMMYFUNCTION("IMPORTRANGE(""1sVVPEI3Qs9g-agM63AHX6h_yClh0g180D6HiVCT50fY"",""2025-26!AS3"")"),0.0)</f>
        <v>0</v>
      </c>
      <c r="CV217" s="60" t="s">
        <v>140</v>
      </c>
    </row>
    <row r="218">
      <c r="A218" s="133" t="s">
        <v>126</v>
      </c>
      <c r="B218" s="134" t="s">
        <v>127</v>
      </c>
      <c r="C218" s="143" t="s">
        <v>437</v>
      </c>
      <c r="D218" s="49" t="s">
        <v>176</v>
      </c>
      <c r="E218" s="50">
        <v>9.893990536E9</v>
      </c>
      <c r="F218" s="74">
        <v>44805.0</v>
      </c>
      <c r="G218" s="62"/>
      <c r="H218" s="62"/>
      <c r="I218" s="53">
        <f>VLOOKUP($C218,Data!$C:$BV,72,0)</f>
        <v>38834</v>
      </c>
      <c r="J218" s="57">
        <f>1466667+200000</f>
        <v>1666667</v>
      </c>
      <c r="K218" s="55">
        <f>IFERROR(__xludf.DUMMYFUNCTION("IMPORTRANGE(""1xUKQcbDwYMW0gppBwEYDVX4butdCRbJhc-AGKQLvMzY"",""2025-26!A3"")"),84.0)</f>
        <v>84</v>
      </c>
      <c r="L218" s="55">
        <f>IFERROR(__xludf.DUMMYFUNCTION("IMPORTRANGE(""1xUKQcbDwYMW0gppBwEYDVX4butdCRbJhc-AGKQLvMzY"",""2025-26!G4"")"),2.435E7)</f>
        <v>24350000</v>
      </c>
      <c r="M218" s="55">
        <f t="shared" si="93"/>
        <v>1888433.172</v>
      </c>
      <c r="N218" s="56">
        <f t="shared" si="94"/>
        <v>0.0551238193</v>
      </c>
      <c r="O218" s="57">
        <f t="shared" si="95"/>
        <v>1342265</v>
      </c>
      <c r="P218" s="55">
        <f>IFERROR(__xludf.DUMMYFUNCTION("IMPORTRANGE(""1xUKQcbDwYMW0gppBwEYDVX4butdCRbJhc-AGKQLvMzY"",""2025-26!J4"")"),2057500.0)</f>
        <v>2057500</v>
      </c>
      <c r="Q218" s="55">
        <f>IFERROR(__xludf.DUMMYFUNCTION("IMPORTRANGE(""1xUKQcbDwYMW0gppBwEYDVX4butdCRbJhc-AGKQLvMzY"",""2025-26!J3"")"),79.0)</f>
        <v>79</v>
      </c>
      <c r="R218" s="55">
        <f>IFERROR(__xludf.DUMMYFUNCTION("IMPORTRANGE(""1xUKQcbDwYMW0gppBwEYDVX4butdCRbJhc-AGKQLvMzY"",""2025-26!K4"")"),303572.0)</f>
        <v>303572</v>
      </c>
      <c r="S218" s="55">
        <f>IFERROR(__xludf.DUMMYFUNCTION("IMPORTRANGE(""1xUKQcbDwYMW0gppBwEYDVX4butdCRbJhc-AGKQLvMzY"",""2025-26!K3"")"),13.0)</f>
        <v>13</v>
      </c>
      <c r="T218" s="58">
        <f t="shared" si="56"/>
        <v>0.1455669502</v>
      </c>
      <c r="U218" s="55">
        <f>IFERROR(__xludf.DUMMYFUNCTION("IMPORTRANGE(""1xUKQcbDwYMW0gppBwEYDVX4butdCRbJhc-AGKQLvMzY"",""2025-26!L4"")"),299504.0)</f>
        <v>299504</v>
      </c>
      <c r="V218" s="55">
        <f>IFERROR(__xludf.DUMMYFUNCTION("IMPORTRANGE(""1xUKQcbDwYMW0gppBwEYDVX4butdCRbJhc-AGKQLvMzY"",""2025-26!L3"")"),13.0)</f>
        <v>13</v>
      </c>
      <c r="W218" s="55">
        <f>IFERROR(__xludf.DUMMYFUNCTION("IMPORTRANGE(""1xUKQcbDwYMW0gppBwEYDVX4butdCRbJhc-AGKQLvMzY"",""2025-26!m4"")"),2057500.0)</f>
        <v>2057500</v>
      </c>
      <c r="X218" s="55">
        <f>IFERROR(__xludf.DUMMYFUNCTION("IMPORTRANGE(""1xUKQcbDwYMW0gppBwEYDVX4butdCRbJhc-AGKQLvMzY"",""2025-26!m3"")"),79.0)</f>
        <v>79</v>
      </c>
      <c r="Y218" s="55">
        <f>IFERROR(__xludf.DUMMYFUNCTION("IMPORTRANGE(""1xUKQcbDwYMW0gppBwEYDVX4butdCRbJhc-AGKQLvMzY"",""2025-26!N4"")"),220876.69999999998)</f>
        <v>220876.7</v>
      </c>
      <c r="Z218" s="55">
        <f>IFERROR(__xludf.DUMMYFUNCTION("IMPORTRANGE(""1xUKQcbDwYMW0gppBwEYDVX4butdCRbJhc-AGKQLvMzY"",""2025-26!N3"")"),14.0)</f>
        <v>14</v>
      </c>
      <c r="AA218" s="58">
        <f t="shared" si="57"/>
        <v>0.1170663426</v>
      </c>
      <c r="AB218" s="55">
        <f>IFERROR(__xludf.DUMMYFUNCTION("IMPORTRANGE(""1xUKQcbDwYMW0gppBwEYDVX4butdCRbJhc-AGKQLvMzY"",""2025-26!O4"")"),240864.0)</f>
        <v>240864</v>
      </c>
      <c r="AC218" s="55">
        <f>IFERROR(__xludf.DUMMYFUNCTION("IMPORTRANGE(""1xUKQcbDwYMW0gppBwEYDVX4butdCRbJhc-AGKQLvMzY"",""2025-26!O3"")"),15.0)</f>
        <v>15</v>
      </c>
      <c r="AD218" s="55">
        <f>IFERROR(__xludf.DUMMYFUNCTION("IMPORTRANGE(""1xUKQcbDwYMW0gppBwEYDVX4butdCRbJhc-AGKQLvMzY"",""2025-26!P4"")"),2057500.0)</f>
        <v>2057500</v>
      </c>
      <c r="AE218" s="55">
        <f>IFERROR(__xludf.DUMMYFUNCTION("IMPORTRANGE(""1xUKQcbDwYMW0gppBwEYDVX4butdCRbJhc-AGKQLvMzY"",""2025-26!P3"")"),79.0)</f>
        <v>79</v>
      </c>
      <c r="AF218" s="55">
        <f>IFERROR(__xludf.DUMMYFUNCTION("IMPORTRANGE(""1xUKQcbDwYMW0gppBwEYDVX4butdCRbJhc-AGKQLvMzY"",""2025-26!Q4"")"),607180.3415625)</f>
        <v>607180.3416</v>
      </c>
      <c r="AG218" s="55">
        <f>IFERROR(__xludf.DUMMYFUNCTION("IMPORTRANGE(""1xUKQcbDwYMW0gppBwEYDVX4butdCRbJhc-AGKQLvMzY"",""2025-26!Q3"")"),14.0)</f>
        <v>14</v>
      </c>
      <c r="AH218" s="58">
        <f t="shared" si="58"/>
        <v>0.2721283111</v>
      </c>
      <c r="AI218" s="55">
        <f>IFERROR(__xludf.DUMMYFUNCTION("IMPORTRANGE(""1xUKQcbDwYMW0gppBwEYDVX4butdCRbJhc-AGKQLvMzY"",""2025-26!R4"")"),559904.0)</f>
        <v>559904</v>
      </c>
      <c r="AJ218" s="55">
        <f>IFERROR(__xludf.DUMMYFUNCTION("IMPORTRANGE(""1xUKQcbDwYMW0gppBwEYDVX4butdCRbJhc-AGKQLvMzY"",""2025-26!R3"")"),13.0)</f>
        <v>13</v>
      </c>
      <c r="AK218" s="55">
        <f>IFERROR(__xludf.DUMMYFUNCTION("IMPORTRANGE(""1xUKQcbDwYMW0gppBwEYDVX4butdCRbJhc-AGKQLvMzY"",""2025-26!S4"")"),2047000.0)</f>
        <v>2047000</v>
      </c>
      <c r="AL218" s="55">
        <f>IFERROR(__xludf.DUMMYFUNCTION("IMPORTRANGE(""1xUKQcbDwYMW0gppBwEYDVX4butdCRbJhc-AGKQLvMzY"",""2025-26!S3"")"),79.0)</f>
        <v>79</v>
      </c>
      <c r="AM218" s="55">
        <f>IFERROR(__xludf.DUMMYFUNCTION("IMPORTRANGE(""1xUKQcbDwYMW0gppBwEYDVX4butdCRbJhc-AGKQLvMzY"",""2025-26!T4"")"),262048.75000000003)</f>
        <v>262048.75</v>
      </c>
      <c r="AN218" s="55">
        <f>IFERROR(__xludf.DUMMYFUNCTION("IMPORTRANGE(""1xUKQcbDwYMW0gppBwEYDVX4butdCRbJhc-AGKQLvMzY"",""2025-26!T3"")"),16.0)</f>
        <v>16</v>
      </c>
      <c r="AO218" s="58">
        <f t="shared" si="59"/>
        <v>0.1182183683</v>
      </c>
      <c r="AP218" s="55">
        <f>IFERROR(__xludf.DUMMYFUNCTION("IMPORTRANGE(""1xUKQcbDwYMW0gppBwEYDVX4butdCRbJhc-AGKQLvMzY"",""2025-26!U4"")"),241993.0)</f>
        <v>241993</v>
      </c>
      <c r="AQ218" s="55">
        <f>IFERROR(__xludf.DUMMYFUNCTION("IMPORTRANGE(""1xUKQcbDwYMW0gppBwEYDVX4butdCRbJhc-AGKQLvMzY"",""2025-26!U3"")"),16.0)</f>
        <v>16</v>
      </c>
      <c r="AR218" s="55">
        <f>IFERROR(__xludf.DUMMYFUNCTION("IMPORTRANGE(""1xUKQcbDwYMW0gppBwEYDVX4butdCRbJhc-AGKQLvMzY"",""2025-26!V4"")"),2047000.0)</f>
        <v>2047000</v>
      </c>
      <c r="AS218" s="55">
        <f>IFERROR(__xludf.DUMMYFUNCTION("IMPORTRANGE(""1xUKQcbDwYMW0gppBwEYDVX4butdCRbJhc-AGKQLvMzY"",""2025-26!V3"")"),79.0)</f>
        <v>79</v>
      </c>
      <c r="AT218" s="55">
        <f>IFERROR(__xludf.DUMMYFUNCTION("IMPORTRANGE(""1xUKQcbDwYMW0gppBwEYDVX4butdCRbJhc-AGKQLvMzY"",""2025-26!W4"")"),326645.45)</f>
        <v>326645.45</v>
      </c>
      <c r="AU218" s="55">
        <f>IFERROR(__xludf.DUMMYFUNCTION("IMPORTRANGE(""1xUKQcbDwYMW0gppBwEYDVX4butdCRbJhc-AGKQLvMzY"",""2025-26!W3"")"),13.0)</f>
        <v>13</v>
      </c>
      <c r="AV218" s="58">
        <f t="shared" si="60"/>
        <v>0</v>
      </c>
      <c r="AW218" s="55">
        <f>IFERROR(__xludf.DUMMYFUNCTION("IMPORTRANGE(""1xUKQcbDwYMW0gppBwEYDVX4butdCRbJhc-AGKQLvMzY"",""2025-26!X4"")"),0.0)</f>
        <v>0</v>
      </c>
      <c r="AX218" s="55">
        <f>IFERROR(__xludf.DUMMYFUNCTION("IMPORTRANGE(""1xUKQcbDwYMW0gppBwEYDVX4butdCRbJhc-AGKQLvMzY"",""2025-26!X3"")"),0.0)</f>
        <v>0</v>
      </c>
      <c r="AY218" s="55">
        <f>IFERROR(__xludf.DUMMYFUNCTION("IMPORTRANGE(""1xUKQcbDwYMW0gppBwEYDVX4butdCRbJhc-AGKQLvMzY"",""2025-26!Y4"")"),2047000.0)</f>
        <v>2047000</v>
      </c>
      <c r="AZ218" s="55">
        <f>IFERROR(__xludf.DUMMYFUNCTION("IMPORTRANGE(""1xUKQcbDwYMW0gppBwEYDVX4butdCRbJhc-AGKQLvMzY"",""2025-26!Y3"")"),79.0)</f>
        <v>79</v>
      </c>
      <c r="BA218" s="55">
        <f>IFERROR(__xludf.DUMMYFUNCTION("IMPORTRANGE(""1xUKQcbDwYMW0gppBwEYDVX4butdCRbJhc-AGKQLvMzY"",""2025-26!Z4"")"),168109.93)</f>
        <v>168109.93</v>
      </c>
      <c r="BB218" s="55">
        <f>IFERROR(__xludf.DUMMYFUNCTION("IMPORTRANGE(""1xUKQcbDwYMW0gppBwEYDVX4butdCRbJhc-AGKQLvMzY"",""2025-26!Z3"")"),3.0)</f>
        <v>3</v>
      </c>
      <c r="BC218" s="59">
        <f t="shared" si="61"/>
        <v>0</v>
      </c>
      <c r="BD218" s="55">
        <f>IFERROR(__xludf.DUMMYFUNCTION("IMPORTRANGE(""1xUKQcbDwYMW0gppBwEYDVX4butdCRbJhc-AGKQLvMzY"",""2025-26!AA4"")"),0.0)</f>
        <v>0</v>
      </c>
      <c r="BE218" s="55">
        <f>IFERROR(__xludf.DUMMYFUNCTION("IMPORTRANGE(""1xUKQcbDwYMW0gppBwEYDVX4butdCRbJhc-AGKQLvMzY"",""2025-26!AA3"")"),0.0)</f>
        <v>0</v>
      </c>
      <c r="BF218" s="55">
        <f>IFERROR(__xludf.DUMMYFUNCTION("IMPORTRANGE(""1xUKQcbDwYMW0gppBwEYDVX4butdCRbJhc-AGKQLvMzY"",""2025-26!AB4"")"),0.0)</f>
        <v>0</v>
      </c>
      <c r="BG218" s="55">
        <f>IFERROR(__xludf.DUMMYFUNCTION("IMPORTRANGE(""1xUKQcbDwYMW0gppBwEYDVX4butdCRbJhc-AGKQLvMzY"",""2025-26!AB3"")"),0.0)</f>
        <v>0</v>
      </c>
      <c r="BH218" s="55">
        <f>IFERROR(__xludf.DUMMYFUNCTION("IMPORTRANGE(""1xUKQcbDwYMW0gppBwEYDVX4butdCRbJhc-AGKQLvMzY"",""2025-26!AC4"")"),0.0)</f>
        <v>0</v>
      </c>
      <c r="BI218" s="55">
        <f>IFERROR(__xludf.DUMMYFUNCTION("IMPORTRANGE(""1xUKQcbDwYMW0gppBwEYDVX4butdCRbJhc-AGKQLvMzY"",""2025-26!AC3"")"),0.0)</f>
        <v>0</v>
      </c>
      <c r="BJ218" s="59" t="str">
        <f t="shared" si="62"/>
        <v/>
      </c>
      <c r="BK218" s="55">
        <f>IFERROR(__xludf.DUMMYFUNCTION("IMPORTRANGE(""1xUKQcbDwYMW0gppBwEYDVX4butdCRbJhc-AGKQLvMzY"",""2025-26!AD4"")"),0.0)</f>
        <v>0</v>
      </c>
      <c r="BL218" s="55">
        <f>IFERROR(__xludf.DUMMYFUNCTION("IMPORTRANGE(""1xUKQcbDwYMW0gppBwEYDVX4butdCRbJhc-AGKQLvMzY"",""2025-26!AD3"")"),0.0)</f>
        <v>0</v>
      </c>
      <c r="BM218" s="55">
        <f>IFERROR(__xludf.DUMMYFUNCTION("IMPORTRANGE(""1xUKQcbDwYMW0gppBwEYDVX4butdCRbJhc-AGKQLvMzY"",""2025-26!AE4"")"),0.0)</f>
        <v>0</v>
      </c>
      <c r="BN218" s="55">
        <f>IFERROR(__xludf.DUMMYFUNCTION("IMPORTRANGE(""1xUKQcbDwYMW0gppBwEYDVX4butdCRbJhc-AGKQLvMzY"",""2025-26!AE3"")"),0.0)</f>
        <v>0</v>
      </c>
      <c r="BO218" s="55">
        <f>IFERROR(__xludf.DUMMYFUNCTION("IMPORTRANGE(""1xUKQcbDwYMW0gppBwEYDVX4butdCRbJhc-AGKQLvMzY"",""2025-26!AF4"")"),0.0)</f>
        <v>0</v>
      </c>
      <c r="BP218" s="55">
        <f>IFERROR(__xludf.DUMMYFUNCTION("IMPORTRANGE(""1xUKQcbDwYMW0gppBwEYDVX4butdCRbJhc-AGKQLvMzY"",""2025-26!AF3"")"),0.0)</f>
        <v>0</v>
      </c>
      <c r="BQ218" s="59" t="str">
        <f t="shared" si="63"/>
        <v/>
      </c>
      <c r="BR218" s="55">
        <f>IFERROR(__xludf.DUMMYFUNCTION("IMPORTRANGE(""1xUKQcbDwYMW0gppBwEYDVX4butdCRbJhc-AGKQLvMzY"",""2025-26!AG4"")"),0.0)</f>
        <v>0</v>
      </c>
      <c r="BS218" s="55">
        <f>IFERROR(__xludf.DUMMYFUNCTION("IMPORTRANGE(""1xUKQcbDwYMW0gppBwEYDVX4butdCRbJhc-AGKQLvMzY"",""2025-26!AG3"")"),0.0)</f>
        <v>0</v>
      </c>
      <c r="BT218" s="55">
        <f>IFERROR(__xludf.DUMMYFUNCTION("IMPORTRANGE(""1xUKQcbDwYMW0gppBwEYDVX4butdCRbJhc-AGKQLvMzY"",""2025-26!AH4"")"),0.0)</f>
        <v>0</v>
      </c>
      <c r="BU218" s="55">
        <f>IFERROR(__xludf.DUMMYFUNCTION("IMPORTRANGE(""1xUKQcbDwYMW0gppBwEYDVX4butdCRbJhc-AGKQLvMzY"",""2025-26!AH3"")"),0.0)</f>
        <v>0</v>
      </c>
      <c r="BV218" s="55">
        <f>IFERROR(__xludf.DUMMYFUNCTION("IMPORTRANGE(""1xUKQcbDwYMW0gppBwEYDVX4butdCRbJhc-AGKQLvMzY"",""2025-26!AI4"")"),0.0)</f>
        <v>0</v>
      </c>
      <c r="BW218" s="55">
        <f>IFERROR(__xludf.DUMMYFUNCTION("IMPORTRANGE(""1xUKQcbDwYMW0gppBwEYDVX4butdCRbJhc-AGKQLvMzY"",""2025-26!AI3"")"),0.0)</f>
        <v>0</v>
      </c>
      <c r="BX218" s="59" t="str">
        <f t="shared" si="64"/>
        <v/>
      </c>
      <c r="BY218" s="55">
        <f>IFERROR(__xludf.DUMMYFUNCTION("IMPORTRANGE(""1xUKQcbDwYMW0gppBwEYDVX4butdCRbJhc-AGKQLvMzY"",""2025-26!AJ4"")"),0.0)</f>
        <v>0</v>
      </c>
      <c r="BZ218" s="55">
        <f>IFERROR(__xludf.DUMMYFUNCTION("IMPORTRANGE(""1xUKQcbDwYMW0gppBwEYDVX4butdCRbJhc-AGKQLvMzY"",""2025-26!AJ3"")"),0.0)</f>
        <v>0</v>
      </c>
      <c r="CA218" s="55">
        <f>IFERROR(__xludf.DUMMYFUNCTION("IMPORTRANGE(""1xUKQcbDwYMW0gppBwEYDVX4butdCRbJhc-AGKQLvMzY"",""2025-26!AK4"")"),0.0)</f>
        <v>0</v>
      </c>
      <c r="CB218" s="55">
        <f>IFERROR(__xludf.DUMMYFUNCTION("IMPORTRANGE(""1xUKQcbDwYMW0gppBwEYDVX4butdCRbJhc-AGKQLvMzY"",""2025-26!AK3"")"),0.0)</f>
        <v>0</v>
      </c>
      <c r="CC218" s="55">
        <f>IFERROR(__xludf.DUMMYFUNCTION("IMPORTRANGE(""1xUKQcbDwYMW0gppBwEYDVX4butdCRbJhc-AGKQLvMzY"",""2025-26!AL4"")"),0.0)</f>
        <v>0</v>
      </c>
      <c r="CD218" s="55">
        <f>IFERROR(__xludf.DUMMYFUNCTION("IMPORTRANGE(""1xUKQcbDwYMW0gppBwEYDVX4butdCRbJhc-AGKQLvMzY"",""2025-26!AL3"")"),0.0)</f>
        <v>0</v>
      </c>
      <c r="CE218" s="59" t="str">
        <f t="shared" si="65"/>
        <v/>
      </c>
      <c r="CF218" s="55">
        <f>IFERROR(__xludf.DUMMYFUNCTION("IMPORTRANGE(""1xUKQcbDwYMW0gppBwEYDVX4butdCRbJhc-AGKQLvMzY"",""2025-26!AM4"")"),0.0)</f>
        <v>0</v>
      </c>
      <c r="CG218" s="55">
        <f>IFERROR(__xludf.DUMMYFUNCTION("IMPORTRANGE(""1xUKQcbDwYMW0gppBwEYDVX4butdCRbJhc-AGKQLvMzY"",""2025-26!AM3"")"),0.0)</f>
        <v>0</v>
      </c>
      <c r="CH218" s="55">
        <f>IFERROR(__xludf.DUMMYFUNCTION("IMPORTRANGE(""1xUKQcbDwYMW0gppBwEYDVX4butdCRbJhc-AGKQLvMzY"",""2025-26!AN4"")"),0.0)</f>
        <v>0</v>
      </c>
      <c r="CI218" s="55">
        <f>IFERROR(__xludf.DUMMYFUNCTION("IMPORTRANGE(""1xUKQcbDwYMW0gppBwEYDVX4butdCRbJhc-AGKQLvMzY"",""2025-26!AN3"")"),0.0)</f>
        <v>0</v>
      </c>
      <c r="CJ218" s="55">
        <f>IFERROR(__xludf.DUMMYFUNCTION("IMPORTRANGE(""1xUKQcbDwYMW0gppBwEYDVX4butdCRbJhc-AGKQLvMzY"",""2025-26!AO4"")"),0.0)</f>
        <v>0</v>
      </c>
      <c r="CK218" s="55">
        <f>IFERROR(__xludf.DUMMYFUNCTION("IMPORTRANGE(""1xUKQcbDwYMW0gppBwEYDVX4butdCRbJhc-AGKQLvMzY"",""2025-26!AO3"")"),0.0)</f>
        <v>0</v>
      </c>
      <c r="CL218" s="59" t="str">
        <f t="shared" si="66"/>
        <v/>
      </c>
      <c r="CM218" s="55">
        <f>IFERROR(__xludf.DUMMYFUNCTION("IMPORTRANGE(""1xUKQcbDwYMW0gppBwEYDVX4butdCRbJhc-AGKQLvMzY"",""2025-26!AP4"")"),0.0)</f>
        <v>0</v>
      </c>
      <c r="CN218" s="55">
        <f>IFERROR(__xludf.DUMMYFUNCTION("IMPORTRANGE(""1xUKQcbDwYMW0gppBwEYDVX4butdCRbJhc-AGKQLvMzY"",""2025-26!AP3"")"),0.0)</f>
        <v>0</v>
      </c>
      <c r="CO218" s="55">
        <f>IFERROR(__xludf.DUMMYFUNCTION("IMPORTRANGE(""1xUKQcbDwYMW0gppBwEYDVX4butdCRbJhc-AGKQLvMzY"",""2025-26!AQ4"")"),0.0)</f>
        <v>0</v>
      </c>
      <c r="CP218" s="55">
        <f>IFERROR(__xludf.DUMMYFUNCTION("IMPORTRANGE(""1xUKQcbDwYMW0gppBwEYDVX4butdCRbJhc-AGKQLvMzY"",""2025-26!AQ3"")"),0.0)</f>
        <v>0</v>
      </c>
      <c r="CQ218" s="55">
        <f>IFERROR(__xludf.DUMMYFUNCTION("IMPORTRANGE(""1xUKQcbDwYMW0gppBwEYDVX4butdCRbJhc-AGKQLvMzY"",""2025-26!AR4"")"),0.0)</f>
        <v>0</v>
      </c>
      <c r="CR218" s="55">
        <f>IFERROR(__xludf.DUMMYFUNCTION("IMPORTRANGE(""1xUKQcbDwYMW0gppBwEYDVX4butdCRbJhc-AGKQLvMzY"",""2025-26!AR3"")"),0.0)</f>
        <v>0</v>
      </c>
      <c r="CS218" s="59" t="str">
        <f t="shared" si="67"/>
        <v/>
      </c>
      <c r="CT218" s="55">
        <f>IFERROR(__xludf.DUMMYFUNCTION("IMPORTRANGE(""1xUKQcbDwYMW0gppBwEYDVX4butdCRbJhc-AGKQLvMzY"",""2025-26!AS4"")"),0.0)</f>
        <v>0</v>
      </c>
      <c r="CU218" s="55">
        <f>IFERROR(__xludf.DUMMYFUNCTION("IMPORTRANGE(""1xUKQcbDwYMW0gppBwEYDVX4butdCRbJhc-AGKQLvMzY"",""2025-26!AS3"")"),0.0)</f>
        <v>0</v>
      </c>
      <c r="CV218" s="60" t="s">
        <v>135</v>
      </c>
    </row>
    <row r="219">
      <c r="A219" s="133" t="s">
        <v>126</v>
      </c>
      <c r="B219" s="134" t="s">
        <v>127</v>
      </c>
      <c r="C219" s="153" t="s">
        <v>438</v>
      </c>
      <c r="D219" s="49" t="s">
        <v>439</v>
      </c>
      <c r="E219" s="50">
        <v>8.700578881E9</v>
      </c>
      <c r="F219" s="74">
        <v>45000.0</v>
      </c>
      <c r="G219" s="62"/>
      <c r="H219" s="62"/>
      <c r="I219" s="53">
        <f>VLOOKUP($C219,Data!$C:$BV,72,0)</f>
        <v>28360</v>
      </c>
      <c r="J219" s="57">
        <v>2083333.0</v>
      </c>
      <c r="K219" s="55">
        <f>IFERROR(__xludf.DUMMYFUNCTION("IMPORTRANGE(""1HNJqLCn0iE1rmX-zUpPAYeB7r9MThdnbvAt8g6e1Ong"",""2025-26!A3"")"),34.0)</f>
        <v>34</v>
      </c>
      <c r="L219" s="55">
        <f>IFERROR(__xludf.DUMMYFUNCTION("IMPORTRANGE(""1HNJqLCn0iE1rmX-zUpPAYeB7r9MThdnbvAt8g6e1Ong"",""2025-26!G4"")"),1.2E7)</f>
        <v>12000000</v>
      </c>
      <c r="M219" s="55">
        <f t="shared" si="93"/>
        <v>1970484.51</v>
      </c>
      <c r="N219" s="56">
        <f t="shared" si="94"/>
        <v>0.1261050833</v>
      </c>
      <c r="O219" s="57">
        <f t="shared" si="95"/>
        <v>1513261</v>
      </c>
      <c r="P219" s="55">
        <f>IFERROR(__xludf.DUMMYFUNCTION("IMPORTRANGE(""1HNJqLCn0iE1rmX-zUpPAYeB7r9MThdnbvAt8g6e1Ong"",""2025-26!J4"")"),465000.0)</f>
        <v>465000</v>
      </c>
      <c r="Q219" s="55">
        <f>IFERROR(__xludf.DUMMYFUNCTION("IMPORTRANGE(""1HNJqLCn0iE1rmX-zUpPAYeB7r9MThdnbvAt8g6e1Ong"",""2025-26!J3"")"),11.0)</f>
        <v>11</v>
      </c>
      <c r="R219" s="55">
        <f>IFERROR(__xludf.DUMMYFUNCTION("IMPORTRANGE(""1HNJqLCn0iE1rmX-zUpPAYeB7r9MThdnbvAt8g6e1Ong"",""2025-26!K4"")"),119760.14)</f>
        <v>119760.14</v>
      </c>
      <c r="S219" s="55">
        <f>IFERROR(__xludf.DUMMYFUNCTION("IMPORTRANGE(""1HNJqLCn0iE1rmX-zUpPAYeB7r9MThdnbvAt8g6e1Ong"",""2025-26!K3"")"),4.0)</f>
        <v>4</v>
      </c>
      <c r="T219" s="58">
        <f t="shared" si="56"/>
        <v>0.2770924731</v>
      </c>
      <c r="U219" s="55">
        <f>IFERROR(__xludf.DUMMYFUNCTION("IMPORTRANGE(""1HNJqLCn0iE1rmX-zUpPAYeB7r9MThdnbvAt8g6e1Ong"",""2025-26!L4"")"),128848.0)</f>
        <v>128848</v>
      </c>
      <c r="V219" s="55">
        <f>IFERROR(__xludf.DUMMYFUNCTION("IMPORTRANGE(""1HNJqLCn0iE1rmX-zUpPAYeB7r9MThdnbvAt8g6e1Ong"",""2025-26!L3"")"),4.0)</f>
        <v>4</v>
      </c>
      <c r="W219" s="55">
        <f>IFERROR(__xludf.DUMMYFUNCTION("IMPORTRANGE(""1HNJqLCn0iE1rmX-zUpPAYeB7r9MThdnbvAt8g6e1Ong"",""2025-26!m4"")"),1110000.0)</f>
        <v>1110000</v>
      </c>
      <c r="X219" s="55">
        <f>IFERROR(__xludf.DUMMYFUNCTION("IMPORTRANGE(""1HNJqLCn0iE1rmX-zUpPAYeB7r9MThdnbvAt8g6e1Ong"",""2025-26!m3"")"),23.0)</f>
        <v>23</v>
      </c>
      <c r="Y219" s="55">
        <f>IFERROR(__xludf.DUMMYFUNCTION("IMPORTRANGE(""1HNJqLCn0iE1rmX-zUpPAYeB7r9MThdnbvAt8g6e1Ong"",""2025-26!N4"")"),456243.8)</f>
        <v>456243.8</v>
      </c>
      <c r="Z219" s="55">
        <f>IFERROR(__xludf.DUMMYFUNCTION("IMPORTRANGE(""1HNJqLCn0iE1rmX-zUpPAYeB7r9MThdnbvAt8g6e1Ong"",""2025-26!N3"")"),6.0)</f>
        <v>6</v>
      </c>
      <c r="AA219" s="58">
        <f t="shared" si="57"/>
        <v>0.4412216216</v>
      </c>
      <c r="AB219" s="55">
        <f>IFERROR(__xludf.DUMMYFUNCTION("IMPORTRANGE(""1HNJqLCn0iE1rmX-zUpPAYeB7r9MThdnbvAt8g6e1Ong"",""2025-26!O4"")"),489756.0)</f>
        <v>489756</v>
      </c>
      <c r="AC219" s="55">
        <f>IFERROR(__xludf.DUMMYFUNCTION("IMPORTRANGE(""1HNJqLCn0iE1rmX-zUpPAYeB7r9MThdnbvAt8g6e1Ong"",""2025-26!O3"")"),6.0)</f>
        <v>6</v>
      </c>
      <c r="AD219" s="55">
        <f>IFERROR(__xludf.DUMMYFUNCTION("IMPORTRANGE(""1HNJqLCn0iE1rmX-zUpPAYeB7r9MThdnbvAt8g6e1Ong"",""2025-26!P4"")"),1100000.0)</f>
        <v>1100000</v>
      </c>
      <c r="AE219" s="55">
        <f>IFERROR(__xludf.DUMMYFUNCTION("IMPORTRANGE(""1HNJqLCn0iE1rmX-zUpPAYeB7r9MThdnbvAt8g6e1Ong"",""2025-26!P3"")"),24.0)</f>
        <v>24</v>
      </c>
      <c r="AF219" s="55">
        <f>IFERROR(__xludf.DUMMYFUNCTION("IMPORTRANGE(""1HNJqLCn0iE1rmX-zUpPAYeB7r9MThdnbvAt8g6e1Ong"",""2025-26!Q4"")"),847649.55953125)</f>
        <v>847649.5595</v>
      </c>
      <c r="AG219" s="55">
        <f>IFERROR(__xludf.DUMMYFUNCTION("IMPORTRANGE(""1HNJqLCn0iE1rmX-zUpPAYeB7r9MThdnbvAt8g6e1Ong"",""2025-26!Q3"")"),14.0)</f>
        <v>14</v>
      </c>
      <c r="AH219" s="58">
        <f t="shared" si="58"/>
        <v>0.6315590909</v>
      </c>
      <c r="AI219" s="55">
        <f>IFERROR(__xludf.DUMMYFUNCTION("IMPORTRANGE(""1HNJqLCn0iE1rmX-zUpPAYeB7r9MThdnbvAt8g6e1Ong"",""2025-26!R4"")"),694715.0)</f>
        <v>694715</v>
      </c>
      <c r="AJ219" s="55">
        <f>IFERROR(__xludf.DUMMYFUNCTION("IMPORTRANGE(""1HNJqLCn0iE1rmX-zUpPAYeB7r9MThdnbvAt8g6e1Ong"",""2025-26!R3"")"),10.0)</f>
        <v>10</v>
      </c>
      <c r="AK219" s="55">
        <f>IFERROR(__xludf.DUMMYFUNCTION("IMPORTRANGE(""1HNJqLCn0iE1rmX-zUpPAYeB7r9MThdnbvAt8g6e1Ong"",""2025-26!S4"")"),1370000.0)</f>
        <v>1370000</v>
      </c>
      <c r="AL219" s="55">
        <f>IFERROR(__xludf.DUMMYFUNCTION("IMPORTRANGE(""1HNJqLCn0iE1rmX-zUpPAYeB7r9MThdnbvAt8g6e1Ong"",""2025-26!S3"")"),32.0)</f>
        <v>32</v>
      </c>
      <c r="AM219" s="55">
        <f>IFERROR(__xludf.DUMMYFUNCTION("IMPORTRANGE(""1HNJqLCn0iE1rmX-zUpPAYeB7r9MThdnbvAt8g6e1Ong"",""2025-26!T4"")"),190623.19999999998)</f>
        <v>190623.2</v>
      </c>
      <c r="AN219" s="55">
        <f>IFERROR(__xludf.DUMMYFUNCTION("IMPORTRANGE(""1HNJqLCn0iE1rmX-zUpPAYeB7r9MThdnbvAt8g6e1Ong"",""2025-26!T3"")"),5.0)</f>
        <v>5</v>
      </c>
      <c r="AO219" s="58">
        <f t="shared" si="59"/>
        <v>0.1459430657</v>
      </c>
      <c r="AP219" s="55">
        <f>IFERROR(__xludf.DUMMYFUNCTION("IMPORTRANGE(""1HNJqLCn0iE1rmX-zUpPAYeB7r9MThdnbvAt8g6e1Ong"",""2025-26!U4"")"),199942.0)</f>
        <v>199942</v>
      </c>
      <c r="AQ219" s="55">
        <f>IFERROR(__xludf.DUMMYFUNCTION("IMPORTRANGE(""1HNJqLCn0iE1rmX-zUpPAYeB7r9MThdnbvAt8g6e1Ong"",""2025-26!U3"")"),5.0)</f>
        <v>5</v>
      </c>
      <c r="AR219" s="55">
        <f>IFERROR(__xludf.DUMMYFUNCTION("IMPORTRANGE(""1HNJqLCn0iE1rmX-zUpPAYeB7r9MThdnbvAt8g6e1Ong"",""2025-26!V4"")"),1000000.0)</f>
        <v>1000000</v>
      </c>
      <c r="AS219" s="55">
        <f>IFERROR(__xludf.DUMMYFUNCTION("IMPORTRANGE(""1HNJqLCn0iE1rmX-zUpPAYeB7r9MThdnbvAt8g6e1Ong"",""2025-26!V3"")"),31.0)</f>
        <v>31</v>
      </c>
      <c r="AT219" s="55">
        <f>IFERROR(__xludf.DUMMYFUNCTION("IMPORTRANGE(""1HNJqLCn0iE1rmX-zUpPAYeB7r9MThdnbvAt8g6e1Ong"",""2025-26!W4"")"),356207.81)</f>
        <v>356207.81</v>
      </c>
      <c r="AU219" s="55">
        <f>IFERROR(__xludf.DUMMYFUNCTION("IMPORTRANGE(""1HNJqLCn0iE1rmX-zUpPAYeB7r9MThdnbvAt8g6e1Ong"",""2025-26!W3"")"),7.0)</f>
        <v>7</v>
      </c>
      <c r="AV219" s="58">
        <f t="shared" si="60"/>
        <v>0</v>
      </c>
      <c r="AW219" s="55">
        <f>IFERROR(__xludf.DUMMYFUNCTION("IMPORTRANGE(""1HNJqLCn0iE1rmX-zUpPAYeB7r9MThdnbvAt8g6e1Ong"",""2025-26!X4"")"),0.0)</f>
        <v>0</v>
      </c>
      <c r="AX219" s="55">
        <f>IFERROR(__xludf.DUMMYFUNCTION("IMPORTRANGE(""1HNJqLCn0iE1rmX-zUpPAYeB7r9MThdnbvAt8g6e1Ong"",""2025-26!X3"")"),0.0)</f>
        <v>0</v>
      </c>
      <c r="AY219" s="55">
        <f>IFERROR(__xludf.DUMMYFUNCTION("IMPORTRANGE(""1HNJqLCn0iE1rmX-zUpPAYeB7r9MThdnbvAt8g6e1Ong"",""2025-26!Y4"")"),1140000.0)</f>
        <v>1140000</v>
      </c>
      <c r="AZ219" s="55">
        <f>IFERROR(__xludf.DUMMYFUNCTION("IMPORTRANGE(""1HNJqLCn0iE1rmX-zUpPAYeB7r9MThdnbvAt8g6e1Ong"",""2025-26!Y3"")"),32.0)</f>
        <v>32</v>
      </c>
      <c r="BA219" s="55">
        <f>IFERROR(__xludf.DUMMYFUNCTION("IMPORTRANGE(""1HNJqLCn0iE1rmX-zUpPAYeB7r9MThdnbvAt8g6e1Ong"",""2025-26!Z4"")"),0.0)</f>
        <v>0</v>
      </c>
      <c r="BB219" s="55">
        <f>IFERROR(__xludf.DUMMYFUNCTION("IMPORTRANGE(""1HNJqLCn0iE1rmX-zUpPAYeB7r9MThdnbvAt8g6e1Ong"",""2025-26!Z3"")"),0.0)</f>
        <v>0</v>
      </c>
      <c r="BC219" s="59">
        <f t="shared" si="61"/>
        <v>0</v>
      </c>
      <c r="BD219" s="55">
        <f>IFERROR(__xludf.DUMMYFUNCTION("IMPORTRANGE(""1HNJqLCn0iE1rmX-zUpPAYeB7r9MThdnbvAt8g6e1Ong"",""2025-26!AA4"")"),0.0)</f>
        <v>0</v>
      </c>
      <c r="BE219" s="55">
        <f>IFERROR(__xludf.DUMMYFUNCTION("IMPORTRANGE(""1HNJqLCn0iE1rmX-zUpPAYeB7r9MThdnbvAt8g6e1Ong"",""2025-26!AA3"")"),0.0)</f>
        <v>0</v>
      </c>
      <c r="BF219" s="55">
        <f>IFERROR(__xludf.DUMMYFUNCTION("IMPORTRANGE(""1HNJqLCn0iE1rmX-zUpPAYeB7r9MThdnbvAt8g6e1Ong"",""2025-26!AB4"")"),0.0)</f>
        <v>0</v>
      </c>
      <c r="BG219" s="55">
        <f>IFERROR(__xludf.DUMMYFUNCTION("IMPORTRANGE(""1HNJqLCn0iE1rmX-zUpPAYeB7r9MThdnbvAt8g6e1Ong"",""2025-26!AB3"")"),0.0)</f>
        <v>0</v>
      </c>
      <c r="BH219" s="55">
        <f>IFERROR(__xludf.DUMMYFUNCTION("IMPORTRANGE(""1HNJqLCn0iE1rmX-zUpPAYeB7r9MThdnbvAt8g6e1Ong"",""2025-26!AC4"")"),0.0)</f>
        <v>0</v>
      </c>
      <c r="BI219" s="55">
        <f>IFERROR(__xludf.DUMMYFUNCTION("IMPORTRANGE(""1HNJqLCn0iE1rmX-zUpPAYeB7r9MThdnbvAt8g6e1Ong"",""2025-26!AC3"")"),0.0)</f>
        <v>0</v>
      </c>
      <c r="BJ219" s="59" t="str">
        <f t="shared" si="62"/>
        <v/>
      </c>
      <c r="BK219" s="55">
        <f>IFERROR(__xludf.DUMMYFUNCTION("IMPORTRANGE(""1HNJqLCn0iE1rmX-zUpPAYeB7r9MThdnbvAt8g6e1Ong"",""2025-26!AD4"")"),0.0)</f>
        <v>0</v>
      </c>
      <c r="BL219" s="55">
        <f>IFERROR(__xludf.DUMMYFUNCTION("IMPORTRANGE(""1HNJqLCn0iE1rmX-zUpPAYeB7r9MThdnbvAt8g6e1Ong"",""2025-26!AD3"")"),0.0)</f>
        <v>0</v>
      </c>
      <c r="BM219" s="55">
        <f>IFERROR(__xludf.DUMMYFUNCTION("IMPORTRANGE(""1HNJqLCn0iE1rmX-zUpPAYeB7r9MThdnbvAt8g6e1Ong"",""2025-26!AE4"")"),0.0)</f>
        <v>0</v>
      </c>
      <c r="BN219" s="55">
        <f>IFERROR(__xludf.DUMMYFUNCTION("IMPORTRANGE(""1HNJqLCn0iE1rmX-zUpPAYeB7r9MThdnbvAt8g6e1Ong"",""2025-26!AE3"")"),0.0)</f>
        <v>0</v>
      </c>
      <c r="BO219" s="55">
        <f>IFERROR(__xludf.DUMMYFUNCTION("IMPORTRANGE(""1HNJqLCn0iE1rmX-zUpPAYeB7r9MThdnbvAt8g6e1Ong"",""2025-26!AF4"")"),0.0)</f>
        <v>0</v>
      </c>
      <c r="BP219" s="55">
        <f>IFERROR(__xludf.DUMMYFUNCTION("IMPORTRANGE(""1HNJqLCn0iE1rmX-zUpPAYeB7r9MThdnbvAt8g6e1Ong"",""2025-26!AF3"")"),0.0)</f>
        <v>0</v>
      </c>
      <c r="BQ219" s="59" t="str">
        <f t="shared" si="63"/>
        <v/>
      </c>
      <c r="BR219" s="55">
        <f>IFERROR(__xludf.DUMMYFUNCTION("IMPORTRANGE(""1HNJqLCn0iE1rmX-zUpPAYeB7r9MThdnbvAt8g6e1Ong"",""2025-26!AG4"")"),0.0)</f>
        <v>0</v>
      </c>
      <c r="BS219" s="55">
        <f>IFERROR(__xludf.DUMMYFUNCTION("IMPORTRANGE(""1HNJqLCn0iE1rmX-zUpPAYeB7r9MThdnbvAt8g6e1Ong"",""2025-26!AG3"")"),0.0)</f>
        <v>0</v>
      </c>
      <c r="BT219" s="55">
        <f>IFERROR(__xludf.DUMMYFUNCTION("IMPORTRANGE(""1HNJqLCn0iE1rmX-zUpPAYeB7r9MThdnbvAt8g6e1Ong"",""2025-26!AH4"")"),0.0)</f>
        <v>0</v>
      </c>
      <c r="BU219" s="55">
        <f>IFERROR(__xludf.DUMMYFUNCTION("IMPORTRANGE(""1HNJqLCn0iE1rmX-zUpPAYeB7r9MThdnbvAt8g6e1Ong"",""2025-26!AH3"")"),0.0)</f>
        <v>0</v>
      </c>
      <c r="BV219" s="55">
        <f>IFERROR(__xludf.DUMMYFUNCTION("IMPORTRANGE(""1HNJqLCn0iE1rmX-zUpPAYeB7r9MThdnbvAt8g6e1Ong"",""2025-26!AI4"")"),0.0)</f>
        <v>0</v>
      </c>
      <c r="BW219" s="55">
        <f>IFERROR(__xludf.DUMMYFUNCTION("IMPORTRANGE(""1HNJqLCn0iE1rmX-zUpPAYeB7r9MThdnbvAt8g6e1Ong"",""2025-26!AI3"")"),0.0)</f>
        <v>0</v>
      </c>
      <c r="BX219" s="59" t="str">
        <f t="shared" si="64"/>
        <v/>
      </c>
      <c r="BY219" s="55">
        <f>IFERROR(__xludf.DUMMYFUNCTION("IMPORTRANGE(""1HNJqLCn0iE1rmX-zUpPAYeB7r9MThdnbvAt8g6e1Ong"",""2025-26!AJ4"")"),0.0)</f>
        <v>0</v>
      </c>
      <c r="BZ219" s="55">
        <f>IFERROR(__xludf.DUMMYFUNCTION("IMPORTRANGE(""1HNJqLCn0iE1rmX-zUpPAYeB7r9MThdnbvAt8g6e1Ong"",""2025-26!AJ3"")"),0.0)</f>
        <v>0</v>
      </c>
      <c r="CA219" s="55">
        <f>IFERROR(__xludf.DUMMYFUNCTION("IMPORTRANGE(""1HNJqLCn0iE1rmX-zUpPAYeB7r9MThdnbvAt8g6e1Ong"",""2025-26!AK4"")"),0.0)</f>
        <v>0</v>
      </c>
      <c r="CB219" s="55">
        <f>IFERROR(__xludf.DUMMYFUNCTION("IMPORTRANGE(""1HNJqLCn0iE1rmX-zUpPAYeB7r9MThdnbvAt8g6e1Ong"",""2025-26!AK3"")"),0.0)</f>
        <v>0</v>
      </c>
      <c r="CC219" s="55">
        <f>IFERROR(__xludf.DUMMYFUNCTION("IMPORTRANGE(""1HNJqLCn0iE1rmX-zUpPAYeB7r9MThdnbvAt8g6e1Ong"",""2025-26!AL4"")"),0.0)</f>
        <v>0</v>
      </c>
      <c r="CD219" s="55">
        <f>IFERROR(__xludf.DUMMYFUNCTION("IMPORTRANGE(""1HNJqLCn0iE1rmX-zUpPAYeB7r9MThdnbvAt8g6e1Ong"",""2025-26!AL3"")"),0.0)</f>
        <v>0</v>
      </c>
      <c r="CE219" s="59" t="str">
        <f t="shared" si="65"/>
        <v/>
      </c>
      <c r="CF219" s="55">
        <f>IFERROR(__xludf.DUMMYFUNCTION("IMPORTRANGE(""1HNJqLCn0iE1rmX-zUpPAYeB7r9MThdnbvAt8g6e1Ong"",""2025-26!AM4"")"),0.0)</f>
        <v>0</v>
      </c>
      <c r="CG219" s="55">
        <f>IFERROR(__xludf.DUMMYFUNCTION("IMPORTRANGE(""1HNJqLCn0iE1rmX-zUpPAYeB7r9MThdnbvAt8g6e1Ong"",""2025-26!AM3"")"),0.0)</f>
        <v>0</v>
      </c>
      <c r="CH219" s="55">
        <f>IFERROR(__xludf.DUMMYFUNCTION("IMPORTRANGE(""1HNJqLCn0iE1rmX-zUpPAYeB7r9MThdnbvAt8g6e1Ong"",""2025-26!AN4"")"),0.0)</f>
        <v>0</v>
      </c>
      <c r="CI219" s="55">
        <f>IFERROR(__xludf.DUMMYFUNCTION("IMPORTRANGE(""1HNJqLCn0iE1rmX-zUpPAYeB7r9MThdnbvAt8g6e1Ong"",""2025-26!AN3"")"),0.0)</f>
        <v>0</v>
      </c>
      <c r="CJ219" s="55">
        <f>IFERROR(__xludf.DUMMYFUNCTION("IMPORTRANGE(""1HNJqLCn0iE1rmX-zUpPAYeB7r9MThdnbvAt8g6e1Ong"",""2025-26!AO4"")"),0.0)</f>
        <v>0</v>
      </c>
      <c r="CK219" s="55">
        <f>IFERROR(__xludf.DUMMYFUNCTION("IMPORTRANGE(""1HNJqLCn0iE1rmX-zUpPAYeB7r9MThdnbvAt8g6e1Ong"",""2025-26!AO3"")"),0.0)</f>
        <v>0</v>
      </c>
      <c r="CL219" s="59" t="str">
        <f t="shared" si="66"/>
        <v/>
      </c>
      <c r="CM219" s="55">
        <f>IFERROR(__xludf.DUMMYFUNCTION("IMPORTRANGE(""1HNJqLCn0iE1rmX-zUpPAYeB7r9MThdnbvAt8g6e1Ong"",""2025-26!AP4"")"),0.0)</f>
        <v>0</v>
      </c>
      <c r="CN219" s="55">
        <f>IFERROR(__xludf.DUMMYFUNCTION("IMPORTRANGE(""1HNJqLCn0iE1rmX-zUpPAYeB7r9MThdnbvAt8g6e1Ong"",""2025-26!AP3"")"),0.0)</f>
        <v>0</v>
      </c>
      <c r="CO219" s="55">
        <f>IFERROR(__xludf.DUMMYFUNCTION("IMPORTRANGE(""1HNJqLCn0iE1rmX-zUpPAYeB7r9MThdnbvAt8g6e1Ong"",""2025-26!AQ4"")"),0.0)</f>
        <v>0</v>
      </c>
      <c r="CP219" s="55">
        <f>IFERROR(__xludf.DUMMYFUNCTION("IMPORTRANGE(""1HNJqLCn0iE1rmX-zUpPAYeB7r9MThdnbvAt8g6e1Ong"",""2025-26!AQ3"")"),0.0)</f>
        <v>0</v>
      </c>
      <c r="CQ219" s="55">
        <f>IFERROR(__xludf.DUMMYFUNCTION("IMPORTRANGE(""1HNJqLCn0iE1rmX-zUpPAYeB7r9MThdnbvAt8g6e1Ong"",""2025-26!AR4"")"),0.0)</f>
        <v>0</v>
      </c>
      <c r="CR219" s="55">
        <f>IFERROR(__xludf.DUMMYFUNCTION("IMPORTRANGE(""1HNJqLCn0iE1rmX-zUpPAYeB7r9MThdnbvAt8g6e1Ong"",""2025-26!AR3"")"),0.0)</f>
        <v>0</v>
      </c>
      <c r="CS219" s="59" t="str">
        <f t="shared" si="67"/>
        <v/>
      </c>
      <c r="CT219" s="55">
        <f>IFERROR(__xludf.DUMMYFUNCTION("IMPORTRANGE(""1HNJqLCn0iE1rmX-zUpPAYeB7r9MThdnbvAt8g6e1Ong"",""2025-26!AS4"")"),0.0)</f>
        <v>0</v>
      </c>
      <c r="CU219" s="55">
        <f>IFERROR(__xludf.DUMMYFUNCTION("IMPORTRANGE(""1HNJqLCn0iE1rmX-zUpPAYeB7r9MThdnbvAt8g6e1Ong"",""2025-26!AS3"")"),0.0)</f>
        <v>0</v>
      </c>
      <c r="CV219" s="60" t="s">
        <v>130</v>
      </c>
    </row>
    <row r="220">
      <c r="A220" s="133" t="s">
        <v>126</v>
      </c>
      <c r="B220" s="134" t="s">
        <v>127</v>
      </c>
      <c r="C220" s="154" t="s">
        <v>440</v>
      </c>
      <c r="D220" s="49" t="s">
        <v>441</v>
      </c>
      <c r="E220" s="50">
        <v>6.398877217E9</v>
      </c>
      <c r="F220" s="74">
        <v>45171.0</v>
      </c>
      <c r="G220" s="62"/>
      <c r="H220" s="62"/>
      <c r="I220" s="53">
        <f>VLOOKUP($C220,Data!$C:$BV,72,0)</f>
        <v>34090</v>
      </c>
      <c r="J220" s="57">
        <v>1000000.0</v>
      </c>
      <c r="K220" s="55">
        <f>IFERROR(__xludf.DUMMYFUNCTION("IMPORTRANGE(""1D2oevkluEW8r5qTWebuSv0eOQqTejmKy6Z7-JK4ne5Y"",""2025-26!A3"")"),31.0)</f>
        <v>31</v>
      </c>
      <c r="L220" s="55">
        <f>IFERROR(__xludf.DUMMYFUNCTION("IMPORTRANGE(""1D2oevkluEW8r5qTWebuSv0eOQqTejmKy6Z7-JK4ne5Y"",""2025-26!G4"")"),1.189E7)</f>
        <v>11890000</v>
      </c>
      <c r="M220" s="55">
        <f t="shared" si="93"/>
        <v>1056087.97</v>
      </c>
      <c r="N220" s="56">
        <f t="shared" si="94"/>
        <v>0.07886904962</v>
      </c>
      <c r="O220" s="57">
        <f t="shared" si="95"/>
        <v>937753</v>
      </c>
      <c r="P220" s="55">
        <f>IFERROR(__xludf.DUMMYFUNCTION("IMPORTRANGE(""1D2oevkluEW8r5qTWebuSv0eOQqTejmKy6Z7-JK4ne5Y"",""2025-26!J4"")"),991750.0)</f>
        <v>991750</v>
      </c>
      <c r="Q220" s="55">
        <f>IFERROR(__xludf.DUMMYFUNCTION("IMPORTRANGE(""1D2oevkluEW8r5qTWebuSv0eOQqTejmKy6Z7-JK4ne5Y"",""2025-26!J3"")"),24.0)</f>
        <v>24</v>
      </c>
      <c r="R220" s="55">
        <f>IFERROR(__xludf.DUMMYFUNCTION("IMPORTRANGE(""1D2oevkluEW8r5qTWebuSv0eOQqTejmKy6Z7-JK4ne5Y"",""2025-26!K4"")"),23350.82)</f>
        <v>23350.82</v>
      </c>
      <c r="S220" s="55">
        <f>IFERROR(__xludf.DUMMYFUNCTION("IMPORTRANGE(""1D2oevkluEW8r5qTWebuSv0eOQqTejmKy6Z7-JK4ne5Y"",""2025-26!K3"")"),2.0)</f>
        <v>2</v>
      </c>
      <c r="T220" s="58">
        <f t="shared" si="56"/>
        <v>0.02232417444</v>
      </c>
      <c r="U220" s="55">
        <f>IFERROR(__xludf.DUMMYFUNCTION("IMPORTRANGE(""1D2oevkluEW8r5qTWebuSv0eOQqTejmKy6Z7-JK4ne5Y"",""2025-26!L4"")"),22140.0)</f>
        <v>22140</v>
      </c>
      <c r="V220" s="55">
        <f>IFERROR(__xludf.DUMMYFUNCTION("IMPORTRANGE(""1D2oevkluEW8r5qTWebuSv0eOQqTejmKy6Z7-JK4ne5Y"",""2025-26!L3"")"),2.0)</f>
        <v>2</v>
      </c>
      <c r="W220" s="55">
        <f>IFERROR(__xludf.DUMMYFUNCTION("IMPORTRANGE(""1D2oevkluEW8r5qTWebuSv0eOQqTejmKy6Z7-JK4ne5Y"",""2025-26!m4"")"),992166.0)</f>
        <v>992166</v>
      </c>
      <c r="X220" s="55">
        <f>IFERROR(__xludf.DUMMYFUNCTION("IMPORTRANGE(""1D2oevkluEW8r5qTWebuSv0eOQqTejmKy6Z7-JK4ne5Y"",""2025-26!m3"")"),24.0)</f>
        <v>24</v>
      </c>
      <c r="Y220" s="55">
        <f>IFERROR(__xludf.DUMMYFUNCTION("IMPORTRANGE(""1D2oevkluEW8r5qTWebuSv0eOQqTejmKy6Z7-JK4ne5Y"",""2025-26!N4"")"),145704.2)</f>
        <v>145704.2</v>
      </c>
      <c r="Z220" s="55">
        <f>IFERROR(__xludf.DUMMYFUNCTION("IMPORTRANGE(""1D2oevkluEW8r5qTWebuSv0eOQqTejmKy6Z7-JK4ne5Y"",""2025-26!N3"")"),5.0)</f>
        <v>5</v>
      </c>
      <c r="AA220" s="58">
        <f t="shared" si="57"/>
        <v>0.1417565206</v>
      </c>
      <c r="AB220" s="55">
        <f>IFERROR(__xludf.DUMMYFUNCTION("IMPORTRANGE(""1D2oevkluEW8r5qTWebuSv0eOQqTejmKy6Z7-JK4ne5Y"",""2025-26!O4"")"),140646.0)</f>
        <v>140646</v>
      </c>
      <c r="AC220" s="55">
        <f>IFERROR(__xludf.DUMMYFUNCTION("IMPORTRANGE(""1D2oevkluEW8r5qTWebuSv0eOQqTejmKy6Z7-JK4ne5Y"",""2025-26!O3"")"),5.0)</f>
        <v>5</v>
      </c>
      <c r="AD220" s="55">
        <f>IFERROR(__xludf.DUMMYFUNCTION("IMPORTRANGE(""1D2oevkluEW8r5qTWebuSv0eOQqTejmKy6Z7-JK4ne5Y"",""2025-26!P4"")"),990085.0)</f>
        <v>990085</v>
      </c>
      <c r="AE220" s="55">
        <f>IFERROR(__xludf.DUMMYFUNCTION("IMPORTRANGE(""1D2oevkluEW8r5qTWebuSv0eOQqTejmKy6Z7-JK4ne5Y"",""2025-26!P3"")"),24.0)</f>
        <v>24</v>
      </c>
      <c r="AF220" s="55">
        <f>IFERROR(__xludf.DUMMYFUNCTION("IMPORTRANGE(""1D2oevkluEW8r5qTWebuSv0eOQqTejmKy6Z7-JK4ne5Y"",""2025-26!Q4"")"),183638.23)</f>
        <v>183638.23</v>
      </c>
      <c r="AG220" s="55">
        <f>IFERROR(__xludf.DUMMYFUNCTION("IMPORTRANGE(""1D2oevkluEW8r5qTWebuSv0eOQqTejmKy6Z7-JK4ne5Y"",""2025-26!Q3"")"),6.0)</f>
        <v>6</v>
      </c>
      <c r="AH220" s="58">
        <f t="shared" si="58"/>
        <v>0.1833024437</v>
      </c>
      <c r="AI220" s="55">
        <f>IFERROR(__xludf.DUMMYFUNCTION("IMPORTRANGE(""1D2oevkluEW8r5qTWebuSv0eOQqTejmKy6Z7-JK4ne5Y"",""2025-26!R4"")"),181485.0)</f>
        <v>181485</v>
      </c>
      <c r="AJ220" s="55">
        <f>IFERROR(__xludf.DUMMYFUNCTION("IMPORTRANGE(""1D2oevkluEW8r5qTWebuSv0eOQqTejmKy6Z7-JK4ne5Y"",""2025-26!R3"")"),6.0)</f>
        <v>6</v>
      </c>
      <c r="AK220" s="55">
        <f>IFERROR(__xludf.DUMMYFUNCTION("IMPORTRANGE(""1D2oevkluEW8r5qTWebuSv0eOQqTejmKy6Z7-JK4ne5Y"",""2025-26!S4"")"),1000000.0)</f>
        <v>1000000</v>
      </c>
      <c r="AL220" s="55">
        <f>IFERROR(__xludf.DUMMYFUNCTION("IMPORTRANGE(""1D2oevkluEW8r5qTWebuSv0eOQqTejmKy6Z7-JK4ne5Y"",""2025-26!S3"")"),23.0)</f>
        <v>23</v>
      </c>
      <c r="AM220" s="55">
        <f>IFERROR(__xludf.DUMMYFUNCTION("IMPORTRANGE(""1D2oevkluEW8r5qTWebuSv0eOQqTejmKy6Z7-JK4ne5Y"",""2025-26!T4"")"),235072.67999999996)</f>
        <v>235072.68</v>
      </c>
      <c r="AN220" s="55">
        <f>IFERROR(__xludf.DUMMYFUNCTION("IMPORTRANGE(""1D2oevkluEW8r5qTWebuSv0eOQqTejmKy6Z7-JK4ne5Y"",""2025-26!T3"")"),9.0)</f>
        <v>9</v>
      </c>
      <c r="AO220" s="58">
        <f t="shared" si="59"/>
        <v>0.231104</v>
      </c>
      <c r="AP220" s="55">
        <f>IFERROR(__xludf.DUMMYFUNCTION("IMPORTRANGE(""1D2oevkluEW8r5qTWebuSv0eOQqTejmKy6Z7-JK4ne5Y"",""2025-26!U4"")"),231104.0)</f>
        <v>231104</v>
      </c>
      <c r="AQ220" s="55">
        <f>IFERROR(__xludf.DUMMYFUNCTION("IMPORTRANGE(""1D2oevkluEW8r5qTWebuSv0eOQqTejmKy6Z7-JK4ne5Y"",""2025-26!U3"")"),9.0)</f>
        <v>9</v>
      </c>
      <c r="AR220" s="55">
        <f>IFERROR(__xludf.DUMMYFUNCTION("IMPORTRANGE(""1D2oevkluEW8r5qTWebuSv0eOQqTejmKy6Z7-JK4ne5Y"",""2025-26!V4"")"),1000000.0)</f>
        <v>1000000</v>
      </c>
      <c r="AS220" s="55">
        <f>IFERROR(__xludf.DUMMYFUNCTION("IMPORTRANGE(""1D2oevkluEW8r5qTWebuSv0eOQqTejmKy6Z7-JK4ne5Y"",""2025-26!V3"")"),23.0)</f>
        <v>23</v>
      </c>
      <c r="AT220" s="55">
        <f>IFERROR(__xludf.DUMMYFUNCTION("IMPORTRANGE(""1D2oevkluEW8r5qTWebuSv0eOQqTejmKy6Z7-JK4ne5Y"",""2025-26!W4"")"),221135.44000000003)</f>
        <v>221135.44</v>
      </c>
      <c r="AU220" s="55">
        <f>IFERROR(__xludf.DUMMYFUNCTION("IMPORTRANGE(""1D2oevkluEW8r5qTWebuSv0eOQqTejmKy6Z7-JK4ne5Y"",""2025-26!W3"")"),10.0)</f>
        <v>10</v>
      </c>
      <c r="AV220" s="58">
        <f t="shared" si="60"/>
        <v>0.210787</v>
      </c>
      <c r="AW220" s="55">
        <f>IFERROR(__xludf.DUMMYFUNCTION("IMPORTRANGE(""1D2oevkluEW8r5qTWebuSv0eOQqTejmKy6Z7-JK4ne5Y"",""2025-26!X4"")"),210787.0)</f>
        <v>210787</v>
      </c>
      <c r="AX220" s="55">
        <f>IFERROR(__xludf.DUMMYFUNCTION("IMPORTRANGE(""1D2oevkluEW8r5qTWebuSv0eOQqTejmKy6Z7-JK4ne5Y"",""2025-26!X3"")"),10.0)</f>
        <v>10</v>
      </c>
      <c r="AY220" s="55">
        <f>IFERROR(__xludf.DUMMYFUNCTION("IMPORTRANGE(""1D2oevkluEW8r5qTWebuSv0eOQqTejmKy6Z7-JK4ne5Y"",""2025-26!Y4"")"),1000000.0)</f>
        <v>1000000</v>
      </c>
      <c r="AZ220" s="55">
        <f>IFERROR(__xludf.DUMMYFUNCTION("IMPORTRANGE(""1D2oevkluEW8r5qTWebuSv0eOQqTejmKy6Z7-JK4ne5Y"",""2025-26!Y3"")"),23.0)</f>
        <v>23</v>
      </c>
      <c r="BA220" s="55">
        <f>IFERROR(__xludf.DUMMYFUNCTION("IMPORTRANGE(""1D2oevkluEW8r5qTWebuSv0eOQqTejmKy6Z7-JK4ne5Y"",""2025-26!Z4"")"),151709.54)</f>
        <v>151709.54</v>
      </c>
      <c r="BB220" s="55">
        <f>IFERROR(__xludf.DUMMYFUNCTION("IMPORTRANGE(""1D2oevkluEW8r5qTWebuSv0eOQqTejmKy6Z7-JK4ne5Y"",""2025-26!Z3"")"),9.0)</f>
        <v>9</v>
      </c>
      <c r="BC220" s="59">
        <f t="shared" si="61"/>
        <v>0.151591</v>
      </c>
      <c r="BD220" s="55">
        <f>IFERROR(__xludf.DUMMYFUNCTION("IMPORTRANGE(""1D2oevkluEW8r5qTWebuSv0eOQqTejmKy6Z7-JK4ne5Y"",""2025-26!AA4"")"),151591.0)</f>
        <v>151591</v>
      </c>
      <c r="BE220" s="55">
        <f>IFERROR(__xludf.DUMMYFUNCTION("IMPORTRANGE(""1D2oevkluEW8r5qTWebuSv0eOQqTejmKy6Z7-JK4ne5Y"",""2025-26!AA3"")"),9.0)</f>
        <v>9</v>
      </c>
      <c r="BF220" s="55">
        <f>IFERROR(__xludf.DUMMYFUNCTION("IMPORTRANGE(""1D2oevkluEW8r5qTWebuSv0eOQqTejmKy6Z7-JK4ne5Y"",""2025-26!AB4"")"),1000000.0)</f>
        <v>1000000</v>
      </c>
      <c r="BG220" s="55">
        <f>IFERROR(__xludf.DUMMYFUNCTION("IMPORTRANGE(""1D2oevkluEW8r5qTWebuSv0eOQqTejmKy6Z7-JK4ne5Y"",""2025-26!AB3"")"),24.0)</f>
        <v>24</v>
      </c>
      <c r="BH220" s="55">
        <f>IFERROR(__xludf.DUMMYFUNCTION("IMPORTRANGE(""1D2oevkluEW8r5qTWebuSv0eOQqTejmKy6Z7-JK4ne5Y"",""2025-26!AC4"")"),66996.47)</f>
        <v>66996.47</v>
      </c>
      <c r="BI220" s="55">
        <f>IFERROR(__xludf.DUMMYFUNCTION("IMPORTRANGE(""1D2oevkluEW8r5qTWebuSv0eOQqTejmKy6Z7-JK4ne5Y"",""2025-26!AC3"")"),5.0)</f>
        <v>5</v>
      </c>
      <c r="BJ220" s="59">
        <f t="shared" si="62"/>
        <v>0</v>
      </c>
      <c r="BK220" s="55">
        <f>IFERROR(__xludf.DUMMYFUNCTION("IMPORTRANGE(""1D2oevkluEW8r5qTWebuSv0eOQqTejmKy6Z7-JK4ne5Y"",""2025-26!AD4"")"),0.0)</f>
        <v>0</v>
      </c>
      <c r="BL220" s="55">
        <f>IFERROR(__xludf.DUMMYFUNCTION("IMPORTRANGE(""1D2oevkluEW8r5qTWebuSv0eOQqTejmKy6Z7-JK4ne5Y"",""2025-26!AD3"")"),0.0)</f>
        <v>0</v>
      </c>
      <c r="BM220" s="55">
        <f>IFERROR(__xludf.DUMMYFUNCTION("IMPORTRANGE(""1D2oevkluEW8r5qTWebuSv0eOQqTejmKy6Z7-JK4ne5Y"",""2025-26!AE4"")"),1000000.0)</f>
        <v>1000000</v>
      </c>
      <c r="BN220" s="55">
        <f>IFERROR(__xludf.DUMMYFUNCTION("IMPORTRANGE(""1D2oevkluEW8r5qTWebuSv0eOQqTejmKy6Z7-JK4ne5Y"",""2025-26!AE3"")"),24.0)</f>
        <v>24</v>
      </c>
      <c r="BO220" s="55">
        <f>IFERROR(__xludf.DUMMYFUNCTION("IMPORTRANGE(""1D2oevkluEW8r5qTWebuSv0eOQqTejmKy6Z7-JK4ne5Y"",""2025-26!AF4"")"),28480.59)</f>
        <v>28480.59</v>
      </c>
      <c r="BP220" s="55">
        <f>IFERROR(__xludf.DUMMYFUNCTION("IMPORTRANGE(""1D2oevkluEW8r5qTWebuSv0eOQqTejmKy6Z7-JK4ne5Y"",""2025-26!AF3"")"),2.0)</f>
        <v>2</v>
      </c>
      <c r="BQ220" s="59">
        <f t="shared" si="63"/>
        <v>0</v>
      </c>
      <c r="BR220" s="55">
        <f>IFERROR(__xludf.DUMMYFUNCTION("IMPORTRANGE(""1D2oevkluEW8r5qTWebuSv0eOQqTejmKy6Z7-JK4ne5Y"",""2025-26!AG4"")"),0.0)</f>
        <v>0</v>
      </c>
      <c r="BS220" s="55">
        <f>IFERROR(__xludf.DUMMYFUNCTION("IMPORTRANGE(""1D2oevkluEW8r5qTWebuSv0eOQqTejmKy6Z7-JK4ne5Y"",""2025-26!AG3"")"),0.0)</f>
        <v>0</v>
      </c>
      <c r="BT220" s="55">
        <f>IFERROR(__xludf.DUMMYFUNCTION("IMPORTRANGE(""1D2oevkluEW8r5qTWebuSv0eOQqTejmKy6Z7-JK4ne5Y"",""2025-26!AH4"")"),1000000.0)</f>
        <v>1000000</v>
      </c>
      <c r="BU220" s="55">
        <f>IFERROR(__xludf.DUMMYFUNCTION("IMPORTRANGE(""1D2oevkluEW8r5qTWebuSv0eOQqTejmKy6Z7-JK4ne5Y"",""2025-26!AH3"")"),24.0)</f>
        <v>24</v>
      </c>
      <c r="BV220" s="55">
        <f>IFERROR(__xludf.DUMMYFUNCTION("IMPORTRANGE(""1D2oevkluEW8r5qTWebuSv0eOQqTejmKy6Z7-JK4ne5Y"",""2025-26!AI4"")"),0.0)</f>
        <v>0</v>
      </c>
      <c r="BW220" s="55">
        <f>IFERROR(__xludf.DUMMYFUNCTION("IMPORTRANGE(""1D2oevkluEW8r5qTWebuSv0eOQqTejmKy6Z7-JK4ne5Y"",""2025-26!AI3"")"),0.0)</f>
        <v>0</v>
      </c>
      <c r="BX220" s="59">
        <f t="shared" si="64"/>
        <v>0</v>
      </c>
      <c r="BY220" s="55">
        <f>IFERROR(__xludf.DUMMYFUNCTION("IMPORTRANGE(""1D2oevkluEW8r5qTWebuSv0eOQqTejmKy6Z7-JK4ne5Y"",""2025-26!AJ4"")"),0.0)</f>
        <v>0</v>
      </c>
      <c r="BZ220" s="55">
        <f>IFERROR(__xludf.DUMMYFUNCTION("IMPORTRANGE(""1D2oevkluEW8r5qTWebuSv0eOQqTejmKy6Z7-JK4ne5Y"",""2025-26!AJ3"")"),0.0)</f>
        <v>0</v>
      </c>
      <c r="CA220" s="55">
        <f>IFERROR(__xludf.DUMMYFUNCTION("IMPORTRANGE(""1D2oevkluEW8r5qTWebuSv0eOQqTejmKy6Z7-JK4ne5Y"",""2025-26!AK4"")"),0.0)</f>
        <v>0</v>
      </c>
      <c r="CB220" s="55">
        <f>IFERROR(__xludf.DUMMYFUNCTION("IMPORTRANGE(""1D2oevkluEW8r5qTWebuSv0eOQqTejmKy6Z7-JK4ne5Y"",""2025-26!AK3"")"),0.0)</f>
        <v>0</v>
      </c>
      <c r="CC220" s="55">
        <f>IFERROR(__xludf.DUMMYFUNCTION("IMPORTRANGE(""1D2oevkluEW8r5qTWebuSv0eOQqTejmKy6Z7-JK4ne5Y"",""2025-26!AL4"")"),0.0)</f>
        <v>0</v>
      </c>
      <c r="CD220" s="55">
        <f>IFERROR(__xludf.DUMMYFUNCTION("IMPORTRANGE(""1D2oevkluEW8r5qTWebuSv0eOQqTejmKy6Z7-JK4ne5Y"",""2025-26!AL3"")"),0.0)</f>
        <v>0</v>
      </c>
      <c r="CE220" s="59" t="str">
        <f t="shared" si="65"/>
        <v/>
      </c>
      <c r="CF220" s="55">
        <f>IFERROR(__xludf.DUMMYFUNCTION("IMPORTRANGE(""1D2oevkluEW8r5qTWebuSv0eOQqTejmKy6Z7-JK4ne5Y"",""2025-26!AM4"")"),0.0)</f>
        <v>0</v>
      </c>
      <c r="CG220" s="55">
        <f>IFERROR(__xludf.DUMMYFUNCTION("IMPORTRANGE(""1D2oevkluEW8r5qTWebuSv0eOQqTejmKy6Z7-JK4ne5Y"",""2025-26!AM3"")"),0.0)</f>
        <v>0</v>
      </c>
      <c r="CH220" s="55">
        <f>IFERROR(__xludf.DUMMYFUNCTION("IMPORTRANGE(""1D2oevkluEW8r5qTWebuSv0eOQqTejmKy6Z7-JK4ne5Y"",""2025-26!AN4"")"),0.0)</f>
        <v>0</v>
      </c>
      <c r="CI220" s="55">
        <f>IFERROR(__xludf.DUMMYFUNCTION("IMPORTRANGE(""1D2oevkluEW8r5qTWebuSv0eOQqTejmKy6Z7-JK4ne5Y"",""2025-26!AN3"")"),0.0)</f>
        <v>0</v>
      </c>
      <c r="CJ220" s="55">
        <f>IFERROR(__xludf.DUMMYFUNCTION("IMPORTRANGE(""1D2oevkluEW8r5qTWebuSv0eOQqTejmKy6Z7-JK4ne5Y"",""2025-26!AO4"")"),0.0)</f>
        <v>0</v>
      </c>
      <c r="CK220" s="55">
        <f>IFERROR(__xludf.DUMMYFUNCTION("IMPORTRANGE(""1D2oevkluEW8r5qTWebuSv0eOQqTejmKy6Z7-JK4ne5Y"",""2025-26!AO3"")"),0.0)</f>
        <v>0</v>
      </c>
      <c r="CL220" s="59" t="str">
        <f t="shared" si="66"/>
        <v/>
      </c>
      <c r="CM220" s="55">
        <f>IFERROR(__xludf.DUMMYFUNCTION("IMPORTRANGE(""1D2oevkluEW8r5qTWebuSv0eOQqTejmKy6Z7-JK4ne5Y"",""2025-26!AP4"")"),0.0)</f>
        <v>0</v>
      </c>
      <c r="CN220" s="55">
        <f>IFERROR(__xludf.DUMMYFUNCTION("IMPORTRANGE(""1D2oevkluEW8r5qTWebuSv0eOQqTejmKy6Z7-JK4ne5Y"",""2025-26!AP3"")"),0.0)</f>
        <v>0</v>
      </c>
      <c r="CO220" s="55">
        <f>IFERROR(__xludf.DUMMYFUNCTION("IMPORTRANGE(""1D2oevkluEW8r5qTWebuSv0eOQqTejmKy6Z7-JK4ne5Y"",""2025-26!AQ4"")"),0.0)</f>
        <v>0</v>
      </c>
      <c r="CP220" s="55">
        <f>IFERROR(__xludf.DUMMYFUNCTION("IMPORTRANGE(""1D2oevkluEW8r5qTWebuSv0eOQqTejmKy6Z7-JK4ne5Y"",""2025-26!AQ3"")"),0.0)</f>
        <v>0</v>
      </c>
      <c r="CQ220" s="55">
        <f>IFERROR(__xludf.DUMMYFUNCTION("IMPORTRANGE(""1D2oevkluEW8r5qTWebuSv0eOQqTejmKy6Z7-JK4ne5Y"",""2025-26!AR4"")"),0.0)</f>
        <v>0</v>
      </c>
      <c r="CR220" s="55">
        <f>IFERROR(__xludf.DUMMYFUNCTION("IMPORTRANGE(""1D2oevkluEW8r5qTWebuSv0eOQqTejmKy6Z7-JK4ne5Y"",""2025-26!AR3"")"),0.0)</f>
        <v>0</v>
      </c>
      <c r="CS220" s="59" t="str">
        <f t="shared" si="67"/>
        <v/>
      </c>
      <c r="CT220" s="55">
        <f>IFERROR(__xludf.DUMMYFUNCTION("IMPORTRANGE(""1D2oevkluEW8r5qTWebuSv0eOQqTejmKy6Z7-JK4ne5Y"",""2025-26!AS4"")"),0.0)</f>
        <v>0</v>
      </c>
      <c r="CU220" s="55">
        <f>IFERROR(__xludf.DUMMYFUNCTION("IMPORTRANGE(""1D2oevkluEW8r5qTWebuSv0eOQqTejmKy6Z7-JK4ne5Y"",""2025-26!AS3"")"),0.0)</f>
        <v>0</v>
      </c>
      <c r="CV220" s="60" t="s">
        <v>130</v>
      </c>
    </row>
    <row r="221">
      <c r="A221" s="133" t="s">
        <v>126</v>
      </c>
      <c r="B221" s="134" t="s">
        <v>127</v>
      </c>
      <c r="C221" s="155" t="s">
        <v>442</v>
      </c>
      <c r="D221" s="49" t="s">
        <v>443</v>
      </c>
      <c r="E221" s="50">
        <v>9.691461665E9</v>
      </c>
      <c r="F221" s="100">
        <v>45467.0</v>
      </c>
      <c r="G221" s="62"/>
      <c r="H221" s="62"/>
      <c r="I221" s="53">
        <f>VLOOKUP($C221,Data!$C:$BV,72,0)</f>
        <v>27260</v>
      </c>
      <c r="J221" s="54">
        <v>1666667.0</v>
      </c>
      <c r="K221" s="55">
        <f>IFERROR(__xludf.DUMMYFUNCTION("IMPORTRANGE(""1zJPk0T85pT-shVevHB_u0CNcXJxfeLvBi3CeABCxKEs"",""2025-26!A3"")"),48.0)</f>
        <v>48</v>
      </c>
      <c r="L221" s="55">
        <f>IFERROR(__xludf.DUMMYFUNCTION("IMPORTRANGE(""1zJPk0T85pT-shVevHB_u0CNcXJxfeLvBi3CeABCxKEs"",""2025-26!G4"")"),1.91E7)</f>
        <v>19100000</v>
      </c>
      <c r="M221" s="55">
        <f t="shared" si="93"/>
        <v>4918934.425</v>
      </c>
      <c r="N221" s="56">
        <f t="shared" si="94"/>
        <v>0.2469095288</v>
      </c>
      <c r="O221" s="57">
        <f t="shared" si="95"/>
        <v>4715972</v>
      </c>
      <c r="P221" s="55">
        <f>IFERROR(__xludf.DUMMYFUNCTION("IMPORTRANGE(""1zJPk0T85pT-shVevHB_u0CNcXJxfeLvBi3CeABCxKEs"",""2025-26!J4"")"),1498506.0)</f>
        <v>1498506</v>
      </c>
      <c r="Q221" s="55">
        <f>IFERROR(__xludf.DUMMYFUNCTION("IMPORTRANGE(""1zJPk0T85pT-shVevHB_u0CNcXJxfeLvBi3CeABCxKEs"",""2025-26!J3"")"),44.0)</f>
        <v>44</v>
      </c>
      <c r="R221" s="55">
        <f>IFERROR(__xludf.DUMMYFUNCTION("IMPORTRANGE(""1zJPk0T85pT-shVevHB_u0CNcXJxfeLvBi3CeABCxKEs"",""2025-26!K4"")"),241245.5)</f>
        <v>241245.5</v>
      </c>
      <c r="S221" s="55">
        <f>IFERROR(__xludf.DUMMYFUNCTION("IMPORTRANGE(""1zJPk0T85pT-shVevHB_u0CNcXJxfeLvBi3CeABCxKEs"",""2025-26!K3"")"),7.0)</f>
        <v>7</v>
      </c>
      <c r="T221" s="58">
        <f t="shared" si="56"/>
        <v>0.1609910137</v>
      </c>
      <c r="U221" s="55">
        <f>IFERROR(__xludf.DUMMYFUNCTION("IMPORTRANGE(""1zJPk0T85pT-shVevHB_u0CNcXJxfeLvBi3CeABCxKEs"",""2025-26!L4"")"),241246.0)</f>
        <v>241246</v>
      </c>
      <c r="V221" s="55">
        <f>IFERROR(__xludf.DUMMYFUNCTION("IMPORTRANGE(""1zJPk0T85pT-shVevHB_u0CNcXJxfeLvBi3CeABCxKEs"",""2025-26!L3"")"),7.0)</f>
        <v>7</v>
      </c>
      <c r="W221" s="55">
        <f>IFERROR(__xludf.DUMMYFUNCTION("IMPORTRANGE(""1zJPk0T85pT-shVevHB_u0CNcXJxfeLvBi3CeABCxKEs"",""2025-26!m4"")"),1498506.0)</f>
        <v>1498506</v>
      </c>
      <c r="X221" s="55">
        <f>IFERROR(__xludf.DUMMYFUNCTION("IMPORTRANGE(""1zJPk0T85pT-shVevHB_u0CNcXJxfeLvBi3CeABCxKEs"",""2025-26!m3"")"),44.0)</f>
        <v>44</v>
      </c>
      <c r="Y221" s="55">
        <f>IFERROR(__xludf.DUMMYFUNCTION("IMPORTRANGE(""1zJPk0T85pT-shVevHB_u0CNcXJxfeLvBi3CeABCxKEs"",""2025-26!N4"")"),457325.82)</f>
        <v>457325.82</v>
      </c>
      <c r="Z221" s="55">
        <f>IFERROR(__xludf.DUMMYFUNCTION("IMPORTRANGE(""1zJPk0T85pT-shVevHB_u0CNcXJxfeLvBi3CeABCxKEs"",""2025-26!N3"")"),17.0)</f>
        <v>17</v>
      </c>
      <c r="AA221" s="58">
        <f t="shared" si="57"/>
        <v>0.3051893019</v>
      </c>
      <c r="AB221" s="55">
        <f>IFERROR(__xludf.DUMMYFUNCTION("IMPORTRANGE(""1zJPk0T85pT-shVevHB_u0CNcXJxfeLvBi3CeABCxKEs"",""2025-26!O4"")"),457328.0)</f>
        <v>457328</v>
      </c>
      <c r="AC221" s="55">
        <f>IFERROR(__xludf.DUMMYFUNCTION("IMPORTRANGE(""1zJPk0T85pT-shVevHB_u0CNcXJxfeLvBi3CeABCxKEs"",""2025-26!O3"")"),17.0)</f>
        <v>17</v>
      </c>
      <c r="AD221" s="55">
        <f>IFERROR(__xludf.DUMMYFUNCTION("IMPORTRANGE(""1zJPk0T85pT-shVevHB_u0CNcXJxfeLvBi3CeABCxKEs"",""2025-26!P4"")"),1498506.0)</f>
        <v>1498506</v>
      </c>
      <c r="AE221" s="55">
        <f>IFERROR(__xludf.DUMMYFUNCTION("IMPORTRANGE(""1zJPk0T85pT-shVevHB_u0CNcXJxfeLvBi3CeABCxKEs"",""2025-26!P3"")"),44.0)</f>
        <v>44</v>
      </c>
      <c r="AF221" s="55">
        <f>IFERROR(__xludf.DUMMYFUNCTION("IMPORTRANGE(""1zJPk0T85pT-shVevHB_u0CNcXJxfeLvBi3CeABCxKEs"",""2025-26!Q4"")"),752742.3654199216)</f>
        <v>752742.3654</v>
      </c>
      <c r="AG221" s="55">
        <f>IFERROR(__xludf.DUMMYFUNCTION("IMPORTRANGE(""1zJPk0T85pT-shVevHB_u0CNcXJxfeLvBi3CeABCxKEs"",""2025-26!Q3"")"),19.0)</f>
        <v>19</v>
      </c>
      <c r="AH221" s="58">
        <f t="shared" si="58"/>
        <v>0.5023296537</v>
      </c>
      <c r="AI221" s="55">
        <f>IFERROR(__xludf.DUMMYFUNCTION("IMPORTRANGE(""1zJPk0T85pT-shVevHB_u0CNcXJxfeLvBi3CeABCxKEs"",""2025-26!R4"")"),752744.0)</f>
        <v>752744</v>
      </c>
      <c r="AJ221" s="55">
        <f>IFERROR(__xludf.DUMMYFUNCTION("IMPORTRANGE(""1zJPk0T85pT-shVevHB_u0CNcXJxfeLvBi3CeABCxKEs"",""2025-26!R3"")"),19.0)</f>
        <v>19</v>
      </c>
      <c r="AK221" s="55">
        <f>IFERROR(__xludf.DUMMYFUNCTION("IMPORTRANGE(""1zJPk0T85pT-shVevHB_u0CNcXJxfeLvBi3CeABCxKEs"",""2025-26!S4"")"),1525011.0)</f>
        <v>1525011</v>
      </c>
      <c r="AL221" s="55">
        <f>IFERROR(__xludf.DUMMYFUNCTION("IMPORTRANGE(""1zJPk0T85pT-shVevHB_u0CNcXJxfeLvBi3CeABCxKEs"",""2025-26!S3"")"),47.0)</f>
        <v>47</v>
      </c>
      <c r="AM221" s="55">
        <f>IFERROR(__xludf.DUMMYFUNCTION("IMPORTRANGE(""1zJPk0T85pT-shVevHB_u0CNcXJxfeLvBi3CeABCxKEs"",""2025-26!T4"")"),380242.82)</f>
        <v>380242.82</v>
      </c>
      <c r="AN221" s="55">
        <f>IFERROR(__xludf.DUMMYFUNCTION("IMPORTRANGE(""1zJPk0T85pT-shVevHB_u0CNcXJxfeLvBi3CeABCxKEs"",""2025-26!T3"")"),7.0)</f>
        <v>7</v>
      </c>
      <c r="AO221" s="58">
        <f t="shared" si="59"/>
        <v>0.2269636088</v>
      </c>
      <c r="AP221" s="55">
        <f>IFERROR(__xludf.DUMMYFUNCTION("IMPORTRANGE(""1zJPk0T85pT-shVevHB_u0CNcXJxfeLvBi3CeABCxKEs"",""2025-26!U4"")"),346122.0)</f>
        <v>346122</v>
      </c>
      <c r="AQ221" s="55">
        <f>IFERROR(__xludf.DUMMYFUNCTION("IMPORTRANGE(""1zJPk0T85pT-shVevHB_u0CNcXJxfeLvBi3CeABCxKEs"",""2025-26!U3"")"),6.0)</f>
        <v>6</v>
      </c>
      <c r="AR221" s="55">
        <f>IFERROR(__xludf.DUMMYFUNCTION("IMPORTRANGE(""1zJPk0T85pT-shVevHB_u0CNcXJxfeLvBi3CeABCxKEs"",""2025-26!V4"")"),1525011.0)</f>
        <v>1525011</v>
      </c>
      <c r="AS221" s="55">
        <f>IFERROR(__xludf.DUMMYFUNCTION("IMPORTRANGE(""1zJPk0T85pT-shVevHB_u0CNcXJxfeLvBi3CeABCxKEs"",""2025-26!V3"")"),47.0)</f>
        <v>47</v>
      </c>
      <c r="AT221" s="55">
        <f>IFERROR(__xludf.DUMMYFUNCTION("IMPORTRANGE(""1zJPk0T85pT-shVevHB_u0CNcXJxfeLvBi3CeABCxKEs"",""2025-26!W4"")"),522307.24)</f>
        <v>522307.24</v>
      </c>
      <c r="AU221" s="55">
        <f>IFERROR(__xludf.DUMMYFUNCTION("IMPORTRANGE(""1zJPk0T85pT-shVevHB_u0CNcXJxfeLvBi3CeABCxKEs"",""2025-26!W3"")"),12.0)</f>
        <v>12</v>
      </c>
      <c r="AV221" s="58">
        <f t="shared" si="60"/>
        <v>0.3412073749</v>
      </c>
      <c r="AW221" s="55">
        <f>IFERROR(__xludf.DUMMYFUNCTION("IMPORTRANGE(""1zJPk0T85pT-shVevHB_u0CNcXJxfeLvBi3CeABCxKEs"",""2025-26!X4"")"),520345.0)</f>
        <v>520345</v>
      </c>
      <c r="AX221" s="55">
        <f>IFERROR(__xludf.DUMMYFUNCTION("IMPORTRANGE(""1zJPk0T85pT-shVevHB_u0CNcXJxfeLvBi3CeABCxKEs"",""2025-26!X3"")"),12.0)</f>
        <v>12</v>
      </c>
      <c r="AY221" s="55">
        <f>IFERROR(__xludf.DUMMYFUNCTION("IMPORTRANGE(""1zJPk0T85pT-shVevHB_u0CNcXJxfeLvBi3CeABCxKEs"",""2025-26!Y4"")"),1525011.0)</f>
        <v>1525011</v>
      </c>
      <c r="AZ221" s="55">
        <f>IFERROR(__xludf.DUMMYFUNCTION("IMPORTRANGE(""1zJPk0T85pT-shVevHB_u0CNcXJxfeLvBi3CeABCxKEs"",""2025-26!Y3"")"),47.0)</f>
        <v>47</v>
      </c>
      <c r="BA221" s="55">
        <f>IFERROR(__xludf.DUMMYFUNCTION("IMPORTRANGE(""1zJPk0T85pT-shVevHB_u0CNcXJxfeLvBi3CeABCxKEs"",""2025-26!Z4"")"),762771.14)</f>
        <v>762771.14</v>
      </c>
      <c r="BB221" s="55">
        <f>IFERROR(__xludf.DUMMYFUNCTION("IMPORTRANGE(""1zJPk0T85pT-shVevHB_u0CNcXJxfeLvBi3CeABCxKEs"",""2025-26!Z3"")"),8.0)</f>
        <v>8</v>
      </c>
      <c r="BC221" s="59">
        <f t="shared" si="61"/>
        <v>0.5001754086</v>
      </c>
      <c r="BD221" s="55">
        <f>IFERROR(__xludf.DUMMYFUNCTION("IMPORTRANGE(""1zJPk0T85pT-shVevHB_u0CNcXJxfeLvBi3CeABCxKEs"",""2025-26!AA4"")"),762773.0)</f>
        <v>762773</v>
      </c>
      <c r="BE221" s="55">
        <f>IFERROR(__xludf.DUMMYFUNCTION("IMPORTRANGE(""1zJPk0T85pT-shVevHB_u0CNcXJxfeLvBi3CeABCxKEs"",""2025-26!AA3"")"),8.0)</f>
        <v>8</v>
      </c>
      <c r="BF221" s="55">
        <f>IFERROR(__xludf.DUMMYFUNCTION("IMPORTRANGE(""1zJPk0T85pT-shVevHB_u0CNcXJxfeLvBi3CeABCxKEs"",""2025-26!AB4"")"),1668011.0)</f>
        <v>1668011</v>
      </c>
      <c r="BG221" s="55">
        <f>IFERROR(__xludf.DUMMYFUNCTION("IMPORTRANGE(""1zJPk0T85pT-shVevHB_u0CNcXJxfeLvBi3CeABCxKEs"",""2025-26!AB3"")"),48.0)</f>
        <v>48</v>
      </c>
      <c r="BH221" s="55">
        <f>IFERROR(__xludf.DUMMYFUNCTION("IMPORTRANGE(""1zJPk0T85pT-shVevHB_u0CNcXJxfeLvBi3CeABCxKEs"",""2025-26!AC4"")"),400427.1)</f>
        <v>400427.1</v>
      </c>
      <c r="BI221" s="55">
        <f>IFERROR(__xludf.DUMMYFUNCTION("IMPORTRANGE(""1zJPk0T85pT-shVevHB_u0CNcXJxfeLvBi3CeABCxKEs"",""2025-26!AC3"")"),7.0)</f>
        <v>7</v>
      </c>
      <c r="BJ221" s="59">
        <f t="shared" si="62"/>
        <v>0.24028019</v>
      </c>
      <c r="BK221" s="55">
        <f>IFERROR(__xludf.DUMMYFUNCTION("IMPORTRANGE(""1zJPk0T85pT-shVevHB_u0CNcXJxfeLvBi3CeABCxKEs"",""2025-26!AD4"")"),400790.0)</f>
        <v>400790</v>
      </c>
      <c r="BL221" s="55">
        <f>IFERROR(__xludf.DUMMYFUNCTION("IMPORTRANGE(""1zJPk0T85pT-shVevHB_u0CNcXJxfeLvBi3CeABCxKEs"",""2025-26!AD3"")"),7.0)</f>
        <v>7</v>
      </c>
      <c r="BM221" s="55">
        <f>IFERROR(__xludf.DUMMYFUNCTION("IMPORTRANGE(""1zJPk0T85pT-shVevHB_u0CNcXJxfeLvBi3CeABCxKEs"",""2025-26!AE4"")"),1668011.0)</f>
        <v>1668011</v>
      </c>
      <c r="BN221" s="55">
        <f>IFERROR(__xludf.DUMMYFUNCTION("IMPORTRANGE(""1zJPk0T85pT-shVevHB_u0CNcXJxfeLvBi3CeABCxKEs"",""2025-26!AE3"")"),48.0)</f>
        <v>48</v>
      </c>
      <c r="BO221" s="55">
        <f>IFERROR(__xludf.DUMMYFUNCTION("IMPORTRANGE(""1zJPk0T85pT-shVevHB_u0CNcXJxfeLvBi3CeABCxKEs"",""2025-26!AF4"")"),483092.88000000006)</f>
        <v>483092.88</v>
      </c>
      <c r="BP221" s="55">
        <f>IFERROR(__xludf.DUMMYFUNCTION("IMPORTRANGE(""1zJPk0T85pT-shVevHB_u0CNcXJxfeLvBi3CeABCxKEs"",""2025-26!AF3"")"),8.0)</f>
        <v>8</v>
      </c>
      <c r="BQ221" s="59">
        <f t="shared" si="63"/>
        <v>0.2895982101</v>
      </c>
      <c r="BR221" s="55">
        <f>IFERROR(__xludf.DUMMYFUNCTION("IMPORTRANGE(""1zJPk0T85pT-shVevHB_u0CNcXJxfeLvBi3CeABCxKEs"",""2025-26!AG4"")"),483053.0)</f>
        <v>483053</v>
      </c>
      <c r="BS221" s="55">
        <f>IFERROR(__xludf.DUMMYFUNCTION("IMPORTRANGE(""1zJPk0T85pT-shVevHB_u0CNcXJxfeLvBi3CeABCxKEs"",""2025-26!AG3"")"),8.0)</f>
        <v>8</v>
      </c>
      <c r="BT221" s="55">
        <f>IFERROR(__xludf.DUMMYFUNCTION("IMPORTRANGE(""1zJPk0T85pT-shVevHB_u0CNcXJxfeLvBi3CeABCxKEs"",""2025-26!AH4"")"),1668011.0)</f>
        <v>1668011</v>
      </c>
      <c r="BU221" s="55">
        <f>IFERROR(__xludf.DUMMYFUNCTION("IMPORTRANGE(""1zJPk0T85pT-shVevHB_u0CNcXJxfeLvBi3CeABCxKEs"",""2025-26!AH3"")"),48.0)</f>
        <v>48</v>
      </c>
      <c r="BV221" s="55">
        <f>IFERROR(__xludf.DUMMYFUNCTION("IMPORTRANGE(""1zJPk0T85pT-shVevHB_u0CNcXJxfeLvBi3CeABCxKEs"",""2025-26!AI4"")"),751565.62)</f>
        <v>751565.62</v>
      </c>
      <c r="BW221" s="55">
        <f>IFERROR(__xludf.DUMMYFUNCTION("IMPORTRANGE(""1zJPk0T85pT-shVevHB_u0CNcXJxfeLvBi3CeABCxKEs"",""2025-26!AI3"")"),16.0)</f>
        <v>16</v>
      </c>
      <c r="BX221" s="59">
        <f t="shared" si="64"/>
        <v>0.4505791628</v>
      </c>
      <c r="BY221" s="55">
        <f>IFERROR(__xludf.DUMMYFUNCTION("IMPORTRANGE(""1zJPk0T85pT-shVevHB_u0CNcXJxfeLvBi3CeABCxKEs"",""2025-26!AJ4"")"),751571.0)</f>
        <v>751571</v>
      </c>
      <c r="BZ221" s="55">
        <f>IFERROR(__xludf.DUMMYFUNCTION("IMPORTRANGE(""1zJPk0T85pT-shVevHB_u0CNcXJxfeLvBi3CeABCxKEs"",""2025-26!AJ3"")"),16.0)</f>
        <v>16</v>
      </c>
      <c r="CA221" s="55">
        <f>IFERROR(__xludf.DUMMYFUNCTION("IMPORTRANGE(""1zJPk0T85pT-shVevHB_u0CNcXJxfeLvBi3CeABCxKEs"",""2025-26!AK4"")"),1675011.0)</f>
        <v>1675011</v>
      </c>
      <c r="CB221" s="55">
        <f>IFERROR(__xludf.DUMMYFUNCTION("IMPORTRANGE(""1zJPk0T85pT-shVevHB_u0CNcXJxfeLvBi3CeABCxKEs"",""2025-26!AK3"")"),48.0)</f>
        <v>48</v>
      </c>
      <c r="CC221" s="55">
        <f>IFERROR(__xludf.DUMMYFUNCTION("IMPORTRANGE(""1zJPk0T85pT-shVevHB_u0CNcXJxfeLvBi3CeABCxKEs"",""2025-26!AL4"")"),167213.94)</f>
        <v>167213.94</v>
      </c>
      <c r="CD221" s="55">
        <f>IFERROR(__xludf.DUMMYFUNCTION("IMPORTRANGE(""1zJPk0T85pT-shVevHB_u0CNcXJxfeLvBi3CeABCxKEs"",""2025-26!AL3"")"),4.0)</f>
        <v>4</v>
      </c>
      <c r="CE221" s="59">
        <f t="shared" si="65"/>
        <v>0</v>
      </c>
      <c r="CF221" s="55">
        <f>IFERROR(__xludf.DUMMYFUNCTION("IMPORTRANGE(""1zJPk0T85pT-shVevHB_u0CNcXJxfeLvBi3CeABCxKEs"",""2025-26!AM4"")"),0.0)</f>
        <v>0</v>
      </c>
      <c r="CG221" s="55">
        <f>IFERROR(__xludf.DUMMYFUNCTION("IMPORTRANGE(""1zJPk0T85pT-shVevHB_u0CNcXJxfeLvBi3CeABCxKEs"",""2025-26!AM3"")"),0.0)</f>
        <v>0</v>
      </c>
      <c r="CH221" s="55">
        <f>IFERROR(__xludf.DUMMYFUNCTION("IMPORTRANGE(""1zJPk0T85pT-shVevHB_u0CNcXJxfeLvBi3CeABCxKEs"",""2025-26!AN4"")"),0.0)</f>
        <v>0</v>
      </c>
      <c r="CI221" s="55">
        <f>IFERROR(__xludf.DUMMYFUNCTION("IMPORTRANGE(""1zJPk0T85pT-shVevHB_u0CNcXJxfeLvBi3CeABCxKEs"",""2025-26!AN3"")"),0.0)</f>
        <v>0</v>
      </c>
      <c r="CJ221" s="55">
        <f>IFERROR(__xludf.DUMMYFUNCTION("IMPORTRANGE(""1zJPk0T85pT-shVevHB_u0CNcXJxfeLvBi3CeABCxKEs"",""2025-26!AO4"")"),0.0)</f>
        <v>0</v>
      </c>
      <c r="CK221" s="55">
        <f>IFERROR(__xludf.DUMMYFUNCTION("IMPORTRANGE(""1zJPk0T85pT-shVevHB_u0CNcXJxfeLvBi3CeABCxKEs"",""2025-26!AO3"")"),0.0)</f>
        <v>0</v>
      </c>
      <c r="CL221" s="59" t="str">
        <f t="shared" si="66"/>
        <v/>
      </c>
      <c r="CM221" s="55">
        <f>IFERROR(__xludf.DUMMYFUNCTION("IMPORTRANGE(""1zJPk0T85pT-shVevHB_u0CNcXJxfeLvBi3CeABCxKEs"",""2025-26!AP4"")"),0.0)</f>
        <v>0</v>
      </c>
      <c r="CN221" s="55">
        <f>IFERROR(__xludf.DUMMYFUNCTION("IMPORTRANGE(""1zJPk0T85pT-shVevHB_u0CNcXJxfeLvBi3CeABCxKEs"",""2025-26!AP3"")"),0.0)</f>
        <v>0</v>
      </c>
      <c r="CO221" s="55">
        <f>IFERROR(__xludf.DUMMYFUNCTION("IMPORTRANGE(""1zJPk0T85pT-shVevHB_u0CNcXJxfeLvBi3CeABCxKEs"",""2025-26!AQ4"")"),0.0)</f>
        <v>0</v>
      </c>
      <c r="CP221" s="55">
        <f>IFERROR(__xludf.DUMMYFUNCTION("IMPORTRANGE(""1zJPk0T85pT-shVevHB_u0CNcXJxfeLvBi3CeABCxKEs"",""2025-26!AQ3"")"),0.0)</f>
        <v>0</v>
      </c>
      <c r="CQ221" s="55">
        <f>IFERROR(__xludf.DUMMYFUNCTION("IMPORTRANGE(""1zJPk0T85pT-shVevHB_u0CNcXJxfeLvBi3CeABCxKEs"",""2025-26!AR4"")"),0.0)</f>
        <v>0</v>
      </c>
      <c r="CR221" s="55">
        <f>IFERROR(__xludf.DUMMYFUNCTION("IMPORTRANGE(""1zJPk0T85pT-shVevHB_u0CNcXJxfeLvBi3CeABCxKEs"",""2025-26!AR3"")"),0.0)</f>
        <v>0</v>
      </c>
      <c r="CS221" s="59" t="str">
        <f t="shared" si="67"/>
        <v/>
      </c>
      <c r="CT221" s="55">
        <f>IFERROR(__xludf.DUMMYFUNCTION("IMPORTRANGE(""1zJPk0T85pT-shVevHB_u0CNcXJxfeLvBi3CeABCxKEs"",""2025-26!AS4"")"),0.0)</f>
        <v>0</v>
      </c>
      <c r="CU221" s="55">
        <f>IFERROR(__xludf.DUMMYFUNCTION("IMPORTRANGE(""1zJPk0T85pT-shVevHB_u0CNcXJxfeLvBi3CeABCxKEs"",""2025-26!AS3"")"),0.0)</f>
        <v>0</v>
      </c>
      <c r="CV221" s="60" t="s">
        <v>140</v>
      </c>
    </row>
    <row r="222">
      <c r="A222" s="133" t="s">
        <v>126</v>
      </c>
      <c r="B222" s="134" t="s">
        <v>127</v>
      </c>
      <c r="C222" s="136" t="s">
        <v>444</v>
      </c>
      <c r="D222" s="68" t="s">
        <v>445</v>
      </c>
      <c r="E222" s="50">
        <v>9.565571308E9</v>
      </c>
      <c r="F222" s="78">
        <v>45506.0</v>
      </c>
      <c r="G222" s="62"/>
      <c r="H222" s="62"/>
      <c r="I222" s="53">
        <f>VLOOKUP($C222,Data!$C:$BV,72,0)</f>
        <v>29360</v>
      </c>
      <c r="J222" s="54">
        <f>1150000+100000</f>
        <v>1250000</v>
      </c>
      <c r="K222" s="55">
        <f>IFERROR(__xludf.DUMMYFUNCTION("IMPORTRANGE(""1v1sX1hvawUujYfy5gMGfTM3JIsnXhnKYvEjav5fhpdI"",""2025-26!A3"")"),51.0)</f>
        <v>51</v>
      </c>
      <c r="L222" s="55">
        <f>IFERROR(__xludf.DUMMYFUNCTION("IMPORTRANGE(""1v1sX1hvawUujYfy5gMGfTM3JIsnXhnKYvEjav5fhpdI"",""2025-26!G4"")"),1.15E7)</f>
        <v>11500000</v>
      </c>
      <c r="M222" s="55">
        <f t="shared" si="93"/>
        <v>4111827.8</v>
      </c>
      <c r="N222" s="56">
        <f t="shared" si="94"/>
        <v>0.2100651304</v>
      </c>
      <c r="O222" s="57">
        <f t="shared" si="95"/>
        <v>2415749</v>
      </c>
      <c r="P222" s="55">
        <f>IFERROR(__xludf.DUMMYFUNCTION("IMPORTRANGE(""1v1sX1hvawUujYfy5gMGfTM3JIsnXhnKYvEjav5fhpdI"",""2025-26!J4"")"),1020000.0)</f>
        <v>1020000</v>
      </c>
      <c r="Q222" s="55">
        <f>IFERROR(__xludf.DUMMYFUNCTION("IMPORTRANGE(""1v1sX1hvawUujYfy5gMGfTM3JIsnXhnKYvEjav5fhpdI"",""2025-26!J3"")"),34.0)</f>
        <v>34</v>
      </c>
      <c r="R222" s="55">
        <f>IFERROR(__xludf.DUMMYFUNCTION("IMPORTRANGE(""1v1sX1hvawUujYfy5gMGfTM3JIsnXhnKYvEjav5fhpdI"",""2025-26!K4"")"),221667.59999999998)</f>
        <v>221667.6</v>
      </c>
      <c r="S222" s="55">
        <f>IFERROR(__xludf.DUMMYFUNCTION("IMPORTRANGE(""1v1sX1hvawUujYfy5gMGfTM3JIsnXhnKYvEjav5fhpdI"",""2025-26!K3"")"),9.0)</f>
        <v>9</v>
      </c>
      <c r="T222" s="58">
        <f t="shared" si="56"/>
        <v>0.2173215686</v>
      </c>
      <c r="U222" s="55">
        <f>IFERROR(__xludf.DUMMYFUNCTION("IMPORTRANGE(""1v1sX1hvawUujYfy5gMGfTM3JIsnXhnKYvEjav5fhpdI"",""2025-26!L4"")"),221668.0)</f>
        <v>221668</v>
      </c>
      <c r="V222" s="55">
        <f>IFERROR(__xludf.DUMMYFUNCTION("IMPORTRANGE(""1v1sX1hvawUujYfy5gMGfTM3JIsnXhnKYvEjav5fhpdI"",""2025-26!L3"")"),9.0)</f>
        <v>9</v>
      </c>
      <c r="W222" s="55">
        <f>IFERROR(__xludf.DUMMYFUNCTION("IMPORTRANGE(""1v1sX1hvawUujYfy5gMGfTM3JIsnXhnKYvEjav5fhpdI"",""2025-26!m4"")"),1020000.0)</f>
        <v>1020000</v>
      </c>
      <c r="X222" s="55">
        <f>IFERROR(__xludf.DUMMYFUNCTION("IMPORTRANGE(""1v1sX1hvawUujYfy5gMGfTM3JIsnXhnKYvEjav5fhpdI"",""2025-26!m3"")"),34.0)</f>
        <v>34</v>
      </c>
      <c r="Y222" s="55">
        <f>IFERROR(__xludf.DUMMYFUNCTION("IMPORTRANGE(""1v1sX1hvawUujYfy5gMGfTM3JIsnXhnKYvEjav5fhpdI"",""2025-26!N4"")"),246065.9)</f>
        <v>246065.9</v>
      </c>
      <c r="Z222" s="55">
        <f>IFERROR(__xludf.DUMMYFUNCTION("IMPORTRANGE(""1v1sX1hvawUujYfy5gMGfTM3JIsnXhnKYvEjav5fhpdI"",""2025-26!N3"")"),9.0)</f>
        <v>9</v>
      </c>
      <c r="AA222" s="58">
        <f t="shared" si="57"/>
        <v>0.2556058824</v>
      </c>
      <c r="AB222" s="55">
        <f>IFERROR(__xludf.DUMMYFUNCTION("IMPORTRANGE(""1v1sX1hvawUujYfy5gMGfTM3JIsnXhnKYvEjav5fhpdI"",""2025-26!O4"")"),260718.0)</f>
        <v>260718</v>
      </c>
      <c r="AC222" s="55">
        <f>IFERROR(__xludf.DUMMYFUNCTION("IMPORTRANGE(""1v1sX1hvawUujYfy5gMGfTM3JIsnXhnKYvEjav5fhpdI"",""2025-26!O3"")"),10.0)</f>
        <v>10</v>
      </c>
      <c r="AD222" s="55">
        <f>IFERROR(__xludf.DUMMYFUNCTION("IMPORTRANGE(""1v1sX1hvawUujYfy5gMGfTM3JIsnXhnKYvEjav5fhpdI"",""2025-26!P4"")"),1020000.0)</f>
        <v>1020000</v>
      </c>
      <c r="AE222" s="55">
        <f>IFERROR(__xludf.DUMMYFUNCTION("IMPORTRANGE(""1v1sX1hvawUujYfy5gMGfTM3JIsnXhnKYvEjav5fhpdI"",""2025-26!P3"")"),34.0)</f>
        <v>34</v>
      </c>
      <c r="AF222" s="55">
        <f>IFERROR(__xludf.DUMMYFUNCTION("IMPORTRANGE(""1v1sX1hvawUujYfy5gMGfTM3JIsnXhnKYvEjav5fhpdI"",""2025-26!Q4"")"),698511.72)</f>
        <v>698511.72</v>
      </c>
      <c r="AG222" s="55">
        <f>IFERROR(__xludf.DUMMYFUNCTION("IMPORTRANGE(""1v1sX1hvawUujYfy5gMGfTM3JIsnXhnKYvEjav5fhpdI"",""2025-26!Q3"")"),5.0)</f>
        <v>5</v>
      </c>
      <c r="AH222" s="58">
        <f t="shared" si="58"/>
        <v>0.1919931373</v>
      </c>
      <c r="AI222" s="55">
        <f>IFERROR(__xludf.DUMMYFUNCTION("IMPORTRANGE(""1v1sX1hvawUujYfy5gMGfTM3JIsnXhnKYvEjav5fhpdI"",""2025-26!R4"")"),195833.0)</f>
        <v>195833</v>
      </c>
      <c r="AJ222" s="55">
        <f>IFERROR(__xludf.DUMMYFUNCTION("IMPORTRANGE(""1v1sX1hvawUujYfy5gMGfTM3JIsnXhnKYvEjav5fhpdI"",""2025-26!R3"")"),4.0)</f>
        <v>4</v>
      </c>
      <c r="AK222" s="55">
        <f>IFERROR(__xludf.DUMMYFUNCTION("IMPORTRANGE(""1v1sX1hvawUujYfy5gMGfTM3JIsnXhnKYvEjav5fhpdI"",""2025-26!S4"")"),590000.0)</f>
        <v>590000</v>
      </c>
      <c r="AL222" s="55">
        <f>IFERROR(__xludf.DUMMYFUNCTION("IMPORTRANGE(""1v1sX1hvawUujYfy5gMGfTM3JIsnXhnKYvEjav5fhpdI"",""2025-26!S3"")"),40.0)</f>
        <v>40</v>
      </c>
      <c r="AM222" s="55">
        <f>IFERROR(__xludf.DUMMYFUNCTION("IMPORTRANGE(""1v1sX1hvawUujYfy5gMGfTM3JIsnXhnKYvEjav5fhpdI"",""2025-26!T4"")"),1083550.28)</f>
        <v>1083550.28</v>
      </c>
      <c r="AN222" s="55">
        <f>IFERROR(__xludf.DUMMYFUNCTION("IMPORTRANGE(""1v1sX1hvawUujYfy5gMGfTM3JIsnXhnKYvEjav5fhpdI"",""2025-26!T3"")"),9.0)</f>
        <v>9</v>
      </c>
      <c r="AO222" s="58">
        <f t="shared" si="59"/>
        <v>0.253859322</v>
      </c>
      <c r="AP222" s="55">
        <f>IFERROR(__xludf.DUMMYFUNCTION("IMPORTRANGE(""1v1sX1hvawUujYfy5gMGfTM3JIsnXhnKYvEjav5fhpdI"",""2025-26!U4"")"),149777.0)</f>
        <v>149777</v>
      </c>
      <c r="AQ222" s="55">
        <f>IFERROR(__xludf.DUMMYFUNCTION("IMPORTRANGE(""1v1sX1hvawUujYfy5gMGfTM3JIsnXhnKYvEjav5fhpdI"",""2025-26!U3"")"),6.0)</f>
        <v>6</v>
      </c>
      <c r="AR222" s="55">
        <f>IFERROR(__xludf.DUMMYFUNCTION("IMPORTRANGE(""1v1sX1hvawUujYfy5gMGfTM3JIsnXhnKYvEjav5fhpdI"",""2025-26!V4"")"),590000.0)</f>
        <v>590000</v>
      </c>
      <c r="AS222" s="55">
        <f>IFERROR(__xludf.DUMMYFUNCTION("IMPORTRANGE(""1v1sX1hvawUujYfy5gMGfTM3JIsnXhnKYvEjav5fhpdI"",""2025-26!V3"")"),40.0)</f>
        <v>40</v>
      </c>
      <c r="AT222" s="55">
        <f>IFERROR(__xludf.DUMMYFUNCTION("IMPORTRANGE(""1v1sX1hvawUujYfy5gMGfTM3JIsnXhnKYvEjav5fhpdI"",""2025-26!W4"")"),297182.33999999997)</f>
        <v>297182.34</v>
      </c>
      <c r="AU222" s="55">
        <f>IFERROR(__xludf.DUMMYFUNCTION("IMPORTRANGE(""1v1sX1hvawUujYfy5gMGfTM3JIsnXhnKYvEjav5fhpdI"",""2025-26!W3"")"),12.0)</f>
        <v>12</v>
      </c>
      <c r="AV222" s="58">
        <f t="shared" si="60"/>
        <v>0.3891745763</v>
      </c>
      <c r="AW222" s="55">
        <f>IFERROR(__xludf.DUMMYFUNCTION("IMPORTRANGE(""1v1sX1hvawUujYfy5gMGfTM3JIsnXhnKYvEjav5fhpdI"",""2025-26!X4"")"),229613.0)</f>
        <v>229613</v>
      </c>
      <c r="AX222" s="55">
        <f>IFERROR(__xludf.DUMMYFUNCTION("IMPORTRANGE(""1v1sX1hvawUujYfy5gMGfTM3JIsnXhnKYvEjav5fhpdI"",""2025-26!X3"")"),11.0)</f>
        <v>11</v>
      </c>
      <c r="AY222" s="55">
        <f>IFERROR(__xludf.DUMMYFUNCTION("IMPORTRANGE(""1v1sX1hvawUujYfy5gMGfTM3JIsnXhnKYvEjav5fhpdI"",""2025-26!Y4"")"),590000.0)</f>
        <v>590000</v>
      </c>
      <c r="AZ222" s="55">
        <f>IFERROR(__xludf.DUMMYFUNCTION("IMPORTRANGE(""1v1sX1hvawUujYfy5gMGfTM3JIsnXhnKYvEjav5fhpdI"",""2025-26!Y3"")"),40.0)</f>
        <v>40</v>
      </c>
      <c r="BA222" s="55">
        <f>IFERROR(__xludf.DUMMYFUNCTION("IMPORTRANGE(""1v1sX1hvawUujYfy5gMGfTM3JIsnXhnKYvEjav5fhpdI"",""2025-26!Z4"")"),305653.52)</f>
        <v>305653.52</v>
      </c>
      <c r="BB222" s="55">
        <f>IFERROR(__xludf.DUMMYFUNCTION("IMPORTRANGE(""1v1sX1hvawUujYfy5gMGfTM3JIsnXhnKYvEjav5fhpdI"",""2025-26!Z3"")"),12.0)</f>
        <v>12</v>
      </c>
      <c r="BC222" s="59">
        <f t="shared" si="61"/>
        <v>0.5404355932</v>
      </c>
      <c r="BD222" s="55">
        <f>IFERROR(__xludf.DUMMYFUNCTION("IMPORTRANGE(""1v1sX1hvawUujYfy5gMGfTM3JIsnXhnKYvEjav5fhpdI"",""2025-26!AA4"")"),318857.0)</f>
        <v>318857</v>
      </c>
      <c r="BE222" s="55">
        <f>IFERROR(__xludf.DUMMYFUNCTION("IMPORTRANGE(""1v1sX1hvawUujYfy5gMGfTM3JIsnXhnKYvEjav5fhpdI"",""2025-26!AA3"")"),12.0)</f>
        <v>12</v>
      </c>
      <c r="BF222" s="55">
        <f>IFERROR(__xludf.DUMMYFUNCTION("IMPORTRANGE(""1v1sX1hvawUujYfy5gMGfTM3JIsnXhnKYvEjav5fhpdI"",""2025-26!AB4"")"),1012000.0)</f>
        <v>1012000</v>
      </c>
      <c r="BG222" s="55">
        <f>IFERROR(__xludf.DUMMYFUNCTION("IMPORTRANGE(""1v1sX1hvawUujYfy5gMGfTM3JIsnXhnKYvEjav5fhpdI"",""2025-26!AB3"")"),36.0)</f>
        <v>36</v>
      </c>
      <c r="BH222" s="55">
        <f>IFERROR(__xludf.DUMMYFUNCTION("IMPORTRANGE(""1v1sX1hvawUujYfy5gMGfTM3JIsnXhnKYvEjav5fhpdI"",""2025-26!AC4"")"),306845.3)</f>
        <v>306845.3</v>
      </c>
      <c r="BI222" s="55">
        <f>IFERROR(__xludf.DUMMYFUNCTION("IMPORTRANGE(""1v1sX1hvawUujYfy5gMGfTM3JIsnXhnKYvEjav5fhpdI"",""2025-26!AC3"")"),4.0)</f>
        <v>4</v>
      </c>
      <c r="BJ222" s="59">
        <f t="shared" si="62"/>
        <v>0.3515217391</v>
      </c>
      <c r="BK222" s="55">
        <f>IFERROR(__xludf.DUMMYFUNCTION("IMPORTRANGE(""1v1sX1hvawUujYfy5gMGfTM3JIsnXhnKYvEjav5fhpdI"",""2025-26!AD4"")"),355740.0)</f>
        <v>355740</v>
      </c>
      <c r="BL222" s="55">
        <f>IFERROR(__xludf.DUMMYFUNCTION("IMPORTRANGE(""1v1sX1hvawUujYfy5gMGfTM3JIsnXhnKYvEjav5fhpdI"",""2025-26!AD3"")"),4.0)</f>
        <v>4</v>
      </c>
      <c r="BM222" s="55">
        <f>IFERROR(__xludf.DUMMYFUNCTION("IMPORTRANGE(""1v1sX1hvawUujYfy5gMGfTM3JIsnXhnKYvEjav5fhpdI"",""2025-26!AE4"")"),40000.0)</f>
        <v>40000</v>
      </c>
      <c r="BN222" s="55">
        <f>IFERROR(__xludf.DUMMYFUNCTION("IMPORTRANGE(""1v1sX1hvawUujYfy5gMGfTM3JIsnXhnKYvEjav5fhpdI"",""2025-26!AE3"")"),2.0)</f>
        <v>2</v>
      </c>
      <c r="BO222" s="55">
        <f>IFERROR(__xludf.DUMMYFUNCTION("IMPORTRANGE(""1v1sX1hvawUujYfy5gMGfTM3JIsnXhnKYvEjav5fhpdI"",""2025-26!AF4"")"),224300.04)</f>
        <v>224300.04</v>
      </c>
      <c r="BP222" s="55">
        <f>IFERROR(__xludf.DUMMYFUNCTION("IMPORTRANGE(""1v1sX1hvawUujYfy5gMGfTM3JIsnXhnKYvEjav5fhpdI"",""2025-26!AF3"")"),8.0)</f>
        <v>8</v>
      </c>
      <c r="BQ222" s="59">
        <f t="shared" si="63"/>
        <v>5.95235</v>
      </c>
      <c r="BR222" s="55">
        <f>IFERROR(__xludf.DUMMYFUNCTION("IMPORTRANGE(""1v1sX1hvawUujYfy5gMGfTM3JIsnXhnKYvEjav5fhpdI"",""2025-26!AG4"")"),238094.0)</f>
        <v>238094</v>
      </c>
      <c r="BS222" s="55">
        <f>IFERROR(__xludf.DUMMYFUNCTION("IMPORTRANGE(""1v1sX1hvawUujYfy5gMGfTM3JIsnXhnKYvEjav5fhpdI"",""2025-26!AG3"")"),8.0)</f>
        <v>8</v>
      </c>
      <c r="BT222" s="55">
        <f>IFERROR(__xludf.DUMMYFUNCTION("IMPORTRANGE(""1v1sX1hvawUujYfy5gMGfTM3JIsnXhnKYvEjav5fhpdI"",""2025-26!AH4"")"),1122000.0)</f>
        <v>1122000</v>
      </c>
      <c r="BU222" s="55">
        <f>IFERROR(__xludf.DUMMYFUNCTION("IMPORTRANGE(""1v1sX1hvawUujYfy5gMGfTM3JIsnXhnKYvEjav5fhpdI"",""2025-26!AH3"")"),38.0)</f>
        <v>38</v>
      </c>
      <c r="BV222" s="55">
        <f>IFERROR(__xludf.DUMMYFUNCTION("IMPORTRANGE(""1v1sX1hvawUujYfy5gMGfTM3JIsnXhnKYvEjav5fhpdI"",""2025-26!AI4"")"),406276.9)</f>
        <v>406276.9</v>
      </c>
      <c r="BW222" s="55">
        <f>IFERROR(__xludf.DUMMYFUNCTION("IMPORTRANGE(""1v1sX1hvawUujYfy5gMGfTM3JIsnXhnKYvEjav5fhpdI"",""2025-26!AI3"")"),7.0)</f>
        <v>7</v>
      </c>
      <c r="BX222" s="59">
        <f t="shared" si="64"/>
        <v>0.397013369</v>
      </c>
      <c r="BY222" s="55">
        <f>IFERROR(__xludf.DUMMYFUNCTION("IMPORTRANGE(""1v1sX1hvawUujYfy5gMGfTM3JIsnXhnKYvEjav5fhpdI"",""2025-26!AJ4"")"),445449.0)</f>
        <v>445449</v>
      </c>
      <c r="BZ222" s="55">
        <f>IFERROR(__xludf.DUMMYFUNCTION("IMPORTRANGE(""1v1sX1hvawUujYfy5gMGfTM3JIsnXhnKYvEjav5fhpdI"",""2025-26!AJ3"")"),7.0)</f>
        <v>7</v>
      </c>
      <c r="CA222" s="55">
        <f>IFERROR(__xludf.DUMMYFUNCTION("IMPORTRANGE(""1v1sX1hvawUujYfy5gMGfTM3JIsnXhnKYvEjav5fhpdI"",""2025-26!AK4"")"),1122000.0)</f>
        <v>1122000</v>
      </c>
      <c r="CB222" s="55">
        <f>IFERROR(__xludf.DUMMYFUNCTION("IMPORTRANGE(""1v1sX1hvawUujYfy5gMGfTM3JIsnXhnKYvEjav5fhpdI"",""2025-26!AK3"")"),38.0)</f>
        <v>38</v>
      </c>
      <c r="CC222" s="55">
        <f>IFERROR(__xludf.DUMMYFUNCTION("IMPORTRANGE(""1v1sX1hvawUujYfy5gMGfTM3JIsnXhnKYvEjav5fhpdI"",""2025-26!AL4"")"),281844.1)</f>
        <v>281844.1</v>
      </c>
      <c r="CD222" s="55">
        <f>IFERROR(__xludf.DUMMYFUNCTION("IMPORTRANGE(""1v1sX1hvawUujYfy5gMGfTM3JIsnXhnKYvEjav5fhpdI"",""2025-26!AL3"")"),4.0)</f>
        <v>4</v>
      </c>
      <c r="CE222" s="59">
        <f t="shared" si="65"/>
        <v>0</v>
      </c>
      <c r="CF222" s="55">
        <f>IFERROR(__xludf.DUMMYFUNCTION("IMPORTRANGE(""1v1sX1hvawUujYfy5gMGfTM3JIsnXhnKYvEjav5fhpdI"",""2025-26!AM4"")"),0.0)</f>
        <v>0</v>
      </c>
      <c r="CG222" s="55">
        <f>IFERROR(__xludf.DUMMYFUNCTION("IMPORTRANGE(""1v1sX1hvawUujYfy5gMGfTM3JIsnXhnKYvEjav5fhpdI"",""2025-26!AM3"")"),0.0)</f>
        <v>0</v>
      </c>
      <c r="CH222" s="55">
        <f>IFERROR(__xludf.DUMMYFUNCTION("IMPORTRANGE(""1v1sX1hvawUujYfy5gMGfTM3JIsnXhnKYvEjav5fhpdI"",""2025-26!AN4"")"),1122000.0)</f>
        <v>1122000</v>
      </c>
      <c r="CI222" s="55">
        <f>IFERROR(__xludf.DUMMYFUNCTION("IMPORTRANGE(""1v1sX1hvawUujYfy5gMGfTM3JIsnXhnKYvEjav5fhpdI"",""2025-26!AN3"")"),38.0)</f>
        <v>38</v>
      </c>
      <c r="CJ222" s="55">
        <f>IFERROR(__xludf.DUMMYFUNCTION("IMPORTRANGE(""1v1sX1hvawUujYfy5gMGfTM3JIsnXhnKYvEjav5fhpdI"",""2025-26!AO4"")"),39930.1)</f>
        <v>39930.1</v>
      </c>
      <c r="CK222" s="55">
        <f>IFERROR(__xludf.DUMMYFUNCTION("IMPORTRANGE(""1v1sX1hvawUujYfy5gMGfTM3JIsnXhnKYvEjav5fhpdI"",""2025-26!AO3"")"),1.0)</f>
        <v>1</v>
      </c>
      <c r="CL222" s="59">
        <f t="shared" si="66"/>
        <v>0</v>
      </c>
      <c r="CM222" s="55">
        <f>IFERROR(__xludf.DUMMYFUNCTION("IMPORTRANGE(""1v1sX1hvawUujYfy5gMGfTM3JIsnXhnKYvEjav5fhpdI"",""2025-26!AP4"")"),0.0)</f>
        <v>0</v>
      </c>
      <c r="CN222" s="55">
        <f>IFERROR(__xludf.DUMMYFUNCTION("IMPORTRANGE(""1v1sX1hvawUujYfy5gMGfTM3JIsnXhnKYvEjav5fhpdI"",""2025-26!AP3"")"),0.0)</f>
        <v>0</v>
      </c>
      <c r="CO222" s="55">
        <f>IFERROR(__xludf.DUMMYFUNCTION("IMPORTRANGE(""1v1sX1hvawUujYfy5gMGfTM3JIsnXhnKYvEjav5fhpdI"",""2025-26!AQ4"")"),0.0)</f>
        <v>0</v>
      </c>
      <c r="CP222" s="55">
        <f>IFERROR(__xludf.DUMMYFUNCTION("IMPORTRANGE(""1v1sX1hvawUujYfy5gMGfTM3JIsnXhnKYvEjav5fhpdI"",""2025-26!AQ3"")"),0.0)</f>
        <v>0</v>
      </c>
      <c r="CQ222" s="55">
        <f>IFERROR(__xludf.DUMMYFUNCTION("IMPORTRANGE(""1v1sX1hvawUujYfy5gMGfTM3JIsnXhnKYvEjav5fhpdI"",""2025-26!AR4"")"),0.0)</f>
        <v>0</v>
      </c>
      <c r="CR222" s="55">
        <f>IFERROR(__xludf.DUMMYFUNCTION("IMPORTRANGE(""1v1sX1hvawUujYfy5gMGfTM3JIsnXhnKYvEjav5fhpdI"",""2025-26!AR3"")"),0.0)</f>
        <v>0</v>
      </c>
      <c r="CS222" s="59" t="str">
        <f t="shared" si="67"/>
        <v/>
      </c>
      <c r="CT222" s="55">
        <f>IFERROR(__xludf.DUMMYFUNCTION("IMPORTRANGE(""1v1sX1hvawUujYfy5gMGfTM3JIsnXhnKYvEjav5fhpdI"",""2025-26!AS4"")"),0.0)</f>
        <v>0</v>
      </c>
      <c r="CU222" s="55">
        <f>IFERROR(__xludf.DUMMYFUNCTION("IMPORTRANGE(""1v1sX1hvawUujYfy5gMGfTM3JIsnXhnKYvEjav5fhpdI"",""2025-26!AS3"")"),0.0)</f>
        <v>0</v>
      </c>
      <c r="CV222" s="60" t="s">
        <v>130</v>
      </c>
    </row>
    <row r="223">
      <c r="A223" s="133" t="s">
        <v>126</v>
      </c>
      <c r="B223" s="134" t="s">
        <v>127</v>
      </c>
      <c r="C223" s="136" t="s">
        <v>446</v>
      </c>
      <c r="D223" s="68" t="s">
        <v>129</v>
      </c>
      <c r="E223" s="68">
        <v>7.905691595E9</v>
      </c>
      <c r="F223" s="78">
        <v>45639.0</v>
      </c>
      <c r="G223" s="62"/>
      <c r="H223" s="62"/>
      <c r="I223" s="53">
        <f>VLOOKUP($C223,Data!$C:$BV,72,0)</f>
        <v>35140</v>
      </c>
      <c r="J223" s="54">
        <v>1791667.0</v>
      </c>
      <c r="K223" s="55">
        <f>IFERROR(__xludf.DUMMYFUNCTION("IMPORTRANGE(""1haSiP1YlxjODReGAO16yDBv48qp9eLRDfpKj-6mAlDQ"",""2025-26!A3"")"),60.0)</f>
        <v>60</v>
      </c>
      <c r="L223" s="55">
        <f>IFERROR(__xludf.DUMMYFUNCTION("IMPORTRANGE(""1haSiP1YlxjODReGAO16yDBv48qp9eLRDfpKj-6mAlDQ"",""2025-26!G4"")"),1.283E7)</f>
        <v>12830000</v>
      </c>
      <c r="M223" s="55">
        <f t="shared" si="93"/>
        <v>4367670.132</v>
      </c>
      <c r="N223" s="56">
        <f t="shared" si="94"/>
        <v>0.2614597038</v>
      </c>
      <c r="O223" s="57">
        <f t="shared" si="95"/>
        <v>3354528</v>
      </c>
      <c r="P223" s="55">
        <f>IFERROR(__xludf.DUMMYFUNCTION("IMPORTRANGE(""1haSiP1YlxjODReGAO16yDBv48qp9eLRDfpKj-6mAlDQ"",""2025-26!J4"")"),1080000.0)</f>
        <v>1080000</v>
      </c>
      <c r="Q223" s="55">
        <f>IFERROR(__xludf.DUMMYFUNCTION("IMPORTRANGE(""1haSiP1YlxjODReGAO16yDBv48qp9eLRDfpKj-6mAlDQ"",""2025-26!J3"")"),25.0)</f>
        <v>25</v>
      </c>
      <c r="R223" s="55">
        <f>IFERROR(__xludf.DUMMYFUNCTION("IMPORTRANGE(""1haSiP1YlxjODReGAO16yDBv48qp9eLRDfpKj-6mAlDQ"",""2025-26!K4"")"),680266.44)</f>
        <v>680266.44</v>
      </c>
      <c r="S223" s="55">
        <f>IFERROR(__xludf.DUMMYFUNCTION("IMPORTRANGE(""1haSiP1YlxjODReGAO16yDBv48qp9eLRDfpKj-6mAlDQ"",""2025-26!K3"")"),17.0)</f>
        <v>17</v>
      </c>
      <c r="T223" s="58">
        <f t="shared" si="56"/>
        <v>0.6194064815</v>
      </c>
      <c r="U223" s="55">
        <f>IFERROR(__xludf.DUMMYFUNCTION("IMPORTRANGE(""1haSiP1YlxjODReGAO16yDBv48qp9eLRDfpKj-6mAlDQ"",""2025-26!L4"")"),668959.0)</f>
        <v>668959</v>
      </c>
      <c r="V223" s="55">
        <f>IFERROR(__xludf.DUMMYFUNCTION("IMPORTRANGE(""1haSiP1YlxjODReGAO16yDBv48qp9eLRDfpKj-6mAlDQ"",""2025-26!L3"")"),18.0)</f>
        <v>18</v>
      </c>
      <c r="W223" s="55">
        <f>IFERROR(__xludf.DUMMYFUNCTION("IMPORTRANGE(""1haSiP1YlxjODReGAO16yDBv48qp9eLRDfpKj-6mAlDQ"",""2025-26!m4"")"),965000.0)</f>
        <v>965000</v>
      </c>
      <c r="X223" s="55">
        <f>IFERROR(__xludf.DUMMYFUNCTION("IMPORTRANGE(""1haSiP1YlxjODReGAO16yDBv48qp9eLRDfpKj-6mAlDQ"",""2025-26!m3"")"),36.0)</f>
        <v>36</v>
      </c>
      <c r="Y223" s="55">
        <f>IFERROR(__xludf.DUMMYFUNCTION("IMPORTRANGE(""1haSiP1YlxjODReGAO16yDBv48qp9eLRDfpKj-6mAlDQ"",""2025-26!N4"")"),850142.81)</f>
        <v>850142.81</v>
      </c>
      <c r="Z223" s="55">
        <f>IFERROR(__xludf.DUMMYFUNCTION("IMPORTRANGE(""1haSiP1YlxjODReGAO16yDBv48qp9eLRDfpKj-6mAlDQ"",""2025-26!N3"")"),22.0)</f>
        <v>22</v>
      </c>
      <c r="AA223" s="58">
        <f t="shared" si="57"/>
        <v>0.7031906736</v>
      </c>
      <c r="AB223" s="55">
        <f>IFERROR(__xludf.DUMMYFUNCTION("IMPORTRANGE(""1haSiP1YlxjODReGAO16yDBv48qp9eLRDfpKj-6mAlDQ"",""2025-26!O4"")"),678579.0)</f>
        <v>678579</v>
      </c>
      <c r="AC223" s="55">
        <f>IFERROR(__xludf.DUMMYFUNCTION("IMPORTRANGE(""1haSiP1YlxjODReGAO16yDBv48qp9eLRDfpKj-6mAlDQ"",""2025-26!O3"")"),19.0)</f>
        <v>19</v>
      </c>
      <c r="AD223" s="55">
        <f>IFERROR(__xludf.DUMMYFUNCTION("IMPORTRANGE(""1haSiP1YlxjODReGAO16yDBv48qp9eLRDfpKj-6mAlDQ"",""2025-26!P4"")"),1285000.0)</f>
        <v>1285000</v>
      </c>
      <c r="AE223" s="55">
        <f>IFERROR(__xludf.DUMMYFUNCTION("IMPORTRANGE(""1haSiP1YlxjODReGAO16yDBv48qp9eLRDfpKj-6mAlDQ"",""2025-26!P3"")"),39.0)</f>
        <v>39</v>
      </c>
      <c r="AF223" s="55">
        <f>IFERROR(__xludf.DUMMYFUNCTION("IMPORTRANGE(""1haSiP1YlxjODReGAO16yDBv48qp9eLRDfpKj-6mAlDQ"",""2025-26!Q4"")"),874602.17171875)</f>
        <v>874602.1717</v>
      </c>
      <c r="AG223" s="55">
        <f>IFERROR(__xludf.DUMMYFUNCTION("IMPORTRANGE(""1haSiP1YlxjODReGAO16yDBv48qp9eLRDfpKj-6mAlDQ"",""2025-26!Q3"")"),11.0)</f>
        <v>11</v>
      </c>
      <c r="AH223" s="58">
        <f t="shared" si="58"/>
        <v>0.7538241245</v>
      </c>
      <c r="AI223" s="55">
        <f>IFERROR(__xludf.DUMMYFUNCTION("IMPORTRANGE(""1haSiP1YlxjODReGAO16yDBv48qp9eLRDfpKj-6mAlDQ"",""2025-26!R4"")"),968664.0)</f>
        <v>968664</v>
      </c>
      <c r="AJ223" s="55">
        <f>IFERROR(__xludf.DUMMYFUNCTION("IMPORTRANGE(""1haSiP1YlxjODReGAO16yDBv48qp9eLRDfpKj-6mAlDQ"",""2025-26!R3"")"),14.0)</f>
        <v>14</v>
      </c>
      <c r="AK223" s="55">
        <f>IFERROR(__xludf.DUMMYFUNCTION("IMPORTRANGE(""1haSiP1YlxjODReGAO16yDBv48qp9eLRDfpKj-6mAlDQ"",""2025-26!S4"")"),1445000.0)</f>
        <v>1445000</v>
      </c>
      <c r="AL223" s="55">
        <f>IFERROR(__xludf.DUMMYFUNCTION("IMPORTRANGE(""1haSiP1YlxjODReGAO16yDBv48qp9eLRDfpKj-6mAlDQ"",""2025-26!S3"")"),41.0)</f>
        <v>41</v>
      </c>
      <c r="AM223" s="55">
        <f>IFERROR(__xludf.DUMMYFUNCTION("IMPORTRANGE(""1haSiP1YlxjODReGAO16yDBv48qp9eLRDfpKj-6mAlDQ"",""2025-26!T4"")"),1210495.0899999996)</f>
        <v>1210495.09</v>
      </c>
      <c r="AN223" s="55">
        <f>IFERROR(__xludf.DUMMYFUNCTION("IMPORTRANGE(""1haSiP1YlxjODReGAO16yDBv48qp9eLRDfpKj-6mAlDQ"",""2025-26!T3"")"),21.0)</f>
        <v>21</v>
      </c>
      <c r="AO223" s="58">
        <f t="shared" si="59"/>
        <v>0.7185647059</v>
      </c>
      <c r="AP223" s="55">
        <f>IFERROR(__xludf.DUMMYFUNCTION("IMPORTRANGE(""1haSiP1YlxjODReGAO16yDBv48qp9eLRDfpKj-6mAlDQ"",""2025-26!U4"")"),1038326.0)</f>
        <v>1038326</v>
      </c>
      <c r="AQ223" s="55">
        <f>IFERROR(__xludf.DUMMYFUNCTION("IMPORTRANGE(""1haSiP1YlxjODReGAO16yDBv48qp9eLRDfpKj-6mAlDQ"",""2025-26!U3"")"),22.0)</f>
        <v>22</v>
      </c>
      <c r="AR223" s="55">
        <f>IFERROR(__xludf.DUMMYFUNCTION("IMPORTRANGE(""1haSiP1YlxjODReGAO16yDBv48qp9eLRDfpKj-6mAlDQ"",""2025-26!V4"")"),1865000.0)</f>
        <v>1865000</v>
      </c>
      <c r="AS223" s="55">
        <f>IFERROR(__xludf.DUMMYFUNCTION("IMPORTRANGE(""1haSiP1YlxjODReGAO16yDBv48qp9eLRDfpKj-6mAlDQ"",""2025-26!V3"")"),43.0)</f>
        <v>43</v>
      </c>
      <c r="AT223" s="55">
        <f>IFERROR(__xludf.DUMMYFUNCTION("IMPORTRANGE(""1haSiP1YlxjODReGAO16yDBv48qp9eLRDfpKj-6mAlDQ"",""2025-26!W4"")"),752163.62)</f>
        <v>752163.62</v>
      </c>
      <c r="AU223" s="55">
        <f>IFERROR(__xludf.DUMMYFUNCTION("IMPORTRANGE(""1haSiP1YlxjODReGAO16yDBv48qp9eLRDfpKj-6mAlDQ"",""2025-26!W3"")"),17.0)</f>
        <v>17</v>
      </c>
      <c r="AV223" s="58">
        <f t="shared" si="60"/>
        <v>0</v>
      </c>
      <c r="AW223" s="55">
        <f>IFERROR(__xludf.DUMMYFUNCTION("IMPORTRANGE(""1haSiP1YlxjODReGAO16yDBv48qp9eLRDfpKj-6mAlDQ"",""2025-26!X4"")"),0.0)</f>
        <v>0</v>
      </c>
      <c r="AX223" s="55">
        <f>IFERROR(__xludf.DUMMYFUNCTION("IMPORTRANGE(""1haSiP1YlxjODReGAO16yDBv48qp9eLRDfpKj-6mAlDQ"",""2025-26!X3"")"),0.0)</f>
        <v>0</v>
      </c>
      <c r="AY223" s="55">
        <f>IFERROR(__xludf.DUMMYFUNCTION("IMPORTRANGE(""1haSiP1YlxjODReGAO16yDBv48qp9eLRDfpKj-6mAlDQ"",""2025-26!Y4"")"),0.0)</f>
        <v>0</v>
      </c>
      <c r="AZ223" s="55">
        <f>IFERROR(__xludf.DUMMYFUNCTION("IMPORTRANGE(""1haSiP1YlxjODReGAO16yDBv48qp9eLRDfpKj-6mAlDQ"",""2025-26!Y3"")"),0.0)</f>
        <v>0</v>
      </c>
      <c r="BA223" s="55">
        <f>IFERROR(__xludf.DUMMYFUNCTION("IMPORTRANGE(""1haSiP1YlxjODReGAO16yDBv48qp9eLRDfpKj-6mAlDQ"",""2025-26!Z4"")"),0.0)</f>
        <v>0</v>
      </c>
      <c r="BB223" s="55">
        <f>IFERROR(__xludf.DUMMYFUNCTION("IMPORTRANGE(""1haSiP1YlxjODReGAO16yDBv48qp9eLRDfpKj-6mAlDQ"",""2025-26!Z3"")"),0.0)</f>
        <v>0</v>
      </c>
      <c r="BC223" s="59" t="str">
        <f t="shared" si="61"/>
        <v/>
      </c>
      <c r="BD223" s="55">
        <f>IFERROR(__xludf.DUMMYFUNCTION("IMPORTRANGE(""1haSiP1YlxjODReGAO16yDBv48qp9eLRDfpKj-6mAlDQ"",""2025-26!AA4"")"),0.0)</f>
        <v>0</v>
      </c>
      <c r="BE223" s="55">
        <f>IFERROR(__xludf.DUMMYFUNCTION("IMPORTRANGE(""1haSiP1YlxjODReGAO16yDBv48qp9eLRDfpKj-6mAlDQ"",""2025-26!AA3"")"),0.0)</f>
        <v>0</v>
      </c>
      <c r="BF223" s="55">
        <f>IFERROR(__xludf.DUMMYFUNCTION("IMPORTRANGE(""1haSiP1YlxjODReGAO16yDBv48qp9eLRDfpKj-6mAlDQ"",""2025-26!AB4"")"),0.0)</f>
        <v>0</v>
      </c>
      <c r="BG223" s="55">
        <f>IFERROR(__xludf.DUMMYFUNCTION("IMPORTRANGE(""1haSiP1YlxjODReGAO16yDBv48qp9eLRDfpKj-6mAlDQ"",""2025-26!AB3"")"),0.0)</f>
        <v>0</v>
      </c>
      <c r="BH223" s="55">
        <f>IFERROR(__xludf.DUMMYFUNCTION("IMPORTRANGE(""1haSiP1YlxjODReGAO16yDBv48qp9eLRDfpKj-6mAlDQ"",""2025-26!AC4"")"),0.0)</f>
        <v>0</v>
      </c>
      <c r="BI223" s="55">
        <f>IFERROR(__xludf.DUMMYFUNCTION("IMPORTRANGE(""1haSiP1YlxjODReGAO16yDBv48qp9eLRDfpKj-6mAlDQ"",""2025-26!AC3"")"),0.0)</f>
        <v>0</v>
      </c>
      <c r="BJ223" s="59" t="str">
        <f t="shared" si="62"/>
        <v/>
      </c>
      <c r="BK223" s="55">
        <f>IFERROR(__xludf.DUMMYFUNCTION("IMPORTRANGE(""1haSiP1YlxjODReGAO16yDBv48qp9eLRDfpKj-6mAlDQ"",""2025-26!AD4"")"),0.0)</f>
        <v>0</v>
      </c>
      <c r="BL223" s="55">
        <f>IFERROR(__xludf.DUMMYFUNCTION("IMPORTRANGE(""1haSiP1YlxjODReGAO16yDBv48qp9eLRDfpKj-6mAlDQ"",""2025-26!AD3"")"),0.0)</f>
        <v>0</v>
      </c>
      <c r="BM223" s="55">
        <f>IFERROR(__xludf.DUMMYFUNCTION("IMPORTRANGE(""1haSiP1YlxjODReGAO16yDBv48qp9eLRDfpKj-6mAlDQ"",""2025-26!AE4"")"),0.0)</f>
        <v>0</v>
      </c>
      <c r="BN223" s="55">
        <f>IFERROR(__xludf.DUMMYFUNCTION("IMPORTRANGE(""1haSiP1YlxjODReGAO16yDBv48qp9eLRDfpKj-6mAlDQ"",""2025-26!AE3"")"),0.0)</f>
        <v>0</v>
      </c>
      <c r="BO223" s="55">
        <f>IFERROR(__xludf.DUMMYFUNCTION("IMPORTRANGE(""1haSiP1YlxjODReGAO16yDBv48qp9eLRDfpKj-6mAlDQ"",""2025-26!AF4"")"),0.0)</f>
        <v>0</v>
      </c>
      <c r="BP223" s="55">
        <f>IFERROR(__xludf.DUMMYFUNCTION("IMPORTRANGE(""1haSiP1YlxjODReGAO16yDBv48qp9eLRDfpKj-6mAlDQ"",""2025-26!AF3"")"),0.0)</f>
        <v>0</v>
      </c>
      <c r="BQ223" s="59" t="str">
        <f t="shared" si="63"/>
        <v/>
      </c>
      <c r="BR223" s="55">
        <f>IFERROR(__xludf.DUMMYFUNCTION("IMPORTRANGE(""1haSiP1YlxjODReGAO16yDBv48qp9eLRDfpKj-6mAlDQ"",""2025-26!AG4"")"),0.0)</f>
        <v>0</v>
      </c>
      <c r="BS223" s="55">
        <f>IFERROR(__xludf.DUMMYFUNCTION("IMPORTRANGE(""1haSiP1YlxjODReGAO16yDBv48qp9eLRDfpKj-6mAlDQ"",""2025-26!AG3"")"),0.0)</f>
        <v>0</v>
      </c>
      <c r="BT223" s="55">
        <f>IFERROR(__xludf.DUMMYFUNCTION("IMPORTRANGE(""1haSiP1YlxjODReGAO16yDBv48qp9eLRDfpKj-6mAlDQ"",""2025-26!AH4"")"),0.0)</f>
        <v>0</v>
      </c>
      <c r="BU223" s="55">
        <f>IFERROR(__xludf.DUMMYFUNCTION("IMPORTRANGE(""1haSiP1YlxjODReGAO16yDBv48qp9eLRDfpKj-6mAlDQ"",""2025-26!AH3"")"),0.0)</f>
        <v>0</v>
      </c>
      <c r="BV223" s="55">
        <f>IFERROR(__xludf.DUMMYFUNCTION("IMPORTRANGE(""1haSiP1YlxjODReGAO16yDBv48qp9eLRDfpKj-6mAlDQ"",""2025-26!AI4"")"),0.0)</f>
        <v>0</v>
      </c>
      <c r="BW223" s="55">
        <f>IFERROR(__xludf.DUMMYFUNCTION("IMPORTRANGE(""1haSiP1YlxjODReGAO16yDBv48qp9eLRDfpKj-6mAlDQ"",""2025-26!AI3"")"),0.0)</f>
        <v>0</v>
      </c>
      <c r="BX223" s="59" t="str">
        <f t="shared" si="64"/>
        <v/>
      </c>
      <c r="BY223" s="55">
        <f>IFERROR(__xludf.DUMMYFUNCTION("IMPORTRANGE(""1haSiP1YlxjODReGAO16yDBv48qp9eLRDfpKj-6mAlDQ"",""2025-26!AJ4"")"),0.0)</f>
        <v>0</v>
      </c>
      <c r="BZ223" s="55">
        <f>IFERROR(__xludf.DUMMYFUNCTION("IMPORTRANGE(""1haSiP1YlxjODReGAO16yDBv48qp9eLRDfpKj-6mAlDQ"",""2025-26!AJ3"")"),0.0)</f>
        <v>0</v>
      </c>
      <c r="CA223" s="55">
        <f>IFERROR(__xludf.DUMMYFUNCTION("IMPORTRANGE(""1haSiP1YlxjODReGAO16yDBv48qp9eLRDfpKj-6mAlDQ"",""2025-26!AK4"")"),0.0)</f>
        <v>0</v>
      </c>
      <c r="CB223" s="55">
        <f>IFERROR(__xludf.DUMMYFUNCTION("IMPORTRANGE(""1haSiP1YlxjODReGAO16yDBv48qp9eLRDfpKj-6mAlDQ"",""2025-26!AK3"")"),0.0)</f>
        <v>0</v>
      </c>
      <c r="CC223" s="55">
        <f>IFERROR(__xludf.DUMMYFUNCTION("IMPORTRANGE(""1haSiP1YlxjODReGAO16yDBv48qp9eLRDfpKj-6mAlDQ"",""2025-26!AL4"")"),0.0)</f>
        <v>0</v>
      </c>
      <c r="CD223" s="55">
        <f>IFERROR(__xludf.DUMMYFUNCTION("IMPORTRANGE(""1haSiP1YlxjODReGAO16yDBv48qp9eLRDfpKj-6mAlDQ"",""2025-26!AL3"")"),0.0)</f>
        <v>0</v>
      </c>
      <c r="CE223" s="59" t="str">
        <f t="shared" si="65"/>
        <v/>
      </c>
      <c r="CF223" s="55">
        <f>IFERROR(__xludf.DUMMYFUNCTION("IMPORTRANGE(""1haSiP1YlxjODReGAO16yDBv48qp9eLRDfpKj-6mAlDQ"",""2025-26!AM4"")"),0.0)</f>
        <v>0</v>
      </c>
      <c r="CG223" s="55">
        <f>IFERROR(__xludf.DUMMYFUNCTION("IMPORTRANGE(""1haSiP1YlxjODReGAO16yDBv48qp9eLRDfpKj-6mAlDQ"",""2025-26!AM3"")"),0.0)</f>
        <v>0</v>
      </c>
      <c r="CH223" s="55">
        <f>IFERROR(__xludf.DUMMYFUNCTION("IMPORTRANGE(""1haSiP1YlxjODReGAO16yDBv48qp9eLRDfpKj-6mAlDQ"",""2025-26!AN4"")"),0.0)</f>
        <v>0</v>
      </c>
      <c r="CI223" s="55">
        <f>IFERROR(__xludf.DUMMYFUNCTION("IMPORTRANGE(""1haSiP1YlxjODReGAO16yDBv48qp9eLRDfpKj-6mAlDQ"",""2025-26!AN3"")"),0.0)</f>
        <v>0</v>
      </c>
      <c r="CJ223" s="55">
        <f>IFERROR(__xludf.DUMMYFUNCTION("IMPORTRANGE(""1haSiP1YlxjODReGAO16yDBv48qp9eLRDfpKj-6mAlDQ"",""2025-26!AO4"")"),0.0)</f>
        <v>0</v>
      </c>
      <c r="CK223" s="55">
        <f>IFERROR(__xludf.DUMMYFUNCTION("IMPORTRANGE(""1haSiP1YlxjODReGAO16yDBv48qp9eLRDfpKj-6mAlDQ"",""2025-26!AO3"")"),0.0)</f>
        <v>0</v>
      </c>
      <c r="CL223" s="59" t="str">
        <f t="shared" si="66"/>
        <v/>
      </c>
      <c r="CM223" s="55">
        <f>IFERROR(__xludf.DUMMYFUNCTION("IMPORTRANGE(""1haSiP1YlxjODReGAO16yDBv48qp9eLRDfpKj-6mAlDQ"",""2025-26!AP4"")"),0.0)</f>
        <v>0</v>
      </c>
      <c r="CN223" s="55">
        <f>IFERROR(__xludf.DUMMYFUNCTION("IMPORTRANGE(""1haSiP1YlxjODReGAO16yDBv48qp9eLRDfpKj-6mAlDQ"",""2025-26!AP3"")"),0.0)</f>
        <v>0</v>
      </c>
      <c r="CO223" s="55">
        <f>IFERROR(__xludf.DUMMYFUNCTION("IMPORTRANGE(""1haSiP1YlxjODReGAO16yDBv48qp9eLRDfpKj-6mAlDQ"",""2025-26!AQ4"")"),0.0)</f>
        <v>0</v>
      </c>
      <c r="CP223" s="55">
        <f>IFERROR(__xludf.DUMMYFUNCTION("IMPORTRANGE(""1haSiP1YlxjODReGAO16yDBv48qp9eLRDfpKj-6mAlDQ"",""2025-26!AQ3"")"),0.0)</f>
        <v>0</v>
      </c>
      <c r="CQ223" s="55">
        <f>IFERROR(__xludf.DUMMYFUNCTION("IMPORTRANGE(""1haSiP1YlxjODReGAO16yDBv48qp9eLRDfpKj-6mAlDQ"",""2025-26!AR4"")"),0.0)</f>
        <v>0</v>
      </c>
      <c r="CR223" s="55">
        <f>IFERROR(__xludf.DUMMYFUNCTION("IMPORTRANGE(""1haSiP1YlxjODReGAO16yDBv48qp9eLRDfpKj-6mAlDQ"",""2025-26!AR3"")"),0.0)</f>
        <v>0</v>
      </c>
      <c r="CS223" s="59" t="str">
        <f t="shared" si="67"/>
        <v/>
      </c>
      <c r="CT223" s="55">
        <f>IFERROR(__xludf.DUMMYFUNCTION("IMPORTRANGE(""1haSiP1YlxjODReGAO16yDBv48qp9eLRDfpKj-6mAlDQ"",""2025-26!AS4"")"),0.0)</f>
        <v>0</v>
      </c>
      <c r="CU223" s="55">
        <f>IFERROR(__xludf.DUMMYFUNCTION("IMPORTRANGE(""1haSiP1YlxjODReGAO16yDBv48qp9eLRDfpKj-6mAlDQ"",""2025-26!AS3"")"),0.0)</f>
        <v>0</v>
      </c>
      <c r="CV223" s="60" t="s">
        <v>130</v>
      </c>
    </row>
    <row r="224">
      <c r="A224" s="133" t="s">
        <v>126</v>
      </c>
      <c r="B224" s="134" t="s">
        <v>127</v>
      </c>
      <c r="C224" s="156" t="s">
        <v>447</v>
      </c>
      <c r="D224" s="68" t="s">
        <v>448</v>
      </c>
      <c r="E224" s="68">
        <v>9.616122166E9</v>
      </c>
      <c r="F224" s="78">
        <v>45797.0</v>
      </c>
      <c r="G224" s="62"/>
      <c r="H224" s="62"/>
      <c r="I224" s="53">
        <f>VLOOKUP($C224,Data!$C:$BV,72,0)</f>
        <v>33050</v>
      </c>
      <c r="J224" s="54">
        <v>1200000.0</v>
      </c>
      <c r="K224" s="55">
        <f>IFERROR(__xludf.DUMMYFUNCTION("IMPORTRANGE(""1qaO1IMPpqmEBNOfizAZLdNVdwcHZEJJTKh7_k8tOy6s"",""2025-26!A3"")"),54.0)</f>
        <v>54</v>
      </c>
      <c r="L224" s="55">
        <f>IFERROR(__xludf.DUMMYFUNCTION("IMPORTRANGE(""1qaO1IMPpqmEBNOfizAZLdNVdwcHZEJJTKh7_k8tOy6s"",""2025-26!G4"")"),8800000.0)</f>
        <v>8800000</v>
      </c>
      <c r="M224" s="55">
        <f t="shared" si="93"/>
        <v>2029046.94</v>
      </c>
      <c r="N224" s="56">
        <f t="shared" si="94"/>
        <v>0.1979135227</v>
      </c>
      <c r="O224" s="57">
        <f t="shared" si="95"/>
        <v>1741639</v>
      </c>
      <c r="P224" s="55">
        <f>IFERROR(__xludf.DUMMYFUNCTION("IMPORTRANGE(""1qaO1IMPpqmEBNOfizAZLdNVdwcHZEJJTKh7_k8tOy6s"",""2025-26!J4"")"),0.0)</f>
        <v>0</v>
      </c>
      <c r="Q224" s="55">
        <f>IFERROR(__xludf.DUMMYFUNCTION("IMPORTRANGE(""1qaO1IMPpqmEBNOfizAZLdNVdwcHZEJJTKh7_k8tOy6s"",""2025-26!J3"")"),0.0)</f>
        <v>0</v>
      </c>
      <c r="R224" s="55">
        <f>IFERROR(__xludf.DUMMYFUNCTION("IMPORTRANGE(""1qaO1IMPpqmEBNOfizAZLdNVdwcHZEJJTKh7_k8tOy6s"",""2025-26!K4"")"),0.0)</f>
        <v>0</v>
      </c>
      <c r="S224" s="55">
        <f>IFERROR(__xludf.DUMMYFUNCTION("IMPORTRANGE(""1qaO1IMPpqmEBNOfizAZLdNVdwcHZEJJTKh7_k8tOy6s"",""2025-26!K3"")"),0.0)</f>
        <v>0</v>
      </c>
      <c r="T224" s="58" t="str">
        <f t="shared" si="56"/>
        <v/>
      </c>
      <c r="U224" s="55">
        <f>IFERROR(__xludf.DUMMYFUNCTION("IMPORTRANGE(""1qaO1IMPpqmEBNOfizAZLdNVdwcHZEJJTKh7_k8tOy6s"",""2025-26!L4"")"),0.0)</f>
        <v>0</v>
      </c>
      <c r="V224" s="55">
        <f>IFERROR(__xludf.DUMMYFUNCTION("IMPORTRANGE(""1qaO1IMPpqmEBNOfizAZLdNVdwcHZEJJTKh7_k8tOy6s"",""2025-26!L3"")"),0.0)</f>
        <v>0</v>
      </c>
      <c r="W224" s="55">
        <f>IFERROR(__xludf.DUMMYFUNCTION("IMPORTRANGE(""1qaO1IMPpqmEBNOfizAZLdNVdwcHZEJJTKh7_k8tOy6s"",""2025-26!m4"")"),0.0)</f>
        <v>0</v>
      </c>
      <c r="X224" s="55">
        <f>IFERROR(__xludf.DUMMYFUNCTION("IMPORTRANGE(""1qaO1IMPpqmEBNOfizAZLdNVdwcHZEJJTKh7_k8tOy6s"",""2025-26!m3"")"),0.0)</f>
        <v>0</v>
      </c>
      <c r="Y224" s="55">
        <f>IFERROR(__xludf.DUMMYFUNCTION("IMPORTRANGE(""1qaO1IMPpqmEBNOfizAZLdNVdwcHZEJJTKh7_k8tOy6s"",""2025-26!N4"")"),0.0)</f>
        <v>0</v>
      </c>
      <c r="Z224" s="55">
        <f>IFERROR(__xludf.DUMMYFUNCTION("IMPORTRANGE(""1qaO1IMPpqmEBNOfizAZLdNVdwcHZEJJTKh7_k8tOy6s"",""2025-26!N3"")"),0.0)</f>
        <v>0</v>
      </c>
      <c r="AA224" s="58" t="str">
        <f t="shared" si="57"/>
        <v/>
      </c>
      <c r="AB224" s="55">
        <f>IFERROR(__xludf.DUMMYFUNCTION("IMPORTRANGE(""1qaO1IMPpqmEBNOfizAZLdNVdwcHZEJJTKh7_k8tOy6s"",""2025-26!O4"")"),0.0)</f>
        <v>0</v>
      </c>
      <c r="AC224" s="55">
        <f>IFERROR(__xludf.DUMMYFUNCTION("IMPORTRANGE(""1qaO1IMPpqmEBNOfizAZLdNVdwcHZEJJTKh7_k8tOy6s"",""2025-26!O3"")"),0.0)</f>
        <v>0</v>
      </c>
      <c r="AD224" s="55">
        <f>IFERROR(__xludf.DUMMYFUNCTION("IMPORTRANGE(""1qaO1IMPpqmEBNOfizAZLdNVdwcHZEJJTKh7_k8tOy6s"",""2025-26!P4"")"),0.0)</f>
        <v>0</v>
      </c>
      <c r="AE224" s="55">
        <f>IFERROR(__xludf.DUMMYFUNCTION("IMPORTRANGE(""1qaO1IMPpqmEBNOfizAZLdNVdwcHZEJJTKh7_k8tOy6s"",""2025-26!P3"")"),0.0)</f>
        <v>0</v>
      </c>
      <c r="AF224" s="55">
        <f>IFERROR(__xludf.DUMMYFUNCTION("IMPORTRANGE(""1qaO1IMPpqmEBNOfizAZLdNVdwcHZEJJTKh7_k8tOy6s"",""2025-26!Q4"")"),344499.7)</f>
        <v>344499.7</v>
      </c>
      <c r="AG224" s="55">
        <f>IFERROR(__xludf.DUMMYFUNCTION("IMPORTRANGE(""1qaO1IMPpqmEBNOfizAZLdNVdwcHZEJJTKh7_k8tOy6s"",""2025-26!Q3"")"),6.0)</f>
        <v>6</v>
      </c>
      <c r="AH224" s="58" t="str">
        <f t="shared" si="58"/>
        <v/>
      </c>
      <c r="AI224" s="55">
        <f>IFERROR(__xludf.DUMMYFUNCTION("IMPORTRANGE(""1qaO1IMPpqmEBNOfizAZLdNVdwcHZEJJTKh7_k8tOy6s"",""2025-26!R4"")"),344140.0)</f>
        <v>344140</v>
      </c>
      <c r="AJ224" s="55">
        <f>IFERROR(__xludf.DUMMYFUNCTION("IMPORTRANGE(""1qaO1IMPpqmEBNOfizAZLdNVdwcHZEJJTKh7_k8tOy6s"",""2025-26!R3"")"),6.0)</f>
        <v>6</v>
      </c>
      <c r="AK224" s="55">
        <f>IFERROR(__xludf.DUMMYFUNCTION("IMPORTRANGE(""1qaO1IMPpqmEBNOfizAZLdNVdwcHZEJJTKh7_k8tOy6s"",""2025-26!S4"")"),350000.0)</f>
        <v>350000</v>
      </c>
      <c r="AL224" s="55">
        <f>IFERROR(__xludf.DUMMYFUNCTION("IMPORTRANGE(""1qaO1IMPpqmEBNOfizAZLdNVdwcHZEJJTKh7_k8tOy6s"",""2025-26!S3"")"),7.0)</f>
        <v>7</v>
      </c>
      <c r="AM224" s="55">
        <f>IFERROR(__xludf.DUMMYFUNCTION("IMPORTRANGE(""1qaO1IMPpqmEBNOfizAZLdNVdwcHZEJJTKh7_k8tOy6s"",""2025-26!T4"")"),288908.5)</f>
        <v>288908.5</v>
      </c>
      <c r="AN224" s="55">
        <f>IFERROR(__xludf.DUMMYFUNCTION("IMPORTRANGE(""1qaO1IMPpqmEBNOfizAZLdNVdwcHZEJJTKh7_k8tOy6s"",""2025-26!T3"")"),7.0)</f>
        <v>7</v>
      </c>
      <c r="AO224" s="58">
        <f t="shared" si="59"/>
        <v>0.8154457143</v>
      </c>
      <c r="AP224" s="55">
        <f>IFERROR(__xludf.DUMMYFUNCTION("IMPORTRANGE(""1qaO1IMPpqmEBNOfizAZLdNVdwcHZEJJTKh7_k8tOy6s"",""2025-26!U4"")"),285406.0)</f>
        <v>285406</v>
      </c>
      <c r="AQ224" s="55">
        <f>IFERROR(__xludf.DUMMYFUNCTION("IMPORTRANGE(""1qaO1IMPpqmEBNOfizAZLdNVdwcHZEJJTKh7_k8tOy6s"",""2025-26!U3"")"),7.0)</f>
        <v>7</v>
      </c>
      <c r="AR224" s="55">
        <f>IFERROR(__xludf.DUMMYFUNCTION("IMPORTRANGE(""1qaO1IMPpqmEBNOfizAZLdNVdwcHZEJJTKh7_k8tOy6s"",""2025-26!V4"")"),800000.0)</f>
        <v>800000</v>
      </c>
      <c r="AS224" s="55">
        <f>IFERROR(__xludf.DUMMYFUNCTION("IMPORTRANGE(""1qaO1IMPpqmEBNOfizAZLdNVdwcHZEJJTKh7_k8tOy6s"",""2025-26!V3"")"),15.0)</f>
        <v>15</v>
      </c>
      <c r="AT224" s="55">
        <f>IFERROR(__xludf.DUMMYFUNCTION("IMPORTRANGE(""1qaO1IMPpqmEBNOfizAZLdNVdwcHZEJJTKh7_k8tOy6s"",""2025-26!W4"")"),412921.74)</f>
        <v>412921.74</v>
      </c>
      <c r="AU224" s="55">
        <f>IFERROR(__xludf.DUMMYFUNCTION("IMPORTRANGE(""1qaO1IMPpqmEBNOfizAZLdNVdwcHZEJJTKh7_k8tOy6s"",""2025-26!W3"")"),7.0)</f>
        <v>7</v>
      </c>
      <c r="AV224" s="58">
        <f t="shared" si="60"/>
        <v>0.51545</v>
      </c>
      <c r="AW224" s="55">
        <f>IFERROR(__xludf.DUMMYFUNCTION("IMPORTRANGE(""1qaO1IMPpqmEBNOfizAZLdNVdwcHZEJJTKh7_k8tOy6s"",""2025-26!X4"")"),412360.0)</f>
        <v>412360</v>
      </c>
      <c r="AX224" s="55">
        <f>IFERROR(__xludf.DUMMYFUNCTION("IMPORTRANGE(""1qaO1IMPpqmEBNOfizAZLdNVdwcHZEJJTKh7_k8tOy6s"",""2025-26!X3"")"),7.0)</f>
        <v>7</v>
      </c>
      <c r="AY224" s="55">
        <f>IFERROR(__xludf.DUMMYFUNCTION("IMPORTRANGE(""1qaO1IMPpqmEBNOfizAZLdNVdwcHZEJJTKh7_k8tOy6s"",""2025-26!Y4"")"),0.0)</f>
        <v>0</v>
      </c>
      <c r="AZ224" s="55">
        <f>IFERROR(__xludf.DUMMYFUNCTION("IMPORTRANGE(""1qaO1IMPpqmEBNOfizAZLdNVdwcHZEJJTKh7_k8tOy6s"",""2025-26!Y3"")"),0.0)</f>
        <v>0</v>
      </c>
      <c r="BA224" s="55">
        <f>IFERROR(__xludf.DUMMYFUNCTION("IMPORTRANGE(""1qaO1IMPpqmEBNOfizAZLdNVdwcHZEJJTKh7_k8tOy6s"",""2025-26!Z4"")"),427441.38)</f>
        <v>427441.38</v>
      </c>
      <c r="BB224" s="55">
        <f>IFERROR(__xludf.DUMMYFUNCTION("IMPORTRANGE(""1qaO1IMPpqmEBNOfizAZLdNVdwcHZEJJTKh7_k8tOy6s"",""2025-26!Z3"")"),8.0)</f>
        <v>8</v>
      </c>
      <c r="BC224" s="59" t="str">
        <f t="shared" si="61"/>
        <v/>
      </c>
      <c r="BD224" s="55">
        <f>IFERROR(__xludf.DUMMYFUNCTION("IMPORTRANGE(""1qaO1IMPpqmEBNOfizAZLdNVdwcHZEJJTKh7_k8tOy6s"",""2025-26!AA4"")"),353757.0)</f>
        <v>353757</v>
      </c>
      <c r="BE224" s="55">
        <f>IFERROR(__xludf.DUMMYFUNCTION("IMPORTRANGE(""1qaO1IMPpqmEBNOfizAZLdNVdwcHZEJJTKh7_k8tOy6s"",""2025-26!AA3"")"),7.0)</f>
        <v>7</v>
      </c>
      <c r="BF224" s="55">
        <f>IFERROR(__xludf.DUMMYFUNCTION("IMPORTRANGE(""1qaO1IMPpqmEBNOfizAZLdNVdwcHZEJJTKh7_k8tOy6s"",""2025-26!AB4"")"),600000.0)</f>
        <v>600000</v>
      </c>
      <c r="BG224" s="55">
        <f>IFERROR(__xludf.DUMMYFUNCTION("IMPORTRANGE(""1qaO1IMPpqmEBNOfizAZLdNVdwcHZEJJTKh7_k8tOy6s"",""2025-26!AB3"")"),12.0)</f>
        <v>12</v>
      </c>
      <c r="BH224" s="55">
        <f>IFERROR(__xludf.DUMMYFUNCTION("IMPORTRANGE(""1qaO1IMPpqmEBNOfizAZLdNVdwcHZEJJTKh7_k8tOy6s"",""2025-26!AC4"")"),405735.61999999994)</f>
        <v>405735.62</v>
      </c>
      <c r="BI224" s="55">
        <f>IFERROR(__xludf.DUMMYFUNCTION("IMPORTRANGE(""1qaO1IMPpqmEBNOfizAZLdNVdwcHZEJJTKh7_k8tOy6s"",""2025-26!AC3"")"),9.0)</f>
        <v>9</v>
      </c>
      <c r="BJ224" s="59">
        <f t="shared" si="62"/>
        <v>0.5766266667</v>
      </c>
      <c r="BK224" s="55">
        <f>IFERROR(__xludf.DUMMYFUNCTION("IMPORTRANGE(""1qaO1IMPpqmEBNOfizAZLdNVdwcHZEJJTKh7_k8tOy6s"",""2025-26!AD4"")"),345976.0)</f>
        <v>345976</v>
      </c>
      <c r="BL224" s="55">
        <f>IFERROR(__xludf.DUMMYFUNCTION("IMPORTRANGE(""1qaO1IMPpqmEBNOfizAZLdNVdwcHZEJJTKh7_k8tOy6s"",""2025-26!AD3"")"),8.0)</f>
        <v>8</v>
      </c>
      <c r="BM224" s="55">
        <f>IFERROR(__xludf.DUMMYFUNCTION("IMPORTRANGE(""1qaO1IMPpqmEBNOfizAZLdNVdwcHZEJJTKh7_k8tOy6s"",""2025-26!AE4"")"),1200000.0)</f>
        <v>1200000</v>
      </c>
      <c r="BN224" s="55">
        <f>IFERROR(__xludf.DUMMYFUNCTION("IMPORTRANGE(""1qaO1IMPpqmEBNOfizAZLdNVdwcHZEJJTKh7_k8tOy6s"",""2025-26!AE3"")"),23.0)</f>
        <v>23</v>
      </c>
      <c r="BO224" s="55">
        <f>IFERROR(__xludf.DUMMYFUNCTION("IMPORTRANGE(""1qaO1IMPpqmEBNOfizAZLdNVdwcHZEJJTKh7_k8tOy6s"",""2025-26!AF4"")"),133577.5)</f>
        <v>133577.5</v>
      </c>
      <c r="BP224" s="55">
        <f>IFERROR(__xludf.DUMMYFUNCTION("IMPORTRANGE(""1qaO1IMPpqmEBNOfizAZLdNVdwcHZEJJTKh7_k8tOy6s"",""2025-26!AF3"")"),4.0)</f>
        <v>4</v>
      </c>
      <c r="BQ224" s="59">
        <f t="shared" si="63"/>
        <v>0</v>
      </c>
      <c r="BR224" s="55">
        <f>IFERROR(__xludf.DUMMYFUNCTION("IMPORTRANGE(""1qaO1IMPpqmEBNOfizAZLdNVdwcHZEJJTKh7_k8tOy6s"",""2025-26!AG4"")"),0.0)</f>
        <v>0</v>
      </c>
      <c r="BS224" s="55">
        <f>IFERROR(__xludf.DUMMYFUNCTION("IMPORTRANGE(""1qaO1IMPpqmEBNOfizAZLdNVdwcHZEJJTKh7_k8tOy6s"",""2025-26!AG3"")"),0.0)</f>
        <v>0</v>
      </c>
      <c r="BT224" s="55">
        <f>IFERROR(__xludf.DUMMYFUNCTION("IMPORTRANGE(""1qaO1IMPpqmEBNOfizAZLdNVdwcHZEJJTKh7_k8tOy6s"",""2025-26!AH4"")"),0.0)</f>
        <v>0</v>
      </c>
      <c r="BU224" s="55">
        <f>IFERROR(__xludf.DUMMYFUNCTION("IMPORTRANGE(""1qaO1IMPpqmEBNOfizAZLdNVdwcHZEJJTKh7_k8tOy6s"",""2025-26!AH3"")"),0.0)</f>
        <v>0</v>
      </c>
      <c r="BV224" s="55">
        <f>IFERROR(__xludf.DUMMYFUNCTION("IMPORTRANGE(""1qaO1IMPpqmEBNOfizAZLdNVdwcHZEJJTKh7_k8tOy6s"",""2025-26!AI4"")"),15962.5)</f>
        <v>15962.5</v>
      </c>
      <c r="BW224" s="55">
        <f>IFERROR(__xludf.DUMMYFUNCTION("IMPORTRANGE(""1qaO1IMPpqmEBNOfizAZLdNVdwcHZEJJTKh7_k8tOy6s"",""2025-26!AI3"")"),1.0)</f>
        <v>1</v>
      </c>
      <c r="BX224" s="59" t="str">
        <f t="shared" si="64"/>
        <v/>
      </c>
      <c r="BY224" s="55">
        <f>IFERROR(__xludf.DUMMYFUNCTION("IMPORTRANGE(""1qaO1IMPpqmEBNOfizAZLdNVdwcHZEJJTKh7_k8tOy6s"",""2025-26!AJ4"")"),0.0)</f>
        <v>0</v>
      </c>
      <c r="BZ224" s="55">
        <f>IFERROR(__xludf.DUMMYFUNCTION("IMPORTRANGE(""1qaO1IMPpqmEBNOfizAZLdNVdwcHZEJJTKh7_k8tOy6s"",""2025-26!AJ3"")"),0.0)</f>
        <v>0</v>
      </c>
      <c r="CA224" s="55">
        <f>IFERROR(__xludf.DUMMYFUNCTION("IMPORTRANGE(""1qaO1IMPpqmEBNOfizAZLdNVdwcHZEJJTKh7_k8tOy6s"",""2025-26!AK4"")"),0.0)</f>
        <v>0</v>
      </c>
      <c r="CB224" s="55">
        <f>IFERROR(__xludf.DUMMYFUNCTION("IMPORTRANGE(""1qaO1IMPpqmEBNOfizAZLdNVdwcHZEJJTKh7_k8tOy6s"",""2025-26!AK3"")"),0.0)</f>
        <v>0</v>
      </c>
      <c r="CC224" s="55">
        <f>IFERROR(__xludf.DUMMYFUNCTION("IMPORTRANGE(""1qaO1IMPpqmEBNOfizAZLdNVdwcHZEJJTKh7_k8tOy6s"",""2025-26!AL4"")"),0.0)</f>
        <v>0</v>
      </c>
      <c r="CD224" s="55">
        <f>IFERROR(__xludf.DUMMYFUNCTION("IMPORTRANGE(""1qaO1IMPpqmEBNOfizAZLdNVdwcHZEJJTKh7_k8tOy6s"",""2025-26!AL3"")"),0.0)</f>
        <v>0</v>
      </c>
      <c r="CE224" s="59" t="str">
        <f t="shared" si="65"/>
        <v/>
      </c>
      <c r="CF224" s="55">
        <f>IFERROR(__xludf.DUMMYFUNCTION("IMPORTRANGE(""1qaO1IMPpqmEBNOfizAZLdNVdwcHZEJJTKh7_k8tOy6s"",""2025-26!AM4"")"),0.0)</f>
        <v>0</v>
      </c>
      <c r="CG224" s="55">
        <f>IFERROR(__xludf.DUMMYFUNCTION("IMPORTRANGE(""1qaO1IMPpqmEBNOfizAZLdNVdwcHZEJJTKh7_k8tOy6s"",""2025-26!AM3"")"),0.0)</f>
        <v>0</v>
      </c>
      <c r="CH224" s="55">
        <f>IFERROR(__xludf.DUMMYFUNCTION("IMPORTRANGE(""1qaO1IMPpqmEBNOfizAZLdNVdwcHZEJJTKh7_k8tOy6s"",""2025-26!AN4"")"),0.0)</f>
        <v>0</v>
      </c>
      <c r="CI224" s="55">
        <f>IFERROR(__xludf.DUMMYFUNCTION("IMPORTRANGE(""1qaO1IMPpqmEBNOfizAZLdNVdwcHZEJJTKh7_k8tOy6s"",""2025-26!AN3"")"),0.0)</f>
        <v>0</v>
      </c>
      <c r="CJ224" s="55">
        <f>IFERROR(__xludf.DUMMYFUNCTION("IMPORTRANGE(""1qaO1IMPpqmEBNOfizAZLdNVdwcHZEJJTKh7_k8tOy6s"",""2025-26!AO4"")"),0.0)</f>
        <v>0</v>
      </c>
      <c r="CK224" s="55">
        <f>IFERROR(__xludf.DUMMYFUNCTION("IMPORTRANGE(""1qaO1IMPpqmEBNOfizAZLdNVdwcHZEJJTKh7_k8tOy6s"",""2025-26!AO3"")"),0.0)</f>
        <v>0</v>
      </c>
      <c r="CL224" s="59" t="str">
        <f t="shared" si="66"/>
        <v/>
      </c>
      <c r="CM224" s="55">
        <f>IFERROR(__xludf.DUMMYFUNCTION("IMPORTRANGE(""1qaO1IMPpqmEBNOfizAZLdNVdwcHZEJJTKh7_k8tOy6s"",""2025-26!AP4"")"),0.0)</f>
        <v>0</v>
      </c>
      <c r="CN224" s="55">
        <f>IFERROR(__xludf.DUMMYFUNCTION("IMPORTRANGE(""1qaO1IMPpqmEBNOfizAZLdNVdwcHZEJJTKh7_k8tOy6s"",""2025-26!AP3"")"),0.0)</f>
        <v>0</v>
      </c>
      <c r="CO224" s="55">
        <f>IFERROR(__xludf.DUMMYFUNCTION("IMPORTRANGE(""1qaO1IMPpqmEBNOfizAZLdNVdwcHZEJJTKh7_k8tOy6s"",""2025-26!AQ4"")"),0.0)</f>
        <v>0</v>
      </c>
      <c r="CP224" s="55">
        <f>IFERROR(__xludf.DUMMYFUNCTION("IMPORTRANGE(""1qaO1IMPpqmEBNOfizAZLdNVdwcHZEJJTKh7_k8tOy6s"",""2025-26!AQ3"")"),0.0)</f>
        <v>0</v>
      </c>
      <c r="CQ224" s="55">
        <f>IFERROR(__xludf.DUMMYFUNCTION("IMPORTRANGE(""1qaO1IMPpqmEBNOfizAZLdNVdwcHZEJJTKh7_k8tOy6s"",""2025-26!AR4"")"),0.0)</f>
        <v>0</v>
      </c>
      <c r="CR224" s="55">
        <f>IFERROR(__xludf.DUMMYFUNCTION("IMPORTRANGE(""1qaO1IMPpqmEBNOfizAZLdNVdwcHZEJJTKh7_k8tOy6s"",""2025-26!AR3"")"),0.0)</f>
        <v>0</v>
      </c>
      <c r="CS224" s="59" t="str">
        <f t="shared" si="67"/>
        <v/>
      </c>
      <c r="CT224" s="55">
        <f>IFERROR(__xludf.DUMMYFUNCTION("IMPORTRANGE(""1qaO1IMPpqmEBNOfizAZLdNVdwcHZEJJTKh7_k8tOy6s"",""2025-26!AS4"")"),0.0)</f>
        <v>0</v>
      </c>
      <c r="CU224" s="55">
        <f>IFERROR(__xludf.DUMMYFUNCTION("IMPORTRANGE(""1qaO1IMPpqmEBNOfizAZLdNVdwcHZEJJTKh7_k8tOy6s"",""2025-26!AS3"")"),0.0)</f>
        <v>0</v>
      </c>
      <c r="CV224" s="60" t="s">
        <v>130</v>
      </c>
    </row>
    <row r="225">
      <c r="A225" s="133" t="s">
        <v>126</v>
      </c>
      <c r="B225" s="134" t="s">
        <v>127</v>
      </c>
      <c r="C225" s="136" t="s">
        <v>449</v>
      </c>
      <c r="D225" s="68" t="s">
        <v>151</v>
      </c>
      <c r="E225" s="68">
        <v>9.198396282E9</v>
      </c>
      <c r="F225" s="78">
        <v>45839.0</v>
      </c>
      <c r="G225" s="62"/>
      <c r="H225" s="62"/>
      <c r="I225" s="53">
        <f>VLOOKUP($C225,Data!$C:$BV,34,0)</f>
        <v>99750</v>
      </c>
      <c r="J225" s="54">
        <v>3500000.0</v>
      </c>
      <c r="K225" s="55">
        <f>IFERROR(__xludf.DUMMYFUNCTION("IMPORTRANGE(""1Sl-erOK-cdb8-JzSrLsnrDJJBl69pGmodIAZ9ADURhM"",""2025-26!A3"")"),137.0)</f>
        <v>137</v>
      </c>
      <c r="L225" s="55">
        <f>IFERROR(__xludf.DUMMYFUNCTION("IMPORTRANGE(""1Sl-erOK-cdb8-JzSrLsnrDJJBl69pGmodIAZ9ADURhM"",""2025-26!G4"")"),0.0)</f>
        <v>0</v>
      </c>
      <c r="M225" s="55">
        <f t="shared" si="93"/>
        <v>256329.44</v>
      </c>
      <c r="N225" s="56" t="str">
        <f t="shared" si="94"/>
        <v>#DIV/0!</v>
      </c>
      <c r="O225" s="57">
        <f t="shared" si="95"/>
        <v>0</v>
      </c>
      <c r="P225" s="55">
        <f>IFERROR(__xludf.DUMMYFUNCTION("IMPORTRANGE(""1Sl-erOK-cdb8-JzSrLsnrDJJBl69pGmodIAZ9ADURhM"",""2025-26!J4"")"),0.0)</f>
        <v>0</v>
      </c>
      <c r="Q225" s="55">
        <f>IFERROR(__xludf.DUMMYFUNCTION("IMPORTRANGE(""1Sl-erOK-cdb8-JzSrLsnrDJJBl69pGmodIAZ9ADURhM"",""2025-26!J3"")"),0.0)</f>
        <v>0</v>
      </c>
      <c r="R225" s="55">
        <f>IFERROR(__xludf.DUMMYFUNCTION("IMPORTRANGE(""1Sl-erOK-cdb8-JzSrLsnrDJJBl69pGmodIAZ9ADURhM"",""2025-26!K4"")"),0.0)</f>
        <v>0</v>
      </c>
      <c r="S225" s="55">
        <f>IFERROR(__xludf.DUMMYFUNCTION("IMPORTRANGE(""1Sl-erOK-cdb8-JzSrLsnrDJJBl69pGmodIAZ9ADURhM"",""2025-26!K3"")"),0.0)</f>
        <v>0</v>
      </c>
      <c r="T225" s="58" t="str">
        <f t="shared" si="56"/>
        <v/>
      </c>
      <c r="U225" s="55">
        <f>IFERROR(__xludf.DUMMYFUNCTION("IMPORTRANGE(""1Sl-erOK-cdb8-JzSrLsnrDJJBl69pGmodIAZ9ADURhM"",""2025-26!L4"")"),0.0)</f>
        <v>0</v>
      </c>
      <c r="V225" s="55">
        <f>IFERROR(__xludf.DUMMYFUNCTION("IMPORTRANGE(""1Sl-erOK-cdb8-JzSrLsnrDJJBl69pGmodIAZ9ADURhM"",""2025-26!L3"")"),0.0)</f>
        <v>0</v>
      </c>
      <c r="W225" s="55">
        <f>IFERROR(__xludf.DUMMYFUNCTION("IMPORTRANGE(""1Sl-erOK-cdb8-JzSrLsnrDJJBl69pGmodIAZ9ADURhM"",""2025-26!m4"")"),0.0)</f>
        <v>0</v>
      </c>
      <c r="X225" s="55">
        <f>IFERROR(__xludf.DUMMYFUNCTION("IMPORTRANGE(""1Sl-erOK-cdb8-JzSrLsnrDJJBl69pGmodIAZ9ADURhM"",""2025-26!m3"")"),0.0)</f>
        <v>0</v>
      </c>
      <c r="Y225" s="55">
        <f>IFERROR(__xludf.DUMMYFUNCTION("IMPORTRANGE(""1Sl-erOK-cdb8-JzSrLsnrDJJBl69pGmodIAZ9ADURhM"",""2025-26!N4"")"),0.0)</f>
        <v>0</v>
      </c>
      <c r="Z225" s="55">
        <f>IFERROR(__xludf.DUMMYFUNCTION("IMPORTRANGE(""1Sl-erOK-cdb8-JzSrLsnrDJJBl69pGmodIAZ9ADURhM"",""2025-26!N3"")"),0.0)</f>
        <v>0</v>
      </c>
      <c r="AA225" s="58" t="str">
        <f t="shared" si="57"/>
        <v/>
      </c>
      <c r="AB225" s="55">
        <f>IFERROR(__xludf.DUMMYFUNCTION("IMPORTRANGE(""1Sl-erOK-cdb8-JzSrLsnrDJJBl69pGmodIAZ9ADURhM"",""2025-26!O4"")"),0.0)</f>
        <v>0</v>
      </c>
      <c r="AC225" s="55">
        <f>IFERROR(__xludf.DUMMYFUNCTION("IMPORTRANGE(""1Sl-erOK-cdb8-JzSrLsnrDJJBl69pGmodIAZ9ADURhM"",""2025-26!O3"")"),0.0)</f>
        <v>0</v>
      </c>
      <c r="AD225" s="55">
        <f>IFERROR(__xludf.DUMMYFUNCTION("IMPORTRANGE(""1Sl-erOK-cdb8-JzSrLsnrDJJBl69pGmodIAZ9ADURhM"",""2025-26!P4"")"),0.0)</f>
        <v>0</v>
      </c>
      <c r="AE225" s="55">
        <f>IFERROR(__xludf.DUMMYFUNCTION("IMPORTRANGE(""1Sl-erOK-cdb8-JzSrLsnrDJJBl69pGmodIAZ9ADURhM"",""2025-26!P3"")"),0.0)</f>
        <v>0</v>
      </c>
      <c r="AF225" s="55">
        <f>IFERROR(__xludf.DUMMYFUNCTION("IMPORTRANGE(""1Sl-erOK-cdb8-JzSrLsnrDJJBl69pGmodIAZ9ADURhM"",""2025-26!Q4"")"),0.0)</f>
        <v>0</v>
      </c>
      <c r="AG225" s="55">
        <f>IFERROR(__xludf.DUMMYFUNCTION("IMPORTRANGE(""1Sl-erOK-cdb8-JzSrLsnrDJJBl69pGmodIAZ9ADURhM"",""2025-26!Q3"")"),0.0)</f>
        <v>0</v>
      </c>
      <c r="AH225" s="58" t="str">
        <f t="shared" si="58"/>
        <v/>
      </c>
      <c r="AI225" s="55">
        <f>IFERROR(__xludf.DUMMYFUNCTION("IMPORTRANGE(""1Sl-erOK-cdb8-JzSrLsnrDJJBl69pGmodIAZ9ADURhM"",""2025-26!R4"")"),0.0)</f>
        <v>0</v>
      </c>
      <c r="AJ225" s="55">
        <f>IFERROR(__xludf.DUMMYFUNCTION("IMPORTRANGE(""1Sl-erOK-cdb8-JzSrLsnrDJJBl69pGmodIAZ9ADURhM"",""2025-26!R3"")"),0.0)</f>
        <v>0</v>
      </c>
      <c r="AK225" s="55">
        <f>IFERROR(__xludf.DUMMYFUNCTION("IMPORTRANGE(""1Sl-erOK-cdb8-JzSrLsnrDJJBl69pGmodIAZ9ADURhM"",""2025-26!S4"")"),0.0)</f>
        <v>0</v>
      </c>
      <c r="AL225" s="55">
        <f>IFERROR(__xludf.DUMMYFUNCTION("IMPORTRANGE(""1Sl-erOK-cdb8-JzSrLsnrDJJBl69pGmodIAZ9ADURhM"",""2025-26!S3"")"),0.0)</f>
        <v>0</v>
      </c>
      <c r="AM225" s="55">
        <f>IFERROR(__xludf.DUMMYFUNCTION("IMPORTRANGE(""1Sl-erOK-cdb8-JzSrLsnrDJJBl69pGmodIAZ9ADURhM"",""2025-26!T4"")"),0.0)</f>
        <v>0</v>
      </c>
      <c r="AN225" s="55">
        <f>IFERROR(__xludf.DUMMYFUNCTION("IMPORTRANGE(""1Sl-erOK-cdb8-JzSrLsnrDJJBl69pGmodIAZ9ADURhM"",""2025-26!T3"")"),0.0)</f>
        <v>0</v>
      </c>
      <c r="AO225" s="58" t="str">
        <f t="shared" si="59"/>
        <v/>
      </c>
      <c r="AP225" s="55">
        <f>IFERROR(__xludf.DUMMYFUNCTION("IMPORTRANGE(""1Sl-erOK-cdb8-JzSrLsnrDJJBl69pGmodIAZ9ADURhM"",""2025-26!U4"")"),0.0)</f>
        <v>0</v>
      </c>
      <c r="AQ225" s="55">
        <f>IFERROR(__xludf.DUMMYFUNCTION("IMPORTRANGE(""1Sl-erOK-cdb8-JzSrLsnrDJJBl69pGmodIAZ9ADURhM"",""2025-26!U3"")"),0.0)</f>
        <v>0</v>
      </c>
      <c r="AR225" s="55">
        <f>IFERROR(__xludf.DUMMYFUNCTION("IMPORTRANGE(""1Sl-erOK-cdb8-JzSrLsnrDJJBl69pGmodIAZ9ADURhM"",""2025-26!V4"")"),0.0)</f>
        <v>0</v>
      </c>
      <c r="AS225" s="55">
        <f>IFERROR(__xludf.DUMMYFUNCTION("IMPORTRANGE(""1Sl-erOK-cdb8-JzSrLsnrDJJBl69pGmodIAZ9ADURhM"",""2025-26!V3"")"),0.0)</f>
        <v>0</v>
      </c>
      <c r="AT225" s="55">
        <f>IFERROR(__xludf.DUMMYFUNCTION("IMPORTRANGE(""1Sl-erOK-cdb8-JzSrLsnrDJJBl69pGmodIAZ9ADURhM"",""2025-26!W4"")"),0.0)</f>
        <v>0</v>
      </c>
      <c r="AU225" s="55">
        <f>IFERROR(__xludf.DUMMYFUNCTION("IMPORTRANGE(""1Sl-erOK-cdb8-JzSrLsnrDJJBl69pGmodIAZ9ADURhM"",""2025-26!W3"")"),0.0)</f>
        <v>0</v>
      </c>
      <c r="AV225" s="58" t="str">
        <f t="shared" si="60"/>
        <v/>
      </c>
      <c r="AW225" s="55">
        <f>IFERROR(__xludf.DUMMYFUNCTION("IMPORTRANGE(""1Sl-erOK-cdb8-JzSrLsnrDJJBl69pGmodIAZ9ADURhM"",""2025-26!X4"")"),0.0)</f>
        <v>0</v>
      </c>
      <c r="AX225" s="55">
        <f>IFERROR(__xludf.DUMMYFUNCTION("IMPORTRANGE(""1Sl-erOK-cdb8-JzSrLsnrDJJBl69pGmodIAZ9ADURhM"",""2025-26!X3"")"),0.0)</f>
        <v>0</v>
      </c>
      <c r="AY225" s="55">
        <f>IFERROR(__xludf.DUMMYFUNCTION("IMPORTRANGE(""1Sl-erOK-cdb8-JzSrLsnrDJJBl69pGmodIAZ9ADURhM"",""2025-26!Y4"")"),2000000.0)</f>
        <v>2000000</v>
      </c>
      <c r="AZ225" s="55">
        <f>IFERROR(__xludf.DUMMYFUNCTION("IMPORTRANGE(""1Sl-erOK-cdb8-JzSrLsnrDJJBl69pGmodIAZ9ADURhM"",""2025-26!Y3"")"),55.0)</f>
        <v>55</v>
      </c>
      <c r="BA225" s="55">
        <f>IFERROR(__xludf.DUMMYFUNCTION("IMPORTRANGE(""1Sl-erOK-cdb8-JzSrLsnrDJJBl69pGmodIAZ9ADURhM"",""2025-26!Z4"")"),0.0)</f>
        <v>0</v>
      </c>
      <c r="BB225" s="55">
        <f>IFERROR(__xludf.DUMMYFUNCTION("IMPORTRANGE(""1Sl-erOK-cdb8-JzSrLsnrDJJBl69pGmodIAZ9ADURhM"",""2025-26!Z3"")"),0.0)</f>
        <v>0</v>
      </c>
      <c r="BC225" s="59">
        <f t="shared" si="61"/>
        <v>0</v>
      </c>
      <c r="BD225" s="55">
        <f>IFERROR(__xludf.DUMMYFUNCTION("IMPORTRANGE(""1Sl-erOK-cdb8-JzSrLsnrDJJBl69pGmodIAZ9ADURhM"",""2025-26!AA4"")"),0.0)</f>
        <v>0</v>
      </c>
      <c r="BE225" s="55">
        <f>IFERROR(__xludf.DUMMYFUNCTION("IMPORTRANGE(""1Sl-erOK-cdb8-JzSrLsnrDJJBl69pGmodIAZ9ADURhM"",""2025-26!AA3"")"),0.0)</f>
        <v>0</v>
      </c>
      <c r="BF225" s="55">
        <f>IFERROR(__xludf.DUMMYFUNCTION("IMPORTRANGE(""1Sl-erOK-cdb8-JzSrLsnrDJJBl69pGmodIAZ9ADURhM"",""2025-26!AB4"")"),0.0)</f>
        <v>0</v>
      </c>
      <c r="BG225" s="55">
        <f>IFERROR(__xludf.DUMMYFUNCTION("IMPORTRANGE(""1Sl-erOK-cdb8-JzSrLsnrDJJBl69pGmodIAZ9ADURhM"",""2025-26!AB3"")"),0.0)</f>
        <v>0</v>
      </c>
      <c r="BH225" s="55">
        <f>IFERROR(__xludf.DUMMYFUNCTION("IMPORTRANGE(""1Sl-erOK-cdb8-JzSrLsnrDJJBl69pGmodIAZ9ADURhM"",""2025-26!AC4"")"),81829.44)</f>
        <v>81829.44</v>
      </c>
      <c r="BI225" s="55">
        <f>IFERROR(__xludf.DUMMYFUNCTION("IMPORTRANGE(""1Sl-erOK-cdb8-JzSrLsnrDJJBl69pGmodIAZ9ADURhM"",""2025-26!AC3"")"),2.0)</f>
        <v>2</v>
      </c>
      <c r="BJ225" s="59" t="str">
        <f t="shared" si="62"/>
        <v/>
      </c>
      <c r="BK225" s="55">
        <f>IFERROR(__xludf.DUMMYFUNCTION("IMPORTRANGE(""1Sl-erOK-cdb8-JzSrLsnrDJJBl69pGmodIAZ9ADURhM"",""2025-26!AD4"")"),0.0)</f>
        <v>0</v>
      </c>
      <c r="BL225" s="55">
        <f>IFERROR(__xludf.DUMMYFUNCTION("IMPORTRANGE(""1Sl-erOK-cdb8-JzSrLsnrDJJBl69pGmodIAZ9ADURhM"",""2025-26!AD3"")"),0.0)</f>
        <v>0</v>
      </c>
      <c r="BM225" s="55">
        <f>IFERROR(__xludf.DUMMYFUNCTION("IMPORTRANGE(""1Sl-erOK-cdb8-JzSrLsnrDJJBl69pGmodIAZ9ADURhM"",""2025-26!AE4"")"),0.0)</f>
        <v>0</v>
      </c>
      <c r="BN225" s="55">
        <f>IFERROR(__xludf.DUMMYFUNCTION("IMPORTRANGE(""1Sl-erOK-cdb8-JzSrLsnrDJJBl69pGmodIAZ9ADURhM"",""2025-26!AE3"")"),0.0)</f>
        <v>0</v>
      </c>
      <c r="BO225" s="55">
        <f>IFERROR(__xludf.DUMMYFUNCTION("IMPORTRANGE(""1Sl-erOK-cdb8-JzSrLsnrDJJBl69pGmodIAZ9ADURhM"",""2025-26!AF4"")"),174500.0)</f>
        <v>174500</v>
      </c>
      <c r="BP225" s="55">
        <f>IFERROR(__xludf.DUMMYFUNCTION("IMPORTRANGE(""1Sl-erOK-cdb8-JzSrLsnrDJJBl69pGmodIAZ9ADURhM"",""2025-26!AF3"")"),1.0)</f>
        <v>1</v>
      </c>
      <c r="BQ225" s="59" t="str">
        <f t="shared" si="63"/>
        <v/>
      </c>
      <c r="BR225" s="55">
        <f>IFERROR(__xludf.DUMMYFUNCTION("IMPORTRANGE(""1Sl-erOK-cdb8-JzSrLsnrDJJBl69pGmodIAZ9ADURhM"",""2025-26!AG4"")"),0.0)</f>
        <v>0</v>
      </c>
      <c r="BS225" s="55">
        <f>IFERROR(__xludf.DUMMYFUNCTION("IMPORTRANGE(""1Sl-erOK-cdb8-JzSrLsnrDJJBl69pGmodIAZ9ADURhM"",""2025-26!AG3"")"),0.0)</f>
        <v>0</v>
      </c>
      <c r="BT225" s="55">
        <f>IFERROR(__xludf.DUMMYFUNCTION("IMPORTRANGE(""1Sl-erOK-cdb8-JzSrLsnrDJJBl69pGmodIAZ9ADURhM"",""2025-26!AH4"")"),0.0)</f>
        <v>0</v>
      </c>
      <c r="BU225" s="55">
        <f>IFERROR(__xludf.DUMMYFUNCTION("IMPORTRANGE(""1Sl-erOK-cdb8-JzSrLsnrDJJBl69pGmodIAZ9ADURhM"",""2025-26!AH3"")"),0.0)</f>
        <v>0</v>
      </c>
      <c r="BV225" s="55">
        <f>IFERROR(__xludf.DUMMYFUNCTION("IMPORTRANGE(""1Sl-erOK-cdb8-JzSrLsnrDJJBl69pGmodIAZ9ADURhM"",""2025-26!AI4"")"),0.0)</f>
        <v>0</v>
      </c>
      <c r="BW225" s="55">
        <f>IFERROR(__xludf.DUMMYFUNCTION("IMPORTRANGE(""1Sl-erOK-cdb8-JzSrLsnrDJJBl69pGmodIAZ9ADURhM"",""2025-26!AI3"")"),0.0)</f>
        <v>0</v>
      </c>
      <c r="BX225" s="59" t="str">
        <f t="shared" si="64"/>
        <v/>
      </c>
      <c r="BY225" s="55">
        <f>IFERROR(__xludf.DUMMYFUNCTION("IMPORTRANGE(""1Sl-erOK-cdb8-JzSrLsnrDJJBl69pGmodIAZ9ADURhM"",""2025-26!AJ4"")"),0.0)</f>
        <v>0</v>
      </c>
      <c r="BZ225" s="55">
        <f>IFERROR(__xludf.DUMMYFUNCTION("IMPORTRANGE(""1Sl-erOK-cdb8-JzSrLsnrDJJBl69pGmodIAZ9ADURhM"",""2025-26!AJ3"")"),0.0)</f>
        <v>0</v>
      </c>
      <c r="CA225" s="55">
        <f>IFERROR(__xludf.DUMMYFUNCTION("IMPORTRANGE(""1Sl-erOK-cdb8-JzSrLsnrDJJBl69pGmodIAZ9ADURhM"",""2025-26!AK4"")"),0.0)</f>
        <v>0</v>
      </c>
      <c r="CB225" s="55">
        <f>IFERROR(__xludf.DUMMYFUNCTION("IMPORTRANGE(""1Sl-erOK-cdb8-JzSrLsnrDJJBl69pGmodIAZ9ADURhM"",""2025-26!AK3"")"),0.0)</f>
        <v>0</v>
      </c>
      <c r="CC225" s="55">
        <f>IFERROR(__xludf.DUMMYFUNCTION("IMPORTRANGE(""1Sl-erOK-cdb8-JzSrLsnrDJJBl69pGmodIAZ9ADURhM"",""2025-26!AL4"")"),0.0)</f>
        <v>0</v>
      </c>
      <c r="CD225" s="55">
        <f>IFERROR(__xludf.DUMMYFUNCTION("IMPORTRANGE(""1Sl-erOK-cdb8-JzSrLsnrDJJBl69pGmodIAZ9ADURhM"",""2025-26!AL3"")"),0.0)</f>
        <v>0</v>
      </c>
      <c r="CE225" s="59" t="str">
        <f t="shared" si="65"/>
        <v/>
      </c>
      <c r="CF225" s="55">
        <f>IFERROR(__xludf.DUMMYFUNCTION("IMPORTRANGE(""1Sl-erOK-cdb8-JzSrLsnrDJJBl69pGmodIAZ9ADURhM"",""2025-26!AM4"")"),0.0)</f>
        <v>0</v>
      </c>
      <c r="CG225" s="55">
        <f>IFERROR(__xludf.DUMMYFUNCTION("IMPORTRANGE(""1Sl-erOK-cdb8-JzSrLsnrDJJBl69pGmodIAZ9ADURhM"",""2025-26!AM3"")"),0.0)</f>
        <v>0</v>
      </c>
      <c r="CH225" s="55">
        <f>IFERROR(__xludf.DUMMYFUNCTION("IMPORTRANGE(""1Sl-erOK-cdb8-JzSrLsnrDJJBl69pGmodIAZ9ADURhM"",""2025-26!AN4"")"),0.0)</f>
        <v>0</v>
      </c>
      <c r="CI225" s="55">
        <f>IFERROR(__xludf.DUMMYFUNCTION("IMPORTRANGE(""1Sl-erOK-cdb8-JzSrLsnrDJJBl69pGmodIAZ9ADURhM"",""2025-26!AN3"")"),0.0)</f>
        <v>0</v>
      </c>
      <c r="CJ225" s="55">
        <f>IFERROR(__xludf.DUMMYFUNCTION("IMPORTRANGE(""1Sl-erOK-cdb8-JzSrLsnrDJJBl69pGmodIAZ9ADURhM"",""2025-26!AO4"")"),0.0)</f>
        <v>0</v>
      </c>
      <c r="CK225" s="55">
        <f>IFERROR(__xludf.DUMMYFUNCTION("IMPORTRANGE(""1Sl-erOK-cdb8-JzSrLsnrDJJBl69pGmodIAZ9ADURhM"",""2025-26!AO3"")"),0.0)</f>
        <v>0</v>
      </c>
      <c r="CL225" s="59" t="str">
        <f t="shared" si="66"/>
        <v/>
      </c>
      <c r="CM225" s="55">
        <f>IFERROR(__xludf.DUMMYFUNCTION("IMPORTRANGE(""1Sl-erOK-cdb8-JzSrLsnrDJJBl69pGmodIAZ9ADURhM"",""2025-26!AP4"")"),0.0)</f>
        <v>0</v>
      </c>
      <c r="CN225" s="55">
        <f>IFERROR(__xludf.DUMMYFUNCTION("IMPORTRANGE(""1Sl-erOK-cdb8-JzSrLsnrDJJBl69pGmodIAZ9ADURhM"",""2025-26!AP3"")"),0.0)</f>
        <v>0</v>
      </c>
      <c r="CO225" s="55">
        <f>IFERROR(__xludf.DUMMYFUNCTION("IMPORTRANGE(""1Sl-erOK-cdb8-JzSrLsnrDJJBl69pGmodIAZ9ADURhM"",""2025-26!AQ4"")"),0.0)</f>
        <v>0</v>
      </c>
      <c r="CP225" s="55">
        <f>IFERROR(__xludf.DUMMYFUNCTION("IMPORTRANGE(""1Sl-erOK-cdb8-JzSrLsnrDJJBl69pGmodIAZ9ADURhM"",""2025-26!AQ3"")"),0.0)</f>
        <v>0</v>
      </c>
      <c r="CQ225" s="55">
        <f>IFERROR(__xludf.DUMMYFUNCTION("IMPORTRANGE(""1Sl-erOK-cdb8-JzSrLsnrDJJBl69pGmodIAZ9ADURhM"",""2025-26!AR4"")"),0.0)</f>
        <v>0</v>
      </c>
      <c r="CR225" s="55">
        <f>IFERROR(__xludf.DUMMYFUNCTION("IMPORTRANGE(""1Sl-erOK-cdb8-JzSrLsnrDJJBl69pGmodIAZ9ADURhM"",""2025-26!AR3"")"),0.0)</f>
        <v>0</v>
      </c>
      <c r="CS225" s="59" t="str">
        <f t="shared" si="67"/>
        <v/>
      </c>
      <c r="CT225" s="55">
        <f>IFERROR(__xludf.DUMMYFUNCTION("IMPORTRANGE(""1Sl-erOK-cdb8-JzSrLsnrDJJBl69pGmodIAZ9ADURhM"",""2025-26!AS4"")"),0.0)</f>
        <v>0</v>
      </c>
      <c r="CU225" s="55">
        <f>IFERROR(__xludf.DUMMYFUNCTION("IMPORTRANGE(""1Sl-erOK-cdb8-JzSrLsnrDJJBl69pGmodIAZ9ADURhM"",""2025-26!AS3"")"),0.0)</f>
        <v>0</v>
      </c>
      <c r="CV225" s="60" t="s">
        <v>130</v>
      </c>
    </row>
  </sheetData>
  <mergeCells count="87">
    <mergeCell ref="BC5:BC6"/>
    <mergeCell ref="BD5:BE5"/>
    <mergeCell ref="O4:O6"/>
    <mergeCell ref="P4:V4"/>
    <mergeCell ref="W4:AC4"/>
    <mergeCell ref="AD4:AJ4"/>
    <mergeCell ref="AK4:AQ4"/>
    <mergeCell ref="AR4:AX4"/>
    <mergeCell ref="AY4:BE4"/>
    <mergeCell ref="AH5:AH6"/>
    <mergeCell ref="AI5:AJ5"/>
    <mergeCell ref="AK5:AL5"/>
    <mergeCell ref="AM5:AN5"/>
    <mergeCell ref="AO5:AO6"/>
    <mergeCell ref="AP5:AQ5"/>
    <mergeCell ref="AR5:AS5"/>
    <mergeCell ref="AT5:AU5"/>
    <mergeCell ref="AV5:AV6"/>
    <mergeCell ref="AW5:AX5"/>
    <mergeCell ref="AY5:AZ5"/>
    <mergeCell ref="BA5:BB5"/>
    <mergeCell ref="B38:B43"/>
    <mergeCell ref="B44:B49"/>
    <mergeCell ref="B50:B79"/>
    <mergeCell ref="B80:B137"/>
    <mergeCell ref="B138:B149"/>
    <mergeCell ref="B150:B154"/>
    <mergeCell ref="B157:F157"/>
    <mergeCell ref="AA5:AA6"/>
    <mergeCell ref="AB5:AC5"/>
    <mergeCell ref="B7:B16"/>
    <mergeCell ref="B17:B18"/>
    <mergeCell ref="B19:B27"/>
    <mergeCell ref="B28:B32"/>
    <mergeCell ref="B33:B36"/>
    <mergeCell ref="AD5:AE5"/>
    <mergeCell ref="AF5:AG5"/>
    <mergeCell ref="BF5:BG5"/>
    <mergeCell ref="BH5:BI5"/>
    <mergeCell ref="BJ5:BJ6"/>
    <mergeCell ref="BK5:BL5"/>
    <mergeCell ref="BM5:BN5"/>
    <mergeCell ref="BO5:BP5"/>
    <mergeCell ref="BQ5:BQ6"/>
    <mergeCell ref="BR5:BS5"/>
    <mergeCell ref="BT5:BU5"/>
    <mergeCell ref="BV5:BW5"/>
    <mergeCell ref="BX5:BX6"/>
    <mergeCell ref="BY5:BZ5"/>
    <mergeCell ref="B1:F2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L4:L6"/>
    <mergeCell ref="M4:M6"/>
    <mergeCell ref="N4:N6"/>
    <mergeCell ref="BF4:BL4"/>
    <mergeCell ref="BM4:BS4"/>
    <mergeCell ref="BT4:BZ4"/>
    <mergeCell ref="CA4:CG4"/>
    <mergeCell ref="CH4:CN4"/>
    <mergeCell ref="CO4:CU4"/>
    <mergeCell ref="P5:Q5"/>
    <mergeCell ref="R5:S5"/>
    <mergeCell ref="T5:T6"/>
    <mergeCell ref="U5:V5"/>
    <mergeCell ref="W5:X5"/>
    <mergeCell ref="Y5:Z5"/>
    <mergeCell ref="CM5:CN5"/>
    <mergeCell ref="CO5:CP5"/>
    <mergeCell ref="CQ5:CR5"/>
    <mergeCell ref="CS5:CS6"/>
    <mergeCell ref="CT5:CU5"/>
    <mergeCell ref="CA5:CB5"/>
    <mergeCell ref="CC5:CD5"/>
    <mergeCell ref="CE5:CE6"/>
    <mergeCell ref="CF5:CG5"/>
    <mergeCell ref="CH5:CI5"/>
    <mergeCell ref="CJ5:CK5"/>
    <mergeCell ref="CL5:CL6"/>
  </mergeCells>
  <conditionalFormatting sqref="C3:C225">
    <cfRule type="expression" dxfId="0" priority="1">
      <formula>COUNTIF(C:C,C3)&gt;1</formula>
    </cfRule>
  </conditionalFormatting>
  <hyperlinks>
    <hyperlink r:id="rId2" location="gid=998810200" ref="B7"/>
    <hyperlink r:id="rId3" location="gid=703552847" ref="C7"/>
    <hyperlink r:id="rId4" location="gid=2134647945" ref="C8"/>
    <hyperlink r:id="rId5" location="gid=0" ref="C9"/>
    <hyperlink r:id="rId6" location="gid=0" ref="C10"/>
    <hyperlink r:id="rId7" location="gid=1100372335" ref="C11"/>
    <hyperlink r:id="rId8" location="gid=1838777318" ref="C12"/>
    <hyperlink r:id="rId9" location="gid=0" ref="C13"/>
    <hyperlink r:id="rId10" location="gid=0" ref="C14"/>
    <hyperlink r:id="rId11" location="gid=0" ref="C15"/>
    <hyperlink r:id="rId12" location="gid=0" ref="C16"/>
    <hyperlink r:id="rId13" location="gid=0" ref="B17"/>
    <hyperlink r:id="rId14" location="gid=651330604" ref="C17"/>
    <hyperlink r:id="rId15" location="gid=0" ref="C18"/>
    <hyperlink r:id="rId16" location="gid=1651515920" ref="B19"/>
    <hyperlink r:id="rId17" location="gid=1361333659" ref="C19"/>
    <hyperlink r:id="rId18" location="gid=1824619316" ref="C20"/>
    <hyperlink r:id="rId19" location="gid=489602840" ref="C21"/>
    <hyperlink r:id="rId20" location="gid=162659938" ref="C22"/>
    <hyperlink r:id="rId21" location="gid=162659938" ref="C23"/>
    <hyperlink r:id="rId22" location="gid=0" ref="C24"/>
    <hyperlink r:id="rId23" location="gid=0" ref="C25"/>
    <hyperlink r:id="rId24" ref="C26"/>
    <hyperlink r:id="rId25" location="gid=0" ref="C27"/>
    <hyperlink r:id="rId26" location="gid=981908056" ref="B28"/>
    <hyperlink r:id="rId27" location="gid=1900766490" ref="C28"/>
    <hyperlink r:id="rId28" location="gid=251836489" ref="C29"/>
    <hyperlink r:id="rId29" location="gid=0" ref="C30"/>
    <hyperlink r:id="rId30" location="gid=0" ref="C31"/>
    <hyperlink r:id="rId31" location="gid=0" ref="C32"/>
    <hyperlink r:id="rId32" location="gid=1310945927" ref="B33"/>
    <hyperlink r:id="rId33" location="gid=851414867" ref="C33"/>
    <hyperlink r:id="rId34" location="gid=1990039" ref="C34"/>
    <hyperlink r:id="rId35" location="gid=0" ref="C35"/>
    <hyperlink r:id="rId36" location="gid=0" ref="C36"/>
    <hyperlink r:id="rId37" location="gid=0" ref="C37"/>
    <hyperlink r:id="rId38" location="gid=1595002774" ref="B38"/>
    <hyperlink r:id="rId39" location="gid=213369367" ref="C38"/>
    <hyperlink r:id="rId40" location="gid=0" ref="C39"/>
    <hyperlink r:id="rId41" location="gid=968809898" ref="C40"/>
    <hyperlink r:id="rId42" location="gid=0" ref="C41"/>
    <hyperlink r:id="rId43" location="gid=0" ref="C42"/>
    <hyperlink r:id="rId44" location="gid=0" ref="C43"/>
    <hyperlink r:id="rId45" location="gid=148306810" ref="B44"/>
    <hyperlink r:id="rId46" location="gid=282711914" ref="C44"/>
    <hyperlink r:id="rId47" location="gid=73553799" ref="C45"/>
    <hyperlink r:id="rId48" location="gid=468423121" ref="C46"/>
    <hyperlink r:id="rId49" location="gid=788275074" ref="C47"/>
    <hyperlink r:id="rId50" location="gid=0" ref="C48"/>
    <hyperlink r:id="rId51" location="gid=1572603678" ref="C49"/>
    <hyperlink r:id="rId52" location="gid=1622533107" ref="B50"/>
    <hyperlink r:id="rId53" location="gid=367144525" ref="C50"/>
    <hyperlink r:id="rId54" location="gid=1808032956" ref="C51"/>
    <hyperlink r:id="rId55" location="gid=1632084049" ref="C52"/>
    <hyperlink r:id="rId56" location="gid=1915274534" ref="C53"/>
    <hyperlink r:id="rId57" location="gid=1677201957" ref="C54"/>
    <hyperlink r:id="rId58" location="gid=1122895765" ref="C55"/>
    <hyperlink r:id="rId59" location="gid=429484565" ref="C56"/>
    <hyperlink r:id="rId60" location="gid=1804433807" ref="C57"/>
    <hyperlink r:id="rId61" location="gid=87878130" ref="C58"/>
    <hyperlink r:id="rId62" location="gid=401279410" ref="C59"/>
    <hyperlink r:id="rId63" location="gid=1122017909" ref="C60"/>
    <hyperlink r:id="rId64" location="gid=31358876" ref="C61"/>
    <hyperlink r:id="rId65" location="gid=326628336" ref="C62"/>
    <hyperlink r:id="rId66" location="gid=825700891" ref="C63"/>
    <hyperlink r:id="rId67" location="gid=0" ref="C64"/>
    <hyperlink r:id="rId68" location="gid=1711818703" ref="C65"/>
    <hyperlink r:id="rId69" location="gid=0" ref="C66"/>
    <hyperlink r:id="rId70" location="gid=1683163890" ref="C67"/>
    <hyperlink r:id="rId71" location="gid=0" ref="C68"/>
    <hyperlink r:id="rId72" location="gid=1397978039" ref="C69"/>
    <hyperlink r:id="rId73" location="gid=0" ref="C70"/>
    <hyperlink r:id="rId74" location="gid=0" ref="C71"/>
    <hyperlink r:id="rId75" location="gid=0" ref="C72"/>
    <hyperlink r:id="rId76" location="gid=0" ref="C73"/>
    <hyperlink r:id="rId77" location="gid=0" ref="C74"/>
    <hyperlink r:id="rId78" location="gid=0" ref="C75"/>
    <hyperlink r:id="rId79" location="gid=0" ref="C76"/>
    <hyperlink r:id="rId80" location="gid=0" ref="C77"/>
    <hyperlink r:id="rId81" location="gid=0" ref="C78"/>
    <hyperlink r:id="rId82" location="gid=0" ref="C79"/>
    <hyperlink r:id="rId83" location="gid=1383336816" ref="B80"/>
    <hyperlink r:id="rId84" location="gid=325586928" ref="C80"/>
    <hyperlink r:id="rId85" location="gid=1315888631" ref="C81"/>
    <hyperlink r:id="rId86" location="gid=2001455221" ref="C82"/>
    <hyperlink r:id="rId87" location="gid=203712073" ref="C83"/>
    <hyperlink r:id="rId88" location="gid=1029588646" ref="C84"/>
    <hyperlink r:id="rId89" location="gid=776191770" ref="C85"/>
    <hyperlink r:id="rId90" location="gid=1703913747" ref="C86"/>
    <hyperlink r:id="rId91" location="gid=1120990392" ref="C87"/>
    <hyperlink r:id="rId92" location="gid=1748533643" ref="C88"/>
    <hyperlink r:id="rId93" location="gid=1122114685" ref="C89"/>
    <hyperlink r:id="rId94" location="gid=1160673696" ref="C90"/>
    <hyperlink r:id="rId95" location="gid=757748981" ref="C91"/>
    <hyperlink r:id="rId96" location="gid=877329102" ref="C92"/>
    <hyperlink r:id="rId97" location="gid=965082060" ref="C93"/>
    <hyperlink r:id="rId98" location="gid=462944636" ref="C94"/>
    <hyperlink r:id="rId99" location="gid=1658421846" ref="C95"/>
    <hyperlink r:id="rId100" location="gid=1142984099" ref="C96"/>
    <hyperlink r:id="rId101" location="gid=31348442" ref="C97"/>
    <hyperlink r:id="rId102" location="gid=1800158862" ref="C98"/>
    <hyperlink r:id="rId103" location="gid=623247046" ref="C99"/>
    <hyperlink r:id="rId104" location="gid=582514763" ref="C100"/>
    <hyperlink r:id="rId105" location="gid=625274345" ref="C101"/>
    <hyperlink r:id="rId106" location="gid=1469891595" ref="C102"/>
    <hyperlink r:id="rId107" location="gid=867855662" ref="C103"/>
    <hyperlink r:id="rId108" location="gid=507036928" ref="C104"/>
    <hyperlink r:id="rId109" location="gid=183323445" ref="C105"/>
    <hyperlink r:id="rId110" location="gid=867855662" ref="C106"/>
    <hyperlink r:id="rId111" location="gid=1642273115" ref="C107"/>
    <hyperlink r:id="rId112" location="gid=662587612" ref="C108"/>
    <hyperlink r:id="rId113" location="gid=2032907449" ref="C109"/>
    <hyperlink r:id="rId114" location="gid=187761907" ref="C110"/>
    <hyperlink r:id="rId115" location="gid=187761907" ref="C111"/>
    <hyperlink r:id="rId116" location="gid=1996990278" ref="C112"/>
    <hyperlink r:id="rId117" location="gid=246174704" ref="C113"/>
    <hyperlink r:id="rId118" location="gid=32282635" ref="C114"/>
    <hyperlink r:id="rId119" location="gid=187761907" ref="C115"/>
    <hyperlink r:id="rId120" location="gid=507036928" ref="C116"/>
    <hyperlink r:id="rId121" location="gid=187761907" ref="C117"/>
    <hyperlink r:id="rId122" location="gid=187761907" ref="C118"/>
    <hyperlink r:id="rId123" location="gid=867855662" ref="C119"/>
    <hyperlink r:id="rId124" location="gid=187761907" ref="C120"/>
    <hyperlink r:id="rId125" location="gid=187761907" ref="C121"/>
    <hyperlink r:id="rId126" location="gid=1996990278" ref="C122"/>
    <hyperlink r:id="rId127" location="gid=1996990278" ref="C123"/>
    <hyperlink r:id="rId128" location="gid=1996990278" ref="C124"/>
    <hyperlink r:id="rId129" location="gid=1996990278" ref="C125"/>
    <hyperlink r:id="rId130" location="gid=1996990278" ref="C126"/>
    <hyperlink r:id="rId131" location="gid=1996990278" ref="C127"/>
    <hyperlink r:id="rId132" location="gid=1996990278" ref="C128"/>
    <hyperlink r:id="rId133" location="gid=1996990278" ref="C129"/>
    <hyperlink r:id="rId134" location="gid=0" ref="C130"/>
    <hyperlink r:id="rId135" location="gid=845831138" ref="C131"/>
    <hyperlink r:id="rId136" location="gid=1679663775" ref="C132"/>
    <hyperlink r:id="rId137" location="gid=1586402276" ref="C133"/>
    <hyperlink r:id="rId138" location="gid=1748251694" ref="C134"/>
    <hyperlink r:id="rId139" location="gid=1748251694" ref="C135"/>
    <hyperlink r:id="rId140" location="gid=1748251694" ref="C136"/>
    <hyperlink r:id="rId141" location="gid=618607627" ref="C137"/>
    <hyperlink r:id="rId142" location="gid=1816198426" ref="B138"/>
    <hyperlink r:id="rId143" location="gid=1805787177" ref="C138"/>
    <hyperlink r:id="rId144" location="gid=1405717089" ref="C139"/>
    <hyperlink r:id="rId145" location="gid=1806634832" ref="C140"/>
    <hyperlink r:id="rId146" location="gid=1575341672" ref="C141"/>
    <hyperlink r:id="rId147" location="gid=218149684" ref="C142"/>
    <hyperlink r:id="rId148" location="gid=1277429317" ref="C143"/>
    <hyperlink r:id="rId149" location="gid=1219811845" ref="C144"/>
    <hyperlink r:id="rId150" location="gid=1219811845" ref="C145"/>
    <hyperlink r:id="rId151" location="gid=1219811845" ref="C146"/>
    <hyperlink r:id="rId152" location="gid=2120302259" ref="C147"/>
    <hyperlink r:id="rId153" location="gid=162659938" ref="C148"/>
    <hyperlink r:id="rId154" location="gid=1089458672" ref="C149"/>
    <hyperlink r:id="rId155" location="gid=741460961" ref="B150"/>
    <hyperlink r:id="rId156" location="gid=14528520" ref="C150"/>
    <hyperlink r:id="rId157" location="gid=216875875" ref="C151"/>
    <hyperlink r:id="rId158" location="gid=0" ref="C152"/>
    <hyperlink r:id="rId159" location="gid=350932188" ref="C153"/>
    <hyperlink r:id="rId160" ref="C154"/>
    <hyperlink r:id="rId161" location="gid=156551731" ref="C158"/>
    <hyperlink r:id="rId162" location="gid=0" ref="C159"/>
    <hyperlink r:id="rId163" location="gid=0" ref="C160"/>
    <hyperlink r:id="rId164" location="gid=0" ref="C161"/>
    <hyperlink r:id="rId165" location="gid=1448909047" ref="C162"/>
    <hyperlink r:id="rId166" location="gid=0" ref="C163"/>
    <hyperlink r:id="rId167" location="gid=0" ref="C164"/>
    <hyperlink r:id="rId168" location="gid=1493296625" ref="C165"/>
    <hyperlink r:id="rId169" location="gid=0" ref="C166"/>
    <hyperlink r:id="rId170" location="gid=0" ref="C167"/>
    <hyperlink r:id="rId171" location="gid=392608886" ref="C168"/>
    <hyperlink r:id="rId172" location="gid=401608605" ref="C169"/>
    <hyperlink r:id="rId173" location="gid=1277429317" ref="C170"/>
    <hyperlink r:id="rId174" location="gid=162659938" ref="C171"/>
    <hyperlink r:id="rId175" location="gid=1089458672" ref="C172"/>
    <hyperlink r:id="rId176" location="gid=0" ref="C173"/>
    <hyperlink r:id="rId177" location="gid=1824619316" ref="C174"/>
    <hyperlink r:id="rId178" location="gid=0" ref="C175"/>
    <hyperlink r:id="rId179" location="gid=162659938" ref="C176"/>
    <hyperlink r:id="rId180" location="gid=2142213318" ref="C177"/>
    <hyperlink r:id="rId181" location="gid=0" ref="C178"/>
    <hyperlink r:id="rId182" location="gid=1777742402" ref="C179"/>
    <hyperlink r:id="rId183" ref="C180"/>
    <hyperlink r:id="rId184" location="gid=0" ref="C181"/>
    <hyperlink r:id="rId185" location="gid=319503724" ref="C182"/>
    <hyperlink r:id="rId186" location="gid=162659938" ref="C183"/>
    <hyperlink r:id="rId187" location="gid=162659938" ref="C184"/>
    <hyperlink r:id="rId188" location="gid=0" ref="C185"/>
    <hyperlink r:id="rId189" location="gid=0" ref="C186"/>
    <hyperlink r:id="rId190" location="gid=1425020095" ref="C187"/>
    <hyperlink r:id="rId191" location="gid=0" ref="C188"/>
    <hyperlink r:id="rId192" location="gid=0" ref="C189"/>
    <hyperlink r:id="rId193" location="gid=0" ref="C190"/>
    <hyperlink r:id="rId194" location="gid=0" ref="C191"/>
    <hyperlink r:id="rId195" location="gid=0" ref="C192"/>
    <hyperlink r:id="rId196" location="gid=0" ref="C193"/>
    <hyperlink r:id="rId197" location="gid=0" ref="C194"/>
    <hyperlink r:id="rId198" location="gid=0" ref="C195"/>
    <hyperlink r:id="rId199" location="gid=0" ref="C196"/>
    <hyperlink r:id="rId200" location="gid=831127268" ref="C197"/>
    <hyperlink r:id="rId201" location="gid=1653143180" ref="C198"/>
    <hyperlink r:id="rId202" location="gid=1996990278" ref="C199"/>
    <hyperlink r:id="rId203" location="gid=1586402276" ref="C200"/>
    <hyperlink r:id="rId204" location="gid=1586402276" ref="C201"/>
    <hyperlink r:id="rId205" location="gid=1456364308" ref="C202"/>
    <hyperlink r:id="rId206" location="gid=867855662" ref="C203"/>
    <hyperlink r:id="rId207" location="gid=1910704515" ref="C204"/>
    <hyperlink r:id="rId208" location="gid=1903302329" ref="C205"/>
    <hyperlink r:id="rId209" location="gid=187761907" ref="C206"/>
    <hyperlink r:id="rId210" location="gid=1996990278" ref="C207"/>
    <hyperlink r:id="rId211" location="gid=1996990278" ref="C208"/>
    <hyperlink r:id="rId212" location="gid=924942241" ref="C209"/>
    <hyperlink r:id="rId213" location="gid=0" ref="C210"/>
    <hyperlink r:id="rId214" location="gid=0" ref="C211"/>
    <hyperlink r:id="rId215" location="gid=1495368042" ref="C212"/>
    <hyperlink r:id="rId216" location="gid=0" ref="C213"/>
    <hyperlink r:id="rId217" location="gid=0" ref="C214"/>
    <hyperlink r:id="rId218" location="gid=720707912" ref="C215"/>
    <hyperlink r:id="rId219" location="gid=1901959061" ref="C216"/>
    <hyperlink r:id="rId220" location="gid=1099857166" ref="C217"/>
    <hyperlink r:id="rId221" location="gid=778650270" ref="C218"/>
    <hyperlink r:id="rId222" location="gid=492348841" ref="C219"/>
    <hyperlink r:id="rId223" location="gid=0" ref="C220"/>
    <hyperlink r:id="rId224" location="gid=0" ref="C221"/>
    <hyperlink r:id="rId225" location="gid=0" ref="C222"/>
    <hyperlink r:id="rId226" location="gid=0" ref="C223"/>
    <hyperlink r:id="rId227" location="gid=0" ref="C224"/>
    <hyperlink r:id="rId228" location="gid=0" ref="C22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9"/>
  <legacyDrawing r:id="rId23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3" width="10.63"/>
    <col customWidth="1" min="4" max="7" width="14.13"/>
    <col customWidth="1" min="8" max="8" width="21.75"/>
    <col customWidth="1" min="9" max="9" width="27.5"/>
    <col customWidth="1" min="10" max="10" width="13.75"/>
    <col customWidth="1" min="11" max="11" width="10.63"/>
    <col customWidth="1" min="12" max="12" width="12.75"/>
    <col customWidth="1" min="13" max="13" width="11.63"/>
    <col customWidth="1" min="14" max="14" width="13.75"/>
    <col customWidth="1" min="15" max="15" width="14.75"/>
    <col customWidth="1" min="16" max="16" width="16.0"/>
    <col customWidth="1" min="17" max="17" width="13.38"/>
    <col customWidth="1" min="18" max="18" width="12.38"/>
    <col customWidth="1" min="19" max="19" width="16.63"/>
    <col customWidth="1" min="20" max="20" width="9.13"/>
    <col customWidth="1" min="21" max="21" width="14.13"/>
    <col customWidth="1" min="22" max="22" width="15.5"/>
    <col customWidth="1" min="23" max="23" width="12.5"/>
    <col customWidth="1" min="24" max="24" width="9.5"/>
    <col customWidth="1" min="25" max="25" width="11.63"/>
  </cols>
  <sheetData>
    <row r="1">
      <c r="A1" s="157"/>
      <c r="B1" s="158" t="s">
        <v>450</v>
      </c>
      <c r="C1" s="158" t="s">
        <v>451</v>
      </c>
      <c r="D1" s="158" t="s">
        <v>451</v>
      </c>
      <c r="E1" s="158" t="s">
        <v>451</v>
      </c>
      <c r="F1" s="158" t="s">
        <v>451</v>
      </c>
      <c r="G1" s="158" t="s">
        <v>451</v>
      </c>
      <c r="H1" s="159" t="s">
        <v>452</v>
      </c>
      <c r="I1" s="159" t="s">
        <v>453</v>
      </c>
      <c r="J1" s="158" t="s">
        <v>450</v>
      </c>
      <c r="K1" s="159" t="s">
        <v>454</v>
      </c>
      <c r="L1" s="159" t="s">
        <v>452</v>
      </c>
      <c r="M1" s="159" t="s">
        <v>453</v>
      </c>
      <c r="N1" s="159" t="s">
        <v>455</v>
      </c>
      <c r="O1" s="158" t="s">
        <v>450</v>
      </c>
      <c r="P1" s="158" t="s">
        <v>450</v>
      </c>
      <c r="Q1" s="159" t="s">
        <v>456</v>
      </c>
      <c r="R1" s="159" t="s">
        <v>457</v>
      </c>
      <c r="S1" s="158" t="s">
        <v>450</v>
      </c>
      <c r="T1" s="158" t="s">
        <v>451</v>
      </c>
      <c r="U1" s="158" t="s">
        <v>451</v>
      </c>
      <c r="V1" s="158" t="s">
        <v>450</v>
      </c>
      <c r="W1" s="158" t="s">
        <v>450</v>
      </c>
      <c r="X1" s="158" t="s">
        <v>450</v>
      </c>
      <c r="Y1" s="157">
        <f>SUM(Y3:Y1001)</f>
        <v>2310912893</v>
      </c>
    </row>
    <row r="2">
      <c r="A2" s="157" t="s">
        <v>458</v>
      </c>
      <c r="B2" s="157" t="s">
        <v>459</v>
      </c>
      <c r="C2" s="157" t="s">
        <v>460</v>
      </c>
      <c r="D2" s="157" t="s">
        <v>461</v>
      </c>
      <c r="E2" s="157" t="s">
        <v>462</v>
      </c>
      <c r="F2" s="157" t="s">
        <v>463</v>
      </c>
      <c r="G2" s="157" t="s">
        <v>464</v>
      </c>
      <c r="H2" s="157" t="s">
        <v>465</v>
      </c>
      <c r="I2" s="157" t="s">
        <v>466</v>
      </c>
      <c r="J2" s="157" t="s">
        <v>467</v>
      </c>
      <c r="K2" s="157" t="s">
        <v>454</v>
      </c>
      <c r="L2" s="157" t="s">
        <v>468</v>
      </c>
      <c r="M2" s="157" t="s">
        <v>469</v>
      </c>
      <c r="N2" s="157" t="s">
        <v>455</v>
      </c>
      <c r="O2" s="157" t="s">
        <v>470</v>
      </c>
      <c r="P2" s="157" t="s">
        <v>471</v>
      </c>
      <c r="Q2" s="157" t="s">
        <v>472</v>
      </c>
      <c r="R2" s="157" t="s">
        <v>473</v>
      </c>
      <c r="S2" s="157" t="s">
        <v>474</v>
      </c>
      <c r="T2" s="157" t="s">
        <v>475</v>
      </c>
      <c r="U2" s="157" t="s">
        <v>476</v>
      </c>
      <c r="V2" s="157" t="s">
        <v>477</v>
      </c>
      <c r="W2" s="157" t="s">
        <v>478</v>
      </c>
      <c r="X2" s="157" t="s">
        <v>479</v>
      </c>
      <c r="Y2" s="157" t="s">
        <v>480</v>
      </c>
    </row>
    <row r="3">
      <c r="A3" s="157" t="s">
        <v>413</v>
      </c>
      <c r="B3" s="160">
        <v>0.0</v>
      </c>
      <c r="C3" s="160">
        <v>267745.0</v>
      </c>
      <c r="D3" s="160">
        <v>232523.4</v>
      </c>
      <c r="E3" s="160">
        <v>16848.0</v>
      </c>
      <c r="F3" s="160">
        <v>240702.8</v>
      </c>
      <c r="G3" s="160">
        <v>0.0</v>
      </c>
      <c r="H3" s="160">
        <v>465507.0</v>
      </c>
      <c r="I3" s="160">
        <v>32256.0</v>
      </c>
      <c r="J3" s="160">
        <v>0.0</v>
      </c>
      <c r="K3" s="160">
        <v>0.0</v>
      </c>
      <c r="L3" s="160">
        <v>2013684.68</v>
      </c>
      <c r="M3" s="160">
        <v>2109330.8</v>
      </c>
      <c r="N3" s="160">
        <v>906556.55</v>
      </c>
      <c r="O3" s="160">
        <v>0.0</v>
      </c>
      <c r="P3" s="160">
        <v>0.0</v>
      </c>
      <c r="Q3" s="160">
        <v>0.0</v>
      </c>
      <c r="R3" s="160">
        <v>18850.0</v>
      </c>
      <c r="S3" s="160">
        <v>0.0</v>
      </c>
      <c r="T3" s="160">
        <v>0.0</v>
      </c>
      <c r="U3" s="160">
        <v>0.0</v>
      </c>
      <c r="V3" s="160">
        <v>0.0</v>
      </c>
      <c r="W3" s="160">
        <v>0.0</v>
      </c>
      <c r="X3" s="160">
        <v>0.0</v>
      </c>
      <c r="Y3" s="160">
        <v>6304004.23</v>
      </c>
    </row>
    <row r="4">
      <c r="A4" s="157" t="s">
        <v>481</v>
      </c>
      <c r="B4" s="160">
        <v>0.0</v>
      </c>
      <c r="C4" s="160">
        <v>0.0</v>
      </c>
      <c r="D4" s="160">
        <v>0.0</v>
      </c>
      <c r="E4" s="160">
        <v>0.0</v>
      </c>
      <c r="F4" s="160">
        <v>0.0</v>
      </c>
      <c r="G4" s="160">
        <v>0.0</v>
      </c>
      <c r="H4" s="160">
        <v>0.0</v>
      </c>
      <c r="I4" s="160">
        <v>0.0</v>
      </c>
      <c r="J4" s="160">
        <v>0.0</v>
      </c>
      <c r="K4" s="160">
        <v>0.0</v>
      </c>
      <c r="L4" s="160">
        <v>0.0</v>
      </c>
      <c r="M4" s="160">
        <v>0.0</v>
      </c>
      <c r="N4" s="160">
        <v>0.0</v>
      </c>
      <c r="O4" s="160">
        <v>0.0</v>
      </c>
      <c r="P4" s="160">
        <v>0.0</v>
      </c>
      <c r="Q4" s="160">
        <v>0.0</v>
      </c>
      <c r="R4" s="160">
        <v>0.0</v>
      </c>
      <c r="S4" s="160">
        <v>0.0</v>
      </c>
      <c r="T4" s="160">
        <v>0.0</v>
      </c>
      <c r="U4" s="160">
        <v>0.0</v>
      </c>
      <c r="V4" s="160">
        <v>0.0</v>
      </c>
      <c r="W4" s="160">
        <v>0.0</v>
      </c>
      <c r="X4" s="160">
        <v>0.0</v>
      </c>
      <c r="Y4" s="160">
        <v>0.0</v>
      </c>
    </row>
    <row r="5">
      <c r="A5" s="157" t="s">
        <v>482</v>
      </c>
      <c r="B5" s="160">
        <v>0.0</v>
      </c>
      <c r="C5" s="160">
        <v>0.0</v>
      </c>
      <c r="D5" s="160">
        <v>0.0</v>
      </c>
      <c r="E5" s="160">
        <v>0.0</v>
      </c>
      <c r="F5" s="160">
        <v>0.0</v>
      </c>
      <c r="G5" s="160">
        <v>0.0</v>
      </c>
      <c r="H5" s="160">
        <v>0.0</v>
      </c>
      <c r="I5" s="160">
        <v>0.0</v>
      </c>
      <c r="J5" s="160">
        <v>0.0</v>
      </c>
      <c r="K5" s="160">
        <v>0.0</v>
      </c>
      <c r="L5" s="160">
        <v>0.0</v>
      </c>
      <c r="M5" s="160">
        <v>0.0</v>
      </c>
      <c r="N5" s="160">
        <v>0.0</v>
      </c>
      <c r="O5" s="160">
        <v>0.0</v>
      </c>
      <c r="P5" s="160">
        <v>0.0</v>
      </c>
      <c r="Q5" s="160">
        <v>0.0</v>
      </c>
      <c r="R5" s="160">
        <v>0.0</v>
      </c>
      <c r="S5" s="160">
        <v>0.0</v>
      </c>
      <c r="T5" s="160">
        <v>0.0</v>
      </c>
      <c r="U5" s="160">
        <v>0.0</v>
      </c>
      <c r="V5" s="160">
        <v>0.0</v>
      </c>
      <c r="W5" s="160">
        <v>0.0</v>
      </c>
      <c r="X5" s="160">
        <v>0.0</v>
      </c>
      <c r="Y5" s="160">
        <v>0.0</v>
      </c>
    </row>
    <row r="6">
      <c r="A6" s="157" t="s">
        <v>197</v>
      </c>
      <c r="B6" s="160">
        <v>0.0</v>
      </c>
      <c r="C6" s="160">
        <v>9778057.29</v>
      </c>
      <c r="D6" s="160">
        <v>1.35307764E7</v>
      </c>
      <c r="E6" s="160">
        <v>5141163.3</v>
      </c>
      <c r="F6" s="160">
        <v>872414.2</v>
      </c>
      <c r="G6" s="160">
        <v>9860.0</v>
      </c>
      <c r="H6" s="160">
        <v>2881133.7</v>
      </c>
      <c r="I6" s="160">
        <v>0.0</v>
      </c>
      <c r="J6" s="160">
        <v>0.0</v>
      </c>
      <c r="K6" s="160">
        <v>0.0</v>
      </c>
      <c r="L6" s="160">
        <v>4.489663568E7</v>
      </c>
      <c r="M6" s="160">
        <v>2112764.18</v>
      </c>
      <c r="N6" s="160">
        <v>0.0</v>
      </c>
      <c r="O6" s="160">
        <v>0.0</v>
      </c>
      <c r="P6" s="160">
        <v>744697.8</v>
      </c>
      <c r="Q6" s="160">
        <v>0.0</v>
      </c>
      <c r="R6" s="160">
        <v>0.0</v>
      </c>
      <c r="S6" s="160">
        <v>0.0</v>
      </c>
      <c r="T6" s="160">
        <v>0.0</v>
      </c>
      <c r="U6" s="160">
        <v>49075.0</v>
      </c>
      <c r="V6" s="160">
        <v>0.0</v>
      </c>
      <c r="W6" s="160">
        <v>0.0</v>
      </c>
      <c r="X6" s="160">
        <v>0.0</v>
      </c>
      <c r="Y6" s="160">
        <v>8.001657755E7</v>
      </c>
    </row>
    <row r="7">
      <c r="A7" s="157" t="s">
        <v>194</v>
      </c>
      <c r="B7" s="160">
        <v>0.0</v>
      </c>
      <c r="C7" s="160">
        <v>1638037.28</v>
      </c>
      <c r="D7" s="160">
        <v>1170245.6</v>
      </c>
      <c r="E7" s="160">
        <v>234323.2</v>
      </c>
      <c r="F7" s="160">
        <v>1168227.8</v>
      </c>
      <c r="G7" s="160">
        <v>0.0</v>
      </c>
      <c r="H7" s="160">
        <v>2425372.0</v>
      </c>
      <c r="I7" s="160">
        <v>1932.0</v>
      </c>
      <c r="J7" s="160">
        <v>47.04</v>
      </c>
      <c r="K7" s="160">
        <v>0.0</v>
      </c>
      <c r="L7" s="160">
        <v>1.045355978E7</v>
      </c>
      <c r="M7" s="160">
        <v>5434613.98</v>
      </c>
      <c r="N7" s="160">
        <v>6337.6</v>
      </c>
      <c r="O7" s="160">
        <v>0.0</v>
      </c>
      <c r="P7" s="160">
        <v>17943.28</v>
      </c>
      <c r="Q7" s="160">
        <v>0.0</v>
      </c>
      <c r="R7" s="160">
        <v>0.0</v>
      </c>
      <c r="S7" s="160">
        <v>8691.2</v>
      </c>
      <c r="T7" s="160">
        <v>0.0</v>
      </c>
      <c r="U7" s="160">
        <v>294332.32</v>
      </c>
      <c r="V7" s="160">
        <v>0.0</v>
      </c>
      <c r="W7" s="160">
        <v>0.0</v>
      </c>
      <c r="X7" s="160">
        <v>0.0</v>
      </c>
      <c r="Y7" s="160">
        <v>2.285366308E7</v>
      </c>
    </row>
    <row r="8">
      <c r="A8" s="157" t="s">
        <v>186</v>
      </c>
      <c r="B8" s="160">
        <v>0.0</v>
      </c>
      <c r="C8" s="160">
        <v>28080.0</v>
      </c>
      <c r="D8" s="160">
        <v>208020.0</v>
      </c>
      <c r="E8" s="160">
        <v>207354.4</v>
      </c>
      <c r="F8" s="160">
        <v>0.0</v>
      </c>
      <c r="G8" s="160">
        <v>0.0</v>
      </c>
      <c r="H8" s="160">
        <v>268856.0</v>
      </c>
      <c r="I8" s="160">
        <v>0.0</v>
      </c>
      <c r="J8" s="160">
        <v>0.0</v>
      </c>
      <c r="K8" s="160">
        <v>0.0</v>
      </c>
      <c r="L8" s="160">
        <v>424357.2</v>
      </c>
      <c r="M8" s="160">
        <v>62879.2</v>
      </c>
      <c r="N8" s="160">
        <v>0.0</v>
      </c>
      <c r="O8" s="160">
        <v>0.0</v>
      </c>
      <c r="P8" s="160">
        <v>0.0</v>
      </c>
      <c r="Q8" s="160">
        <v>0.0</v>
      </c>
      <c r="R8" s="160">
        <v>0.0</v>
      </c>
      <c r="S8" s="160">
        <v>0.0</v>
      </c>
      <c r="T8" s="160">
        <v>0.0</v>
      </c>
      <c r="U8" s="160">
        <v>0.0</v>
      </c>
      <c r="V8" s="160">
        <v>0.0</v>
      </c>
      <c r="W8" s="160">
        <v>0.0</v>
      </c>
      <c r="X8" s="160">
        <v>0.0</v>
      </c>
      <c r="Y8" s="160">
        <v>1199546.8</v>
      </c>
    </row>
    <row r="9">
      <c r="A9" s="157" t="s">
        <v>483</v>
      </c>
      <c r="B9" s="160">
        <v>0.0</v>
      </c>
      <c r="C9" s="160">
        <v>0.0</v>
      </c>
      <c r="D9" s="160">
        <v>0.0</v>
      </c>
      <c r="E9" s="160">
        <v>0.0</v>
      </c>
      <c r="F9" s="160">
        <v>0.0</v>
      </c>
      <c r="G9" s="160">
        <v>0.0</v>
      </c>
      <c r="H9" s="160">
        <v>0.0</v>
      </c>
      <c r="I9" s="160">
        <v>0.0</v>
      </c>
      <c r="J9" s="160">
        <v>0.0</v>
      </c>
      <c r="K9" s="160">
        <v>0.0</v>
      </c>
      <c r="L9" s="160">
        <v>0.0</v>
      </c>
      <c r="M9" s="160">
        <v>0.0</v>
      </c>
      <c r="N9" s="160">
        <v>0.0</v>
      </c>
      <c r="O9" s="160">
        <v>0.0</v>
      </c>
      <c r="P9" s="160">
        <v>0.0</v>
      </c>
      <c r="Q9" s="160">
        <v>0.0</v>
      </c>
      <c r="R9" s="160">
        <v>0.0</v>
      </c>
      <c r="S9" s="160">
        <v>0.0</v>
      </c>
      <c r="T9" s="160">
        <v>0.0</v>
      </c>
      <c r="U9" s="160">
        <v>0.0</v>
      </c>
      <c r="V9" s="160">
        <v>0.0</v>
      </c>
      <c r="W9" s="160">
        <v>0.0</v>
      </c>
      <c r="X9" s="160">
        <v>0.0</v>
      </c>
      <c r="Y9" s="160">
        <v>0.0</v>
      </c>
    </row>
    <row r="10">
      <c r="A10" s="157" t="s">
        <v>208</v>
      </c>
      <c r="B10" s="160">
        <v>0.0</v>
      </c>
      <c r="C10" s="160">
        <v>1672911.27</v>
      </c>
      <c r="D10" s="160">
        <v>213804.8</v>
      </c>
      <c r="E10" s="160">
        <v>55768.0</v>
      </c>
      <c r="F10" s="160">
        <v>218854.2</v>
      </c>
      <c r="G10" s="160">
        <v>5373.0</v>
      </c>
      <c r="H10" s="160">
        <v>2044790.6</v>
      </c>
      <c r="I10" s="160">
        <v>0.0</v>
      </c>
      <c r="J10" s="160">
        <v>0.0</v>
      </c>
      <c r="K10" s="160">
        <v>6697.6</v>
      </c>
      <c r="L10" s="160">
        <v>9640481.63</v>
      </c>
      <c r="M10" s="160">
        <v>1925672.99</v>
      </c>
      <c r="N10" s="160">
        <v>117326.1</v>
      </c>
      <c r="O10" s="160">
        <v>0.0</v>
      </c>
      <c r="P10" s="160">
        <v>10219.6</v>
      </c>
      <c r="Q10" s="160">
        <v>0.0</v>
      </c>
      <c r="R10" s="160">
        <v>0.0</v>
      </c>
      <c r="S10" s="160">
        <v>301091.1</v>
      </c>
      <c r="T10" s="160">
        <v>0.0</v>
      </c>
      <c r="U10" s="160">
        <v>1357636.2</v>
      </c>
      <c r="V10" s="160">
        <v>0.0</v>
      </c>
      <c r="W10" s="160">
        <v>0.0</v>
      </c>
      <c r="X10" s="160">
        <v>0.0</v>
      </c>
      <c r="Y10" s="160">
        <v>1.75706271E7</v>
      </c>
    </row>
    <row r="11">
      <c r="A11" s="157" t="s">
        <v>199</v>
      </c>
      <c r="B11" s="160">
        <v>0.0</v>
      </c>
      <c r="C11" s="160">
        <v>9227945.05</v>
      </c>
      <c r="D11" s="160">
        <v>3946958.4</v>
      </c>
      <c r="E11" s="160">
        <v>3773901.2</v>
      </c>
      <c r="F11" s="160">
        <v>1.087339101E7</v>
      </c>
      <c r="G11" s="160">
        <v>19133.2</v>
      </c>
      <c r="H11" s="160">
        <v>4385187.04</v>
      </c>
      <c r="I11" s="160">
        <v>64781.85</v>
      </c>
      <c r="J11" s="160">
        <v>0.0</v>
      </c>
      <c r="K11" s="160">
        <v>3093.12</v>
      </c>
      <c r="L11" s="160">
        <v>2.80984037E7</v>
      </c>
      <c r="M11" s="160">
        <v>1.116891317E7</v>
      </c>
      <c r="N11" s="160">
        <v>24792.0</v>
      </c>
      <c r="O11" s="160">
        <v>0.0</v>
      </c>
      <c r="P11" s="160">
        <v>0.0</v>
      </c>
      <c r="Q11" s="160">
        <v>27301.6</v>
      </c>
      <c r="R11" s="160">
        <v>8746.8</v>
      </c>
      <c r="S11" s="160">
        <v>24427.5</v>
      </c>
      <c r="T11" s="160">
        <v>123244.1</v>
      </c>
      <c r="U11" s="160">
        <v>358105.4</v>
      </c>
      <c r="V11" s="160">
        <v>0.0</v>
      </c>
      <c r="W11" s="160">
        <v>0.0</v>
      </c>
      <c r="X11" s="160">
        <v>0.0</v>
      </c>
      <c r="Y11" s="160">
        <v>7.212832514E7</v>
      </c>
    </row>
    <row r="12">
      <c r="A12" s="157" t="s">
        <v>201</v>
      </c>
      <c r="B12" s="160">
        <v>0.0</v>
      </c>
      <c r="C12" s="160">
        <v>126920.6</v>
      </c>
      <c r="D12" s="160">
        <v>492104.2</v>
      </c>
      <c r="E12" s="160">
        <v>260060.4</v>
      </c>
      <c r="F12" s="160">
        <v>76096.0</v>
      </c>
      <c r="G12" s="160">
        <v>0.0</v>
      </c>
      <c r="H12" s="160">
        <v>885904.0</v>
      </c>
      <c r="I12" s="160">
        <v>0.0</v>
      </c>
      <c r="J12" s="160">
        <v>106212.4</v>
      </c>
      <c r="K12" s="160">
        <v>0.0</v>
      </c>
      <c r="L12" s="160">
        <v>2.374764615E7</v>
      </c>
      <c r="M12" s="160">
        <v>415631.2</v>
      </c>
      <c r="N12" s="160">
        <v>0.0</v>
      </c>
      <c r="O12" s="160">
        <v>2590387.06</v>
      </c>
      <c r="P12" s="160">
        <v>2946969.4</v>
      </c>
      <c r="Q12" s="160">
        <v>0.0</v>
      </c>
      <c r="R12" s="160">
        <v>1492338.25</v>
      </c>
      <c r="S12" s="160">
        <v>0.0</v>
      </c>
      <c r="T12" s="160">
        <v>0.0</v>
      </c>
      <c r="U12" s="160">
        <v>0.0</v>
      </c>
      <c r="V12" s="160">
        <v>0.0</v>
      </c>
      <c r="W12" s="160">
        <v>0.0</v>
      </c>
      <c r="X12" s="160">
        <v>0.0</v>
      </c>
      <c r="Y12" s="160">
        <v>3.314026965E7</v>
      </c>
    </row>
    <row r="13">
      <c r="A13" s="157" t="s">
        <v>202</v>
      </c>
      <c r="B13" s="160">
        <v>0.0</v>
      </c>
      <c r="C13" s="160">
        <v>0.0</v>
      </c>
      <c r="D13" s="160">
        <v>3225872.0</v>
      </c>
      <c r="E13" s="160">
        <v>3442421.0</v>
      </c>
      <c r="F13" s="160">
        <v>1006304.0</v>
      </c>
      <c r="G13" s="160">
        <v>0.0</v>
      </c>
      <c r="H13" s="160">
        <v>2569320.0</v>
      </c>
      <c r="I13" s="160">
        <v>0.0</v>
      </c>
      <c r="J13" s="160">
        <v>1069081.2</v>
      </c>
      <c r="K13" s="160">
        <v>0.0</v>
      </c>
      <c r="L13" s="160">
        <v>6356283.0</v>
      </c>
      <c r="M13" s="160">
        <v>258777.6</v>
      </c>
      <c r="N13" s="160">
        <v>1546899.0</v>
      </c>
      <c r="O13" s="160">
        <v>4947970.0</v>
      </c>
      <c r="P13" s="160">
        <v>1.085011118E7</v>
      </c>
      <c r="Q13" s="160">
        <v>0.0</v>
      </c>
      <c r="R13" s="160">
        <v>3189550.0</v>
      </c>
      <c r="S13" s="160">
        <v>0.0</v>
      </c>
      <c r="T13" s="160">
        <v>0.0</v>
      </c>
      <c r="U13" s="160">
        <v>0.0</v>
      </c>
      <c r="V13" s="160">
        <v>0.0</v>
      </c>
      <c r="W13" s="160">
        <v>0.0</v>
      </c>
      <c r="X13" s="160">
        <v>0.0</v>
      </c>
      <c r="Y13" s="160">
        <v>3.846258897E7</v>
      </c>
    </row>
    <row r="14">
      <c r="A14" s="157" t="s">
        <v>484</v>
      </c>
      <c r="B14" s="160">
        <v>0.0</v>
      </c>
      <c r="C14" s="160">
        <v>0.0</v>
      </c>
      <c r="D14" s="160">
        <v>0.0</v>
      </c>
      <c r="E14" s="160">
        <v>0.0</v>
      </c>
      <c r="F14" s="160">
        <v>0.0</v>
      </c>
      <c r="G14" s="160">
        <v>0.0</v>
      </c>
      <c r="H14" s="160">
        <v>0.0</v>
      </c>
      <c r="I14" s="160">
        <v>0.0</v>
      </c>
      <c r="J14" s="160">
        <v>0.0</v>
      </c>
      <c r="K14" s="160">
        <v>0.0</v>
      </c>
      <c r="L14" s="160">
        <v>0.0</v>
      </c>
      <c r="M14" s="160">
        <v>0.0</v>
      </c>
      <c r="N14" s="160">
        <v>0.0</v>
      </c>
      <c r="O14" s="160">
        <v>0.0</v>
      </c>
      <c r="P14" s="160">
        <v>0.0</v>
      </c>
      <c r="Q14" s="160">
        <v>0.0</v>
      </c>
      <c r="R14" s="160">
        <v>0.0</v>
      </c>
      <c r="S14" s="160">
        <v>0.0</v>
      </c>
      <c r="T14" s="160">
        <v>0.0</v>
      </c>
      <c r="U14" s="160">
        <v>0.0</v>
      </c>
      <c r="V14" s="160">
        <v>0.0</v>
      </c>
      <c r="W14" s="160">
        <v>0.0</v>
      </c>
      <c r="X14" s="160">
        <v>0.0</v>
      </c>
      <c r="Y14" s="160">
        <v>0.0</v>
      </c>
    </row>
    <row r="15">
      <c r="A15" s="157" t="s">
        <v>203</v>
      </c>
      <c r="B15" s="160">
        <v>0.0</v>
      </c>
      <c r="C15" s="160">
        <v>45349.0</v>
      </c>
      <c r="D15" s="160">
        <v>0.0</v>
      </c>
      <c r="E15" s="160">
        <v>0.0</v>
      </c>
      <c r="F15" s="160">
        <v>0.0</v>
      </c>
      <c r="G15" s="160">
        <v>0.0</v>
      </c>
      <c r="H15" s="160">
        <v>12144.0</v>
      </c>
      <c r="I15" s="160">
        <v>0.0</v>
      </c>
      <c r="J15" s="160">
        <v>0.0</v>
      </c>
      <c r="K15" s="160">
        <v>0.0</v>
      </c>
      <c r="L15" s="160">
        <v>270121.48</v>
      </c>
      <c r="M15" s="160">
        <v>0.0</v>
      </c>
      <c r="N15" s="160">
        <v>61824.0</v>
      </c>
      <c r="O15" s="160">
        <v>48500.0</v>
      </c>
      <c r="P15" s="160">
        <v>148658.8</v>
      </c>
      <c r="Q15" s="160">
        <v>0.0</v>
      </c>
      <c r="R15" s="160">
        <v>672700.0</v>
      </c>
      <c r="S15" s="160">
        <v>0.0</v>
      </c>
      <c r="T15" s="160">
        <v>0.0</v>
      </c>
      <c r="U15" s="160">
        <v>0.0</v>
      </c>
      <c r="V15" s="160">
        <v>0.0</v>
      </c>
      <c r="W15" s="160">
        <v>0.0</v>
      </c>
      <c r="X15" s="160">
        <v>0.0</v>
      </c>
      <c r="Y15" s="160">
        <v>1259297.28</v>
      </c>
    </row>
    <row r="16">
      <c r="A16" s="157" t="s">
        <v>485</v>
      </c>
      <c r="B16" s="160">
        <v>0.0</v>
      </c>
      <c r="C16" s="160">
        <v>0.0</v>
      </c>
      <c r="D16" s="160">
        <v>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60">
        <v>0.0</v>
      </c>
      <c r="Y16" s="160">
        <v>0.0</v>
      </c>
    </row>
    <row r="17">
      <c r="A17" s="157" t="s">
        <v>205</v>
      </c>
      <c r="B17" s="160">
        <v>0.0</v>
      </c>
      <c r="C17" s="160">
        <v>82560.0</v>
      </c>
      <c r="D17" s="160">
        <v>2282709.5</v>
      </c>
      <c r="E17" s="160">
        <v>2473280.0</v>
      </c>
      <c r="F17" s="160">
        <v>0.0</v>
      </c>
      <c r="G17" s="160">
        <v>0.0</v>
      </c>
      <c r="H17" s="160">
        <v>831939.0</v>
      </c>
      <c r="I17" s="160">
        <v>0.0</v>
      </c>
      <c r="J17" s="160">
        <v>1120110.8</v>
      </c>
      <c r="K17" s="160">
        <v>0.0</v>
      </c>
      <c r="L17" s="160">
        <v>3385289.92</v>
      </c>
      <c r="M17" s="160">
        <v>273640.0</v>
      </c>
      <c r="N17" s="160">
        <v>372030.0</v>
      </c>
      <c r="O17" s="160">
        <v>7420856.6</v>
      </c>
      <c r="P17" s="160">
        <v>2972751.25</v>
      </c>
      <c r="Q17" s="160">
        <v>0.0</v>
      </c>
      <c r="R17" s="160">
        <v>1531670.0</v>
      </c>
      <c r="S17" s="160">
        <v>0.0</v>
      </c>
      <c r="T17" s="160">
        <v>0.0</v>
      </c>
      <c r="U17" s="160">
        <v>0.0</v>
      </c>
      <c r="V17" s="160">
        <v>0.0</v>
      </c>
      <c r="W17" s="160">
        <v>0.0</v>
      </c>
      <c r="X17" s="160">
        <v>0.0</v>
      </c>
      <c r="Y17" s="160">
        <v>2.274683707E7</v>
      </c>
    </row>
    <row r="18">
      <c r="A18" s="157" t="s">
        <v>190</v>
      </c>
      <c r="B18" s="160">
        <v>7263.5</v>
      </c>
      <c r="C18" s="160">
        <v>1625768.1</v>
      </c>
      <c r="D18" s="160">
        <v>1595538.8</v>
      </c>
      <c r="E18" s="160">
        <v>1358256.6</v>
      </c>
      <c r="F18" s="160">
        <v>497202.8</v>
      </c>
      <c r="G18" s="160">
        <v>269630.0</v>
      </c>
      <c r="H18" s="160">
        <v>832658.0</v>
      </c>
      <c r="I18" s="160">
        <v>3800.0</v>
      </c>
      <c r="J18" s="160">
        <v>1650424.99</v>
      </c>
      <c r="K18" s="160">
        <v>0.0</v>
      </c>
      <c r="L18" s="160">
        <v>2.824898103E7</v>
      </c>
      <c r="M18" s="160">
        <v>1605071.0</v>
      </c>
      <c r="N18" s="160">
        <v>0.0</v>
      </c>
      <c r="O18" s="160">
        <v>1719753.55</v>
      </c>
      <c r="P18" s="160">
        <v>1255595.45</v>
      </c>
      <c r="Q18" s="160">
        <v>0.0</v>
      </c>
      <c r="R18" s="160">
        <v>87500.0</v>
      </c>
      <c r="S18" s="160">
        <v>0.0</v>
      </c>
      <c r="T18" s="160">
        <v>0.0</v>
      </c>
      <c r="U18" s="160">
        <v>595485.86</v>
      </c>
      <c r="V18" s="160">
        <v>0.0</v>
      </c>
      <c r="W18" s="160">
        <v>0.0</v>
      </c>
      <c r="X18" s="160">
        <v>0.0</v>
      </c>
      <c r="Y18" s="160">
        <v>4.135292967E7</v>
      </c>
    </row>
    <row r="19">
      <c r="A19" s="157" t="s">
        <v>486</v>
      </c>
      <c r="B19" s="160">
        <v>0.0</v>
      </c>
      <c r="C19" s="160">
        <v>0.0</v>
      </c>
      <c r="D19" s="160">
        <v>0.0</v>
      </c>
      <c r="E19" s="160">
        <v>0.0</v>
      </c>
      <c r="F19" s="160">
        <v>0.0</v>
      </c>
      <c r="G19" s="160">
        <v>0.0</v>
      </c>
      <c r="H19" s="160">
        <v>0.0</v>
      </c>
      <c r="I19" s="160">
        <v>0.0</v>
      </c>
      <c r="J19" s="160">
        <v>0.0</v>
      </c>
      <c r="K19" s="160">
        <v>0.0</v>
      </c>
      <c r="L19" s="160">
        <v>0.0</v>
      </c>
      <c r="M19" s="160">
        <v>0.0</v>
      </c>
      <c r="N19" s="160">
        <v>0.0</v>
      </c>
      <c r="O19" s="160">
        <v>0.0</v>
      </c>
      <c r="P19" s="160">
        <v>0.0</v>
      </c>
      <c r="Q19" s="160">
        <v>0.0</v>
      </c>
      <c r="R19" s="160">
        <v>0.0</v>
      </c>
      <c r="S19" s="160">
        <v>0.0</v>
      </c>
      <c r="T19" s="160">
        <v>0.0</v>
      </c>
      <c r="U19" s="160">
        <v>0.0</v>
      </c>
      <c r="V19" s="160">
        <v>0.0</v>
      </c>
      <c r="W19" s="160">
        <v>0.0</v>
      </c>
      <c r="X19" s="160">
        <v>0.0</v>
      </c>
      <c r="Y19" s="160">
        <v>0.0</v>
      </c>
    </row>
    <row r="20">
      <c r="A20" s="157" t="s">
        <v>191</v>
      </c>
      <c r="B20" s="160">
        <v>4849.96</v>
      </c>
      <c r="C20" s="160">
        <v>1256314.8</v>
      </c>
      <c r="D20" s="160">
        <v>3299840.4</v>
      </c>
      <c r="E20" s="160">
        <v>1729078.61</v>
      </c>
      <c r="F20" s="160">
        <v>474875.0</v>
      </c>
      <c r="G20" s="160">
        <v>0.0</v>
      </c>
      <c r="H20" s="160">
        <v>2906148.0</v>
      </c>
      <c r="I20" s="160">
        <v>0.0</v>
      </c>
      <c r="J20" s="160">
        <v>1881874.71</v>
      </c>
      <c r="K20" s="160">
        <v>0.0</v>
      </c>
      <c r="L20" s="160">
        <v>7454832.19</v>
      </c>
      <c r="M20" s="160">
        <v>308612.2</v>
      </c>
      <c r="N20" s="160">
        <v>854160.2</v>
      </c>
      <c r="O20" s="160">
        <v>4594536.88</v>
      </c>
      <c r="P20" s="160">
        <v>7728281.89</v>
      </c>
      <c r="Q20" s="160">
        <v>0.0</v>
      </c>
      <c r="R20" s="160">
        <v>2416642.5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0">
        <v>0.0</v>
      </c>
      <c r="Y20" s="160">
        <v>3.491004735E7</v>
      </c>
    </row>
    <row r="21">
      <c r="A21" s="157" t="s">
        <v>193</v>
      </c>
      <c r="B21" s="160">
        <v>203702.21</v>
      </c>
      <c r="C21" s="160">
        <v>1717178.01</v>
      </c>
      <c r="D21" s="160">
        <v>1940732.02</v>
      </c>
      <c r="E21" s="160">
        <v>218031.7</v>
      </c>
      <c r="F21" s="160">
        <v>114221.93</v>
      </c>
      <c r="G21" s="160">
        <v>0.0</v>
      </c>
      <c r="H21" s="160">
        <v>1808611.04</v>
      </c>
      <c r="I21" s="160">
        <v>0.0</v>
      </c>
      <c r="J21" s="160">
        <v>581231.95</v>
      </c>
      <c r="K21" s="160">
        <v>0.0</v>
      </c>
      <c r="L21" s="160">
        <v>4.674439765E7</v>
      </c>
      <c r="M21" s="160">
        <v>1232884.3</v>
      </c>
      <c r="N21" s="160">
        <v>0.0</v>
      </c>
      <c r="O21" s="160">
        <v>1672165.22</v>
      </c>
      <c r="P21" s="160">
        <v>2173290.13</v>
      </c>
      <c r="Q21" s="160">
        <v>12350.0</v>
      </c>
      <c r="R21" s="160">
        <v>749778.59</v>
      </c>
      <c r="S21" s="160">
        <v>15879.27</v>
      </c>
      <c r="T21" s="160">
        <v>0.0</v>
      </c>
      <c r="U21" s="160">
        <v>2116033.78</v>
      </c>
      <c r="V21" s="160">
        <v>0.0</v>
      </c>
      <c r="W21" s="160">
        <v>0.0</v>
      </c>
      <c r="X21" s="160">
        <v>0.0</v>
      </c>
      <c r="Y21" s="160">
        <v>6.130048781E7</v>
      </c>
    </row>
    <row r="22">
      <c r="A22" s="157" t="s">
        <v>487</v>
      </c>
      <c r="B22" s="160">
        <v>0.0</v>
      </c>
      <c r="C22" s="160">
        <v>0.0</v>
      </c>
      <c r="D22" s="160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60">
        <v>0.0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0">
        <v>0.0</v>
      </c>
      <c r="Y22" s="160">
        <v>0.0</v>
      </c>
    </row>
    <row r="23">
      <c r="A23" s="157" t="s">
        <v>488</v>
      </c>
      <c r="B23" s="160">
        <v>0.0</v>
      </c>
      <c r="C23" s="160">
        <v>0.0</v>
      </c>
      <c r="D23" s="160">
        <v>0.0</v>
      </c>
      <c r="E23" s="160">
        <v>0.0</v>
      </c>
      <c r="F23" s="160">
        <v>0.0</v>
      </c>
      <c r="G23" s="160">
        <v>0.0</v>
      </c>
      <c r="H23" s="160">
        <v>0.0</v>
      </c>
      <c r="I23" s="160">
        <v>0.0</v>
      </c>
      <c r="J23" s="160">
        <v>0.0</v>
      </c>
      <c r="K23" s="160">
        <v>0.0</v>
      </c>
      <c r="L23" s="160">
        <v>0.0</v>
      </c>
      <c r="M23" s="160">
        <v>0.0</v>
      </c>
      <c r="N23" s="160">
        <v>0.0</v>
      </c>
      <c r="O23" s="160">
        <v>0.0</v>
      </c>
      <c r="P23" s="160">
        <v>0.0</v>
      </c>
      <c r="Q23" s="160">
        <v>0.0</v>
      </c>
      <c r="R23" s="160">
        <v>0.0</v>
      </c>
      <c r="S23" s="160">
        <v>0.0</v>
      </c>
      <c r="T23" s="160">
        <v>0.0</v>
      </c>
      <c r="U23" s="160">
        <v>0.0</v>
      </c>
      <c r="V23" s="160">
        <v>0.0</v>
      </c>
      <c r="W23" s="160">
        <v>0.0</v>
      </c>
      <c r="X23" s="160">
        <v>0.0</v>
      </c>
      <c r="Y23" s="160">
        <v>0.0</v>
      </c>
    </row>
    <row r="24">
      <c r="A24" s="157" t="s">
        <v>489</v>
      </c>
      <c r="B24" s="160">
        <v>0.0</v>
      </c>
      <c r="C24" s="160">
        <v>0.0</v>
      </c>
      <c r="D24" s="160">
        <v>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60">
        <v>0.0</v>
      </c>
      <c r="Y24" s="160">
        <v>0.0</v>
      </c>
    </row>
    <row r="25">
      <c r="A25" s="157" t="s">
        <v>490</v>
      </c>
      <c r="B25" s="160">
        <v>0.0</v>
      </c>
      <c r="C25" s="160">
        <v>0.0</v>
      </c>
      <c r="D25" s="160">
        <v>0.0</v>
      </c>
      <c r="E25" s="160">
        <v>0.0</v>
      </c>
      <c r="F25" s="160">
        <v>0.0</v>
      </c>
      <c r="G25" s="160">
        <v>0.0</v>
      </c>
      <c r="H25" s="160">
        <v>0.0</v>
      </c>
      <c r="I25" s="160">
        <v>0.0</v>
      </c>
      <c r="J25" s="160">
        <v>0.0</v>
      </c>
      <c r="K25" s="160">
        <v>0.0</v>
      </c>
      <c r="L25" s="160">
        <v>0.0</v>
      </c>
      <c r="M25" s="160">
        <v>0.0</v>
      </c>
      <c r="N25" s="160">
        <v>0.0</v>
      </c>
      <c r="O25" s="160">
        <v>0.0</v>
      </c>
      <c r="P25" s="160">
        <v>0.0</v>
      </c>
      <c r="Q25" s="160">
        <v>0.0</v>
      </c>
      <c r="R25" s="160">
        <v>0.0</v>
      </c>
      <c r="S25" s="160">
        <v>0.0</v>
      </c>
      <c r="T25" s="160">
        <v>0.0</v>
      </c>
      <c r="U25" s="160">
        <v>0.0</v>
      </c>
      <c r="V25" s="160">
        <v>0.0</v>
      </c>
      <c r="W25" s="160">
        <v>0.0</v>
      </c>
      <c r="X25" s="160">
        <v>0.0</v>
      </c>
      <c r="Y25" s="160">
        <v>0.0</v>
      </c>
    </row>
    <row r="26">
      <c r="A26" s="157" t="s">
        <v>491</v>
      </c>
      <c r="B26" s="160">
        <v>0.0</v>
      </c>
      <c r="C26" s="160">
        <v>0.0</v>
      </c>
      <c r="D26" s="160">
        <v>0.0</v>
      </c>
      <c r="E26" s="160">
        <v>0.0</v>
      </c>
      <c r="F26" s="160">
        <v>0.0</v>
      </c>
      <c r="G26" s="160">
        <v>0.0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0">
        <v>0.0</v>
      </c>
      <c r="Y26" s="160">
        <v>0.0</v>
      </c>
    </row>
    <row r="27">
      <c r="A27" s="157" t="s">
        <v>492</v>
      </c>
      <c r="B27" s="160">
        <v>0.0</v>
      </c>
      <c r="C27" s="160">
        <v>0.0</v>
      </c>
      <c r="D27" s="160">
        <v>0.0</v>
      </c>
      <c r="E27" s="160">
        <v>0.0</v>
      </c>
      <c r="F27" s="160">
        <v>0.0</v>
      </c>
      <c r="G27" s="160">
        <v>0.0</v>
      </c>
      <c r="H27" s="160">
        <v>0.0</v>
      </c>
      <c r="I27" s="160">
        <v>0.0</v>
      </c>
      <c r="J27" s="160">
        <v>0.0</v>
      </c>
      <c r="K27" s="160">
        <v>0.0</v>
      </c>
      <c r="L27" s="160">
        <v>0.0</v>
      </c>
      <c r="M27" s="160">
        <v>0.0</v>
      </c>
      <c r="N27" s="160">
        <v>0.0</v>
      </c>
      <c r="O27" s="160">
        <v>0.0</v>
      </c>
      <c r="P27" s="160">
        <v>0.0</v>
      </c>
      <c r="Q27" s="160">
        <v>0.0</v>
      </c>
      <c r="R27" s="160">
        <v>0.0</v>
      </c>
      <c r="S27" s="160">
        <v>0.0</v>
      </c>
      <c r="T27" s="160">
        <v>0.0</v>
      </c>
      <c r="U27" s="160">
        <v>0.0</v>
      </c>
      <c r="V27" s="160">
        <v>0.0</v>
      </c>
      <c r="W27" s="160">
        <v>0.0</v>
      </c>
      <c r="X27" s="160">
        <v>0.0</v>
      </c>
      <c r="Y27" s="160">
        <v>0.0</v>
      </c>
    </row>
    <row r="28">
      <c r="A28" s="157" t="s">
        <v>493</v>
      </c>
      <c r="B28" s="160">
        <v>0.0</v>
      </c>
      <c r="C28" s="160">
        <v>0.0</v>
      </c>
      <c r="D28" s="160">
        <v>0.0</v>
      </c>
      <c r="E28" s="160">
        <v>0.0</v>
      </c>
      <c r="F28" s="160">
        <v>0.0</v>
      </c>
      <c r="G28" s="160">
        <v>0.0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0">
        <v>0.0</v>
      </c>
      <c r="Y28" s="160">
        <v>0.0</v>
      </c>
    </row>
    <row r="29">
      <c r="A29" s="157" t="s">
        <v>494</v>
      </c>
      <c r="B29" s="160">
        <v>0.0</v>
      </c>
      <c r="C29" s="160">
        <v>0.0</v>
      </c>
      <c r="D29" s="160">
        <v>0.0</v>
      </c>
      <c r="E29" s="160">
        <v>0.0</v>
      </c>
      <c r="F29" s="160">
        <v>0.0</v>
      </c>
      <c r="G29" s="160">
        <v>0.0</v>
      </c>
      <c r="H29" s="160">
        <v>0.0</v>
      </c>
      <c r="I29" s="160">
        <v>0.0</v>
      </c>
      <c r="J29" s="160">
        <v>0.0</v>
      </c>
      <c r="K29" s="160">
        <v>0.0</v>
      </c>
      <c r="L29" s="160">
        <v>0.0</v>
      </c>
      <c r="M29" s="160">
        <v>0.0</v>
      </c>
      <c r="N29" s="160">
        <v>0.0</v>
      </c>
      <c r="O29" s="160">
        <v>0.0</v>
      </c>
      <c r="P29" s="160">
        <v>0.0</v>
      </c>
      <c r="Q29" s="160">
        <v>0.0</v>
      </c>
      <c r="R29" s="160">
        <v>0.0</v>
      </c>
      <c r="S29" s="160">
        <v>0.0</v>
      </c>
      <c r="T29" s="160">
        <v>0.0</v>
      </c>
      <c r="U29" s="160">
        <v>0.0</v>
      </c>
      <c r="V29" s="160">
        <v>0.0</v>
      </c>
      <c r="W29" s="160">
        <v>0.0</v>
      </c>
      <c r="X29" s="160">
        <v>0.0</v>
      </c>
      <c r="Y29" s="160">
        <v>0.0</v>
      </c>
    </row>
    <row r="30">
      <c r="A30" s="157" t="s">
        <v>495</v>
      </c>
      <c r="B30" s="160">
        <v>0.0</v>
      </c>
      <c r="C30" s="160">
        <v>0.0</v>
      </c>
      <c r="D30" s="160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60">
        <v>0.0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0">
        <v>0.0</v>
      </c>
      <c r="Y30" s="160">
        <v>0.0</v>
      </c>
    </row>
    <row r="31">
      <c r="A31" s="157" t="s">
        <v>434</v>
      </c>
      <c r="B31" s="160">
        <v>0.0</v>
      </c>
      <c r="C31" s="160">
        <v>87812.8</v>
      </c>
      <c r="D31" s="160">
        <v>58307.5</v>
      </c>
      <c r="E31" s="160">
        <v>53528.8</v>
      </c>
      <c r="F31" s="160">
        <v>0.0</v>
      </c>
      <c r="G31" s="160">
        <v>0.0</v>
      </c>
      <c r="H31" s="160">
        <v>104009.8</v>
      </c>
      <c r="I31" s="160">
        <v>0.0</v>
      </c>
      <c r="J31" s="160">
        <v>234878.36</v>
      </c>
      <c r="K31" s="160">
        <v>0.0</v>
      </c>
      <c r="L31" s="160">
        <v>1659271.48</v>
      </c>
      <c r="M31" s="160">
        <v>941928.1</v>
      </c>
      <c r="N31" s="160">
        <v>293741.6</v>
      </c>
      <c r="O31" s="160">
        <v>0.0</v>
      </c>
      <c r="P31" s="160">
        <v>159529.24</v>
      </c>
      <c r="Q31" s="160">
        <v>0.0</v>
      </c>
      <c r="R31" s="160">
        <v>0.0</v>
      </c>
      <c r="S31" s="160">
        <v>0.0</v>
      </c>
      <c r="T31" s="160">
        <v>0.0</v>
      </c>
      <c r="U31" s="160">
        <v>52533.6</v>
      </c>
      <c r="V31" s="160">
        <v>0.0</v>
      </c>
      <c r="W31" s="160">
        <v>0.0</v>
      </c>
      <c r="X31" s="160">
        <v>0.0</v>
      </c>
      <c r="Y31" s="160">
        <v>3645541.28</v>
      </c>
    </row>
    <row r="32">
      <c r="A32" s="157" t="s">
        <v>496</v>
      </c>
      <c r="B32" s="160">
        <v>0.0</v>
      </c>
      <c r="C32" s="160">
        <v>0.0</v>
      </c>
      <c r="D32" s="160">
        <v>0.0</v>
      </c>
      <c r="E32" s="160">
        <v>0.0</v>
      </c>
      <c r="F32" s="160">
        <v>0.0</v>
      </c>
      <c r="G32" s="160">
        <v>0.0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0">
        <v>0.0</v>
      </c>
      <c r="Y32" s="160">
        <v>0.0</v>
      </c>
    </row>
    <row r="33">
      <c r="A33" s="157" t="s">
        <v>497</v>
      </c>
      <c r="B33" s="160">
        <v>0.0</v>
      </c>
      <c r="C33" s="160">
        <v>0.0</v>
      </c>
      <c r="D33" s="160">
        <v>0.0</v>
      </c>
      <c r="E33" s="160">
        <v>0.0</v>
      </c>
      <c r="F33" s="160">
        <v>0.0</v>
      </c>
      <c r="G33" s="160">
        <v>0.0</v>
      </c>
      <c r="H33" s="160">
        <v>0.0</v>
      </c>
      <c r="I33" s="160">
        <v>0.0</v>
      </c>
      <c r="J33" s="160">
        <v>0.0</v>
      </c>
      <c r="K33" s="160">
        <v>0.0</v>
      </c>
      <c r="L33" s="160">
        <v>0.0</v>
      </c>
      <c r="M33" s="160">
        <v>0.0</v>
      </c>
      <c r="N33" s="160">
        <v>0.0</v>
      </c>
      <c r="O33" s="160">
        <v>0.0</v>
      </c>
      <c r="P33" s="160">
        <v>0.0</v>
      </c>
      <c r="Q33" s="160">
        <v>0.0</v>
      </c>
      <c r="R33" s="160">
        <v>0.0</v>
      </c>
      <c r="S33" s="160">
        <v>0.0</v>
      </c>
      <c r="T33" s="160">
        <v>0.0</v>
      </c>
      <c r="U33" s="160">
        <v>0.0</v>
      </c>
      <c r="V33" s="160">
        <v>0.0</v>
      </c>
      <c r="W33" s="160">
        <v>0.0</v>
      </c>
      <c r="X33" s="160">
        <v>0.0</v>
      </c>
      <c r="Y33" s="160">
        <v>0.0</v>
      </c>
    </row>
    <row r="34">
      <c r="A34" s="157" t="s">
        <v>498</v>
      </c>
      <c r="B34" s="160">
        <v>0.0</v>
      </c>
      <c r="C34" s="160">
        <v>0.0</v>
      </c>
      <c r="D34" s="160">
        <v>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60">
        <v>0.0</v>
      </c>
      <c r="Y34" s="160">
        <v>0.0</v>
      </c>
    </row>
    <row r="35">
      <c r="A35" s="157" t="s">
        <v>499</v>
      </c>
      <c r="B35" s="160">
        <v>0.0</v>
      </c>
      <c r="C35" s="160">
        <v>0.0</v>
      </c>
      <c r="D35" s="160">
        <v>0.0</v>
      </c>
      <c r="E35" s="160">
        <v>0.0</v>
      </c>
      <c r="F35" s="160">
        <v>0.0</v>
      </c>
      <c r="G35" s="160">
        <v>0.0</v>
      </c>
      <c r="H35" s="160">
        <v>0.0</v>
      </c>
      <c r="I35" s="160">
        <v>0.0</v>
      </c>
      <c r="J35" s="160">
        <v>0.0</v>
      </c>
      <c r="K35" s="160">
        <v>0.0</v>
      </c>
      <c r="L35" s="160">
        <v>0.0</v>
      </c>
      <c r="M35" s="160">
        <v>0.0</v>
      </c>
      <c r="N35" s="160">
        <v>0.0</v>
      </c>
      <c r="O35" s="160">
        <v>0.0</v>
      </c>
      <c r="P35" s="160">
        <v>0.0</v>
      </c>
      <c r="Q35" s="160">
        <v>0.0</v>
      </c>
      <c r="R35" s="160">
        <v>0.0</v>
      </c>
      <c r="S35" s="160">
        <v>0.0</v>
      </c>
      <c r="T35" s="160">
        <v>0.0</v>
      </c>
      <c r="U35" s="160">
        <v>0.0</v>
      </c>
      <c r="V35" s="160">
        <v>0.0</v>
      </c>
      <c r="W35" s="160">
        <v>0.0</v>
      </c>
      <c r="X35" s="160">
        <v>0.0</v>
      </c>
      <c r="Y35" s="160">
        <v>0.0</v>
      </c>
    </row>
    <row r="36">
      <c r="A36" s="157" t="s">
        <v>112</v>
      </c>
      <c r="B36" s="160">
        <v>0.0</v>
      </c>
      <c r="C36" s="160">
        <v>24215.0</v>
      </c>
      <c r="D36" s="160">
        <v>62991.5</v>
      </c>
      <c r="E36" s="160">
        <v>0.0</v>
      </c>
      <c r="F36" s="160">
        <v>0.0</v>
      </c>
      <c r="G36" s="160">
        <v>0.0</v>
      </c>
      <c r="H36" s="160">
        <v>493897.5</v>
      </c>
      <c r="I36" s="160">
        <v>1485.0</v>
      </c>
      <c r="J36" s="160">
        <v>696859.74</v>
      </c>
      <c r="K36" s="160">
        <v>0.0</v>
      </c>
      <c r="L36" s="160">
        <v>1865544.62</v>
      </c>
      <c r="M36" s="160">
        <v>392492.0</v>
      </c>
      <c r="N36" s="160">
        <v>448850.5</v>
      </c>
      <c r="O36" s="160">
        <v>171151.55</v>
      </c>
      <c r="P36" s="160">
        <v>0.0</v>
      </c>
      <c r="Q36" s="160">
        <v>0.0</v>
      </c>
      <c r="R36" s="160">
        <v>0.0</v>
      </c>
      <c r="S36" s="160">
        <v>351573.0</v>
      </c>
      <c r="T36" s="160">
        <v>0.0</v>
      </c>
      <c r="U36" s="160">
        <v>223468.5</v>
      </c>
      <c r="V36" s="160">
        <v>0.0</v>
      </c>
      <c r="W36" s="160">
        <v>0.0</v>
      </c>
      <c r="X36" s="160">
        <v>0.0</v>
      </c>
      <c r="Y36" s="160">
        <v>4732528.91</v>
      </c>
    </row>
    <row r="37">
      <c r="A37" s="157" t="s">
        <v>500</v>
      </c>
      <c r="B37" s="160">
        <v>0.0</v>
      </c>
      <c r="C37" s="160">
        <v>0.0</v>
      </c>
      <c r="D37" s="160">
        <v>0.0</v>
      </c>
      <c r="E37" s="160">
        <v>0.0</v>
      </c>
      <c r="F37" s="160">
        <v>0.0</v>
      </c>
      <c r="G37" s="160">
        <v>0.0</v>
      </c>
      <c r="H37" s="160">
        <v>0.0</v>
      </c>
      <c r="I37" s="160">
        <v>0.0</v>
      </c>
      <c r="J37" s="160">
        <v>0.0</v>
      </c>
      <c r="K37" s="160">
        <v>0.0</v>
      </c>
      <c r="L37" s="160">
        <v>0.0</v>
      </c>
      <c r="M37" s="160">
        <v>0.0</v>
      </c>
      <c r="N37" s="160">
        <v>0.0</v>
      </c>
      <c r="O37" s="160">
        <v>0.0</v>
      </c>
      <c r="P37" s="160">
        <v>0.0</v>
      </c>
      <c r="Q37" s="160">
        <v>0.0</v>
      </c>
      <c r="R37" s="160">
        <v>0.0</v>
      </c>
      <c r="S37" s="160">
        <v>0.0</v>
      </c>
      <c r="T37" s="160">
        <v>0.0</v>
      </c>
      <c r="U37" s="160">
        <v>0.0</v>
      </c>
      <c r="V37" s="160">
        <v>0.0</v>
      </c>
      <c r="W37" s="160">
        <v>0.0</v>
      </c>
      <c r="X37" s="160">
        <v>0.0</v>
      </c>
      <c r="Y37" s="160">
        <v>0.0</v>
      </c>
    </row>
    <row r="38">
      <c r="A38" s="157" t="s">
        <v>501</v>
      </c>
      <c r="B38" s="160">
        <v>0.0</v>
      </c>
      <c r="C38" s="160">
        <v>0.0</v>
      </c>
      <c r="D38" s="160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60">
        <v>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0">
        <v>0.0</v>
      </c>
      <c r="Y38" s="160">
        <v>0.0</v>
      </c>
    </row>
    <row r="39">
      <c r="A39" s="157" t="s">
        <v>502</v>
      </c>
      <c r="B39" s="160">
        <v>0.0</v>
      </c>
      <c r="C39" s="160">
        <v>0.0</v>
      </c>
      <c r="D39" s="160">
        <v>0.0</v>
      </c>
      <c r="E39" s="160">
        <v>0.0</v>
      </c>
      <c r="F39" s="160">
        <v>0.0</v>
      </c>
      <c r="G39" s="160">
        <v>0.0</v>
      </c>
      <c r="H39" s="160">
        <v>0.0</v>
      </c>
      <c r="I39" s="160">
        <v>0.0</v>
      </c>
      <c r="J39" s="160">
        <v>0.0</v>
      </c>
      <c r="K39" s="160">
        <v>0.0</v>
      </c>
      <c r="L39" s="160">
        <v>0.0</v>
      </c>
      <c r="M39" s="160">
        <v>0.0</v>
      </c>
      <c r="N39" s="160">
        <v>0.0</v>
      </c>
      <c r="O39" s="160">
        <v>0.0</v>
      </c>
      <c r="P39" s="160">
        <v>0.0</v>
      </c>
      <c r="Q39" s="160">
        <v>0.0</v>
      </c>
      <c r="R39" s="160">
        <v>0.0</v>
      </c>
      <c r="S39" s="160">
        <v>0.0</v>
      </c>
      <c r="T39" s="160">
        <v>0.0</v>
      </c>
      <c r="U39" s="160">
        <v>0.0</v>
      </c>
      <c r="V39" s="160">
        <v>0.0</v>
      </c>
      <c r="W39" s="160">
        <v>0.0</v>
      </c>
      <c r="X39" s="160">
        <v>0.0</v>
      </c>
      <c r="Y39" s="160">
        <v>0.0</v>
      </c>
    </row>
    <row r="40">
      <c r="A40" s="157" t="s">
        <v>503</v>
      </c>
      <c r="B40" s="160">
        <v>0.0</v>
      </c>
      <c r="C40" s="160">
        <v>0.0</v>
      </c>
      <c r="D40" s="160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60">
        <v>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0">
        <v>0.0</v>
      </c>
      <c r="Y40" s="160">
        <v>0.0</v>
      </c>
    </row>
    <row r="41">
      <c r="A41" s="157" t="s">
        <v>504</v>
      </c>
      <c r="B41" s="160">
        <v>0.0</v>
      </c>
      <c r="C41" s="160">
        <v>0.0</v>
      </c>
      <c r="D41" s="160">
        <v>0.0</v>
      </c>
      <c r="E41" s="160">
        <v>0.0</v>
      </c>
      <c r="F41" s="160">
        <v>0.0</v>
      </c>
      <c r="G41" s="160">
        <v>0.0</v>
      </c>
      <c r="H41" s="160">
        <v>0.0</v>
      </c>
      <c r="I41" s="160">
        <v>0.0</v>
      </c>
      <c r="J41" s="160">
        <v>0.0</v>
      </c>
      <c r="K41" s="160">
        <v>0.0</v>
      </c>
      <c r="L41" s="160">
        <v>0.0</v>
      </c>
      <c r="M41" s="160">
        <v>0.0</v>
      </c>
      <c r="N41" s="160">
        <v>0.0</v>
      </c>
      <c r="O41" s="160">
        <v>0.0</v>
      </c>
      <c r="P41" s="160">
        <v>0.0</v>
      </c>
      <c r="Q41" s="160">
        <v>0.0</v>
      </c>
      <c r="R41" s="160">
        <v>0.0</v>
      </c>
      <c r="S41" s="160">
        <v>0.0</v>
      </c>
      <c r="T41" s="160">
        <v>0.0</v>
      </c>
      <c r="U41" s="160">
        <v>0.0</v>
      </c>
      <c r="V41" s="160">
        <v>0.0</v>
      </c>
      <c r="W41" s="160">
        <v>0.0</v>
      </c>
      <c r="X41" s="160">
        <v>0.0</v>
      </c>
      <c r="Y41" s="160">
        <v>0.0</v>
      </c>
    </row>
    <row r="42">
      <c r="A42" s="157" t="s">
        <v>505</v>
      </c>
      <c r="B42" s="160">
        <v>0.0</v>
      </c>
      <c r="C42" s="160">
        <v>0.0</v>
      </c>
      <c r="D42" s="160">
        <v>0.0</v>
      </c>
      <c r="E42" s="160">
        <v>0.0</v>
      </c>
      <c r="F42" s="160">
        <v>0.0</v>
      </c>
      <c r="G42" s="160">
        <v>0.0</v>
      </c>
      <c r="H42" s="160">
        <v>0.0</v>
      </c>
      <c r="I42" s="160">
        <v>0.0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0">
        <v>0.0</v>
      </c>
      <c r="Y42" s="160">
        <v>0.0</v>
      </c>
    </row>
    <row r="43">
      <c r="A43" s="157" t="s">
        <v>506</v>
      </c>
      <c r="B43" s="160">
        <v>0.0</v>
      </c>
      <c r="C43" s="160">
        <v>0.0</v>
      </c>
      <c r="D43" s="160">
        <v>0.0</v>
      </c>
      <c r="E43" s="160">
        <v>0.0</v>
      </c>
      <c r="F43" s="160">
        <v>0.0</v>
      </c>
      <c r="G43" s="160">
        <v>0.0</v>
      </c>
      <c r="H43" s="160">
        <v>0.0</v>
      </c>
      <c r="I43" s="160">
        <v>0.0</v>
      </c>
      <c r="J43" s="160">
        <v>0.0</v>
      </c>
      <c r="K43" s="160">
        <v>0.0</v>
      </c>
      <c r="L43" s="160">
        <v>0.0</v>
      </c>
      <c r="M43" s="160">
        <v>0.0</v>
      </c>
      <c r="N43" s="160">
        <v>0.0</v>
      </c>
      <c r="O43" s="160">
        <v>0.0</v>
      </c>
      <c r="P43" s="160">
        <v>0.0</v>
      </c>
      <c r="Q43" s="160">
        <v>0.0</v>
      </c>
      <c r="R43" s="160">
        <v>0.0</v>
      </c>
      <c r="S43" s="160">
        <v>0.0</v>
      </c>
      <c r="T43" s="160">
        <v>0.0</v>
      </c>
      <c r="U43" s="160">
        <v>0.0</v>
      </c>
      <c r="V43" s="160">
        <v>0.0</v>
      </c>
      <c r="W43" s="160">
        <v>0.0</v>
      </c>
      <c r="X43" s="160">
        <v>0.0</v>
      </c>
      <c r="Y43" s="160">
        <v>0.0</v>
      </c>
    </row>
    <row r="44">
      <c r="A44" s="157" t="s">
        <v>507</v>
      </c>
      <c r="B44" s="160">
        <v>0.0</v>
      </c>
      <c r="C44" s="160">
        <v>0.0</v>
      </c>
      <c r="D44" s="160">
        <v>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60">
        <v>0.0</v>
      </c>
      <c r="Y44" s="160">
        <v>0.0</v>
      </c>
    </row>
    <row r="45">
      <c r="A45" s="157" t="s">
        <v>508</v>
      </c>
      <c r="B45" s="160">
        <v>0.0</v>
      </c>
      <c r="C45" s="160">
        <v>0.0</v>
      </c>
      <c r="D45" s="160">
        <v>0.0</v>
      </c>
      <c r="E45" s="160">
        <v>0.0</v>
      </c>
      <c r="F45" s="160">
        <v>0.0</v>
      </c>
      <c r="G45" s="160">
        <v>0.0</v>
      </c>
      <c r="H45" s="160">
        <v>0.0</v>
      </c>
      <c r="I45" s="160">
        <v>0.0</v>
      </c>
      <c r="J45" s="160">
        <v>0.0</v>
      </c>
      <c r="K45" s="160">
        <v>0.0</v>
      </c>
      <c r="L45" s="160">
        <v>0.0</v>
      </c>
      <c r="M45" s="160">
        <v>0.0</v>
      </c>
      <c r="N45" s="160">
        <v>0.0</v>
      </c>
      <c r="O45" s="160">
        <v>0.0</v>
      </c>
      <c r="P45" s="160">
        <v>0.0</v>
      </c>
      <c r="Q45" s="160">
        <v>0.0</v>
      </c>
      <c r="R45" s="160">
        <v>0.0</v>
      </c>
      <c r="S45" s="160">
        <v>0.0</v>
      </c>
      <c r="T45" s="160">
        <v>0.0</v>
      </c>
      <c r="U45" s="160">
        <v>0.0</v>
      </c>
      <c r="V45" s="160">
        <v>0.0</v>
      </c>
      <c r="W45" s="160">
        <v>0.0</v>
      </c>
      <c r="X45" s="160">
        <v>0.0</v>
      </c>
      <c r="Y45" s="160">
        <v>0.0</v>
      </c>
    </row>
    <row r="46">
      <c r="A46" s="157" t="s">
        <v>509</v>
      </c>
      <c r="B46" s="160">
        <v>0.0</v>
      </c>
      <c r="C46" s="160">
        <v>0.0</v>
      </c>
      <c r="D46" s="160">
        <v>0.0</v>
      </c>
      <c r="E46" s="160">
        <v>0.0</v>
      </c>
      <c r="F46" s="160">
        <v>0.0</v>
      </c>
      <c r="G46" s="160">
        <v>0.0</v>
      </c>
      <c r="H46" s="160">
        <v>0.0</v>
      </c>
      <c r="I46" s="160">
        <v>0.0</v>
      </c>
      <c r="J46" s="160">
        <v>0.0</v>
      </c>
      <c r="K46" s="160">
        <v>0.0</v>
      </c>
      <c r="L46" s="160">
        <v>0.0</v>
      </c>
      <c r="M46" s="160">
        <v>0.0</v>
      </c>
      <c r="N46" s="160">
        <v>0.0</v>
      </c>
      <c r="O46" s="160">
        <v>0.0</v>
      </c>
      <c r="P46" s="160">
        <v>0.0</v>
      </c>
      <c r="Q46" s="160">
        <v>0.0</v>
      </c>
      <c r="R46" s="160">
        <v>0.0</v>
      </c>
      <c r="S46" s="160">
        <v>0.0</v>
      </c>
      <c r="T46" s="160">
        <v>0.0</v>
      </c>
      <c r="U46" s="160">
        <v>0.0</v>
      </c>
      <c r="V46" s="160">
        <v>0.0</v>
      </c>
      <c r="W46" s="160">
        <v>0.0</v>
      </c>
      <c r="X46" s="160">
        <v>0.0</v>
      </c>
      <c r="Y46" s="160">
        <v>0.0</v>
      </c>
    </row>
    <row r="47">
      <c r="A47" s="157" t="s">
        <v>510</v>
      </c>
      <c r="B47" s="160">
        <v>0.0</v>
      </c>
      <c r="C47" s="160">
        <v>0.0</v>
      </c>
      <c r="D47" s="160">
        <v>0.0</v>
      </c>
      <c r="E47" s="160">
        <v>0.0</v>
      </c>
      <c r="F47" s="160">
        <v>0.0</v>
      </c>
      <c r="G47" s="160">
        <v>0.0</v>
      </c>
      <c r="H47" s="160">
        <v>0.0</v>
      </c>
      <c r="I47" s="160">
        <v>0.0</v>
      </c>
      <c r="J47" s="160">
        <v>0.0</v>
      </c>
      <c r="K47" s="160">
        <v>0.0</v>
      </c>
      <c r="L47" s="160">
        <v>0.0</v>
      </c>
      <c r="M47" s="160">
        <v>0.0</v>
      </c>
      <c r="N47" s="160">
        <v>0.0</v>
      </c>
      <c r="O47" s="160">
        <v>0.0</v>
      </c>
      <c r="P47" s="160">
        <v>0.0</v>
      </c>
      <c r="Q47" s="160">
        <v>0.0</v>
      </c>
      <c r="R47" s="160">
        <v>0.0</v>
      </c>
      <c r="S47" s="160">
        <v>0.0</v>
      </c>
      <c r="T47" s="160">
        <v>0.0</v>
      </c>
      <c r="U47" s="160">
        <v>0.0</v>
      </c>
      <c r="V47" s="160">
        <v>0.0</v>
      </c>
      <c r="W47" s="160">
        <v>0.0</v>
      </c>
      <c r="X47" s="160">
        <v>0.0</v>
      </c>
      <c r="Y47" s="160">
        <v>0.0</v>
      </c>
    </row>
    <row r="48">
      <c r="A48" s="157" t="s">
        <v>511</v>
      </c>
      <c r="B48" s="160">
        <v>0.0</v>
      </c>
      <c r="C48" s="160">
        <v>0.0</v>
      </c>
      <c r="D48" s="160">
        <v>0.0</v>
      </c>
      <c r="E48" s="160">
        <v>0.0</v>
      </c>
      <c r="F48" s="160">
        <v>0.0</v>
      </c>
      <c r="G48" s="160">
        <v>0.0</v>
      </c>
      <c r="H48" s="160">
        <v>0.0</v>
      </c>
      <c r="I48" s="160">
        <v>0.0</v>
      </c>
      <c r="J48" s="160">
        <v>0.0</v>
      </c>
      <c r="K48" s="160">
        <v>0.0</v>
      </c>
      <c r="L48" s="160">
        <v>0.0</v>
      </c>
      <c r="M48" s="160">
        <v>0.0</v>
      </c>
      <c r="N48" s="160">
        <v>0.0</v>
      </c>
      <c r="O48" s="160">
        <v>0.0</v>
      </c>
      <c r="P48" s="160">
        <v>0.0</v>
      </c>
      <c r="Q48" s="160">
        <v>0.0</v>
      </c>
      <c r="R48" s="160">
        <v>0.0</v>
      </c>
      <c r="S48" s="160">
        <v>0.0</v>
      </c>
      <c r="T48" s="160">
        <v>0.0</v>
      </c>
      <c r="U48" s="160">
        <v>0.0</v>
      </c>
      <c r="V48" s="160">
        <v>0.0</v>
      </c>
      <c r="W48" s="160">
        <v>0.0</v>
      </c>
      <c r="X48" s="160">
        <v>0.0</v>
      </c>
      <c r="Y48" s="160">
        <v>0.0</v>
      </c>
    </row>
    <row r="49">
      <c r="A49" s="157" t="s">
        <v>512</v>
      </c>
      <c r="B49" s="160">
        <v>0.0</v>
      </c>
      <c r="C49" s="160">
        <v>0.0</v>
      </c>
      <c r="D49" s="160">
        <v>0.0</v>
      </c>
      <c r="E49" s="160">
        <v>0.0</v>
      </c>
      <c r="F49" s="160">
        <v>0.0</v>
      </c>
      <c r="G49" s="160">
        <v>0.0</v>
      </c>
      <c r="H49" s="160">
        <v>0.0</v>
      </c>
      <c r="I49" s="160">
        <v>0.0</v>
      </c>
      <c r="J49" s="160">
        <v>0.0</v>
      </c>
      <c r="K49" s="160">
        <v>0.0</v>
      </c>
      <c r="L49" s="160">
        <v>0.0</v>
      </c>
      <c r="M49" s="160">
        <v>0.0</v>
      </c>
      <c r="N49" s="160">
        <v>0.0</v>
      </c>
      <c r="O49" s="160">
        <v>0.0</v>
      </c>
      <c r="P49" s="160">
        <v>0.0</v>
      </c>
      <c r="Q49" s="160">
        <v>0.0</v>
      </c>
      <c r="R49" s="160">
        <v>0.0</v>
      </c>
      <c r="S49" s="160">
        <v>0.0</v>
      </c>
      <c r="T49" s="160">
        <v>0.0</v>
      </c>
      <c r="U49" s="160">
        <v>0.0</v>
      </c>
      <c r="V49" s="160">
        <v>0.0</v>
      </c>
      <c r="W49" s="160">
        <v>0.0</v>
      </c>
      <c r="X49" s="160">
        <v>0.0</v>
      </c>
      <c r="Y49" s="160">
        <v>0.0</v>
      </c>
    </row>
    <row r="50">
      <c r="A50" s="157" t="s">
        <v>513</v>
      </c>
      <c r="B50" s="160">
        <v>0.0</v>
      </c>
      <c r="C50" s="160">
        <v>0.0</v>
      </c>
      <c r="D50" s="160">
        <v>0.0</v>
      </c>
      <c r="E50" s="160">
        <v>0.0</v>
      </c>
      <c r="F50" s="160">
        <v>0.0</v>
      </c>
      <c r="G50" s="160">
        <v>0.0</v>
      </c>
      <c r="H50" s="160">
        <v>0.0</v>
      </c>
      <c r="I50" s="160">
        <v>0.0</v>
      </c>
      <c r="J50" s="160">
        <v>0.0</v>
      </c>
      <c r="K50" s="160">
        <v>0.0</v>
      </c>
      <c r="L50" s="160">
        <v>0.0</v>
      </c>
      <c r="M50" s="160">
        <v>0.0</v>
      </c>
      <c r="N50" s="160">
        <v>0.0</v>
      </c>
      <c r="O50" s="160">
        <v>0.0</v>
      </c>
      <c r="P50" s="160">
        <v>0.0</v>
      </c>
      <c r="Q50" s="160">
        <v>0.0</v>
      </c>
      <c r="R50" s="160">
        <v>0.0</v>
      </c>
      <c r="S50" s="160">
        <v>0.0</v>
      </c>
      <c r="T50" s="160">
        <v>0.0</v>
      </c>
      <c r="U50" s="160">
        <v>0.0</v>
      </c>
      <c r="V50" s="160">
        <v>0.0</v>
      </c>
      <c r="W50" s="160">
        <v>0.0</v>
      </c>
      <c r="X50" s="160">
        <v>0.0</v>
      </c>
      <c r="Y50" s="160">
        <v>0.0</v>
      </c>
    </row>
    <row r="51">
      <c r="A51" s="157" t="s">
        <v>514</v>
      </c>
      <c r="B51" s="160">
        <v>0.0</v>
      </c>
      <c r="C51" s="160">
        <v>0.0</v>
      </c>
      <c r="D51" s="160">
        <v>0.0</v>
      </c>
      <c r="E51" s="160">
        <v>0.0</v>
      </c>
      <c r="F51" s="160">
        <v>0.0</v>
      </c>
      <c r="G51" s="160">
        <v>0.0</v>
      </c>
      <c r="H51" s="160">
        <v>0.0</v>
      </c>
      <c r="I51" s="160">
        <v>0.0</v>
      </c>
      <c r="J51" s="160">
        <v>0.0</v>
      </c>
      <c r="K51" s="160">
        <v>0.0</v>
      </c>
      <c r="L51" s="160">
        <v>0.0</v>
      </c>
      <c r="M51" s="160">
        <v>0.0</v>
      </c>
      <c r="N51" s="160">
        <v>0.0</v>
      </c>
      <c r="O51" s="160">
        <v>0.0</v>
      </c>
      <c r="P51" s="160">
        <v>0.0</v>
      </c>
      <c r="Q51" s="160">
        <v>0.0</v>
      </c>
      <c r="R51" s="160">
        <v>0.0</v>
      </c>
      <c r="S51" s="160">
        <v>0.0</v>
      </c>
      <c r="T51" s="160">
        <v>0.0</v>
      </c>
      <c r="U51" s="160">
        <v>0.0</v>
      </c>
      <c r="V51" s="160">
        <v>0.0</v>
      </c>
      <c r="W51" s="160">
        <v>0.0</v>
      </c>
      <c r="X51" s="160">
        <v>0.0</v>
      </c>
      <c r="Y51" s="160">
        <v>0.0</v>
      </c>
    </row>
    <row r="52">
      <c r="A52" s="157" t="s">
        <v>515</v>
      </c>
      <c r="B52" s="160">
        <v>0.0</v>
      </c>
      <c r="C52" s="160">
        <v>0.0</v>
      </c>
      <c r="D52" s="160">
        <v>0.0</v>
      </c>
      <c r="E52" s="160">
        <v>0.0</v>
      </c>
      <c r="F52" s="160">
        <v>0.0</v>
      </c>
      <c r="G52" s="160">
        <v>0.0</v>
      </c>
      <c r="H52" s="160">
        <v>0.0</v>
      </c>
      <c r="I52" s="160">
        <v>0.0</v>
      </c>
      <c r="J52" s="160">
        <v>0.0</v>
      </c>
      <c r="K52" s="160">
        <v>0.0</v>
      </c>
      <c r="L52" s="160">
        <v>0.0</v>
      </c>
      <c r="M52" s="160">
        <v>0.0</v>
      </c>
      <c r="N52" s="160">
        <v>0.0</v>
      </c>
      <c r="O52" s="160">
        <v>0.0</v>
      </c>
      <c r="P52" s="160">
        <v>0.0</v>
      </c>
      <c r="Q52" s="160">
        <v>0.0</v>
      </c>
      <c r="R52" s="160">
        <v>0.0</v>
      </c>
      <c r="S52" s="160">
        <v>0.0</v>
      </c>
      <c r="T52" s="160">
        <v>0.0</v>
      </c>
      <c r="U52" s="160">
        <v>0.0</v>
      </c>
      <c r="V52" s="160">
        <v>0.0</v>
      </c>
      <c r="W52" s="160">
        <v>0.0</v>
      </c>
      <c r="X52" s="160">
        <v>0.0</v>
      </c>
      <c r="Y52" s="160">
        <v>0.0</v>
      </c>
    </row>
    <row r="53">
      <c r="A53" s="157" t="s">
        <v>516</v>
      </c>
      <c r="B53" s="160">
        <v>0.0</v>
      </c>
      <c r="C53" s="160">
        <v>0.0</v>
      </c>
      <c r="D53" s="160">
        <v>0.0</v>
      </c>
      <c r="E53" s="160">
        <v>0.0</v>
      </c>
      <c r="F53" s="160">
        <v>0.0</v>
      </c>
      <c r="G53" s="160">
        <v>0.0</v>
      </c>
      <c r="H53" s="160">
        <v>0.0</v>
      </c>
      <c r="I53" s="160">
        <v>0.0</v>
      </c>
      <c r="J53" s="160">
        <v>0.0</v>
      </c>
      <c r="K53" s="160">
        <v>0.0</v>
      </c>
      <c r="L53" s="160">
        <v>0.0</v>
      </c>
      <c r="M53" s="160">
        <v>0.0</v>
      </c>
      <c r="N53" s="160">
        <v>0.0</v>
      </c>
      <c r="O53" s="160">
        <v>0.0</v>
      </c>
      <c r="P53" s="160">
        <v>0.0</v>
      </c>
      <c r="Q53" s="160">
        <v>0.0</v>
      </c>
      <c r="R53" s="160">
        <v>0.0</v>
      </c>
      <c r="S53" s="160">
        <v>0.0</v>
      </c>
      <c r="T53" s="160">
        <v>0.0</v>
      </c>
      <c r="U53" s="160">
        <v>0.0</v>
      </c>
      <c r="V53" s="160">
        <v>0.0</v>
      </c>
      <c r="W53" s="160">
        <v>0.0</v>
      </c>
      <c r="X53" s="160">
        <v>0.0</v>
      </c>
      <c r="Y53" s="160">
        <v>0.0</v>
      </c>
    </row>
    <row r="54">
      <c r="A54" s="157" t="s">
        <v>517</v>
      </c>
      <c r="B54" s="160">
        <v>0.0</v>
      </c>
      <c r="C54" s="160">
        <v>0.0</v>
      </c>
      <c r="D54" s="160">
        <v>0.0</v>
      </c>
      <c r="E54" s="160">
        <v>0.0</v>
      </c>
      <c r="F54" s="160">
        <v>0.0</v>
      </c>
      <c r="G54" s="160">
        <v>0.0</v>
      </c>
      <c r="H54" s="160">
        <v>0.0</v>
      </c>
      <c r="I54" s="160">
        <v>0.0</v>
      </c>
      <c r="J54" s="160">
        <v>0.0</v>
      </c>
      <c r="K54" s="160">
        <v>0.0</v>
      </c>
      <c r="L54" s="160">
        <v>0.0</v>
      </c>
      <c r="M54" s="160">
        <v>0.0</v>
      </c>
      <c r="N54" s="160">
        <v>0.0</v>
      </c>
      <c r="O54" s="160">
        <v>0.0</v>
      </c>
      <c r="P54" s="160">
        <v>0.0</v>
      </c>
      <c r="Q54" s="160">
        <v>0.0</v>
      </c>
      <c r="R54" s="160">
        <v>0.0</v>
      </c>
      <c r="S54" s="160">
        <v>0.0</v>
      </c>
      <c r="T54" s="160">
        <v>0.0</v>
      </c>
      <c r="U54" s="160">
        <v>0.0</v>
      </c>
      <c r="V54" s="160">
        <v>0.0</v>
      </c>
      <c r="W54" s="160">
        <v>0.0</v>
      </c>
      <c r="X54" s="160">
        <v>0.0</v>
      </c>
      <c r="Y54" s="160">
        <v>0.0</v>
      </c>
    </row>
    <row r="55">
      <c r="A55" s="157" t="s">
        <v>518</v>
      </c>
      <c r="B55" s="160">
        <v>0.0</v>
      </c>
      <c r="C55" s="160">
        <v>0.0</v>
      </c>
      <c r="D55" s="160">
        <v>0.0</v>
      </c>
      <c r="E55" s="160">
        <v>0.0</v>
      </c>
      <c r="F55" s="160">
        <v>0.0</v>
      </c>
      <c r="G55" s="160">
        <v>0.0</v>
      </c>
      <c r="H55" s="160">
        <v>0.0</v>
      </c>
      <c r="I55" s="160">
        <v>0.0</v>
      </c>
      <c r="J55" s="160">
        <v>0.0</v>
      </c>
      <c r="K55" s="160">
        <v>0.0</v>
      </c>
      <c r="L55" s="160">
        <v>0.0</v>
      </c>
      <c r="M55" s="160">
        <v>0.0</v>
      </c>
      <c r="N55" s="160">
        <v>0.0</v>
      </c>
      <c r="O55" s="160">
        <v>0.0</v>
      </c>
      <c r="P55" s="160">
        <v>0.0</v>
      </c>
      <c r="Q55" s="160">
        <v>0.0</v>
      </c>
      <c r="R55" s="160">
        <v>0.0</v>
      </c>
      <c r="S55" s="160">
        <v>0.0</v>
      </c>
      <c r="T55" s="160">
        <v>0.0</v>
      </c>
      <c r="U55" s="160">
        <v>0.0</v>
      </c>
      <c r="V55" s="160">
        <v>0.0</v>
      </c>
      <c r="W55" s="160">
        <v>0.0</v>
      </c>
      <c r="X55" s="160">
        <v>0.0</v>
      </c>
      <c r="Y55" s="160">
        <v>0.0</v>
      </c>
    </row>
    <row r="56">
      <c r="A56" s="157" t="s">
        <v>519</v>
      </c>
      <c r="B56" s="160">
        <v>0.0</v>
      </c>
      <c r="C56" s="160">
        <v>0.0</v>
      </c>
      <c r="D56" s="160">
        <v>0.0</v>
      </c>
      <c r="E56" s="160">
        <v>0.0</v>
      </c>
      <c r="F56" s="160">
        <v>0.0</v>
      </c>
      <c r="G56" s="160">
        <v>0.0</v>
      </c>
      <c r="H56" s="160">
        <v>0.0</v>
      </c>
      <c r="I56" s="160">
        <v>0.0</v>
      </c>
      <c r="J56" s="160">
        <v>0.0</v>
      </c>
      <c r="K56" s="160">
        <v>0.0</v>
      </c>
      <c r="L56" s="160">
        <v>0.0</v>
      </c>
      <c r="M56" s="160">
        <v>0.0</v>
      </c>
      <c r="N56" s="160">
        <v>0.0</v>
      </c>
      <c r="O56" s="160">
        <v>0.0</v>
      </c>
      <c r="P56" s="160">
        <v>0.0</v>
      </c>
      <c r="Q56" s="160">
        <v>0.0</v>
      </c>
      <c r="R56" s="160">
        <v>0.0</v>
      </c>
      <c r="S56" s="160">
        <v>0.0</v>
      </c>
      <c r="T56" s="160">
        <v>0.0</v>
      </c>
      <c r="U56" s="160">
        <v>0.0</v>
      </c>
      <c r="V56" s="160">
        <v>0.0</v>
      </c>
      <c r="W56" s="160">
        <v>0.0</v>
      </c>
      <c r="X56" s="160">
        <v>0.0</v>
      </c>
      <c r="Y56" s="160">
        <v>0.0</v>
      </c>
    </row>
    <row r="57">
      <c r="A57" s="157" t="s">
        <v>520</v>
      </c>
      <c r="B57" s="160">
        <v>0.0</v>
      </c>
      <c r="C57" s="160">
        <v>0.0</v>
      </c>
      <c r="D57" s="160">
        <v>0.0</v>
      </c>
      <c r="E57" s="160">
        <v>0.0</v>
      </c>
      <c r="F57" s="160">
        <v>0.0</v>
      </c>
      <c r="G57" s="160">
        <v>0.0</v>
      </c>
      <c r="H57" s="160">
        <v>0.0</v>
      </c>
      <c r="I57" s="160">
        <v>0.0</v>
      </c>
      <c r="J57" s="160">
        <v>0.0</v>
      </c>
      <c r="K57" s="160">
        <v>0.0</v>
      </c>
      <c r="L57" s="160">
        <v>0.0</v>
      </c>
      <c r="M57" s="160">
        <v>0.0</v>
      </c>
      <c r="N57" s="160">
        <v>0.0</v>
      </c>
      <c r="O57" s="160">
        <v>0.0</v>
      </c>
      <c r="P57" s="160">
        <v>0.0</v>
      </c>
      <c r="Q57" s="160">
        <v>0.0</v>
      </c>
      <c r="R57" s="160">
        <v>0.0</v>
      </c>
      <c r="S57" s="160">
        <v>0.0</v>
      </c>
      <c r="T57" s="160">
        <v>0.0</v>
      </c>
      <c r="U57" s="160">
        <v>0.0</v>
      </c>
      <c r="V57" s="160">
        <v>0.0</v>
      </c>
      <c r="W57" s="160">
        <v>0.0</v>
      </c>
      <c r="X57" s="160">
        <v>0.0</v>
      </c>
      <c r="Y57" s="160">
        <v>0.0</v>
      </c>
    </row>
    <row r="58">
      <c r="A58" s="157" t="s">
        <v>521</v>
      </c>
      <c r="B58" s="160">
        <v>0.0</v>
      </c>
      <c r="C58" s="160">
        <v>0.0</v>
      </c>
      <c r="D58" s="160">
        <v>0.0</v>
      </c>
      <c r="E58" s="160">
        <v>0.0</v>
      </c>
      <c r="F58" s="160">
        <v>0.0</v>
      </c>
      <c r="G58" s="160">
        <v>0.0</v>
      </c>
      <c r="H58" s="160">
        <v>0.0</v>
      </c>
      <c r="I58" s="160">
        <v>0.0</v>
      </c>
      <c r="J58" s="160">
        <v>0.0</v>
      </c>
      <c r="K58" s="160">
        <v>0.0</v>
      </c>
      <c r="L58" s="160">
        <v>0.0</v>
      </c>
      <c r="M58" s="160">
        <v>0.0</v>
      </c>
      <c r="N58" s="160">
        <v>0.0</v>
      </c>
      <c r="O58" s="160">
        <v>0.0</v>
      </c>
      <c r="P58" s="160">
        <v>0.0</v>
      </c>
      <c r="Q58" s="160">
        <v>0.0</v>
      </c>
      <c r="R58" s="160">
        <v>0.0</v>
      </c>
      <c r="S58" s="160">
        <v>0.0</v>
      </c>
      <c r="T58" s="160">
        <v>0.0</v>
      </c>
      <c r="U58" s="160">
        <v>0.0</v>
      </c>
      <c r="V58" s="160">
        <v>0.0</v>
      </c>
      <c r="W58" s="160">
        <v>0.0</v>
      </c>
      <c r="X58" s="160">
        <v>0.0</v>
      </c>
      <c r="Y58" s="160">
        <v>0.0</v>
      </c>
    </row>
    <row r="59">
      <c r="A59" s="157" t="s">
        <v>522</v>
      </c>
      <c r="B59" s="160">
        <v>0.0</v>
      </c>
      <c r="C59" s="160">
        <v>0.0</v>
      </c>
      <c r="D59" s="160">
        <v>0.0</v>
      </c>
      <c r="E59" s="160">
        <v>0.0</v>
      </c>
      <c r="F59" s="160">
        <v>0.0</v>
      </c>
      <c r="G59" s="160">
        <v>0.0</v>
      </c>
      <c r="H59" s="160">
        <v>0.0</v>
      </c>
      <c r="I59" s="160">
        <v>0.0</v>
      </c>
      <c r="J59" s="160">
        <v>0.0</v>
      </c>
      <c r="K59" s="160">
        <v>0.0</v>
      </c>
      <c r="L59" s="160">
        <v>0.0</v>
      </c>
      <c r="M59" s="160">
        <v>0.0</v>
      </c>
      <c r="N59" s="160">
        <v>0.0</v>
      </c>
      <c r="O59" s="160">
        <v>0.0</v>
      </c>
      <c r="P59" s="160">
        <v>0.0</v>
      </c>
      <c r="Q59" s="160">
        <v>0.0</v>
      </c>
      <c r="R59" s="160">
        <v>0.0</v>
      </c>
      <c r="S59" s="160">
        <v>0.0</v>
      </c>
      <c r="T59" s="160">
        <v>0.0</v>
      </c>
      <c r="U59" s="160">
        <v>0.0</v>
      </c>
      <c r="V59" s="160">
        <v>0.0</v>
      </c>
      <c r="W59" s="160">
        <v>0.0</v>
      </c>
      <c r="X59" s="160">
        <v>0.0</v>
      </c>
      <c r="Y59" s="160">
        <v>0.0</v>
      </c>
    </row>
    <row r="60">
      <c r="A60" s="157" t="s">
        <v>523</v>
      </c>
      <c r="B60" s="160">
        <v>0.0</v>
      </c>
      <c r="C60" s="160">
        <v>0.0</v>
      </c>
      <c r="D60" s="160">
        <v>0.0</v>
      </c>
      <c r="E60" s="160">
        <v>0.0</v>
      </c>
      <c r="F60" s="160">
        <v>0.0</v>
      </c>
      <c r="G60" s="160">
        <v>0.0</v>
      </c>
      <c r="H60" s="160">
        <v>0.0</v>
      </c>
      <c r="I60" s="160">
        <v>0.0</v>
      </c>
      <c r="J60" s="160">
        <v>0.0</v>
      </c>
      <c r="K60" s="160">
        <v>0.0</v>
      </c>
      <c r="L60" s="160">
        <v>0.0</v>
      </c>
      <c r="M60" s="160">
        <v>0.0</v>
      </c>
      <c r="N60" s="160">
        <v>0.0</v>
      </c>
      <c r="O60" s="160">
        <v>0.0</v>
      </c>
      <c r="P60" s="160">
        <v>0.0</v>
      </c>
      <c r="Q60" s="160">
        <v>0.0</v>
      </c>
      <c r="R60" s="160">
        <v>0.0</v>
      </c>
      <c r="S60" s="160">
        <v>0.0</v>
      </c>
      <c r="T60" s="160">
        <v>0.0</v>
      </c>
      <c r="U60" s="160">
        <v>0.0</v>
      </c>
      <c r="V60" s="160">
        <v>0.0</v>
      </c>
      <c r="W60" s="160">
        <v>0.0</v>
      </c>
      <c r="X60" s="160">
        <v>0.0</v>
      </c>
      <c r="Y60" s="160">
        <v>0.0</v>
      </c>
    </row>
    <row r="61">
      <c r="A61" s="157" t="s">
        <v>524</v>
      </c>
      <c r="B61" s="160">
        <v>0.0</v>
      </c>
      <c r="C61" s="160">
        <v>84719.1</v>
      </c>
      <c r="D61" s="160">
        <v>104586.4</v>
      </c>
      <c r="E61" s="160">
        <v>59036.5</v>
      </c>
      <c r="F61" s="160">
        <v>0.0</v>
      </c>
      <c r="G61" s="160">
        <v>0.0</v>
      </c>
      <c r="H61" s="160">
        <v>730435.8</v>
      </c>
      <c r="I61" s="160">
        <v>0.0</v>
      </c>
      <c r="J61" s="160">
        <v>572203.32</v>
      </c>
      <c r="K61" s="160">
        <v>0.0</v>
      </c>
      <c r="L61" s="160">
        <v>9379053.9</v>
      </c>
      <c r="M61" s="160">
        <v>1662958.2</v>
      </c>
      <c r="N61" s="160">
        <v>21527.0</v>
      </c>
      <c r="O61" s="160">
        <v>63399.22</v>
      </c>
      <c r="P61" s="160">
        <v>0.0</v>
      </c>
      <c r="Q61" s="160">
        <v>0.0</v>
      </c>
      <c r="R61" s="160">
        <v>0.0</v>
      </c>
      <c r="S61" s="160">
        <v>6451.2</v>
      </c>
      <c r="T61" s="160">
        <v>0.0</v>
      </c>
      <c r="U61" s="160">
        <v>54806.8</v>
      </c>
      <c r="V61" s="160">
        <v>0.0</v>
      </c>
      <c r="W61" s="160">
        <v>0.0</v>
      </c>
      <c r="X61" s="160">
        <v>0.0</v>
      </c>
      <c r="Y61" s="160">
        <v>1.273917744E7</v>
      </c>
    </row>
    <row r="62">
      <c r="A62" s="157" t="s">
        <v>525</v>
      </c>
      <c r="B62" s="160">
        <v>0.0</v>
      </c>
      <c r="C62" s="160">
        <v>0.0</v>
      </c>
      <c r="D62" s="160">
        <v>0.0</v>
      </c>
      <c r="E62" s="160">
        <v>0.0</v>
      </c>
      <c r="F62" s="160">
        <v>0.0</v>
      </c>
      <c r="G62" s="160">
        <v>0.0</v>
      </c>
      <c r="H62" s="160">
        <v>0.0</v>
      </c>
      <c r="I62" s="160">
        <v>0.0</v>
      </c>
      <c r="J62" s="160">
        <v>0.0</v>
      </c>
      <c r="K62" s="160">
        <v>0.0</v>
      </c>
      <c r="L62" s="160">
        <v>0.0</v>
      </c>
      <c r="M62" s="160">
        <v>0.0</v>
      </c>
      <c r="N62" s="160">
        <v>0.0</v>
      </c>
      <c r="O62" s="160">
        <v>0.0</v>
      </c>
      <c r="P62" s="160">
        <v>0.0</v>
      </c>
      <c r="Q62" s="160">
        <v>0.0</v>
      </c>
      <c r="R62" s="160">
        <v>0.0</v>
      </c>
      <c r="S62" s="160">
        <v>0.0</v>
      </c>
      <c r="T62" s="160">
        <v>0.0</v>
      </c>
      <c r="U62" s="160">
        <v>0.0</v>
      </c>
      <c r="V62" s="160">
        <v>0.0</v>
      </c>
      <c r="W62" s="160">
        <v>0.0</v>
      </c>
      <c r="X62" s="160">
        <v>0.0</v>
      </c>
      <c r="Y62" s="160">
        <v>0.0</v>
      </c>
    </row>
    <row r="63">
      <c r="A63" s="157" t="s">
        <v>526</v>
      </c>
      <c r="B63" s="160">
        <v>0.0</v>
      </c>
      <c r="C63" s="160">
        <v>0.0</v>
      </c>
      <c r="D63" s="160">
        <v>0.0</v>
      </c>
      <c r="E63" s="160">
        <v>0.0</v>
      </c>
      <c r="F63" s="160">
        <v>0.0</v>
      </c>
      <c r="G63" s="160">
        <v>0.0</v>
      </c>
      <c r="H63" s="160">
        <v>0.0</v>
      </c>
      <c r="I63" s="160">
        <v>0.0</v>
      </c>
      <c r="J63" s="160">
        <v>0.0</v>
      </c>
      <c r="K63" s="160">
        <v>0.0</v>
      </c>
      <c r="L63" s="160">
        <v>0.0</v>
      </c>
      <c r="M63" s="160">
        <v>0.0</v>
      </c>
      <c r="N63" s="160">
        <v>0.0</v>
      </c>
      <c r="O63" s="160">
        <v>0.0</v>
      </c>
      <c r="P63" s="160">
        <v>0.0</v>
      </c>
      <c r="Q63" s="160">
        <v>0.0</v>
      </c>
      <c r="R63" s="160">
        <v>0.0</v>
      </c>
      <c r="S63" s="160">
        <v>0.0</v>
      </c>
      <c r="T63" s="160">
        <v>0.0</v>
      </c>
      <c r="U63" s="160">
        <v>0.0</v>
      </c>
      <c r="V63" s="160">
        <v>0.0</v>
      </c>
      <c r="W63" s="160">
        <v>0.0</v>
      </c>
      <c r="X63" s="160">
        <v>0.0</v>
      </c>
      <c r="Y63" s="160">
        <v>0.0</v>
      </c>
    </row>
    <row r="64">
      <c r="A64" s="157" t="s">
        <v>299</v>
      </c>
      <c r="B64" s="160">
        <v>0.0</v>
      </c>
      <c r="C64" s="160">
        <v>1540983.95</v>
      </c>
      <c r="D64" s="160">
        <v>1339892.82</v>
      </c>
      <c r="E64" s="160">
        <v>1979954.2</v>
      </c>
      <c r="F64" s="160">
        <v>476172.7</v>
      </c>
      <c r="G64" s="160">
        <v>88636.0</v>
      </c>
      <c r="H64" s="160">
        <v>2693719.0</v>
      </c>
      <c r="I64" s="160">
        <v>0.0</v>
      </c>
      <c r="J64" s="160">
        <v>35527.2</v>
      </c>
      <c r="K64" s="160">
        <v>0.0</v>
      </c>
      <c r="L64" s="160">
        <v>5019764.43</v>
      </c>
      <c r="M64" s="160">
        <v>1738049.5</v>
      </c>
      <c r="N64" s="160">
        <v>1812696.45</v>
      </c>
      <c r="O64" s="160">
        <v>315585.46</v>
      </c>
      <c r="P64" s="160">
        <v>438558.77</v>
      </c>
      <c r="Q64" s="160">
        <v>0.0</v>
      </c>
      <c r="R64" s="160">
        <v>7540.0</v>
      </c>
      <c r="S64" s="160">
        <v>443318.8</v>
      </c>
      <c r="T64" s="160">
        <v>0.0</v>
      </c>
      <c r="U64" s="160">
        <v>2865867.83</v>
      </c>
      <c r="V64" s="160">
        <v>0.0</v>
      </c>
      <c r="W64" s="160">
        <v>0.0</v>
      </c>
      <c r="X64" s="160">
        <v>0.0</v>
      </c>
      <c r="Y64" s="160">
        <v>2.079626711E7</v>
      </c>
    </row>
    <row r="65">
      <c r="A65" s="157" t="s">
        <v>527</v>
      </c>
      <c r="B65" s="160">
        <v>0.0</v>
      </c>
      <c r="C65" s="160">
        <v>0.0</v>
      </c>
      <c r="D65" s="160">
        <v>0.0</v>
      </c>
      <c r="E65" s="160">
        <v>0.0</v>
      </c>
      <c r="F65" s="160">
        <v>0.0</v>
      </c>
      <c r="G65" s="160">
        <v>0.0</v>
      </c>
      <c r="H65" s="160">
        <v>0.0</v>
      </c>
      <c r="I65" s="160">
        <v>0.0</v>
      </c>
      <c r="J65" s="160">
        <v>0.0</v>
      </c>
      <c r="K65" s="160">
        <v>0.0</v>
      </c>
      <c r="L65" s="160">
        <v>0.0</v>
      </c>
      <c r="M65" s="160">
        <v>0.0</v>
      </c>
      <c r="N65" s="160">
        <v>0.0</v>
      </c>
      <c r="O65" s="160">
        <v>0.0</v>
      </c>
      <c r="P65" s="160">
        <v>0.0</v>
      </c>
      <c r="Q65" s="160">
        <v>0.0</v>
      </c>
      <c r="R65" s="160">
        <v>0.0</v>
      </c>
      <c r="S65" s="160">
        <v>0.0</v>
      </c>
      <c r="T65" s="160">
        <v>0.0</v>
      </c>
      <c r="U65" s="160">
        <v>0.0</v>
      </c>
      <c r="V65" s="160">
        <v>0.0</v>
      </c>
      <c r="W65" s="160">
        <v>0.0</v>
      </c>
      <c r="X65" s="160">
        <v>0.0</v>
      </c>
      <c r="Y65" s="160">
        <v>0.0</v>
      </c>
    </row>
    <row r="66">
      <c r="A66" s="157" t="s">
        <v>323</v>
      </c>
      <c r="B66" s="160">
        <v>0.0</v>
      </c>
      <c r="C66" s="160">
        <v>5708.4</v>
      </c>
      <c r="D66" s="160">
        <v>0.0</v>
      </c>
      <c r="E66" s="160">
        <v>0.0</v>
      </c>
      <c r="F66" s="160">
        <v>0.0</v>
      </c>
      <c r="G66" s="160">
        <v>0.0</v>
      </c>
      <c r="H66" s="160">
        <v>285583.6</v>
      </c>
      <c r="I66" s="160">
        <v>0.0</v>
      </c>
      <c r="J66" s="160">
        <v>0.0</v>
      </c>
      <c r="K66" s="160">
        <v>0.0</v>
      </c>
      <c r="L66" s="160">
        <v>1.039814169E7</v>
      </c>
      <c r="M66" s="160">
        <v>26502.8</v>
      </c>
      <c r="N66" s="160">
        <v>0.0</v>
      </c>
      <c r="O66" s="160">
        <v>0.0</v>
      </c>
      <c r="P66" s="160">
        <v>0.0</v>
      </c>
      <c r="Q66" s="160">
        <v>0.0</v>
      </c>
      <c r="R66" s="160">
        <v>0.0</v>
      </c>
      <c r="S66" s="160">
        <v>213442.1</v>
      </c>
      <c r="T66" s="160">
        <v>0.0</v>
      </c>
      <c r="U66" s="160">
        <v>42621.2</v>
      </c>
      <c r="V66" s="160">
        <v>0.0</v>
      </c>
      <c r="W66" s="160">
        <v>0.0</v>
      </c>
      <c r="X66" s="160">
        <v>0.0</v>
      </c>
      <c r="Y66" s="160">
        <v>1.097199979E7</v>
      </c>
    </row>
    <row r="67">
      <c r="A67" s="157" t="s">
        <v>528</v>
      </c>
      <c r="B67" s="160">
        <v>0.0</v>
      </c>
      <c r="C67" s="160">
        <v>0.0</v>
      </c>
      <c r="D67" s="160">
        <v>0.0</v>
      </c>
      <c r="E67" s="160">
        <v>0.0</v>
      </c>
      <c r="F67" s="160">
        <v>0.0</v>
      </c>
      <c r="G67" s="160">
        <v>0.0</v>
      </c>
      <c r="H67" s="160">
        <v>0.0</v>
      </c>
      <c r="I67" s="160">
        <v>0.0</v>
      </c>
      <c r="J67" s="160">
        <v>0.0</v>
      </c>
      <c r="K67" s="160">
        <v>0.0</v>
      </c>
      <c r="L67" s="160">
        <v>0.0</v>
      </c>
      <c r="M67" s="160">
        <v>0.0</v>
      </c>
      <c r="N67" s="160">
        <v>0.0</v>
      </c>
      <c r="O67" s="160">
        <v>0.0</v>
      </c>
      <c r="P67" s="160">
        <v>0.0</v>
      </c>
      <c r="Q67" s="160">
        <v>0.0</v>
      </c>
      <c r="R67" s="160">
        <v>0.0</v>
      </c>
      <c r="S67" s="160">
        <v>0.0</v>
      </c>
      <c r="T67" s="160">
        <v>0.0</v>
      </c>
      <c r="U67" s="160">
        <v>0.0</v>
      </c>
      <c r="V67" s="160">
        <v>0.0</v>
      </c>
      <c r="W67" s="160">
        <v>0.0</v>
      </c>
      <c r="X67" s="160">
        <v>0.0</v>
      </c>
      <c r="Y67" s="160">
        <v>0.0</v>
      </c>
    </row>
    <row r="68">
      <c r="A68" s="157" t="s">
        <v>529</v>
      </c>
      <c r="B68" s="160">
        <v>0.0</v>
      </c>
      <c r="C68" s="160">
        <v>0.0</v>
      </c>
      <c r="D68" s="160">
        <v>0.0</v>
      </c>
      <c r="E68" s="160">
        <v>0.0</v>
      </c>
      <c r="F68" s="160">
        <v>0.0</v>
      </c>
      <c r="G68" s="160">
        <v>0.0</v>
      </c>
      <c r="H68" s="160">
        <v>0.0</v>
      </c>
      <c r="I68" s="160">
        <v>0.0</v>
      </c>
      <c r="J68" s="160">
        <v>0.0</v>
      </c>
      <c r="K68" s="160">
        <v>0.0</v>
      </c>
      <c r="L68" s="160">
        <v>0.0</v>
      </c>
      <c r="M68" s="160">
        <v>0.0</v>
      </c>
      <c r="N68" s="160">
        <v>0.0</v>
      </c>
      <c r="O68" s="160">
        <v>0.0</v>
      </c>
      <c r="P68" s="160">
        <v>0.0</v>
      </c>
      <c r="Q68" s="160">
        <v>0.0</v>
      </c>
      <c r="R68" s="160">
        <v>0.0</v>
      </c>
      <c r="S68" s="160">
        <v>0.0</v>
      </c>
      <c r="T68" s="160">
        <v>0.0</v>
      </c>
      <c r="U68" s="160">
        <v>0.0</v>
      </c>
      <c r="V68" s="160">
        <v>0.0</v>
      </c>
      <c r="W68" s="160">
        <v>0.0</v>
      </c>
      <c r="X68" s="160">
        <v>0.0</v>
      </c>
      <c r="Y68" s="160">
        <v>0.0</v>
      </c>
    </row>
    <row r="69">
      <c r="A69" s="157" t="s">
        <v>530</v>
      </c>
      <c r="B69" s="160">
        <v>0.0</v>
      </c>
      <c r="C69" s="160">
        <v>0.0</v>
      </c>
      <c r="D69" s="160">
        <v>0.0</v>
      </c>
      <c r="E69" s="160">
        <v>0.0</v>
      </c>
      <c r="F69" s="160">
        <v>0.0</v>
      </c>
      <c r="G69" s="160">
        <v>0.0</v>
      </c>
      <c r="H69" s="160">
        <v>0.0</v>
      </c>
      <c r="I69" s="160">
        <v>0.0</v>
      </c>
      <c r="J69" s="160">
        <v>0.0</v>
      </c>
      <c r="K69" s="160">
        <v>0.0</v>
      </c>
      <c r="L69" s="160">
        <v>0.0</v>
      </c>
      <c r="M69" s="160">
        <v>0.0</v>
      </c>
      <c r="N69" s="160">
        <v>0.0</v>
      </c>
      <c r="O69" s="160">
        <v>0.0</v>
      </c>
      <c r="P69" s="160">
        <v>0.0</v>
      </c>
      <c r="Q69" s="160">
        <v>0.0</v>
      </c>
      <c r="R69" s="160">
        <v>0.0</v>
      </c>
      <c r="S69" s="160">
        <v>0.0</v>
      </c>
      <c r="T69" s="160">
        <v>0.0</v>
      </c>
      <c r="U69" s="160">
        <v>0.0</v>
      </c>
      <c r="V69" s="160">
        <v>0.0</v>
      </c>
      <c r="W69" s="160">
        <v>0.0</v>
      </c>
      <c r="X69" s="160">
        <v>0.0</v>
      </c>
      <c r="Y69" s="160">
        <v>0.0</v>
      </c>
    </row>
    <row r="70">
      <c r="A70" s="157" t="s">
        <v>531</v>
      </c>
      <c r="B70" s="160">
        <v>0.0</v>
      </c>
      <c r="C70" s="160">
        <v>0.0</v>
      </c>
      <c r="D70" s="160">
        <v>0.0</v>
      </c>
      <c r="E70" s="160">
        <v>0.0</v>
      </c>
      <c r="F70" s="160">
        <v>0.0</v>
      </c>
      <c r="G70" s="160">
        <v>0.0</v>
      </c>
      <c r="H70" s="160">
        <v>0.0</v>
      </c>
      <c r="I70" s="160">
        <v>0.0</v>
      </c>
      <c r="J70" s="160">
        <v>0.0</v>
      </c>
      <c r="K70" s="160">
        <v>0.0</v>
      </c>
      <c r="L70" s="160">
        <v>0.0</v>
      </c>
      <c r="M70" s="160">
        <v>0.0</v>
      </c>
      <c r="N70" s="160">
        <v>0.0</v>
      </c>
      <c r="O70" s="160">
        <v>0.0</v>
      </c>
      <c r="P70" s="160">
        <v>0.0</v>
      </c>
      <c r="Q70" s="160">
        <v>0.0</v>
      </c>
      <c r="R70" s="160">
        <v>0.0</v>
      </c>
      <c r="S70" s="160">
        <v>0.0</v>
      </c>
      <c r="T70" s="160">
        <v>0.0</v>
      </c>
      <c r="U70" s="160">
        <v>0.0</v>
      </c>
      <c r="V70" s="160">
        <v>0.0</v>
      </c>
      <c r="W70" s="160">
        <v>0.0</v>
      </c>
      <c r="X70" s="160">
        <v>0.0</v>
      </c>
      <c r="Y70" s="160">
        <v>0.0</v>
      </c>
    </row>
    <row r="71">
      <c r="A71" s="157" t="s">
        <v>532</v>
      </c>
      <c r="B71" s="160">
        <v>0.0</v>
      </c>
      <c r="C71" s="160">
        <v>0.0</v>
      </c>
      <c r="D71" s="160">
        <v>0.0</v>
      </c>
      <c r="E71" s="160">
        <v>0.0</v>
      </c>
      <c r="F71" s="160">
        <v>0.0</v>
      </c>
      <c r="G71" s="160">
        <v>0.0</v>
      </c>
      <c r="H71" s="160">
        <v>0.0</v>
      </c>
      <c r="I71" s="160">
        <v>0.0</v>
      </c>
      <c r="J71" s="160">
        <v>0.0</v>
      </c>
      <c r="K71" s="160">
        <v>0.0</v>
      </c>
      <c r="L71" s="160">
        <v>0.0</v>
      </c>
      <c r="M71" s="160">
        <v>0.0</v>
      </c>
      <c r="N71" s="160">
        <v>0.0</v>
      </c>
      <c r="O71" s="160">
        <v>0.0</v>
      </c>
      <c r="P71" s="160">
        <v>0.0</v>
      </c>
      <c r="Q71" s="160">
        <v>0.0</v>
      </c>
      <c r="R71" s="160">
        <v>0.0</v>
      </c>
      <c r="S71" s="160">
        <v>0.0</v>
      </c>
      <c r="T71" s="160">
        <v>0.0</v>
      </c>
      <c r="U71" s="160">
        <v>0.0</v>
      </c>
      <c r="V71" s="160">
        <v>0.0</v>
      </c>
      <c r="W71" s="160">
        <v>0.0</v>
      </c>
      <c r="X71" s="160">
        <v>0.0</v>
      </c>
      <c r="Y71" s="160">
        <v>0.0</v>
      </c>
    </row>
    <row r="72">
      <c r="A72" s="157" t="s">
        <v>206</v>
      </c>
      <c r="B72" s="160">
        <v>75862.66</v>
      </c>
      <c r="C72" s="160">
        <v>852013.25</v>
      </c>
      <c r="D72" s="160">
        <v>1738324.5</v>
      </c>
      <c r="E72" s="160">
        <v>2117571.5</v>
      </c>
      <c r="F72" s="160">
        <v>59152.5</v>
      </c>
      <c r="G72" s="160">
        <v>0.0</v>
      </c>
      <c r="H72" s="160">
        <v>1799182.0</v>
      </c>
      <c r="I72" s="160">
        <v>0.0</v>
      </c>
      <c r="J72" s="160">
        <v>1356159.75</v>
      </c>
      <c r="K72" s="160">
        <v>0.0</v>
      </c>
      <c r="L72" s="160">
        <v>7434867.55</v>
      </c>
      <c r="M72" s="160">
        <v>190355.0</v>
      </c>
      <c r="N72" s="160">
        <v>460801.0</v>
      </c>
      <c r="O72" s="160">
        <v>5315003.94</v>
      </c>
      <c r="P72" s="160">
        <v>6946045.28</v>
      </c>
      <c r="Q72" s="160">
        <v>29909.0</v>
      </c>
      <c r="R72" s="160">
        <v>2965333.25</v>
      </c>
      <c r="S72" s="160">
        <v>123953.5</v>
      </c>
      <c r="T72" s="160">
        <v>8756.0</v>
      </c>
      <c r="U72" s="160">
        <v>543985.2</v>
      </c>
      <c r="V72" s="160">
        <v>0.0</v>
      </c>
      <c r="W72" s="160">
        <v>0.0</v>
      </c>
      <c r="X72" s="160">
        <v>0.0</v>
      </c>
      <c r="Y72" s="160">
        <v>3.201727586E7</v>
      </c>
    </row>
    <row r="73">
      <c r="A73" s="157" t="s">
        <v>533</v>
      </c>
      <c r="B73" s="160">
        <v>0.0</v>
      </c>
      <c r="C73" s="160">
        <v>0.0</v>
      </c>
      <c r="D73" s="160">
        <v>0.0</v>
      </c>
      <c r="E73" s="160">
        <v>0.0</v>
      </c>
      <c r="F73" s="160">
        <v>0.0</v>
      </c>
      <c r="G73" s="160">
        <v>0.0</v>
      </c>
      <c r="H73" s="160">
        <v>0.0</v>
      </c>
      <c r="I73" s="160">
        <v>0.0</v>
      </c>
      <c r="J73" s="160">
        <v>0.0</v>
      </c>
      <c r="K73" s="160">
        <v>0.0</v>
      </c>
      <c r="L73" s="160">
        <v>0.0</v>
      </c>
      <c r="M73" s="160">
        <v>0.0</v>
      </c>
      <c r="N73" s="160">
        <v>0.0</v>
      </c>
      <c r="O73" s="160">
        <v>0.0</v>
      </c>
      <c r="P73" s="160">
        <v>0.0</v>
      </c>
      <c r="Q73" s="160">
        <v>0.0</v>
      </c>
      <c r="R73" s="160">
        <v>0.0</v>
      </c>
      <c r="S73" s="160">
        <v>0.0</v>
      </c>
      <c r="T73" s="160">
        <v>0.0</v>
      </c>
      <c r="U73" s="160">
        <v>0.0</v>
      </c>
      <c r="V73" s="160">
        <v>0.0</v>
      </c>
      <c r="W73" s="160">
        <v>0.0</v>
      </c>
      <c r="X73" s="160">
        <v>0.0</v>
      </c>
      <c r="Y73" s="160">
        <v>0.0</v>
      </c>
    </row>
    <row r="74">
      <c r="A74" s="157" t="s">
        <v>534</v>
      </c>
      <c r="B74" s="160">
        <v>0.0</v>
      </c>
      <c r="C74" s="160">
        <v>0.0</v>
      </c>
      <c r="D74" s="160">
        <v>0.0</v>
      </c>
      <c r="E74" s="160">
        <v>0.0</v>
      </c>
      <c r="F74" s="160">
        <v>0.0</v>
      </c>
      <c r="G74" s="160">
        <v>0.0</v>
      </c>
      <c r="H74" s="160">
        <v>0.0</v>
      </c>
      <c r="I74" s="160">
        <v>0.0</v>
      </c>
      <c r="J74" s="160">
        <v>0.0</v>
      </c>
      <c r="K74" s="160">
        <v>0.0</v>
      </c>
      <c r="L74" s="160">
        <v>0.0</v>
      </c>
      <c r="M74" s="160">
        <v>0.0</v>
      </c>
      <c r="N74" s="160">
        <v>0.0</v>
      </c>
      <c r="O74" s="160">
        <v>0.0</v>
      </c>
      <c r="P74" s="160">
        <v>0.0</v>
      </c>
      <c r="Q74" s="160">
        <v>0.0</v>
      </c>
      <c r="R74" s="160">
        <v>0.0</v>
      </c>
      <c r="S74" s="160">
        <v>0.0</v>
      </c>
      <c r="T74" s="160">
        <v>0.0</v>
      </c>
      <c r="U74" s="160">
        <v>0.0</v>
      </c>
      <c r="V74" s="160">
        <v>0.0</v>
      </c>
      <c r="W74" s="160">
        <v>0.0</v>
      </c>
      <c r="X74" s="160">
        <v>0.0</v>
      </c>
      <c r="Y74" s="160">
        <v>0.0</v>
      </c>
    </row>
    <row r="75">
      <c r="A75" s="157" t="s">
        <v>535</v>
      </c>
      <c r="B75" s="160">
        <v>0.0</v>
      </c>
      <c r="C75" s="160">
        <v>0.0</v>
      </c>
      <c r="D75" s="160">
        <v>0.0</v>
      </c>
      <c r="E75" s="160">
        <v>0.0</v>
      </c>
      <c r="F75" s="160">
        <v>0.0</v>
      </c>
      <c r="G75" s="160">
        <v>0.0</v>
      </c>
      <c r="H75" s="160">
        <v>0.0</v>
      </c>
      <c r="I75" s="160">
        <v>0.0</v>
      </c>
      <c r="J75" s="160">
        <v>0.0</v>
      </c>
      <c r="K75" s="160">
        <v>0.0</v>
      </c>
      <c r="L75" s="160">
        <v>0.0</v>
      </c>
      <c r="M75" s="160">
        <v>0.0</v>
      </c>
      <c r="N75" s="160">
        <v>0.0</v>
      </c>
      <c r="O75" s="160">
        <v>0.0</v>
      </c>
      <c r="P75" s="160">
        <v>0.0</v>
      </c>
      <c r="Q75" s="160">
        <v>0.0</v>
      </c>
      <c r="R75" s="160">
        <v>0.0</v>
      </c>
      <c r="S75" s="160">
        <v>0.0</v>
      </c>
      <c r="T75" s="160">
        <v>0.0</v>
      </c>
      <c r="U75" s="160">
        <v>0.0</v>
      </c>
      <c r="V75" s="160">
        <v>0.0</v>
      </c>
      <c r="W75" s="160">
        <v>0.0</v>
      </c>
      <c r="X75" s="160">
        <v>0.0</v>
      </c>
      <c r="Y75" s="160">
        <v>0.0</v>
      </c>
    </row>
    <row r="76">
      <c r="A76" s="157" t="s">
        <v>536</v>
      </c>
      <c r="B76" s="160">
        <v>0.0</v>
      </c>
      <c r="C76" s="160">
        <v>0.0</v>
      </c>
      <c r="D76" s="160">
        <v>0.0</v>
      </c>
      <c r="E76" s="160">
        <v>0.0</v>
      </c>
      <c r="F76" s="160">
        <v>0.0</v>
      </c>
      <c r="G76" s="160">
        <v>0.0</v>
      </c>
      <c r="H76" s="160">
        <v>0.0</v>
      </c>
      <c r="I76" s="160">
        <v>0.0</v>
      </c>
      <c r="J76" s="160">
        <v>0.0</v>
      </c>
      <c r="K76" s="160">
        <v>0.0</v>
      </c>
      <c r="L76" s="160">
        <v>0.0</v>
      </c>
      <c r="M76" s="160">
        <v>0.0</v>
      </c>
      <c r="N76" s="160">
        <v>0.0</v>
      </c>
      <c r="O76" s="160">
        <v>0.0</v>
      </c>
      <c r="P76" s="160">
        <v>0.0</v>
      </c>
      <c r="Q76" s="160">
        <v>0.0</v>
      </c>
      <c r="R76" s="160">
        <v>0.0</v>
      </c>
      <c r="S76" s="160">
        <v>0.0</v>
      </c>
      <c r="T76" s="160">
        <v>0.0</v>
      </c>
      <c r="U76" s="160">
        <v>0.0</v>
      </c>
      <c r="V76" s="160">
        <v>0.0</v>
      </c>
      <c r="W76" s="160">
        <v>0.0</v>
      </c>
      <c r="X76" s="160">
        <v>0.0</v>
      </c>
      <c r="Y76" s="160">
        <v>0.0</v>
      </c>
    </row>
    <row r="77">
      <c r="A77" s="157" t="s">
        <v>537</v>
      </c>
      <c r="B77" s="160">
        <v>0.0</v>
      </c>
      <c r="C77" s="160">
        <v>0.0</v>
      </c>
      <c r="D77" s="160">
        <v>0.0</v>
      </c>
      <c r="E77" s="160">
        <v>0.0</v>
      </c>
      <c r="F77" s="160">
        <v>0.0</v>
      </c>
      <c r="G77" s="160">
        <v>0.0</v>
      </c>
      <c r="H77" s="160">
        <v>0.0</v>
      </c>
      <c r="I77" s="160">
        <v>0.0</v>
      </c>
      <c r="J77" s="160">
        <v>0.0</v>
      </c>
      <c r="K77" s="160">
        <v>0.0</v>
      </c>
      <c r="L77" s="160">
        <v>0.0</v>
      </c>
      <c r="M77" s="160">
        <v>0.0</v>
      </c>
      <c r="N77" s="160">
        <v>0.0</v>
      </c>
      <c r="O77" s="160">
        <v>0.0</v>
      </c>
      <c r="P77" s="160">
        <v>0.0</v>
      </c>
      <c r="Q77" s="160">
        <v>0.0</v>
      </c>
      <c r="R77" s="160">
        <v>0.0</v>
      </c>
      <c r="S77" s="160">
        <v>0.0</v>
      </c>
      <c r="T77" s="160">
        <v>0.0</v>
      </c>
      <c r="U77" s="160">
        <v>0.0</v>
      </c>
      <c r="V77" s="160">
        <v>0.0</v>
      </c>
      <c r="W77" s="160">
        <v>0.0</v>
      </c>
      <c r="X77" s="160">
        <v>0.0</v>
      </c>
      <c r="Y77" s="160">
        <v>0.0</v>
      </c>
    </row>
    <row r="78">
      <c r="A78" s="157" t="s">
        <v>538</v>
      </c>
      <c r="B78" s="160">
        <v>0.0</v>
      </c>
      <c r="C78" s="160">
        <v>0.0</v>
      </c>
      <c r="D78" s="160">
        <v>0.0</v>
      </c>
      <c r="E78" s="160">
        <v>0.0</v>
      </c>
      <c r="F78" s="160">
        <v>0.0</v>
      </c>
      <c r="G78" s="160">
        <v>0.0</v>
      </c>
      <c r="H78" s="160">
        <v>0.0</v>
      </c>
      <c r="I78" s="160">
        <v>0.0</v>
      </c>
      <c r="J78" s="160">
        <v>0.0</v>
      </c>
      <c r="K78" s="160">
        <v>0.0</v>
      </c>
      <c r="L78" s="160">
        <v>0.0</v>
      </c>
      <c r="M78" s="160">
        <v>0.0</v>
      </c>
      <c r="N78" s="160">
        <v>0.0</v>
      </c>
      <c r="O78" s="160">
        <v>0.0</v>
      </c>
      <c r="P78" s="160">
        <v>0.0</v>
      </c>
      <c r="Q78" s="160">
        <v>0.0</v>
      </c>
      <c r="R78" s="160">
        <v>0.0</v>
      </c>
      <c r="S78" s="160">
        <v>0.0</v>
      </c>
      <c r="T78" s="160">
        <v>0.0</v>
      </c>
      <c r="U78" s="160">
        <v>0.0</v>
      </c>
      <c r="V78" s="160">
        <v>0.0</v>
      </c>
      <c r="W78" s="160">
        <v>0.0</v>
      </c>
      <c r="X78" s="160">
        <v>0.0</v>
      </c>
      <c r="Y78" s="160">
        <v>0.0</v>
      </c>
    </row>
    <row r="79">
      <c r="A79" s="157" t="s">
        <v>539</v>
      </c>
      <c r="B79" s="160">
        <v>0.0</v>
      </c>
      <c r="C79" s="160">
        <v>0.0</v>
      </c>
      <c r="D79" s="160">
        <v>0.0</v>
      </c>
      <c r="E79" s="160">
        <v>0.0</v>
      </c>
      <c r="F79" s="160">
        <v>0.0</v>
      </c>
      <c r="G79" s="160">
        <v>0.0</v>
      </c>
      <c r="H79" s="160">
        <v>0.0</v>
      </c>
      <c r="I79" s="160">
        <v>0.0</v>
      </c>
      <c r="J79" s="160">
        <v>0.0</v>
      </c>
      <c r="K79" s="160">
        <v>0.0</v>
      </c>
      <c r="L79" s="160">
        <v>0.0</v>
      </c>
      <c r="M79" s="160">
        <v>0.0</v>
      </c>
      <c r="N79" s="160">
        <v>0.0</v>
      </c>
      <c r="O79" s="160">
        <v>0.0</v>
      </c>
      <c r="P79" s="160">
        <v>0.0</v>
      </c>
      <c r="Q79" s="160">
        <v>0.0</v>
      </c>
      <c r="R79" s="160">
        <v>0.0</v>
      </c>
      <c r="S79" s="160">
        <v>0.0</v>
      </c>
      <c r="T79" s="160">
        <v>0.0</v>
      </c>
      <c r="U79" s="160">
        <v>0.0</v>
      </c>
      <c r="V79" s="160">
        <v>0.0</v>
      </c>
      <c r="W79" s="160">
        <v>0.0</v>
      </c>
      <c r="X79" s="160">
        <v>0.0</v>
      </c>
      <c r="Y79" s="160">
        <v>0.0</v>
      </c>
    </row>
    <row r="80">
      <c r="A80" s="157" t="s">
        <v>128</v>
      </c>
      <c r="B80" s="160">
        <v>388820.35</v>
      </c>
      <c r="C80" s="160">
        <v>1950864.2</v>
      </c>
      <c r="D80" s="160">
        <v>3120419.1</v>
      </c>
      <c r="E80" s="160">
        <v>787522.4</v>
      </c>
      <c r="F80" s="160">
        <v>61341.0</v>
      </c>
      <c r="G80" s="160">
        <v>97984.2</v>
      </c>
      <c r="H80" s="160">
        <v>1913279.6</v>
      </c>
      <c r="I80" s="160">
        <v>34365.6</v>
      </c>
      <c r="J80" s="160">
        <v>6778701.33</v>
      </c>
      <c r="K80" s="160">
        <v>0.0</v>
      </c>
      <c r="L80" s="160">
        <v>6065598.33</v>
      </c>
      <c r="M80" s="160">
        <v>2128120.21</v>
      </c>
      <c r="N80" s="160">
        <v>2840244.4</v>
      </c>
      <c r="O80" s="160">
        <v>4394456.13</v>
      </c>
      <c r="P80" s="160">
        <v>371229.09</v>
      </c>
      <c r="Q80" s="160">
        <v>0.0</v>
      </c>
      <c r="R80" s="160">
        <v>3141867.5</v>
      </c>
      <c r="S80" s="160">
        <v>621371.6</v>
      </c>
      <c r="T80" s="160">
        <v>0.0</v>
      </c>
      <c r="U80" s="160">
        <v>5130798.62</v>
      </c>
      <c r="V80" s="160">
        <v>0.0</v>
      </c>
      <c r="W80" s="160">
        <v>0.0</v>
      </c>
      <c r="X80" s="160">
        <v>0.0</v>
      </c>
      <c r="Y80" s="160">
        <v>3.982698365E7</v>
      </c>
    </row>
    <row r="81">
      <c r="A81" s="157" t="s">
        <v>164</v>
      </c>
      <c r="B81" s="160">
        <v>0.0</v>
      </c>
      <c r="C81" s="160">
        <v>516656.64</v>
      </c>
      <c r="D81" s="160">
        <v>322905.2</v>
      </c>
      <c r="E81" s="160">
        <v>406783.2</v>
      </c>
      <c r="F81" s="160">
        <v>0.0</v>
      </c>
      <c r="G81" s="160">
        <v>0.0</v>
      </c>
      <c r="H81" s="160">
        <v>1076742.2</v>
      </c>
      <c r="I81" s="160">
        <v>1480.0</v>
      </c>
      <c r="J81" s="160">
        <v>0.0</v>
      </c>
      <c r="K81" s="160">
        <v>0.0</v>
      </c>
      <c r="L81" s="160">
        <v>7808093.73</v>
      </c>
      <c r="M81" s="160">
        <v>689159.3</v>
      </c>
      <c r="N81" s="160">
        <v>4908536.05</v>
      </c>
      <c r="O81" s="160">
        <v>0.0</v>
      </c>
      <c r="P81" s="160">
        <v>0.0</v>
      </c>
      <c r="Q81" s="160">
        <v>0.0</v>
      </c>
      <c r="R81" s="160">
        <v>148697.5</v>
      </c>
      <c r="S81" s="160">
        <v>341521.5</v>
      </c>
      <c r="T81" s="160">
        <v>0.0</v>
      </c>
      <c r="U81" s="160">
        <v>2972144.36</v>
      </c>
      <c r="V81" s="160">
        <v>0.0</v>
      </c>
      <c r="W81" s="160">
        <v>0.0</v>
      </c>
      <c r="X81" s="160">
        <v>0.0</v>
      </c>
      <c r="Y81" s="160">
        <v>1.919271968E7</v>
      </c>
    </row>
    <row r="82">
      <c r="A82" s="157" t="s">
        <v>540</v>
      </c>
      <c r="B82" s="160">
        <v>0.0</v>
      </c>
      <c r="C82" s="160">
        <v>0.0</v>
      </c>
      <c r="D82" s="160">
        <v>0.0</v>
      </c>
      <c r="E82" s="160">
        <v>0.0</v>
      </c>
      <c r="F82" s="160">
        <v>0.0</v>
      </c>
      <c r="G82" s="160">
        <v>0.0</v>
      </c>
      <c r="H82" s="160">
        <v>0.0</v>
      </c>
      <c r="I82" s="160">
        <v>0.0</v>
      </c>
      <c r="J82" s="160">
        <v>0.0</v>
      </c>
      <c r="K82" s="160">
        <v>0.0</v>
      </c>
      <c r="L82" s="160">
        <v>0.0</v>
      </c>
      <c r="M82" s="160">
        <v>0.0</v>
      </c>
      <c r="N82" s="160">
        <v>0.0</v>
      </c>
      <c r="O82" s="160">
        <v>0.0</v>
      </c>
      <c r="P82" s="160">
        <v>0.0</v>
      </c>
      <c r="Q82" s="160">
        <v>0.0</v>
      </c>
      <c r="R82" s="160">
        <v>0.0</v>
      </c>
      <c r="S82" s="160">
        <v>0.0</v>
      </c>
      <c r="T82" s="160">
        <v>0.0</v>
      </c>
      <c r="U82" s="160">
        <v>0.0</v>
      </c>
      <c r="V82" s="160">
        <v>0.0</v>
      </c>
      <c r="W82" s="160">
        <v>0.0</v>
      </c>
      <c r="X82" s="160">
        <v>0.0</v>
      </c>
      <c r="Y82" s="160">
        <v>0.0</v>
      </c>
    </row>
    <row r="83">
      <c r="A83" s="157" t="s">
        <v>131</v>
      </c>
      <c r="B83" s="160">
        <v>4389821.93</v>
      </c>
      <c r="C83" s="160">
        <v>162078.4</v>
      </c>
      <c r="D83" s="160">
        <v>239626.6</v>
      </c>
      <c r="E83" s="160">
        <v>0.0</v>
      </c>
      <c r="F83" s="160">
        <v>0.0</v>
      </c>
      <c r="G83" s="160">
        <v>0.0</v>
      </c>
      <c r="H83" s="160">
        <v>158754.0</v>
      </c>
      <c r="I83" s="160">
        <v>0.0</v>
      </c>
      <c r="J83" s="160">
        <v>9277623.18</v>
      </c>
      <c r="K83" s="160">
        <v>0.0</v>
      </c>
      <c r="L83" s="160">
        <v>319169.2</v>
      </c>
      <c r="M83" s="160">
        <v>135744.8</v>
      </c>
      <c r="N83" s="160">
        <v>1779662.1</v>
      </c>
      <c r="O83" s="160">
        <v>29905.76</v>
      </c>
      <c r="P83" s="160">
        <v>12443.2</v>
      </c>
      <c r="Q83" s="160">
        <v>0.0</v>
      </c>
      <c r="R83" s="160">
        <v>2692925.0</v>
      </c>
      <c r="S83" s="160">
        <v>49792.6</v>
      </c>
      <c r="T83" s="160">
        <v>0.0</v>
      </c>
      <c r="U83" s="160">
        <v>1047242.6</v>
      </c>
      <c r="V83" s="160">
        <v>0.0</v>
      </c>
      <c r="W83" s="160">
        <v>0.0</v>
      </c>
      <c r="X83" s="160">
        <v>0.0</v>
      </c>
      <c r="Y83" s="160">
        <v>2.029478938E7</v>
      </c>
    </row>
    <row r="84">
      <c r="A84" s="157" t="s">
        <v>133</v>
      </c>
      <c r="B84" s="160">
        <v>146072.98</v>
      </c>
      <c r="C84" s="160">
        <v>1436896.9</v>
      </c>
      <c r="D84" s="160">
        <v>1494055.5</v>
      </c>
      <c r="E84" s="160">
        <v>314075.4</v>
      </c>
      <c r="F84" s="160">
        <v>188293.8</v>
      </c>
      <c r="G84" s="160">
        <v>278654.4</v>
      </c>
      <c r="H84" s="160">
        <v>458427.7</v>
      </c>
      <c r="I84" s="160">
        <v>4807.2</v>
      </c>
      <c r="J84" s="160">
        <v>4361810.22</v>
      </c>
      <c r="K84" s="160">
        <v>0.0</v>
      </c>
      <c r="L84" s="160">
        <v>3915598.05</v>
      </c>
      <c r="M84" s="160">
        <v>256089.6</v>
      </c>
      <c r="N84" s="160">
        <v>393236.5</v>
      </c>
      <c r="O84" s="160">
        <v>4948334.19</v>
      </c>
      <c r="P84" s="160">
        <v>1631295.69</v>
      </c>
      <c r="Q84" s="160">
        <v>0.0</v>
      </c>
      <c r="R84" s="160">
        <v>170882.5</v>
      </c>
      <c r="S84" s="160">
        <v>107984.65</v>
      </c>
      <c r="T84" s="160">
        <v>0.0</v>
      </c>
      <c r="U84" s="160">
        <v>3391127.58</v>
      </c>
      <c r="V84" s="160">
        <v>0.0</v>
      </c>
      <c r="W84" s="160">
        <v>0.0</v>
      </c>
      <c r="X84" s="160">
        <v>0.0</v>
      </c>
      <c r="Y84" s="160">
        <v>2.349764286E7</v>
      </c>
    </row>
    <row r="85">
      <c r="A85" s="157" t="s">
        <v>541</v>
      </c>
      <c r="B85" s="160">
        <v>0.0</v>
      </c>
      <c r="C85" s="160">
        <v>0.0</v>
      </c>
      <c r="D85" s="160">
        <v>0.0</v>
      </c>
      <c r="E85" s="160">
        <v>0.0</v>
      </c>
      <c r="F85" s="160">
        <v>0.0</v>
      </c>
      <c r="G85" s="160">
        <v>0.0</v>
      </c>
      <c r="H85" s="160">
        <v>0.0</v>
      </c>
      <c r="I85" s="160">
        <v>0.0</v>
      </c>
      <c r="J85" s="160">
        <v>0.0</v>
      </c>
      <c r="K85" s="160">
        <v>0.0</v>
      </c>
      <c r="L85" s="160">
        <v>0.0</v>
      </c>
      <c r="M85" s="160">
        <v>0.0</v>
      </c>
      <c r="N85" s="160">
        <v>0.0</v>
      </c>
      <c r="O85" s="160">
        <v>0.0</v>
      </c>
      <c r="P85" s="160">
        <v>0.0</v>
      </c>
      <c r="Q85" s="160">
        <v>0.0</v>
      </c>
      <c r="R85" s="160">
        <v>0.0</v>
      </c>
      <c r="S85" s="160">
        <v>0.0</v>
      </c>
      <c r="T85" s="160">
        <v>0.0</v>
      </c>
      <c r="U85" s="160">
        <v>0.0</v>
      </c>
      <c r="V85" s="160">
        <v>0.0</v>
      </c>
      <c r="W85" s="160">
        <v>0.0</v>
      </c>
      <c r="X85" s="160">
        <v>0.0</v>
      </c>
      <c r="Y85" s="160">
        <v>0.0</v>
      </c>
    </row>
    <row r="86">
      <c r="A86" s="157" t="s">
        <v>542</v>
      </c>
      <c r="B86" s="160">
        <v>0.0</v>
      </c>
      <c r="C86" s="160">
        <v>0.0</v>
      </c>
      <c r="D86" s="160">
        <v>0.0</v>
      </c>
      <c r="E86" s="160">
        <v>0.0</v>
      </c>
      <c r="F86" s="160">
        <v>0.0</v>
      </c>
      <c r="G86" s="160">
        <v>0.0</v>
      </c>
      <c r="H86" s="160">
        <v>0.0</v>
      </c>
      <c r="I86" s="160">
        <v>0.0</v>
      </c>
      <c r="J86" s="160">
        <v>0.0</v>
      </c>
      <c r="K86" s="160">
        <v>0.0</v>
      </c>
      <c r="L86" s="160">
        <v>0.0</v>
      </c>
      <c r="M86" s="160">
        <v>0.0</v>
      </c>
      <c r="N86" s="160">
        <v>0.0</v>
      </c>
      <c r="O86" s="160">
        <v>0.0</v>
      </c>
      <c r="P86" s="160">
        <v>0.0</v>
      </c>
      <c r="Q86" s="160">
        <v>0.0</v>
      </c>
      <c r="R86" s="160">
        <v>0.0</v>
      </c>
      <c r="S86" s="160">
        <v>0.0</v>
      </c>
      <c r="T86" s="160">
        <v>0.0</v>
      </c>
      <c r="U86" s="160">
        <v>0.0</v>
      </c>
      <c r="V86" s="160">
        <v>0.0</v>
      </c>
      <c r="W86" s="160">
        <v>0.0</v>
      </c>
      <c r="X86" s="160">
        <v>0.0</v>
      </c>
      <c r="Y86" s="160">
        <v>0.0</v>
      </c>
    </row>
    <row r="87">
      <c r="A87" s="157" t="s">
        <v>543</v>
      </c>
      <c r="B87" s="160">
        <v>0.0</v>
      </c>
      <c r="C87" s="160">
        <v>0.0</v>
      </c>
      <c r="D87" s="160">
        <v>0.0</v>
      </c>
      <c r="E87" s="160">
        <v>0.0</v>
      </c>
      <c r="F87" s="160">
        <v>0.0</v>
      </c>
      <c r="G87" s="160">
        <v>0.0</v>
      </c>
      <c r="H87" s="160">
        <v>0.0</v>
      </c>
      <c r="I87" s="160">
        <v>0.0</v>
      </c>
      <c r="J87" s="160">
        <v>0.0</v>
      </c>
      <c r="K87" s="160">
        <v>0.0</v>
      </c>
      <c r="L87" s="160">
        <v>0.0</v>
      </c>
      <c r="M87" s="160">
        <v>0.0</v>
      </c>
      <c r="N87" s="160">
        <v>0.0</v>
      </c>
      <c r="O87" s="160">
        <v>0.0</v>
      </c>
      <c r="P87" s="160">
        <v>0.0</v>
      </c>
      <c r="Q87" s="160">
        <v>0.0</v>
      </c>
      <c r="R87" s="160">
        <v>0.0</v>
      </c>
      <c r="S87" s="160">
        <v>0.0</v>
      </c>
      <c r="T87" s="160">
        <v>0.0</v>
      </c>
      <c r="U87" s="160">
        <v>0.0</v>
      </c>
      <c r="V87" s="160">
        <v>0.0</v>
      </c>
      <c r="W87" s="160">
        <v>0.0</v>
      </c>
      <c r="X87" s="160">
        <v>0.0</v>
      </c>
      <c r="Y87" s="160">
        <v>0.0</v>
      </c>
    </row>
    <row r="88">
      <c r="A88" s="157" t="s">
        <v>136</v>
      </c>
      <c r="B88" s="160">
        <v>47517.7</v>
      </c>
      <c r="C88" s="160">
        <v>2890168.9</v>
      </c>
      <c r="D88" s="160">
        <v>1806772.8</v>
      </c>
      <c r="E88" s="160">
        <v>668121.0</v>
      </c>
      <c r="F88" s="160">
        <v>183502.8</v>
      </c>
      <c r="G88" s="160">
        <v>161636.8</v>
      </c>
      <c r="H88" s="160">
        <v>1664283.2</v>
      </c>
      <c r="I88" s="160">
        <v>153442.2</v>
      </c>
      <c r="J88" s="160">
        <v>1.141191981E7</v>
      </c>
      <c r="K88" s="160">
        <v>0.0</v>
      </c>
      <c r="L88" s="160">
        <v>1.098910044E7</v>
      </c>
      <c r="M88" s="160">
        <v>1497593.6</v>
      </c>
      <c r="N88" s="160">
        <v>2738147.4</v>
      </c>
      <c r="O88" s="160">
        <v>6601791.96</v>
      </c>
      <c r="P88" s="160">
        <v>327721.54</v>
      </c>
      <c r="Q88" s="160">
        <v>0.0</v>
      </c>
      <c r="R88" s="160">
        <v>731325.0</v>
      </c>
      <c r="S88" s="160">
        <v>570357.3</v>
      </c>
      <c r="T88" s="160">
        <v>0.0</v>
      </c>
      <c r="U88" s="160">
        <v>4571062.11</v>
      </c>
      <c r="V88" s="160">
        <v>0.0</v>
      </c>
      <c r="W88" s="160">
        <v>0.0</v>
      </c>
      <c r="X88" s="160">
        <v>0.0</v>
      </c>
      <c r="Y88" s="160">
        <v>4.701446458E7</v>
      </c>
    </row>
    <row r="89">
      <c r="A89" s="157" t="s">
        <v>544</v>
      </c>
      <c r="B89" s="160">
        <v>0.0</v>
      </c>
      <c r="C89" s="160">
        <v>0.0</v>
      </c>
      <c r="D89" s="160">
        <v>0.0</v>
      </c>
      <c r="E89" s="160">
        <v>0.0</v>
      </c>
      <c r="F89" s="160">
        <v>0.0</v>
      </c>
      <c r="G89" s="160">
        <v>0.0</v>
      </c>
      <c r="H89" s="160">
        <v>0.0</v>
      </c>
      <c r="I89" s="160">
        <v>0.0</v>
      </c>
      <c r="J89" s="160">
        <v>0.0</v>
      </c>
      <c r="K89" s="160">
        <v>0.0</v>
      </c>
      <c r="L89" s="160">
        <v>0.0</v>
      </c>
      <c r="M89" s="160">
        <v>0.0</v>
      </c>
      <c r="N89" s="160">
        <v>0.0</v>
      </c>
      <c r="O89" s="160">
        <v>0.0</v>
      </c>
      <c r="P89" s="160">
        <v>0.0</v>
      </c>
      <c r="Q89" s="160">
        <v>0.0</v>
      </c>
      <c r="R89" s="160">
        <v>0.0</v>
      </c>
      <c r="S89" s="160">
        <v>0.0</v>
      </c>
      <c r="T89" s="160">
        <v>0.0</v>
      </c>
      <c r="U89" s="160">
        <v>0.0</v>
      </c>
      <c r="V89" s="160">
        <v>0.0</v>
      </c>
      <c r="W89" s="160">
        <v>0.0</v>
      </c>
      <c r="X89" s="160">
        <v>0.0</v>
      </c>
      <c r="Y89" s="160">
        <v>0.0</v>
      </c>
    </row>
    <row r="90">
      <c r="A90" s="157" t="s">
        <v>545</v>
      </c>
      <c r="B90" s="160">
        <v>0.0</v>
      </c>
      <c r="C90" s="160">
        <v>0.0</v>
      </c>
      <c r="D90" s="160">
        <v>0.0</v>
      </c>
      <c r="E90" s="160">
        <v>0.0</v>
      </c>
      <c r="F90" s="160">
        <v>0.0</v>
      </c>
      <c r="G90" s="160">
        <v>0.0</v>
      </c>
      <c r="H90" s="160">
        <v>0.0</v>
      </c>
      <c r="I90" s="160">
        <v>0.0</v>
      </c>
      <c r="J90" s="160">
        <v>0.0</v>
      </c>
      <c r="K90" s="160">
        <v>0.0</v>
      </c>
      <c r="L90" s="160">
        <v>0.0</v>
      </c>
      <c r="M90" s="160">
        <v>0.0</v>
      </c>
      <c r="N90" s="160">
        <v>0.0</v>
      </c>
      <c r="O90" s="160">
        <v>0.0</v>
      </c>
      <c r="P90" s="160">
        <v>0.0</v>
      </c>
      <c r="Q90" s="160">
        <v>0.0</v>
      </c>
      <c r="R90" s="160">
        <v>0.0</v>
      </c>
      <c r="S90" s="160">
        <v>0.0</v>
      </c>
      <c r="T90" s="160">
        <v>0.0</v>
      </c>
      <c r="U90" s="160">
        <v>0.0</v>
      </c>
      <c r="V90" s="160">
        <v>0.0</v>
      </c>
      <c r="W90" s="160">
        <v>0.0</v>
      </c>
      <c r="X90" s="160">
        <v>0.0</v>
      </c>
      <c r="Y90" s="160">
        <v>0.0</v>
      </c>
    </row>
    <row r="91">
      <c r="A91" s="157" t="s">
        <v>546</v>
      </c>
      <c r="B91" s="160">
        <v>0.0</v>
      </c>
      <c r="C91" s="160">
        <v>0.0</v>
      </c>
      <c r="D91" s="160">
        <v>0.0</v>
      </c>
      <c r="E91" s="160">
        <v>0.0</v>
      </c>
      <c r="F91" s="160">
        <v>0.0</v>
      </c>
      <c r="G91" s="160">
        <v>0.0</v>
      </c>
      <c r="H91" s="160">
        <v>0.0</v>
      </c>
      <c r="I91" s="160">
        <v>0.0</v>
      </c>
      <c r="J91" s="160">
        <v>0.0</v>
      </c>
      <c r="K91" s="160">
        <v>0.0</v>
      </c>
      <c r="L91" s="160">
        <v>0.0</v>
      </c>
      <c r="M91" s="160">
        <v>0.0</v>
      </c>
      <c r="N91" s="160">
        <v>0.0</v>
      </c>
      <c r="O91" s="160">
        <v>0.0</v>
      </c>
      <c r="P91" s="160">
        <v>0.0</v>
      </c>
      <c r="Q91" s="160">
        <v>0.0</v>
      </c>
      <c r="R91" s="160">
        <v>0.0</v>
      </c>
      <c r="S91" s="160">
        <v>0.0</v>
      </c>
      <c r="T91" s="160">
        <v>0.0</v>
      </c>
      <c r="U91" s="160">
        <v>0.0</v>
      </c>
      <c r="V91" s="160">
        <v>0.0</v>
      </c>
      <c r="W91" s="160">
        <v>0.0</v>
      </c>
      <c r="X91" s="160">
        <v>0.0</v>
      </c>
      <c r="Y91" s="160">
        <v>0.0</v>
      </c>
    </row>
    <row r="92">
      <c r="A92" s="157" t="s">
        <v>547</v>
      </c>
      <c r="B92" s="160">
        <v>0.0</v>
      </c>
      <c r="C92" s="160">
        <v>0.0</v>
      </c>
      <c r="D92" s="160">
        <v>0.0</v>
      </c>
      <c r="E92" s="160">
        <v>0.0</v>
      </c>
      <c r="F92" s="160">
        <v>0.0</v>
      </c>
      <c r="G92" s="160">
        <v>0.0</v>
      </c>
      <c r="H92" s="160">
        <v>0.0</v>
      </c>
      <c r="I92" s="160">
        <v>0.0</v>
      </c>
      <c r="J92" s="160">
        <v>0.0</v>
      </c>
      <c r="K92" s="160">
        <v>0.0</v>
      </c>
      <c r="L92" s="160">
        <v>0.0</v>
      </c>
      <c r="M92" s="160">
        <v>0.0</v>
      </c>
      <c r="N92" s="160">
        <v>0.0</v>
      </c>
      <c r="O92" s="160">
        <v>0.0</v>
      </c>
      <c r="P92" s="160">
        <v>0.0</v>
      </c>
      <c r="Q92" s="160">
        <v>0.0</v>
      </c>
      <c r="R92" s="160">
        <v>0.0</v>
      </c>
      <c r="S92" s="160">
        <v>0.0</v>
      </c>
      <c r="T92" s="160">
        <v>0.0</v>
      </c>
      <c r="U92" s="160">
        <v>0.0</v>
      </c>
      <c r="V92" s="160">
        <v>0.0</v>
      </c>
      <c r="W92" s="160">
        <v>0.0</v>
      </c>
      <c r="X92" s="160">
        <v>0.0</v>
      </c>
      <c r="Y92" s="160">
        <v>0.0</v>
      </c>
    </row>
    <row r="93">
      <c r="A93" s="157" t="s">
        <v>548</v>
      </c>
      <c r="B93" s="160">
        <v>0.0</v>
      </c>
      <c r="C93" s="160">
        <v>0.0</v>
      </c>
      <c r="D93" s="160">
        <v>0.0</v>
      </c>
      <c r="E93" s="160">
        <v>0.0</v>
      </c>
      <c r="F93" s="160">
        <v>0.0</v>
      </c>
      <c r="G93" s="160">
        <v>0.0</v>
      </c>
      <c r="H93" s="160">
        <v>0.0</v>
      </c>
      <c r="I93" s="160">
        <v>0.0</v>
      </c>
      <c r="J93" s="160">
        <v>0.0</v>
      </c>
      <c r="K93" s="160">
        <v>0.0</v>
      </c>
      <c r="L93" s="160">
        <v>0.0</v>
      </c>
      <c r="M93" s="160">
        <v>0.0</v>
      </c>
      <c r="N93" s="160">
        <v>0.0</v>
      </c>
      <c r="O93" s="160">
        <v>0.0</v>
      </c>
      <c r="P93" s="160">
        <v>0.0</v>
      </c>
      <c r="Q93" s="160">
        <v>0.0</v>
      </c>
      <c r="R93" s="160">
        <v>0.0</v>
      </c>
      <c r="S93" s="160">
        <v>0.0</v>
      </c>
      <c r="T93" s="160">
        <v>0.0</v>
      </c>
      <c r="U93" s="160">
        <v>0.0</v>
      </c>
      <c r="V93" s="160">
        <v>0.0</v>
      </c>
      <c r="W93" s="160">
        <v>0.0</v>
      </c>
      <c r="X93" s="160">
        <v>0.0</v>
      </c>
      <c r="Y93" s="160">
        <v>0.0</v>
      </c>
    </row>
    <row r="94">
      <c r="A94" s="157" t="s">
        <v>549</v>
      </c>
      <c r="B94" s="160">
        <v>0.0</v>
      </c>
      <c r="C94" s="160">
        <v>0.0</v>
      </c>
      <c r="D94" s="160">
        <v>0.0</v>
      </c>
      <c r="E94" s="160">
        <v>0.0</v>
      </c>
      <c r="F94" s="160">
        <v>0.0</v>
      </c>
      <c r="G94" s="160">
        <v>0.0</v>
      </c>
      <c r="H94" s="160">
        <v>0.0</v>
      </c>
      <c r="I94" s="160">
        <v>0.0</v>
      </c>
      <c r="J94" s="160">
        <v>0.0</v>
      </c>
      <c r="K94" s="160">
        <v>0.0</v>
      </c>
      <c r="L94" s="160">
        <v>0.0</v>
      </c>
      <c r="M94" s="160">
        <v>0.0</v>
      </c>
      <c r="N94" s="160">
        <v>0.0</v>
      </c>
      <c r="O94" s="160">
        <v>0.0</v>
      </c>
      <c r="P94" s="160">
        <v>0.0</v>
      </c>
      <c r="Q94" s="160">
        <v>0.0</v>
      </c>
      <c r="R94" s="160">
        <v>0.0</v>
      </c>
      <c r="S94" s="160">
        <v>0.0</v>
      </c>
      <c r="T94" s="160">
        <v>0.0</v>
      </c>
      <c r="U94" s="160">
        <v>0.0</v>
      </c>
      <c r="V94" s="160">
        <v>0.0</v>
      </c>
      <c r="W94" s="160">
        <v>0.0</v>
      </c>
      <c r="X94" s="160">
        <v>0.0</v>
      </c>
      <c r="Y94" s="160">
        <v>0.0</v>
      </c>
    </row>
    <row r="95">
      <c r="A95" s="157" t="s">
        <v>86</v>
      </c>
      <c r="B95" s="160">
        <v>31480.0</v>
      </c>
      <c r="C95" s="160">
        <v>689037.9</v>
      </c>
      <c r="D95" s="160">
        <v>1102377.5</v>
      </c>
      <c r="E95" s="160">
        <v>241576.5</v>
      </c>
      <c r="F95" s="160">
        <v>599.5</v>
      </c>
      <c r="G95" s="160">
        <v>0.0</v>
      </c>
      <c r="H95" s="160">
        <v>537917.2</v>
      </c>
      <c r="I95" s="160">
        <v>59408.35</v>
      </c>
      <c r="J95" s="160">
        <v>25641.4</v>
      </c>
      <c r="K95" s="160">
        <v>0.0</v>
      </c>
      <c r="L95" s="160">
        <v>4944074.55</v>
      </c>
      <c r="M95" s="160">
        <v>1714906.5</v>
      </c>
      <c r="N95" s="160">
        <v>2070055.8</v>
      </c>
      <c r="O95" s="160">
        <v>1850.0</v>
      </c>
      <c r="P95" s="160">
        <v>57519.1</v>
      </c>
      <c r="Q95" s="160">
        <v>0.0</v>
      </c>
      <c r="R95" s="160">
        <v>0.0</v>
      </c>
      <c r="S95" s="160">
        <v>0.0</v>
      </c>
      <c r="T95" s="160">
        <v>0.0</v>
      </c>
      <c r="U95" s="160">
        <v>1549127.0</v>
      </c>
      <c r="V95" s="160">
        <v>84656.0</v>
      </c>
      <c r="W95" s="160">
        <v>0.0</v>
      </c>
      <c r="X95" s="160">
        <v>0.0</v>
      </c>
      <c r="Y95" s="160">
        <v>1.31102273E7</v>
      </c>
    </row>
    <row r="96">
      <c r="A96" s="157" t="s">
        <v>550</v>
      </c>
      <c r="B96" s="160">
        <v>0.0</v>
      </c>
      <c r="C96" s="160">
        <v>0.0</v>
      </c>
      <c r="D96" s="160">
        <v>0.0</v>
      </c>
      <c r="E96" s="160">
        <v>0.0</v>
      </c>
      <c r="F96" s="160">
        <v>0.0</v>
      </c>
      <c r="G96" s="160">
        <v>0.0</v>
      </c>
      <c r="H96" s="160">
        <v>0.0</v>
      </c>
      <c r="I96" s="160">
        <v>0.0</v>
      </c>
      <c r="J96" s="160">
        <v>0.0</v>
      </c>
      <c r="K96" s="160">
        <v>0.0</v>
      </c>
      <c r="L96" s="160">
        <v>0.0</v>
      </c>
      <c r="M96" s="160">
        <v>0.0</v>
      </c>
      <c r="N96" s="160">
        <v>0.0</v>
      </c>
      <c r="O96" s="160">
        <v>0.0</v>
      </c>
      <c r="P96" s="160">
        <v>0.0</v>
      </c>
      <c r="Q96" s="160">
        <v>0.0</v>
      </c>
      <c r="R96" s="160">
        <v>0.0</v>
      </c>
      <c r="S96" s="160">
        <v>0.0</v>
      </c>
      <c r="T96" s="160">
        <v>0.0</v>
      </c>
      <c r="U96" s="160">
        <v>0.0</v>
      </c>
      <c r="V96" s="160">
        <v>0.0</v>
      </c>
      <c r="W96" s="160">
        <v>0.0</v>
      </c>
      <c r="X96" s="160">
        <v>0.0</v>
      </c>
      <c r="Y96" s="160">
        <v>0.0</v>
      </c>
    </row>
    <row r="97">
      <c r="A97" s="157" t="s">
        <v>207</v>
      </c>
      <c r="B97" s="160">
        <v>1860720.62</v>
      </c>
      <c r="C97" s="160">
        <v>50700.0</v>
      </c>
      <c r="D97" s="160">
        <v>0.0</v>
      </c>
      <c r="E97" s="160">
        <v>0.0</v>
      </c>
      <c r="F97" s="160">
        <v>3276.0</v>
      </c>
      <c r="G97" s="160">
        <v>0.0</v>
      </c>
      <c r="H97" s="160">
        <v>226604.12</v>
      </c>
      <c r="I97" s="160">
        <v>742.5</v>
      </c>
      <c r="J97" s="160">
        <v>2010259.4</v>
      </c>
      <c r="K97" s="160">
        <v>0.0</v>
      </c>
      <c r="L97" s="160">
        <v>60665.6</v>
      </c>
      <c r="M97" s="160">
        <v>199143.9</v>
      </c>
      <c r="N97" s="160">
        <v>7398510.35</v>
      </c>
      <c r="O97" s="160">
        <v>2543239.85</v>
      </c>
      <c r="P97" s="160">
        <v>4284780.32</v>
      </c>
      <c r="Q97" s="160">
        <v>0.0</v>
      </c>
      <c r="R97" s="160">
        <v>615156.5</v>
      </c>
      <c r="S97" s="160">
        <v>67710.0</v>
      </c>
      <c r="T97" s="160">
        <v>0.0</v>
      </c>
      <c r="U97" s="160">
        <v>0.0</v>
      </c>
      <c r="V97" s="160">
        <v>0.0</v>
      </c>
      <c r="W97" s="160">
        <v>0.0</v>
      </c>
      <c r="X97" s="160">
        <v>0.0</v>
      </c>
      <c r="Y97" s="160">
        <v>1.932150916E7</v>
      </c>
    </row>
    <row r="98">
      <c r="A98" s="157" t="s">
        <v>551</v>
      </c>
      <c r="B98" s="160">
        <v>0.0</v>
      </c>
      <c r="C98" s="160">
        <v>0.0</v>
      </c>
      <c r="D98" s="160">
        <v>0.0</v>
      </c>
      <c r="E98" s="160">
        <v>0.0</v>
      </c>
      <c r="F98" s="160">
        <v>0.0</v>
      </c>
      <c r="G98" s="160">
        <v>0.0</v>
      </c>
      <c r="H98" s="160">
        <v>0.0</v>
      </c>
      <c r="I98" s="160">
        <v>0.0</v>
      </c>
      <c r="J98" s="160">
        <v>0.0</v>
      </c>
      <c r="K98" s="160">
        <v>0.0</v>
      </c>
      <c r="L98" s="160">
        <v>0.0</v>
      </c>
      <c r="M98" s="160">
        <v>0.0</v>
      </c>
      <c r="N98" s="160">
        <v>0.0</v>
      </c>
      <c r="O98" s="160">
        <v>0.0</v>
      </c>
      <c r="P98" s="160">
        <v>0.0</v>
      </c>
      <c r="Q98" s="160">
        <v>0.0</v>
      </c>
      <c r="R98" s="160">
        <v>0.0</v>
      </c>
      <c r="S98" s="160">
        <v>0.0</v>
      </c>
      <c r="T98" s="160">
        <v>0.0</v>
      </c>
      <c r="U98" s="160">
        <v>0.0</v>
      </c>
      <c r="V98" s="160">
        <v>0.0</v>
      </c>
      <c r="W98" s="160">
        <v>0.0</v>
      </c>
      <c r="X98" s="160">
        <v>0.0</v>
      </c>
      <c r="Y98" s="160">
        <v>0.0</v>
      </c>
    </row>
    <row r="99">
      <c r="A99" s="157" t="s">
        <v>552</v>
      </c>
      <c r="B99" s="160">
        <v>0.0</v>
      </c>
      <c r="C99" s="160">
        <v>0.0</v>
      </c>
      <c r="D99" s="160">
        <v>0.0</v>
      </c>
      <c r="E99" s="160">
        <v>0.0</v>
      </c>
      <c r="F99" s="160">
        <v>0.0</v>
      </c>
      <c r="G99" s="160">
        <v>0.0</v>
      </c>
      <c r="H99" s="160">
        <v>0.0</v>
      </c>
      <c r="I99" s="160">
        <v>0.0</v>
      </c>
      <c r="J99" s="160">
        <v>0.0</v>
      </c>
      <c r="K99" s="160">
        <v>0.0</v>
      </c>
      <c r="L99" s="160">
        <v>0.0</v>
      </c>
      <c r="M99" s="160">
        <v>0.0</v>
      </c>
      <c r="N99" s="160">
        <v>0.0</v>
      </c>
      <c r="O99" s="160">
        <v>0.0</v>
      </c>
      <c r="P99" s="160">
        <v>0.0</v>
      </c>
      <c r="Q99" s="160">
        <v>0.0</v>
      </c>
      <c r="R99" s="160">
        <v>0.0</v>
      </c>
      <c r="S99" s="160">
        <v>0.0</v>
      </c>
      <c r="T99" s="160">
        <v>0.0</v>
      </c>
      <c r="U99" s="160">
        <v>0.0</v>
      </c>
      <c r="V99" s="160">
        <v>0.0</v>
      </c>
      <c r="W99" s="160">
        <v>0.0</v>
      </c>
      <c r="X99" s="160">
        <v>0.0</v>
      </c>
      <c r="Y99" s="160">
        <v>0.0</v>
      </c>
    </row>
    <row r="100">
      <c r="A100" s="157" t="s">
        <v>553</v>
      </c>
      <c r="B100" s="160">
        <v>0.0</v>
      </c>
      <c r="C100" s="160">
        <v>0.0</v>
      </c>
      <c r="D100" s="160">
        <v>0.0</v>
      </c>
      <c r="E100" s="160">
        <v>0.0</v>
      </c>
      <c r="F100" s="160">
        <v>0.0</v>
      </c>
      <c r="G100" s="160">
        <v>0.0</v>
      </c>
      <c r="H100" s="160">
        <v>0.0</v>
      </c>
      <c r="I100" s="160">
        <v>0.0</v>
      </c>
      <c r="J100" s="160">
        <v>0.0</v>
      </c>
      <c r="K100" s="160">
        <v>0.0</v>
      </c>
      <c r="L100" s="160">
        <v>0.0</v>
      </c>
      <c r="M100" s="160">
        <v>0.0</v>
      </c>
      <c r="N100" s="160">
        <v>0.0</v>
      </c>
      <c r="O100" s="160">
        <v>0.0</v>
      </c>
      <c r="P100" s="160">
        <v>0.0</v>
      </c>
      <c r="Q100" s="160">
        <v>0.0</v>
      </c>
      <c r="R100" s="160">
        <v>0.0</v>
      </c>
      <c r="S100" s="160">
        <v>0.0</v>
      </c>
      <c r="T100" s="160">
        <v>0.0</v>
      </c>
      <c r="U100" s="160">
        <v>0.0</v>
      </c>
      <c r="V100" s="160">
        <v>0.0</v>
      </c>
      <c r="W100" s="160">
        <v>0.0</v>
      </c>
      <c r="X100" s="160">
        <v>0.0</v>
      </c>
      <c r="Y100" s="160">
        <v>0.0</v>
      </c>
    </row>
    <row r="101">
      <c r="A101" s="157" t="s">
        <v>554</v>
      </c>
      <c r="B101" s="160">
        <v>0.0</v>
      </c>
      <c r="C101" s="160">
        <v>0.0</v>
      </c>
      <c r="D101" s="160">
        <v>0.0</v>
      </c>
      <c r="E101" s="160">
        <v>0.0</v>
      </c>
      <c r="F101" s="160">
        <v>0.0</v>
      </c>
      <c r="G101" s="160">
        <v>0.0</v>
      </c>
      <c r="H101" s="160">
        <v>0.0</v>
      </c>
      <c r="I101" s="160">
        <v>0.0</v>
      </c>
      <c r="J101" s="160">
        <v>0.0</v>
      </c>
      <c r="K101" s="160">
        <v>0.0</v>
      </c>
      <c r="L101" s="160">
        <v>0.0</v>
      </c>
      <c r="M101" s="160">
        <v>0.0</v>
      </c>
      <c r="N101" s="160">
        <v>0.0</v>
      </c>
      <c r="O101" s="160">
        <v>0.0</v>
      </c>
      <c r="P101" s="160">
        <v>0.0</v>
      </c>
      <c r="Q101" s="160">
        <v>0.0</v>
      </c>
      <c r="R101" s="160">
        <v>0.0</v>
      </c>
      <c r="S101" s="160">
        <v>0.0</v>
      </c>
      <c r="T101" s="160">
        <v>0.0</v>
      </c>
      <c r="U101" s="160">
        <v>0.0</v>
      </c>
      <c r="V101" s="160">
        <v>0.0</v>
      </c>
      <c r="W101" s="160">
        <v>0.0</v>
      </c>
      <c r="X101" s="160">
        <v>0.0</v>
      </c>
      <c r="Y101" s="160">
        <v>0.0</v>
      </c>
    </row>
    <row r="102">
      <c r="A102" s="157" t="s">
        <v>555</v>
      </c>
      <c r="B102" s="160">
        <v>0.0</v>
      </c>
      <c r="C102" s="160">
        <v>0.0</v>
      </c>
      <c r="D102" s="160">
        <v>0.0</v>
      </c>
      <c r="E102" s="160">
        <v>0.0</v>
      </c>
      <c r="F102" s="160">
        <v>0.0</v>
      </c>
      <c r="G102" s="160">
        <v>0.0</v>
      </c>
      <c r="H102" s="160">
        <v>0.0</v>
      </c>
      <c r="I102" s="160">
        <v>0.0</v>
      </c>
      <c r="J102" s="160">
        <v>0.0</v>
      </c>
      <c r="K102" s="160">
        <v>0.0</v>
      </c>
      <c r="L102" s="160">
        <v>0.0</v>
      </c>
      <c r="M102" s="160">
        <v>0.0</v>
      </c>
      <c r="N102" s="160">
        <v>0.0</v>
      </c>
      <c r="O102" s="160">
        <v>0.0</v>
      </c>
      <c r="P102" s="160">
        <v>0.0</v>
      </c>
      <c r="Q102" s="160">
        <v>0.0</v>
      </c>
      <c r="R102" s="160">
        <v>0.0</v>
      </c>
      <c r="S102" s="160">
        <v>0.0</v>
      </c>
      <c r="T102" s="160">
        <v>0.0</v>
      </c>
      <c r="U102" s="160">
        <v>0.0</v>
      </c>
      <c r="V102" s="160">
        <v>0.0</v>
      </c>
      <c r="W102" s="160">
        <v>0.0</v>
      </c>
      <c r="X102" s="160">
        <v>0.0</v>
      </c>
      <c r="Y102" s="160">
        <v>0.0</v>
      </c>
    </row>
    <row r="103">
      <c r="A103" s="157" t="s">
        <v>556</v>
      </c>
      <c r="B103" s="160">
        <v>0.0</v>
      </c>
      <c r="C103" s="160">
        <v>0.0</v>
      </c>
      <c r="D103" s="160">
        <v>0.0</v>
      </c>
      <c r="E103" s="160">
        <v>0.0</v>
      </c>
      <c r="F103" s="160">
        <v>0.0</v>
      </c>
      <c r="G103" s="160">
        <v>0.0</v>
      </c>
      <c r="H103" s="160">
        <v>0.0</v>
      </c>
      <c r="I103" s="160">
        <v>0.0</v>
      </c>
      <c r="J103" s="160">
        <v>0.0</v>
      </c>
      <c r="K103" s="160">
        <v>0.0</v>
      </c>
      <c r="L103" s="160">
        <v>0.0</v>
      </c>
      <c r="M103" s="160">
        <v>0.0</v>
      </c>
      <c r="N103" s="160">
        <v>0.0</v>
      </c>
      <c r="O103" s="160">
        <v>0.0</v>
      </c>
      <c r="P103" s="160">
        <v>0.0</v>
      </c>
      <c r="Q103" s="160">
        <v>0.0</v>
      </c>
      <c r="R103" s="160">
        <v>0.0</v>
      </c>
      <c r="S103" s="160">
        <v>0.0</v>
      </c>
      <c r="T103" s="160">
        <v>0.0</v>
      </c>
      <c r="U103" s="160">
        <v>0.0</v>
      </c>
      <c r="V103" s="160">
        <v>0.0</v>
      </c>
      <c r="W103" s="160">
        <v>0.0</v>
      </c>
      <c r="X103" s="160">
        <v>0.0</v>
      </c>
      <c r="Y103" s="160">
        <v>0.0</v>
      </c>
    </row>
    <row r="104">
      <c r="A104" s="157" t="s">
        <v>557</v>
      </c>
      <c r="B104" s="160">
        <v>0.0</v>
      </c>
      <c r="C104" s="160">
        <v>0.0</v>
      </c>
      <c r="D104" s="160">
        <v>0.0</v>
      </c>
      <c r="E104" s="160">
        <v>0.0</v>
      </c>
      <c r="F104" s="160">
        <v>0.0</v>
      </c>
      <c r="G104" s="160">
        <v>0.0</v>
      </c>
      <c r="H104" s="160">
        <v>0.0</v>
      </c>
      <c r="I104" s="160">
        <v>0.0</v>
      </c>
      <c r="J104" s="160">
        <v>0.0</v>
      </c>
      <c r="K104" s="160">
        <v>0.0</v>
      </c>
      <c r="L104" s="160">
        <v>0.0</v>
      </c>
      <c r="M104" s="160">
        <v>0.0</v>
      </c>
      <c r="N104" s="160">
        <v>0.0</v>
      </c>
      <c r="O104" s="160">
        <v>0.0</v>
      </c>
      <c r="P104" s="160">
        <v>0.0</v>
      </c>
      <c r="Q104" s="160">
        <v>0.0</v>
      </c>
      <c r="R104" s="160">
        <v>0.0</v>
      </c>
      <c r="S104" s="160">
        <v>0.0</v>
      </c>
      <c r="T104" s="160">
        <v>0.0</v>
      </c>
      <c r="U104" s="160">
        <v>0.0</v>
      </c>
      <c r="V104" s="160">
        <v>0.0</v>
      </c>
      <c r="W104" s="160">
        <v>0.0</v>
      </c>
      <c r="X104" s="160">
        <v>0.0</v>
      </c>
      <c r="Y104" s="160">
        <v>0.0</v>
      </c>
    </row>
    <row r="105">
      <c r="A105" s="157" t="s">
        <v>558</v>
      </c>
      <c r="B105" s="160">
        <v>0.0</v>
      </c>
      <c r="C105" s="160">
        <v>0.0</v>
      </c>
      <c r="D105" s="160">
        <v>0.0</v>
      </c>
      <c r="E105" s="160">
        <v>0.0</v>
      </c>
      <c r="F105" s="160">
        <v>0.0</v>
      </c>
      <c r="G105" s="160">
        <v>0.0</v>
      </c>
      <c r="H105" s="160">
        <v>0.0</v>
      </c>
      <c r="I105" s="160">
        <v>0.0</v>
      </c>
      <c r="J105" s="160">
        <v>0.0</v>
      </c>
      <c r="K105" s="160">
        <v>0.0</v>
      </c>
      <c r="L105" s="160">
        <v>0.0</v>
      </c>
      <c r="M105" s="160">
        <v>0.0</v>
      </c>
      <c r="N105" s="160">
        <v>0.0</v>
      </c>
      <c r="O105" s="160">
        <v>0.0</v>
      </c>
      <c r="P105" s="160">
        <v>0.0</v>
      </c>
      <c r="Q105" s="160">
        <v>0.0</v>
      </c>
      <c r="R105" s="160">
        <v>0.0</v>
      </c>
      <c r="S105" s="160">
        <v>0.0</v>
      </c>
      <c r="T105" s="160">
        <v>0.0</v>
      </c>
      <c r="U105" s="160">
        <v>0.0</v>
      </c>
      <c r="V105" s="160">
        <v>0.0</v>
      </c>
      <c r="W105" s="160">
        <v>0.0</v>
      </c>
      <c r="X105" s="160">
        <v>0.0</v>
      </c>
      <c r="Y105" s="160">
        <v>0.0</v>
      </c>
    </row>
    <row r="106">
      <c r="A106" s="157" t="s">
        <v>559</v>
      </c>
      <c r="B106" s="160">
        <v>0.0</v>
      </c>
      <c r="C106" s="160">
        <v>0.0</v>
      </c>
      <c r="D106" s="160">
        <v>0.0</v>
      </c>
      <c r="E106" s="160">
        <v>0.0</v>
      </c>
      <c r="F106" s="160">
        <v>0.0</v>
      </c>
      <c r="G106" s="160">
        <v>0.0</v>
      </c>
      <c r="H106" s="160">
        <v>0.0</v>
      </c>
      <c r="I106" s="160">
        <v>0.0</v>
      </c>
      <c r="J106" s="160">
        <v>0.0</v>
      </c>
      <c r="K106" s="160">
        <v>0.0</v>
      </c>
      <c r="L106" s="160">
        <v>0.0</v>
      </c>
      <c r="M106" s="160">
        <v>0.0</v>
      </c>
      <c r="N106" s="160">
        <v>0.0</v>
      </c>
      <c r="O106" s="160">
        <v>0.0</v>
      </c>
      <c r="P106" s="160">
        <v>0.0</v>
      </c>
      <c r="Q106" s="160">
        <v>0.0</v>
      </c>
      <c r="R106" s="160">
        <v>0.0</v>
      </c>
      <c r="S106" s="160">
        <v>0.0</v>
      </c>
      <c r="T106" s="160">
        <v>0.0</v>
      </c>
      <c r="U106" s="160">
        <v>0.0</v>
      </c>
      <c r="V106" s="160">
        <v>0.0</v>
      </c>
      <c r="W106" s="160">
        <v>0.0</v>
      </c>
      <c r="X106" s="160">
        <v>0.0</v>
      </c>
      <c r="Y106" s="160">
        <v>0.0</v>
      </c>
    </row>
    <row r="107">
      <c r="A107" s="157" t="s">
        <v>560</v>
      </c>
      <c r="B107" s="160">
        <v>0.0</v>
      </c>
      <c r="C107" s="160">
        <v>0.0</v>
      </c>
      <c r="D107" s="160">
        <v>0.0</v>
      </c>
      <c r="E107" s="160">
        <v>0.0</v>
      </c>
      <c r="F107" s="160">
        <v>0.0</v>
      </c>
      <c r="G107" s="160">
        <v>0.0</v>
      </c>
      <c r="H107" s="160">
        <v>0.0</v>
      </c>
      <c r="I107" s="160">
        <v>0.0</v>
      </c>
      <c r="J107" s="160">
        <v>0.0</v>
      </c>
      <c r="K107" s="160">
        <v>0.0</v>
      </c>
      <c r="L107" s="160">
        <v>0.0</v>
      </c>
      <c r="M107" s="160">
        <v>0.0</v>
      </c>
      <c r="N107" s="160">
        <v>0.0</v>
      </c>
      <c r="O107" s="160">
        <v>0.0</v>
      </c>
      <c r="P107" s="160">
        <v>0.0</v>
      </c>
      <c r="Q107" s="160">
        <v>0.0</v>
      </c>
      <c r="R107" s="160">
        <v>0.0</v>
      </c>
      <c r="S107" s="160">
        <v>0.0</v>
      </c>
      <c r="T107" s="160">
        <v>0.0</v>
      </c>
      <c r="U107" s="160">
        <v>0.0</v>
      </c>
      <c r="V107" s="160">
        <v>0.0</v>
      </c>
      <c r="W107" s="160">
        <v>0.0</v>
      </c>
      <c r="X107" s="160">
        <v>0.0</v>
      </c>
      <c r="Y107" s="160">
        <v>0.0</v>
      </c>
    </row>
    <row r="108">
      <c r="A108" s="157" t="s">
        <v>561</v>
      </c>
      <c r="B108" s="160">
        <v>0.0</v>
      </c>
      <c r="C108" s="160">
        <v>0.0</v>
      </c>
      <c r="D108" s="160">
        <v>0.0</v>
      </c>
      <c r="E108" s="160">
        <v>0.0</v>
      </c>
      <c r="F108" s="160">
        <v>0.0</v>
      </c>
      <c r="G108" s="160">
        <v>0.0</v>
      </c>
      <c r="H108" s="160">
        <v>0.0</v>
      </c>
      <c r="I108" s="160">
        <v>0.0</v>
      </c>
      <c r="J108" s="160">
        <v>0.0</v>
      </c>
      <c r="K108" s="160">
        <v>0.0</v>
      </c>
      <c r="L108" s="160">
        <v>0.0</v>
      </c>
      <c r="M108" s="160">
        <v>0.0</v>
      </c>
      <c r="N108" s="160">
        <v>0.0</v>
      </c>
      <c r="O108" s="160">
        <v>0.0</v>
      </c>
      <c r="P108" s="160">
        <v>0.0</v>
      </c>
      <c r="Q108" s="160">
        <v>0.0</v>
      </c>
      <c r="R108" s="160">
        <v>0.0</v>
      </c>
      <c r="S108" s="160">
        <v>0.0</v>
      </c>
      <c r="T108" s="160">
        <v>0.0</v>
      </c>
      <c r="U108" s="160">
        <v>0.0</v>
      </c>
      <c r="V108" s="160">
        <v>0.0</v>
      </c>
      <c r="W108" s="160">
        <v>0.0</v>
      </c>
      <c r="X108" s="160">
        <v>0.0</v>
      </c>
      <c r="Y108" s="160">
        <v>0.0</v>
      </c>
    </row>
    <row r="109">
      <c r="A109" s="157" t="s">
        <v>562</v>
      </c>
      <c r="B109" s="160">
        <v>0.0</v>
      </c>
      <c r="C109" s="160">
        <v>0.0</v>
      </c>
      <c r="D109" s="160">
        <v>0.0</v>
      </c>
      <c r="E109" s="160">
        <v>0.0</v>
      </c>
      <c r="F109" s="160">
        <v>0.0</v>
      </c>
      <c r="G109" s="160">
        <v>0.0</v>
      </c>
      <c r="H109" s="160">
        <v>0.0</v>
      </c>
      <c r="I109" s="160">
        <v>0.0</v>
      </c>
      <c r="J109" s="160">
        <v>0.0</v>
      </c>
      <c r="K109" s="160">
        <v>0.0</v>
      </c>
      <c r="L109" s="160">
        <v>0.0</v>
      </c>
      <c r="M109" s="160">
        <v>0.0</v>
      </c>
      <c r="N109" s="160">
        <v>0.0</v>
      </c>
      <c r="O109" s="160">
        <v>0.0</v>
      </c>
      <c r="P109" s="160">
        <v>0.0</v>
      </c>
      <c r="Q109" s="160">
        <v>0.0</v>
      </c>
      <c r="R109" s="160">
        <v>0.0</v>
      </c>
      <c r="S109" s="160">
        <v>0.0</v>
      </c>
      <c r="T109" s="160">
        <v>0.0</v>
      </c>
      <c r="U109" s="160">
        <v>0.0</v>
      </c>
      <c r="V109" s="160">
        <v>0.0</v>
      </c>
      <c r="W109" s="160">
        <v>0.0</v>
      </c>
      <c r="X109" s="160">
        <v>0.0</v>
      </c>
      <c r="Y109" s="160">
        <v>0.0</v>
      </c>
    </row>
    <row r="110">
      <c r="A110" s="157" t="s">
        <v>563</v>
      </c>
      <c r="B110" s="160">
        <v>0.0</v>
      </c>
      <c r="C110" s="160">
        <v>0.0</v>
      </c>
      <c r="D110" s="160">
        <v>0.0</v>
      </c>
      <c r="E110" s="160">
        <v>0.0</v>
      </c>
      <c r="F110" s="160">
        <v>0.0</v>
      </c>
      <c r="G110" s="160">
        <v>0.0</v>
      </c>
      <c r="H110" s="160">
        <v>0.0</v>
      </c>
      <c r="I110" s="160">
        <v>0.0</v>
      </c>
      <c r="J110" s="160">
        <v>0.0</v>
      </c>
      <c r="K110" s="160">
        <v>0.0</v>
      </c>
      <c r="L110" s="160">
        <v>0.0</v>
      </c>
      <c r="M110" s="160">
        <v>0.0</v>
      </c>
      <c r="N110" s="160">
        <v>0.0</v>
      </c>
      <c r="O110" s="160">
        <v>0.0</v>
      </c>
      <c r="P110" s="160">
        <v>0.0</v>
      </c>
      <c r="Q110" s="160">
        <v>0.0</v>
      </c>
      <c r="R110" s="160">
        <v>0.0</v>
      </c>
      <c r="S110" s="160">
        <v>0.0</v>
      </c>
      <c r="T110" s="160">
        <v>0.0</v>
      </c>
      <c r="U110" s="160">
        <v>0.0</v>
      </c>
      <c r="V110" s="160">
        <v>0.0</v>
      </c>
      <c r="W110" s="160">
        <v>0.0</v>
      </c>
      <c r="X110" s="160">
        <v>0.0</v>
      </c>
      <c r="Y110" s="160">
        <v>0.0</v>
      </c>
    </row>
    <row r="111">
      <c r="A111" s="157" t="s">
        <v>210</v>
      </c>
      <c r="B111" s="160">
        <v>365889.28</v>
      </c>
      <c r="C111" s="160">
        <v>5477451.82</v>
      </c>
      <c r="D111" s="160">
        <v>3648094.39</v>
      </c>
      <c r="E111" s="160">
        <v>743240.6</v>
      </c>
      <c r="F111" s="160">
        <v>2369134.2</v>
      </c>
      <c r="G111" s="160">
        <v>397540.6</v>
      </c>
      <c r="H111" s="160">
        <v>1068834.04</v>
      </c>
      <c r="I111" s="160">
        <v>0.0</v>
      </c>
      <c r="J111" s="160">
        <v>1.433877206E7</v>
      </c>
      <c r="K111" s="160">
        <v>15504.0</v>
      </c>
      <c r="L111" s="160">
        <v>3747219.48</v>
      </c>
      <c r="M111" s="160">
        <v>963068.3</v>
      </c>
      <c r="N111" s="160">
        <v>3725350.75</v>
      </c>
      <c r="O111" s="160">
        <v>1.483233656E7</v>
      </c>
      <c r="P111" s="160">
        <v>7660104.56</v>
      </c>
      <c r="Q111" s="160">
        <v>54138.4</v>
      </c>
      <c r="R111" s="160">
        <v>2986768.75</v>
      </c>
      <c r="S111" s="160">
        <v>171495.95</v>
      </c>
      <c r="T111" s="160">
        <v>174949.2</v>
      </c>
      <c r="U111" s="160">
        <v>2205710.53</v>
      </c>
      <c r="V111" s="160">
        <v>0.0</v>
      </c>
      <c r="W111" s="160">
        <v>0.0</v>
      </c>
      <c r="X111" s="160">
        <v>0.0</v>
      </c>
      <c r="Y111" s="160">
        <v>6.494560348E7</v>
      </c>
    </row>
    <row r="112">
      <c r="A112" s="157" t="s">
        <v>564</v>
      </c>
      <c r="B112" s="160">
        <v>0.0</v>
      </c>
      <c r="C112" s="160">
        <v>0.0</v>
      </c>
      <c r="D112" s="160">
        <v>0.0</v>
      </c>
      <c r="E112" s="160">
        <v>0.0</v>
      </c>
      <c r="F112" s="160">
        <v>0.0</v>
      </c>
      <c r="G112" s="160">
        <v>0.0</v>
      </c>
      <c r="H112" s="160">
        <v>0.0</v>
      </c>
      <c r="I112" s="160">
        <v>0.0</v>
      </c>
      <c r="J112" s="160">
        <v>0.0</v>
      </c>
      <c r="K112" s="160">
        <v>0.0</v>
      </c>
      <c r="L112" s="160">
        <v>0.0</v>
      </c>
      <c r="M112" s="160">
        <v>0.0</v>
      </c>
      <c r="N112" s="160">
        <v>0.0</v>
      </c>
      <c r="O112" s="160">
        <v>0.0</v>
      </c>
      <c r="P112" s="160">
        <v>0.0</v>
      </c>
      <c r="Q112" s="160">
        <v>0.0</v>
      </c>
      <c r="R112" s="160">
        <v>0.0</v>
      </c>
      <c r="S112" s="160">
        <v>0.0</v>
      </c>
      <c r="T112" s="160">
        <v>0.0</v>
      </c>
      <c r="U112" s="160">
        <v>0.0</v>
      </c>
      <c r="V112" s="160">
        <v>0.0</v>
      </c>
      <c r="W112" s="160">
        <v>0.0</v>
      </c>
      <c r="X112" s="160">
        <v>0.0</v>
      </c>
      <c r="Y112" s="160">
        <v>0.0</v>
      </c>
    </row>
    <row r="113">
      <c r="A113" s="157" t="s">
        <v>565</v>
      </c>
      <c r="B113" s="160">
        <v>0.0</v>
      </c>
      <c r="C113" s="160">
        <v>0.0</v>
      </c>
      <c r="D113" s="160">
        <v>0.0</v>
      </c>
      <c r="E113" s="160">
        <v>0.0</v>
      </c>
      <c r="F113" s="160">
        <v>0.0</v>
      </c>
      <c r="G113" s="160">
        <v>0.0</v>
      </c>
      <c r="H113" s="160">
        <v>0.0</v>
      </c>
      <c r="I113" s="160">
        <v>0.0</v>
      </c>
      <c r="J113" s="160">
        <v>0.0</v>
      </c>
      <c r="K113" s="160">
        <v>0.0</v>
      </c>
      <c r="L113" s="160">
        <v>0.0</v>
      </c>
      <c r="M113" s="160">
        <v>0.0</v>
      </c>
      <c r="N113" s="160">
        <v>0.0</v>
      </c>
      <c r="O113" s="160">
        <v>0.0</v>
      </c>
      <c r="P113" s="160">
        <v>0.0</v>
      </c>
      <c r="Q113" s="160">
        <v>0.0</v>
      </c>
      <c r="R113" s="160">
        <v>0.0</v>
      </c>
      <c r="S113" s="160">
        <v>0.0</v>
      </c>
      <c r="T113" s="160">
        <v>0.0</v>
      </c>
      <c r="U113" s="160">
        <v>0.0</v>
      </c>
      <c r="V113" s="160">
        <v>0.0</v>
      </c>
      <c r="W113" s="160">
        <v>0.0</v>
      </c>
      <c r="X113" s="160">
        <v>0.0</v>
      </c>
      <c r="Y113" s="160">
        <v>0.0</v>
      </c>
    </row>
    <row r="114">
      <c r="A114" s="157" t="s">
        <v>223</v>
      </c>
      <c r="B114" s="160">
        <v>110327.53</v>
      </c>
      <c r="C114" s="160">
        <v>695641.9</v>
      </c>
      <c r="D114" s="160">
        <v>420664.8</v>
      </c>
      <c r="E114" s="160">
        <v>15567.2</v>
      </c>
      <c r="F114" s="160">
        <v>11088.0</v>
      </c>
      <c r="G114" s="160">
        <v>0.0</v>
      </c>
      <c r="H114" s="160">
        <v>206711.9</v>
      </c>
      <c r="I114" s="160">
        <v>0.0</v>
      </c>
      <c r="J114" s="160">
        <v>229853.74</v>
      </c>
      <c r="K114" s="160">
        <v>38284.1</v>
      </c>
      <c r="L114" s="160">
        <v>3229814.3</v>
      </c>
      <c r="M114" s="160">
        <v>2850586.3</v>
      </c>
      <c r="N114" s="160">
        <v>0.0</v>
      </c>
      <c r="O114" s="160">
        <v>1703414.87</v>
      </c>
      <c r="P114" s="160">
        <v>2381989.38</v>
      </c>
      <c r="Q114" s="160">
        <v>0.0</v>
      </c>
      <c r="R114" s="160">
        <v>0.0</v>
      </c>
      <c r="S114" s="160">
        <v>15173.6</v>
      </c>
      <c r="T114" s="160">
        <v>0.0</v>
      </c>
      <c r="U114" s="160">
        <v>376462.0</v>
      </c>
      <c r="V114" s="160">
        <v>0.0</v>
      </c>
      <c r="W114" s="160">
        <v>0.0</v>
      </c>
      <c r="X114" s="160">
        <v>0.0</v>
      </c>
      <c r="Y114" s="160">
        <v>1.228557962E7</v>
      </c>
    </row>
    <row r="115">
      <c r="A115" s="157" t="s">
        <v>566</v>
      </c>
      <c r="B115" s="160">
        <v>0.0</v>
      </c>
      <c r="C115" s="160">
        <v>0.0</v>
      </c>
      <c r="D115" s="160">
        <v>0.0</v>
      </c>
      <c r="E115" s="160">
        <v>0.0</v>
      </c>
      <c r="F115" s="160">
        <v>0.0</v>
      </c>
      <c r="G115" s="160">
        <v>0.0</v>
      </c>
      <c r="H115" s="160">
        <v>0.0</v>
      </c>
      <c r="I115" s="160">
        <v>0.0</v>
      </c>
      <c r="J115" s="160">
        <v>0.0</v>
      </c>
      <c r="K115" s="160">
        <v>0.0</v>
      </c>
      <c r="L115" s="160">
        <v>0.0</v>
      </c>
      <c r="M115" s="160">
        <v>0.0</v>
      </c>
      <c r="N115" s="160">
        <v>0.0</v>
      </c>
      <c r="O115" s="160">
        <v>0.0</v>
      </c>
      <c r="P115" s="160">
        <v>0.0</v>
      </c>
      <c r="Q115" s="160">
        <v>0.0</v>
      </c>
      <c r="R115" s="160">
        <v>0.0</v>
      </c>
      <c r="S115" s="160">
        <v>0.0</v>
      </c>
      <c r="T115" s="160">
        <v>0.0</v>
      </c>
      <c r="U115" s="160">
        <v>0.0</v>
      </c>
      <c r="V115" s="160">
        <v>0.0</v>
      </c>
      <c r="W115" s="160">
        <v>0.0</v>
      </c>
      <c r="X115" s="160">
        <v>0.0</v>
      </c>
      <c r="Y115" s="160">
        <v>0.0</v>
      </c>
    </row>
    <row r="116">
      <c r="A116" s="157" t="s">
        <v>567</v>
      </c>
      <c r="B116" s="160">
        <v>0.0</v>
      </c>
      <c r="C116" s="160">
        <v>0.0</v>
      </c>
      <c r="D116" s="160">
        <v>0.0</v>
      </c>
      <c r="E116" s="160">
        <v>0.0</v>
      </c>
      <c r="F116" s="160">
        <v>0.0</v>
      </c>
      <c r="G116" s="160">
        <v>0.0</v>
      </c>
      <c r="H116" s="160">
        <v>0.0</v>
      </c>
      <c r="I116" s="160">
        <v>0.0</v>
      </c>
      <c r="J116" s="160">
        <v>0.0</v>
      </c>
      <c r="K116" s="160">
        <v>0.0</v>
      </c>
      <c r="L116" s="160">
        <v>0.0</v>
      </c>
      <c r="M116" s="160">
        <v>0.0</v>
      </c>
      <c r="N116" s="160">
        <v>0.0</v>
      </c>
      <c r="O116" s="160">
        <v>0.0</v>
      </c>
      <c r="P116" s="160">
        <v>0.0</v>
      </c>
      <c r="Q116" s="160">
        <v>0.0</v>
      </c>
      <c r="R116" s="160">
        <v>0.0</v>
      </c>
      <c r="S116" s="160">
        <v>0.0</v>
      </c>
      <c r="T116" s="160">
        <v>0.0</v>
      </c>
      <c r="U116" s="160">
        <v>0.0</v>
      </c>
      <c r="V116" s="160">
        <v>0.0</v>
      </c>
      <c r="W116" s="160">
        <v>0.0</v>
      </c>
      <c r="X116" s="160">
        <v>0.0</v>
      </c>
      <c r="Y116" s="160">
        <v>0.0</v>
      </c>
    </row>
    <row r="117">
      <c r="A117" s="157" t="s">
        <v>568</v>
      </c>
      <c r="B117" s="160">
        <v>0.0</v>
      </c>
      <c r="C117" s="160">
        <v>0.0</v>
      </c>
      <c r="D117" s="160">
        <v>0.0</v>
      </c>
      <c r="E117" s="160">
        <v>0.0</v>
      </c>
      <c r="F117" s="160">
        <v>0.0</v>
      </c>
      <c r="G117" s="160">
        <v>0.0</v>
      </c>
      <c r="H117" s="160">
        <v>0.0</v>
      </c>
      <c r="I117" s="160">
        <v>0.0</v>
      </c>
      <c r="J117" s="160">
        <v>0.0</v>
      </c>
      <c r="K117" s="160">
        <v>0.0</v>
      </c>
      <c r="L117" s="160">
        <v>0.0</v>
      </c>
      <c r="M117" s="160">
        <v>0.0</v>
      </c>
      <c r="N117" s="160">
        <v>0.0</v>
      </c>
      <c r="O117" s="160">
        <v>0.0</v>
      </c>
      <c r="P117" s="160">
        <v>0.0</v>
      </c>
      <c r="Q117" s="160">
        <v>0.0</v>
      </c>
      <c r="R117" s="160">
        <v>0.0</v>
      </c>
      <c r="S117" s="160">
        <v>0.0</v>
      </c>
      <c r="T117" s="160">
        <v>0.0</v>
      </c>
      <c r="U117" s="160">
        <v>0.0</v>
      </c>
      <c r="V117" s="160">
        <v>0.0</v>
      </c>
      <c r="W117" s="160">
        <v>0.0</v>
      </c>
      <c r="X117" s="160">
        <v>0.0</v>
      </c>
      <c r="Y117" s="160">
        <v>0.0</v>
      </c>
    </row>
    <row r="118">
      <c r="A118" s="157" t="s">
        <v>569</v>
      </c>
      <c r="B118" s="160">
        <v>0.0</v>
      </c>
      <c r="C118" s="160">
        <v>0.0</v>
      </c>
      <c r="D118" s="160">
        <v>0.0</v>
      </c>
      <c r="E118" s="160">
        <v>0.0</v>
      </c>
      <c r="F118" s="160">
        <v>0.0</v>
      </c>
      <c r="G118" s="160">
        <v>0.0</v>
      </c>
      <c r="H118" s="160">
        <v>0.0</v>
      </c>
      <c r="I118" s="160">
        <v>0.0</v>
      </c>
      <c r="J118" s="160">
        <v>0.0</v>
      </c>
      <c r="K118" s="160">
        <v>0.0</v>
      </c>
      <c r="L118" s="160">
        <v>0.0</v>
      </c>
      <c r="M118" s="160">
        <v>0.0</v>
      </c>
      <c r="N118" s="160">
        <v>0.0</v>
      </c>
      <c r="O118" s="160">
        <v>0.0</v>
      </c>
      <c r="P118" s="160">
        <v>0.0</v>
      </c>
      <c r="Q118" s="160">
        <v>0.0</v>
      </c>
      <c r="R118" s="160">
        <v>0.0</v>
      </c>
      <c r="S118" s="160">
        <v>0.0</v>
      </c>
      <c r="T118" s="160">
        <v>0.0</v>
      </c>
      <c r="U118" s="160">
        <v>0.0</v>
      </c>
      <c r="V118" s="160">
        <v>0.0</v>
      </c>
      <c r="W118" s="160">
        <v>0.0</v>
      </c>
      <c r="X118" s="160">
        <v>0.0</v>
      </c>
      <c r="Y118" s="160">
        <v>0.0</v>
      </c>
    </row>
    <row r="119">
      <c r="A119" s="157" t="s">
        <v>570</v>
      </c>
      <c r="B119" s="160">
        <v>0.0</v>
      </c>
      <c r="C119" s="160">
        <v>0.0</v>
      </c>
      <c r="D119" s="160">
        <v>0.0</v>
      </c>
      <c r="E119" s="160">
        <v>0.0</v>
      </c>
      <c r="F119" s="160">
        <v>0.0</v>
      </c>
      <c r="G119" s="160">
        <v>0.0</v>
      </c>
      <c r="H119" s="160">
        <v>0.0</v>
      </c>
      <c r="I119" s="160">
        <v>0.0</v>
      </c>
      <c r="J119" s="160">
        <v>0.0</v>
      </c>
      <c r="K119" s="160">
        <v>0.0</v>
      </c>
      <c r="L119" s="160">
        <v>0.0</v>
      </c>
      <c r="M119" s="160">
        <v>0.0</v>
      </c>
      <c r="N119" s="160">
        <v>0.0</v>
      </c>
      <c r="O119" s="160">
        <v>0.0</v>
      </c>
      <c r="P119" s="160">
        <v>0.0</v>
      </c>
      <c r="Q119" s="160">
        <v>0.0</v>
      </c>
      <c r="R119" s="160">
        <v>0.0</v>
      </c>
      <c r="S119" s="160">
        <v>0.0</v>
      </c>
      <c r="T119" s="160">
        <v>0.0</v>
      </c>
      <c r="U119" s="160">
        <v>0.0</v>
      </c>
      <c r="V119" s="160">
        <v>0.0</v>
      </c>
      <c r="W119" s="160">
        <v>0.0</v>
      </c>
      <c r="X119" s="160">
        <v>0.0</v>
      </c>
      <c r="Y119" s="160">
        <v>0.0</v>
      </c>
    </row>
    <row r="120">
      <c r="A120" s="157" t="s">
        <v>571</v>
      </c>
      <c r="B120" s="160">
        <v>0.0</v>
      </c>
      <c r="C120" s="160">
        <v>0.0</v>
      </c>
      <c r="D120" s="160">
        <v>0.0</v>
      </c>
      <c r="E120" s="160">
        <v>0.0</v>
      </c>
      <c r="F120" s="160">
        <v>0.0</v>
      </c>
      <c r="G120" s="160">
        <v>0.0</v>
      </c>
      <c r="H120" s="160">
        <v>0.0</v>
      </c>
      <c r="I120" s="160">
        <v>0.0</v>
      </c>
      <c r="J120" s="160">
        <v>0.0</v>
      </c>
      <c r="K120" s="160">
        <v>0.0</v>
      </c>
      <c r="L120" s="160">
        <v>0.0</v>
      </c>
      <c r="M120" s="160">
        <v>0.0</v>
      </c>
      <c r="N120" s="160">
        <v>0.0</v>
      </c>
      <c r="O120" s="160">
        <v>0.0</v>
      </c>
      <c r="P120" s="160">
        <v>0.0</v>
      </c>
      <c r="Q120" s="160">
        <v>0.0</v>
      </c>
      <c r="R120" s="160">
        <v>0.0</v>
      </c>
      <c r="S120" s="160">
        <v>0.0</v>
      </c>
      <c r="T120" s="160">
        <v>0.0</v>
      </c>
      <c r="U120" s="160">
        <v>0.0</v>
      </c>
      <c r="V120" s="160">
        <v>0.0</v>
      </c>
      <c r="W120" s="160">
        <v>0.0</v>
      </c>
      <c r="X120" s="160">
        <v>0.0</v>
      </c>
      <c r="Y120" s="160">
        <v>0.0</v>
      </c>
    </row>
    <row r="121">
      <c r="A121" s="157" t="s">
        <v>572</v>
      </c>
      <c r="B121" s="160">
        <v>0.0</v>
      </c>
      <c r="C121" s="160">
        <v>0.0</v>
      </c>
      <c r="D121" s="160">
        <v>0.0</v>
      </c>
      <c r="E121" s="160">
        <v>0.0</v>
      </c>
      <c r="F121" s="160">
        <v>0.0</v>
      </c>
      <c r="G121" s="160">
        <v>0.0</v>
      </c>
      <c r="H121" s="160">
        <v>0.0</v>
      </c>
      <c r="I121" s="160">
        <v>0.0</v>
      </c>
      <c r="J121" s="160">
        <v>0.0</v>
      </c>
      <c r="K121" s="160">
        <v>0.0</v>
      </c>
      <c r="L121" s="160">
        <v>0.0</v>
      </c>
      <c r="M121" s="160">
        <v>0.0</v>
      </c>
      <c r="N121" s="160">
        <v>0.0</v>
      </c>
      <c r="O121" s="160">
        <v>0.0</v>
      </c>
      <c r="P121" s="160">
        <v>0.0</v>
      </c>
      <c r="Q121" s="160">
        <v>0.0</v>
      </c>
      <c r="R121" s="160">
        <v>0.0</v>
      </c>
      <c r="S121" s="160">
        <v>0.0</v>
      </c>
      <c r="T121" s="160">
        <v>0.0</v>
      </c>
      <c r="U121" s="160">
        <v>0.0</v>
      </c>
      <c r="V121" s="160">
        <v>0.0</v>
      </c>
      <c r="W121" s="160">
        <v>0.0</v>
      </c>
      <c r="X121" s="160">
        <v>0.0</v>
      </c>
      <c r="Y121" s="160">
        <v>0.0</v>
      </c>
    </row>
    <row r="122">
      <c r="A122" s="157" t="s">
        <v>573</v>
      </c>
      <c r="B122" s="160">
        <v>0.0</v>
      </c>
      <c r="C122" s="160">
        <v>0.0</v>
      </c>
      <c r="D122" s="160">
        <v>0.0</v>
      </c>
      <c r="E122" s="160">
        <v>0.0</v>
      </c>
      <c r="F122" s="160">
        <v>0.0</v>
      </c>
      <c r="G122" s="160">
        <v>0.0</v>
      </c>
      <c r="H122" s="160">
        <v>0.0</v>
      </c>
      <c r="I122" s="160">
        <v>0.0</v>
      </c>
      <c r="J122" s="160">
        <v>0.0</v>
      </c>
      <c r="K122" s="160">
        <v>0.0</v>
      </c>
      <c r="L122" s="160">
        <v>0.0</v>
      </c>
      <c r="M122" s="160">
        <v>0.0</v>
      </c>
      <c r="N122" s="160">
        <v>0.0</v>
      </c>
      <c r="O122" s="160">
        <v>0.0</v>
      </c>
      <c r="P122" s="160">
        <v>0.0</v>
      </c>
      <c r="Q122" s="160">
        <v>0.0</v>
      </c>
      <c r="R122" s="160">
        <v>0.0</v>
      </c>
      <c r="S122" s="160">
        <v>0.0</v>
      </c>
      <c r="T122" s="160">
        <v>0.0</v>
      </c>
      <c r="U122" s="160">
        <v>0.0</v>
      </c>
      <c r="V122" s="160">
        <v>0.0</v>
      </c>
      <c r="W122" s="160">
        <v>0.0</v>
      </c>
      <c r="X122" s="160">
        <v>0.0</v>
      </c>
      <c r="Y122" s="160">
        <v>0.0</v>
      </c>
    </row>
    <row r="123">
      <c r="A123" s="157" t="s">
        <v>574</v>
      </c>
      <c r="B123" s="160">
        <v>0.0</v>
      </c>
      <c r="C123" s="160">
        <v>0.0</v>
      </c>
      <c r="D123" s="160">
        <v>0.0</v>
      </c>
      <c r="E123" s="160">
        <v>0.0</v>
      </c>
      <c r="F123" s="160">
        <v>0.0</v>
      </c>
      <c r="G123" s="160">
        <v>0.0</v>
      </c>
      <c r="H123" s="160">
        <v>0.0</v>
      </c>
      <c r="I123" s="160">
        <v>0.0</v>
      </c>
      <c r="J123" s="160">
        <v>0.0</v>
      </c>
      <c r="K123" s="160">
        <v>0.0</v>
      </c>
      <c r="L123" s="160">
        <v>0.0</v>
      </c>
      <c r="M123" s="160">
        <v>0.0</v>
      </c>
      <c r="N123" s="160">
        <v>0.0</v>
      </c>
      <c r="O123" s="160">
        <v>0.0</v>
      </c>
      <c r="P123" s="160">
        <v>0.0</v>
      </c>
      <c r="Q123" s="160">
        <v>0.0</v>
      </c>
      <c r="R123" s="160">
        <v>0.0</v>
      </c>
      <c r="S123" s="160">
        <v>0.0</v>
      </c>
      <c r="T123" s="160">
        <v>0.0</v>
      </c>
      <c r="U123" s="160">
        <v>0.0</v>
      </c>
      <c r="V123" s="160">
        <v>0.0</v>
      </c>
      <c r="W123" s="160">
        <v>0.0</v>
      </c>
      <c r="X123" s="160">
        <v>0.0</v>
      </c>
      <c r="Y123" s="160">
        <v>0.0</v>
      </c>
    </row>
    <row r="124">
      <c r="A124" s="157" t="s">
        <v>575</v>
      </c>
      <c r="B124" s="160">
        <v>0.0</v>
      </c>
      <c r="C124" s="160">
        <v>0.0</v>
      </c>
      <c r="D124" s="160">
        <v>0.0</v>
      </c>
      <c r="E124" s="160">
        <v>0.0</v>
      </c>
      <c r="F124" s="160">
        <v>0.0</v>
      </c>
      <c r="G124" s="160">
        <v>0.0</v>
      </c>
      <c r="H124" s="160">
        <v>0.0</v>
      </c>
      <c r="I124" s="160">
        <v>0.0</v>
      </c>
      <c r="J124" s="160">
        <v>0.0</v>
      </c>
      <c r="K124" s="160">
        <v>0.0</v>
      </c>
      <c r="L124" s="160">
        <v>0.0</v>
      </c>
      <c r="M124" s="160">
        <v>0.0</v>
      </c>
      <c r="N124" s="160">
        <v>0.0</v>
      </c>
      <c r="O124" s="160">
        <v>0.0</v>
      </c>
      <c r="P124" s="160">
        <v>0.0</v>
      </c>
      <c r="Q124" s="160">
        <v>0.0</v>
      </c>
      <c r="R124" s="160">
        <v>0.0</v>
      </c>
      <c r="S124" s="160">
        <v>0.0</v>
      </c>
      <c r="T124" s="160">
        <v>0.0</v>
      </c>
      <c r="U124" s="160">
        <v>0.0</v>
      </c>
      <c r="V124" s="160">
        <v>0.0</v>
      </c>
      <c r="W124" s="160">
        <v>0.0</v>
      </c>
      <c r="X124" s="160">
        <v>0.0</v>
      </c>
      <c r="Y124" s="160">
        <v>0.0</v>
      </c>
    </row>
    <row r="125">
      <c r="A125" s="157" t="s">
        <v>576</v>
      </c>
      <c r="B125" s="160">
        <v>0.0</v>
      </c>
      <c r="C125" s="160">
        <v>0.0</v>
      </c>
      <c r="D125" s="160">
        <v>0.0</v>
      </c>
      <c r="E125" s="160">
        <v>0.0</v>
      </c>
      <c r="F125" s="160">
        <v>0.0</v>
      </c>
      <c r="G125" s="160">
        <v>0.0</v>
      </c>
      <c r="H125" s="160">
        <v>0.0</v>
      </c>
      <c r="I125" s="160">
        <v>0.0</v>
      </c>
      <c r="J125" s="160">
        <v>0.0</v>
      </c>
      <c r="K125" s="160">
        <v>0.0</v>
      </c>
      <c r="L125" s="160">
        <v>0.0</v>
      </c>
      <c r="M125" s="160">
        <v>0.0</v>
      </c>
      <c r="N125" s="160">
        <v>0.0</v>
      </c>
      <c r="O125" s="160">
        <v>0.0</v>
      </c>
      <c r="P125" s="160">
        <v>0.0</v>
      </c>
      <c r="Q125" s="160">
        <v>0.0</v>
      </c>
      <c r="R125" s="160">
        <v>0.0</v>
      </c>
      <c r="S125" s="160">
        <v>0.0</v>
      </c>
      <c r="T125" s="160">
        <v>0.0</v>
      </c>
      <c r="U125" s="160">
        <v>0.0</v>
      </c>
      <c r="V125" s="160">
        <v>0.0</v>
      </c>
      <c r="W125" s="160">
        <v>0.0</v>
      </c>
      <c r="X125" s="160">
        <v>0.0</v>
      </c>
      <c r="Y125" s="160">
        <v>0.0</v>
      </c>
    </row>
    <row r="126">
      <c r="A126" s="157" t="s">
        <v>577</v>
      </c>
      <c r="B126" s="160">
        <v>0.0</v>
      </c>
      <c r="C126" s="160">
        <v>0.0</v>
      </c>
      <c r="D126" s="160">
        <v>0.0</v>
      </c>
      <c r="E126" s="160">
        <v>0.0</v>
      </c>
      <c r="F126" s="160">
        <v>0.0</v>
      </c>
      <c r="G126" s="160">
        <v>0.0</v>
      </c>
      <c r="H126" s="160">
        <v>0.0</v>
      </c>
      <c r="I126" s="160">
        <v>0.0</v>
      </c>
      <c r="J126" s="160">
        <v>0.0</v>
      </c>
      <c r="K126" s="160">
        <v>0.0</v>
      </c>
      <c r="L126" s="160">
        <v>0.0</v>
      </c>
      <c r="M126" s="160">
        <v>0.0</v>
      </c>
      <c r="N126" s="160">
        <v>0.0</v>
      </c>
      <c r="O126" s="160">
        <v>0.0</v>
      </c>
      <c r="P126" s="160">
        <v>0.0</v>
      </c>
      <c r="Q126" s="160">
        <v>0.0</v>
      </c>
      <c r="R126" s="160">
        <v>0.0</v>
      </c>
      <c r="S126" s="160">
        <v>0.0</v>
      </c>
      <c r="T126" s="160">
        <v>0.0</v>
      </c>
      <c r="U126" s="160">
        <v>0.0</v>
      </c>
      <c r="V126" s="160">
        <v>0.0</v>
      </c>
      <c r="W126" s="160">
        <v>0.0</v>
      </c>
      <c r="X126" s="160">
        <v>0.0</v>
      </c>
      <c r="Y126" s="160">
        <v>0.0</v>
      </c>
    </row>
    <row r="127">
      <c r="A127" s="157" t="s">
        <v>88</v>
      </c>
      <c r="B127" s="160">
        <v>1049.4</v>
      </c>
      <c r="C127" s="160">
        <v>691682.75</v>
      </c>
      <c r="D127" s="160">
        <v>310200.0</v>
      </c>
      <c r="E127" s="160">
        <v>603163.0</v>
      </c>
      <c r="F127" s="160">
        <v>3767.5</v>
      </c>
      <c r="G127" s="160">
        <v>14927.0</v>
      </c>
      <c r="H127" s="160">
        <v>27505.5</v>
      </c>
      <c r="I127" s="160">
        <v>46728.0</v>
      </c>
      <c r="J127" s="160">
        <v>0.0</v>
      </c>
      <c r="K127" s="160">
        <v>0.0</v>
      </c>
      <c r="L127" s="160">
        <v>8191009.21</v>
      </c>
      <c r="M127" s="160">
        <v>4254305.0</v>
      </c>
      <c r="N127" s="160">
        <v>0.0</v>
      </c>
      <c r="O127" s="160">
        <v>0.0</v>
      </c>
      <c r="P127" s="160">
        <v>0.0</v>
      </c>
      <c r="Q127" s="160">
        <v>0.0</v>
      </c>
      <c r="R127" s="160">
        <v>0.0</v>
      </c>
      <c r="S127" s="160">
        <v>622777.25</v>
      </c>
      <c r="T127" s="160">
        <v>8778.0</v>
      </c>
      <c r="U127" s="160">
        <v>1231255.3</v>
      </c>
      <c r="V127" s="160">
        <v>0.0</v>
      </c>
      <c r="W127" s="160">
        <v>0.0</v>
      </c>
      <c r="X127" s="160">
        <v>0.0</v>
      </c>
      <c r="Y127" s="160">
        <v>1.600714791E7</v>
      </c>
    </row>
    <row r="128">
      <c r="A128" s="157" t="s">
        <v>578</v>
      </c>
      <c r="B128" s="160">
        <v>0.0</v>
      </c>
      <c r="C128" s="160">
        <v>0.0</v>
      </c>
      <c r="D128" s="160">
        <v>0.0</v>
      </c>
      <c r="E128" s="160">
        <v>0.0</v>
      </c>
      <c r="F128" s="160">
        <v>0.0</v>
      </c>
      <c r="G128" s="160">
        <v>0.0</v>
      </c>
      <c r="H128" s="160">
        <v>0.0</v>
      </c>
      <c r="I128" s="160">
        <v>0.0</v>
      </c>
      <c r="J128" s="160">
        <v>0.0</v>
      </c>
      <c r="K128" s="160">
        <v>0.0</v>
      </c>
      <c r="L128" s="160">
        <v>0.0</v>
      </c>
      <c r="M128" s="160">
        <v>0.0</v>
      </c>
      <c r="N128" s="160">
        <v>0.0</v>
      </c>
      <c r="O128" s="160">
        <v>0.0</v>
      </c>
      <c r="P128" s="160">
        <v>0.0</v>
      </c>
      <c r="Q128" s="160">
        <v>0.0</v>
      </c>
      <c r="R128" s="160">
        <v>0.0</v>
      </c>
      <c r="S128" s="160">
        <v>0.0</v>
      </c>
      <c r="T128" s="160">
        <v>0.0</v>
      </c>
      <c r="U128" s="160">
        <v>0.0</v>
      </c>
      <c r="V128" s="160">
        <v>0.0</v>
      </c>
      <c r="W128" s="160">
        <v>0.0</v>
      </c>
      <c r="X128" s="160">
        <v>0.0</v>
      </c>
      <c r="Y128" s="160">
        <v>0.0</v>
      </c>
    </row>
    <row r="129">
      <c r="A129" s="157" t="s">
        <v>579</v>
      </c>
      <c r="B129" s="160">
        <v>0.0</v>
      </c>
      <c r="C129" s="160">
        <v>0.0</v>
      </c>
      <c r="D129" s="160">
        <v>0.0</v>
      </c>
      <c r="E129" s="160">
        <v>0.0</v>
      </c>
      <c r="F129" s="160">
        <v>0.0</v>
      </c>
      <c r="G129" s="160">
        <v>0.0</v>
      </c>
      <c r="H129" s="160">
        <v>0.0</v>
      </c>
      <c r="I129" s="160">
        <v>0.0</v>
      </c>
      <c r="J129" s="160">
        <v>0.0</v>
      </c>
      <c r="K129" s="160">
        <v>0.0</v>
      </c>
      <c r="L129" s="160">
        <v>0.0</v>
      </c>
      <c r="M129" s="160">
        <v>0.0</v>
      </c>
      <c r="N129" s="160">
        <v>0.0</v>
      </c>
      <c r="O129" s="160">
        <v>0.0</v>
      </c>
      <c r="P129" s="160">
        <v>0.0</v>
      </c>
      <c r="Q129" s="160">
        <v>0.0</v>
      </c>
      <c r="R129" s="160">
        <v>0.0</v>
      </c>
      <c r="S129" s="160">
        <v>0.0</v>
      </c>
      <c r="T129" s="160">
        <v>0.0</v>
      </c>
      <c r="U129" s="160">
        <v>0.0</v>
      </c>
      <c r="V129" s="160">
        <v>0.0</v>
      </c>
      <c r="W129" s="160">
        <v>0.0</v>
      </c>
      <c r="X129" s="160">
        <v>0.0</v>
      </c>
      <c r="Y129" s="160">
        <v>0.0</v>
      </c>
    </row>
    <row r="130">
      <c r="A130" s="157" t="s">
        <v>322</v>
      </c>
      <c r="B130" s="160">
        <v>0.0</v>
      </c>
      <c r="C130" s="160">
        <v>0.0</v>
      </c>
      <c r="D130" s="160">
        <v>0.0</v>
      </c>
      <c r="E130" s="160">
        <v>0.0</v>
      </c>
      <c r="F130" s="160">
        <v>0.0</v>
      </c>
      <c r="G130" s="160">
        <v>0.0</v>
      </c>
      <c r="H130" s="160">
        <v>0.0</v>
      </c>
      <c r="I130" s="160">
        <v>0.0</v>
      </c>
      <c r="J130" s="160">
        <v>0.0</v>
      </c>
      <c r="K130" s="160">
        <v>0.0</v>
      </c>
      <c r="L130" s="160">
        <v>0.0</v>
      </c>
      <c r="M130" s="160">
        <v>0.0</v>
      </c>
      <c r="N130" s="160">
        <v>0.0</v>
      </c>
      <c r="O130" s="160">
        <v>0.0</v>
      </c>
      <c r="P130" s="160">
        <v>0.0</v>
      </c>
      <c r="Q130" s="160">
        <v>0.0</v>
      </c>
      <c r="R130" s="160">
        <v>0.0</v>
      </c>
      <c r="S130" s="160">
        <v>0.0</v>
      </c>
      <c r="T130" s="160">
        <v>0.0</v>
      </c>
      <c r="U130" s="160">
        <v>0.0</v>
      </c>
      <c r="V130" s="160">
        <v>0.0</v>
      </c>
      <c r="W130" s="160">
        <v>0.0</v>
      </c>
      <c r="X130" s="160">
        <v>0.0</v>
      </c>
      <c r="Y130" s="160">
        <v>0.0</v>
      </c>
    </row>
    <row r="131">
      <c r="A131" s="157" t="s">
        <v>84</v>
      </c>
      <c r="B131" s="160">
        <v>0.0</v>
      </c>
      <c r="C131" s="160">
        <v>0.0</v>
      </c>
      <c r="D131" s="160">
        <v>0.0</v>
      </c>
      <c r="E131" s="160">
        <v>0.0</v>
      </c>
      <c r="F131" s="160">
        <v>0.0</v>
      </c>
      <c r="G131" s="160">
        <v>0.0</v>
      </c>
      <c r="H131" s="160">
        <v>0.0</v>
      </c>
      <c r="I131" s="160">
        <v>0.0</v>
      </c>
      <c r="J131" s="160">
        <v>0.0</v>
      </c>
      <c r="K131" s="160">
        <v>0.0</v>
      </c>
      <c r="L131" s="160">
        <v>0.0</v>
      </c>
      <c r="M131" s="160">
        <v>0.0</v>
      </c>
      <c r="N131" s="160">
        <v>0.0</v>
      </c>
      <c r="O131" s="160">
        <v>0.0</v>
      </c>
      <c r="P131" s="160">
        <v>0.0</v>
      </c>
      <c r="Q131" s="160">
        <v>0.0</v>
      </c>
      <c r="R131" s="160">
        <v>0.0</v>
      </c>
      <c r="S131" s="160">
        <v>0.0</v>
      </c>
      <c r="T131" s="160">
        <v>0.0</v>
      </c>
      <c r="U131" s="160">
        <v>0.0</v>
      </c>
      <c r="V131" s="160">
        <v>0.0</v>
      </c>
      <c r="W131" s="160">
        <v>0.0</v>
      </c>
      <c r="X131" s="160">
        <v>0.0</v>
      </c>
      <c r="Y131" s="160">
        <v>0.0</v>
      </c>
    </row>
    <row r="132">
      <c r="A132" s="157" t="s">
        <v>97</v>
      </c>
      <c r="B132" s="160">
        <v>0.0</v>
      </c>
      <c r="C132" s="160">
        <v>0.0</v>
      </c>
      <c r="D132" s="160">
        <v>0.0</v>
      </c>
      <c r="E132" s="160">
        <v>0.0</v>
      </c>
      <c r="F132" s="160">
        <v>0.0</v>
      </c>
      <c r="G132" s="160">
        <v>0.0</v>
      </c>
      <c r="H132" s="160">
        <v>0.0</v>
      </c>
      <c r="I132" s="160">
        <v>0.0</v>
      </c>
      <c r="J132" s="160">
        <v>0.0</v>
      </c>
      <c r="K132" s="160">
        <v>0.0</v>
      </c>
      <c r="L132" s="160">
        <v>0.0</v>
      </c>
      <c r="M132" s="160">
        <v>0.0</v>
      </c>
      <c r="N132" s="160">
        <v>0.0</v>
      </c>
      <c r="O132" s="160">
        <v>0.0</v>
      </c>
      <c r="P132" s="160">
        <v>0.0</v>
      </c>
      <c r="Q132" s="160">
        <v>0.0</v>
      </c>
      <c r="R132" s="160">
        <v>0.0</v>
      </c>
      <c r="S132" s="160">
        <v>0.0</v>
      </c>
      <c r="T132" s="160">
        <v>0.0</v>
      </c>
      <c r="U132" s="160">
        <v>0.0</v>
      </c>
      <c r="V132" s="160">
        <v>0.0</v>
      </c>
      <c r="W132" s="160">
        <v>0.0</v>
      </c>
      <c r="X132" s="160">
        <v>0.0</v>
      </c>
      <c r="Y132" s="160">
        <v>0.0</v>
      </c>
    </row>
    <row r="133">
      <c r="A133" s="157" t="s">
        <v>185</v>
      </c>
      <c r="B133" s="160">
        <v>0.0</v>
      </c>
      <c r="C133" s="160">
        <v>0.0</v>
      </c>
      <c r="D133" s="160">
        <v>0.0</v>
      </c>
      <c r="E133" s="160">
        <v>0.0</v>
      </c>
      <c r="F133" s="160">
        <v>0.0</v>
      </c>
      <c r="G133" s="160">
        <v>0.0</v>
      </c>
      <c r="H133" s="160">
        <v>0.0</v>
      </c>
      <c r="I133" s="160">
        <v>0.0</v>
      </c>
      <c r="J133" s="160">
        <v>0.0</v>
      </c>
      <c r="K133" s="160">
        <v>0.0</v>
      </c>
      <c r="L133" s="160">
        <v>0.0</v>
      </c>
      <c r="M133" s="160">
        <v>0.0</v>
      </c>
      <c r="N133" s="160">
        <v>0.0</v>
      </c>
      <c r="O133" s="160">
        <v>0.0</v>
      </c>
      <c r="P133" s="160">
        <v>0.0</v>
      </c>
      <c r="Q133" s="160">
        <v>0.0</v>
      </c>
      <c r="R133" s="160">
        <v>0.0</v>
      </c>
      <c r="S133" s="160">
        <v>0.0</v>
      </c>
      <c r="T133" s="160">
        <v>0.0</v>
      </c>
      <c r="U133" s="160">
        <v>0.0</v>
      </c>
      <c r="V133" s="160">
        <v>0.0</v>
      </c>
      <c r="W133" s="160">
        <v>0.0</v>
      </c>
      <c r="X133" s="160">
        <v>0.0</v>
      </c>
      <c r="Y133" s="160">
        <v>0.0</v>
      </c>
    </row>
    <row r="134">
      <c r="A134" s="157" t="s">
        <v>111</v>
      </c>
      <c r="B134" s="160">
        <v>0.0</v>
      </c>
      <c r="C134" s="160">
        <v>0.0</v>
      </c>
      <c r="D134" s="160">
        <v>0.0</v>
      </c>
      <c r="E134" s="160">
        <v>0.0</v>
      </c>
      <c r="F134" s="160">
        <v>0.0</v>
      </c>
      <c r="G134" s="160">
        <v>0.0</v>
      </c>
      <c r="H134" s="160">
        <v>118552.5</v>
      </c>
      <c r="I134" s="160">
        <v>0.0</v>
      </c>
      <c r="J134" s="160">
        <v>0.0</v>
      </c>
      <c r="K134" s="160">
        <v>0.0</v>
      </c>
      <c r="L134" s="160">
        <v>1340964.65</v>
      </c>
      <c r="M134" s="160">
        <v>274452.5</v>
      </c>
      <c r="N134" s="160">
        <v>0.0</v>
      </c>
      <c r="O134" s="160">
        <v>0.0</v>
      </c>
      <c r="P134" s="160">
        <v>0.0</v>
      </c>
      <c r="Q134" s="160">
        <v>0.0</v>
      </c>
      <c r="R134" s="160">
        <v>0.0</v>
      </c>
      <c r="S134" s="160">
        <v>167798.0</v>
      </c>
      <c r="T134" s="160">
        <v>0.0</v>
      </c>
      <c r="U134" s="160">
        <v>23375.0</v>
      </c>
      <c r="V134" s="160">
        <v>0.0</v>
      </c>
      <c r="W134" s="160">
        <v>0.0</v>
      </c>
      <c r="X134" s="160">
        <v>0.0</v>
      </c>
      <c r="Y134" s="160">
        <v>1925142.65</v>
      </c>
    </row>
    <row r="135">
      <c r="A135" s="157" t="s">
        <v>23</v>
      </c>
      <c r="B135" s="160">
        <v>0.0</v>
      </c>
      <c r="C135" s="160">
        <v>0.0</v>
      </c>
      <c r="D135" s="160">
        <v>0.0</v>
      </c>
      <c r="E135" s="160">
        <v>0.0</v>
      </c>
      <c r="F135" s="160">
        <v>0.0</v>
      </c>
      <c r="G135" s="160">
        <v>0.0</v>
      </c>
      <c r="H135" s="160">
        <v>0.0</v>
      </c>
      <c r="I135" s="160">
        <v>0.0</v>
      </c>
      <c r="J135" s="160">
        <v>0.0</v>
      </c>
      <c r="K135" s="160">
        <v>0.0</v>
      </c>
      <c r="L135" s="160">
        <v>0.0</v>
      </c>
      <c r="M135" s="160">
        <v>0.0</v>
      </c>
      <c r="N135" s="160">
        <v>0.0</v>
      </c>
      <c r="O135" s="160">
        <v>0.0</v>
      </c>
      <c r="P135" s="160">
        <v>0.0</v>
      </c>
      <c r="Q135" s="160">
        <v>0.0</v>
      </c>
      <c r="R135" s="160">
        <v>0.0</v>
      </c>
      <c r="S135" s="160">
        <v>0.0</v>
      </c>
      <c r="T135" s="160">
        <v>0.0</v>
      </c>
      <c r="U135" s="160">
        <v>0.0</v>
      </c>
      <c r="V135" s="160">
        <v>0.0</v>
      </c>
      <c r="W135" s="160">
        <v>0.0</v>
      </c>
      <c r="X135" s="160">
        <v>0.0</v>
      </c>
      <c r="Y135" s="160">
        <v>0.0</v>
      </c>
    </row>
    <row r="136">
      <c r="A136" s="157" t="s">
        <v>580</v>
      </c>
      <c r="B136" s="160">
        <v>0.0</v>
      </c>
      <c r="C136" s="160">
        <v>0.0</v>
      </c>
      <c r="D136" s="160">
        <v>0.0</v>
      </c>
      <c r="E136" s="160">
        <v>0.0</v>
      </c>
      <c r="F136" s="160">
        <v>0.0</v>
      </c>
      <c r="G136" s="160">
        <v>0.0</v>
      </c>
      <c r="H136" s="160">
        <v>0.0</v>
      </c>
      <c r="I136" s="160">
        <v>0.0</v>
      </c>
      <c r="J136" s="160">
        <v>0.0</v>
      </c>
      <c r="K136" s="160">
        <v>0.0</v>
      </c>
      <c r="L136" s="160">
        <v>0.0</v>
      </c>
      <c r="M136" s="160">
        <v>0.0</v>
      </c>
      <c r="N136" s="160">
        <v>0.0</v>
      </c>
      <c r="O136" s="160">
        <v>0.0</v>
      </c>
      <c r="P136" s="160">
        <v>0.0</v>
      </c>
      <c r="Q136" s="160">
        <v>0.0</v>
      </c>
      <c r="R136" s="160">
        <v>0.0</v>
      </c>
      <c r="S136" s="160">
        <v>0.0</v>
      </c>
      <c r="T136" s="160">
        <v>0.0</v>
      </c>
      <c r="U136" s="160">
        <v>0.0</v>
      </c>
      <c r="V136" s="160">
        <v>0.0</v>
      </c>
      <c r="W136" s="160">
        <v>0.0</v>
      </c>
      <c r="X136" s="160">
        <v>0.0</v>
      </c>
      <c r="Y136" s="160">
        <v>0.0</v>
      </c>
    </row>
    <row r="137">
      <c r="A137" s="157" t="s">
        <v>581</v>
      </c>
      <c r="B137" s="160">
        <v>0.0</v>
      </c>
      <c r="C137" s="160">
        <v>0.0</v>
      </c>
      <c r="D137" s="160">
        <v>0.0</v>
      </c>
      <c r="E137" s="160">
        <v>0.0</v>
      </c>
      <c r="F137" s="160">
        <v>0.0</v>
      </c>
      <c r="G137" s="160">
        <v>0.0</v>
      </c>
      <c r="H137" s="160">
        <v>0.0</v>
      </c>
      <c r="I137" s="160">
        <v>0.0</v>
      </c>
      <c r="J137" s="160">
        <v>0.0</v>
      </c>
      <c r="K137" s="160">
        <v>0.0</v>
      </c>
      <c r="L137" s="160">
        <v>0.0</v>
      </c>
      <c r="M137" s="160">
        <v>0.0</v>
      </c>
      <c r="N137" s="160">
        <v>0.0</v>
      </c>
      <c r="O137" s="160">
        <v>0.0</v>
      </c>
      <c r="P137" s="160">
        <v>0.0</v>
      </c>
      <c r="Q137" s="160">
        <v>0.0</v>
      </c>
      <c r="R137" s="160">
        <v>0.0</v>
      </c>
      <c r="S137" s="160">
        <v>0.0</v>
      </c>
      <c r="T137" s="160">
        <v>0.0</v>
      </c>
      <c r="U137" s="160">
        <v>0.0</v>
      </c>
      <c r="V137" s="160">
        <v>0.0</v>
      </c>
      <c r="W137" s="160">
        <v>0.0</v>
      </c>
      <c r="X137" s="160">
        <v>0.0</v>
      </c>
      <c r="Y137" s="160">
        <v>0.0</v>
      </c>
    </row>
    <row r="138">
      <c r="A138" s="157" t="s">
        <v>582</v>
      </c>
      <c r="B138" s="160">
        <v>0.0</v>
      </c>
      <c r="C138" s="160">
        <v>0.0</v>
      </c>
      <c r="D138" s="160">
        <v>0.0</v>
      </c>
      <c r="E138" s="160">
        <v>0.0</v>
      </c>
      <c r="F138" s="160">
        <v>0.0</v>
      </c>
      <c r="G138" s="160">
        <v>0.0</v>
      </c>
      <c r="H138" s="160">
        <v>0.0</v>
      </c>
      <c r="I138" s="160">
        <v>0.0</v>
      </c>
      <c r="J138" s="160">
        <v>0.0</v>
      </c>
      <c r="K138" s="160">
        <v>0.0</v>
      </c>
      <c r="L138" s="160">
        <v>0.0</v>
      </c>
      <c r="M138" s="160">
        <v>0.0</v>
      </c>
      <c r="N138" s="160">
        <v>0.0</v>
      </c>
      <c r="O138" s="160">
        <v>0.0</v>
      </c>
      <c r="P138" s="160">
        <v>0.0</v>
      </c>
      <c r="Q138" s="160">
        <v>0.0</v>
      </c>
      <c r="R138" s="160">
        <v>0.0</v>
      </c>
      <c r="S138" s="160">
        <v>0.0</v>
      </c>
      <c r="T138" s="160">
        <v>0.0</v>
      </c>
      <c r="U138" s="160">
        <v>0.0</v>
      </c>
      <c r="V138" s="160">
        <v>0.0</v>
      </c>
      <c r="W138" s="160">
        <v>0.0</v>
      </c>
      <c r="X138" s="160">
        <v>0.0</v>
      </c>
      <c r="Y138" s="160">
        <v>0.0</v>
      </c>
    </row>
    <row r="139">
      <c r="A139" s="157" t="s">
        <v>583</v>
      </c>
      <c r="B139" s="160">
        <v>0.0</v>
      </c>
      <c r="C139" s="160">
        <v>0.0</v>
      </c>
      <c r="D139" s="160">
        <v>0.0</v>
      </c>
      <c r="E139" s="160">
        <v>0.0</v>
      </c>
      <c r="F139" s="160">
        <v>0.0</v>
      </c>
      <c r="G139" s="160">
        <v>0.0</v>
      </c>
      <c r="H139" s="160">
        <v>0.0</v>
      </c>
      <c r="I139" s="160">
        <v>0.0</v>
      </c>
      <c r="J139" s="160">
        <v>0.0</v>
      </c>
      <c r="K139" s="160">
        <v>0.0</v>
      </c>
      <c r="L139" s="160">
        <v>0.0</v>
      </c>
      <c r="M139" s="160">
        <v>0.0</v>
      </c>
      <c r="N139" s="160">
        <v>0.0</v>
      </c>
      <c r="O139" s="160">
        <v>0.0</v>
      </c>
      <c r="P139" s="160">
        <v>0.0</v>
      </c>
      <c r="Q139" s="160">
        <v>0.0</v>
      </c>
      <c r="R139" s="160">
        <v>0.0</v>
      </c>
      <c r="S139" s="160">
        <v>0.0</v>
      </c>
      <c r="T139" s="160">
        <v>0.0</v>
      </c>
      <c r="U139" s="160">
        <v>0.0</v>
      </c>
      <c r="V139" s="160">
        <v>0.0</v>
      </c>
      <c r="W139" s="160">
        <v>0.0</v>
      </c>
      <c r="X139" s="160">
        <v>0.0</v>
      </c>
      <c r="Y139" s="160">
        <v>0.0</v>
      </c>
    </row>
    <row r="140">
      <c r="A140" s="157" t="s">
        <v>584</v>
      </c>
      <c r="B140" s="160">
        <v>0.0</v>
      </c>
      <c r="C140" s="160">
        <v>0.0</v>
      </c>
      <c r="D140" s="160">
        <v>0.0</v>
      </c>
      <c r="E140" s="160">
        <v>0.0</v>
      </c>
      <c r="F140" s="160">
        <v>0.0</v>
      </c>
      <c r="G140" s="160">
        <v>0.0</v>
      </c>
      <c r="H140" s="160">
        <v>0.0</v>
      </c>
      <c r="I140" s="160">
        <v>0.0</v>
      </c>
      <c r="J140" s="160">
        <v>0.0</v>
      </c>
      <c r="K140" s="160">
        <v>0.0</v>
      </c>
      <c r="L140" s="160">
        <v>0.0</v>
      </c>
      <c r="M140" s="160">
        <v>0.0</v>
      </c>
      <c r="N140" s="160">
        <v>0.0</v>
      </c>
      <c r="O140" s="160">
        <v>0.0</v>
      </c>
      <c r="P140" s="160">
        <v>0.0</v>
      </c>
      <c r="Q140" s="160">
        <v>0.0</v>
      </c>
      <c r="R140" s="160">
        <v>0.0</v>
      </c>
      <c r="S140" s="160">
        <v>0.0</v>
      </c>
      <c r="T140" s="160">
        <v>0.0</v>
      </c>
      <c r="U140" s="160">
        <v>0.0</v>
      </c>
      <c r="V140" s="160">
        <v>0.0</v>
      </c>
      <c r="W140" s="160">
        <v>0.0</v>
      </c>
      <c r="X140" s="160">
        <v>0.0</v>
      </c>
      <c r="Y140" s="160">
        <v>0.0</v>
      </c>
    </row>
    <row r="141">
      <c r="A141" s="157" t="s">
        <v>225</v>
      </c>
      <c r="B141" s="160">
        <v>2764.74</v>
      </c>
      <c r="C141" s="160">
        <v>623180.6</v>
      </c>
      <c r="D141" s="160">
        <v>1530957.5</v>
      </c>
      <c r="E141" s="160">
        <v>875795.6</v>
      </c>
      <c r="F141" s="160">
        <v>796823.7</v>
      </c>
      <c r="G141" s="160">
        <v>12576.0</v>
      </c>
      <c r="H141" s="160">
        <v>714899.0</v>
      </c>
      <c r="I141" s="160">
        <v>0.0</v>
      </c>
      <c r="J141" s="160">
        <v>779772.48</v>
      </c>
      <c r="K141" s="160">
        <v>0.0</v>
      </c>
      <c r="L141" s="160">
        <v>2465940.66</v>
      </c>
      <c r="M141" s="160">
        <v>276911.2</v>
      </c>
      <c r="N141" s="160">
        <v>366331.4</v>
      </c>
      <c r="O141" s="160">
        <v>158005.13</v>
      </c>
      <c r="P141" s="160">
        <v>79662.38</v>
      </c>
      <c r="Q141" s="160">
        <v>0.0</v>
      </c>
      <c r="R141" s="160">
        <v>653025.0</v>
      </c>
      <c r="S141" s="160">
        <v>36741.0</v>
      </c>
      <c r="T141" s="160">
        <v>0.0</v>
      </c>
      <c r="U141" s="160">
        <v>619091.4</v>
      </c>
      <c r="V141" s="160">
        <v>0.0</v>
      </c>
      <c r="W141" s="160">
        <v>0.0</v>
      </c>
      <c r="X141" s="160">
        <v>0.0</v>
      </c>
      <c r="Y141" s="160">
        <v>9992477.78</v>
      </c>
    </row>
    <row r="142">
      <c r="A142" s="157" t="s">
        <v>585</v>
      </c>
      <c r="B142" s="160">
        <v>0.0</v>
      </c>
      <c r="C142" s="160">
        <v>0.0</v>
      </c>
      <c r="D142" s="160">
        <v>0.0</v>
      </c>
      <c r="E142" s="160">
        <v>0.0</v>
      </c>
      <c r="F142" s="160">
        <v>0.0</v>
      </c>
      <c r="G142" s="160">
        <v>0.0</v>
      </c>
      <c r="H142" s="160">
        <v>0.0</v>
      </c>
      <c r="I142" s="160">
        <v>0.0</v>
      </c>
      <c r="J142" s="160">
        <v>0.0</v>
      </c>
      <c r="K142" s="160">
        <v>0.0</v>
      </c>
      <c r="L142" s="160">
        <v>0.0</v>
      </c>
      <c r="M142" s="160">
        <v>0.0</v>
      </c>
      <c r="N142" s="160">
        <v>0.0</v>
      </c>
      <c r="O142" s="160">
        <v>0.0</v>
      </c>
      <c r="P142" s="160">
        <v>0.0</v>
      </c>
      <c r="Q142" s="160">
        <v>0.0</v>
      </c>
      <c r="R142" s="160">
        <v>0.0</v>
      </c>
      <c r="S142" s="160">
        <v>0.0</v>
      </c>
      <c r="T142" s="160">
        <v>0.0</v>
      </c>
      <c r="U142" s="160">
        <v>0.0</v>
      </c>
      <c r="V142" s="160">
        <v>0.0</v>
      </c>
      <c r="W142" s="160">
        <v>0.0</v>
      </c>
      <c r="X142" s="160">
        <v>0.0</v>
      </c>
      <c r="Y142" s="160">
        <v>0.0</v>
      </c>
    </row>
    <row r="143">
      <c r="A143" s="157" t="s">
        <v>586</v>
      </c>
      <c r="B143" s="160">
        <v>0.0</v>
      </c>
      <c r="C143" s="160">
        <v>0.0</v>
      </c>
      <c r="D143" s="160">
        <v>0.0</v>
      </c>
      <c r="E143" s="160">
        <v>0.0</v>
      </c>
      <c r="F143" s="160">
        <v>0.0</v>
      </c>
      <c r="G143" s="160">
        <v>0.0</v>
      </c>
      <c r="H143" s="160">
        <v>0.0</v>
      </c>
      <c r="I143" s="160">
        <v>0.0</v>
      </c>
      <c r="J143" s="160">
        <v>0.0</v>
      </c>
      <c r="K143" s="160">
        <v>0.0</v>
      </c>
      <c r="L143" s="160">
        <v>0.0</v>
      </c>
      <c r="M143" s="160">
        <v>0.0</v>
      </c>
      <c r="N143" s="160">
        <v>0.0</v>
      </c>
      <c r="O143" s="160">
        <v>0.0</v>
      </c>
      <c r="P143" s="160">
        <v>0.0</v>
      </c>
      <c r="Q143" s="160">
        <v>0.0</v>
      </c>
      <c r="R143" s="160">
        <v>0.0</v>
      </c>
      <c r="S143" s="160">
        <v>0.0</v>
      </c>
      <c r="T143" s="160">
        <v>0.0</v>
      </c>
      <c r="U143" s="160">
        <v>0.0</v>
      </c>
      <c r="V143" s="160">
        <v>0.0</v>
      </c>
      <c r="W143" s="160">
        <v>0.0</v>
      </c>
      <c r="X143" s="160">
        <v>0.0</v>
      </c>
      <c r="Y143" s="160">
        <v>0.0</v>
      </c>
    </row>
    <row r="144">
      <c r="A144" s="157" t="s">
        <v>587</v>
      </c>
      <c r="B144" s="160">
        <v>0.0</v>
      </c>
      <c r="C144" s="160">
        <v>0.0</v>
      </c>
      <c r="D144" s="160">
        <v>0.0</v>
      </c>
      <c r="E144" s="160">
        <v>0.0</v>
      </c>
      <c r="F144" s="160">
        <v>0.0</v>
      </c>
      <c r="G144" s="160">
        <v>0.0</v>
      </c>
      <c r="H144" s="160">
        <v>0.0</v>
      </c>
      <c r="I144" s="160">
        <v>0.0</v>
      </c>
      <c r="J144" s="160">
        <v>0.0</v>
      </c>
      <c r="K144" s="160">
        <v>0.0</v>
      </c>
      <c r="L144" s="160">
        <v>0.0</v>
      </c>
      <c r="M144" s="160">
        <v>0.0</v>
      </c>
      <c r="N144" s="160">
        <v>0.0</v>
      </c>
      <c r="O144" s="160">
        <v>0.0</v>
      </c>
      <c r="P144" s="160">
        <v>0.0</v>
      </c>
      <c r="Q144" s="160">
        <v>0.0</v>
      </c>
      <c r="R144" s="160">
        <v>0.0</v>
      </c>
      <c r="S144" s="160">
        <v>0.0</v>
      </c>
      <c r="T144" s="160">
        <v>0.0</v>
      </c>
      <c r="U144" s="160">
        <v>0.0</v>
      </c>
      <c r="V144" s="160">
        <v>0.0</v>
      </c>
      <c r="W144" s="160">
        <v>0.0</v>
      </c>
      <c r="X144" s="160">
        <v>0.0</v>
      </c>
      <c r="Y144" s="160">
        <v>0.0</v>
      </c>
    </row>
    <row r="145">
      <c r="A145" s="157" t="s">
        <v>588</v>
      </c>
      <c r="B145" s="160">
        <v>0.0</v>
      </c>
      <c r="C145" s="160">
        <v>0.0</v>
      </c>
      <c r="D145" s="160">
        <v>0.0</v>
      </c>
      <c r="E145" s="160">
        <v>0.0</v>
      </c>
      <c r="F145" s="160">
        <v>0.0</v>
      </c>
      <c r="G145" s="160">
        <v>0.0</v>
      </c>
      <c r="H145" s="160">
        <v>0.0</v>
      </c>
      <c r="I145" s="160">
        <v>0.0</v>
      </c>
      <c r="J145" s="160">
        <v>0.0</v>
      </c>
      <c r="K145" s="160">
        <v>0.0</v>
      </c>
      <c r="L145" s="160">
        <v>0.0</v>
      </c>
      <c r="M145" s="160">
        <v>0.0</v>
      </c>
      <c r="N145" s="160">
        <v>0.0</v>
      </c>
      <c r="O145" s="160">
        <v>0.0</v>
      </c>
      <c r="P145" s="160">
        <v>0.0</v>
      </c>
      <c r="Q145" s="160">
        <v>0.0</v>
      </c>
      <c r="R145" s="160">
        <v>0.0</v>
      </c>
      <c r="S145" s="160">
        <v>0.0</v>
      </c>
      <c r="T145" s="160">
        <v>0.0</v>
      </c>
      <c r="U145" s="160">
        <v>0.0</v>
      </c>
      <c r="V145" s="160">
        <v>0.0</v>
      </c>
      <c r="W145" s="160">
        <v>0.0</v>
      </c>
      <c r="X145" s="160">
        <v>0.0</v>
      </c>
      <c r="Y145" s="160">
        <v>0.0</v>
      </c>
    </row>
    <row r="146">
      <c r="A146" s="157" t="s">
        <v>589</v>
      </c>
      <c r="B146" s="160">
        <v>0.0</v>
      </c>
      <c r="C146" s="160">
        <v>0.0</v>
      </c>
      <c r="D146" s="160">
        <v>0.0</v>
      </c>
      <c r="E146" s="160">
        <v>0.0</v>
      </c>
      <c r="F146" s="160">
        <v>0.0</v>
      </c>
      <c r="G146" s="160">
        <v>0.0</v>
      </c>
      <c r="H146" s="160">
        <v>0.0</v>
      </c>
      <c r="I146" s="160">
        <v>0.0</v>
      </c>
      <c r="J146" s="160">
        <v>0.0</v>
      </c>
      <c r="K146" s="160">
        <v>0.0</v>
      </c>
      <c r="L146" s="160">
        <v>0.0</v>
      </c>
      <c r="M146" s="160">
        <v>0.0</v>
      </c>
      <c r="N146" s="160">
        <v>0.0</v>
      </c>
      <c r="O146" s="160">
        <v>0.0</v>
      </c>
      <c r="P146" s="160">
        <v>0.0</v>
      </c>
      <c r="Q146" s="160">
        <v>0.0</v>
      </c>
      <c r="R146" s="160">
        <v>0.0</v>
      </c>
      <c r="S146" s="160">
        <v>0.0</v>
      </c>
      <c r="T146" s="160">
        <v>0.0</v>
      </c>
      <c r="U146" s="160">
        <v>0.0</v>
      </c>
      <c r="V146" s="160">
        <v>0.0</v>
      </c>
      <c r="W146" s="160">
        <v>0.0</v>
      </c>
      <c r="X146" s="160">
        <v>0.0</v>
      </c>
      <c r="Y146" s="160">
        <v>0.0</v>
      </c>
    </row>
    <row r="147">
      <c r="A147" s="157" t="s">
        <v>590</v>
      </c>
      <c r="B147" s="160">
        <v>0.0</v>
      </c>
      <c r="C147" s="160">
        <v>0.0</v>
      </c>
      <c r="D147" s="160">
        <v>0.0</v>
      </c>
      <c r="E147" s="160">
        <v>0.0</v>
      </c>
      <c r="F147" s="160">
        <v>0.0</v>
      </c>
      <c r="G147" s="160">
        <v>0.0</v>
      </c>
      <c r="H147" s="160">
        <v>0.0</v>
      </c>
      <c r="I147" s="160">
        <v>0.0</v>
      </c>
      <c r="J147" s="160">
        <v>0.0</v>
      </c>
      <c r="K147" s="160">
        <v>0.0</v>
      </c>
      <c r="L147" s="160">
        <v>0.0</v>
      </c>
      <c r="M147" s="160">
        <v>0.0</v>
      </c>
      <c r="N147" s="160">
        <v>0.0</v>
      </c>
      <c r="O147" s="160">
        <v>0.0</v>
      </c>
      <c r="P147" s="160">
        <v>0.0</v>
      </c>
      <c r="Q147" s="160">
        <v>0.0</v>
      </c>
      <c r="R147" s="160">
        <v>0.0</v>
      </c>
      <c r="S147" s="160">
        <v>0.0</v>
      </c>
      <c r="T147" s="160">
        <v>0.0</v>
      </c>
      <c r="U147" s="160">
        <v>0.0</v>
      </c>
      <c r="V147" s="160">
        <v>0.0</v>
      </c>
      <c r="W147" s="160">
        <v>0.0</v>
      </c>
      <c r="X147" s="160">
        <v>0.0</v>
      </c>
      <c r="Y147" s="160">
        <v>0.0</v>
      </c>
    </row>
    <row r="148">
      <c r="A148" s="157" t="s">
        <v>591</v>
      </c>
      <c r="B148" s="160">
        <v>3552.0</v>
      </c>
      <c r="C148" s="160">
        <v>17777.0</v>
      </c>
      <c r="D148" s="160">
        <v>0.0</v>
      </c>
      <c r="E148" s="160">
        <v>0.0</v>
      </c>
      <c r="F148" s="160">
        <v>0.0</v>
      </c>
      <c r="G148" s="160">
        <v>0.0</v>
      </c>
      <c r="H148" s="160">
        <v>13508.0</v>
      </c>
      <c r="I148" s="160">
        <v>0.0</v>
      </c>
      <c r="J148" s="160">
        <v>0.0</v>
      </c>
      <c r="K148" s="160">
        <v>0.0</v>
      </c>
      <c r="L148" s="160">
        <v>114419.52</v>
      </c>
      <c r="M148" s="160">
        <v>12492.0</v>
      </c>
      <c r="N148" s="160">
        <v>0.0</v>
      </c>
      <c r="O148" s="160">
        <v>73507.2</v>
      </c>
      <c r="P148" s="160">
        <v>53036.76</v>
      </c>
      <c r="Q148" s="160">
        <v>0.0</v>
      </c>
      <c r="R148" s="160">
        <v>0.0</v>
      </c>
      <c r="S148" s="160">
        <v>0.0</v>
      </c>
      <c r="T148" s="160">
        <v>0.0</v>
      </c>
      <c r="U148" s="160">
        <v>18339.6</v>
      </c>
      <c r="V148" s="160">
        <v>0.0</v>
      </c>
      <c r="W148" s="160">
        <v>0.0</v>
      </c>
      <c r="X148" s="160">
        <v>0.0</v>
      </c>
      <c r="Y148" s="160">
        <v>306632.08</v>
      </c>
    </row>
    <row r="149">
      <c r="A149" s="157" t="s">
        <v>592</v>
      </c>
      <c r="B149" s="160">
        <v>0.0</v>
      </c>
      <c r="C149" s="160">
        <v>0.0</v>
      </c>
      <c r="D149" s="160">
        <v>0.0</v>
      </c>
      <c r="E149" s="160">
        <v>0.0</v>
      </c>
      <c r="F149" s="160">
        <v>0.0</v>
      </c>
      <c r="G149" s="160">
        <v>0.0</v>
      </c>
      <c r="H149" s="160">
        <v>0.0</v>
      </c>
      <c r="I149" s="160">
        <v>0.0</v>
      </c>
      <c r="J149" s="160">
        <v>0.0</v>
      </c>
      <c r="K149" s="160">
        <v>0.0</v>
      </c>
      <c r="L149" s="160">
        <v>0.0</v>
      </c>
      <c r="M149" s="160">
        <v>0.0</v>
      </c>
      <c r="N149" s="160">
        <v>0.0</v>
      </c>
      <c r="O149" s="160">
        <v>0.0</v>
      </c>
      <c r="P149" s="160">
        <v>0.0</v>
      </c>
      <c r="Q149" s="160">
        <v>0.0</v>
      </c>
      <c r="R149" s="160">
        <v>0.0</v>
      </c>
      <c r="S149" s="160">
        <v>0.0</v>
      </c>
      <c r="T149" s="160">
        <v>0.0</v>
      </c>
      <c r="U149" s="160">
        <v>0.0</v>
      </c>
      <c r="V149" s="160">
        <v>0.0</v>
      </c>
      <c r="W149" s="160">
        <v>0.0</v>
      </c>
      <c r="X149" s="160">
        <v>0.0</v>
      </c>
      <c r="Y149" s="160">
        <v>0.0</v>
      </c>
    </row>
    <row r="150">
      <c r="A150" s="157" t="s">
        <v>593</v>
      </c>
      <c r="B150" s="160">
        <v>0.0</v>
      </c>
      <c r="C150" s="160">
        <v>0.0</v>
      </c>
      <c r="D150" s="160">
        <v>0.0</v>
      </c>
      <c r="E150" s="160">
        <v>0.0</v>
      </c>
      <c r="F150" s="160">
        <v>0.0</v>
      </c>
      <c r="G150" s="160">
        <v>0.0</v>
      </c>
      <c r="H150" s="160">
        <v>0.0</v>
      </c>
      <c r="I150" s="160">
        <v>0.0</v>
      </c>
      <c r="J150" s="160">
        <v>0.0</v>
      </c>
      <c r="K150" s="160">
        <v>0.0</v>
      </c>
      <c r="L150" s="160">
        <v>0.0</v>
      </c>
      <c r="M150" s="160">
        <v>0.0</v>
      </c>
      <c r="N150" s="160">
        <v>0.0</v>
      </c>
      <c r="O150" s="160">
        <v>0.0</v>
      </c>
      <c r="P150" s="160">
        <v>0.0</v>
      </c>
      <c r="Q150" s="160">
        <v>0.0</v>
      </c>
      <c r="R150" s="160">
        <v>0.0</v>
      </c>
      <c r="S150" s="160">
        <v>0.0</v>
      </c>
      <c r="T150" s="160">
        <v>0.0</v>
      </c>
      <c r="U150" s="160">
        <v>0.0</v>
      </c>
      <c r="V150" s="160">
        <v>0.0</v>
      </c>
      <c r="W150" s="160">
        <v>0.0</v>
      </c>
      <c r="X150" s="160">
        <v>0.0</v>
      </c>
      <c r="Y150" s="160">
        <v>0.0</v>
      </c>
    </row>
    <row r="151">
      <c r="A151" s="157" t="s">
        <v>594</v>
      </c>
      <c r="B151" s="160">
        <v>0.0</v>
      </c>
      <c r="C151" s="160">
        <v>0.0</v>
      </c>
      <c r="D151" s="160">
        <v>0.0</v>
      </c>
      <c r="E151" s="160">
        <v>0.0</v>
      </c>
      <c r="F151" s="160">
        <v>0.0</v>
      </c>
      <c r="G151" s="160">
        <v>0.0</v>
      </c>
      <c r="H151" s="160">
        <v>0.0</v>
      </c>
      <c r="I151" s="160">
        <v>0.0</v>
      </c>
      <c r="J151" s="160">
        <v>0.0</v>
      </c>
      <c r="K151" s="160">
        <v>0.0</v>
      </c>
      <c r="L151" s="160">
        <v>0.0</v>
      </c>
      <c r="M151" s="160">
        <v>0.0</v>
      </c>
      <c r="N151" s="160">
        <v>0.0</v>
      </c>
      <c r="O151" s="160">
        <v>0.0</v>
      </c>
      <c r="P151" s="160">
        <v>0.0</v>
      </c>
      <c r="Q151" s="160">
        <v>0.0</v>
      </c>
      <c r="R151" s="160">
        <v>0.0</v>
      </c>
      <c r="S151" s="160">
        <v>0.0</v>
      </c>
      <c r="T151" s="160">
        <v>0.0</v>
      </c>
      <c r="U151" s="160">
        <v>0.0</v>
      </c>
      <c r="V151" s="160">
        <v>0.0</v>
      </c>
      <c r="W151" s="160">
        <v>0.0</v>
      </c>
      <c r="X151" s="160">
        <v>0.0</v>
      </c>
      <c r="Y151" s="160">
        <v>0.0</v>
      </c>
    </row>
    <row r="152">
      <c r="A152" s="157" t="s">
        <v>595</v>
      </c>
      <c r="B152" s="160">
        <v>0.0</v>
      </c>
      <c r="C152" s="160">
        <v>0.0</v>
      </c>
      <c r="D152" s="160">
        <v>0.0</v>
      </c>
      <c r="E152" s="160">
        <v>0.0</v>
      </c>
      <c r="F152" s="160">
        <v>0.0</v>
      </c>
      <c r="G152" s="160">
        <v>0.0</v>
      </c>
      <c r="H152" s="160">
        <v>0.0</v>
      </c>
      <c r="I152" s="160">
        <v>0.0</v>
      </c>
      <c r="J152" s="160">
        <v>0.0</v>
      </c>
      <c r="K152" s="160">
        <v>0.0</v>
      </c>
      <c r="L152" s="160">
        <v>0.0</v>
      </c>
      <c r="M152" s="160">
        <v>0.0</v>
      </c>
      <c r="N152" s="160">
        <v>0.0</v>
      </c>
      <c r="O152" s="160">
        <v>0.0</v>
      </c>
      <c r="P152" s="160">
        <v>0.0</v>
      </c>
      <c r="Q152" s="160">
        <v>0.0</v>
      </c>
      <c r="R152" s="160">
        <v>0.0</v>
      </c>
      <c r="S152" s="160">
        <v>0.0</v>
      </c>
      <c r="T152" s="160">
        <v>0.0</v>
      </c>
      <c r="U152" s="160">
        <v>0.0</v>
      </c>
      <c r="V152" s="160">
        <v>0.0</v>
      </c>
      <c r="W152" s="160">
        <v>0.0</v>
      </c>
      <c r="X152" s="160">
        <v>0.0</v>
      </c>
      <c r="Y152" s="160">
        <v>0.0</v>
      </c>
    </row>
    <row r="153">
      <c r="A153" s="157" t="s">
        <v>596</v>
      </c>
      <c r="B153" s="160">
        <v>0.0</v>
      </c>
      <c r="C153" s="160">
        <v>0.0</v>
      </c>
      <c r="D153" s="160">
        <v>0.0</v>
      </c>
      <c r="E153" s="160">
        <v>0.0</v>
      </c>
      <c r="F153" s="160">
        <v>0.0</v>
      </c>
      <c r="G153" s="160">
        <v>0.0</v>
      </c>
      <c r="H153" s="160">
        <v>0.0</v>
      </c>
      <c r="I153" s="160">
        <v>0.0</v>
      </c>
      <c r="J153" s="160">
        <v>0.0</v>
      </c>
      <c r="K153" s="160">
        <v>0.0</v>
      </c>
      <c r="L153" s="160">
        <v>0.0</v>
      </c>
      <c r="M153" s="160">
        <v>0.0</v>
      </c>
      <c r="N153" s="160">
        <v>0.0</v>
      </c>
      <c r="O153" s="160">
        <v>0.0</v>
      </c>
      <c r="P153" s="160">
        <v>0.0</v>
      </c>
      <c r="Q153" s="160">
        <v>0.0</v>
      </c>
      <c r="R153" s="160">
        <v>0.0</v>
      </c>
      <c r="S153" s="160">
        <v>0.0</v>
      </c>
      <c r="T153" s="160">
        <v>0.0</v>
      </c>
      <c r="U153" s="160">
        <v>0.0</v>
      </c>
      <c r="V153" s="160">
        <v>0.0</v>
      </c>
      <c r="W153" s="160">
        <v>0.0</v>
      </c>
      <c r="X153" s="160">
        <v>0.0</v>
      </c>
      <c r="Y153" s="160">
        <v>0.0</v>
      </c>
    </row>
    <row r="154">
      <c r="A154" s="157" t="s">
        <v>346</v>
      </c>
      <c r="B154" s="160">
        <v>0.0</v>
      </c>
      <c r="C154" s="160">
        <v>2215144.2</v>
      </c>
      <c r="D154" s="160">
        <v>830785.6</v>
      </c>
      <c r="E154" s="160">
        <v>1146298.0</v>
      </c>
      <c r="F154" s="160">
        <v>773295.2</v>
      </c>
      <c r="G154" s="160">
        <v>0.0</v>
      </c>
      <c r="H154" s="160">
        <v>0.0</v>
      </c>
      <c r="I154" s="160">
        <v>0.0</v>
      </c>
      <c r="J154" s="160">
        <v>0.0</v>
      </c>
      <c r="K154" s="160">
        <v>0.0</v>
      </c>
      <c r="L154" s="160">
        <v>0.0</v>
      </c>
      <c r="M154" s="160">
        <v>789101.4</v>
      </c>
      <c r="N154" s="160">
        <v>0.0</v>
      </c>
      <c r="O154" s="160">
        <v>0.0</v>
      </c>
      <c r="P154" s="160">
        <v>0.0</v>
      </c>
      <c r="Q154" s="160">
        <v>0.0</v>
      </c>
      <c r="R154" s="160">
        <v>0.0</v>
      </c>
      <c r="S154" s="160">
        <v>0.0</v>
      </c>
      <c r="T154" s="160">
        <v>0.0</v>
      </c>
      <c r="U154" s="160">
        <v>1839917.4</v>
      </c>
      <c r="V154" s="160">
        <v>0.0</v>
      </c>
      <c r="W154" s="160">
        <v>0.0</v>
      </c>
      <c r="X154" s="160">
        <v>0.0</v>
      </c>
      <c r="Y154" s="160">
        <v>7594541.8</v>
      </c>
    </row>
    <row r="155">
      <c r="A155" s="157" t="s">
        <v>597</v>
      </c>
      <c r="B155" s="160">
        <v>0.0</v>
      </c>
      <c r="C155" s="160">
        <v>0.0</v>
      </c>
      <c r="D155" s="160">
        <v>0.0</v>
      </c>
      <c r="E155" s="160">
        <v>0.0</v>
      </c>
      <c r="F155" s="160">
        <v>0.0</v>
      </c>
      <c r="G155" s="160">
        <v>0.0</v>
      </c>
      <c r="H155" s="160">
        <v>0.0</v>
      </c>
      <c r="I155" s="160">
        <v>0.0</v>
      </c>
      <c r="J155" s="160">
        <v>0.0</v>
      </c>
      <c r="K155" s="160">
        <v>0.0</v>
      </c>
      <c r="L155" s="160">
        <v>0.0</v>
      </c>
      <c r="M155" s="160">
        <v>0.0</v>
      </c>
      <c r="N155" s="160">
        <v>0.0</v>
      </c>
      <c r="O155" s="160">
        <v>0.0</v>
      </c>
      <c r="P155" s="160">
        <v>0.0</v>
      </c>
      <c r="Q155" s="160">
        <v>0.0</v>
      </c>
      <c r="R155" s="160">
        <v>0.0</v>
      </c>
      <c r="S155" s="160">
        <v>0.0</v>
      </c>
      <c r="T155" s="160">
        <v>0.0</v>
      </c>
      <c r="U155" s="160">
        <v>0.0</v>
      </c>
      <c r="V155" s="160">
        <v>0.0</v>
      </c>
      <c r="W155" s="160">
        <v>0.0</v>
      </c>
      <c r="X155" s="160">
        <v>0.0</v>
      </c>
      <c r="Y155" s="160">
        <v>0.0</v>
      </c>
    </row>
    <row r="156">
      <c r="A156" s="157" t="s">
        <v>598</v>
      </c>
      <c r="B156" s="160">
        <v>0.0</v>
      </c>
      <c r="C156" s="160">
        <v>0.0</v>
      </c>
      <c r="D156" s="160">
        <v>0.0</v>
      </c>
      <c r="E156" s="160">
        <v>0.0</v>
      </c>
      <c r="F156" s="160">
        <v>0.0</v>
      </c>
      <c r="G156" s="160">
        <v>0.0</v>
      </c>
      <c r="H156" s="160">
        <v>0.0</v>
      </c>
      <c r="I156" s="160">
        <v>0.0</v>
      </c>
      <c r="J156" s="160">
        <v>0.0</v>
      </c>
      <c r="K156" s="160">
        <v>0.0</v>
      </c>
      <c r="L156" s="160">
        <v>0.0</v>
      </c>
      <c r="M156" s="160">
        <v>0.0</v>
      </c>
      <c r="N156" s="160">
        <v>0.0</v>
      </c>
      <c r="O156" s="160">
        <v>0.0</v>
      </c>
      <c r="P156" s="160">
        <v>0.0</v>
      </c>
      <c r="Q156" s="160">
        <v>0.0</v>
      </c>
      <c r="R156" s="160">
        <v>0.0</v>
      </c>
      <c r="S156" s="160">
        <v>0.0</v>
      </c>
      <c r="T156" s="160">
        <v>0.0</v>
      </c>
      <c r="U156" s="160">
        <v>0.0</v>
      </c>
      <c r="V156" s="160">
        <v>0.0</v>
      </c>
      <c r="W156" s="160">
        <v>0.0</v>
      </c>
      <c r="X156" s="160">
        <v>0.0</v>
      </c>
      <c r="Y156" s="160">
        <v>0.0</v>
      </c>
    </row>
    <row r="157">
      <c r="A157" s="157" t="s">
        <v>599</v>
      </c>
      <c r="B157" s="160">
        <v>0.0</v>
      </c>
      <c r="C157" s="160">
        <v>0.0</v>
      </c>
      <c r="D157" s="160">
        <v>0.0</v>
      </c>
      <c r="E157" s="160">
        <v>0.0</v>
      </c>
      <c r="F157" s="160">
        <v>0.0</v>
      </c>
      <c r="G157" s="160">
        <v>0.0</v>
      </c>
      <c r="H157" s="160">
        <v>0.0</v>
      </c>
      <c r="I157" s="160">
        <v>0.0</v>
      </c>
      <c r="J157" s="160">
        <v>0.0</v>
      </c>
      <c r="K157" s="160">
        <v>0.0</v>
      </c>
      <c r="L157" s="160">
        <v>0.0</v>
      </c>
      <c r="M157" s="160">
        <v>0.0</v>
      </c>
      <c r="N157" s="160">
        <v>0.0</v>
      </c>
      <c r="O157" s="160">
        <v>0.0</v>
      </c>
      <c r="P157" s="160">
        <v>0.0</v>
      </c>
      <c r="Q157" s="160">
        <v>0.0</v>
      </c>
      <c r="R157" s="160">
        <v>0.0</v>
      </c>
      <c r="S157" s="160">
        <v>0.0</v>
      </c>
      <c r="T157" s="160">
        <v>0.0</v>
      </c>
      <c r="U157" s="160">
        <v>0.0</v>
      </c>
      <c r="V157" s="160">
        <v>0.0</v>
      </c>
      <c r="W157" s="160">
        <v>0.0</v>
      </c>
      <c r="X157" s="160">
        <v>0.0</v>
      </c>
      <c r="Y157" s="160">
        <v>0.0</v>
      </c>
    </row>
    <row r="158">
      <c r="A158" s="157" t="s">
        <v>600</v>
      </c>
      <c r="B158" s="160">
        <v>0.0</v>
      </c>
      <c r="C158" s="160">
        <v>0.0</v>
      </c>
      <c r="D158" s="160">
        <v>0.0</v>
      </c>
      <c r="E158" s="160">
        <v>0.0</v>
      </c>
      <c r="F158" s="160">
        <v>0.0</v>
      </c>
      <c r="G158" s="160">
        <v>0.0</v>
      </c>
      <c r="H158" s="160">
        <v>0.0</v>
      </c>
      <c r="I158" s="160">
        <v>0.0</v>
      </c>
      <c r="J158" s="160">
        <v>0.0</v>
      </c>
      <c r="K158" s="160">
        <v>0.0</v>
      </c>
      <c r="L158" s="160">
        <v>0.0</v>
      </c>
      <c r="M158" s="160">
        <v>0.0</v>
      </c>
      <c r="N158" s="160">
        <v>0.0</v>
      </c>
      <c r="O158" s="160">
        <v>0.0</v>
      </c>
      <c r="P158" s="160">
        <v>0.0</v>
      </c>
      <c r="Q158" s="160">
        <v>0.0</v>
      </c>
      <c r="R158" s="160">
        <v>0.0</v>
      </c>
      <c r="S158" s="160">
        <v>0.0</v>
      </c>
      <c r="T158" s="160">
        <v>0.0</v>
      </c>
      <c r="U158" s="160">
        <v>0.0</v>
      </c>
      <c r="V158" s="160">
        <v>0.0</v>
      </c>
      <c r="W158" s="160">
        <v>0.0</v>
      </c>
      <c r="X158" s="160">
        <v>0.0</v>
      </c>
      <c r="Y158" s="160">
        <v>0.0</v>
      </c>
    </row>
    <row r="159">
      <c r="A159" s="157" t="s">
        <v>601</v>
      </c>
      <c r="B159" s="160">
        <v>0.0</v>
      </c>
      <c r="C159" s="160">
        <v>0.0</v>
      </c>
      <c r="D159" s="160">
        <v>0.0</v>
      </c>
      <c r="E159" s="160">
        <v>0.0</v>
      </c>
      <c r="F159" s="160">
        <v>0.0</v>
      </c>
      <c r="G159" s="160">
        <v>0.0</v>
      </c>
      <c r="H159" s="160">
        <v>0.0</v>
      </c>
      <c r="I159" s="160">
        <v>0.0</v>
      </c>
      <c r="J159" s="160">
        <v>0.0</v>
      </c>
      <c r="K159" s="160">
        <v>0.0</v>
      </c>
      <c r="L159" s="160">
        <v>0.0</v>
      </c>
      <c r="M159" s="160">
        <v>0.0</v>
      </c>
      <c r="N159" s="160">
        <v>0.0</v>
      </c>
      <c r="O159" s="160">
        <v>0.0</v>
      </c>
      <c r="P159" s="160">
        <v>0.0</v>
      </c>
      <c r="Q159" s="160">
        <v>0.0</v>
      </c>
      <c r="R159" s="160">
        <v>0.0</v>
      </c>
      <c r="S159" s="160">
        <v>0.0</v>
      </c>
      <c r="T159" s="160">
        <v>0.0</v>
      </c>
      <c r="U159" s="160">
        <v>0.0</v>
      </c>
      <c r="V159" s="160">
        <v>0.0</v>
      </c>
      <c r="W159" s="160">
        <v>0.0</v>
      </c>
      <c r="X159" s="160">
        <v>0.0</v>
      </c>
      <c r="Y159" s="160">
        <v>0.0</v>
      </c>
    </row>
    <row r="160">
      <c r="A160" s="157" t="s">
        <v>213</v>
      </c>
      <c r="B160" s="160">
        <v>55261.35</v>
      </c>
      <c r="C160" s="160">
        <v>717643.8</v>
      </c>
      <c r="D160" s="160">
        <v>456060.8</v>
      </c>
      <c r="E160" s="160">
        <v>176616.8</v>
      </c>
      <c r="F160" s="160">
        <v>799649.0</v>
      </c>
      <c r="G160" s="160">
        <v>495555.0</v>
      </c>
      <c r="H160" s="160">
        <v>725665.2</v>
      </c>
      <c r="I160" s="160">
        <v>6384.0</v>
      </c>
      <c r="J160" s="160">
        <v>2077439.06</v>
      </c>
      <c r="K160" s="160">
        <v>0.0</v>
      </c>
      <c r="L160" s="160">
        <v>3816561.57</v>
      </c>
      <c r="M160" s="160">
        <v>260382.2</v>
      </c>
      <c r="N160" s="160">
        <v>751151.75</v>
      </c>
      <c r="O160" s="160">
        <v>2420873.43</v>
      </c>
      <c r="P160" s="160">
        <v>2473614.88</v>
      </c>
      <c r="Q160" s="160">
        <v>0.0</v>
      </c>
      <c r="R160" s="160">
        <v>914072.75</v>
      </c>
      <c r="S160" s="160">
        <v>100429.0</v>
      </c>
      <c r="T160" s="160">
        <v>0.0</v>
      </c>
      <c r="U160" s="160">
        <v>875765.5</v>
      </c>
      <c r="V160" s="160">
        <v>0.0</v>
      </c>
      <c r="W160" s="160">
        <v>275565.08</v>
      </c>
      <c r="X160" s="160">
        <v>0.0</v>
      </c>
      <c r="Y160" s="160">
        <v>1.739869119E7</v>
      </c>
    </row>
    <row r="161">
      <c r="A161" s="157" t="s">
        <v>227</v>
      </c>
      <c r="B161" s="160">
        <v>379970.23</v>
      </c>
      <c r="C161" s="160">
        <v>1115519.05</v>
      </c>
      <c r="D161" s="160">
        <v>660859.9</v>
      </c>
      <c r="E161" s="160">
        <v>489386.9</v>
      </c>
      <c r="F161" s="160">
        <v>86221.8</v>
      </c>
      <c r="G161" s="160">
        <v>0.0</v>
      </c>
      <c r="H161" s="160">
        <v>86735.3</v>
      </c>
      <c r="I161" s="160">
        <v>31005.5</v>
      </c>
      <c r="J161" s="160">
        <v>248314.48</v>
      </c>
      <c r="K161" s="160">
        <v>0.0</v>
      </c>
      <c r="L161" s="160">
        <v>580774.05</v>
      </c>
      <c r="M161" s="160">
        <v>586079.2</v>
      </c>
      <c r="N161" s="160">
        <v>1379269.55</v>
      </c>
      <c r="O161" s="160">
        <v>144824.63</v>
      </c>
      <c r="P161" s="160">
        <v>912582.12</v>
      </c>
      <c r="Q161" s="160">
        <v>0.0</v>
      </c>
      <c r="R161" s="160">
        <v>0.0</v>
      </c>
      <c r="S161" s="160">
        <v>742690.15</v>
      </c>
      <c r="T161" s="160">
        <v>0.0</v>
      </c>
      <c r="U161" s="160">
        <v>2411238.28</v>
      </c>
      <c r="V161" s="160">
        <v>0.0</v>
      </c>
      <c r="W161" s="160">
        <v>0.0</v>
      </c>
      <c r="X161" s="160">
        <v>0.0</v>
      </c>
      <c r="Y161" s="160">
        <v>9855471.13</v>
      </c>
    </row>
    <row r="162">
      <c r="A162" s="157" t="s">
        <v>602</v>
      </c>
      <c r="B162" s="160">
        <v>0.0</v>
      </c>
      <c r="C162" s="160">
        <v>0.0</v>
      </c>
      <c r="D162" s="160">
        <v>0.0</v>
      </c>
      <c r="E162" s="160">
        <v>0.0</v>
      </c>
      <c r="F162" s="160">
        <v>0.0</v>
      </c>
      <c r="G162" s="160">
        <v>0.0</v>
      </c>
      <c r="H162" s="160">
        <v>0.0</v>
      </c>
      <c r="I162" s="160">
        <v>0.0</v>
      </c>
      <c r="J162" s="160">
        <v>0.0</v>
      </c>
      <c r="K162" s="160">
        <v>0.0</v>
      </c>
      <c r="L162" s="160">
        <v>0.0</v>
      </c>
      <c r="M162" s="160">
        <v>0.0</v>
      </c>
      <c r="N162" s="160">
        <v>0.0</v>
      </c>
      <c r="O162" s="160">
        <v>0.0</v>
      </c>
      <c r="P162" s="160">
        <v>0.0</v>
      </c>
      <c r="Q162" s="160">
        <v>0.0</v>
      </c>
      <c r="R162" s="160">
        <v>0.0</v>
      </c>
      <c r="S162" s="160">
        <v>0.0</v>
      </c>
      <c r="T162" s="160">
        <v>0.0</v>
      </c>
      <c r="U162" s="160">
        <v>0.0</v>
      </c>
      <c r="V162" s="160">
        <v>0.0</v>
      </c>
      <c r="W162" s="160">
        <v>0.0</v>
      </c>
      <c r="X162" s="160">
        <v>0.0</v>
      </c>
      <c r="Y162" s="160">
        <v>0.0</v>
      </c>
    </row>
    <row r="163">
      <c r="A163" s="157" t="s">
        <v>603</v>
      </c>
      <c r="B163" s="160">
        <v>0.0</v>
      </c>
      <c r="C163" s="160">
        <v>0.0</v>
      </c>
      <c r="D163" s="160">
        <v>0.0</v>
      </c>
      <c r="E163" s="160">
        <v>0.0</v>
      </c>
      <c r="F163" s="160">
        <v>0.0</v>
      </c>
      <c r="G163" s="160">
        <v>0.0</v>
      </c>
      <c r="H163" s="160">
        <v>0.0</v>
      </c>
      <c r="I163" s="160">
        <v>0.0</v>
      </c>
      <c r="J163" s="160">
        <v>0.0</v>
      </c>
      <c r="K163" s="160">
        <v>0.0</v>
      </c>
      <c r="L163" s="160">
        <v>0.0</v>
      </c>
      <c r="M163" s="160">
        <v>0.0</v>
      </c>
      <c r="N163" s="160">
        <v>0.0</v>
      </c>
      <c r="O163" s="160">
        <v>0.0</v>
      </c>
      <c r="P163" s="160">
        <v>0.0</v>
      </c>
      <c r="Q163" s="160">
        <v>0.0</v>
      </c>
      <c r="R163" s="160">
        <v>0.0</v>
      </c>
      <c r="S163" s="160">
        <v>0.0</v>
      </c>
      <c r="T163" s="160">
        <v>0.0</v>
      </c>
      <c r="U163" s="160">
        <v>0.0</v>
      </c>
      <c r="V163" s="160">
        <v>0.0</v>
      </c>
      <c r="W163" s="160">
        <v>0.0</v>
      </c>
      <c r="X163" s="160">
        <v>0.0</v>
      </c>
      <c r="Y163" s="160">
        <v>0.0</v>
      </c>
    </row>
    <row r="164">
      <c r="A164" s="157" t="s">
        <v>604</v>
      </c>
      <c r="B164" s="160">
        <v>84420.17</v>
      </c>
      <c r="C164" s="160">
        <v>1108686.0</v>
      </c>
      <c r="D164" s="160">
        <v>494643.6</v>
      </c>
      <c r="E164" s="160">
        <v>121224.0</v>
      </c>
      <c r="F164" s="160">
        <v>64627.0</v>
      </c>
      <c r="G164" s="160">
        <v>0.0</v>
      </c>
      <c r="H164" s="160">
        <v>271512.0</v>
      </c>
      <c r="I164" s="160">
        <v>0.0</v>
      </c>
      <c r="J164" s="160">
        <v>4888508.33</v>
      </c>
      <c r="K164" s="160">
        <v>0.0</v>
      </c>
      <c r="L164" s="160">
        <v>1299193.88</v>
      </c>
      <c r="M164" s="160">
        <v>1134318.0</v>
      </c>
      <c r="N164" s="160">
        <v>0.0</v>
      </c>
      <c r="O164" s="160">
        <v>2768797.97</v>
      </c>
      <c r="P164" s="160">
        <v>608781.85</v>
      </c>
      <c r="Q164" s="160">
        <v>0.0</v>
      </c>
      <c r="R164" s="160">
        <v>0.0</v>
      </c>
      <c r="S164" s="160">
        <v>1051231.0</v>
      </c>
      <c r="T164" s="160">
        <v>0.0</v>
      </c>
      <c r="U164" s="160">
        <v>265716.0</v>
      </c>
      <c r="V164" s="160">
        <v>30870.0</v>
      </c>
      <c r="W164" s="160">
        <v>0.0</v>
      </c>
      <c r="X164" s="160">
        <v>0.0</v>
      </c>
      <c r="Y164" s="160">
        <v>1.41925298E7</v>
      </c>
    </row>
    <row r="165">
      <c r="A165" s="157" t="s">
        <v>141</v>
      </c>
      <c r="B165" s="160">
        <v>135590.3</v>
      </c>
      <c r="C165" s="160">
        <v>1180685.56</v>
      </c>
      <c r="D165" s="160">
        <v>1206934.0</v>
      </c>
      <c r="E165" s="160">
        <v>1569339.2</v>
      </c>
      <c r="F165" s="160">
        <v>8601.6</v>
      </c>
      <c r="G165" s="160">
        <v>3091.2</v>
      </c>
      <c r="H165" s="160">
        <v>918507.8</v>
      </c>
      <c r="I165" s="160">
        <v>29694.8</v>
      </c>
      <c r="J165" s="160">
        <v>9488403.16</v>
      </c>
      <c r="K165" s="160">
        <v>0.0</v>
      </c>
      <c r="L165" s="160">
        <v>4694483.84</v>
      </c>
      <c r="M165" s="160">
        <v>508882.8</v>
      </c>
      <c r="N165" s="160">
        <v>444533.95</v>
      </c>
      <c r="O165" s="160">
        <v>2522465.66</v>
      </c>
      <c r="P165" s="160">
        <v>0.0</v>
      </c>
      <c r="Q165" s="160">
        <v>0.0</v>
      </c>
      <c r="R165" s="160">
        <v>3507815.0</v>
      </c>
      <c r="S165" s="160">
        <v>0.0</v>
      </c>
      <c r="T165" s="160">
        <v>0.0</v>
      </c>
      <c r="U165" s="160">
        <v>1978424.24</v>
      </c>
      <c r="V165" s="160">
        <v>0.0</v>
      </c>
      <c r="W165" s="160">
        <v>0.0</v>
      </c>
      <c r="X165" s="160">
        <v>0.0</v>
      </c>
      <c r="Y165" s="160">
        <v>2.81974531E7</v>
      </c>
    </row>
    <row r="166">
      <c r="A166" s="157" t="s">
        <v>605</v>
      </c>
      <c r="B166" s="160">
        <v>0.0</v>
      </c>
      <c r="C166" s="160">
        <v>0.0</v>
      </c>
      <c r="D166" s="160">
        <v>0.0</v>
      </c>
      <c r="E166" s="160">
        <v>0.0</v>
      </c>
      <c r="F166" s="160">
        <v>0.0</v>
      </c>
      <c r="G166" s="160">
        <v>0.0</v>
      </c>
      <c r="H166" s="160">
        <v>0.0</v>
      </c>
      <c r="I166" s="160">
        <v>0.0</v>
      </c>
      <c r="J166" s="160">
        <v>0.0</v>
      </c>
      <c r="K166" s="160">
        <v>0.0</v>
      </c>
      <c r="L166" s="160">
        <v>0.0</v>
      </c>
      <c r="M166" s="160">
        <v>0.0</v>
      </c>
      <c r="N166" s="160">
        <v>0.0</v>
      </c>
      <c r="O166" s="160">
        <v>0.0</v>
      </c>
      <c r="P166" s="160">
        <v>0.0</v>
      </c>
      <c r="Q166" s="160">
        <v>0.0</v>
      </c>
      <c r="R166" s="160">
        <v>0.0</v>
      </c>
      <c r="S166" s="160">
        <v>0.0</v>
      </c>
      <c r="T166" s="160">
        <v>0.0</v>
      </c>
      <c r="U166" s="160">
        <v>0.0</v>
      </c>
      <c r="V166" s="160">
        <v>0.0</v>
      </c>
      <c r="W166" s="160">
        <v>0.0</v>
      </c>
      <c r="X166" s="160">
        <v>0.0</v>
      </c>
      <c r="Y166" s="160">
        <v>0.0</v>
      </c>
    </row>
    <row r="167">
      <c r="A167" s="157" t="s">
        <v>606</v>
      </c>
      <c r="B167" s="160">
        <v>0.0</v>
      </c>
      <c r="C167" s="160">
        <v>0.0</v>
      </c>
      <c r="D167" s="160">
        <v>0.0</v>
      </c>
      <c r="E167" s="160">
        <v>0.0</v>
      </c>
      <c r="F167" s="160">
        <v>0.0</v>
      </c>
      <c r="G167" s="160">
        <v>0.0</v>
      </c>
      <c r="H167" s="160">
        <v>0.0</v>
      </c>
      <c r="I167" s="160">
        <v>0.0</v>
      </c>
      <c r="J167" s="160">
        <v>0.0</v>
      </c>
      <c r="K167" s="160">
        <v>0.0</v>
      </c>
      <c r="L167" s="160">
        <v>0.0</v>
      </c>
      <c r="M167" s="160">
        <v>0.0</v>
      </c>
      <c r="N167" s="160">
        <v>0.0</v>
      </c>
      <c r="O167" s="160">
        <v>0.0</v>
      </c>
      <c r="P167" s="160">
        <v>0.0</v>
      </c>
      <c r="Q167" s="160">
        <v>0.0</v>
      </c>
      <c r="R167" s="160">
        <v>0.0</v>
      </c>
      <c r="S167" s="160">
        <v>0.0</v>
      </c>
      <c r="T167" s="160">
        <v>0.0</v>
      </c>
      <c r="U167" s="160">
        <v>0.0</v>
      </c>
      <c r="V167" s="160">
        <v>0.0</v>
      </c>
      <c r="W167" s="160">
        <v>0.0</v>
      </c>
      <c r="X167" s="160">
        <v>0.0</v>
      </c>
      <c r="Y167" s="160">
        <v>0.0</v>
      </c>
    </row>
    <row r="168">
      <c r="A168" s="157" t="s">
        <v>607</v>
      </c>
      <c r="B168" s="160">
        <v>0.0</v>
      </c>
      <c r="C168" s="160">
        <v>0.0</v>
      </c>
      <c r="D168" s="160">
        <v>0.0</v>
      </c>
      <c r="E168" s="160">
        <v>0.0</v>
      </c>
      <c r="F168" s="160">
        <v>0.0</v>
      </c>
      <c r="G168" s="160">
        <v>0.0</v>
      </c>
      <c r="H168" s="160">
        <v>0.0</v>
      </c>
      <c r="I168" s="160">
        <v>0.0</v>
      </c>
      <c r="J168" s="160">
        <v>0.0</v>
      </c>
      <c r="K168" s="160">
        <v>0.0</v>
      </c>
      <c r="L168" s="160">
        <v>0.0</v>
      </c>
      <c r="M168" s="160">
        <v>0.0</v>
      </c>
      <c r="N168" s="160">
        <v>0.0</v>
      </c>
      <c r="O168" s="160">
        <v>0.0</v>
      </c>
      <c r="P168" s="160">
        <v>0.0</v>
      </c>
      <c r="Q168" s="160">
        <v>0.0</v>
      </c>
      <c r="R168" s="160">
        <v>0.0</v>
      </c>
      <c r="S168" s="160">
        <v>0.0</v>
      </c>
      <c r="T168" s="160">
        <v>0.0</v>
      </c>
      <c r="U168" s="160">
        <v>0.0</v>
      </c>
      <c r="V168" s="160">
        <v>0.0</v>
      </c>
      <c r="W168" s="160">
        <v>0.0</v>
      </c>
      <c r="X168" s="160">
        <v>0.0</v>
      </c>
      <c r="Y168" s="160">
        <v>0.0</v>
      </c>
    </row>
    <row r="169">
      <c r="A169" s="157" t="s">
        <v>608</v>
      </c>
      <c r="B169" s="160">
        <v>0.0</v>
      </c>
      <c r="C169" s="160">
        <v>0.0</v>
      </c>
      <c r="D169" s="160">
        <v>0.0</v>
      </c>
      <c r="E169" s="160">
        <v>0.0</v>
      </c>
      <c r="F169" s="160">
        <v>0.0</v>
      </c>
      <c r="G169" s="160">
        <v>0.0</v>
      </c>
      <c r="H169" s="160">
        <v>0.0</v>
      </c>
      <c r="I169" s="160">
        <v>0.0</v>
      </c>
      <c r="J169" s="160">
        <v>0.0</v>
      </c>
      <c r="K169" s="160">
        <v>0.0</v>
      </c>
      <c r="L169" s="160">
        <v>0.0</v>
      </c>
      <c r="M169" s="160">
        <v>0.0</v>
      </c>
      <c r="N169" s="160">
        <v>0.0</v>
      </c>
      <c r="O169" s="160">
        <v>0.0</v>
      </c>
      <c r="P169" s="160">
        <v>0.0</v>
      </c>
      <c r="Q169" s="160">
        <v>0.0</v>
      </c>
      <c r="R169" s="160">
        <v>0.0</v>
      </c>
      <c r="S169" s="160">
        <v>0.0</v>
      </c>
      <c r="T169" s="160">
        <v>0.0</v>
      </c>
      <c r="U169" s="160">
        <v>0.0</v>
      </c>
      <c r="V169" s="160">
        <v>0.0</v>
      </c>
      <c r="W169" s="160">
        <v>0.0</v>
      </c>
      <c r="X169" s="160">
        <v>0.0</v>
      </c>
      <c r="Y169" s="160">
        <v>0.0</v>
      </c>
    </row>
    <row r="170">
      <c r="A170" s="157" t="s">
        <v>609</v>
      </c>
      <c r="B170" s="160">
        <v>0.0</v>
      </c>
      <c r="C170" s="160">
        <v>0.0</v>
      </c>
      <c r="D170" s="160">
        <v>0.0</v>
      </c>
      <c r="E170" s="160">
        <v>0.0</v>
      </c>
      <c r="F170" s="160">
        <v>0.0</v>
      </c>
      <c r="G170" s="160">
        <v>0.0</v>
      </c>
      <c r="H170" s="160">
        <v>0.0</v>
      </c>
      <c r="I170" s="160">
        <v>0.0</v>
      </c>
      <c r="J170" s="160">
        <v>0.0</v>
      </c>
      <c r="K170" s="160">
        <v>0.0</v>
      </c>
      <c r="L170" s="160">
        <v>0.0</v>
      </c>
      <c r="M170" s="160">
        <v>0.0</v>
      </c>
      <c r="N170" s="160">
        <v>0.0</v>
      </c>
      <c r="O170" s="160">
        <v>0.0</v>
      </c>
      <c r="P170" s="160">
        <v>0.0</v>
      </c>
      <c r="Q170" s="160">
        <v>0.0</v>
      </c>
      <c r="R170" s="160">
        <v>0.0</v>
      </c>
      <c r="S170" s="160">
        <v>0.0</v>
      </c>
      <c r="T170" s="160">
        <v>0.0</v>
      </c>
      <c r="U170" s="160">
        <v>0.0</v>
      </c>
      <c r="V170" s="160">
        <v>0.0</v>
      </c>
      <c r="W170" s="160">
        <v>0.0</v>
      </c>
      <c r="X170" s="160">
        <v>0.0</v>
      </c>
      <c r="Y170" s="160">
        <v>0.0</v>
      </c>
    </row>
    <row r="171">
      <c r="A171" s="157" t="s">
        <v>610</v>
      </c>
      <c r="B171" s="160">
        <v>0.0</v>
      </c>
      <c r="C171" s="160">
        <v>0.0</v>
      </c>
      <c r="D171" s="160">
        <v>0.0</v>
      </c>
      <c r="E171" s="160">
        <v>0.0</v>
      </c>
      <c r="F171" s="160">
        <v>0.0</v>
      </c>
      <c r="G171" s="160">
        <v>0.0</v>
      </c>
      <c r="H171" s="160">
        <v>0.0</v>
      </c>
      <c r="I171" s="160">
        <v>0.0</v>
      </c>
      <c r="J171" s="160">
        <v>0.0</v>
      </c>
      <c r="K171" s="160">
        <v>0.0</v>
      </c>
      <c r="L171" s="160">
        <v>0.0</v>
      </c>
      <c r="M171" s="160">
        <v>0.0</v>
      </c>
      <c r="N171" s="160">
        <v>0.0</v>
      </c>
      <c r="O171" s="160">
        <v>0.0</v>
      </c>
      <c r="P171" s="160">
        <v>0.0</v>
      </c>
      <c r="Q171" s="160">
        <v>0.0</v>
      </c>
      <c r="R171" s="160">
        <v>0.0</v>
      </c>
      <c r="S171" s="160">
        <v>0.0</v>
      </c>
      <c r="T171" s="160">
        <v>0.0</v>
      </c>
      <c r="U171" s="160">
        <v>0.0</v>
      </c>
      <c r="V171" s="160">
        <v>0.0</v>
      </c>
      <c r="W171" s="160">
        <v>0.0</v>
      </c>
      <c r="X171" s="160">
        <v>0.0</v>
      </c>
      <c r="Y171" s="160">
        <v>0.0</v>
      </c>
    </row>
    <row r="172">
      <c r="A172" s="157" t="s">
        <v>611</v>
      </c>
      <c r="B172" s="160">
        <v>0.0</v>
      </c>
      <c r="C172" s="160">
        <v>0.0</v>
      </c>
      <c r="D172" s="160">
        <v>0.0</v>
      </c>
      <c r="E172" s="160">
        <v>0.0</v>
      </c>
      <c r="F172" s="160">
        <v>0.0</v>
      </c>
      <c r="G172" s="160">
        <v>0.0</v>
      </c>
      <c r="H172" s="160">
        <v>0.0</v>
      </c>
      <c r="I172" s="160">
        <v>0.0</v>
      </c>
      <c r="J172" s="160">
        <v>0.0</v>
      </c>
      <c r="K172" s="160">
        <v>0.0</v>
      </c>
      <c r="L172" s="160">
        <v>0.0</v>
      </c>
      <c r="M172" s="160">
        <v>0.0</v>
      </c>
      <c r="N172" s="160">
        <v>0.0</v>
      </c>
      <c r="O172" s="160">
        <v>0.0</v>
      </c>
      <c r="P172" s="160">
        <v>0.0</v>
      </c>
      <c r="Q172" s="160">
        <v>0.0</v>
      </c>
      <c r="R172" s="160">
        <v>0.0</v>
      </c>
      <c r="S172" s="160">
        <v>0.0</v>
      </c>
      <c r="T172" s="160">
        <v>0.0</v>
      </c>
      <c r="U172" s="160">
        <v>0.0</v>
      </c>
      <c r="V172" s="160">
        <v>0.0</v>
      </c>
      <c r="W172" s="160">
        <v>0.0</v>
      </c>
      <c r="X172" s="160">
        <v>0.0</v>
      </c>
      <c r="Y172" s="160">
        <v>0.0</v>
      </c>
    </row>
    <row r="173">
      <c r="A173" s="157" t="s">
        <v>218</v>
      </c>
      <c r="B173" s="160">
        <v>21697.29</v>
      </c>
      <c r="C173" s="160">
        <v>1956333.84</v>
      </c>
      <c r="D173" s="160">
        <v>2979138.89</v>
      </c>
      <c r="E173" s="160">
        <v>839043.64</v>
      </c>
      <c r="F173" s="160">
        <v>1587064.18</v>
      </c>
      <c r="G173" s="160">
        <v>0.0</v>
      </c>
      <c r="H173" s="160">
        <v>1691071.09</v>
      </c>
      <c r="I173" s="160">
        <v>80494.93</v>
      </c>
      <c r="J173" s="160">
        <v>2793952.43</v>
      </c>
      <c r="K173" s="160">
        <v>0.0</v>
      </c>
      <c r="L173" s="160">
        <v>1.83872994E7</v>
      </c>
      <c r="M173" s="160">
        <v>1258867.97</v>
      </c>
      <c r="N173" s="160">
        <v>789995.41</v>
      </c>
      <c r="O173" s="160">
        <v>681020.22</v>
      </c>
      <c r="P173" s="160">
        <v>166325.18</v>
      </c>
      <c r="Q173" s="160">
        <v>0.0</v>
      </c>
      <c r="R173" s="160">
        <v>298443.75</v>
      </c>
      <c r="S173" s="160">
        <v>0.0</v>
      </c>
      <c r="T173" s="160">
        <v>0.0</v>
      </c>
      <c r="U173" s="160">
        <v>1231466.48</v>
      </c>
      <c r="V173" s="160">
        <v>0.0</v>
      </c>
      <c r="W173" s="160">
        <v>0.0</v>
      </c>
      <c r="X173" s="160">
        <v>0.0</v>
      </c>
      <c r="Y173" s="160">
        <v>3.476221469E7</v>
      </c>
    </row>
    <row r="174">
      <c r="A174" s="157" t="s">
        <v>612</v>
      </c>
      <c r="B174" s="160">
        <v>0.0</v>
      </c>
      <c r="C174" s="160">
        <v>0.0</v>
      </c>
      <c r="D174" s="160">
        <v>0.0</v>
      </c>
      <c r="E174" s="160">
        <v>0.0</v>
      </c>
      <c r="F174" s="160">
        <v>0.0</v>
      </c>
      <c r="G174" s="160">
        <v>0.0</v>
      </c>
      <c r="H174" s="160">
        <v>0.0</v>
      </c>
      <c r="I174" s="160">
        <v>0.0</v>
      </c>
      <c r="J174" s="160">
        <v>0.0</v>
      </c>
      <c r="K174" s="160">
        <v>0.0</v>
      </c>
      <c r="L174" s="160">
        <v>0.0</v>
      </c>
      <c r="M174" s="160">
        <v>0.0</v>
      </c>
      <c r="N174" s="160">
        <v>0.0</v>
      </c>
      <c r="O174" s="160">
        <v>0.0</v>
      </c>
      <c r="P174" s="160">
        <v>0.0</v>
      </c>
      <c r="Q174" s="160">
        <v>0.0</v>
      </c>
      <c r="R174" s="160">
        <v>0.0</v>
      </c>
      <c r="S174" s="160">
        <v>0.0</v>
      </c>
      <c r="T174" s="160">
        <v>0.0</v>
      </c>
      <c r="U174" s="160">
        <v>0.0</v>
      </c>
      <c r="V174" s="160">
        <v>0.0</v>
      </c>
      <c r="W174" s="160">
        <v>0.0</v>
      </c>
      <c r="X174" s="160">
        <v>0.0</v>
      </c>
      <c r="Y174" s="160">
        <v>0.0</v>
      </c>
    </row>
    <row r="175">
      <c r="A175" s="157" t="s">
        <v>298</v>
      </c>
      <c r="B175" s="160">
        <v>0.0</v>
      </c>
      <c r="C175" s="160">
        <v>0.0</v>
      </c>
      <c r="D175" s="160">
        <v>0.0</v>
      </c>
      <c r="E175" s="160">
        <v>0.0</v>
      </c>
      <c r="F175" s="160">
        <v>0.0</v>
      </c>
      <c r="G175" s="160">
        <v>0.0</v>
      </c>
      <c r="H175" s="160">
        <v>0.0</v>
      </c>
      <c r="I175" s="160">
        <v>0.0</v>
      </c>
      <c r="J175" s="160">
        <v>0.0</v>
      </c>
      <c r="K175" s="160">
        <v>0.0</v>
      </c>
      <c r="L175" s="160">
        <v>0.0</v>
      </c>
      <c r="M175" s="160">
        <v>0.0</v>
      </c>
      <c r="N175" s="160">
        <v>0.0</v>
      </c>
      <c r="O175" s="160">
        <v>0.0</v>
      </c>
      <c r="P175" s="160">
        <v>0.0</v>
      </c>
      <c r="Q175" s="160">
        <v>0.0</v>
      </c>
      <c r="R175" s="160">
        <v>0.0</v>
      </c>
      <c r="S175" s="160">
        <v>0.0</v>
      </c>
      <c r="T175" s="160">
        <v>0.0</v>
      </c>
      <c r="U175" s="160">
        <v>0.0</v>
      </c>
      <c r="V175" s="160">
        <v>0.0</v>
      </c>
      <c r="W175" s="160">
        <v>0.0</v>
      </c>
      <c r="X175" s="160">
        <v>0.0</v>
      </c>
      <c r="Y175" s="160">
        <v>0.0</v>
      </c>
    </row>
    <row r="176">
      <c r="A176" s="157" t="s">
        <v>613</v>
      </c>
      <c r="B176" s="160">
        <v>0.0</v>
      </c>
      <c r="C176" s="160">
        <v>0.0</v>
      </c>
      <c r="D176" s="160">
        <v>0.0</v>
      </c>
      <c r="E176" s="160">
        <v>0.0</v>
      </c>
      <c r="F176" s="160">
        <v>0.0</v>
      </c>
      <c r="G176" s="160">
        <v>0.0</v>
      </c>
      <c r="H176" s="160">
        <v>0.0</v>
      </c>
      <c r="I176" s="160">
        <v>0.0</v>
      </c>
      <c r="J176" s="160">
        <v>0.0</v>
      </c>
      <c r="K176" s="160">
        <v>0.0</v>
      </c>
      <c r="L176" s="160">
        <v>0.0</v>
      </c>
      <c r="M176" s="160">
        <v>0.0</v>
      </c>
      <c r="N176" s="160">
        <v>0.0</v>
      </c>
      <c r="O176" s="160">
        <v>0.0</v>
      </c>
      <c r="P176" s="160">
        <v>0.0</v>
      </c>
      <c r="Q176" s="160">
        <v>0.0</v>
      </c>
      <c r="R176" s="160">
        <v>0.0</v>
      </c>
      <c r="S176" s="160">
        <v>0.0</v>
      </c>
      <c r="T176" s="160">
        <v>0.0</v>
      </c>
      <c r="U176" s="160">
        <v>0.0</v>
      </c>
      <c r="V176" s="160">
        <v>0.0</v>
      </c>
      <c r="W176" s="160">
        <v>0.0</v>
      </c>
      <c r="X176" s="160">
        <v>0.0</v>
      </c>
      <c r="Y176" s="160">
        <v>0.0</v>
      </c>
    </row>
    <row r="177">
      <c r="A177" s="157" t="s">
        <v>614</v>
      </c>
      <c r="B177" s="160">
        <v>0.0</v>
      </c>
      <c r="C177" s="160">
        <v>0.0</v>
      </c>
      <c r="D177" s="160">
        <v>0.0</v>
      </c>
      <c r="E177" s="160">
        <v>0.0</v>
      </c>
      <c r="F177" s="160">
        <v>0.0</v>
      </c>
      <c r="G177" s="160">
        <v>0.0</v>
      </c>
      <c r="H177" s="160">
        <v>0.0</v>
      </c>
      <c r="I177" s="160">
        <v>0.0</v>
      </c>
      <c r="J177" s="160">
        <v>0.0</v>
      </c>
      <c r="K177" s="160">
        <v>0.0</v>
      </c>
      <c r="L177" s="160">
        <v>0.0</v>
      </c>
      <c r="M177" s="160">
        <v>0.0</v>
      </c>
      <c r="N177" s="160">
        <v>0.0</v>
      </c>
      <c r="O177" s="160">
        <v>0.0</v>
      </c>
      <c r="P177" s="160">
        <v>0.0</v>
      </c>
      <c r="Q177" s="160">
        <v>0.0</v>
      </c>
      <c r="R177" s="160">
        <v>0.0</v>
      </c>
      <c r="S177" s="160">
        <v>0.0</v>
      </c>
      <c r="T177" s="160">
        <v>0.0</v>
      </c>
      <c r="U177" s="160">
        <v>0.0</v>
      </c>
      <c r="V177" s="160">
        <v>0.0</v>
      </c>
      <c r="W177" s="160">
        <v>0.0</v>
      </c>
      <c r="X177" s="160">
        <v>0.0</v>
      </c>
      <c r="Y177" s="160">
        <v>0.0</v>
      </c>
    </row>
    <row r="178">
      <c r="A178" s="157" t="s">
        <v>216</v>
      </c>
      <c r="B178" s="160">
        <v>173892.42</v>
      </c>
      <c r="C178" s="160">
        <v>2420907.12</v>
      </c>
      <c r="D178" s="160">
        <v>838250.0</v>
      </c>
      <c r="E178" s="160">
        <v>3550968.71</v>
      </c>
      <c r="F178" s="160">
        <v>377757.0</v>
      </c>
      <c r="G178" s="160">
        <v>3316409.05</v>
      </c>
      <c r="H178" s="160">
        <v>1506243.6</v>
      </c>
      <c r="I178" s="160">
        <v>2214.0</v>
      </c>
      <c r="J178" s="160">
        <v>8143549.96</v>
      </c>
      <c r="K178" s="160">
        <v>0.0</v>
      </c>
      <c r="L178" s="160">
        <v>3552399.45</v>
      </c>
      <c r="M178" s="160">
        <v>375062.1</v>
      </c>
      <c r="N178" s="160">
        <v>3106215.65</v>
      </c>
      <c r="O178" s="160">
        <v>1.140216023E7</v>
      </c>
      <c r="P178" s="160">
        <v>1.059474778E7</v>
      </c>
      <c r="Q178" s="160">
        <v>0.0</v>
      </c>
      <c r="R178" s="160">
        <v>2957115.0</v>
      </c>
      <c r="S178" s="160">
        <v>294011.5</v>
      </c>
      <c r="T178" s="160">
        <v>0.0</v>
      </c>
      <c r="U178" s="160">
        <v>0.0</v>
      </c>
      <c r="V178" s="160">
        <v>0.0</v>
      </c>
      <c r="W178" s="160">
        <v>0.0</v>
      </c>
      <c r="X178" s="160">
        <v>0.0</v>
      </c>
      <c r="Y178" s="160">
        <v>5.261190358E7</v>
      </c>
    </row>
    <row r="179">
      <c r="A179" s="157" t="s">
        <v>615</v>
      </c>
      <c r="B179" s="160">
        <v>0.0</v>
      </c>
      <c r="C179" s="160">
        <v>0.0</v>
      </c>
      <c r="D179" s="160">
        <v>0.0</v>
      </c>
      <c r="E179" s="160">
        <v>0.0</v>
      </c>
      <c r="F179" s="160">
        <v>0.0</v>
      </c>
      <c r="G179" s="160">
        <v>0.0</v>
      </c>
      <c r="H179" s="160">
        <v>0.0</v>
      </c>
      <c r="I179" s="160">
        <v>0.0</v>
      </c>
      <c r="J179" s="160">
        <v>0.0</v>
      </c>
      <c r="K179" s="160">
        <v>0.0</v>
      </c>
      <c r="L179" s="160">
        <v>0.0</v>
      </c>
      <c r="M179" s="160">
        <v>0.0</v>
      </c>
      <c r="N179" s="160">
        <v>0.0</v>
      </c>
      <c r="O179" s="160">
        <v>0.0</v>
      </c>
      <c r="P179" s="160">
        <v>0.0</v>
      </c>
      <c r="Q179" s="160">
        <v>0.0</v>
      </c>
      <c r="R179" s="160">
        <v>0.0</v>
      </c>
      <c r="S179" s="160">
        <v>0.0</v>
      </c>
      <c r="T179" s="160">
        <v>0.0</v>
      </c>
      <c r="U179" s="160">
        <v>0.0</v>
      </c>
      <c r="V179" s="160">
        <v>0.0</v>
      </c>
      <c r="W179" s="160">
        <v>0.0</v>
      </c>
      <c r="X179" s="160">
        <v>0.0</v>
      </c>
      <c r="Y179" s="160">
        <v>0.0</v>
      </c>
    </row>
    <row r="180">
      <c r="A180" s="157" t="s">
        <v>616</v>
      </c>
      <c r="B180" s="160">
        <v>0.0</v>
      </c>
      <c r="C180" s="160">
        <v>0.0</v>
      </c>
      <c r="D180" s="160">
        <v>0.0</v>
      </c>
      <c r="E180" s="160">
        <v>0.0</v>
      </c>
      <c r="F180" s="160">
        <v>0.0</v>
      </c>
      <c r="G180" s="160">
        <v>0.0</v>
      </c>
      <c r="H180" s="160">
        <v>0.0</v>
      </c>
      <c r="I180" s="160">
        <v>0.0</v>
      </c>
      <c r="J180" s="160">
        <v>0.0</v>
      </c>
      <c r="K180" s="160">
        <v>0.0</v>
      </c>
      <c r="L180" s="160">
        <v>0.0</v>
      </c>
      <c r="M180" s="160">
        <v>0.0</v>
      </c>
      <c r="N180" s="160">
        <v>0.0</v>
      </c>
      <c r="O180" s="160">
        <v>0.0</v>
      </c>
      <c r="P180" s="160">
        <v>0.0</v>
      </c>
      <c r="Q180" s="160">
        <v>0.0</v>
      </c>
      <c r="R180" s="160">
        <v>0.0</v>
      </c>
      <c r="S180" s="160">
        <v>0.0</v>
      </c>
      <c r="T180" s="160">
        <v>0.0</v>
      </c>
      <c r="U180" s="160">
        <v>0.0</v>
      </c>
      <c r="V180" s="160">
        <v>0.0</v>
      </c>
      <c r="W180" s="160">
        <v>0.0</v>
      </c>
      <c r="X180" s="160">
        <v>0.0</v>
      </c>
      <c r="Y180" s="160">
        <v>0.0</v>
      </c>
    </row>
    <row r="181">
      <c r="A181" s="157" t="s">
        <v>617</v>
      </c>
      <c r="B181" s="160">
        <v>0.0</v>
      </c>
      <c r="C181" s="160">
        <v>0.0</v>
      </c>
      <c r="D181" s="160">
        <v>0.0</v>
      </c>
      <c r="E181" s="160">
        <v>0.0</v>
      </c>
      <c r="F181" s="160">
        <v>0.0</v>
      </c>
      <c r="G181" s="160">
        <v>0.0</v>
      </c>
      <c r="H181" s="160">
        <v>0.0</v>
      </c>
      <c r="I181" s="160">
        <v>0.0</v>
      </c>
      <c r="J181" s="160">
        <v>0.0</v>
      </c>
      <c r="K181" s="160">
        <v>0.0</v>
      </c>
      <c r="L181" s="160">
        <v>0.0</v>
      </c>
      <c r="M181" s="160">
        <v>0.0</v>
      </c>
      <c r="N181" s="160">
        <v>0.0</v>
      </c>
      <c r="O181" s="160">
        <v>0.0</v>
      </c>
      <c r="P181" s="160">
        <v>0.0</v>
      </c>
      <c r="Q181" s="160">
        <v>0.0</v>
      </c>
      <c r="R181" s="160">
        <v>0.0</v>
      </c>
      <c r="S181" s="160">
        <v>0.0</v>
      </c>
      <c r="T181" s="160">
        <v>0.0</v>
      </c>
      <c r="U181" s="160">
        <v>0.0</v>
      </c>
      <c r="V181" s="160">
        <v>0.0</v>
      </c>
      <c r="W181" s="160">
        <v>0.0</v>
      </c>
      <c r="X181" s="160">
        <v>0.0</v>
      </c>
      <c r="Y181" s="160">
        <v>0.0</v>
      </c>
    </row>
    <row r="182">
      <c r="A182" s="157" t="s">
        <v>618</v>
      </c>
      <c r="B182" s="160">
        <v>0.0</v>
      </c>
      <c r="C182" s="160">
        <v>0.0</v>
      </c>
      <c r="D182" s="160">
        <v>0.0</v>
      </c>
      <c r="E182" s="160">
        <v>0.0</v>
      </c>
      <c r="F182" s="160">
        <v>0.0</v>
      </c>
      <c r="G182" s="160">
        <v>0.0</v>
      </c>
      <c r="H182" s="160">
        <v>0.0</v>
      </c>
      <c r="I182" s="160">
        <v>0.0</v>
      </c>
      <c r="J182" s="160">
        <v>0.0</v>
      </c>
      <c r="K182" s="160">
        <v>0.0</v>
      </c>
      <c r="L182" s="160">
        <v>0.0</v>
      </c>
      <c r="M182" s="160">
        <v>0.0</v>
      </c>
      <c r="N182" s="160">
        <v>0.0</v>
      </c>
      <c r="O182" s="160">
        <v>0.0</v>
      </c>
      <c r="P182" s="160">
        <v>0.0</v>
      </c>
      <c r="Q182" s="160">
        <v>0.0</v>
      </c>
      <c r="R182" s="160">
        <v>0.0</v>
      </c>
      <c r="S182" s="160">
        <v>0.0</v>
      </c>
      <c r="T182" s="160">
        <v>0.0</v>
      </c>
      <c r="U182" s="160">
        <v>0.0</v>
      </c>
      <c r="V182" s="160">
        <v>0.0</v>
      </c>
      <c r="W182" s="160">
        <v>0.0</v>
      </c>
      <c r="X182" s="160">
        <v>0.0</v>
      </c>
      <c r="Y182" s="160">
        <v>0.0</v>
      </c>
    </row>
    <row r="183">
      <c r="A183" s="157" t="s">
        <v>619</v>
      </c>
      <c r="B183" s="160">
        <v>0.0</v>
      </c>
      <c r="C183" s="160">
        <v>0.0</v>
      </c>
      <c r="D183" s="160">
        <v>0.0</v>
      </c>
      <c r="E183" s="160">
        <v>0.0</v>
      </c>
      <c r="F183" s="160">
        <v>0.0</v>
      </c>
      <c r="G183" s="160">
        <v>0.0</v>
      </c>
      <c r="H183" s="160">
        <v>0.0</v>
      </c>
      <c r="I183" s="160">
        <v>0.0</v>
      </c>
      <c r="J183" s="160">
        <v>0.0</v>
      </c>
      <c r="K183" s="160">
        <v>0.0</v>
      </c>
      <c r="L183" s="160">
        <v>0.0</v>
      </c>
      <c r="M183" s="160">
        <v>0.0</v>
      </c>
      <c r="N183" s="160">
        <v>0.0</v>
      </c>
      <c r="O183" s="160">
        <v>0.0</v>
      </c>
      <c r="P183" s="160">
        <v>0.0</v>
      </c>
      <c r="Q183" s="160">
        <v>0.0</v>
      </c>
      <c r="R183" s="160">
        <v>0.0</v>
      </c>
      <c r="S183" s="160">
        <v>0.0</v>
      </c>
      <c r="T183" s="160">
        <v>0.0</v>
      </c>
      <c r="U183" s="160">
        <v>0.0</v>
      </c>
      <c r="V183" s="160">
        <v>0.0</v>
      </c>
      <c r="W183" s="160">
        <v>0.0</v>
      </c>
      <c r="X183" s="160">
        <v>0.0</v>
      </c>
      <c r="Y183" s="160">
        <v>0.0</v>
      </c>
    </row>
    <row r="184">
      <c r="A184" s="157" t="s">
        <v>620</v>
      </c>
      <c r="B184" s="160">
        <v>0.0</v>
      </c>
      <c r="C184" s="160">
        <v>0.0</v>
      </c>
      <c r="D184" s="160">
        <v>0.0</v>
      </c>
      <c r="E184" s="160">
        <v>0.0</v>
      </c>
      <c r="F184" s="160">
        <v>0.0</v>
      </c>
      <c r="G184" s="160">
        <v>0.0</v>
      </c>
      <c r="H184" s="160">
        <v>0.0</v>
      </c>
      <c r="I184" s="160">
        <v>0.0</v>
      </c>
      <c r="J184" s="160">
        <v>0.0</v>
      </c>
      <c r="K184" s="160">
        <v>0.0</v>
      </c>
      <c r="L184" s="160">
        <v>0.0</v>
      </c>
      <c r="M184" s="160">
        <v>0.0</v>
      </c>
      <c r="N184" s="160">
        <v>0.0</v>
      </c>
      <c r="O184" s="160">
        <v>0.0</v>
      </c>
      <c r="P184" s="160">
        <v>0.0</v>
      </c>
      <c r="Q184" s="160">
        <v>0.0</v>
      </c>
      <c r="R184" s="160">
        <v>0.0</v>
      </c>
      <c r="S184" s="160">
        <v>0.0</v>
      </c>
      <c r="T184" s="160">
        <v>0.0</v>
      </c>
      <c r="U184" s="160">
        <v>0.0</v>
      </c>
      <c r="V184" s="160">
        <v>0.0</v>
      </c>
      <c r="W184" s="160">
        <v>0.0</v>
      </c>
      <c r="X184" s="160">
        <v>0.0</v>
      </c>
      <c r="Y184" s="160">
        <v>0.0</v>
      </c>
    </row>
    <row r="185">
      <c r="A185" s="157" t="s">
        <v>621</v>
      </c>
      <c r="B185" s="160">
        <v>0.0</v>
      </c>
      <c r="C185" s="160">
        <v>0.0</v>
      </c>
      <c r="D185" s="160">
        <v>0.0</v>
      </c>
      <c r="E185" s="160">
        <v>0.0</v>
      </c>
      <c r="F185" s="160">
        <v>0.0</v>
      </c>
      <c r="G185" s="160">
        <v>0.0</v>
      </c>
      <c r="H185" s="160">
        <v>0.0</v>
      </c>
      <c r="I185" s="160">
        <v>0.0</v>
      </c>
      <c r="J185" s="160">
        <v>0.0</v>
      </c>
      <c r="K185" s="160">
        <v>0.0</v>
      </c>
      <c r="L185" s="160">
        <v>0.0</v>
      </c>
      <c r="M185" s="160">
        <v>0.0</v>
      </c>
      <c r="N185" s="160">
        <v>0.0</v>
      </c>
      <c r="O185" s="160">
        <v>0.0</v>
      </c>
      <c r="P185" s="160">
        <v>0.0</v>
      </c>
      <c r="Q185" s="160">
        <v>0.0</v>
      </c>
      <c r="R185" s="160">
        <v>0.0</v>
      </c>
      <c r="S185" s="160">
        <v>0.0</v>
      </c>
      <c r="T185" s="160">
        <v>0.0</v>
      </c>
      <c r="U185" s="160">
        <v>0.0</v>
      </c>
      <c r="V185" s="160">
        <v>0.0</v>
      </c>
      <c r="W185" s="160">
        <v>0.0</v>
      </c>
      <c r="X185" s="160">
        <v>0.0</v>
      </c>
      <c r="Y185" s="160">
        <v>0.0</v>
      </c>
    </row>
    <row r="186">
      <c r="A186" s="157" t="s">
        <v>302</v>
      </c>
      <c r="B186" s="160">
        <v>0.0</v>
      </c>
      <c r="C186" s="160">
        <v>183517.2</v>
      </c>
      <c r="D186" s="160">
        <v>130473.0</v>
      </c>
      <c r="E186" s="160">
        <v>6964.2</v>
      </c>
      <c r="F186" s="160">
        <v>24750.0</v>
      </c>
      <c r="G186" s="160">
        <v>0.0</v>
      </c>
      <c r="H186" s="160">
        <v>327547.1</v>
      </c>
      <c r="I186" s="160">
        <v>0.0</v>
      </c>
      <c r="J186" s="160">
        <v>0.0</v>
      </c>
      <c r="K186" s="160">
        <v>0.0</v>
      </c>
      <c r="L186" s="160">
        <v>1.639922249E7</v>
      </c>
      <c r="M186" s="160">
        <v>337279.6</v>
      </c>
      <c r="N186" s="160">
        <v>329014.3</v>
      </c>
      <c r="O186" s="160">
        <v>0.0</v>
      </c>
      <c r="P186" s="160">
        <v>41.34</v>
      </c>
      <c r="Q186" s="160">
        <v>0.0</v>
      </c>
      <c r="R186" s="160">
        <v>0.0</v>
      </c>
      <c r="S186" s="160">
        <v>0.0</v>
      </c>
      <c r="T186" s="160">
        <v>0.0</v>
      </c>
      <c r="U186" s="160">
        <v>540024.5</v>
      </c>
      <c r="V186" s="160">
        <v>0.0</v>
      </c>
      <c r="W186" s="160">
        <v>0.0</v>
      </c>
      <c r="X186" s="160">
        <v>0.0</v>
      </c>
      <c r="Y186" s="160">
        <v>1.827883372E7</v>
      </c>
    </row>
    <row r="187">
      <c r="A187" s="157" t="s">
        <v>622</v>
      </c>
      <c r="B187" s="160">
        <v>0.0</v>
      </c>
      <c r="C187" s="160">
        <v>0.0</v>
      </c>
      <c r="D187" s="160">
        <v>0.0</v>
      </c>
      <c r="E187" s="160">
        <v>0.0</v>
      </c>
      <c r="F187" s="160">
        <v>0.0</v>
      </c>
      <c r="G187" s="160">
        <v>0.0</v>
      </c>
      <c r="H187" s="160">
        <v>0.0</v>
      </c>
      <c r="I187" s="160">
        <v>0.0</v>
      </c>
      <c r="J187" s="160">
        <v>0.0</v>
      </c>
      <c r="K187" s="160">
        <v>0.0</v>
      </c>
      <c r="L187" s="160">
        <v>0.0</v>
      </c>
      <c r="M187" s="160">
        <v>0.0</v>
      </c>
      <c r="N187" s="160">
        <v>0.0</v>
      </c>
      <c r="O187" s="160">
        <v>0.0</v>
      </c>
      <c r="P187" s="160">
        <v>0.0</v>
      </c>
      <c r="Q187" s="160">
        <v>0.0</v>
      </c>
      <c r="R187" s="160">
        <v>0.0</v>
      </c>
      <c r="S187" s="160">
        <v>0.0</v>
      </c>
      <c r="T187" s="160">
        <v>0.0</v>
      </c>
      <c r="U187" s="160">
        <v>0.0</v>
      </c>
      <c r="V187" s="160">
        <v>0.0</v>
      </c>
      <c r="W187" s="160">
        <v>0.0</v>
      </c>
      <c r="X187" s="160">
        <v>0.0</v>
      </c>
      <c r="Y187" s="160">
        <v>0.0</v>
      </c>
    </row>
    <row r="188">
      <c r="A188" s="157" t="s">
        <v>623</v>
      </c>
      <c r="B188" s="160">
        <v>0.0</v>
      </c>
      <c r="C188" s="160">
        <v>0.0</v>
      </c>
      <c r="D188" s="160">
        <v>0.0</v>
      </c>
      <c r="E188" s="160">
        <v>0.0</v>
      </c>
      <c r="F188" s="160">
        <v>0.0</v>
      </c>
      <c r="G188" s="160">
        <v>0.0</v>
      </c>
      <c r="H188" s="160">
        <v>0.0</v>
      </c>
      <c r="I188" s="160">
        <v>0.0</v>
      </c>
      <c r="J188" s="160">
        <v>0.0</v>
      </c>
      <c r="K188" s="160">
        <v>0.0</v>
      </c>
      <c r="L188" s="160">
        <v>0.0</v>
      </c>
      <c r="M188" s="160">
        <v>0.0</v>
      </c>
      <c r="N188" s="160">
        <v>0.0</v>
      </c>
      <c r="O188" s="160">
        <v>0.0</v>
      </c>
      <c r="P188" s="160">
        <v>0.0</v>
      </c>
      <c r="Q188" s="160">
        <v>0.0</v>
      </c>
      <c r="R188" s="160">
        <v>0.0</v>
      </c>
      <c r="S188" s="160">
        <v>0.0</v>
      </c>
      <c r="T188" s="160">
        <v>0.0</v>
      </c>
      <c r="U188" s="160">
        <v>0.0</v>
      </c>
      <c r="V188" s="160">
        <v>0.0</v>
      </c>
      <c r="W188" s="160">
        <v>0.0</v>
      </c>
      <c r="X188" s="160">
        <v>0.0</v>
      </c>
      <c r="Y188" s="160">
        <v>0.0</v>
      </c>
    </row>
    <row r="189">
      <c r="A189" s="157" t="s">
        <v>624</v>
      </c>
      <c r="B189" s="160">
        <v>0.0</v>
      </c>
      <c r="C189" s="160">
        <v>0.0</v>
      </c>
      <c r="D189" s="160">
        <v>0.0</v>
      </c>
      <c r="E189" s="160">
        <v>0.0</v>
      </c>
      <c r="F189" s="160">
        <v>0.0</v>
      </c>
      <c r="G189" s="160">
        <v>0.0</v>
      </c>
      <c r="H189" s="160">
        <v>0.0</v>
      </c>
      <c r="I189" s="160">
        <v>0.0</v>
      </c>
      <c r="J189" s="160">
        <v>0.0</v>
      </c>
      <c r="K189" s="160">
        <v>0.0</v>
      </c>
      <c r="L189" s="160">
        <v>0.0</v>
      </c>
      <c r="M189" s="160">
        <v>0.0</v>
      </c>
      <c r="N189" s="160">
        <v>0.0</v>
      </c>
      <c r="O189" s="160">
        <v>0.0</v>
      </c>
      <c r="P189" s="160">
        <v>0.0</v>
      </c>
      <c r="Q189" s="160">
        <v>0.0</v>
      </c>
      <c r="R189" s="160">
        <v>0.0</v>
      </c>
      <c r="S189" s="160">
        <v>0.0</v>
      </c>
      <c r="T189" s="160">
        <v>0.0</v>
      </c>
      <c r="U189" s="160">
        <v>0.0</v>
      </c>
      <c r="V189" s="160">
        <v>0.0</v>
      </c>
      <c r="W189" s="160">
        <v>0.0</v>
      </c>
      <c r="X189" s="160">
        <v>0.0</v>
      </c>
      <c r="Y189" s="160">
        <v>0.0</v>
      </c>
    </row>
    <row r="190">
      <c r="A190" s="157" t="s">
        <v>432</v>
      </c>
      <c r="B190" s="160">
        <v>0.0</v>
      </c>
      <c r="C190" s="160">
        <v>0.0</v>
      </c>
      <c r="D190" s="160">
        <v>0.0</v>
      </c>
      <c r="E190" s="160">
        <v>0.0</v>
      </c>
      <c r="F190" s="160">
        <v>0.0</v>
      </c>
      <c r="G190" s="160">
        <v>0.0</v>
      </c>
      <c r="H190" s="160">
        <v>8748.0</v>
      </c>
      <c r="I190" s="160">
        <v>0.0</v>
      </c>
      <c r="J190" s="160">
        <v>0.0</v>
      </c>
      <c r="K190" s="160">
        <v>0.0</v>
      </c>
      <c r="L190" s="160">
        <v>453561.12</v>
      </c>
      <c r="M190" s="160">
        <v>97772.4</v>
      </c>
      <c r="N190" s="160">
        <v>0.0</v>
      </c>
      <c r="O190" s="160">
        <v>0.0</v>
      </c>
      <c r="P190" s="160">
        <v>0.0</v>
      </c>
      <c r="Q190" s="160">
        <v>0.0</v>
      </c>
      <c r="R190" s="160">
        <v>0.0</v>
      </c>
      <c r="S190" s="160">
        <v>0.0</v>
      </c>
      <c r="T190" s="160">
        <v>0.0</v>
      </c>
      <c r="U190" s="160">
        <v>0.0</v>
      </c>
      <c r="V190" s="160">
        <v>0.0</v>
      </c>
      <c r="W190" s="160">
        <v>0.0</v>
      </c>
      <c r="X190" s="160">
        <v>0.0</v>
      </c>
      <c r="Y190" s="160">
        <v>560081.52</v>
      </c>
    </row>
    <row r="191">
      <c r="A191" s="157" t="s">
        <v>625</v>
      </c>
      <c r="B191" s="160">
        <v>0.0</v>
      </c>
      <c r="C191" s="160">
        <v>0.0</v>
      </c>
      <c r="D191" s="160">
        <v>0.0</v>
      </c>
      <c r="E191" s="160">
        <v>0.0</v>
      </c>
      <c r="F191" s="160">
        <v>0.0</v>
      </c>
      <c r="G191" s="160">
        <v>0.0</v>
      </c>
      <c r="H191" s="160">
        <v>0.0</v>
      </c>
      <c r="I191" s="160">
        <v>0.0</v>
      </c>
      <c r="J191" s="160">
        <v>0.0</v>
      </c>
      <c r="K191" s="160">
        <v>0.0</v>
      </c>
      <c r="L191" s="160">
        <v>0.0</v>
      </c>
      <c r="M191" s="160">
        <v>0.0</v>
      </c>
      <c r="N191" s="160">
        <v>0.0</v>
      </c>
      <c r="O191" s="160">
        <v>0.0</v>
      </c>
      <c r="P191" s="160">
        <v>0.0</v>
      </c>
      <c r="Q191" s="160">
        <v>0.0</v>
      </c>
      <c r="R191" s="160">
        <v>0.0</v>
      </c>
      <c r="S191" s="160">
        <v>0.0</v>
      </c>
      <c r="T191" s="160">
        <v>0.0</v>
      </c>
      <c r="U191" s="160">
        <v>0.0</v>
      </c>
      <c r="V191" s="160">
        <v>0.0</v>
      </c>
      <c r="W191" s="160">
        <v>0.0</v>
      </c>
      <c r="X191" s="160">
        <v>0.0</v>
      </c>
      <c r="Y191" s="160">
        <v>0.0</v>
      </c>
    </row>
    <row r="192">
      <c r="A192" s="157" t="s">
        <v>626</v>
      </c>
      <c r="B192" s="160">
        <v>0.0</v>
      </c>
      <c r="C192" s="160">
        <v>0.0</v>
      </c>
      <c r="D192" s="160">
        <v>0.0</v>
      </c>
      <c r="E192" s="160">
        <v>0.0</v>
      </c>
      <c r="F192" s="160">
        <v>0.0</v>
      </c>
      <c r="G192" s="160">
        <v>0.0</v>
      </c>
      <c r="H192" s="160">
        <v>0.0</v>
      </c>
      <c r="I192" s="160">
        <v>0.0</v>
      </c>
      <c r="J192" s="160">
        <v>0.0</v>
      </c>
      <c r="K192" s="160">
        <v>0.0</v>
      </c>
      <c r="L192" s="160">
        <v>0.0</v>
      </c>
      <c r="M192" s="160">
        <v>0.0</v>
      </c>
      <c r="N192" s="160">
        <v>0.0</v>
      </c>
      <c r="O192" s="160">
        <v>0.0</v>
      </c>
      <c r="P192" s="160">
        <v>0.0</v>
      </c>
      <c r="Q192" s="160">
        <v>0.0</v>
      </c>
      <c r="R192" s="160">
        <v>0.0</v>
      </c>
      <c r="S192" s="160">
        <v>0.0</v>
      </c>
      <c r="T192" s="160">
        <v>0.0</v>
      </c>
      <c r="U192" s="160">
        <v>0.0</v>
      </c>
      <c r="V192" s="160">
        <v>0.0</v>
      </c>
      <c r="W192" s="160">
        <v>0.0</v>
      </c>
      <c r="X192" s="160">
        <v>0.0</v>
      </c>
      <c r="Y192" s="160">
        <v>0.0</v>
      </c>
    </row>
    <row r="193">
      <c r="A193" s="157" t="s">
        <v>627</v>
      </c>
      <c r="B193" s="160">
        <v>0.0</v>
      </c>
      <c r="C193" s="160">
        <v>0.0</v>
      </c>
      <c r="D193" s="160">
        <v>0.0</v>
      </c>
      <c r="E193" s="160">
        <v>0.0</v>
      </c>
      <c r="F193" s="160">
        <v>0.0</v>
      </c>
      <c r="G193" s="160">
        <v>0.0</v>
      </c>
      <c r="H193" s="160">
        <v>0.0</v>
      </c>
      <c r="I193" s="160">
        <v>0.0</v>
      </c>
      <c r="J193" s="160">
        <v>0.0</v>
      </c>
      <c r="K193" s="160">
        <v>0.0</v>
      </c>
      <c r="L193" s="160">
        <v>0.0</v>
      </c>
      <c r="M193" s="160">
        <v>0.0</v>
      </c>
      <c r="N193" s="160">
        <v>0.0</v>
      </c>
      <c r="O193" s="160">
        <v>0.0</v>
      </c>
      <c r="P193" s="160">
        <v>0.0</v>
      </c>
      <c r="Q193" s="160">
        <v>0.0</v>
      </c>
      <c r="R193" s="160">
        <v>0.0</v>
      </c>
      <c r="S193" s="160">
        <v>0.0</v>
      </c>
      <c r="T193" s="160">
        <v>0.0</v>
      </c>
      <c r="U193" s="160">
        <v>0.0</v>
      </c>
      <c r="V193" s="160">
        <v>0.0</v>
      </c>
      <c r="W193" s="160">
        <v>0.0</v>
      </c>
      <c r="X193" s="160">
        <v>0.0</v>
      </c>
      <c r="Y193" s="160">
        <v>0.0</v>
      </c>
    </row>
    <row r="194">
      <c r="A194" s="157" t="s">
        <v>628</v>
      </c>
      <c r="B194" s="160">
        <v>0.0</v>
      </c>
      <c r="C194" s="160">
        <v>0.0</v>
      </c>
      <c r="D194" s="160">
        <v>0.0</v>
      </c>
      <c r="E194" s="160">
        <v>0.0</v>
      </c>
      <c r="F194" s="160">
        <v>0.0</v>
      </c>
      <c r="G194" s="160">
        <v>0.0</v>
      </c>
      <c r="H194" s="160">
        <v>0.0</v>
      </c>
      <c r="I194" s="160">
        <v>0.0</v>
      </c>
      <c r="J194" s="160">
        <v>0.0</v>
      </c>
      <c r="K194" s="160">
        <v>0.0</v>
      </c>
      <c r="L194" s="160">
        <v>0.0</v>
      </c>
      <c r="M194" s="160">
        <v>0.0</v>
      </c>
      <c r="N194" s="160">
        <v>0.0</v>
      </c>
      <c r="O194" s="160">
        <v>0.0</v>
      </c>
      <c r="P194" s="160">
        <v>0.0</v>
      </c>
      <c r="Q194" s="160">
        <v>0.0</v>
      </c>
      <c r="R194" s="160">
        <v>0.0</v>
      </c>
      <c r="S194" s="160">
        <v>0.0</v>
      </c>
      <c r="T194" s="160">
        <v>0.0</v>
      </c>
      <c r="U194" s="160">
        <v>0.0</v>
      </c>
      <c r="V194" s="160">
        <v>0.0</v>
      </c>
      <c r="W194" s="160">
        <v>0.0</v>
      </c>
      <c r="X194" s="160">
        <v>0.0</v>
      </c>
      <c r="Y194" s="160">
        <v>0.0</v>
      </c>
    </row>
    <row r="195">
      <c r="A195" s="157" t="s">
        <v>629</v>
      </c>
      <c r="B195" s="160">
        <v>0.0</v>
      </c>
      <c r="C195" s="160">
        <v>0.0</v>
      </c>
      <c r="D195" s="160">
        <v>0.0</v>
      </c>
      <c r="E195" s="160">
        <v>0.0</v>
      </c>
      <c r="F195" s="160">
        <v>0.0</v>
      </c>
      <c r="G195" s="160">
        <v>0.0</v>
      </c>
      <c r="H195" s="160">
        <v>0.0</v>
      </c>
      <c r="I195" s="160">
        <v>0.0</v>
      </c>
      <c r="J195" s="160">
        <v>0.0</v>
      </c>
      <c r="K195" s="160">
        <v>0.0</v>
      </c>
      <c r="L195" s="160">
        <v>0.0</v>
      </c>
      <c r="M195" s="160">
        <v>0.0</v>
      </c>
      <c r="N195" s="160">
        <v>0.0</v>
      </c>
      <c r="O195" s="160">
        <v>0.0</v>
      </c>
      <c r="P195" s="160">
        <v>0.0</v>
      </c>
      <c r="Q195" s="160">
        <v>0.0</v>
      </c>
      <c r="R195" s="160">
        <v>0.0</v>
      </c>
      <c r="S195" s="160">
        <v>0.0</v>
      </c>
      <c r="T195" s="160">
        <v>0.0</v>
      </c>
      <c r="U195" s="160">
        <v>0.0</v>
      </c>
      <c r="V195" s="160">
        <v>0.0</v>
      </c>
      <c r="W195" s="160">
        <v>0.0</v>
      </c>
      <c r="X195" s="160">
        <v>0.0</v>
      </c>
      <c r="Y195" s="160">
        <v>0.0</v>
      </c>
    </row>
    <row r="196">
      <c r="A196" s="157" t="s">
        <v>220</v>
      </c>
      <c r="B196" s="160">
        <v>2350418.52</v>
      </c>
      <c r="C196" s="160">
        <v>3810213.48</v>
      </c>
      <c r="D196" s="160">
        <v>1321988.2</v>
      </c>
      <c r="E196" s="160">
        <v>528390.65</v>
      </c>
      <c r="F196" s="160">
        <v>66229.6</v>
      </c>
      <c r="G196" s="160">
        <v>100176.95</v>
      </c>
      <c r="H196" s="160">
        <v>1264056.64</v>
      </c>
      <c r="I196" s="160">
        <v>107482.6</v>
      </c>
      <c r="J196" s="160">
        <v>5290190.99</v>
      </c>
      <c r="K196" s="160">
        <v>394707.5</v>
      </c>
      <c r="L196" s="160">
        <v>4884056.93</v>
      </c>
      <c r="M196" s="160">
        <v>1851473.99</v>
      </c>
      <c r="N196" s="160">
        <v>2739944.9</v>
      </c>
      <c r="O196" s="160">
        <v>5512356.26</v>
      </c>
      <c r="P196" s="160">
        <v>4520695.48</v>
      </c>
      <c r="Q196" s="160">
        <v>0.0</v>
      </c>
      <c r="R196" s="160">
        <v>0.0</v>
      </c>
      <c r="S196" s="160">
        <v>1060553.23</v>
      </c>
      <c r="T196" s="160">
        <v>0.0</v>
      </c>
      <c r="U196" s="160">
        <v>5099098.6</v>
      </c>
      <c r="V196" s="160">
        <v>0.0</v>
      </c>
      <c r="W196" s="160">
        <v>0.0</v>
      </c>
      <c r="X196" s="160">
        <v>0.0</v>
      </c>
      <c r="Y196" s="160">
        <v>4.090203452E7</v>
      </c>
    </row>
    <row r="197">
      <c r="A197" s="157" t="s">
        <v>143</v>
      </c>
      <c r="B197" s="160">
        <v>136496.36</v>
      </c>
      <c r="C197" s="160">
        <v>1973873.69</v>
      </c>
      <c r="D197" s="160">
        <v>225165.5</v>
      </c>
      <c r="E197" s="160">
        <v>177201.04</v>
      </c>
      <c r="F197" s="160">
        <v>2574.0</v>
      </c>
      <c r="G197" s="160">
        <v>21083.4</v>
      </c>
      <c r="H197" s="160">
        <v>396382.18</v>
      </c>
      <c r="I197" s="160">
        <v>28226.4</v>
      </c>
      <c r="J197" s="160">
        <v>621052.87</v>
      </c>
      <c r="K197" s="160">
        <v>0.0</v>
      </c>
      <c r="L197" s="160">
        <v>1898995.56</v>
      </c>
      <c r="M197" s="160">
        <v>156170.2</v>
      </c>
      <c r="N197" s="160">
        <v>776947.65</v>
      </c>
      <c r="O197" s="160">
        <v>667072.79</v>
      </c>
      <c r="P197" s="160">
        <v>983535.02</v>
      </c>
      <c r="Q197" s="160">
        <v>11330.0</v>
      </c>
      <c r="R197" s="160">
        <v>60312.75</v>
      </c>
      <c r="S197" s="160">
        <v>162484.43</v>
      </c>
      <c r="T197" s="160">
        <v>23859.0</v>
      </c>
      <c r="U197" s="160">
        <v>1456356.62</v>
      </c>
      <c r="V197" s="160">
        <v>0.0</v>
      </c>
      <c r="W197" s="160">
        <v>0.0</v>
      </c>
      <c r="X197" s="160">
        <v>0.0</v>
      </c>
      <c r="Y197" s="160">
        <v>9779119.47</v>
      </c>
    </row>
    <row r="198">
      <c r="A198" s="157" t="s">
        <v>630</v>
      </c>
      <c r="B198" s="160">
        <v>0.0</v>
      </c>
      <c r="C198" s="160">
        <v>2772.0</v>
      </c>
      <c r="D198" s="160">
        <v>0.0</v>
      </c>
      <c r="E198" s="160">
        <v>0.0</v>
      </c>
      <c r="F198" s="160">
        <v>0.0</v>
      </c>
      <c r="G198" s="160">
        <v>0.0</v>
      </c>
      <c r="H198" s="160">
        <v>2475.0</v>
      </c>
      <c r="I198" s="160">
        <v>0.0</v>
      </c>
      <c r="J198" s="160">
        <v>0.0</v>
      </c>
      <c r="K198" s="160">
        <v>0.0</v>
      </c>
      <c r="L198" s="160">
        <v>31557.9</v>
      </c>
      <c r="M198" s="160">
        <v>0.0</v>
      </c>
      <c r="N198" s="160">
        <v>2189.0</v>
      </c>
      <c r="O198" s="160">
        <v>0.0</v>
      </c>
      <c r="P198" s="160">
        <v>0.0</v>
      </c>
      <c r="Q198" s="160">
        <v>0.0</v>
      </c>
      <c r="R198" s="160">
        <v>0.0</v>
      </c>
      <c r="S198" s="160">
        <v>0.0</v>
      </c>
      <c r="T198" s="160">
        <v>0.0</v>
      </c>
      <c r="U198" s="160">
        <v>6000.5</v>
      </c>
      <c r="V198" s="160">
        <v>0.0</v>
      </c>
      <c r="W198" s="160">
        <v>0.0</v>
      </c>
      <c r="X198" s="160">
        <v>0.0</v>
      </c>
      <c r="Y198" s="160">
        <v>44994.4</v>
      </c>
    </row>
    <row r="199">
      <c r="A199" s="157" t="s">
        <v>631</v>
      </c>
      <c r="B199" s="160">
        <v>0.0</v>
      </c>
      <c r="C199" s="160">
        <v>0.0</v>
      </c>
      <c r="D199" s="160">
        <v>0.0</v>
      </c>
      <c r="E199" s="160">
        <v>0.0</v>
      </c>
      <c r="F199" s="160">
        <v>0.0</v>
      </c>
      <c r="G199" s="160">
        <v>0.0</v>
      </c>
      <c r="H199" s="160">
        <v>0.0</v>
      </c>
      <c r="I199" s="160">
        <v>0.0</v>
      </c>
      <c r="J199" s="160">
        <v>0.0</v>
      </c>
      <c r="K199" s="160">
        <v>0.0</v>
      </c>
      <c r="L199" s="160">
        <v>0.0</v>
      </c>
      <c r="M199" s="160">
        <v>0.0</v>
      </c>
      <c r="N199" s="160">
        <v>0.0</v>
      </c>
      <c r="O199" s="160">
        <v>0.0</v>
      </c>
      <c r="P199" s="160">
        <v>0.0</v>
      </c>
      <c r="Q199" s="160">
        <v>0.0</v>
      </c>
      <c r="R199" s="160">
        <v>0.0</v>
      </c>
      <c r="S199" s="160">
        <v>0.0</v>
      </c>
      <c r="T199" s="160">
        <v>0.0</v>
      </c>
      <c r="U199" s="160">
        <v>0.0</v>
      </c>
      <c r="V199" s="160">
        <v>0.0</v>
      </c>
      <c r="W199" s="160">
        <v>0.0</v>
      </c>
      <c r="X199" s="160">
        <v>0.0</v>
      </c>
      <c r="Y199" s="160">
        <v>0.0</v>
      </c>
    </row>
    <row r="200">
      <c r="A200" s="157" t="s">
        <v>146</v>
      </c>
      <c r="B200" s="160">
        <v>0.0</v>
      </c>
      <c r="C200" s="160">
        <v>803231.03</v>
      </c>
      <c r="D200" s="160">
        <v>645266.4</v>
      </c>
      <c r="E200" s="160">
        <v>258419.0</v>
      </c>
      <c r="F200" s="160">
        <v>0.0</v>
      </c>
      <c r="G200" s="160">
        <v>0.0</v>
      </c>
      <c r="H200" s="160">
        <v>841983.28</v>
      </c>
      <c r="I200" s="160">
        <v>0.0</v>
      </c>
      <c r="J200" s="160">
        <v>66475.01</v>
      </c>
      <c r="K200" s="160">
        <v>0.0</v>
      </c>
      <c r="L200" s="160">
        <v>2330832.15</v>
      </c>
      <c r="M200" s="160">
        <v>830167.39</v>
      </c>
      <c r="N200" s="160">
        <v>1027256.8</v>
      </c>
      <c r="O200" s="160">
        <v>0.0</v>
      </c>
      <c r="P200" s="160">
        <v>46692.55</v>
      </c>
      <c r="Q200" s="160">
        <v>0.0</v>
      </c>
      <c r="R200" s="160">
        <v>4300940.01</v>
      </c>
      <c r="S200" s="160">
        <v>293096.08</v>
      </c>
      <c r="T200" s="160">
        <v>0.0</v>
      </c>
      <c r="U200" s="160">
        <v>1622096.05</v>
      </c>
      <c r="V200" s="160">
        <v>0.0</v>
      </c>
      <c r="W200" s="160">
        <v>0.0</v>
      </c>
      <c r="X200" s="160">
        <v>0.0</v>
      </c>
      <c r="Y200" s="160">
        <v>1.306645575E7</v>
      </c>
    </row>
    <row r="201">
      <c r="A201" s="157" t="s">
        <v>632</v>
      </c>
      <c r="B201" s="160">
        <v>0.0</v>
      </c>
      <c r="C201" s="160">
        <v>0.0</v>
      </c>
      <c r="D201" s="160">
        <v>0.0</v>
      </c>
      <c r="E201" s="160">
        <v>0.0</v>
      </c>
      <c r="F201" s="160">
        <v>0.0</v>
      </c>
      <c r="G201" s="160">
        <v>0.0</v>
      </c>
      <c r="H201" s="160">
        <v>0.0</v>
      </c>
      <c r="I201" s="160">
        <v>0.0</v>
      </c>
      <c r="J201" s="160">
        <v>0.0</v>
      </c>
      <c r="K201" s="160">
        <v>0.0</v>
      </c>
      <c r="L201" s="160">
        <v>0.0</v>
      </c>
      <c r="M201" s="160">
        <v>0.0</v>
      </c>
      <c r="N201" s="160">
        <v>0.0</v>
      </c>
      <c r="O201" s="160">
        <v>0.0</v>
      </c>
      <c r="P201" s="160">
        <v>0.0</v>
      </c>
      <c r="Q201" s="160">
        <v>0.0</v>
      </c>
      <c r="R201" s="160">
        <v>0.0</v>
      </c>
      <c r="S201" s="160">
        <v>0.0</v>
      </c>
      <c r="T201" s="160">
        <v>0.0</v>
      </c>
      <c r="U201" s="160">
        <v>0.0</v>
      </c>
      <c r="V201" s="160">
        <v>0.0</v>
      </c>
      <c r="W201" s="160">
        <v>0.0</v>
      </c>
      <c r="X201" s="160">
        <v>0.0</v>
      </c>
      <c r="Y201" s="160">
        <v>0.0</v>
      </c>
    </row>
    <row r="202">
      <c r="A202" s="157" t="s">
        <v>633</v>
      </c>
      <c r="B202" s="160">
        <v>0.0</v>
      </c>
      <c r="C202" s="160">
        <v>0.0</v>
      </c>
      <c r="D202" s="160">
        <v>0.0</v>
      </c>
      <c r="E202" s="160">
        <v>0.0</v>
      </c>
      <c r="F202" s="160">
        <v>0.0</v>
      </c>
      <c r="G202" s="160">
        <v>0.0</v>
      </c>
      <c r="H202" s="160">
        <v>0.0</v>
      </c>
      <c r="I202" s="160">
        <v>0.0</v>
      </c>
      <c r="J202" s="160">
        <v>0.0</v>
      </c>
      <c r="K202" s="160">
        <v>0.0</v>
      </c>
      <c r="L202" s="160">
        <v>0.0</v>
      </c>
      <c r="M202" s="160">
        <v>0.0</v>
      </c>
      <c r="N202" s="160">
        <v>0.0</v>
      </c>
      <c r="O202" s="160">
        <v>0.0</v>
      </c>
      <c r="P202" s="160">
        <v>0.0</v>
      </c>
      <c r="Q202" s="160">
        <v>0.0</v>
      </c>
      <c r="R202" s="160">
        <v>0.0</v>
      </c>
      <c r="S202" s="160">
        <v>0.0</v>
      </c>
      <c r="T202" s="160">
        <v>0.0</v>
      </c>
      <c r="U202" s="160">
        <v>0.0</v>
      </c>
      <c r="V202" s="160">
        <v>0.0</v>
      </c>
      <c r="W202" s="160">
        <v>0.0</v>
      </c>
      <c r="X202" s="160">
        <v>0.0</v>
      </c>
      <c r="Y202" s="160">
        <v>0.0</v>
      </c>
    </row>
    <row r="203">
      <c r="A203" s="157" t="s">
        <v>634</v>
      </c>
      <c r="B203" s="160">
        <v>0.0</v>
      </c>
      <c r="C203" s="160">
        <v>0.0</v>
      </c>
      <c r="D203" s="160">
        <v>0.0</v>
      </c>
      <c r="E203" s="160">
        <v>0.0</v>
      </c>
      <c r="F203" s="160">
        <v>0.0</v>
      </c>
      <c r="G203" s="160">
        <v>0.0</v>
      </c>
      <c r="H203" s="160">
        <v>0.0</v>
      </c>
      <c r="I203" s="160">
        <v>0.0</v>
      </c>
      <c r="J203" s="160">
        <v>0.0</v>
      </c>
      <c r="K203" s="160">
        <v>0.0</v>
      </c>
      <c r="L203" s="160">
        <v>0.0</v>
      </c>
      <c r="M203" s="160">
        <v>0.0</v>
      </c>
      <c r="N203" s="160">
        <v>0.0</v>
      </c>
      <c r="O203" s="160">
        <v>0.0</v>
      </c>
      <c r="P203" s="160">
        <v>0.0</v>
      </c>
      <c r="Q203" s="160">
        <v>0.0</v>
      </c>
      <c r="R203" s="160">
        <v>0.0</v>
      </c>
      <c r="S203" s="160">
        <v>0.0</v>
      </c>
      <c r="T203" s="160">
        <v>0.0</v>
      </c>
      <c r="U203" s="160">
        <v>0.0</v>
      </c>
      <c r="V203" s="160">
        <v>0.0</v>
      </c>
      <c r="W203" s="160">
        <v>0.0</v>
      </c>
      <c r="X203" s="160">
        <v>0.0</v>
      </c>
      <c r="Y203" s="160">
        <v>0.0</v>
      </c>
    </row>
    <row r="204">
      <c r="A204" s="157" t="s">
        <v>635</v>
      </c>
      <c r="B204" s="160">
        <v>0.0</v>
      </c>
      <c r="C204" s="160">
        <v>0.0</v>
      </c>
      <c r="D204" s="160">
        <v>0.0</v>
      </c>
      <c r="E204" s="160">
        <v>0.0</v>
      </c>
      <c r="F204" s="160">
        <v>0.0</v>
      </c>
      <c r="G204" s="160">
        <v>0.0</v>
      </c>
      <c r="H204" s="160">
        <v>0.0</v>
      </c>
      <c r="I204" s="160">
        <v>0.0</v>
      </c>
      <c r="J204" s="160">
        <v>0.0</v>
      </c>
      <c r="K204" s="160">
        <v>0.0</v>
      </c>
      <c r="L204" s="160">
        <v>0.0</v>
      </c>
      <c r="M204" s="160">
        <v>0.0</v>
      </c>
      <c r="N204" s="160">
        <v>0.0</v>
      </c>
      <c r="O204" s="160">
        <v>0.0</v>
      </c>
      <c r="P204" s="160">
        <v>0.0</v>
      </c>
      <c r="Q204" s="160">
        <v>0.0</v>
      </c>
      <c r="R204" s="160">
        <v>0.0</v>
      </c>
      <c r="S204" s="160">
        <v>0.0</v>
      </c>
      <c r="T204" s="160">
        <v>0.0</v>
      </c>
      <c r="U204" s="160">
        <v>0.0</v>
      </c>
      <c r="V204" s="160">
        <v>0.0</v>
      </c>
      <c r="W204" s="160">
        <v>0.0</v>
      </c>
      <c r="X204" s="160">
        <v>0.0</v>
      </c>
      <c r="Y204" s="160">
        <v>0.0</v>
      </c>
    </row>
    <row r="205">
      <c r="A205" s="157" t="s">
        <v>636</v>
      </c>
      <c r="B205" s="160">
        <v>0.0</v>
      </c>
      <c r="C205" s="160">
        <v>0.0</v>
      </c>
      <c r="D205" s="160">
        <v>0.0</v>
      </c>
      <c r="E205" s="160">
        <v>0.0</v>
      </c>
      <c r="F205" s="160">
        <v>0.0</v>
      </c>
      <c r="G205" s="160">
        <v>0.0</v>
      </c>
      <c r="H205" s="160">
        <v>0.0</v>
      </c>
      <c r="I205" s="160">
        <v>0.0</v>
      </c>
      <c r="J205" s="160">
        <v>0.0</v>
      </c>
      <c r="K205" s="160">
        <v>0.0</v>
      </c>
      <c r="L205" s="160">
        <v>0.0</v>
      </c>
      <c r="M205" s="160">
        <v>0.0</v>
      </c>
      <c r="N205" s="160">
        <v>0.0</v>
      </c>
      <c r="O205" s="160">
        <v>0.0</v>
      </c>
      <c r="P205" s="160">
        <v>0.0</v>
      </c>
      <c r="Q205" s="160">
        <v>0.0</v>
      </c>
      <c r="R205" s="160">
        <v>0.0</v>
      </c>
      <c r="S205" s="160">
        <v>0.0</v>
      </c>
      <c r="T205" s="160">
        <v>0.0</v>
      </c>
      <c r="U205" s="160">
        <v>0.0</v>
      </c>
      <c r="V205" s="160">
        <v>0.0</v>
      </c>
      <c r="W205" s="160">
        <v>0.0</v>
      </c>
      <c r="X205" s="160">
        <v>0.0</v>
      </c>
      <c r="Y205" s="160">
        <v>0.0</v>
      </c>
    </row>
    <row r="206">
      <c r="A206" s="157" t="s">
        <v>637</v>
      </c>
      <c r="B206" s="160">
        <v>3885.12</v>
      </c>
      <c r="C206" s="160">
        <v>1328967.3</v>
      </c>
      <c r="D206" s="160">
        <v>1476714.8</v>
      </c>
      <c r="E206" s="160">
        <v>148207.0</v>
      </c>
      <c r="F206" s="160">
        <v>0.0</v>
      </c>
      <c r="G206" s="160">
        <v>0.0</v>
      </c>
      <c r="H206" s="160">
        <v>751679.5</v>
      </c>
      <c r="I206" s="160">
        <v>41820.05</v>
      </c>
      <c r="J206" s="160">
        <v>124761.3</v>
      </c>
      <c r="K206" s="160">
        <v>24232.0</v>
      </c>
      <c r="L206" s="160">
        <v>4812887.6</v>
      </c>
      <c r="M206" s="160">
        <v>325511.0</v>
      </c>
      <c r="N206" s="160">
        <v>153510.2</v>
      </c>
      <c r="O206" s="160">
        <v>65083.24</v>
      </c>
      <c r="P206" s="160">
        <v>535.21</v>
      </c>
      <c r="Q206" s="160">
        <v>0.0</v>
      </c>
      <c r="R206" s="160">
        <v>159500.0</v>
      </c>
      <c r="S206" s="160">
        <v>46794.2</v>
      </c>
      <c r="T206" s="160">
        <v>0.0</v>
      </c>
      <c r="U206" s="160">
        <v>1200472.5</v>
      </c>
      <c r="V206" s="160">
        <v>0.0</v>
      </c>
      <c r="W206" s="160">
        <v>0.0</v>
      </c>
      <c r="X206" s="160">
        <v>0.0</v>
      </c>
      <c r="Y206" s="160">
        <v>1.066456102E7</v>
      </c>
    </row>
    <row r="207">
      <c r="A207" s="157" t="s">
        <v>638</v>
      </c>
      <c r="B207" s="160">
        <v>0.0</v>
      </c>
      <c r="C207" s="160">
        <v>0.0</v>
      </c>
      <c r="D207" s="160">
        <v>0.0</v>
      </c>
      <c r="E207" s="160">
        <v>0.0</v>
      </c>
      <c r="F207" s="160">
        <v>0.0</v>
      </c>
      <c r="G207" s="160">
        <v>0.0</v>
      </c>
      <c r="H207" s="160">
        <v>0.0</v>
      </c>
      <c r="I207" s="160">
        <v>0.0</v>
      </c>
      <c r="J207" s="160">
        <v>0.0</v>
      </c>
      <c r="K207" s="160">
        <v>0.0</v>
      </c>
      <c r="L207" s="160">
        <v>0.0</v>
      </c>
      <c r="M207" s="160">
        <v>0.0</v>
      </c>
      <c r="N207" s="160">
        <v>0.0</v>
      </c>
      <c r="O207" s="160">
        <v>0.0</v>
      </c>
      <c r="P207" s="160">
        <v>0.0</v>
      </c>
      <c r="Q207" s="160">
        <v>0.0</v>
      </c>
      <c r="R207" s="160">
        <v>0.0</v>
      </c>
      <c r="S207" s="160">
        <v>0.0</v>
      </c>
      <c r="T207" s="160">
        <v>0.0</v>
      </c>
      <c r="U207" s="160">
        <v>0.0</v>
      </c>
      <c r="V207" s="160">
        <v>0.0</v>
      </c>
      <c r="W207" s="160">
        <v>0.0</v>
      </c>
      <c r="X207" s="160">
        <v>0.0</v>
      </c>
      <c r="Y207" s="160">
        <v>0.0</v>
      </c>
    </row>
    <row r="208">
      <c r="A208" s="157" t="s">
        <v>639</v>
      </c>
      <c r="B208" s="160">
        <v>0.0</v>
      </c>
      <c r="C208" s="160">
        <v>0.0</v>
      </c>
      <c r="D208" s="160">
        <v>0.0</v>
      </c>
      <c r="E208" s="160">
        <v>0.0</v>
      </c>
      <c r="F208" s="160">
        <v>0.0</v>
      </c>
      <c r="G208" s="160">
        <v>0.0</v>
      </c>
      <c r="H208" s="160">
        <v>0.0</v>
      </c>
      <c r="I208" s="160">
        <v>0.0</v>
      </c>
      <c r="J208" s="160">
        <v>0.0</v>
      </c>
      <c r="K208" s="160">
        <v>0.0</v>
      </c>
      <c r="L208" s="160">
        <v>0.0</v>
      </c>
      <c r="M208" s="160">
        <v>0.0</v>
      </c>
      <c r="N208" s="160">
        <v>0.0</v>
      </c>
      <c r="O208" s="160">
        <v>0.0</v>
      </c>
      <c r="P208" s="160">
        <v>0.0</v>
      </c>
      <c r="Q208" s="160">
        <v>0.0</v>
      </c>
      <c r="R208" s="160">
        <v>0.0</v>
      </c>
      <c r="S208" s="160">
        <v>0.0</v>
      </c>
      <c r="T208" s="160">
        <v>0.0</v>
      </c>
      <c r="U208" s="160">
        <v>0.0</v>
      </c>
      <c r="V208" s="160">
        <v>0.0</v>
      </c>
      <c r="W208" s="160">
        <v>0.0</v>
      </c>
      <c r="X208" s="160">
        <v>0.0</v>
      </c>
      <c r="Y208" s="160">
        <v>0.0</v>
      </c>
    </row>
    <row r="209">
      <c r="A209" s="157" t="s">
        <v>640</v>
      </c>
      <c r="B209" s="160">
        <v>0.0</v>
      </c>
      <c r="C209" s="160">
        <v>0.0</v>
      </c>
      <c r="D209" s="160">
        <v>0.0</v>
      </c>
      <c r="E209" s="160">
        <v>0.0</v>
      </c>
      <c r="F209" s="160">
        <v>0.0</v>
      </c>
      <c r="G209" s="160">
        <v>0.0</v>
      </c>
      <c r="H209" s="160">
        <v>0.0</v>
      </c>
      <c r="I209" s="160">
        <v>0.0</v>
      </c>
      <c r="J209" s="160">
        <v>0.0</v>
      </c>
      <c r="K209" s="160">
        <v>0.0</v>
      </c>
      <c r="L209" s="160">
        <v>0.0</v>
      </c>
      <c r="M209" s="160">
        <v>0.0</v>
      </c>
      <c r="N209" s="160">
        <v>0.0</v>
      </c>
      <c r="O209" s="160">
        <v>0.0</v>
      </c>
      <c r="P209" s="160">
        <v>0.0</v>
      </c>
      <c r="Q209" s="160">
        <v>0.0</v>
      </c>
      <c r="R209" s="160">
        <v>0.0</v>
      </c>
      <c r="S209" s="160">
        <v>0.0</v>
      </c>
      <c r="T209" s="160">
        <v>0.0</v>
      </c>
      <c r="U209" s="160">
        <v>0.0</v>
      </c>
      <c r="V209" s="160">
        <v>0.0</v>
      </c>
      <c r="W209" s="160">
        <v>0.0</v>
      </c>
      <c r="X209" s="160">
        <v>0.0</v>
      </c>
      <c r="Y209" s="160">
        <v>0.0</v>
      </c>
    </row>
    <row r="210">
      <c r="A210" s="157" t="s">
        <v>641</v>
      </c>
      <c r="B210" s="160">
        <v>0.0</v>
      </c>
      <c r="C210" s="160">
        <v>0.0</v>
      </c>
      <c r="D210" s="160">
        <v>0.0</v>
      </c>
      <c r="E210" s="160">
        <v>0.0</v>
      </c>
      <c r="F210" s="160">
        <v>0.0</v>
      </c>
      <c r="G210" s="160">
        <v>0.0</v>
      </c>
      <c r="H210" s="160">
        <v>0.0</v>
      </c>
      <c r="I210" s="160">
        <v>0.0</v>
      </c>
      <c r="J210" s="160">
        <v>0.0</v>
      </c>
      <c r="K210" s="160">
        <v>0.0</v>
      </c>
      <c r="L210" s="160">
        <v>0.0</v>
      </c>
      <c r="M210" s="160">
        <v>0.0</v>
      </c>
      <c r="N210" s="160">
        <v>0.0</v>
      </c>
      <c r="O210" s="160">
        <v>0.0</v>
      </c>
      <c r="P210" s="160">
        <v>0.0</v>
      </c>
      <c r="Q210" s="160">
        <v>0.0</v>
      </c>
      <c r="R210" s="160">
        <v>0.0</v>
      </c>
      <c r="S210" s="160">
        <v>0.0</v>
      </c>
      <c r="T210" s="160">
        <v>0.0</v>
      </c>
      <c r="U210" s="160">
        <v>0.0</v>
      </c>
      <c r="V210" s="160">
        <v>0.0</v>
      </c>
      <c r="W210" s="160">
        <v>0.0</v>
      </c>
      <c r="X210" s="160">
        <v>0.0</v>
      </c>
      <c r="Y210" s="160">
        <v>0.0</v>
      </c>
    </row>
    <row r="211">
      <c r="A211" s="157" t="s">
        <v>642</v>
      </c>
      <c r="B211" s="160">
        <v>0.0</v>
      </c>
      <c r="C211" s="160">
        <v>0.0</v>
      </c>
      <c r="D211" s="160">
        <v>0.0</v>
      </c>
      <c r="E211" s="160">
        <v>0.0</v>
      </c>
      <c r="F211" s="160">
        <v>0.0</v>
      </c>
      <c r="G211" s="160">
        <v>0.0</v>
      </c>
      <c r="H211" s="160">
        <v>0.0</v>
      </c>
      <c r="I211" s="160">
        <v>0.0</v>
      </c>
      <c r="J211" s="160">
        <v>0.0</v>
      </c>
      <c r="K211" s="160">
        <v>0.0</v>
      </c>
      <c r="L211" s="160">
        <v>0.0</v>
      </c>
      <c r="M211" s="160">
        <v>0.0</v>
      </c>
      <c r="N211" s="160">
        <v>0.0</v>
      </c>
      <c r="O211" s="160">
        <v>0.0</v>
      </c>
      <c r="P211" s="160">
        <v>0.0</v>
      </c>
      <c r="Q211" s="160">
        <v>0.0</v>
      </c>
      <c r="R211" s="160">
        <v>0.0</v>
      </c>
      <c r="S211" s="160">
        <v>0.0</v>
      </c>
      <c r="T211" s="160">
        <v>0.0</v>
      </c>
      <c r="U211" s="160">
        <v>0.0</v>
      </c>
      <c r="V211" s="160">
        <v>0.0</v>
      </c>
      <c r="W211" s="160">
        <v>0.0</v>
      </c>
      <c r="X211" s="160">
        <v>0.0</v>
      </c>
      <c r="Y211" s="160">
        <v>0.0</v>
      </c>
    </row>
    <row r="212">
      <c r="A212" s="157" t="s">
        <v>643</v>
      </c>
      <c r="B212" s="160">
        <v>0.0</v>
      </c>
      <c r="C212" s="160">
        <v>0.0</v>
      </c>
      <c r="D212" s="160">
        <v>0.0</v>
      </c>
      <c r="E212" s="160">
        <v>0.0</v>
      </c>
      <c r="F212" s="160">
        <v>0.0</v>
      </c>
      <c r="G212" s="160">
        <v>0.0</v>
      </c>
      <c r="H212" s="160">
        <v>0.0</v>
      </c>
      <c r="I212" s="160">
        <v>0.0</v>
      </c>
      <c r="J212" s="160">
        <v>0.0</v>
      </c>
      <c r="K212" s="160">
        <v>0.0</v>
      </c>
      <c r="L212" s="160">
        <v>0.0</v>
      </c>
      <c r="M212" s="160">
        <v>0.0</v>
      </c>
      <c r="N212" s="160">
        <v>0.0</v>
      </c>
      <c r="O212" s="160">
        <v>0.0</v>
      </c>
      <c r="P212" s="160">
        <v>0.0</v>
      </c>
      <c r="Q212" s="160">
        <v>0.0</v>
      </c>
      <c r="R212" s="160">
        <v>0.0</v>
      </c>
      <c r="S212" s="160">
        <v>0.0</v>
      </c>
      <c r="T212" s="160">
        <v>0.0</v>
      </c>
      <c r="U212" s="160">
        <v>0.0</v>
      </c>
      <c r="V212" s="160">
        <v>0.0</v>
      </c>
      <c r="W212" s="160">
        <v>0.0</v>
      </c>
      <c r="X212" s="160">
        <v>0.0</v>
      </c>
      <c r="Y212" s="160">
        <v>0.0</v>
      </c>
    </row>
    <row r="213">
      <c r="A213" s="157" t="s">
        <v>644</v>
      </c>
      <c r="B213" s="160">
        <v>0.0</v>
      </c>
      <c r="C213" s="160">
        <v>0.0</v>
      </c>
      <c r="D213" s="160">
        <v>0.0</v>
      </c>
      <c r="E213" s="160">
        <v>0.0</v>
      </c>
      <c r="F213" s="160">
        <v>0.0</v>
      </c>
      <c r="G213" s="160">
        <v>0.0</v>
      </c>
      <c r="H213" s="160">
        <v>0.0</v>
      </c>
      <c r="I213" s="160">
        <v>0.0</v>
      </c>
      <c r="J213" s="160">
        <v>0.0</v>
      </c>
      <c r="K213" s="160">
        <v>0.0</v>
      </c>
      <c r="L213" s="160">
        <v>0.0</v>
      </c>
      <c r="M213" s="160">
        <v>0.0</v>
      </c>
      <c r="N213" s="160">
        <v>0.0</v>
      </c>
      <c r="O213" s="160">
        <v>0.0</v>
      </c>
      <c r="P213" s="160">
        <v>0.0</v>
      </c>
      <c r="Q213" s="160">
        <v>0.0</v>
      </c>
      <c r="R213" s="160">
        <v>0.0</v>
      </c>
      <c r="S213" s="160">
        <v>0.0</v>
      </c>
      <c r="T213" s="160">
        <v>0.0</v>
      </c>
      <c r="U213" s="160">
        <v>0.0</v>
      </c>
      <c r="V213" s="160">
        <v>0.0</v>
      </c>
      <c r="W213" s="160">
        <v>0.0</v>
      </c>
      <c r="X213" s="160">
        <v>0.0</v>
      </c>
      <c r="Y213" s="160">
        <v>0.0</v>
      </c>
    </row>
    <row r="214">
      <c r="A214" s="157" t="s">
        <v>645</v>
      </c>
      <c r="B214" s="160">
        <v>0.0</v>
      </c>
      <c r="C214" s="160">
        <v>0.0</v>
      </c>
      <c r="D214" s="160">
        <v>0.0</v>
      </c>
      <c r="E214" s="160">
        <v>0.0</v>
      </c>
      <c r="F214" s="160">
        <v>0.0</v>
      </c>
      <c r="G214" s="160">
        <v>0.0</v>
      </c>
      <c r="H214" s="160">
        <v>0.0</v>
      </c>
      <c r="I214" s="160">
        <v>0.0</v>
      </c>
      <c r="J214" s="160">
        <v>0.0</v>
      </c>
      <c r="K214" s="160">
        <v>0.0</v>
      </c>
      <c r="L214" s="160">
        <v>0.0</v>
      </c>
      <c r="M214" s="160">
        <v>0.0</v>
      </c>
      <c r="N214" s="160">
        <v>0.0</v>
      </c>
      <c r="O214" s="160">
        <v>0.0</v>
      </c>
      <c r="P214" s="160">
        <v>0.0</v>
      </c>
      <c r="Q214" s="160">
        <v>0.0</v>
      </c>
      <c r="R214" s="160">
        <v>0.0</v>
      </c>
      <c r="S214" s="160">
        <v>0.0</v>
      </c>
      <c r="T214" s="160">
        <v>0.0</v>
      </c>
      <c r="U214" s="160">
        <v>0.0</v>
      </c>
      <c r="V214" s="160">
        <v>0.0</v>
      </c>
      <c r="W214" s="160">
        <v>0.0</v>
      </c>
      <c r="X214" s="160">
        <v>0.0</v>
      </c>
      <c r="Y214" s="160">
        <v>0.0</v>
      </c>
    </row>
    <row r="215">
      <c r="A215" s="157" t="s">
        <v>646</v>
      </c>
      <c r="B215" s="160">
        <v>0.0</v>
      </c>
      <c r="C215" s="160">
        <v>0.0</v>
      </c>
      <c r="D215" s="160">
        <v>0.0</v>
      </c>
      <c r="E215" s="160">
        <v>0.0</v>
      </c>
      <c r="F215" s="160">
        <v>0.0</v>
      </c>
      <c r="G215" s="160">
        <v>0.0</v>
      </c>
      <c r="H215" s="160">
        <v>0.0</v>
      </c>
      <c r="I215" s="160">
        <v>0.0</v>
      </c>
      <c r="J215" s="160">
        <v>0.0</v>
      </c>
      <c r="K215" s="160">
        <v>0.0</v>
      </c>
      <c r="L215" s="160">
        <v>0.0</v>
      </c>
      <c r="M215" s="160">
        <v>0.0</v>
      </c>
      <c r="N215" s="160">
        <v>0.0</v>
      </c>
      <c r="O215" s="160">
        <v>0.0</v>
      </c>
      <c r="P215" s="160">
        <v>0.0</v>
      </c>
      <c r="Q215" s="160">
        <v>0.0</v>
      </c>
      <c r="R215" s="160">
        <v>0.0</v>
      </c>
      <c r="S215" s="160">
        <v>0.0</v>
      </c>
      <c r="T215" s="160">
        <v>0.0</v>
      </c>
      <c r="U215" s="160">
        <v>0.0</v>
      </c>
      <c r="V215" s="160">
        <v>0.0</v>
      </c>
      <c r="W215" s="160">
        <v>0.0</v>
      </c>
      <c r="X215" s="160">
        <v>0.0</v>
      </c>
      <c r="Y215" s="160">
        <v>0.0</v>
      </c>
    </row>
    <row r="216">
      <c r="A216" s="157" t="s">
        <v>647</v>
      </c>
      <c r="B216" s="160">
        <v>0.0</v>
      </c>
      <c r="C216" s="160">
        <v>0.0</v>
      </c>
      <c r="D216" s="160">
        <v>0.0</v>
      </c>
      <c r="E216" s="160">
        <v>0.0</v>
      </c>
      <c r="F216" s="160">
        <v>0.0</v>
      </c>
      <c r="G216" s="160">
        <v>0.0</v>
      </c>
      <c r="H216" s="160">
        <v>0.0</v>
      </c>
      <c r="I216" s="160">
        <v>0.0</v>
      </c>
      <c r="J216" s="160">
        <v>0.0</v>
      </c>
      <c r="K216" s="160">
        <v>0.0</v>
      </c>
      <c r="L216" s="160">
        <v>0.0</v>
      </c>
      <c r="M216" s="160">
        <v>0.0</v>
      </c>
      <c r="N216" s="160">
        <v>0.0</v>
      </c>
      <c r="O216" s="160">
        <v>0.0</v>
      </c>
      <c r="P216" s="160">
        <v>0.0</v>
      </c>
      <c r="Q216" s="160">
        <v>0.0</v>
      </c>
      <c r="R216" s="160">
        <v>0.0</v>
      </c>
      <c r="S216" s="160">
        <v>0.0</v>
      </c>
      <c r="T216" s="160">
        <v>0.0</v>
      </c>
      <c r="U216" s="160">
        <v>0.0</v>
      </c>
      <c r="V216" s="160">
        <v>0.0</v>
      </c>
      <c r="W216" s="160">
        <v>0.0</v>
      </c>
      <c r="X216" s="160">
        <v>0.0</v>
      </c>
      <c r="Y216" s="160">
        <v>0.0</v>
      </c>
    </row>
    <row r="217">
      <c r="A217" s="157" t="s">
        <v>648</v>
      </c>
      <c r="B217" s="160">
        <v>0.0</v>
      </c>
      <c r="C217" s="160">
        <v>0.0</v>
      </c>
      <c r="D217" s="160">
        <v>0.0</v>
      </c>
      <c r="E217" s="160">
        <v>0.0</v>
      </c>
      <c r="F217" s="160">
        <v>0.0</v>
      </c>
      <c r="G217" s="160">
        <v>0.0</v>
      </c>
      <c r="H217" s="160">
        <v>0.0</v>
      </c>
      <c r="I217" s="160">
        <v>0.0</v>
      </c>
      <c r="J217" s="160">
        <v>0.0</v>
      </c>
      <c r="K217" s="160">
        <v>0.0</v>
      </c>
      <c r="L217" s="160">
        <v>0.0</v>
      </c>
      <c r="M217" s="160">
        <v>0.0</v>
      </c>
      <c r="N217" s="160">
        <v>0.0</v>
      </c>
      <c r="O217" s="160">
        <v>0.0</v>
      </c>
      <c r="P217" s="160">
        <v>0.0</v>
      </c>
      <c r="Q217" s="160">
        <v>0.0</v>
      </c>
      <c r="R217" s="160">
        <v>0.0</v>
      </c>
      <c r="S217" s="160">
        <v>0.0</v>
      </c>
      <c r="T217" s="160">
        <v>0.0</v>
      </c>
      <c r="U217" s="160">
        <v>0.0</v>
      </c>
      <c r="V217" s="160">
        <v>0.0</v>
      </c>
      <c r="W217" s="160">
        <v>0.0</v>
      </c>
      <c r="X217" s="160">
        <v>0.0</v>
      </c>
      <c r="Y217" s="160">
        <v>0.0</v>
      </c>
    </row>
    <row r="218">
      <c r="A218" s="157" t="s">
        <v>649</v>
      </c>
      <c r="B218" s="160">
        <v>0.0</v>
      </c>
      <c r="C218" s="160">
        <v>0.0</v>
      </c>
      <c r="D218" s="160">
        <v>0.0</v>
      </c>
      <c r="E218" s="160">
        <v>0.0</v>
      </c>
      <c r="F218" s="160">
        <v>0.0</v>
      </c>
      <c r="G218" s="160">
        <v>0.0</v>
      </c>
      <c r="H218" s="160">
        <v>0.0</v>
      </c>
      <c r="I218" s="160">
        <v>0.0</v>
      </c>
      <c r="J218" s="160">
        <v>0.0</v>
      </c>
      <c r="K218" s="160">
        <v>0.0</v>
      </c>
      <c r="L218" s="160">
        <v>0.0</v>
      </c>
      <c r="M218" s="160">
        <v>0.0</v>
      </c>
      <c r="N218" s="160">
        <v>0.0</v>
      </c>
      <c r="O218" s="160">
        <v>0.0</v>
      </c>
      <c r="P218" s="160">
        <v>0.0</v>
      </c>
      <c r="Q218" s="160">
        <v>0.0</v>
      </c>
      <c r="R218" s="160">
        <v>0.0</v>
      </c>
      <c r="S218" s="160">
        <v>0.0</v>
      </c>
      <c r="T218" s="160">
        <v>0.0</v>
      </c>
      <c r="U218" s="160">
        <v>0.0</v>
      </c>
      <c r="V218" s="160">
        <v>0.0</v>
      </c>
      <c r="W218" s="160">
        <v>0.0</v>
      </c>
      <c r="X218" s="160">
        <v>0.0</v>
      </c>
      <c r="Y218" s="160">
        <v>0.0</v>
      </c>
    </row>
    <row r="219">
      <c r="A219" s="157" t="s">
        <v>650</v>
      </c>
      <c r="B219" s="160">
        <v>0.0</v>
      </c>
      <c r="C219" s="160">
        <v>0.0</v>
      </c>
      <c r="D219" s="160">
        <v>0.0</v>
      </c>
      <c r="E219" s="160">
        <v>0.0</v>
      </c>
      <c r="F219" s="160">
        <v>0.0</v>
      </c>
      <c r="G219" s="160">
        <v>0.0</v>
      </c>
      <c r="H219" s="160">
        <v>0.0</v>
      </c>
      <c r="I219" s="160">
        <v>0.0</v>
      </c>
      <c r="J219" s="160">
        <v>0.0</v>
      </c>
      <c r="K219" s="160">
        <v>0.0</v>
      </c>
      <c r="L219" s="160">
        <v>0.0</v>
      </c>
      <c r="M219" s="160">
        <v>0.0</v>
      </c>
      <c r="N219" s="160">
        <v>0.0</v>
      </c>
      <c r="O219" s="160">
        <v>0.0</v>
      </c>
      <c r="P219" s="160">
        <v>0.0</v>
      </c>
      <c r="Q219" s="160">
        <v>0.0</v>
      </c>
      <c r="R219" s="160">
        <v>0.0</v>
      </c>
      <c r="S219" s="160">
        <v>0.0</v>
      </c>
      <c r="T219" s="160">
        <v>0.0</v>
      </c>
      <c r="U219" s="160">
        <v>0.0</v>
      </c>
      <c r="V219" s="160">
        <v>0.0</v>
      </c>
      <c r="W219" s="160">
        <v>0.0</v>
      </c>
      <c r="X219" s="160">
        <v>0.0</v>
      </c>
      <c r="Y219" s="160">
        <v>0.0</v>
      </c>
    </row>
    <row r="220">
      <c r="A220" s="157" t="s">
        <v>651</v>
      </c>
      <c r="B220" s="160">
        <v>0.0</v>
      </c>
      <c r="C220" s="160">
        <v>0.0</v>
      </c>
      <c r="D220" s="160">
        <v>0.0</v>
      </c>
      <c r="E220" s="160">
        <v>0.0</v>
      </c>
      <c r="F220" s="160">
        <v>0.0</v>
      </c>
      <c r="G220" s="160">
        <v>0.0</v>
      </c>
      <c r="H220" s="160">
        <v>0.0</v>
      </c>
      <c r="I220" s="160">
        <v>0.0</v>
      </c>
      <c r="J220" s="160">
        <v>0.0</v>
      </c>
      <c r="K220" s="160">
        <v>0.0</v>
      </c>
      <c r="L220" s="160">
        <v>0.0</v>
      </c>
      <c r="M220" s="160">
        <v>0.0</v>
      </c>
      <c r="N220" s="160">
        <v>0.0</v>
      </c>
      <c r="O220" s="160">
        <v>0.0</v>
      </c>
      <c r="P220" s="160">
        <v>0.0</v>
      </c>
      <c r="Q220" s="160">
        <v>0.0</v>
      </c>
      <c r="R220" s="160">
        <v>0.0</v>
      </c>
      <c r="S220" s="160">
        <v>0.0</v>
      </c>
      <c r="T220" s="160">
        <v>0.0</v>
      </c>
      <c r="U220" s="160">
        <v>0.0</v>
      </c>
      <c r="V220" s="160">
        <v>0.0</v>
      </c>
      <c r="W220" s="160">
        <v>0.0</v>
      </c>
      <c r="X220" s="160">
        <v>0.0</v>
      </c>
      <c r="Y220" s="160">
        <v>0.0</v>
      </c>
    </row>
    <row r="221">
      <c r="A221" s="157" t="s">
        <v>355</v>
      </c>
      <c r="B221" s="160">
        <v>0.0</v>
      </c>
      <c r="C221" s="160">
        <v>0.0</v>
      </c>
      <c r="D221" s="160">
        <v>0.0</v>
      </c>
      <c r="E221" s="160">
        <v>0.0</v>
      </c>
      <c r="F221" s="160">
        <v>0.0</v>
      </c>
      <c r="G221" s="160">
        <v>0.0</v>
      </c>
      <c r="H221" s="160">
        <v>0.0</v>
      </c>
      <c r="I221" s="160">
        <v>0.0</v>
      </c>
      <c r="J221" s="160">
        <v>0.0</v>
      </c>
      <c r="K221" s="160">
        <v>0.0</v>
      </c>
      <c r="L221" s="160">
        <v>0.0</v>
      </c>
      <c r="M221" s="160">
        <v>0.0</v>
      </c>
      <c r="N221" s="160">
        <v>0.0</v>
      </c>
      <c r="O221" s="160">
        <v>0.0</v>
      </c>
      <c r="P221" s="160">
        <v>0.0</v>
      </c>
      <c r="Q221" s="160">
        <v>0.0</v>
      </c>
      <c r="R221" s="160">
        <v>0.0</v>
      </c>
      <c r="S221" s="160">
        <v>0.0</v>
      </c>
      <c r="T221" s="160">
        <v>0.0</v>
      </c>
      <c r="U221" s="160">
        <v>0.0</v>
      </c>
      <c r="V221" s="160">
        <v>0.0</v>
      </c>
      <c r="W221" s="160">
        <v>0.0</v>
      </c>
      <c r="X221" s="160">
        <v>0.0</v>
      </c>
      <c r="Y221" s="160">
        <v>0.0</v>
      </c>
    </row>
    <row r="222">
      <c r="A222" s="157" t="s">
        <v>652</v>
      </c>
      <c r="B222" s="160">
        <v>0.0</v>
      </c>
      <c r="C222" s="160">
        <v>0.0</v>
      </c>
      <c r="D222" s="160">
        <v>0.0</v>
      </c>
      <c r="E222" s="160">
        <v>0.0</v>
      </c>
      <c r="F222" s="160">
        <v>0.0</v>
      </c>
      <c r="G222" s="160">
        <v>0.0</v>
      </c>
      <c r="H222" s="160">
        <v>0.0</v>
      </c>
      <c r="I222" s="160">
        <v>0.0</v>
      </c>
      <c r="J222" s="160">
        <v>0.0</v>
      </c>
      <c r="K222" s="160">
        <v>0.0</v>
      </c>
      <c r="L222" s="160">
        <v>0.0</v>
      </c>
      <c r="M222" s="160">
        <v>0.0</v>
      </c>
      <c r="N222" s="160">
        <v>0.0</v>
      </c>
      <c r="O222" s="160">
        <v>0.0</v>
      </c>
      <c r="P222" s="160">
        <v>0.0</v>
      </c>
      <c r="Q222" s="160">
        <v>0.0</v>
      </c>
      <c r="R222" s="160">
        <v>0.0</v>
      </c>
      <c r="S222" s="160">
        <v>0.0</v>
      </c>
      <c r="T222" s="160">
        <v>0.0</v>
      </c>
      <c r="U222" s="160">
        <v>0.0</v>
      </c>
      <c r="V222" s="160">
        <v>0.0</v>
      </c>
      <c r="W222" s="160">
        <v>0.0</v>
      </c>
      <c r="X222" s="160">
        <v>0.0</v>
      </c>
      <c r="Y222" s="160">
        <v>0.0</v>
      </c>
    </row>
    <row r="223">
      <c r="A223" s="157" t="s">
        <v>653</v>
      </c>
      <c r="B223" s="160">
        <v>0.0</v>
      </c>
      <c r="C223" s="160">
        <v>0.0</v>
      </c>
      <c r="D223" s="160">
        <v>0.0</v>
      </c>
      <c r="E223" s="160">
        <v>0.0</v>
      </c>
      <c r="F223" s="160">
        <v>0.0</v>
      </c>
      <c r="G223" s="160">
        <v>0.0</v>
      </c>
      <c r="H223" s="160">
        <v>0.0</v>
      </c>
      <c r="I223" s="160">
        <v>0.0</v>
      </c>
      <c r="J223" s="160">
        <v>0.0</v>
      </c>
      <c r="K223" s="160">
        <v>0.0</v>
      </c>
      <c r="L223" s="160">
        <v>0.0</v>
      </c>
      <c r="M223" s="160">
        <v>0.0</v>
      </c>
      <c r="N223" s="160">
        <v>0.0</v>
      </c>
      <c r="O223" s="160">
        <v>0.0</v>
      </c>
      <c r="P223" s="160">
        <v>0.0</v>
      </c>
      <c r="Q223" s="160">
        <v>0.0</v>
      </c>
      <c r="R223" s="160">
        <v>0.0</v>
      </c>
      <c r="S223" s="160">
        <v>0.0</v>
      </c>
      <c r="T223" s="160">
        <v>0.0</v>
      </c>
      <c r="U223" s="160">
        <v>0.0</v>
      </c>
      <c r="V223" s="160">
        <v>0.0</v>
      </c>
      <c r="W223" s="160">
        <v>0.0</v>
      </c>
      <c r="X223" s="160">
        <v>0.0</v>
      </c>
      <c r="Y223" s="160">
        <v>0.0</v>
      </c>
    </row>
    <row r="224">
      <c r="A224" s="157" t="s">
        <v>148</v>
      </c>
      <c r="B224" s="160">
        <v>187484.37</v>
      </c>
      <c r="C224" s="160">
        <v>973638.6</v>
      </c>
      <c r="D224" s="160">
        <v>248563.2</v>
      </c>
      <c r="E224" s="160">
        <v>230473.8</v>
      </c>
      <c r="F224" s="160">
        <v>24336.0</v>
      </c>
      <c r="G224" s="160">
        <v>24336.0</v>
      </c>
      <c r="H224" s="160">
        <v>385199.6</v>
      </c>
      <c r="I224" s="160">
        <v>21500.0</v>
      </c>
      <c r="J224" s="160">
        <v>1910437.76</v>
      </c>
      <c r="K224" s="160">
        <v>616998.36</v>
      </c>
      <c r="L224" s="160">
        <v>3119865.37</v>
      </c>
      <c r="M224" s="160">
        <v>369404.4</v>
      </c>
      <c r="N224" s="160">
        <v>428613.2</v>
      </c>
      <c r="O224" s="160">
        <v>803901.01</v>
      </c>
      <c r="P224" s="160">
        <v>269051.74</v>
      </c>
      <c r="Q224" s="160">
        <v>0.0</v>
      </c>
      <c r="R224" s="160">
        <v>0.0</v>
      </c>
      <c r="S224" s="160">
        <v>0.0</v>
      </c>
      <c r="T224" s="160">
        <v>0.0</v>
      </c>
      <c r="U224" s="160">
        <v>1028436.4</v>
      </c>
      <c r="V224" s="160">
        <v>0.0</v>
      </c>
      <c r="W224" s="160">
        <v>0.0</v>
      </c>
      <c r="X224" s="160">
        <v>0.0</v>
      </c>
      <c r="Y224" s="160">
        <v>1.064223981E7</v>
      </c>
    </row>
    <row r="225">
      <c r="A225" s="157" t="s">
        <v>654</v>
      </c>
      <c r="B225" s="160">
        <v>0.0</v>
      </c>
      <c r="C225" s="160">
        <v>0.0</v>
      </c>
      <c r="D225" s="160">
        <v>0.0</v>
      </c>
      <c r="E225" s="160">
        <v>0.0</v>
      </c>
      <c r="F225" s="160">
        <v>0.0</v>
      </c>
      <c r="G225" s="160">
        <v>0.0</v>
      </c>
      <c r="H225" s="160">
        <v>0.0</v>
      </c>
      <c r="I225" s="160">
        <v>0.0</v>
      </c>
      <c r="J225" s="160">
        <v>0.0</v>
      </c>
      <c r="K225" s="160">
        <v>0.0</v>
      </c>
      <c r="L225" s="160">
        <v>0.0</v>
      </c>
      <c r="M225" s="160">
        <v>0.0</v>
      </c>
      <c r="N225" s="160">
        <v>0.0</v>
      </c>
      <c r="O225" s="160">
        <v>0.0</v>
      </c>
      <c r="P225" s="160">
        <v>0.0</v>
      </c>
      <c r="Q225" s="160">
        <v>0.0</v>
      </c>
      <c r="R225" s="160">
        <v>0.0</v>
      </c>
      <c r="S225" s="160">
        <v>0.0</v>
      </c>
      <c r="T225" s="160">
        <v>0.0</v>
      </c>
      <c r="U225" s="160">
        <v>0.0</v>
      </c>
      <c r="V225" s="160">
        <v>0.0</v>
      </c>
      <c r="W225" s="160">
        <v>0.0</v>
      </c>
      <c r="X225" s="160">
        <v>0.0</v>
      </c>
      <c r="Y225" s="160">
        <v>0.0</v>
      </c>
    </row>
    <row r="226">
      <c r="A226" s="157" t="s">
        <v>655</v>
      </c>
      <c r="B226" s="160">
        <v>0.0</v>
      </c>
      <c r="C226" s="160">
        <v>0.0</v>
      </c>
      <c r="D226" s="160">
        <v>0.0</v>
      </c>
      <c r="E226" s="160">
        <v>0.0</v>
      </c>
      <c r="F226" s="160">
        <v>0.0</v>
      </c>
      <c r="G226" s="160">
        <v>0.0</v>
      </c>
      <c r="H226" s="160">
        <v>0.0</v>
      </c>
      <c r="I226" s="160">
        <v>0.0</v>
      </c>
      <c r="J226" s="160">
        <v>0.0</v>
      </c>
      <c r="K226" s="160">
        <v>0.0</v>
      </c>
      <c r="L226" s="160">
        <v>0.0</v>
      </c>
      <c r="M226" s="160">
        <v>0.0</v>
      </c>
      <c r="N226" s="160">
        <v>0.0</v>
      </c>
      <c r="O226" s="160">
        <v>0.0</v>
      </c>
      <c r="P226" s="160">
        <v>0.0</v>
      </c>
      <c r="Q226" s="160">
        <v>0.0</v>
      </c>
      <c r="R226" s="160">
        <v>0.0</v>
      </c>
      <c r="S226" s="160">
        <v>0.0</v>
      </c>
      <c r="T226" s="160">
        <v>0.0</v>
      </c>
      <c r="U226" s="160">
        <v>0.0</v>
      </c>
      <c r="V226" s="160">
        <v>0.0</v>
      </c>
      <c r="W226" s="160">
        <v>0.0</v>
      </c>
      <c r="X226" s="160">
        <v>0.0</v>
      </c>
      <c r="Y226" s="160">
        <v>0.0</v>
      </c>
    </row>
    <row r="227">
      <c r="A227" s="157" t="s">
        <v>656</v>
      </c>
      <c r="B227" s="160">
        <v>0.0</v>
      </c>
      <c r="C227" s="160">
        <v>0.0</v>
      </c>
      <c r="D227" s="160">
        <v>0.0</v>
      </c>
      <c r="E227" s="160">
        <v>0.0</v>
      </c>
      <c r="F227" s="160">
        <v>0.0</v>
      </c>
      <c r="G227" s="160">
        <v>0.0</v>
      </c>
      <c r="H227" s="160">
        <v>0.0</v>
      </c>
      <c r="I227" s="160">
        <v>0.0</v>
      </c>
      <c r="J227" s="160">
        <v>0.0</v>
      </c>
      <c r="K227" s="160">
        <v>0.0</v>
      </c>
      <c r="L227" s="160">
        <v>0.0</v>
      </c>
      <c r="M227" s="160">
        <v>0.0</v>
      </c>
      <c r="N227" s="160">
        <v>0.0</v>
      </c>
      <c r="O227" s="160">
        <v>0.0</v>
      </c>
      <c r="P227" s="160">
        <v>0.0</v>
      </c>
      <c r="Q227" s="160">
        <v>0.0</v>
      </c>
      <c r="R227" s="160">
        <v>0.0</v>
      </c>
      <c r="S227" s="160">
        <v>0.0</v>
      </c>
      <c r="T227" s="160">
        <v>0.0</v>
      </c>
      <c r="U227" s="160">
        <v>0.0</v>
      </c>
      <c r="V227" s="160">
        <v>0.0</v>
      </c>
      <c r="W227" s="160">
        <v>0.0</v>
      </c>
      <c r="X227" s="160">
        <v>0.0</v>
      </c>
      <c r="Y227" s="160">
        <v>0.0</v>
      </c>
    </row>
    <row r="228">
      <c r="A228" s="157" t="s">
        <v>74</v>
      </c>
      <c r="B228" s="160">
        <v>218180.59</v>
      </c>
      <c r="C228" s="160">
        <v>126357.0</v>
      </c>
      <c r="D228" s="160">
        <v>8569.0</v>
      </c>
      <c r="E228" s="160">
        <v>17787.0</v>
      </c>
      <c r="F228" s="160">
        <v>0.0</v>
      </c>
      <c r="G228" s="160">
        <v>0.0</v>
      </c>
      <c r="H228" s="160">
        <v>233740.0</v>
      </c>
      <c r="I228" s="160">
        <v>0.0</v>
      </c>
      <c r="J228" s="160">
        <v>3710782.72</v>
      </c>
      <c r="K228" s="160">
        <v>0.0</v>
      </c>
      <c r="L228" s="160">
        <v>469191.68</v>
      </c>
      <c r="M228" s="160">
        <v>0.0</v>
      </c>
      <c r="N228" s="160">
        <v>0.0</v>
      </c>
      <c r="O228" s="160">
        <v>1658635.3</v>
      </c>
      <c r="P228" s="160">
        <v>0.0</v>
      </c>
      <c r="Q228" s="160">
        <v>0.0</v>
      </c>
      <c r="R228" s="160">
        <v>0.0</v>
      </c>
      <c r="S228" s="160">
        <v>445539.25</v>
      </c>
      <c r="T228" s="160">
        <v>0.0</v>
      </c>
      <c r="U228" s="160">
        <v>5644777.39</v>
      </c>
      <c r="V228" s="160">
        <v>0.0</v>
      </c>
      <c r="W228" s="160">
        <v>0.0</v>
      </c>
      <c r="X228" s="160">
        <v>0.0</v>
      </c>
      <c r="Y228" s="160">
        <v>1.253355994E7</v>
      </c>
    </row>
    <row r="229">
      <c r="A229" s="157" t="s">
        <v>657</v>
      </c>
      <c r="B229" s="160">
        <v>0.0</v>
      </c>
      <c r="C229" s="160">
        <v>0.0</v>
      </c>
      <c r="D229" s="160">
        <v>0.0</v>
      </c>
      <c r="E229" s="160">
        <v>0.0</v>
      </c>
      <c r="F229" s="160">
        <v>0.0</v>
      </c>
      <c r="G229" s="160">
        <v>0.0</v>
      </c>
      <c r="H229" s="160">
        <v>0.0</v>
      </c>
      <c r="I229" s="160">
        <v>0.0</v>
      </c>
      <c r="J229" s="160">
        <v>0.0</v>
      </c>
      <c r="K229" s="160">
        <v>0.0</v>
      </c>
      <c r="L229" s="160">
        <v>0.0</v>
      </c>
      <c r="M229" s="160">
        <v>0.0</v>
      </c>
      <c r="N229" s="160">
        <v>0.0</v>
      </c>
      <c r="O229" s="160">
        <v>0.0</v>
      </c>
      <c r="P229" s="160">
        <v>0.0</v>
      </c>
      <c r="Q229" s="160">
        <v>0.0</v>
      </c>
      <c r="R229" s="160">
        <v>0.0</v>
      </c>
      <c r="S229" s="160">
        <v>0.0</v>
      </c>
      <c r="T229" s="160">
        <v>0.0</v>
      </c>
      <c r="U229" s="160">
        <v>0.0</v>
      </c>
      <c r="V229" s="160">
        <v>0.0</v>
      </c>
      <c r="W229" s="160">
        <v>0.0</v>
      </c>
      <c r="X229" s="160">
        <v>0.0</v>
      </c>
      <c r="Y229" s="160">
        <v>0.0</v>
      </c>
    </row>
    <row r="230">
      <c r="A230" s="157" t="s">
        <v>658</v>
      </c>
      <c r="B230" s="160">
        <v>0.0</v>
      </c>
      <c r="C230" s="160">
        <v>0.0</v>
      </c>
      <c r="D230" s="160">
        <v>0.0</v>
      </c>
      <c r="E230" s="160">
        <v>0.0</v>
      </c>
      <c r="F230" s="160">
        <v>0.0</v>
      </c>
      <c r="G230" s="160">
        <v>0.0</v>
      </c>
      <c r="H230" s="160">
        <v>0.0</v>
      </c>
      <c r="I230" s="160">
        <v>0.0</v>
      </c>
      <c r="J230" s="160">
        <v>0.0</v>
      </c>
      <c r="K230" s="160">
        <v>0.0</v>
      </c>
      <c r="L230" s="160">
        <v>0.0</v>
      </c>
      <c r="M230" s="160">
        <v>0.0</v>
      </c>
      <c r="N230" s="160">
        <v>0.0</v>
      </c>
      <c r="O230" s="160">
        <v>0.0</v>
      </c>
      <c r="P230" s="160">
        <v>0.0</v>
      </c>
      <c r="Q230" s="160">
        <v>0.0</v>
      </c>
      <c r="R230" s="160">
        <v>0.0</v>
      </c>
      <c r="S230" s="160">
        <v>0.0</v>
      </c>
      <c r="T230" s="160">
        <v>0.0</v>
      </c>
      <c r="U230" s="160">
        <v>0.0</v>
      </c>
      <c r="V230" s="160">
        <v>0.0</v>
      </c>
      <c r="W230" s="160">
        <v>0.0</v>
      </c>
      <c r="X230" s="160">
        <v>0.0</v>
      </c>
      <c r="Y230" s="160">
        <v>0.0</v>
      </c>
    </row>
    <row r="231">
      <c r="A231" s="157" t="s">
        <v>659</v>
      </c>
      <c r="B231" s="160">
        <v>0.0</v>
      </c>
      <c r="C231" s="160">
        <v>0.0</v>
      </c>
      <c r="D231" s="160">
        <v>0.0</v>
      </c>
      <c r="E231" s="160">
        <v>0.0</v>
      </c>
      <c r="F231" s="160">
        <v>0.0</v>
      </c>
      <c r="G231" s="160">
        <v>0.0</v>
      </c>
      <c r="H231" s="160">
        <v>0.0</v>
      </c>
      <c r="I231" s="160">
        <v>0.0</v>
      </c>
      <c r="J231" s="160">
        <v>0.0</v>
      </c>
      <c r="K231" s="160">
        <v>0.0</v>
      </c>
      <c r="L231" s="160">
        <v>0.0</v>
      </c>
      <c r="M231" s="160">
        <v>0.0</v>
      </c>
      <c r="N231" s="160">
        <v>0.0</v>
      </c>
      <c r="O231" s="160">
        <v>0.0</v>
      </c>
      <c r="P231" s="160">
        <v>0.0</v>
      </c>
      <c r="Q231" s="160">
        <v>0.0</v>
      </c>
      <c r="R231" s="160">
        <v>0.0</v>
      </c>
      <c r="S231" s="160">
        <v>0.0</v>
      </c>
      <c r="T231" s="160">
        <v>0.0</v>
      </c>
      <c r="U231" s="160">
        <v>0.0</v>
      </c>
      <c r="V231" s="160">
        <v>0.0</v>
      </c>
      <c r="W231" s="160">
        <v>0.0</v>
      </c>
      <c r="X231" s="160">
        <v>0.0</v>
      </c>
      <c r="Y231" s="160">
        <v>0.0</v>
      </c>
    </row>
    <row r="232">
      <c r="A232" s="157" t="s">
        <v>73</v>
      </c>
      <c r="B232" s="160">
        <v>0.0</v>
      </c>
      <c r="C232" s="160">
        <v>0.0</v>
      </c>
      <c r="D232" s="160">
        <v>0.0</v>
      </c>
      <c r="E232" s="160">
        <v>0.0</v>
      </c>
      <c r="F232" s="160">
        <v>0.0</v>
      </c>
      <c r="G232" s="160">
        <v>0.0</v>
      </c>
      <c r="H232" s="160">
        <v>0.0</v>
      </c>
      <c r="I232" s="160">
        <v>0.0</v>
      </c>
      <c r="J232" s="160">
        <v>0.0</v>
      </c>
      <c r="K232" s="160">
        <v>0.0</v>
      </c>
      <c r="L232" s="160">
        <v>0.0</v>
      </c>
      <c r="M232" s="160">
        <v>0.0</v>
      </c>
      <c r="N232" s="160">
        <v>0.0</v>
      </c>
      <c r="O232" s="160">
        <v>0.0</v>
      </c>
      <c r="P232" s="160">
        <v>0.0</v>
      </c>
      <c r="Q232" s="160">
        <v>0.0</v>
      </c>
      <c r="R232" s="160">
        <v>0.0</v>
      </c>
      <c r="S232" s="160">
        <v>0.0</v>
      </c>
      <c r="T232" s="160">
        <v>0.0</v>
      </c>
      <c r="U232" s="160">
        <v>0.0</v>
      </c>
      <c r="V232" s="160">
        <v>0.0</v>
      </c>
      <c r="W232" s="160">
        <v>0.0</v>
      </c>
      <c r="X232" s="160">
        <v>0.0</v>
      </c>
      <c r="Y232" s="160">
        <v>0.0</v>
      </c>
    </row>
    <row r="233">
      <c r="A233" s="157" t="s">
        <v>660</v>
      </c>
      <c r="B233" s="160">
        <v>0.0</v>
      </c>
      <c r="C233" s="160">
        <v>0.0</v>
      </c>
      <c r="D233" s="160">
        <v>0.0</v>
      </c>
      <c r="E233" s="160">
        <v>0.0</v>
      </c>
      <c r="F233" s="160">
        <v>0.0</v>
      </c>
      <c r="G233" s="160">
        <v>0.0</v>
      </c>
      <c r="H233" s="160">
        <v>0.0</v>
      </c>
      <c r="I233" s="160">
        <v>0.0</v>
      </c>
      <c r="J233" s="160">
        <v>0.0</v>
      </c>
      <c r="K233" s="160">
        <v>0.0</v>
      </c>
      <c r="L233" s="160">
        <v>0.0</v>
      </c>
      <c r="M233" s="160">
        <v>0.0</v>
      </c>
      <c r="N233" s="160">
        <v>0.0</v>
      </c>
      <c r="O233" s="160">
        <v>0.0</v>
      </c>
      <c r="P233" s="160">
        <v>0.0</v>
      </c>
      <c r="Q233" s="160">
        <v>0.0</v>
      </c>
      <c r="R233" s="160">
        <v>0.0</v>
      </c>
      <c r="S233" s="160">
        <v>0.0</v>
      </c>
      <c r="T233" s="160">
        <v>0.0</v>
      </c>
      <c r="U233" s="160">
        <v>0.0</v>
      </c>
      <c r="V233" s="160">
        <v>0.0</v>
      </c>
      <c r="W233" s="160">
        <v>0.0</v>
      </c>
      <c r="X233" s="160">
        <v>0.0</v>
      </c>
      <c r="Y233" s="160">
        <v>0.0</v>
      </c>
    </row>
    <row r="234">
      <c r="A234" s="157" t="s">
        <v>304</v>
      </c>
      <c r="B234" s="160">
        <v>0.0</v>
      </c>
      <c r="C234" s="160">
        <v>944567.09</v>
      </c>
      <c r="D234" s="160">
        <v>408153.24</v>
      </c>
      <c r="E234" s="160">
        <v>567276.52</v>
      </c>
      <c r="F234" s="160">
        <v>30408.0</v>
      </c>
      <c r="G234" s="160">
        <v>61859.4</v>
      </c>
      <c r="H234" s="160">
        <v>910789.7</v>
      </c>
      <c r="I234" s="160">
        <v>15040.4</v>
      </c>
      <c r="J234" s="160">
        <v>48807.2</v>
      </c>
      <c r="K234" s="160">
        <v>0.0</v>
      </c>
      <c r="L234" s="160">
        <v>3417052.42</v>
      </c>
      <c r="M234" s="160">
        <v>152883.5</v>
      </c>
      <c r="N234" s="160">
        <v>798837.7</v>
      </c>
      <c r="O234" s="160">
        <v>152842.5</v>
      </c>
      <c r="P234" s="160">
        <v>153533.05</v>
      </c>
      <c r="Q234" s="160">
        <v>0.0</v>
      </c>
      <c r="R234" s="160">
        <v>12180.0</v>
      </c>
      <c r="S234" s="160">
        <v>110570.0</v>
      </c>
      <c r="T234" s="160">
        <v>0.0</v>
      </c>
      <c r="U234" s="160">
        <v>1382359.51</v>
      </c>
      <c r="V234" s="160">
        <v>0.0</v>
      </c>
      <c r="W234" s="160">
        <v>0.0</v>
      </c>
      <c r="X234" s="160">
        <v>0.0</v>
      </c>
      <c r="Y234" s="160">
        <v>9167160.24</v>
      </c>
    </row>
    <row r="235">
      <c r="A235" s="157" t="s">
        <v>661</v>
      </c>
      <c r="B235" s="160">
        <v>0.0</v>
      </c>
      <c r="C235" s="160">
        <v>0.0</v>
      </c>
      <c r="D235" s="160">
        <v>0.0</v>
      </c>
      <c r="E235" s="160">
        <v>0.0</v>
      </c>
      <c r="F235" s="160">
        <v>0.0</v>
      </c>
      <c r="G235" s="160">
        <v>0.0</v>
      </c>
      <c r="H235" s="160">
        <v>0.0</v>
      </c>
      <c r="I235" s="160">
        <v>0.0</v>
      </c>
      <c r="J235" s="160">
        <v>0.0</v>
      </c>
      <c r="K235" s="160">
        <v>0.0</v>
      </c>
      <c r="L235" s="160">
        <v>0.0</v>
      </c>
      <c r="M235" s="160">
        <v>0.0</v>
      </c>
      <c r="N235" s="160">
        <v>0.0</v>
      </c>
      <c r="O235" s="160">
        <v>0.0</v>
      </c>
      <c r="P235" s="160">
        <v>0.0</v>
      </c>
      <c r="Q235" s="160">
        <v>0.0</v>
      </c>
      <c r="R235" s="160">
        <v>0.0</v>
      </c>
      <c r="S235" s="160">
        <v>0.0</v>
      </c>
      <c r="T235" s="160">
        <v>0.0</v>
      </c>
      <c r="U235" s="160">
        <v>0.0</v>
      </c>
      <c r="V235" s="160">
        <v>0.0</v>
      </c>
      <c r="W235" s="160">
        <v>0.0</v>
      </c>
      <c r="X235" s="160">
        <v>0.0</v>
      </c>
      <c r="Y235" s="160">
        <v>0.0</v>
      </c>
    </row>
    <row r="236">
      <c r="A236" s="157" t="s">
        <v>662</v>
      </c>
      <c r="B236" s="160">
        <v>0.0</v>
      </c>
      <c r="C236" s="160">
        <v>0.0</v>
      </c>
      <c r="D236" s="160">
        <v>0.0</v>
      </c>
      <c r="E236" s="160">
        <v>0.0</v>
      </c>
      <c r="F236" s="160">
        <v>0.0</v>
      </c>
      <c r="G236" s="160">
        <v>0.0</v>
      </c>
      <c r="H236" s="160">
        <v>0.0</v>
      </c>
      <c r="I236" s="160">
        <v>0.0</v>
      </c>
      <c r="J236" s="160">
        <v>0.0</v>
      </c>
      <c r="K236" s="160">
        <v>0.0</v>
      </c>
      <c r="L236" s="160">
        <v>0.0</v>
      </c>
      <c r="M236" s="160">
        <v>0.0</v>
      </c>
      <c r="N236" s="160">
        <v>0.0</v>
      </c>
      <c r="O236" s="160">
        <v>0.0</v>
      </c>
      <c r="P236" s="160">
        <v>0.0</v>
      </c>
      <c r="Q236" s="160">
        <v>0.0</v>
      </c>
      <c r="R236" s="160">
        <v>0.0</v>
      </c>
      <c r="S236" s="160">
        <v>0.0</v>
      </c>
      <c r="T236" s="160">
        <v>0.0</v>
      </c>
      <c r="U236" s="160">
        <v>0.0</v>
      </c>
      <c r="V236" s="160">
        <v>0.0</v>
      </c>
      <c r="W236" s="160">
        <v>0.0</v>
      </c>
      <c r="X236" s="160">
        <v>0.0</v>
      </c>
      <c r="Y236" s="160">
        <v>0.0</v>
      </c>
    </row>
    <row r="237">
      <c r="A237" s="157" t="s">
        <v>663</v>
      </c>
      <c r="B237" s="160">
        <v>0.0</v>
      </c>
      <c r="C237" s="160">
        <v>0.0</v>
      </c>
      <c r="D237" s="160">
        <v>0.0</v>
      </c>
      <c r="E237" s="160">
        <v>0.0</v>
      </c>
      <c r="F237" s="160">
        <v>0.0</v>
      </c>
      <c r="G237" s="160">
        <v>0.0</v>
      </c>
      <c r="H237" s="160">
        <v>0.0</v>
      </c>
      <c r="I237" s="160">
        <v>0.0</v>
      </c>
      <c r="J237" s="160">
        <v>0.0</v>
      </c>
      <c r="K237" s="160">
        <v>0.0</v>
      </c>
      <c r="L237" s="160">
        <v>0.0</v>
      </c>
      <c r="M237" s="160">
        <v>0.0</v>
      </c>
      <c r="N237" s="160">
        <v>0.0</v>
      </c>
      <c r="O237" s="160">
        <v>0.0</v>
      </c>
      <c r="P237" s="160">
        <v>0.0</v>
      </c>
      <c r="Q237" s="160">
        <v>0.0</v>
      </c>
      <c r="R237" s="160">
        <v>0.0</v>
      </c>
      <c r="S237" s="160">
        <v>0.0</v>
      </c>
      <c r="T237" s="160">
        <v>0.0</v>
      </c>
      <c r="U237" s="160">
        <v>0.0</v>
      </c>
      <c r="V237" s="160">
        <v>0.0</v>
      </c>
      <c r="W237" s="160">
        <v>0.0</v>
      </c>
      <c r="X237" s="160">
        <v>0.0</v>
      </c>
      <c r="Y237" s="160">
        <v>0.0</v>
      </c>
    </row>
    <row r="238">
      <c r="A238" s="157" t="s">
        <v>664</v>
      </c>
      <c r="B238" s="160">
        <v>0.0</v>
      </c>
      <c r="C238" s="160">
        <v>0.0</v>
      </c>
      <c r="D238" s="160">
        <v>0.0</v>
      </c>
      <c r="E238" s="160">
        <v>0.0</v>
      </c>
      <c r="F238" s="160">
        <v>0.0</v>
      </c>
      <c r="G238" s="160">
        <v>0.0</v>
      </c>
      <c r="H238" s="160">
        <v>0.0</v>
      </c>
      <c r="I238" s="160">
        <v>0.0</v>
      </c>
      <c r="J238" s="160">
        <v>0.0</v>
      </c>
      <c r="K238" s="160">
        <v>0.0</v>
      </c>
      <c r="L238" s="160">
        <v>0.0</v>
      </c>
      <c r="M238" s="160">
        <v>0.0</v>
      </c>
      <c r="N238" s="160">
        <v>0.0</v>
      </c>
      <c r="O238" s="160">
        <v>0.0</v>
      </c>
      <c r="P238" s="160">
        <v>0.0</v>
      </c>
      <c r="Q238" s="160">
        <v>0.0</v>
      </c>
      <c r="R238" s="160">
        <v>0.0</v>
      </c>
      <c r="S238" s="160">
        <v>0.0</v>
      </c>
      <c r="T238" s="160">
        <v>0.0</v>
      </c>
      <c r="U238" s="160">
        <v>0.0</v>
      </c>
      <c r="V238" s="160">
        <v>0.0</v>
      </c>
      <c r="W238" s="160">
        <v>0.0</v>
      </c>
      <c r="X238" s="160">
        <v>0.0</v>
      </c>
      <c r="Y238" s="160">
        <v>0.0</v>
      </c>
    </row>
    <row r="239">
      <c r="A239" s="157" t="s">
        <v>665</v>
      </c>
      <c r="B239" s="160">
        <v>0.0</v>
      </c>
      <c r="C239" s="160">
        <v>0.0</v>
      </c>
      <c r="D239" s="160">
        <v>0.0</v>
      </c>
      <c r="E239" s="160">
        <v>0.0</v>
      </c>
      <c r="F239" s="160">
        <v>0.0</v>
      </c>
      <c r="G239" s="160">
        <v>0.0</v>
      </c>
      <c r="H239" s="160">
        <v>0.0</v>
      </c>
      <c r="I239" s="160">
        <v>0.0</v>
      </c>
      <c r="J239" s="160">
        <v>0.0</v>
      </c>
      <c r="K239" s="160">
        <v>0.0</v>
      </c>
      <c r="L239" s="160">
        <v>0.0</v>
      </c>
      <c r="M239" s="160">
        <v>0.0</v>
      </c>
      <c r="N239" s="160">
        <v>0.0</v>
      </c>
      <c r="O239" s="160">
        <v>0.0</v>
      </c>
      <c r="P239" s="160">
        <v>0.0</v>
      </c>
      <c r="Q239" s="160">
        <v>0.0</v>
      </c>
      <c r="R239" s="160">
        <v>0.0</v>
      </c>
      <c r="S239" s="160">
        <v>0.0</v>
      </c>
      <c r="T239" s="160">
        <v>0.0</v>
      </c>
      <c r="U239" s="160">
        <v>0.0</v>
      </c>
      <c r="V239" s="160">
        <v>0.0</v>
      </c>
      <c r="W239" s="160">
        <v>0.0</v>
      </c>
      <c r="X239" s="160">
        <v>0.0</v>
      </c>
      <c r="Y239" s="160">
        <v>0.0</v>
      </c>
    </row>
    <row r="240">
      <c r="A240" s="157" t="s">
        <v>99</v>
      </c>
      <c r="B240" s="160">
        <v>0.0</v>
      </c>
      <c r="C240" s="160">
        <v>2883723.0</v>
      </c>
      <c r="D240" s="160">
        <v>1087788.0</v>
      </c>
      <c r="E240" s="160">
        <v>642084.0</v>
      </c>
      <c r="F240" s="160">
        <v>0.0</v>
      </c>
      <c r="G240" s="160">
        <v>0.0</v>
      </c>
      <c r="H240" s="160">
        <v>0.0</v>
      </c>
      <c r="I240" s="160">
        <v>0.0</v>
      </c>
      <c r="J240" s="160">
        <v>5064.0</v>
      </c>
      <c r="K240" s="160">
        <v>0.0</v>
      </c>
      <c r="L240" s="160">
        <v>4719264.41</v>
      </c>
      <c r="M240" s="160">
        <v>1067814.0</v>
      </c>
      <c r="N240" s="160">
        <v>0.0</v>
      </c>
      <c r="O240" s="160">
        <v>0.0</v>
      </c>
      <c r="P240" s="160">
        <v>0.0</v>
      </c>
      <c r="Q240" s="160">
        <v>0.0</v>
      </c>
      <c r="R240" s="160">
        <v>0.0</v>
      </c>
      <c r="S240" s="160">
        <v>0.0</v>
      </c>
      <c r="T240" s="160">
        <v>0.0</v>
      </c>
      <c r="U240" s="160">
        <v>1529046.0</v>
      </c>
      <c r="V240" s="160">
        <v>0.0</v>
      </c>
      <c r="W240" s="160">
        <v>0.0</v>
      </c>
      <c r="X240" s="160">
        <v>0.0</v>
      </c>
      <c r="Y240" s="160">
        <v>1.193478341E7</v>
      </c>
    </row>
    <row r="241">
      <c r="A241" s="157" t="s">
        <v>666</v>
      </c>
      <c r="B241" s="160">
        <v>0.0</v>
      </c>
      <c r="C241" s="160">
        <v>0.0</v>
      </c>
      <c r="D241" s="160">
        <v>0.0</v>
      </c>
      <c r="E241" s="160">
        <v>0.0</v>
      </c>
      <c r="F241" s="160">
        <v>0.0</v>
      </c>
      <c r="G241" s="160">
        <v>0.0</v>
      </c>
      <c r="H241" s="160">
        <v>0.0</v>
      </c>
      <c r="I241" s="160">
        <v>0.0</v>
      </c>
      <c r="J241" s="160">
        <v>0.0</v>
      </c>
      <c r="K241" s="160">
        <v>0.0</v>
      </c>
      <c r="L241" s="160">
        <v>0.0</v>
      </c>
      <c r="M241" s="160">
        <v>0.0</v>
      </c>
      <c r="N241" s="160">
        <v>0.0</v>
      </c>
      <c r="O241" s="160">
        <v>0.0</v>
      </c>
      <c r="P241" s="160">
        <v>0.0</v>
      </c>
      <c r="Q241" s="160">
        <v>0.0</v>
      </c>
      <c r="R241" s="160">
        <v>0.0</v>
      </c>
      <c r="S241" s="160">
        <v>0.0</v>
      </c>
      <c r="T241" s="160">
        <v>0.0</v>
      </c>
      <c r="U241" s="160">
        <v>0.0</v>
      </c>
      <c r="V241" s="160">
        <v>0.0</v>
      </c>
      <c r="W241" s="160">
        <v>0.0</v>
      </c>
      <c r="X241" s="160">
        <v>0.0</v>
      </c>
      <c r="Y241" s="160">
        <v>0.0</v>
      </c>
    </row>
    <row r="242">
      <c r="A242" s="157" t="s">
        <v>667</v>
      </c>
      <c r="B242" s="160">
        <v>0.0</v>
      </c>
      <c r="C242" s="160">
        <v>0.0</v>
      </c>
      <c r="D242" s="160">
        <v>0.0</v>
      </c>
      <c r="E242" s="160">
        <v>0.0</v>
      </c>
      <c r="F242" s="160">
        <v>0.0</v>
      </c>
      <c r="G242" s="160">
        <v>0.0</v>
      </c>
      <c r="H242" s="160">
        <v>0.0</v>
      </c>
      <c r="I242" s="160">
        <v>0.0</v>
      </c>
      <c r="J242" s="160">
        <v>0.0</v>
      </c>
      <c r="K242" s="160">
        <v>0.0</v>
      </c>
      <c r="L242" s="160">
        <v>0.0</v>
      </c>
      <c r="M242" s="160">
        <v>0.0</v>
      </c>
      <c r="N242" s="160">
        <v>0.0</v>
      </c>
      <c r="O242" s="160">
        <v>0.0</v>
      </c>
      <c r="P242" s="160">
        <v>0.0</v>
      </c>
      <c r="Q242" s="160">
        <v>0.0</v>
      </c>
      <c r="R242" s="160">
        <v>0.0</v>
      </c>
      <c r="S242" s="160">
        <v>0.0</v>
      </c>
      <c r="T242" s="160">
        <v>0.0</v>
      </c>
      <c r="U242" s="160">
        <v>0.0</v>
      </c>
      <c r="V242" s="160">
        <v>0.0</v>
      </c>
      <c r="W242" s="160">
        <v>0.0</v>
      </c>
      <c r="X242" s="160">
        <v>0.0</v>
      </c>
      <c r="Y242" s="160">
        <v>0.0</v>
      </c>
    </row>
    <row r="243">
      <c r="A243" s="157" t="s">
        <v>668</v>
      </c>
      <c r="B243" s="160">
        <v>0.0</v>
      </c>
      <c r="C243" s="160">
        <v>0.0</v>
      </c>
      <c r="D243" s="160">
        <v>0.0</v>
      </c>
      <c r="E243" s="160">
        <v>0.0</v>
      </c>
      <c r="F243" s="160">
        <v>0.0</v>
      </c>
      <c r="G243" s="160">
        <v>0.0</v>
      </c>
      <c r="H243" s="160">
        <v>0.0</v>
      </c>
      <c r="I243" s="160">
        <v>0.0</v>
      </c>
      <c r="J243" s="160">
        <v>0.0</v>
      </c>
      <c r="K243" s="160">
        <v>0.0</v>
      </c>
      <c r="L243" s="160">
        <v>0.0</v>
      </c>
      <c r="M243" s="160">
        <v>0.0</v>
      </c>
      <c r="N243" s="160">
        <v>0.0</v>
      </c>
      <c r="O243" s="160">
        <v>0.0</v>
      </c>
      <c r="P243" s="160">
        <v>0.0</v>
      </c>
      <c r="Q243" s="160">
        <v>0.0</v>
      </c>
      <c r="R243" s="160">
        <v>0.0</v>
      </c>
      <c r="S243" s="160">
        <v>0.0</v>
      </c>
      <c r="T243" s="160">
        <v>0.0</v>
      </c>
      <c r="U243" s="160">
        <v>0.0</v>
      </c>
      <c r="V243" s="160">
        <v>0.0</v>
      </c>
      <c r="W243" s="160">
        <v>0.0</v>
      </c>
      <c r="X243" s="160">
        <v>0.0</v>
      </c>
      <c r="Y243" s="160">
        <v>0.0</v>
      </c>
    </row>
    <row r="244">
      <c r="A244" s="157" t="s">
        <v>669</v>
      </c>
      <c r="B244" s="160">
        <v>0.0</v>
      </c>
      <c r="C244" s="160">
        <v>0.0</v>
      </c>
      <c r="D244" s="160">
        <v>0.0</v>
      </c>
      <c r="E244" s="160">
        <v>0.0</v>
      </c>
      <c r="F244" s="160">
        <v>0.0</v>
      </c>
      <c r="G244" s="160">
        <v>0.0</v>
      </c>
      <c r="H244" s="160">
        <v>0.0</v>
      </c>
      <c r="I244" s="160">
        <v>0.0</v>
      </c>
      <c r="J244" s="160">
        <v>0.0</v>
      </c>
      <c r="K244" s="160">
        <v>0.0</v>
      </c>
      <c r="L244" s="160">
        <v>0.0</v>
      </c>
      <c r="M244" s="160">
        <v>0.0</v>
      </c>
      <c r="N244" s="160">
        <v>0.0</v>
      </c>
      <c r="O244" s="160">
        <v>0.0</v>
      </c>
      <c r="P244" s="160">
        <v>0.0</v>
      </c>
      <c r="Q244" s="160">
        <v>0.0</v>
      </c>
      <c r="R244" s="160">
        <v>0.0</v>
      </c>
      <c r="S244" s="160">
        <v>0.0</v>
      </c>
      <c r="T244" s="160">
        <v>0.0</v>
      </c>
      <c r="U244" s="160">
        <v>0.0</v>
      </c>
      <c r="V244" s="160">
        <v>0.0</v>
      </c>
      <c r="W244" s="160">
        <v>0.0</v>
      </c>
      <c r="X244" s="160">
        <v>0.0</v>
      </c>
      <c r="Y244" s="160">
        <v>0.0</v>
      </c>
    </row>
    <row r="245">
      <c r="A245" s="157" t="s">
        <v>118</v>
      </c>
      <c r="B245" s="160">
        <v>0.0</v>
      </c>
      <c r="C245" s="160">
        <v>9350.0</v>
      </c>
      <c r="D245" s="160">
        <v>0.0</v>
      </c>
      <c r="E245" s="160">
        <v>0.0</v>
      </c>
      <c r="F245" s="160">
        <v>0.0</v>
      </c>
      <c r="G245" s="160">
        <v>0.0</v>
      </c>
      <c r="H245" s="160">
        <v>480876.0</v>
      </c>
      <c r="I245" s="160">
        <v>0.0</v>
      </c>
      <c r="J245" s="160">
        <v>146199.95</v>
      </c>
      <c r="K245" s="160">
        <v>0.0</v>
      </c>
      <c r="L245" s="160">
        <v>2072395.96</v>
      </c>
      <c r="M245" s="160">
        <v>1064406.8</v>
      </c>
      <c r="N245" s="160">
        <v>0.0</v>
      </c>
      <c r="O245" s="160">
        <v>0.0</v>
      </c>
      <c r="P245" s="160">
        <v>0.0</v>
      </c>
      <c r="Q245" s="160">
        <v>0.0</v>
      </c>
      <c r="R245" s="160">
        <v>0.0</v>
      </c>
      <c r="S245" s="160">
        <v>91231.25</v>
      </c>
      <c r="T245" s="160">
        <v>0.0</v>
      </c>
      <c r="U245" s="160">
        <v>0.0</v>
      </c>
      <c r="V245" s="160">
        <v>0.0</v>
      </c>
      <c r="W245" s="160">
        <v>0.0</v>
      </c>
      <c r="X245" s="160">
        <v>0.0</v>
      </c>
      <c r="Y245" s="160">
        <v>3864459.96</v>
      </c>
    </row>
    <row r="246">
      <c r="A246" s="157" t="s">
        <v>670</v>
      </c>
      <c r="B246" s="160">
        <v>0.0</v>
      </c>
      <c r="C246" s="160">
        <v>0.0</v>
      </c>
      <c r="D246" s="160">
        <v>0.0</v>
      </c>
      <c r="E246" s="160">
        <v>0.0</v>
      </c>
      <c r="F246" s="160">
        <v>0.0</v>
      </c>
      <c r="G246" s="160">
        <v>0.0</v>
      </c>
      <c r="H246" s="160">
        <v>0.0</v>
      </c>
      <c r="I246" s="160">
        <v>0.0</v>
      </c>
      <c r="J246" s="160">
        <v>0.0</v>
      </c>
      <c r="K246" s="160">
        <v>0.0</v>
      </c>
      <c r="L246" s="160">
        <v>0.0</v>
      </c>
      <c r="M246" s="160">
        <v>0.0</v>
      </c>
      <c r="N246" s="160">
        <v>0.0</v>
      </c>
      <c r="O246" s="160">
        <v>0.0</v>
      </c>
      <c r="P246" s="160">
        <v>0.0</v>
      </c>
      <c r="Q246" s="160">
        <v>0.0</v>
      </c>
      <c r="R246" s="160">
        <v>0.0</v>
      </c>
      <c r="S246" s="160">
        <v>0.0</v>
      </c>
      <c r="T246" s="160">
        <v>0.0</v>
      </c>
      <c r="U246" s="160">
        <v>0.0</v>
      </c>
      <c r="V246" s="160">
        <v>0.0</v>
      </c>
      <c r="W246" s="160">
        <v>0.0</v>
      </c>
      <c r="X246" s="160">
        <v>0.0</v>
      </c>
      <c r="Y246" s="160">
        <v>0.0</v>
      </c>
    </row>
    <row r="247">
      <c r="A247" s="157" t="s">
        <v>671</v>
      </c>
      <c r="B247" s="160">
        <v>0.0</v>
      </c>
      <c r="C247" s="160">
        <v>0.0</v>
      </c>
      <c r="D247" s="160">
        <v>0.0</v>
      </c>
      <c r="E247" s="160">
        <v>0.0</v>
      </c>
      <c r="F247" s="160">
        <v>0.0</v>
      </c>
      <c r="G247" s="160">
        <v>0.0</v>
      </c>
      <c r="H247" s="160">
        <v>0.0</v>
      </c>
      <c r="I247" s="160">
        <v>0.0</v>
      </c>
      <c r="J247" s="160">
        <v>0.0</v>
      </c>
      <c r="K247" s="160">
        <v>0.0</v>
      </c>
      <c r="L247" s="160">
        <v>0.0</v>
      </c>
      <c r="M247" s="160">
        <v>0.0</v>
      </c>
      <c r="N247" s="160">
        <v>0.0</v>
      </c>
      <c r="O247" s="160">
        <v>0.0</v>
      </c>
      <c r="P247" s="160">
        <v>0.0</v>
      </c>
      <c r="Q247" s="160">
        <v>0.0</v>
      </c>
      <c r="R247" s="160">
        <v>0.0</v>
      </c>
      <c r="S247" s="160">
        <v>0.0</v>
      </c>
      <c r="T247" s="160">
        <v>0.0</v>
      </c>
      <c r="U247" s="160">
        <v>0.0</v>
      </c>
      <c r="V247" s="160">
        <v>0.0</v>
      </c>
      <c r="W247" s="160">
        <v>0.0</v>
      </c>
      <c r="X247" s="160">
        <v>0.0</v>
      </c>
      <c r="Y247" s="160">
        <v>0.0</v>
      </c>
    </row>
    <row r="248">
      <c r="A248" s="157" t="s">
        <v>672</v>
      </c>
      <c r="B248" s="160">
        <v>0.0</v>
      </c>
      <c r="C248" s="160">
        <v>0.0</v>
      </c>
      <c r="D248" s="160">
        <v>0.0</v>
      </c>
      <c r="E248" s="160">
        <v>0.0</v>
      </c>
      <c r="F248" s="160">
        <v>0.0</v>
      </c>
      <c r="G248" s="160">
        <v>0.0</v>
      </c>
      <c r="H248" s="160">
        <v>0.0</v>
      </c>
      <c r="I248" s="160">
        <v>0.0</v>
      </c>
      <c r="J248" s="160">
        <v>0.0</v>
      </c>
      <c r="K248" s="160">
        <v>0.0</v>
      </c>
      <c r="L248" s="160">
        <v>0.0</v>
      </c>
      <c r="M248" s="160">
        <v>0.0</v>
      </c>
      <c r="N248" s="160">
        <v>0.0</v>
      </c>
      <c r="O248" s="160">
        <v>0.0</v>
      </c>
      <c r="P248" s="160">
        <v>0.0</v>
      </c>
      <c r="Q248" s="160">
        <v>0.0</v>
      </c>
      <c r="R248" s="160">
        <v>0.0</v>
      </c>
      <c r="S248" s="160">
        <v>0.0</v>
      </c>
      <c r="T248" s="160">
        <v>0.0</v>
      </c>
      <c r="U248" s="160">
        <v>0.0</v>
      </c>
      <c r="V248" s="160">
        <v>0.0</v>
      </c>
      <c r="W248" s="160">
        <v>0.0</v>
      </c>
      <c r="X248" s="160">
        <v>0.0</v>
      </c>
      <c r="Y248" s="160">
        <v>0.0</v>
      </c>
    </row>
    <row r="249">
      <c r="A249" s="157" t="s">
        <v>673</v>
      </c>
      <c r="B249" s="160">
        <v>0.0</v>
      </c>
      <c r="C249" s="160">
        <v>0.0</v>
      </c>
      <c r="D249" s="160">
        <v>0.0</v>
      </c>
      <c r="E249" s="160">
        <v>0.0</v>
      </c>
      <c r="F249" s="160">
        <v>0.0</v>
      </c>
      <c r="G249" s="160">
        <v>0.0</v>
      </c>
      <c r="H249" s="160">
        <v>0.0</v>
      </c>
      <c r="I249" s="160">
        <v>0.0</v>
      </c>
      <c r="J249" s="160">
        <v>0.0</v>
      </c>
      <c r="K249" s="160">
        <v>0.0</v>
      </c>
      <c r="L249" s="160">
        <v>0.0</v>
      </c>
      <c r="M249" s="160">
        <v>0.0</v>
      </c>
      <c r="N249" s="160">
        <v>0.0</v>
      </c>
      <c r="O249" s="160">
        <v>0.0</v>
      </c>
      <c r="P249" s="160">
        <v>0.0</v>
      </c>
      <c r="Q249" s="160">
        <v>0.0</v>
      </c>
      <c r="R249" s="160">
        <v>0.0</v>
      </c>
      <c r="S249" s="160">
        <v>0.0</v>
      </c>
      <c r="T249" s="160">
        <v>0.0</v>
      </c>
      <c r="U249" s="160">
        <v>0.0</v>
      </c>
      <c r="V249" s="160">
        <v>0.0</v>
      </c>
      <c r="W249" s="160">
        <v>0.0</v>
      </c>
      <c r="X249" s="160">
        <v>0.0</v>
      </c>
      <c r="Y249" s="160">
        <v>0.0</v>
      </c>
    </row>
    <row r="250">
      <c r="A250" s="157" t="s">
        <v>326</v>
      </c>
      <c r="B250" s="160">
        <v>0.0</v>
      </c>
      <c r="C250" s="160">
        <v>0.0</v>
      </c>
      <c r="D250" s="160">
        <v>0.0</v>
      </c>
      <c r="E250" s="160">
        <v>0.0</v>
      </c>
      <c r="F250" s="160">
        <v>0.0</v>
      </c>
      <c r="G250" s="160">
        <v>0.0</v>
      </c>
      <c r="H250" s="160">
        <v>32580.0</v>
      </c>
      <c r="I250" s="160">
        <v>0.0</v>
      </c>
      <c r="J250" s="160">
        <v>0.0</v>
      </c>
      <c r="K250" s="160">
        <v>0.0</v>
      </c>
      <c r="L250" s="160">
        <v>191304.66</v>
      </c>
      <c r="M250" s="160">
        <v>7879.2</v>
      </c>
      <c r="N250" s="160">
        <v>0.0</v>
      </c>
      <c r="O250" s="160">
        <v>0.0</v>
      </c>
      <c r="P250" s="160">
        <v>12420.0</v>
      </c>
      <c r="Q250" s="160">
        <v>0.0</v>
      </c>
      <c r="R250" s="160">
        <v>0.0</v>
      </c>
      <c r="S250" s="160">
        <v>0.0</v>
      </c>
      <c r="T250" s="160">
        <v>0.0</v>
      </c>
      <c r="U250" s="160">
        <v>0.0</v>
      </c>
      <c r="V250" s="160">
        <v>0.0</v>
      </c>
      <c r="W250" s="160">
        <v>0.0</v>
      </c>
      <c r="X250" s="160">
        <v>0.0</v>
      </c>
      <c r="Y250" s="160">
        <v>244183.86</v>
      </c>
    </row>
    <row r="251">
      <c r="A251" s="157" t="s">
        <v>674</v>
      </c>
      <c r="B251" s="160">
        <v>0.0</v>
      </c>
      <c r="C251" s="160">
        <v>0.0</v>
      </c>
      <c r="D251" s="160">
        <v>0.0</v>
      </c>
      <c r="E251" s="160">
        <v>0.0</v>
      </c>
      <c r="F251" s="160">
        <v>0.0</v>
      </c>
      <c r="G251" s="160">
        <v>0.0</v>
      </c>
      <c r="H251" s="160">
        <v>0.0</v>
      </c>
      <c r="I251" s="160">
        <v>0.0</v>
      </c>
      <c r="J251" s="160">
        <v>0.0</v>
      </c>
      <c r="K251" s="160">
        <v>0.0</v>
      </c>
      <c r="L251" s="160">
        <v>0.0</v>
      </c>
      <c r="M251" s="160">
        <v>0.0</v>
      </c>
      <c r="N251" s="160">
        <v>0.0</v>
      </c>
      <c r="O251" s="160">
        <v>0.0</v>
      </c>
      <c r="P251" s="160">
        <v>0.0</v>
      </c>
      <c r="Q251" s="160">
        <v>0.0</v>
      </c>
      <c r="R251" s="160">
        <v>0.0</v>
      </c>
      <c r="S251" s="160">
        <v>0.0</v>
      </c>
      <c r="T251" s="160">
        <v>0.0</v>
      </c>
      <c r="U251" s="160">
        <v>0.0</v>
      </c>
      <c r="V251" s="160">
        <v>0.0</v>
      </c>
      <c r="W251" s="160">
        <v>0.0</v>
      </c>
      <c r="X251" s="160">
        <v>0.0</v>
      </c>
      <c r="Y251" s="160">
        <v>0.0</v>
      </c>
    </row>
    <row r="252">
      <c r="A252" s="157" t="s">
        <v>675</v>
      </c>
      <c r="B252" s="160">
        <v>0.0</v>
      </c>
      <c r="C252" s="160">
        <v>0.0</v>
      </c>
      <c r="D252" s="160">
        <v>0.0</v>
      </c>
      <c r="E252" s="160">
        <v>0.0</v>
      </c>
      <c r="F252" s="160">
        <v>0.0</v>
      </c>
      <c r="G252" s="160">
        <v>0.0</v>
      </c>
      <c r="H252" s="160">
        <v>0.0</v>
      </c>
      <c r="I252" s="160">
        <v>0.0</v>
      </c>
      <c r="J252" s="160">
        <v>0.0</v>
      </c>
      <c r="K252" s="160">
        <v>0.0</v>
      </c>
      <c r="L252" s="160">
        <v>0.0</v>
      </c>
      <c r="M252" s="160">
        <v>0.0</v>
      </c>
      <c r="N252" s="160">
        <v>0.0</v>
      </c>
      <c r="O252" s="160">
        <v>0.0</v>
      </c>
      <c r="P252" s="160">
        <v>0.0</v>
      </c>
      <c r="Q252" s="160">
        <v>0.0</v>
      </c>
      <c r="R252" s="160">
        <v>0.0</v>
      </c>
      <c r="S252" s="160">
        <v>0.0</v>
      </c>
      <c r="T252" s="160">
        <v>0.0</v>
      </c>
      <c r="U252" s="160">
        <v>0.0</v>
      </c>
      <c r="V252" s="160">
        <v>0.0</v>
      </c>
      <c r="W252" s="160">
        <v>0.0</v>
      </c>
      <c r="X252" s="160">
        <v>0.0</v>
      </c>
      <c r="Y252" s="160">
        <v>0.0</v>
      </c>
    </row>
    <row r="253">
      <c r="A253" s="157" t="s">
        <v>676</v>
      </c>
      <c r="B253" s="160">
        <v>0.0</v>
      </c>
      <c r="C253" s="160">
        <v>0.0</v>
      </c>
      <c r="D253" s="160">
        <v>0.0</v>
      </c>
      <c r="E253" s="160">
        <v>0.0</v>
      </c>
      <c r="F253" s="160">
        <v>0.0</v>
      </c>
      <c r="G253" s="160">
        <v>0.0</v>
      </c>
      <c r="H253" s="160">
        <v>0.0</v>
      </c>
      <c r="I253" s="160">
        <v>0.0</v>
      </c>
      <c r="J253" s="160">
        <v>0.0</v>
      </c>
      <c r="K253" s="160">
        <v>0.0</v>
      </c>
      <c r="L253" s="160">
        <v>0.0</v>
      </c>
      <c r="M253" s="160">
        <v>0.0</v>
      </c>
      <c r="N253" s="160">
        <v>0.0</v>
      </c>
      <c r="O253" s="160">
        <v>0.0</v>
      </c>
      <c r="P253" s="160">
        <v>0.0</v>
      </c>
      <c r="Q253" s="160">
        <v>0.0</v>
      </c>
      <c r="R253" s="160">
        <v>0.0</v>
      </c>
      <c r="S253" s="160">
        <v>0.0</v>
      </c>
      <c r="T253" s="160">
        <v>0.0</v>
      </c>
      <c r="U253" s="160">
        <v>0.0</v>
      </c>
      <c r="V253" s="160">
        <v>0.0</v>
      </c>
      <c r="W253" s="160">
        <v>0.0</v>
      </c>
      <c r="X253" s="160">
        <v>0.0</v>
      </c>
      <c r="Y253" s="160">
        <v>0.0</v>
      </c>
    </row>
    <row r="254">
      <c r="A254" s="157" t="s">
        <v>437</v>
      </c>
      <c r="B254" s="160">
        <v>0.0</v>
      </c>
      <c r="C254" s="160">
        <v>18326.0</v>
      </c>
      <c r="D254" s="160">
        <v>6831.0</v>
      </c>
      <c r="E254" s="160">
        <v>0.0</v>
      </c>
      <c r="F254" s="160">
        <v>0.0</v>
      </c>
      <c r="G254" s="160">
        <v>0.0</v>
      </c>
      <c r="H254" s="160">
        <v>88269.3</v>
      </c>
      <c r="I254" s="160">
        <v>0.0</v>
      </c>
      <c r="J254" s="160">
        <v>0.0</v>
      </c>
      <c r="K254" s="160">
        <v>0.0</v>
      </c>
      <c r="L254" s="160">
        <v>521330.45</v>
      </c>
      <c r="M254" s="160">
        <v>50259.6</v>
      </c>
      <c r="N254" s="160">
        <v>212764.4</v>
      </c>
      <c r="O254" s="160">
        <v>0.0</v>
      </c>
      <c r="P254" s="160">
        <v>0.0</v>
      </c>
      <c r="Q254" s="160">
        <v>0.0</v>
      </c>
      <c r="R254" s="160">
        <v>0.0</v>
      </c>
      <c r="S254" s="160">
        <v>0.0</v>
      </c>
      <c r="T254" s="160">
        <v>0.0</v>
      </c>
      <c r="U254" s="160">
        <v>217437.0</v>
      </c>
      <c r="V254" s="160">
        <v>0.0</v>
      </c>
      <c r="W254" s="160">
        <v>0.0</v>
      </c>
      <c r="X254" s="160">
        <v>0.0</v>
      </c>
      <c r="Y254" s="160">
        <v>1115217.75</v>
      </c>
    </row>
    <row r="255">
      <c r="A255" s="157" t="s">
        <v>677</v>
      </c>
      <c r="B255" s="160">
        <v>0.0</v>
      </c>
      <c r="C255" s="160">
        <v>0.0</v>
      </c>
      <c r="D255" s="160">
        <v>0.0</v>
      </c>
      <c r="E255" s="160">
        <v>0.0</v>
      </c>
      <c r="F255" s="160">
        <v>0.0</v>
      </c>
      <c r="G255" s="160">
        <v>0.0</v>
      </c>
      <c r="H255" s="160">
        <v>0.0</v>
      </c>
      <c r="I255" s="160">
        <v>0.0</v>
      </c>
      <c r="J255" s="160">
        <v>0.0</v>
      </c>
      <c r="K255" s="160">
        <v>0.0</v>
      </c>
      <c r="L255" s="160">
        <v>0.0</v>
      </c>
      <c r="M255" s="160">
        <v>0.0</v>
      </c>
      <c r="N255" s="160">
        <v>0.0</v>
      </c>
      <c r="O255" s="160">
        <v>0.0</v>
      </c>
      <c r="P255" s="160">
        <v>0.0</v>
      </c>
      <c r="Q255" s="160">
        <v>0.0</v>
      </c>
      <c r="R255" s="160">
        <v>0.0</v>
      </c>
      <c r="S255" s="160">
        <v>0.0</v>
      </c>
      <c r="T255" s="160">
        <v>0.0</v>
      </c>
      <c r="U255" s="160">
        <v>0.0</v>
      </c>
      <c r="V255" s="160">
        <v>0.0</v>
      </c>
      <c r="W255" s="160">
        <v>0.0</v>
      </c>
      <c r="X255" s="160">
        <v>0.0</v>
      </c>
      <c r="Y255" s="160">
        <v>0.0</v>
      </c>
    </row>
    <row r="256">
      <c r="A256" s="157" t="s">
        <v>24</v>
      </c>
      <c r="B256" s="160">
        <v>588308.44</v>
      </c>
      <c r="C256" s="160">
        <v>176074.6</v>
      </c>
      <c r="D256" s="160">
        <v>402591.3</v>
      </c>
      <c r="E256" s="160">
        <v>111284.4</v>
      </c>
      <c r="F256" s="160">
        <v>92254.9</v>
      </c>
      <c r="G256" s="160">
        <v>0.0</v>
      </c>
      <c r="H256" s="160">
        <v>603789.2</v>
      </c>
      <c r="I256" s="160">
        <v>59236.5</v>
      </c>
      <c r="J256" s="160">
        <v>4448635.69</v>
      </c>
      <c r="K256" s="160">
        <v>0.0</v>
      </c>
      <c r="L256" s="160">
        <v>9821338.03</v>
      </c>
      <c r="M256" s="160">
        <v>954909.5</v>
      </c>
      <c r="N256" s="160">
        <v>691938.9</v>
      </c>
      <c r="O256" s="160">
        <v>37266.33</v>
      </c>
      <c r="P256" s="160">
        <v>1200541.38</v>
      </c>
      <c r="Q256" s="160">
        <v>0.0</v>
      </c>
      <c r="R256" s="160">
        <v>899840.0</v>
      </c>
      <c r="S256" s="160">
        <v>97788.8</v>
      </c>
      <c r="T256" s="160">
        <v>0.0</v>
      </c>
      <c r="U256" s="160">
        <v>365534.9</v>
      </c>
      <c r="V256" s="160">
        <v>0.0</v>
      </c>
      <c r="W256" s="160">
        <v>0.0</v>
      </c>
      <c r="X256" s="160">
        <v>0.0</v>
      </c>
      <c r="Y256" s="160">
        <v>2.055133288E7</v>
      </c>
    </row>
    <row r="257">
      <c r="A257" s="157" t="s">
        <v>678</v>
      </c>
      <c r="B257" s="160">
        <v>0.0</v>
      </c>
      <c r="C257" s="160">
        <v>0.0</v>
      </c>
      <c r="D257" s="160">
        <v>0.0</v>
      </c>
      <c r="E257" s="160">
        <v>0.0</v>
      </c>
      <c r="F257" s="160">
        <v>0.0</v>
      </c>
      <c r="G257" s="160">
        <v>0.0</v>
      </c>
      <c r="H257" s="160">
        <v>0.0</v>
      </c>
      <c r="I257" s="160">
        <v>0.0</v>
      </c>
      <c r="J257" s="160">
        <v>0.0</v>
      </c>
      <c r="K257" s="160">
        <v>0.0</v>
      </c>
      <c r="L257" s="160">
        <v>0.0</v>
      </c>
      <c r="M257" s="160">
        <v>0.0</v>
      </c>
      <c r="N257" s="160">
        <v>0.0</v>
      </c>
      <c r="O257" s="160">
        <v>0.0</v>
      </c>
      <c r="P257" s="160">
        <v>0.0</v>
      </c>
      <c r="Q257" s="160">
        <v>0.0</v>
      </c>
      <c r="R257" s="160">
        <v>0.0</v>
      </c>
      <c r="S257" s="160">
        <v>0.0</v>
      </c>
      <c r="T257" s="160">
        <v>0.0</v>
      </c>
      <c r="U257" s="160">
        <v>0.0</v>
      </c>
      <c r="V257" s="160">
        <v>0.0</v>
      </c>
      <c r="W257" s="160">
        <v>0.0</v>
      </c>
      <c r="X257" s="160">
        <v>0.0</v>
      </c>
      <c r="Y257" s="160">
        <v>0.0</v>
      </c>
    </row>
    <row r="258">
      <c r="A258" s="157" t="s">
        <v>306</v>
      </c>
      <c r="B258" s="160">
        <v>0.0</v>
      </c>
      <c r="C258" s="160">
        <v>1170905.8</v>
      </c>
      <c r="D258" s="160">
        <v>1026427.44</v>
      </c>
      <c r="E258" s="160">
        <v>620757.8</v>
      </c>
      <c r="F258" s="160">
        <v>190298.0</v>
      </c>
      <c r="G258" s="160">
        <v>10051.2</v>
      </c>
      <c r="H258" s="160">
        <v>651904.0</v>
      </c>
      <c r="I258" s="160">
        <v>5364.0</v>
      </c>
      <c r="J258" s="160">
        <v>0.0</v>
      </c>
      <c r="K258" s="160">
        <v>0.0</v>
      </c>
      <c r="L258" s="160">
        <v>7275883.91</v>
      </c>
      <c r="M258" s="160">
        <v>233461.6</v>
      </c>
      <c r="N258" s="160">
        <v>11142.0</v>
      </c>
      <c r="O258" s="160">
        <v>0.0</v>
      </c>
      <c r="P258" s="160">
        <v>0.0</v>
      </c>
      <c r="Q258" s="160">
        <v>0.0</v>
      </c>
      <c r="R258" s="160">
        <v>0.0</v>
      </c>
      <c r="S258" s="160">
        <v>1145663.6</v>
      </c>
      <c r="T258" s="160">
        <v>0.0</v>
      </c>
      <c r="U258" s="160">
        <v>0.0</v>
      </c>
      <c r="V258" s="160">
        <v>0.0</v>
      </c>
      <c r="W258" s="160">
        <v>0.0</v>
      </c>
      <c r="X258" s="160">
        <v>0.0</v>
      </c>
      <c r="Y258" s="160">
        <v>1.234185935E7</v>
      </c>
    </row>
    <row r="259">
      <c r="A259" s="157" t="s">
        <v>679</v>
      </c>
      <c r="B259" s="160">
        <v>0.0</v>
      </c>
      <c r="C259" s="160">
        <v>0.0</v>
      </c>
      <c r="D259" s="160">
        <v>0.0</v>
      </c>
      <c r="E259" s="160">
        <v>0.0</v>
      </c>
      <c r="F259" s="160">
        <v>0.0</v>
      </c>
      <c r="G259" s="160">
        <v>0.0</v>
      </c>
      <c r="H259" s="160">
        <v>0.0</v>
      </c>
      <c r="I259" s="160">
        <v>0.0</v>
      </c>
      <c r="J259" s="160">
        <v>0.0</v>
      </c>
      <c r="K259" s="160">
        <v>0.0</v>
      </c>
      <c r="L259" s="160">
        <v>0.0</v>
      </c>
      <c r="M259" s="160">
        <v>0.0</v>
      </c>
      <c r="N259" s="160">
        <v>0.0</v>
      </c>
      <c r="O259" s="160">
        <v>0.0</v>
      </c>
      <c r="P259" s="160">
        <v>0.0</v>
      </c>
      <c r="Q259" s="160">
        <v>0.0</v>
      </c>
      <c r="R259" s="160">
        <v>0.0</v>
      </c>
      <c r="S259" s="160">
        <v>0.0</v>
      </c>
      <c r="T259" s="160">
        <v>0.0</v>
      </c>
      <c r="U259" s="160">
        <v>0.0</v>
      </c>
      <c r="V259" s="160">
        <v>0.0</v>
      </c>
      <c r="W259" s="160">
        <v>0.0</v>
      </c>
      <c r="X259" s="160">
        <v>0.0</v>
      </c>
      <c r="Y259" s="160">
        <v>0.0</v>
      </c>
    </row>
    <row r="260">
      <c r="A260" s="157" t="s">
        <v>680</v>
      </c>
      <c r="B260" s="160">
        <v>0.0</v>
      </c>
      <c r="C260" s="160">
        <v>0.0</v>
      </c>
      <c r="D260" s="160">
        <v>0.0</v>
      </c>
      <c r="E260" s="160">
        <v>0.0</v>
      </c>
      <c r="F260" s="160">
        <v>0.0</v>
      </c>
      <c r="G260" s="160">
        <v>0.0</v>
      </c>
      <c r="H260" s="160">
        <v>0.0</v>
      </c>
      <c r="I260" s="160">
        <v>0.0</v>
      </c>
      <c r="J260" s="160">
        <v>0.0</v>
      </c>
      <c r="K260" s="160">
        <v>0.0</v>
      </c>
      <c r="L260" s="160">
        <v>0.0</v>
      </c>
      <c r="M260" s="160">
        <v>0.0</v>
      </c>
      <c r="N260" s="160">
        <v>0.0</v>
      </c>
      <c r="O260" s="160">
        <v>0.0</v>
      </c>
      <c r="P260" s="160">
        <v>0.0</v>
      </c>
      <c r="Q260" s="160">
        <v>0.0</v>
      </c>
      <c r="R260" s="160">
        <v>0.0</v>
      </c>
      <c r="S260" s="160">
        <v>0.0</v>
      </c>
      <c r="T260" s="160">
        <v>0.0</v>
      </c>
      <c r="U260" s="160">
        <v>0.0</v>
      </c>
      <c r="V260" s="160">
        <v>0.0</v>
      </c>
      <c r="W260" s="160">
        <v>0.0</v>
      </c>
      <c r="X260" s="160">
        <v>0.0</v>
      </c>
      <c r="Y260" s="160">
        <v>0.0</v>
      </c>
    </row>
    <row r="261">
      <c r="A261" s="157" t="s">
        <v>681</v>
      </c>
      <c r="B261" s="160">
        <v>0.0</v>
      </c>
      <c r="C261" s="160">
        <v>0.0</v>
      </c>
      <c r="D261" s="160">
        <v>0.0</v>
      </c>
      <c r="E261" s="160">
        <v>0.0</v>
      </c>
      <c r="F261" s="160">
        <v>0.0</v>
      </c>
      <c r="G261" s="160">
        <v>0.0</v>
      </c>
      <c r="H261" s="160">
        <v>0.0</v>
      </c>
      <c r="I261" s="160">
        <v>0.0</v>
      </c>
      <c r="J261" s="160">
        <v>0.0</v>
      </c>
      <c r="K261" s="160">
        <v>0.0</v>
      </c>
      <c r="L261" s="160">
        <v>0.0</v>
      </c>
      <c r="M261" s="160">
        <v>0.0</v>
      </c>
      <c r="N261" s="160">
        <v>0.0</v>
      </c>
      <c r="O261" s="160">
        <v>0.0</v>
      </c>
      <c r="P261" s="160">
        <v>0.0</v>
      </c>
      <c r="Q261" s="160">
        <v>0.0</v>
      </c>
      <c r="R261" s="160">
        <v>0.0</v>
      </c>
      <c r="S261" s="160">
        <v>0.0</v>
      </c>
      <c r="T261" s="160">
        <v>0.0</v>
      </c>
      <c r="U261" s="160">
        <v>0.0</v>
      </c>
      <c r="V261" s="160">
        <v>0.0</v>
      </c>
      <c r="W261" s="160">
        <v>0.0</v>
      </c>
      <c r="X261" s="160">
        <v>0.0</v>
      </c>
      <c r="Y261" s="160">
        <v>0.0</v>
      </c>
    </row>
    <row r="262">
      <c r="A262" s="157" t="s">
        <v>682</v>
      </c>
      <c r="B262" s="160">
        <v>0.0</v>
      </c>
      <c r="C262" s="160">
        <v>0.0</v>
      </c>
      <c r="D262" s="160">
        <v>0.0</v>
      </c>
      <c r="E262" s="160">
        <v>0.0</v>
      </c>
      <c r="F262" s="160">
        <v>0.0</v>
      </c>
      <c r="G262" s="160">
        <v>0.0</v>
      </c>
      <c r="H262" s="160">
        <v>0.0</v>
      </c>
      <c r="I262" s="160">
        <v>0.0</v>
      </c>
      <c r="J262" s="160">
        <v>0.0</v>
      </c>
      <c r="K262" s="160">
        <v>0.0</v>
      </c>
      <c r="L262" s="160">
        <v>0.0</v>
      </c>
      <c r="M262" s="160">
        <v>0.0</v>
      </c>
      <c r="N262" s="160">
        <v>0.0</v>
      </c>
      <c r="O262" s="160">
        <v>0.0</v>
      </c>
      <c r="P262" s="160">
        <v>0.0</v>
      </c>
      <c r="Q262" s="160">
        <v>0.0</v>
      </c>
      <c r="R262" s="160">
        <v>0.0</v>
      </c>
      <c r="S262" s="160">
        <v>0.0</v>
      </c>
      <c r="T262" s="160">
        <v>0.0</v>
      </c>
      <c r="U262" s="160">
        <v>0.0</v>
      </c>
      <c r="V262" s="160">
        <v>0.0</v>
      </c>
      <c r="W262" s="160">
        <v>0.0</v>
      </c>
      <c r="X262" s="160">
        <v>0.0</v>
      </c>
      <c r="Y262" s="160">
        <v>0.0</v>
      </c>
    </row>
    <row r="263">
      <c r="A263" s="157" t="s">
        <v>683</v>
      </c>
      <c r="B263" s="160">
        <v>0.0</v>
      </c>
      <c r="C263" s="160">
        <v>0.0</v>
      </c>
      <c r="D263" s="160">
        <v>0.0</v>
      </c>
      <c r="E263" s="160">
        <v>0.0</v>
      </c>
      <c r="F263" s="160">
        <v>0.0</v>
      </c>
      <c r="G263" s="160">
        <v>0.0</v>
      </c>
      <c r="H263" s="160">
        <v>0.0</v>
      </c>
      <c r="I263" s="160">
        <v>0.0</v>
      </c>
      <c r="J263" s="160">
        <v>0.0</v>
      </c>
      <c r="K263" s="160">
        <v>0.0</v>
      </c>
      <c r="L263" s="160">
        <v>0.0</v>
      </c>
      <c r="M263" s="160">
        <v>0.0</v>
      </c>
      <c r="N263" s="160">
        <v>0.0</v>
      </c>
      <c r="O263" s="160">
        <v>0.0</v>
      </c>
      <c r="P263" s="160">
        <v>0.0</v>
      </c>
      <c r="Q263" s="160">
        <v>0.0</v>
      </c>
      <c r="R263" s="160">
        <v>0.0</v>
      </c>
      <c r="S263" s="160">
        <v>0.0</v>
      </c>
      <c r="T263" s="160">
        <v>0.0</v>
      </c>
      <c r="U263" s="160">
        <v>0.0</v>
      </c>
      <c r="V263" s="160">
        <v>0.0</v>
      </c>
      <c r="W263" s="160">
        <v>0.0</v>
      </c>
      <c r="X263" s="160">
        <v>0.0</v>
      </c>
      <c r="Y263" s="160">
        <v>0.0</v>
      </c>
    </row>
    <row r="264">
      <c r="A264" s="157" t="s">
        <v>684</v>
      </c>
      <c r="B264" s="160">
        <v>0.0</v>
      </c>
      <c r="C264" s="160">
        <v>0.0</v>
      </c>
      <c r="D264" s="160">
        <v>0.0</v>
      </c>
      <c r="E264" s="160">
        <v>0.0</v>
      </c>
      <c r="F264" s="160">
        <v>0.0</v>
      </c>
      <c r="G264" s="160">
        <v>0.0</v>
      </c>
      <c r="H264" s="160">
        <v>0.0</v>
      </c>
      <c r="I264" s="160">
        <v>0.0</v>
      </c>
      <c r="J264" s="160">
        <v>0.0</v>
      </c>
      <c r="K264" s="160">
        <v>0.0</v>
      </c>
      <c r="L264" s="160">
        <v>0.0</v>
      </c>
      <c r="M264" s="160">
        <v>0.0</v>
      </c>
      <c r="N264" s="160">
        <v>0.0</v>
      </c>
      <c r="O264" s="160">
        <v>0.0</v>
      </c>
      <c r="P264" s="160">
        <v>0.0</v>
      </c>
      <c r="Q264" s="160">
        <v>0.0</v>
      </c>
      <c r="R264" s="160">
        <v>0.0</v>
      </c>
      <c r="S264" s="160">
        <v>0.0</v>
      </c>
      <c r="T264" s="160">
        <v>0.0</v>
      </c>
      <c r="U264" s="160">
        <v>0.0</v>
      </c>
      <c r="V264" s="160">
        <v>0.0</v>
      </c>
      <c r="W264" s="160">
        <v>0.0</v>
      </c>
      <c r="X264" s="160">
        <v>0.0</v>
      </c>
      <c r="Y264" s="160">
        <v>0.0</v>
      </c>
    </row>
    <row r="265">
      <c r="A265" s="157" t="s">
        <v>685</v>
      </c>
      <c r="B265" s="160">
        <v>0.0</v>
      </c>
      <c r="C265" s="160">
        <v>0.0</v>
      </c>
      <c r="D265" s="160">
        <v>0.0</v>
      </c>
      <c r="E265" s="160">
        <v>0.0</v>
      </c>
      <c r="F265" s="160">
        <v>0.0</v>
      </c>
      <c r="G265" s="160">
        <v>0.0</v>
      </c>
      <c r="H265" s="160">
        <v>0.0</v>
      </c>
      <c r="I265" s="160">
        <v>0.0</v>
      </c>
      <c r="J265" s="160">
        <v>0.0</v>
      </c>
      <c r="K265" s="160">
        <v>0.0</v>
      </c>
      <c r="L265" s="160">
        <v>0.0</v>
      </c>
      <c r="M265" s="160">
        <v>0.0</v>
      </c>
      <c r="N265" s="160">
        <v>0.0</v>
      </c>
      <c r="O265" s="160">
        <v>0.0</v>
      </c>
      <c r="P265" s="160">
        <v>0.0</v>
      </c>
      <c r="Q265" s="160">
        <v>0.0</v>
      </c>
      <c r="R265" s="160">
        <v>0.0</v>
      </c>
      <c r="S265" s="160">
        <v>0.0</v>
      </c>
      <c r="T265" s="160">
        <v>0.0</v>
      </c>
      <c r="U265" s="160">
        <v>0.0</v>
      </c>
      <c r="V265" s="160">
        <v>0.0</v>
      </c>
      <c r="W265" s="160">
        <v>0.0</v>
      </c>
      <c r="X265" s="160">
        <v>0.0</v>
      </c>
      <c r="Y265" s="160">
        <v>0.0</v>
      </c>
    </row>
    <row r="266">
      <c r="A266" s="157" t="s">
        <v>686</v>
      </c>
      <c r="B266" s="160">
        <v>0.0</v>
      </c>
      <c r="C266" s="160">
        <v>0.0</v>
      </c>
      <c r="D266" s="160">
        <v>0.0</v>
      </c>
      <c r="E266" s="160">
        <v>0.0</v>
      </c>
      <c r="F266" s="160">
        <v>0.0</v>
      </c>
      <c r="G266" s="160">
        <v>0.0</v>
      </c>
      <c r="H266" s="160">
        <v>0.0</v>
      </c>
      <c r="I266" s="160">
        <v>0.0</v>
      </c>
      <c r="J266" s="160">
        <v>0.0</v>
      </c>
      <c r="K266" s="160">
        <v>0.0</v>
      </c>
      <c r="L266" s="160">
        <v>0.0</v>
      </c>
      <c r="M266" s="160">
        <v>0.0</v>
      </c>
      <c r="N266" s="160">
        <v>0.0</v>
      </c>
      <c r="O266" s="160">
        <v>0.0</v>
      </c>
      <c r="P266" s="160">
        <v>0.0</v>
      </c>
      <c r="Q266" s="160">
        <v>0.0</v>
      </c>
      <c r="R266" s="160">
        <v>0.0</v>
      </c>
      <c r="S266" s="160">
        <v>0.0</v>
      </c>
      <c r="T266" s="160">
        <v>0.0</v>
      </c>
      <c r="U266" s="160">
        <v>0.0</v>
      </c>
      <c r="V266" s="160">
        <v>0.0</v>
      </c>
      <c r="W266" s="160">
        <v>0.0</v>
      </c>
      <c r="X266" s="160">
        <v>0.0</v>
      </c>
      <c r="Y266" s="160">
        <v>0.0</v>
      </c>
    </row>
    <row r="267">
      <c r="A267" s="157" t="s">
        <v>687</v>
      </c>
      <c r="B267" s="160">
        <v>0.0</v>
      </c>
      <c r="C267" s="160">
        <v>0.0</v>
      </c>
      <c r="D267" s="160">
        <v>0.0</v>
      </c>
      <c r="E267" s="160">
        <v>0.0</v>
      </c>
      <c r="F267" s="160">
        <v>0.0</v>
      </c>
      <c r="G267" s="160">
        <v>0.0</v>
      </c>
      <c r="H267" s="160">
        <v>0.0</v>
      </c>
      <c r="I267" s="160">
        <v>0.0</v>
      </c>
      <c r="J267" s="160">
        <v>0.0</v>
      </c>
      <c r="K267" s="160">
        <v>0.0</v>
      </c>
      <c r="L267" s="160">
        <v>0.0</v>
      </c>
      <c r="M267" s="160">
        <v>0.0</v>
      </c>
      <c r="N267" s="160">
        <v>0.0</v>
      </c>
      <c r="O267" s="160">
        <v>0.0</v>
      </c>
      <c r="P267" s="160">
        <v>0.0</v>
      </c>
      <c r="Q267" s="160">
        <v>0.0</v>
      </c>
      <c r="R267" s="160">
        <v>0.0</v>
      </c>
      <c r="S267" s="160">
        <v>0.0</v>
      </c>
      <c r="T267" s="160">
        <v>0.0</v>
      </c>
      <c r="U267" s="160">
        <v>0.0</v>
      </c>
      <c r="V267" s="160">
        <v>0.0</v>
      </c>
      <c r="W267" s="160">
        <v>0.0</v>
      </c>
      <c r="X267" s="160">
        <v>0.0</v>
      </c>
      <c r="Y267" s="160">
        <v>0.0</v>
      </c>
    </row>
    <row r="268">
      <c r="A268" s="157" t="s">
        <v>150</v>
      </c>
      <c r="B268" s="160">
        <v>0.0</v>
      </c>
      <c r="C268" s="160">
        <v>670259.16</v>
      </c>
      <c r="D268" s="160">
        <v>112625.6</v>
      </c>
      <c r="E268" s="160">
        <v>0.0</v>
      </c>
      <c r="F268" s="160">
        <v>0.0</v>
      </c>
      <c r="G268" s="160">
        <v>0.0</v>
      </c>
      <c r="H268" s="160">
        <v>1394933.2</v>
      </c>
      <c r="I268" s="160">
        <v>0.0</v>
      </c>
      <c r="J268" s="160">
        <v>0.0</v>
      </c>
      <c r="K268" s="160">
        <v>0.0</v>
      </c>
      <c r="L268" s="160">
        <v>1.121826983E7</v>
      </c>
      <c r="M268" s="160">
        <v>919817.4</v>
      </c>
      <c r="N268" s="160">
        <v>0.0</v>
      </c>
      <c r="O268" s="160">
        <v>0.0</v>
      </c>
      <c r="P268" s="160">
        <v>0.0</v>
      </c>
      <c r="Q268" s="160">
        <v>0.0</v>
      </c>
      <c r="R268" s="160">
        <v>2421803.75</v>
      </c>
      <c r="S268" s="160">
        <v>1939527.3</v>
      </c>
      <c r="T268" s="160">
        <v>0.0</v>
      </c>
      <c r="U268" s="160">
        <v>2156501.48</v>
      </c>
      <c r="V268" s="160">
        <v>0.0</v>
      </c>
      <c r="W268" s="160">
        <v>0.0</v>
      </c>
      <c r="X268" s="160">
        <v>0.0</v>
      </c>
      <c r="Y268" s="160">
        <v>2.083373771E7</v>
      </c>
    </row>
    <row r="269">
      <c r="A269" s="157" t="s">
        <v>688</v>
      </c>
      <c r="B269" s="160">
        <v>0.0</v>
      </c>
      <c r="C269" s="160">
        <v>0.0</v>
      </c>
      <c r="D269" s="160">
        <v>0.0</v>
      </c>
      <c r="E269" s="160">
        <v>0.0</v>
      </c>
      <c r="F269" s="160">
        <v>0.0</v>
      </c>
      <c r="G269" s="160">
        <v>0.0</v>
      </c>
      <c r="H269" s="160">
        <v>0.0</v>
      </c>
      <c r="I269" s="160">
        <v>0.0</v>
      </c>
      <c r="J269" s="160">
        <v>0.0</v>
      </c>
      <c r="K269" s="160">
        <v>0.0</v>
      </c>
      <c r="L269" s="160">
        <v>0.0</v>
      </c>
      <c r="M269" s="160">
        <v>0.0</v>
      </c>
      <c r="N269" s="160">
        <v>0.0</v>
      </c>
      <c r="O269" s="160">
        <v>0.0</v>
      </c>
      <c r="P269" s="160">
        <v>0.0</v>
      </c>
      <c r="Q269" s="160">
        <v>0.0</v>
      </c>
      <c r="R269" s="160">
        <v>0.0</v>
      </c>
      <c r="S269" s="160">
        <v>0.0</v>
      </c>
      <c r="T269" s="160">
        <v>0.0</v>
      </c>
      <c r="U269" s="160">
        <v>0.0</v>
      </c>
      <c r="V269" s="160">
        <v>0.0</v>
      </c>
      <c r="W269" s="160">
        <v>0.0</v>
      </c>
      <c r="X269" s="160">
        <v>0.0</v>
      </c>
      <c r="Y269" s="160">
        <v>0.0</v>
      </c>
    </row>
    <row r="270">
      <c r="A270" s="157" t="s">
        <v>689</v>
      </c>
      <c r="B270" s="160">
        <v>0.0</v>
      </c>
      <c r="C270" s="160">
        <v>0.0</v>
      </c>
      <c r="D270" s="160">
        <v>0.0</v>
      </c>
      <c r="E270" s="160">
        <v>0.0</v>
      </c>
      <c r="F270" s="160">
        <v>0.0</v>
      </c>
      <c r="G270" s="160">
        <v>0.0</v>
      </c>
      <c r="H270" s="160">
        <v>17367.0</v>
      </c>
      <c r="I270" s="160">
        <v>0.0</v>
      </c>
      <c r="J270" s="160">
        <v>7128.0</v>
      </c>
      <c r="K270" s="160">
        <v>0.0</v>
      </c>
      <c r="L270" s="160">
        <v>480003.64</v>
      </c>
      <c r="M270" s="160">
        <v>0.0</v>
      </c>
      <c r="N270" s="160">
        <v>0.0</v>
      </c>
      <c r="O270" s="160">
        <v>5000.8</v>
      </c>
      <c r="P270" s="160">
        <v>17082.4</v>
      </c>
      <c r="Q270" s="160">
        <v>0.0</v>
      </c>
      <c r="R270" s="160">
        <v>909423.75</v>
      </c>
      <c r="S270" s="160">
        <v>352885.65</v>
      </c>
      <c r="T270" s="160">
        <v>0.0</v>
      </c>
      <c r="U270" s="160">
        <v>0.0</v>
      </c>
      <c r="V270" s="160">
        <v>0.0</v>
      </c>
      <c r="W270" s="160">
        <v>0.0</v>
      </c>
      <c r="X270" s="160">
        <v>0.0</v>
      </c>
      <c r="Y270" s="160">
        <v>1788891.24</v>
      </c>
    </row>
    <row r="271">
      <c r="A271" s="157" t="s">
        <v>690</v>
      </c>
      <c r="B271" s="160">
        <v>0.0</v>
      </c>
      <c r="C271" s="160">
        <v>0.0</v>
      </c>
      <c r="D271" s="160">
        <v>0.0</v>
      </c>
      <c r="E271" s="160">
        <v>0.0</v>
      </c>
      <c r="F271" s="160">
        <v>0.0</v>
      </c>
      <c r="G271" s="160">
        <v>0.0</v>
      </c>
      <c r="H271" s="160">
        <v>0.0</v>
      </c>
      <c r="I271" s="160">
        <v>0.0</v>
      </c>
      <c r="J271" s="160">
        <v>0.0</v>
      </c>
      <c r="K271" s="160">
        <v>0.0</v>
      </c>
      <c r="L271" s="160">
        <v>0.0</v>
      </c>
      <c r="M271" s="160">
        <v>0.0</v>
      </c>
      <c r="N271" s="160">
        <v>0.0</v>
      </c>
      <c r="O271" s="160">
        <v>0.0</v>
      </c>
      <c r="P271" s="160">
        <v>0.0</v>
      </c>
      <c r="Q271" s="160">
        <v>0.0</v>
      </c>
      <c r="R271" s="160">
        <v>0.0</v>
      </c>
      <c r="S271" s="160">
        <v>0.0</v>
      </c>
      <c r="T271" s="160">
        <v>0.0</v>
      </c>
      <c r="U271" s="160">
        <v>0.0</v>
      </c>
      <c r="V271" s="160">
        <v>0.0</v>
      </c>
      <c r="W271" s="160">
        <v>0.0</v>
      </c>
      <c r="X271" s="160">
        <v>0.0</v>
      </c>
      <c r="Y271" s="160">
        <v>0.0</v>
      </c>
    </row>
    <row r="272">
      <c r="A272" s="157" t="s">
        <v>691</v>
      </c>
      <c r="B272" s="160">
        <v>0.0</v>
      </c>
      <c r="C272" s="160">
        <v>0.0</v>
      </c>
      <c r="D272" s="160">
        <v>0.0</v>
      </c>
      <c r="E272" s="160">
        <v>0.0</v>
      </c>
      <c r="F272" s="160">
        <v>0.0</v>
      </c>
      <c r="G272" s="160">
        <v>0.0</v>
      </c>
      <c r="H272" s="160">
        <v>0.0</v>
      </c>
      <c r="I272" s="160">
        <v>0.0</v>
      </c>
      <c r="J272" s="160">
        <v>0.0</v>
      </c>
      <c r="K272" s="160">
        <v>0.0</v>
      </c>
      <c r="L272" s="160">
        <v>0.0</v>
      </c>
      <c r="M272" s="160">
        <v>0.0</v>
      </c>
      <c r="N272" s="160">
        <v>0.0</v>
      </c>
      <c r="O272" s="160">
        <v>0.0</v>
      </c>
      <c r="P272" s="160">
        <v>0.0</v>
      </c>
      <c r="Q272" s="160">
        <v>0.0</v>
      </c>
      <c r="R272" s="160">
        <v>0.0</v>
      </c>
      <c r="S272" s="160">
        <v>0.0</v>
      </c>
      <c r="T272" s="160">
        <v>0.0</v>
      </c>
      <c r="U272" s="160">
        <v>0.0</v>
      </c>
      <c r="V272" s="160">
        <v>0.0</v>
      </c>
      <c r="W272" s="160">
        <v>0.0</v>
      </c>
      <c r="X272" s="160">
        <v>0.0</v>
      </c>
      <c r="Y272" s="160">
        <v>0.0</v>
      </c>
    </row>
    <row r="273">
      <c r="A273" s="157" t="s">
        <v>692</v>
      </c>
      <c r="B273" s="160">
        <v>0.0</v>
      </c>
      <c r="C273" s="160">
        <v>0.0</v>
      </c>
      <c r="D273" s="160">
        <v>0.0</v>
      </c>
      <c r="E273" s="160">
        <v>0.0</v>
      </c>
      <c r="F273" s="160">
        <v>0.0</v>
      </c>
      <c r="G273" s="160">
        <v>0.0</v>
      </c>
      <c r="H273" s="160">
        <v>0.0</v>
      </c>
      <c r="I273" s="160">
        <v>0.0</v>
      </c>
      <c r="J273" s="160">
        <v>0.0</v>
      </c>
      <c r="K273" s="160">
        <v>0.0</v>
      </c>
      <c r="L273" s="160">
        <v>0.0</v>
      </c>
      <c r="M273" s="160">
        <v>0.0</v>
      </c>
      <c r="N273" s="160">
        <v>0.0</v>
      </c>
      <c r="O273" s="160">
        <v>0.0</v>
      </c>
      <c r="P273" s="160">
        <v>0.0</v>
      </c>
      <c r="Q273" s="160">
        <v>0.0</v>
      </c>
      <c r="R273" s="160">
        <v>0.0</v>
      </c>
      <c r="S273" s="160">
        <v>0.0</v>
      </c>
      <c r="T273" s="160">
        <v>0.0</v>
      </c>
      <c r="U273" s="160">
        <v>0.0</v>
      </c>
      <c r="V273" s="160">
        <v>0.0</v>
      </c>
      <c r="W273" s="160">
        <v>0.0</v>
      </c>
      <c r="X273" s="160">
        <v>0.0</v>
      </c>
      <c r="Y273" s="160">
        <v>0.0</v>
      </c>
    </row>
    <row r="274">
      <c r="A274" s="157" t="s">
        <v>693</v>
      </c>
      <c r="B274" s="160">
        <v>0.0</v>
      </c>
      <c r="C274" s="160">
        <v>0.0</v>
      </c>
      <c r="D274" s="160">
        <v>0.0</v>
      </c>
      <c r="E274" s="160">
        <v>0.0</v>
      </c>
      <c r="F274" s="160">
        <v>0.0</v>
      </c>
      <c r="G274" s="160">
        <v>0.0</v>
      </c>
      <c r="H274" s="160">
        <v>0.0</v>
      </c>
      <c r="I274" s="160">
        <v>0.0</v>
      </c>
      <c r="J274" s="160">
        <v>0.0</v>
      </c>
      <c r="K274" s="160">
        <v>0.0</v>
      </c>
      <c r="L274" s="160">
        <v>0.0</v>
      </c>
      <c r="M274" s="160">
        <v>0.0</v>
      </c>
      <c r="N274" s="160">
        <v>0.0</v>
      </c>
      <c r="O274" s="160">
        <v>0.0</v>
      </c>
      <c r="P274" s="160">
        <v>0.0</v>
      </c>
      <c r="Q274" s="160">
        <v>0.0</v>
      </c>
      <c r="R274" s="160">
        <v>0.0</v>
      </c>
      <c r="S274" s="160">
        <v>0.0</v>
      </c>
      <c r="T274" s="160">
        <v>0.0</v>
      </c>
      <c r="U274" s="160">
        <v>0.0</v>
      </c>
      <c r="V274" s="160">
        <v>0.0</v>
      </c>
      <c r="W274" s="160">
        <v>0.0</v>
      </c>
      <c r="X274" s="160">
        <v>0.0</v>
      </c>
      <c r="Y274" s="160">
        <v>0.0</v>
      </c>
    </row>
    <row r="275">
      <c r="A275" s="157" t="s">
        <v>694</v>
      </c>
      <c r="B275" s="160">
        <v>0.0</v>
      </c>
      <c r="C275" s="160">
        <v>0.0</v>
      </c>
      <c r="D275" s="160">
        <v>0.0</v>
      </c>
      <c r="E275" s="160">
        <v>0.0</v>
      </c>
      <c r="F275" s="160">
        <v>0.0</v>
      </c>
      <c r="G275" s="160">
        <v>0.0</v>
      </c>
      <c r="H275" s="160">
        <v>0.0</v>
      </c>
      <c r="I275" s="160">
        <v>0.0</v>
      </c>
      <c r="J275" s="160">
        <v>0.0</v>
      </c>
      <c r="K275" s="160">
        <v>0.0</v>
      </c>
      <c r="L275" s="160">
        <v>0.0</v>
      </c>
      <c r="M275" s="160">
        <v>0.0</v>
      </c>
      <c r="N275" s="160">
        <v>0.0</v>
      </c>
      <c r="O275" s="160">
        <v>0.0</v>
      </c>
      <c r="P275" s="160">
        <v>0.0</v>
      </c>
      <c r="Q275" s="160">
        <v>0.0</v>
      </c>
      <c r="R275" s="160">
        <v>0.0</v>
      </c>
      <c r="S275" s="160">
        <v>0.0</v>
      </c>
      <c r="T275" s="160">
        <v>0.0</v>
      </c>
      <c r="U275" s="160">
        <v>0.0</v>
      </c>
      <c r="V275" s="160">
        <v>0.0</v>
      </c>
      <c r="W275" s="160">
        <v>0.0</v>
      </c>
      <c r="X275" s="160">
        <v>0.0</v>
      </c>
      <c r="Y275" s="160">
        <v>0.0</v>
      </c>
    </row>
    <row r="276">
      <c r="A276" s="157" t="s">
        <v>695</v>
      </c>
      <c r="B276" s="160">
        <v>0.0</v>
      </c>
      <c r="C276" s="160">
        <v>0.0</v>
      </c>
      <c r="D276" s="160">
        <v>0.0</v>
      </c>
      <c r="E276" s="160">
        <v>0.0</v>
      </c>
      <c r="F276" s="160">
        <v>0.0</v>
      </c>
      <c r="G276" s="160">
        <v>0.0</v>
      </c>
      <c r="H276" s="160">
        <v>0.0</v>
      </c>
      <c r="I276" s="160">
        <v>0.0</v>
      </c>
      <c r="J276" s="160">
        <v>0.0</v>
      </c>
      <c r="K276" s="160">
        <v>0.0</v>
      </c>
      <c r="L276" s="160">
        <v>0.0</v>
      </c>
      <c r="M276" s="160">
        <v>0.0</v>
      </c>
      <c r="N276" s="160">
        <v>0.0</v>
      </c>
      <c r="O276" s="160">
        <v>0.0</v>
      </c>
      <c r="P276" s="160">
        <v>0.0</v>
      </c>
      <c r="Q276" s="160">
        <v>0.0</v>
      </c>
      <c r="R276" s="160">
        <v>0.0</v>
      </c>
      <c r="S276" s="160">
        <v>0.0</v>
      </c>
      <c r="T276" s="160">
        <v>0.0</v>
      </c>
      <c r="U276" s="160">
        <v>0.0</v>
      </c>
      <c r="V276" s="160">
        <v>0.0</v>
      </c>
      <c r="W276" s="160">
        <v>0.0</v>
      </c>
      <c r="X276" s="160">
        <v>0.0</v>
      </c>
      <c r="Y276" s="160">
        <v>0.0</v>
      </c>
    </row>
    <row r="277">
      <c r="A277" s="157" t="s">
        <v>696</v>
      </c>
      <c r="B277" s="160">
        <v>0.0</v>
      </c>
      <c r="C277" s="160">
        <v>0.0</v>
      </c>
      <c r="D277" s="160">
        <v>0.0</v>
      </c>
      <c r="E277" s="160">
        <v>0.0</v>
      </c>
      <c r="F277" s="160">
        <v>0.0</v>
      </c>
      <c r="G277" s="160">
        <v>0.0</v>
      </c>
      <c r="H277" s="160">
        <v>0.0</v>
      </c>
      <c r="I277" s="160">
        <v>0.0</v>
      </c>
      <c r="J277" s="160">
        <v>0.0</v>
      </c>
      <c r="K277" s="160">
        <v>0.0</v>
      </c>
      <c r="L277" s="160">
        <v>0.0</v>
      </c>
      <c r="M277" s="160">
        <v>0.0</v>
      </c>
      <c r="N277" s="160">
        <v>0.0</v>
      </c>
      <c r="O277" s="160">
        <v>0.0</v>
      </c>
      <c r="P277" s="160">
        <v>0.0</v>
      </c>
      <c r="Q277" s="160">
        <v>0.0</v>
      </c>
      <c r="R277" s="160">
        <v>0.0</v>
      </c>
      <c r="S277" s="160">
        <v>0.0</v>
      </c>
      <c r="T277" s="160">
        <v>0.0</v>
      </c>
      <c r="U277" s="160">
        <v>0.0</v>
      </c>
      <c r="V277" s="160">
        <v>0.0</v>
      </c>
      <c r="W277" s="160">
        <v>0.0</v>
      </c>
      <c r="X277" s="160">
        <v>0.0</v>
      </c>
      <c r="Y277" s="160">
        <v>0.0</v>
      </c>
    </row>
    <row r="278">
      <c r="A278" s="157" t="s">
        <v>120</v>
      </c>
      <c r="B278" s="160">
        <v>57189.59</v>
      </c>
      <c r="C278" s="160">
        <v>179086.34</v>
      </c>
      <c r="D278" s="160">
        <v>527958.41</v>
      </c>
      <c r="E278" s="160">
        <v>62396.44</v>
      </c>
      <c r="F278" s="160">
        <v>0.0</v>
      </c>
      <c r="G278" s="160">
        <v>32967.0</v>
      </c>
      <c r="H278" s="160">
        <v>0.0</v>
      </c>
      <c r="I278" s="160">
        <v>0.0</v>
      </c>
      <c r="J278" s="160">
        <v>95540.65</v>
      </c>
      <c r="K278" s="160">
        <v>0.0</v>
      </c>
      <c r="L278" s="160">
        <v>5153077.16</v>
      </c>
      <c r="M278" s="160">
        <v>671082.67</v>
      </c>
      <c r="N278" s="160">
        <v>0.0</v>
      </c>
      <c r="O278" s="160">
        <v>0.0</v>
      </c>
      <c r="P278" s="160">
        <v>338829.74</v>
      </c>
      <c r="Q278" s="160">
        <v>0.0</v>
      </c>
      <c r="R278" s="160">
        <v>0.0</v>
      </c>
      <c r="S278" s="160">
        <v>595516.75</v>
      </c>
      <c r="T278" s="160">
        <v>0.0</v>
      </c>
      <c r="U278" s="160">
        <v>0.0</v>
      </c>
      <c r="V278" s="160">
        <v>0.0</v>
      </c>
      <c r="W278" s="160">
        <v>0.0</v>
      </c>
      <c r="X278" s="160">
        <v>0.0</v>
      </c>
      <c r="Y278" s="160">
        <v>7713644.75</v>
      </c>
    </row>
    <row r="279">
      <c r="A279" s="157" t="s">
        <v>697</v>
      </c>
      <c r="B279" s="160">
        <v>0.0</v>
      </c>
      <c r="C279" s="160">
        <v>5410565.0</v>
      </c>
      <c r="D279" s="160">
        <v>6553608.0</v>
      </c>
      <c r="E279" s="160">
        <v>3879841.0</v>
      </c>
      <c r="F279" s="160">
        <v>513363.5</v>
      </c>
      <c r="G279" s="160">
        <v>1641302.0</v>
      </c>
      <c r="H279" s="160">
        <v>2531338.0</v>
      </c>
      <c r="I279" s="160">
        <v>0.0</v>
      </c>
      <c r="J279" s="160">
        <v>769238.2</v>
      </c>
      <c r="K279" s="160">
        <v>0.0</v>
      </c>
      <c r="L279" s="160">
        <v>9105001.67</v>
      </c>
      <c r="M279" s="160">
        <v>1476228.0</v>
      </c>
      <c r="N279" s="160">
        <v>3488934.1</v>
      </c>
      <c r="O279" s="160">
        <v>2869215.5</v>
      </c>
      <c r="P279" s="160">
        <v>4890462.4</v>
      </c>
      <c r="Q279" s="160">
        <v>0.0</v>
      </c>
      <c r="R279" s="160">
        <v>2267790.0</v>
      </c>
      <c r="S279" s="160">
        <v>0.0</v>
      </c>
      <c r="T279" s="160">
        <v>0.0</v>
      </c>
      <c r="U279" s="160">
        <v>732966.0</v>
      </c>
      <c r="V279" s="160">
        <v>0.0</v>
      </c>
      <c r="W279" s="160">
        <v>0.0</v>
      </c>
      <c r="X279" s="160">
        <v>0.0</v>
      </c>
      <c r="Y279" s="160">
        <v>4.612985337E7</v>
      </c>
    </row>
    <row r="280">
      <c r="A280" s="157" t="s">
        <v>698</v>
      </c>
      <c r="B280" s="160">
        <v>0.0</v>
      </c>
      <c r="C280" s="160">
        <v>0.0</v>
      </c>
      <c r="D280" s="160">
        <v>0.0</v>
      </c>
      <c r="E280" s="160">
        <v>0.0</v>
      </c>
      <c r="F280" s="160">
        <v>0.0</v>
      </c>
      <c r="G280" s="160">
        <v>0.0</v>
      </c>
      <c r="H280" s="160">
        <v>0.0</v>
      </c>
      <c r="I280" s="160">
        <v>0.0</v>
      </c>
      <c r="J280" s="160">
        <v>0.0</v>
      </c>
      <c r="K280" s="160">
        <v>0.0</v>
      </c>
      <c r="L280" s="160">
        <v>0.0</v>
      </c>
      <c r="M280" s="160">
        <v>0.0</v>
      </c>
      <c r="N280" s="160">
        <v>0.0</v>
      </c>
      <c r="O280" s="160">
        <v>0.0</v>
      </c>
      <c r="P280" s="160">
        <v>0.0</v>
      </c>
      <c r="Q280" s="160">
        <v>0.0</v>
      </c>
      <c r="R280" s="160">
        <v>0.0</v>
      </c>
      <c r="S280" s="160">
        <v>0.0</v>
      </c>
      <c r="T280" s="160">
        <v>0.0</v>
      </c>
      <c r="U280" s="160">
        <v>0.0</v>
      </c>
      <c r="V280" s="160">
        <v>0.0</v>
      </c>
      <c r="W280" s="160">
        <v>0.0</v>
      </c>
      <c r="X280" s="160">
        <v>0.0</v>
      </c>
      <c r="Y280" s="160">
        <v>0.0</v>
      </c>
    </row>
    <row r="281">
      <c r="A281" s="157" t="s">
        <v>699</v>
      </c>
      <c r="B281" s="160">
        <v>0.0</v>
      </c>
      <c r="C281" s="160">
        <v>0.0</v>
      </c>
      <c r="D281" s="160">
        <v>0.0</v>
      </c>
      <c r="E281" s="160">
        <v>0.0</v>
      </c>
      <c r="F281" s="160">
        <v>0.0</v>
      </c>
      <c r="G281" s="160">
        <v>0.0</v>
      </c>
      <c r="H281" s="160">
        <v>0.0</v>
      </c>
      <c r="I281" s="160">
        <v>0.0</v>
      </c>
      <c r="J281" s="160">
        <v>0.0</v>
      </c>
      <c r="K281" s="160">
        <v>0.0</v>
      </c>
      <c r="L281" s="160">
        <v>0.0</v>
      </c>
      <c r="M281" s="160">
        <v>0.0</v>
      </c>
      <c r="N281" s="160">
        <v>0.0</v>
      </c>
      <c r="O281" s="160">
        <v>0.0</v>
      </c>
      <c r="P281" s="160">
        <v>0.0</v>
      </c>
      <c r="Q281" s="160">
        <v>0.0</v>
      </c>
      <c r="R281" s="160">
        <v>0.0</v>
      </c>
      <c r="S281" s="160">
        <v>0.0</v>
      </c>
      <c r="T281" s="160">
        <v>0.0</v>
      </c>
      <c r="U281" s="160">
        <v>0.0</v>
      </c>
      <c r="V281" s="160">
        <v>0.0</v>
      </c>
      <c r="W281" s="160">
        <v>0.0</v>
      </c>
      <c r="X281" s="160">
        <v>0.0</v>
      </c>
      <c r="Y281" s="160">
        <v>0.0</v>
      </c>
    </row>
    <row r="282">
      <c r="A282" s="157" t="s">
        <v>700</v>
      </c>
      <c r="B282" s="160">
        <v>0.0</v>
      </c>
      <c r="C282" s="160">
        <v>0.0</v>
      </c>
      <c r="D282" s="160">
        <v>0.0</v>
      </c>
      <c r="E282" s="160">
        <v>0.0</v>
      </c>
      <c r="F282" s="160">
        <v>0.0</v>
      </c>
      <c r="G282" s="160">
        <v>0.0</v>
      </c>
      <c r="H282" s="160">
        <v>0.0</v>
      </c>
      <c r="I282" s="160">
        <v>0.0</v>
      </c>
      <c r="J282" s="160">
        <v>0.0</v>
      </c>
      <c r="K282" s="160">
        <v>0.0</v>
      </c>
      <c r="L282" s="160">
        <v>0.0</v>
      </c>
      <c r="M282" s="160">
        <v>0.0</v>
      </c>
      <c r="N282" s="160">
        <v>0.0</v>
      </c>
      <c r="O282" s="160">
        <v>0.0</v>
      </c>
      <c r="P282" s="160">
        <v>0.0</v>
      </c>
      <c r="Q282" s="160">
        <v>0.0</v>
      </c>
      <c r="R282" s="160">
        <v>0.0</v>
      </c>
      <c r="S282" s="160">
        <v>0.0</v>
      </c>
      <c r="T282" s="160">
        <v>0.0</v>
      </c>
      <c r="U282" s="160">
        <v>0.0</v>
      </c>
      <c r="V282" s="160">
        <v>0.0</v>
      </c>
      <c r="W282" s="160">
        <v>0.0</v>
      </c>
      <c r="X282" s="160">
        <v>0.0</v>
      </c>
      <c r="Y282" s="160">
        <v>0.0</v>
      </c>
    </row>
    <row r="283">
      <c r="A283" s="157" t="s">
        <v>701</v>
      </c>
      <c r="B283" s="160">
        <v>0.0</v>
      </c>
      <c r="C283" s="160">
        <v>0.0</v>
      </c>
      <c r="D283" s="160">
        <v>0.0</v>
      </c>
      <c r="E283" s="160">
        <v>0.0</v>
      </c>
      <c r="F283" s="160">
        <v>0.0</v>
      </c>
      <c r="G283" s="160">
        <v>0.0</v>
      </c>
      <c r="H283" s="160">
        <v>0.0</v>
      </c>
      <c r="I283" s="160">
        <v>0.0</v>
      </c>
      <c r="J283" s="160">
        <v>0.0</v>
      </c>
      <c r="K283" s="160">
        <v>0.0</v>
      </c>
      <c r="L283" s="160">
        <v>0.0</v>
      </c>
      <c r="M283" s="160">
        <v>0.0</v>
      </c>
      <c r="N283" s="160">
        <v>0.0</v>
      </c>
      <c r="O283" s="160">
        <v>0.0</v>
      </c>
      <c r="P283" s="160">
        <v>0.0</v>
      </c>
      <c r="Q283" s="160">
        <v>0.0</v>
      </c>
      <c r="R283" s="160">
        <v>0.0</v>
      </c>
      <c r="S283" s="160">
        <v>0.0</v>
      </c>
      <c r="T283" s="160">
        <v>0.0</v>
      </c>
      <c r="U283" s="160">
        <v>0.0</v>
      </c>
      <c r="V283" s="160">
        <v>0.0</v>
      </c>
      <c r="W283" s="160">
        <v>0.0</v>
      </c>
      <c r="X283" s="160">
        <v>0.0</v>
      </c>
      <c r="Y283" s="160">
        <v>0.0</v>
      </c>
    </row>
    <row r="284">
      <c r="A284" s="157" t="s">
        <v>373</v>
      </c>
      <c r="B284" s="160">
        <v>0.0</v>
      </c>
      <c r="C284" s="160">
        <v>0.0</v>
      </c>
      <c r="D284" s="160">
        <v>0.0</v>
      </c>
      <c r="E284" s="160">
        <v>0.0</v>
      </c>
      <c r="F284" s="160">
        <v>0.0</v>
      </c>
      <c r="G284" s="160">
        <v>0.0</v>
      </c>
      <c r="H284" s="160">
        <v>11672.4</v>
      </c>
      <c r="I284" s="160">
        <v>6353.1</v>
      </c>
      <c r="J284" s="160">
        <v>0.0</v>
      </c>
      <c r="K284" s="160">
        <v>0.0</v>
      </c>
      <c r="L284" s="160">
        <v>169417.38</v>
      </c>
      <c r="M284" s="160">
        <v>0.0</v>
      </c>
      <c r="N284" s="160">
        <v>0.0</v>
      </c>
      <c r="O284" s="160">
        <v>0.0</v>
      </c>
      <c r="P284" s="160">
        <v>2932.0</v>
      </c>
      <c r="Q284" s="160">
        <v>0.0</v>
      </c>
      <c r="R284" s="160">
        <v>44950.0</v>
      </c>
      <c r="S284" s="160">
        <v>237856.1</v>
      </c>
      <c r="T284" s="160">
        <v>0.0</v>
      </c>
      <c r="U284" s="160">
        <v>4316.85</v>
      </c>
      <c r="V284" s="160">
        <v>0.0</v>
      </c>
      <c r="W284" s="160">
        <v>0.0</v>
      </c>
      <c r="X284" s="160">
        <v>0.0</v>
      </c>
      <c r="Y284" s="160">
        <v>477497.83</v>
      </c>
    </row>
    <row r="285">
      <c r="A285" s="157" t="s">
        <v>375</v>
      </c>
      <c r="B285" s="160">
        <v>0.0</v>
      </c>
      <c r="C285" s="160">
        <v>0.0</v>
      </c>
      <c r="D285" s="160">
        <v>0.0</v>
      </c>
      <c r="E285" s="160">
        <v>0.0</v>
      </c>
      <c r="F285" s="160">
        <v>0.0</v>
      </c>
      <c r="G285" s="160">
        <v>0.0</v>
      </c>
      <c r="H285" s="160">
        <v>70395.5</v>
      </c>
      <c r="I285" s="160">
        <v>0.0</v>
      </c>
      <c r="J285" s="160">
        <v>0.0</v>
      </c>
      <c r="K285" s="160">
        <v>0.0</v>
      </c>
      <c r="L285" s="160">
        <v>656741.42</v>
      </c>
      <c r="M285" s="160">
        <v>26862.0</v>
      </c>
      <c r="N285" s="160">
        <v>0.0</v>
      </c>
      <c r="O285" s="160">
        <v>0.0</v>
      </c>
      <c r="P285" s="160">
        <v>0.0</v>
      </c>
      <c r="Q285" s="160">
        <v>0.0</v>
      </c>
      <c r="R285" s="160">
        <v>179800.0</v>
      </c>
      <c r="S285" s="160">
        <v>109712.75</v>
      </c>
      <c r="T285" s="160">
        <v>0.0</v>
      </c>
      <c r="U285" s="160">
        <v>0.0</v>
      </c>
      <c r="V285" s="160">
        <v>0.0</v>
      </c>
      <c r="W285" s="160">
        <v>0.0</v>
      </c>
      <c r="X285" s="160">
        <v>0.0</v>
      </c>
      <c r="Y285" s="160">
        <v>1043511.67</v>
      </c>
    </row>
    <row r="286">
      <c r="A286" s="157" t="s">
        <v>702</v>
      </c>
      <c r="B286" s="160">
        <v>0.0</v>
      </c>
      <c r="C286" s="160">
        <v>108141.0</v>
      </c>
      <c r="D286" s="160">
        <v>0.0</v>
      </c>
      <c r="E286" s="160">
        <v>0.0</v>
      </c>
      <c r="F286" s="160">
        <v>0.0</v>
      </c>
      <c r="G286" s="160">
        <v>0.0</v>
      </c>
      <c r="H286" s="160">
        <v>938958.0</v>
      </c>
      <c r="I286" s="160">
        <v>0.0</v>
      </c>
      <c r="J286" s="160">
        <v>400578.98</v>
      </c>
      <c r="K286" s="160">
        <v>0.0</v>
      </c>
      <c r="L286" s="160">
        <v>3990757.51</v>
      </c>
      <c r="M286" s="160">
        <v>54120.0</v>
      </c>
      <c r="N286" s="160">
        <v>0.0</v>
      </c>
      <c r="O286" s="160">
        <v>0.0</v>
      </c>
      <c r="P286" s="160">
        <v>0.0</v>
      </c>
      <c r="Q286" s="160">
        <v>0.0</v>
      </c>
      <c r="R286" s="160">
        <v>2094162.5</v>
      </c>
      <c r="S286" s="160">
        <v>561285.0</v>
      </c>
      <c r="T286" s="160">
        <v>0.0</v>
      </c>
      <c r="U286" s="160">
        <v>0.0</v>
      </c>
      <c r="V286" s="160">
        <v>0.0</v>
      </c>
      <c r="W286" s="160">
        <v>0.0</v>
      </c>
      <c r="X286" s="160">
        <v>0.0</v>
      </c>
      <c r="Y286" s="160">
        <v>8148002.98</v>
      </c>
    </row>
    <row r="287">
      <c r="A287" s="157" t="s">
        <v>703</v>
      </c>
      <c r="B287" s="160">
        <v>0.0</v>
      </c>
      <c r="C287" s="160">
        <v>0.0</v>
      </c>
      <c r="D287" s="160">
        <v>0.0</v>
      </c>
      <c r="E287" s="160">
        <v>0.0</v>
      </c>
      <c r="F287" s="160">
        <v>0.0</v>
      </c>
      <c r="G287" s="160">
        <v>0.0</v>
      </c>
      <c r="H287" s="160">
        <v>0.0</v>
      </c>
      <c r="I287" s="160">
        <v>0.0</v>
      </c>
      <c r="J287" s="160">
        <v>0.0</v>
      </c>
      <c r="K287" s="160">
        <v>0.0</v>
      </c>
      <c r="L287" s="160">
        <v>0.0</v>
      </c>
      <c r="M287" s="160">
        <v>0.0</v>
      </c>
      <c r="N287" s="160">
        <v>0.0</v>
      </c>
      <c r="O287" s="160">
        <v>0.0</v>
      </c>
      <c r="P287" s="160">
        <v>0.0</v>
      </c>
      <c r="Q287" s="160">
        <v>0.0</v>
      </c>
      <c r="R287" s="160">
        <v>0.0</v>
      </c>
      <c r="S287" s="160">
        <v>0.0</v>
      </c>
      <c r="T287" s="160">
        <v>0.0</v>
      </c>
      <c r="U287" s="160">
        <v>0.0</v>
      </c>
      <c r="V287" s="160">
        <v>0.0</v>
      </c>
      <c r="W287" s="160">
        <v>0.0</v>
      </c>
      <c r="X287" s="160">
        <v>0.0</v>
      </c>
      <c r="Y287" s="160">
        <v>0.0</v>
      </c>
    </row>
    <row r="288">
      <c r="A288" s="157" t="s">
        <v>704</v>
      </c>
      <c r="B288" s="160">
        <v>211983.57</v>
      </c>
      <c r="C288" s="160">
        <v>0.0</v>
      </c>
      <c r="D288" s="160">
        <v>0.0</v>
      </c>
      <c r="E288" s="160">
        <v>0.0</v>
      </c>
      <c r="F288" s="160">
        <v>0.0</v>
      </c>
      <c r="G288" s="160">
        <v>0.0</v>
      </c>
      <c r="H288" s="160">
        <v>36714.0</v>
      </c>
      <c r="I288" s="160">
        <v>0.0</v>
      </c>
      <c r="J288" s="160">
        <v>480627.86</v>
      </c>
      <c r="K288" s="160">
        <v>0.0</v>
      </c>
      <c r="L288" s="160">
        <v>526781.1</v>
      </c>
      <c r="M288" s="160">
        <v>0.0</v>
      </c>
      <c r="N288" s="160">
        <v>0.0</v>
      </c>
      <c r="O288" s="160">
        <v>9696.4</v>
      </c>
      <c r="P288" s="160">
        <v>246910.18</v>
      </c>
      <c r="Q288" s="160">
        <v>0.0</v>
      </c>
      <c r="R288" s="160">
        <v>355176.0</v>
      </c>
      <c r="S288" s="160">
        <v>91501.0</v>
      </c>
      <c r="T288" s="160">
        <v>0.0</v>
      </c>
      <c r="U288" s="160">
        <v>11094.0</v>
      </c>
      <c r="V288" s="160">
        <v>0.0</v>
      </c>
      <c r="W288" s="160">
        <v>0.0</v>
      </c>
      <c r="X288" s="160">
        <v>0.0</v>
      </c>
      <c r="Y288" s="160">
        <v>1970484.11</v>
      </c>
    </row>
    <row r="289">
      <c r="A289" s="157" t="s">
        <v>705</v>
      </c>
      <c r="B289" s="160">
        <v>0.0</v>
      </c>
      <c r="C289" s="160">
        <v>0.0</v>
      </c>
      <c r="D289" s="160">
        <v>0.0</v>
      </c>
      <c r="E289" s="160">
        <v>0.0</v>
      </c>
      <c r="F289" s="160">
        <v>0.0</v>
      </c>
      <c r="G289" s="160">
        <v>0.0</v>
      </c>
      <c r="H289" s="160">
        <v>0.0</v>
      </c>
      <c r="I289" s="160">
        <v>0.0</v>
      </c>
      <c r="J289" s="160">
        <v>0.0</v>
      </c>
      <c r="K289" s="160">
        <v>0.0</v>
      </c>
      <c r="L289" s="160">
        <v>0.0</v>
      </c>
      <c r="M289" s="160">
        <v>0.0</v>
      </c>
      <c r="N289" s="160">
        <v>0.0</v>
      </c>
      <c r="O289" s="160">
        <v>0.0</v>
      </c>
      <c r="P289" s="160">
        <v>0.0</v>
      </c>
      <c r="Q289" s="160">
        <v>0.0</v>
      </c>
      <c r="R289" s="160">
        <v>0.0</v>
      </c>
      <c r="S289" s="160">
        <v>0.0</v>
      </c>
      <c r="T289" s="160">
        <v>0.0</v>
      </c>
      <c r="U289" s="160">
        <v>0.0</v>
      </c>
      <c r="V289" s="160">
        <v>0.0</v>
      </c>
      <c r="W289" s="160">
        <v>0.0</v>
      </c>
      <c r="X289" s="160">
        <v>0.0</v>
      </c>
      <c r="Y289" s="160">
        <v>0.0</v>
      </c>
    </row>
    <row r="290">
      <c r="A290" s="157" t="s">
        <v>706</v>
      </c>
      <c r="B290" s="160">
        <v>0.0</v>
      </c>
      <c r="C290" s="160">
        <v>0.0</v>
      </c>
      <c r="D290" s="160">
        <v>0.0</v>
      </c>
      <c r="E290" s="160">
        <v>0.0</v>
      </c>
      <c r="F290" s="160">
        <v>0.0</v>
      </c>
      <c r="G290" s="160">
        <v>0.0</v>
      </c>
      <c r="H290" s="160">
        <v>0.0</v>
      </c>
      <c r="I290" s="160">
        <v>0.0</v>
      </c>
      <c r="J290" s="160">
        <v>0.0</v>
      </c>
      <c r="K290" s="160">
        <v>0.0</v>
      </c>
      <c r="L290" s="160">
        <v>0.0</v>
      </c>
      <c r="M290" s="160">
        <v>0.0</v>
      </c>
      <c r="N290" s="160">
        <v>0.0</v>
      </c>
      <c r="O290" s="160">
        <v>0.0</v>
      </c>
      <c r="P290" s="160">
        <v>0.0</v>
      </c>
      <c r="Q290" s="160">
        <v>0.0</v>
      </c>
      <c r="R290" s="160">
        <v>0.0</v>
      </c>
      <c r="S290" s="160">
        <v>0.0</v>
      </c>
      <c r="T290" s="160">
        <v>0.0</v>
      </c>
      <c r="U290" s="160">
        <v>0.0</v>
      </c>
      <c r="V290" s="160">
        <v>0.0</v>
      </c>
      <c r="W290" s="160">
        <v>0.0</v>
      </c>
      <c r="X290" s="160">
        <v>0.0</v>
      </c>
      <c r="Y290" s="160">
        <v>0.0</v>
      </c>
    </row>
    <row r="291">
      <c r="A291" s="157" t="s">
        <v>707</v>
      </c>
      <c r="B291" s="160">
        <v>0.0</v>
      </c>
      <c r="C291" s="160">
        <v>0.0</v>
      </c>
      <c r="D291" s="160">
        <v>0.0</v>
      </c>
      <c r="E291" s="160">
        <v>0.0</v>
      </c>
      <c r="F291" s="160">
        <v>0.0</v>
      </c>
      <c r="G291" s="160">
        <v>0.0</v>
      </c>
      <c r="H291" s="160">
        <v>0.0</v>
      </c>
      <c r="I291" s="160">
        <v>0.0</v>
      </c>
      <c r="J291" s="160">
        <v>0.0</v>
      </c>
      <c r="K291" s="160">
        <v>0.0</v>
      </c>
      <c r="L291" s="160">
        <v>0.0</v>
      </c>
      <c r="M291" s="160">
        <v>0.0</v>
      </c>
      <c r="N291" s="160">
        <v>0.0</v>
      </c>
      <c r="O291" s="160">
        <v>0.0</v>
      </c>
      <c r="P291" s="160">
        <v>0.0</v>
      </c>
      <c r="Q291" s="160">
        <v>0.0</v>
      </c>
      <c r="R291" s="160">
        <v>0.0</v>
      </c>
      <c r="S291" s="160">
        <v>0.0</v>
      </c>
      <c r="T291" s="160">
        <v>0.0</v>
      </c>
      <c r="U291" s="160">
        <v>0.0</v>
      </c>
      <c r="V291" s="160">
        <v>0.0</v>
      </c>
      <c r="W291" s="160">
        <v>0.0</v>
      </c>
      <c r="X291" s="160">
        <v>0.0</v>
      </c>
      <c r="Y291" s="160">
        <v>0.0</v>
      </c>
    </row>
    <row r="292">
      <c r="A292" s="157" t="s">
        <v>708</v>
      </c>
      <c r="B292" s="160">
        <v>0.0</v>
      </c>
      <c r="C292" s="160">
        <v>0.0</v>
      </c>
      <c r="D292" s="160">
        <v>0.0</v>
      </c>
      <c r="E292" s="160">
        <v>0.0</v>
      </c>
      <c r="F292" s="160">
        <v>0.0</v>
      </c>
      <c r="G292" s="160">
        <v>0.0</v>
      </c>
      <c r="H292" s="160">
        <v>0.0</v>
      </c>
      <c r="I292" s="160">
        <v>0.0</v>
      </c>
      <c r="J292" s="160">
        <v>0.0</v>
      </c>
      <c r="K292" s="160">
        <v>0.0</v>
      </c>
      <c r="L292" s="160">
        <v>0.0</v>
      </c>
      <c r="M292" s="160">
        <v>0.0</v>
      </c>
      <c r="N292" s="160">
        <v>0.0</v>
      </c>
      <c r="O292" s="160">
        <v>0.0</v>
      </c>
      <c r="P292" s="160">
        <v>0.0</v>
      </c>
      <c r="Q292" s="160">
        <v>0.0</v>
      </c>
      <c r="R292" s="160">
        <v>0.0</v>
      </c>
      <c r="S292" s="160">
        <v>0.0</v>
      </c>
      <c r="T292" s="160">
        <v>0.0</v>
      </c>
      <c r="U292" s="160">
        <v>0.0</v>
      </c>
      <c r="V292" s="160">
        <v>0.0</v>
      </c>
      <c r="W292" s="160">
        <v>0.0</v>
      </c>
      <c r="X292" s="160">
        <v>0.0</v>
      </c>
      <c r="Y292" s="160">
        <v>0.0</v>
      </c>
    </row>
    <row r="293">
      <c r="A293" s="157" t="s">
        <v>709</v>
      </c>
      <c r="B293" s="160">
        <v>0.0</v>
      </c>
      <c r="C293" s="160">
        <v>0.0</v>
      </c>
      <c r="D293" s="160">
        <v>0.0</v>
      </c>
      <c r="E293" s="160">
        <v>0.0</v>
      </c>
      <c r="F293" s="160">
        <v>0.0</v>
      </c>
      <c r="G293" s="160">
        <v>0.0</v>
      </c>
      <c r="H293" s="160">
        <v>0.0</v>
      </c>
      <c r="I293" s="160">
        <v>0.0</v>
      </c>
      <c r="J293" s="160">
        <v>0.0</v>
      </c>
      <c r="K293" s="160">
        <v>0.0</v>
      </c>
      <c r="L293" s="160">
        <v>0.0</v>
      </c>
      <c r="M293" s="160">
        <v>0.0</v>
      </c>
      <c r="N293" s="160">
        <v>0.0</v>
      </c>
      <c r="O293" s="160">
        <v>0.0</v>
      </c>
      <c r="P293" s="160">
        <v>0.0</v>
      </c>
      <c r="Q293" s="160">
        <v>0.0</v>
      </c>
      <c r="R293" s="160">
        <v>0.0</v>
      </c>
      <c r="S293" s="160">
        <v>0.0</v>
      </c>
      <c r="T293" s="160">
        <v>0.0</v>
      </c>
      <c r="U293" s="160">
        <v>0.0</v>
      </c>
      <c r="V293" s="160">
        <v>0.0</v>
      </c>
      <c r="W293" s="160">
        <v>0.0</v>
      </c>
      <c r="X293" s="160">
        <v>0.0</v>
      </c>
      <c r="Y293" s="160">
        <v>0.0</v>
      </c>
    </row>
    <row r="294">
      <c r="A294" s="157" t="s">
        <v>710</v>
      </c>
      <c r="B294" s="160">
        <v>0.0</v>
      </c>
      <c r="C294" s="160">
        <v>0.0</v>
      </c>
      <c r="D294" s="160">
        <v>0.0</v>
      </c>
      <c r="E294" s="160">
        <v>0.0</v>
      </c>
      <c r="F294" s="160">
        <v>0.0</v>
      </c>
      <c r="G294" s="160">
        <v>0.0</v>
      </c>
      <c r="H294" s="160">
        <v>0.0</v>
      </c>
      <c r="I294" s="160">
        <v>0.0</v>
      </c>
      <c r="J294" s="160">
        <v>0.0</v>
      </c>
      <c r="K294" s="160">
        <v>0.0</v>
      </c>
      <c r="L294" s="160">
        <v>0.0</v>
      </c>
      <c r="M294" s="160">
        <v>0.0</v>
      </c>
      <c r="N294" s="160">
        <v>0.0</v>
      </c>
      <c r="O294" s="160">
        <v>0.0</v>
      </c>
      <c r="P294" s="160">
        <v>0.0</v>
      </c>
      <c r="Q294" s="160">
        <v>0.0</v>
      </c>
      <c r="R294" s="160">
        <v>0.0</v>
      </c>
      <c r="S294" s="160">
        <v>0.0</v>
      </c>
      <c r="T294" s="160">
        <v>0.0</v>
      </c>
      <c r="U294" s="160">
        <v>0.0</v>
      </c>
      <c r="V294" s="160">
        <v>0.0</v>
      </c>
      <c r="W294" s="160">
        <v>0.0</v>
      </c>
      <c r="X294" s="160">
        <v>0.0</v>
      </c>
      <c r="Y294" s="160">
        <v>0.0</v>
      </c>
    </row>
    <row r="295">
      <c r="A295" s="157" t="s">
        <v>364</v>
      </c>
      <c r="B295" s="160">
        <v>0.0</v>
      </c>
      <c r="C295" s="160">
        <v>0.0</v>
      </c>
      <c r="D295" s="160">
        <v>0.0</v>
      </c>
      <c r="E295" s="160">
        <v>0.0</v>
      </c>
      <c r="F295" s="160">
        <v>0.0</v>
      </c>
      <c r="G295" s="160">
        <v>0.0</v>
      </c>
      <c r="H295" s="160">
        <v>19908.0</v>
      </c>
      <c r="I295" s="160">
        <v>0.0</v>
      </c>
      <c r="J295" s="160">
        <v>0.0</v>
      </c>
      <c r="K295" s="160">
        <v>0.0</v>
      </c>
      <c r="L295" s="160">
        <v>0.0</v>
      </c>
      <c r="M295" s="160">
        <v>0.0</v>
      </c>
      <c r="N295" s="160">
        <v>0.0</v>
      </c>
      <c r="O295" s="160">
        <v>0.0</v>
      </c>
      <c r="P295" s="160">
        <v>0.0</v>
      </c>
      <c r="Q295" s="160">
        <v>0.0</v>
      </c>
      <c r="R295" s="160">
        <v>0.0</v>
      </c>
      <c r="S295" s="160">
        <v>0.0</v>
      </c>
      <c r="T295" s="160">
        <v>0.0</v>
      </c>
      <c r="U295" s="160">
        <v>0.0</v>
      </c>
      <c r="V295" s="160">
        <v>0.0</v>
      </c>
      <c r="W295" s="160">
        <v>0.0</v>
      </c>
      <c r="X295" s="160">
        <v>0.0</v>
      </c>
      <c r="Y295" s="160">
        <v>19908.0</v>
      </c>
    </row>
    <row r="296">
      <c r="A296" s="157" t="s">
        <v>711</v>
      </c>
      <c r="B296" s="160">
        <v>0.0</v>
      </c>
      <c r="C296" s="160">
        <v>0.0</v>
      </c>
      <c r="D296" s="160">
        <v>0.0</v>
      </c>
      <c r="E296" s="160">
        <v>0.0</v>
      </c>
      <c r="F296" s="160">
        <v>0.0</v>
      </c>
      <c r="G296" s="160">
        <v>0.0</v>
      </c>
      <c r="H296" s="160">
        <v>0.0</v>
      </c>
      <c r="I296" s="160">
        <v>0.0</v>
      </c>
      <c r="J296" s="160">
        <v>0.0</v>
      </c>
      <c r="K296" s="160">
        <v>0.0</v>
      </c>
      <c r="L296" s="160">
        <v>0.0</v>
      </c>
      <c r="M296" s="160">
        <v>0.0</v>
      </c>
      <c r="N296" s="160">
        <v>0.0</v>
      </c>
      <c r="O296" s="160">
        <v>0.0</v>
      </c>
      <c r="P296" s="160">
        <v>0.0</v>
      </c>
      <c r="Q296" s="160">
        <v>0.0</v>
      </c>
      <c r="R296" s="160">
        <v>0.0</v>
      </c>
      <c r="S296" s="160">
        <v>0.0</v>
      </c>
      <c r="T296" s="160">
        <v>0.0</v>
      </c>
      <c r="U296" s="160">
        <v>0.0</v>
      </c>
      <c r="V296" s="160">
        <v>0.0</v>
      </c>
      <c r="W296" s="160">
        <v>0.0</v>
      </c>
      <c r="X296" s="160">
        <v>0.0</v>
      </c>
      <c r="Y296" s="160">
        <v>0.0</v>
      </c>
    </row>
    <row r="297">
      <c r="A297" s="157" t="s">
        <v>712</v>
      </c>
      <c r="B297" s="160">
        <v>0.0</v>
      </c>
      <c r="C297" s="160">
        <v>0.0</v>
      </c>
      <c r="D297" s="160">
        <v>0.0</v>
      </c>
      <c r="E297" s="160">
        <v>0.0</v>
      </c>
      <c r="F297" s="160">
        <v>0.0</v>
      </c>
      <c r="G297" s="160">
        <v>0.0</v>
      </c>
      <c r="H297" s="160">
        <v>0.0</v>
      </c>
      <c r="I297" s="160">
        <v>0.0</v>
      </c>
      <c r="J297" s="160">
        <v>0.0</v>
      </c>
      <c r="K297" s="160">
        <v>0.0</v>
      </c>
      <c r="L297" s="160">
        <v>0.0</v>
      </c>
      <c r="M297" s="160">
        <v>0.0</v>
      </c>
      <c r="N297" s="160">
        <v>0.0</v>
      </c>
      <c r="O297" s="160">
        <v>0.0</v>
      </c>
      <c r="P297" s="160">
        <v>0.0</v>
      </c>
      <c r="Q297" s="160">
        <v>0.0</v>
      </c>
      <c r="R297" s="160">
        <v>0.0</v>
      </c>
      <c r="S297" s="160">
        <v>0.0</v>
      </c>
      <c r="T297" s="160">
        <v>0.0</v>
      </c>
      <c r="U297" s="160">
        <v>0.0</v>
      </c>
      <c r="V297" s="160">
        <v>0.0</v>
      </c>
      <c r="W297" s="160">
        <v>0.0</v>
      </c>
      <c r="X297" s="160">
        <v>0.0</v>
      </c>
      <c r="Y297" s="160">
        <v>0.0</v>
      </c>
    </row>
    <row r="298">
      <c r="A298" s="157" t="s">
        <v>713</v>
      </c>
      <c r="B298" s="160">
        <v>6591.6</v>
      </c>
      <c r="C298" s="160">
        <v>391668.97</v>
      </c>
      <c r="D298" s="160">
        <v>545543.8</v>
      </c>
      <c r="E298" s="160">
        <v>285496.2</v>
      </c>
      <c r="F298" s="160">
        <v>147638.8</v>
      </c>
      <c r="G298" s="160">
        <v>267463.0</v>
      </c>
      <c r="H298" s="160">
        <v>476505.04</v>
      </c>
      <c r="I298" s="160">
        <v>0.0</v>
      </c>
      <c r="J298" s="160">
        <v>1836901.56</v>
      </c>
      <c r="K298" s="160">
        <v>0.0</v>
      </c>
      <c r="L298" s="160">
        <v>2421532.15</v>
      </c>
      <c r="M298" s="160">
        <v>685479.16</v>
      </c>
      <c r="N298" s="160">
        <v>1258994.59</v>
      </c>
      <c r="O298" s="160">
        <v>1663876.92</v>
      </c>
      <c r="P298" s="160">
        <v>1158165.9</v>
      </c>
      <c r="Q298" s="160">
        <v>0.0</v>
      </c>
      <c r="R298" s="160">
        <v>247416.0</v>
      </c>
      <c r="S298" s="160">
        <v>425630.04</v>
      </c>
      <c r="T298" s="160">
        <v>0.0</v>
      </c>
      <c r="U298" s="160">
        <v>1470359.4</v>
      </c>
      <c r="V298" s="160">
        <v>0.0</v>
      </c>
      <c r="W298" s="160">
        <v>0.0</v>
      </c>
      <c r="X298" s="160">
        <v>0.0</v>
      </c>
      <c r="Y298" s="160">
        <v>1.328926313E7</v>
      </c>
    </row>
    <row r="299">
      <c r="A299" s="157" t="s">
        <v>402</v>
      </c>
      <c r="B299" s="160">
        <v>8991.18</v>
      </c>
      <c r="C299" s="160">
        <v>86344.5</v>
      </c>
      <c r="D299" s="160">
        <v>274076.0</v>
      </c>
      <c r="E299" s="160">
        <v>164510.5</v>
      </c>
      <c r="F299" s="160">
        <v>9020.0</v>
      </c>
      <c r="G299" s="160">
        <v>0.0</v>
      </c>
      <c r="H299" s="160">
        <v>193215.0</v>
      </c>
      <c r="I299" s="160">
        <v>0.0</v>
      </c>
      <c r="J299" s="160">
        <v>269535.2</v>
      </c>
      <c r="K299" s="160">
        <v>0.0</v>
      </c>
      <c r="L299" s="160">
        <v>1071655.2</v>
      </c>
      <c r="M299" s="160">
        <v>11605.0</v>
      </c>
      <c r="N299" s="160">
        <v>147859.25</v>
      </c>
      <c r="O299" s="160">
        <v>775005.5</v>
      </c>
      <c r="P299" s="160">
        <v>678214.9</v>
      </c>
      <c r="Q299" s="160">
        <v>0.0</v>
      </c>
      <c r="R299" s="160">
        <v>718093.75</v>
      </c>
      <c r="S299" s="160">
        <v>0.0</v>
      </c>
      <c r="T299" s="160">
        <v>0.0</v>
      </c>
      <c r="U299" s="160">
        <v>164887.8</v>
      </c>
      <c r="V299" s="160">
        <v>0.0</v>
      </c>
      <c r="W299" s="160">
        <v>0.0</v>
      </c>
      <c r="X299" s="160">
        <v>0.0</v>
      </c>
      <c r="Y299" s="160">
        <v>4573013.77</v>
      </c>
    </row>
    <row r="300">
      <c r="A300" s="157" t="s">
        <v>714</v>
      </c>
      <c r="B300" s="160">
        <v>0.0</v>
      </c>
      <c r="C300" s="160">
        <v>0.0</v>
      </c>
      <c r="D300" s="160">
        <v>0.0</v>
      </c>
      <c r="E300" s="160">
        <v>0.0</v>
      </c>
      <c r="F300" s="160">
        <v>0.0</v>
      </c>
      <c r="G300" s="160">
        <v>0.0</v>
      </c>
      <c r="H300" s="160">
        <v>0.0</v>
      </c>
      <c r="I300" s="160">
        <v>0.0</v>
      </c>
      <c r="J300" s="160">
        <v>0.0</v>
      </c>
      <c r="K300" s="160">
        <v>0.0</v>
      </c>
      <c r="L300" s="160">
        <v>0.0</v>
      </c>
      <c r="M300" s="160">
        <v>0.0</v>
      </c>
      <c r="N300" s="160">
        <v>0.0</v>
      </c>
      <c r="O300" s="160">
        <v>0.0</v>
      </c>
      <c r="P300" s="160">
        <v>0.0</v>
      </c>
      <c r="Q300" s="160">
        <v>0.0</v>
      </c>
      <c r="R300" s="160">
        <v>0.0</v>
      </c>
      <c r="S300" s="160">
        <v>0.0</v>
      </c>
      <c r="T300" s="160">
        <v>0.0</v>
      </c>
      <c r="U300" s="160">
        <v>0.0</v>
      </c>
      <c r="V300" s="160">
        <v>0.0</v>
      </c>
      <c r="W300" s="160">
        <v>0.0</v>
      </c>
      <c r="X300" s="160">
        <v>0.0</v>
      </c>
      <c r="Y300" s="160">
        <v>0.0</v>
      </c>
    </row>
    <row r="301">
      <c r="A301" s="157" t="s">
        <v>715</v>
      </c>
      <c r="B301" s="160">
        <v>12803.0</v>
      </c>
      <c r="C301" s="160">
        <v>132658.1</v>
      </c>
      <c r="D301" s="160">
        <v>27514.8</v>
      </c>
      <c r="E301" s="160">
        <v>59003.1</v>
      </c>
      <c r="F301" s="160">
        <v>4917.0</v>
      </c>
      <c r="G301" s="160">
        <v>5776.8</v>
      </c>
      <c r="H301" s="160">
        <v>441722.7</v>
      </c>
      <c r="I301" s="160">
        <v>0.0</v>
      </c>
      <c r="J301" s="160">
        <v>38077.18</v>
      </c>
      <c r="K301" s="160">
        <v>0.0</v>
      </c>
      <c r="L301" s="160">
        <v>3812469.16</v>
      </c>
      <c r="M301" s="160">
        <v>100740.5</v>
      </c>
      <c r="N301" s="160">
        <v>133568.2</v>
      </c>
      <c r="O301" s="160">
        <v>175508.61</v>
      </c>
      <c r="P301" s="160">
        <v>40119.05</v>
      </c>
      <c r="Q301" s="160">
        <v>0.0</v>
      </c>
      <c r="R301" s="160">
        <v>0.0</v>
      </c>
      <c r="S301" s="160">
        <v>1747916.0</v>
      </c>
      <c r="T301" s="160">
        <v>0.0</v>
      </c>
      <c r="U301" s="160">
        <v>422246.2</v>
      </c>
      <c r="V301" s="160">
        <v>8492.0</v>
      </c>
      <c r="W301" s="160">
        <v>0.0</v>
      </c>
      <c r="X301" s="160">
        <v>0.0</v>
      </c>
      <c r="Y301" s="160">
        <v>7163532.41</v>
      </c>
    </row>
    <row r="302">
      <c r="A302" s="157" t="s">
        <v>716</v>
      </c>
      <c r="B302" s="160">
        <v>0.0</v>
      </c>
      <c r="C302" s="160">
        <v>0.0</v>
      </c>
      <c r="D302" s="160">
        <v>0.0</v>
      </c>
      <c r="E302" s="160">
        <v>0.0</v>
      </c>
      <c r="F302" s="160">
        <v>0.0</v>
      </c>
      <c r="G302" s="160">
        <v>0.0</v>
      </c>
      <c r="H302" s="160">
        <v>0.0</v>
      </c>
      <c r="I302" s="160">
        <v>0.0</v>
      </c>
      <c r="J302" s="160">
        <v>0.0</v>
      </c>
      <c r="K302" s="160">
        <v>0.0</v>
      </c>
      <c r="L302" s="160">
        <v>0.0</v>
      </c>
      <c r="M302" s="160">
        <v>0.0</v>
      </c>
      <c r="N302" s="160">
        <v>0.0</v>
      </c>
      <c r="O302" s="160">
        <v>0.0</v>
      </c>
      <c r="P302" s="160">
        <v>0.0</v>
      </c>
      <c r="Q302" s="160">
        <v>0.0</v>
      </c>
      <c r="R302" s="160">
        <v>0.0</v>
      </c>
      <c r="S302" s="160">
        <v>0.0</v>
      </c>
      <c r="T302" s="160">
        <v>0.0</v>
      </c>
      <c r="U302" s="160">
        <v>0.0</v>
      </c>
      <c r="V302" s="160">
        <v>0.0</v>
      </c>
      <c r="W302" s="160">
        <v>0.0</v>
      </c>
      <c r="X302" s="160">
        <v>0.0</v>
      </c>
      <c r="Y302" s="160">
        <v>0.0</v>
      </c>
    </row>
    <row r="303">
      <c r="A303" s="157" t="s">
        <v>717</v>
      </c>
      <c r="B303" s="160">
        <v>0.0</v>
      </c>
      <c r="C303" s="160">
        <v>0.0</v>
      </c>
      <c r="D303" s="160">
        <v>0.0</v>
      </c>
      <c r="E303" s="160">
        <v>0.0</v>
      </c>
      <c r="F303" s="160">
        <v>0.0</v>
      </c>
      <c r="G303" s="160">
        <v>0.0</v>
      </c>
      <c r="H303" s="160">
        <v>0.0</v>
      </c>
      <c r="I303" s="160">
        <v>0.0</v>
      </c>
      <c r="J303" s="160">
        <v>0.0</v>
      </c>
      <c r="K303" s="160">
        <v>0.0</v>
      </c>
      <c r="L303" s="160">
        <v>0.0</v>
      </c>
      <c r="M303" s="160">
        <v>0.0</v>
      </c>
      <c r="N303" s="160">
        <v>0.0</v>
      </c>
      <c r="O303" s="160">
        <v>0.0</v>
      </c>
      <c r="P303" s="160">
        <v>0.0</v>
      </c>
      <c r="Q303" s="160">
        <v>0.0</v>
      </c>
      <c r="R303" s="160">
        <v>0.0</v>
      </c>
      <c r="S303" s="160">
        <v>0.0</v>
      </c>
      <c r="T303" s="160">
        <v>0.0</v>
      </c>
      <c r="U303" s="160">
        <v>0.0</v>
      </c>
      <c r="V303" s="160">
        <v>0.0</v>
      </c>
      <c r="W303" s="160">
        <v>0.0</v>
      </c>
      <c r="X303" s="160">
        <v>0.0</v>
      </c>
      <c r="Y303" s="160">
        <v>0.0</v>
      </c>
    </row>
    <row r="304">
      <c r="A304" s="157" t="s">
        <v>718</v>
      </c>
      <c r="B304" s="160">
        <v>0.0</v>
      </c>
      <c r="C304" s="160">
        <v>0.0</v>
      </c>
      <c r="D304" s="160">
        <v>0.0</v>
      </c>
      <c r="E304" s="160">
        <v>0.0</v>
      </c>
      <c r="F304" s="160">
        <v>0.0</v>
      </c>
      <c r="G304" s="160">
        <v>0.0</v>
      </c>
      <c r="H304" s="160">
        <v>0.0</v>
      </c>
      <c r="I304" s="160">
        <v>0.0</v>
      </c>
      <c r="J304" s="160">
        <v>0.0</v>
      </c>
      <c r="K304" s="160">
        <v>0.0</v>
      </c>
      <c r="L304" s="160">
        <v>0.0</v>
      </c>
      <c r="M304" s="160">
        <v>0.0</v>
      </c>
      <c r="N304" s="160">
        <v>0.0</v>
      </c>
      <c r="O304" s="160">
        <v>0.0</v>
      </c>
      <c r="P304" s="160">
        <v>0.0</v>
      </c>
      <c r="Q304" s="160">
        <v>0.0</v>
      </c>
      <c r="R304" s="160">
        <v>0.0</v>
      </c>
      <c r="S304" s="160">
        <v>0.0</v>
      </c>
      <c r="T304" s="160">
        <v>0.0</v>
      </c>
      <c r="U304" s="160">
        <v>0.0</v>
      </c>
      <c r="V304" s="160">
        <v>0.0</v>
      </c>
      <c r="W304" s="160">
        <v>0.0</v>
      </c>
      <c r="X304" s="160">
        <v>0.0</v>
      </c>
      <c r="Y304" s="160">
        <v>0.0</v>
      </c>
    </row>
    <row r="305">
      <c r="A305" s="157" t="s">
        <v>719</v>
      </c>
      <c r="B305" s="160">
        <v>0.0</v>
      </c>
      <c r="C305" s="160">
        <v>0.0</v>
      </c>
      <c r="D305" s="160">
        <v>0.0</v>
      </c>
      <c r="E305" s="160">
        <v>0.0</v>
      </c>
      <c r="F305" s="160">
        <v>0.0</v>
      </c>
      <c r="G305" s="160">
        <v>0.0</v>
      </c>
      <c r="H305" s="160">
        <v>0.0</v>
      </c>
      <c r="I305" s="160">
        <v>0.0</v>
      </c>
      <c r="J305" s="160">
        <v>0.0</v>
      </c>
      <c r="K305" s="160">
        <v>0.0</v>
      </c>
      <c r="L305" s="160">
        <v>0.0</v>
      </c>
      <c r="M305" s="160">
        <v>0.0</v>
      </c>
      <c r="N305" s="160">
        <v>0.0</v>
      </c>
      <c r="O305" s="160">
        <v>0.0</v>
      </c>
      <c r="P305" s="160">
        <v>0.0</v>
      </c>
      <c r="Q305" s="160">
        <v>0.0</v>
      </c>
      <c r="R305" s="160">
        <v>0.0</v>
      </c>
      <c r="S305" s="160">
        <v>0.0</v>
      </c>
      <c r="T305" s="160">
        <v>0.0</v>
      </c>
      <c r="U305" s="160">
        <v>0.0</v>
      </c>
      <c r="V305" s="160">
        <v>0.0</v>
      </c>
      <c r="W305" s="160">
        <v>0.0</v>
      </c>
      <c r="X305" s="160">
        <v>0.0</v>
      </c>
      <c r="Y305" s="160">
        <v>0.0</v>
      </c>
    </row>
    <row r="306">
      <c r="A306" s="157" t="s">
        <v>720</v>
      </c>
      <c r="B306" s="160">
        <v>0.0</v>
      </c>
      <c r="C306" s="160">
        <v>0.0</v>
      </c>
      <c r="D306" s="160">
        <v>0.0</v>
      </c>
      <c r="E306" s="160">
        <v>0.0</v>
      </c>
      <c r="F306" s="160">
        <v>0.0</v>
      </c>
      <c r="G306" s="160">
        <v>0.0</v>
      </c>
      <c r="H306" s="160">
        <v>0.0</v>
      </c>
      <c r="I306" s="160">
        <v>0.0</v>
      </c>
      <c r="J306" s="160">
        <v>0.0</v>
      </c>
      <c r="K306" s="160">
        <v>0.0</v>
      </c>
      <c r="L306" s="160">
        <v>0.0</v>
      </c>
      <c r="M306" s="160">
        <v>0.0</v>
      </c>
      <c r="N306" s="160">
        <v>0.0</v>
      </c>
      <c r="O306" s="160">
        <v>0.0</v>
      </c>
      <c r="P306" s="160">
        <v>0.0</v>
      </c>
      <c r="Q306" s="160">
        <v>0.0</v>
      </c>
      <c r="R306" s="160">
        <v>0.0</v>
      </c>
      <c r="S306" s="160">
        <v>0.0</v>
      </c>
      <c r="T306" s="160">
        <v>0.0</v>
      </c>
      <c r="U306" s="160">
        <v>0.0</v>
      </c>
      <c r="V306" s="160">
        <v>0.0</v>
      </c>
      <c r="W306" s="160">
        <v>0.0</v>
      </c>
      <c r="X306" s="160">
        <v>0.0</v>
      </c>
      <c r="Y306" s="160">
        <v>0.0</v>
      </c>
    </row>
    <row r="307">
      <c r="A307" s="157" t="s">
        <v>387</v>
      </c>
      <c r="B307" s="160">
        <v>79940.96</v>
      </c>
      <c r="C307" s="160">
        <v>13493.7</v>
      </c>
      <c r="D307" s="160">
        <v>2822.2</v>
      </c>
      <c r="E307" s="160">
        <v>0.0</v>
      </c>
      <c r="F307" s="160">
        <v>0.0</v>
      </c>
      <c r="G307" s="160">
        <v>0.0</v>
      </c>
      <c r="H307" s="160">
        <v>19369.0</v>
      </c>
      <c r="I307" s="160">
        <v>0.0</v>
      </c>
      <c r="J307" s="160">
        <v>71636.38</v>
      </c>
      <c r="K307" s="160">
        <v>0.0</v>
      </c>
      <c r="L307" s="160">
        <v>3388.0</v>
      </c>
      <c r="M307" s="160">
        <v>66084.48</v>
      </c>
      <c r="N307" s="160">
        <v>61094.0</v>
      </c>
      <c r="O307" s="160">
        <v>0.0</v>
      </c>
      <c r="P307" s="160">
        <v>93168.24</v>
      </c>
      <c r="Q307" s="160">
        <v>0.0</v>
      </c>
      <c r="R307" s="160">
        <v>0.0</v>
      </c>
      <c r="S307" s="160">
        <v>0.0</v>
      </c>
      <c r="T307" s="160">
        <v>0.0</v>
      </c>
      <c r="U307" s="160">
        <v>79242.28</v>
      </c>
      <c r="V307" s="160">
        <v>0.0</v>
      </c>
      <c r="W307" s="160">
        <v>0.0</v>
      </c>
      <c r="X307" s="160">
        <v>0.0</v>
      </c>
      <c r="Y307" s="160">
        <v>490239.24</v>
      </c>
    </row>
    <row r="308">
      <c r="A308" s="157" t="s">
        <v>721</v>
      </c>
      <c r="B308" s="160">
        <v>0.0</v>
      </c>
      <c r="C308" s="160">
        <v>0.0</v>
      </c>
      <c r="D308" s="160">
        <v>0.0</v>
      </c>
      <c r="E308" s="160">
        <v>0.0</v>
      </c>
      <c r="F308" s="160">
        <v>0.0</v>
      </c>
      <c r="G308" s="160">
        <v>0.0</v>
      </c>
      <c r="H308" s="160">
        <v>0.0</v>
      </c>
      <c r="I308" s="160">
        <v>0.0</v>
      </c>
      <c r="J308" s="160">
        <v>0.0</v>
      </c>
      <c r="K308" s="160">
        <v>0.0</v>
      </c>
      <c r="L308" s="160">
        <v>0.0</v>
      </c>
      <c r="M308" s="160">
        <v>0.0</v>
      </c>
      <c r="N308" s="160">
        <v>0.0</v>
      </c>
      <c r="O308" s="160">
        <v>0.0</v>
      </c>
      <c r="P308" s="160">
        <v>0.0</v>
      </c>
      <c r="Q308" s="160">
        <v>0.0</v>
      </c>
      <c r="R308" s="160">
        <v>0.0</v>
      </c>
      <c r="S308" s="160">
        <v>0.0</v>
      </c>
      <c r="T308" s="160">
        <v>0.0</v>
      </c>
      <c r="U308" s="160">
        <v>0.0</v>
      </c>
      <c r="V308" s="160">
        <v>0.0</v>
      </c>
      <c r="W308" s="160">
        <v>0.0</v>
      </c>
      <c r="X308" s="160">
        <v>0.0</v>
      </c>
      <c r="Y308" s="160">
        <v>0.0</v>
      </c>
    </row>
    <row r="309">
      <c r="A309" s="157" t="s">
        <v>722</v>
      </c>
      <c r="B309" s="160">
        <v>0.0</v>
      </c>
      <c r="C309" s="160">
        <v>0.0</v>
      </c>
      <c r="D309" s="160">
        <v>0.0</v>
      </c>
      <c r="E309" s="160">
        <v>0.0</v>
      </c>
      <c r="F309" s="160">
        <v>0.0</v>
      </c>
      <c r="G309" s="160">
        <v>0.0</v>
      </c>
      <c r="H309" s="160">
        <v>0.0</v>
      </c>
      <c r="I309" s="160">
        <v>0.0</v>
      </c>
      <c r="J309" s="160">
        <v>0.0</v>
      </c>
      <c r="K309" s="160">
        <v>0.0</v>
      </c>
      <c r="L309" s="160">
        <v>0.0</v>
      </c>
      <c r="M309" s="160">
        <v>0.0</v>
      </c>
      <c r="N309" s="160">
        <v>0.0</v>
      </c>
      <c r="O309" s="160">
        <v>0.0</v>
      </c>
      <c r="P309" s="160">
        <v>0.0</v>
      </c>
      <c r="Q309" s="160">
        <v>0.0</v>
      </c>
      <c r="R309" s="160">
        <v>0.0</v>
      </c>
      <c r="S309" s="160">
        <v>0.0</v>
      </c>
      <c r="T309" s="160">
        <v>0.0</v>
      </c>
      <c r="U309" s="160">
        <v>0.0</v>
      </c>
      <c r="V309" s="160">
        <v>0.0</v>
      </c>
      <c r="W309" s="160">
        <v>0.0</v>
      </c>
      <c r="X309" s="160">
        <v>0.0</v>
      </c>
      <c r="Y309" s="160">
        <v>0.0</v>
      </c>
    </row>
    <row r="310">
      <c r="A310" s="157" t="s">
        <v>723</v>
      </c>
      <c r="B310" s="160">
        <v>0.0</v>
      </c>
      <c r="C310" s="160">
        <v>0.0</v>
      </c>
      <c r="D310" s="160">
        <v>0.0</v>
      </c>
      <c r="E310" s="160">
        <v>0.0</v>
      </c>
      <c r="F310" s="160">
        <v>0.0</v>
      </c>
      <c r="G310" s="160">
        <v>0.0</v>
      </c>
      <c r="H310" s="160">
        <v>0.0</v>
      </c>
      <c r="I310" s="160">
        <v>0.0</v>
      </c>
      <c r="J310" s="160">
        <v>0.0</v>
      </c>
      <c r="K310" s="160">
        <v>0.0</v>
      </c>
      <c r="L310" s="160">
        <v>0.0</v>
      </c>
      <c r="M310" s="160">
        <v>0.0</v>
      </c>
      <c r="N310" s="160">
        <v>0.0</v>
      </c>
      <c r="O310" s="160">
        <v>0.0</v>
      </c>
      <c r="P310" s="160">
        <v>0.0</v>
      </c>
      <c r="Q310" s="160">
        <v>0.0</v>
      </c>
      <c r="R310" s="160">
        <v>0.0</v>
      </c>
      <c r="S310" s="160">
        <v>0.0</v>
      </c>
      <c r="T310" s="160">
        <v>0.0</v>
      </c>
      <c r="U310" s="160">
        <v>0.0</v>
      </c>
      <c r="V310" s="160">
        <v>0.0</v>
      </c>
      <c r="W310" s="160">
        <v>0.0</v>
      </c>
      <c r="X310" s="160">
        <v>0.0</v>
      </c>
      <c r="Y310" s="160">
        <v>0.0</v>
      </c>
    </row>
    <row r="311">
      <c r="A311" s="157" t="s">
        <v>724</v>
      </c>
      <c r="B311" s="160">
        <v>0.0</v>
      </c>
      <c r="C311" s="160">
        <v>0.0</v>
      </c>
      <c r="D311" s="160">
        <v>0.0</v>
      </c>
      <c r="E311" s="160">
        <v>0.0</v>
      </c>
      <c r="F311" s="160">
        <v>0.0</v>
      </c>
      <c r="G311" s="160">
        <v>0.0</v>
      </c>
      <c r="H311" s="160">
        <v>0.0</v>
      </c>
      <c r="I311" s="160">
        <v>0.0</v>
      </c>
      <c r="J311" s="160">
        <v>0.0</v>
      </c>
      <c r="K311" s="160">
        <v>0.0</v>
      </c>
      <c r="L311" s="160">
        <v>0.0</v>
      </c>
      <c r="M311" s="160">
        <v>0.0</v>
      </c>
      <c r="N311" s="160">
        <v>0.0</v>
      </c>
      <c r="O311" s="160">
        <v>0.0</v>
      </c>
      <c r="P311" s="160">
        <v>0.0</v>
      </c>
      <c r="Q311" s="160">
        <v>0.0</v>
      </c>
      <c r="R311" s="160">
        <v>0.0</v>
      </c>
      <c r="S311" s="160">
        <v>0.0</v>
      </c>
      <c r="T311" s="160">
        <v>0.0</v>
      </c>
      <c r="U311" s="160">
        <v>0.0</v>
      </c>
      <c r="V311" s="160">
        <v>0.0</v>
      </c>
      <c r="W311" s="160">
        <v>0.0</v>
      </c>
      <c r="X311" s="160">
        <v>0.0</v>
      </c>
      <c r="Y311" s="160">
        <v>0.0</v>
      </c>
    </row>
    <row r="312">
      <c r="A312" s="157" t="s">
        <v>725</v>
      </c>
      <c r="B312" s="160">
        <v>0.0</v>
      </c>
      <c r="C312" s="160">
        <v>0.0</v>
      </c>
      <c r="D312" s="160">
        <v>0.0</v>
      </c>
      <c r="E312" s="160">
        <v>0.0</v>
      </c>
      <c r="F312" s="160">
        <v>0.0</v>
      </c>
      <c r="G312" s="160">
        <v>0.0</v>
      </c>
      <c r="H312" s="160">
        <v>0.0</v>
      </c>
      <c r="I312" s="160">
        <v>0.0</v>
      </c>
      <c r="J312" s="160">
        <v>0.0</v>
      </c>
      <c r="K312" s="160">
        <v>0.0</v>
      </c>
      <c r="L312" s="160">
        <v>0.0</v>
      </c>
      <c r="M312" s="160">
        <v>0.0</v>
      </c>
      <c r="N312" s="160">
        <v>0.0</v>
      </c>
      <c r="O312" s="160">
        <v>0.0</v>
      </c>
      <c r="P312" s="160">
        <v>0.0</v>
      </c>
      <c r="Q312" s="160">
        <v>0.0</v>
      </c>
      <c r="R312" s="160">
        <v>0.0</v>
      </c>
      <c r="S312" s="160">
        <v>0.0</v>
      </c>
      <c r="T312" s="160">
        <v>0.0</v>
      </c>
      <c r="U312" s="160">
        <v>0.0</v>
      </c>
      <c r="V312" s="160">
        <v>0.0</v>
      </c>
      <c r="W312" s="160">
        <v>0.0</v>
      </c>
      <c r="X312" s="160">
        <v>0.0</v>
      </c>
      <c r="Y312" s="160">
        <v>0.0</v>
      </c>
    </row>
    <row r="313">
      <c r="A313" s="157" t="s">
        <v>726</v>
      </c>
      <c r="B313" s="160">
        <v>122187.3</v>
      </c>
      <c r="C313" s="160">
        <v>68114.4</v>
      </c>
      <c r="D313" s="160">
        <v>60312.0</v>
      </c>
      <c r="E313" s="160">
        <v>222804.0</v>
      </c>
      <c r="F313" s="160">
        <v>0.0</v>
      </c>
      <c r="G313" s="160">
        <v>0.0</v>
      </c>
      <c r="H313" s="160">
        <v>1608660.0</v>
      </c>
      <c r="I313" s="160">
        <v>1920.0</v>
      </c>
      <c r="J313" s="160">
        <v>1036202.9</v>
      </c>
      <c r="K313" s="160">
        <v>0.0</v>
      </c>
      <c r="L313" s="160">
        <v>3302693.13</v>
      </c>
      <c r="M313" s="160">
        <v>110664.0</v>
      </c>
      <c r="N313" s="160">
        <v>672628.0</v>
      </c>
      <c r="O313" s="160">
        <v>2898689.82</v>
      </c>
      <c r="P313" s="160">
        <v>2393410.66</v>
      </c>
      <c r="Q313" s="160">
        <v>0.0</v>
      </c>
      <c r="R313" s="160">
        <v>1751265.0</v>
      </c>
      <c r="S313" s="160">
        <v>0.0</v>
      </c>
      <c r="T313" s="160">
        <v>0.0</v>
      </c>
      <c r="U313" s="160">
        <v>201315.44</v>
      </c>
      <c r="V313" s="160">
        <v>0.0</v>
      </c>
      <c r="W313" s="160">
        <v>0.0</v>
      </c>
      <c r="X313" s="160">
        <v>0.0</v>
      </c>
      <c r="Y313" s="160">
        <v>1.445086665E7</v>
      </c>
    </row>
    <row r="314">
      <c r="A314" s="157" t="s">
        <v>727</v>
      </c>
      <c r="B314" s="160">
        <v>0.0</v>
      </c>
      <c r="C314" s="160">
        <v>0.0</v>
      </c>
      <c r="D314" s="160">
        <v>0.0</v>
      </c>
      <c r="E314" s="160">
        <v>0.0</v>
      </c>
      <c r="F314" s="160">
        <v>0.0</v>
      </c>
      <c r="G314" s="160">
        <v>0.0</v>
      </c>
      <c r="H314" s="160">
        <v>0.0</v>
      </c>
      <c r="I314" s="160">
        <v>0.0</v>
      </c>
      <c r="J314" s="160">
        <v>0.0</v>
      </c>
      <c r="K314" s="160">
        <v>0.0</v>
      </c>
      <c r="L314" s="160">
        <v>0.0</v>
      </c>
      <c r="M314" s="160">
        <v>0.0</v>
      </c>
      <c r="N314" s="160">
        <v>0.0</v>
      </c>
      <c r="O314" s="160">
        <v>0.0</v>
      </c>
      <c r="P314" s="160">
        <v>0.0</v>
      </c>
      <c r="Q314" s="160">
        <v>0.0</v>
      </c>
      <c r="R314" s="160">
        <v>0.0</v>
      </c>
      <c r="S314" s="160">
        <v>0.0</v>
      </c>
      <c r="T314" s="160">
        <v>0.0</v>
      </c>
      <c r="U314" s="160">
        <v>0.0</v>
      </c>
      <c r="V314" s="160">
        <v>0.0</v>
      </c>
      <c r="W314" s="160">
        <v>0.0</v>
      </c>
      <c r="X314" s="160">
        <v>0.0</v>
      </c>
      <c r="Y314" s="160">
        <v>0.0</v>
      </c>
    </row>
    <row r="315">
      <c r="A315" s="157" t="s">
        <v>728</v>
      </c>
      <c r="B315" s="160">
        <v>29119.56</v>
      </c>
      <c r="C315" s="160">
        <v>284911.5</v>
      </c>
      <c r="D315" s="160">
        <v>354900.2</v>
      </c>
      <c r="E315" s="160">
        <v>105328.25</v>
      </c>
      <c r="F315" s="160">
        <v>0.0</v>
      </c>
      <c r="G315" s="160">
        <v>0.0</v>
      </c>
      <c r="H315" s="160">
        <v>1305616.2</v>
      </c>
      <c r="I315" s="160">
        <v>0.0</v>
      </c>
      <c r="J315" s="160">
        <v>503932.67</v>
      </c>
      <c r="K315" s="160">
        <v>0.0</v>
      </c>
      <c r="L315" s="160">
        <v>8070537.61</v>
      </c>
      <c r="M315" s="160">
        <v>30158.8</v>
      </c>
      <c r="N315" s="160">
        <v>587941.68</v>
      </c>
      <c r="O315" s="160">
        <v>954105.45</v>
      </c>
      <c r="P315" s="160">
        <v>1210219.4</v>
      </c>
      <c r="Q315" s="160">
        <v>0.0</v>
      </c>
      <c r="R315" s="160">
        <v>894029.25</v>
      </c>
      <c r="S315" s="160">
        <v>23020.8</v>
      </c>
      <c r="T315" s="160">
        <v>0.0</v>
      </c>
      <c r="U315" s="160">
        <v>807671.41</v>
      </c>
      <c r="V315" s="160">
        <v>0.0</v>
      </c>
      <c r="W315" s="160">
        <v>0.0</v>
      </c>
      <c r="X315" s="160">
        <v>0.0</v>
      </c>
      <c r="Y315" s="160">
        <v>1.516149278E7</v>
      </c>
    </row>
    <row r="316">
      <c r="A316" s="157" t="s">
        <v>729</v>
      </c>
      <c r="B316" s="160">
        <v>0.0</v>
      </c>
      <c r="C316" s="160">
        <v>0.0</v>
      </c>
      <c r="D316" s="160">
        <v>0.0</v>
      </c>
      <c r="E316" s="160">
        <v>0.0</v>
      </c>
      <c r="F316" s="160">
        <v>0.0</v>
      </c>
      <c r="G316" s="160">
        <v>0.0</v>
      </c>
      <c r="H316" s="160">
        <v>0.0</v>
      </c>
      <c r="I316" s="160">
        <v>0.0</v>
      </c>
      <c r="J316" s="160">
        <v>0.0</v>
      </c>
      <c r="K316" s="160">
        <v>0.0</v>
      </c>
      <c r="L316" s="160">
        <v>0.0</v>
      </c>
      <c r="M316" s="160">
        <v>0.0</v>
      </c>
      <c r="N316" s="160">
        <v>0.0</v>
      </c>
      <c r="O316" s="160">
        <v>0.0</v>
      </c>
      <c r="P316" s="160">
        <v>0.0</v>
      </c>
      <c r="Q316" s="160">
        <v>0.0</v>
      </c>
      <c r="R316" s="160">
        <v>0.0</v>
      </c>
      <c r="S316" s="160">
        <v>0.0</v>
      </c>
      <c r="T316" s="160">
        <v>0.0</v>
      </c>
      <c r="U316" s="160">
        <v>0.0</v>
      </c>
      <c r="V316" s="160">
        <v>0.0</v>
      </c>
      <c r="W316" s="160">
        <v>0.0</v>
      </c>
      <c r="X316" s="160">
        <v>0.0</v>
      </c>
      <c r="Y316" s="160">
        <v>0.0</v>
      </c>
    </row>
    <row r="317">
      <c r="A317" s="157" t="s">
        <v>730</v>
      </c>
      <c r="B317" s="160">
        <v>0.0</v>
      </c>
      <c r="C317" s="160">
        <v>0.0</v>
      </c>
      <c r="D317" s="160">
        <v>0.0</v>
      </c>
      <c r="E317" s="160">
        <v>0.0</v>
      </c>
      <c r="F317" s="160">
        <v>0.0</v>
      </c>
      <c r="G317" s="160">
        <v>0.0</v>
      </c>
      <c r="H317" s="160">
        <v>0.0</v>
      </c>
      <c r="I317" s="160">
        <v>0.0</v>
      </c>
      <c r="J317" s="160">
        <v>0.0</v>
      </c>
      <c r="K317" s="160">
        <v>0.0</v>
      </c>
      <c r="L317" s="160">
        <v>0.0</v>
      </c>
      <c r="M317" s="160">
        <v>0.0</v>
      </c>
      <c r="N317" s="160">
        <v>0.0</v>
      </c>
      <c r="O317" s="160">
        <v>0.0</v>
      </c>
      <c r="P317" s="160">
        <v>0.0</v>
      </c>
      <c r="Q317" s="160">
        <v>0.0</v>
      </c>
      <c r="R317" s="160">
        <v>0.0</v>
      </c>
      <c r="S317" s="160">
        <v>0.0</v>
      </c>
      <c r="T317" s="160">
        <v>0.0</v>
      </c>
      <c r="U317" s="160">
        <v>0.0</v>
      </c>
      <c r="V317" s="160">
        <v>0.0</v>
      </c>
      <c r="W317" s="160">
        <v>0.0</v>
      </c>
      <c r="X317" s="160">
        <v>0.0</v>
      </c>
      <c r="Y317" s="160">
        <v>0.0</v>
      </c>
    </row>
    <row r="318">
      <c r="A318" s="157" t="s">
        <v>237</v>
      </c>
      <c r="B318" s="160">
        <v>0.0</v>
      </c>
      <c r="C318" s="160">
        <v>127843.4</v>
      </c>
      <c r="D318" s="160">
        <v>337698.5</v>
      </c>
      <c r="E318" s="160">
        <v>969091.2</v>
      </c>
      <c r="F318" s="160">
        <v>79458.0</v>
      </c>
      <c r="G318" s="160">
        <v>0.0</v>
      </c>
      <c r="H318" s="160">
        <v>978461.2</v>
      </c>
      <c r="I318" s="160">
        <v>0.0</v>
      </c>
      <c r="J318" s="160">
        <v>120755.2</v>
      </c>
      <c r="K318" s="160">
        <v>0.0</v>
      </c>
      <c r="L318" s="160">
        <v>6490304.6</v>
      </c>
      <c r="M318" s="160">
        <v>305635.6</v>
      </c>
      <c r="N318" s="160">
        <v>0.0</v>
      </c>
      <c r="O318" s="160">
        <v>1345377.11</v>
      </c>
      <c r="P318" s="160">
        <v>1925552.92</v>
      </c>
      <c r="Q318" s="160">
        <v>0.0</v>
      </c>
      <c r="R318" s="160">
        <v>1378730.0</v>
      </c>
      <c r="S318" s="160">
        <v>0.0</v>
      </c>
      <c r="T318" s="160">
        <v>0.0</v>
      </c>
      <c r="U318" s="160">
        <v>0.0</v>
      </c>
      <c r="V318" s="160">
        <v>0.0</v>
      </c>
      <c r="W318" s="160">
        <v>0.0</v>
      </c>
      <c r="X318" s="160">
        <v>0.0</v>
      </c>
      <c r="Y318" s="160">
        <v>1.405890773E7</v>
      </c>
    </row>
    <row r="319">
      <c r="A319" s="157" t="s">
        <v>731</v>
      </c>
      <c r="B319" s="160">
        <v>0.0</v>
      </c>
      <c r="C319" s="160">
        <v>0.0</v>
      </c>
      <c r="D319" s="160">
        <v>0.0</v>
      </c>
      <c r="E319" s="160">
        <v>0.0</v>
      </c>
      <c r="F319" s="160">
        <v>0.0</v>
      </c>
      <c r="G319" s="160">
        <v>0.0</v>
      </c>
      <c r="H319" s="160">
        <v>0.0</v>
      </c>
      <c r="I319" s="160">
        <v>0.0</v>
      </c>
      <c r="J319" s="160">
        <v>0.0</v>
      </c>
      <c r="K319" s="160">
        <v>0.0</v>
      </c>
      <c r="L319" s="160">
        <v>0.0</v>
      </c>
      <c r="M319" s="160">
        <v>0.0</v>
      </c>
      <c r="N319" s="160">
        <v>0.0</v>
      </c>
      <c r="O319" s="160">
        <v>0.0</v>
      </c>
      <c r="P319" s="160">
        <v>0.0</v>
      </c>
      <c r="Q319" s="160">
        <v>0.0</v>
      </c>
      <c r="R319" s="160">
        <v>0.0</v>
      </c>
      <c r="S319" s="160">
        <v>0.0</v>
      </c>
      <c r="T319" s="160">
        <v>0.0</v>
      </c>
      <c r="U319" s="160">
        <v>0.0</v>
      </c>
      <c r="V319" s="160">
        <v>0.0</v>
      </c>
      <c r="W319" s="160">
        <v>0.0</v>
      </c>
      <c r="X319" s="160">
        <v>0.0</v>
      </c>
      <c r="Y319" s="160">
        <v>0.0</v>
      </c>
    </row>
    <row r="320">
      <c r="A320" s="157" t="s">
        <v>732</v>
      </c>
      <c r="B320" s="160">
        <v>381836.75</v>
      </c>
      <c r="C320" s="160">
        <v>0.0</v>
      </c>
      <c r="D320" s="160">
        <v>0.0</v>
      </c>
      <c r="E320" s="160">
        <v>0.0</v>
      </c>
      <c r="F320" s="160">
        <v>0.0</v>
      </c>
      <c r="G320" s="160">
        <v>0.0</v>
      </c>
      <c r="H320" s="160">
        <v>0.0</v>
      </c>
      <c r="I320" s="160">
        <v>0.0</v>
      </c>
      <c r="J320" s="160">
        <v>593822.62</v>
      </c>
      <c r="K320" s="160">
        <v>0.0</v>
      </c>
      <c r="L320" s="160">
        <v>41226.68</v>
      </c>
      <c r="M320" s="160">
        <v>0.0</v>
      </c>
      <c r="N320" s="160">
        <v>0.0</v>
      </c>
      <c r="O320" s="160">
        <v>2216919.31</v>
      </c>
      <c r="P320" s="160">
        <v>2381251.52</v>
      </c>
      <c r="Q320" s="160">
        <v>0.0</v>
      </c>
      <c r="R320" s="160">
        <v>481985.0</v>
      </c>
      <c r="S320" s="160">
        <v>0.0</v>
      </c>
      <c r="T320" s="160">
        <v>0.0</v>
      </c>
      <c r="U320" s="160">
        <v>0.0</v>
      </c>
      <c r="V320" s="160">
        <v>0.0</v>
      </c>
      <c r="W320" s="160">
        <v>0.0</v>
      </c>
      <c r="X320" s="160">
        <v>0.0</v>
      </c>
      <c r="Y320" s="160">
        <v>6097041.87</v>
      </c>
    </row>
    <row r="321">
      <c r="A321" s="157" t="s">
        <v>733</v>
      </c>
      <c r="B321" s="160">
        <v>0.0</v>
      </c>
      <c r="C321" s="160">
        <v>0.0</v>
      </c>
      <c r="D321" s="160">
        <v>0.0</v>
      </c>
      <c r="E321" s="160">
        <v>0.0</v>
      </c>
      <c r="F321" s="160">
        <v>0.0</v>
      </c>
      <c r="G321" s="160">
        <v>0.0</v>
      </c>
      <c r="H321" s="160">
        <v>0.0</v>
      </c>
      <c r="I321" s="160">
        <v>0.0</v>
      </c>
      <c r="J321" s="160">
        <v>0.0</v>
      </c>
      <c r="K321" s="160">
        <v>0.0</v>
      </c>
      <c r="L321" s="160">
        <v>0.0</v>
      </c>
      <c r="M321" s="160">
        <v>0.0</v>
      </c>
      <c r="N321" s="160">
        <v>0.0</v>
      </c>
      <c r="O321" s="160">
        <v>0.0</v>
      </c>
      <c r="P321" s="160">
        <v>0.0</v>
      </c>
      <c r="Q321" s="160">
        <v>0.0</v>
      </c>
      <c r="R321" s="160">
        <v>0.0</v>
      </c>
      <c r="S321" s="160">
        <v>0.0</v>
      </c>
      <c r="T321" s="160">
        <v>0.0</v>
      </c>
      <c r="U321" s="160">
        <v>0.0</v>
      </c>
      <c r="V321" s="160">
        <v>0.0</v>
      </c>
      <c r="W321" s="160">
        <v>0.0</v>
      </c>
      <c r="X321" s="160">
        <v>0.0</v>
      </c>
      <c r="Y321" s="160">
        <v>0.0</v>
      </c>
    </row>
    <row r="322">
      <c r="A322" s="157" t="s">
        <v>734</v>
      </c>
      <c r="B322" s="160">
        <v>0.0</v>
      </c>
      <c r="C322" s="160">
        <v>0.0</v>
      </c>
      <c r="D322" s="160">
        <v>0.0</v>
      </c>
      <c r="E322" s="160">
        <v>0.0</v>
      </c>
      <c r="F322" s="160">
        <v>0.0</v>
      </c>
      <c r="G322" s="160">
        <v>0.0</v>
      </c>
      <c r="H322" s="160">
        <v>0.0</v>
      </c>
      <c r="I322" s="160">
        <v>0.0</v>
      </c>
      <c r="J322" s="160">
        <v>0.0</v>
      </c>
      <c r="K322" s="160">
        <v>0.0</v>
      </c>
      <c r="L322" s="160">
        <v>0.0</v>
      </c>
      <c r="M322" s="160">
        <v>0.0</v>
      </c>
      <c r="N322" s="160">
        <v>0.0</v>
      </c>
      <c r="O322" s="160">
        <v>0.0</v>
      </c>
      <c r="P322" s="160">
        <v>0.0</v>
      </c>
      <c r="Q322" s="160">
        <v>0.0</v>
      </c>
      <c r="R322" s="160">
        <v>0.0</v>
      </c>
      <c r="S322" s="160">
        <v>0.0</v>
      </c>
      <c r="T322" s="160">
        <v>0.0</v>
      </c>
      <c r="U322" s="160">
        <v>0.0</v>
      </c>
      <c r="V322" s="160">
        <v>0.0</v>
      </c>
      <c r="W322" s="160">
        <v>0.0</v>
      </c>
      <c r="X322" s="160">
        <v>0.0</v>
      </c>
      <c r="Y322" s="160">
        <v>0.0</v>
      </c>
    </row>
    <row r="323">
      <c r="A323" s="157" t="s">
        <v>735</v>
      </c>
      <c r="B323" s="160">
        <v>0.0</v>
      </c>
      <c r="C323" s="160">
        <v>0.0</v>
      </c>
      <c r="D323" s="160">
        <v>0.0</v>
      </c>
      <c r="E323" s="160">
        <v>0.0</v>
      </c>
      <c r="F323" s="160">
        <v>0.0</v>
      </c>
      <c r="G323" s="160">
        <v>0.0</v>
      </c>
      <c r="H323" s="160">
        <v>0.0</v>
      </c>
      <c r="I323" s="160">
        <v>0.0</v>
      </c>
      <c r="J323" s="160">
        <v>0.0</v>
      </c>
      <c r="K323" s="160">
        <v>0.0</v>
      </c>
      <c r="L323" s="160">
        <v>0.0</v>
      </c>
      <c r="M323" s="160">
        <v>0.0</v>
      </c>
      <c r="N323" s="160">
        <v>0.0</v>
      </c>
      <c r="O323" s="160">
        <v>0.0</v>
      </c>
      <c r="P323" s="160">
        <v>0.0</v>
      </c>
      <c r="Q323" s="160">
        <v>0.0</v>
      </c>
      <c r="R323" s="160">
        <v>0.0</v>
      </c>
      <c r="S323" s="160">
        <v>0.0</v>
      </c>
      <c r="T323" s="160">
        <v>0.0</v>
      </c>
      <c r="U323" s="160">
        <v>0.0</v>
      </c>
      <c r="V323" s="160">
        <v>0.0</v>
      </c>
      <c r="W323" s="160">
        <v>0.0</v>
      </c>
      <c r="X323" s="160">
        <v>0.0</v>
      </c>
      <c r="Y323" s="160">
        <v>0.0</v>
      </c>
    </row>
    <row r="324">
      <c r="A324" s="157" t="s">
        <v>736</v>
      </c>
      <c r="B324" s="160">
        <v>0.0</v>
      </c>
      <c r="C324" s="160">
        <v>0.0</v>
      </c>
      <c r="D324" s="160">
        <v>0.0</v>
      </c>
      <c r="E324" s="160">
        <v>0.0</v>
      </c>
      <c r="F324" s="160">
        <v>0.0</v>
      </c>
      <c r="G324" s="160">
        <v>0.0</v>
      </c>
      <c r="H324" s="160">
        <v>0.0</v>
      </c>
      <c r="I324" s="160">
        <v>0.0</v>
      </c>
      <c r="J324" s="160">
        <v>0.0</v>
      </c>
      <c r="K324" s="160">
        <v>0.0</v>
      </c>
      <c r="L324" s="160">
        <v>0.0</v>
      </c>
      <c r="M324" s="160">
        <v>0.0</v>
      </c>
      <c r="N324" s="160">
        <v>0.0</v>
      </c>
      <c r="O324" s="160">
        <v>0.0</v>
      </c>
      <c r="P324" s="160">
        <v>0.0</v>
      </c>
      <c r="Q324" s="160">
        <v>0.0</v>
      </c>
      <c r="R324" s="160">
        <v>0.0</v>
      </c>
      <c r="S324" s="160">
        <v>0.0</v>
      </c>
      <c r="T324" s="160">
        <v>0.0</v>
      </c>
      <c r="U324" s="160">
        <v>0.0</v>
      </c>
      <c r="V324" s="160">
        <v>0.0</v>
      </c>
      <c r="W324" s="160">
        <v>0.0</v>
      </c>
      <c r="X324" s="160">
        <v>0.0</v>
      </c>
      <c r="Y324" s="160">
        <v>0.0</v>
      </c>
    </row>
    <row r="325">
      <c r="A325" s="157" t="s">
        <v>737</v>
      </c>
      <c r="B325" s="160">
        <v>0.0</v>
      </c>
      <c r="C325" s="160">
        <v>0.0</v>
      </c>
      <c r="D325" s="160">
        <v>0.0</v>
      </c>
      <c r="E325" s="160">
        <v>0.0</v>
      </c>
      <c r="F325" s="160">
        <v>0.0</v>
      </c>
      <c r="G325" s="160">
        <v>0.0</v>
      </c>
      <c r="H325" s="160">
        <v>0.0</v>
      </c>
      <c r="I325" s="160">
        <v>0.0</v>
      </c>
      <c r="J325" s="160">
        <v>0.0</v>
      </c>
      <c r="K325" s="160">
        <v>0.0</v>
      </c>
      <c r="L325" s="160">
        <v>0.0</v>
      </c>
      <c r="M325" s="160">
        <v>0.0</v>
      </c>
      <c r="N325" s="160">
        <v>0.0</v>
      </c>
      <c r="O325" s="160">
        <v>0.0</v>
      </c>
      <c r="P325" s="160">
        <v>0.0</v>
      </c>
      <c r="Q325" s="160">
        <v>0.0</v>
      </c>
      <c r="R325" s="160">
        <v>0.0</v>
      </c>
      <c r="S325" s="160">
        <v>0.0</v>
      </c>
      <c r="T325" s="160">
        <v>0.0</v>
      </c>
      <c r="U325" s="160">
        <v>0.0</v>
      </c>
      <c r="V325" s="160">
        <v>0.0</v>
      </c>
      <c r="W325" s="160">
        <v>0.0</v>
      </c>
      <c r="X325" s="160">
        <v>0.0</v>
      </c>
      <c r="Y325" s="160">
        <v>0.0</v>
      </c>
    </row>
    <row r="326">
      <c r="A326" s="157" t="s">
        <v>738</v>
      </c>
      <c r="B326" s="160">
        <v>143781.65</v>
      </c>
      <c r="C326" s="160">
        <v>134200.0</v>
      </c>
      <c r="D326" s="160">
        <v>198363.0</v>
      </c>
      <c r="E326" s="160">
        <v>326172.0</v>
      </c>
      <c r="F326" s="160">
        <v>0.0</v>
      </c>
      <c r="G326" s="160">
        <v>0.0</v>
      </c>
      <c r="H326" s="160">
        <v>1168584.0</v>
      </c>
      <c r="I326" s="160">
        <v>0.0</v>
      </c>
      <c r="J326" s="160">
        <v>2061747.74</v>
      </c>
      <c r="K326" s="160">
        <v>1380.0</v>
      </c>
      <c r="L326" s="160">
        <v>4108167.24</v>
      </c>
      <c r="M326" s="160">
        <v>8151.0</v>
      </c>
      <c r="N326" s="160">
        <v>737871.5</v>
      </c>
      <c r="O326" s="160">
        <v>2114627.85</v>
      </c>
      <c r="P326" s="160">
        <v>4275721.31</v>
      </c>
      <c r="Q326" s="160">
        <v>0.0</v>
      </c>
      <c r="R326" s="160">
        <v>1304943.75</v>
      </c>
      <c r="S326" s="160">
        <v>37083.75</v>
      </c>
      <c r="T326" s="160">
        <v>0.0</v>
      </c>
      <c r="U326" s="160">
        <v>1040326.1</v>
      </c>
      <c r="V326" s="160">
        <v>0.0</v>
      </c>
      <c r="W326" s="160">
        <v>0.0</v>
      </c>
      <c r="X326" s="160">
        <v>0.0</v>
      </c>
      <c r="Y326" s="160">
        <v>1.766112088E7</v>
      </c>
    </row>
    <row r="327">
      <c r="A327" s="157" t="s">
        <v>739</v>
      </c>
      <c r="B327" s="160">
        <v>0.0</v>
      </c>
      <c r="C327" s="160">
        <v>0.0</v>
      </c>
      <c r="D327" s="160">
        <v>0.0</v>
      </c>
      <c r="E327" s="160">
        <v>0.0</v>
      </c>
      <c r="F327" s="160">
        <v>0.0</v>
      </c>
      <c r="G327" s="160">
        <v>0.0</v>
      </c>
      <c r="H327" s="160">
        <v>0.0</v>
      </c>
      <c r="I327" s="160">
        <v>0.0</v>
      </c>
      <c r="J327" s="160">
        <v>0.0</v>
      </c>
      <c r="K327" s="160">
        <v>0.0</v>
      </c>
      <c r="L327" s="160">
        <v>0.0</v>
      </c>
      <c r="M327" s="160">
        <v>0.0</v>
      </c>
      <c r="N327" s="160">
        <v>0.0</v>
      </c>
      <c r="O327" s="160">
        <v>0.0</v>
      </c>
      <c r="P327" s="160">
        <v>0.0</v>
      </c>
      <c r="Q327" s="160">
        <v>0.0</v>
      </c>
      <c r="R327" s="160">
        <v>0.0</v>
      </c>
      <c r="S327" s="160">
        <v>0.0</v>
      </c>
      <c r="T327" s="160">
        <v>0.0</v>
      </c>
      <c r="U327" s="160">
        <v>0.0</v>
      </c>
      <c r="V327" s="160">
        <v>0.0</v>
      </c>
      <c r="W327" s="160">
        <v>0.0</v>
      </c>
      <c r="X327" s="160">
        <v>0.0</v>
      </c>
      <c r="Y327" s="160">
        <v>0.0</v>
      </c>
    </row>
    <row r="328">
      <c r="A328" s="157" t="s">
        <v>740</v>
      </c>
      <c r="B328" s="160">
        <v>0.0</v>
      </c>
      <c r="C328" s="160">
        <v>0.0</v>
      </c>
      <c r="D328" s="160">
        <v>0.0</v>
      </c>
      <c r="E328" s="160">
        <v>0.0</v>
      </c>
      <c r="F328" s="160">
        <v>0.0</v>
      </c>
      <c r="G328" s="160">
        <v>0.0</v>
      </c>
      <c r="H328" s="160">
        <v>0.0</v>
      </c>
      <c r="I328" s="160">
        <v>0.0</v>
      </c>
      <c r="J328" s="160">
        <v>0.0</v>
      </c>
      <c r="K328" s="160">
        <v>0.0</v>
      </c>
      <c r="L328" s="160">
        <v>0.0</v>
      </c>
      <c r="M328" s="160">
        <v>0.0</v>
      </c>
      <c r="N328" s="160">
        <v>0.0</v>
      </c>
      <c r="O328" s="160">
        <v>0.0</v>
      </c>
      <c r="P328" s="160">
        <v>0.0</v>
      </c>
      <c r="Q328" s="160">
        <v>0.0</v>
      </c>
      <c r="R328" s="160">
        <v>0.0</v>
      </c>
      <c r="S328" s="160">
        <v>0.0</v>
      </c>
      <c r="T328" s="160">
        <v>0.0</v>
      </c>
      <c r="U328" s="160">
        <v>0.0</v>
      </c>
      <c r="V328" s="160">
        <v>0.0</v>
      </c>
      <c r="W328" s="160">
        <v>0.0</v>
      </c>
      <c r="X328" s="160">
        <v>0.0</v>
      </c>
      <c r="Y328" s="160">
        <v>0.0</v>
      </c>
    </row>
    <row r="329">
      <c r="A329" s="157" t="s">
        <v>741</v>
      </c>
      <c r="B329" s="160">
        <v>0.0</v>
      </c>
      <c r="C329" s="160">
        <v>0.0</v>
      </c>
      <c r="D329" s="160">
        <v>0.0</v>
      </c>
      <c r="E329" s="160">
        <v>0.0</v>
      </c>
      <c r="F329" s="160">
        <v>0.0</v>
      </c>
      <c r="G329" s="160">
        <v>0.0</v>
      </c>
      <c r="H329" s="160">
        <v>0.0</v>
      </c>
      <c r="I329" s="160">
        <v>0.0</v>
      </c>
      <c r="J329" s="160">
        <v>0.0</v>
      </c>
      <c r="K329" s="160">
        <v>0.0</v>
      </c>
      <c r="L329" s="160">
        <v>0.0</v>
      </c>
      <c r="M329" s="160">
        <v>0.0</v>
      </c>
      <c r="N329" s="160">
        <v>0.0</v>
      </c>
      <c r="O329" s="160">
        <v>0.0</v>
      </c>
      <c r="P329" s="160">
        <v>0.0</v>
      </c>
      <c r="Q329" s="160">
        <v>0.0</v>
      </c>
      <c r="R329" s="160">
        <v>0.0</v>
      </c>
      <c r="S329" s="160">
        <v>0.0</v>
      </c>
      <c r="T329" s="160">
        <v>0.0</v>
      </c>
      <c r="U329" s="160">
        <v>0.0</v>
      </c>
      <c r="V329" s="160">
        <v>0.0</v>
      </c>
      <c r="W329" s="160">
        <v>0.0</v>
      </c>
      <c r="X329" s="160">
        <v>0.0</v>
      </c>
      <c r="Y329" s="160">
        <v>0.0</v>
      </c>
    </row>
    <row r="330">
      <c r="A330" s="157" t="s">
        <v>742</v>
      </c>
      <c r="B330" s="160">
        <v>0.0</v>
      </c>
      <c r="C330" s="160">
        <v>0.0</v>
      </c>
      <c r="D330" s="160">
        <v>0.0</v>
      </c>
      <c r="E330" s="160">
        <v>0.0</v>
      </c>
      <c r="F330" s="160">
        <v>0.0</v>
      </c>
      <c r="G330" s="160">
        <v>0.0</v>
      </c>
      <c r="H330" s="160">
        <v>0.0</v>
      </c>
      <c r="I330" s="160">
        <v>0.0</v>
      </c>
      <c r="J330" s="160">
        <v>0.0</v>
      </c>
      <c r="K330" s="160">
        <v>0.0</v>
      </c>
      <c r="L330" s="160">
        <v>0.0</v>
      </c>
      <c r="M330" s="160">
        <v>0.0</v>
      </c>
      <c r="N330" s="160">
        <v>0.0</v>
      </c>
      <c r="O330" s="160">
        <v>0.0</v>
      </c>
      <c r="P330" s="160">
        <v>0.0</v>
      </c>
      <c r="Q330" s="160">
        <v>0.0</v>
      </c>
      <c r="R330" s="160">
        <v>0.0</v>
      </c>
      <c r="S330" s="160">
        <v>0.0</v>
      </c>
      <c r="T330" s="160">
        <v>0.0</v>
      </c>
      <c r="U330" s="160">
        <v>0.0</v>
      </c>
      <c r="V330" s="160">
        <v>0.0</v>
      </c>
      <c r="W330" s="160">
        <v>0.0</v>
      </c>
      <c r="X330" s="160">
        <v>0.0</v>
      </c>
      <c r="Y330" s="160">
        <v>0.0</v>
      </c>
    </row>
    <row r="331">
      <c r="A331" s="157" t="s">
        <v>743</v>
      </c>
      <c r="B331" s="160">
        <v>0.0</v>
      </c>
      <c r="C331" s="160">
        <v>0.0</v>
      </c>
      <c r="D331" s="160">
        <v>0.0</v>
      </c>
      <c r="E331" s="160">
        <v>0.0</v>
      </c>
      <c r="F331" s="160">
        <v>0.0</v>
      </c>
      <c r="G331" s="160">
        <v>0.0</v>
      </c>
      <c r="H331" s="160">
        <v>0.0</v>
      </c>
      <c r="I331" s="160">
        <v>0.0</v>
      </c>
      <c r="J331" s="160">
        <v>0.0</v>
      </c>
      <c r="K331" s="160">
        <v>0.0</v>
      </c>
      <c r="L331" s="160">
        <v>0.0</v>
      </c>
      <c r="M331" s="160">
        <v>0.0</v>
      </c>
      <c r="N331" s="160">
        <v>0.0</v>
      </c>
      <c r="O331" s="160">
        <v>0.0</v>
      </c>
      <c r="P331" s="160">
        <v>0.0</v>
      </c>
      <c r="Q331" s="160">
        <v>0.0</v>
      </c>
      <c r="R331" s="160">
        <v>0.0</v>
      </c>
      <c r="S331" s="160">
        <v>0.0</v>
      </c>
      <c r="T331" s="160">
        <v>0.0</v>
      </c>
      <c r="U331" s="160">
        <v>0.0</v>
      </c>
      <c r="V331" s="160">
        <v>0.0</v>
      </c>
      <c r="W331" s="160">
        <v>0.0</v>
      </c>
      <c r="X331" s="160">
        <v>0.0</v>
      </c>
      <c r="Y331" s="160">
        <v>0.0</v>
      </c>
    </row>
    <row r="332">
      <c r="A332" s="157" t="s">
        <v>744</v>
      </c>
      <c r="B332" s="160">
        <v>0.0</v>
      </c>
      <c r="C332" s="160">
        <v>393762.63</v>
      </c>
      <c r="D332" s="160">
        <v>886444.38</v>
      </c>
      <c r="E332" s="160">
        <v>87379.28</v>
      </c>
      <c r="F332" s="160">
        <v>166551.8</v>
      </c>
      <c r="G332" s="160">
        <v>0.0</v>
      </c>
      <c r="H332" s="160">
        <v>356672.39</v>
      </c>
      <c r="I332" s="160">
        <v>1607.72</v>
      </c>
      <c r="J332" s="160">
        <v>312024.89</v>
      </c>
      <c r="K332" s="160">
        <v>0.0</v>
      </c>
      <c r="L332" s="160">
        <v>2425038.0</v>
      </c>
      <c r="M332" s="160">
        <v>114568.73</v>
      </c>
      <c r="N332" s="160">
        <v>282461.11</v>
      </c>
      <c r="O332" s="160">
        <v>15492.42</v>
      </c>
      <c r="P332" s="160">
        <v>100348.99</v>
      </c>
      <c r="Q332" s="160">
        <v>0.0</v>
      </c>
      <c r="R332" s="160">
        <v>0.0</v>
      </c>
      <c r="S332" s="160">
        <v>9233.91</v>
      </c>
      <c r="T332" s="160">
        <v>0.0</v>
      </c>
      <c r="U332" s="160">
        <v>247509.63</v>
      </c>
      <c r="V332" s="160">
        <v>0.0</v>
      </c>
      <c r="W332" s="160">
        <v>0.0</v>
      </c>
      <c r="X332" s="160">
        <v>0.0</v>
      </c>
      <c r="Y332" s="160">
        <v>5399095.87</v>
      </c>
    </row>
    <row r="333">
      <c r="A333" s="157" t="s">
        <v>745</v>
      </c>
      <c r="B333" s="160">
        <v>0.0</v>
      </c>
      <c r="C333" s="160">
        <v>0.0</v>
      </c>
      <c r="D333" s="160">
        <v>0.0</v>
      </c>
      <c r="E333" s="160">
        <v>0.0</v>
      </c>
      <c r="F333" s="160">
        <v>0.0</v>
      </c>
      <c r="G333" s="160">
        <v>0.0</v>
      </c>
      <c r="H333" s="160">
        <v>0.0</v>
      </c>
      <c r="I333" s="160">
        <v>0.0</v>
      </c>
      <c r="J333" s="160">
        <v>0.0</v>
      </c>
      <c r="K333" s="160">
        <v>0.0</v>
      </c>
      <c r="L333" s="160">
        <v>0.0</v>
      </c>
      <c r="M333" s="160">
        <v>0.0</v>
      </c>
      <c r="N333" s="160">
        <v>0.0</v>
      </c>
      <c r="O333" s="160">
        <v>0.0</v>
      </c>
      <c r="P333" s="160">
        <v>0.0</v>
      </c>
      <c r="Q333" s="160">
        <v>0.0</v>
      </c>
      <c r="R333" s="160">
        <v>0.0</v>
      </c>
      <c r="S333" s="160">
        <v>0.0</v>
      </c>
      <c r="T333" s="160">
        <v>0.0</v>
      </c>
      <c r="U333" s="160">
        <v>0.0</v>
      </c>
      <c r="V333" s="160">
        <v>0.0</v>
      </c>
      <c r="W333" s="160">
        <v>0.0</v>
      </c>
      <c r="X333" s="160">
        <v>0.0</v>
      </c>
      <c r="Y333" s="160">
        <v>0.0</v>
      </c>
    </row>
    <row r="334">
      <c r="A334" s="157" t="s">
        <v>746</v>
      </c>
      <c r="B334" s="160">
        <v>469822.08</v>
      </c>
      <c r="C334" s="160">
        <v>693119.8</v>
      </c>
      <c r="D334" s="160">
        <v>305847.6</v>
      </c>
      <c r="E334" s="160">
        <v>100839.6</v>
      </c>
      <c r="F334" s="160">
        <v>298357.8</v>
      </c>
      <c r="G334" s="160">
        <v>56075.2</v>
      </c>
      <c r="H334" s="160">
        <v>662482.2</v>
      </c>
      <c r="I334" s="160">
        <v>0.0</v>
      </c>
      <c r="J334" s="160">
        <v>3743988.25</v>
      </c>
      <c r="K334" s="160">
        <v>0.0</v>
      </c>
      <c r="L334" s="160">
        <v>1437769.64</v>
      </c>
      <c r="M334" s="160">
        <v>303486.0</v>
      </c>
      <c r="N334" s="160">
        <v>591221.2</v>
      </c>
      <c r="O334" s="160">
        <v>3187.2</v>
      </c>
      <c r="P334" s="160">
        <v>291929.34</v>
      </c>
      <c r="Q334" s="160">
        <v>0.0</v>
      </c>
      <c r="R334" s="160">
        <v>1744985.1</v>
      </c>
      <c r="S334" s="160">
        <v>727111.65</v>
      </c>
      <c r="T334" s="160">
        <v>0.0</v>
      </c>
      <c r="U334" s="160">
        <v>841502.8</v>
      </c>
      <c r="V334" s="160">
        <v>0.0</v>
      </c>
      <c r="W334" s="160">
        <v>83043.2</v>
      </c>
      <c r="X334" s="160">
        <v>0.0</v>
      </c>
      <c r="Y334" s="160">
        <v>1.235476866E7</v>
      </c>
    </row>
    <row r="335">
      <c r="A335" s="157" t="s">
        <v>747</v>
      </c>
      <c r="B335" s="160">
        <v>92523.73</v>
      </c>
      <c r="C335" s="160">
        <v>281846.72</v>
      </c>
      <c r="D335" s="160">
        <v>410865.2</v>
      </c>
      <c r="E335" s="160">
        <v>661520.8</v>
      </c>
      <c r="F335" s="160">
        <v>96733.4</v>
      </c>
      <c r="G335" s="160">
        <v>0.0</v>
      </c>
      <c r="H335" s="160">
        <v>484189.7</v>
      </c>
      <c r="I335" s="160">
        <v>0.0</v>
      </c>
      <c r="J335" s="160">
        <v>669038.92</v>
      </c>
      <c r="K335" s="160">
        <v>0.0</v>
      </c>
      <c r="L335" s="160">
        <v>1853497.64</v>
      </c>
      <c r="M335" s="160">
        <v>65327.6</v>
      </c>
      <c r="N335" s="160">
        <v>541897.8</v>
      </c>
      <c r="O335" s="160">
        <v>1469760.91</v>
      </c>
      <c r="P335" s="160">
        <v>2502687.98</v>
      </c>
      <c r="Q335" s="160">
        <v>0.0</v>
      </c>
      <c r="R335" s="160">
        <v>344423.75</v>
      </c>
      <c r="S335" s="160">
        <v>24029.25</v>
      </c>
      <c r="T335" s="160">
        <v>2969.8</v>
      </c>
      <c r="U335" s="160">
        <v>135930.8</v>
      </c>
      <c r="V335" s="160">
        <v>0.0</v>
      </c>
      <c r="W335" s="160">
        <v>0.0</v>
      </c>
      <c r="X335" s="160">
        <v>0.0</v>
      </c>
      <c r="Y335" s="160">
        <v>9637244.01</v>
      </c>
    </row>
    <row r="336">
      <c r="A336" s="157" t="s">
        <v>240</v>
      </c>
      <c r="B336" s="160">
        <v>0.0</v>
      </c>
      <c r="C336" s="160">
        <v>1475211.9</v>
      </c>
      <c r="D336" s="160">
        <v>3513342.0</v>
      </c>
      <c r="E336" s="160">
        <v>71925.0</v>
      </c>
      <c r="F336" s="160">
        <v>9840.0</v>
      </c>
      <c r="G336" s="160">
        <v>0.0</v>
      </c>
      <c r="H336" s="160">
        <v>1929878.0</v>
      </c>
      <c r="I336" s="160">
        <v>0.0</v>
      </c>
      <c r="J336" s="160">
        <v>0.0</v>
      </c>
      <c r="K336" s="160">
        <v>0.0</v>
      </c>
      <c r="L336" s="160">
        <v>9149067.92</v>
      </c>
      <c r="M336" s="160">
        <v>125900.0</v>
      </c>
      <c r="N336" s="160">
        <v>0.0</v>
      </c>
      <c r="O336" s="160">
        <v>0.0</v>
      </c>
      <c r="P336" s="160">
        <v>0.0</v>
      </c>
      <c r="Q336" s="160">
        <v>0.0</v>
      </c>
      <c r="R336" s="160">
        <v>0.0</v>
      </c>
      <c r="S336" s="160">
        <v>0.0</v>
      </c>
      <c r="T336" s="160">
        <v>10360.0</v>
      </c>
      <c r="U336" s="160">
        <v>0.0</v>
      </c>
      <c r="V336" s="160">
        <v>0.0</v>
      </c>
      <c r="W336" s="160">
        <v>0.0</v>
      </c>
      <c r="X336" s="160">
        <v>0.0</v>
      </c>
      <c r="Y336" s="160">
        <v>1.628552482E7</v>
      </c>
    </row>
    <row r="337">
      <c r="A337" s="157" t="s">
        <v>748</v>
      </c>
      <c r="B337" s="160">
        <v>0.0</v>
      </c>
      <c r="C337" s="160">
        <v>0.0</v>
      </c>
      <c r="D337" s="160">
        <v>0.0</v>
      </c>
      <c r="E337" s="160">
        <v>0.0</v>
      </c>
      <c r="F337" s="160">
        <v>0.0</v>
      </c>
      <c r="G337" s="160">
        <v>0.0</v>
      </c>
      <c r="H337" s="160">
        <v>0.0</v>
      </c>
      <c r="I337" s="160">
        <v>0.0</v>
      </c>
      <c r="J337" s="160">
        <v>0.0</v>
      </c>
      <c r="K337" s="160">
        <v>0.0</v>
      </c>
      <c r="L337" s="160">
        <v>0.0</v>
      </c>
      <c r="M337" s="160">
        <v>0.0</v>
      </c>
      <c r="N337" s="160">
        <v>0.0</v>
      </c>
      <c r="O337" s="160">
        <v>0.0</v>
      </c>
      <c r="P337" s="160">
        <v>0.0</v>
      </c>
      <c r="Q337" s="160">
        <v>0.0</v>
      </c>
      <c r="R337" s="160">
        <v>0.0</v>
      </c>
      <c r="S337" s="160">
        <v>0.0</v>
      </c>
      <c r="T337" s="160">
        <v>0.0</v>
      </c>
      <c r="U337" s="160">
        <v>0.0</v>
      </c>
      <c r="V337" s="160">
        <v>0.0</v>
      </c>
      <c r="W337" s="160">
        <v>0.0</v>
      </c>
      <c r="X337" s="160">
        <v>0.0</v>
      </c>
      <c r="Y337" s="160">
        <v>0.0</v>
      </c>
    </row>
    <row r="338">
      <c r="A338" s="157" t="s">
        <v>749</v>
      </c>
      <c r="B338" s="160">
        <v>0.0</v>
      </c>
      <c r="C338" s="160">
        <v>0.0</v>
      </c>
      <c r="D338" s="160">
        <v>0.0</v>
      </c>
      <c r="E338" s="160">
        <v>0.0</v>
      </c>
      <c r="F338" s="160">
        <v>0.0</v>
      </c>
      <c r="G338" s="160">
        <v>0.0</v>
      </c>
      <c r="H338" s="160">
        <v>0.0</v>
      </c>
      <c r="I338" s="160">
        <v>0.0</v>
      </c>
      <c r="J338" s="160">
        <v>0.0</v>
      </c>
      <c r="K338" s="160">
        <v>0.0</v>
      </c>
      <c r="L338" s="160">
        <v>0.0</v>
      </c>
      <c r="M338" s="160">
        <v>0.0</v>
      </c>
      <c r="N338" s="160">
        <v>0.0</v>
      </c>
      <c r="O338" s="160">
        <v>0.0</v>
      </c>
      <c r="P338" s="160">
        <v>0.0</v>
      </c>
      <c r="Q338" s="160">
        <v>0.0</v>
      </c>
      <c r="R338" s="160">
        <v>0.0</v>
      </c>
      <c r="S338" s="160">
        <v>0.0</v>
      </c>
      <c r="T338" s="160">
        <v>0.0</v>
      </c>
      <c r="U338" s="160">
        <v>0.0</v>
      </c>
      <c r="V338" s="160">
        <v>0.0</v>
      </c>
      <c r="W338" s="160">
        <v>0.0</v>
      </c>
      <c r="X338" s="160">
        <v>0.0</v>
      </c>
      <c r="Y338" s="160">
        <v>0.0</v>
      </c>
    </row>
    <row r="339">
      <c r="A339" s="157" t="s">
        <v>428</v>
      </c>
      <c r="B339" s="160">
        <v>0.0</v>
      </c>
      <c r="C339" s="160">
        <v>0.0</v>
      </c>
      <c r="D339" s="160">
        <v>0.0</v>
      </c>
      <c r="E339" s="160">
        <v>0.0</v>
      </c>
      <c r="F339" s="160">
        <v>0.0</v>
      </c>
      <c r="G339" s="160">
        <v>0.0</v>
      </c>
      <c r="H339" s="160">
        <v>45427.2</v>
      </c>
      <c r="I339" s="160">
        <v>0.0</v>
      </c>
      <c r="J339" s="160">
        <v>0.0</v>
      </c>
      <c r="K339" s="160">
        <v>0.0</v>
      </c>
      <c r="L339" s="160">
        <v>484881.91</v>
      </c>
      <c r="M339" s="160">
        <v>76477.5</v>
      </c>
      <c r="N339" s="160">
        <v>0.0</v>
      </c>
      <c r="O339" s="160">
        <v>0.0</v>
      </c>
      <c r="P339" s="160">
        <v>0.0</v>
      </c>
      <c r="Q339" s="160">
        <v>0.0</v>
      </c>
      <c r="R339" s="160">
        <v>0.0</v>
      </c>
      <c r="S339" s="160">
        <v>0.0</v>
      </c>
      <c r="T339" s="160">
        <v>0.0</v>
      </c>
      <c r="U339" s="160">
        <v>0.0</v>
      </c>
      <c r="V339" s="160">
        <v>0.0</v>
      </c>
      <c r="W339" s="160">
        <v>0.0</v>
      </c>
      <c r="X339" s="160">
        <v>0.0</v>
      </c>
      <c r="Y339" s="160">
        <v>606786.61</v>
      </c>
    </row>
    <row r="340">
      <c r="A340" s="157" t="s">
        <v>77</v>
      </c>
      <c r="B340" s="160">
        <v>0.0</v>
      </c>
      <c r="C340" s="160">
        <v>222260.5</v>
      </c>
      <c r="D340" s="160">
        <v>21890.0</v>
      </c>
      <c r="E340" s="160">
        <v>241631.5</v>
      </c>
      <c r="F340" s="160">
        <v>49214.0</v>
      </c>
      <c r="G340" s="160">
        <v>56226.5</v>
      </c>
      <c r="H340" s="160">
        <v>376167.0</v>
      </c>
      <c r="I340" s="160">
        <v>0.0</v>
      </c>
      <c r="J340" s="160">
        <v>0.0</v>
      </c>
      <c r="K340" s="160">
        <v>0.0</v>
      </c>
      <c r="L340" s="160">
        <v>2564805.1</v>
      </c>
      <c r="M340" s="160">
        <v>143126.5</v>
      </c>
      <c r="N340" s="160">
        <v>139961.25</v>
      </c>
      <c r="O340" s="160">
        <v>61281.0</v>
      </c>
      <c r="P340" s="160">
        <v>31496.3</v>
      </c>
      <c r="Q340" s="160">
        <v>0.0</v>
      </c>
      <c r="R340" s="160">
        <v>0.0</v>
      </c>
      <c r="S340" s="160">
        <v>815678.5</v>
      </c>
      <c r="T340" s="160">
        <v>0.0</v>
      </c>
      <c r="U340" s="160">
        <v>521990.7</v>
      </c>
      <c r="V340" s="160">
        <v>0.0</v>
      </c>
      <c r="W340" s="160">
        <v>0.0</v>
      </c>
      <c r="X340" s="160">
        <v>0.0</v>
      </c>
      <c r="Y340" s="160">
        <v>5245728.85</v>
      </c>
    </row>
    <row r="341">
      <c r="A341" s="157" t="s">
        <v>750</v>
      </c>
      <c r="B341" s="160">
        <v>0.0</v>
      </c>
      <c r="C341" s="160">
        <v>0.0</v>
      </c>
      <c r="D341" s="160">
        <v>0.0</v>
      </c>
      <c r="E341" s="160">
        <v>0.0</v>
      </c>
      <c r="F341" s="160">
        <v>0.0</v>
      </c>
      <c r="G341" s="160">
        <v>0.0</v>
      </c>
      <c r="H341" s="160">
        <v>0.0</v>
      </c>
      <c r="I341" s="160">
        <v>0.0</v>
      </c>
      <c r="J341" s="160">
        <v>0.0</v>
      </c>
      <c r="K341" s="160">
        <v>0.0</v>
      </c>
      <c r="L341" s="160">
        <v>0.0</v>
      </c>
      <c r="M341" s="160">
        <v>0.0</v>
      </c>
      <c r="N341" s="160">
        <v>0.0</v>
      </c>
      <c r="O341" s="160">
        <v>0.0</v>
      </c>
      <c r="P341" s="160">
        <v>0.0</v>
      </c>
      <c r="Q341" s="160">
        <v>0.0</v>
      </c>
      <c r="R341" s="160">
        <v>0.0</v>
      </c>
      <c r="S341" s="160">
        <v>0.0</v>
      </c>
      <c r="T341" s="160">
        <v>0.0</v>
      </c>
      <c r="U341" s="160">
        <v>0.0</v>
      </c>
      <c r="V341" s="160">
        <v>0.0</v>
      </c>
      <c r="W341" s="160">
        <v>0.0</v>
      </c>
      <c r="X341" s="160">
        <v>0.0</v>
      </c>
      <c r="Y341" s="160">
        <v>0.0</v>
      </c>
    </row>
    <row r="342">
      <c r="A342" s="157" t="s">
        <v>751</v>
      </c>
      <c r="B342" s="160">
        <v>0.0</v>
      </c>
      <c r="C342" s="160">
        <v>0.0</v>
      </c>
      <c r="D342" s="160">
        <v>0.0</v>
      </c>
      <c r="E342" s="160">
        <v>0.0</v>
      </c>
      <c r="F342" s="160">
        <v>0.0</v>
      </c>
      <c r="G342" s="160">
        <v>0.0</v>
      </c>
      <c r="H342" s="160">
        <v>0.0</v>
      </c>
      <c r="I342" s="160">
        <v>0.0</v>
      </c>
      <c r="J342" s="160">
        <v>0.0</v>
      </c>
      <c r="K342" s="160">
        <v>0.0</v>
      </c>
      <c r="L342" s="160">
        <v>0.0</v>
      </c>
      <c r="M342" s="160">
        <v>0.0</v>
      </c>
      <c r="N342" s="160">
        <v>0.0</v>
      </c>
      <c r="O342" s="160">
        <v>0.0</v>
      </c>
      <c r="P342" s="160">
        <v>0.0</v>
      </c>
      <c r="Q342" s="160">
        <v>0.0</v>
      </c>
      <c r="R342" s="160">
        <v>0.0</v>
      </c>
      <c r="S342" s="160">
        <v>0.0</v>
      </c>
      <c r="T342" s="160">
        <v>0.0</v>
      </c>
      <c r="U342" s="160">
        <v>0.0</v>
      </c>
      <c r="V342" s="160">
        <v>0.0</v>
      </c>
      <c r="W342" s="160">
        <v>0.0</v>
      </c>
      <c r="X342" s="160">
        <v>0.0</v>
      </c>
      <c r="Y342" s="160">
        <v>0.0</v>
      </c>
    </row>
    <row r="343">
      <c r="A343" s="157" t="s">
        <v>752</v>
      </c>
      <c r="B343" s="160">
        <v>0.0</v>
      </c>
      <c r="C343" s="160">
        <v>0.0</v>
      </c>
      <c r="D343" s="160">
        <v>0.0</v>
      </c>
      <c r="E343" s="160">
        <v>0.0</v>
      </c>
      <c r="F343" s="160">
        <v>0.0</v>
      </c>
      <c r="G343" s="160">
        <v>0.0</v>
      </c>
      <c r="H343" s="160">
        <v>0.0</v>
      </c>
      <c r="I343" s="160">
        <v>0.0</v>
      </c>
      <c r="J343" s="160">
        <v>0.0</v>
      </c>
      <c r="K343" s="160">
        <v>0.0</v>
      </c>
      <c r="L343" s="160">
        <v>0.0</v>
      </c>
      <c r="M343" s="160">
        <v>0.0</v>
      </c>
      <c r="N343" s="160">
        <v>0.0</v>
      </c>
      <c r="O343" s="160">
        <v>0.0</v>
      </c>
      <c r="P343" s="160">
        <v>0.0</v>
      </c>
      <c r="Q343" s="160">
        <v>0.0</v>
      </c>
      <c r="R343" s="160">
        <v>0.0</v>
      </c>
      <c r="S343" s="160">
        <v>0.0</v>
      </c>
      <c r="T343" s="160">
        <v>0.0</v>
      </c>
      <c r="U343" s="160">
        <v>0.0</v>
      </c>
      <c r="V343" s="160">
        <v>0.0</v>
      </c>
      <c r="W343" s="160">
        <v>0.0</v>
      </c>
      <c r="X343" s="160">
        <v>0.0</v>
      </c>
      <c r="Y343" s="160">
        <v>0.0</v>
      </c>
    </row>
    <row r="344">
      <c r="A344" s="157" t="s">
        <v>363</v>
      </c>
      <c r="B344" s="160">
        <v>0.0</v>
      </c>
      <c r="C344" s="160">
        <v>0.0</v>
      </c>
      <c r="D344" s="160">
        <v>0.0</v>
      </c>
      <c r="E344" s="160">
        <v>0.0</v>
      </c>
      <c r="F344" s="160">
        <v>0.0</v>
      </c>
      <c r="G344" s="160">
        <v>0.0</v>
      </c>
      <c r="H344" s="160">
        <v>48440.4</v>
      </c>
      <c r="I344" s="160">
        <v>0.0</v>
      </c>
      <c r="J344" s="160">
        <v>0.0</v>
      </c>
      <c r="K344" s="160">
        <v>0.0</v>
      </c>
      <c r="L344" s="160">
        <v>139132.5</v>
      </c>
      <c r="M344" s="160">
        <v>0.0</v>
      </c>
      <c r="N344" s="160">
        <v>0.0</v>
      </c>
      <c r="O344" s="160">
        <v>0.0</v>
      </c>
      <c r="P344" s="160">
        <v>777.6</v>
      </c>
      <c r="Q344" s="160">
        <v>0.0</v>
      </c>
      <c r="R344" s="160">
        <v>0.0</v>
      </c>
      <c r="S344" s="160">
        <v>67263.65</v>
      </c>
      <c r="T344" s="160">
        <v>0.0</v>
      </c>
      <c r="U344" s="160">
        <v>46159.2</v>
      </c>
      <c r="V344" s="160">
        <v>0.0</v>
      </c>
      <c r="W344" s="160">
        <v>0.0</v>
      </c>
      <c r="X344" s="160">
        <v>0.0</v>
      </c>
      <c r="Y344" s="160">
        <v>301773.35</v>
      </c>
    </row>
    <row r="345">
      <c r="A345" s="157" t="s">
        <v>54</v>
      </c>
      <c r="B345" s="160">
        <v>214832.06</v>
      </c>
      <c r="C345" s="160">
        <v>85143.96</v>
      </c>
      <c r="D345" s="160">
        <v>9817.2</v>
      </c>
      <c r="E345" s="160">
        <v>0.0</v>
      </c>
      <c r="F345" s="160">
        <v>0.0</v>
      </c>
      <c r="G345" s="160">
        <v>0.0</v>
      </c>
      <c r="H345" s="160">
        <v>310422.8</v>
      </c>
      <c r="I345" s="160">
        <v>14742.0</v>
      </c>
      <c r="J345" s="160">
        <v>743292.44</v>
      </c>
      <c r="K345" s="160">
        <v>0.0</v>
      </c>
      <c r="L345" s="160">
        <v>2317054.63</v>
      </c>
      <c r="M345" s="160">
        <v>77220.0</v>
      </c>
      <c r="N345" s="160">
        <v>0.0</v>
      </c>
      <c r="O345" s="160">
        <v>59403.1</v>
      </c>
      <c r="P345" s="160">
        <v>10141.82</v>
      </c>
      <c r="Q345" s="160">
        <v>0.0</v>
      </c>
      <c r="R345" s="160">
        <v>1487612.6</v>
      </c>
      <c r="S345" s="160">
        <v>446674.4</v>
      </c>
      <c r="T345" s="160">
        <v>0.0</v>
      </c>
      <c r="U345" s="160">
        <v>121862.88</v>
      </c>
      <c r="V345" s="160">
        <v>0.0</v>
      </c>
      <c r="W345" s="160">
        <v>0.0</v>
      </c>
      <c r="X345" s="160">
        <v>0.0</v>
      </c>
      <c r="Y345" s="160">
        <v>5898219.89</v>
      </c>
    </row>
    <row r="346">
      <c r="A346" s="157" t="s">
        <v>152</v>
      </c>
      <c r="B346" s="160">
        <v>3743952.01</v>
      </c>
      <c r="C346" s="160">
        <v>0.0</v>
      </c>
      <c r="D346" s="160">
        <v>0.0</v>
      </c>
      <c r="E346" s="160">
        <v>0.0</v>
      </c>
      <c r="F346" s="160">
        <v>0.0</v>
      </c>
      <c r="G346" s="160">
        <v>0.0</v>
      </c>
      <c r="H346" s="160">
        <v>0.0</v>
      </c>
      <c r="I346" s="160">
        <v>0.0</v>
      </c>
      <c r="J346" s="160">
        <v>6606829.43</v>
      </c>
      <c r="K346" s="160">
        <v>0.0</v>
      </c>
      <c r="L346" s="160">
        <v>75372.96</v>
      </c>
      <c r="M346" s="160">
        <v>0.0</v>
      </c>
      <c r="N346" s="160">
        <v>0.0</v>
      </c>
      <c r="O346" s="160">
        <v>1611415.25</v>
      </c>
      <c r="P346" s="160">
        <v>516989.08</v>
      </c>
      <c r="Q346" s="160">
        <v>0.0</v>
      </c>
      <c r="R346" s="160">
        <v>3485795.5</v>
      </c>
      <c r="S346" s="160">
        <v>773016.9</v>
      </c>
      <c r="T346" s="160">
        <v>0.0</v>
      </c>
      <c r="U346" s="160">
        <v>0.0</v>
      </c>
      <c r="V346" s="160">
        <v>0.0</v>
      </c>
      <c r="W346" s="160">
        <v>19299.2</v>
      </c>
      <c r="X346" s="160">
        <v>0.0</v>
      </c>
      <c r="Y346" s="160">
        <v>1.683267033E7</v>
      </c>
    </row>
    <row r="347">
      <c r="A347" s="157" t="s">
        <v>753</v>
      </c>
      <c r="B347" s="160">
        <v>0.0</v>
      </c>
      <c r="C347" s="160">
        <v>0.0</v>
      </c>
      <c r="D347" s="160">
        <v>0.0</v>
      </c>
      <c r="E347" s="160">
        <v>0.0</v>
      </c>
      <c r="F347" s="160">
        <v>0.0</v>
      </c>
      <c r="G347" s="160">
        <v>0.0</v>
      </c>
      <c r="H347" s="160">
        <v>0.0</v>
      </c>
      <c r="I347" s="160">
        <v>0.0</v>
      </c>
      <c r="J347" s="160">
        <v>0.0</v>
      </c>
      <c r="K347" s="160">
        <v>0.0</v>
      </c>
      <c r="L347" s="160">
        <v>0.0</v>
      </c>
      <c r="M347" s="160">
        <v>0.0</v>
      </c>
      <c r="N347" s="160">
        <v>0.0</v>
      </c>
      <c r="O347" s="160">
        <v>0.0</v>
      </c>
      <c r="P347" s="160">
        <v>0.0</v>
      </c>
      <c r="Q347" s="160">
        <v>0.0</v>
      </c>
      <c r="R347" s="160">
        <v>0.0</v>
      </c>
      <c r="S347" s="160">
        <v>0.0</v>
      </c>
      <c r="T347" s="160">
        <v>0.0</v>
      </c>
      <c r="U347" s="160">
        <v>0.0</v>
      </c>
      <c r="V347" s="160">
        <v>0.0</v>
      </c>
      <c r="W347" s="160">
        <v>0.0</v>
      </c>
      <c r="X347" s="160">
        <v>0.0</v>
      </c>
      <c r="Y347" s="160">
        <v>0.0</v>
      </c>
    </row>
    <row r="348">
      <c r="A348" s="157" t="s">
        <v>754</v>
      </c>
      <c r="B348" s="160">
        <v>0.0</v>
      </c>
      <c r="C348" s="160">
        <v>0.0</v>
      </c>
      <c r="D348" s="160">
        <v>0.0</v>
      </c>
      <c r="E348" s="160">
        <v>0.0</v>
      </c>
      <c r="F348" s="160">
        <v>0.0</v>
      </c>
      <c r="G348" s="160">
        <v>0.0</v>
      </c>
      <c r="H348" s="160">
        <v>0.0</v>
      </c>
      <c r="I348" s="160">
        <v>0.0</v>
      </c>
      <c r="J348" s="160">
        <v>0.0</v>
      </c>
      <c r="K348" s="160">
        <v>0.0</v>
      </c>
      <c r="L348" s="160">
        <v>0.0</v>
      </c>
      <c r="M348" s="160">
        <v>0.0</v>
      </c>
      <c r="N348" s="160">
        <v>0.0</v>
      </c>
      <c r="O348" s="160">
        <v>0.0</v>
      </c>
      <c r="P348" s="160">
        <v>0.0</v>
      </c>
      <c r="Q348" s="160">
        <v>0.0</v>
      </c>
      <c r="R348" s="160">
        <v>0.0</v>
      </c>
      <c r="S348" s="160">
        <v>0.0</v>
      </c>
      <c r="T348" s="160">
        <v>0.0</v>
      </c>
      <c r="U348" s="160">
        <v>0.0</v>
      </c>
      <c r="V348" s="160">
        <v>0.0</v>
      </c>
      <c r="W348" s="160">
        <v>0.0</v>
      </c>
      <c r="X348" s="160">
        <v>0.0</v>
      </c>
      <c r="Y348" s="160">
        <v>0.0</v>
      </c>
    </row>
    <row r="349">
      <c r="A349" s="157" t="s">
        <v>755</v>
      </c>
      <c r="B349" s="160">
        <v>45364.56</v>
      </c>
      <c r="C349" s="160">
        <v>8586.0</v>
      </c>
      <c r="D349" s="160">
        <v>4305.6</v>
      </c>
      <c r="E349" s="160">
        <v>24254.2</v>
      </c>
      <c r="F349" s="160">
        <v>0.0</v>
      </c>
      <c r="G349" s="160">
        <v>0.0</v>
      </c>
      <c r="H349" s="160">
        <v>14652.0</v>
      </c>
      <c r="I349" s="160">
        <v>0.0</v>
      </c>
      <c r="J349" s="160">
        <v>144607.35</v>
      </c>
      <c r="K349" s="160">
        <v>0.0</v>
      </c>
      <c r="L349" s="160">
        <v>395674.52</v>
      </c>
      <c r="M349" s="160">
        <v>13328.0</v>
      </c>
      <c r="N349" s="160">
        <v>0.0</v>
      </c>
      <c r="O349" s="160">
        <v>785556.27</v>
      </c>
      <c r="P349" s="160">
        <v>439193.06</v>
      </c>
      <c r="Q349" s="160">
        <v>0.0</v>
      </c>
      <c r="R349" s="160">
        <v>185150.5</v>
      </c>
      <c r="S349" s="160">
        <v>0.0</v>
      </c>
      <c r="T349" s="160">
        <v>0.0</v>
      </c>
      <c r="U349" s="160">
        <v>8756.8</v>
      </c>
      <c r="V349" s="160">
        <v>0.0</v>
      </c>
      <c r="W349" s="160">
        <v>0.0</v>
      </c>
      <c r="X349" s="160">
        <v>0.0</v>
      </c>
      <c r="Y349" s="160">
        <v>2069428.86</v>
      </c>
    </row>
    <row r="350">
      <c r="A350" s="157" t="s">
        <v>383</v>
      </c>
      <c r="B350" s="160">
        <v>0.0</v>
      </c>
      <c r="C350" s="160">
        <v>0.0</v>
      </c>
      <c r="D350" s="160">
        <v>0.0</v>
      </c>
      <c r="E350" s="160">
        <v>0.0</v>
      </c>
      <c r="F350" s="160">
        <v>0.0</v>
      </c>
      <c r="G350" s="160">
        <v>0.0</v>
      </c>
      <c r="H350" s="160">
        <v>0.0</v>
      </c>
      <c r="I350" s="160">
        <v>0.0</v>
      </c>
      <c r="J350" s="160">
        <v>0.0</v>
      </c>
      <c r="K350" s="160">
        <v>0.0</v>
      </c>
      <c r="L350" s="160">
        <v>0.0</v>
      </c>
      <c r="M350" s="160">
        <v>0.0</v>
      </c>
      <c r="N350" s="160">
        <v>0.0</v>
      </c>
      <c r="O350" s="160">
        <v>0.0</v>
      </c>
      <c r="P350" s="160">
        <v>0.0</v>
      </c>
      <c r="Q350" s="160">
        <v>0.0</v>
      </c>
      <c r="R350" s="160">
        <v>0.0</v>
      </c>
      <c r="S350" s="160">
        <v>0.0</v>
      </c>
      <c r="T350" s="160">
        <v>0.0</v>
      </c>
      <c r="U350" s="160">
        <v>0.0</v>
      </c>
      <c r="V350" s="160">
        <v>0.0</v>
      </c>
      <c r="W350" s="160">
        <v>0.0</v>
      </c>
      <c r="X350" s="160">
        <v>0.0</v>
      </c>
      <c r="Y350" s="160">
        <v>0.0</v>
      </c>
    </row>
    <row r="351">
      <c r="A351" s="157" t="s">
        <v>756</v>
      </c>
      <c r="B351" s="160">
        <v>0.0</v>
      </c>
      <c r="C351" s="160">
        <v>0.0</v>
      </c>
      <c r="D351" s="160">
        <v>0.0</v>
      </c>
      <c r="E351" s="160">
        <v>0.0</v>
      </c>
      <c r="F351" s="160">
        <v>0.0</v>
      </c>
      <c r="G351" s="160">
        <v>0.0</v>
      </c>
      <c r="H351" s="160">
        <v>0.0</v>
      </c>
      <c r="I351" s="160">
        <v>0.0</v>
      </c>
      <c r="J351" s="160">
        <v>0.0</v>
      </c>
      <c r="K351" s="160">
        <v>0.0</v>
      </c>
      <c r="L351" s="160">
        <v>0.0</v>
      </c>
      <c r="M351" s="160">
        <v>0.0</v>
      </c>
      <c r="N351" s="160">
        <v>0.0</v>
      </c>
      <c r="O351" s="160">
        <v>0.0</v>
      </c>
      <c r="P351" s="160">
        <v>0.0</v>
      </c>
      <c r="Q351" s="160">
        <v>0.0</v>
      </c>
      <c r="R351" s="160">
        <v>0.0</v>
      </c>
      <c r="S351" s="160">
        <v>0.0</v>
      </c>
      <c r="T351" s="160">
        <v>0.0</v>
      </c>
      <c r="U351" s="160">
        <v>0.0</v>
      </c>
      <c r="V351" s="160">
        <v>0.0</v>
      </c>
      <c r="W351" s="160">
        <v>0.0</v>
      </c>
      <c r="X351" s="160">
        <v>0.0</v>
      </c>
      <c r="Y351" s="160">
        <v>0.0</v>
      </c>
    </row>
    <row r="352">
      <c r="A352" s="157" t="s">
        <v>757</v>
      </c>
      <c r="B352" s="160">
        <v>0.0</v>
      </c>
      <c r="C352" s="160">
        <v>0.0</v>
      </c>
      <c r="D352" s="160">
        <v>0.0</v>
      </c>
      <c r="E352" s="160">
        <v>0.0</v>
      </c>
      <c r="F352" s="160">
        <v>0.0</v>
      </c>
      <c r="G352" s="160">
        <v>0.0</v>
      </c>
      <c r="H352" s="160">
        <v>0.0</v>
      </c>
      <c r="I352" s="160">
        <v>0.0</v>
      </c>
      <c r="J352" s="160">
        <v>0.0</v>
      </c>
      <c r="K352" s="160">
        <v>0.0</v>
      </c>
      <c r="L352" s="160">
        <v>0.0</v>
      </c>
      <c r="M352" s="160">
        <v>0.0</v>
      </c>
      <c r="N352" s="160">
        <v>0.0</v>
      </c>
      <c r="O352" s="160">
        <v>0.0</v>
      </c>
      <c r="P352" s="160">
        <v>0.0</v>
      </c>
      <c r="Q352" s="160">
        <v>0.0</v>
      </c>
      <c r="R352" s="160">
        <v>0.0</v>
      </c>
      <c r="S352" s="160">
        <v>0.0</v>
      </c>
      <c r="T352" s="160">
        <v>0.0</v>
      </c>
      <c r="U352" s="160">
        <v>0.0</v>
      </c>
      <c r="V352" s="160">
        <v>0.0</v>
      </c>
      <c r="W352" s="160">
        <v>0.0</v>
      </c>
      <c r="X352" s="160">
        <v>0.0</v>
      </c>
      <c r="Y352" s="160">
        <v>0.0</v>
      </c>
    </row>
    <row r="353">
      <c r="A353" s="157" t="s">
        <v>758</v>
      </c>
      <c r="B353" s="160">
        <v>0.0</v>
      </c>
      <c r="C353" s="160">
        <v>0.0</v>
      </c>
      <c r="D353" s="160">
        <v>0.0</v>
      </c>
      <c r="E353" s="160">
        <v>0.0</v>
      </c>
      <c r="F353" s="160">
        <v>0.0</v>
      </c>
      <c r="G353" s="160">
        <v>0.0</v>
      </c>
      <c r="H353" s="160">
        <v>0.0</v>
      </c>
      <c r="I353" s="160">
        <v>0.0</v>
      </c>
      <c r="J353" s="160">
        <v>0.0</v>
      </c>
      <c r="K353" s="160">
        <v>0.0</v>
      </c>
      <c r="L353" s="160">
        <v>0.0</v>
      </c>
      <c r="M353" s="160">
        <v>0.0</v>
      </c>
      <c r="N353" s="160">
        <v>0.0</v>
      </c>
      <c r="O353" s="160">
        <v>0.0</v>
      </c>
      <c r="P353" s="160">
        <v>0.0</v>
      </c>
      <c r="Q353" s="160">
        <v>0.0</v>
      </c>
      <c r="R353" s="160">
        <v>0.0</v>
      </c>
      <c r="S353" s="160">
        <v>0.0</v>
      </c>
      <c r="T353" s="160">
        <v>0.0</v>
      </c>
      <c r="U353" s="160">
        <v>0.0</v>
      </c>
      <c r="V353" s="160">
        <v>0.0</v>
      </c>
      <c r="W353" s="160">
        <v>0.0</v>
      </c>
      <c r="X353" s="160">
        <v>0.0</v>
      </c>
      <c r="Y353" s="160">
        <v>0.0</v>
      </c>
    </row>
    <row r="354">
      <c r="A354" s="157" t="s">
        <v>244</v>
      </c>
      <c r="B354" s="160">
        <v>1406082.3</v>
      </c>
      <c r="C354" s="160">
        <v>722880.69</v>
      </c>
      <c r="D354" s="160">
        <v>865349.6</v>
      </c>
      <c r="E354" s="160">
        <v>466419.0</v>
      </c>
      <c r="F354" s="160">
        <v>253703.1</v>
      </c>
      <c r="G354" s="160">
        <v>0.0</v>
      </c>
      <c r="H354" s="160">
        <v>89481.6</v>
      </c>
      <c r="I354" s="160">
        <v>8268.0</v>
      </c>
      <c r="J354" s="160">
        <v>3228539.09</v>
      </c>
      <c r="K354" s="160">
        <v>369609.42</v>
      </c>
      <c r="L354" s="160">
        <v>1296220.24</v>
      </c>
      <c r="M354" s="160">
        <v>935978.0</v>
      </c>
      <c r="N354" s="160">
        <v>2641470.2</v>
      </c>
      <c r="O354" s="160">
        <v>65676.36</v>
      </c>
      <c r="P354" s="160">
        <v>226742.14</v>
      </c>
      <c r="Q354" s="160">
        <v>28138.0</v>
      </c>
      <c r="R354" s="160">
        <v>0.0</v>
      </c>
      <c r="S354" s="160">
        <v>789157.2</v>
      </c>
      <c r="T354" s="160">
        <v>157200.0</v>
      </c>
      <c r="U354" s="160">
        <v>1309419.79</v>
      </c>
      <c r="V354" s="160">
        <v>0.0</v>
      </c>
      <c r="W354" s="160">
        <v>0.0</v>
      </c>
      <c r="X354" s="160">
        <v>0.0</v>
      </c>
      <c r="Y354" s="160">
        <v>1.486033474E7</v>
      </c>
    </row>
    <row r="355">
      <c r="A355" s="157" t="s">
        <v>246</v>
      </c>
      <c r="B355" s="160">
        <v>0.0</v>
      </c>
      <c r="C355" s="160">
        <v>2404320.3</v>
      </c>
      <c r="D355" s="160">
        <v>5994096.09</v>
      </c>
      <c r="E355" s="160">
        <v>4549085.4</v>
      </c>
      <c r="F355" s="160">
        <v>340319.2</v>
      </c>
      <c r="G355" s="160">
        <v>214240.4</v>
      </c>
      <c r="H355" s="160">
        <v>1548144.0</v>
      </c>
      <c r="I355" s="160">
        <v>0.0</v>
      </c>
      <c r="J355" s="160">
        <v>3091182.01</v>
      </c>
      <c r="K355" s="160">
        <v>0.0</v>
      </c>
      <c r="L355" s="160">
        <v>9364399.77</v>
      </c>
      <c r="M355" s="160">
        <v>930508.7</v>
      </c>
      <c r="N355" s="160">
        <v>1736377.55</v>
      </c>
      <c r="O355" s="160">
        <v>1679703.22</v>
      </c>
      <c r="P355" s="160">
        <v>8267309.36</v>
      </c>
      <c r="Q355" s="160">
        <v>0.0</v>
      </c>
      <c r="R355" s="160">
        <v>2120650.0</v>
      </c>
      <c r="S355" s="160">
        <v>21625.0</v>
      </c>
      <c r="T355" s="160">
        <v>0.0</v>
      </c>
      <c r="U355" s="160">
        <v>0.0</v>
      </c>
      <c r="V355" s="160">
        <v>0.0</v>
      </c>
      <c r="W355" s="160">
        <v>0.0</v>
      </c>
      <c r="X355" s="160">
        <v>0.0</v>
      </c>
      <c r="Y355" s="160">
        <v>4.2261961E7</v>
      </c>
    </row>
    <row r="356">
      <c r="A356" s="157" t="s">
        <v>759</v>
      </c>
      <c r="B356" s="160">
        <v>0.0</v>
      </c>
      <c r="C356" s="160">
        <v>0.0</v>
      </c>
      <c r="D356" s="160">
        <v>0.0</v>
      </c>
      <c r="E356" s="160">
        <v>0.0</v>
      </c>
      <c r="F356" s="160">
        <v>0.0</v>
      </c>
      <c r="G356" s="160">
        <v>0.0</v>
      </c>
      <c r="H356" s="160">
        <v>0.0</v>
      </c>
      <c r="I356" s="160">
        <v>0.0</v>
      </c>
      <c r="J356" s="160">
        <v>0.0</v>
      </c>
      <c r="K356" s="160">
        <v>0.0</v>
      </c>
      <c r="L356" s="160">
        <v>0.0</v>
      </c>
      <c r="M356" s="160">
        <v>0.0</v>
      </c>
      <c r="N356" s="160">
        <v>0.0</v>
      </c>
      <c r="O356" s="160">
        <v>0.0</v>
      </c>
      <c r="P356" s="160">
        <v>0.0</v>
      </c>
      <c r="Q356" s="160">
        <v>0.0</v>
      </c>
      <c r="R356" s="160">
        <v>0.0</v>
      </c>
      <c r="S356" s="160">
        <v>0.0</v>
      </c>
      <c r="T356" s="160">
        <v>0.0</v>
      </c>
      <c r="U356" s="160">
        <v>0.0</v>
      </c>
      <c r="V356" s="160">
        <v>0.0</v>
      </c>
      <c r="W356" s="160">
        <v>0.0</v>
      </c>
      <c r="X356" s="160">
        <v>0.0</v>
      </c>
      <c r="Y356" s="160">
        <v>0.0</v>
      </c>
    </row>
    <row r="357">
      <c r="A357" s="157" t="s">
        <v>760</v>
      </c>
      <c r="B357" s="160">
        <v>0.0</v>
      </c>
      <c r="C357" s="160">
        <v>0.0</v>
      </c>
      <c r="D357" s="160">
        <v>0.0</v>
      </c>
      <c r="E357" s="160">
        <v>0.0</v>
      </c>
      <c r="F357" s="160">
        <v>0.0</v>
      </c>
      <c r="G357" s="160">
        <v>0.0</v>
      </c>
      <c r="H357" s="160">
        <v>0.0</v>
      </c>
      <c r="I357" s="160">
        <v>0.0</v>
      </c>
      <c r="J357" s="160">
        <v>0.0</v>
      </c>
      <c r="K357" s="160">
        <v>0.0</v>
      </c>
      <c r="L357" s="160">
        <v>0.0</v>
      </c>
      <c r="M357" s="160">
        <v>0.0</v>
      </c>
      <c r="N357" s="160">
        <v>0.0</v>
      </c>
      <c r="O357" s="160">
        <v>0.0</v>
      </c>
      <c r="P357" s="160">
        <v>0.0</v>
      </c>
      <c r="Q357" s="160">
        <v>0.0</v>
      </c>
      <c r="R357" s="160">
        <v>0.0</v>
      </c>
      <c r="S357" s="160">
        <v>0.0</v>
      </c>
      <c r="T357" s="160">
        <v>0.0</v>
      </c>
      <c r="U357" s="160">
        <v>0.0</v>
      </c>
      <c r="V357" s="160">
        <v>0.0</v>
      </c>
      <c r="W357" s="160">
        <v>0.0</v>
      </c>
      <c r="X357" s="160">
        <v>0.0</v>
      </c>
      <c r="Y357" s="160">
        <v>0.0</v>
      </c>
    </row>
    <row r="358">
      <c r="A358" s="157" t="s">
        <v>761</v>
      </c>
      <c r="B358" s="160">
        <v>0.0</v>
      </c>
      <c r="C358" s="160">
        <v>0.0</v>
      </c>
      <c r="D358" s="160">
        <v>0.0</v>
      </c>
      <c r="E358" s="160">
        <v>0.0</v>
      </c>
      <c r="F358" s="160">
        <v>0.0</v>
      </c>
      <c r="G358" s="160">
        <v>0.0</v>
      </c>
      <c r="H358" s="160">
        <v>0.0</v>
      </c>
      <c r="I358" s="160">
        <v>0.0</v>
      </c>
      <c r="J358" s="160">
        <v>0.0</v>
      </c>
      <c r="K358" s="160">
        <v>0.0</v>
      </c>
      <c r="L358" s="160">
        <v>0.0</v>
      </c>
      <c r="M358" s="160">
        <v>0.0</v>
      </c>
      <c r="N358" s="160">
        <v>0.0</v>
      </c>
      <c r="O358" s="160">
        <v>0.0</v>
      </c>
      <c r="P358" s="160">
        <v>0.0</v>
      </c>
      <c r="Q358" s="160">
        <v>0.0</v>
      </c>
      <c r="R358" s="160">
        <v>0.0</v>
      </c>
      <c r="S358" s="160">
        <v>0.0</v>
      </c>
      <c r="T358" s="160">
        <v>0.0</v>
      </c>
      <c r="U358" s="160">
        <v>0.0</v>
      </c>
      <c r="V358" s="160">
        <v>0.0</v>
      </c>
      <c r="W358" s="160">
        <v>0.0</v>
      </c>
      <c r="X358" s="160">
        <v>0.0</v>
      </c>
      <c r="Y358" s="160">
        <v>0.0</v>
      </c>
    </row>
    <row r="359">
      <c r="A359" s="157" t="s">
        <v>248</v>
      </c>
      <c r="B359" s="160">
        <v>90778.57</v>
      </c>
      <c r="C359" s="160">
        <v>567490.4</v>
      </c>
      <c r="D359" s="160">
        <v>402174.6</v>
      </c>
      <c r="E359" s="160">
        <v>374038.0</v>
      </c>
      <c r="F359" s="160">
        <v>132836.2</v>
      </c>
      <c r="G359" s="160">
        <v>0.0</v>
      </c>
      <c r="H359" s="160">
        <v>1019008.4</v>
      </c>
      <c r="I359" s="160">
        <v>0.0</v>
      </c>
      <c r="J359" s="160">
        <v>1608185.78</v>
      </c>
      <c r="K359" s="160">
        <v>0.0</v>
      </c>
      <c r="L359" s="160">
        <v>2815691.65</v>
      </c>
      <c r="M359" s="160">
        <v>56040.8</v>
      </c>
      <c r="N359" s="160">
        <v>734687.3</v>
      </c>
      <c r="O359" s="160">
        <v>2823204.44</v>
      </c>
      <c r="P359" s="160">
        <v>3905796.72</v>
      </c>
      <c r="Q359" s="160">
        <v>0.0</v>
      </c>
      <c r="R359" s="160">
        <v>818225.0</v>
      </c>
      <c r="S359" s="160">
        <v>196302.8</v>
      </c>
      <c r="T359" s="160">
        <v>10273.4</v>
      </c>
      <c r="U359" s="160">
        <v>401217.08</v>
      </c>
      <c r="V359" s="160">
        <v>0.0</v>
      </c>
      <c r="W359" s="160">
        <v>0.0</v>
      </c>
      <c r="X359" s="160">
        <v>0.0</v>
      </c>
      <c r="Y359" s="160">
        <v>1.595595114E7</v>
      </c>
    </row>
    <row r="360">
      <c r="A360" s="157" t="s">
        <v>762</v>
      </c>
      <c r="B360" s="160">
        <v>0.0</v>
      </c>
      <c r="C360" s="160">
        <v>0.0</v>
      </c>
      <c r="D360" s="160">
        <v>0.0</v>
      </c>
      <c r="E360" s="160">
        <v>0.0</v>
      </c>
      <c r="F360" s="160">
        <v>0.0</v>
      </c>
      <c r="G360" s="160">
        <v>0.0</v>
      </c>
      <c r="H360" s="160">
        <v>0.0</v>
      </c>
      <c r="I360" s="160">
        <v>0.0</v>
      </c>
      <c r="J360" s="160">
        <v>0.0</v>
      </c>
      <c r="K360" s="160">
        <v>0.0</v>
      </c>
      <c r="L360" s="160">
        <v>0.0</v>
      </c>
      <c r="M360" s="160">
        <v>0.0</v>
      </c>
      <c r="N360" s="160">
        <v>0.0</v>
      </c>
      <c r="O360" s="160">
        <v>0.0</v>
      </c>
      <c r="P360" s="160">
        <v>0.0</v>
      </c>
      <c r="Q360" s="160">
        <v>0.0</v>
      </c>
      <c r="R360" s="160">
        <v>0.0</v>
      </c>
      <c r="S360" s="160">
        <v>0.0</v>
      </c>
      <c r="T360" s="160">
        <v>0.0</v>
      </c>
      <c r="U360" s="160">
        <v>0.0</v>
      </c>
      <c r="V360" s="160">
        <v>0.0</v>
      </c>
      <c r="W360" s="160">
        <v>0.0</v>
      </c>
      <c r="X360" s="160">
        <v>0.0</v>
      </c>
      <c r="Y360" s="160">
        <v>0.0</v>
      </c>
    </row>
    <row r="361">
      <c r="A361" s="157" t="s">
        <v>763</v>
      </c>
      <c r="B361" s="160">
        <v>0.0</v>
      </c>
      <c r="C361" s="160">
        <v>0.0</v>
      </c>
      <c r="D361" s="160">
        <v>0.0</v>
      </c>
      <c r="E361" s="160">
        <v>0.0</v>
      </c>
      <c r="F361" s="160">
        <v>0.0</v>
      </c>
      <c r="G361" s="160">
        <v>0.0</v>
      </c>
      <c r="H361" s="160">
        <v>0.0</v>
      </c>
      <c r="I361" s="160">
        <v>0.0</v>
      </c>
      <c r="J361" s="160">
        <v>0.0</v>
      </c>
      <c r="K361" s="160">
        <v>0.0</v>
      </c>
      <c r="L361" s="160">
        <v>0.0</v>
      </c>
      <c r="M361" s="160">
        <v>0.0</v>
      </c>
      <c r="N361" s="160">
        <v>0.0</v>
      </c>
      <c r="O361" s="160">
        <v>0.0</v>
      </c>
      <c r="P361" s="160">
        <v>0.0</v>
      </c>
      <c r="Q361" s="160">
        <v>0.0</v>
      </c>
      <c r="R361" s="160">
        <v>0.0</v>
      </c>
      <c r="S361" s="160">
        <v>0.0</v>
      </c>
      <c r="T361" s="160">
        <v>0.0</v>
      </c>
      <c r="U361" s="160">
        <v>0.0</v>
      </c>
      <c r="V361" s="160">
        <v>0.0</v>
      </c>
      <c r="W361" s="160">
        <v>0.0</v>
      </c>
      <c r="X361" s="160">
        <v>0.0</v>
      </c>
      <c r="Y361" s="160">
        <v>0.0</v>
      </c>
    </row>
    <row r="362">
      <c r="A362" s="157" t="s">
        <v>158</v>
      </c>
      <c r="B362" s="160">
        <v>0.0</v>
      </c>
      <c r="C362" s="160">
        <v>1672217.9</v>
      </c>
      <c r="D362" s="160">
        <v>793819.9</v>
      </c>
      <c r="E362" s="160">
        <v>530084.2</v>
      </c>
      <c r="F362" s="160">
        <v>25693.3</v>
      </c>
      <c r="G362" s="160">
        <v>2134.0</v>
      </c>
      <c r="H362" s="160">
        <v>279896.9</v>
      </c>
      <c r="I362" s="160">
        <v>9806.5</v>
      </c>
      <c r="J362" s="160">
        <v>124782.42</v>
      </c>
      <c r="K362" s="160">
        <v>224.64</v>
      </c>
      <c r="L362" s="160">
        <v>4546037.68</v>
      </c>
      <c r="M362" s="160">
        <v>39375.7</v>
      </c>
      <c r="N362" s="160">
        <v>241895.1</v>
      </c>
      <c r="O362" s="160">
        <v>13987.71</v>
      </c>
      <c r="P362" s="160">
        <v>4912.78</v>
      </c>
      <c r="Q362" s="160">
        <v>0.0</v>
      </c>
      <c r="R362" s="160">
        <v>0.0</v>
      </c>
      <c r="S362" s="160">
        <v>0.0</v>
      </c>
      <c r="T362" s="160">
        <v>5434.0</v>
      </c>
      <c r="U362" s="160">
        <v>1621442.76</v>
      </c>
      <c r="V362" s="160">
        <v>0.0</v>
      </c>
      <c r="W362" s="160">
        <v>0.0</v>
      </c>
      <c r="X362" s="160">
        <v>0.0</v>
      </c>
      <c r="Y362" s="160">
        <v>9911745.49</v>
      </c>
    </row>
    <row r="363">
      <c r="A363" s="157" t="s">
        <v>154</v>
      </c>
      <c r="B363" s="160">
        <v>1698379.03</v>
      </c>
      <c r="C363" s="160">
        <v>415269.9</v>
      </c>
      <c r="D363" s="160">
        <v>594687.9</v>
      </c>
      <c r="E363" s="160">
        <v>0.0</v>
      </c>
      <c r="F363" s="160">
        <v>0.0</v>
      </c>
      <c r="G363" s="160">
        <v>0.0</v>
      </c>
      <c r="H363" s="160">
        <v>1217514.6</v>
      </c>
      <c r="I363" s="160">
        <v>0.0</v>
      </c>
      <c r="J363" s="160">
        <v>6174979.23</v>
      </c>
      <c r="K363" s="160">
        <v>0.0</v>
      </c>
      <c r="L363" s="160">
        <v>1692615.91</v>
      </c>
      <c r="M363" s="160">
        <v>477521.4</v>
      </c>
      <c r="N363" s="160">
        <v>3918977.2</v>
      </c>
      <c r="O363" s="160">
        <v>2984719.08</v>
      </c>
      <c r="P363" s="160">
        <v>1224946.07</v>
      </c>
      <c r="Q363" s="160">
        <v>0.0</v>
      </c>
      <c r="R363" s="160">
        <v>4055260.0</v>
      </c>
      <c r="S363" s="160">
        <v>639758.6</v>
      </c>
      <c r="T363" s="160">
        <v>0.0</v>
      </c>
      <c r="U363" s="160">
        <v>2303541.24</v>
      </c>
      <c r="V363" s="160">
        <v>0.0</v>
      </c>
      <c r="W363" s="160">
        <v>50640.0</v>
      </c>
      <c r="X363" s="160">
        <v>0.0</v>
      </c>
      <c r="Y363" s="160">
        <v>2.744881017E7</v>
      </c>
    </row>
    <row r="364">
      <c r="A364" s="157" t="s">
        <v>764</v>
      </c>
      <c r="B364" s="160">
        <v>0.0</v>
      </c>
      <c r="C364" s="160">
        <v>0.0</v>
      </c>
      <c r="D364" s="160">
        <v>0.0</v>
      </c>
      <c r="E364" s="160">
        <v>0.0</v>
      </c>
      <c r="F364" s="160">
        <v>0.0</v>
      </c>
      <c r="G364" s="160">
        <v>0.0</v>
      </c>
      <c r="H364" s="160">
        <v>0.0</v>
      </c>
      <c r="I364" s="160">
        <v>0.0</v>
      </c>
      <c r="J364" s="160">
        <v>0.0</v>
      </c>
      <c r="K364" s="160">
        <v>0.0</v>
      </c>
      <c r="L364" s="160">
        <v>0.0</v>
      </c>
      <c r="M364" s="160">
        <v>0.0</v>
      </c>
      <c r="N364" s="160">
        <v>0.0</v>
      </c>
      <c r="O364" s="160">
        <v>0.0</v>
      </c>
      <c r="P364" s="160">
        <v>0.0</v>
      </c>
      <c r="Q364" s="160">
        <v>0.0</v>
      </c>
      <c r="R364" s="160">
        <v>0.0</v>
      </c>
      <c r="S364" s="160">
        <v>0.0</v>
      </c>
      <c r="T364" s="160">
        <v>0.0</v>
      </c>
      <c r="U364" s="160">
        <v>0.0</v>
      </c>
      <c r="V364" s="160">
        <v>0.0</v>
      </c>
      <c r="W364" s="160">
        <v>0.0</v>
      </c>
      <c r="X364" s="160">
        <v>0.0</v>
      </c>
      <c r="Y364" s="160">
        <v>0.0</v>
      </c>
    </row>
    <row r="365">
      <c r="A365" s="157" t="s">
        <v>156</v>
      </c>
      <c r="B365" s="160">
        <v>4523095.7</v>
      </c>
      <c r="C365" s="160">
        <v>75139.0</v>
      </c>
      <c r="D365" s="160">
        <v>15863.0</v>
      </c>
      <c r="E365" s="160">
        <v>0.0</v>
      </c>
      <c r="F365" s="160">
        <v>0.0</v>
      </c>
      <c r="G365" s="160">
        <v>0.0</v>
      </c>
      <c r="H365" s="160">
        <v>340850.81</v>
      </c>
      <c r="I365" s="160">
        <v>0.0</v>
      </c>
      <c r="J365" s="160">
        <v>1762393.21</v>
      </c>
      <c r="K365" s="160">
        <v>0.0</v>
      </c>
      <c r="L365" s="160">
        <v>762943.3</v>
      </c>
      <c r="M365" s="160">
        <v>195871.8</v>
      </c>
      <c r="N365" s="160">
        <v>855901.07</v>
      </c>
      <c r="O365" s="160">
        <v>980402.36</v>
      </c>
      <c r="P365" s="160">
        <v>678432.78</v>
      </c>
      <c r="Q365" s="160">
        <v>0.0</v>
      </c>
      <c r="R365" s="160">
        <v>1638683.75</v>
      </c>
      <c r="S365" s="160">
        <v>665850.0</v>
      </c>
      <c r="T365" s="160">
        <v>0.0</v>
      </c>
      <c r="U365" s="160">
        <v>339115.2</v>
      </c>
      <c r="V365" s="160">
        <v>0.0</v>
      </c>
      <c r="W365" s="160">
        <v>0.0</v>
      </c>
      <c r="X365" s="160">
        <v>0.0</v>
      </c>
      <c r="Y365" s="160">
        <v>1.283454198E7</v>
      </c>
    </row>
    <row r="366">
      <c r="A366" s="157" t="s">
        <v>765</v>
      </c>
      <c r="B366" s="160">
        <v>0.0</v>
      </c>
      <c r="C366" s="160">
        <v>0.0</v>
      </c>
      <c r="D366" s="160">
        <v>0.0</v>
      </c>
      <c r="E366" s="160">
        <v>0.0</v>
      </c>
      <c r="F366" s="160">
        <v>0.0</v>
      </c>
      <c r="G366" s="160">
        <v>0.0</v>
      </c>
      <c r="H366" s="160">
        <v>0.0</v>
      </c>
      <c r="I366" s="160">
        <v>0.0</v>
      </c>
      <c r="J366" s="160">
        <v>0.0</v>
      </c>
      <c r="K366" s="160">
        <v>0.0</v>
      </c>
      <c r="L366" s="160">
        <v>0.0</v>
      </c>
      <c r="M366" s="160">
        <v>0.0</v>
      </c>
      <c r="N366" s="160">
        <v>0.0</v>
      </c>
      <c r="O366" s="160">
        <v>0.0</v>
      </c>
      <c r="P366" s="160">
        <v>0.0</v>
      </c>
      <c r="Q366" s="160">
        <v>0.0</v>
      </c>
      <c r="R366" s="160">
        <v>0.0</v>
      </c>
      <c r="S366" s="160">
        <v>0.0</v>
      </c>
      <c r="T366" s="160">
        <v>0.0</v>
      </c>
      <c r="U366" s="160">
        <v>0.0</v>
      </c>
      <c r="V366" s="160">
        <v>0.0</v>
      </c>
      <c r="W366" s="160">
        <v>0.0</v>
      </c>
      <c r="X366" s="160">
        <v>0.0</v>
      </c>
      <c r="Y366" s="160">
        <v>0.0</v>
      </c>
    </row>
    <row r="367">
      <c r="A367" s="157" t="s">
        <v>766</v>
      </c>
      <c r="B367" s="160">
        <v>0.0</v>
      </c>
      <c r="C367" s="160">
        <v>0.0</v>
      </c>
      <c r="D367" s="160">
        <v>0.0</v>
      </c>
      <c r="E367" s="160">
        <v>0.0</v>
      </c>
      <c r="F367" s="160">
        <v>0.0</v>
      </c>
      <c r="G367" s="160">
        <v>0.0</v>
      </c>
      <c r="H367" s="160">
        <v>0.0</v>
      </c>
      <c r="I367" s="160">
        <v>0.0</v>
      </c>
      <c r="J367" s="160">
        <v>0.0</v>
      </c>
      <c r="K367" s="160">
        <v>0.0</v>
      </c>
      <c r="L367" s="160">
        <v>0.0</v>
      </c>
      <c r="M367" s="160">
        <v>0.0</v>
      </c>
      <c r="N367" s="160">
        <v>0.0</v>
      </c>
      <c r="O367" s="160">
        <v>0.0</v>
      </c>
      <c r="P367" s="160">
        <v>0.0</v>
      </c>
      <c r="Q367" s="160">
        <v>0.0</v>
      </c>
      <c r="R367" s="160">
        <v>0.0</v>
      </c>
      <c r="S367" s="160">
        <v>0.0</v>
      </c>
      <c r="T367" s="160">
        <v>0.0</v>
      </c>
      <c r="U367" s="160">
        <v>0.0</v>
      </c>
      <c r="V367" s="160">
        <v>0.0</v>
      </c>
      <c r="W367" s="160">
        <v>0.0</v>
      </c>
      <c r="X367" s="160">
        <v>0.0</v>
      </c>
      <c r="Y367" s="160">
        <v>0.0</v>
      </c>
    </row>
    <row r="368">
      <c r="A368" s="157" t="s">
        <v>767</v>
      </c>
      <c r="B368" s="160">
        <v>0.0</v>
      </c>
      <c r="C368" s="160">
        <v>0.0</v>
      </c>
      <c r="D368" s="160">
        <v>0.0</v>
      </c>
      <c r="E368" s="160">
        <v>0.0</v>
      </c>
      <c r="F368" s="160">
        <v>0.0</v>
      </c>
      <c r="G368" s="160">
        <v>0.0</v>
      </c>
      <c r="H368" s="160">
        <v>0.0</v>
      </c>
      <c r="I368" s="160">
        <v>0.0</v>
      </c>
      <c r="J368" s="160">
        <v>0.0</v>
      </c>
      <c r="K368" s="160">
        <v>0.0</v>
      </c>
      <c r="L368" s="160">
        <v>0.0</v>
      </c>
      <c r="M368" s="160">
        <v>0.0</v>
      </c>
      <c r="N368" s="160">
        <v>0.0</v>
      </c>
      <c r="O368" s="160">
        <v>0.0</v>
      </c>
      <c r="P368" s="160">
        <v>0.0</v>
      </c>
      <c r="Q368" s="160">
        <v>0.0</v>
      </c>
      <c r="R368" s="160">
        <v>0.0</v>
      </c>
      <c r="S368" s="160">
        <v>0.0</v>
      </c>
      <c r="T368" s="160">
        <v>0.0</v>
      </c>
      <c r="U368" s="160">
        <v>0.0</v>
      </c>
      <c r="V368" s="160">
        <v>0.0</v>
      </c>
      <c r="W368" s="160">
        <v>0.0</v>
      </c>
      <c r="X368" s="160">
        <v>0.0</v>
      </c>
      <c r="Y368" s="160">
        <v>0.0</v>
      </c>
    </row>
    <row r="369">
      <c r="A369" s="157" t="s">
        <v>768</v>
      </c>
      <c r="B369" s="160">
        <v>0.0</v>
      </c>
      <c r="C369" s="160">
        <v>0.0</v>
      </c>
      <c r="D369" s="160">
        <v>0.0</v>
      </c>
      <c r="E369" s="160">
        <v>0.0</v>
      </c>
      <c r="F369" s="160">
        <v>0.0</v>
      </c>
      <c r="G369" s="160">
        <v>0.0</v>
      </c>
      <c r="H369" s="160">
        <v>0.0</v>
      </c>
      <c r="I369" s="160">
        <v>0.0</v>
      </c>
      <c r="J369" s="160">
        <v>0.0</v>
      </c>
      <c r="K369" s="160">
        <v>0.0</v>
      </c>
      <c r="L369" s="160">
        <v>0.0</v>
      </c>
      <c r="M369" s="160">
        <v>0.0</v>
      </c>
      <c r="N369" s="160">
        <v>0.0</v>
      </c>
      <c r="O369" s="160">
        <v>0.0</v>
      </c>
      <c r="P369" s="160">
        <v>0.0</v>
      </c>
      <c r="Q369" s="160">
        <v>0.0</v>
      </c>
      <c r="R369" s="160">
        <v>0.0</v>
      </c>
      <c r="S369" s="160">
        <v>0.0</v>
      </c>
      <c r="T369" s="160">
        <v>0.0</v>
      </c>
      <c r="U369" s="160">
        <v>0.0</v>
      </c>
      <c r="V369" s="160">
        <v>0.0</v>
      </c>
      <c r="W369" s="160">
        <v>0.0</v>
      </c>
      <c r="X369" s="160">
        <v>0.0</v>
      </c>
      <c r="Y369" s="160">
        <v>0.0</v>
      </c>
    </row>
    <row r="370">
      <c r="A370" s="157" t="s">
        <v>769</v>
      </c>
      <c r="B370" s="160">
        <v>0.0</v>
      </c>
      <c r="C370" s="160">
        <v>0.0</v>
      </c>
      <c r="D370" s="160">
        <v>0.0</v>
      </c>
      <c r="E370" s="160">
        <v>0.0</v>
      </c>
      <c r="F370" s="160">
        <v>0.0</v>
      </c>
      <c r="G370" s="160">
        <v>0.0</v>
      </c>
      <c r="H370" s="160">
        <v>0.0</v>
      </c>
      <c r="I370" s="160">
        <v>0.0</v>
      </c>
      <c r="J370" s="160">
        <v>0.0</v>
      </c>
      <c r="K370" s="160">
        <v>0.0</v>
      </c>
      <c r="L370" s="160">
        <v>0.0</v>
      </c>
      <c r="M370" s="160">
        <v>0.0</v>
      </c>
      <c r="N370" s="160">
        <v>0.0</v>
      </c>
      <c r="O370" s="160">
        <v>0.0</v>
      </c>
      <c r="P370" s="160">
        <v>0.0</v>
      </c>
      <c r="Q370" s="160">
        <v>0.0</v>
      </c>
      <c r="R370" s="160">
        <v>0.0</v>
      </c>
      <c r="S370" s="160">
        <v>0.0</v>
      </c>
      <c r="T370" s="160">
        <v>0.0</v>
      </c>
      <c r="U370" s="160">
        <v>0.0</v>
      </c>
      <c r="V370" s="160">
        <v>0.0</v>
      </c>
      <c r="W370" s="160">
        <v>0.0</v>
      </c>
      <c r="X370" s="160">
        <v>0.0</v>
      </c>
      <c r="Y370" s="160">
        <v>0.0</v>
      </c>
    </row>
    <row r="371">
      <c r="A371" s="157" t="s">
        <v>770</v>
      </c>
      <c r="B371" s="160">
        <v>279454.6</v>
      </c>
      <c r="C371" s="160">
        <v>512929.75</v>
      </c>
      <c r="D371" s="160">
        <v>368107.14</v>
      </c>
      <c r="E371" s="160">
        <v>136978.2</v>
      </c>
      <c r="F371" s="160">
        <v>19845.0</v>
      </c>
      <c r="G371" s="160">
        <v>6926.4</v>
      </c>
      <c r="H371" s="160">
        <v>338355.23</v>
      </c>
      <c r="I371" s="160">
        <v>10658.43</v>
      </c>
      <c r="J371" s="160">
        <v>4653982.86</v>
      </c>
      <c r="K371" s="160">
        <v>0.0</v>
      </c>
      <c r="L371" s="160">
        <v>3079497.68</v>
      </c>
      <c r="M371" s="160">
        <v>16117.2</v>
      </c>
      <c r="N371" s="160">
        <v>651354.2</v>
      </c>
      <c r="O371" s="160">
        <v>1586066.2</v>
      </c>
      <c r="P371" s="160">
        <v>180412.96</v>
      </c>
      <c r="Q371" s="160">
        <v>0.0</v>
      </c>
      <c r="R371" s="160">
        <v>87939.82</v>
      </c>
      <c r="S371" s="160">
        <v>130237.44</v>
      </c>
      <c r="T371" s="160">
        <v>0.0</v>
      </c>
      <c r="U371" s="160">
        <v>639104.33</v>
      </c>
      <c r="V371" s="160">
        <v>0.0</v>
      </c>
      <c r="W371" s="160">
        <v>0.0</v>
      </c>
      <c r="X371" s="160">
        <v>0.0</v>
      </c>
      <c r="Y371" s="160">
        <v>1.269796745E7</v>
      </c>
    </row>
    <row r="372">
      <c r="A372" s="157" t="s">
        <v>771</v>
      </c>
      <c r="B372" s="160">
        <v>0.0</v>
      </c>
      <c r="C372" s="160">
        <v>0.0</v>
      </c>
      <c r="D372" s="160">
        <v>0.0</v>
      </c>
      <c r="E372" s="160">
        <v>0.0</v>
      </c>
      <c r="F372" s="160">
        <v>0.0</v>
      </c>
      <c r="G372" s="160">
        <v>0.0</v>
      </c>
      <c r="H372" s="160">
        <v>0.0</v>
      </c>
      <c r="I372" s="160">
        <v>0.0</v>
      </c>
      <c r="J372" s="160">
        <v>0.0</v>
      </c>
      <c r="K372" s="160">
        <v>0.0</v>
      </c>
      <c r="L372" s="160">
        <v>0.0</v>
      </c>
      <c r="M372" s="160">
        <v>0.0</v>
      </c>
      <c r="N372" s="160">
        <v>0.0</v>
      </c>
      <c r="O372" s="160">
        <v>0.0</v>
      </c>
      <c r="P372" s="160">
        <v>0.0</v>
      </c>
      <c r="Q372" s="160">
        <v>0.0</v>
      </c>
      <c r="R372" s="160">
        <v>0.0</v>
      </c>
      <c r="S372" s="160">
        <v>0.0</v>
      </c>
      <c r="T372" s="160">
        <v>0.0</v>
      </c>
      <c r="U372" s="160">
        <v>0.0</v>
      </c>
      <c r="V372" s="160">
        <v>0.0</v>
      </c>
      <c r="W372" s="160">
        <v>0.0</v>
      </c>
      <c r="X372" s="160">
        <v>0.0</v>
      </c>
      <c r="Y372" s="160">
        <v>0.0</v>
      </c>
    </row>
    <row r="373">
      <c r="A373" s="157" t="s">
        <v>414</v>
      </c>
      <c r="B373" s="160">
        <v>0.0</v>
      </c>
      <c r="C373" s="160">
        <v>925634.2</v>
      </c>
      <c r="D373" s="160">
        <v>813642.45</v>
      </c>
      <c r="E373" s="160">
        <v>409210.85</v>
      </c>
      <c r="F373" s="160">
        <v>317056.1</v>
      </c>
      <c r="G373" s="160">
        <v>0.0</v>
      </c>
      <c r="H373" s="160">
        <v>836278.08</v>
      </c>
      <c r="I373" s="160">
        <v>0.0</v>
      </c>
      <c r="J373" s="160">
        <v>0.0</v>
      </c>
      <c r="K373" s="160">
        <v>0.0</v>
      </c>
      <c r="L373" s="160">
        <v>4552508.78</v>
      </c>
      <c r="M373" s="160">
        <v>25908.75</v>
      </c>
      <c r="N373" s="160">
        <v>83459.1</v>
      </c>
      <c r="O373" s="160">
        <v>0.0</v>
      </c>
      <c r="P373" s="160">
        <v>0.0</v>
      </c>
      <c r="Q373" s="160">
        <v>0.0</v>
      </c>
      <c r="R373" s="160">
        <v>1463506.25</v>
      </c>
      <c r="S373" s="160">
        <v>0.0</v>
      </c>
      <c r="T373" s="160">
        <v>0.0</v>
      </c>
      <c r="U373" s="160">
        <v>407267.39</v>
      </c>
      <c r="V373" s="160">
        <v>0.0</v>
      </c>
      <c r="W373" s="160">
        <v>0.0</v>
      </c>
      <c r="X373" s="160">
        <v>0.0</v>
      </c>
      <c r="Y373" s="160">
        <v>9834471.95</v>
      </c>
    </row>
    <row r="374">
      <c r="A374" s="157" t="s">
        <v>772</v>
      </c>
      <c r="B374" s="160">
        <v>635882.84</v>
      </c>
      <c r="C374" s="160">
        <v>678597.8</v>
      </c>
      <c r="D374" s="160">
        <v>402820.72</v>
      </c>
      <c r="E374" s="160">
        <v>19505.2</v>
      </c>
      <c r="F374" s="160">
        <v>0.0</v>
      </c>
      <c r="G374" s="160">
        <v>0.0</v>
      </c>
      <c r="H374" s="160">
        <v>496339.72</v>
      </c>
      <c r="I374" s="160">
        <v>0.0</v>
      </c>
      <c r="J374" s="160">
        <v>6844588.49</v>
      </c>
      <c r="K374" s="160">
        <v>0.0</v>
      </c>
      <c r="L374" s="160">
        <v>2523504.02</v>
      </c>
      <c r="M374" s="160">
        <v>96033.6</v>
      </c>
      <c r="N374" s="160">
        <v>390711.65</v>
      </c>
      <c r="O374" s="160">
        <v>5154497.73</v>
      </c>
      <c r="P374" s="160">
        <v>2503823.59</v>
      </c>
      <c r="Q374" s="160">
        <v>0.0</v>
      </c>
      <c r="R374" s="160">
        <v>189391.75</v>
      </c>
      <c r="S374" s="160">
        <v>376953.86</v>
      </c>
      <c r="T374" s="160">
        <v>1861.6</v>
      </c>
      <c r="U374" s="160">
        <v>2768503.83</v>
      </c>
      <c r="V374" s="160">
        <v>0.0</v>
      </c>
      <c r="W374" s="160">
        <v>0.0</v>
      </c>
      <c r="X374" s="160">
        <v>0.0</v>
      </c>
      <c r="Y374" s="160">
        <v>2.308301641E7</v>
      </c>
    </row>
    <row r="375">
      <c r="A375" s="157" t="s">
        <v>773</v>
      </c>
      <c r="B375" s="160">
        <v>0.0</v>
      </c>
      <c r="C375" s="160">
        <v>1632090.77</v>
      </c>
      <c r="D375" s="160">
        <v>1327972.42</v>
      </c>
      <c r="E375" s="160">
        <v>1287720.58</v>
      </c>
      <c r="F375" s="160">
        <v>12718.08</v>
      </c>
      <c r="G375" s="160">
        <v>14837.76</v>
      </c>
      <c r="H375" s="160">
        <v>266097.92</v>
      </c>
      <c r="I375" s="160">
        <v>5702.4</v>
      </c>
      <c r="J375" s="160">
        <v>22077.81</v>
      </c>
      <c r="K375" s="160">
        <v>1382.4</v>
      </c>
      <c r="L375" s="160">
        <v>3415212.22</v>
      </c>
      <c r="M375" s="160">
        <v>85607.04</v>
      </c>
      <c r="N375" s="160">
        <v>221711.6</v>
      </c>
      <c r="O375" s="160">
        <v>26161.09</v>
      </c>
      <c r="P375" s="160">
        <v>10644.63</v>
      </c>
      <c r="Q375" s="160">
        <v>0.0</v>
      </c>
      <c r="R375" s="160">
        <v>0.0</v>
      </c>
      <c r="S375" s="160">
        <v>236787.3</v>
      </c>
      <c r="T375" s="160">
        <v>29610.24</v>
      </c>
      <c r="U375" s="160">
        <v>2432024.7</v>
      </c>
      <c r="V375" s="160">
        <v>0.0</v>
      </c>
      <c r="W375" s="160">
        <v>0.0</v>
      </c>
      <c r="X375" s="160">
        <v>0.0</v>
      </c>
      <c r="Y375" s="160">
        <v>1.102835896E7</v>
      </c>
    </row>
    <row r="376">
      <c r="A376" s="157" t="s">
        <v>774</v>
      </c>
      <c r="B376" s="160">
        <v>0.0</v>
      </c>
      <c r="C376" s="160">
        <v>0.0</v>
      </c>
      <c r="D376" s="160">
        <v>0.0</v>
      </c>
      <c r="E376" s="160">
        <v>0.0</v>
      </c>
      <c r="F376" s="160">
        <v>0.0</v>
      </c>
      <c r="G376" s="160">
        <v>0.0</v>
      </c>
      <c r="H376" s="160">
        <v>0.0</v>
      </c>
      <c r="I376" s="160">
        <v>0.0</v>
      </c>
      <c r="J376" s="160">
        <v>0.0</v>
      </c>
      <c r="K376" s="160">
        <v>0.0</v>
      </c>
      <c r="L376" s="160">
        <v>0.0</v>
      </c>
      <c r="M376" s="160">
        <v>0.0</v>
      </c>
      <c r="N376" s="160">
        <v>0.0</v>
      </c>
      <c r="O376" s="160">
        <v>0.0</v>
      </c>
      <c r="P376" s="160">
        <v>0.0</v>
      </c>
      <c r="Q376" s="160">
        <v>0.0</v>
      </c>
      <c r="R376" s="160">
        <v>0.0</v>
      </c>
      <c r="S376" s="160">
        <v>0.0</v>
      </c>
      <c r="T376" s="160">
        <v>0.0</v>
      </c>
      <c r="U376" s="160">
        <v>0.0</v>
      </c>
      <c r="V376" s="160">
        <v>0.0</v>
      </c>
      <c r="W376" s="160">
        <v>0.0</v>
      </c>
      <c r="X376" s="160">
        <v>0.0</v>
      </c>
      <c r="Y376" s="160">
        <v>0.0</v>
      </c>
    </row>
    <row r="377">
      <c r="A377" s="157" t="s">
        <v>775</v>
      </c>
      <c r="B377" s="160">
        <v>0.0</v>
      </c>
      <c r="C377" s="160">
        <v>0.0</v>
      </c>
      <c r="D377" s="160">
        <v>0.0</v>
      </c>
      <c r="E377" s="160">
        <v>0.0</v>
      </c>
      <c r="F377" s="160">
        <v>0.0</v>
      </c>
      <c r="G377" s="160">
        <v>0.0</v>
      </c>
      <c r="H377" s="160">
        <v>0.0</v>
      </c>
      <c r="I377" s="160">
        <v>0.0</v>
      </c>
      <c r="J377" s="160">
        <v>0.0</v>
      </c>
      <c r="K377" s="160">
        <v>0.0</v>
      </c>
      <c r="L377" s="160">
        <v>0.0</v>
      </c>
      <c r="M377" s="160">
        <v>0.0</v>
      </c>
      <c r="N377" s="160">
        <v>0.0</v>
      </c>
      <c r="O377" s="160">
        <v>0.0</v>
      </c>
      <c r="P377" s="160">
        <v>0.0</v>
      </c>
      <c r="Q377" s="160">
        <v>0.0</v>
      </c>
      <c r="R377" s="160">
        <v>0.0</v>
      </c>
      <c r="S377" s="160">
        <v>0.0</v>
      </c>
      <c r="T377" s="160">
        <v>0.0</v>
      </c>
      <c r="U377" s="160">
        <v>0.0</v>
      </c>
      <c r="V377" s="160">
        <v>0.0</v>
      </c>
      <c r="W377" s="160">
        <v>0.0</v>
      </c>
      <c r="X377" s="160">
        <v>0.0</v>
      </c>
      <c r="Y377" s="160">
        <v>0.0</v>
      </c>
    </row>
    <row r="378">
      <c r="A378" s="157" t="s">
        <v>776</v>
      </c>
      <c r="B378" s="160">
        <v>0.0</v>
      </c>
      <c r="C378" s="160">
        <v>0.0</v>
      </c>
      <c r="D378" s="160">
        <v>0.0</v>
      </c>
      <c r="E378" s="160">
        <v>0.0</v>
      </c>
      <c r="F378" s="160">
        <v>0.0</v>
      </c>
      <c r="G378" s="160">
        <v>0.0</v>
      </c>
      <c r="H378" s="160">
        <v>0.0</v>
      </c>
      <c r="I378" s="160">
        <v>0.0</v>
      </c>
      <c r="J378" s="160">
        <v>0.0</v>
      </c>
      <c r="K378" s="160">
        <v>0.0</v>
      </c>
      <c r="L378" s="160">
        <v>0.0</v>
      </c>
      <c r="M378" s="160">
        <v>0.0</v>
      </c>
      <c r="N378" s="160">
        <v>0.0</v>
      </c>
      <c r="O378" s="160">
        <v>0.0</v>
      </c>
      <c r="P378" s="160">
        <v>0.0</v>
      </c>
      <c r="Q378" s="160">
        <v>0.0</v>
      </c>
      <c r="R378" s="160">
        <v>0.0</v>
      </c>
      <c r="S378" s="160">
        <v>0.0</v>
      </c>
      <c r="T378" s="160">
        <v>0.0</v>
      </c>
      <c r="U378" s="160">
        <v>0.0</v>
      </c>
      <c r="V378" s="160">
        <v>0.0</v>
      </c>
      <c r="W378" s="160">
        <v>0.0</v>
      </c>
      <c r="X378" s="160">
        <v>0.0</v>
      </c>
      <c r="Y378" s="160">
        <v>0.0</v>
      </c>
    </row>
    <row r="379">
      <c r="A379" s="157" t="s">
        <v>777</v>
      </c>
      <c r="B379" s="160">
        <v>0.0</v>
      </c>
      <c r="C379" s="160">
        <v>0.0</v>
      </c>
      <c r="D379" s="160">
        <v>0.0</v>
      </c>
      <c r="E379" s="160">
        <v>0.0</v>
      </c>
      <c r="F379" s="160">
        <v>0.0</v>
      </c>
      <c r="G379" s="160">
        <v>0.0</v>
      </c>
      <c r="H379" s="160">
        <v>0.0</v>
      </c>
      <c r="I379" s="160">
        <v>0.0</v>
      </c>
      <c r="J379" s="160">
        <v>0.0</v>
      </c>
      <c r="K379" s="160">
        <v>0.0</v>
      </c>
      <c r="L379" s="160">
        <v>0.0</v>
      </c>
      <c r="M379" s="160">
        <v>0.0</v>
      </c>
      <c r="N379" s="160">
        <v>0.0</v>
      </c>
      <c r="O379" s="160">
        <v>0.0</v>
      </c>
      <c r="P379" s="160">
        <v>0.0</v>
      </c>
      <c r="Q379" s="160">
        <v>0.0</v>
      </c>
      <c r="R379" s="160">
        <v>0.0</v>
      </c>
      <c r="S379" s="160">
        <v>0.0</v>
      </c>
      <c r="T379" s="160">
        <v>0.0</v>
      </c>
      <c r="U379" s="160">
        <v>0.0</v>
      </c>
      <c r="V379" s="160">
        <v>0.0</v>
      </c>
      <c r="W379" s="160">
        <v>0.0</v>
      </c>
      <c r="X379" s="160">
        <v>0.0</v>
      </c>
      <c r="Y379" s="160">
        <v>0.0</v>
      </c>
    </row>
    <row r="380">
      <c r="A380" s="157" t="s">
        <v>778</v>
      </c>
      <c r="B380" s="160">
        <v>0.0</v>
      </c>
      <c r="C380" s="160">
        <v>0.0</v>
      </c>
      <c r="D380" s="160">
        <v>0.0</v>
      </c>
      <c r="E380" s="160">
        <v>0.0</v>
      </c>
      <c r="F380" s="160">
        <v>0.0</v>
      </c>
      <c r="G380" s="160">
        <v>0.0</v>
      </c>
      <c r="H380" s="160">
        <v>0.0</v>
      </c>
      <c r="I380" s="160">
        <v>0.0</v>
      </c>
      <c r="J380" s="160">
        <v>0.0</v>
      </c>
      <c r="K380" s="160">
        <v>0.0</v>
      </c>
      <c r="L380" s="160">
        <v>0.0</v>
      </c>
      <c r="M380" s="160">
        <v>0.0</v>
      </c>
      <c r="N380" s="160">
        <v>0.0</v>
      </c>
      <c r="O380" s="160">
        <v>0.0</v>
      </c>
      <c r="P380" s="160">
        <v>0.0</v>
      </c>
      <c r="Q380" s="160">
        <v>0.0</v>
      </c>
      <c r="R380" s="160">
        <v>0.0</v>
      </c>
      <c r="S380" s="160">
        <v>0.0</v>
      </c>
      <c r="T380" s="160">
        <v>0.0</v>
      </c>
      <c r="U380" s="160">
        <v>0.0</v>
      </c>
      <c r="V380" s="160">
        <v>0.0</v>
      </c>
      <c r="W380" s="160">
        <v>0.0</v>
      </c>
      <c r="X380" s="160">
        <v>0.0</v>
      </c>
      <c r="Y380" s="160">
        <v>0.0</v>
      </c>
    </row>
    <row r="381">
      <c r="A381" s="157" t="s">
        <v>779</v>
      </c>
      <c r="B381" s="160">
        <v>0.0</v>
      </c>
      <c r="C381" s="160">
        <v>0.0</v>
      </c>
      <c r="D381" s="160">
        <v>0.0</v>
      </c>
      <c r="E381" s="160">
        <v>0.0</v>
      </c>
      <c r="F381" s="160">
        <v>0.0</v>
      </c>
      <c r="G381" s="160">
        <v>0.0</v>
      </c>
      <c r="H381" s="160">
        <v>0.0</v>
      </c>
      <c r="I381" s="160">
        <v>0.0</v>
      </c>
      <c r="J381" s="160">
        <v>0.0</v>
      </c>
      <c r="K381" s="160">
        <v>0.0</v>
      </c>
      <c r="L381" s="160">
        <v>0.0</v>
      </c>
      <c r="M381" s="160">
        <v>0.0</v>
      </c>
      <c r="N381" s="160">
        <v>0.0</v>
      </c>
      <c r="O381" s="160">
        <v>0.0</v>
      </c>
      <c r="P381" s="160">
        <v>0.0</v>
      </c>
      <c r="Q381" s="160">
        <v>0.0</v>
      </c>
      <c r="R381" s="160">
        <v>0.0</v>
      </c>
      <c r="S381" s="160">
        <v>0.0</v>
      </c>
      <c r="T381" s="160">
        <v>0.0</v>
      </c>
      <c r="U381" s="160">
        <v>0.0</v>
      </c>
      <c r="V381" s="160">
        <v>0.0</v>
      </c>
      <c r="W381" s="160">
        <v>0.0</v>
      </c>
      <c r="X381" s="160">
        <v>0.0</v>
      </c>
      <c r="Y381" s="160">
        <v>0.0</v>
      </c>
    </row>
    <row r="382">
      <c r="A382" s="157" t="s">
        <v>780</v>
      </c>
      <c r="B382" s="160">
        <v>0.0</v>
      </c>
      <c r="C382" s="160">
        <v>0.0</v>
      </c>
      <c r="D382" s="160">
        <v>0.0</v>
      </c>
      <c r="E382" s="160">
        <v>0.0</v>
      </c>
      <c r="F382" s="160">
        <v>0.0</v>
      </c>
      <c r="G382" s="160">
        <v>0.0</v>
      </c>
      <c r="H382" s="160">
        <v>0.0</v>
      </c>
      <c r="I382" s="160">
        <v>0.0</v>
      </c>
      <c r="J382" s="160">
        <v>0.0</v>
      </c>
      <c r="K382" s="160">
        <v>0.0</v>
      </c>
      <c r="L382" s="160">
        <v>0.0</v>
      </c>
      <c r="M382" s="160">
        <v>0.0</v>
      </c>
      <c r="N382" s="160">
        <v>0.0</v>
      </c>
      <c r="O382" s="160">
        <v>0.0</v>
      </c>
      <c r="P382" s="160">
        <v>0.0</v>
      </c>
      <c r="Q382" s="160">
        <v>0.0</v>
      </c>
      <c r="R382" s="160">
        <v>0.0</v>
      </c>
      <c r="S382" s="160">
        <v>0.0</v>
      </c>
      <c r="T382" s="160">
        <v>0.0</v>
      </c>
      <c r="U382" s="160">
        <v>0.0</v>
      </c>
      <c r="V382" s="160">
        <v>0.0</v>
      </c>
      <c r="W382" s="160">
        <v>0.0</v>
      </c>
      <c r="X382" s="160">
        <v>0.0</v>
      </c>
      <c r="Y382" s="160">
        <v>0.0</v>
      </c>
    </row>
    <row r="383">
      <c r="A383" s="157" t="s">
        <v>781</v>
      </c>
      <c r="B383" s="160">
        <v>0.0</v>
      </c>
      <c r="C383" s="160">
        <v>5322.05</v>
      </c>
      <c r="D383" s="160">
        <v>10654.27</v>
      </c>
      <c r="E383" s="160">
        <v>0.0</v>
      </c>
      <c r="F383" s="160">
        <v>0.0</v>
      </c>
      <c r="G383" s="160">
        <v>0.0</v>
      </c>
      <c r="H383" s="160">
        <v>274170.31</v>
      </c>
      <c r="I383" s="160">
        <v>7509.89</v>
      </c>
      <c r="J383" s="160">
        <v>0.0</v>
      </c>
      <c r="K383" s="160">
        <v>0.0</v>
      </c>
      <c r="L383" s="160">
        <v>532576.72</v>
      </c>
      <c r="M383" s="160">
        <v>8608.9</v>
      </c>
      <c r="N383" s="160">
        <v>0.0</v>
      </c>
      <c r="O383" s="160">
        <v>0.0</v>
      </c>
      <c r="P383" s="160">
        <v>0.0</v>
      </c>
      <c r="Q383" s="160">
        <v>0.0</v>
      </c>
      <c r="R383" s="160">
        <v>0.0</v>
      </c>
      <c r="S383" s="160">
        <v>119993.89</v>
      </c>
      <c r="T383" s="160">
        <v>0.0</v>
      </c>
      <c r="U383" s="160">
        <v>97252.03</v>
      </c>
      <c r="V383" s="160">
        <v>0.0</v>
      </c>
      <c r="W383" s="160">
        <v>0.0</v>
      </c>
      <c r="X383" s="160">
        <v>0.0</v>
      </c>
      <c r="Y383" s="160">
        <v>1056088.06</v>
      </c>
    </row>
    <row r="384">
      <c r="A384" s="157" t="s">
        <v>782</v>
      </c>
      <c r="B384" s="160">
        <v>0.0</v>
      </c>
      <c r="C384" s="160">
        <v>0.0</v>
      </c>
      <c r="D384" s="160">
        <v>0.0</v>
      </c>
      <c r="E384" s="160">
        <v>0.0</v>
      </c>
      <c r="F384" s="160">
        <v>0.0</v>
      </c>
      <c r="G384" s="160">
        <v>0.0</v>
      </c>
      <c r="H384" s="160">
        <v>0.0</v>
      </c>
      <c r="I384" s="160">
        <v>0.0</v>
      </c>
      <c r="J384" s="160">
        <v>0.0</v>
      </c>
      <c r="K384" s="160">
        <v>0.0</v>
      </c>
      <c r="L384" s="160">
        <v>0.0</v>
      </c>
      <c r="M384" s="160">
        <v>0.0</v>
      </c>
      <c r="N384" s="160">
        <v>0.0</v>
      </c>
      <c r="O384" s="160">
        <v>0.0</v>
      </c>
      <c r="P384" s="160">
        <v>0.0</v>
      </c>
      <c r="Q384" s="160">
        <v>0.0</v>
      </c>
      <c r="R384" s="160">
        <v>0.0</v>
      </c>
      <c r="S384" s="160">
        <v>0.0</v>
      </c>
      <c r="T384" s="160">
        <v>0.0</v>
      </c>
      <c r="U384" s="160">
        <v>0.0</v>
      </c>
      <c r="V384" s="160">
        <v>0.0</v>
      </c>
      <c r="W384" s="160">
        <v>0.0</v>
      </c>
      <c r="X384" s="160">
        <v>0.0</v>
      </c>
      <c r="Y384" s="160">
        <v>0.0</v>
      </c>
    </row>
    <row r="385">
      <c r="A385" s="157" t="s">
        <v>783</v>
      </c>
      <c r="B385" s="160">
        <v>45873.97</v>
      </c>
      <c r="C385" s="160">
        <v>549299.68</v>
      </c>
      <c r="D385" s="160">
        <v>1092214.39</v>
      </c>
      <c r="E385" s="160">
        <v>416873.6</v>
      </c>
      <c r="F385" s="160">
        <v>306328.4</v>
      </c>
      <c r="G385" s="160">
        <v>925257.6</v>
      </c>
      <c r="H385" s="160">
        <v>763061.7</v>
      </c>
      <c r="I385" s="160">
        <v>52091.2</v>
      </c>
      <c r="J385" s="160">
        <v>4538052.71</v>
      </c>
      <c r="K385" s="160">
        <v>0.0</v>
      </c>
      <c r="L385" s="160">
        <v>1614593.93</v>
      </c>
      <c r="M385" s="160">
        <v>798293.3</v>
      </c>
      <c r="N385" s="160">
        <v>1048716.41</v>
      </c>
      <c r="O385" s="160">
        <v>3318587.99</v>
      </c>
      <c r="P385" s="160">
        <v>1893922.42</v>
      </c>
      <c r="Q385" s="160">
        <v>10796.8</v>
      </c>
      <c r="R385" s="160">
        <v>739590.0</v>
      </c>
      <c r="S385" s="160">
        <v>651242.5</v>
      </c>
      <c r="T385" s="160">
        <v>6895.2</v>
      </c>
      <c r="U385" s="160">
        <v>0.0</v>
      </c>
      <c r="V385" s="160">
        <v>0.0</v>
      </c>
      <c r="W385" s="160">
        <v>0.0</v>
      </c>
      <c r="X385" s="160">
        <v>0.0</v>
      </c>
      <c r="Y385" s="160">
        <v>1.877169181E7</v>
      </c>
    </row>
    <row r="386">
      <c r="A386" s="157" t="s">
        <v>784</v>
      </c>
      <c r="B386" s="160">
        <v>0.0</v>
      </c>
      <c r="C386" s="160">
        <v>0.0</v>
      </c>
      <c r="D386" s="160">
        <v>0.0</v>
      </c>
      <c r="E386" s="160">
        <v>0.0</v>
      </c>
      <c r="F386" s="160">
        <v>0.0</v>
      </c>
      <c r="G386" s="160">
        <v>0.0</v>
      </c>
      <c r="H386" s="160">
        <v>0.0</v>
      </c>
      <c r="I386" s="160">
        <v>0.0</v>
      </c>
      <c r="J386" s="160">
        <v>0.0</v>
      </c>
      <c r="K386" s="160">
        <v>0.0</v>
      </c>
      <c r="L386" s="160">
        <v>0.0</v>
      </c>
      <c r="M386" s="160">
        <v>0.0</v>
      </c>
      <c r="N386" s="160">
        <v>0.0</v>
      </c>
      <c r="O386" s="160">
        <v>0.0</v>
      </c>
      <c r="P386" s="160">
        <v>0.0</v>
      </c>
      <c r="Q386" s="160">
        <v>0.0</v>
      </c>
      <c r="R386" s="160">
        <v>0.0</v>
      </c>
      <c r="S386" s="160">
        <v>0.0</v>
      </c>
      <c r="T386" s="160">
        <v>0.0</v>
      </c>
      <c r="U386" s="160">
        <v>0.0</v>
      </c>
      <c r="V386" s="160">
        <v>0.0</v>
      </c>
      <c r="W386" s="160">
        <v>0.0</v>
      </c>
      <c r="X386" s="160">
        <v>0.0</v>
      </c>
      <c r="Y386" s="160">
        <v>0.0</v>
      </c>
    </row>
    <row r="387">
      <c r="A387" s="157" t="s">
        <v>163</v>
      </c>
      <c r="B387" s="160">
        <v>0.0</v>
      </c>
      <c r="C387" s="160">
        <v>1786219.38</v>
      </c>
      <c r="D387" s="160">
        <v>812100.5</v>
      </c>
      <c r="E387" s="160">
        <v>0.0</v>
      </c>
      <c r="F387" s="160">
        <v>49775.0</v>
      </c>
      <c r="G387" s="160">
        <v>0.0</v>
      </c>
      <c r="H387" s="160">
        <v>300553.97</v>
      </c>
      <c r="I387" s="160">
        <v>0.0</v>
      </c>
      <c r="J387" s="160">
        <v>0.0</v>
      </c>
      <c r="K387" s="160">
        <v>0.0</v>
      </c>
      <c r="L387" s="160">
        <v>40199.53</v>
      </c>
      <c r="M387" s="160">
        <v>1091072.32</v>
      </c>
      <c r="N387" s="160">
        <v>0.0</v>
      </c>
      <c r="O387" s="160">
        <v>0.0</v>
      </c>
      <c r="P387" s="160">
        <v>0.0</v>
      </c>
      <c r="Q387" s="160">
        <v>0.0</v>
      </c>
      <c r="R387" s="160">
        <v>233065.75</v>
      </c>
      <c r="S387" s="160">
        <v>211656.18</v>
      </c>
      <c r="T387" s="160">
        <v>0.0</v>
      </c>
      <c r="U387" s="160">
        <v>7065042.87</v>
      </c>
      <c r="V387" s="160">
        <v>0.0</v>
      </c>
      <c r="W387" s="160">
        <v>0.0</v>
      </c>
      <c r="X387" s="160">
        <v>0.0</v>
      </c>
      <c r="Y387" s="160">
        <v>1.15896855E7</v>
      </c>
    </row>
    <row r="388">
      <c r="A388" s="157" t="s">
        <v>405</v>
      </c>
      <c r="B388" s="160">
        <v>33102.21</v>
      </c>
      <c r="C388" s="160">
        <v>194502.68</v>
      </c>
      <c r="D388" s="160">
        <v>605442.4</v>
      </c>
      <c r="E388" s="160">
        <v>113528.2</v>
      </c>
      <c r="F388" s="160">
        <v>11184.8</v>
      </c>
      <c r="G388" s="160">
        <v>0.0</v>
      </c>
      <c r="H388" s="160">
        <v>347840.4</v>
      </c>
      <c r="I388" s="160">
        <v>0.0</v>
      </c>
      <c r="J388" s="160">
        <v>426316.84</v>
      </c>
      <c r="K388" s="160">
        <v>0.0</v>
      </c>
      <c r="L388" s="160">
        <v>923646.97</v>
      </c>
      <c r="M388" s="160">
        <v>24185.89</v>
      </c>
      <c r="N388" s="160">
        <v>271189.6</v>
      </c>
      <c r="O388" s="160">
        <v>1046653.86</v>
      </c>
      <c r="P388" s="160">
        <v>2159671.1</v>
      </c>
      <c r="Q388" s="160">
        <v>0.0</v>
      </c>
      <c r="R388" s="160">
        <v>631922.81</v>
      </c>
      <c r="S388" s="160">
        <v>47364.4</v>
      </c>
      <c r="T388" s="160">
        <v>0.0</v>
      </c>
      <c r="U388" s="160">
        <v>0.0</v>
      </c>
      <c r="V388" s="160">
        <v>0.0</v>
      </c>
      <c r="W388" s="160">
        <v>0.0</v>
      </c>
      <c r="X388" s="160">
        <v>0.0</v>
      </c>
      <c r="Y388" s="160">
        <v>6836552.15</v>
      </c>
    </row>
    <row r="389">
      <c r="A389" s="157" t="s">
        <v>785</v>
      </c>
      <c r="B389" s="160">
        <v>0.0</v>
      </c>
      <c r="C389" s="160">
        <v>0.0</v>
      </c>
      <c r="D389" s="160">
        <v>0.0</v>
      </c>
      <c r="E389" s="160">
        <v>0.0</v>
      </c>
      <c r="F389" s="160">
        <v>0.0</v>
      </c>
      <c r="G389" s="160">
        <v>0.0</v>
      </c>
      <c r="H389" s="160">
        <v>0.0</v>
      </c>
      <c r="I389" s="160">
        <v>0.0</v>
      </c>
      <c r="J389" s="160">
        <v>0.0</v>
      </c>
      <c r="K389" s="160">
        <v>0.0</v>
      </c>
      <c r="L389" s="160">
        <v>0.0</v>
      </c>
      <c r="M389" s="160">
        <v>0.0</v>
      </c>
      <c r="N389" s="160">
        <v>0.0</v>
      </c>
      <c r="O389" s="160">
        <v>0.0</v>
      </c>
      <c r="P389" s="160">
        <v>0.0</v>
      </c>
      <c r="Q389" s="160">
        <v>0.0</v>
      </c>
      <c r="R389" s="160">
        <v>0.0</v>
      </c>
      <c r="S389" s="160">
        <v>0.0</v>
      </c>
      <c r="T389" s="160">
        <v>0.0</v>
      </c>
      <c r="U389" s="160">
        <v>0.0</v>
      </c>
      <c r="V389" s="160">
        <v>0.0</v>
      </c>
      <c r="W389" s="160">
        <v>0.0</v>
      </c>
      <c r="X389" s="160">
        <v>0.0</v>
      </c>
      <c r="Y389" s="160">
        <v>0.0</v>
      </c>
    </row>
    <row r="390">
      <c r="A390" s="157" t="s">
        <v>786</v>
      </c>
      <c r="B390" s="160">
        <v>0.0</v>
      </c>
      <c r="C390" s="160">
        <v>0.0</v>
      </c>
      <c r="D390" s="160">
        <v>0.0</v>
      </c>
      <c r="E390" s="160">
        <v>0.0</v>
      </c>
      <c r="F390" s="160">
        <v>0.0</v>
      </c>
      <c r="G390" s="160">
        <v>0.0</v>
      </c>
      <c r="H390" s="160">
        <v>0.0</v>
      </c>
      <c r="I390" s="160">
        <v>0.0</v>
      </c>
      <c r="J390" s="160">
        <v>0.0</v>
      </c>
      <c r="K390" s="160">
        <v>0.0</v>
      </c>
      <c r="L390" s="160">
        <v>0.0</v>
      </c>
      <c r="M390" s="160">
        <v>0.0</v>
      </c>
      <c r="N390" s="160">
        <v>0.0</v>
      </c>
      <c r="O390" s="160">
        <v>0.0</v>
      </c>
      <c r="P390" s="160">
        <v>0.0</v>
      </c>
      <c r="Q390" s="160">
        <v>0.0</v>
      </c>
      <c r="R390" s="160">
        <v>0.0</v>
      </c>
      <c r="S390" s="160">
        <v>0.0</v>
      </c>
      <c r="T390" s="160">
        <v>0.0</v>
      </c>
      <c r="U390" s="160">
        <v>0.0</v>
      </c>
      <c r="V390" s="160">
        <v>0.0</v>
      </c>
      <c r="W390" s="160">
        <v>0.0</v>
      </c>
      <c r="X390" s="160">
        <v>0.0</v>
      </c>
      <c r="Y390" s="160">
        <v>0.0</v>
      </c>
    </row>
    <row r="391">
      <c r="A391" s="157" t="s">
        <v>787</v>
      </c>
      <c r="B391" s="160">
        <v>0.0</v>
      </c>
      <c r="C391" s="160">
        <v>0.0</v>
      </c>
      <c r="D391" s="160">
        <v>0.0</v>
      </c>
      <c r="E391" s="160">
        <v>0.0</v>
      </c>
      <c r="F391" s="160">
        <v>0.0</v>
      </c>
      <c r="G391" s="160">
        <v>0.0</v>
      </c>
      <c r="H391" s="160">
        <v>0.0</v>
      </c>
      <c r="I391" s="160">
        <v>0.0</v>
      </c>
      <c r="J391" s="160">
        <v>0.0</v>
      </c>
      <c r="K391" s="160">
        <v>0.0</v>
      </c>
      <c r="L391" s="160">
        <v>0.0</v>
      </c>
      <c r="M391" s="160">
        <v>0.0</v>
      </c>
      <c r="N391" s="160">
        <v>0.0</v>
      </c>
      <c r="O391" s="160">
        <v>0.0</v>
      </c>
      <c r="P391" s="160">
        <v>0.0</v>
      </c>
      <c r="Q391" s="160">
        <v>0.0</v>
      </c>
      <c r="R391" s="160">
        <v>0.0</v>
      </c>
      <c r="S391" s="160">
        <v>0.0</v>
      </c>
      <c r="T391" s="160">
        <v>0.0</v>
      </c>
      <c r="U391" s="160">
        <v>0.0</v>
      </c>
      <c r="V391" s="160">
        <v>0.0</v>
      </c>
      <c r="W391" s="160">
        <v>0.0</v>
      </c>
      <c r="X391" s="160">
        <v>0.0</v>
      </c>
      <c r="Y391" s="160">
        <v>0.0</v>
      </c>
    </row>
    <row r="392">
      <c r="A392" s="157" t="s">
        <v>79</v>
      </c>
      <c r="B392" s="160">
        <v>0.0</v>
      </c>
      <c r="C392" s="160">
        <v>6105.0</v>
      </c>
      <c r="D392" s="160">
        <v>638.0</v>
      </c>
      <c r="E392" s="160">
        <v>133072.5</v>
      </c>
      <c r="F392" s="160">
        <v>0.0</v>
      </c>
      <c r="G392" s="160">
        <v>0.0</v>
      </c>
      <c r="H392" s="160">
        <v>77985.0</v>
      </c>
      <c r="I392" s="160">
        <v>0.0</v>
      </c>
      <c r="J392" s="160">
        <v>433163.7</v>
      </c>
      <c r="K392" s="160">
        <v>0.0</v>
      </c>
      <c r="L392" s="160">
        <v>97607.22</v>
      </c>
      <c r="M392" s="160">
        <v>0.0</v>
      </c>
      <c r="N392" s="160">
        <v>264545.3</v>
      </c>
      <c r="O392" s="160">
        <v>201372.4</v>
      </c>
      <c r="P392" s="160">
        <v>0.0</v>
      </c>
      <c r="Q392" s="160">
        <v>0.0</v>
      </c>
      <c r="R392" s="160">
        <v>0.0</v>
      </c>
      <c r="S392" s="160">
        <v>265668.25</v>
      </c>
      <c r="T392" s="160">
        <v>0.0</v>
      </c>
      <c r="U392" s="160">
        <v>1135918.1</v>
      </c>
      <c r="V392" s="160">
        <v>0.0</v>
      </c>
      <c r="W392" s="160">
        <v>0.0</v>
      </c>
      <c r="X392" s="160">
        <v>0.0</v>
      </c>
      <c r="Y392" s="160">
        <v>2616075.47</v>
      </c>
    </row>
    <row r="393">
      <c r="A393" s="157" t="s">
        <v>788</v>
      </c>
      <c r="B393" s="160">
        <v>0.0</v>
      </c>
      <c r="C393" s="160">
        <v>0.0</v>
      </c>
      <c r="D393" s="160">
        <v>0.0</v>
      </c>
      <c r="E393" s="160">
        <v>0.0</v>
      </c>
      <c r="F393" s="160">
        <v>0.0</v>
      </c>
      <c r="G393" s="160">
        <v>0.0</v>
      </c>
      <c r="H393" s="160">
        <v>0.0</v>
      </c>
      <c r="I393" s="160">
        <v>0.0</v>
      </c>
      <c r="J393" s="160">
        <v>0.0</v>
      </c>
      <c r="K393" s="160">
        <v>0.0</v>
      </c>
      <c r="L393" s="160">
        <v>0.0</v>
      </c>
      <c r="M393" s="160">
        <v>0.0</v>
      </c>
      <c r="N393" s="160">
        <v>0.0</v>
      </c>
      <c r="O393" s="160">
        <v>0.0</v>
      </c>
      <c r="P393" s="160">
        <v>0.0</v>
      </c>
      <c r="Q393" s="160">
        <v>0.0</v>
      </c>
      <c r="R393" s="160">
        <v>0.0</v>
      </c>
      <c r="S393" s="160">
        <v>0.0</v>
      </c>
      <c r="T393" s="160">
        <v>0.0</v>
      </c>
      <c r="U393" s="160">
        <v>0.0</v>
      </c>
      <c r="V393" s="160">
        <v>0.0</v>
      </c>
      <c r="W393" s="160">
        <v>0.0</v>
      </c>
      <c r="X393" s="160">
        <v>0.0</v>
      </c>
      <c r="Y393" s="160">
        <v>0.0</v>
      </c>
    </row>
    <row r="394">
      <c r="A394" s="157" t="s">
        <v>789</v>
      </c>
      <c r="B394" s="160">
        <v>0.0</v>
      </c>
      <c r="C394" s="160">
        <v>0.0</v>
      </c>
      <c r="D394" s="160">
        <v>0.0</v>
      </c>
      <c r="E394" s="160">
        <v>0.0</v>
      </c>
      <c r="F394" s="160">
        <v>0.0</v>
      </c>
      <c r="G394" s="160">
        <v>0.0</v>
      </c>
      <c r="H394" s="160">
        <v>0.0</v>
      </c>
      <c r="I394" s="160">
        <v>0.0</v>
      </c>
      <c r="J394" s="160">
        <v>0.0</v>
      </c>
      <c r="K394" s="160">
        <v>0.0</v>
      </c>
      <c r="L394" s="160">
        <v>0.0</v>
      </c>
      <c r="M394" s="160">
        <v>0.0</v>
      </c>
      <c r="N394" s="160">
        <v>0.0</v>
      </c>
      <c r="O394" s="160">
        <v>0.0</v>
      </c>
      <c r="P394" s="160">
        <v>0.0</v>
      </c>
      <c r="Q394" s="160">
        <v>0.0</v>
      </c>
      <c r="R394" s="160">
        <v>0.0</v>
      </c>
      <c r="S394" s="160">
        <v>0.0</v>
      </c>
      <c r="T394" s="160">
        <v>0.0</v>
      </c>
      <c r="U394" s="160">
        <v>0.0</v>
      </c>
      <c r="V394" s="160">
        <v>0.0</v>
      </c>
      <c r="W394" s="160">
        <v>0.0</v>
      </c>
      <c r="X394" s="160">
        <v>0.0</v>
      </c>
      <c r="Y394" s="160">
        <v>0.0</v>
      </c>
    </row>
    <row r="395">
      <c r="A395" s="157" t="s">
        <v>790</v>
      </c>
      <c r="B395" s="160">
        <v>0.0</v>
      </c>
      <c r="C395" s="160">
        <v>0.0</v>
      </c>
      <c r="D395" s="160">
        <v>0.0</v>
      </c>
      <c r="E395" s="160">
        <v>0.0</v>
      </c>
      <c r="F395" s="160">
        <v>0.0</v>
      </c>
      <c r="G395" s="160">
        <v>0.0</v>
      </c>
      <c r="H395" s="160">
        <v>0.0</v>
      </c>
      <c r="I395" s="160">
        <v>0.0</v>
      </c>
      <c r="J395" s="160">
        <v>0.0</v>
      </c>
      <c r="K395" s="160">
        <v>0.0</v>
      </c>
      <c r="L395" s="160">
        <v>0.0</v>
      </c>
      <c r="M395" s="160">
        <v>0.0</v>
      </c>
      <c r="N395" s="160">
        <v>0.0</v>
      </c>
      <c r="O395" s="160">
        <v>0.0</v>
      </c>
      <c r="P395" s="160">
        <v>0.0</v>
      </c>
      <c r="Q395" s="160">
        <v>0.0</v>
      </c>
      <c r="R395" s="160">
        <v>0.0</v>
      </c>
      <c r="S395" s="160">
        <v>0.0</v>
      </c>
      <c r="T395" s="160">
        <v>0.0</v>
      </c>
      <c r="U395" s="160">
        <v>0.0</v>
      </c>
      <c r="V395" s="160">
        <v>0.0</v>
      </c>
      <c r="W395" s="160">
        <v>0.0</v>
      </c>
      <c r="X395" s="160">
        <v>0.0</v>
      </c>
      <c r="Y395" s="160">
        <v>0.0</v>
      </c>
    </row>
    <row r="396">
      <c r="A396" s="157" t="s">
        <v>791</v>
      </c>
      <c r="B396" s="160">
        <v>0.0</v>
      </c>
      <c r="C396" s="160">
        <v>0.0</v>
      </c>
      <c r="D396" s="160">
        <v>0.0</v>
      </c>
      <c r="E396" s="160">
        <v>0.0</v>
      </c>
      <c r="F396" s="160">
        <v>0.0</v>
      </c>
      <c r="G396" s="160">
        <v>0.0</v>
      </c>
      <c r="H396" s="160">
        <v>0.0</v>
      </c>
      <c r="I396" s="160">
        <v>0.0</v>
      </c>
      <c r="J396" s="160">
        <v>0.0</v>
      </c>
      <c r="K396" s="160">
        <v>0.0</v>
      </c>
      <c r="L396" s="160">
        <v>0.0</v>
      </c>
      <c r="M396" s="160">
        <v>0.0</v>
      </c>
      <c r="N396" s="160">
        <v>0.0</v>
      </c>
      <c r="O396" s="160">
        <v>0.0</v>
      </c>
      <c r="P396" s="160">
        <v>0.0</v>
      </c>
      <c r="Q396" s="160">
        <v>0.0</v>
      </c>
      <c r="R396" s="160">
        <v>0.0</v>
      </c>
      <c r="S396" s="160">
        <v>0.0</v>
      </c>
      <c r="T396" s="160">
        <v>0.0</v>
      </c>
      <c r="U396" s="160">
        <v>0.0</v>
      </c>
      <c r="V396" s="160">
        <v>0.0</v>
      </c>
      <c r="W396" s="160">
        <v>0.0</v>
      </c>
      <c r="X396" s="160">
        <v>0.0</v>
      </c>
      <c r="Y396" s="160">
        <v>0.0</v>
      </c>
    </row>
    <row r="397">
      <c r="A397" s="157" t="s">
        <v>792</v>
      </c>
      <c r="B397" s="160">
        <v>0.0</v>
      </c>
      <c r="C397" s="160">
        <v>0.0</v>
      </c>
      <c r="D397" s="160">
        <v>0.0</v>
      </c>
      <c r="E397" s="160">
        <v>0.0</v>
      </c>
      <c r="F397" s="160">
        <v>0.0</v>
      </c>
      <c r="G397" s="160">
        <v>0.0</v>
      </c>
      <c r="H397" s="160">
        <v>0.0</v>
      </c>
      <c r="I397" s="160">
        <v>0.0</v>
      </c>
      <c r="J397" s="160">
        <v>0.0</v>
      </c>
      <c r="K397" s="160">
        <v>0.0</v>
      </c>
      <c r="L397" s="160">
        <v>0.0</v>
      </c>
      <c r="M397" s="160">
        <v>0.0</v>
      </c>
      <c r="N397" s="160">
        <v>0.0</v>
      </c>
      <c r="O397" s="160">
        <v>0.0</v>
      </c>
      <c r="P397" s="160">
        <v>0.0</v>
      </c>
      <c r="Q397" s="160">
        <v>0.0</v>
      </c>
      <c r="R397" s="160">
        <v>0.0</v>
      </c>
      <c r="S397" s="160">
        <v>0.0</v>
      </c>
      <c r="T397" s="160">
        <v>0.0</v>
      </c>
      <c r="U397" s="160">
        <v>0.0</v>
      </c>
      <c r="V397" s="160">
        <v>0.0</v>
      </c>
      <c r="W397" s="160">
        <v>0.0</v>
      </c>
      <c r="X397" s="160">
        <v>0.0</v>
      </c>
      <c r="Y397" s="160">
        <v>0.0</v>
      </c>
    </row>
    <row r="398">
      <c r="A398" s="157" t="s">
        <v>251</v>
      </c>
      <c r="B398" s="160">
        <v>13456.71</v>
      </c>
      <c r="C398" s="160">
        <v>53497.6</v>
      </c>
      <c r="D398" s="160">
        <v>174137.6</v>
      </c>
      <c r="E398" s="160">
        <v>0.0</v>
      </c>
      <c r="F398" s="160">
        <v>0.0</v>
      </c>
      <c r="G398" s="160">
        <v>0.0</v>
      </c>
      <c r="H398" s="160">
        <v>35401.6</v>
      </c>
      <c r="I398" s="160">
        <v>0.0</v>
      </c>
      <c r="J398" s="160">
        <v>2289354.89</v>
      </c>
      <c r="K398" s="160">
        <v>0.0</v>
      </c>
      <c r="L398" s="160">
        <v>507455.13</v>
      </c>
      <c r="M398" s="160">
        <v>344859.93</v>
      </c>
      <c r="N398" s="160">
        <v>0.0</v>
      </c>
      <c r="O398" s="160">
        <v>2633236.21</v>
      </c>
      <c r="P398" s="160">
        <v>0.0</v>
      </c>
      <c r="Q398" s="160">
        <v>0.0</v>
      </c>
      <c r="R398" s="160">
        <v>211013.65</v>
      </c>
      <c r="S398" s="160">
        <v>50073.37</v>
      </c>
      <c r="T398" s="160">
        <v>0.0</v>
      </c>
      <c r="U398" s="160">
        <v>272894.96</v>
      </c>
      <c r="V398" s="160">
        <v>0.0</v>
      </c>
      <c r="W398" s="160">
        <v>0.0</v>
      </c>
      <c r="X398" s="160">
        <v>0.0</v>
      </c>
      <c r="Y398" s="160">
        <v>6585381.64</v>
      </c>
    </row>
    <row r="399">
      <c r="A399" s="157" t="s">
        <v>793</v>
      </c>
      <c r="B399" s="160">
        <v>0.0</v>
      </c>
      <c r="C399" s="160">
        <v>0.0</v>
      </c>
      <c r="D399" s="160">
        <v>0.0</v>
      </c>
      <c r="E399" s="160">
        <v>0.0</v>
      </c>
      <c r="F399" s="160">
        <v>0.0</v>
      </c>
      <c r="G399" s="160">
        <v>0.0</v>
      </c>
      <c r="H399" s="160">
        <v>0.0</v>
      </c>
      <c r="I399" s="160">
        <v>0.0</v>
      </c>
      <c r="J399" s="160">
        <v>0.0</v>
      </c>
      <c r="K399" s="160">
        <v>0.0</v>
      </c>
      <c r="L399" s="160">
        <v>0.0</v>
      </c>
      <c r="M399" s="160">
        <v>0.0</v>
      </c>
      <c r="N399" s="160">
        <v>0.0</v>
      </c>
      <c r="O399" s="160">
        <v>0.0</v>
      </c>
      <c r="P399" s="160">
        <v>0.0</v>
      </c>
      <c r="Q399" s="160">
        <v>0.0</v>
      </c>
      <c r="R399" s="160">
        <v>0.0</v>
      </c>
      <c r="S399" s="160">
        <v>0.0</v>
      </c>
      <c r="T399" s="160">
        <v>0.0</v>
      </c>
      <c r="U399" s="160">
        <v>0.0</v>
      </c>
      <c r="V399" s="160">
        <v>0.0</v>
      </c>
      <c r="W399" s="160">
        <v>0.0</v>
      </c>
      <c r="X399" s="160">
        <v>0.0</v>
      </c>
      <c r="Y399" s="160">
        <v>0.0</v>
      </c>
    </row>
    <row r="400">
      <c r="A400" s="157" t="s">
        <v>794</v>
      </c>
      <c r="B400" s="160">
        <v>0.0</v>
      </c>
      <c r="C400" s="160">
        <v>0.0</v>
      </c>
      <c r="D400" s="160">
        <v>0.0</v>
      </c>
      <c r="E400" s="160">
        <v>0.0</v>
      </c>
      <c r="F400" s="160">
        <v>0.0</v>
      </c>
      <c r="G400" s="160">
        <v>0.0</v>
      </c>
      <c r="H400" s="160">
        <v>0.0</v>
      </c>
      <c r="I400" s="160">
        <v>0.0</v>
      </c>
      <c r="J400" s="160">
        <v>0.0</v>
      </c>
      <c r="K400" s="160">
        <v>0.0</v>
      </c>
      <c r="L400" s="160">
        <v>0.0</v>
      </c>
      <c r="M400" s="160">
        <v>0.0</v>
      </c>
      <c r="N400" s="160">
        <v>0.0</v>
      </c>
      <c r="O400" s="160">
        <v>0.0</v>
      </c>
      <c r="P400" s="160">
        <v>0.0</v>
      </c>
      <c r="Q400" s="160">
        <v>0.0</v>
      </c>
      <c r="R400" s="160">
        <v>0.0</v>
      </c>
      <c r="S400" s="160">
        <v>0.0</v>
      </c>
      <c r="T400" s="160">
        <v>0.0</v>
      </c>
      <c r="U400" s="160">
        <v>0.0</v>
      </c>
      <c r="V400" s="160">
        <v>0.0</v>
      </c>
      <c r="W400" s="160">
        <v>0.0</v>
      </c>
      <c r="X400" s="160">
        <v>0.0</v>
      </c>
      <c r="Y400" s="160">
        <v>0.0</v>
      </c>
    </row>
    <row r="401">
      <c r="A401" s="157" t="s">
        <v>253</v>
      </c>
      <c r="B401" s="160">
        <v>78718.23</v>
      </c>
      <c r="C401" s="160">
        <v>682074.78</v>
      </c>
      <c r="D401" s="160">
        <v>1678197.7</v>
      </c>
      <c r="E401" s="160">
        <v>30275.27</v>
      </c>
      <c r="F401" s="160">
        <v>107480.41</v>
      </c>
      <c r="G401" s="160">
        <v>0.0</v>
      </c>
      <c r="H401" s="160">
        <v>94413.82</v>
      </c>
      <c r="I401" s="160">
        <v>0.0</v>
      </c>
      <c r="J401" s="160">
        <v>451510.12</v>
      </c>
      <c r="K401" s="160">
        <v>0.0</v>
      </c>
      <c r="L401" s="160">
        <v>2746620.55</v>
      </c>
      <c r="M401" s="160">
        <v>264153.79</v>
      </c>
      <c r="N401" s="160">
        <v>564306.06</v>
      </c>
      <c r="O401" s="160">
        <v>1904167.1</v>
      </c>
      <c r="P401" s="160">
        <v>1501849.32</v>
      </c>
      <c r="Q401" s="160">
        <v>0.0</v>
      </c>
      <c r="R401" s="160">
        <v>556182.25</v>
      </c>
      <c r="S401" s="160">
        <v>175034.09</v>
      </c>
      <c r="T401" s="160">
        <v>0.0</v>
      </c>
      <c r="U401" s="160">
        <v>1435043.48</v>
      </c>
      <c r="V401" s="160">
        <v>0.0</v>
      </c>
      <c r="W401" s="160">
        <v>0.0</v>
      </c>
      <c r="X401" s="160">
        <v>0.0</v>
      </c>
      <c r="Y401" s="160">
        <v>1.227002697E7</v>
      </c>
    </row>
    <row r="402">
      <c r="A402" s="157" t="s">
        <v>795</v>
      </c>
      <c r="B402" s="160">
        <v>0.0</v>
      </c>
      <c r="C402" s="160">
        <v>0.0</v>
      </c>
      <c r="D402" s="160">
        <v>0.0</v>
      </c>
      <c r="E402" s="160">
        <v>0.0</v>
      </c>
      <c r="F402" s="160">
        <v>0.0</v>
      </c>
      <c r="G402" s="160">
        <v>0.0</v>
      </c>
      <c r="H402" s="160">
        <v>0.0</v>
      </c>
      <c r="I402" s="160">
        <v>0.0</v>
      </c>
      <c r="J402" s="160">
        <v>0.0</v>
      </c>
      <c r="K402" s="160">
        <v>0.0</v>
      </c>
      <c r="L402" s="160">
        <v>0.0</v>
      </c>
      <c r="M402" s="160">
        <v>0.0</v>
      </c>
      <c r="N402" s="160">
        <v>0.0</v>
      </c>
      <c r="O402" s="160">
        <v>0.0</v>
      </c>
      <c r="P402" s="160">
        <v>0.0</v>
      </c>
      <c r="Q402" s="160">
        <v>0.0</v>
      </c>
      <c r="R402" s="160">
        <v>0.0</v>
      </c>
      <c r="S402" s="160">
        <v>0.0</v>
      </c>
      <c r="T402" s="160">
        <v>0.0</v>
      </c>
      <c r="U402" s="160">
        <v>0.0</v>
      </c>
      <c r="V402" s="160">
        <v>0.0</v>
      </c>
      <c r="W402" s="160">
        <v>0.0</v>
      </c>
      <c r="X402" s="160">
        <v>0.0</v>
      </c>
      <c r="Y402" s="160">
        <v>0.0</v>
      </c>
    </row>
    <row r="403">
      <c r="A403" s="157" t="s">
        <v>796</v>
      </c>
      <c r="B403" s="160">
        <v>0.0</v>
      </c>
      <c r="C403" s="160">
        <v>0.0</v>
      </c>
      <c r="D403" s="160">
        <v>0.0</v>
      </c>
      <c r="E403" s="160">
        <v>0.0</v>
      </c>
      <c r="F403" s="160">
        <v>0.0</v>
      </c>
      <c r="G403" s="160">
        <v>0.0</v>
      </c>
      <c r="H403" s="160">
        <v>0.0</v>
      </c>
      <c r="I403" s="160">
        <v>0.0</v>
      </c>
      <c r="J403" s="160">
        <v>0.0</v>
      </c>
      <c r="K403" s="160">
        <v>0.0</v>
      </c>
      <c r="L403" s="160">
        <v>0.0</v>
      </c>
      <c r="M403" s="160">
        <v>0.0</v>
      </c>
      <c r="N403" s="160">
        <v>0.0</v>
      </c>
      <c r="O403" s="160">
        <v>0.0</v>
      </c>
      <c r="P403" s="160">
        <v>0.0</v>
      </c>
      <c r="Q403" s="160">
        <v>0.0</v>
      </c>
      <c r="R403" s="160">
        <v>0.0</v>
      </c>
      <c r="S403" s="160">
        <v>0.0</v>
      </c>
      <c r="T403" s="160">
        <v>0.0</v>
      </c>
      <c r="U403" s="160">
        <v>0.0</v>
      </c>
      <c r="V403" s="160">
        <v>0.0</v>
      </c>
      <c r="W403" s="160">
        <v>0.0</v>
      </c>
      <c r="X403" s="160">
        <v>0.0</v>
      </c>
      <c r="Y403" s="160">
        <v>0.0</v>
      </c>
    </row>
    <row r="404">
      <c r="A404" s="157" t="s">
        <v>255</v>
      </c>
      <c r="B404" s="160">
        <v>4513.6</v>
      </c>
      <c r="C404" s="160">
        <v>364362.1</v>
      </c>
      <c r="D404" s="160">
        <v>10680.0</v>
      </c>
      <c r="E404" s="160">
        <v>907239.2</v>
      </c>
      <c r="F404" s="160">
        <v>680328.6</v>
      </c>
      <c r="G404" s="160">
        <v>0.0</v>
      </c>
      <c r="H404" s="160">
        <v>132800.6</v>
      </c>
      <c r="I404" s="160">
        <v>13495.35</v>
      </c>
      <c r="J404" s="160">
        <v>2577456.57</v>
      </c>
      <c r="K404" s="160">
        <v>0.0</v>
      </c>
      <c r="L404" s="160">
        <v>1185746.4</v>
      </c>
      <c r="M404" s="160">
        <v>358808.0</v>
      </c>
      <c r="N404" s="160">
        <v>1974309.41</v>
      </c>
      <c r="O404" s="160">
        <v>3812286.81</v>
      </c>
      <c r="P404" s="160">
        <v>478377.54</v>
      </c>
      <c r="Q404" s="160">
        <v>0.0</v>
      </c>
      <c r="R404" s="160">
        <v>4508617.5</v>
      </c>
      <c r="S404" s="160">
        <v>1128520.91</v>
      </c>
      <c r="T404" s="160">
        <v>0.0</v>
      </c>
      <c r="U404" s="160">
        <v>0.0</v>
      </c>
      <c r="V404" s="160">
        <v>0.0</v>
      </c>
      <c r="W404" s="160">
        <v>0.0</v>
      </c>
      <c r="X404" s="160">
        <v>0.0</v>
      </c>
      <c r="Y404" s="160">
        <v>1.813754259E7</v>
      </c>
    </row>
    <row r="405">
      <c r="A405" s="157" t="s">
        <v>257</v>
      </c>
      <c r="B405" s="160">
        <v>43651.33</v>
      </c>
      <c r="C405" s="160">
        <v>922594.7</v>
      </c>
      <c r="D405" s="160">
        <v>818428.2</v>
      </c>
      <c r="E405" s="160">
        <v>1062323.0</v>
      </c>
      <c r="F405" s="160">
        <v>310938.3</v>
      </c>
      <c r="G405" s="160">
        <v>827115.86</v>
      </c>
      <c r="H405" s="160">
        <v>452694.4</v>
      </c>
      <c r="I405" s="160">
        <v>0.0</v>
      </c>
      <c r="J405" s="160">
        <v>1001327.79</v>
      </c>
      <c r="K405" s="160">
        <v>0.0</v>
      </c>
      <c r="L405" s="160">
        <v>1610097.14</v>
      </c>
      <c r="M405" s="160">
        <v>478996.8</v>
      </c>
      <c r="N405" s="160">
        <v>1151430.3</v>
      </c>
      <c r="O405" s="160">
        <v>2892460.56</v>
      </c>
      <c r="P405" s="160">
        <v>4132085.81</v>
      </c>
      <c r="Q405" s="160">
        <v>0.0</v>
      </c>
      <c r="R405" s="160">
        <v>353260.0</v>
      </c>
      <c r="S405" s="160">
        <v>107538.0</v>
      </c>
      <c r="T405" s="160">
        <v>0.0</v>
      </c>
      <c r="U405" s="160">
        <v>0.0</v>
      </c>
      <c r="V405" s="160">
        <v>0.0</v>
      </c>
      <c r="W405" s="160">
        <v>0.0</v>
      </c>
      <c r="X405" s="160">
        <v>0.0</v>
      </c>
      <c r="Y405" s="160">
        <v>1.616494219E7</v>
      </c>
    </row>
    <row r="406">
      <c r="A406" s="157" t="s">
        <v>797</v>
      </c>
      <c r="B406" s="160">
        <v>0.0</v>
      </c>
      <c r="C406" s="160">
        <v>0.0</v>
      </c>
      <c r="D406" s="160">
        <v>0.0</v>
      </c>
      <c r="E406" s="160">
        <v>0.0</v>
      </c>
      <c r="F406" s="160">
        <v>0.0</v>
      </c>
      <c r="G406" s="160">
        <v>0.0</v>
      </c>
      <c r="H406" s="160">
        <v>0.0</v>
      </c>
      <c r="I406" s="160">
        <v>0.0</v>
      </c>
      <c r="J406" s="160">
        <v>0.0</v>
      </c>
      <c r="K406" s="160">
        <v>0.0</v>
      </c>
      <c r="L406" s="160">
        <v>0.0</v>
      </c>
      <c r="M406" s="160">
        <v>0.0</v>
      </c>
      <c r="N406" s="160">
        <v>0.0</v>
      </c>
      <c r="O406" s="160">
        <v>0.0</v>
      </c>
      <c r="P406" s="160">
        <v>0.0</v>
      </c>
      <c r="Q406" s="160">
        <v>0.0</v>
      </c>
      <c r="R406" s="160">
        <v>0.0</v>
      </c>
      <c r="S406" s="160">
        <v>0.0</v>
      </c>
      <c r="T406" s="160">
        <v>0.0</v>
      </c>
      <c r="U406" s="160">
        <v>0.0</v>
      </c>
      <c r="V406" s="160">
        <v>0.0</v>
      </c>
      <c r="W406" s="160">
        <v>0.0</v>
      </c>
      <c r="X406" s="160">
        <v>0.0</v>
      </c>
      <c r="Y406" s="160">
        <v>0.0</v>
      </c>
    </row>
    <row r="407">
      <c r="A407" s="157" t="s">
        <v>798</v>
      </c>
      <c r="B407" s="160">
        <v>0.0</v>
      </c>
      <c r="C407" s="160">
        <v>0.0</v>
      </c>
      <c r="D407" s="160">
        <v>0.0</v>
      </c>
      <c r="E407" s="160">
        <v>0.0</v>
      </c>
      <c r="F407" s="160">
        <v>0.0</v>
      </c>
      <c r="G407" s="160">
        <v>0.0</v>
      </c>
      <c r="H407" s="160">
        <v>0.0</v>
      </c>
      <c r="I407" s="160">
        <v>0.0</v>
      </c>
      <c r="J407" s="160">
        <v>0.0</v>
      </c>
      <c r="K407" s="160">
        <v>0.0</v>
      </c>
      <c r="L407" s="160">
        <v>0.0</v>
      </c>
      <c r="M407" s="160">
        <v>0.0</v>
      </c>
      <c r="N407" s="160">
        <v>0.0</v>
      </c>
      <c r="O407" s="160">
        <v>0.0</v>
      </c>
      <c r="P407" s="160">
        <v>0.0</v>
      </c>
      <c r="Q407" s="160">
        <v>0.0</v>
      </c>
      <c r="R407" s="160">
        <v>0.0</v>
      </c>
      <c r="S407" s="160">
        <v>0.0</v>
      </c>
      <c r="T407" s="160">
        <v>0.0</v>
      </c>
      <c r="U407" s="160">
        <v>0.0</v>
      </c>
      <c r="V407" s="160">
        <v>0.0</v>
      </c>
      <c r="W407" s="160">
        <v>0.0</v>
      </c>
      <c r="X407" s="160">
        <v>0.0</v>
      </c>
      <c r="Y407" s="160">
        <v>0.0</v>
      </c>
    </row>
    <row r="408">
      <c r="A408" s="157" t="s">
        <v>28</v>
      </c>
      <c r="B408" s="160">
        <v>1503488.9</v>
      </c>
      <c r="C408" s="160">
        <v>0.0</v>
      </c>
      <c r="D408" s="160">
        <v>0.0</v>
      </c>
      <c r="E408" s="160">
        <v>0.0</v>
      </c>
      <c r="F408" s="160">
        <v>0.0</v>
      </c>
      <c r="G408" s="160">
        <v>0.0</v>
      </c>
      <c r="H408" s="160">
        <v>206445.67</v>
      </c>
      <c r="I408" s="160">
        <v>0.0</v>
      </c>
      <c r="J408" s="160">
        <v>4659301.02</v>
      </c>
      <c r="K408" s="160">
        <v>0.0</v>
      </c>
      <c r="L408" s="160">
        <v>1163642.1</v>
      </c>
      <c r="M408" s="160">
        <v>0.0</v>
      </c>
      <c r="N408" s="160">
        <v>0.0</v>
      </c>
      <c r="O408" s="160">
        <v>94273.15</v>
      </c>
      <c r="P408" s="160">
        <v>2347912.19</v>
      </c>
      <c r="Q408" s="160">
        <v>0.0</v>
      </c>
      <c r="R408" s="160">
        <v>1277450.0</v>
      </c>
      <c r="S408" s="160">
        <v>13134.0</v>
      </c>
      <c r="T408" s="160">
        <v>0.0</v>
      </c>
      <c r="U408" s="160">
        <v>0.0</v>
      </c>
      <c r="V408" s="160">
        <v>0.0</v>
      </c>
      <c r="W408" s="160">
        <v>66697.58</v>
      </c>
      <c r="X408" s="160">
        <v>0.0</v>
      </c>
      <c r="Y408" s="160">
        <v>1.133234462E7</v>
      </c>
    </row>
    <row r="409">
      <c r="A409" s="157" t="s">
        <v>799</v>
      </c>
      <c r="B409" s="160">
        <v>0.0</v>
      </c>
      <c r="C409" s="160">
        <v>0.0</v>
      </c>
      <c r="D409" s="160">
        <v>0.0</v>
      </c>
      <c r="E409" s="160">
        <v>0.0</v>
      </c>
      <c r="F409" s="160">
        <v>0.0</v>
      </c>
      <c r="G409" s="160">
        <v>0.0</v>
      </c>
      <c r="H409" s="160">
        <v>0.0</v>
      </c>
      <c r="I409" s="160">
        <v>0.0</v>
      </c>
      <c r="J409" s="160">
        <v>0.0</v>
      </c>
      <c r="K409" s="160">
        <v>0.0</v>
      </c>
      <c r="L409" s="160">
        <v>0.0</v>
      </c>
      <c r="M409" s="160">
        <v>0.0</v>
      </c>
      <c r="N409" s="160">
        <v>0.0</v>
      </c>
      <c r="O409" s="160">
        <v>0.0</v>
      </c>
      <c r="P409" s="160">
        <v>0.0</v>
      </c>
      <c r="Q409" s="160">
        <v>0.0</v>
      </c>
      <c r="R409" s="160">
        <v>0.0</v>
      </c>
      <c r="S409" s="160">
        <v>0.0</v>
      </c>
      <c r="T409" s="160">
        <v>0.0</v>
      </c>
      <c r="U409" s="160">
        <v>0.0</v>
      </c>
      <c r="V409" s="160">
        <v>0.0</v>
      </c>
      <c r="W409" s="160">
        <v>0.0</v>
      </c>
      <c r="X409" s="160">
        <v>0.0</v>
      </c>
      <c r="Y409" s="160">
        <v>0.0</v>
      </c>
    </row>
    <row r="410">
      <c r="A410" s="157" t="s">
        <v>800</v>
      </c>
      <c r="B410" s="160">
        <v>0.0</v>
      </c>
      <c r="C410" s="160">
        <v>0.0</v>
      </c>
      <c r="D410" s="160">
        <v>0.0</v>
      </c>
      <c r="E410" s="160">
        <v>0.0</v>
      </c>
      <c r="F410" s="160">
        <v>0.0</v>
      </c>
      <c r="G410" s="160">
        <v>0.0</v>
      </c>
      <c r="H410" s="160">
        <v>0.0</v>
      </c>
      <c r="I410" s="160">
        <v>0.0</v>
      </c>
      <c r="J410" s="160">
        <v>0.0</v>
      </c>
      <c r="K410" s="160">
        <v>0.0</v>
      </c>
      <c r="L410" s="160">
        <v>0.0</v>
      </c>
      <c r="M410" s="160">
        <v>0.0</v>
      </c>
      <c r="N410" s="160">
        <v>0.0</v>
      </c>
      <c r="O410" s="160">
        <v>0.0</v>
      </c>
      <c r="P410" s="160">
        <v>0.0</v>
      </c>
      <c r="Q410" s="160">
        <v>0.0</v>
      </c>
      <c r="R410" s="160">
        <v>0.0</v>
      </c>
      <c r="S410" s="160">
        <v>0.0</v>
      </c>
      <c r="T410" s="160">
        <v>0.0</v>
      </c>
      <c r="U410" s="160">
        <v>0.0</v>
      </c>
      <c r="V410" s="160">
        <v>0.0</v>
      </c>
      <c r="W410" s="160">
        <v>0.0</v>
      </c>
      <c r="X410" s="160">
        <v>0.0</v>
      </c>
      <c r="Y410" s="160">
        <v>0.0</v>
      </c>
    </row>
    <row r="411">
      <c r="A411" s="157" t="s">
        <v>801</v>
      </c>
      <c r="B411" s="160">
        <v>0.0</v>
      </c>
      <c r="C411" s="160">
        <v>0.0</v>
      </c>
      <c r="D411" s="160">
        <v>0.0</v>
      </c>
      <c r="E411" s="160">
        <v>0.0</v>
      </c>
      <c r="F411" s="160">
        <v>0.0</v>
      </c>
      <c r="G411" s="160">
        <v>0.0</v>
      </c>
      <c r="H411" s="160">
        <v>0.0</v>
      </c>
      <c r="I411" s="160">
        <v>0.0</v>
      </c>
      <c r="J411" s="160">
        <v>0.0</v>
      </c>
      <c r="K411" s="160">
        <v>0.0</v>
      </c>
      <c r="L411" s="160">
        <v>0.0</v>
      </c>
      <c r="M411" s="160">
        <v>0.0</v>
      </c>
      <c r="N411" s="160">
        <v>0.0</v>
      </c>
      <c r="O411" s="160">
        <v>0.0</v>
      </c>
      <c r="P411" s="160">
        <v>0.0</v>
      </c>
      <c r="Q411" s="160">
        <v>0.0</v>
      </c>
      <c r="R411" s="160">
        <v>0.0</v>
      </c>
      <c r="S411" s="160">
        <v>0.0</v>
      </c>
      <c r="T411" s="160">
        <v>0.0</v>
      </c>
      <c r="U411" s="160">
        <v>0.0</v>
      </c>
      <c r="V411" s="160">
        <v>0.0</v>
      </c>
      <c r="W411" s="160">
        <v>0.0</v>
      </c>
      <c r="X411" s="160">
        <v>0.0</v>
      </c>
      <c r="Y411" s="160">
        <v>0.0</v>
      </c>
    </row>
    <row r="412">
      <c r="A412" s="157" t="s">
        <v>802</v>
      </c>
      <c r="B412" s="160">
        <v>0.0</v>
      </c>
      <c r="C412" s="160">
        <v>0.0</v>
      </c>
      <c r="D412" s="160">
        <v>0.0</v>
      </c>
      <c r="E412" s="160">
        <v>0.0</v>
      </c>
      <c r="F412" s="160">
        <v>0.0</v>
      </c>
      <c r="G412" s="160">
        <v>0.0</v>
      </c>
      <c r="H412" s="160">
        <v>0.0</v>
      </c>
      <c r="I412" s="160">
        <v>0.0</v>
      </c>
      <c r="J412" s="160">
        <v>0.0</v>
      </c>
      <c r="K412" s="160">
        <v>0.0</v>
      </c>
      <c r="L412" s="160">
        <v>0.0</v>
      </c>
      <c r="M412" s="160">
        <v>0.0</v>
      </c>
      <c r="N412" s="160">
        <v>0.0</v>
      </c>
      <c r="O412" s="160">
        <v>0.0</v>
      </c>
      <c r="P412" s="160">
        <v>0.0</v>
      </c>
      <c r="Q412" s="160">
        <v>0.0</v>
      </c>
      <c r="R412" s="160">
        <v>0.0</v>
      </c>
      <c r="S412" s="160">
        <v>0.0</v>
      </c>
      <c r="T412" s="160">
        <v>0.0</v>
      </c>
      <c r="U412" s="160">
        <v>0.0</v>
      </c>
      <c r="V412" s="160">
        <v>0.0</v>
      </c>
      <c r="W412" s="160">
        <v>0.0</v>
      </c>
      <c r="X412" s="160">
        <v>0.0</v>
      </c>
      <c r="Y412" s="160">
        <v>0.0</v>
      </c>
    </row>
    <row r="413">
      <c r="A413" s="157" t="s">
        <v>259</v>
      </c>
      <c r="B413" s="160">
        <v>0.0</v>
      </c>
      <c r="C413" s="160">
        <v>1529051.55</v>
      </c>
      <c r="D413" s="160">
        <v>1092233.2</v>
      </c>
      <c r="E413" s="160">
        <v>82607.6</v>
      </c>
      <c r="F413" s="160">
        <v>104913.2</v>
      </c>
      <c r="G413" s="160">
        <v>0.0</v>
      </c>
      <c r="H413" s="160">
        <v>865977.7</v>
      </c>
      <c r="I413" s="160">
        <v>3091.2</v>
      </c>
      <c r="J413" s="160">
        <v>2417103.33</v>
      </c>
      <c r="K413" s="160">
        <v>0.0</v>
      </c>
      <c r="L413" s="160">
        <v>3470816.45</v>
      </c>
      <c r="M413" s="160">
        <v>1986732.22</v>
      </c>
      <c r="N413" s="160">
        <v>730198.35</v>
      </c>
      <c r="O413" s="160">
        <v>0.0</v>
      </c>
      <c r="P413" s="160">
        <v>0.0</v>
      </c>
      <c r="Q413" s="160">
        <v>52752.0</v>
      </c>
      <c r="R413" s="160">
        <v>0.0</v>
      </c>
      <c r="S413" s="160">
        <v>247509.7</v>
      </c>
      <c r="T413" s="160">
        <v>48547.2</v>
      </c>
      <c r="U413" s="160">
        <v>1564706.04</v>
      </c>
      <c r="V413" s="160">
        <v>0.0</v>
      </c>
      <c r="W413" s="160">
        <v>0.0</v>
      </c>
      <c r="X413" s="160">
        <v>0.0</v>
      </c>
      <c r="Y413" s="160">
        <v>1.419623973E7</v>
      </c>
    </row>
    <row r="414">
      <c r="A414" s="157" t="s">
        <v>53</v>
      </c>
      <c r="B414" s="160">
        <v>0.0</v>
      </c>
      <c r="C414" s="160">
        <v>0.0</v>
      </c>
      <c r="D414" s="160">
        <v>0.0</v>
      </c>
      <c r="E414" s="160">
        <v>0.0</v>
      </c>
      <c r="F414" s="160">
        <v>0.0</v>
      </c>
      <c r="G414" s="160">
        <v>0.0</v>
      </c>
      <c r="H414" s="160">
        <v>0.0</v>
      </c>
      <c r="I414" s="160">
        <v>0.0</v>
      </c>
      <c r="J414" s="160">
        <v>0.0</v>
      </c>
      <c r="K414" s="160">
        <v>0.0</v>
      </c>
      <c r="L414" s="160">
        <v>0.0</v>
      </c>
      <c r="M414" s="160">
        <v>0.0</v>
      </c>
      <c r="N414" s="160">
        <v>0.0</v>
      </c>
      <c r="O414" s="160">
        <v>0.0</v>
      </c>
      <c r="P414" s="160">
        <v>0.0</v>
      </c>
      <c r="Q414" s="160">
        <v>0.0</v>
      </c>
      <c r="R414" s="160">
        <v>0.0</v>
      </c>
      <c r="S414" s="160">
        <v>0.0</v>
      </c>
      <c r="T414" s="160">
        <v>0.0</v>
      </c>
      <c r="U414" s="160">
        <v>0.0</v>
      </c>
      <c r="V414" s="160">
        <v>0.0</v>
      </c>
      <c r="W414" s="160">
        <v>0.0</v>
      </c>
      <c r="X414" s="160">
        <v>0.0</v>
      </c>
      <c r="Y414" s="160">
        <v>0.0</v>
      </c>
    </row>
    <row r="415">
      <c r="A415" s="157" t="s">
        <v>803</v>
      </c>
      <c r="B415" s="160">
        <v>0.0</v>
      </c>
      <c r="C415" s="160">
        <v>0.0</v>
      </c>
      <c r="D415" s="160">
        <v>0.0</v>
      </c>
      <c r="E415" s="160">
        <v>0.0</v>
      </c>
      <c r="F415" s="160">
        <v>0.0</v>
      </c>
      <c r="G415" s="160">
        <v>0.0</v>
      </c>
      <c r="H415" s="160">
        <v>0.0</v>
      </c>
      <c r="I415" s="160">
        <v>0.0</v>
      </c>
      <c r="J415" s="160">
        <v>0.0</v>
      </c>
      <c r="K415" s="160">
        <v>0.0</v>
      </c>
      <c r="L415" s="160">
        <v>0.0</v>
      </c>
      <c r="M415" s="160">
        <v>0.0</v>
      </c>
      <c r="N415" s="160">
        <v>0.0</v>
      </c>
      <c r="O415" s="160">
        <v>0.0</v>
      </c>
      <c r="P415" s="160">
        <v>0.0</v>
      </c>
      <c r="Q415" s="160">
        <v>0.0</v>
      </c>
      <c r="R415" s="160">
        <v>0.0</v>
      </c>
      <c r="S415" s="160">
        <v>0.0</v>
      </c>
      <c r="T415" s="160">
        <v>0.0</v>
      </c>
      <c r="U415" s="160">
        <v>0.0</v>
      </c>
      <c r="V415" s="160">
        <v>0.0</v>
      </c>
      <c r="W415" s="160">
        <v>0.0</v>
      </c>
      <c r="X415" s="160">
        <v>0.0</v>
      </c>
      <c r="Y415" s="160">
        <v>0.0</v>
      </c>
    </row>
    <row r="416">
      <c r="A416" s="157" t="s">
        <v>261</v>
      </c>
      <c r="B416" s="160">
        <v>371597.44</v>
      </c>
      <c r="C416" s="160">
        <v>811100.5</v>
      </c>
      <c r="D416" s="160">
        <v>254948.2</v>
      </c>
      <c r="E416" s="160">
        <v>414177.7</v>
      </c>
      <c r="F416" s="160">
        <v>337295.0</v>
      </c>
      <c r="G416" s="160">
        <v>20740.0</v>
      </c>
      <c r="H416" s="160">
        <v>206866.4</v>
      </c>
      <c r="I416" s="160">
        <v>21403.2</v>
      </c>
      <c r="J416" s="160">
        <v>2034538.21</v>
      </c>
      <c r="K416" s="160">
        <v>128139.13</v>
      </c>
      <c r="L416" s="160">
        <v>1207094.92</v>
      </c>
      <c r="M416" s="160">
        <v>1079582.8</v>
      </c>
      <c r="N416" s="160">
        <v>418039.45</v>
      </c>
      <c r="O416" s="160">
        <v>70857.43</v>
      </c>
      <c r="P416" s="160">
        <v>224216.67</v>
      </c>
      <c r="Q416" s="160">
        <v>121410.4</v>
      </c>
      <c r="R416" s="160">
        <v>0.0</v>
      </c>
      <c r="S416" s="160">
        <v>2483346.51</v>
      </c>
      <c r="T416" s="160">
        <v>0.0</v>
      </c>
      <c r="U416" s="160">
        <v>566329.6</v>
      </c>
      <c r="V416" s="160">
        <v>0.0</v>
      </c>
      <c r="W416" s="160">
        <v>0.0</v>
      </c>
      <c r="X416" s="160">
        <v>0.0</v>
      </c>
      <c r="Y416" s="160">
        <v>1.077168355E7</v>
      </c>
    </row>
    <row r="417">
      <c r="A417" s="157" t="s">
        <v>394</v>
      </c>
      <c r="B417" s="160">
        <v>0.0</v>
      </c>
      <c r="C417" s="160">
        <v>763200.5</v>
      </c>
      <c r="D417" s="160">
        <v>446274.75</v>
      </c>
      <c r="E417" s="160">
        <v>443911.5</v>
      </c>
      <c r="F417" s="160">
        <v>49717.5</v>
      </c>
      <c r="G417" s="160">
        <v>4830.0</v>
      </c>
      <c r="H417" s="160">
        <v>185419.5</v>
      </c>
      <c r="I417" s="160">
        <v>16261.0</v>
      </c>
      <c r="J417" s="160">
        <v>0.0</v>
      </c>
      <c r="K417" s="160">
        <v>0.0</v>
      </c>
      <c r="L417" s="160">
        <v>1459084.2</v>
      </c>
      <c r="M417" s="160">
        <v>1756507.5</v>
      </c>
      <c r="N417" s="160">
        <v>1214642.0</v>
      </c>
      <c r="O417" s="160">
        <v>0.0</v>
      </c>
      <c r="P417" s="160">
        <v>0.0</v>
      </c>
      <c r="Q417" s="160">
        <v>0.0</v>
      </c>
      <c r="R417" s="160">
        <v>0.0</v>
      </c>
      <c r="S417" s="160">
        <v>0.0</v>
      </c>
      <c r="T417" s="160">
        <v>187880.0</v>
      </c>
      <c r="U417" s="160">
        <v>2804227.2</v>
      </c>
      <c r="V417" s="160">
        <v>0.0</v>
      </c>
      <c r="W417" s="160">
        <v>0.0</v>
      </c>
      <c r="X417" s="160">
        <v>0.0</v>
      </c>
      <c r="Y417" s="160">
        <v>9331955.65</v>
      </c>
    </row>
    <row r="418">
      <c r="A418" s="157" t="s">
        <v>804</v>
      </c>
      <c r="B418" s="160">
        <v>0.0</v>
      </c>
      <c r="C418" s="160">
        <v>0.0</v>
      </c>
      <c r="D418" s="160">
        <v>0.0</v>
      </c>
      <c r="E418" s="160">
        <v>0.0</v>
      </c>
      <c r="F418" s="160">
        <v>0.0</v>
      </c>
      <c r="G418" s="160">
        <v>0.0</v>
      </c>
      <c r="H418" s="160">
        <v>0.0</v>
      </c>
      <c r="I418" s="160">
        <v>0.0</v>
      </c>
      <c r="J418" s="160">
        <v>0.0</v>
      </c>
      <c r="K418" s="160">
        <v>0.0</v>
      </c>
      <c r="L418" s="160">
        <v>0.0</v>
      </c>
      <c r="M418" s="160">
        <v>0.0</v>
      </c>
      <c r="N418" s="160">
        <v>0.0</v>
      </c>
      <c r="O418" s="160">
        <v>0.0</v>
      </c>
      <c r="P418" s="160">
        <v>0.0</v>
      </c>
      <c r="Q418" s="160">
        <v>0.0</v>
      </c>
      <c r="R418" s="160">
        <v>0.0</v>
      </c>
      <c r="S418" s="160">
        <v>0.0</v>
      </c>
      <c r="T418" s="160">
        <v>0.0</v>
      </c>
      <c r="U418" s="160">
        <v>0.0</v>
      </c>
      <c r="V418" s="160">
        <v>0.0</v>
      </c>
      <c r="W418" s="160">
        <v>0.0</v>
      </c>
      <c r="X418" s="160">
        <v>0.0</v>
      </c>
      <c r="Y418" s="160">
        <v>0.0</v>
      </c>
    </row>
    <row r="419">
      <c r="A419" s="157" t="s">
        <v>805</v>
      </c>
      <c r="B419" s="160">
        <v>0.0</v>
      </c>
      <c r="C419" s="160">
        <v>0.0</v>
      </c>
      <c r="D419" s="160">
        <v>0.0</v>
      </c>
      <c r="E419" s="160">
        <v>0.0</v>
      </c>
      <c r="F419" s="160">
        <v>0.0</v>
      </c>
      <c r="G419" s="160">
        <v>0.0</v>
      </c>
      <c r="H419" s="160">
        <v>0.0</v>
      </c>
      <c r="I419" s="160">
        <v>0.0</v>
      </c>
      <c r="J419" s="160">
        <v>0.0</v>
      </c>
      <c r="K419" s="160">
        <v>0.0</v>
      </c>
      <c r="L419" s="160">
        <v>0.0</v>
      </c>
      <c r="M419" s="160">
        <v>0.0</v>
      </c>
      <c r="N419" s="160">
        <v>0.0</v>
      </c>
      <c r="O419" s="160">
        <v>0.0</v>
      </c>
      <c r="P419" s="160">
        <v>0.0</v>
      </c>
      <c r="Q419" s="160">
        <v>0.0</v>
      </c>
      <c r="R419" s="160">
        <v>0.0</v>
      </c>
      <c r="S419" s="160">
        <v>0.0</v>
      </c>
      <c r="T419" s="160">
        <v>0.0</v>
      </c>
      <c r="U419" s="160">
        <v>0.0</v>
      </c>
      <c r="V419" s="160">
        <v>0.0</v>
      </c>
      <c r="W419" s="160">
        <v>0.0</v>
      </c>
      <c r="X419" s="160">
        <v>0.0</v>
      </c>
      <c r="Y419" s="160">
        <v>0.0</v>
      </c>
    </row>
    <row r="420">
      <c r="A420" s="157" t="s">
        <v>806</v>
      </c>
      <c r="B420" s="160">
        <v>0.0</v>
      </c>
      <c r="C420" s="160">
        <v>0.0</v>
      </c>
      <c r="D420" s="160">
        <v>0.0</v>
      </c>
      <c r="E420" s="160">
        <v>0.0</v>
      </c>
      <c r="F420" s="160">
        <v>0.0</v>
      </c>
      <c r="G420" s="160">
        <v>0.0</v>
      </c>
      <c r="H420" s="160">
        <v>0.0</v>
      </c>
      <c r="I420" s="160">
        <v>0.0</v>
      </c>
      <c r="J420" s="160">
        <v>0.0</v>
      </c>
      <c r="K420" s="160">
        <v>0.0</v>
      </c>
      <c r="L420" s="160">
        <v>0.0</v>
      </c>
      <c r="M420" s="160">
        <v>0.0</v>
      </c>
      <c r="N420" s="160">
        <v>0.0</v>
      </c>
      <c r="O420" s="160">
        <v>0.0</v>
      </c>
      <c r="P420" s="160">
        <v>0.0</v>
      </c>
      <c r="Q420" s="160">
        <v>0.0</v>
      </c>
      <c r="R420" s="160">
        <v>0.0</v>
      </c>
      <c r="S420" s="160">
        <v>0.0</v>
      </c>
      <c r="T420" s="160">
        <v>0.0</v>
      </c>
      <c r="U420" s="160">
        <v>0.0</v>
      </c>
      <c r="V420" s="160">
        <v>0.0</v>
      </c>
      <c r="W420" s="160">
        <v>0.0</v>
      </c>
      <c r="X420" s="160">
        <v>0.0</v>
      </c>
      <c r="Y420" s="160">
        <v>0.0</v>
      </c>
    </row>
    <row r="421">
      <c r="A421" s="157" t="s">
        <v>807</v>
      </c>
      <c r="B421" s="160">
        <v>0.0</v>
      </c>
      <c r="C421" s="160">
        <v>0.0</v>
      </c>
      <c r="D421" s="160">
        <v>0.0</v>
      </c>
      <c r="E421" s="160">
        <v>0.0</v>
      </c>
      <c r="F421" s="160">
        <v>0.0</v>
      </c>
      <c r="G421" s="160">
        <v>0.0</v>
      </c>
      <c r="H421" s="160">
        <v>0.0</v>
      </c>
      <c r="I421" s="160">
        <v>0.0</v>
      </c>
      <c r="J421" s="160">
        <v>0.0</v>
      </c>
      <c r="K421" s="160">
        <v>0.0</v>
      </c>
      <c r="L421" s="160">
        <v>0.0</v>
      </c>
      <c r="M421" s="160">
        <v>0.0</v>
      </c>
      <c r="N421" s="160">
        <v>0.0</v>
      </c>
      <c r="O421" s="160">
        <v>0.0</v>
      </c>
      <c r="P421" s="160">
        <v>0.0</v>
      </c>
      <c r="Q421" s="160">
        <v>0.0</v>
      </c>
      <c r="R421" s="160">
        <v>0.0</v>
      </c>
      <c r="S421" s="160">
        <v>0.0</v>
      </c>
      <c r="T421" s="160">
        <v>0.0</v>
      </c>
      <c r="U421" s="160">
        <v>0.0</v>
      </c>
      <c r="V421" s="160">
        <v>0.0</v>
      </c>
      <c r="W421" s="160">
        <v>0.0</v>
      </c>
      <c r="X421" s="160">
        <v>0.0</v>
      </c>
      <c r="Y421" s="160">
        <v>0.0</v>
      </c>
    </row>
    <row r="422">
      <c r="A422" s="157" t="s">
        <v>48</v>
      </c>
      <c r="B422" s="160">
        <v>0.0</v>
      </c>
      <c r="C422" s="160">
        <v>0.0</v>
      </c>
      <c r="D422" s="160">
        <v>0.0</v>
      </c>
      <c r="E422" s="160">
        <v>0.0</v>
      </c>
      <c r="F422" s="160">
        <v>0.0</v>
      </c>
      <c r="G422" s="160">
        <v>0.0</v>
      </c>
      <c r="H422" s="160">
        <v>141494.9</v>
      </c>
      <c r="I422" s="160">
        <v>0.0</v>
      </c>
      <c r="J422" s="160">
        <v>0.0</v>
      </c>
      <c r="K422" s="160">
        <v>0.0</v>
      </c>
      <c r="L422" s="160">
        <v>3499169.51</v>
      </c>
      <c r="M422" s="160">
        <v>166946.9</v>
      </c>
      <c r="N422" s="160">
        <v>0.0</v>
      </c>
      <c r="O422" s="160">
        <v>0.0</v>
      </c>
      <c r="P422" s="160">
        <v>0.0</v>
      </c>
      <c r="Q422" s="160">
        <v>0.0</v>
      </c>
      <c r="R422" s="160">
        <v>0.0</v>
      </c>
      <c r="S422" s="160">
        <v>2831574.18</v>
      </c>
      <c r="T422" s="160">
        <v>0.0</v>
      </c>
      <c r="U422" s="160">
        <v>0.0</v>
      </c>
      <c r="V422" s="160">
        <v>0.0</v>
      </c>
      <c r="W422" s="160">
        <v>0.0</v>
      </c>
      <c r="X422" s="160">
        <v>0.0</v>
      </c>
      <c r="Y422" s="160">
        <v>6639185.49</v>
      </c>
    </row>
    <row r="423">
      <c r="A423" s="157" t="s">
        <v>808</v>
      </c>
      <c r="B423" s="160">
        <v>0.0</v>
      </c>
      <c r="C423" s="160">
        <v>0.0</v>
      </c>
      <c r="D423" s="160">
        <v>0.0</v>
      </c>
      <c r="E423" s="160">
        <v>0.0</v>
      </c>
      <c r="F423" s="160">
        <v>0.0</v>
      </c>
      <c r="G423" s="160">
        <v>0.0</v>
      </c>
      <c r="H423" s="160">
        <v>0.0</v>
      </c>
      <c r="I423" s="160">
        <v>0.0</v>
      </c>
      <c r="J423" s="160">
        <v>0.0</v>
      </c>
      <c r="K423" s="160">
        <v>0.0</v>
      </c>
      <c r="L423" s="160">
        <v>0.0</v>
      </c>
      <c r="M423" s="160">
        <v>0.0</v>
      </c>
      <c r="N423" s="160">
        <v>0.0</v>
      </c>
      <c r="O423" s="160">
        <v>0.0</v>
      </c>
      <c r="P423" s="160">
        <v>0.0</v>
      </c>
      <c r="Q423" s="160">
        <v>0.0</v>
      </c>
      <c r="R423" s="160">
        <v>0.0</v>
      </c>
      <c r="S423" s="160">
        <v>0.0</v>
      </c>
      <c r="T423" s="160">
        <v>0.0</v>
      </c>
      <c r="U423" s="160">
        <v>0.0</v>
      </c>
      <c r="V423" s="160">
        <v>0.0</v>
      </c>
      <c r="W423" s="160">
        <v>0.0</v>
      </c>
      <c r="X423" s="160">
        <v>0.0</v>
      </c>
      <c r="Y423" s="160">
        <v>0.0</v>
      </c>
    </row>
    <row r="424">
      <c r="A424" s="157" t="s">
        <v>809</v>
      </c>
      <c r="B424" s="160">
        <v>1135047.26</v>
      </c>
      <c r="C424" s="160">
        <v>902849.1</v>
      </c>
      <c r="D424" s="160">
        <v>778263.25</v>
      </c>
      <c r="E424" s="160">
        <v>584847.4</v>
      </c>
      <c r="F424" s="160">
        <v>58489.6</v>
      </c>
      <c r="G424" s="160">
        <v>0.0</v>
      </c>
      <c r="H424" s="160">
        <v>246819.55</v>
      </c>
      <c r="I424" s="160">
        <v>22419.8</v>
      </c>
      <c r="J424" s="160">
        <v>2064013.32</v>
      </c>
      <c r="K424" s="160">
        <v>493345.11</v>
      </c>
      <c r="L424" s="160">
        <v>4211136.37</v>
      </c>
      <c r="M424" s="160">
        <v>1802515.2</v>
      </c>
      <c r="N424" s="160">
        <v>1841813.01</v>
      </c>
      <c r="O424" s="160">
        <v>92850.16</v>
      </c>
      <c r="P424" s="160">
        <v>95401.91</v>
      </c>
      <c r="Q424" s="160">
        <v>0.0</v>
      </c>
      <c r="R424" s="160">
        <v>0.0</v>
      </c>
      <c r="S424" s="160">
        <v>308354.25</v>
      </c>
      <c r="T424" s="160">
        <v>0.0</v>
      </c>
      <c r="U424" s="160">
        <v>2432869.6</v>
      </c>
      <c r="V424" s="160">
        <v>0.0</v>
      </c>
      <c r="W424" s="160">
        <v>0.0</v>
      </c>
      <c r="X424" s="160">
        <v>0.0</v>
      </c>
      <c r="Y424" s="160">
        <v>1.707103489E7</v>
      </c>
    </row>
    <row r="425">
      <c r="A425" s="157" t="s">
        <v>810</v>
      </c>
      <c r="B425" s="160">
        <v>0.0</v>
      </c>
      <c r="C425" s="160">
        <v>0.0</v>
      </c>
      <c r="D425" s="160">
        <v>0.0</v>
      </c>
      <c r="E425" s="160">
        <v>0.0</v>
      </c>
      <c r="F425" s="160">
        <v>0.0</v>
      </c>
      <c r="G425" s="160">
        <v>0.0</v>
      </c>
      <c r="H425" s="160">
        <v>0.0</v>
      </c>
      <c r="I425" s="160">
        <v>0.0</v>
      </c>
      <c r="J425" s="160">
        <v>0.0</v>
      </c>
      <c r="K425" s="160">
        <v>0.0</v>
      </c>
      <c r="L425" s="160">
        <v>0.0</v>
      </c>
      <c r="M425" s="160">
        <v>0.0</v>
      </c>
      <c r="N425" s="160">
        <v>0.0</v>
      </c>
      <c r="O425" s="160">
        <v>0.0</v>
      </c>
      <c r="P425" s="160">
        <v>0.0</v>
      </c>
      <c r="Q425" s="160">
        <v>0.0</v>
      </c>
      <c r="R425" s="160">
        <v>0.0</v>
      </c>
      <c r="S425" s="160">
        <v>0.0</v>
      </c>
      <c r="T425" s="160">
        <v>0.0</v>
      </c>
      <c r="U425" s="160">
        <v>0.0</v>
      </c>
      <c r="V425" s="160">
        <v>0.0</v>
      </c>
      <c r="W425" s="160">
        <v>0.0</v>
      </c>
      <c r="X425" s="160">
        <v>0.0</v>
      </c>
      <c r="Y425" s="160">
        <v>0.0</v>
      </c>
    </row>
    <row r="426">
      <c r="A426" s="157" t="s">
        <v>361</v>
      </c>
      <c r="B426" s="160">
        <v>0.0</v>
      </c>
      <c r="C426" s="160">
        <v>0.0</v>
      </c>
      <c r="D426" s="160">
        <v>0.0</v>
      </c>
      <c r="E426" s="160">
        <v>0.0</v>
      </c>
      <c r="F426" s="160">
        <v>0.0</v>
      </c>
      <c r="G426" s="160">
        <v>0.0</v>
      </c>
      <c r="H426" s="160">
        <v>0.0</v>
      </c>
      <c r="I426" s="160">
        <v>0.0</v>
      </c>
      <c r="J426" s="160">
        <v>0.0</v>
      </c>
      <c r="K426" s="160">
        <v>0.0</v>
      </c>
      <c r="L426" s="160">
        <v>0.0</v>
      </c>
      <c r="M426" s="160">
        <v>0.0</v>
      </c>
      <c r="N426" s="160">
        <v>0.0</v>
      </c>
      <c r="O426" s="160">
        <v>0.0</v>
      </c>
      <c r="P426" s="160">
        <v>0.0</v>
      </c>
      <c r="Q426" s="160">
        <v>0.0</v>
      </c>
      <c r="R426" s="160">
        <v>0.0</v>
      </c>
      <c r="S426" s="160">
        <v>0.0</v>
      </c>
      <c r="T426" s="160">
        <v>0.0</v>
      </c>
      <c r="U426" s="160">
        <v>0.0</v>
      </c>
      <c r="V426" s="160">
        <v>0.0</v>
      </c>
      <c r="W426" s="160">
        <v>0.0</v>
      </c>
      <c r="X426" s="160">
        <v>0.0</v>
      </c>
      <c r="Y426" s="160">
        <v>0.0</v>
      </c>
    </row>
    <row r="427">
      <c r="A427" s="157" t="s">
        <v>265</v>
      </c>
      <c r="B427" s="160">
        <v>82051.57</v>
      </c>
      <c r="C427" s="160">
        <v>1223628.79</v>
      </c>
      <c r="D427" s="160">
        <v>2484682.8</v>
      </c>
      <c r="E427" s="160">
        <v>109229.6</v>
      </c>
      <c r="F427" s="160">
        <v>195644.8</v>
      </c>
      <c r="G427" s="160">
        <v>11980.8</v>
      </c>
      <c r="H427" s="160">
        <v>1016240.9</v>
      </c>
      <c r="I427" s="160">
        <v>0.0</v>
      </c>
      <c r="J427" s="160">
        <v>397288.21</v>
      </c>
      <c r="K427" s="160">
        <v>0.0</v>
      </c>
      <c r="L427" s="160">
        <v>3436244.39</v>
      </c>
      <c r="M427" s="160">
        <v>796092.59</v>
      </c>
      <c r="N427" s="160">
        <v>2231022.5</v>
      </c>
      <c r="O427" s="160">
        <v>1166298.0</v>
      </c>
      <c r="P427" s="160">
        <v>1319284.86</v>
      </c>
      <c r="Q427" s="160">
        <v>0.0</v>
      </c>
      <c r="R427" s="160">
        <v>563000.0</v>
      </c>
      <c r="S427" s="160">
        <v>0.0</v>
      </c>
      <c r="T427" s="160">
        <v>0.0</v>
      </c>
      <c r="U427" s="160">
        <v>385667.36</v>
      </c>
      <c r="V427" s="160">
        <v>0.0</v>
      </c>
      <c r="W427" s="160">
        <v>0.0</v>
      </c>
      <c r="X427" s="160">
        <v>0.0</v>
      </c>
      <c r="Y427" s="160">
        <v>1.541835716E7</v>
      </c>
    </row>
    <row r="428">
      <c r="A428" s="157" t="s">
        <v>811</v>
      </c>
      <c r="B428" s="160">
        <v>0.0</v>
      </c>
      <c r="C428" s="160">
        <v>0.0</v>
      </c>
      <c r="D428" s="160">
        <v>0.0</v>
      </c>
      <c r="E428" s="160">
        <v>0.0</v>
      </c>
      <c r="F428" s="160">
        <v>0.0</v>
      </c>
      <c r="G428" s="160">
        <v>0.0</v>
      </c>
      <c r="H428" s="160">
        <v>0.0</v>
      </c>
      <c r="I428" s="160">
        <v>0.0</v>
      </c>
      <c r="J428" s="160">
        <v>0.0</v>
      </c>
      <c r="K428" s="160">
        <v>0.0</v>
      </c>
      <c r="L428" s="160">
        <v>0.0</v>
      </c>
      <c r="M428" s="160">
        <v>0.0</v>
      </c>
      <c r="N428" s="160">
        <v>0.0</v>
      </c>
      <c r="O428" s="160">
        <v>0.0</v>
      </c>
      <c r="P428" s="160">
        <v>0.0</v>
      </c>
      <c r="Q428" s="160">
        <v>0.0</v>
      </c>
      <c r="R428" s="160">
        <v>0.0</v>
      </c>
      <c r="S428" s="160">
        <v>0.0</v>
      </c>
      <c r="T428" s="160">
        <v>0.0</v>
      </c>
      <c r="U428" s="160">
        <v>0.0</v>
      </c>
      <c r="V428" s="160">
        <v>0.0</v>
      </c>
      <c r="W428" s="160">
        <v>0.0</v>
      </c>
      <c r="X428" s="160">
        <v>0.0</v>
      </c>
      <c r="Y428" s="160">
        <v>0.0</v>
      </c>
    </row>
    <row r="429">
      <c r="A429" s="157" t="s">
        <v>167</v>
      </c>
      <c r="B429" s="160">
        <v>21725.58</v>
      </c>
      <c r="C429" s="160">
        <v>931804.85</v>
      </c>
      <c r="D429" s="160">
        <v>189593.0</v>
      </c>
      <c r="E429" s="160">
        <v>118598.7</v>
      </c>
      <c r="F429" s="160">
        <v>29859.8</v>
      </c>
      <c r="G429" s="160">
        <v>11065.6</v>
      </c>
      <c r="H429" s="160">
        <v>186302.6</v>
      </c>
      <c r="I429" s="160">
        <v>23061.5</v>
      </c>
      <c r="J429" s="160">
        <v>813169.82</v>
      </c>
      <c r="K429" s="160">
        <v>31010.66</v>
      </c>
      <c r="L429" s="160">
        <v>1363113.98</v>
      </c>
      <c r="M429" s="160">
        <v>283869.5</v>
      </c>
      <c r="N429" s="160">
        <v>805923.95</v>
      </c>
      <c r="O429" s="160">
        <v>734129.95</v>
      </c>
      <c r="P429" s="160">
        <v>1153459.89</v>
      </c>
      <c r="Q429" s="160">
        <v>0.0</v>
      </c>
      <c r="R429" s="160">
        <v>0.0</v>
      </c>
      <c r="S429" s="160">
        <v>9405.0</v>
      </c>
      <c r="T429" s="160">
        <v>87047.2</v>
      </c>
      <c r="U429" s="160">
        <v>1173520.7</v>
      </c>
      <c r="V429" s="160">
        <v>0.0</v>
      </c>
      <c r="W429" s="160">
        <v>0.0</v>
      </c>
      <c r="X429" s="160">
        <v>0.0</v>
      </c>
      <c r="Y429" s="160">
        <v>7966662.28</v>
      </c>
    </row>
    <row r="430">
      <c r="A430" s="157" t="s">
        <v>812</v>
      </c>
      <c r="B430" s="160">
        <v>0.0</v>
      </c>
      <c r="C430" s="160">
        <v>0.0</v>
      </c>
      <c r="D430" s="160">
        <v>0.0</v>
      </c>
      <c r="E430" s="160">
        <v>0.0</v>
      </c>
      <c r="F430" s="160">
        <v>0.0</v>
      </c>
      <c r="G430" s="160">
        <v>0.0</v>
      </c>
      <c r="H430" s="160">
        <v>0.0</v>
      </c>
      <c r="I430" s="160">
        <v>0.0</v>
      </c>
      <c r="J430" s="160">
        <v>0.0</v>
      </c>
      <c r="K430" s="160">
        <v>0.0</v>
      </c>
      <c r="L430" s="160">
        <v>0.0</v>
      </c>
      <c r="M430" s="160">
        <v>0.0</v>
      </c>
      <c r="N430" s="160">
        <v>0.0</v>
      </c>
      <c r="O430" s="160">
        <v>0.0</v>
      </c>
      <c r="P430" s="160">
        <v>0.0</v>
      </c>
      <c r="Q430" s="160">
        <v>0.0</v>
      </c>
      <c r="R430" s="160">
        <v>0.0</v>
      </c>
      <c r="S430" s="160">
        <v>0.0</v>
      </c>
      <c r="T430" s="160">
        <v>0.0</v>
      </c>
      <c r="U430" s="160">
        <v>0.0</v>
      </c>
      <c r="V430" s="160">
        <v>0.0</v>
      </c>
      <c r="W430" s="160">
        <v>0.0</v>
      </c>
      <c r="X430" s="160">
        <v>0.0</v>
      </c>
      <c r="Y430" s="160">
        <v>0.0</v>
      </c>
    </row>
    <row r="431">
      <c r="A431" s="157" t="s">
        <v>813</v>
      </c>
      <c r="B431" s="160">
        <v>0.0</v>
      </c>
      <c r="C431" s="160">
        <v>0.0</v>
      </c>
      <c r="D431" s="160">
        <v>0.0</v>
      </c>
      <c r="E431" s="160">
        <v>0.0</v>
      </c>
      <c r="F431" s="160">
        <v>0.0</v>
      </c>
      <c r="G431" s="160">
        <v>0.0</v>
      </c>
      <c r="H431" s="160">
        <v>0.0</v>
      </c>
      <c r="I431" s="160">
        <v>0.0</v>
      </c>
      <c r="J431" s="160">
        <v>0.0</v>
      </c>
      <c r="K431" s="160">
        <v>0.0</v>
      </c>
      <c r="L431" s="160">
        <v>0.0</v>
      </c>
      <c r="M431" s="160">
        <v>0.0</v>
      </c>
      <c r="N431" s="160">
        <v>0.0</v>
      </c>
      <c r="O431" s="160">
        <v>0.0</v>
      </c>
      <c r="P431" s="160">
        <v>0.0</v>
      </c>
      <c r="Q431" s="160">
        <v>0.0</v>
      </c>
      <c r="R431" s="160">
        <v>0.0</v>
      </c>
      <c r="S431" s="160">
        <v>0.0</v>
      </c>
      <c r="T431" s="160">
        <v>0.0</v>
      </c>
      <c r="U431" s="160">
        <v>0.0</v>
      </c>
      <c r="V431" s="160">
        <v>0.0</v>
      </c>
      <c r="W431" s="160">
        <v>0.0</v>
      </c>
      <c r="X431" s="160">
        <v>0.0</v>
      </c>
      <c r="Y431" s="160">
        <v>0.0</v>
      </c>
    </row>
    <row r="432">
      <c r="A432" s="157" t="s">
        <v>814</v>
      </c>
      <c r="B432" s="160">
        <v>0.0</v>
      </c>
      <c r="C432" s="160">
        <v>0.0</v>
      </c>
      <c r="D432" s="160">
        <v>0.0</v>
      </c>
      <c r="E432" s="160">
        <v>0.0</v>
      </c>
      <c r="F432" s="160">
        <v>0.0</v>
      </c>
      <c r="G432" s="160">
        <v>0.0</v>
      </c>
      <c r="H432" s="160">
        <v>0.0</v>
      </c>
      <c r="I432" s="160">
        <v>0.0</v>
      </c>
      <c r="J432" s="160">
        <v>0.0</v>
      </c>
      <c r="K432" s="160">
        <v>0.0</v>
      </c>
      <c r="L432" s="160">
        <v>0.0</v>
      </c>
      <c r="M432" s="160">
        <v>0.0</v>
      </c>
      <c r="N432" s="160">
        <v>0.0</v>
      </c>
      <c r="O432" s="160">
        <v>0.0</v>
      </c>
      <c r="P432" s="160">
        <v>0.0</v>
      </c>
      <c r="Q432" s="160">
        <v>0.0</v>
      </c>
      <c r="R432" s="160">
        <v>0.0</v>
      </c>
      <c r="S432" s="160">
        <v>0.0</v>
      </c>
      <c r="T432" s="160">
        <v>0.0</v>
      </c>
      <c r="U432" s="160">
        <v>0.0</v>
      </c>
      <c r="V432" s="160">
        <v>0.0</v>
      </c>
      <c r="W432" s="160">
        <v>0.0</v>
      </c>
      <c r="X432" s="160">
        <v>0.0</v>
      </c>
      <c r="Y432" s="160">
        <v>0.0</v>
      </c>
    </row>
    <row r="433">
      <c r="A433" s="157" t="s">
        <v>815</v>
      </c>
      <c r="B433" s="160">
        <v>0.0</v>
      </c>
      <c r="C433" s="160">
        <v>0.0</v>
      </c>
      <c r="D433" s="160">
        <v>0.0</v>
      </c>
      <c r="E433" s="160">
        <v>0.0</v>
      </c>
      <c r="F433" s="160">
        <v>0.0</v>
      </c>
      <c r="G433" s="160">
        <v>0.0</v>
      </c>
      <c r="H433" s="160">
        <v>0.0</v>
      </c>
      <c r="I433" s="160">
        <v>0.0</v>
      </c>
      <c r="J433" s="160">
        <v>0.0</v>
      </c>
      <c r="K433" s="160">
        <v>0.0</v>
      </c>
      <c r="L433" s="160">
        <v>0.0</v>
      </c>
      <c r="M433" s="160">
        <v>0.0</v>
      </c>
      <c r="N433" s="160">
        <v>0.0</v>
      </c>
      <c r="O433" s="160">
        <v>0.0</v>
      </c>
      <c r="P433" s="160">
        <v>0.0</v>
      </c>
      <c r="Q433" s="160">
        <v>0.0</v>
      </c>
      <c r="R433" s="160">
        <v>0.0</v>
      </c>
      <c r="S433" s="160">
        <v>0.0</v>
      </c>
      <c r="T433" s="160">
        <v>0.0</v>
      </c>
      <c r="U433" s="160">
        <v>0.0</v>
      </c>
      <c r="V433" s="160">
        <v>0.0</v>
      </c>
      <c r="W433" s="160">
        <v>0.0</v>
      </c>
      <c r="X433" s="160">
        <v>0.0</v>
      </c>
      <c r="Y433" s="160">
        <v>0.0</v>
      </c>
    </row>
    <row r="434">
      <c r="A434" s="157" t="s">
        <v>816</v>
      </c>
      <c r="B434" s="160">
        <v>0.0</v>
      </c>
      <c r="C434" s="160">
        <v>0.0</v>
      </c>
      <c r="D434" s="160">
        <v>0.0</v>
      </c>
      <c r="E434" s="160">
        <v>0.0</v>
      </c>
      <c r="F434" s="160">
        <v>0.0</v>
      </c>
      <c r="G434" s="160">
        <v>0.0</v>
      </c>
      <c r="H434" s="160">
        <v>0.0</v>
      </c>
      <c r="I434" s="160">
        <v>0.0</v>
      </c>
      <c r="J434" s="160">
        <v>0.0</v>
      </c>
      <c r="K434" s="160">
        <v>0.0</v>
      </c>
      <c r="L434" s="160">
        <v>0.0</v>
      </c>
      <c r="M434" s="160">
        <v>0.0</v>
      </c>
      <c r="N434" s="160">
        <v>0.0</v>
      </c>
      <c r="O434" s="160">
        <v>0.0</v>
      </c>
      <c r="P434" s="160">
        <v>0.0</v>
      </c>
      <c r="Q434" s="160">
        <v>0.0</v>
      </c>
      <c r="R434" s="160">
        <v>0.0</v>
      </c>
      <c r="S434" s="160">
        <v>0.0</v>
      </c>
      <c r="T434" s="160">
        <v>0.0</v>
      </c>
      <c r="U434" s="160">
        <v>0.0</v>
      </c>
      <c r="V434" s="160">
        <v>0.0</v>
      </c>
      <c r="W434" s="160">
        <v>0.0</v>
      </c>
      <c r="X434" s="160">
        <v>0.0</v>
      </c>
      <c r="Y434" s="160">
        <v>0.0</v>
      </c>
    </row>
    <row r="435">
      <c r="A435" s="157" t="s">
        <v>817</v>
      </c>
      <c r="B435" s="160">
        <v>0.0</v>
      </c>
      <c r="C435" s="160">
        <v>0.0</v>
      </c>
      <c r="D435" s="160">
        <v>0.0</v>
      </c>
      <c r="E435" s="160">
        <v>0.0</v>
      </c>
      <c r="F435" s="160">
        <v>0.0</v>
      </c>
      <c r="G435" s="160">
        <v>0.0</v>
      </c>
      <c r="H435" s="160">
        <v>0.0</v>
      </c>
      <c r="I435" s="160">
        <v>0.0</v>
      </c>
      <c r="J435" s="160">
        <v>0.0</v>
      </c>
      <c r="K435" s="160">
        <v>0.0</v>
      </c>
      <c r="L435" s="160">
        <v>0.0</v>
      </c>
      <c r="M435" s="160">
        <v>0.0</v>
      </c>
      <c r="N435" s="160">
        <v>0.0</v>
      </c>
      <c r="O435" s="160">
        <v>0.0</v>
      </c>
      <c r="P435" s="160">
        <v>0.0</v>
      </c>
      <c r="Q435" s="160">
        <v>0.0</v>
      </c>
      <c r="R435" s="160">
        <v>0.0</v>
      </c>
      <c r="S435" s="160">
        <v>0.0</v>
      </c>
      <c r="T435" s="160">
        <v>0.0</v>
      </c>
      <c r="U435" s="160">
        <v>0.0</v>
      </c>
      <c r="V435" s="160">
        <v>0.0</v>
      </c>
      <c r="W435" s="160">
        <v>0.0</v>
      </c>
      <c r="X435" s="160">
        <v>0.0</v>
      </c>
      <c r="Y435" s="160">
        <v>0.0</v>
      </c>
    </row>
    <row r="436">
      <c r="A436" s="157" t="s">
        <v>818</v>
      </c>
      <c r="B436" s="160">
        <v>0.0</v>
      </c>
      <c r="C436" s="160">
        <v>0.0</v>
      </c>
      <c r="D436" s="160">
        <v>0.0</v>
      </c>
      <c r="E436" s="160">
        <v>0.0</v>
      </c>
      <c r="F436" s="160">
        <v>0.0</v>
      </c>
      <c r="G436" s="160">
        <v>0.0</v>
      </c>
      <c r="H436" s="160">
        <v>0.0</v>
      </c>
      <c r="I436" s="160">
        <v>0.0</v>
      </c>
      <c r="J436" s="160">
        <v>0.0</v>
      </c>
      <c r="K436" s="160">
        <v>0.0</v>
      </c>
      <c r="L436" s="160">
        <v>0.0</v>
      </c>
      <c r="M436" s="160">
        <v>0.0</v>
      </c>
      <c r="N436" s="160">
        <v>0.0</v>
      </c>
      <c r="O436" s="160">
        <v>0.0</v>
      </c>
      <c r="P436" s="160">
        <v>0.0</v>
      </c>
      <c r="Q436" s="160">
        <v>0.0</v>
      </c>
      <c r="R436" s="160">
        <v>0.0</v>
      </c>
      <c r="S436" s="160">
        <v>0.0</v>
      </c>
      <c r="T436" s="160">
        <v>0.0</v>
      </c>
      <c r="U436" s="160">
        <v>0.0</v>
      </c>
      <c r="V436" s="160">
        <v>0.0</v>
      </c>
      <c r="W436" s="160">
        <v>0.0</v>
      </c>
      <c r="X436" s="160">
        <v>0.0</v>
      </c>
      <c r="Y436" s="160">
        <v>0.0</v>
      </c>
    </row>
    <row r="437">
      <c r="A437" s="157" t="s">
        <v>819</v>
      </c>
      <c r="B437" s="160">
        <v>0.0</v>
      </c>
      <c r="C437" s="160">
        <v>0.0</v>
      </c>
      <c r="D437" s="160">
        <v>0.0</v>
      </c>
      <c r="E437" s="160">
        <v>0.0</v>
      </c>
      <c r="F437" s="160">
        <v>0.0</v>
      </c>
      <c r="G437" s="160">
        <v>0.0</v>
      </c>
      <c r="H437" s="160">
        <v>0.0</v>
      </c>
      <c r="I437" s="160">
        <v>0.0</v>
      </c>
      <c r="J437" s="160">
        <v>0.0</v>
      </c>
      <c r="K437" s="160">
        <v>0.0</v>
      </c>
      <c r="L437" s="160">
        <v>0.0</v>
      </c>
      <c r="M437" s="160">
        <v>0.0</v>
      </c>
      <c r="N437" s="160">
        <v>0.0</v>
      </c>
      <c r="O437" s="160">
        <v>0.0</v>
      </c>
      <c r="P437" s="160">
        <v>0.0</v>
      </c>
      <c r="Q437" s="160">
        <v>0.0</v>
      </c>
      <c r="R437" s="160">
        <v>0.0</v>
      </c>
      <c r="S437" s="160">
        <v>0.0</v>
      </c>
      <c r="T437" s="160">
        <v>0.0</v>
      </c>
      <c r="U437" s="160">
        <v>0.0</v>
      </c>
      <c r="V437" s="160">
        <v>0.0</v>
      </c>
      <c r="W437" s="160">
        <v>0.0</v>
      </c>
      <c r="X437" s="160">
        <v>0.0</v>
      </c>
      <c r="Y437" s="160">
        <v>0.0</v>
      </c>
    </row>
    <row r="438">
      <c r="A438" s="157" t="s">
        <v>820</v>
      </c>
      <c r="B438" s="160">
        <v>0.0</v>
      </c>
      <c r="C438" s="160">
        <v>0.0</v>
      </c>
      <c r="D438" s="160">
        <v>0.0</v>
      </c>
      <c r="E438" s="160">
        <v>0.0</v>
      </c>
      <c r="F438" s="160">
        <v>0.0</v>
      </c>
      <c r="G438" s="160">
        <v>0.0</v>
      </c>
      <c r="H438" s="160">
        <v>0.0</v>
      </c>
      <c r="I438" s="160">
        <v>0.0</v>
      </c>
      <c r="J438" s="160">
        <v>0.0</v>
      </c>
      <c r="K438" s="160">
        <v>0.0</v>
      </c>
      <c r="L438" s="160">
        <v>0.0</v>
      </c>
      <c r="M438" s="160">
        <v>0.0</v>
      </c>
      <c r="N438" s="160">
        <v>0.0</v>
      </c>
      <c r="O438" s="160">
        <v>0.0</v>
      </c>
      <c r="P438" s="160">
        <v>0.0</v>
      </c>
      <c r="Q438" s="160">
        <v>0.0</v>
      </c>
      <c r="R438" s="160">
        <v>0.0</v>
      </c>
      <c r="S438" s="160">
        <v>0.0</v>
      </c>
      <c r="T438" s="160">
        <v>0.0</v>
      </c>
      <c r="U438" s="160">
        <v>0.0</v>
      </c>
      <c r="V438" s="160">
        <v>0.0</v>
      </c>
      <c r="W438" s="160">
        <v>0.0</v>
      </c>
      <c r="X438" s="160">
        <v>0.0</v>
      </c>
      <c r="Y438" s="160">
        <v>0.0</v>
      </c>
    </row>
    <row r="439">
      <c r="A439" s="157" t="s">
        <v>51</v>
      </c>
      <c r="B439" s="160">
        <v>356144.28</v>
      </c>
      <c r="C439" s="160">
        <v>20400.4</v>
      </c>
      <c r="D439" s="160">
        <v>0.0</v>
      </c>
      <c r="E439" s="160">
        <v>0.0</v>
      </c>
      <c r="F439" s="160">
        <v>0.0</v>
      </c>
      <c r="G439" s="160">
        <v>0.0</v>
      </c>
      <c r="H439" s="160">
        <v>56919.4</v>
      </c>
      <c r="I439" s="160">
        <v>1540.0</v>
      </c>
      <c r="J439" s="160">
        <v>418600.58</v>
      </c>
      <c r="K439" s="160">
        <v>0.0</v>
      </c>
      <c r="L439" s="160">
        <v>1158297.36</v>
      </c>
      <c r="M439" s="160">
        <v>44829.3</v>
      </c>
      <c r="N439" s="160">
        <v>0.0</v>
      </c>
      <c r="O439" s="160">
        <v>309190.59</v>
      </c>
      <c r="P439" s="160">
        <v>1053441.42</v>
      </c>
      <c r="Q439" s="160">
        <v>0.0</v>
      </c>
      <c r="R439" s="160">
        <v>635177.88</v>
      </c>
      <c r="S439" s="160">
        <v>2796944.75</v>
      </c>
      <c r="T439" s="160">
        <v>0.0</v>
      </c>
      <c r="U439" s="160">
        <v>111760.4</v>
      </c>
      <c r="V439" s="160">
        <v>0.0</v>
      </c>
      <c r="W439" s="160">
        <v>0.0</v>
      </c>
      <c r="X439" s="160">
        <v>0.0</v>
      </c>
      <c r="Y439" s="160">
        <v>6963246.35</v>
      </c>
    </row>
    <row r="440">
      <c r="A440" s="157" t="s">
        <v>335</v>
      </c>
      <c r="B440" s="160">
        <v>163792.07</v>
      </c>
      <c r="C440" s="160">
        <v>109623.1</v>
      </c>
      <c r="D440" s="160">
        <v>38527.8</v>
      </c>
      <c r="E440" s="160">
        <v>51045.0</v>
      </c>
      <c r="F440" s="160">
        <v>27816.0</v>
      </c>
      <c r="G440" s="160">
        <v>0.0</v>
      </c>
      <c r="H440" s="160">
        <v>272724.2</v>
      </c>
      <c r="I440" s="160">
        <v>30149.2</v>
      </c>
      <c r="J440" s="160">
        <v>2421226.65</v>
      </c>
      <c r="K440" s="160">
        <v>0.0</v>
      </c>
      <c r="L440" s="160">
        <v>2043242.85</v>
      </c>
      <c r="M440" s="160">
        <v>256463.0</v>
      </c>
      <c r="N440" s="160">
        <v>0.0</v>
      </c>
      <c r="O440" s="160">
        <v>39622.01</v>
      </c>
      <c r="P440" s="160">
        <v>142696.7</v>
      </c>
      <c r="Q440" s="160">
        <v>0.0</v>
      </c>
      <c r="R440" s="160">
        <v>762225.0</v>
      </c>
      <c r="S440" s="160">
        <v>292679.1</v>
      </c>
      <c r="T440" s="160">
        <v>0.0</v>
      </c>
      <c r="U440" s="160">
        <v>253924.0</v>
      </c>
      <c r="V440" s="160">
        <v>0.0</v>
      </c>
      <c r="W440" s="160">
        <v>0.0</v>
      </c>
      <c r="X440" s="160">
        <v>0.0</v>
      </c>
      <c r="Y440" s="160">
        <v>6905756.69</v>
      </c>
    </row>
    <row r="441">
      <c r="A441" s="157" t="s">
        <v>821</v>
      </c>
      <c r="B441" s="160">
        <v>0.0</v>
      </c>
      <c r="C441" s="160">
        <v>0.0</v>
      </c>
      <c r="D441" s="160">
        <v>0.0</v>
      </c>
      <c r="E441" s="160">
        <v>0.0</v>
      </c>
      <c r="F441" s="160">
        <v>0.0</v>
      </c>
      <c r="G441" s="160">
        <v>0.0</v>
      </c>
      <c r="H441" s="160">
        <v>0.0</v>
      </c>
      <c r="I441" s="160">
        <v>0.0</v>
      </c>
      <c r="J441" s="160">
        <v>0.0</v>
      </c>
      <c r="K441" s="160">
        <v>0.0</v>
      </c>
      <c r="L441" s="160">
        <v>0.0</v>
      </c>
      <c r="M441" s="160">
        <v>0.0</v>
      </c>
      <c r="N441" s="160">
        <v>0.0</v>
      </c>
      <c r="O441" s="160">
        <v>0.0</v>
      </c>
      <c r="P441" s="160">
        <v>0.0</v>
      </c>
      <c r="Q441" s="160">
        <v>0.0</v>
      </c>
      <c r="R441" s="160">
        <v>0.0</v>
      </c>
      <c r="S441" s="160">
        <v>0.0</v>
      </c>
      <c r="T441" s="160">
        <v>0.0</v>
      </c>
      <c r="U441" s="160">
        <v>0.0</v>
      </c>
      <c r="V441" s="160">
        <v>0.0</v>
      </c>
      <c r="W441" s="160">
        <v>0.0</v>
      </c>
      <c r="X441" s="160">
        <v>0.0</v>
      </c>
      <c r="Y441" s="160">
        <v>0.0</v>
      </c>
    </row>
    <row r="442">
      <c r="A442" s="157" t="s">
        <v>822</v>
      </c>
      <c r="B442" s="160">
        <v>0.0</v>
      </c>
      <c r="C442" s="160">
        <v>0.0</v>
      </c>
      <c r="D442" s="160">
        <v>0.0</v>
      </c>
      <c r="E442" s="160">
        <v>0.0</v>
      </c>
      <c r="F442" s="160">
        <v>0.0</v>
      </c>
      <c r="G442" s="160">
        <v>0.0</v>
      </c>
      <c r="H442" s="160">
        <v>0.0</v>
      </c>
      <c r="I442" s="160">
        <v>0.0</v>
      </c>
      <c r="J442" s="160">
        <v>0.0</v>
      </c>
      <c r="K442" s="160">
        <v>0.0</v>
      </c>
      <c r="L442" s="160">
        <v>0.0</v>
      </c>
      <c r="M442" s="160">
        <v>0.0</v>
      </c>
      <c r="N442" s="160">
        <v>0.0</v>
      </c>
      <c r="O442" s="160">
        <v>0.0</v>
      </c>
      <c r="P442" s="160">
        <v>0.0</v>
      </c>
      <c r="Q442" s="160">
        <v>0.0</v>
      </c>
      <c r="R442" s="160">
        <v>0.0</v>
      </c>
      <c r="S442" s="160">
        <v>0.0</v>
      </c>
      <c r="T442" s="160">
        <v>0.0</v>
      </c>
      <c r="U442" s="160">
        <v>0.0</v>
      </c>
      <c r="V442" s="160">
        <v>0.0</v>
      </c>
      <c r="W442" s="160">
        <v>0.0</v>
      </c>
      <c r="X442" s="160">
        <v>0.0</v>
      </c>
      <c r="Y442" s="160">
        <v>0.0</v>
      </c>
    </row>
    <row r="443">
      <c r="A443" s="157" t="s">
        <v>823</v>
      </c>
      <c r="B443" s="160">
        <v>0.0</v>
      </c>
      <c r="C443" s="160">
        <v>0.0</v>
      </c>
      <c r="D443" s="160">
        <v>0.0</v>
      </c>
      <c r="E443" s="160">
        <v>0.0</v>
      </c>
      <c r="F443" s="160">
        <v>0.0</v>
      </c>
      <c r="G443" s="160">
        <v>0.0</v>
      </c>
      <c r="H443" s="160">
        <v>0.0</v>
      </c>
      <c r="I443" s="160">
        <v>0.0</v>
      </c>
      <c r="J443" s="160">
        <v>0.0</v>
      </c>
      <c r="K443" s="160">
        <v>0.0</v>
      </c>
      <c r="L443" s="160">
        <v>0.0</v>
      </c>
      <c r="M443" s="160">
        <v>0.0</v>
      </c>
      <c r="N443" s="160">
        <v>0.0</v>
      </c>
      <c r="O443" s="160">
        <v>0.0</v>
      </c>
      <c r="P443" s="160">
        <v>0.0</v>
      </c>
      <c r="Q443" s="160">
        <v>0.0</v>
      </c>
      <c r="R443" s="160">
        <v>0.0</v>
      </c>
      <c r="S443" s="160">
        <v>0.0</v>
      </c>
      <c r="T443" s="160">
        <v>0.0</v>
      </c>
      <c r="U443" s="160">
        <v>0.0</v>
      </c>
      <c r="V443" s="160">
        <v>0.0</v>
      </c>
      <c r="W443" s="160">
        <v>0.0</v>
      </c>
      <c r="X443" s="160">
        <v>0.0</v>
      </c>
      <c r="Y443" s="160">
        <v>0.0</v>
      </c>
    </row>
    <row r="444">
      <c r="A444" s="157" t="s">
        <v>420</v>
      </c>
      <c r="B444" s="160">
        <v>0.0</v>
      </c>
      <c r="C444" s="160">
        <v>0.0</v>
      </c>
      <c r="D444" s="160">
        <v>0.0</v>
      </c>
      <c r="E444" s="160">
        <v>0.0</v>
      </c>
      <c r="F444" s="160">
        <v>0.0</v>
      </c>
      <c r="G444" s="160">
        <v>0.0</v>
      </c>
      <c r="H444" s="160">
        <v>126399.9</v>
      </c>
      <c r="I444" s="160">
        <v>0.0</v>
      </c>
      <c r="J444" s="160">
        <v>0.0</v>
      </c>
      <c r="K444" s="160">
        <v>0.0</v>
      </c>
      <c r="L444" s="160">
        <v>746908.8</v>
      </c>
      <c r="M444" s="160">
        <v>366723.5</v>
      </c>
      <c r="N444" s="160">
        <v>0.0</v>
      </c>
      <c r="O444" s="160">
        <v>0.0</v>
      </c>
      <c r="P444" s="160">
        <v>0.0</v>
      </c>
      <c r="Q444" s="160">
        <v>0.0</v>
      </c>
      <c r="R444" s="160">
        <v>0.0</v>
      </c>
      <c r="S444" s="160">
        <v>227790.75</v>
      </c>
      <c r="T444" s="160">
        <v>0.0</v>
      </c>
      <c r="U444" s="160">
        <v>0.0</v>
      </c>
      <c r="V444" s="160">
        <v>0.0</v>
      </c>
      <c r="W444" s="160">
        <v>0.0</v>
      </c>
      <c r="X444" s="160">
        <v>0.0</v>
      </c>
      <c r="Y444" s="160">
        <v>1467822.95</v>
      </c>
    </row>
    <row r="445">
      <c r="A445" s="157" t="s">
        <v>267</v>
      </c>
      <c r="B445" s="160">
        <v>209485.36</v>
      </c>
      <c r="C445" s="160">
        <v>1461863.2</v>
      </c>
      <c r="D445" s="160">
        <v>1897750.4</v>
      </c>
      <c r="E445" s="160">
        <v>206192.0</v>
      </c>
      <c r="F445" s="160">
        <v>577724.0</v>
      </c>
      <c r="G445" s="160">
        <v>18323.2</v>
      </c>
      <c r="H445" s="160">
        <v>2422322.4</v>
      </c>
      <c r="I445" s="160">
        <v>0.0</v>
      </c>
      <c r="J445" s="160">
        <v>1778876.92</v>
      </c>
      <c r="K445" s="160">
        <v>0.0</v>
      </c>
      <c r="L445" s="160">
        <v>6170349.59</v>
      </c>
      <c r="M445" s="160">
        <v>1428716.81</v>
      </c>
      <c r="N445" s="160">
        <v>2515582.61</v>
      </c>
      <c r="O445" s="160">
        <v>4433987.93</v>
      </c>
      <c r="P445" s="160">
        <v>4672804.54</v>
      </c>
      <c r="Q445" s="160">
        <v>0.0</v>
      </c>
      <c r="R445" s="160">
        <v>1160115.0</v>
      </c>
      <c r="S445" s="160">
        <v>1455236.4</v>
      </c>
      <c r="T445" s="160">
        <v>0.0</v>
      </c>
      <c r="U445" s="160">
        <v>1042692.0</v>
      </c>
      <c r="V445" s="160">
        <v>112007.16</v>
      </c>
      <c r="W445" s="160">
        <v>0.0</v>
      </c>
      <c r="X445" s="160">
        <v>252108.0</v>
      </c>
      <c r="Y445" s="160">
        <v>3.181613752E7</v>
      </c>
    </row>
    <row r="446">
      <c r="A446" s="157" t="s">
        <v>824</v>
      </c>
      <c r="B446" s="160">
        <v>0.0</v>
      </c>
      <c r="C446" s="160">
        <v>0.0</v>
      </c>
      <c r="D446" s="160">
        <v>0.0</v>
      </c>
      <c r="E446" s="160">
        <v>0.0</v>
      </c>
      <c r="F446" s="160">
        <v>0.0</v>
      </c>
      <c r="G446" s="160">
        <v>0.0</v>
      </c>
      <c r="H446" s="160">
        <v>0.0</v>
      </c>
      <c r="I446" s="160">
        <v>0.0</v>
      </c>
      <c r="J446" s="160">
        <v>0.0</v>
      </c>
      <c r="K446" s="160">
        <v>0.0</v>
      </c>
      <c r="L446" s="160">
        <v>0.0</v>
      </c>
      <c r="M446" s="160">
        <v>0.0</v>
      </c>
      <c r="N446" s="160">
        <v>0.0</v>
      </c>
      <c r="O446" s="160">
        <v>0.0</v>
      </c>
      <c r="P446" s="160">
        <v>0.0</v>
      </c>
      <c r="Q446" s="160">
        <v>0.0</v>
      </c>
      <c r="R446" s="160">
        <v>0.0</v>
      </c>
      <c r="S446" s="160">
        <v>0.0</v>
      </c>
      <c r="T446" s="160">
        <v>0.0</v>
      </c>
      <c r="U446" s="160">
        <v>0.0</v>
      </c>
      <c r="V446" s="160">
        <v>0.0</v>
      </c>
      <c r="W446" s="160">
        <v>0.0</v>
      </c>
      <c r="X446" s="160">
        <v>0.0</v>
      </c>
      <c r="Y446" s="160">
        <v>0.0</v>
      </c>
    </row>
    <row r="447">
      <c r="A447" s="157" t="s">
        <v>269</v>
      </c>
      <c r="B447" s="160">
        <v>0.0</v>
      </c>
      <c r="C447" s="160">
        <v>1482447.27</v>
      </c>
      <c r="D447" s="160">
        <v>74515.2</v>
      </c>
      <c r="E447" s="160">
        <v>136464.8</v>
      </c>
      <c r="F447" s="160">
        <v>474005.8</v>
      </c>
      <c r="G447" s="160">
        <v>0.0</v>
      </c>
      <c r="H447" s="160">
        <v>478783.3</v>
      </c>
      <c r="I447" s="160">
        <v>168100.8</v>
      </c>
      <c r="J447" s="160">
        <v>0.0</v>
      </c>
      <c r="K447" s="160">
        <v>0.0</v>
      </c>
      <c r="L447" s="160">
        <v>4954028.82</v>
      </c>
      <c r="M447" s="160">
        <v>4226567.57</v>
      </c>
      <c r="N447" s="160">
        <v>19444.8</v>
      </c>
      <c r="O447" s="160">
        <v>0.0</v>
      </c>
      <c r="P447" s="160">
        <v>0.0</v>
      </c>
      <c r="Q447" s="160">
        <v>4659.2</v>
      </c>
      <c r="R447" s="160">
        <v>0.0</v>
      </c>
      <c r="S447" s="160">
        <v>89272.5</v>
      </c>
      <c r="T447" s="160">
        <v>21226.4</v>
      </c>
      <c r="U447" s="160">
        <v>273500.88</v>
      </c>
      <c r="V447" s="160">
        <v>0.0</v>
      </c>
      <c r="W447" s="160">
        <v>0.0</v>
      </c>
      <c r="X447" s="160">
        <v>0.0</v>
      </c>
      <c r="Y447" s="160">
        <v>1.240301735E7</v>
      </c>
    </row>
    <row r="448">
      <c r="A448" s="157" t="s">
        <v>825</v>
      </c>
      <c r="B448" s="160">
        <v>0.0</v>
      </c>
      <c r="C448" s="160">
        <v>0.0</v>
      </c>
      <c r="D448" s="160">
        <v>0.0</v>
      </c>
      <c r="E448" s="160">
        <v>0.0</v>
      </c>
      <c r="F448" s="160">
        <v>0.0</v>
      </c>
      <c r="G448" s="160">
        <v>0.0</v>
      </c>
      <c r="H448" s="160">
        <v>0.0</v>
      </c>
      <c r="I448" s="160">
        <v>0.0</v>
      </c>
      <c r="J448" s="160">
        <v>0.0</v>
      </c>
      <c r="K448" s="160">
        <v>0.0</v>
      </c>
      <c r="L448" s="160">
        <v>0.0</v>
      </c>
      <c r="M448" s="160">
        <v>0.0</v>
      </c>
      <c r="N448" s="160">
        <v>0.0</v>
      </c>
      <c r="O448" s="160">
        <v>0.0</v>
      </c>
      <c r="P448" s="160">
        <v>0.0</v>
      </c>
      <c r="Q448" s="160">
        <v>0.0</v>
      </c>
      <c r="R448" s="160">
        <v>0.0</v>
      </c>
      <c r="S448" s="160">
        <v>0.0</v>
      </c>
      <c r="T448" s="160">
        <v>0.0</v>
      </c>
      <c r="U448" s="160">
        <v>0.0</v>
      </c>
      <c r="V448" s="160">
        <v>0.0</v>
      </c>
      <c r="W448" s="160">
        <v>0.0</v>
      </c>
      <c r="X448" s="160">
        <v>0.0</v>
      </c>
      <c r="Y448" s="160">
        <v>0.0</v>
      </c>
    </row>
    <row r="449">
      <c r="A449" s="157" t="s">
        <v>311</v>
      </c>
      <c r="B449" s="160">
        <v>44471.17</v>
      </c>
      <c r="C449" s="160">
        <v>1110324.85</v>
      </c>
      <c r="D449" s="160">
        <v>608090.25</v>
      </c>
      <c r="E449" s="160">
        <v>610385.9</v>
      </c>
      <c r="F449" s="160">
        <v>156096.3</v>
      </c>
      <c r="G449" s="160">
        <v>315028.2</v>
      </c>
      <c r="H449" s="160">
        <v>288666.2</v>
      </c>
      <c r="I449" s="160">
        <v>14010.4</v>
      </c>
      <c r="J449" s="160">
        <v>1457576.17</v>
      </c>
      <c r="K449" s="160">
        <v>158200.0</v>
      </c>
      <c r="L449" s="160">
        <v>1712441.88</v>
      </c>
      <c r="M449" s="160">
        <v>97962.3</v>
      </c>
      <c r="N449" s="160">
        <v>567337.1</v>
      </c>
      <c r="O449" s="160">
        <v>757627.09</v>
      </c>
      <c r="P449" s="160">
        <v>453168.88</v>
      </c>
      <c r="Q449" s="160">
        <v>0.0</v>
      </c>
      <c r="R449" s="160">
        <v>139925.0</v>
      </c>
      <c r="S449" s="160">
        <v>29616.65</v>
      </c>
      <c r="T449" s="160">
        <v>7801.6</v>
      </c>
      <c r="U449" s="160">
        <v>1340526.28</v>
      </c>
      <c r="V449" s="160">
        <v>79220.5</v>
      </c>
      <c r="W449" s="160">
        <v>0.0</v>
      </c>
      <c r="X449" s="160">
        <v>0.0</v>
      </c>
      <c r="Y449" s="160">
        <v>9948476.73</v>
      </c>
    </row>
    <row r="450">
      <c r="A450" s="157" t="s">
        <v>826</v>
      </c>
      <c r="B450" s="160">
        <v>0.0</v>
      </c>
      <c r="C450" s="160">
        <v>0.0</v>
      </c>
      <c r="D450" s="160">
        <v>0.0</v>
      </c>
      <c r="E450" s="160">
        <v>0.0</v>
      </c>
      <c r="F450" s="160">
        <v>0.0</v>
      </c>
      <c r="G450" s="160">
        <v>0.0</v>
      </c>
      <c r="H450" s="160">
        <v>0.0</v>
      </c>
      <c r="I450" s="160">
        <v>0.0</v>
      </c>
      <c r="J450" s="160">
        <v>0.0</v>
      </c>
      <c r="K450" s="160">
        <v>0.0</v>
      </c>
      <c r="L450" s="160">
        <v>0.0</v>
      </c>
      <c r="M450" s="160">
        <v>0.0</v>
      </c>
      <c r="N450" s="160">
        <v>0.0</v>
      </c>
      <c r="O450" s="160">
        <v>0.0</v>
      </c>
      <c r="P450" s="160">
        <v>0.0</v>
      </c>
      <c r="Q450" s="160">
        <v>0.0</v>
      </c>
      <c r="R450" s="160">
        <v>0.0</v>
      </c>
      <c r="S450" s="160">
        <v>0.0</v>
      </c>
      <c r="T450" s="160">
        <v>0.0</v>
      </c>
      <c r="U450" s="160">
        <v>0.0</v>
      </c>
      <c r="V450" s="160">
        <v>0.0</v>
      </c>
      <c r="W450" s="160">
        <v>0.0</v>
      </c>
      <c r="X450" s="160">
        <v>0.0</v>
      </c>
      <c r="Y450" s="160">
        <v>0.0</v>
      </c>
    </row>
    <row r="451">
      <c r="A451" s="157" t="s">
        <v>122</v>
      </c>
      <c r="B451" s="160">
        <v>0.0</v>
      </c>
      <c r="C451" s="160">
        <v>33374.0</v>
      </c>
      <c r="D451" s="160">
        <v>18975.0</v>
      </c>
      <c r="E451" s="160">
        <v>0.0</v>
      </c>
      <c r="F451" s="160">
        <v>0.0</v>
      </c>
      <c r="G451" s="160">
        <v>0.0</v>
      </c>
      <c r="H451" s="160">
        <v>379698.0</v>
      </c>
      <c r="I451" s="160">
        <v>15620.0</v>
      </c>
      <c r="J451" s="160">
        <v>0.0</v>
      </c>
      <c r="K451" s="160">
        <v>0.0</v>
      </c>
      <c r="L451" s="160">
        <v>7202412.01</v>
      </c>
      <c r="M451" s="160">
        <v>316910.0</v>
      </c>
      <c r="N451" s="160">
        <v>0.0</v>
      </c>
      <c r="O451" s="160">
        <v>0.0</v>
      </c>
      <c r="P451" s="160">
        <v>0.0</v>
      </c>
      <c r="Q451" s="160">
        <v>0.0</v>
      </c>
      <c r="R451" s="160">
        <v>0.0</v>
      </c>
      <c r="S451" s="160">
        <v>1601314.9</v>
      </c>
      <c r="T451" s="160">
        <v>0.0</v>
      </c>
      <c r="U451" s="160">
        <v>207242.2</v>
      </c>
      <c r="V451" s="160">
        <v>0.0</v>
      </c>
      <c r="W451" s="160">
        <v>0.0</v>
      </c>
      <c r="X451" s="160">
        <v>0.0</v>
      </c>
      <c r="Y451" s="160">
        <v>9775546.11</v>
      </c>
    </row>
    <row r="452">
      <c r="A452" s="157" t="s">
        <v>81</v>
      </c>
      <c r="B452" s="160">
        <v>0.0</v>
      </c>
      <c r="C452" s="160">
        <v>33770.0</v>
      </c>
      <c r="D452" s="160">
        <v>0.0</v>
      </c>
      <c r="E452" s="160">
        <v>0.0</v>
      </c>
      <c r="F452" s="160">
        <v>55759.0</v>
      </c>
      <c r="G452" s="160">
        <v>0.0</v>
      </c>
      <c r="H452" s="160">
        <v>0.0</v>
      </c>
      <c r="I452" s="160">
        <v>0.0</v>
      </c>
      <c r="J452" s="160">
        <v>0.0</v>
      </c>
      <c r="K452" s="160">
        <v>0.0</v>
      </c>
      <c r="L452" s="160">
        <v>527839.9</v>
      </c>
      <c r="M452" s="160">
        <v>9718.5</v>
      </c>
      <c r="N452" s="160">
        <v>0.0</v>
      </c>
      <c r="O452" s="160">
        <v>0.0</v>
      </c>
      <c r="P452" s="160">
        <v>0.0</v>
      </c>
      <c r="Q452" s="160">
        <v>0.0</v>
      </c>
      <c r="R452" s="160">
        <v>0.0</v>
      </c>
      <c r="S452" s="160">
        <v>10560.0</v>
      </c>
      <c r="T452" s="160">
        <v>0.0</v>
      </c>
      <c r="U452" s="160">
        <v>175890.0</v>
      </c>
      <c r="V452" s="160">
        <v>0.0</v>
      </c>
      <c r="W452" s="160">
        <v>0.0</v>
      </c>
      <c r="X452" s="160">
        <v>0.0</v>
      </c>
      <c r="Y452" s="160">
        <v>813537.4</v>
      </c>
    </row>
    <row r="453">
      <c r="A453" s="157" t="s">
        <v>827</v>
      </c>
      <c r="B453" s="160">
        <v>0.0</v>
      </c>
      <c r="C453" s="160">
        <v>0.0</v>
      </c>
      <c r="D453" s="160">
        <v>0.0</v>
      </c>
      <c r="E453" s="160">
        <v>0.0</v>
      </c>
      <c r="F453" s="160">
        <v>0.0</v>
      </c>
      <c r="G453" s="160">
        <v>0.0</v>
      </c>
      <c r="H453" s="160">
        <v>0.0</v>
      </c>
      <c r="I453" s="160">
        <v>0.0</v>
      </c>
      <c r="J453" s="160">
        <v>0.0</v>
      </c>
      <c r="K453" s="160">
        <v>0.0</v>
      </c>
      <c r="L453" s="160">
        <v>0.0</v>
      </c>
      <c r="M453" s="160">
        <v>0.0</v>
      </c>
      <c r="N453" s="160">
        <v>0.0</v>
      </c>
      <c r="O453" s="160">
        <v>0.0</v>
      </c>
      <c r="P453" s="160">
        <v>0.0</v>
      </c>
      <c r="Q453" s="160">
        <v>0.0</v>
      </c>
      <c r="R453" s="160">
        <v>0.0</v>
      </c>
      <c r="S453" s="160">
        <v>0.0</v>
      </c>
      <c r="T453" s="160">
        <v>0.0</v>
      </c>
      <c r="U453" s="160">
        <v>0.0</v>
      </c>
      <c r="V453" s="160">
        <v>0.0</v>
      </c>
      <c r="W453" s="160">
        <v>0.0</v>
      </c>
      <c r="X453" s="160">
        <v>0.0</v>
      </c>
      <c r="Y453" s="160">
        <v>0.0</v>
      </c>
    </row>
    <row r="454">
      <c r="A454" s="157" t="s">
        <v>271</v>
      </c>
      <c r="B454" s="160">
        <v>105224.82</v>
      </c>
      <c r="C454" s="160">
        <v>943840.2</v>
      </c>
      <c r="D454" s="160">
        <v>698284.0</v>
      </c>
      <c r="E454" s="160">
        <v>479261.2</v>
      </c>
      <c r="F454" s="160">
        <v>33935.2</v>
      </c>
      <c r="G454" s="160">
        <v>0.0</v>
      </c>
      <c r="H454" s="160">
        <v>1412988.9</v>
      </c>
      <c r="I454" s="160">
        <v>0.0</v>
      </c>
      <c r="J454" s="160">
        <v>1750665.87</v>
      </c>
      <c r="K454" s="160">
        <v>12730.64</v>
      </c>
      <c r="L454" s="160">
        <v>3679942.3</v>
      </c>
      <c r="M454" s="160">
        <v>47559.2</v>
      </c>
      <c r="N454" s="160">
        <v>905560.03</v>
      </c>
      <c r="O454" s="160">
        <v>2336291.67</v>
      </c>
      <c r="P454" s="160">
        <v>3372476.93</v>
      </c>
      <c r="Q454" s="160">
        <v>0.0</v>
      </c>
      <c r="R454" s="160">
        <v>1452298.0</v>
      </c>
      <c r="S454" s="160">
        <v>10710.0</v>
      </c>
      <c r="T454" s="160">
        <v>204386.0</v>
      </c>
      <c r="U454" s="160">
        <v>554518.88</v>
      </c>
      <c r="V454" s="160">
        <v>0.0</v>
      </c>
      <c r="W454" s="160">
        <v>0.0</v>
      </c>
      <c r="X454" s="160">
        <v>0.0</v>
      </c>
      <c r="Y454" s="160">
        <v>1.800067383E7</v>
      </c>
    </row>
    <row r="455">
      <c r="A455" s="157" t="s">
        <v>430</v>
      </c>
      <c r="B455" s="160">
        <v>0.0</v>
      </c>
      <c r="C455" s="160">
        <v>12391.8</v>
      </c>
      <c r="D455" s="160">
        <v>0.0</v>
      </c>
      <c r="E455" s="160">
        <v>56920.2</v>
      </c>
      <c r="F455" s="160">
        <v>0.0</v>
      </c>
      <c r="G455" s="160">
        <v>0.0</v>
      </c>
      <c r="H455" s="160">
        <v>12967.5</v>
      </c>
      <c r="I455" s="160">
        <v>0.0</v>
      </c>
      <c r="J455" s="160">
        <v>41094.15</v>
      </c>
      <c r="K455" s="160">
        <v>0.0</v>
      </c>
      <c r="L455" s="160">
        <v>514305.87</v>
      </c>
      <c r="M455" s="160">
        <v>142807.8</v>
      </c>
      <c r="N455" s="160">
        <v>31669.2</v>
      </c>
      <c r="O455" s="160">
        <v>0.0</v>
      </c>
      <c r="P455" s="160">
        <v>0.0</v>
      </c>
      <c r="Q455" s="160">
        <v>0.0</v>
      </c>
      <c r="R455" s="160">
        <v>0.0</v>
      </c>
      <c r="S455" s="160">
        <v>0.0</v>
      </c>
      <c r="T455" s="160">
        <v>0.0</v>
      </c>
      <c r="U455" s="160">
        <v>0.0</v>
      </c>
      <c r="V455" s="160">
        <v>0.0</v>
      </c>
      <c r="W455" s="160">
        <v>0.0</v>
      </c>
      <c r="X455" s="160">
        <v>0.0</v>
      </c>
      <c r="Y455" s="160">
        <v>812156.52</v>
      </c>
    </row>
    <row r="456">
      <c r="A456" s="157" t="s">
        <v>828</v>
      </c>
      <c r="B456" s="160">
        <v>0.0</v>
      </c>
      <c r="C456" s="160">
        <v>0.0</v>
      </c>
      <c r="D456" s="160">
        <v>0.0</v>
      </c>
      <c r="E456" s="160">
        <v>0.0</v>
      </c>
      <c r="F456" s="160">
        <v>0.0</v>
      </c>
      <c r="G456" s="160">
        <v>0.0</v>
      </c>
      <c r="H456" s="160">
        <v>0.0</v>
      </c>
      <c r="I456" s="160">
        <v>0.0</v>
      </c>
      <c r="J456" s="160">
        <v>0.0</v>
      </c>
      <c r="K456" s="160">
        <v>0.0</v>
      </c>
      <c r="L456" s="160">
        <v>0.0</v>
      </c>
      <c r="M456" s="160">
        <v>0.0</v>
      </c>
      <c r="N456" s="160">
        <v>0.0</v>
      </c>
      <c r="O456" s="160">
        <v>0.0</v>
      </c>
      <c r="P456" s="160">
        <v>0.0</v>
      </c>
      <c r="Q456" s="160">
        <v>0.0</v>
      </c>
      <c r="R456" s="160">
        <v>0.0</v>
      </c>
      <c r="S456" s="160">
        <v>0.0</v>
      </c>
      <c r="T456" s="160">
        <v>0.0</v>
      </c>
      <c r="U456" s="160">
        <v>0.0</v>
      </c>
      <c r="V456" s="160">
        <v>0.0</v>
      </c>
      <c r="W456" s="160">
        <v>0.0</v>
      </c>
      <c r="X456" s="160">
        <v>0.0</v>
      </c>
      <c r="Y456" s="160">
        <v>0.0</v>
      </c>
    </row>
    <row r="457">
      <c r="A457" s="157" t="s">
        <v>829</v>
      </c>
      <c r="B457" s="160">
        <v>0.0</v>
      </c>
      <c r="C457" s="160">
        <v>0.0</v>
      </c>
      <c r="D457" s="160">
        <v>0.0</v>
      </c>
      <c r="E457" s="160">
        <v>0.0</v>
      </c>
      <c r="F457" s="160">
        <v>0.0</v>
      </c>
      <c r="G457" s="160">
        <v>0.0</v>
      </c>
      <c r="H457" s="160">
        <v>0.0</v>
      </c>
      <c r="I457" s="160">
        <v>0.0</v>
      </c>
      <c r="J457" s="160">
        <v>0.0</v>
      </c>
      <c r="K457" s="160">
        <v>0.0</v>
      </c>
      <c r="L457" s="160">
        <v>0.0</v>
      </c>
      <c r="M457" s="160">
        <v>0.0</v>
      </c>
      <c r="N457" s="160">
        <v>0.0</v>
      </c>
      <c r="O457" s="160">
        <v>0.0</v>
      </c>
      <c r="P457" s="160">
        <v>0.0</v>
      </c>
      <c r="Q457" s="160">
        <v>0.0</v>
      </c>
      <c r="R457" s="160">
        <v>0.0</v>
      </c>
      <c r="S457" s="160">
        <v>0.0</v>
      </c>
      <c r="T457" s="160">
        <v>0.0</v>
      </c>
      <c r="U457" s="160">
        <v>0.0</v>
      </c>
      <c r="V457" s="160">
        <v>0.0</v>
      </c>
      <c r="W457" s="160">
        <v>0.0</v>
      </c>
      <c r="X457" s="160">
        <v>0.0</v>
      </c>
      <c r="Y457" s="160">
        <v>0.0</v>
      </c>
    </row>
    <row r="458">
      <c r="A458" s="157" t="s">
        <v>830</v>
      </c>
      <c r="B458" s="160">
        <v>0.0</v>
      </c>
      <c r="C458" s="160">
        <v>0.0</v>
      </c>
      <c r="D458" s="160">
        <v>0.0</v>
      </c>
      <c r="E458" s="160">
        <v>0.0</v>
      </c>
      <c r="F458" s="160">
        <v>0.0</v>
      </c>
      <c r="G458" s="160">
        <v>0.0</v>
      </c>
      <c r="H458" s="160">
        <v>0.0</v>
      </c>
      <c r="I458" s="160">
        <v>0.0</v>
      </c>
      <c r="J458" s="160">
        <v>0.0</v>
      </c>
      <c r="K458" s="160">
        <v>0.0</v>
      </c>
      <c r="L458" s="160">
        <v>0.0</v>
      </c>
      <c r="M458" s="160">
        <v>0.0</v>
      </c>
      <c r="N458" s="160">
        <v>0.0</v>
      </c>
      <c r="O458" s="160">
        <v>0.0</v>
      </c>
      <c r="P458" s="160">
        <v>0.0</v>
      </c>
      <c r="Q458" s="160">
        <v>0.0</v>
      </c>
      <c r="R458" s="160">
        <v>0.0</v>
      </c>
      <c r="S458" s="160">
        <v>0.0</v>
      </c>
      <c r="T458" s="160">
        <v>0.0</v>
      </c>
      <c r="U458" s="160">
        <v>0.0</v>
      </c>
      <c r="V458" s="160">
        <v>0.0</v>
      </c>
      <c r="W458" s="160">
        <v>0.0</v>
      </c>
      <c r="X458" s="160">
        <v>0.0</v>
      </c>
      <c r="Y458" s="160">
        <v>0.0</v>
      </c>
    </row>
    <row r="459">
      <c r="A459" s="157" t="s">
        <v>831</v>
      </c>
      <c r="B459" s="160">
        <v>0.0</v>
      </c>
      <c r="C459" s="160">
        <v>0.0</v>
      </c>
      <c r="D459" s="160">
        <v>0.0</v>
      </c>
      <c r="E459" s="160">
        <v>0.0</v>
      </c>
      <c r="F459" s="160">
        <v>0.0</v>
      </c>
      <c r="G459" s="160">
        <v>0.0</v>
      </c>
      <c r="H459" s="160">
        <v>0.0</v>
      </c>
      <c r="I459" s="160">
        <v>0.0</v>
      </c>
      <c r="J459" s="160">
        <v>70849.35</v>
      </c>
      <c r="K459" s="160">
        <v>0.0</v>
      </c>
      <c r="L459" s="160">
        <v>94371.45</v>
      </c>
      <c r="M459" s="160">
        <v>0.0</v>
      </c>
      <c r="N459" s="160">
        <v>0.0</v>
      </c>
      <c r="O459" s="160">
        <v>41805.99</v>
      </c>
      <c r="P459" s="160">
        <v>0.0</v>
      </c>
      <c r="Q459" s="160">
        <v>0.0</v>
      </c>
      <c r="R459" s="160">
        <v>222588.75</v>
      </c>
      <c r="S459" s="160">
        <v>32831.2</v>
      </c>
      <c r="T459" s="160">
        <v>0.0</v>
      </c>
      <c r="U459" s="160">
        <v>0.0</v>
      </c>
      <c r="V459" s="160">
        <v>0.0</v>
      </c>
      <c r="W459" s="160">
        <v>0.0</v>
      </c>
      <c r="X459" s="160">
        <v>0.0</v>
      </c>
      <c r="Y459" s="160">
        <v>462446.74</v>
      </c>
    </row>
    <row r="460">
      <c r="A460" s="157" t="s">
        <v>442</v>
      </c>
      <c r="B460" s="160">
        <v>76949.38</v>
      </c>
      <c r="C460" s="160">
        <v>555520.8</v>
      </c>
      <c r="D460" s="160">
        <v>641924.4</v>
      </c>
      <c r="E460" s="160">
        <v>241547.0</v>
      </c>
      <c r="F460" s="160">
        <v>7035.6</v>
      </c>
      <c r="G460" s="160">
        <v>0.0</v>
      </c>
      <c r="H460" s="160">
        <v>199844.4</v>
      </c>
      <c r="I460" s="160">
        <v>0.0</v>
      </c>
      <c r="J460" s="160">
        <v>378681.35</v>
      </c>
      <c r="K460" s="160">
        <v>0.0</v>
      </c>
      <c r="L460" s="160">
        <v>236824.24</v>
      </c>
      <c r="M460" s="160">
        <v>128836.0</v>
      </c>
      <c r="N460" s="160">
        <v>145603.6</v>
      </c>
      <c r="O460" s="160">
        <v>1197336.43</v>
      </c>
      <c r="P460" s="160">
        <v>998007.23</v>
      </c>
      <c r="Q460" s="160">
        <v>0.0</v>
      </c>
      <c r="R460" s="160">
        <v>108170.0</v>
      </c>
      <c r="S460" s="160">
        <v>2654.4</v>
      </c>
      <c r="T460" s="160">
        <v>0.0</v>
      </c>
      <c r="U460" s="160">
        <v>0.0</v>
      </c>
      <c r="V460" s="160">
        <v>0.0</v>
      </c>
      <c r="W460" s="160">
        <v>0.0</v>
      </c>
      <c r="X460" s="160">
        <v>0.0</v>
      </c>
      <c r="Y460" s="160">
        <v>4918934.83</v>
      </c>
    </row>
    <row r="461">
      <c r="A461" s="157" t="s">
        <v>832</v>
      </c>
      <c r="B461" s="160">
        <v>0.0</v>
      </c>
      <c r="C461" s="160">
        <v>189243.6</v>
      </c>
      <c r="D461" s="160">
        <v>25688.0</v>
      </c>
      <c r="E461" s="160">
        <v>0.0</v>
      </c>
      <c r="F461" s="160">
        <v>0.0</v>
      </c>
      <c r="G461" s="160">
        <v>0.0</v>
      </c>
      <c r="H461" s="160">
        <v>34242.0</v>
      </c>
      <c r="I461" s="160">
        <v>0.0</v>
      </c>
      <c r="J461" s="160">
        <v>0.0</v>
      </c>
      <c r="K461" s="160">
        <v>0.0</v>
      </c>
      <c r="L461" s="160">
        <v>4659.2</v>
      </c>
      <c r="M461" s="160">
        <v>80683.2</v>
      </c>
      <c r="N461" s="160">
        <v>52727.7</v>
      </c>
      <c r="O461" s="160">
        <v>0.0</v>
      </c>
      <c r="P461" s="160">
        <v>0.0</v>
      </c>
      <c r="Q461" s="160">
        <v>0.0</v>
      </c>
      <c r="R461" s="160">
        <v>0.0</v>
      </c>
      <c r="S461" s="160">
        <v>0.0</v>
      </c>
      <c r="T461" s="160">
        <v>0.0</v>
      </c>
      <c r="U461" s="160">
        <v>159728.4</v>
      </c>
      <c r="V461" s="160">
        <v>0.0</v>
      </c>
      <c r="W461" s="160">
        <v>0.0</v>
      </c>
      <c r="X461" s="160">
        <v>0.0</v>
      </c>
      <c r="Y461" s="160">
        <v>546972.1</v>
      </c>
    </row>
    <row r="462">
      <c r="A462" s="157" t="s">
        <v>165</v>
      </c>
      <c r="B462" s="160">
        <v>2480883.13</v>
      </c>
      <c r="C462" s="160">
        <v>218398.34</v>
      </c>
      <c r="D462" s="160">
        <v>94037.7</v>
      </c>
      <c r="E462" s="160">
        <v>3094.0</v>
      </c>
      <c r="F462" s="160">
        <v>20846.8</v>
      </c>
      <c r="G462" s="160">
        <v>0.0</v>
      </c>
      <c r="H462" s="160">
        <v>271504.6</v>
      </c>
      <c r="I462" s="160">
        <v>9369.0</v>
      </c>
      <c r="J462" s="160">
        <v>3073164.46</v>
      </c>
      <c r="K462" s="160">
        <v>41010.0</v>
      </c>
      <c r="L462" s="160">
        <v>1148717.88</v>
      </c>
      <c r="M462" s="160">
        <v>243441.4</v>
      </c>
      <c r="N462" s="160">
        <v>1319271.6</v>
      </c>
      <c r="O462" s="160">
        <v>213267.76</v>
      </c>
      <c r="P462" s="160">
        <v>714459.28</v>
      </c>
      <c r="Q462" s="160">
        <v>11214.0</v>
      </c>
      <c r="R462" s="160">
        <v>2277018.75</v>
      </c>
      <c r="S462" s="160">
        <v>694787.35</v>
      </c>
      <c r="T462" s="160">
        <v>12719.2</v>
      </c>
      <c r="U462" s="160">
        <v>799086.36</v>
      </c>
      <c r="V462" s="160">
        <v>0.0</v>
      </c>
      <c r="W462" s="160">
        <v>0.0</v>
      </c>
      <c r="X462" s="160">
        <v>0.0</v>
      </c>
      <c r="Y462" s="160">
        <v>1.364629161E7</v>
      </c>
    </row>
    <row r="463">
      <c r="A463" s="157" t="s">
        <v>312</v>
      </c>
      <c r="B463" s="160">
        <v>0.0</v>
      </c>
      <c r="C463" s="160">
        <v>161367.6</v>
      </c>
      <c r="D463" s="160">
        <v>56811.0</v>
      </c>
      <c r="E463" s="160">
        <v>1337828.0</v>
      </c>
      <c r="F463" s="160">
        <v>68277.6</v>
      </c>
      <c r="G463" s="160">
        <v>1206387.3</v>
      </c>
      <c r="H463" s="160">
        <v>199531.6</v>
      </c>
      <c r="I463" s="160">
        <v>0.0</v>
      </c>
      <c r="J463" s="160">
        <v>0.0</v>
      </c>
      <c r="K463" s="160">
        <v>0.0</v>
      </c>
      <c r="L463" s="160">
        <v>2481166.94</v>
      </c>
      <c r="M463" s="160">
        <v>738571.99</v>
      </c>
      <c r="N463" s="160">
        <v>135334.3</v>
      </c>
      <c r="O463" s="160">
        <v>0.0</v>
      </c>
      <c r="P463" s="160">
        <v>0.0</v>
      </c>
      <c r="Q463" s="160">
        <v>0.0</v>
      </c>
      <c r="R463" s="160">
        <v>0.0</v>
      </c>
      <c r="S463" s="160">
        <v>0.0</v>
      </c>
      <c r="T463" s="160">
        <v>4129.6</v>
      </c>
      <c r="U463" s="160">
        <v>897925.85</v>
      </c>
      <c r="V463" s="160">
        <v>0.0</v>
      </c>
      <c r="W463" s="160">
        <v>0.0</v>
      </c>
      <c r="X463" s="160">
        <v>0.0</v>
      </c>
      <c r="Y463" s="160">
        <v>7287331.78</v>
      </c>
    </row>
    <row r="464">
      <c r="A464" s="157" t="s">
        <v>833</v>
      </c>
      <c r="B464" s="160">
        <v>0.0</v>
      </c>
      <c r="C464" s="160">
        <v>0.0</v>
      </c>
      <c r="D464" s="160">
        <v>0.0</v>
      </c>
      <c r="E464" s="160">
        <v>0.0</v>
      </c>
      <c r="F464" s="160">
        <v>0.0</v>
      </c>
      <c r="G464" s="160">
        <v>0.0</v>
      </c>
      <c r="H464" s="160">
        <v>0.0</v>
      </c>
      <c r="I464" s="160">
        <v>0.0</v>
      </c>
      <c r="J464" s="160">
        <v>0.0</v>
      </c>
      <c r="K464" s="160">
        <v>0.0</v>
      </c>
      <c r="L464" s="160">
        <v>0.0</v>
      </c>
      <c r="M464" s="160">
        <v>0.0</v>
      </c>
      <c r="N464" s="160">
        <v>0.0</v>
      </c>
      <c r="O464" s="160">
        <v>0.0</v>
      </c>
      <c r="P464" s="160">
        <v>0.0</v>
      </c>
      <c r="Q464" s="160">
        <v>0.0</v>
      </c>
      <c r="R464" s="160">
        <v>0.0</v>
      </c>
      <c r="S464" s="160">
        <v>0.0</v>
      </c>
      <c r="T464" s="160">
        <v>0.0</v>
      </c>
      <c r="U464" s="160">
        <v>0.0</v>
      </c>
      <c r="V464" s="160">
        <v>0.0</v>
      </c>
      <c r="W464" s="160">
        <v>0.0</v>
      </c>
      <c r="X464" s="160">
        <v>0.0</v>
      </c>
      <c r="Y464" s="160">
        <v>0.0</v>
      </c>
    </row>
    <row r="465">
      <c r="A465" s="157" t="s">
        <v>834</v>
      </c>
      <c r="B465" s="160">
        <v>0.0</v>
      </c>
      <c r="C465" s="160">
        <v>0.0</v>
      </c>
      <c r="D465" s="160">
        <v>0.0</v>
      </c>
      <c r="E465" s="160">
        <v>0.0</v>
      </c>
      <c r="F465" s="160">
        <v>0.0</v>
      </c>
      <c r="G465" s="160">
        <v>0.0</v>
      </c>
      <c r="H465" s="160">
        <v>0.0</v>
      </c>
      <c r="I465" s="160">
        <v>0.0</v>
      </c>
      <c r="J465" s="160">
        <v>0.0</v>
      </c>
      <c r="K465" s="160">
        <v>0.0</v>
      </c>
      <c r="L465" s="160">
        <v>0.0</v>
      </c>
      <c r="M465" s="160">
        <v>0.0</v>
      </c>
      <c r="N465" s="160">
        <v>0.0</v>
      </c>
      <c r="O465" s="160">
        <v>0.0</v>
      </c>
      <c r="P465" s="160">
        <v>0.0</v>
      </c>
      <c r="Q465" s="160">
        <v>0.0</v>
      </c>
      <c r="R465" s="160">
        <v>0.0</v>
      </c>
      <c r="S465" s="160">
        <v>0.0</v>
      </c>
      <c r="T465" s="160">
        <v>0.0</v>
      </c>
      <c r="U465" s="160">
        <v>0.0</v>
      </c>
      <c r="V465" s="160">
        <v>0.0</v>
      </c>
      <c r="W465" s="160">
        <v>0.0</v>
      </c>
      <c r="X465" s="160">
        <v>0.0</v>
      </c>
      <c r="Y465" s="160">
        <v>0.0</v>
      </c>
    </row>
    <row r="466">
      <c r="A466" s="157" t="s">
        <v>835</v>
      </c>
      <c r="B466" s="160">
        <v>0.0</v>
      </c>
      <c r="C466" s="160">
        <v>0.0</v>
      </c>
      <c r="D466" s="160">
        <v>0.0</v>
      </c>
      <c r="E466" s="160">
        <v>0.0</v>
      </c>
      <c r="F466" s="160">
        <v>0.0</v>
      </c>
      <c r="G466" s="160">
        <v>0.0</v>
      </c>
      <c r="H466" s="160">
        <v>0.0</v>
      </c>
      <c r="I466" s="160">
        <v>0.0</v>
      </c>
      <c r="J466" s="160">
        <v>0.0</v>
      </c>
      <c r="K466" s="160">
        <v>0.0</v>
      </c>
      <c r="L466" s="160">
        <v>0.0</v>
      </c>
      <c r="M466" s="160">
        <v>0.0</v>
      </c>
      <c r="N466" s="160">
        <v>0.0</v>
      </c>
      <c r="O466" s="160">
        <v>0.0</v>
      </c>
      <c r="P466" s="160">
        <v>0.0</v>
      </c>
      <c r="Q466" s="160">
        <v>0.0</v>
      </c>
      <c r="R466" s="160">
        <v>0.0</v>
      </c>
      <c r="S466" s="160">
        <v>0.0</v>
      </c>
      <c r="T466" s="160">
        <v>0.0</v>
      </c>
      <c r="U466" s="160">
        <v>0.0</v>
      </c>
      <c r="V466" s="160">
        <v>0.0</v>
      </c>
      <c r="W466" s="160">
        <v>0.0</v>
      </c>
      <c r="X466" s="160">
        <v>0.0</v>
      </c>
      <c r="Y466" s="160">
        <v>0.0</v>
      </c>
    </row>
    <row r="467">
      <c r="A467" s="157" t="s">
        <v>836</v>
      </c>
      <c r="B467" s="160">
        <v>0.0</v>
      </c>
      <c r="C467" s="160">
        <v>0.0</v>
      </c>
      <c r="D467" s="160">
        <v>0.0</v>
      </c>
      <c r="E467" s="160">
        <v>0.0</v>
      </c>
      <c r="F467" s="160">
        <v>0.0</v>
      </c>
      <c r="G467" s="160">
        <v>0.0</v>
      </c>
      <c r="H467" s="160">
        <v>0.0</v>
      </c>
      <c r="I467" s="160">
        <v>0.0</v>
      </c>
      <c r="J467" s="160">
        <v>0.0</v>
      </c>
      <c r="K467" s="160">
        <v>0.0</v>
      </c>
      <c r="L467" s="160">
        <v>0.0</v>
      </c>
      <c r="M467" s="160">
        <v>0.0</v>
      </c>
      <c r="N467" s="160">
        <v>0.0</v>
      </c>
      <c r="O467" s="160">
        <v>0.0</v>
      </c>
      <c r="P467" s="160">
        <v>0.0</v>
      </c>
      <c r="Q467" s="160">
        <v>0.0</v>
      </c>
      <c r="R467" s="160">
        <v>0.0</v>
      </c>
      <c r="S467" s="160">
        <v>0.0</v>
      </c>
      <c r="T467" s="160">
        <v>0.0</v>
      </c>
      <c r="U467" s="160">
        <v>0.0</v>
      </c>
      <c r="V467" s="160">
        <v>0.0</v>
      </c>
      <c r="W467" s="160">
        <v>0.0</v>
      </c>
      <c r="X467" s="160">
        <v>0.0</v>
      </c>
      <c r="Y467" s="160">
        <v>0.0</v>
      </c>
    </row>
    <row r="468">
      <c r="A468" s="157" t="s">
        <v>348</v>
      </c>
      <c r="B468" s="160">
        <v>0.0</v>
      </c>
      <c r="C468" s="160">
        <v>1885184.04</v>
      </c>
      <c r="D468" s="160">
        <v>331594.6</v>
      </c>
      <c r="E468" s="160">
        <v>170682.4</v>
      </c>
      <c r="F468" s="160">
        <v>657445.8</v>
      </c>
      <c r="G468" s="160">
        <v>108751.0</v>
      </c>
      <c r="H468" s="160">
        <v>0.0</v>
      </c>
      <c r="I468" s="160">
        <v>0.0</v>
      </c>
      <c r="J468" s="160">
        <v>0.0</v>
      </c>
      <c r="K468" s="160">
        <v>0.0</v>
      </c>
      <c r="L468" s="160">
        <v>510411.0</v>
      </c>
      <c r="M468" s="160">
        <v>184014.0</v>
      </c>
      <c r="N468" s="160">
        <v>0.0</v>
      </c>
      <c r="O468" s="160">
        <v>0.0</v>
      </c>
      <c r="P468" s="160">
        <v>0.0</v>
      </c>
      <c r="Q468" s="160">
        <v>0.0</v>
      </c>
      <c r="R468" s="160">
        <v>0.0</v>
      </c>
      <c r="S468" s="160">
        <v>0.0</v>
      </c>
      <c r="T468" s="160">
        <v>0.0</v>
      </c>
      <c r="U468" s="160">
        <v>703168.8</v>
      </c>
      <c r="V468" s="160">
        <v>0.0</v>
      </c>
      <c r="W468" s="160">
        <v>0.0</v>
      </c>
      <c r="X468" s="160">
        <v>0.0</v>
      </c>
      <c r="Y468" s="160">
        <v>4551251.64</v>
      </c>
    </row>
    <row r="469">
      <c r="A469" s="157" t="s">
        <v>102</v>
      </c>
      <c r="B469" s="160">
        <v>0.0</v>
      </c>
      <c r="C469" s="160">
        <v>1613373.0</v>
      </c>
      <c r="D469" s="160">
        <v>503885.8</v>
      </c>
      <c r="E469" s="160">
        <v>298923.2</v>
      </c>
      <c r="F469" s="160">
        <v>403943.2</v>
      </c>
      <c r="G469" s="160">
        <v>55572.0</v>
      </c>
      <c r="H469" s="160">
        <v>10296.0</v>
      </c>
      <c r="I469" s="160">
        <v>0.0</v>
      </c>
      <c r="J469" s="160">
        <v>0.0</v>
      </c>
      <c r="K469" s="160">
        <v>0.0</v>
      </c>
      <c r="L469" s="160">
        <v>1511160.0</v>
      </c>
      <c r="M469" s="160">
        <v>267425.6</v>
      </c>
      <c r="N469" s="160">
        <v>0.0</v>
      </c>
      <c r="O469" s="160">
        <v>0.0</v>
      </c>
      <c r="P469" s="160">
        <v>0.0</v>
      </c>
      <c r="Q469" s="160">
        <v>0.0</v>
      </c>
      <c r="R469" s="160">
        <v>0.0</v>
      </c>
      <c r="S469" s="160">
        <v>0.0</v>
      </c>
      <c r="T469" s="160">
        <v>0.0</v>
      </c>
      <c r="U469" s="160">
        <v>1997541.6</v>
      </c>
      <c r="V469" s="160">
        <v>0.0</v>
      </c>
      <c r="W469" s="160">
        <v>0.0</v>
      </c>
      <c r="X469" s="160">
        <v>0.0</v>
      </c>
      <c r="Y469" s="160">
        <v>6662120.4</v>
      </c>
    </row>
    <row r="470">
      <c r="A470" s="157" t="s">
        <v>837</v>
      </c>
      <c r="B470" s="160">
        <v>0.0</v>
      </c>
      <c r="C470" s="160">
        <v>0.0</v>
      </c>
      <c r="D470" s="160">
        <v>0.0</v>
      </c>
      <c r="E470" s="160">
        <v>0.0</v>
      </c>
      <c r="F470" s="160">
        <v>0.0</v>
      </c>
      <c r="G470" s="160">
        <v>0.0</v>
      </c>
      <c r="H470" s="160">
        <v>0.0</v>
      </c>
      <c r="I470" s="160">
        <v>0.0</v>
      </c>
      <c r="J470" s="160">
        <v>0.0</v>
      </c>
      <c r="K470" s="160">
        <v>0.0</v>
      </c>
      <c r="L470" s="160">
        <v>0.0</v>
      </c>
      <c r="M470" s="160">
        <v>0.0</v>
      </c>
      <c r="N470" s="160">
        <v>0.0</v>
      </c>
      <c r="O470" s="160">
        <v>0.0</v>
      </c>
      <c r="P470" s="160">
        <v>0.0</v>
      </c>
      <c r="Q470" s="160">
        <v>0.0</v>
      </c>
      <c r="R470" s="160">
        <v>0.0</v>
      </c>
      <c r="S470" s="160">
        <v>0.0</v>
      </c>
      <c r="T470" s="160">
        <v>0.0</v>
      </c>
      <c r="U470" s="160">
        <v>0.0</v>
      </c>
      <c r="V470" s="160">
        <v>0.0</v>
      </c>
      <c r="W470" s="160">
        <v>0.0</v>
      </c>
      <c r="X470" s="160">
        <v>0.0</v>
      </c>
      <c r="Y470" s="160">
        <v>0.0</v>
      </c>
    </row>
    <row r="471">
      <c r="A471" s="157" t="s">
        <v>838</v>
      </c>
      <c r="B471" s="160">
        <v>0.0</v>
      </c>
      <c r="C471" s="160">
        <v>0.0</v>
      </c>
      <c r="D471" s="160">
        <v>0.0</v>
      </c>
      <c r="E471" s="160">
        <v>0.0</v>
      </c>
      <c r="F471" s="160">
        <v>0.0</v>
      </c>
      <c r="G471" s="160">
        <v>0.0</v>
      </c>
      <c r="H471" s="160">
        <v>0.0</v>
      </c>
      <c r="I471" s="160">
        <v>0.0</v>
      </c>
      <c r="J471" s="160">
        <v>0.0</v>
      </c>
      <c r="K471" s="160">
        <v>0.0</v>
      </c>
      <c r="L471" s="160">
        <v>0.0</v>
      </c>
      <c r="M471" s="160">
        <v>0.0</v>
      </c>
      <c r="N471" s="160">
        <v>0.0</v>
      </c>
      <c r="O471" s="160">
        <v>0.0</v>
      </c>
      <c r="P471" s="160">
        <v>0.0</v>
      </c>
      <c r="Q471" s="160">
        <v>0.0</v>
      </c>
      <c r="R471" s="160">
        <v>0.0</v>
      </c>
      <c r="S471" s="160">
        <v>0.0</v>
      </c>
      <c r="T471" s="160">
        <v>0.0</v>
      </c>
      <c r="U471" s="160">
        <v>0.0</v>
      </c>
      <c r="V471" s="160">
        <v>0.0</v>
      </c>
      <c r="W471" s="160">
        <v>0.0</v>
      </c>
      <c r="X471" s="160">
        <v>0.0</v>
      </c>
      <c r="Y471" s="160">
        <v>0.0</v>
      </c>
    </row>
    <row r="472">
      <c r="A472" s="157" t="s">
        <v>839</v>
      </c>
      <c r="B472" s="160">
        <v>13534.69</v>
      </c>
      <c r="C472" s="160">
        <v>334609.83</v>
      </c>
      <c r="D472" s="160">
        <v>314544.91</v>
      </c>
      <c r="E472" s="160">
        <v>294865.55</v>
      </c>
      <c r="F472" s="160">
        <v>165496.7</v>
      </c>
      <c r="G472" s="160">
        <v>0.0</v>
      </c>
      <c r="H472" s="160">
        <v>184474.13</v>
      </c>
      <c r="I472" s="160">
        <v>0.0</v>
      </c>
      <c r="J472" s="160">
        <v>609973.29</v>
      </c>
      <c r="K472" s="160">
        <v>0.0</v>
      </c>
      <c r="L472" s="160">
        <v>954084.05</v>
      </c>
      <c r="M472" s="160">
        <v>153837.11</v>
      </c>
      <c r="N472" s="160">
        <v>476947.58</v>
      </c>
      <c r="O472" s="160">
        <v>584493.42</v>
      </c>
      <c r="P472" s="160">
        <v>279991.98</v>
      </c>
      <c r="Q472" s="160">
        <v>0.0</v>
      </c>
      <c r="R472" s="160">
        <v>144728.6</v>
      </c>
      <c r="S472" s="160">
        <v>0.0</v>
      </c>
      <c r="T472" s="160">
        <v>0.0</v>
      </c>
      <c r="U472" s="160">
        <v>373081.83</v>
      </c>
      <c r="V472" s="160">
        <v>0.0</v>
      </c>
      <c r="W472" s="160">
        <v>0.0</v>
      </c>
      <c r="X472" s="160">
        <v>0.0</v>
      </c>
      <c r="Y472" s="160">
        <v>4884663.69</v>
      </c>
    </row>
    <row r="473">
      <c r="A473" s="157" t="s">
        <v>840</v>
      </c>
      <c r="B473" s="160">
        <v>0.0</v>
      </c>
      <c r="C473" s="160">
        <v>0.0</v>
      </c>
      <c r="D473" s="160">
        <v>0.0</v>
      </c>
      <c r="E473" s="160">
        <v>0.0</v>
      </c>
      <c r="F473" s="160">
        <v>0.0</v>
      </c>
      <c r="G473" s="160">
        <v>0.0</v>
      </c>
      <c r="H473" s="160">
        <v>0.0</v>
      </c>
      <c r="I473" s="160">
        <v>0.0</v>
      </c>
      <c r="J473" s="160">
        <v>0.0</v>
      </c>
      <c r="K473" s="160">
        <v>0.0</v>
      </c>
      <c r="L473" s="160">
        <v>0.0</v>
      </c>
      <c r="M473" s="160">
        <v>0.0</v>
      </c>
      <c r="N473" s="160">
        <v>0.0</v>
      </c>
      <c r="O473" s="160">
        <v>0.0</v>
      </c>
      <c r="P473" s="160">
        <v>0.0</v>
      </c>
      <c r="Q473" s="160">
        <v>0.0</v>
      </c>
      <c r="R473" s="160">
        <v>0.0</v>
      </c>
      <c r="S473" s="160">
        <v>0.0</v>
      </c>
      <c r="T473" s="160">
        <v>0.0</v>
      </c>
      <c r="U473" s="160">
        <v>0.0</v>
      </c>
      <c r="V473" s="160">
        <v>0.0</v>
      </c>
      <c r="W473" s="160">
        <v>0.0</v>
      </c>
      <c r="X473" s="160">
        <v>0.0</v>
      </c>
      <c r="Y473" s="160">
        <v>0.0</v>
      </c>
    </row>
    <row r="474">
      <c r="A474" s="157" t="s">
        <v>841</v>
      </c>
      <c r="B474" s="160">
        <v>0.0</v>
      </c>
      <c r="C474" s="160">
        <v>0.0</v>
      </c>
      <c r="D474" s="160">
        <v>0.0</v>
      </c>
      <c r="E474" s="160">
        <v>0.0</v>
      </c>
      <c r="F474" s="160">
        <v>0.0</v>
      </c>
      <c r="G474" s="160">
        <v>0.0</v>
      </c>
      <c r="H474" s="160">
        <v>0.0</v>
      </c>
      <c r="I474" s="160">
        <v>0.0</v>
      </c>
      <c r="J474" s="160">
        <v>0.0</v>
      </c>
      <c r="K474" s="160">
        <v>0.0</v>
      </c>
      <c r="L474" s="160">
        <v>0.0</v>
      </c>
      <c r="M474" s="160">
        <v>0.0</v>
      </c>
      <c r="N474" s="160">
        <v>0.0</v>
      </c>
      <c r="O474" s="160">
        <v>0.0</v>
      </c>
      <c r="P474" s="160">
        <v>0.0</v>
      </c>
      <c r="Q474" s="160">
        <v>0.0</v>
      </c>
      <c r="R474" s="160">
        <v>0.0</v>
      </c>
      <c r="S474" s="160">
        <v>0.0</v>
      </c>
      <c r="T474" s="160">
        <v>0.0</v>
      </c>
      <c r="U474" s="160">
        <v>0.0</v>
      </c>
      <c r="V474" s="160">
        <v>0.0</v>
      </c>
      <c r="W474" s="160">
        <v>0.0</v>
      </c>
      <c r="X474" s="160">
        <v>0.0</v>
      </c>
      <c r="Y474" s="160">
        <v>0.0</v>
      </c>
    </row>
    <row r="475">
      <c r="A475" s="157" t="s">
        <v>842</v>
      </c>
      <c r="B475" s="160">
        <v>0.0</v>
      </c>
      <c r="C475" s="160">
        <v>0.0</v>
      </c>
      <c r="D475" s="160">
        <v>0.0</v>
      </c>
      <c r="E475" s="160">
        <v>0.0</v>
      </c>
      <c r="F475" s="160">
        <v>0.0</v>
      </c>
      <c r="G475" s="160">
        <v>0.0</v>
      </c>
      <c r="H475" s="160">
        <v>0.0</v>
      </c>
      <c r="I475" s="160">
        <v>0.0</v>
      </c>
      <c r="J475" s="160">
        <v>0.0</v>
      </c>
      <c r="K475" s="160">
        <v>0.0</v>
      </c>
      <c r="L475" s="160">
        <v>0.0</v>
      </c>
      <c r="M475" s="160">
        <v>0.0</v>
      </c>
      <c r="N475" s="160">
        <v>0.0</v>
      </c>
      <c r="O475" s="160">
        <v>0.0</v>
      </c>
      <c r="P475" s="160">
        <v>0.0</v>
      </c>
      <c r="Q475" s="160">
        <v>0.0</v>
      </c>
      <c r="R475" s="160">
        <v>0.0</v>
      </c>
      <c r="S475" s="160">
        <v>0.0</v>
      </c>
      <c r="T475" s="160">
        <v>0.0</v>
      </c>
      <c r="U475" s="160">
        <v>0.0</v>
      </c>
      <c r="V475" s="160">
        <v>0.0</v>
      </c>
      <c r="W475" s="160">
        <v>0.0</v>
      </c>
      <c r="X475" s="160">
        <v>0.0</v>
      </c>
      <c r="Y475" s="160">
        <v>0.0</v>
      </c>
    </row>
    <row r="476">
      <c r="A476" s="157" t="s">
        <v>843</v>
      </c>
      <c r="B476" s="160">
        <v>0.0</v>
      </c>
      <c r="C476" s="160">
        <v>0.0</v>
      </c>
      <c r="D476" s="160">
        <v>0.0</v>
      </c>
      <c r="E476" s="160">
        <v>0.0</v>
      </c>
      <c r="F476" s="160">
        <v>0.0</v>
      </c>
      <c r="G476" s="160">
        <v>0.0</v>
      </c>
      <c r="H476" s="160">
        <v>0.0</v>
      </c>
      <c r="I476" s="160">
        <v>0.0</v>
      </c>
      <c r="J476" s="160">
        <v>0.0</v>
      </c>
      <c r="K476" s="160">
        <v>0.0</v>
      </c>
      <c r="L476" s="160">
        <v>0.0</v>
      </c>
      <c r="M476" s="160">
        <v>0.0</v>
      </c>
      <c r="N476" s="160">
        <v>0.0</v>
      </c>
      <c r="O476" s="160">
        <v>0.0</v>
      </c>
      <c r="P476" s="160">
        <v>0.0</v>
      </c>
      <c r="Q476" s="160">
        <v>0.0</v>
      </c>
      <c r="R476" s="160">
        <v>0.0</v>
      </c>
      <c r="S476" s="160">
        <v>0.0</v>
      </c>
      <c r="T476" s="160">
        <v>0.0</v>
      </c>
      <c r="U476" s="160">
        <v>0.0</v>
      </c>
      <c r="V476" s="160">
        <v>0.0</v>
      </c>
      <c r="W476" s="160">
        <v>0.0</v>
      </c>
      <c r="X476" s="160">
        <v>0.0</v>
      </c>
      <c r="Y476" s="160">
        <v>0.0</v>
      </c>
    </row>
    <row r="477">
      <c r="A477" s="157" t="s">
        <v>844</v>
      </c>
      <c r="B477" s="160">
        <v>0.0</v>
      </c>
      <c r="C477" s="160">
        <v>0.0</v>
      </c>
      <c r="D477" s="160">
        <v>0.0</v>
      </c>
      <c r="E477" s="160">
        <v>0.0</v>
      </c>
      <c r="F477" s="160">
        <v>0.0</v>
      </c>
      <c r="G477" s="160">
        <v>0.0</v>
      </c>
      <c r="H477" s="160">
        <v>0.0</v>
      </c>
      <c r="I477" s="160">
        <v>0.0</v>
      </c>
      <c r="J477" s="160">
        <v>0.0</v>
      </c>
      <c r="K477" s="160">
        <v>0.0</v>
      </c>
      <c r="L477" s="160">
        <v>0.0</v>
      </c>
      <c r="M477" s="160">
        <v>0.0</v>
      </c>
      <c r="N477" s="160">
        <v>0.0</v>
      </c>
      <c r="O477" s="160">
        <v>0.0</v>
      </c>
      <c r="P477" s="160">
        <v>0.0</v>
      </c>
      <c r="Q477" s="160">
        <v>0.0</v>
      </c>
      <c r="R477" s="160">
        <v>0.0</v>
      </c>
      <c r="S477" s="160">
        <v>0.0</v>
      </c>
      <c r="T477" s="160">
        <v>0.0</v>
      </c>
      <c r="U477" s="160">
        <v>0.0</v>
      </c>
      <c r="V477" s="160">
        <v>0.0</v>
      </c>
      <c r="W477" s="160">
        <v>0.0</v>
      </c>
      <c r="X477" s="160">
        <v>0.0</v>
      </c>
      <c r="Y477" s="160">
        <v>0.0</v>
      </c>
    </row>
    <row r="478">
      <c r="A478" s="157" t="s">
        <v>444</v>
      </c>
      <c r="B478" s="160">
        <v>0.0</v>
      </c>
      <c r="C478" s="160">
        <v>15848.0</v>
      </c>
      <c r="D478" s="160">
        <v>14476.0</v>
      </c>
      <c r="E478" s="160">
        <v>0.0</v>
      </c>
      <c r="F478" s="160">
        <v>0.0</v>
      </c>
      <c r="G478" s="160">
        <v>0.0</v>
      </c>
      <c r="H478" s="160">
        <v>144948.0</v>
      </c>
      <c r="I478" s="160">
        <v>4211.2</v>
      </c>
      <c r="J478" s="160">
        <v>2693.1</v>
      </c>
      <c r="K478" s="160">
        <v>0.0</v>
      </c>
      <c r="L478" s="160">
        <v>746576.08</v>
      </c>
      <c r="M478" s="160">
        <v>105795.2</v>
      </c>
      <c r="N478" s="160">
        <v>0.0</v>
      </c>
      <c r="O478" s="160">
        <v>0.0</v>
      </c>
      <c r="P478" s="160">
        <v>3108.0</v>
      </c>
      <c r="Q478" s="160">
        <v>0.0</v>
      </c>
      <c r="R478" s="160">
        <v>96475.0</v>
      </c>
      <c r="S478" s="160">
        <v>678876.8</v>
      </c>
      <c r="T478" s="160">
        <v>0.0</v>
      </c>
      <c r="U478" s="160">
        <v>102692.8</v>
      </c>
      <c r="V478" s="160">
        <v>0.0</v>
      </c>
      <c r="W478" s="160">
        <v>0.0</v>
      </c>
      <c r="X478" s="160">
        <v>0.0</v>
      </c>
      <c r="Y478" s="160">
        <v>1915700.18</v>
      </c>
    </row>
    <row r="479">
      <c r="A479" s="157" t="s">
        <v>845</v>
      </c>
      <c r="B479" s="160">
        <v>0.0</v>
      </c>
      <c r="C479" s="160">
        <v>0.0</v>
      </c>
      <c r="D479" s="160">
        <v>0.0</v>
      </c>
      <c r="E479" s="160">
        <v>0.0</v>
      </c>
      <c r="F479" s="160">
        <v>0.0</v>
      </c>
      <c r="G479" s="160">
        <v>0.0</v>
      </c>
      <c r="H479" s="160">
        <v>0.0</v>
      </c>
      <c r="I479" s="160">
        <v>0.0</v>
      </c>
      <c r="J479" s="160">
        <v>0.0</v>
      </c>
      <c r="K479" s="160">
        <v>0.0</v>
      </c>
      <c r="L479" s="160">
        <v>0.0</v>
      </c>
      <c r="M479" s="160">
        <v>0.0</v>
      </c>
      <c r="N479" s="160">
        <v>0.0</v>
      </c>
      <c r="O479" s="160">
        <v>0.0</v>
      </c>
      <c r="P479" s="160">
        <v>0.0</v>
      </c>
      <c r="Q479" s="160">
        <v>0.0</v>
      </c>
      <c r="R479" s="160">
        <v>0.0</v>
      </c>
      <c r="S479" s="160">
        <v>0.0</v>
      </c>
      <c r="T479" s="160">
        <v>0.0</v>
      </c>
      <c r="U479" s="160">
        <v>0.0</v>
      </c>
      <c r="V479" s="160">
        <v>0.0</v>
      </c>
      <c r="W479" s="160">
        <v>0.0</v>
      </c>
      <c r="X479" s="160">
        <v>0.0</v>
      </c>
      <c r="Y479" s="160">
        <v>0.0</v>
      </c>
    </row>
    <row r="480">
      <c r="A480" s="157" t="s">
        <v>846</v>
      </c>
      <c r="B480" s="160">
        <v>0.0</v>
      </c>
      <c r="C480" s="160">
        <v>0.0</v>
      </c>
      <c r="D480" s="160">
        <v>0.0</v>
      </c>
      <c r="E480" s="160">
        <v>0.0</v>
      </c>
      <c r="F480" s="160">
        <v>0.0</v>
      </c>
      <c r="G480" s="160">
        <v>0.0</v>
      </c>
      <c r="H480" s="160">
        <v>0.0</v>
      </c>
      <c r="I480" s="160">
        <v>0.0</v>
      </c>
      <c r="J480" s="160">
        <v>0.0</v>
      </c>
      <c r="K480" s="160">
        <v>0.0</v>
      </c>
      <c r="L480" s="160">
        <v>0.0</v>
      </c>
      <c r="M480" s="160">
        <v>0.0</v>
      </c>
      <c r="N480" s="160">
        <v>0.0</v>
      </c>
      <c r="O480" s="160">
        <v>0.0</v>
      </c>
      <c r="P480" s="160">
        <v>0.0</v>
      </c>
      <c r="Q480" s="160">
        <v>0.0</v>
      </c>
      <c r="R480" s="160">
        <v>0.0</v>
      </c>
      <c r="S480" s="160">
        <v>0.0</v>
      </c>
      <c r="T480" s="160">
        <v>0.0</v>
      </c>
      <c r="U480" s="160">
        <v>0.0</v>
      </c>
      <c r="V480" s="160">
        <v>0.0</v>
      </c>
      <c r="W480" s="160">
        <v>0.0</v>
      </c>
      <c r="X480" s="160">
        <v>0.0</v>
      </c>
      <c r="Y480" s="160">
        <v>0.0</v>
      </c>
    </row>
    <row r="481">
      <c r="A481" s="157" t="s">
        <v>847</v>
      </c>
      <c r="B481" s="160">
        <v>0.0</v>
      </c>
      <c r="C481" s="160">
        <v>0.0</v>
      </c>
      <c r="D481" s="160">
        <v>0.0</v>
      </c>
      <c r="E481" s="160">
        <v>0.0</v>
      </c>
      <c r="F481" s="160">
        <v>0.0</v>
      </c>
      <c r="G481" s="160">
        <v>0.0</v>
      </c>
      <c r="H481" s="160">
        <v>0.0</v>
      </c>
      <c r="I481" s="160">
        <v>0.0</v>
      </c>
      <c r="J481" s="160">
        <v>304996.01</v>
      </c>
      <c r="K481" s="160">
        <v>0.0</v>
      </c>
      <c r="L481" s="160">
        <v>11750.4</v>
      </c>
      <c r="M481" s="160">
        <v>0.0</v>
      </c>
      <c r="N481" s="160">
        <v>0.0</v>
      </c>
      <c r="O481" s="160">
        <v>20373.55</v>
      </c>
      <c r="P481" s="160">
        <v>0.0</v>
      </c>
      <c r="Q481" s="160">
        <v>0.0</v>
      </c>
      <c r="R481" s="160">
        <v>117500.0</v>
      </c>
      <c r="S481" s="160">
        <v>0.0</v>
      </c>
      <c r="T481" s="160">
        <v>0.0</v>
      </c>
      <c r="U481" s="160">
        <v>0.0</v>
      </c>
      <c r="V481" s="160">
        <v>0.0</v>
      </c>
      <c r="W481" s="160">
        <v>0.0</v>
      </c>
      <c r="X481" s="160">
        <v>0.0</v>
      </c>
      <c r="Y481" s="160">
        <v>454619.97</v>
      </c>
    </row>
    <row r="482">
      <c r="A482" s="157" t="s">
        <v>848</v>
      </c>
      <c r="B482" s="160">
        <v>0.0</v>
      </c>
      <c r="C482" s="160">
        <v>0.0</v>
      </c>
      <c r="D482" s="160">
        <v>0.0</v>
      </c>
      <c r="E482" s="160">
        <v>0.0</v>
      </c>
      <c r="F482" s="160">
        <v>0.0</v>
      </c>
      <c r="G482" s="160">
        <v>0.0</v>
      </c>
      <c r="H482" s="160">
        <v>0.0</v>
      </c>
      <c r="I482" s="160">
        <v>0.0</v>
      </c>
      <c r="J482" s="160">
        <v>0.0</v>
      </c>
      <c r="K482" s="160">
        <v>0.0</v>
      </c>
      <c r="L482" s="160">
        <v>0.0</v>
      </c>
      <c r="M482" s="160">
        <v>0.0</v>
      </c>
      <c r="N482" s="160">
        <v>0.0</v>
      </c>
      <c r="O482" s="160">
        <v>0.0</v>
      </c>
      <c r="P482" s="160">
        <v>0.0</v>
      </c>
      <c r="Q482" s="160">
        <v>0.0</v>
      </c>
      <c r="R482" s="160">
        <v>0.0</v>
      </c>
      <c r="S482" s="160">
        <v>0.0</v>
      </c>
      <c r="T482" s="160">
        <v>0.0</v>
      </c>
      <c r="U482" s="160">
        <v>0.0</v>
      </c>
      <c r="V482" s="160">
        <v>0.0</v>
      </c>
      <c r="W482" s="160">
        <v>0.0</v>
      </c>
      <c r="X482" s="160">
        <v>0.0</v>
      </c>
      <c r="Y482" s="160">
        <v>0.0</v>
      </c>
    </row>
    <row r="483">
      <c r="A483" s="157" t="s">
        <v>273</v>
      </c>
      <c r="B483" s="160">
        <v>4348.8</v>
      </c>
      <c r="C483" s="160">
        <v>945014.74</v>
      </c>
      <c r="D483" s="160">
        <v>8385.0</v>
      </c>
      <c r="E483" s="160">
        <v>236829.6</v>
      </c>
      <c r="F483" s="160">
        <v>627733.4</v>
      </c>
      <c r="G483" s="160">
        <v>226457.0</v>
      </c>
      <c r="H483" s="160">
        <v>583434.3</v>
      </c>
      <c r="I483" s="160">
        <v>0.0</v>
      </c>
      <c r="J483" s="160">
        <v>210974.52</v>
      </c>
      <c r="K483" s="160">
        <v>0.0</v>
      </c>
      <c r="L483" s="160">
        <v>7328987.09</v>
      </c>
      <c r="M483" s="160">
        <v>235308.8</v>
      </c>
      <c r="N483" s="160">
        <v>604261.4</v>
      </c>
      <c r="O483" s="160">
        <v>758353.51</v>
      </c>
      <c r="P483" s="160">
        <v>536241.15</v>
      </c>
      <c r="Q483" s="160">
        <v>0.0</v>
      </c>
      <c r="R483" s="160">
        <v>681637.5</v>
      </c>
      <c r="S483" s="160">
        <v>815350.05</v>
      </c>
      <c r="T483" s="160">
        <v>0.0</v>
      </c>
      <c r="U483" s="160">
        <v>2300902.7</v>
      </c>
      <c r="V483" s="160">
        <v>0.0</v>
      </c>
      <c r="W483" s="160">
        <v>0.0</v>
      </c>
      <c r="X483" s="160">
        <v>0.0</v>
      </c>
      <c r="Y483" s="160">
        <v>1.610421957E7</v>
      </c>
    </row>
    <row r="484">
      <c r="A484" s="157" t="s">
        <v>849</v>
      </c>
      <c r="B484" s="160">
        <v>0.0</v>
      </c>
      <c r="C484" s="160">
        <v>0.0</v>
      </c>
      <c r="D484" s="160">
        <v>0.0</v>
      </c>
      <c r="E484" s="160">
        <v>0.0</v>
      </c>
      <c r="F484" s="160">
        <v>0.0</v>
      </c>
      <c r="G484" s="160">
        <v>0.0</v>
      </c>
      <c r="H484" s="160">
        <v>0.0</v>
      </c>
      <c r="I484" s="160">
        <v>0.0</v>
      </c>
      <c r="J484" s="160">
        <v>0.0</v>
      </c>
      <c r="K484" s="160">
        <v>0.0</v>
      </c>
      <c r="L484" s="160">
        <v>0.0</v>
      </c>
      <c r="M484" s="160">
        <v>0.0</v>
      </c>
      <c r="N484" s="160">
        <v>0.0</v>
      </c>
      <c r="O484" s="160">
        <v>0.0</v>
      </c>
      <c r="P484" s="160">
        <v>0.0</v>
      </c>
      <c r="Q484" s="160">
        <v>0.0</v>
      </c>
      <c r="R484" s="160">
        <v>0.0</v>
      </c>
      <c r="S484" s="160">
        <v>0.0</v>
      </c>
      <c r="T484" s="160">
        <v>0.0</v>
      </c>
      <c r="U484" s="160">
        <v>0.0</v>
      </c>
      <c r="V484" s="160">
        <v>0.0</v>
      </c>
      <c r="W484" s="160">
        <v>0.0</v>
      </c>
      <c r="X484" s="160">
        <v>0.0</v>
      </c>
      <c r="Y484" s="160">
        <v>0.0</v>
      </c>
    </row>
    <row r="485">
      <c r="A485" s="157" t="s">
        <v>412</v>
      </c>
      <c r="B485" s="160">
        <v>0.0</v>
      </c>
      <c r="C485" s="160">
        <v>0.0</v>
      </c>
      <c r="D485" s="160">
        <v>0.0</v>
      </c>
      <c r="E485" s="160">
        <v>0.0</v>
      </c>
      <c r="F485" s="160">
        <v>0.0</v>
      </c>
      <c r="G485" s="160">
        <v>0.0</v>
      </c>
      <c r="H485" s="160">
        <v>0.0</v>
      </c>
      <c r="I485" s="160">
        <v>0.0</v>
      </c>
      <c r="J485" s="160">
        <v>0.0</v>
      </c>
      <c r="K485" s="160">
        <v>0.0</v>
      </c>
      <c r="L485" s="160">
        <v>0.0</v>
      </c>
      <c r="M485" s="160">
        <v>0.0</v>
      </c>
      <c r="N485" s="160">
        <v>0.0</v>
      </c>
      <c r="O485" s="160">
        <v>0.0</v>
      </c>
      <c r="P485" s="160">
        <v>0.0</v>
      </c>
      <c r="Q485" s="160">
        <v>0.0</v>
      </c>
      <c r="R485" s="160">
        <v>0.0</v>
      </c>
      <c r="S485" s="160">
        <v>0.0</v>
      </c>
      <c r="T485" s="160">
        <v>0.0</v>
      </c>
      <c r="U485" s="160">
        <v>0.0</v>
      </c>
      <c r="V485" s="160">
        <v>0.0</v>
      </c>
      <c r="W485" s="160">
        <v>0.0</v>
      </c>
      <c r="X485" s="160">
        <v>0.0</v>
      </c>
      <c r="Y485" s="160">
        <v>0.0</v>
      </c>
    </row>
    <row r="486">
      <c r="A486" s="157" t="s">
        <v>314</v>
      </c>
      <c r="B486" s="160">
        <v>1101.0</v>
      </c>
      <c r="C486" s="160">
        <v>217281.5</v>
      </c>
      <c r="D486" s="160">
        <v>312807.0</v>
      </c>
      <c r="E486" s="160">
        <v>0.0</v>
      </c>
      <c r="F486" s="160">
        <v>29843.0</v>
      </c>
      <c r="G486" s="160">
        <v>112739.0</v>
      </c>
      <c r="H486" s="160">
        <v>612508.8</v>
      </c>
      <c r="I486" s="160">
        <v>880.0</v>
      </c>
      <c r="J486" s="160">
        <v>83952.85</v>
      </c>
      <c r="K486" s="160">
        <v>0.0</v>
      </c>
      <c r="L486" s="160">
        <v>1797422.64</v>
      </c>
      <c r="M486" s="160">
        <v>473821.7</v>
      </c>
      <c r="N486" s="160">
        <v>552223.0</v>
      </c>
      <c r="O486" s="160">
        <v>361868.75</v>
      </c>
      <c r="P486" s="160">
        <v>453624.85</v>
      </c>
      <c r="Q486" s="160">
        <v>0.0</v>
      </c>
      <c r="R486" s="160">
        <v>58000.0</v>
      </c>
      <c r="S486" s="160">
        <v>362922.25</v>
      </c>
      <c r="T486" s="160">
        <v>0.0</v>
      </c>
      <c r="U486" s="160">
        <v>774277.0</v>
      </c>
      <c r="V486" s="160">
        <v>0.0</v>
      </c>
      <c r="W486" s="160">
        <v>0.0</v>
      </c>
      <c r="X486" s="160">
        <v>0.0</v>
      </c>
      <c r="Y486" s="160">
        <v>6205273.34</v>
      </c>
    </row>
    <row r="487">
      <c r="A487" s="157" t="s">
        <v>850</v>
      </c>
      <c r="B487" s="160">
        <v>0.0</v>
      </c>
      <c r="C487" s="160">
        <v>0.0</v>
      </c>
      <c r="D487" s="160">
        <v>0.0</v>
      </c>
      <c r="E487" s="160">
        <v>0.0</v>
      </c>
      <c r="F487" s="160">
        <v>0.0</v>
      </c>
      <c r="G487" s="160">
        <v>0.0</v>
      </c>
      <c r="H487" s="160">
        <v>0.0</v>
      </c>
      <c r="I487" s="160">
        <v>0.0</v>
      </c>
      <c r="J487" s="160">
        <v>0.0</v>
      </c>
      <c r="K487" s="160">
        <v>0.0</v>
      </c>
      <c r="L487" s="160">
        <v>0.0</v>
      </c>
      <c r="M487" s="160">
        <v>0.0</v>
      </c>
      <c r="N487" s="160">
        <v>0.0</v>
      </c>
      <c r="O487" s="160">
        <v>0.0</v>
      </c>
      <c r="P487" s="160">
        <v>0.0</v>
      </c>
      <c r="Q487" s="160">
        <v>0.0</v>
      </c>
      <c r="R487" s="160">
        <v>0.0</v>
      </c>
      <c r="S487" s="160">
        <v>0.0</v>
      </c>
      <c r="T487" s="160">
        <v>0.0</v>
      </c>
      <c r="U487" s="160">
        <v>0.0</v>
      </c>
      <c r="V487" s="160">
        <v>0.0</v>
      </c>
      <c r="W487" s="160">
        <v>0.0</v>
      </c>
      <c r="X487" s="160">
        <v>0.0</v>
      </c>
      <c r="Y487" s="160">
        <v>0.0</v>
      </c>
    </row>
    <row r="488">
      <c r="A488" s="157" t="s">
        <v>57</v>
      </c>
      <c r="B488" s="160">
        <v>0.0</v>
      </c>
      <c r="C488" s="160">
        <v>0.0</v>
      </c>
      <c r="D488" s="160">
        <v>0.0</v>
      </c>
      <c r="E488" s="160">
        <v>0.0</v>
      </c>
      <c r="F488" s="160">
        <v>0.0</v>
      </c>
      <c r="G488" s="160">
        <v>0.0</v>
      </c>
      <c r="H488" s="160">
        <v>91934.6</v>
      </c>
      <c r="I488" s="160">
        <v>0.0</v>
      </c>
      <c r="J488" s="160">
        <v>0.0</v>
      </c>
      <c r="K488" s="160">
        <v>0.0</v>
      </c>
      <c r="L488" s="160">
        <v>2752671.37</v>
      </c>
      <c r="M488" s="160">
        <v>0.0</v>
      </c>
      <c r="N488" s="160">
        <v>0.0</v>
      </c>
      <c r="O488" s="160">
        <v>0.0</v>
      </c>
      <c r="P488" s="160">
        <v>0.0</v>
      </c>
      <c r="Q488" s="160">
        <v>0.0</v>
      </c>
      <c r="R488" s="160">
        <v>0.0</v>
      </c>
      <c r="S488" s="160">
        <v>0.0</v>
      </c>
      <c r="T488" s="160">
        <v>0.0</v>
      </c>
      <c r="U488" s="160">
        <v>43264.0</v>
      </c>
      <c r="V488" s="160">
        <v>0.0</v>
      </c>
      <c r="W488" s="160">
        <v>0.0</v>
      </c>
      <c r="X488" s="160">
        <v>0.0</v>
      </c>
      <c r="Y488" s="160">
        <v>2887869.97</v>
      </c>
    </row>
    <row r="489">
      <c r="A489" s="157" t="s">
        <v>851</v>
      </c>
      <c r="B489" s="160">
        <v>0.0</v>
      </c>
      <c r="C489" s="160">
        <v>0.0</v>
      </c>
      <c r="D489" s="160">
        <v>0.0</v>
      </c>
      <c r="E489" s="160">
        <v>0.0</v>
      </c>
      <c r="F489" s="160">
        <v>0.0</v>
      </c>
      <c r="G489" s="160">
        <v>0.0</v>
      </c>
      <c r="H489" s="160">
        <v>0.0</v>
      </c>
      <c r="I489" s="160">
        <v>0.0</v>
      </c>
      <c r="J489" s="160">
        <v>0.0</v>
      </c>
      <c r="K489" s="160">
        <v>0.0</v>
      </c>
      <c r="L489" s="160">
        <v>0.0</v>
      </c>
      <c r="M489" s="160">
        <v>0.0</v>
      </c>
      <c r="N489" s="160">
        <v>0.0</v>
      </c>
      <c r="O489" s="160">
        <v>0.0</v>
      </c>
      <c r="P489" s="160">
        <v>0.0</v>
      </c>
      <c r="Q489" s="160">
        <v>0.0</v>
      </c>
      <c r="R489" s="160">
        <v>0.0</v>
      </c>
      <c r="S489" s="160">
        <v>0.0</v>
      </c>
      <c r="T489" s="160">
        <v>0.0</v>
      </c>
      <c r="U489" s="160">
        <v>0.0</v>
      </c>
      <c r="V489" s="160">
        <v>0.0</v>
      </c>
      <c r="W489" s="160">
        <v>0.0</v>
      </c>
      <c r="X489" s="160">
        <v>0.0</v>
      </c>
      <c r="Y489" s="160">
        <v>0.0</v>
      </c>
    </row>
    <row r="490">
      <c r="A490" s="157" t="s">
        <v>852</v>
      </c>
      <c r="B490" s="160">
        <v>0.0</v>
      </c>
      <c r="C490" s="160">
        <v>0.0</v>
      </c>
      <c r="D490" s="160">
        <v>0.0</v>
      </c>
      <c r="E490" s="160">
        <v>0.0</v>
      </c>
      <c r="F490" s="160">
        <v>0.0</v>
      </c>
      <c r="G490" s="160">
        <v>0.0</v>
      </c>
      <c r="H490" s="160">
        <v>0.0</v>
      </c>
      <c r="I490" s="160">
        <v>0.0</v>
      </c>
      <c r="J490" s="160">
        <v>0.0</v>
      </c>
      <c r="K490" s="160">
        <v>0.0</v>
      </c>
      <c r="L490" s="160">
        <v>0.0</v>
      </c>
      <c r="M490" s="160">
        <v>0.0</v>
      </c>
      <c r="N490" s="160">
        <v>0.0</v>
      </c>
      <c r="O490" s="160">
        <v>0.0</v>
      </c>
      <c r="P490" s="160">
        <v>0.0</v>
      </c>
      <c r="Q490" s="160">
        <v>0.0</v>
      </c>
      <c r="R490" s="160">
        <v>0.0</v>
      </c>
      <c r="S490" s="160">
        <v>0.0</v>
      </c>
      <c r="T490" s="160">
        <v>0.0</v>
      </c>
      <c r="U490" s="160">
        <v>0.0</v>
      </c>
      <c r="V490" s="160">
        <v>0.0</v>
      </c>
      <c r="W490" s="160">
        <v>0.0</v>
      </c>
      <c r="X490" s="160">
        <v>0.0</v>
      </c>
      <c r="Y490" s="160">
        <v>0.0</v>
      </c>
    </row>
    <row r="491">
      <c r="A491" s="157" t="s">
        <v>31</v>
      </c>
      <c r="B491" s="160">
        <v>33223.85</v>
      </c>
      <c r="C491" s="160">
        <v>391235.4</v>
      </c>
      <c r="D491" s="160">
        <v>0.0</v>
      </c>
      <c r="E491" s="160">
        <v>0.0</v>
      </c>
      <c r="F491" s="160">
        <v>0.0</v>
      </c>
      <c r="G491" s="160">
        <v>0.0</v>
      </c>
      <c r="H491" s="160">
        <v>268777.6</v>
      </c>
      <c r="I491" s="160">
        <v>6732.0</v>
      </c>
      <c r="J491" s="160">
        <v>479601.06</v>
      </c>
      <c r="K491" s="160">
        <v>0.0</v>
      </c>
      <c r="L491" s="160">
        <v>8405004.73</v>
      </c>
      <c r="M491" s="160">
        <v>520397.1</v>
      </c>
      <c r="N491" s="160">
        <v>0.0</v>
      </c>
      <c r="O491" s="160">
        <v>7306.67</v>
      </c>
      <c r="P491" s="160">
        <v>165379.16</v>
      </c>
      <c r="Q491" s="160">
        <v>0.0</v>
      </c>
      <c r="R491" s="160">
        <v>206697.5</v>
      </c>
      <c r="S491" s="160">
        <v>778613.5</v>
      </c>
      <c r="T491" s="160">
        <v>0.0</v>
      </c>
      <c r="U491" s="160">
        <v>75144.6</v>
      </c>
      <c r="V491" s="160">
        <v>0.0</v>
      </c>
      <c r="W491" s="160">
        <v>0.0</v>
      </c>
      <c r="X491" s="160">
        <v>0.0</v>
      </c>
      <c r="Y491" s="160">
        <v>1.133811317E7</v>
      </c>
    </row>
    <row r="492">
      <c r="A492" s="157" t="s">
        <v>827</v>
      </c>
      <c r="B492" s="160">
        <v>0.0</v>
      </c>
      <c r="C492" s="160">
        <v>0.0</v>
      </c>
      <c r="D492" s="160">
        <v>0.0</v>
      </c>
      <c r="E492" s="160">
        <v>0.0</v>
      </c>
      <c r="F492" s="160">
        <v>0.0</v>
      </c>
      <c r="G492" s="160">
        <v>0.0</v>
      </c>
      <c r="H492" s="160">
        <v>0.0</v>
      </c>
      <c r="I492" s="160">
        <v>0.0</v>
      </c>
      <c r="J492" s="160">
        <v>0.0</v>
      </c>
      <c r="K492" s="160">
        <v>0.0</v>
      </c>
      <c r="L492" s="160">
        <v>0.0</v>
      </c>
      <c r="M492" s="160">
        <v>0.0</v>
      </c>
      <c r="N492" s="160">
        <v>0.0</v>
      </c>
      <c r="O492" s="160">
        <v>0.0</v>
      </c>
      <c r="P492" s="160">
        <v>0.0</v>
      </c>
      <c r="Q492" s="160">
        <v>0.0</v>
      </c>
      <c r="R492" s="160">
        <v>0.0</v>
      </c>
      <c r="S492" s="160">
        <v>0.0</v>
      </c>
      <c r="T492" s="160">
        <v>0.0</v>
      </c>
      <c r="U492" s="160">
        <v>0.0</v>
      </c>
      <c r="V492" s="160">
        <v>0.0</v>
      </c>
      <c r="W492" s="160">
        <v>0.0</v>
      </c>
      <c r="X492" s="160">
        <v>0.0</v>
      </c>
      <c r="Y492" s="160">
        <v>0.0</v>
      </c>
    </row>
    <row r="493">
      <c r="A493" s="157" t="s">
        <v>853</v>
      </c>
      <c r="B493" s="160">
        <v>0.0</v>
      </c>
      <c r="C493" s="160">
        <v>0.0</v>
      </c>
      <c r="D493" s="160">
        <v>0.0</v>
      </c>
      <c r="E493" s="160">
        <v>0.0</v>
      </c>
      <c r="F493" s="160">
        <v>0.0</v>
      </c>
      <c r="G493" s="160">
        <v>0.0</v>
      </c>
      <c r="H493" s="160">
        <v>0.0</v>
      </c>
      <c r="I493" s="160">
        <v>0.0</v>
      </c>
      <c r="J493" s="160">
        <v>0.0</v>
      </c>
      <c r="K493" s="160">
        <v>0.0</v>
      </c>
      <c r="L493" s="160">
        <v>0.0</v>
      </c>
      <c r="M493" s="160">
        <v>0.0</v>
      </c>
      <c r="N493" s="160">
        <v>0.0</v>
      </c>
      <c r="O493" s="160">
        <v>0.0</v>
      </c>
      <c r="P493" s="160">
        <v>0.0</v>
      </c>
      <c r="Q493" s="160">
        <v>0.0</v>
      </c>
      <c r="R493" s="160">
        <v>0.0</v>
      </c>
      <c r="S493" s="160">
        <v>0.0</v>
      </c>
      <c r="T493" s="160">
        <v>0.0</v>
      </c>
      <c r="U493" s="160">
        <v>0.0</v>
      </c>
      <c r="V493" s="160">
        <v>0.0</v>
      </c>
      <c r="W493" s="160">
        <v>0.0</v>
      </c>
      <c r="X493" s="160">
        <v>0.0</v>
      </c>
      <c r="Y493" s="160">
        <v>0.0</v>
      </c>
    </row>
    <row r="494">
      <c r="A494" s="157" t="s">
        <v>854</v>
      </c>
      <c r="B494" s="160">
        <v>0.0</v>
      </c>
      <c r="C494" s="160">
        <v>0.0</v>
      </c>
      <c r="D494" s="160">
        <v>0.0</v>
      </c>
      <c r="E494" s="160">
        <v>0.0</v>
      </c>
      <c r="F494" s="160">
        <v>0.0</v>
      </c>
      <c r="G494" s="160">
        <v>0.0</v>
      </c>
      <c r="H494" s="160">
        <v>0.0</v>
      </c>
      <c r="I494" s="160">
        <v>0.0</v>
      </c>
      <c r="J494" s="160">
        <v>0.0</v>
      </c>
      <c r="K494" s="160">
        <v>0.0</v>
      </c>
      <c r="L494" s="160">
        <v>0.0</v>
      </c>
      <c r="M494" s="160">
        <v>0.0</v>
      </c>
      <c r="N494" s="160">
        <v>0.0</v>
      </c>
      <c r="O494" s="160">
        <v>0.0</v>
      </c>
      <c r="P494" s="160">
        <v>0.0</v>
      </c>
      <c r="Q494" s="160">
        <v>0.0</v>
      </c>
      <c r="R494" s="160">
        <v>0.0</v>
      </c>
      <c r="S494" s="160">
        <v>0.0</v>
      </c>
      <c r="T494" s="160">
        <v>0.0</v>
      </c>
      <c r="U494" s="160">
        <v>0.0</v>
      </c>
      <c r="V494" s="160">
        <v>0.0</v>
      </c>
      <c r="W494" s="160">
        <v>0.0</v>
      </c>
      <c r="X494" s="160">
        <v>0.0</v>
      </c>
      <c r="Y494" s="160">
        <v>0.0</v>
      </c>
    </row>
    <row r="495">
      <c r="A495" s="157" t="s">
        <v>855</v>
      </c>
      <c r="B495" s="160">
        <v>0.0</v>
      </c>
      <c r="C495" s="160">
        <v>0.0</v>
      </c>
      <c r="D495" s="160">
        <v>0.0</v>
      </c>
      <c r="E495" s="160">
        <v>0.0</v>
      </c>
      <c r="F495" s="160">
        <v>0.0</v>
      </c>
      <c r="G495" s="160">
        <v>0.0</v>
      </c>
      <c r="H495" s="160">
        <v>0.0</v>
      </c>
      <c r="I495" s="160">
        <v>0.0</v>
      </c>
      <c r="J495" s="160">
        <v>0.0</v>
      </c>
      <c r="K495" s="160">
        <v>0.0</v>
      </c>
      <c r="L495" s="160">
        <v>0.0</v>
      </c>
      <c r="M495" s="160">
        <v>0.0</v>
      </c>
      <c r="N495" s="160">
        <v>0.0</v>
      </c>
      <c r="O495" s="160">
        <v>0.0</v>
      </c>
      <c r="P495" s="160">
        <v>0.0</v>
      </c>
      <c r="Q495" s="160">
        <v>0.0</v>
      </c>
      <c r="R495" s="160">
        <v>0.0</v>
      </c>
      <c r="S495" s="160">
        <v>0.0</v>
      </c>
      <c r="T495" s="160">
        <v>0.0</v>
      </c>
      <c r="U495" s="160">
        <v>0.0</v>
      </c>
      <c r="V495" s="160">
        <v>0.0</v>
      </c>
      <c r="W495" s="160">
        <v>0.0</v>
      </c>
      <c r="X495" s="160">
        <v>0.0</v>
      </c>
      <c r="Y495" s="160">
        <v>0.0</v>
      </c>
    </row>
    <row r="496">
      <c r="A496" s="157" t="s">
        <v>33</v>
      </c>
      <c r="B496" s="160">
        <v>571214.71</v>
      </c>
      <c r="C496" s="160">
        <v>0.0</v>
      </c>
      <c r="D496" s="160">
        <v>0.0</v>
      </c>
      <c r="E496" s="160">
        <v>0.0</v>
      </c>
      <c r="F496" s="160">
        <v>0.0</v>
      </c>
      <c r="G496" s="160">
        <v>0.0</v>
      </c>
      <c r="H496" s="160">
        <v>0.0</v>
      </c>
      <c r="I496" s="160">
        <v>0.0</v>
      </c>
      <c r="J496" s="160">
        <v>4788399.77</v>
      </c>
      <c r="K496" s="160">
        <v>0.0</v>
      </c>
      <c r="L496" s="160">
        <v>84213.28</v>
      </c>
      <c r="M496" s="160">
        <v>0.0</v>
      </c>
      <c r="N496" s="160">
        <v>0.0</v>
      </c>
      <c r="O496" s="160">
        <v>3343988.23</v>
      </c>
      <c r="P496" s="160">
        <v>1574732.05</v>
      </c>
      <c r="Q496" s="160">
        <v>0.0</v>
      </c>
      <c r="R496" s="160">
        <v>225475.0</v>
      </c>
      <c r="S496" s="160">
        <v>0.0</v>
      </c>
      <c r="T496" s="160">
        <v>0.0</v>
      </c>
      <c r="U496" s="160">
        <v>0.0</v>
      </c>
      <c r="V496" s="160">
        <v>0.0</v>
      </c>
      <c r="W496" s="160">
        <v>0.0</v>
      </c>
      <c r="X496" s="160">
        <v>0.0</v>
      </c>
      <c r="Y496" s="160">
        <v>1.058802303E7</v>
      </c>
    </row>
    <row r="497">
      <c r="A497" s="157" t="s">
        <v>856</v>
      </c>
      <c r="B497" s="160">
        <v>0.0</v>
      </c>
      <c r="C497" s="160">
        <v>0.0</v>
      </c>
      <c r="D497" s="160">
        <v>0.0</v>
      </c>
      <c r="E497" s="160">
        <v>0.0</v>
      </c>
      <c r="F497" s="160">
        <v>0.0</v>
      </c>
      <c r="G497" s="160">
        <v>0.0</v>
      </c>
      <c r="H497" s="160">
        <v>0.0</v>
      </c>
      <c r="I497" s="160">
        <v>0.0</v>
      </c>
      <c r="J497" s="160">
        <v>0.0</v>
      </c>
      <c r="K497" s="160">
        <v>0.0</v>
      </c>
      <c r="L497" s="160">
        <v>0.0</v>
      </c>
      <c r="M497" s="160">
        <v>0.0</v>
      </c>
      <c r="N497" s="160">
        <v>0.0</v>
      </c>
      <c r="O497" s="160">
        <v>0.0</v>
      </c>
      <c r="P497" s="160">
        <v>0.0</v>
      </c>
      <c r="Q497" s="160">
        <v>0.0</v>
      </c>
      <c r="R497" s="160">
        <v>0.0</v>
      </c>
      <c r="S497" s="160">
        <v>0.0</v>
      </c>
      <c r="T497" s="160">
        <v>0.0</v>
      </c>
      <c r="U497" s="160">
        <v>0.0</v>
      </c>
      <c r="V497" s="160">
        <v>0.0</v>
      </c>
      <c r="W497" s="160">
        <v>0.0</v>
      </c>
      <c r="X497" s="160">
        <v>0.0</v>
      </c>
      <c r="Y497" s="160">
        <v>0.0</v>
      </c>
    </row>
    <row r="498">
      <c r="A498" s="157" t="s">
        <v>857</v>
      </c>
      <c r="B498" s="160">
        <v>0.0</v>
      </c>
      <c r="C498" s="160">
        <v>0.0</v>
      </c>
      <c r="D498" s="160">
        <v>0.0</v>
      </c>
      <c r="E498" s="160">
        <v>0.0</v>
      </c>
      <c r="F498" s="160">
        <v>0.0</v>
      </c>
      <c r="G498" s="160">
        <v>0.0</v>
      </c>
      <c r="H498" s="160">
        <v>0.0</v>
      </c>
      <c r="I498" s="160">
        <v>0.0</v>
      </c>
      <c r="J498" s="160">
        <v>0.0</v>
      </c>
      <c r="K498" s="160">
        <v>0.0</v>
      </c>
      <c r="L498" s="160">
        <v>0.0</v>
      </c>
      <c r="M498" s="160">
        <v>0.0</v>
      </c>
      <c r="N498" s="160">
        <v>0.0</v>
      </c>
      <c r="O498" s="160">
        <v>0.0</v>
      </c>
      <c r="P498" s="160">
        <v>0.0</v>
      </c>
      <c r="Q498" s="160">
        <v>0.0</v>
      </c>
      <c r="R498" s="160">
        <v>0.0</v>
      </c>
      <c r="S498" s="160">
        <v>0.0</v>
      </c>
      <c r="T498" s="160">
        <v>0.0</v>
      </c>
      <c r="U498" s="160">
        <v>0.0</v>
      </c>
      <c r="V498" s="160">
        <v>0.0</v>
      </c>
      <c r="W498" s="160">
        <v>0.0</v>
      </c>
      <c r="X498" s="160">
        <v>0.0</v>
      </c>
      <c r="Y498" s="160">
        <v>0.0</v>
      </c>
    </row>
    <row r="499">
      <c r="A499" s="157" t="s">
        <v>858</v>
      </c>
      <c r="B499" s="160">
        <v>0.0</v>
      </c>
      <c r="C499" s="160">
        <v>0.0</v>
      </c>
      <c r="D499" s="160">
        <v>0.0</v>
      </c>
      <c r="E499" s="160">
        <v>0.0</v>
      </c>
      <c r="F499" s="160">
        <v>0.0</v>
      </c>
      <c r="G499" s="160">
        <v>0.0</v>
      </c>
      <c r="H499" s="160">
        <v>0.0</v>
      </c>
      <c r="I499" s="160">
        <v>0.0</v>
      </c>
      <c r="J499" s="160">
        <v>0.0</v>
      </c>
      <c r="K499" s="160">
        <v>0.0</v>
      </c>
      <c r="L499" s="160">
        <v>0.0</v>
      </c>
      <c r="M499" s="160">
        <v>0.0</v>
      </c>
      <c r="N499" s="160">
        <v>0.0</v>
      </c>
      <c r="O499" s="160">
        <v>0.0</v>
      </c>
      <c r="P499" s="160">
        <v>0.0</v>
      </c>
      <c r="Q499" s="160">
        <v>0.0</v>
      </c>
      <c r="R499" s="160">
        <v>0.0</v>
      </c>
      <c r="S499" s="160">
        <v>0.0</v>
      </c>
      <c r="T499" s="160">
        <v>0.0</v>
      </c>
      <c r="U499" s="160">
        <v>0.0</v>
      </c>
      <c r="V499" s="160">
        <v>0.0</v>
      </c>
      <c r="W499" s="160">
        <v>0.0</v>
      </c>
      <c r="X499" s="160">
        <v>0.0</v>
      </c>
      <c r="Y499" s="160">
        <v>0.0</v>
      </c>
    </row>
    <row r="500">
      <c r="A500" s="157" t="s">
        <v>859</v>
      </c>
      <c r="B500" s="160">
        <v>0.0</v>
      </c>
      <c r="C500" s="160">
        <v>0.0</v>
      </c>
      <c r="D500" s="160">
        <v>0.0</v>
      </c>
      <c r="E500" s="160">
        <v>0.0</v>
      </c>
      <c r="F500" s="160">
        <v>0.0</v>
      </c>
      <c r="G500" s="160">
        <v>0.0</v>
      </c>
      <c r="H500" s="160">
        <v>0.0</v>
      </c>
      <c r="I500" s="160">
        <v>0.0</v>
      </c>
      <c r="J500" s="160">
        <v>0.0</v>
      </c>
      <c r="K500" s="160">
        <v>0.0</v>
      </c>
      <c r="L500" s="160">
        <v>0.0</v>
      </c>
      <c r="M500" s="160">
        <v>0.0</v>
      </c>
      <c r="N500" s="160">
        <v>0.0</v>
      </c>
      <c r="O500" s="160">
        <v>0.0</v>
      </c>
      <c r="P500" s="160">
        <v>0.0</v>
      </c>
      <c r="Q500" s="160">
        <v>0.0</v>
      </c>
      <c r="R500" s="160">
        <v>0.0</v>
      </c>
      <c r="S500" s="160">
        <v>0.0</v>
      </c>
      <c r="T500" s="160">
        <v>0.0</v>
      </c>
      <c r="U500" s="160">
        <v>0.0</v>
      </c>
      <c r="V500" s="160">
        <v>0.0</v>
      </c>
      <c r="W500" s="160">
        <v>0.0</v>
      </c>
      <c r="X500" s="160">
        <v>0.0</v>
      </c>
      <c r="Y500" s="160">
        <v>0.0</v>
      </c>
    </row>
    <row r="501">
      <c r="A501" s="157" t="s">
        <v>860</v>
      </c>
      <c r="B501" s="160">
        <v>0.0</v>
      </c>
      <c r="C501" s="160">
        <v>0.0</v>
      </c>
      <c r="D501" s="160">
        <v>0.0</v>
      </c>
      <c r="E501" s="160">
        <v>0.0</v>
      </c>
      <c r="F501" s="160">
        <v>0.0</v>
      </c>
      <c r="G501" s="160">
        <v>0.0</v>
      </c>
      <c r="H501" s="160">
        <v>0.0</v>
      </c>
      <c r="I501" s="160">
        <v>0.0</v>
      </c>
      <c r="J501" s="160">
        <v>0.0</v>
      </c>
      <c r="K501" s="160">
        <v>0.0</v>
      </c>
      <c r="L501" s="160">
        <v>0.0</v>
      </c>
      <c r="M501" s="160">
        <v>0.0</v>
      </c>
      <c r="N501" s="160">
        <v>0.0</v>
      </c>
      <c r="O501" s="160">
        <v>0.0</v>
      </c>
      <c r="P501" s="160">
        <v>0.0</v>
      </c>
      <c r="Q501" s="160">
        <v>0.0</v>
      </c>
      <c r="R501" s="160">
        <v>0.0</v>
      </c>
      <c r="S501" s="160">
        <v>0.0</v>
      </c>
      <c r="T501" s="160">
        <v>0.0</v>
      </c>
      <c r="U501" s="160">
        <v>0.0</v>
      </c>
      <c r="V501" s="160">
        <v>0.0</v>
      </c>
      <c r="W501" s="160">
        <v>0.0</v>
      </c>
      <c r="X501" s="160">
        <v>0.0</v>
      </c>
      <c r="Y501" s="160">
        <v>0.0</v>
      </c>
    </row>
    <row r="502">
      <c r="A502" s="157" t="s">
        <v>861</v>
      </c>
      <c r="B502" s="160">
        <v>0.0</v>
      </c>
      <c r="C502" s="160">
        <v>0.0</v>
      </c>
      <c r="D502" s="160">
        <v>0.0</v>
      </c>
      <c r="E502" s="160">
        <v>0.0</v>
      </c>
      <c r="F502" s="160">
        <v>0.0</v>
      </c>
      <c r="G502" s="160">
        <v>0.0</v>
      </c>
      <c r="H502" s="160">
        <v>0.0</v>
      </c>
      <c r="I502" s="160">
        <v>0.0</v>
      </c>
      <c r="J502" s="160">
        <v>0.0</v>
      </c>
      <c r="K502" s="160">
        <v>0.0</v>
      </c>
      <c r="L502" s="160">
        <v>0.0</v>
      </c>
      <c r="M502" s="160">
        <v>0.0</v>
      </c>
      <c r="N502" s="160">
        <v>0.0</v>
      </c>
      <c r="O502" s="160">
        <v>0.0</v>
      </c>
      <c r="P502" s="160">
        <v>0.0</v>
      </c>
      <c r="Q502" s="160">
        <v>0.0</v>
      </c>
      <c r="R502" s="160">
        <v>0.0</v>
      </c>
      <c r="S502" s="160">
        <v>0.0</v>
      </c>
      <c r="T502" s="160">
        <v>0.0</v>
      </c>
      <c r="U502" s="160">
        <v>0.0</v>
      </c>
      <c r="V502" s="160">
        <v>0.0</v>
      </c>
      <c r="W502" s="160">
        <v>0.0</v>
      </c>
      <c r="X502" s="160">
        <v>0.0</v>
      </c>
      <c r="Y502" s="160">
        <v>0.0</v>
      </c>
    </row>
    <row r="503">
      <c r="A503" s="157" t="s">
        <v>169</v>
      </c>
      <c r="B503" s="160">
        <v>1009303.0</v>
      </c>
      <c r="C503" s="160">
        <v>0.0</v>
      </c>
      <c r="D503" s="160">
        <v>0.0</v>
      </c>
      <c r="E503" s="160">
        <v>0.0</v>
      </c>
      <c r="F503" s="160">
        <v>0.0</v>
      </c>
      <c r="G503" s="160">
        <v>0.0</v>
      </c>
      <c r="H503" s="160">
        <v>547293.6</v>
      </c>
      <c r="I503" s="160">
        <v>0.0</v>
      </c>
      <c r="J503" s="160">
        <v>1.510540631E7</v>
      </c>
      <c r="K503" s="160">
        <v>0.0</v>
      </c>
      <c r="L503" s="160">
        <v>10024.4</v>
      </c>
      <c r="M503" s="160">
        <v>0.0</v>
      </c>
      <c r="N503" s="160">
        <v>0.0</v>
      </c>
      <c r="O503" s="160">
        <v>61599.22</v>
      </c>
      <c r="P503" s="160">
        <v>12007.84</v>
      </c>
      <c r="Q503" s="160">
        <v>0.0</v>
      </c>
      <c r="R503" s="160">
        <v>2068937.5</v>
      </c>
      <c r="S503" s="160">
        <v>1110914.0</v>
      </c>
      <c r="T503" s="160">
        <v>0.0</v>
      </c>
      <c r="U503" s="160">
        <v>0.0</v>
      </c>
      <c r="V503" s="160">
        <v>0.0</v>
      </c>
      <c r="W503" s="160">
        <v>84125.7</v>
      </c>
      <c r="X503" s="160">
        <v>0.0</v>
      </c>
      <c r="Y503" s="160">
        <v>2.000961157E7</v>
      </c>
    </row>
    <row r="504">
      <c r="A504" s="157" t="s">
        <v>170</v>
      </c>
      <c r="B504" s="160">
        <v>0.0</v>
      </c>
      <c r="C504" s="160">
        <v>1059226.05</v>
      </c>
      <c r="D504" s="160">
        <v>1728889.7</v>
      </c>
      <c r="E504" s="160">
        <v>652760.8</v>
      </c>
      <c r="F504" s="160">
        <v>262337.0</v>
      </c>
      <c r="G504" s="160">
        <v>31551.0</v>
      </c>
      <c r="H504" s="160">
        <v>956955.0</v>
      </c>
      <c r="I504" s="160">
        <v>0.0</v>
      </c>
      <c r="J504" s="160">
        <v>688.8</v>
      </c>
      <c r="K504" s="160">
        <v>0.0</v>
      </c>
      <c r="L504" s="160">
        <v>2159869.68</v>
      </c>
      <c r="M504" s="160">
        <v>521177.53</v>
      </c>
      <c r="N504" s="160">
        <v>2565.0</v>
      </c>
      <c r="O504" s="160">
        <v>0.0</v>
      </c>
      <c r="P504" s="160">
        <v>0.0</v>
      </c>
      <c r="Q504" s="160">
        <v>0.0</v>
      </c>
      <c r="R504" s="160">
        <v>525647.5</v>
      </c>
      <c r="S504" s="160">
        <v>268055.1</v>
      </c>
      <c r="T504" s="160">
        <v>0.0</v>
      </c>
      <c r="U504" s="160">
        <v>2044937.2</v>
      </c>
      <c r="V504" s="160">
        <v>0.0</v>
      </c>
      <c r="W504" s="160">
        <v>0.0</v>
      </c>
      <c r="X504" s="160">
        <v>0.0</v>
      </c>
      <c r="Y504" s="160">
        <v>1.021466036E7</v>
      </c>
    </row>
    <row r="505">
      <c r="A505" s="157" t="s">
        <v>862</v>
      </c>
      <c r="B505" s="160">
        <v>0.0</v>
      </c>
      <c r="C505" s="160">
        <v>0.0</v>
      </c>
      <c r="D505" s="160">
        <v>0.0</v>
      </c>
      <c r="E505" s="160">
        <v>0.0</v>
      </c>
      <c r="F505" s="160">
        <v>0.0</v>
      </c>
      <c r="G505" s="160">
        <v>0.0</v>
      </c>
      <c r="H505" s="160">
        <v>0.0</v>
      </c>
      <c r="I505" s="160">
        <v>0.0</v>
      </c>
      <c r="J505" s="160">
        <v>0.0</v>
      </c>
      <c r="K505" s="160">
        <v>0.0</v>
      </c>
      <c r="L505" s="160">
        <v>0.0</v>
      </c>
      <c r="M505" s="160">
        <v>0.0</v>
      </c>
      <c r="N505" s="160">
        <v>0.0</v>
      </c>
      <c r="O505" s="160">
        <v>0.0</v>
      </c>
      <c r="P505" s="160">
        <v>0.0</v>
      </c>
      <c r="Q505" s="160">
        <v>0.0</v>
      </c>
      <c r="R505" s="160">
        <v>0.0</v>
      </c>
      <c r="S505" s="160">
        <v>0.0</v>
      </c>
      <c r="T505" s="160">
        <v>0.0</v>
      </c>
      <c r="U505" s="160">
        <v>0.0</v>
      </c>
      <c r="V505" s="160">
        <v>0.0</v>
      </c>
      <c r="W505" s="160">
        <v>0.0</v>
      </c>
      <c r="X505" s="160">
        <v>0.0</v>
      </c>
      <c r="Y505" s="160">
        <v>0.0</v>
      </c>
    </row>
    <row r="506">
      <c r="A506" s="157" t="s">
        <v>418</v>
      </c>
      <c r="B506" s="160">
        <v>0.0</v>
      </c>
      <c r="C506" s="160">
        <v>51515.03</v>
      </c>
      <c r="D506" s="160">
        <v>4351.14</v>
      </c>
      <c r="E506" s="160">
        <v>0.0</v>
      </c>
      <c r="F506" s="160">
        <v>0.0</v>
      </c>
      <c r="G506" s="160">
        <v>0.0</v>
      </c>
      <c r="H506" s="160">
        <v>652770.01</v>
      </c>
      <c r="I506" s="160">
        <v>0.0</v>
      </c>
      <c r="J506" s="160">
        <v>0.0</v>
      </c>
      <c r="K506" s="160">
        <v>0.0</v>
      </c>
      <c r="L506" s="160">
        <v>1346182.5</v>
      </c>
      <c r="M506" s="160">
        <v>25823.07</v>
      </c>
      <c r="N506" s="160">
        <v>0.0</v>
      </c>
      <c r="O506" s="160">
        <v>0.0</v>
      </c>
      <c r="P506" s="160">
        <v>0.0</v>
      </c>
      <c r="Q506" s="160">
        <v>0.0</v>
      </c>
      <c r="R506" s="160">
        <v>0.0</v>
      </c>
      <c r="S506" s="160">
        <v>0.0</v>
      </c>
      <c r="T506" s="160">
        <v>0.0</v>
      </c>
      <c r="U506" s="160">
        <v>155881.77</v>
      </c>
      <c r="V506" s="160">
        <v>0.0</v>
      </c>
      <c r="W506" s="160">
        <v>0.0</v>
      </c>
      <c r="X506" s="160">
        <v>0.0</v>
      </c>
      <c r="Y506" s="160">
        <v>2236523.52</v>
      </c>
    </row>
    <row r="507">
      <c r="A507" s="157" t="s">
        <v>863</v>
      </c>
      <c r="B507" s="160">
        <v>0.0</v>
      </c>
      <c r="C507" s="160">
        <v>0.0</v>
      </c>
      <c r="D507" s="160">
        <v>0.0</v>
      </c>
      <c r="E507" s="160">
        <v>0.0</v>
      </c>
      <c r="F507" s="160">
        <v>0.0</v>
      </c>
      <c r="G507" s="160">
        <v>0.0</v>
      </c>
      <c r="H507" s="160">
        <v>0.0</v>
      </c>
      <c r="I507" s="160">
        <v>0.0</v>
      </c>
      <c r="J507" s="160">
        <v>0.0</v>
      </c>
      <c r="K507" s="160">
        <v>0.0</v>
      </c>
      <c r="L507" s="160">
        <v>0.0</v>
      </c>
      <c r="M507" s="160">
        <v>0.0</v>
      </c>
      <c r="N507" s="160">
        <v>0.0</v>
      </c>
      <c r="O507" s="160">
        <v>0.0</v>
      </c>
      <c r="P507" s="160">
        <v>0.0</v>
      </c>
      <c r="Q507" s="160">
        <v>0.0</v>
      </c>
      <c r="R507" s="160">
        <v>0.0</v>
      </c>
      <c r="S507" s="160">
        <v>0.0</v>
      </c>
      <c r="T507" s="160">
        <v>0.0</v>
      </c>
      <c r="U507" s="160">
        <v>0.0</v>
      </c>
      <c r="V507" s="160">
        <v>0.0</v>
      </c>
      <c r="W507" s="160">
        <v>0.0</v>
      </c>
      <c r="X507" s="160">
        <v>0.0</v>
      </c>
      <c r="Y507" s="160">
        <v>0.0</v>
      </c>
    </row>
    <row r="508">
      <c r="A508" s="157" t="s">
        <v>124</v>
      </c>
      <c r="B508" s="160">
        <v>0.0</v>
      </c>
      <c r="C508" s="160">
        <v>401494.5</v>
      </c>
      <c r="D508" s="160">
        <v>380638.5</v>
      </c>
      <c r="E508" s="160">
        <v>28528.5</v>
      </c>
      <c r="F508" s="160">
        <v>0.0</v>
      </c>
      <c r="G508" s="160">
        <v>0.0</v>
      </c>
      <c r="H508" s="160">
        <v>690244.5</v>
      </c>
      <c r="I508" s="160">
        <v>45237.5</v>
      </c>
      <c r="J508" s="160">
        <v>4183540.49</v>
      </c>
      <c r="K508" s="160">
        <v>0.0</v>
      </c>
      <c r="L508" s="160">
        <v>8767052.35</v>
      </c>
      <c r="M508" s="160">
        <v>1243495.0</v>
      </c>
      <c r="N508" s="160">
        <v>568315.0</v>
      </c>
      <c r="O508" s="160">
        <v>1172930.37</v>
      </c>
      <c r="P508" s="160">
        <v>59072.64</v>
      </c>
      <c r="Q508" s="160">
        <v>0.0</v>
      </c>
      <c r="R508" s="160">
        <v>0.0</v>
      </c>
      <c r="S508" s="160">
        <v>1953113.0</v>
      </c>
      <c r="T508" s="160">
        <v>0.0</v>
      </c>
      <c r="U508" s="160">
        <v>1225257.0</v>
      </c>
      <c r="V508" s="160">
        <v>0.0</v>
      </c>
      <c r="W508" s="160">
        <v>0.0</v>
      </c>
      <c r="X508" s="160">
        <v>0.0</v>
      </c>
      <c r="Y508" s="160">
        <v>2.071891936E7</v>
      </c>
    </row>
    <row r="509">
      <c r="A509" s="157" t="s">
        <v>90</v>
      </c>
      <c r="B509" s="160">
        <v>0.0</v>
      </c>
      <c r="C509" s="160">
        <v>798393.5</v>
      </c>
      <c r="D509" s="160">
        <v>600685.5</v>
      </c>
      <c r="E509" s="160">
        <v>1274221.0</v>
      </c>
      <c r="F509" s="160">
        <v>25197.5</v>
      </c>
      <c r="G509" s="160">
        <v>0.0</v>
      </c>
      <c r="H509" s="160">
        <v>669184.5</v>
      </c>
      <c r="I509" s="160">
        <v>128379.75</v>
      </c>
      <c r="J509" s="160">
        <v>0.0</v>
      </c>
      <c r="K509" s="160">
        <v>0.0</v>
      </c>
      <c r="L509" s="160">
        <v>2597190.75</v>
      </c>
      <c r="M509" s="160">
        <v>1260140.9</v>
      </c>
      <c r="N509" s="160">
        <v>1699475.25</v>
      </c>
      <c r="O509" s="160">
        <v>0.0</v>
      </c>
      <c r="P509" s="160">
        <v>0.0</v>
      </c>
      <c r="Q509" s="160">
        <v>0.0</v>
      </c>
      <c r="R509" s="160">
        <v>0.0</v>
      </c>
      <c r="S509" s="160">
        <v>0.0</v>
      </c>
      <c r="T509" s="160">
        <v>139268.5</v>
      </c>
      <c r="U509" s="160">
        <v>1417163.0</v>
      </c>
      <c r="V509" s="160">
        <v>0.0</v>
      </c>
      <c r="W509" s="160">
        <v>0.0</v>
      </c>
      <c r="X509" s="160">
        <v>0.0</v>
      </c>
      <c r="Y509" s="160">
        <v>1.060930015E7</v>
      </c>
    </row>
    <row r="510">
      <c r="A510" s="157" t="s">
        <v>446</v>
      </c>
      <c r="B510" s="160">
        <v>53599.8</v>
      </c>
      <c r="C510" s="160">
        <v>76197.0</v>
      </c>
      <c r="D510" s="160">
        <v>30850.9</v>
      </c>
      <c r="E510" s="160">
        <v>3074.4</v>
      </c>
      <c r="F510" s="160">
        <v>0.0</v>
      </c>
      <c r="G510" s="160">
        <v>0.0</v>
      </c>
      <c r="H510" s="160">
        <v>180215.2</v>
      </c>
      <c r="I510" s="160">
        <v>0.0</v>
      </c>
      <c r="J510" s="160">
        <v>545006.76</v>
      </c>
      <c r="K510" s="160">
        <v>0.0</v>
      </c>
      <c r="L510" s="160">
        <v>620232.17</v>
      </c>
      <c r="M510" s="160">
        <v>185662.4</v>
      </c>
      <c r="N510" s="160">
        <v>138663.75</v>
      </c>
      <c r="O510" s="160">
        <v>589183.24</v>
      </c>
      <c r="P510" s="160">
        <v>18536.4</v>
      </c>
      <c r="Q510" s="160">
        <v>0.0</v>
      </c>
      <c r="R510" s="160">
        <v>580240.0</v>
      </c>
      <c r="S510" s="160">
        <v>1120672.7</v>
      </c>
      <c r="T510" s="160">
        <v>0.0</v>
      </c>
      <c r="U510" s="160">
        <v>225535.4</v>
      </c>
      <c r="V510" s="160">
        <v>0.0</v>
      </c>
      <c r="W510" s="160">
        <v>0.0</v>
      </c>
      <c r="X510" s="160">
        <v>0.0</v>
      </c>
      <c r="Y510" s="160">
        <v>4367670.12</v>
      </c>
    </row>
    <row r="511">
      <c r="A511" s="157" t="s">
        <v>275</v>
      </c>
      <c r="B511" s="160">
        <v>218548.46</v>
      </c>
      <c r="C511" s="160">
        <v>1835290.65</v>
      </c>
      <c r="D511" s="160">
        <v>2587174.0</v>
      </c>
      <c r="E511" s="160">
        <v>786169.4</v>
      </c>
      <c r="F511" s="160">
        <v>21975.0</v>
      </c>
      <c r="G511" s="160">
        <v>0.0</v>
      </c>
      <c r="H511" s="160">
        <v>1938849.5</v>
      </c>
      <c r="I511" s="160">
        <v>0.0</v>
      </c>
      <c r="J511" s="160">
        <v>889931.32</v>
      </c>
      <c r="K511" s="160">
        <v>0.0</v>
      </c>
      <c r="L511" s="160">
        <v>1.161406961E7</v>
      </c>
      <c r="M511" s="160">
        <v>833421.1</v>
      </c>
      <c r="N511" s="160">
        <v>2130594.2</v>
      </c>
      <c r="O511" s="160">
        <v>5297471.66</v>
      </c>
      <c r="P511" s="160">
        <v>7156051.61</v>
      </c>
      <c r="Q511" s="160">
        <v>241264.4</v>
      </c>
      <c r="R511" s="160">
        <v>2753496.0</v>
      </c>
      <c r="S511" s="160">
        <v>103722.3</v>
      </c>
      <c r="T511" s="160">
        <v>42504.0</v>
      </c>
      <c r="U511" s="160">
        <v>1274183.1</v>
      </c>
      <c r="V511" s="160">
        <v>0.0</v>
      </c>
      <c r="W511" s="160">
        <v>0.0</v>
      </c>
      <c r="X511" s="160">
        <v>0.0</v>
      </c>
      <c r="Y511" s="160">
        <v>3.97247163E7</v>
      </c>
    </row>
    <row r="512">
      <c r="A512" s="157" t="s">
        <v>277</v>
      </c>
      <c r="B512" s="160">
        <v>89816.12</v>
      </c>
      <c r="C512" s="160">
        <v>1070927.0</v>
      </c>
      <c r="D512" s="160">
        <v>1253210.39</v>
      </c>
      <c r="E512" s="160">
        <v>699188.4</v>
      </c>
      <c r="F512" s="160">
        <v>535259.2</v>
      </c>
      <c r="G512" s="160">
        <v>164901.0</v>
      </c>
      <c r="H512" s="160">
        <v>392190.65</v>
      </c>
      <c r="I512" s="160">
        <v>14214.2</v>
      </c>
      <c r="J512" s="160">
        <v>2838000.86</v>
      </c>
      <c r="K512" s="160">
        <v>0.0</v>
      </c>
      <c r="L512" s="160">
        <v>1472268.34</v>
      </c>
      <c r="M512" s="160">
        <v>725275.61</v>
      </c>
      <c r="N512" s="160">
        <v>846539.4</v>
      </c>
      <c r="O512" s="160">
        <v>4728566.68</v>
      </c>
      <c r="P512" s="160">
        <v>3191610.97</v>
      </c>
      <c r="Q512" s="160">
        <v>17050.0</v>
      </c>
      <c r="R512" s="160">
        <v>700345.0</v>
      </c>
      <c r="S512" s="160">
        <v>760061.35</v>
      </c>
      <c r="T512" s="160">
        <v>58336.8</v>
      </c>
      <c r="U512" s="160">
        <v>1127444.0</v>
      </c>
      <c r="V512" s="160">
        <v>0.0</v>
      </c>
      <c r="W512" s="160">
        <v>51200.75</v>
      </c>
      <c r="X512" s="160">
        <v>0.0</v>
      </c>
      <c r="Y512" s="160">
        <v>2.073640671E7</v>
      </c>
    </row>
    <row r="513">
      <c r="A513" s="157" t="s">
        <v>864</v>
      </c>
      <c r="B513" s="160">
        <v>0.0</v>
      </c>
      <c r="C513" s="160">
        <v>0.0</v>
      </c>
      <c r="D513" s="160">
        <v>0.0</v>
      </c>
      <c r="E513" s="160">
        <v>0.0</v>
      </c>
      <c r="F513" s="160">
        <v>0.0</v>
      </c>
      <c r="G513" s="160">
        <v>0.0</v>
      </c>
      <c r="H513" s="160">
        <v>0.0</v>
      </c>
      <c r="I513" s="160">
        <v>0.0</v>
      </c>
      <c r="J513" s="160">
        <v>0.0</v>
      </c>
      <c r="K513" s="160">
        <v>0.0</v>
      </c>
      <c r="L513" s="160">
        <v>0.0</v>
      </c>
      <c r="M513" s="160">
        <v>0.0</v>
      </c>
      <c r="N513" s="160">
        <v>0.0</v>
      </c>
      <c r="O513" s="160">
        <v>0.0</v>
      </c>
      <c r="P513" s="160">
        <v>0.0</v>
      </c>
      <c r="Q513" s="160">
        <v>0.0</v>
      </c>
      <c r="R513" s="160">
        <v>0.0</v>
      </c>
      <c r="S513" s="160">
        <v>0.0</v>
      </c>
      <c r="T513" s="160">
        <v>0.0</v>
      </c>
      <c r="U513" s="160">
        <v>0.0</v>
      </c>
      <c r="V513" s="160">
        <v>0.0</v>
      </c>
      <c r="W513" s="160">
        <v>0.0</v>
      </c>
      <c r="X513" s="160">
        <v>0.0</v>
      </c>
      <c r="Y513" s="160">
        <v>0.0</v>
      </c>
    </row>
    <row r="514">
      <c r="A514" s="157" t="s">
        <v>279</v>
      </c>
      <c r="B514" s="160">
        <v>171931.1</v>
      </c>
      <c r="C514" s="160">
        <v>1131670.26</v>
      </c>
      <c r="D514" s="160">
        <v>1733495.32</v>
      </c>
      <c r="E514" s="160">
        <v>64677.04</v>
      </c>
      <c r="F514" s="160">
        <v>35798.4</v>
      </c>
      <c r="G514" s="160">
        <v>275093.42</v>
      </c>
      <c r="H514" s="160">
        <v>265659.98</v>
      </c>
      <c r="I514" s="160">
        <v>0.0</v>
      </c>
      <c r="J514" s="160">
        <v>3311796.43</v>
      </c>
      <c r="K514" s="160">
        <v>0.0</v>
      </c>
      <c r="L514" s="160">
        <v>1406171.99</v>
      </c>
      <c r="M514" s="160">
        <v>90538.42</v>
      </c>
      <c r="N514" s="160">
        <v>818641.94</v>
      </c>
      <c r="O514" s="160">
        <v>4166526.35</v>
      </c>
      <c r="P514" s="160">
        <v>2712404.72</v>
      </c>
      <c r="Q514" s="160">
        <v>12529.44</v>
      </c>
      <c r="R514" s="160">
        <v>1103894.67</v>
      </c>
      <c r="S514" s="160">
        <v>99189.93</v>
      </c>
      <c r="T514" s="160">
        <v>0.0</v>
      </c>
      <c r="U514" s="160">
        <v>742034.31</v>
      </c>
      <c r="V514" s="160">
        <v>0.0</v>
      </c>
      <c r="W514" s="160">
        <v>0.0</v>
      </c>
      <c r="X514" s="160">
        <v>0.0</v>
      </c>
      <c r="Y514" s="160">
        <v>1.814205373E7</v>
      </c>
    </row>
    <row r="515">
      <c r="A515" s="157" t="s">
        <v>865</v>
      </c>
      <c r="B515" s="160">
        <v>0.0</v>
      </c>
      <c r="C515" s="160">
        <v>0.0</v>
      </c>
      <c r="D515" s="160">
        <v>0.0</v>
      </c>
      <c r="E515" s="160">
        <v>0.0</v>
      </c>
      <c r="F515" s="160">
        <v>0.0</v>
      </c>
      <c r="G515" s="160">
        <v>0.0</v>
      </c>
      <c r="H515" s="160">
        <v>0.0</v>
      </c>
      <c r="I515" s="160">
        <v>0.0</v>
      </c>
      <c r="J515" s="160">
        <v>0.0</v>
      </c>
      <c r="K515" s="160">
        <v>0.0</v>
      </c>
      <c r="L515" s="160">
        <v>0.0</v>
      </c>
      <c r="M515" s="160">
        <v>0.0</v>
      </c>
      <c r="N515" s="160">
        <v>0.0</v>
      </c>
      <c r="O515" s="160">
        <v>0.0</v>
      </c>
      <c r="P515" s="160">
        <v>0.0</v>
      </c>
      <c r="Q515" s="160">
        <v>0.0</v>
      </c>
      <c r="R515" s="160">
        <v>0.0</v>
      </c>
      <c r="S515" s="160">
        <v>0.0</v>
      </c>
      <c r="T515" s="160">
        <v>0.0</v>
      </c>
      <c r="U515" s="160">
        <v>0.0</v>
      </c>
      <c r="V515" s="160">
        <v>0.0</v>
      </c>
      <c r="W515" s="160">
        <v>0.0</v>
      </c>
      <c r="X515" s="160">
        <v>0.0</v>
      </c>
      <c r="Y515" s="160">
        <v>0.0</v>
      </c>
    </row>
    <row r="516">
      <c r="A516" s="157" t="s">
        <v>388</v>
      </c>
      <c r="B516" s="160">
        <v>0.0</v>
      </c>
      <c r="C516" s="160">
        <v>0.0</v>
      </c>
      <c r="D516" s="160">
        <v>0.0</v>
      </c>
      <c r="E516" s="160">
        <v>0.0</v>
      </c>
      <c r="F516" s="160">
        <v>4796.0</v>
      </c>
      <c r="G516" s="160">
        <v>21252.0</v>
      </c>
      <c r="H516" s="160">
        <v>0.0</v>
      </c>
      <c r="I516" s="160">
        <v>0.0</v>
      </c>
      <c r="J516" s="160">
        <v>0.0</v>
      </c>
      <c r="K516" s="160">
        <v>0.0</v>
      </c>
      <c r="L516" s="160">
        <v>10109.0</v>
      </c>
      <c r="M516" s="160">
        <v>11473.0</v>
      </c>
      <c r="N516" s="160">
        <v>0.0</v>
      </c>
      <c r="O516" s="160">
        <v>0.0</v>
      </c>
      <c r="P516" s="160">
        <v>0.0</v>
      </c>
      <c r="Q516" s="160">
        <v>0.0</v>
      </c>
      <c r="R516" s="160">
        <v>0.0</v>
      </c>
      <c r="S516" s="160">
        <v>0.0</v>
      </c>
      <c r="T516" s="160">
        <v>0.0</v>
      </c>
      <c r="U516" s="160">
        <v>0.0</v>
      </c>
      <c r="V516" s="160">
        <v>0.0</v>
      </c>
      <c r="W516" s="160">
        <v>0.0</v>
      </c>
      <c r="X516" s="160">
        <v>0.0</v>
      </c>
      <c r="Y516" s="160">
        <v>47630.0</v>
      </c>
    </row>
    <row r="517">
      <c r="A517" s="157" t="s">
        <v>356</v>
      </c>
      <c r="B517" s="160">
        <v>0.0</v>
      </c>
      <c r="C517" s="160">
        <v>141024.0</v>
      </c>
      <c r="D517" s="160">
        <v>266662.5</v>
      </c>
      <c r="E517" s="160">
        <v>260767.0</v>
      </c>
      <c r="F517" s="160">
        <v>0.0</v>
      </c>
      <c r="G517" s="160">
        <v>190684.0</v>
      </c>
      <c r="H517" s="160">
        <v>33000.0</v>
      </c>
      <c r="I517" s="160">
        <v>0.0</v>
      </c>
      <c r="J517" s="160">
        <v>0.0</v>
      </c>
      <c r="K517" s="160">
        <v>0.0</v>
      </c>
      <c r="L517" s="160">
        <v>221726.64</v>
      </c>
      <c r="M517" s="160">
        <v>130944.8</v>
      </c>
      <c r="N517" s="160">
        <v>0.0</v>
      </c>
      <c r="O517" s="160">
        <v>0.0</v>
      </c>
      <c r="P517" s="160">
        <v>0.0</v>
      </c>
      <c r="Q517" s="160">
        <v>0.0</v>
      </c>
      <c r="R517" s="160">
        <v>0.0</v>
      </c>
      <c r="S517" s="160">
        <v>57659.5</v>
      </c>
      <c r="T517" s="160">
        <v>0.0</v>
      </c>
      <c r="U517" s="160">
        <v>490204.0</v>
      </c>
      <c r="V517" s="160">
        <v>0.0</v>
      </c>
      <c r="W517" s="160">
        <v>0.0</v>
      </c>
      <c r="X517" s="160">
        <v>0.0</v>
      </c>
      <c r="Y517" s="160">
        <v>1792672.44</v>
      </c>
    </row>
    <row r="518">
      <c r="A518" s="157" t="s">
        <v>35</v>
      </c>
      <c r="B518" s="160">
        <v>70071.98</v>
      </c>
      <c r="C518" s="160">
        <v>428801.7</v>
      </c>
      <c r="D518" s="160">
        <v>70004.6</v>
      </c>
      <c r="E518" s="160">
        <v>0.0</v>
      </c>
      <c r="F518" s="160">
        <v>14129.5</v>
      </c>
      <c r="G518" s="160">
        <v>0.0</v>
      </c>
      <c r="H518" s="160">
        <v>721051.2</v>
      </c>
      <c r="I518" s="160">
        <v>10072.5</v>
      </c>
      <c r="J518" s="160">
        <v>304646.66</v>
      </c>
      <c r="K518" s="160">
        <v>0.0</v>
      </c>
      <c r="L518" s="160">
        <v>1025414.03</v>
      </c>
      <c r="M518" s="160">
        <v>45667.2</v>
      </c>
      <c r="N518" s="160">
        <v>1744328.3</v>
      </c>
      <c r="O518" s="160">
        <v>33756.93</v>
      </c>
      <c r="P518" s="160">
        <v>165806.23</v>
      </c>
      <c r="Q518" s="160">
        <v>33318.0</v>
      </c>
      <c r="R518" s="160">
        <v>1300186.25</v>
      </c>
      <c r="S518" s="160">
        <v>660211.0</v>
      </c>
      <c r="T518" s="160">
        <v>0.0</v>
      </c>
      <c r="U518" s="160">
        <v>591304.4</v>
      </c>
      <c r="V518" s="160">
        <v>0.0</v>
      </c>
      <c r="W518" s="160">
        <v>0.0</v>
      </c>
      <c r="X518" s="160">
        <v>0.0</v>
      </c>
      <c r="Y518" s="160">
        <v>7218770.48</v>
      </c>
    </row>
    <row r="519">
      <c r="A519" s="157" t="s">
        <v>171</v>
      </c>
      <c r="B519" s="160">
        <v>52830.29</v>
      </c>
      <c r="C519" s="160">
        <v>440697.74</v>
      </c>
      <c r="D519" s="160">
        <v>160820.4</v>
      </c>
      <c r="E519" s="160">
        <v>51822.8</v>
      </c>
      <c r="F519" s="160">
        <v>0.0</v>
      </c>
      <c r="G519" s="160">
        <v>0.0</v>
      </c>
      <c r="H519" s="160">
        <v>199411.4</v>
      </c>
      <c r="I519" s="160">
        <v>10723.2</v>
      </c>
      <c r="J519" s="160">
        <v>2455746.9</v>
      </c>
      <c r="K519" s="160">
        <v>0.0</v>
      </c>
      <c r="L519" s="160">
        <v>792744.0</v>
      </c>
      <c r="M519" s="160">
        <v>89407.6</v>
      </c>
      <c r="N519" s="160">
        <v>365097.4</v>
      </c>
      <c r="O519" s="160">
        <v>1152155.56</v>
      </c>
      <c r="P519" s="160">
        <v>119488.72</v>
      </c>
      <c r="Q519" s="160">
        <v>0.0</v>
      </c>
      <c r="R519" s="160">
        <v>0.0</v>
      </c>
      <c r="S519" s="160">
        <v>79410.85</v>
      </c>
      <c r="T519" s="160">
        <v>0.0</v>
      </c>
      <c r="U519" s="160">
        <v>816262.84</v>
      </c>
      <c r="V519" s="160">
        <v>0.0</v>
      </c>
      <c r="W519" s="160">
        <v>0.0</v>
      </c>
      <c r="X519" s="160">
        <v>0.0</v>
      </c>
      <c r="Y519" s="160">
        <v>6786619.69</v>
      </c>
    </row>
    <row r="520">
      <c r="A520" s="157" t="s">
        <v>390</v>
      </c>
      <c r="B520" s="160">
        <v>0.0</v>
      </c>
      <c r="C520" s="160">
        <v>5918.0</v>
      </c>
      <c r="D520" s="160">
        <v>42476.3</v>
      </c>
      <c r="E520" s="160">
        <v>11924.0</v>
      </c>
      <c r="F520" s="160">
        <v>0.0</v>
      </c>
      <c r="G520" s="160">
        <v>0.0</v>
      </c>
      <c r="H520" s="160">
        <v>132255.2</v>
      </c>
      <c r="I520" s="160">
        <v>0.0</v>
      </c>
      <c r="J520" s="160">
        <v>0.0</v>
      </c>
      <c r="K520" s="160">
        <v>0.0</v>
      </c>
      <c r="L520" s="160">
        <v>203503.2</v>
      </c>
      <c r="M520" s="160">
        <v>14322.0</v>
      </c>
      <c r="N520" s="160">
        <v>395412.6</v>
      </c>
      <c r="O520" s="160">
        <v>0.0</v>
      </c>
      <c r="P520" s="160">
        <v>0.0</v>
      </c>
      <c r="Q520" s="160">
        <v>0.0</v>
      </c>
      <c r="R520" s="160">
        <v>0.0</v>
      </c>
      <c r="S520" s="160">
        <v>0.0</v>
      </c>
      <c r="T520" s="160">
        <v>0.0</v>
      </c>
      <c r="U520" s="160">
        <v>12412.4</v>
      </c>
      <c r="V520" s="160">
        <v>0.0</v>
      </c>
      <c r="W520" s="160">
        <v>0.0</v>
      </c>
      <c r="X520" s="160">
        <v>0.0</v>
      </c>
      <c r="Y520" s="160">
        <v>818223.7</v>
      </c>
    </row>
    <row r="521">
      <c r="A521" s="157" t="s">
        <v>866</v>
      </c>
      <c r="B521" s="160">
        <v>0.0</v>
      </c>
      <c r="C521" s="160">
        <v>0.0</v>
      </c>
      <c r="D521" s="160">
        <v>0.0</v>
      </c>
      <c r="E521" s="160">
        <v>0.0</v>
      </c>
      <c r="F521" s="160">
        <v>0.0</v>
      </c>
      <c r="G521" s="160">
        <v>0.0</v>
      </c>
      <c r="H521" s="160">
        <v>0.0</v>
      </c>
      <c r="I521" s="160">
        <v>0.0</v>
      </c>
      <c r="J521" s="160">
        <v>0.0</v>
      </c>
      <c r="K521" s="160">
        <v>0.0</v>
      </c>
      <c r="L521" s="160">
        <v>0.0</v>
      </c>
      <c r="M521" s="160">
        <v>0.0</v>
      </c>
      <c r="N521" s="160">
        <v>0.0</v>
      </c>
      <c r="O521" s="160">
        <v>0.0</v>
      </c>
      <c r="P521" s="160">
        <v>0.0</v>
      </c>
      <c r="Q521" s="160">
        <v>0.0</v>
      </c>
      <c r="R521" s="160">
        <v>0.0</v>
      </c>
      <c r="S521" s="160">
        <v>0.0</v>
      </c>
      <c r="T521" s="160">
        <v>0.0</v>
      </c>
      <c r="U521" s="160">
        <v>0.0</v>
      </c>
      <c r="V521" s="160">
        <v>0.0</v>
      </c>
      <c r="W521" s="160">
        <v>0.0</v>
      </c>
      <c r="X521" s="160">
        <v>0.0</v>
      </c>
      <c r="Y521" s="160">
        <v>0.0</v>
      </c>
    </row>
    <row r="522">
      <c r="A522" s="157" t="s">
        <v>867</v>
      </c>
      <c r="B522" s="160">
        <v>183957.51</v>
      </c>
      <c r="C522" s="160">
        <v>0.0</v>
      </c>
      <c r="D522" s="160">
        <v>0.0</v>
      </c>
      <c r="E522" s="160">
        <v>0.0</v>
      </c>
      <c r="F522" s="160">
        <v>0.0</v>
      </c>
      <c r="G522" s="160">
        <v>0.0</v>
      </c>
      <c r="H522" s="160">
        <v>0.0</v>
      </c>
      <c r="I522" s="160">
        <v>0.0</v>
      </c>
      <c r="J522" s="160">
        <v>389691.06</v>
      </c>
      <c r="K522" s="160">
        <v>0.0</v>
      </c>
      <c r="L522" s="160">
        <v>7710.96</v>
      </c>
      <c r="M522" s="160">
        <v>0.0</v>
      </c>
      <c r="N522" s="160">
        <v>0.0</v>
      </c>
      <c r="O522" s="160">
        <v>211534.73</v>
      </c>
      <c r="P522" s="160">
        <v>0.0</v>
      </c>
      <c r="Q522" s="160">
        <v>0.0</v>
      </c>
      <c r="R522" s="160">
        <v>0.0</v>
      </c>
      <c r="S522" s="160">
        <v>16986.0</v>
      </c>
      <c r="T522" s="160">
        <v>0.0</v>
      </c>
      <c r="U522" s="160">
        <v>0.0</v>
      </c>
      <c r="V522" s="160">
        <v>0.0</v>
      </c>
      <c r="W522" s="160">
        <v>0.0</v>
      </c>
      <c r="X522" s="160">
        <v>0.0</v>
      </c>
      <c r="Y522" s="160">
        <v>809880.27</v>
      </c>
    </row>
    <row r="523">
      <c r="A523" s="157" t="s">
        <v>281</v>
      </c>
      <c r="B523" s="160">
        <v>0.0</v>
      </c>
      <c r="C523" s="160">
        <v>413995.9</v>
      </c>
      <c r="D523" s="160">
        <v>810925.7</v>
      </c>
      <c r="E523" s="160">
        <v>0.0</v>
      </c>
      <c r="F523" s="160">
        <v>10239.6</v>
      </c>
      <c r="G523" s="160">
        <v>0.0</v>
      </c>
      <c r="H523" s="160">
        <v>849005.9</v>
      </c>
      <c r="I523" s="160">
        <v>0.0</v>
      </c>
      <c r="J523" s="160">
        <v>0.0</v>
      </c>
      <c r="K523" s="160">
        <v>0.0</v>
      </c>
      <c r="L523" s="160">
        <v>9540204.08</v>
      </c>
      <c r="M523" s="160">
        <v>672528.3</v>
      </c>
      <c r="N523" s="160">
        <v>608044.0</v>
      </c>
      <c r="O523" s="160">
        <v>0.0</v>
      </c>
      <c r="P523" s="160">
        <v>4502.4</v>
      </c>
      <c r="Q523" s="160">
        <v>0.0</v>
      </c>
      <c r="R523" s="160">
        <v>0.0</v>
      </c>
      <c r="S523" s="160">
        <v>0.0</v>
      </c>
      <c r="T523" s="160">
        <v>0.0</v>
      </c>
      <c r="U523" s="160">
        <v>9526.4</v>
      </c>
      <c r="V523" s="160">
        <v>0.0</v>
      </c>
      <c r="W523" s="160">
        <v>0.0</v>
      </c>
      <c r="X523" s="160">
        <v>0.0</v>
      </c>
      <c r="Y523" s="160">
        <v>1.291897228E7</v>
      </c>
    </row>
    <row r="524">
      <c r="A524" s="157" t="s">
        <v>341</v>
      </c>
      <c r="B524" s="160">
        <v>0.0</v>
      </c>
      <c r="C524" s="160">
        <v>818811.82</v>
      </c>
      <c r="D524" s="160">
        <v>104171.1</v>
      </c>
      <c r="E524" s="160">
        <v>304603.5</v>
      </c>
      <c r="F524" s="160">
        <v>0.0</v>
      </c>
      <c r="G524" s="160">
        <v>9000.0</v>
      </c>
      <c r="H524" s="160">
        <v>0.0</v>
      </c>
      <c r="I524" s="160">
        <v>0.0</v>
      </c>
      <c r="J524" s="160">
        <v>0.0</v>
      </c>
      <c r="K524" s="160">
        <v>0.0</v>
      </c>
      <c r="L524" s="160">
        <v>1570617.61</v>
      </c>
      <c r="M524" s="160">
        <v>49026.0</v>
      </c>
      <c r="N524" s="160">
        <v>0.0</v>
      </c>
      <c r="O524" s="160">
        <v>0.0</v>
      </c>
      <c r="P524" s="160">
        <v>0.0</v>
      </c>
      <c r="Q524" s="160">
        <v>0.0</v>
      </c>
      <c r="R524" s="160">
        <v>0.0</v>
      </c>
      <c r="S524" s="160">
        <v>0.0</v>
      </c>
      <c r="T524" s="160">
        <v>0.0</v>
      </c>
      <c r="U524" s="160">
        <v>465117.1</v>
      </c>
      <c r="V524" s="160">
        <v>0.0</v>
      </c>
      <c r="W524" s="160">
        <v>0.0</v>
      </c>
      <c r="X524" s="160">
        <v>0.0</v>
      </c>
      <c r="Y524" s="160">
        <v>3321347.13</v>
      </c>
    </row>
    <row r="525">
      <c r="A525" s="157" t="s">
        <v>868</v>
      </c>
      <c r="B525" s="160">
        <v>0.0</v>
      </c>
      <c r="C525" s="160">
        <v>0.0</v>
      </c>
      <c r="D525" s="160">
        <v>0.0</v>
      </c>
      <c r="E525" s="160">
        <v>0.0</v>
      </c>
      <c r="F525" s="160">
        <v>0.0</v>
      </c>
      <c r="G525" s="160">
        <v>0.0</v>
      </c>
      <c r="H525" s="160">
        <v>0.0</v>
      </c>
      <c r="I525" s="160">
        <v>0.0</v>
      </c>
      <c r="J525" s="160">
        <v>0.0</v>
      </c>
      <c r="K525" s="160">
        <v>0.0</v>
      </c>
      <c r="L525" s="160">
        <v>0.0</v>
      </c>
      <c r="M525" s="160">
        <v>0.0</v>
      </c>
      <c r="N525" s="160">
        <v>0.0</v>
      </c>
      <c r="O525" s="160">
        <v>0.0</v>
      </c>
      <c r="P525" s="160">
        <v>0.0</v>
      </c>
      <c r="Q525" s="160">
        <v>0.0</v>
      </c>
      <c r="R525" s="160">
        <v>0.0</v>
      </c>
      <c r="S525" s="160">
        <v>0.0</v>
      </c>
      <c r="T525" s="160">
        <v>0.0</v>
      </c>
      <c r="U525" s="160">
        <v>0.0</v>
      </c>
      <c r="V525" s="160">
        <v>0.0</v>
      </c>
      <c r="W525" s="160">
        <v>0.0</v>
      </c>
      <c r="X525" s="160">
        <v>0.0</v>
      </c>
      <c r="Y525" s="160">
        <v>0.0</v>
      </c>
    </row>
    <row r="526">
      <c r="A526" s="157" t="s">
        <v>104</v>
      </c>
      <c r="B526" s="160">
        <v>0.0</v>
      </c>
      <c r="C526" s="160">
        <v>4659382.0</v>
      </c>
      <c r="D526" s="160">
        <v>869238.0</v>
      </c>
      <c r="E526" s="160">
        <v>1353870.0</v>
      </c>
      <c r="F526" s="160">
        <v>356874.0</v>
      </c>
      <c r="G526" s="160">
        <v>27888.0</v>
      </c>
      <c r="H526" s="160">
        <v>0.0</v>
      </c>
      <c r="I526" s="160">
        <v>0.0</v>
      </c>
      <c r="J526" s="160">
        <v>0.0</v>
      </c>
      <c r="K526" s="160">
        <v>0.0</v>
      </c>
      <c r="L526" s="160">
        <v>5378417.4</v>
      </c>
      <c r="M526" s="160">
        <v>141942.0</v>
      </c>
      <c r="N526" s="160">
        <v>0.0</v>
      </c>
      <c r="O526" s="160">
        <v>0.0</v>
      </c>
      <c r="P526" s="160">
        <v>0.0</v>
      </c>
      <c r="Q526" s="160">
        <v>0.0</v>
      </c>
      <c r="R526" s="160">
        <v>0.0</v>
      </c>
      <c r="S526" s="160">
        <v>0.0</v>
      </c>
      <c r="T526" s="160">
        <v>1866.0</v>
      </c>
      <c r="U526" s="160">
        <v>1365496.8</v>
      </c>
      <c r="V526" s="160">
        <v>0.0</v>
      </c>
      <c r="W526" s="160">
        <v>0.0</v>
      </c>
      <c r="X526" s="160">
        <v>0.0</v>
      </c>
      <c r="Y526" s="160">
        <v>1.41549742E7</v>
      </c>
    </row>
    <row r="527">
      <c r="A527" s="157" t="s">
        <v>336</v>
      </c>
      <c r="B527" s="160">
        <v>136047.82</v>
      </c>
      <c r="C527" s="160">
        <v>32976.9</v>
      </c>
      <c r="D527" s="160">
        <v>0.0</v>
      </c>
      <c r="E527" s="160">
        <v>37116.0</v>
      </c>
      <c r="F527" s="160">
        <v>0.0</v>
      </c>
      <c r="G527" s="160">
        <v>0.0</v>
      </c>
      <c r="H527" s="160">
        <v>287862.02</v>
      </c>
      <c r="I527" s="160">
        <v>0.0</v>
      </c>
      <c r="J527" s="160">
        <v>1346884.81</v>
      </c>
      <c r="K527" s="160">
        <v>0.0</v>
      </c>
      <c r="L527" s="160">
        <v>369997.39</v>
      </c>
      <c r="M527" s="160">
        <v>0.0</v>
      </c>
      <c r="N527" s="160">
        <v>0.0</v>
      </c>
      <c r="O527" s="160">
        <v>479016.73</v>
      </c>
      <c r="P527" s="160">
        <v>249909.84</v>
      </c>
      <c r="Q527" s="160">
        <v>0.0</v>
      </c>
      <c r="R527" s="160">
        <v>287427.7</v>
      </c>
      <c r="S527" s="160">
        <v>339590.12</v>
      </c>
      <c r="T527" s="160">
        <v>0.0</v>
      </c>
      <c r="U527" s="160">
        <v>191389.46</v>
      </c>
      <c r="V527" s="160">
        <v>0.0</v>
      </c>
      <c r="W527" s="160">
        <v>0.0</v>
      </c>
      <c r="X527" s="160">
        <v>0.0</v>
      </c>
      <c r="Y527" s="160">
        <v>3758218.8</v>
      </c>
    </row>
    <row r="528">
      <c r="A528" s="157" t="s">
        <v>47</v>
      </c>
      <c r="B528" s="160">
        <v>0.0</v>
      </c>
      <c r="C528" s="160">
        <v>0.0</v>
      </c>
      <c r="D528" s="160">
        <v>0.0</v>
      </c>
      <c r="E528" s="160">
        <v>0.0</v>
      </c>
      <c r="F528" s="160">
        <v>0.0</v>
      </c>
      <c r="G528" s="160">
        <v>0.0</v>
      </c>
      <c r="H528" s="160">
        <v>0.0</v>
      </c>
      <c r="I528" s="160">
        <v>0.0</v>
      </c>
      <c r="J528" s="160">
        <v>0.0</v>
      </c>
      <c r="K528" s="160">
        <v>0.0</v>
      </c>
      <c r="L528" s="160">
        <v>0.0</v>
      </c>
      <c r="M528" s="160">
        <v>0.0</v>
      </c>
      <c r="N528" s="160">
        <v>0.0</v>
      </c>
      <c r="O528" s="160">
        <v>0.0</v>
      </c>
      <c r="P528" s="160">
        <v>0.0</v>
      </c>
      <c r="Q528" s="160">
        <v>0.0</v>
      </c>
      <c r="R528" s="160">
        <v>0.0</v>
      </c>
      <c r="S528" s="160">
        <v>0.0</v>
      </c>
      <c r="T528" s="160">
        <v>0.0</v>
      </c>
      <c r="U528" s="160">
        <v>0.0</v>
      </c>
      <c r="V528" s="160">
        <v>0.0</v>
      </c>
      <c r="W528" s="160">
        <v>0.0</v>
      </c>
      <c r="X528" s="160">
        <v>0.0</v>
      </c>
      <c r="Y528" s="160">
        <v>0.0</v>
      </c>
    </row>
    <row r="529">
      <c r="A529" s="157" t="s">
        <v>38</v>
      </c>
      <c r="B529" s="160">
        <v>0.0</v>
      </c>
      <c r="C529" s="160">
        <v>0.0</v>
      </c>
      <c r="D529" s="160">
        <v>0.0</v>
      </c>
      <c r="E529" s="160">
        <v>0.0</v>
      </c>
      <c r="F529" s="160">
        <v>0.0</v>
      </c>
      <c r="G529" s="160">
        <v>0.0</v>
      </c>
      <c r="H529" s="160">
        <v>90349.0</v>
      </c>
      <c r="I529" s="160">
        <v>0.0</v>
      </c>
      <c r="J529" s="160">
        <v>1770069.73</v>
      </c>
      <c r="K529" s="160">
        <v>0.0</v>
      </c>
      <c r="L529" s="160">
        <v>1655064.4</v>
      </c>
      <c r="M529" s="160">
        <v>94265.6</v>
      </c>
      <c r="N529" s="160">
        <v>13350.0</v>
      </c>
      <c r="O529" s="160">
        <v>0.0</v>
      </c>
      <c r="P529" s="160">
        <v>0.0</v>
      </c>
      <c r="Q529" s="160">
        <v>0.0</v>
      </c>
      <c r="R529" s="160">
        <v>477101.25</v>
      </c>
      <c r="S529" s="160">
        <v>268441.6</v>
      </c>
      <c r="T529" s="160">
        <v>0.0</v>
      </c>
      <c r="U529" s="160">
        <v>0.0</v>
      </c>
      <c r="V529" s="160">
        <v>0.0</v>
      </c>
      <c r="W529" s="160">
        <v>0.0</v>
      </c>
      <c r="X529" s="160">
        <v>0.0</v>
      </c>
      <c r="Y529" s="160">
        <v>4368641.58</v>
      </c>
    </row>
    <row r="530">
      <c r="A530" s="157" t="s">
        <v>62</v>
      </c>
      <c r="B530" s="160">
        <v>1204733.78</v>
      </c>
      <c r="C530" s="160">
        <v>244.8</v>
      </c>
      <c r="D530" s="160">
        <v>0.0</v>
      </c>
      <c r="E530" s="160">
        <v>0.0</v>
      </c>
      <c r="F530" s="160">
        <v>0.0</v>
      </c>
      <c r="G530" s="160">
        <v>0.0</v>
      </c>
      <c r="H530" s="160">
        <v>506606.82</v>
      </c>
      <c r="I530" s="160">
        <v>0.0</v>
      </c>
      <c r="J530" s="160">
        <v>1881313.54</v>
      </c>
      <c r="K530" s="160">
        <v>0.0</v>
      </c>
      <c r="L530" s="160">
        <v>2462388.33</v>
      </c>
      <c r="M530" s="160">
        <v>13676.0</v>
      </c>
      <c r="N530" s="160">
        <v>0.0</v>
      </c>
      <c r="O530" s="160">
        <v>502376.23</v>
      </c>
      <c r="P530" s="160">
        <v>57937.23</v>
      </c>
      <c r="Q530" s="160">
        <v>0.0</v>
      </c>
      <c r="R530" s="160">
        <v>1082009.75</v>
      </c>
      <c r="S530" s="160">
        <v>594142.28</v>
      </c>
      <c r="T530" s="160">
        <v>0.0</v>
      </c>
      <c r="U530" s="160">
        <v>0.0</v>
      </c>
      <c r="V530" s="160">
        <v>0.0</v>
      </c>
      <c r="W530" s="160">
        <v>0.0</v>
      </c>
      <c r="X530" s="160">
        <v>0.0</v>
      </c>
      <c r="Y530" s="160">
        <v>8305428.76</v>
      </c>
    </row>
    <row r="531">
      <c r="A531" s="157" t="s">
        <v>377</v>
      </c>
      <c r="B531" s="160">
        <v>128243.2</v>
      </c>
      <c r="C531" s="160">
        <v>0.0</v>
      </c>
      <c r="D531" s="160">
        <v>0.0</v>
      </c>
      <c r="E531" s="160">
        <v>0.0</v>
      </c>
      <c r="F531" s="160">
        <v>0.0</v>
      </c>
      <c r="G531" s="160">
        <v>0.0</v>
      </c>
      <c r="H531" s="160">
        <v>267884.36</v>
      </c>
      <c r="I531" s="160">
        <v>0.0</v>
      </c>
      <c r="J531" s="160">
        <v>41538.0</v>
      </c>
      <c r="K531" s="160">
        <v>0.0</v>
      </c>
      <c r="L531" s="160">
        <v>249935.63</v>
      </c>
      <c r="M531" s="160">
        <v>0.0</v>
      </c>
      <c r="N531" s="160">
        <v>0.0</v>
      </c>
      <c r="O531" s="160">
        <v>0.0</v>
      </c>
      <c r="P531" s="160">
        <v>0.0</v>
      </c>
      <c r="Q531" s="160">
        <v>0.0</v>
      </c>
      <c r="R531" s="160">
        <v>0.0</v>
      </c>
      <c r="S531" s="160">
        <v>279740.24</v>
      </c>
      <c r="T531" s="160">
        <v>0.0</v>
      </c>
      <c r="U531" s="160">
        <v>0.0</v>
      </c>
      <c r="V531" s="160">
        <v>0.0</v>
      </c>
      <c r="W531" s="160">
        <v>0.0</v>
      </c>
      <c r="X531" s="160">
        <v>0.0</v>
      </c>
      <c r="Y531" s="160">
        <v>967341.44</v>
      </c>
    </row>
    <row r="532">
      <c r="A532" s="157" t="s">
        <v>869</v>
      </c>
      <c r="B532" s="160">
        <v>0.0</v>
      </c>
      <c r="C532" s="160">
        <v>0.0</v>
      </c>
      <c r="D532" s="160">
        <v>0.0</v>
      </c>
      <c r="E532" s="160">
        <v>0.0</v>
      </c>
      <c r="F532" s="160">
        <v>0.0</v>
      </c>
      <c r="G532" s="160">
        <v>0.0</v>
      </c>
      <c r="H532" s="160">
        <v>0.0</v>
      </c>
      <c r="I532" s="160">
        <v>0.0</v>
      </c>
      <c r="J532" s="160">
        <v>0.0</v>
      </c>
      <c r="K532" s="160">
        <v>0.0</v>
      </c>
      <c r="L532" s="160">
        <v>0.0</v>
      </c>
      <c r="M532" s="160">
        <v>0.0</v>
      </c>
      <c r="N532" s="160">
        <v>0.0</v>
      </c>
      <c r="O532" s="160">
        <v>0.0</v>
      </c>
      <c r="P532" s="160">
        <v>0.0</v>
      </c>
      <c r="Q532" s="160">
        <v>0.0</v>
      </c>
      <c r="R532" s="160">
        <v>0.0</v>
      </c>
      <c r="S532" s="160">
        <v>0.0</v>
      </c>
      <c r="T532" s="160">
        <v>0.0</v>
      </c>
      <c r="U532" s="160">
        <v>0.0</v>
      </c>
      <c r="V532" s="160">
        <v>0.0</v>
      </c>
      <c r="W532" s="160">
        <v>0.0</v>
      </c>
      <c r="X532" s="160">
        <v>0.0</v>
      </c>
      <c r="Y532" s="160">
        <v>0.0</v>
      </c>
    </row>
    <row r="533">
      <c r="A533" s="157" t="s">
        <v>342</v>
      </c>
      <c r="B533" s="160">
        <v>0.0</v>
      </c>
      <c r="C533" s="160">
        <v>1124692.7</v>
      </c>
      <c r="D533" s="160">
        <v>156661.3</v>
      </c>
      <c r="E533" s="160">
        <v>308505.3</v>
      </c>
      <c r="F533" s="160">
        <v>321080.9</v>
      </c>
      <c r="G533" s="160">
        <v>16245.0</v>
      </c>
      <c r="H533" s="160">
        <v>0.0</v>
      </c>
      <c r="I533" s="160">
        <v>0.0</v>
      </c>
      <c r="J533" s="160">
        <v>0.0</v>
      </c>
      <c r="K533" s="160">
        <v>0.0</v>
      </c>
      <c r="L533" s="160">
        <v>0.0</v>
      </c>
      <c r="M533" s="160">
        <v>387614.3</v>
      </c>
      <c r="N533" s="160">
        <v>0.0</v>
      </c>
      <c r="O533" s="160">
        <v>0.0</v>
      </c>
      <c r="P533" s="160">
        <v>0.0</v>
      </c>
      <c r="Q533" s="160">
        <v>0.0</v>
      </c>
      <c r="R533" s="160">
        <v>0.0</v>
      </c>
      <c r="S533" s="160">
        <v>0.0</v>
      </c>
      <c r="T533" s="160">
        <v>0.0</v>
      </c>
      <c r="U533" s="160">
        <v>482811.5</v>
      </c>
      <c r="V533" s="160">
        <v>0.0</v>
      </c>
      <c r="W533" s="160">
        <v>0.0</v>
      </c>
      <c r="X533" s="160">
        <v>0.0</v>
      </c>
      <c r="Y533" s="160">
        <v>2797611.0</v>
      </c>
    </row>
    <row r="534">
      <c r="A534" s="157" t="s">
        <v>870</v>
      </c>
      <c r="B534" s="160">
        <v>0.0</v>
      </c>
      <c r="C534" s="160">
        <v>0.0</v>
      </c>
      <c r="D534" s="160">
        <v>0.0</v>
      </c>
      <c r="E534" s="160">
        <v>0.0</v>
      </c>
      <c r="F534" s="160">
        <v>0.0</v>
      </c>
      <c r="G534" s="160">
        <v>0.0</v>
      </c>
      <c r="H534" s="160">
        <v>0.0</v>
      </c>
      <c r="I534" s="160">
        <v>0.0</v>
      </c>
      <c r="J534" s="160">
        <v>0.0</v>
      </c>
      <c r="K534" s="160">
        <v>0.0</v>
      </c>
      <c r="L534" s="160">
        <v>0.0</v>
      </c>
      <c r="M534" s="160">
        <v>0.0</v>
      </c>
      <c r="N534" s="160">
        <v>0.0</v>
      </c>
      <c r="O534" s="160">
        <v>0.0</v>
      </c>
      <c r="P534" s="160">
        <v>0.0</v>
      </c>
      <c r="Q534" s="160">
        <v>0.0</v>
      </c>
      <c r="R534" s="160">
        <v>0.0</v>
      </c>
      <c r="S534" s="160">
        <v>0.0</v>
      </c>
      <c r="T534" s="160">
        <v>0.0</v>
      </c>
      <c r="U534" s="160">
        <v>0.0</v>
      </c>
      <c r="V534" s="160">
        <v>0.0</v>
      </c>
      <c r="W534" s="160">
        <v>0.0</v>
      </c>
      <c r="X534" s="160">
        <v>0.0</v>
      </c>
      <c r="Y534" s="160">
        <v>0.0</v>
      </c>
    </row>
    <row r="535">
      <c r="A535" s="157" t="s">
        <v>871</v>
      </c>
      <c r="B535" s="160">
        <v>1115449.17</v>
      </c>
      <c r="C535" s="160">
        <v>0.0</v>
      </c>
      <c r="D535" s="160">
        <v>0.0</v>
      </c>
      <c r="E535" s="160">
        <v>0.0</v>
      </c>
      <c r="F535" s="160">
        <v>0.0</v>
      </c>
      <c r="G535" s="160">
        <v>0.0</v>
      </c>
      <c r="H535" s="160">
        <v>5148.0</v>
      </c>
      <c r="I535" s="160">
        <v>0.0</v>
      </c>
      <c r="J535" s="160">
        <v>829153.56</v>
      </c>
      <c r="K535" s="160">
        <v>0.0</v>
      </c>
      <c r="L535" s="160">
        <v>19025.42</v>
      </c>
      <c r="M535" s="160">
        <v>0.0</v>
      </c>
      <c r="N535" s="160">
        <v>0.0</v>
      </c>
      <c r="O535" s="160">
        <v>65555.22</v>
      </c>
      <c r="P535" s="160">
        <v>0.0</v>
      </c>
      <c r="Q535" s="160">
        <v>0.0</v>
      </c>
      <c r="R535" s="160">
        <v>0.0</v>
      </c>
      <c r="S535" s="160">
        <v>0.0</v>
      </c>
      <c r="T535" s="160">
        <v>0.0</v>
      </c>
      <c r="U535" s="160">
        <v>0.0</v>
      </c>
      <c r="V535" s="160">
        <v>0.0</v>
      </c>
      <c r="W535" s="160">
        <v>0.0</v>
      </c>
      <c r="X535" s="160">
        <v>0.0</v>
      </c>
      <c r="Y535" s="160">
        <v>2034331.38</v>
      </c>
    </row>
    <row r="536">
      <c r="A536" s="157" t="s">
        <v>360</v>
      </c>
      <c r="B536" s="160">
        <v>0.0</v>
      </c>
      <c r="C536" s="160">
        <v>45870.0</v>
      </c>
      <c r="D536" s="160">
        <v>0.0</v>
      </c>
      <c r="E536" s="160">
        <v>0.0</v>
      </c>
      <c r="F536" s="160">
        <v>0.0</v>
      </c>
      <c r="G536" s="160">
        <v>0.0</v>
      </c>
      <c r="H536" s="160">
        <v>0.0</v>
      </c>
      <c r="I536" s="160">
        <v>0.0</v>
      </c>
      <c r="J536" s="160">
        <v>0.0</v>
      </c>
      <c r="K536" s="160">
        <v>0.0</v>
      </c>
      <c r="L536" s="160">
        <v>1019971.15</v>
      </c>
      <c r="M536" s="160">
        <v>0.0</v>
      </c>
      <c r="N536" s="160">
        <v>0.0</v>
      </c>
      <c r="O536" s="160">
        <v>0.0</v>
      </c>
      <c r="P536" s="160">
        <v>10120.0</v>
      </c>
      <c r="Q536" s="160">
        <v>0.0</v>
      </c>
      <c r="R536" s="160">
        <v>0.0</v>
      </c>
      <c r="S536" s="160">
        <v>1032333.8</v>
      </c>
      <c r="T536" s="160">
        <v>109037.5</v>
      </c>
      <c r="U536" s="160">
        <v>61160.0</v>
      </c>
      <c r="V536" s="160">
        <v>0.0</v>
      </c>
      <c r="W536" s="160">
        <v>0.0</v>
      </c>
      <c r="X536" s="160">
        <v>0.0</v>
      </c>
      <c r="Y536" s="160">
        <v>2278492.45</v>
      </c>
    </row>
    <row r="537">
      <c r="A537" s="157" t="s">
        <v>283</v>
      </c>
      <c r="B537" s="160">
        <v>2822.4</v>
      </c>
      <c r="C537" s="160">
        <v>1361223.6</v>
      </c>
      <c r="D537" s="160">
        <v>2047691.0</v>
      </c>
      <c r="E537" s="160">
        <v>1277020.29</v>
      </c>
      <c r="F537" s="160">
        <v>475072.2</v>
      </c>
      <c r="G537" s="160">
        <v>125032.2</v>
      </c>
      <c r="H537" s="160">
        <v>739568.13</v>
      </c>
      <c r="I537" s="160">
        <v>0.0</v>
      </c>
      <c r="J537" s="160">
        <v>360443.57</v>
      </c>
      <c r="K537" s="160">
        <v>0.0</v>
      </c>
      <c r="L537" s="160">
        <v>1.036695399E7</v>
      </c>
      <c r="M537" s="160">
        <v>631030.0</v>
      </c>
      <c r="N537" s="160">
        <v>1501890.96</v>
      </c>
      <c r="O537" s="160">
        <v>2689170.6</v>
      </c>
      <c r="P537" s="160">
        <v>3916347.28</v>
      </c>
      <c r="Q537" s="160">
        <v>5196.8</v>
      </c>
      <c r="R537" s="160">
        <v>1153824.79</v>
      </c>
      <c r="S537" s="160">
        <v>5259.38</v>
      </c>
      <c r="T537" s="160">
        <v>0.0</v>
      </c>
      <c r="U537" s="160">
        <v>607552.6</v>
      </c>
      <c r="V537" s="160">
        <v>0.0</v>
      </c>
      <c r="W537" s="160">
        <v>0.0</v>
      </c>
      <c r="X537" s="160">
        <v>0.0</v>
      </c>
      <c r="Y537" s="160">
        <v>2.726609977E7</v>
      </c>
    </row>
    <row r="538">
      <c r="A538" s="157" t="s">
        <v>872</v>
      </c>
      <c r="B538" s="160">
        <v>0.0</v>
      </c>
      <c r="C538" s="160">
        <v>0.0</v>
      </c>
      <c r="D538" s="160">
        <v>0.0</v>
      </c>
      <c r="E538" s="160">
        <v>0.0</v>
      </c>
      <c r="F538" s="160">
        <v>0.0</v>
      </c>
      <c r="G538" s="160">
        <v>0.0</v>
      </c>
      <c r="H538" s="160">
        <v>0.0</v>
      </c>
      <c r="I538" s="160">
        <v>0.0</v>
      </c>
      <c r="J538" s="160">
        <v>0.0</v>
      </c>
      <c r="K538" s="160">
        <v>0.0</v>
      </c>
      <c r="L538" s="160">
        <v>0.0</v>
      </c>
      <c r="M538" s="160">
        <v>0.0</v>
      </c>
      <c r="N538" s="160">
        <v>0.0</v>
      </c>
      <c r="O538" s="160">
        <v>0.0</v>
      </c>
      <c r="P538" s="160">
        <v>0.0</v>
      </c>
      <c r="Q538" s="160">
        <v>0.0</v>
      </c>
      <c r="R538" s="160">
        <v>0.0</v>
      </c>
      <c r="S538" s="160">
        <v>0.0</v>
      </c>
      <c r="T538" s="160">
        <v>0.0</v>
      </c>
      <c r="U538" s="160">
        <v>0.0</v>
      </c>
      <c r="V538" s="160">
        <v>0.0</v>
      </c>
      <c r="W538" s="160">
        <v>0.0</v>
      </c>
      <c r="X538" s="160">
        <v>0.0</v>
      </c>
      <c r="Y538" s="160">
        <v>0.0</v>
      </c>
    </row>
    <row r="539">
      <c r="A539" s="157" t="s">
        <v>106</v>
      </c>
      <c r="B539" s="160">
        <v>0.0</v>
      </c>
      <c r="C539" s="160">
        <v>2900283.0</v>
      </c>
      <c r="D539" s="160">
        <v>216192.0</v>
      </c>
      <c r="E539" s="160">
        <v>585900.0</v>
      </c>
      <c r="F539" s="160">
        <v>0.0</v>
      </c>
      <c r="G539" s="160">
        <v>0.0</v>
      </c>
      <c r="H539" s="160">
        <v>0.0</v>
      </c>
      <c r="I539" s="160">
        <v>0.0</v>
      </c>
      <c r="J539" s="160">
        <v>0.0</v>
      </c>
      <c r="K539" s="160">
        <v>0.0</v>
      </c>
      <c r="L539" s="160">
        <v>5180443.21</v>
      </c>
      <c r="M539" s="160">
        <v>96864.0</v>
      </c>
      <c r="N539" s="160">
        <v>0.0</v>
      </c>
      <c r="O539" s="160">
        <v>0.0</v>
      </c>
      <c r="P539" s="160">
        <v>0.0</v>
      </c>
      <c r="Q539" s="160">
        <v>0.0</v>
      </c>
      <c r="R539" s="160">
        <v>0.0</v>
      </c>
      <c r="S539" s="160">
        <v>0.0</v>
      </c>
      <c r="T539" s="160">
        <v>0.0</v>
      </c>
      <c r="U539" s="160">
        <v>1710348.0</v>
      </c>
      <c r="V539" s="160">
        <v>0.0</v>
      </c>
      <c r="W539" s="160">
        <v>0.0</v>
      </c>
      <c r="X539" s="160">
        <v>0.0</v>
      </c>
      <c r="Y539" s="160">
        <v>1.069003021E7</v>
      </c>
    </row>
    <row r="540">
      <c r="A540" s="157" t="s">
        <v>873</v>
      </c>
      <c r="B540" s="160">
        <v>0.0</v>
      </c>
      <c r="C540" s="160">
        <v>0.0</v>
      </c>
      <c r="D540" s="160">
        <v>0.0</v>
      </c>
      <c r="E540" s="160">
        <v>0.0</v>
      </c>
      <c r="F540" s="160">
        <v>0.0</v>
      </c>
      <c r="G540" s="160">
        <v>0.0</v>
      </c>
      <c r="H540" s="160">
        <v>0.0</v>
      </c>
      <c r="I540" s="160">
        <v>0.0</v>
      </c>
      <c r="J540" s="160">
        <v>0.0</v>
      </c>
      <c r="K540" s="160">
        <v>0.0</v>
      </c>
      <c r="L540" s="160">
        <v>0.0</v>
      </c>
      <c r="M540" s="160">
        <v>0.0</v>
      </c>
      <c r="N540" s="160">
        <v>0.0</v>
      </c>
      <c r="O540" s="160">
        <v>0.0</v>
      </c>
      <c r="P540" s="160">
        <v>0.0</v>
      </c>
      <c r="Q540" s="160">
        <v>0.0</v>
      </c>
      <c r="R540" s="160">
        <v>0.0</v>
      </c>
      <c r="S540" s="160">
        <v>0.0</v>
      </c>
      <c r="T540" s="160">
        <v>0.0</v>
      </c>
      <c r="U540" s="160">
        <v>0.0</v>
      </c>
      <c r="V540" s="160">
        <v>0.0</v>
      </c>
      <c r="W540" s="160">
        <v>0.0</v>
      </c>
      <c r="X540" s="160">
        <v>0.0</v>
      </c>
      <c r="Y540" s="160">
        <v>0.0</v>
      </c>
    </row>
    <row r="541">
      <c r="A541" s="157" t="s">
        <v>874</v>
      </c>
      <c r="B541" s="160">
        <v>0.0</v>
      </c>
      <c r="C541" s="160">
        <v>0.0</v>
      </c>
      <c r="D541" s="160">
        <v>0.0</v>
      </c>
      <c r="E541" s="160">
        <v>0.0</v>
      </c>
      <c r="F541" s="160">
        <v>0.0</v>
      </c>
      <c r="G541" s="160">
        <v>0.0</v>
      </c>
      <c r="H541" s="160">
        <v>0.0</v>
      </c>
      <c r="I541" s="160">
        <v>0.0</v>
      </c>
      <c r="J541" s="160">
        <v>0.0</v>
      </c>
      <c r="K541" s="160">
        <v>0.0</v>
      </c>
      <c r="L541" s="160">
        <v>0.0</v>
      </c>
      <c r="M541" s="160">
        <v>0.0</v>
      </c>
      <c r="N541" s="160">
        <v>0.0</v>
      </c>
      <c r="O541" s="160">
        <v>0.0</v>
      </c>
      <c r="P541" s="160">
        <v>0.0</v>
      </c>
      <c r="Q541" s="160">
        <v>0.0</v>
      </c>
      <c r="R541" s="160">
        <v>0.0</v>
      </c>
      <c r="S541" s="160">
        <v>0.0</v>
      </c>
      <c r="T541" s="160">
        <v>0.0</v>
      </c>
      <c r="U541" s="160">
        <v>0.0</v>
      </c>
      <c r="V541" s="160">
        <v>0.0</v>
      </c>
      <c r="W541" s="160">
        <v>0.0</v>
      </c>
      <c r="X541" s="160">
        <v>0.0</v>
      </c>
      <c r="Y541" s="160">
        <v>0.0</v>
      </c>
    </row>
    <row r="542">
      <c r="A542" s="157" t="s">
        <v>447</v>
      </c>
      <c r="B542" s="160">
        <v>104974.0</v>
      </c>
      <c r="C542" s="160">
        <v>3472.2</v>
      </c>
      <c r="D542" s="160">
        <v>3483.0</v>
      </c>
      <c r="E542" s="160">
        <v>0.0</v>
      </c>
      <c r="F542" s="160">
        <v>0.0</v>
      </c>
      <c r="G542" s="160">
        <v>0.0</v>
      </c>
      <c r="H542" s="160">
        <v>40079.8</v>
      </c>
      <c r="I542" s="160">
        <v>0.0</v>
      </c>
      <c r="J542" s="160">
        <v>499208.03</v>
      </c>
      <c r="K542" s="160">
        <v>0.0</v>
      </c>
      <c r="L542" s="160">
        <v>74257.32</v>
      </c>
      <c r="M542" s="160">
        <v>3218.4</v>
      </c>
      <c r="N542" s="160">
        <v>242528.4</v>
      </c>
      <c r="O542" s="160">
        <v>51476.83</v>
      </c>
      <c r="P542" s="160">
        <v>0.0</v>
      </c>
      <c r="Q542" s="160">
        <v>0.0</v>
      </c>
      <c r="R542" s="160">
        <v>793423.75</v>
      </c>
      <c r="S542" s="160">
        <v>170443.0</v>
      </c>
      <c r="T542" s="160">
        <v>0.0</v>
      </c>
      <c r="U542" s="160">
        <v>42482.5</v>
      </c>
      <c r="V542" s="160">
        <v>0.0</v>
      </c>
      <c r="W542" s="160">
        <v>0.0</v>
      </c>
      <c r="X542" s="160">
        <v>0.0</v>
      </c>
      <c r="Y542" s="160">
        <v>2029047.22</v>
      </c>
    </row>
    <row r="543">
      <c r="A543" s="157" t="s">
        <v>395</v>
      </c>
      <c r="B543" s="160">
        <v>0.0</v>
      </c>
      <c r="C543" s="160">
        <v>0.0</v>
      </c>
      <c r="D543" s="160">
        <v>15785.0</v>
      </c>
      <c r="E543" s="160">
        <v>26125.0</v>
      </c>
      <c r="F543" s="160">
        <v>0.0</v>
      </c>
      <c r="G543" s="160">
        <v>66055.0</v>
      </c>
      <c r="H543" s="160">
        <v>0.0</v>
      </c>
      <c r="I543" s="160">
        <v>0.0</v>
      </c>
      <c r="J543" s="160">
        <v>0.0</v>
      </c>
      <c r="K543" s="160">
        <v>0.0</v>
      </c>
      <c r="L543" s="160">
        <v>36999.2</v>
      </c>
      <c r="M543" s="160">
        <v>143368.5</v>
      </c>
      <c r="N543" s="160">
        <v>175120.0</v>
      </c>
      <c r="O543" s="160">
        <v>0.0</v>
      </c>
      <c r="P543" s="160">
        <v>0.0</v>
      </c>
      <c r="Q543" s="160">
        <v>0.0</v>
      </c>
      <c r="R543" s="160">
        <v>0.0</v>
      </c>
      <c r="S543" s="160">
        <v>0.0</v>
      </c>
      <c r="T543" s="160">
        <v>0.0</v>
      </c>
      <c r="U543" s="160">
        <v>0.0</v>
      </c>
      <c r="V543" s="160">
        <v>0.0</v>
      </c>
      <c r="W543" s="160">
        <v>0.0</v>
      </c>
      <c r="X543" s="160">
        <v>0.0</v>
      </c>
      <c r="Y543" s="160">
        <v>463452.7</v>
      </c>
    </row>
    <row r="544">
      <c r="A544" s="157" t="s">
        <v>366</v>
      </c>
      <c r="B544" s="160">
        <v>0.0</v>
      </c>
      <c r="C544" s="160">
        <v>0.0</v>
      </c>
      <c r="D544" s="160">
        <v>0.0</v>
      </c>
      <c r="E544" s="160">
        <v>0.0</v>
      </c>
      <c r="F544" s="160">
        <v>0.0</v>
      </c>
      <c r="G544" s="160">
        <v>0.0</v>
      </c>
      <c r="H544" s="160">
        <v>7800.0</v>
      </c>
      <c r="I544" s="160">
        <v>0.0</v>
      </c>
      <c r="J544" s="160">
        <v>1862.0</v>
      </c>
      <c r="K544" s="160">
        <v>0.0</v>
      </c>
      <c r="L544" s="160">
        <v>20886.8</v>
      </c>
      <c r="M544" s="160">
        <v>0.0</v>
      </c>
      <c r="N544" s="160">
        <v>0.0</v>
      </c>
      <c r="O544" s="160">
        <v>20189.4</v>
      </c>
      <c r="P544" s="160">
        <v>0.0</v>
      </c>
      <c r="Q544" s="160">
        <v>0.0</v>
      </c>
      <c r="R544" s="160">
        <v>0.0</v>
      </c>
      <c r="S544" s="160">
        <v>0.0</v>
      </c>
      <c r="T544" s="160">
        <v>0.0</v>
      </c>
      <c r="U544" s="160">
        <v>0.0</v>
      </c>
      <c r="V544" s="160">
        <v>0.0</v>
      </c>
      <c r="W544" s="160">
        <v>0.0</v>
      </c>
      <c r="X544" s="160">
        <v>0.0</v>
      </c>
      <c r="Y544" s="160">
        <v>50738.2</v>
      </c>
    </row>
    <row r="545">
      <c r="A545" s="157" t="s">
        <v>328</v>
      </c>
      <c r="B545" s="160">
        <v>0.0</v>
      </c>
      <c r="C545" s="160">
        <v>188975.84</v>
      </c>
      <c r="D545" s="160">
        <v>127987.9</v>
      </c>
      <c r="E545" s="160">
        <v>143800.4</v>
      </c>
      <c r="F545" s="160">
        <v>5719.8</v>
      </c>
      <c r="G545" s="160">
        <v>946.4</v>
      </c>
      <c r="H545" s="160">
        <v>130016.9</v>
      </c>
      <c r="I545" s="160">
        <v>187.6</v>
      </c>
      <c r="J545" s="160">
        <v>0.0</v>
      </c>
      <c r="K545" s="160">
        <v>0.0</v>
      </c>
      <c r="L545" s="160">
        <v>744714.52</v>
      </c>
      <c r="M545" s="160">
        <v>756347.22</v>
      </c>
      <c r="N545" s="160">
        <v>192431.2</v>
      </c>
      <c r="O545" s="160">
        <v>0.0</v>
      </c>
      <c r="P545" s="160">
        <v>0.0</v>
      </c>
      <c r="Q545" s="160">
        <v>0.0</v>
      </c>
      <c r="R545" s="160">
        <v>0.0</v>
      </c>
      <c r="S545" s="160">
        <v>12843.0</v>
      </c>
      <c r="T545" s="160">
        <v>0.0</v>
      </c>
      <c r="U545" s="160">
        <v>635742.85</v>
      </c>
      <c r="V545" s="160">
        <v>0.0</v>
      </c>
      <c r="W545" s="160">
        <v>0.0</v>
      </c>
      <c r="X545" s="160">
        <v>0.0</v>
      </c>
      <c r="Y545" s="160">
        <v>2939713.63</v>
      </c>
    </row>
    <row r="546">
      <c r="A546" s="157" t="s">
        <v>285</v>
      </c>
      <c r="B546" s="160">
        <v>448119.35</v>
      </c>
      <c r="C546" s="160">
        <v>0.0</v>
      </c>
      <c r="D546" s="160">
        <v>0.0</v>
      </c>
      <c r="E546" s="160">
        <v>0.0</v>
      </c>
      <c r="F546" s="160">
        <v>0.0</v>
      </c>
      <c r="G546" s="160">
        <v>0.0</v>
      </c>
      <c r="H546" s="160">
        <v>373086.8</v>
      </c>
      <c r="I546" s="160">
        <v>0.0</v>
      </c>
      <c r="J546" s="160">
        <v>666520.93</v>
      </c>
      <c r="K546" s="160">
        <v>0.0</v>
      </c>
      <c r="L546" s="160">
        <v>6518.25</v>
      </c>
      <c r="M546" s="160">
        <v>0.0</v>
      </c>
      <c r="N546" s="160">
        <v>0.0</v>
      </c>
      <c r="O546" s="160">
        <v>1401082.36</v>
      </c>
      <c r="P546" s="160">
        <v>1376430.11</v>
      </c>
      <c r="Q546" s="160">
        <v>0.0</v>
      </c>
      <c r="R546" s="160">
        <v>277185.63</v>
      </c>
      <c r="S546" s="160">
        <v>15417.8</v>
      </c>
      <c r="T546" s="160">
        <v>0.0</v>
      </c>
      <c r="U546" s="160">
        <v>0.0</v>
      </c>
      <c r="V546" s="160">
        <v>0.0</v>
      </c>
      <c r="W546" s="160">
        <v>0.0</v>
      </c>
      <c r="X546" s="160">
        <v>0.0</v>
      </c>
      <c r="Y546" s="160">
        <v>4564361.22</v>
      </c>
    </row>
    <row r="547">
      <c r="A547" s="157" t="s">
        <v>408</v>
      </c>
      <c r="B547" s="160">
        <v>0.0</v>
      </c>
      <c r="C547" s="160">
        <v>0.0</v>
      </c>
      <c r="D547" s="160">
        <v>93870.4</v>
      </c>
      <c r="E547" s="160">
        <v>35340.0</v>
      </c>
      <c r="F547" s="160">
        <v>0.0</v>
      </c>
      <c r="G547" s="160">
        <v>0.0</v>
      </c>
      <c r="H547" s="160">
        <v>137280.0</v>
      </c>
      <c r="I547" s="160">
        <v>0.0</v>
      </c>
      <c r="J547" s="160">
        <v>0.0</v>
      </c>
      <c r="K547" s="160">
        <v>0.0</v>
      </c>
      <c r="L547" s="160">
        <v>1046482.92</v>
      </c>
      <c r="M547" s="160">
        <v>20182.4</v>
      </c>
      <c r="N547" s="160">
        <v>0.0</v>
      </c>
      <c r="O547" s="160">
        <v>0.0</v>
      </c>
      <c r="P547" s="160">
        <v>0.0</v>
      </c>
      <c r="Q547" s="160">
        <v>0.0</v>
      </c>
      <c r="R547" s="160">
        <v>0.0</v>
      </c>
      <c r="S547" s="160">
        <v>0.0</v>
      </c>
      <c r="T547" s="160">
        <v>0.0</v>
      </c>
      <c r="U547" s="160">
        <v>0.0</v>
      </c>
      <c r="V547" s="160">
        <v>0.0</v>
      </c>
      <c r="W547" s="160">
        <v>0.0</v>
      </c>
      <c r="X547" s="160">
        <v>0.0</v>
      </c>
      <c r="Y547" s="160">
        <v>1333155.72</v>
      </c>
    </row>
    <row r="548">
      <c r="A548" s="157" t="s">
        <v>397</v>
      </c>
      <c r="B548" s="160">
        <v>0.0</v>
      </c>
      <c r="C548" s="160">
        <v>12760.0</v>
      </c>
      <c r="D548" s="160">
        <v>0.0</v>
      </c>
      <c r="E548" s="160">
        <v>0.0</v>
      </c>
      <c r="F548" s="160">
        <v>0.0</v>
      </c>
      <c r="G548" s="160">
        <v>0.0</v>
      </c>
      <c r="H548" s="160">
        <v>0.0</v>
      </c>
      <c r="I548" s="160">
        <v>4606.25</v>
      </c>
      <c r="J548" s="160">
        <v>0.0</v>
      </c>
      <c r="K548" s="160">
        <v>0.0</v>
      </c>
      <c r="L548" s="160">
        <v>112479.62</v>
      </c>
      <c r="M548" s="160">
        <v>326599.5</v>
      </c>
      <c r="N548" s="160">
        <v>0.0</v>
      </c>
      <c r="O548" s="160">
        <v>0.0</v>
      </c>
      <c r="P548" s="160">
        <v>0.0</v>
      </c>
      <c r="Q548" s="160">
        <v>0.0</v>
      </c>
      <c r="R548" s="160">
        <v>0.0</v>
      </c>
      <c r="S548" s="160">
        <v>0.0</v>
      </c>
      <c r="T548" s="160">
        <v>0.0</v>
      </c>
      <c r="U548" s="160">
        <v>53102.5</v>
      </c>
      <c r="V548" s="160">
        <v>13598.0</v>
      </c>
      <c r="W548" s="160">
        <v>0.0</v>
      </c>
      <c r="X548" s="160">
        <v>0.0</v>
      </c>
      <c r="Y548" s="160">
        <v>523145.87</v>
      </c>
    </row>
    <row r="549">
      <c r="A549" s="157" t="s">
        <v>875</v>
      </c>
      <c r="B549" s="160">
        <v>0.0</v>
      </c>
      <c r="C549" s="160">
        <v>0.0</v>
      </c>
      <c r="D549" s="160">
        <v>0.0</v>
      </c>
      <c r="E549" s="160">
        <v>0.0</v>
      </c>
      <c r="F549" s="160">
        <v>0.0</v>
      </c>
      <c r="G549" s="160">
        <v>0.0</v>
      </c>
      <c r="H549" s="160">
        <v>0.0</v>
      </c>
      <c r="I549" s="160">
        <v>0.0</v>
      </c>
      <c r="J549" s="160">
        <v>0.0</v>
      </c>
      <c r="K549" s="160">
        <v>0.0</v>
      </c>
      <c r="L549" s="160">
        <v>0.0</v>
      </c>
      <c r="M549" s="160">
        <v>0.0</v>
      </c>
      <c r="N549" s="160">
        <v>0.0</v>
      </c>
      <c r="O549" s="160">
        <v>0.0</v>
      </c>
      <c r="P549" s="160">
        <v>0.0</v>
      </c>
      <c r="Q549" s="160">
        <v>0.0</v>
      </c>
      <c r="R549" s="160">
        <v>0.0</v>
      </c>
      <c r="S549" s="160">
        <v>0.0</v>
      </c>
      <c r="T549" s="160">
        <v>0.0</v>
      </c>
      <c r="U549" s="160">
        <v>0.0</v>
      </c>
      <c r="V549" s="160">
        <v>0.0</v>
      </c>
      <c r="W549" s="160">
        <v>0.0</v>
      </c>
      <c r="X549" s="160">
        <v>0.0</v>
      </c>
      <c r="Y549" s="160">
        <v>0.0</v>
      </c>
    </row>
    <row r="550">
      <c r="A550" s="157" t="s">
        <v>337</v>
      </c>
      <c r="B550" s="160">
        <v>0.0</v>
      </c>
      <c r="C550" s="160">
        <v>0.0</v>
      </c>
      <c r="D550" s="160">
        <v>0.0</v>
      </c>
      <c r="E550" s="160">
        <v>0.0</v>
      </c>
      <c r="F550" s="160">
        <v>0.0</v>
      </c>
      <c r="G550" s="160">
        <v>0.0</v>
      </c>
      <c r="H550" s="160">
        <v>3182.4</v>
      </c>
      <c r="I550" s="160">
        <v>0.0</v>
      </c>
      <c r="J550" s="160">
        <v>0.0</v>
      </c>
      <c r="K550" s="160">
        <v>0.0</v>
      </c>
      <c r="L550" s="160">
        <v>222690.56</v>
      </c>
      <c r="M550" s="160">
        <v>0.0</v>
      </c>
      <c r="N550" s="160">
        <v>0.0</v>
      </c>
      <c r="O550" s="160">
        <v>0.0</v>
      </c>
      <c r="P550" s="160">
        <v>0.0</v>
      </c>
      <c r="Q550" s="160">
        <v>0.0</v>
      </c>
      <c r="R550" s="160">
        <v>0.0</v>
      </c>
      <c r="S550" s="160">
        <v>0.0</v>
      </c>
      <c r="T550" s="160">
        <v>0.0</v>
      </c>
      <c r="U550" s="160">
        <v>0.0</v>
      </c>
      <c r="V550" s="160">
        <v>0.0</v>
      </c>
      <c r="W550" s="160">
        <v>0.0</v>
      </c>
      <c r="X550" s="160">
        <v>0.0</v>
      </c>
      <c r="Y550" s="160">
        <v>225872.96</v>
      </c>
    </row>
    <row r="551">
      <c r="A551" s="157" t="s">
        <v>399</v>
      </c>
      <c r="B551" s="160">
        <v>0.0</v>
      </c>
      <c r="C551" s="160">
        <v>37064.0</v>
      </c>
      <c r="D551" s="160">
        <v>60131.5</v>
      </c>
      <c r="E551" s="160">
        <v>2376.0</v>
      </c>
      <c r="F551" s="160">
        <v>0.0</v>
      </c>
      <c r="G551" s="160">
        <v>0.0</v>
      </c>
      <c r="H551" s="160">
        <v>43840.5</v>
      </c>
      <c r="I551" s="160">
        <v>1581.25</v>
      </c>
      <c r="J551" s="160">
        <v>0.0</v>
      </c>
      <c r="K551" s="160">
        <v>0.0</v>
      </c>
      <c r="L551" s="160">
        <v>427830.58</v>
      </c>
      <c r="M551" s="160">
        <v>573428.3</v>
      </c>
      <c r="N551" s="160">
        <v>120211.25</v>
      </c>
      <c r="O551" s="160">
        <v>0.0</v>
      </c>
      <c r="P551" s="160">
        <v>0.0</v>
      </c>
      <c r="Q551" s="160">
        <v>0.0</v>
      </c>
      <c r="R551" s="160">
        <v>0.0</v>
      </c>
      <c r="S551" s="160">
        <v>0.0</v>
      </c>
      <c r="T551" s="160">
        <v>0.0</v>
      </c>
      <c r="U551" s="160">
        <v>138910.7</v>
      </c>
      <c r="V551" s="160">
        <v>0.0</v>
      </c>
      <c r="W551" s="160">
        <v>0.0</v>
      </c>
      <c r="X551" s="160">
        <v>0.0</v>
      </c>
      <c r="Y551" s="160">
        <v>1405374.08</v>
      </c>
    </row>
    <row r="552">
      <c r="A552" s="157" t="s">
        <v>449</v>
      </c>
      <c r="B552" s="160">
        <v>0.0</v>
      </c>
      <c r="C552" s="160">
        <v>24000.0</v>
      </c>
      <c r="D552" s="160">
        <v>0.0</v>
      </c>
      <c r="E552" s="160">
        <v>0.0</v>
      </c>
      <c r="F552" s="160">
        <v>0.0</v>
      </c>
      <c r="G552" s="160">
        <v>0.0</v>
      </c>
      <c r="H552" s="160">
        <v>0.0</v>
      </c>
      <c r="I552" s="160">
        <v>0.0</v>
      </c>
      <c r="J552" s="160">
        <v>45344.44</v>
      </c>
      <c r="K552" s="160">
        <v>0.0</v>
      </c>
      <c r="L552" s="160">
        <v>0.0</v>
      </c>
      <c r="M552" s="160">
        <v>0.0</v>
      </c>
      <c r="N552" s="160">
        <v>0.0</v>
      </c>
      <c r="O552" s="160">
        <v>0.0</v>
      </c>
      <c r="P552" s="160">
        <v>0.0</v>
      </c>
      <c r="Q552" s="160">
        <v>0.0</v>
      </c>
      <c r="R552" s="160">
        <v>174500.0</v>
      </c>
      <c r="S552" s="160">
        <v>0.0</v>
      </c>
      <c r="T552" s="160">
        <v>0.0</v>
      </c>
      <c r="U552" s="160">
        <v>12485.0</v>
      </c>
      <c r="V552" s="160">
        <v>0.0</v>
      </c>
      <c r="W552" s="160">
        <v>0.0</v>
      </c>
      <c r="X552" s="160">
        <v>0.0</v>
      </c>
      <c r="Y552" s="160">
        <v>256329.44</v>
      </c>
    </row>
    <row r="553">
      <c r="A553" s="157" t="s">
        <v>173</v>
      </c>
      <c r="B553" s="160">
        <v>48751.78</v>
      </c>
      <c r="C553" s="160">
        <v>209178.72</v>
      </c>
      <c r="D553" s="160">
        <v>7940.2</v>
      </c>
      <c r="E553" s="160">
        <v>34493.0</v>
      </c>
      <c r="F553" s="160">
        <v>16845.6</v>
      </c>
      <c r="G553" s="160">
        <v>0.0</v>
      </c>
      <c r="H553" s="160">
        <v>473363.8</v>
      </c>
      <c r="I553" s="160">
        <v>11064.0</v>
      </c>
      <c r="J553" s="160">
        <v>311796.46</v>
      </c>
      <c r="K553" s="160">
        <v>0.0</v>
      </c>
      <c r="L553" s="160">
        <v>2549868.89</v>
      </c>
      <c r="M553" s="160">
        <v>96014.5</v>
      </c>
      <c r="N553" s="160">
        <v>2538.0</v>
      </c>
      <c r="O553" s="160">
        <v>1135725.76</v>
      </c>
      <c r="P553" s="160">
        <v>1141995.0</v>
      </c>
      <c r="Q553" s="160">
        <v>0.0</v>
      </c>
      <c r="R553" s="160">
        <v>0.0</v>
      </c>
      <c r="S553" s="160">
        <v>24850.1</v>
      </c>
      <c r="T553" s="160">
        <v>0.0</v>
      </c>
      <c r="U553" s="160">
        <v>590314.7</v>
      </c>
      <c r="V553" s="160">
        <v>0.0</v>
      </c>
      <c r="W553" s="160">
        <v>0.0</v>
      </c>
      <c r="X553" s="160">
        <v>0.0</v>
      </c>
      <c r="Y553" s="160">
        <v>6654740.52</v>
      </c>
    </row>
    <row r="554">
      <c r="A554" s="157" t="s">
        <v>344</v>
      </c>
      <c r="B554" s="160">
        <v>0.0</v>
      </c>
      <c r="C554" s="160">
        <v>0.0</v>
      </c>
      <c r="D554" s="160">
        <v>0.0</v>
      </c>
      <c r="E554" s="160">
        <v>0.0</v>
      </c>
      <c r="F554" s="160">
        <v>0.0</v>
      </c>
      <c r="G554" s="160">
        <v>0.0</v>
      </c>
      <c r="H554" s="160">
        <v>0.0</v>
      </c>
      <c r="I554" s="160">
        <v>0.0</v>
      </c>
      <c r="J554" s="160">
        <v>0.0</v>
      </c>
      <c r="K554" s="160">
        <v>0.0</v>
      </c>
      <c r="L554" s="160">
        <v>0.0</v>
      </c>
      <c r="M554" s="160">
        <v>0.0</v>
      </c>
      <c r="N554" s="160">
        <v>0.0</v>
      </c>
      <c r="O554" s="160">
        <v>0.0</v>
      </c>
      <c r="P554" s="160">
        <v>0.0</v>
      </c>
      <c r="Q554" s="160">
        <v>0.0</v>
      </c>
      <c r="R554" s="160">
        <v>0.0</v>
      </c>
      <c r="S554" s="160">
        <v>0.0</v>
      </c>
      <c r="T554" s="160">
        <v>0.0</v>
      </c>
      <c r="U554" s="160">
        <v>0.0</v>
      </c>
      <c r="V554" s="160">
        <v>0.0</v>
      </c>
      <c r="W554" s="160">
        <v>0.0</v>
      </c>
      <c r="X554" s="160">
        <v>0.0</v>
      </c>
      <c r="Y554" s="160">
        <v>0.0</v>
      </c>
    </row>
    <row r="555">
      <c r="A555" s="157" t="s">
        <v>108</v>
      </c>
      <c r="B555" s="160">
        <v>0.0</v>
      </c>
      <c r="C555" s="160">
        <v>3819045.0</v>
      </c>
      <c r="D555" s="160">
        <v>941204.0</v>
      </c>
      <c r="E555" s="160">
        <v>0.0</v>
      </c>
      <c r="F555" s="160">
        <v>3451827.1</v>
      </c>
      <c r="G555" s="160">
        <v>507762.0</v>
      </c>
      <c r="H555" s="160">
        <v>0.0</v>
      </c>
      <c r="I555" s="160">
        <v>0.0</v>
      </c>
      <c r="J555" s="160">
        <v>0.0</v>
      </c>
      <c r="K555" s="160">
        <v>0.0</v>
      </c>
      <c r="L555" s="160">
        <v>0.0</v>
      </c>
      <c r="M555" s="160">
        <v>442110.0</v>
      </c>
      <c r="N555" s="160">
        <v>0.0</v>
      </c>
      <c r="O555" s="160">
        <v>0.0</v>
      </c>
      <c r="P555" s="160">
        <v>0.0</v>
      </c>
      <c r="Q555" s="160">
        <v>0.0</v>
      </c>
      <c r="R555" s="160">
        <v>0.0</v>
      </c>
      <c r="S555" s="160">
        <v>0.0</v>
      </c>
      <c r="T555" s="160">
        <v>0.0</v>
      </c>
      <c r="U555" s="160">
        <v>521591.0</v>
      </c>
      <c r="V555" s="160">
        <v>0.0</v>
      </c>
      <c r="W555" s="160">
        <v>0.0</v>
      </c>
      <c r="X555" s="160">
        <v>0.0</v>
      </c>
      <c r="Y555" s="160">
        <v>9683539.1</v>
      </c>
    </row>
    <row r="556">
      <c r="A556" s="157" t="s">
        <v>367</v>
      </c>
      <c r="B556" s="160">
        <v>0.0</v>
      </c>
      <c r="C556" s="160">
        <v>0.0</v>
      </c>
      <c r="D556" s="160">
        <v>0.0</v>
      </c>
      <c r="E556" s="160">
        <v>0.0</v>
      </c>
      <c r="F556" s="160">
        <v>0.0</v>
      </c>
      <c r="G556" s="160">
        <v>0.0</v>
      </c>
      <c r="H556" s="160">
        <v>0.0</v>
      </c>
      <c r="I556" s="160">
        <v>0.0</v>
      </c>
      <c r="J556" s="160">
        <v>0.0</v>
      </c>
      <c r="K556" s="160">
        <v>0.0</v>
      </c>
      <c r="L556" s="160">
        <v>0.0</v>
      </c>
      <c r="M556" s="160">
        <v>0.0</v>
      </c>
      <c r="N556" s="160">
        <v>0.0</v>
      </c>
      <c r="O556" s="160">
        <v>0.0</v>
      </c>
      <c r="P556" s="160">
        <v>0.0</v>
      </c>
      <c r="Q556" s="160">
        <v>0.0</v>
      </c>
      <c r="R556" s="160">
        <v>0.0</v>
      </c>
      <c r="S556" s="160">
        <v>0.0</v>
      </c>
      <c r="T556" s="160">
        <v>0.0</v>
      </c>
      <c r="U556" s="160">
        <v>0.0</v>
      </c>
      <c r="V556" s="160">
        <v>0.0</v>
      </c>
      <c r="W556" s="160">
        <v>0.0</v>
      </c>
      <c r="X556" s="160">
        <v>0.0</v>
      </c>
      <c r="Y556" s="160">
        <v>0.0</v>
      </c>
    </row>
    <row r="557">
      <c r="A557" s="157" t="s">
        <v>286</v>
      </c>
      <c r="B557" s="160">
        <v>275778.28</v>
      </c>
      <c r="C557" s="160">
        <v>459863.88</v>
      </c>
      <c r="D557" s="160">
        <v>897502.08</v>
      </c>
      <c r="E557" s="160">
        <v>159429.59</v>
      </c>
      <c r="F557" s="160">
        <v>1723.8</v>
      </c>
      <c r="G557" s="160">
        <v>6216.2</v>
      </c>
      <c r="H557" s="160">
        <v>331953.4</v>
      </c>
      <c r="I557" s="160">
        <v>0.0</v>
      </c>
      <c r="J557" s="160">
        <v>880521.26</v>
      </c>
      <c r="K557" s="160">
        <v>0.0</v>
      </c>
      <c r="L557" s="160">
        <v>2595937.45</v>
      </c>
      <c r="M557" s="160">
        <v>76124.22</v>
      </c>
      <c r="N557" s="160">
        <v>586484.35</v>
      </c>
      <c r="O557" s="160">
        <v>2643292.03</v>
      </c>
      <c r="P557" s="160">
        <v>3319374.15</v>
      </c>
      <c r="Q557" s="160">
        <v>29941.8</v>
      </c>
      <c r="R557" s="160">
        <v>2099643.22</v>
      </c>
      <c r="S557" s="160">
        <v>0.0</v>
      </c>
      <c r="T557" s="160">
        <v>0.0</v>
      </c>
      <c r="U557" s="160">
        <v>299884.04</v>
      </c>
      <c r="V557" s="160">
        <v>26048.0</v>
      </c>
      <c r="W557" s="160">
        <v>0.0</v>
      </c>
      <c r="X557" s="160">
        <v>0.0</v>
      </c>
      <c r="Y557" s="160">
        <v>1.468971775E7</v>
      </c>
    </row>
    <row r="558">
      <c r="A558" s="157" t="s">
        <v>172</v>
      </c>
      <c r="B558" s="160">
        <v>0.0</v>
      </c>
      <c r="C558" s="160">
        <v>630998.18</v>
      </c>
      <c r="D558" s="160">
        <v>140238.0</v>
      </c>
      <c r="E558" s="160">
        <v>279922.0</v>
      </c>
      <c r="F558" s="160">
        <v>8932.0</v>
      </c>
      <c r="G558" s="160">
        <v>16536.0</v>
      </c>
      <c r="H558" s="160">
        <v>0.0</v>
      </c>
      <c r="I558" s="160">
        <v>0.0</v>
      </c>
      <c r="J558" s="160">
        <v>0.0</v>
      </c>
      <c r="K558" s="160">
        <v>0.0</v>
      </c>
      <c r="L558" s="160">
        <v>0.0</v>
      </c>
      <c r="M558" s="160">
        <v>682496.6</v>
      </c>
      <c r="N558" s="160">
        <v>1215849.3</v>
      </c>
      <c r="O558" s="160">
        <v>0.0</v>
      </c>
      <c r="P558" s="160">
        <v>0.0</v>
      </c>
      <c r="Q558" s="160">
        <v>0.0</v>
      </c>
      <c r="R558" s="160">
        <v>0.0</v>
      </c>
      <c r="S558" s="160">
        <v>0.0</v>
      </c>
      <c r="T558" s="160">
        <v>0.0</v>
      </c>
      <c r="U558" s="160">
        <v>3694522.76</v>
      </c>
      <c r="V558" s="160">
        <v>0.0</v>
      </c>
      <c r="W558" s="160">
        <v>0.0</v>
      </c>
      <c r="X558" s="160">
        <v>0.0</v>
      </c>
      <c r="Y558" s="160">
        <v>6669494.85</v>
      </c>
    </row>
    <row r="559">
      <c r="A559" s="157" t="s">
        <v>876</v>
      </c>
      <c r="B559" s="160">
        <v>0.0</v>
      </c>
      <c r="C559" s="160">
        <v>0.0</v>
      </c>
      <c r="D559" s="160">
        <v>0.0</v>
      </c>
      <c r="E559" s="160">
        <v>0.0</v>
      </c>
      <c r="F559" s="160">
        <v>0.0</v>
      </c>
      <c r="G559" s="160">
        <v>0.0</v>
      </c>
      <c r="H559" s="160">
        <v>0.0</v>
      </c>
      <c r="I559" s="160">
        <v>0.0</v>
      </c>
      <c r="J559" s="160">
        <v>0.0</v>
      </c>
      <c r="K559" s="160">
        <v>0.0</v>
      </c>
      <c r="L559" s="160">
        <v>0.0</v>
      </c>
      <c r="M559" s="160">
        <v>0.0</v>
      </c>
      <c r="N559" s="160">
        <v>0.0</v>
      </c>
      <c r="O559" s="160">
        <v>0.0</v>
      </c>
      <c r="P559" s="160">
        <v>0.0</v>
      </c>
      <c r="Q559" s="160">
        <v>0.0</v>
      </c>
      <c r="R559" s="160">
        <v>0.0</v>
      </c>
      <c r="S559" s="160">
        <v>0.0</v>
      </c>
      <c r="T559" s="160">
        <v>0.0</v>
      </c>
      <c r="U559" s="160">
        <v>0.0</v>
      </c>
      <c r="V559" s="160">
        <v>0.0</v>
      </c>
      <c r="W559" s="160">
        <v>0.0</v>
      </c>
      <c r="X559" s="160">
        <v>0.0</v>
      </c>
      <c r="Y559" s="160">
        <v>0.0</v>
      </c>
    </row>
    <row r="560">
      <c r="A560" s="157" t="s">
        <v>877</v>
      </c>
      <c r="B560" s="160">
        <v>0.0</v>
      </c>
      <c r="C560" s="160">
        <v>0.0</v>
      </c>
      <c r="D560" s="160">
        <v>5489.0</v>
      </c>
      <c r="E560" s="160">
        <v>5984.0</v>
      </c>
      <c r="F560" s="160">
        <v>0.0</v>
      </c>
      <c r="G560" s="160">
        <v>0.0</v>
      </c>
      <c r="H560" s="160">
        <v>117189.8</v>
      </c>
      <c r="I560" s="160">
        <v>0.0</v>
      </c>
      <c r="J560" s="160">
        <v>0.0</v>
      </c>
      <c r="K560" s="160">
        <v>0.0</v>
      </c>
      <c r="L560" s="160">
        <v>243807.85</v>
      </c>
      <c r="M560" s="160">
        <v>14696.0</v>
      </c>
      <c r="N560" s="160">
        <v>39778.3</v>
      </c>
      <c r="O560" s="160">
        <v>0.0</v>
      </c>
      <c r="P560" s="160">
        <v>32672.75</v>
      </c>
      <c r="Q560" s="160">
        <v>0.0</v>
      </c>
      <c r="R560" s="160">
        <v>0.0</v>
      </c>
      <c r="S560" s="160">
        <v>8492.0</v>
      </c>
      <c r="T560" s="160">
        <v>0.0</v>
      </c>
      <c r="U560" s="160">
        <v>74321.5</v>
      </c>
      <c r="V560" s="160">
        <v>0.0</v>
      </c>
      <c r="W560" s="160">
        <v>0.0</v>
      </c>
      <c r="X560" s="160">
        <v>0.0</v>
      </c>
      <c r="Y560" s="160">
        <v>542431.2</v>
      </c>
    </row>
    <row r="561">
      <c r="A561" s="157" t="s">
        <v>878</v>
      </c>
      <c r="B561" s="160">
        <v>0.0</v>
      </c>
      <c r="C561" s="160">
        <v>0.0</v>
      </c>
      <c r="D561" s="160">
        <v>0.0</v>
      </c>
      <c r="E561" s="160">
        <v>0.0</v>
      </c>
      <c r="F561" s="160">
        <v>0.0</v>
      </c>
      <c r="G561" s="160">
        <v>0.0</v>
      </c>
      <c r="H561" s="160">
        <v>10758.0</v>
      </c>
      <c r="I561" s="160">
        <v>0.0</v>
      </c>
      <c r="J561" s="160">
        <v>0.0</v>
      </c>
      <c r="K561" s="160">
        <v>0.0</v>
      </c>
      <c r="L561" s="160">
        <v>270733.7</v>
      </c>
      <c r="M561" s="160">
        <v>0.0</v>
      </c>
      <c r="N561" s="160">
        <v>0.0</v>
      </c>
      <c r="O561" s="160">
        <v>0.0</v>
      </c>
      <c r="P561" s="160">
        <v>0.0</v>
      </c>
      <c r="Q561" s="160">
        <v>0.0</v>
      </c>
      <c r="R561" s="160">
        <v>0.0</v>
      </c>
      <c r="S561" s="160">
        <v>0.0</v>
      </c>
      <c r="T561" s="160">
        <v>0.0</v>
      </c>
      <c r="U561" s="160">
        <v>0.0</v>
      </c>
      <c r="V561" s="160">
        <v>0.0</v>
      </c>
      <c r="W561" s="160">
        <v>0.0</v>
      </c>
      <c r="X561" s="160">
        <v>0.0</v>
      </c>
      <c r="Y561" s="160">
        <v>281491.7</v>
      </c>
    </row>
    <row r="562">
      <c r="A562" s="157" t="s">
        <v>879</v>
      </c>
      <c r="B562" s="160">
        <v>2329.58</v>
      </c>
      <c r="C562" s="160">
        <v>0.0</v>
      </c>
      <c r="D562" s="160">
        <v>0.0</v>
      </c>
      <c r="E562" s="160">
        <v>0.0</v>
      </c>
      <c r="F562" s="160">
        <v>0.0</v>
      </c>
      <c r="G562" s="160">
        <v>0.0</v>
      </c>
      <c r="H562" s="160">
        <v>26940.0</v>
      </c>
      <c r="I562" s="160">
        <v>0.0</v>
      </c>
      <c r="J562" s="160">
        <v>1345100.56</v>
      </c>
      <c r="K562" s="160">
        <v>0.0</v>
      </c>
      <c r="L562" s="160">
        <v>676184.12</v>
      </c>
      <c r="M562" s="160">
        <v>0.0</v>
      </c>
      <c r="N562" s="160">
        <v>0.0</v>
      </c>
      <c r="O562" s="160">
        <v>242.88</v>
      </c>
      <c r="P562" s="160">
        <v>0.0</v>
      </c>
      <c r="Q562" s="160">
        <v>0.0</v>
      </c>
      <c r="R562" s="160">
        <v>0.0</v>
      </c>
      <c r="S562" s="160">
        <v>944337.0</v>
      </c>
      <c r="T562" s="160">
        <v>0.0</v>
      </c>
      <c r="U562" s="160">
        <v>0.0</v>
      </c>
      <c r="V562" s="160">
        <v>0.0</v>
      </c>
      <c r="W562" s="160">
        <v>0.0</v>
      </c>
      <c r="X562" s="160">
        <v>0.0</v>
      </c>
      <c r="Y562" s="160">
        <v>2995134.15</v>
      </c>
    </row>
    <row r="563">
      <c r="A563" s="157" t="s">
        <v>880</v>
      </c>
      <c r="B563" s="160">
        <v>0.0</v>
      </c>
      <c r="C563" s="160">
        <v>0.0</v>
      </c>
      <c r="D563" s="160">
        <v>0.0</v>
      </c>
      <c r="E563" s="160">
        <v>0.0</v>
      </c>
      <c r="F563" s="160">
        <v>0.0</v>
      </c>
      <c r="G563" s="160">
        <v>0.0</v>
      </c>
      <c r="H563" s="160">
        <v>0.0</v>
      </c>
      <c r="I563" s="160">
        <v>0.0</v>
      </c>
      <c r="J563" s="160">
        <v>0.0</v>
      </c>
      <c r="K563" s="160">
        <v>0.0</v>
      </c>
      <c r="L563" s="160">
        <v>0.0</v>
      </c>
      <c r="M563" s="160">
        <v>0.0</v>
      </c>
      <c r="N563" s="160">
        <v>0.0</v>
      </c>
      <c r="O563" s="160">
        <v>0.0</v>
      </c>
      <c r="P563" s="160">
        <v>0.0</v>
      </c>
      <c r="Q563" s="160">
        <v>0.0</v>
      </c>
      <c r="R563" s="160">
        <v>0.0</v>
      </c>
      <c r="S563" s="160">
        <v>0.0</v>
      </c>
      <c r="T563" s="160">
        <v>0.0</v>
      </c>
      <c r="U563" s="160">
        <v>0.0</v>
      </c>
      <c r="V563" s="160">
        <v>0.0</v>
      </c>
      <c r="W563" s="160">
        <v>0.0</v>
      </c>
      <c r="X563" s="160">
        <v>0.0</v>
      </c>
      <c r="Y563" s="160">
        <v>0.0</v>
      </c>
    </row>
    <row r="564">
      <c r="A564" s="157" t="s">
        <v>407</v>
      </c>
      <c r="B564" s="160">
        <v>0.0</v>
      </c>
      <c r="C564" s="160">
        <v>15880.0</v>
      </c>
      <c r="D564" s="160">
        <v>135110.0</v>
      </c>
      <c r="E564" s="160">
        <v>78607.2</v>
      </c>
      <c r="F564" s="160">
        <v>0.0</v>
      </c>
      <c r="G564" s="160">
        <v>0.0</v>
      </c>
      <c r="H564" s="160">
        <v>403497.2</v>
      </c>
      <c r="I564" s="160">
        <v>0.0</v>
      </c>
      <c r="J564" s="160">
        <v>0.0</v>
      </c>
      <c r="K564" s="160">
        <v>0.0</v>
      </c>
      <c r="L564" s="160">
        <v>2436548.81</v>
      </c>
      <c r="M564" s="160">
        <v>101102.8</v>
      </c>
      <c r="N564" s="160">
        <v>0.0</v>
      </c>
      <c r="O564" s="160">
        <v>0.0</v>
      </c>
      <c r="P564" s="160">
        <v>19808.32</v>
      </c>
      <c r="Q564" s="160">
        <v>0.0</v>
      </c>
      <c r="R564" s="160">
        <v>0.0</v>
      </c>
      <c r="S564" s="160">
        <v>0.0</v>
      </c>
      <c r="T564" s="160">
        <v>0.0</v>
      </c>
      <c r="U564" s="160">
        <v>219728.4</v>
      </c>
      <c r="V564" s="160">
        <v>0.0</v>
      </c>
      <c r="W564" s="160">
        <v>0.0</v>
      </c>
      <c r="X564" s="160">
        <v>0.0</v>
      </c>
      <c r="Y564" s="160">
        <v>3410282.73</v>
      </c>
    </row>
    <row r="565">
      <c r="A565" s="157" t="s">
        <v>41</v>
      </c>
      <c r="B565" s="160">
        <v>0.0</v>
      </c>
      <c r="C565" s="160">
        <v>856633.2</v>
      </c>
      <c r="D565" s="160">
        <v>0.0</v>
      </c>
      <c r="E565" s="160">
        <v>0.0</v>
      </c>
      <c r="F565" s="160">
        <v>0.0</v>
      </c>
      <c r="G565" s="160">
        <v>0.0</v>
      </c>
      <c r="H565" s="160">
        <v>1003947.3</v>
      </c>
      <c r="I565" s="160">
        <v>1804.0</v>
      </c>
      <c r="J565" s="160">
        <v>42635.51</v>
      </c>
      <c r="K565" s="160">
        <v>0.0</v>
      </c>
      <c r="L565" s="160">
        <v>3400802.05</v>
      </c>
      <c r="M565" s="160">
        <v>0.0</v>
      </c>
      <c r="N565" s="160">
        <v>0.0</v>
      </c>
      <c r="O565" s="160">
        <v>0.0</v>
      </c>
      <c r="P565" s="160">
        <v>0.0</v>
      </c>
      <c r="Q565" s="160">
        <v>0.0</v>
      </c>
      <c r="R565" s="160">
        <v>3262.5</v>
      </c>
      <c r="S565" s="160">
        <v>1139357.0</v>
      </c>
      <c r="T565" s="160">
        <v>0.0</v>
      </c>
      <c r="U565" s="160">
        <v>77009.25</v>
      </c>
      <c r="V565" s="160">
        <v>0.0</v>
      </c>
      <c r="W565" s="160">
        <v>0.0</v>
      </c>
      <c r="X565" s="160">
        <v>0.0</v>
      </c>
      <c r="Y565" s="160">
        <v>6525450.82</v>
      </c>
    </row>
    <row r="566">
      <c r="A566" s="157" t="s">
        <v>318</v>
      </c>
      <c r="B566" s="160">
        <v>0.0</v>
      </c>
      <c r="C566" s="160">
        <v>348831.4</v>
      </c>
      <c r="D566" s="160">
        <v>481654.2</v>
      </c>
      <c r="E566" s="160">
        <v>442280.8</v>
      </c>
      <c r="F566" s="160">
        <v>0.0</v>
      </c>
      <c r="G566" s="160">
        <v>309183.6</v>
      </c>
      <c r="H566" s="160">
        <v>84492.4</v>
      </c>
      <c r="I566" s="160">
        <v>0.0</v>
      </c>
      <c r="J566" s="160">
        <v>0.0</v>
      </c>
      <c r="K566" s="160">
        <v>0.0</v>
      </c>
      <c r="L566" s="160">
        <v>190056.52</v>
      </c>
      <c r="M566" s="160">
        <v>137371.1</v>
      </c>
      <c r="N566" s="160">
        <v>0.0</v>
      </c>
      <c r="O566" s="160">
        <v>0.0</v>
      </c>
      <c r="P566" s="160">
        <v>0.0</v>
      </c>
      <c r="Q566" s="160">
        <v>0.0</v>
      </c>
      <c r="R566" s="160">
        <v>0.0</v>
      </c>
      <c r="S566" s="160">
        <v>34039.0</v>
      </c>
      <c r="T566" s="160">
        <v>0.0</v>
      </c>
      <c r="U566" s="160">
        <v>1106877.2</v>
      </c>
      <c r="V566" s="160">
        <v>0.0</v>
      </c>
      <c r="W566" s="160">
        <v>0.0</v>
      </c>
      <c r="X566" s="160">
        <v>0.0</v>
      </c>
      <c r="Y566" s="160">
        <v>3134786.22</v>
      </c>
    </row>
    <row r="567">
      <c r="A567" s="157" t="s">
        <v>351</v>
      </c>
      <c r="B567" s="160">
        <v>0.0</v>
      </c>
      <c r="C567" s="160">
        <v>449607.0</v>
      </c>
      <c r="D567" s="160">
        <v>0.0</v>
      </c>
      <c r="E567" s="160">
        <v>0.0</v>
      </c>
      <c r="F567" s="160">
        <v>407382.0</v>
      </c>
      <c r="G567" s="160">
        <v>28614.0</v>
      </c>
      <c r="H567" s="160">
        <v>0.0</v>
      </c>
      <c r="I567" s="160">
        <v>0.0</v>
      </c>
      <c r="J567" s="160">
        <v>0.0</v>
      </c>
      <c r="K567" s="160">
        <v>0.0</v>
      </c>
      <c r="L567" s="160">
        <v>0.0</v>
      </c>
      <c r="M567" s="160">
        <v>455814.0</v>
      </c>
      <c r="N567" s="160">
        <v>0.0</v>
      </c>
      <c r="O567" s="160">
        <v>0.0</v>
      </c>
      <c r="P567" s="160">
        <v>0.0</v>
      </c>
      <c r="Q567" s="160">
        <v>0.0</v>
      </c>
      <c r="R567" s="160">
        <v>0.0</v>
      </c>
      <c r="S567" s="160">
        <v>0.0</v>
      </c>
      <c r="T567" s="160">
        <v>0.0</v>
      </c>
      <c r="U567" s="160">
        <v>0.0</v>
      </c>
      <c r="V567" s="160">
        <v>0.0</v>
      </c>
      <c r="W567" s="160">
        <v>0.0</v>
      </c>
      <c r="X567" s="160">
        <v>0.0</v>
      </c>
      <c r="Y567" s="160">
        <v>1341417.0</v>
      </c>
    </row>
    <row r="568">
      <c r="A568" s="157" t="s">
        <v>881</v>
      </c>
      <c r="B568" s="160">
        <v>75973.32</v>
      </c>
      <c r="C568" s="160">
        <v>0.0</v>
      </c>
      <c r="D568" s="160">
        <v>25248.0</v>
      </c>
      <c r="E568" s="160">
        <v>0.0</v>
      </c>
      <c r="F568" s="160">
        <v>0.0</v>
      </c>
      <c r="G568" s="160">
        <v>0.0</v>
      </c>
      <c r="H568" s="160">
        <v>0.0</v>
      </c>
      <c r="I568" s="160">
        <v>0.0</v>
      </c>
      <c r="J568" s="160">
        <v>359624.78</v>
      </c>
      <c r="K568" s="160">
        <v>0.0</v>
      </c>
      <c r="L568" s="160">
        <v>10714.2</v>
      </c>
      <c r="M568" s="160">
        <v>0.0</v>
      </c>
      <c r="N568" s="160">
        <v>0.0</v>
      </c>
      <c r="O568" s="160">
        <v>696123.56</v>
      </c>
      <c r="P568" s="160">
        <v>454642.41</v>
      </c>
      <c r="Q568" s="160">
        <v>0.0</v>
      </c>
      <c r="R568" s="160">
        <v>262937.5</v>
      </c>
      <c r="S568" s="160">
        <v>0.0</v>
      </c>
      <c r="T568" s="160">
        <v>0.0</v>
      </c>
      <c r="U568" s="160">
        <v>0.0</v>
      </c>
      <c r="V568" s="160">
        <v>0.0</v>
      </c>
      <c r="W568" s="160">
        <v>0.0</v>
      </c>
      <c r="X568" s="160">
        <v>0.0</v>
      </c>
      <c r="Y568" s="160">
        <v>1885263.77</v>
      </c>
    </row>
    <row r="569">
      <c r="A569" s="157" t="s">
        <v>359</v>
      </c>
      <c r="B569" s="160">
        <v>0.0</v>
      </c>
      <c r="C569" s="160">
        <v>11088.1</v>
      </c>
      <c r="D569" s="160">
        <v>14458.4</v>
      </c>
      <c r="E569" s="160">
        <v>0.0</v>
      </c>
      <c r="F569" s="160">
        <v>0.0</v>
      </c>
      <c r="G569" s="160">
        <v>0.0</v>
      </c>
      <c r="H569" s="160">
        <v>497846.5</v>
      </c>
      <c r="I569" s="160">
        <v>0.0</v>
      </c>
      <c r="J569" s="160">
        <v>0.0</v>
      </c>
      <c r="K569" s="160">
        <v>0.0</v>
      </c>
      <c r="L569" s="160">
        <v>814047.92</v>
      </c>
      <c r="M569" s="160">
        <v>27794.1</v>
      </c>
      <c r="N569" s="160">
        <v>28517.5</v>
      </c>
      <c r="O569" s="160">
        <v>0.0</v>
      </c>
      <c r="P569" s="160">
        <v>14815.5</v>
      </c>
      <c r="Q569" s="160">
        <v>0.0</v>
      </c>
      <c r="R569" s="160">
        <v>0.0</v>
      </c>
      <c r="S569" s="160">
        <v>730588.6</v>
      </c>
      <c r="T569" s="160">
        <v>0.0</v>
      </c>
      <c r="U569" s="160">
        <v>399139.38</v>
      </c>
      <c r="V569" s="160">
        <v>0.0</v>
      </c>
      <c r="W569" s="160">
        <v>0.0</v>
      </c>
      <c r="X569" s="160">
        <v>0.0</v>
      </c>
      <c r="Y569" s="160">
        <v>2538296.0</v>
      </c>
    </row>
    <row r="570">
      <c r="A570" s="157" t="s">
        <v>882</v>
      </c>
      <c r="B570" s="160">
        <v>0.0</v>
      </c>
      <c r="C570" s="160">
        <v>25057.1</v>
      </c>
      <c r="D570" s="160">
        <v>0.0</v>
      </c>
      <c r="E570" s="160">
        <v>0.0</v>
      </c>
      <c r="F570" s="160">
        <v>0.0</v>
      </c>
      <c r="G570" s="160">
        <v>0.0</v>
      </c>
      <c r="H570" s="160">
        <v>13543.58</v>
      </c>
      <c r="I570" s="160">
        <v>0.0</v>
      </c>
      <c r="J570" s="160">
        <v>0.0</v>
      </c>
      <c r="K570" s="160">
        <v>0.0</v>
      </c>
      <c r="L570" s="160">
        <v>174561.8</v>
      </c>
      <c r="M570" s="160">
        <v>4812.0</v>
      </c>
      <c r="N570" s="160">
        <v>0.0</v>
      </c>
      <c r="O570" s="160">
        <v>0.0</v>
      </c>
      <c r="P570" s="160">
        <v>0.0</v>
      </c>
      <c r="Q570" s="160">
        <v>0.0</v>
      </c>
      <c r="R570" s="160">
        <v>0.0</v>
      </c>
      <c r="S570" s="160">
        <v>1435.6</v>
      </c>
      <c r="T570" s="160">
        <v>0.0</v>
      </c>
      <c r="U570" s="160">
        <v>0.0</v>
      </c>
      <c r="V570" s="160">
        <v>0.0</v>
      </c>
      <c r="W570" s="160">
        <v>0.0</v>
      </c>
      <c r="X570" s="160">
        <v>0.0</v>
      </c>
      <c r="Y570" s="160">
        <v>219410.08</v>
      </c>
    </row>
    <row r="571">
      <c r="A571" s="157" t="s">
        <v>381</v>
      </c>
      <c r="B571" s="160">
        <v>0.0</v>
      </c>
      <c r="C571" s="160">
        <v>0.0</v>
      </c>
      <c r="D571" s="160">
        <v>0.0</v>
      </c>
      <c r="E571" s="160">
        <v>0.0</v>
      </c>
      <c r="F571" s="160">
        <v>0.0</v>
      </c>
      <c r="G571" s="160">
        <v>0.0</v>
      </c>
      <c r="H571" s="160">
        <v>34500.0</v>
      </c>
      <c r="I571" s="160">
        <v>0.0</v>
      </c>
      <c r="J571" s="160">
        <v>323231.04</v>
      </c>
      <c r="K571" s="160">
        <v>0.0</v>
      </c>
      <c r="L571" s="160">
        <v>0.0</v>
      </c>
      <c r="M571" s="160">
        <v>0.0</v>
      </c>
      <c r="N571" s="160">
        <v>0.0</v>
      </c>
      <c r="O571" s="160">
        <v>0.0</v>
      </c>
      <c r="P571" s="160">
        <v>0.0</v>
      </c>
      <c r="Q571" s="160">
        <v>0.0</v>
      </c>
      <c r="R571" s="160">
        <v>0.0</v>
      </c>
      <c r="S571" s="160">
        <v>0.0</v>
      </c>
      <c r="T571" s="160">
        <v>0.0</v>
      </c>
      <c r="U571" s="160">
        <v>0.0</v>
      </c>
      <c r="V571" s="160">
        <v>0.0</v>
      </c>
      <c r="W571" s="160">
        <v>0.0</v>
      </c>
      <c r="X571" s="160">
        <v>0.0</v>
      </c>
      <c r="Y571" s="160">
        <v>357731.04</v>
      </c>
    </row>
    <row r="572">
      <c r="A572" s="157" t="s">
        <v>320</v>
      </c>
      <c r="B572" s="160">
        <v>0.0</v>
      </c>
      <c r="C572" s="160">
        <v>4212.0</v>
      </c>
      <c r="D572" s="160">
        <v>0.0</v>
      </c>
      <c r="E572" s="160">
        <v>0.0</v>
      </c>
      <c r="F572" s="160">
        <v>0.0</v>
      </c>
      <c r="G572" s="160">
        <v>0.0</v>
      </c>
      <c r="H572" s="160">
        <v>29833.5</v>
      </c>
      <c r="I572" s="160">
        <v>0.0</v>
      </c>
      <c r="J572" s="160">
        <v>0.0</v>
      </c>
      <c r="K572" s="160">
        <v>0.0</v>
      </c>
      <c r="L572" s="160">
        <v>378035.54</v>
      </c>
      <c r="M572" s="160">
        <v>19063.2</v>
      </c>
      <c r="N572" s="160">
        <v>0.0</v>
      </c>
      <c r="O572" s="160">
        <v>0.0</v>
      </c>
      <c r="P572" s="160">
        <v>0.0</v>
      </c>
      <c r="Q572" s="160">
        <v>0.0</v>
      </c>
      <c r="R572" s="160">
        <v>0.0</v>
      </c>
      <c r="S572" s="160">
        <v>0.0</v>
      </c>
      <c r="T572" s="160">
        <v>0.0</v>
      </c>
      <c r="U572" s="160">
        <v>0.0</v>
      </c>
      <c r="V572" s="160">
        <v>0.0</v>
      </c>
      <c r="W572" s="160">
        <v>0.0</v>
      </c>
      <c r="X572" s="160">
        <v>0.0</v>
      </c>
      <c r="Y572" s="160">
        <v>431144.24</v>
      </c>
    </row>
    <row r="573">
      <c r="A573" s="157" t="s">
        <v>109</v>
      </c>
      <c r="B573" s="160">
        <v>0.0</v>
      </c>
      <c r="C573" s="160">
        <v>842052.0</v>
      </c>
      <c r="D573" s="160">
        <v>111528.0</v>
      </c>
      <c r="E573" s="160">
        <v>316950.0</v>
      </c>
      <c r="F573" s="160">
        <v>28080.0</v>
      </c>
      <c r="G573" s="160">
        <v>5616.0</v>
      </c>
      <c r="H573" s="160">
        <v>0.0</v>
      </c>
      <c r="I573" s="160">
        <v>0.0</v>
      </c>
      <c r="J573" s="160">
        <v>0.0</v>
      </c>
      <c r="K573" s="160">
        <v>0.0</v>
      </c>
      <c r="L573" s="160">
        <v>1997237.4</v>
      </c>
      <c r="M573" s="160">
        <v>9660.0</v>
      </c>
      <c r="N573" s="160">
        <v>0.0</v>
      </c>
      <c r="O573" s="160">
        <v>0.0</v>
      </c>
      <c r="P573" s="160">
        <v>0.0</v>
      </c>
      <c r="Q573" s="160">
        <v>0.0</v>
      </c>
      <c r="R573" s="160">
        <v>0.0</v>
      </c>
      <c r="S573" s="160">
        <v>0.0</v>
      </c>
      <c r="T573" s="160">
        <v>0.0</v>
      </c>
      <c r="U573" s="160">
        <v>370770.0</v>
      </c>
      <c r="V573" s="160">
        <v>0.0</v>
      </c>
      <c r="W573" s="160">
        <v>0.0</v>
      </c>
      <c r="X573" s="160">
        <v>0.0</v>
      </c>
      <c r="Y573" s="160">
        <v>3681893.4</v>
      </c>
    </row>
    <row r="574">
      <c r="A574" s="157" t="s">
        <v>424</v>
      </c>
      <c r="B574" s="160">
        <v>0.0</v>
      </c>
      <c r="C574" s="160">
        <v>0.0</v>
      </c>
      <c r="D574" s="160">
        <v>0.0</v>
      </c>
      <c r="E574" s="160">
        <v>0.0</v>
      </c>
      <c r="F574" s="160">
        <v>0.0</v>
      </c>
      <c r="G574" s="160">
        <v>0.0</v>
      </c>
      <c r="H574" s="160">
        <v>0.0</v>
      </c>
      <c r="I574" s="160">
        <v>0.0</v>
      </c>
      <c r="J574" s="160">
        <v>0.0</v>
      </c>
      <c r="K574" s="160">
        <v>0.0</v>
      </c>
      <c r="L574" s="160">
        <v>0.0</v>
      </c>
      <c r="M574" s="160">
        <v>0.0</v>
      </c>
      <c r="N574" s="160">
        <v>0.0</v>
      </c>
      <c r="O574" s="160">
        <v>0.0</v>
      </c>
      <c r="P574" s="160">
        <v>0.0</v>
      </c>
      <c r="Q574" s="160">
        <v>0.0</v>
      </c>
      <c r="R574" s="160">
        <v>0.0</v>
      </c>
      <c r="S574" s="160">
        <v>0.0</v>
      </c>
      <c r="T574" s="160">
        <v>0.0</v>
      </c>
      <c r="U574" s="160">
        <v>0.0</v>
      </c>
      <c r="V574" s="160">
        <v>0.0</v>
      </c>
      <c r="W574" s="160">
        <v>0.0</v>
      </c>
      <c r="X574" s="160">
        <v>0.0</v>
      </c>
      <c r="Y574" s="160">
        <v>0.0</v>
      </c>
    </row>
    <row r="575">
      <c r="A575" s="157" t="s">
        <v>175</v>
      </c>
      <c r="B575" s="160">
        <v>0.0</v>
      </c>
      <c r="C575" s="160">
        <v>96865.5</v>
      </c>
      <c r="D575" s="160">
        <v>5995.0</v>
      </c>
      <c r="E575" s="160">
        <v>0.0</v>
      </c>
      <c r="F575" s="160">
        <v>0.0</v>
      </c>
      <c r="G575" s="160">
        <v>0.0</v>
      </c>
      <c r="H575" s="160">
        <v>231908.0</v>
      </c>
      <c r="I575" s="160">
        <v>0.0</v>
      </c>
      <c r="J575" s="160">
        <v>0.0</v>
      </c>
      <c r="K575" s="160">
        <v>0.0</v>
      </c>
      <c r="L575" s="160">
        <v>495107.1</v>
      </c>
      <c r="M575" s="160">
        <v>39170.0</v>
      </c>
      <c r="N575" s="160">
        <v>303842.5</v>
      </c>
      <c r="O575" s="160">
        <v>0.0</v>
      </c>
      <c r="P575" s="160">
        <v>0.0</v>
      </c>
      <c r="Q575" s="160">
        <v>0.0</v>
      </c>
      <c r="R575" s="160">
        <v>0.0</v>
      </c>
      <c r="S575" s="160">
        <v>0.0</v>
      </c>
      <c r="T575" s="160">
        <v>0.0</v>
      </c>
      <c r="U575" s="160">
        <v>317931.5</v>
      </c>
      <c r="V575" s="160">
        <v>0.0</v>
      </c>
      <c r="W575" s="160">
        <v>0.0</v>
      </c>
      <c r="X575" s="160">
        <v>0.0</v>
      </c>
      <c r="Y575" s="160">
        <v>1490819.6</v>
      </c>
    </row>
    <row r="576">
      <c r="A576" s="157" t="s">
        <v>883</v>
      </c>
      <c r="B576" s="160">
        <v>0.0</v>
      </c>
      <c r="C576" s="160">
        <v>0.0</v>
      </c>
      <c r="D576" s="160">
        <v>0.0</v>
      </c>
      <c r="E576" s="160">
        <v>0.0</v>
      </c>
      <c r="F576" s="160">
        <v>0.0</v>
      </c>
      <c r="G576" s="160">
        <v>0.0</v>
      </c>
      <c r="H576" s="160">
        <v>0.0</v>
      </c>
      <c r="I576" s="160">
        <v>0.0</v>
      </c>
      <c r="J576" s="160">
        <v>0.0</v>
      </c>
      <c r="K576" s="160">
        <v>0.0</v>
      </c>
      <c r="L576" s="160">
        <v>0.0</v>
      </c>
      <c r="M576" s="160">
        <v>0.0</v>
      </c>
      <c r="N576" s="160">
        <v>0.0</v>
      </c>
      <c r="O576" s="160">
        <v>0.0</v>
      </c>
      <c r="P576" s="160">
        <v>0.0</v>
      </c>
      <c r="Q576" s="160">
        <v>0.0</v>
      </c>
      <c r="R576" s="160">
        <v>0.0</v>
      </c>
      <c r="S576" s="160">
        <v>0.0</v>
      </c>
      <c r="T576" s="160">
        <v>0.0</v>
      </c>
      <c r="U576" s="160">
        <v>0.0</v>
      </c>
      <c r="V576" s="160">
        <v>0.0</v>
      </c>
      <c r="W576" s="160">
        <v>0.0</v>
      </c>
      <c r="X576" s="160">
        <v>0.0</v>
      </c>
      <c r="Y576" s="160">
        <v>0.0</v>
      </c>
    </row>
    <row r="577">
      <c r="A577" s="157" t="s">
        <v>177</v>
      </c>
      <c r="B577" s="160">
        <v>435497.8</v>
      </c>
      <c r="C577" s="160">
        <v>12104.28</v>
      </c>
      <c r="D577" s="160">
        <v>0.0</v>
      </c>
      <c r="E577" s="160">
        <v>0.0</v>
      </c>
      <c r="F577" s="160">
        <v>0.0</v>
      </c>
      <c r="G577" s="160">
        <v>0.0</v>
      </c>
      <c r="H577" s="160">
        <v>0.0</v>
      </c>
      <c r="I577" s="160">
        <v>0.0</v>
      </c>
      <c r="J577" s="160">
        <v>234425.5</v>
      </c>
      <c r="K577" s="160">
        <v>0.0</v>
      </c>
      <c r="L577" s="160">
        <v>165042.06</v>
      </c>
      <c r="M577" s="160">
        <v>88510.14</v>
      </c>
      <c r="N577" s="160">
        <v>0.0</v>
      </c>
      <c r="O577" s="160">
        <v>3899.28</v>
      </c>
      <c r="P577" s="160">
        <v>73020.52</v>
      </c>
      <c r="Q577" s="160">
        <v>0.0</v>
      </c>
      <c r="R577" s="160">
        <v>23127.5</v>
      </c>
      <c r="S577" s="160">
        <v>221228.8</v>
      </c>
      <c r="T577" s="160">
        <v>0.0</v>
      </c>
      <c r="U577" s="160">
        <v>0.0</v>
      </c>
      <c r="V577" s="160">
        <v>0.0</v>
      </c>
      <c r="W577" s="160">
        <v>0.0</v>
      </c>
      <c r="X577" s="160">
        <v>0.0</v>
      </c>
      <c r="Y577" s="160">
        <v>1256855.88</v>
      </c>
    </row>
    <row r="578">
      <c r="A578" s="157" t="s">
        <v>884</v>
      </c>
      <c r="B578" s="160">
        <v>0.0</v>
      </c>
      <c r="C578" s="160">
        <v>0.0</v>
      </c>
      <c r="D578" s="160">
        <v>0.0</v>
      </c>
      <c r="E578" s="160">
        <v>0.0</v>
      </c>
      <c r="F578" s="160">
        <v>0.0</v>
      </c>
      <c r="G578" s="160">
        <v>0.0</v>
      </c>
      <c r="H578" s="160">
        <v>0.0</v>
      </c>
      <c r="I578" s="160">
        <v>0.0</v>
      </c>
      <c r="J578" s="160">
        <v>0.0</v>
      </c>
      <c r="K578" s="160">
        <v>0.0</v>
      </c>
      <c r="L578" s="160">
        <v>0.0</v>
      </c>
      <c r="M578" s="160">
        <v>0.0</v>
      </c>
      <c r="N578" s="160">
        <v>0.0</v>
      </c>
      <c r="O578" s="160">
        <v>0.0</v>
      </c>
      <c r="P578" s="160">
        <v>0.0</v>
      </c>
      <c r="Q578" s="160">
        <v>0.0</v>
      </c>
      <c r="R578" s="160">
        <v>0.0</v>
      </c>
      <c r="S578" s="160">
        <v>0.0</v>
      </c>
      <c r="T578" s="160">
        <v>0.0</v>
      </c>
      <c r="U578" s="160">
        <v>0.0</v>
      </c>
      <c r="V578" s="160">
        <v>0.0</v>
      </c>
      <c r="W578" s="160">
        <v>0.0</v>
      </c>
      <c r="X578" s="160">
        <v>0.0</v>
      </c>
      <c r="Y578" s="160">
        <v>0.0</v>
      </c>
    </row>
    <row r="579">
      <c r="A579" s="157" t="s">
        <v>179</v>
      </c>
      <c r="B579" s="160">
        <v>290.98</v>
      </c>
      <c r="C579" s="160">
        <v>85950.88</v>
      </c>
      <c r="D579" s="160">
        <v>57324.8</v>
      </c>
      <c r="E579" s="160">
        <v>0.0</v>
      </c>
      <c r="F579" s="160">
        <v>0.0</v>
      </c>
      <c r="G579" s="160">
        <v>0.0</v>
      </c>
      <c r="H579" s="160">
        <v>0.0</v>
      </c>
      <c r="I579" s="160">
        <v>0.0</v>
      </c>
      <c r="J579" s="160">
        <v>222037.6</v>
      </c>
      <c r="K579" s="160">
        <v>0.0</v>
      </c>
      <c r="L579" s="160">
        <v>228677.38</v>
      </c>
      <c r="M579" s="160">
        <v>0.0</v>
      </c>
      <c r="N579" s="160">
        <v>0.0</v>
      </c>
      <c r="O579" s="160">
        <v>323921.25</v>
      </c>
      <c r="P579" s="160">
        <v>299011.67</v>
      </c>
      <c r="Q579" s="160">
        <v>0.0</v>
      </c>
      <c r="R579" s="160">
        <v>0.0</v>
      </c>
      <c r="S579" s="160">
        <v>37876.3</v>
      </c>
      <c r="T579" s="160">
        <v>0.0</v>
      </c>
      <c r="U579" s="160">
        <v>56388.8</v>
      </c>
      <c r="V579" s="160">
        <v>0.0</v>
      </c>
      <c r="W579" s="160">
        <v>0.0</v>
      </c>
      <c r="X579" s="160">
        <v>0.0</v>
      </c>
      <c r="Y579" s="160">
        <v>1311479.66</v>
      </c>
    </row>
    <row r="580">
      <c r="A580" s="157" t="s">
        <v>400</v>
      </c>
      <c r="B580" s="160">
        <v>0.0</v>
      </c>
      <c r="C580" s="160">
        <v>0.0</v>
      </c>
      <c r="D580" s="160">
        <v>0.0</v>
      </c>
      <c r="E580" s="160">
        <v>0.0</v>
      </c>
      <c r="F580" s="160">
        <v>0.0</v>
      </c>
      <c r="G580" s="160">
        <v>0.0</v>
      </c>
      <c r="H580" s="160">
        <v>0.0</v>
      </c>
      <c r="I580" s="160">
        <v>0.0</v>
      </c>
      <c r="J580" s="160">
        <v>0.0</v>
      </c>
      <c r="K580" s="160">
        <v>0.0</v>
      </c>
      <c r="L580" s="160">
        <v>0.0</v>
      </c>
      <c r="M580" s="160">
        <v>0.0</v>
      </c>
      <c r="N580" s="160">
        <v>0.0</v>
      </c>
      <c r="O580" s="160">
        <v>0.0</v>
      </c>
      <c r="P580" s="160">
        <v>0.0</v>
      </c>
      <c r="Q580" s="160">
        <v>0.0</v>
      </c>
      <c r="R580" s="160">
        <v>0.0</v>
      </c>
      <c r="S580" s="160">
        <v>0.0</v>
      </c>
      <c r="T580" s="160">
        <v>0.0</v>
      </c>
      <c r="U580" s="160">
        <v>0.0</v>
      </c>
      <c r="V580" s="160">
        <v>0.0</v>
      </c>
      <c r="W580" s="160">
        <v>0.0</v>
      </c>
      <c r="X580" s="160">
        <v>0.0</v>
      </c>
      <c r="Y580" s="160">
        <v>0.0</v>
      </c>
    </row>
    <row r="581">
      <c r="A581" s="157" t="s">
        <v>66</v>
      </c>
      <c r="B581" s="160">
        <v>0.0</v>
      </c>
      <c r="C581" s="160">
        <v>0.0</v>
      </c>
      <c r="D581" s="160">
        <v>0.0</v>
      </c>
      <c r="E581" s="160">
        <v>0.0</v>
      </c>
      <c r="F581" s="160">
        <v>0.0</v>
      </c>
      <c r="G581" s="160">
        <v>0.0</v>
      </c>
      <c r="H581" s="160">
        <v>287998.5</v>
      </c>
      <c r="I581" s="160">
        <v>0.0</v>
      </c>
      <c r="J581" s="160">
        <v>0.0</v>
      </c>
      <c r="K581" s="160">
        <v>0.0</v>
      </c>
      <c r="L581" s="160">
        <v>121793.16</v>
      </c>
      <c r="M581" s="160">
        <v>0.0</v>
      </c>
      <c r="N581" s="160">
        <v>0.0</v>
      </c>
      <c r="O581" s="160">
        <v>0.0</v>
      </c>
      <c r="P581" s="160">
        <v>0.0</v>
      </c>
      <c r="Q581" s="160">
        <v>0.0</v>
      </c>
      <c r="R581" s="160">
        <v>0.0</v>
      </c>
      <c r="S581" s="160">
        <v>61881.87</v>
      </c>
      <c r="T581" s="160">
        <v>0.0</v>
      </c>
      <c r="U581" s="160">
        <v>0.0</v>
      </c>
      <c r="V581" s="160">
        <v>0.0</v>
      </c>
      <c r="W581" s="160">
        <v>0.0</v>
      </c>
      <c r="X581" s="160">
        <v>0.0</v>
      </c>
      <c r="Y581" s="160">
        <v>471673.53</v>
      </c>
    </row>
    <row r="582">
      <c r="A582" s="157" t="s">
        <v>70</v>
      </c>
      <c r="B582" s="160">
        <v>21679.0</v>
      </c>
      <c r="C582" s="160">
        <v>0.0</v>
      </c>
      <c r="D582" s="160">
        <v>0.0</v>
      </c>
      <c r="E582" s="160">
        <v>0.0</v>
      </c>
      <c r="F582" s="160">
        <v>0.0</v>
      </c>
      <c r="G582" s="160">
        <v>0.0</v>
      </c>
      <c r="H582" s="160">
        <v>636.24</v>
      </c>
      <c r="I582" s="160">
        <v>0.0</v>
      </c>
      <c r="J582" s="160">
        <v>358979.81</v>
      </c>
      <c r="K582" s="160">
        <v>0.0</v>
      </c>
      <c r="L582" s="160">
        <v>47178.14</v>
      </c>
      <c r="M582" s="160">
        <v>0.0</v>
      </c>
      <c r="N582" s="160">
        <v>0.0</v>
      </c>
      <c r="O582" s="160">
        <v>163118.77</v>
      </c>
      <c r="P582" s="160">
        <v>0.0</v>
      </c>
      <c r="Q582" s="160">
        <v>0.0</v>
      </c>
      <c r="R582" s="160">
        <v>42622.75</v>
      </c>
      <c r="S582" s="160">
        <v>0.0</v>
      </c>
      <c r="T582" s="160">
        <v>0.0</v>
      </c>
      <c r="U582" s="160">
        <v>0.0</v>
      </c>
      <c r="V582" s="160">
        <v>0.0</v>
      </c>
      <c r="W582" s="160">
        <v>0.0</v>
      </c>
      <c r="X582" s="160">
        <v>0.0</v>
      </c>
      <c r="Y582" s="160">
        <v>634214.71</v>
      </c>
    </row>
    <row r="583">
      <c r="A583" s="157" t="s">
        <v>68</v>
      </c>
      <c r="B583" s="160">
        <v>0.0</v>
      </c>
      <c r="C583" s="160">
        <v>0.0</v>
      </c>
      <c r="D583" s="160">
        <v>0.0</v>
      </c>
      <c r="E583" s="160">
        <v>0.0</v>
      </c>
      <c r="F583" s="160">
        <v>0.0</v>
      </c>
      <c r="G583" s="160">
        <v>0.0</v>
      </c>
      <c r="H583" s="160">
        <v>0.0</v>
      </c>
      <c r="I583" s="160">
        <v>0.0</v>
      </c>
      <c r="J583" s="160">
        <v>0.0</v>
      </c>
      <c r="K583" s="160">
        <v>0.0</v>
      </c>
      <c r="L583" s="160">
        <v>0.0</v>
      </c>
      <c r="M583" s="160">
        <v>0.0</v>
      </c>
      <c r="N583" s="160">
        <v>0.0</v>
      </c>
      <c r="O583" s="160">
        <v>0.0</v>
      </c>
      <c r="P583" s="160">
        <v>0.0</v>
      </c>
      <c r="Q583" s="160">
        <v>0.0</v>
      </c>
      <c r="R583" s="160">
        <v>0.0</v>
      </c>
      <c r="S583" s="160">
        <v>0.0</v>
      </c>
      <c r="T583" s="160">
        <v>0.0</v>
      </c>
      <c r="U583" s="160">
        <v>0.0</v>
      </c>
      <c r="V583" s="160">
        <v>0.0</v>
      </c>
      <c r="W583" s="160">
        <v>0.0</v>
      </c>
      <c r="X583" s="160">
        <v>0.0</v>
      </c>
      <c r="Y583" s="160">
        <v>0.0</v>
      </c>
    </row>
    <row r="584">
      <c r="A584" s="157" t="s">
        <v>181</v>
      </c>
      <c r="B584" s="160">
        <v>0.0</v>
      </c>
      <c r="C584" s="160">
        <v>50523.6</v>
      </c>
      <c r="D584" s="160">
        <v>77416.8</v>
      </c>
      <c r="E584" s="160">
        <v>53525.6</v>
      </c>
      <c r="F584" s="160">
        <v>24336.0</v>
      </c>
      <c r="G584" s="160">
        <v>24336.0</v>
      </c>
      <c r="H584" s="160">
        <v>23130.56</v>
      </c>
      <c r="I584" s="160">
        <v>0.0</v>
      </c>
      <c r="J584" s="160">
        <v>11809.92</v>
      </c>
      <c r="K584" s="160">
        <v>0.0</v>
      </c>
      <c r="L584" s="160">
        <v>490836.24</v>
      </c>
      <c r="M584" s="160">
        <v>0.0</v>
      </c>
      <c r="N584" s="160">
        <v>0.0</v>
      </c>
      <c r="O584" s="160">
        <v>12298.0</v>
      </c>
      <c r="P584" s="160">
        <v>80496.42</v>
      </c>
      <c r="Q584" s="160">
        <v>0.0</v>
      </c>
      <c r="R584" s="160">
        <v>0.0</v>
      </c>
      <c r="S584" s="160">
        <v>41017.4</v>
      </c>
      <c r="T584" s="160">
        <v>0.0</v>
      </c>
      <c r="U584" s="160">
        <v>466493.4</v>
      </c>
      <c r="V584" s="160">
        <v>0.0</v>
      </c>
      <c r="W584" s="160">
        <v>0.0</v>
      </c>
      <c r="X584" s="160">
        <v>0.0</v>
      </c>
      <c r="Y584" s="160">
        <v>1356219.94</v>
      </c>
    </row>
    <row r="585">
      <c r="A585" s="157" t="s">
        <v>43</v>
      </c>
      <c r="B585" s="160">
        <v>257552.46</v>
      </c>
      <c r="C585" s="160">
        <v>32186.02</v>
      </c>
      <c r="D585" s="160">
        <v>0.0</v>
      </c>
      <c r="E585" s="160">
        <v>0.0</v>
      </c>
      <c r="F585" s="160">
        <v>0.0</v>
      </c>
      <c r="G585" s="160">
        <v>0.0</v>
      </c>
      <c r="H585" s="160">
        <v>182961.48</v>
      </c>
      <c r="I585" s="160">
        <v>0.0</v>
      </c>
      <c r="J585" s="160">
        <v>1073445.44</v>
      </c>
      <c r="K585" s="160">
        <v>0.0</v>
      </c>
      <c r="L585" s="160">
        <v>230888.01</v>
      </c>
      <c r="M585" s="160">
        <v>9380.0</v>
      </c>
      <c r="N585" s="160">
        <v>358318.5</v>
      </c>
      <c r="O585" s="160">
        <v>93097.12</v>
      </c>
      <c r="P585" s="160">
        <v>199720.8</v>
      </c>
      <c r="Q585" s="160">
        <v>0.0</v>
      </c>
      <c r="R585" s="160">
        <v>109546.75</v>
      </c>
      <c r="S585" s="160">
        <v>123701.0</v>
      </c>
      <c r="T585" s="160">
        <v>0.0</v>
      </c>
      <c r="U585" s="160">
        <v>175140.7</v>
      </c>
      <c r="V585" s="160">
        <v>0.0</v>
      </c>
      <c r="W585" s="160">
        <v>28485.0</v>
      </c>
      <c r="X585" s="160">
        <v>0.0</v>
      </c>
      <c r="Y585" s="160">
        <v>2874423.29</v>
      </c>
    </row>
    <row r="586">
      <c r="A586" s="157" t="s">
        <v>183</v>
      </c>
      <c r="B586" s="160">
        <v>0.0</v>
      </c>
      <c r="C586" s="160">
        <v>56104.0</v>
      </c>
      <c r="D586" s="160">
        <v>28100.8</v>
      </c>
      <c r="E586" s="160">
        <v>0.0</v>
      </c>
      <c r="F586" s="160">
        <v>0.0</v>
      </c>
      <c r="G586" s="160">
        <v>0.0</v>
      </c>
      <c r="H586" s="160">
        <v>50364.8</v>
      </c>
      <c r="I586" s="160">
        <v>194.4</v>
      </c>
      <c r="J586" s="160">
        <v>0.0</v>
      </c>
      <c r="K586" s="160">
        <v>0.0</v>
      </c>
      <c r="L586" s="160">
        <v>153027.81</v>
      </c>
      <c r="M586" s="160">
        <v>196565.4</v>
      </c>
      <c r="N586" s="160">
        <v>0.0</v>
      </c>
      <c r="O586" s="160">
        <v>0.0</v>
      </c>
      <c r="P586" s="160">
        <v>0.0</v>
      </c>
      <c r="Q586" s="160">
        <v>0.0</v>
      </c>
      <c r="R586" s="160">
        <v>0.0</v>
      </c>
      <c r="S586" s="160">
        <v>193554.34</v>
      </c>
      <c r="T586" s="160">
        <v>0.0</v>
      </c>
      <c r="U586" s="160">
        <v>145173.6</v>
      </c>
      <c r="V586" s="160">
        <v>0.0</v>
      </c>
      <c r="W586" s="160">
        <v>0.0</v>
      </c>
      <c r="X586" s="160">
        <v>0.0</v>
      </c>
      <c r="Y586" s="160">
        <v>823085.15</v>
      </c>
    </row>
    <row r="587">
      <c r="A587" s="157" t="s">
        <v>332</v>
      </c>
      <c r="B587" s="160">
        <v>0.0</v>
      </c>
      <c r="C587" s="160">
        <v>0.0</v>
      </c>
      <c r="D587" s="160">
        <v>0.0</v>
      </c>
      <c r="E587" s="160">
        <v>0.0</v>
      </c>
      <c r="F587" s="160">
        <v>0.0</v>
      </c>
      <c r="G587" s="160">
        <v>0.0</v>
      </c>
      <c r="H587" s="160">
        <v>117811.23</v>
      </c>
      <c r="I587" s="160">
        <v>0.0</v>
      </c>
      <c r="J587" s="160">
        <v>0.0</v>
      </c>
      <c r="K587" s="160">
        <v>0.0</v>
      </c>
      <c r="L587" s="160">
        <v>276672.13</v>
      </c>
      <c r="M587" s="160">
        <v>0.0</v>
      </c>
      <c r="N587" s="160">
        <v>0.0</v>
      </c>
      <c r="O587" s="160">
        <v>0.0</v>
      </c>
      <c r="P587" s="160">
        <v>0.0</v>
      </c>
      <c r="Q587" s="160">
        <v>0.0</v>
      </c>
      <c r="R587" s="160">
        <v>55260.23</v>
      </c>
      <c r="S587" s="160">
        <v>155097.72</v>
      </c>
      <c r="T587" s="160">
        <v>0.0</v>
      </c>
      <c r="U587" s="160">
        <v>0.0</v>
      </c>
      <c r="V587" s="160">
        <v>0.0</v>
      </c>
      <c r="W587" s="160">
        <v>0.0</v>
      </c>
      <c r="X587" s="160">
        <v>0.0</v>
      </c>
      <c r="Y587" s="160">
        <v>604841.31</v>
      </c>
    </row>
    <row r="588">
      <c r="A588" s="157" t="s">
        <v>330</v>
      </c>
      <c r="B588" s="160">
        <v>0.0</v>
      </c>
      <c r="C588" s="160">
        <v>0.0</v>
      </c>
      <c r="D588" s="160">
        <v>0.0</v>
      </c>
      <c r="E588" s="160">
        <v>0.0</v>
      </c>
      <c r="F588" s="160">
        <v>0.0</v>
      </c>
      <c r="G588" s="160">
        <v>0.0</v>
      </c>
      <c r="H588" s="160">
        <v>0.0</v>
      </c>
      <c r="I588" s="160">
        <v>0.0</v>
      </c>
      <c r="J588" s="160">
        <v>0.0</v>
      </c>
      <c r="K588" s="160">
        <v>0.0</v>
      </c>
      <c r="L588" s="160">
        <v>0.0</v>
      </c>
      <c r="M588" s="160">
        <v>0.0</v>
      </c>
      <c r="N588" s="160">
        <v>0.0</v>
      </c>
      <c r="O588" s="160">
        <v>0.0</v>
      </c>
      <c r="P588" s="160">
        <v>0.0</v>
      </c>
      <c r="Q588" s="160">
        <v>0.0</v>
      </c>
      <c r="R588" s="160">
        <v>0.0</v>
      </c>
      <c r="S588" s="160">
        <v>0.0</v>
      </c>
      <c r="T588" s="160">
        <v>0.0</v>
      </c>
      <c r="U588" s="160">
        <v>0.0</v>
      </c>
      <c r="V588" s="160">
        <v>0.0</v>
      </c>
      <c r="W588" s="160">
        <v>0.0</v>
      </c>
      <c r="X588" s="160">
        <v>0.0</v>
      </c>
      <c r="Y588" s="160">
        <v>0.0</v>
      </c>
    </row>
    <row r="589">
      <c r="A589" s="157" t="s">
        <v>885</v>
      </c>
      <c r="B589" s="160">
        <v>0.0</v>
      </c>
      <c r="C589" s="160">
        <v>0.0</v>
      </c>
      <c r="D589" s="160">
        <v>0.0</v>
      </c>
      <c r="E589" s="160">
        <v>0.0</v>
      </c>
      <c r="F589" s="160">
        <v>0.0</v>
      </c>
      <c r="G589" s="160">
        <v>0.0</v>
      </c>
      <c r="H589" s="160">
        <v>0.0</v>
      </c>
      <c r="I589" s="160">
        <v>0.0</v>
      </c>
      <c r="J589" s="160">
        <v>0.0</v>
      </c>
      <c r="K589" s="160">
        <v>0.0</v>
      </c>
      <c r="L589" s="160">
        <v>0.0</v>
      </c>
      <c r="M589" s="160">
        <v>0.0</v>
      </c>
      <c r="N589" s="160">
        <v>0.0</v>
      </c>
      <c r="O589" s="160">
        <v>0.0</v>
      </c>
      <c r="P589" s="160">
        <v>0.0</v>
      </c>
      <c r="Q589" s="160">
        <v>0.0</v>
      </c>
      <c r="R589" s="160">
        <v>0.0</v>
      </c>
      <c r="S589" s="160">
        <v>0.0</v>
      </c>
      <c r="T589" s="160">
        <v>0.0</v>
      </c>
      <c r="U589" s="160">
        <v>0.0</v>
      </c>
      <c r="V589" s="160">
        <v>0.0</v>
      </c>
      <c r="W589" s="160">
        <v>0.0</v>
      </c>
      <c r="X589" s="160">
        <v>0.0</v>
      </c>
      <c r="Y589" s="160">
        <v>0.0</v>
      </c>
    </row>
    <row r="590">
      <c r="A590" s="157" t="s">
        <v>94</v>
      </c>
      <c r="B590" s="160">
        <v>0.0</v>
      </c>
      <c r="C590" s="160">
        <v>0.0</v>
      </c>
      <c r="D590" s="160">
        <v>0.0</v>
      </c>
      <c r="E590" s="160">
        <v>0.0</v>
      </c>
      <c r="F590" s="160">
        <v>0.0</v>
      </c>
      <c r="G590" s="160">
        <v>0.0</v>
      </c>
      <c r="H590" s="160">
        <v>0.0</v>
      </c>
      <c r="I590" s="160">
        <v>0.0</v>
      </c>
      <c r="J590" s="160">
        <v>0.0</v>
      </c>
      <c r="K590" s="160">
        <v>0.0</v>
      </c>
      <c r="L590" s="160">
        <v>0.0</v>
      </c>
      <c r="M590" s="160">
        <v>0.0</v>
      </c>
      <c r="N590" s="160">
        <v>0.0</v>
      </c>
      <c r="O590" s="160">
        <v>0.0</v>
      </c>
      <c r="P590" s="160">
        <v>0.0</v>
      </c>
      <c r="Q590" s="160">
        <v>0.0</v>
      </c>
      <c r="R590" s="160">
        <v>0.0</v>
      </c>
      <c r="S590" s="160">
        <v>0.0</v>
      </c>
      <c r="T590" s="160">
        <v>0.0</v>
      </c>
      <c r="U590" s="160">
        <v>0.0</v>
      </c>
      <c r="V590" s="160">
        <v>0.0</v>
      </c>
      <c r="W590" s="160">
        <v>0.0</v>
      </c>
      <c r="X590" s="160">
        <v>0.0</v>
      </c>
      <c r="Y590" s="160">
        <v>0.0</v>
      </c>
    </row>
    <row r="591">
      <c r="A591" s="157" t="s">
        <v>886</v>
      </c>
      <c r="B591" s="160">
        <v>0.0</v>
      </c>
      <c r="C591" s="160">
        <v>174557.0</v>
      </c>
      <c r="D591" s="160">
        <v>421910.0</v>
      </c>
      <c r="E591" s="160">
        <v>101081.6</v>
      </c>
      <c r="F591" s="160">
        <v>54240.0</v>
      </c>
      <c r="G591" s="160">
        <v>37780.0</v>
      </c>
      <c r="H591" s="160">
        <v>321395.0</v>
      </c>
      <c r="I591" s="160">
        <v>0.0</v>
      </c>
      <c r="J591" s="160">
        <v>0.0</v>
      </c>
      <c r="K591" s="160">
        <v>0.0</v>
      </c>
      <c r="L591" s="160">
        <v>1924692.94</v>
      </c>
      <c r="M591" s="160">
        <v>67660.5</v>
      </c>
      <c r="N591" s="160">
        <v>0.0</v>
      </c>
      <c r="O591" s="160">
        <v>0.0</v>
      </c>
      <c r="P591" s="160">
        <v>0.0</v>
      </c>
      <c r="Q591" s="160">
        <v>0.0</v>
      </c>
      <c r="R591" s="160">
        <v>0.0</v>
      </c>
      <c r="S591" s="160">
        <v>0.0</v>
      </c>
      <c r="T591" s="160">
        <v>0.0</v>
      </c>
      <c r="U591" s="160">
        <v>166876.2</v>
      </c>
      <c r="V591" s="160">
        <v>0.0</v>
      </c>
      <c r="W591" s="160">
        <v>0.0</v>
      </c>
      <c r="X591" s="160">
        <v>0.0</v>
      </c>
      <c r="Y591" s="160">
        <v>3270193.24</v>
      </c>
    </row>
    <row r="592">
      <c r="A592" s="157" t="s">
        <v>45</v>
      </c>
      <c r="B592" s="160">
        <v>8292.12</v>
      </c>
      <c r="C592" s="160">
        <v>16767.0</v>
      </c>
      <c r="D592" s="160">
        <v>0.0</v>
      </c>
      <c r="E592" s="160">
        <v>0.0</v>
      </c>
      <c r="F592" s="160">
        <v>0.0</v>
      </c>
      <c r="G592" s="160">
        <v>0.0</v>
      </c>
      <c r="H592" s="160">
        <v>108098.4</v>
      </c>
      <c r="I592" s="160">
        <v>0.0</v>
      </c>
      <c r="J592" s="160">
        <v>94037.05</v>
      </c>
      <c r="K592" s="160">
        <v>0.0</v>
      </c>
      <c r="L592" s="160">
        <v>268092.38</v>
      </c>
      <c r="M592" s="160">
        <v>79375.0</v>
      </c>
      <c r="N592" s="160">
        <v>145795.5</v>
      </c>
      <c r="O592" s="160">
        <v>9885.7</v>
      </c>
      <c r="P592" s="160">
        <v>0.0</v>
      </c>
      <c r="Q592" s="160">
        <v>0.0</v>
      </c>
      <c r="R592" s="160">
        <v>95655.0</v>
      </c>
      <c r="S592" s="160">
        <v>9667.5</v>
      </c>
      <c r="T592" s="160">
        <v>0.0</v>
      </c>
      <c r="U592" s="160">
        <v>0.0</v>
      </c>
      <c r="V592" s="160">
        <v>0.0</v>
      </c>
      <c r="W592" s="160">
        <v>0.0</v>
      </c>
      <c r="X592" s="160">
        <v>0.0</v>
      </c>
      <c r="Y592" s="160">
        <v>835665.65</v>
      </c>
    </row>
    <row r="593">
      <c r="A593" s="157" t="s">
        <v>92</v>
      </c>
      <c r="B593" s="160">
        <v>0.0</v>
      </c>
      <c r="C593" s="160">
        <v>1897.5</v>
      </c>
      <c r="D593" s="160">
        <v>0.0</v>
      </c>
      <c r="E593" s="160">
        <v>0.0</v>
      </c>
      <c r="F593" s="160">
        <v>0.0</v>
      </c>
      <c r="G593" s="160">
        <v>0.0</v>
      </c>
      <c r="H593" s="160">
        <v>7210.5</v>
      </c>
      <c r="I593" s="160">
        <v>0.0</v>
      </c>
      <c r="J593" s="160">
        <v>0.0</v>
      </c>
      <c r="K593" s="160">
        <v>0.0</v>
      </c>
      <c r="L593" s="160">
        <v>18329.2</v>
      </c>
      <c r="M593" s="160">
        <v>34798.5</v>
      </c>
      <c r="N593" s="160">
        <v>34122.0</v>
      </c>
      <c r="O593" s="160">
        <v>0.0</v>
      </c>
      <c r="P593" s="160">
        <v>0.0</v>
      </c>
      <c r="Q593" s="160">
        <v>0.0</v>
      </c>
      <c r="R593" s="160">
        <v>0.0</v>
      </c>
      <c r="S593" s="160">
        <v>0.0</v>
      </c>
      <c r="T593" s="160">
        <v>0.0</v>
      </c>
      <c r="U593" s="160">
        <v>0.0</v>
      </c>
      <c r="V593" s="160">
        <v>0.0</v>
      </c>
      <c r="W593" s="160">
        <v>0.0</v>
      </c>
      <c r="X593" s="160">
        <v>0.0</v>
      </c>
      <c r="Y593" s="160">
        <v>96357.7</v>
      </c>
    </row>
    <row r="594">
      <c r="A594" s="157" t="s">
        <v>83</v>
      </c>
      <c r="B594" s="160">
        <v>0.0</v>
      </c>
      <c r="C594" s="160">
        <v>0.0</v>
      </c>
      <c r="D594" s="160">
        <v>0.0</v>
      </c>
      <c r="E594" s="160">
        <v>0.0</v>
      </c>
      <c r="F594" s="160">
        <v>0.0</v>
      </c>
      <c r="G594" s="160">
        <v>0.0</v>
      </c>
      <c r="H594" s="160">
        <v>0.0</v>
      </c>
      <c r="I594" s="160">
        <v>0.0</v>
      </c>
      <c r="J594" s="160">
        <v>0.0</v>
      </c>
      <c r="K594" s="160">
        <v>0.0</v>
      </c>
      <c r="L594" s="160">
        <v>0.0</v>
      </c>
      <c r="M594" s="160">
        <v>0.0</v>
      </c>
      <c r="N594" s="160">
        <v>50841.5</v>
      </c>
      <c r="O594" s="160">
        <v>0.0</v>
      </c>
      <c r="P594" s="160">
        <v>0.0</v>
      </c>
      <c r="Q594" s="160">
        <v>0.0</v>
      </c>
      <c r="R594" s="160">
        <v>0.0</v>
      </c>
      <c r="S594" s="160">
        <v>0.0</v>
      </c>
      <c r="T594" s="160">
        <v>0.0</v>
      </c>
      <c r="U594" s="160">
        <v>0.0</v>
      </c>
      <c r="V594" s="160">
        <v>0.0</v>
      </c>
      <c r="W594" s="160">
        <v>0.0</v>
      </c>
      <c r="X594" s="160">
        <v>0.0</v>
      </c>
      <c r="Y594" s="160">
        <v>50841.5</v>
      </c>
    </row>
    <row r="595">
      <c r="A595" s="157" t="s">
        <v>292</v>
      </c>
      <c r="B595" s="160">
        <v>0.0</v>
      </c>
      <c r="C595" s="160">
        <v>0.0</v>
      </c>
      <c r="D595" s="160">
        <v>0.0</v>
      </c>
      <c r="E595" s="160">
        <v>0.0</v>
      </c>
      <c r="F595" s="160">
        <v>0.0</v>
      </c>
      <c r="G595" s="160">
        <v>0.0</v>
      </c>
      <c r="H595" s="160">
        <v>0.0</v>
      </c>
      <c r="I595" s="160">
        <v>0.0</v>
      </c>
      <c r="J595" s="160">
        <v>0.0</v>
      </c>
      <c r="K595" s="160">
        <v>0.0</v>
      </c>
      <c r="L595" s="160">
        <v>0.0</v>
      </c>
      <c r="M595" s="160">
        <v>0.0</v>
      </c>
      <c r="N595" s="160">
        <v>0.0</v>
      </c>
      <c r="O595" s="160">
        <v>0.0</v>
      </c>
      <c r="P595" s="160">
        <v>0.0</v>
      </c>
      <c r="Q595" s="160">
        <v>0.0</v>
      </c>
      <c r="R595" s="160">
        <v>0.0</v>
      </c>
      <c r="S595" s="160">
        <v>0.0</v>
      </c>
      <c r="T595" s="160">
        <v>0.0</v>
      </c>
      <c r="U595" s="160">
        <v>0.0</v>
      </c>
      <c r="V595" s="160">
        <v>0.0</v>
      </c>
      <c r="W595" s="160">
        <v>0.0</v>
      </c>
      <c r="X595" s="160">
        <v>0.0</v>
      </c>
      <c r="Y595" s="160">
        <v>0.0</v>
      </c>
    </row>
    <row r="596">
      <c r="A596" s="157" t="s">
        <v>294</v>
      </c>
      <c r="B596" s="160">
        <v>0.0</v>
      </c>
      <c r="C596" s="160">
        <v>0.0</v>
      </c>
      <c r="D596" s="160">
        <v>0.0</v>
      </c>
      <c r="E596" s="160">
        <v>0.0</v>
      </c>
      <c r="F596" s="160">
        <v>0.0</v>
      </c>
      <c r="G596" s="160">
        <v>0.0</v>
      </c>
      <c r="H596" s="160">
        <v>0.0</v>
      </c>
      <c r="I596" s="160">
        <v>0.0</v>
      </c>
      <c r="J596" s="160">
        <v>0.0</v>
      </c>
      <c r="K596" s="160">
        <v>0.0</v>
      </c>
      <c r="L596" s="160">
        <v>0.0</v>
      </c>
      <c r="M596" s="160">
        <v>0.0</v>
      </c>
      <c r="N596" s="160">
        <v>0.0</v>
      </c>
      <c r="O596" s="160">
        <v>0.0</v>
      </c>
      <c r="P596" s="160">
        <v>0.0</v>
      </c>
      <c r="Q596" s="160">
        <v>0.0</v>
      </c>
      <c r="R596" s="160">
        <v>0.0</v>
      </c>
      <c r="S596" s="160">
        <v>0.0</v>
      </c>
      <c r="T596" s="160">
        <v>0.0</v>
      </c>
      <c r="U596" s="160">
        <v>0.0</v>
      </c>
      <c r="V596" s="160">
        <v>0.0</v>
      </c>
      <c r="W596" s="160">
        <v>0.0</v>
      </c>
      <c r="X596" s="160">
        <v>0.0</v>
      </c>
      <c r="Y596" s="160">
        <v>0.0</v>
      </c>
    </row>
    <row r="597">
      <c r="A597" s="157" t="s">
        <v>887</v>
      </c>
      <c r="B597" s="160">
        <v>0.0</v>
      </c>
      <c r="C597" s="160">
        <v>0.0</v>
      </c>
      <c r="D597" s="160">
        <v>0.0</v>
      </c>
      <c r="E597" s="160">
        <v>0.0</v>
      </c>
      <c r="F597" s="160">
        <v>0.0</v>
      </c>
      <c r="G597" s="160">
        <v>0.0</v>
      </c>
      <c r="H597" s="160">
        <v>0.0</v>
      </c>
      <c r="I597" s="160">
        <v>0.0</v>
      </c>
      <c r="J597" s="160">
        <v>0.0</v>
      </c>
      <c r="K597" s="160">
        <v>0.0</v>
      </c>
      <c r="L597" s="160">
        <v>0.0</v>
      </c>
      <c r="M597" s="160">
        <v>0.0</v>
      </c>
      <c r="N597" s="160">
        <v>0.0</v>
      </c>
      <c r="O597" s="160">
        <v>0.0</v>
      </c>
      <c r="P597" s="160">
        <v>0.0</v>
      </c>
      <c r="Q597" s="160">
        <v>0.0</v>
      </c>
      <c r="R597" s="160">
        <v>0.0</v>
      </c>
      <c r="S597" s="160">
        <v>0.0</v>
      </c>
      <c r="T597" s="160">
        <v>0.0</v>
      </c>
      <c r="U597" s="160">
        <v>0.0</v>
      </c>
      <c r="V597" s="160">
        <v>0.0</v>
      </c>
      <c r="W597" s="160">
        <v>0.0</v>
      </c>
      <c r="X597" s="160">
        <v>0.0</v>
      </c>
      <c r="Y597" s="160">
        <v>0.0</v>
      </c>
    </row>
    <row r="598">
      <c r="A598" s="157" t="s">
        <v>72</v>
      </c>
      <c r="B598" s="160">
        <v>0.0</v>
      </c>
      <c r="C598" s="160">
        <v>0.0</v>
      </c>
      <c r="D598" s="160">
        <v>0.0</v>
      </c>
      <c r="E598" s="160">
        <v>0.0</v>
      </c>
      <c r="F598" s="160">
        <v>0.0</v>
      </c>
      <c r="G598" s="160">
        <v>0.0</v>
      </c>
      <c r="H598" s="160">
        <v>0.0</v>
      </c>
      <c r="I598" s="160">
        <v>0.0</v>
      </c>
      <c r="J598" s="160">
        <v>0.0</v>
      </c>
      <c r="K598" s="160">
        <v>0.0</v>
      </c>
      <c r="L598" s="160">
        <v>0.0</v>
      </c>
      <c r="M598" s="160">
        <v>0.0</v>
      </c>
      <c r="N598" s="160">
        <v>0.0</v>
      </c>
      <c r="O598" s="160">
        <v>0.0</v>
      </c>
      <c r="P598" s="160">
        <v>0.0</v>
      </c>
      <c r="Q598" s="160">
        <v>0.0</v>
      </c>
      <c r="R598" s="160">
        <v>0.0</v>
      </c>
      <c r="S598" s="160">
        <v>0.0</v>
      </c>
      <c r="T598" s="160">
        <v>0.0</v>
      </c>
      <c r="U598" s="160">
        <v>0.0</v>
      </c>
      <c r="V598" s="160">
        <v>0.0</v>
      </c>
      <c r="W598" s="160">
        <v>0.0</v>
      </c>
      <c r="X598" s="160">
        <v>0.0</v>
      </c>
      <c r="Y598" s="160">
        <v>0.0</v>
      </c>
    </row>
    <row r="599">
      <c r="A599" s="157" t="s">
        <v>296</v>
      </c>
      <c r="B599" s="160">
        <v>0.0</v>
      </c>
      <c r="C599" s="160">
        <v>0.0</v>
      </c>
      <c r="D599" s="160">
        <v>0.0</v>
      </c>
      <c r="E599" s="160">
        <v>0.0</v>
      </c>
      <c r="F599" s="160">
        <v>0.0</v>
      </c>
      <c r="G599" s="160">
        <v>0.0</v>
      </c>
      <c r="H599" s="160">
        <v>0.0</v>
      </c>
      <c r="I599" s="160">
        <v>0.0</v>
      </c>
      <c r="J599" s="160">
        <v>0.0</v>
      </c>
      <c r="K599" s="160">
        <v>0.0</v>
      </c>
      <c r="L599" s="160">
        <v>0.0</v>
      </c>
      <c r="M599" s="160">
        <v>0.0</v>
      </c>
      <c r="N599" s="160">
        <v>0.0</v>
      </c>
      <c r="O599" s="160">
        <v>0.0</v>
      </c>
      <c r="P599" s="160">
        <v>0.0</v>
      </c>
      <c r="Q599" s="160">
        <v>0.0</v>
      </c>
      <c r="R599" s="160">
        <v>0.0</v>
      </c>
      <c r="S599" s="160">
        <v>0.0</v>
      </c>
      <c r="T599" s="160">
        <v>0.0</v>
      </c>
      <c r="U599" s="160">
        <v>0.0</v>
      </c>
      <c r="V599" s="160">
        <v>0.0</v>
      </c>
      <c r="W599" s="160">
        <v>0.0</v>
      </c>
      <c r="X599" s="160">
        <v>0.0</v>
      </c>
      <c r="Y599" s="160">
        <v>0.0</v>
      </c>
    </row>
    <row r="600">
      <c r="A600" s="157"/>
      <c r="B600" s="160"/>
      <c r="C600" s="160"/>
      <c r="D600" s="160"/>
      <c r="E600" s="160"/>
      <c r="F600" s="160"/>
      <c r="G600" s="160"/>
      <c r="H600" s="160"/>
      <c r="I600" s="160"/>
      <c r="J600" s="160"/>
      <c r="K600" s="160"/>
      <c r="L600" s="160"/>
      <c r="M600" s="160"/>
      <c r="N600" s="160"/>
      <c r="O600" s="160"/>
      <c r="P600" s="160"/>
      <c r="Q600" s="160"/>
      <c r="R600" s="160"/>
      <c r="S600" s="160"/>
      <c r="T600" s="160"/>
      <c r="U600" s="160"/>
      <c r="V600" s="160"/>
      <c r="W600" s="160"/>
      <c r="X600" s="160"/>
      <c r="Y600" s="16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cols>
    <col customWidth="1" hidden="1" min="1" max="1" width="15.75"/>
    <col customWidth="1" min="2" max="2" width="14.88"/>
    <col customWidth="1" min="3" max="3" width="23.38"/>
    <col customWidth="1" min="4" max="4" width="14.0"/>
    <col customWidth="1" min="5" max="5" width="9.0"/>
    <col customWidth="1" hidden="1" min="6" max="6" width="13.63"/>
    <col customWidth="1" hidden="1" min="7" max="7" width="9.75"/>
    <col customWidth="1" min="8" max="8" width="8.38"/>
    <col customWidth="1" min="9" max="10" width="9.38"/>
    <col customWidth="1" min="11" max="11" width="8.38"/>
    <col customWidth="1" min="12" max="12" width="9.75"/>
    <col customWidth="1" min="13" max="13" width="8.0"/>
    <col customWidth="1" hidden="1" min="14" max="14" width="13.88"/>
    <col customWidth="1" min="15" max="15" width="9.63"/>
    <col customWidth="1" min="16" max="16" width="5.63"/>
    <col customWidth="1" min="17" max="17" width="7.25"/>
    <col customWidth="1" min="18" max="18" width="5.63"/>
    <col customWidth="1" hidden="1" min="19" max="19" width="10.0"/>
    <col customWidth="1" min="20" max="20" width="6.13"/>
    <col customWidth="1" min="21" max="21" width="8.5"/>
    <col customWidth="1" hidden="1" min="22" max="22" width="28.88"/>
    <col customWidth="1" hidden="1" min="23" max="23" width="14.88"/>
    <col customWidth="1" hidden="1" min="24" max="24" width="25.13"/>
    <col customWidth="1" hidden="1" min="25" max="25" width="15.0"/>
    <col customWidth="1" min="26" max="26" width="8.75"/>
    <col customWidth="1" min="27" max="27" width="8.88"/>
    <col customWidth="1" min="28" max="28" width="5.25"/>
    <col customWidth="1" min="29" max="29" width="5.75"/>
    <col customWidth="1" hidden="1" min="30" max="30" width="13.38"/>
    <col customWidth="1" hidden="1" min="31" max="31" width="17.13"/>
    <col customWidth="1" min="32" max="32" width="7.5"/>
    <col customWidth="1" hidden="1" min="33" max="33" width="11.88"/>
    <col customWidth="1" min="34" max="34" width="6.38"/>
    <col customWidth="1" hidden="1" min="35" max="35" width="17.88"/>
    <col customWidth="1" min="36" max="36" width="9.13"/>
    <col customWidth="1" min="37" max="37" width="7.0"/>
    <col customWidth="1" min="38" max="38" width="5.5"/>
    <col customWidth="1" min="39" max="39" width="5.63"/>
    <col customWidth="1" min="40" max="40" width="7.63"/>
    <col customWidth="1" min="41" max="41" width="7.88"/>
    <col customWidth="1" min="42" max="42" width="7.0"/>
    <col customWidth="1" min="43" max="43" width="7.63"/>
    <col customWidth="1" min="44" max="44" width="6.38"/>
    <col customWidth="1" min="45" max="45" width="8.5"/>
    <col customWidth="1" hidden="1" min="46" max="46" width="11.63"/>
    <col customWidth="1" hidden="1" min="47" max="47" width="12.5"/>
    <col customWidth="1" hidden="1" min="48" max="48" width="12.13"/>
    <col customWidth="1" hidden="1" min="49" max="49" width="11.63"/>
    <col customWidth="1" hidden="1" min="50" max="50" width="9.0"/>
    <col customWidth="1" hidden="1" min="51" max="51" width="10.0"/>
    <col customWidth="1" hidden="1" min="52" max="53" width="10.75"/>
    <col customWidth="1" min="54" max="54" width="9.25"/>
    <col customWidth="1" hidden="1" min="55" max="55" width="10.75"/>
    <col customWidth="1" hidden="1" min="56" max="56" width="18.88"/>
    <col customWidth="1" min="57" max="57" width="10.75"/>
  </cols>
  <sheetData>
    <row r="1">
      <c r="A1" s="161"/>
      <c r="B1" s="161" t="s">
        <v>888</v>
      </c>
      <c r="F1" s="162"/>
      <c r="G1" s="163" t="s">
        <v>889</v>
      </c>
      <c r="J1" s="164"/>
      <c r="L1" s="165" t="s">
        <v>890</v>
      </c>
      <c r="M1" s="165">
        <f t="shared" ref="M1:O1" si="1">countif(M4:M577,"&lt;25%")</f>
        <v>9</v>
      </c>
      <c r="N1" s="165">
        <f t="shared" si="1"/>
        <v>25</v>
      </c>
      <c r="O1" s="165">
        <f t="shared" si="1"/>
        <v>11</v>
      </c>
      <c r="R1" s="166"/>
      <c r="V1" s="167"/>
      <c r="W1" s="167"/>
      <c r="X1" s="167"/>
    </row>
    <row r="2">
      <c r="A2" s="168"/>
      <c r="B2" s="168" t="s">
        <v>891</v>
      </c>
      <c r="C2" s="169">
        <f>counta(C4:C577)</f>
        <v>28</v>
      </c>
      <c r="D2" s="170"/>
      <c r="J2" s="164"/>
      <c r="K2" s="166"/>
    </row>
    <row r="3">
      <c r="A3" s="171" t="s">
        <v>3</v>
      </c>
      <c r="B3" s="172" t="s">
        <v>892</v>
      </c>
      <c r="C3" s="173" t="s">
        <v>458</v>
      </c>
      <c r="D3" s="173" t="s">
        <v>893</v>
      </c>
      <c r="E3" s="174" t="s">
        <v>894</v>
      </c>
      <c r="F3" s="173" t="s">
        <v>895</v>
      </c>
      <c r="G3" s="175" t="s">
        <v>896</v>
      </c>
      <c r="H3" s="175" t="s">
        <v>897</v>
      </c>
      <c r="I3" s="175" t="s">
        <v>898</v>
      </c>
      <c r="J3" s="175" t="s">
        <v>899</v>
      </c>
      <c r="K3" s="174" t="s">
        <v>900</v>
      </c>
      <c r="L3" s="174" t="s">
        <v>901</v>
      </c>
      <c r="M3" s="176" t="s">
        <v>902</v>
      </c>
      <c r="N3" s="177" t="s">
        <v>903</v>
      </c>
      <c r="O3" s="174" t="s">
        <v>904</v>
      </c>
      <c r="P3" s="174" t="s">
        <v>905</v>
      </c>
      <c r="Q3" s="174" t="s">
        <v>906</v>
      </c>
      <c r="R3" s="174" t="s">
        <v>907</v>
      </c>
      <c r="S3" s="178" t="s">
        <v>908</v>
      </c>
      <c r="T3" s="174" t="s">
        <v>909</v>
      </c>
      <c r="U3" s="174" t="s">
        <v>910</v>
      </c>
      <c r="V3" s="178" t="s">
        <v>911</v>
      </c>
      <c r="W3" s="178" t="s">
        <v>912</v>
      </c>
      <c r="X3" s="177" t="s">
        <v>913</v>
      </c>
      <c r="Y3" s="177" t="s">
        <v>914</v>
      </c>
      <c r="Z3" s="174" t="s">
        <v>915</v>
      </c>
      <c r="AA3" s="174" t="s">
        <v>916</v>
      </c>
      <c r="AB3" s="174" t="s">
        <v>917</v>
      </c>
      <c r="AC3" s="174" t="s">
        <v>918</v>
      </c>
      <c r="AD3" s="177" t="s">
        <v>919</v>
      </c>
      <c r="AE3" s="177" t="s">
        <v>920</v>
      </c>
      <c r="AF3" s="174" t="s">
        <v>921</v>
      </c>
      <c r="AG3" s="177" t="s">
        <v>922</v>
      </c>
      <c r="AH3" s="174" t="s">
        <v>923</v>
      </c>
      <c r="AI3" s="177" t="s">
        <v>924</v>
      </c>
      <c r="AJ3" s="174" t="s">
        <v>925</v>
      </c>
      <c r="AK3" s="174" t="s">
        <v>926</v>
      </c>
      <c r="AL3" s="174" t="s">
        <v>927</v>
      </c>
      <c r="AM3" s="174" t="s">
        <v>928</v>
      </c>
      <c r="AN3" s="174" t="s">
        <v>929</v>
      </c>
      <c r="AO3" s="174" t="s">
        <v>930</v>
      </c>
      <c r="AP3" s="174" t="s">
        <v>931</v>
      </c>
      <c r="AQ3" s="174" t="s">
        <v>932</v>
      </c>
      <c r="AR3" s="176" t="s">
        <v>933</v>
      </c>
      <c r="AS3" s="174" t="s">
        <v>934</v>
      </c>
      <c r="AT3" s="177" t="s">
        <v>935</v>
      </c>
      <c r="AU3" s="179" t="s">
        <v>936</v>
      </c>
      <c r="AV3" s="178" t="s">
        <v>937</v>
      </c>
      <c r="AW3" s="177" t="s">
        <v>938</v>
      </c>
      <c r="AX3" s="177" t="s">
        <v>939</v>
      </c>
      <c r="AY3" s="177" t="s">
        <v>940</v>
      </c>
      <c r="AZ3" s="177" t="s">
        <v>941</v>
      </c>
      <c r="BA3" s="174" t="s">
        <v>942</v>
      </c>
      <c r="BB3" s="174" t="s">
        <v>943</v>
      </c>
      <c r="BC3" s="180" t="s">
        <v>944</v>
      </c>
      <c r="BD3" s="181" t="s">
        <v>945</v>
      </c>
      <c r="BE3" s="182"/>
    </row>
    <row r="4">
      <c r="A4" s="183" t="str">
        <f>IFERROR(__xludf.DUMMYFUNCTION("SORT(QUERY(Data!A3:BS577,""SELECT A,B,C,E,F,D,BH,BL,H,I,J,AY,AO,AP,BS,K,L,M,AT,N,O,P,Q,R,S,T,U,V,W,X,Y,Z,AA,AB,AC,AD,AE,AF,AG,AH,AI,AK,AL,AM,AN,AQ,AR,AS,AU,AV,AW,AX,AZ,BN WHERE F &lt; DATE '2026-01-31' AND H &gt; 0 AND BA CONTAINS 'Active'AND AM &gt; 0.05 AND AO&lt;0"&amp;".4955""),2,1)"),"Sandeep Dadheech")</f>
        <v>Sandeep Dadheech</v>
      </c>
      <c r="B4" s="124" t="str">
        <f>IFERROR(__xludf.DUMMYFUNCTION("""COMPUTED_VALUE"""),"Andhra Pradesh")</f>
        <v>Andhra Pradesh</v>
      </c>
      <c r="C4" s="184" t="str">
        <f>IFERROR(__xludf.DUMMYFUNCTION("""COMPUTED_VALUE"""),"Shaik Jani basha")</f>
        <v>Shaik Jani basha</v>
      </c>
      <c r="D4" s="75" t="str">
        <f>IFERROR(__xludf.DUMMYFUNCTION("""COMPUTED_VALUE"""),"Vijayawada")</f>
        <v>Vijayawada</v>
      </c>
      <c r="E4" s="185">
        <f>IFERROR(__xludf.DUMMYFUNCTION("""COMPUTED_VALUE"""),43424.0)</f>
        <v>43424</v>
      </c>
      <c r="F4" s="184" t="str">
        <f>IFERROR(__xludf.DUMMYFUNCTION("""COMPUTED_VALUE"""),"ANDHRA PRADESH")</f>
        <v>ANDHRA PRADESH</v>
      </c>
      <c r="G4" s="186"/>
      <c r="H4" s="186">
        <f>IFERROR(__xludf.DUMMYFUNCTION("""COMPUTED_VALUE"""),9999999.9996)</f>
        <v>10000000</v>
      </c>
      <c r="I4" s="186">
        <f>IFERROR(__xludf.DUMMYFUNCTION("""COMPUTED_VALUE"""),2.52E7)</f>
        <v>25200000</v>
      </c>
      <c r="J4" s="186">
        <f>IFERROR(__xludf.DUMMYFUNCTION("""COMPUTED_VALUE"""),1.273917746E7)</f>
        <v>12739177.46</v>
      </c>
      <c r="K4" s="186">
        <f>IFERROR(__xludf.DUMMYFUNCTION("""COMPUTED_VALUE"""),550029.48)</f>
        <v>550029.48</v>
      </c>
      <c r="L4" s="186">
        <f>IFERROR(__xludf.DUMMYFUNCTION("""COMPUTED_VALUE"""),1.5159872510000002E7)</f>
        <v>15159872.51</v>
      </c>
      <c r="M4" s="187">
        <f>IFERROR(__xludf.DUMMYFUNCTION("""COMPUTED_VALUE"""),0.37753433096981037)</f>
        <v>0.377534331</v>
      </c>
      <c r="N4" s="187">
        <f>IFERROR(__xludf.DUMMYFUNCTION("""COMPUTED_VALUE"""),0.05)</f>
        <v>0.05</v>
      </c>
      <c r="O4" s="187">
        <f>IFERROR(__xludf.DUMMYFUNCTION("""COMPUTED_VALUE"""),0.4306781963117123)</f>
        <v>0.4306781963</v>
      </c>
      <c r="P4" s="188">
        <f>IFERROR(__xludf.DUMMYFUNCTION("""COMPUTED_VALUE"""),124.0)</f>
        <v>124</v>
      </c>
      <c r="Q4" s="189">
        <f>IFERROR(__xludf.DUMMYFUNCTION("""COMPUTED_VALUE"""),96.0)</f>
        <v>96</v>
      </c>
      <c r="R4" s="188">
        <f>IFERROR(__xludf.DUMMYFUNCTION("""COMPUTED_VALUE"""),10.0)</f>
        <v>10</v>
      </c>
      <c r="S4" s="188">
        <f>IFERROR(__xludf.DUMMYFUNCTION("""COMPUTED_VALUE"""),10.0)</f>
        <v>10</v>
      </c>
      <c r="T4" s="188">
        <f>IFERROR(__xludf.DUMMYFUNCTION("""COMPUTED_VALUE"""),134.0)</f>
        <v>134</v>
      </c>
      <c r="U4" s="188">
        <f>IFERROR(__xludf.DUMMYFUNCTION("""COMPUTED_VALUE"""),38.0)</f>
        <v>38</v>
      </c>
      <c r="V4" s="189">
        <f>IFERROR(__xludf.DUMMYFUNCTION("""COMPUTED_VALUE"""),1.185144575E7)</f>
        <v>11851445.75</v>
      </c>
      <c r="W4" s="189">
        <f>IFERROR(__xludf.DUMMYFUNCTION("""COMPUTED_VALUE"""),887731.71)</f>
        <v>887731.71</v>
      </c>
      <c r="X4" s="188">
        <f>IFERROR(__xludf.DUMMYFUNCTION("""COMPUTED_VALUE"""),91.0)</f>
        <v>91</v>
      </c>
      <c r="Y4" s="188">
        <f>IFERROR(__xludf.DUMMYFUNCTION("""COMPUTED_VALUE"""),10.0)</f>
        <v>10</v>
      </c>
      <c r="Z4" s="188">
        <f>IFERROR(__xludf.DUMMYFUNCTION("""COMPUTED_VALUE"""),101.0)</f>
        <v>101</v>
      </c>
      <c r="AA4" s="188">
        <f>IFERROR(__xludf.DUMMYFUNCTION("""COMPUTED_VALUE"""),2.0)</f>
        <v>2</v>
      </c>
      <c r="AB4" s="188">
        <f>IFERROR(__xludf.DUMMYFUNCTION("""COMPUTED_VALUE"""),3.0)</f>
        <v>3</v>
      </c>
      <c r="AC4" s="188">
        <f>IFERROR(__xludf.DUMMYFUNCTION("""COMPUTED_VALUE"""),7.0)</f>
        <v>7</v>
      </c>
      <c r="AD4" s="188">
        <f>IFERROR(__xludf.DUMMYFUNCTION("""COMPUTED_VALUE"""),16.0)</f>
        <v>16</v>
      </c>
      <c r="AE4" s="188">
        <f>IFERROR(__xludf.DUMMYFUNCTION("""COMPUTED_VALUE"""),8.0)</f>
        <v>8</v>
      </c>
      <c r="AF4" s="188">
        <f>IFERROR(__xludf.DUMMYFUNCTION("""COMPUTED_VALUE"""),123.0)</f>
        <v>123</v>
      </c>
      <c r="AG4" s="188">
        <f>IFERROR(__xludf.DUMMYFUNCTION("""COMPUTED_VALUE"""),3.0)</f>
        <v>3</v>
      </c>
      <c r="AH4" s="188">
        <f>IFERROR(__xludf.DUMMYFUNCTION("""COMPUTED_VALUE"""),63.0)</f>
        <v>63</v>
      </c>
      <c r="AI4" s="188">
        <f>IFERROR(__xludf.DUMMYFUNCTION("""COMPUTED_VALUE"""),0.0)</f>
        <v>0</v>
      </c>
      <c r="AJ4" s="188">
        <f>IFERROR(__xludf.DUMMYFUNCTION("""COMPUTED_VALUE"""),0.0)</f>
        <v>0</v>
      </c>
      <c r="AK4" s="188">
        <f>IFERROR(__xludf.DUMMYFUNCTION("""COMPUTED_VALUE"""),1108.0)</f>
        <v>1108</v>
      </c>
      <c r="AL4" s="188">
        <f>IFERROR(__xludf.DUMMYFUNCTION("""COMPUTED_VALUE"""),1301.0)</f>
        <v>1301</v>
      </c>
      <c r="AM4" s="188">
        <f>IFERROR(__xludf.DUMMYFUNCTION("""COMPUTED_VALUE"""),276.0)</f>
        <v>276</v>
      </c>
      <c r="AN4" s="186">
        <f>IFERROR(__xludf.DUMMYFUNCTION("""COMPUTED_VALUE"""),48149.30050724638)</f>
        <v>48149.30051</v>
      </c>
      <c r="AO4" s="189">
        <f>IFERROR(__xludf.DUMMYFUNCTION("""COMPUTED_VALUE"""),4.713768115942029)</f>
        <v>4.713768116</v>
      </c>
      <c r="AP4" s="186">
        <f>IFERROR(__xludf.DUMMYFUNCTION("""COMPUTED_VALUE"""),497160.0)</f>
        <v>497160</v>
      </c>
      <c r="AQ4" s="186">
        <f>IFERROR(__xludf.DUMMYFUNCTION("""COMPUTED_VALUE"""),183012.0)</f>
        <v>183012</v>
      </c>
      <c r="AR4" s="187">
        <f>IFERROR(__xludf.DUMMYFUNCTION("""COMPUTED_VALUE"""),0.051182286728691725)</f>
        <v>0.05118228673</v>
      </c>
      <c r="AS4" s="186">
        <f>IFERROR(__xludf.DUMMYFUNCTION("""COMPUTED_VALUE"""),126130.46990099011)</f>
        <v>126130.4699</v>
      </c>
      <c r="AT4" s="75">
        <f>IFERROR(__xludf.DUMMYFUNCTION("""COMPUTED_VALUE"""),658.0)</f>
        <v>658</v>
      </c>
      <c r="AU4" s="75">
        <f>IFERROR(__xludf.DUMMYFUNCTION("""COMPUTED_VALUE"""),2300.0)</f>
        <v>2300</v>
      </c>
      <c r="AV4" s="190">
        <f>IFERROR(__xludf.DUMMYFUNCTION("""COMPUTED_VALUE"""),2131.73)</f>
        <v>2131.73</v>
      </c>
      <c r="AW4" s="75">
        <f>IFERROR(__xludf.DUMMYFUNCTION("""COMPUTED_VALUE"""),22.0)</f>
        <v>22</v>
      </c>
      <c r="AX4" s="75">
        <f>IFERROR(__xludf.DUMMYFUNCTION("""COMPUTED_VALUE"""),101.0)</f>
        <v>101</v>
      </c>
      <c r="AY4" s="75">
        <f>IFERROR(__xludf.DUMMYFUNCTION("""COMPUTED_VALUE"""),23.0)</f>
        <v>23</v>
      </c>
      <c r="AZ4" s="75">
        <f>IFERROR(__xludf.DUMMYFUNCTION("""COMPUTED_VALUE"""),10.0)</f>
        <v>10</v>
      </c>
      <c r="BA4" s="191"/>
      <c r="BB4" s="75"/>
      <c r="BC4" s="192"/>
      <c r="BD4" s="193" t="s">
        <v>946</v>
      </c>
      <c r="BE4" s="194"/>
    </row>
    <row r="5">
      <c r="A5" s="183" t="str">
        <f>IFERROR(__xludf.DUMMYFUNCTION("""COMPUTED_VALUE"""),"Sandeep Dadheech")</f>
        <v>Sandeep Dadheech</v>
      </c>
      <c r="B5" s="183" t="str">
        <f>IFERROR(__xludf.DUMMYFUNCTION("""COMPUTED_VALUE"""),"Andhra Pradesh")</f>
        <v>Andhra Pradesh</v>
      </c>
      <c r="C5" s="184" t="str">
        <f>IFERROR(__xludf.DUMMYFUNCTION("""COMPUTED_VALUE"""),"Taninki Ramesh Babu")</f>
        <v>Taninki Ramesh Babu</v>
      </c>
      <c r="D5" s="75" t="str">
        <f>IFERROR(__xludf.DUMMYFUNCTION("""COMPUTED_VALUE"""),"Kakinada")</f>
        <v>Kakinada</v>
      </c>
      <c r="E5" s="185">
        <f>IFERROR(__xludf.DUMMYFUNCTION("""COMPUTED_VALUE"""),44743.0)</f>
        <v>44743</v>
      </c>
      <c r="F5" s="184" t="str">
        <f>IFERROR(__xludf.DUMMYFUNCTION("""COMPUTED_VALUE"""),"ANDHRA PRADESH")</f>
        <v>ANDHRA PRADESH</v>
      </c>
      <c r="G5" s="186"/>
      <c r="H5" s="186">
        <f>IFERROR(__xludf.DUMMYFUNCTION("""COMPUTED_VALUE"""),0.0)</f>
        <v>0</v>
      </c>
      <c r="I5" s="186">
        <f>IFERROR(__xludf.DUMMYFUNCTION("""COMPUTED_VALUE"""),1.44E7)</f>
        <v>14400000</v>
      </c>
      <c r="J5" s="186">
        <f>IFERROR(__xludf.DUMMYFUNCTION("""COMPUTED_VALUE"""),3864459.96)</f>
        <v>3864459.96</v>
      </c>
      <c r="K5" s="186">
        <f>IFERROR(__xludf.DUMMYFUNCTION("""COMPUTED_VALUE"""),0.0)</f>
        <v>0</v>
      </c>
      <c r="L5" s="186">
        <f>IFERROR(__xludf.DUMMYFUNCTION("""COMPUTED_VALUE"""),3902042.0)</f>
        <v>3902042</v>
      </c>
      <c r="M5" s="187">
        <f>IFERROR(__xludf.DUMMYFUNCTION("""COMPUTED_VALUE"""),0.268365275)</f>
        <v>0.268365275</v>
      </c>
      <c r="N5" s="187">
        <f>IFERROR(__xludf.DUMMYFUNCTION("""COMPUTED_VALUE"""),0.0)</f>
        <v>0</v>
      </c>
      <c r="O5" s="187">
        <f>IFERROR(__xludf.DUMMYFUNCTION("""COMPUTED_VALUE"""),0.2709751388888889)</f>
        <v>0.2709751389</v>
      </c>
      <c r="P5" s="188">
        <f>IFERROR(__xludf.DUMMYFUNCTION("""COMPUTED_VALUE"""),73.0)</f>
        <v>73</v>
      </c>
      <c r="Q5" s="189">
        <f>IFERROR(__xludf.DUMMYFUNCTION("""COMPUTED_VALUE"""),72.0)</f>
        <v>72</v>
      </c>
      <c r="R5" s="188">
        <f>IFERROR(__xludf.DUMMYFUNCTION("""COMPUTED_VALUE"""),3.0)</f>
        <v>3</v>
      </c>
      <c r="S5" s="188">
        <f>IFERROR(__xludf.DUMMYFUNCTION("""COMPUTED_VALUE"""),3.0)</f>
        <v>3</v>
      </c>
      <c r="T5" s="188">
        <f>IFERROR(__xludf.DUMMYFUNCTION("""COMPUTED_VALUE"""),76.0)</f>
        <v>76</v>
      </c>
      <c r="U5" s="188">
        <f>IFERROR(__xludf.DUMMYFUNCTION("""COMPUTED_VALUE"""),4.0)</f>
        <v>4</v>
      </c>
      <c r="V5" s="189">
        <f>IFERROR(__xludf.DUMMYFUNCTION("""COMPUTED_VALUE"""),3736785.16)</f>
        <v>3736785.16</v>
      </c>
      <c r="W5" s="189">
        <f>IFERROR(__xludf.DUMMYFUNCTION("""COMPUTED_VALUE"""),127674.8)</f>
        <v>127674.8</v>
      </c>
      <c r="X5" s="188">
        <f>IFERROR(__xludf.DUMMYFUNCTION("""COMPUTED_VALUE"""),44.0)</f>
        <v>44</v>
      </c>
      <c r="Y5" s="188">
        <f>IFERROR(__xludf.DUMMYFUNCTION("""COMPUTED_VALUE"""),3.0)</f>
        <v>3</v>
      </c>
      <c r="Z5" s="188">
        <f>IFERROR(__xludf.DUMMYFUNCTION("""COMPUTED_VALUE"""),47.0)</f>
        <v>47</v>
      </c>
      <c r="AA5" s="188">
        <f>IFERROR(__xludf.DUMMYFUNCTION("""COMPUTED_VALUE"""),0.0)</f>
        <v>0</v>
      </c>
      <c r="AB5" s="188">
        <f>IFERROR(__xludf.DUMMYFUNCTION("""COMPUTED_VALUE"""),31.0)</f>
        <v>31</v>
      </c>
      <c r="AC5" s="188">
        <f>IFERROR(__xludf.DUMMYFUNCTION("""COMPUTED_VALUE"""),82.0)</f>
        <v>82</v>
      </c>
      <c r="AD5" s="188">
        <f>IFERROR(__xludf.DUMMYFUNCTION("""COMPUTED_VALUE"""),142.0)</f>
        <v>142</v>
      </c>
      <c r="AE5" s="188">
        <f>IFERROR(__xludf.DUMMYFUNCTION("""COMPUTED_VALUE"""),3.0)</f>
        <v>3</v>
      </c>
      <c r="AF5" s="188">
        <f>IFERROR(__xludf.DUMMYFUNCTION("""COMPUTED_VALUE"""),25.0)</f>
        <v>25</v>
      </c>
      <c r="AG5" s="188">
        <f>IFERROR(__xludf.DUMMYFUNCTION("""COMPUTED_VALUE"""),0.0)</f>
        <v>0</v>
      </c>
      <c r="AH5" s="188">
        <f>IFERROR(__xludf.DUMMYFUNCTION("""COMPUTED_VALUE"""),0.0)</f>
        <v>0</v>
      </c>
      <c r="AI5" s="188">
        <f>IFERROR(__xludf.DUMMYFUNCTION("""COMPUTED_VALUE"""),0.0)</f>
        <v>0</v>
      </c>
      <c r="AJ5" s="188">
        <f>IFERROR(__xludf.DUMMYFUNCTION("""COMPUTED_VALUE"""),0.0)</f>
        <v>0</v>
      </c>
      <c r="AK5" s="188">
        <f>IFERROR(__xludf.DUMMYFUNCTION("""COMPUTED_VALUE"""),1175.0)</f>
        <v>1175</v>
      </c>
      <c r="AL5" s="188">
        <f>IFERROR(__xludf.DUMMYFUNCTION("""COMPUTED_VALUE"""),1282.0)</f>
        <v>1282</v>
      </c>
      <c r="AM5" s="188">
        <f>IFERROR(__xludf.DUMMYFUNCTION("""COMPUTED_VALUE"""),299.0)</f>
        <v>299</v>
      </c>
      <c r="AN5" s="186">
        <f>IFERROR(__xludf.DUMMYFUNCTION("""COMPUTED_VALUE"""),12924.615250836121)</f>
        <v>12924.61525</v>
      </c>
      <c r="AO5" s="189">
        <f>IFERROR(__xludf.DUMMYFUNCTION("""COMPUTED_VALUE"""),4.287625418060201)</f>
        <v>4.287625418</v>
      </c>
      <c r="AP5" s="186">
        <f>IFERROR(__xludf.DUMMYFUNCTION("""COMPUTED_VALUE"""),293340.0)</f>
        <v>293340</v>
      </c>
      <c r="AQ5" s="186">
        <f>IFERROR(__xludf.DUMMYFUNCTION("""COMPUTED_VALUE"""),124559.0)</f>
        <v>124559</v>
      </c>
      <c r="AR5" s="187">
        <f>IFERROR(__xludf.DUMMYFUNCTION("""COMPUTED_VALUE"""),0.10813904253778321)</f>
        <v>0.1081390425</v>
      </c>
      <c r="AS5" s="186">
        <f>IFERROR(__xludf.DUMMYFUNCTION("""COMPUTED_VALUE"""),82222.55234042554)</f>
        <v>82222.55234</v>
      </c>
      <c r="AT5" s="75">
        <f>IFERROR(__xludf.DUMMYFUNCTION("""COMPUTED_VALUE"""),220.0)</f>
        <v>220</v>
      </c>
      <c r="AU5" s="75">
        <f>IFERROR(__xludf.DUMMYFUNCTION("""COMPUTED_VALUE"""),3435.0)</f>
        <v>3435</v>
      </c>
      <c r="AV5" s="190">
        <f>IFERROR(__xludf.DUMMYFUNCTION("""COMPUTED_VALUE"""),3035.69)</f>
        <v>3035.69</v>
      </c>
      <c r="AW5" s="75">
        <f>IFERROR(__xludf.DUMMYFUNCTION("""COMPUTED_VALUE"""),42.0)</f>
        <v>42</v>
      </c>
      <c r="AX5" s="75">
        <f>IFERROR(__xludf.DUMMYFUNCTION("""COMPUTED_VALUE"""),47.0)</f>
        <v>47</v>
      </c>
      <c r="AY5" s="75">
        <f>IFERROR(__xludf.DUMMYFUNCTION("""COMPUTED_VALUE"""),26.0)</f>
        <v>26</v>
      </c>
      <c r="AZ5" s="75">
        <f>IFERROR(__xludf.DUMMYFUNCTION("""COMPUTED_VALUE"""),3.0)</f>
        <v>3</v>
      </c>
      <c r="BA5" s="191"/>
      <c r="BB5" s="75"/>
      <c r="BC5" s="192"/>
      <c r="BD5" s="193" t="s">
        <v>947</v>
      </c>
      <c r="BE5" s="194"/>
    </row>
    <row r="6">
      <c r="A6" s="183" t="str">
        <f>IFERROR(__xludf.DUMMYFUNCTION("""COMPUTED_VALUE"""),"Sandeep Dadheech")</f>
        <v>Sandeep Dadheech</v>
      </c>
      <c r="B6" s="183" t="str">
        <f>IFERROR(__xludf.DUMMYFUNCTION("""COMPUTED_VALUE"""),"Andhra Pradesh")</f>
        <v>Andhra Pradesh</v>
      </c>
      <c r="C6" s="184" t="str">
        <f>IFERROR(__xludf.DUMMYFUNCTION("""COMPUTED_VALUE"""),"J.Kamal Kishore")</f>
        <v>J.Kamal Kishore</v>
      </c>
      <c r="D6" s="75" t="str">
        <f>IFERROR(__xludf.DUMMYFUNCTION("""COMPUTED_VALUE"""),"Tirupati")</f>
        <v>Tirupati</v>
      </c>
      <c r="E6" s="185">
        <f>IFERROR(__xludf.DUMMYFUNCTION("""COMPUTED_VALUE"""),44953.0)</f>
        <v>44953</v>
      </c>
      <c r="F6" s="184" t="str">
        <f>IFERROR(__xludf.DUMMYFUNCTION("""COMPUTED_VALUE"""),"ANDHRA PRADESH")</f>
        <v>ANDHRA PRADESH</v>
      </c>
      <c r="G6" s="186"/>
      <c r="H6" s="186">
        <f>IFERROR(__xludf.DUMMYFUNCTION("""COMPUTED_VALUE"""),0.0)</f>
        <v>0</v>
      </c>
      <c r="I6" s="186">
        <f>IFERROR(__xludf.DUMMYFUNCTION("""COMPUTED_VALUE"""),1.68E7)</f>
        <v>16800000</v>
      </c>
      <c r="J6" s="186">
        <f>IFERROR(__xludf.DUMMYFUNCTION("""COMPUTED_VALUE"""),7713644.68)</f>
        <v>7713644.68</v>
      </c>
      <c r="K6" s="186">
        <f>IFERROR(__xludf.DUMMYFUNCTION("""COMPUTED_VALUE"""),0.0)</f>
        <v>0</v>
      </c>
      <c r="L6" s="186">
        <f>IFERROR(__xludf.DUMMYFUNCTION("""COMPUTED_VALUE"""),8727947.0)</f>
        <v>8727947</v>
      </c>
      <c r="M6" s="187">
        <f>IFERROR(__xludf.DUMMYFUNCTION("""COMPUTED_VALUE"""),0.45914551666666664)</f>
        <v>0.4591455167</v>
      </c>
      <c r="N6" s="187">
        <f>IFERROR(__xludf.DUMMYFUNCTION("""COMPUTED_VALUE"""),0.0)</f>
        <v>0</v>
      </c>
      <c r="O6" s="187">
        <f>IFERROR(__xludf.DUMMYFUNCTION("""COMPUTED_VALUE"""),0.5195206547619048)</f>
        <v>0.5195206548</v>
      </c>
      <c r="P6" s="188">
        <f>IFERROR(__xludf.DUMMYFUNCTION("""COMPUTED_VALUE"""),133.0)</f>
        <v>133</v>
      </c>
      <c r="Q6" s="189">
        <f>IFERROR(__xludf.DUMMYFUNCTION("""COMPUTED_VALUE"""),132.0)</f>
        <v>132</v>
      </c>
      <c r="R6" s="188">
        <f>IFERROR(__xludf.DUMMYFUNCTION("""COMPUTED_VALUE"""),10.0)</f>
        <v>10</v>
      </c>
      <c r="S6" s="188">
        <f>IFERROR(__xludf.DUMMYFUNCTION("""COMPUTED_VALUE"""),10.0)</f>
        <v>10</v>
      </c>
      <c r="T6" s="188">
        <f>IFERROR(__xludf.DUMMYFUNCTION("""COMPUTED_VALUE"""),143.0)</f>
        <v>143</v>
      </c>
      <c r="U6" s="188">
        <f>IFERROR(__xludf.DUMMYFUNCTION("""COMPUTED_VALUE"""),11.0)</f>
        <v>11</v>
      </c>
      <c r="V6" s="189">
        <f>IFERROR(__xludf.DUMMYFUNCTION("""COMPUTED_VALUE"""),6891808.3)</f>
        <v>6891808.3</v>
      </c>
      <c r="W6" s="189">
        <f>IFERROR(__xludf.DUMMYFUNCTION("""COMPUTED_VALUE"""),821836.38)</f>
        <v>821836.38</v>
      </c>
      <c r="X6" s="188">
        <f>IFERROR(__xludf.DUMMYFUNCTION("""COMPUTED_VALUE"""),110.0)</f>
        <v>110</v>
      </c>
      <c r="Y6" s="188">
        <f>IFERROR(__xludf.DUMMYFUNCTION("""COMPUTED_VALUE"""),10.0)</f>
        <v>10</v>
      </c>
      <c r="Z6" s="188">
        <f>IFERROR(__xludf.DUMMYFUNCTION("""COMPUTED_VALUE"""),120.0)</f>
        <v>120</v>
      </c>
      <c r="AA6" s="188">
        <f>IFERROR(__xludf.DUMMYFUNCTION("""COMPUTED_VALUE"""),0.0)</f>
        <v>0</v>
      </c>
      <c r="AB6" s="188">
        <f>IFERROR(__xludf.DUMMYFUNCTION("""COMPUTED_VALUE"""),4.0)</f>
        <v>4</v>
      </c>
      <c r="AC6" s="188">
        <f>IFERROR(__xludf.DUMMYFUNCTION("""COMPUTED_VALUE"""),9.0)</f>
        <v>9</v>
      </c>
      <c r="AD6" s="188">
        <f>IFERROR(__xludf.DUMMYFUNCTION("""COMPUTED_VALUE"""),41.0)</f>
        <v>41</v>
      </c>
      <c r="AE6" s="188">
        <f>IFERROR(__xludf.DUMMYFUNCTION("""COMPUTED_VALUE"""),1.0)</f>
        <v>1</v>
      </c>
      <c r="AF6" s="188">
        <f>IFERROR(__xludf.DUMMYFUNCTION("""COMPUTED_VALUE"""),3.0)</f>
        <v>3</v>
      </c>
      <c r="AG6" s="188">
        <f>IFERROR(__xludf.DUMMYFUNCTION("""COMPUTED_VALUE"""),0.0)</f>
        <v>0</v>
      </c>
      <c r="AH6" s="188">
        <f>IFERROR(__xludf.DUMMYFUNCTION("""COMPUTED_VALUE"""),0.0)</f>
        <v>0</v>
      </c>
      <c r="AI6" s="188">
        <f>IFERROR(__xludf.DUMMYFUNCTION("""COMPUTED_VALUE"""),0.0)</f>
        <v>0</v>
      </c>
      <c r="AJ6" s="188">
        <f>IFERROR(__xludf.DUMMYFUNCTION("""COMPUTED_VALUE"""),0.0)</f>
        <v>0</v>
      </c>
      <c r="AK6" s="188">
        <f>IFERROR(__xludf.DUMMYFUNCTION("""COMPUTED_VALUE"""),2065.0)</f>
        <v>2065</v>
      </c>
      <c r="AL6" s="188">
        <f>IFERROR(__xludf.DUMMYFUNCTION("""COMPUTED_VALUE"""),2077.0)</f>
        <v>2077</v>
      </c>
      <c r="AM6" s="188">
        <f>IFERROR(__xludf.DUMMYFUNCTION("""COMPUTED_VALUE"""),284.0)</f>
        <v>284</v>
      </c>
      <c r="AN6" s="186">
        <f>IFERROR(__xludf.DUMMYFUNCTION("""COMPUTED_VALUE"""),27160.72070422535)</f>
        <v>27160.7207</v>
      </c>
      <c r="AO6" s="189">
        <f>IFERROR(__xludf.DUMMYFUNCTION("""COMPUTED_VALUE"""),7.313380281690141)</f>
        <v>7.313380282</v>
      </c>
      <c r="AP6" s="186">
        <f>IFERROR(__xludf.DUMMYFUNCTION("""COMPUTED_VALUE"""),419040.0)</f>
        <v>419040</v>
      </c>
      <c r="AQ6" s="186">
        <f>IFERROR(__xludf.DUMMYFUNCTION("""COMPUTED_VALUE"""),163530.0)</f>
        <v>163530</v>
      </c>
      <c r="AR6" s="187">
        <f>IFERROR(__xludf.DUMMYFUNCTION("""COMPUTED_VALUE"""),0.07552460920458162)</f>
        <v>0.0755246092</v>
      </c>
      <c r="AS6" s="186">
        <f>IFERROR(__xludf.DUMMYFUNCTION("""COMPUTED_VALUE"""),64280.37233333333)</f>
        <v>64280.37233</v>
      </c>
      <c r="AT6" s="75">
        <f>IFERROR(__xludf.DUMMYFUNCTION("""COMPUTED_VALUE"""),672.0)</f>
        <v>672</v>
      </c>
      <c r="AU6" s="75">
        <f>IFERROR(__xludf.DUMMYFUNCTION("""COMPUTED_VALUE"""),3066.0)</f>
        <v>3066</v>
      </c>
      <c r="AV6" s="190">
        <f>IFERROR(__xludf.DUMMYFUNCTION("""COMPUTED_VALUE"""),2280.11)</f>
        <v>2280.11</v>
      </c>
      <c r="AW6" s="75">
        <f>IFERROR(__xludf.DUMMYFUNCTION("""COMPUTED_VALUE"""),17.0)</f>
        <v>17</v>
      </c>
      <c r="AX6" s="75">
        <f>IFERROR(__xludf.DUMMYFUNCTION("""COMPUTED_VALUE"""),120.0)</f>
        <v>120</v>
      </c>
      <c r="AY6" s="75">
        <f>IFERROR(__xludf.DUMMYFUNCTION("""COMPUTED_VALUE"""),12.0)</f>
        <v>12</v>
      </c>
      <c r="AZ6" s="75">
        <f>IFERROR(__xludf.DUMMYFUNCTION("""COMPUTED_VALUE"""),11.0)</f>
        <v>11</v>
      </c>
      <c r="BA6" s="191"/>
      <c r="BB6" s="75"/>
      <c r="BC6" s="192"/>
      <c r="BD6" s="193" t="s">
        <v>948</v>
      </c>
      <c r="BE6" s="194"/>
    </row>
    <row r="7">
      <c r="A7" s="183" t="str">
        <f>IFERROR(__xludf.DUMMYFUNCTION("""COMPUTED_VALUE"""),"Sandeep Dadheech")</f>
        <v>Sandeep Dadheech</v>
      </c>
      <c r="B7" s="183" t="str">
        <f>IFERROR(__xludf.DUMMYFUNCTION("""COMPUTED_VALUE"""),"Bihar")</f>
        <v>Bihar</v>
      </c>
      <c r="C7" s="184" t="str">
        <f>IFERROR(__xludf.DUMMYFUNCTION("""COMPUTED_VALUE"""),"AVINASH KUMAR")</f>
        <v>AVINASH KUMAR</v>
      </c>
      <c r="D7" s="75" t="str">
        <f>IFERROR(__xludf.DUMMYFUNCTION("""COMPUTED_VALUE"""),"Gaya")</f>
        <v>Gaya</v>
      </c>
      <c r="E7" s="185">
        <f>IFERROR(__xludf.DUMMYFUNCTION("""COMPUTED_VALUE"""),45231.0)</f>
        <v>45231</v>
      </c>
      <c r="F7" s="184" t="str">
        <f>IFERROR(__xludf.DUMMYFUNCTION("""COMPUTED_VALUE"""),"BIHAR, JHARKHAND")</f>
        <v>BIHAR, JHARKHAND</v>
      </c>
      <c r="G7" s="186"/>
      <c r="H7" s="186">
        <f>IFERROR(__xludf.DUMMYFUNCTION("""COMPUTED_VALUE"""),0.0)</f>
        <v>0</v>
      </c>
      <c r="I7" s="186">
        <f>IFERROR(__xludf.DUMMYFUNCTION("""COMPUTED_VALUE"""),1.8E7)</f>
        <v>18000000</v>
      </c>
      <c r="J7" s="186">
        <f>IFERROR(__xludf.DUMMYFUNCTION("""COMPUTED_VALUE"""),6585381.62)</f>
        <v>6585381.62</v>
      </c>
      <c r="K7" s="186">
        <f>IFERROR(__xludf.DUMMYFUNCTION("""COMPUTED_VALUE"""),0.0)</f>
        <v>0</v>
      </c>
      <c r="L7" s="186">
        <f>IFERROR(__xludf.DUMMYFUNCTION("""COMPUTED_VALUE"""),1.0390554E7)</f>
        <v>10390554</v>
      </c>
      <c r="M7" s="187">
        <f>IFERROR(__xludf.DUMMYFUNCTION("""COMPUTED_VALUE"""),0.36585453444444443)</f>
        <v>0.3658545344</v>
      </c>
      <c r="N7" s="187">
        <f>IFERROR(__xludf.DUMMYFUNCTION("""COMPUTED_VALUE"""),0.0)</f>
        <v>0</v>
      </c>
      <c r="O7" s="187">
        <f>IFERROR(__xludf.DUMMYFUNCTION("""COMPUTED_VALUE"""),0.577253)</f>
        <v>0.577253</v>
      </c>
      <c r="P7" s="188">
        <f>IFERROR(__xludf.DUMMYFUNCTION("""COMPUTED_VALUE"""),38.0)</f>
        <v>38</v>
      </c>
      <c r="Q7" s="189">
        <f>IFERROR(__xludf.DUMMYFUNCTION("""COMPUTED_VALUE"""),40.0)</f>
        <v>40</v>
      </c>
      <c r="R7" s="188">
        <f>IFERROR(__xludf.DUMMYFUNCTION("""COMPUTED_VALUE"""),2.0)</f>
        <v>2</v>
      </c>
      <c r="S7" s="188">
        <f>IFERROR(__xludf.DUMMYFUNCTION("""COMPUTED_VALUE"""),2.0)</f>
        <v>2</v>
      </c>
      <c r="T7" s="188">
        <f>IFERROR(__xludf.DUMMYFUNCTION("""COMPUTED_VALUE"""),40.0)</f>
        <v>40</v>
      </c>
      <c r="U7" s="188">
        <f>IFERROR(__xludf.DUMMYFUNCTION("""COMPUTED_VALUE"""),0.0)</f>
        <v>0</v>
      </c>
      <c r="V7" s="189">
        <f>IFERROR(__xludf.DUMMYFUNCTION("""COMPUTED_VALUE"""),6156603.89)</f>
        <v>6156603.89</v>
      </c>
      <c r="W7" s="189">
        <f>IFERROR(__xludf.DUMMYFUNCTION("""COMPUTED_VALUE"""),428777.73)</f>
        <v>428777.73</v>
      </c>
      <c r="X7" s="188">
        <f>IFERROR(__xludf.DUMMYFUNCTION("""COMPUTED_VALUE"""),16.0)</f>
        <v>16</v>
      </c>
      <c r="Y7" s="188">
        <f>IFERROR(__xludf.DUMMYFUNCTION("""COMPUTED_VALUE"""),2.0)</f>
        <v>2</v>
      </c>
      <c r="Z7" s="188">
        <f>IFERROR(__xludf.DUMMYFUNCTION("""COMPUTED_VALUE"""),18.0)</f>
        <v>18</v>
      </c>
      <c r="AA7" s="188">
        <f>IFERROR(__xludf.DUMMYFUNCTION("""COMPUTED_VALUE"""),0.0)</f>
        <v>0</v>
      </c>
      <c r="AB7" s="188">
        <f>IFERROR(__xludf.DUMMYFUNCTION("""COMPUTED_VALUE"""),49.0)</f>
        <v>49</v>
      </c>
      <c r="AC7" s="188">
        <f>IFERROR(__xludf.DUMMYFUNCTION("""COMPUTED_VALUE"""),110.0)</f>
        <v>110</v>
      </c>
      <c r="AD7" s="188">
        <f>IFERROR(__xludf.DUMMYFUNCTION("""COMPUTED_VALUE"""),54.0)</f>
        <v>54</v>
      </c>
      <c r="AE7" s="188">
        <f>IFERROR(__xludf.DUMMYFUNCTION("""COMPUTED_VALUE"""),1.0)</f>
        <v>1</v>
      </c>
      <c r="AF7" s="188">
        <f>IFERROR(__xludf.DUMMYFUNCTION("""COMPUTED_VALUE"""),215.0)</f>
        <v>215</v>
      </c>
      <c r="AG7" s="188">
        <f>IFERROR(__xludf.DUMMYFUNCTION("""COMPUTED_VALUE"""),0.0)</f>
        <v>0</v>
      </c>
      <c r="AH7" s="188">
        <f>IFERROR(__xludf.DUMMYFUNCTION("""COMPUTED_VALUE"""),0.0)</f>
        <v>0</v>
      </c>
      <c r="AI7" s="188">
        <f>IFERROR(__xludf.DUMMYFUNCTION("""COMPUTED_VALUE"""),0.0)</f>
        <v>0</v>
      </c>
      <c r="AJ7" s="188">
        <f>IFERROR(__xludf.DUMMYFUNCTION("""COMPUTED_VALUE"""),0.0)</f>
        <v>0</v>
      </c>
      <c r="AK7" s="188">
        <f>IFERROR(__xludf.DUMMYFUNCTION("""COMPUTED_VALUE"""),889.0)</f>
        <v>889</v>
      </c>
      <c r="AL7" s="188">
        <f>IFERROR(__xludf.DUMMYFUNCTION("""COMPUTED_VALUE"""),1214.0)</f>
        <v>1214</v>
      </c>
      <c r="AM7" s="188">
        <f>IFERROR(__xludf.DUMMYFUNCTION("""COMPUTED_VALUE"""),269.0)</f>
        <v>269</v>
      </c>
      <c r="AN7" s="186">
        <f>IFERROR(__xludf.DUMMYFUNCTION("""COMPUTED_VALUE"""),24480.972565055763)</f>
        <v>24480.97257</v>
      </c>
      <c r="AO7" s="189">
        <f>IFERROR(__xludf.DUMMYFUNCTION("""COMPUTED_VALUE"""),4.5130111524163565)</f>
        <v>4.513011152</v>
      </c>
      <c r="AP7" s="186">
        <f>IFERROR(__xludf.DUMMYFUNCTION("""COMPUTED_VALUE"""),309636.0)</f>
        <v>309636</v>
      </c>
      <c r="AQ7" s="186">
        <f>IFERROR(__xludf.DUMMYFUNCTION("""COMPUTED_VALUE"""),128782.0)</f>
        <v>128782</v>
      </c>
      <c r="AR7" s="187">
        <f>IFERROR(__xludf.DUMMYFUNCTION("""COMPUTED_VALUE"""),0.06657442579614695)</f>
        <v>0.0665744258</v>
      </c>
      <c r="AS7" s="186">
        <f>IFERROR(__xludf.DUMMYFUNCTION("""COMPUTED_VALUE"""),365854.53444444446)</f>
        <v>365854.5344</v>
      </c>
      <c r="AT7" s="75">
        <f>IFERROR(__xludf.DUMMYFUNCTION("""COMPUTED_VALUE"""),38.0)</f>
        <v>38</v>
      </c>
      <c r="AU7" s="75">
        <f>IFERROR(__xludf.DUMMYFUNCTION("""COMPUTED_VALUE"""),2493.0)</f>
        <v>2493</v>
      </c>
      <c r="AV7" s="190">
        <f>IFERROR(__xludf.DUMMYFUNCTION("""COMPUTED_VALUE"""),1587.11)</f>
        <v>1587.11</v>
      </c>
      <c r="AW7" s="75">
        <f>IFERROR(__xludf.DUMMYFUNCTION("""COMPUTED_VALUE"""),40.0)</f>
        <v>40</v>
      </c>
      <c r="AX7" s="75">
        <f>IFERROR(__xludf.DUMMYFUNCTION("""COMPUTED_VALUE"""),18.0)</f>
        <v>18</v>
      </c>
      <c r="AY7" s="75">
        <f>IFERROR(__xludf.DUMMYFUNCTION("""COMPUTED_VALUE"""),22.0)</f>
        <v>22</v>
      </c>
      <c r="AZ7" s="75">
        <f>IFERROR(__xludf.DUMMYFUNCTION("""COMPUTED_VALUE"""),0.0)</f>
        <v>0</v>
      </c>
      <c r="BA7" s="191"/>
      <c r="BB7" s="75"/>
      <c r="BC7" s="192"/>
      <c r="BD7" s="193" t="s">
        <v>949</v>
      </c>
      <c r="BE7" s="194"/>
    </row>
    <row r="8">
      <c r="A8" s="183" t="str">
        <f>IFERROR(__xludf.DUMMYFUNCTION("""COMPUTED_VALUE"""),"Syed Aqil Rizvi")</f>
        <v>Syed Aqil Rizvi</v>
      </c>
      <c r="B8" s="183" t="str">
        <f>IFERROR(__xludf.DUMMYFUNCTION("""COMPUTED_VALUE"""),"Chattisgarh")</f>
        <v>Chattisgarh</v>
      </c>
      <c r="C8" s="184" t="str">
        <f>IFERROR(__xludf.DUMMYFUNCTION("""COMPUTED_VALUE"""),"Pradeep Rajak")</f>
        <v>Pradeep Rajak</v>
      </c>
      <c r="D8" s="75" t="str">
        <f>IFERROR(__xludf.DUMMYFUNCTION("""COMPUTED_VALUE"""),"Bilaspur")</f>
        <v>Bilaspur</v>
      </c>
      <c r="E8" s="185">
        <f>IFERROR(__xludf.DUMMYFUNCTION("""COMPUTED_VALUE"""),45839.0)</f>
        <v>45839</v>
      </c>
      <c r="F8" s="184" t="str">
        <f>IFERROR(__xludf.DUMMYFUNCTION("""COMPUTED_VALUE"""),"CHATTISGARH")</f>
        <v>CHATTISGARH</v>
      </c>
      <c r="G8" s="186"/>
      <c r="H8" s="186">
        <f>IFERROR(__xludf.DUMMYFUNCTION("""COMPUTED_VALUE"""),0.0)</f>
        <v>0</v>
      </c>
      <c r="I8" s="186">
        <f>IFERROR(__xludf.DUMMYFUNCTION("""COMPUTED_VALUE"""),1.485E7)</f>
        <v>14850000</v>
      </c>
      <c r="J8" s="186">
        <f>IFERROR(__xludf.DUMMYFUNCTION("""COMPUTED_VALUE"""),6654740.52)</f>
        <v>6654740.52</v>
      </c>
      <c r="K8" s="186">
        <f>IFERROR(__xludf.DUMMYFUNCTION("""COMPUTED_VALUE"""),0.0)</f>
        <v>0</v>
      </c>
      <c r="L8" s="186">
        <f>IFERROR(__xludf.DUMMYFUNCTION("""COMPUTED_VALUE"""),5604384.0)</f>
        <v>5604384</v>
      </c>
      <c r="M8" s="187">
        <f>IFERROR(__xludf.DUMMYFUNCTION("""COMPUTED_VALUE"""),0.4481306747474747)</f>
        <v>0.4481306747</v>
      </c>
      <c r="N8" s="187">
        <f>IFERROR(__xludf.DUMMYFUNCTION("""COMPUTED_VALUE"""),0.0)</f>
        <v>0</v>
      </c>
      <c r="O8" s="187">
        <f>IFERROR(__xludf.DUMMYFUNCTION("""COMPUTED_VALUE"""),0.37739959595959593)</f>
        <v>0.377399596</v>
      </c>
      <c r="P8" s="188">
        <f>IFERROR(__xludf.DUMMYFUNCTION("""COMPUTED_VALUE"""),73.0)</f>
        <v>73</v>
      </c>
      <c r="Q8" s="189">
        <f>IFERROR(__xludf.DUMMYFUNCTION("""COMPUTED_VALUE"""),88.0)</f>
        <v>88</v>
      </c>
      <c r="R8" s="188">
        <f>IFERROR(__xludf.DUMMYFUNCTION("""COMPUTED_VALUE"""),15.0)</f>
        <v>15</v>
      </c>
      <c r="S8" s="188">
        <f>IFERROR(__xludf.DUMMYFUNCTION("""COMPUTED_VALUE"""),15.0)</f>
        <v>15</v>
      </c>
      <c r="T8" s="188">
        <f>IFERROR(__xludf.DUMMYFUNCTION("""COMPUTED_VALUE"""),88.0)</f>
        <v>88</v>
      </c>
      <c r="U8" s="188">
        <f>IFERROR(__xludf.DUMMYFUNCTION("""COMPUTED_VALUE"""),0.0)</f>
        <v>0</v>
      </c>
      <c r="V8" s="189">
        <f>IFERROR(__xludf.DUMMYFUNCTION("""COMPUTED_VALUE"""),5697489.13)</f>
        <v>5697489.13</v>
      </c>
      <c r="W8" s="189">
        <f>IFERROR(__xludf.DUMMYFUNCTION("""COMPUTED_VALUE"""),957251.39)</f>
        <v>957251.39</v>
      </c>
      <c r="X8" s="188">
        <f>IFERROR(__xludf.DUMMYFUNCTION("""COMPUTED_VALUE"""),56.0)</f>
        <v>56</v>
      </c>
      <c r="Y8" s="188">
        <f>IFERROR(__xludf.DUMMYFUNCTION("""COMPUTED_VALUE"""),15.0)</f>
        <v>15</v>
      </c>
      <c r="Z8" s="188">
        <f>IFERROR(__xludf.DUMMYFUNCTION("""COMPUTED_VALUE"""),71.0)</f>
        <v>71</v>
      </c>
      <c r="AA8" s="188">
        <f>IFERROR(__xludf.DUMMYFUNCTION("""COMPUTED_VALUE"""),0.0)</f>
        <v>0</v>
      </c>
      <c r="AB8" s="188">
        <f>IFERROR(__xludf.DUMMYFUNCTION("""COMPUTED_VALUE"""),27.0)</f>
        <v>27</v>
      </c>
      <c r="AC8" s="188">
        <f>IFERROR(__xludf.DUMMYFUNCTION("""COMPUTED_VALUE"""),119.0)</f>
        <v>119</v>
      </c>
      <c r="AD8" s="188">
        <f>IFERROR(__xludf.DUMMYFUNCTION("""COMPUTED_VALUE"""),0.0)</f>
        <v>0</v>
      </c>
      <c r="AE8" s="188">
        <f>IFERROR(__xludf.DUMMYFUNCTION("""COMPUTED_VALUE"""),1.0)</f>
        <v>1</v>
      </c>
      <c r="AF8" s="188">
        <f>IFERROR(__xludf.DUMMYFUNCTION("""COMPUTED_VALUE"""),68.0)</f>
        <v>68</v>
      </c>
      <c r="AG8" s="188">
        <f>IFERROR(__xludf.DUMMYFUNCTION("""COMPUTED_VALUE"""),0.0)</f>
        <v>0</v>
      </c>
      <c r="AH8" s="188">
        <f>IFERROR(__xludf.DUMMYFUNCTION("""COMPUTED_VALUE"""),0.0)</f>
        <v>0</v>
      </c>
      <c r="AI8" s="188">
        <f>IFERROR(__xludf.DUMMYFUNCTION("""COMPUTED_VALUE"""),0.0)</f>
        <v>0</v>
      </c>
      <c r="AJ8" s="188">
        <f>IFERROR(__xludf.DUMMYFUNCTION("""COMPUTED_VALUE"""),0.0)</f>
        <v>0</v>
      </c>
      <c r="AK8" s="188">
        <f>IFERROR(__xludf.DUMMYFUNCTION("""COMPUTED_VALUE"""),870.0)</f>
        <v>870</v>
      </c>
      <c r="AL8" s="188">
        <f>IFERROR(__xludf.DUMMYFUNCTION("""COMPUTED_VALUE"""),1057.0)</f>
        <v>1057</v>
      </c>
      <c r="AM8" s="188">
        <f>IFERROR(__xludf.DUMMYFUNCTION("""COMPUTED_VALUE"""),213.0)</f>
        <v>213</v>
      </c>
      <c r="AN8" s="186">
        <f>IFERROR(__xludf.DUMMYFUNCTION("""COMPUTED_VALUE"""),31242.913239436617)</f>
        <v>31242.91324</v>
      </c>
      <c r="AO8" s="189">
        <f>IFERROR(__xludf.DUMMYFUNCTION("""COMPUTED_VALUE"""),4.962441314553991)</f>
        <v>4.962441315</v>
      </c>
      <c r="AP8" s="186">
        <f>IFERROR(__xludf.DUMMYFUNCTION("""COMPUTED_VALUE"""),250200.0)</f>
        <v>250200</v>
      </c>
      <c r="AQ8" s="186">
        <f>IFERROR(__xludf.DUMMYFUNCTION("""COMPUTED_VALUE"""),106183.0)</f>
        <v>106183</v>
      </c>
      <c r="AR8" s="187">
        <f>IFERROR(__xludf.DUMMYFUNCTION("""COMPUTED_VALUE"""),0.05355325259173291)</f>
        <v>0.05355325259</v>
      </c>
      <c r="AS8" s="186">
        <f>IFERROR(__xludf.DUMMYFUNCTION("""COMPUTED_VALUE"""),93728.73971830985)</f>
        <v>93728.73972</v>
      </c>
      <c r="AT8" s="75">
        <f>IFERROR(__xludf.DUMMYFUNCTION("""COMPUTED_VALUE"""),325.0)</f>
        <v>325</v>
      </c>
      <c r="AU8" s="75">
        <f>IFERROR(__xludf.DUMMYFUNCTION("""COMPUTED_VALUE"""),1973.0)</f>
        <v>1973</v>
      </c>
      <c r="AV8" s="190">
        <f>IFERROR(__xludf.DUMMYFUNCTION("""COMPUTED_VALUE"""),2671.09)</f>
        <v>2671.09</v>
      </c>
      <c r="AW8" s="75">
        <f>IFERROR(__xludf.DUMMYFUNCTION("""COMPUTED_VALUE"""),30.0)</f>
        <v>30</v>
      </c>
      <c r="AX8" s="75">
        <f>IFERROR(__xludf.DUMMYFUNCTION("""COMPUTED_VALUE"""),71.0)</f>
        <v>71</v>
      </c>
      <c r="AY8" s="75">
        <f>IFERROR(__xludf.DUMMYFUNCTION("""COMPUTED_VALUE"""),17.0)</f>
        <v>17</v>
      </c>
      <c r="AZ8" s="75">
        <f>IFERROR(__xludf.DUMMYFUNCTION("""COMPUTED_VALUE"""),0.0)</f>
        <v>0</v>
      </c>
      <c r="BA8" s="191"/>
      <c r="BB8" s="75"/>
      <c r="BC8" s="192"/>
      <c r="BD8" s="193" t="s">
        <v>950</v>
      </c>
      <c r="BE8" s="194"/>
    </row>
    <row r="9">
      <c r="A9" s="183" t="str">
        <f>IFERROR(__xludf.DUMMYFUNCTION("""COMPUTED_VALUE"""),"Anant Singh")</f>
        <v>Anant Singh</v>
      </c>
      <c r="B9" s="183" t="str">
        <f>IFERROR(__xludf.DUMMYFUNCTION("""COMPUTED_VALUE"""),"Delhi")</f>
        <v>Delhi</v>
      </c>
      <c r="C9" s="184" t="str">
        <f>IFERROR(__xludf.DUMMYFUNCTION("""COMPUTED_VALUE"""),"Prasun Chatterjee")</f>
        <v>Prasun Chatterjee</v>
      </c>
      <c r="D9" s="75" t="str">
        <f>IFERROR(__xludf.DUMMYFUNCTION("""COMPUTED_VALUE"""),"Delhi")</f>
        <v>Delhi</v>
      </c>
      <c r="E9" s="185">
        <f>IFERROR(__xludf.DUMMYFUNCTION("""COMPUTED_VALUE"""),44994.0)</f>
        <v>44994</v>
      </c>
      <c r="F9" s="184" t="str">
        <f>IFERROR(__xludf.DUMMYFUNCTION("""COMPUTED_VALUE"""),"DELHI")</f>
        <v>DELHI</v>
      </c>
      <c r="G9" s="186"/>
      <c r="H9" s="186">
        <f>IFERROR(__xludf.DUMMYFUNCTION("""COMPUTED_VALUE"""),2400000.0)</f>
        <v>2400000</v>
      </c>
      <c r="I9" s="186">
        <f>IFERROR(__xludf.DUMMYFUNCTION("""COMPUTED_VALUE"""),1.8E7)</f>
        <v>18000000</v>
      </c>
      <c r="J9" s="186">
        <f>IFERROR(__xludf.DUMMYFUNCTION("""COMPUTED_VALUE"""),8148002.96)</f>
        <v>8148002.96</v>
      </c>
      <c r="K9" s="186">
        <f>IFERROR(__xludf.DUMMYFUNCTION("""COMPUTED_VALUE"""),1522428.68)</f>
        <v>1522428.68</v>
      </c>
      <c r="L9" s="186">
        <f>IFERROR(__xludf.DUMMYFUNCTION("""COMPUTED_VALUE"""),9249137.0)</f>
        <v>9249137</v>
      </c>
      <c r="M9" s="187">
        <f>IFERROR(__xludf.DUMMYFUNCTION("""COMPUTED_VALUE"""),0.47404076666666667)</f>
        <v>0.4740407667</v>
      </c>
      <c r="N9" s="187">
        <f>IFERROR(__xludf.DUMMYFUNCTION("""COMPUTED_VALUE"""),0.63)</f>
        <v>0.63</v>
      </c>
      <c r="O9" s="187">
        <f>IFERROR(__xludf.DUMMYFUNCTION("""COMPUTED_VALUE"""),0.453389068627451)</f>
        <v>0.4533890686</v>
      </c>
      <c r="P9" s="188">
        <f>IFERROR(__xludf.DUMMYFUNCTION("""COMPUTED_VALUE"""),85.0)</f>
        <v>85</v>
      </c>
      <c r="Q9" s="189">
        <f>IFERROR(__xludf.DUMMYFUNCTION("""COMPUTED_VALUE"""),74.0)</f>
        <v>74</v>
      </c>
      <c r="R9" s="188">
        <f>IFERROR(__xludf.DUMMYFUNCTION("""COMPUTED_VALUE"""),3.0)</f>
        <v>3</v>
      </c>
      <c r="S9" s="188">
        <f>IFERROR(__xludf.DUMMYFUNCTION("""COMPUTED_VALUE"""),3.0)</f>
        <v>3</v>
      </c>
      <c r="T9" s="188">
        <f>IFERROR(__xludf.DUMMYFUNCTION("""COMPUTED_VALUE"""),88.0)</f>
        <v>88</v>
      </c>
      <c r="U9" s="188">
        <f>IFERROR(__xludf.DUMMYFUNCTION("""COMPUTED_VALUE"""),14.0)</f>
        <v>14</v>
      </c>
      <c r="V9" s="189">
        <f>IFERROR(__xludf.DUMMYFUNCTION("""COMPUTED_VALUE"""),7726671.11)</f>
        <v>7726671.11</v>
      </c>
      <c r="W9" s="189">
        <f>IFERROR(__xludf.DUMMYFUNCTION("""COMPUTED_VALUE"""),421331.85)</f>
        <v>421331.85</v>
      </c>
      <c r="X9" s="188">
        <f>IFERROR(__xludf.DUMMYFUNCTION("""COMPUTED_VALUE"""),46.0)</f>
        <v>46</v>
      </c>
      <c r="Y9" s="188">
        <f>IFERROR(__xludf.DUMMYFUNCTION("""COMPUTED_VALUE"""),3.0)</f>
        <v>3</v>
      </c>
      <c r="Z9" s="188">
        <f>IFERROR(__xludf.DUMMYFUNCTION("""COMPUTED_VALUE"""),49.0)</f>
        <v>49</v>
      </c>
      <c r="AA9" s="188">
        <f>IFERROR(__xludf.DUMMYFUNCTION("""COMPUTED_VALUE"""),4.0)</f>
        <v>4</v>
      </c>
      <c r="AB9" s="188">
        <f>IFERROR(__xludf.DUMMYFUNCTION("""COMPUTED_VALUE"""),27.0)</f>
        <v>27</v>
      </c>
      <c r="AC9" s="188">
        <f>IFERROR(__xludf.DUMMYFUNCTION("""COMPUTED_VALUE"""),53.0)</f>
        <v>53</v>
      </c>
      <c r="AD9" s="188">
        <f>IFERROR(__xludf.DUMMYFUNCTION("""COMPUTED_VALUE"""),113.0)</f>
        <v>113</v>
      </c>
      <c r="AE9" s="188">
        <f>IFERROR(__xludf.DUMMYFUNCTION("""COMPUTED_VALUE"""),3.0)</f>
        <v>3</v>
      </c>
      <c r="AF9" s="188">
        <f>IFERROR(__xludf.DUMMYFUNCTION("""COMPUTED_VALUE"""),111.0)</f>
        <v>111</v>
      </c>
      <c r="AG9" s="188">
        <f>IFERROR(__xludf.DUMMYFUNCTION("""COMPUTED_VALUE"""),7.0)</f>
        <v>7</v>
      </c>
      <c r="AH9" s="188">
        <f>IFERROR(__xludf.DUMMYFUNCTION("""COMPUTED_VALUE"""),211.0)</f>
        <v>211</v>
      </c>
      <c r="AI9" s="188">
        <f>IFERROR(__xludf.DUMMYFUNCTION("""COMPUTED_VALUE"""),3.0)</f>
        <v>3</v>
      </c>
      <c r="AJ9" s="188">
        <f>IFERROR(__xludf.DUMMYFUNCTION("""COMPUTED_VALUE"""),80.0)</f>
        <v>80</v>
      </c>
      <c r="AK9" s="188">
        <f>IFERROR(__xludf.DUMMYFUNCTION("""COMPUTED_VALUE"""),1228.0)</f>
        <v>1228</v>
      </c>
      <c r="AL9" s="188">
        <f>IFERROR(__xludf.DUMMYFUNCTION("""COMPUTED_VALUE"""),1683.0)</f>
        <v>1683</v>
      </c>
      <c r="AM9" s="188">
        <f>IFERROR(__xludf.DUMMYFUNCTION("""COMPUTED_VALUE"""),280.0)</f>
        <v>280</v>
      </c>
      <c r="AN9" s="186">
        <f>IFERROR(__xludf.DUMMYFUNCTION("""COMPUTED_VALUE"""),34537.25585714286)</f>
        <v>34537.25586</v>
      </c>
      <c r="AO9" s="189">
        <f>IFERROR(__xludf.DUMMYFUNCTION("""COMPUTED_VALUE"""),6.010714285714286)</f>
        <v>6.010714286</v>
      </c>
      <c r="AP9" s="186">
        <f>IFERROR(__xludf.DUMMYFUNCTION("""COMPUTED_VALUE"""),556680.0)</f>
        <v>556680</v>
      </c>
      <c r="AQ9" s="186">
        <f>IFERROR(__xludf.DUMMYFUNCTION("""COMPUTED_VALUE"""),91472.0)</f>
        <v>91472</v>
      </c>
      <c r="AR9" s="187">
        <f>IFERROR(__xludf.DUMMYFUNCTION("""COMPUTED_VALUE"""),0.06702410234916877)</f>
        <v>0.06702410235</v>
      </c>
      <c r="AS9" s="186">
        <f>IFERROR(__xludf.DUMMYFUNCTION("""COMPUTED_VALUE"""),166285.77469387755)</f>
        <v>166285.7747</v>
      </c>
      <c r="AT9" s="75">
        <f>IFERROR(__xludf.DUMMYFUNCTION("""COMPUTED_VALUE"""),273.0)</f>
        <v>273</v>
      </c>
      <c r="AU9" s="75">
        <f>IFERROR(__xludf.DUMMYFUNCTION("""COMPUTED_VALUE"""),2918.0)</f>
        <v>2918</v>
      </c>
      <c r="AV9" s="190">
        <f>IFERROR(__xludf.DUMMYFUNCTION("""COMPUTED_VALUE"""),1645.64)</f>
        <v>1645.64</v>
      </c>
      <c r="AW9" s="75">
        <f>IFERROR(__xludf.DUMMYFUNCTION("""COMPUTED_VALUE"""),22.0)</f>
        <v>22</v>
      </c>
      <c r="AX9" s="75">
        <f>IFERROR(__xludf.DUMMYFUNCTION("""COMPUTED_VALUE"""),49.0)</f>
        <v>49</v>
      </c>
      <c r="AY9" s="75">
        <f>IFERROR(__xludf.DUMMYFUNCTION("""COMPUTED_VALUE"""),25.0)</f>
        <v>25</v>
      </c>
      <c r="AZ9" s="75">
        <f>IFERROR(__xludf.DUMMYFUNCTION("""COMPUTED_VALUE"""),14.0)</f>
        <v>14</v>
      </c>
      <c r="BA9" s="191"/>
      <c r="BB9" s="75"/>
      <c r="BC9" s="192"/>
      <c r="BD9" s="193" t="s">
        <v>951</v>
      </c>
      <c r="BE9" s="194"/>
    </row>
    <row r="10">
      <c r="A10" s="183" t="str">
        <f>IFERROR(__xludf.DUMMYFUNCTION("""COMPUTED_VALUE"""),"Anant Singh")</f>
        <v>Anant Singh</v>
      </c>
      <c r="B10" s="183" t="str">
        <f>IFERROR(__xludf.DUMMYFUNCTION("""COMPUTED_VALUE"""),"Delhi NCR")</f>
        <v>Delhi NCR</v>
      </c>
      <c r="C10" s="184" t="str">
        <f>IFERROR(__xludf.DUMMYFUNCTION("""COMPUTED_VALUE"""),"Ravi (Faridabad)")</f>
        <v>Ravi (Faridabad)</v>
      </c>
      <c r="D10" s="75" t="str">
        <f>IFERROR(__xludf.DUMMYFUNCTION("""COMPUTED_VALUE"""),"Faridabad")</f>
        <v>Faridabad</v>
      </c>
      <c r="E10" s="185">
        <f>IFERROR(__xludf.DUMMYFUNCTION("""COMPUTED_VALUE"""),45736.0)</f>
        <v>45736</v>
      </c>
      <c r="F10" s="184" t="str">
        <f>IFERROR(__xludf.DUMMYFUNCTION("""COMPUTED_VALUE"""),"Delhi NCR")</f>
        <v>Delhi NCR</v>
      </c>
      <c r="G10" s="186">
        <f>IFERROR(__xludf.DUMMYFUNCTION("""COMPUTED_VALUE"""),0.0)</f>
        <v>0</v>
      </c>
      <c r="H10" s="186">
        <f>IFERROR(__xludf.DUMMYFUNCTION("""COMPUTED_VALUE"""),600000.0)</f>
        <v>600000</v>
      </c>
      <c r="I10" s="186">
        <f>IFERROR(__xludf.DUMMYFUNCTION("""COMPUTED_VALUE"""),1.44E7)</f>
        <v>14400000</v>
      </c>
      <c r="J10" s="186">
        <f>IFERROR(__xludf.DUMMYFUNCTION("""COMPUTED_VALUE"""),4368641.58)</f>
        <v>4368641.58</v>
      </c>
      <c r="K10" s="186">
        <f>IFERROR(__xludf.DUMMYFUNCTION("""COMPUTED_VALUE"""),708570.13)</f>
        <v>708570.13</v>
      </c>
      <c r="L10" s="186">
        <f>IFERROR(__xludf.DUMMYFUNCTION("""COMPUTED_VALUE"""),4593238.0)</f>
        <v>4593238</v>
      </c>
      <c r="M10" s="187">
        <f>IFERROR(__xludf.DUMMYFUNCTION("""COMPUTED_VALUE"""),0.33848078066666665)</f>
        <v>0.3384807807</v>
      </c>
      <c r="N10" s="187">
        <f>IFERROR(__xludf.DUMMYFUNCTION("""COMPUTED_VALUE"""),1.18)</f>
        <v>1.18</v>
      </c>
      <c r="O10" s="187">
        <f>IFERROR(__xludf.DUMMYFUNCTION("""COMPUTED_VALUE"""),0.30621586666666667)</f>
        <v>0.3062158667</v>
      </c>
      <c r="P10" s="188">
        <f>IFERROR(__xludf.DUMMYFUNCTION("""COMPUTED_VALUE"""),28.0)</f>
        <v>28</v>
      </c>
      <c r="Q10" s="189">
        <f>IFERROR(__xludf.DUMMYFUNCTION("""COMPUTED_VALUE"""),43.0)</f>
        <v>43</v>
      </c>
      <c r="R10" s="188">
        <f>IFERROR(__xludf.DUMMYFUNCTION("""COMPUTED_VALUE"""),16.0)</f>
        <v>16</v>
      </c>
      <c r="S10" s="188">
        <f>IFERROR(__xludf.DUMMYFUNCTION("""COMPUTED_VALUE"""),16.0)</f>
        <v>16</v>
      </c>
      <c r="T10" s="188">
        <f>IFERROR(__xludf.DUMMYFUNCTION("""COMPUTED_VALUE"""),44.0)</f>
        <v>44</v>
      </c>
      <c r="U10" s="188">
        <f>IFERROR(__xludf.DUMMYFUNCTION("""COMPUTED_VALUE"""),1.0)</f>
        <v>1</v>
      </c>
      <c r="V10" s="189">
        <f>IFERROR(__xludf.DUMMYFUNCTION("""COMPUTED_VALUE"""),823955.15)</f>
        <v>823955.15</v>
      </c>
      <c r="W10" s="189">
        <f>IFERROR(__xludf.DUMMYFUNCTION("""COMPUTED_VALUE"""),3544686.43)</f>
        <v>3544686.43</v>
      </c>
      <c r="X10" s="188">
        <f>IFERROR(__xludf.DUMMYFUNCTION("""COMPUTED_VALUE"""),6.0)</f>
        <v>6</v>
      </c>
      <c r="Y10" s="188">
        <f>IFERROR(__xludf.DUMMYFUNCTION("""COMPUTED_VALUE"""),16.0)</f>
        <v>16</v>
      </c>
      <c r="Z10" s="188">
        <f>IFERROR(__xludf.DUMMYFUNCTION("""COMPUTED_VALUE"""),22.0)</f>
        <v>22</v>
      </c>
      <c r="AA10" s="188">
        <f>IFERROR(__xludf.DUMMYFUNCTION("""COMPUTED_VALUE"""),3.0)</f>
        <v>3</v>
      </c>
      <c r="AB10" s="188">
        <f>IFERROR(__xludf.DUMMYFUNCTION("""COMPUTED_VALUE"""),316.0)</f>
        <v>316</v>
      </c>
      <c r="AC10" s="188">
        <f>IFERROR(__xludf.DUMMYFUNCTION("""COMPUTED_VALUE"""),1031.0)</f>
        <v>1031</v>
      </c>
      <c r="AD10" s="188">
        <f>IFERROR(__xludf.DUMMYFUNCTION("""COMPUTED_VALUE"""),6.0)</f>
        <v>6</v>
      </c>
      <c r="AE10" s="188">
        <f>IFERROR(__xludf.DUMMYFUNCTION("""COMPUTED_VALUE"""),4.0)</f>
        <v>4</v>
      </c>
      <c r="AF10" s="188">
        <f>IFERROR(__xludf.DUMMYFUNCTION("""COMPUTED_VALUE"""),35.0)</f>
        <v>35</v>
      </c>
      <c r="AG10" s="188">
        <f>IFERROR(__xludf.DUMMYFUNCTION("""COMPUTED_VALUE"""),5.0)</f>
        <v>5</v>
      </c>
      <c r="AH10" s="188">
        <f>IFERROR(__xludf.DUMMYFUNCTION("""COMPUTED_VALUE"""),60.0)</f>
        <v>60</v>
      </c>
      <c r="AI10" s="188">
        <f>IFERROR(__xludf.DUMMYFUNCTION("""COMPUTED_VALUE"""),4.0)</f>
        <v>4</v>
      </c>
      <c r="AJ10" s="188">
        <f>IFERROR(__xludf.DUMMYFUNCTION("""COMPUTED_VALUE"""),22.0)</f>
        <v>22</v>
      </c>
      <c r="AK10" s="188">
        <f>IFERROR(__xludf.DUMMYFUNCTION("""COMPUTED_VALUE"""),556.0)</f>
        <v>556</v>
      </c>
      <c r="AL10" s="188">
        <f>IFERROR(__xludf.DUMMYFUNCTION("""COMPUTED_VALUE"""),1704.0)</f>
        <v>1704</v>
      </c>
      <c r="AM10" s="188">
        <f>IFERROR(__xludf.DUMMYFUNCTION("""COMPUTED_VALUE"""),284.0)</f>
        <v>284</v>
      </c>
      <c r="AN10" s="186">
        <f>IFERROR(__xludf.DUMMYFUNCTION("""COMPUTED_VALUE"""),17877.50602112676)</f>
        <v>17877.50602</v>
      </c>
      <c r="AO10" s="189">
        <f>IFERROR(__xludf.DUMMYFUNCTION("""COMPUTED_VALUE"""),6.0)</f>
        <v>6</v>
      </c>
      <c r="AP10" s="186">
        <f>IFERROR(__xludf.DUMMYFUNCTION("""COMPUTED_VALUE"""),327120.0)</f>
        <v>327120</v>
      </c>
      <c r="AQ10" s="186">
        <f>IFERROR(__xludf.DUMMYFUNCTION("""COMPUTED_VALUE"""),101232.0)</f>
        <v>101232</v>
      </c>
      <c r="AR10" s="187">
        <f>IFERROR(__xludf.DUMMYFUNCTION("""COMPUTED_VALUE"""),0.08436756717399126)</f>
        <v>0.08436756717</v>
      </c>
      <c r="AS10" s="186">
        <f>IFERROR(__xludf.DUMMYFUNCTION("""COMPUTED_VALUE"""),198574.61727272728)</f>
        <v>198574.6173</v>
      </c>
      <c r="AT10" s="75">
        <f>IFERROR(__xludf.DUMMYFUNCTION("""COMPUTED_VALUE"""),110.0)</f>
        <v>110</v>
      </c>
      <c r="AU10" s="75">
        <f>IFERROR(__xludf.DUMMYFUNCTION("""COMPUTED_VALUE"""),2496.0)</f>
        <v>2496</v>
      </c>
      <c r="AV10" s="190">
        <f>IFERROR(__xludf.DUMMYFUNCTION("""COMPUTED_VALUE"""),1343.04)</f>
        <v>1343.04</v>
      </c>
      <c r="AW10" s="75">
        <f>IFERROR(__xludf.DUMMYFUNCTION("""COMPUTED_VALUE"""),31.0)</f>
        <v>31</v>
      </c>
      <c r="AX10" s="75">
        <f>IFERROR(__xludf.DUMMYFUNCTION("""COMPUTED_VALUE"""),22.0)</f>
        <v>22</v>
      </c>
      <c r="AY10" s="75">
        <f>IFERROR(__xludf.DUMMYFUNCTION("""COMPUTED_VALUE"""),21.0)</f>
        <v>21</v>
      </c>
      <c r="AZ10" s="75">
        <f>IFERROR(__xludf.DUMMYFUNCTION("""COMPUTED_VALUE"""),1.0)</f>
        <v>1</v>
      </c>
      <c r="BA10" s="191"/>
      <c r="BB10" s="75"/>
      <c r="BC10" s="192"/>
      <c r="BD10" s="193" t="s">
        <v>952</v>
      </c>
      <c r="BE10" s="194"/>
    </row>
    <row r="11">
      <c r="A11" s="183" t="str">
        <f>IFERROR(__xludf.DUMMYFUNCTION("""COMPUTED_VALUE"""),"Syed Aqil Rizvi")</f>
        <v>Syed Aqil Rizvi</v>
      </c>
      <c r="B11" s="183" t="str">
        <f>IFERROR(__xludf.DUMMYFUNCTION("""COMPUTED_VALUE"""),"East U.P")</f>
        <v>East U.P</v>
      </c>
      <c r="C11" s="184" t="str">
        <f>IFERROR(__xludf.DUMMYFUNCTION("""COMPUTED_VALUE"""),"Rohit Kumar")</f>
        <v>Rohit Kumar</v>
      </c>
      <c r="D11" s="75" t="str">
        <f>IFERROR(__xludf.DUMMYFUNCTION("""COMPUTED_VALUE"""),"Gorakhpur")</f>
        <v>Gorakhpur</v>
      </c>
      <c r="E11" s="185">
        <f>IFERROR(__xludf.DUMMYFUNCTION("""COMPUTED_VALUE"""),45843.0)</f>
        <v>45843</v>
      </c>
      <c r="F11" s="184" t="str">
        <f>IFERROR(__xludf.DUMMYFUNCTION("""COMPUTED_VALUE"""),"East U.P")</f>
        <v>East U.P</v>
      </c>
      <c r="G11" s="186"/>
      <c r="H11" s="186">
        <f>IFERROR(__xludf.DUMMYFUNCTION("""COMPUTED_VALUE"""),0.0)</f>
        <v>0</v>
      </c>
      <c r="I11" s="186">
        <f>IFERROR(__xludf.DUMMYFUNCTION("""COMPUTED_VALUE"""),1.8E7)</f>
        <v>18000000</v>
      </c>
      <c r="J11" s="186">
        <f>IFERROR(__xludf.DUMMYFUNCTION("""COMPUTED_VALUE"""),6669494.85)</f>
        <v>6669494.85</v>
      </c>
      <c r="K11" s="186">
        <f>IFERROR(__xludf.DUMMYFUNCTION("""COMPUTED_VALUE"""),0.0)</f>
        <v>0</v>
      </c>
      <c r="L11" s="186">
        <f>IFERROR(__xludf.DUMMYFUNCTION("""COMPUTED_VALUE"""),6525936.0)</f>
        <v>6525936</v>
      </c>
      <c r="M11" s="187">
        <f>IFERROR(__xludf.DUMMYFUNCTION("""COMPUTED_VALUE"""),0.37052749166666665)</f>
        <v>0.3705274917</v>
      </c>
      <c r="N11" s="187">
        <f>IFERROR(__xludf.DUMMYFUNCTION("""COMPUTED_VALUE"""),0.0)</f>
        <v>0</v>
      </c>
      <c r="O11" s="187">
        <f>IFERROR(__xludf.DUMMYFUNCTION("""COMPUTED_VALUE"""),0.362552)</f>
        <v>0.362552</v>
      </c>
      <c r="P11" s="188">
        <f>IFERROR(__xludf.DUMMYFUNCTION("""COMPUTED_VALUE"""),38.0)</f>
        <v>38</v>
      </c>
      <c r="Q11" s="189">
        <f>IFERROR(__xludf.DUMMYFUNCTION("""COMPUTED_VALUE"""),89.0)</f>
        <v>89</v>
      </c>
      <c r="R11" s="188">
        <f>IFERROR(__xludf.DUMMYFUNCTION("""COMPUTED_VALUE"""),56.0)</f>
        <v>56</v>
      </c>
      <c r="S11" s="188">
        <f>IFERROR(__xludf.DUMMYFUNCTION("""COMPUTED_VALUE"""),45.0)</f>
        <v>45</v>
      </c>
      <c r="T11" s="188">
        <f>IFERROR(__xludf.DUMMYFUNCTION("""COMPUTED_VALUE"""),94.0)</f>
        <v>94</v>
      </c>
      <c r="U11" s="188">
        <f>IFERROR(__xludf.DUMMYFUNCTION("""COMPUTED_VALUE"""),5.0)</f>
        <v>5</v>
      </c>
      <c r="V11" s="189">
        <f>IFERROR(__xludf.DUMMYFUNCTION("""COMPUTED_VALUE"""),1654904.67)</f>
        <v>1654904.67</v>
      </c>
      <c r="W11" s="189">
        <f>IFERROR(__xludf.DUMMYFUNCTION("""COMPUTED_VALUE"""),5014590.18)</f>
        <v>5014590.18</v>
      </c>
      <c r="X11" s="188">
        <f>IFERROR(__xludf.DUMMYFUNCTION("""COMPUTED_VALUE"""),15.0)</f>
        <v>15</v>
      </c>
      <c r="Y11" s="188">
        <f>IFERROR(__xludf.DUMMYFUNCTION("""COMPUTED_VALUE"""),45.0)</f>
        <v>45</v>
      </c>
      <c r="Z11" s="188">
        <f>IFERROR(__xludf.DUMMYFUNCTION("""COMPUTED_VALUE"""),60.0)</f>
        <v>60</v>
      </c>
      <c r="AA11" s="188">
        <f>IFERROR(__xludf.DUMMYFUNCTION("""COMPUTED_VALUE"""),0.0)</f>
        <v>0</v>
      </c>
      <c r="AB11" s="188">
        <f>IFERROR(__xludf.DUMMYFUNCTION("""COMPUTED_VALUE"""),52.0)</f>
        <v>52</v>
      </c>
      <c r="AC11" s="188">
        <f>IFERROR(__xludf.DUMMYFUNCTION("""COMPUTED_VALUE"""),90.0)</f>
        <v>90</v>
      </c>
      <c r="AD11" s="188">
        <f>IFERROR(__xludf.DUMMYFUNCTION("""COMPUTED_VALUE"""),3.0)</f>
        <v>3</v>
      </c>
      <c r="AE11" s="188">
        <f>IFERROR(__xludf.DUMMYFUNCTION("""COMPUTED_VALUE"""),4.0)</f>
        <v>4</v>
      </c>
      <c r="AF11" s="188">
        <f>IFERROR(__xludf.DUMMYFUNCTION("""COMPUTED_VALUE"""),128.0)</f>
        <v>128</v>
      </c>
      <c r="AG11" s="188">
        <f>IFERROR(__xludf.DUMMYFUNCTION("""COMPUTED_VALUE"""),0.0)</f>
        <v>0</v>
      </c>
      <c r="AH11" s="188">
        <f>IFERROR(__xludf.DUMMYFUNCTION("""COMPUTED_VALUE"""),0.0)</f>
        <v>0</v>
      </c>
      <c r="AI11" s="188">
        <f>IFERROR(__xludf.DUMMYFUNCTION("""COMPUTED_VALUE"""),1.0)</f>
        <v>1</v>
      </c>
      <c r="AJ11" s="188">
        <f>IFERROR(__xludf.DUMMYFUNCTION("""COMPUTED_VALUE"""),2.0)</f>
        <v>2</v>
      </c>
      <c r="AK11" s="188">
        <f>IFERROR(__xludf.DUMMYFUNCTION("""COMPUTED_VALUE"""),665.0)</f>
        <v>665</v>
      </c>
      <c r="AL11" s="188">
        <f>IFERROR(__xludf.DUMMYFUNCTION("""COMPUTED_VALUE"""),885.0)</f>
        <v>885</v>
      </c>
      <c r="AM11" s="188">
        <f>IFERROR(__xludf.DUMMYFUNCTION("""COMPUTED_VALUE"""),201.0)</f>
        <v>201</v>
      </c>
      <c r="AN11" s="186">
        <f>IFERROR(__xludf.DUMMYFUNCTION("""COMPUTED_VALUE"""),33181.56641791044)</f>
        <v>33181.56642</v>
      </c>
      <c r="AO11" s="189">
        <f>IFERROR(__xludf.DUMMYFUNCTION("""COMPUTED_VALUE"""),4.402985074626866)</f>
        <v>4.402985075</v>
      </c>
      <c r="AP11" s="186">
        <f>IFERROR(__xludf.DUMMYFUNCTION("""COMPUTED_VALUE"""),372870.0)</f>
        <v>372870</v>
      </c>
      <c r="AQ11" s="186">
        <f>IFERROR(__xludf.DUMMYFUNCTION("""COMPUTED_VALUE"""),127606.0)</f>
        <v>127606</v>
      </c>
      <c r="AR11" s="187">
        <f>IFERROR(__xludf.DUMMYFUNCTION("""COMPUTED_VALUE"""),0.07503956615245007)</f>
        <v>0.07503956615</v>
      </c>
      <c r="AS11" s="186">
        <f>IFERROR(__xludf.DUMMYFUNCTION("""COMPUTED_VALUE"""),111158.2475)</f>
        <v>111158.2475</v>
      </c>
      <c r="AT11" s="75">
        <f>IFERROR(__xludf.DUMMYFUNCTION("""COMPUTED_VALUE"""),243.0)</f>
        <v>243</v>
      </c>
      <c r="AU11" s="75">
        <f>IFERROR(__xludf.DUMMYFUNCTION("""COMPUTED_VALUE"""),1977.0)</f>
        <v>1977</v>
      </c>
      <c r="AV11" s="190">
        <f>IFERROR(__xludf.DUMMYFUNCTION("""COMPUTED_VALUE"""),3349.75)</f>
        <v>3349.75</v>
      </c>
      <c r="AW11" s="75">
        <f>IFERROR(__xludf.DUMMYFUNCTION("""COMPUTED_VALUE"""),38.0)</f>
        <v>38</v>
      </c>
      <c r="AX11" s="75">
        <f>IFERROR(__xludf.DUMMYFUNCTION("""COMPUTED_VALUE"""),60.0)</f>
        <v>60</v>
      </c>
      <c r="AY11" s="75">
        <f>IFERROR(__xludf.DUMMYFUNCTION("""COMPUTED_VALUE"""),30.0)</f>
        <v>30</v>
      </c>
      <c r="AZ11" s="75">
        <f>IFERROR(__xludf.DUMMYFUNCTION("""COMPUTED_VALUE"""),4.0)</f>
        <v>4</v>
      </c>
      <c r="BA11" s="191"/>
      <c r="BB11" s="75"/>
      <c r="BC11" s="192"/>
      <c r="BD11" s="194"/>
      <c r="BE11" s="194"/>
    </row>
    <row r="12">
      <c r="A12" s="183" t="str">
        <f>IFERROR(__xludf.DUMMYFUNCTION("""COMPUTED_VALUE"""),"Syed Aqil Rizvi")</f>
        <v>Syed Aqil Rizvi</v>
      </c>
      <c r="B12" s="183" t="str">
        <f>IFERROR(__xludf.DUMMYFUNCTION("""COMPUTED_VALUE"""),"East U.P")</f>
        <v>East U.P</v>
      </c>
      <c r="C12" s="184" t="str">
        <f>IFERROR(__xludf.DUMMYFUNCTION("""COMPUTED_VALUE"""),"Vikas Kumar (Bareilly)")</f>
        <v>Vikas Kumar (Bareilly)</v>
      </c>
      <c r="D12" s="75" t="str">
        <f>IFERROR(__xludf.DUMMYFUNCTION("""COMPUTED_VALUE"""),"Bareill")</f>
        <v>Bareill</v>
      </c>
      <c r="E12" s="185">
        <f>IFERROR(__xludf.DUMMYFUNCTION("""COMPUTED_VALUE"""),45964.0)</f>
        <v>45964</v>
      </c>
      <c r="F12" s="184" t="str">
        <f>IFERROR(__xludf.DUMMYFUNCTION("""COMPUTED_VALUE"""),"East U.P")</f>
        <v>East U.P</v>
      </c>
      <c r="G12" s="186"/>
      <c r="H12" s="186">
        <f>IFERROR(__xludf.DUMMYFUNCTION("""COMPUTED_VALUE"""),0.0)</f>
        <v>0</v>
      </c>
      <c r="I12" s="186">
        <f>IFERROR(__xludf.DUMMYFUNCTION("""COMPUTED_VALUE"""),1.0E7)</f>
        <v>10000000</v>
      </c>
      <c r="J12" s="186">
        <f>IFERROR(__xludf.DUMMYFUNCTION("""COMPUTED_VALUE"""),1256855.88)</f>
        <v>1256855.88</v>
      </c>
      <c r="K12" s="186">
        <f>IFERROR(__xludf.DUMMYFUNCTION("""COMPUTED_VALUE"""),0.0)</f>
        <v>0</v>
      </c>
      <c r="L12" s="186">
        <f>IFERROR(__xludf.DUMMYFUNCTION("""COMPUTED_VALUE"""),2027983.0)</f>
        <v>2027983</v>
      </c>
      <c r="M12" s="187">
        <f>IFERROR(__xludf.DUMMYFUNCTION("""COMPUTED_VALUE"""),0.125685588)</f>
        <v>0.125685588</v>
      </c>
      <c r="N12" s="187">
        <f>IFERROR(__xludf.DUMMYFUNCTION("""COMPUTED_VALUE"""),0.0)</f>
        <v>0</v>
      </c>
      <c r="O12" s="187">
        <f>IFERROR(__xludf.DUMMYFUNCTION("""COMPUTED_VALUE"""),0.2027983)</f>
        <v>0.2027983</v>
      </c>
      <c r="P12" s="188">
        <f>IFERROR(__xludf.DUMMYFUNCTION("""COMPUTED_VALUE"""),12.0)</f>
        <v>12</v>
      </c>
      <c r="Q12" s="189">
        <f>IFERROR(__xludf.DUMMYFUNCTION("""COMPUTED_VALUE"""),49.0)</f>
        <v>49</v>
      </c>
      <c r="R12" s="188">
        <f>IFERROR(__xludf.DUMMYFUNCTION("""COMPUTED_VALUE"""),39.0)</f>
        <v>39</v>
      </c>
      <c r="S12" s="188">
        <f>IFERROR(__xludf.DUMMYFUNCTION("""COMPUTED_VALUE"""),37.0)</f>
        <v>37</v>
      </c>
      <c r="T12" s="188">
        <f>IFERROR(__xludf.DUMMYFUNCTION("""COMPUTED_VALUE"""),51.0)</f>
        <v>51</v>
      </c>
      <c r="U12" s="188">
        <f>IFERROR(__xludf.DUMMYFUNCTION("""COMPUTED_VALUE"""),2.0)</f>
        <v>2</v>
      </c>
      <c r="V12" s="189">
        <f>IFERROR(__xludf.DUMMYFUNCTION("""COMPUTED_VALUE"""),85504.81)</f>
        <v>85504.81</v>
      </c>
      <c r="W12" s="189">
        <f>IFERROR(__xludf.DUMMYFUNCTION("""COMPUTED_VALUE"""),1171351.07)</f>
        <v>1171351.07</v>
      </c>
      <c r="X12" s="188">
        <f>IFERROR(__xludf.DUMMYFUNCTION("""COMPUTED_VALUE"""),5.0)</f>
        <v>5</v>
      </c>
      <c r="Y12" s="188">
        <f>IFERROR(__xludf.DUMMYFUNCTION("""COMPUTED_VALUE"""),37.0)</f>
        <v>37</v>
      </c>
      <c r="Z12" s="188">
        <f>IFERROR(__xludf.DUMMYFUNCTION("""COMPUTED_VALUE"""),42.0)</f>
        <v>42</v>
      </c>
      <c r="AA12" s="188">
        <f>IFERROR(__xludf.DUMMYFUNCTION("""COMPUTED_VALUE"""),0.0)</f>
        <v>0</v>
      </c>
      <c r="AB12" s="188">
        <f>IFERROR(__xludf.DUMMYFUNCTION("""COMPUTED_VALUE"""),61.0)</f>
        <v>61</v>
      </c>
      <c r="AC12" s="188">
        <f>IFERROR(__xludf.DUMMYFUNCTION("""COMPUTED_VALUE"""),148.0)</f>
        <v>148</v>
      </c>
      <c r="AD12" s="188">
        <f>IFERROR(__xludf.DUMMYFUNCTION("""COMPUTED_VALUE"""),4.0)</f>
        <v>4</v>
      </c>
      <c r="AE12" s="188">
        <f>IFERROR(__xludf.DUMMYFUNCTION("""COMPUTED_VALUE"""),5.0)</f>
        <v>5</v>
      </c>
      <c r="AF12" s="188">
        <f>IFERROR(__xludf.DUMMYFUNCTION("""COMPUTED_VALUE"""),75.0)</f>
        <v>75</v>
      </c>
      <c r="AG12" s="188">
        <f>IFERROR(__xludf.DUMMYFUNCTION("""COMPUTED_VALUE"""),0.0)</f>
        <v>0</v>
      </c>
      <c r="AH12" s="188">
        <f>IFERROR(__xludf.DUMMYFUNCTION("""COMPUTED_VALUE"""),0.0)</f>
        <v>0</v>
      </c>
      <c r="AI12" s="188">
        <f>IFERROR(__xludf.DUMMYFUNCTION("""COMPUTED_VALUE"""),23.0)</f>
        <v>23</v>
      </c>
      <c r="AJ12" s="188">
        <f>IFERROR(__xludf.DUMMYFUNCTION("""COMPUTED_VALUE"""),93.0)</f>
        <v>93</v>
      </c>
      <c r="AK12" s="188">
        <f>IFERROR(__xludf.DUMMYFUNCTION("""COMPUTED_VALUE"""),250.0)</f>
        <v>250</v>
      </c>
      <c r="AL12" s="188">
        <f>IFERROR(__xludf.DUMMYFUNCTION("""COMPUTED_VALUE"""),566.0)</f>
        <v>566</v>
      </c>
      <c r="AM12" s="188">
        <f>IFERROR(__xludf.DUMMYFUNCTION("""COMPUTED_VALUE"""),122.0)</f>
        <v>122</v>
      </c>
      <c r="AN12" s="186">
        <f>IFERROR(__xludf.DUMMYFUNCTION("""COMPUTED_VALUE"""),10302.09737704918)</f>
        <v>10302.09738</v>
      </c>
      <c r="AO12" s="189">
        <f>IFERROR(__xludf.DUMMYFUNCTION("""COMPUTED_VALUE"""),4.639344262295082)</f>
        <v>4.639344262</v>
      </c>
      <c r="AP12" s="186">
        <f>IFERROR(__xludf.DUMMYFUNCTION("""COMPUTED_VALUE"""),322542.5)</f>
        <v>322542.5</v>
      </c>
      <c r="AQ12" s="186">
        <f>IFERROR(__xludf.DUMMYFUNCTION("""COMPUTED_VALUE"""),50083.0)</f>
        <v>50083</v>
      </c>
      <c r="AR12" s="187">
        <f>IFERROR(__xludf.DUMMYFUNCTION("""COMPUTED_VALUE"""),0.29647432607786345)</f>
        <v>0.2964743261</v>
      </c>
      <c r="AS12" s="186">
        <f>IFERROR(__xludf.DUMMYFUNCTION("""COMPUTED_VALUE"""),29925.139999999996)</f>
        <v>29925.14</v>
      </c>
      <c r="AT12" s="75">
        <f>IFERROR(__xludf.DUMMYFUNCTION("""COMPUTED_VALUE"""),83.0)</f>
        <v>83</v>
      </c>
      <c r="AU12" s="75">
        <f>IFERROR(__xludf.DUMMYFUNCTION("""COMPUTED_VALUE"""),1119.0)</f>
        <v>1119</v>
      </c>
      <c r="AV12" s="190">
        <f>IFERROR(__xludf.DUMMYFUNCTION("""COMPUTED_VALUE"""),2023.28)</f>
        <v>2023.28</v>
      </c>
      <c r="AW12" s="75">
        <f>IFERROR(__xludf.DUMMYFUNCTION("""COMPUTED_VALUE"""),41.0)</f>
        <v>41</v>
      </c>
      <c r="AX12" s="75">
        <f>IFERROR(__xludf.DUMMYFUNCTION("""COMPUTED_VALUE"""),42.0)</f>
        <v>42</v>
      </c>
      <c r="AY12" s="75">
        <f>IFERROR(__xludf.DUMMYFUNCTION("""COMPUTED_VALUE"""),7.0)</f>
        <v>7</v>
      </c>
      <c r="AZ12" s="75">
        <f>IFERROR(__xludf.DUMMYFUNCTION("""COMPUTED_VALUE"""),2.0)</f>
        <v>2</v>
      </c>
      <c r="BA12" s="191"/>
      <c r="BB12" s="75"/>
      <c r="BC12" s="192"/>
      <c r="BD12" s="194"/>
      <c r="BE12" s="194"/>
    </row>
    <row r="13">
      <c r="A13" s="183" t="str">
        <f>IFERROR(__xludf.DUMMYFUNCTION("""COMPUTED_VALUE"""),"Sunil Patel")</f>
        <v>Sunil Patel</v>
      </c>
      <c r="B13" s="183" t="str">
        <f>IFERROR(__xludf.DUMMYFUNCTION("""COMPUTED_VALUE"""),"Gujarat")</f>
        <v>Gujarat</v>
      </c>
      <c r="C13" s="184" t="str">
        <f>IFERROR(__xludf.DUMMYFUNCTION("""COMPUTED_VALUE"""),"Bhavesh N Ranpara")</f>
        <v>Bhavesh N Ranpara</v>
      </c>
      <c r="D13" s="75" t="str">
        <f>IFERROR(__xludf.DUMMYFUNCTION("""COMPUTED_VALUE"""),"Rajkot")</f>
        <v>Rajkot</v>
      </c>
      <c r="E13" s="185">
        <f>IFERROR(__xludf.DUMMYFUNCTION("""COMPUTED_VALUE"""),45638.0)</f>
        <v>45638</v>
      </c>
      <c r="F13" s="184" t="str">
        <f>IFERROR(__xludf.DUMMYFUNCTION("""COMPUTED_VALUE"""),"GUJARAT")</f>
        <v>GUJARAT</v>
      </c>
      <c r="G13" s="186"/>
      <c r="H13" s="186">
        <f>IFERROR(__xludf.DUMMYFUNCTION("""COMPUTED_VALUE"""),0.0)</f>
        <v>0</v>
      </c>
      <c r="I13" s="186">
        <f>IFERROR(__xludf.DUMMYFUNCTION("""COMPUTED_VALUE"""),1.2500004E7)</f>
        <v>12500004</v>
      </c>
      <c r="J13" s="186">
        <f>IFERROR(__xludf.DUMMYFUNCTION("""COMPUTED_VALUE"""),244183.86)</f>
        <v>244183.86</v>
      </c>
      <c r="K13" s="186">
        <f>IFERROR(__xludf.DUMMYFUNCTION("""COMPUTED_VALUE"""),0.0)</f>
        <v>0</v>
      </c>
      <c r="L13" s="186">
        <f>IFERROR(__xludf.DUMMYFUNCTION("""COMPUTED_VALUE"""),0.0)</f>
        <v>0</v>
      </c>
      <c r="M13" s="187">
        <f>IFERROR(__xludf.DUMMYFUNCTION("""COMPUTED_VALUE"""),0.019534702548895184)</f>
        <v>0.01953470255</v>
      </c>
      <c r="N13" s="187">
        <f>IFERROR(__xludf.DUMMYFUNCTION("""COMPUTED_VALUE"""),0.0)</f>
        <v>0</v>
      </c>
      <c r="O13" s="187">
        <f>IFERROR(__xludf.DUMMYFUNCTION("""COMPUTED_VALUE"""),0.0)</f>
        <v>0</v>
      </c>
      <c r="P13" s="188">
        <f>IFERROR(__xludf.DUMMYFUNCTION("""COMPUTED_VALUE"""),100.0)</f>
        <v>100</v>
      </c>
      <c r="Q13" s="189">
        <f>IFERROR(__xludf.DUMMYFUNCTION("""COMPUTED_VALUE"""),20.0)</f>
        <v>20</v>
      </c>
      <c r="R13" s="188">
        <f>IFERROR(__xludf.DUMMYFUNCTION("""COMPUTED_VALUE"""),1.0)</f>
        <v>1</v>
      </c>
      <c r="S13" s="188">
        <f>IFERROR(__xludf.DUMMYFUNCTION("""COMPUTED_VALUE"""),0.0)</f>
        <v>0</v>
      </c>
      <c r="T13" s="188">
        <f>IFERROR(__xludf.DUMMYFUNCTION("""COMPUTED_VALUE"""),101.0)</f>
        <v>101</v>
      </c>
      <c r="U13" s="188">
        <f>IFERROR(__xludf.DUMMYFUNCTION("""COMPUTED_VALUE"""),81.0)</f>
        <v>81</v>
      </c>
      <c r="V13" s="189">
        <f>IFERROR(__xludf.DUMMYFUNCTION("""COMPUTED_VALUE"""),244183.86)</f>
        <v>244183.86</v>
      </c>
      <c r="W13" s="189">
        <f>IFERROR(__xludf.DUMMYFUNCTION("""COMPUTED_VALUE"""),0.0)</f>
        <v>0</v>
      </c>
      <c r="X13" s="188">
        <f>IFERROR(__xludf.DUMMYFUNCTION("""COMPUTED_VALUE"""),16.0)</f>
        <v>16</v>
      </c>
      <c r="Y13" s="188">
        <f>IFERROR(__xludf.DUMMYFUNCTION("""COMPUTED_VALUE"""),0.0)</f>
        <v>0</v>
      </c>
      <c r="Z13" s="188">
        <f>IFERROR(__xludf.DUMMYFUNCTION("""COMPUTED_VALUE"""),16.0)</f>
        <v>16</v>
      </c>
      <c r="AA13" s="188">
        <f>IFERROR(__xludf.DUMMYFUNCTION("""COMPUTED_VALUE"""),0.0)</f>
        <v>0</v>
      </c>
      <c r="AB13" s="188">
        <f>IFERROR(__xludf.DUMMYFUNCTION("""COMPUTED_VALUE"""),218.0)</f>
        <v>218</v>
      </c>
      <c r="AC13" s="188">
        <f>IFERROR(__xludf.DUMMYFUNCTION("""COMPUTED_VALUE"""),586.0)</f>
        <v>586</v>
      </c>
      <c r="AD13" s="188">
        <f>IFERROR(__xludf.DUMMYFUNCTION("""COMPUTED_VALUE"""),124.0)</f>
        <v>124</v>
      </c>
      <c r="AE13" s="188">
        <f>IFERROR(__xludf.DUMMYFUNCTION("""COMPUTED_VALUE"""),2.0)</f>
        <v>2</v>
      </c>
      <c r="AF13" s="188">
        <f>IFERROR(__xludf.DUMMYFUNCTION("""COMPUTED_VALUE"""),81.0)</f>
        <v>81</v>
      </c>
      <c r="AG13" s="188">
        <f>IFERROR(__xludf.DUMMYFUNCTION("""COMPUTED_VALUE"""),0.0)</f>
        <v>0</v>
      </c>
      <c r="AH13" s="188">
        <f>IFERROR(__xludf.DUMMYFUNCTION("""COMPUTED_VALUE"""),0.0)</f>
        <v>0</v>
      </c>
      <c r="AI13" s="188">
        <f>IFERROR(__xludf.DUMMYFUNCTION("""COMPUTED_VALUE"""),0.0)</f>
        <v>0</v>
      </c>
      <c r="AJ13" s="188">
        <f>IFERROR(__xludf.DUMMYFUNCTION("""COMPUTED_VALUE"""),0.0)</f>
        <v>0</v>
      </c>
      <c r="AK13" s="188">
        <f>IFERROR(__xludf.DUMMYFUNCTION("""COMPUTED_VALUE"""),28.0)</f>
        <v>28</v>
      </c>
      <c r="AL13" s="188">
        <f>IFERROR(__xludf.DUMMYFUNCTION("""COMPUTED_VALUE"""),695.0)</f>
        <v>695</v>
      </c>
      <c r="AM13" s="188">
        <f>IFERROR(__xludf.DUMMYFUNCTION("""COMPUTED_VALUE"""),261.0)</f>
        <v>261</v>
      </c>
      <c r="AN13" s="186">
        <f>IFERROR(__xludf.DUMMYFUNCTION("""COMPUTED_VALUE"""),935.5703448275862)</f>
        <v>935.5703448</v>
      </c>
      <c r="AO13" s="189">
        <f>IFERROR(__xludf.DUMMYFUNCTION("""COMPUTED_VALUE"""),2.6628352490421454)</f>
        <v>2.662835249</v>
      </c>
      <c r="AP13" s="186">
        <f>IFERROR(__xludf.DUMMYFUNCTION("""COMPUTED_VALUE"""),572640.0)</f>
        <v>572640</v>
      </c>
      <c r="AQ13" s="186">
        <f>IFERROR(__xludf.DUMMYFUNCTION("""COMPUTED_VALUE"""),142607.0)</f>
        <v>142607</v>
      </c>
      <c r="AR13" s="187">
        <f>IFERROR(__xludf.DUMMYFUNCTION("""COMPUTED_VALUE"""),2.9291329901984513)</f>
        <v>2.92913299</v>
      </c>
      <c r="AS13" s="186">
        <f>IFERROR(__xludf.DUMMYFUNCTION("""COMPUTED_VALUE"""),15261.49125)</f>
        <v>15261.49125</v>
      </c>
      <c r="AT13" s="75">
        <f>IFERROR(__xludf.DUMMYFUNCTION("""COMPUTED_VALUE"""),30.0)</f>
        <v>30</v>
      </c>
      <c r="AU13" s="75">
        <f>IFERROR(__xludf.DUMMYFUNCTION("""COMPUTED_VALUE"""),2924.0)</f>
        <v>2924</v>
      </c>
      <c r="AV13" s="190">
        <f>IFERROR(__xludf.DUMMYFUNCTION("""COMPUTED_VALUE"""),2775.07)</f>
        <v>2775.07</v>
      </c>
      <c r="AW13" s="75">
        <f>IFERROR(__xludf.DUMMYFUNCTION("""COMPUTED_VALUE"""),139.0)</f>
        <v>139</v>
      </c>
      <c r="AX13" s="75">
        <f>IFERROR(__xludf.DUMMYFUNCTION("""COMPUTED_VALUE"""),16.0)</f>
        <v>16</v>
      </c>
      <c r="AY13" s="75">
        <f>IFERROR(__xludf.DUMMYFUNCTION("""COMPUTED_VALUE"""),14.0)</f>
        <v>14</v>
      </c>
      <c r="AZ13" s="75">
        <f>IFERROR(__xludf.DUMMYFUNCTION("""COMPUTED_VALUE"""),71.0)</f>
        <v>71</v>
      </c>
      <c r="BA13" s="191"/>
      <c r="BB13" s="75"/>
      <c r="BC13" s="192"/>
      <c r="BD13" s="194"/>
      <c r="BE13" s="194"/>
    </row>
    <row r="14">
      <c r="A14" s="183" t="str">
        <f>IFERROR(__xludf.DUMMYFUNCTION("""COMPUTED_VALUE"""),"Sunil Patel")</f>
        <v>Sunil Patel</v>
      </c>
      <c r="B14" s="183" t="str">
        <f>IFERROR(__xludf.DUMMYFUNCTION("""COMPUTED_VALUE"""),"Gujarat")</f>
        <v>Gujarat</v>
      </c>
      <c r="C14" s="184" t="str">
        <f>IFERROR(__xludf.DUMMYFUNCTION("""COMPUTED_VALUE"""),"Rathod Vijaybhai")</f>
        <v>Rathod Vijaybhai</v>
      </c>
      <c r="D14" s="75" t="str">
        <f>IFERROR(__xludf.DUMMYFUNCTION("""COMPUTED_VALUE"""),"Surat")</f>
        <v>Surat</v>
      </c>
      <c r="E14" s="185">
        <f>IFERROR(__xludf.DUMMYFUNCTION("""COMPUTED_VALUE"""),45810.0)</f>
        <v>45810</v>
      </c>
      <c r="F14" s="184" t="str">
        <f>IFERROR(__xludf.DUMMYFUNCTION("""COMPUTED_VALUE"""),"GUJARAT")</f>
        <v>GUJARAT</v>
      </c>
      <c r="G14" s="186"/>
      <c r="H14" s="186">
        <f>IFERROR(__xludf.DUMMYFUNCTION("""COMPUTED_VALUE"""),0.0)</f>
        <v>0</v>
      </c>
      <c r="I14" s="186">
        <f>IFERROR(__xludf.DUMMYFUNCTION("""COMPUTED_VALUE"""),8000000.0)</f>
        <v>8000000</v>
      </c>
      <c r="J14" s="186">
        <f>IFERROR(__xludf.DUMMYFUNCTION("""COMPUTED_VALUE"""),2939713.64)</f>
        <v>2939713.64</v>
      </c>
      <c r="K14" s="186">
        <f>IFERROR(__xludf.DUMMYFUNCTION("""COMPUTED_VALUE"""),0.0)</f>
        <v>0</v>
      </c>
      <c r="L14" s="186">
        <f>IFERROR(__xludf.DUMMYFUNCTION("""COMPUTED_VALUE"""),0.0)</f>
        <v>0</v>
      </c>
      <c r="M14" s="187">
        <f>IFERROR(__xludf.DUMMYFUNCTION("""COMPUTED_VALUE"""),0.36746420500000004)</f>
        <v>0.367464205</v>
      </c>
      <c r="N14" s="187">
        <f>IFERROR(__xludf.DUMMYFUNCTION("""COMPUTED_VALUE"""),0.0)</f>
        <v>0</v>
      </c>
      <c r="O14" s="187">
        <f>IFERROR(__xludf.DUMMYFUNCTION("""COMPUTED_VALUE"""),0.0)</f>
        <v>0</v>
      </c>
      <c r="P14" s="188">
        <f>IFERROR(__xludf.DUMMYFUNCTION("""COMPUTED_VALUE"""),21.0)</f>
        <v>21</v>
      </c>
      <c r="Q14" s="189">
        <f>IFERROR(__xludf.DUMMYFUNCTION("""COMPUTED_VALUE"""),44.0)</f>
        <v>44</v>
      </c>
      <c r="R14" s="188">
        <f>IFERROR(__xludf.DUMMYFUNCTION("""COMPUTED_VALUE"""),23.0)</f>
        <v>23</v>
      </c>
      <c r="S14" s="188">
        <f>IFERROR(__xludf.DUMMYFUNCTION("""COMPUTED_VALUE"""),23.0)</f>
        <v>23</v>
      </c>
      <c r="T14" s="188">
        <f>IFERROR(__xludf.DUMMYFUNCTION("""COMPUTED_VALUE"""),44.0)</f>
        <v>44</v>
      </c>
      <c r="U14" s="188">
        <f>IFERROR(__xludf.DUMMYFUNCTION("""COMPUTED_VALUE"""),0.0)</f>
        <v>0</v>
      </c>
      <c r="V14" s="189">
        <f>IFERROR(__xludf.DUMMYFUNCTION("""COMPUTED_VALUE"""),925658.96)</f>
        <v>925658.96</v>
      </c>
      <c r="W14" s="189">
        <f>IFERROR(__xludf.DUMMYFUNCTION("""COMPUTED_VALUE"""),2014054.68)</f>
        <v>2014054.68</v>
      </c>
      <c r="X14" s="188">
        <f>IFERROR(__xludf.DUMMYFUNCTION("""COMPUTED_VALUE"""),14.0)</f>
        <v>14</v>
      </c>
      <c r="Y14" s="188">
        <f>IFERROR(__xludf.DUMMYFUNCTION("""COMPUTED_VALUE"""),23.0)</f>
        <v>23</v>
      </c>
      <c r="Z14" s="188">
        <f>IFERROR(__xludf.DUMMYFUNCTION("""COMPUTED_VALUE"""),37.0)</f>
        <v>37</v>
      </c>
      <c r="AA14" s="188">
        <f>IFERROR(__xludf.DUMMYFUNCTION("""COMPUTED_VALUE"""),0.0)</f>
        <v>0</v>
      </c>
      <c r="AB14" s="188">
        <f>IFERROR(__xludf.DUMMYFUNCTION("""COMPUTED_VALUE"""),124.0)</f>
        <v>124</v>
      </c>
      <c r="AC14" s="188">
        <f>IFERROR(__xludf.DUMMYFUNCTION("""COMPUTED_VALUE"""),366.0)</f>
        <v>366</v>
      </c>
      <c r="AD14" s="188">
        <f>IFERROR(__xludf.DUMMYFUNCTION("""COMPUTED_VALUE"""),2.0)</f>
        <v>2</v>
      </c>
      <c r="AE14" s="188">
        <f>IFERROR(__xludf.DUMMYFUNCTION("""COMPUTED_VALUE"""),1.0)</f>
        <v>1</v>
      </c>
      <c r="AF14" s="188">
        <f>IFERROR(__xludf.DUMMYFUNCTION("""COMPUTED_VALUE"""),93.0)</f>
        <v>93</v>
      </c>
      <c r="AG14" s="188">
        <f>IFERROR(__xludf.DUMMYFUNCTION("""COMPUTED_VALUE"""),0.0)</f>
        <v>0</v>
      </c>
      <c r="AH14" s="188">
        <f>IFERROR(__xludf.DUMMYFUNCTION("""COMPUTED_VALUE"""),0.0)</f>
        <v>0</v>
      </c>
      <c r="AI14" s="188">
        <f>IFERROR(__xludf.DUMMYFUNCTION("""COMPUTED_VALUE"""),1.0)</f>
        <v>1</v>
      </c>
      <c r="AJ14" s="188">
        <f>IFERROR(__xludf.DUMMYFUNCTION("""COMPUTED_VALUE"""),2.0)</f>
        <v>2</v>
      </c>
      <c r="AK14" s="188">
        <f>IFERROR(__xludf.DUMMYFUNCTION("""COMPUTED_VALUE"""),461.0)</f>
        <v>461</v>
      </c>
      <c r="AL14" s="188">
        <f>IFERROR(__xludf.DUMMYFUNCTION("""COMPUTED_VALUE"""),922.0)</f>
        <v>922</v>
      </c>
      <c r="AM14" s="188">
        <f>IFERROR(__xludf.DUMMYFUNCTION("""COMPUTED_VALUE"""),229.0)</f>
        <v>229</v>
      </c>
      <c r="AN14" s="186">
        <f>IFERROR(__xludf.DUMMYFUNCTION("""COMPUTED_VALUE"""),12837.177467248908)</f>
        <v>12837.17747</v>
      </c>
      <c r="AO14" s="189">
        <f>IFERROR(__xludf.DUMMYFUNCTION("""COMPUTED_VALUE"""),4.026200873362446)</f>
        <v>4.026200873</v>
      </c>
      <c r="AP14" s="186">
        <f>IFERROR(__xludf.DUMMYFUNCTION("""COMPUTED_VALUE"""),382850.0)</f>
        <v>382850</v>
      </c>
      <c r="AQ14" s="186">
        <f>IFERROR(__xludf.DUMMYFUNCTION("""COMPUTED_VALUE"""),97509.0)</f>
        <v>97509</v>
      </c>
      <c r="AR14" s="187">
        <f>IFERROR(__xludf.DUMMYFUNCTION("""COMPUTED_VALUE"""),0.16340333067271137)</f>
        <v>0.1634033307</v>
      </c>
      <c r="AS14" s="186">
        <f>IFERROR(__xludf.DUMMYFUNCTION("""COMPUTED_VALUE"""),79451.72)</f>
        <v>79451.72</v>
      </c>
      <c r="AT14" s="75">
        <f>IFERROR(__xludf.DUMMYFUNCTION("""COMPUTED_VALUE"""),190.0)</f>
        <v>190</v>
      </c>
      <c r="AU14" s="75">
        <f>IFERROR(__xludf.DUMMYFUNCTION("""COMPUTED_VALUE"""),1800.0)</f>
        <v>1800</v>
      </c>
      <c r="AV14" s="190">
        <f>IFERROR(__xludf.DUMMYFUNCTION("""COMPUTED_VALUE"""),1355.17)</f>
        <v>1355.17</v>
      </c>
      <c r="AW14" s="75">
        <f>IFERROR(__xludf.DUMMYFUNCTION("""COMPUTED_VALUE"""),31.0)</f>
        <v>31</v>
      </c>
      <c r="AX14" s="75">
        <f>IFERROR(__xludf.DUMMYFUNCTION("""COMPUTED_VALUE"""),37.0)</f>
        <v>37</v>
      </c>
      <c r="AY14" s="75">
        <f>IFERROR(__xludf.DUMMYFUNCTION("""COMPUTED_VALUE"""),7.0)</f>
        <v>7</v>
      </c>
      <c r="AZ14" s="75">
        <f>IFERROR(__xludf.DUMMYFUNCTION("""COMPUTED_VALUE"""),0.0)</f>
        <v>0</v>
      </c>
      <c r="BA14" s="191"/>
      <c r="BB14" s="75"/>
      <c r="BC14" s="192"/>
      <c r="BD14" s="194"/>
      <c r="BE14" s="194"/>
    </row>
    <row r="15">
      <c r="A15" s="183" t="str">
        <f>IFERROR(__xludf.DUMMYFUNCTION("""COMPUTED_VALUE"""),"Pawan Sharma")</f>
        <v>Pawan Sharma</v>
      </c>
      <c r="B15" s="183" t="str">
        <f>IFERROR(__xludf.DUMMYFUNCTION("""COMPUTED_VALUE"""),"Haryana")</f>
        <v>Haryana</v>
      </c>
      <c r="C15" s="184" t="str">
        <f>IFERROR(__xludf.DUMMYFUNCTION("""COMPUTED_VALUE"""),"Ishant")</f>
        <v>Ishant</v>
      </c>
      <c r="D15" s="75" t="str">
        <f>IFERROR(__xludf.DUMMYFUNCTION("""COMPUTED_VALUE"""),"Sonipat")</f>
        <v>Sonipat</v>
      </c>
      <c r="E15" s="185">
        <f>IFERROR(__xludf.DUMMYFUNCTION("""COMPUTED_VALUE"""),45979.0)</f>
        <v>45979</v>
      </c>
      <c r="F15" s="184" t="str">
        <f>IFERROR(__xludf.DUMMYFUNCTION("""COMPUTED_VALUE"""),"HARYANA")</f>
        <v>HARYANA</v>
      </c>
      <c r="G15" s="186"/>
      <c r="H15" s="186">
        <f>IFERROR(__xludf.DUMMYFUNCTION("""COMPUTED_VALUE"""),0.0)</f>
        <v>0</v>
      </c>
      <c r="I15" s="186">
        <f>IFERROR(__xludf.DUMMYFUNCTION("""COMPUTED_VALUE"""),3800000.0)</f>
        <v>3800000</v>
      </c>
      <c r="J15" s="186">
        <f>IFERROR(__xludf.DUMMYFUNCTION("""COMPUTED_VALUE"""),471673.53)</f>
        <v>471673.53</v>
      </c>
      <c r="K15" s="186">
        <f>IFERROR(__xludf.DUMMYFUNCTION("""COMPUTED_VALUE"""),0.0)</f>
        <v>0</v>
      </c>
      <c r="L15" s="186">
        <f>IFERROR(__xludf.DUMMYFUNCTION("""COMPUTED_VALUE"""),476505.0)</f>
        <v>476505</v>
      </c>
      <c r="M15" s="187">
        <f>IFERROR(__xludf.DUMMYFUNCTION("""COMPUTED_VALUE"""),0.12412461315789475)</f>
        <v>0.1241246132</v>
      </c>
      <c r="N15" s="187">
        <f>IFERROR(__xludf.DUMMYFUNCTION("""COMPUTED_VALUE"""),0.0)</f>
        <v>0</v>
      </c>
      <c r="O15" s="187">
        <f>IFERROR(__xludf.DUMMYFUNCTION("""COMPUTED_VALUE"""),0.12539605263157894)</f>
        <v>0.1253960526</v>
      </c>
      <c r="P15" s="188">
        <f>IFERROR(__xludf.DUMMYFUNCTION("""COMPUTED_VALUE"""),33.0)</f>
        <v>33</v>
      </c>
      <c r="Q15" s="189">
        <f>IFERROR(__xludf.DUMMYFUNCTION("""COMPUTED_VALUE"""),40.0)</f>
        <v>40</v>
      </c>
      <c r="R15" s="188">
        <f>IFERROR(__xludf.DUMMYFUNCTION("""COMPUTED_VALUE"""),7.0)</f>
        <v>7</v>
      </c>
      <c r="S15" s="188">
        <f>IFERROR(__xludf.DUMMYFUNCTION("""COMPUTED_VALUE"""),7.0)</f>
        <v>7</v>
      </c>
      <c r="T15" s="188">
        <f>IFERROR(__xludf.DUMMYFUNCTION("""COMPUTED_VALUE"""),40.0)</f>
        <v>40</v>
      </c>
      <c r="U15" s="188">
        <f>IFERROR(__xludf.DUMMYFUNCTION("""COMPUTED_VALUE"""),0.0)</f>
        <v>0</v>
      </c>
      <c r="V15" s="189">
        <f>IFERROR(__xludf.DUMMYFUNCTION("""COMPUTED_VALUE"""),56896.77)</f>
        <v>56896.77</v>
      </c>
      <c r="W15" s="189">
        <f>IFERROR(__xludf.DUMMYFUNCTION("""COMPUTED_VALUE"""),414776.76)</f>
        <v>414776.76</v>
      </c>
      <c r="X15" s="188">
        <f>IFERROR(__xludf.DUMMYFUNCTION("""COMPUTED_VALUE"""),2.0)</f>
        <v>2</v>
      </c>
      <c r="Y15" s="188">
        <f>IFERROR(__xludf.DUMMYFUNCTION("""COMPUTED_VALUE"""),7.0)</f>
        <v>7</v>
      </c>
      <c r="Z15" s="188">
        <f>IFERROR(__xludf.DUMMYFUNCTION("""COMPUTED_VALUE"""),9.0)</f>
        <v>9</v>
      </c>
      <c r="AA15" s="188">
        <f>IFERROR(__xludf.DUMMYFUNCTION("""COMPUTED_VALUE"""),0.0)</f>
        <v>0</v>
      </c>
      <c r="AB15" s="188">
        <f>IFERROR(__xludf.DUMMYFUNCTION("""COMPUTED_VALUE"""),153.0)</f>
        <v>153</v>
      </c>
      <c r="AC15" s="188">
        <f>IFERROR(__xludf.DUMMYFUNCTION("""COMPUTED_VALUE"""),299.0)</f>
        <v>299</v>
      </c>
      <c r="AD15" s="188">
        <f>IFERROR(__xludf.DUMMYFUNCTION("""COMPUTED_VALUE"""),2.0)</f>
        <v>2</v>
      </c>
      <c r="AE15" s="188">
        <f>IFERROR(__xludf.DUMMYFUNCTION("""COMPUTED_VALUE"""),3.0)</f>
        <v>3</v>
      </c>
      <c r="AF15" s="188">
        <f>IFERROR(__xludf.DUMMYFUNCTION("""COMPUTED_VALUE"""),87.0)</f>
        <v>87</v>
      </c>
      <c r="AG15" s="188">
        <f>IFERROR(__xludf.DUMMYFUNCTION("""COMPUTED_VALUE"""),0.0)</f>
        <v>0</v>
      </c>
      <c r="AH15" s="188">
        <f>IFERROR(__xludf.DUMMYFUNCTION("""COMPUTED_VALUE"""),0.0)</f>
        <v>0</v>
      </c>
      <c r="AI15" s="188">
        <f>IFERROR(__xludf.DUMMYFUNCTION("""COMPUTED_VALUE"""),2.0)</f>
        <v>2</v>
      </c>
      <c r="AJ15" s="188">
        <f>IFERROR(__xludf.DUMMYFUNCTION("""COMPUTED_VALUE"""),2.0)</f>
        <v>2</v>
      </c>
      <c r="AK15" s="188">
        <f>IFERROR(__xludf.DUMMYFUNCTION("""COMPUTED_VALUE"""),213.0)</f>
        <v>213</v>
      </c>
      <c r="AL15" s="188">
        <f>IFERROR(__xludf.DUMMYFUNCTION("""COMPUTED_VALUE"""),601.0)</f>
        <v>601</v>
      </c>
      <c r="AM15" s="188">
        <f>IFERROR(__xludf.DUMMYFUNCTION("""COMPUTED_VALUE"""),99.0)</f>
        <v>99</v>
      </c>
      <c r="AN15" s="186">
        <f>IFERROR(__xludf.DUMMYFUNCTION("""COMPUTED_VALUE"""),4764.379090909091)</f>
        <v>4764.379091</v>
      </c>
      <c r="AO15" s="189">
        <f>IFERROR(__xludf.DUMMYFUNCTION("""COMPUTED_VALUE"""),6.070707070707071)</f>
        <v>6.070707071</v>
      </c>
      <c r="AP15" s="186">
        <f>IFERROR(__xludf.DUMMYFUNCTION("""COMPUTED_VALUE"""),173604.0)</f>
        <v>173604</v>
      </c>
      <c r="AQ15" s="186">
        <f>IFERROR(__xludf.DUMMYFUNCTION("""COMPUTED_VALUE"""),25836.0)</f>
        <v>25836</v>
      </c>
      <c r="AR15" s="187">
        <f>IFERROR(__xludf.DUMMYFUNCTION("""COMPUTED_VALUE"""),0.4228348366294797)</f>
        <v>0.4228348366</v>
      </c>
      <c r="AS15" s="186">
        <f>IFERROR(__xludf.DUMMYFUNCTION("""COMPUTED_VALUE"""),52408.170000000006)</f>
        <v>52408.17</v>
      </c>
      <c r="AT15" s="75">
        <f>IFERROR(__xludf.DUMMYFUNCTION("""COMPUTED_VALUE"""),20.0)</f>
        <v>20</v>
      </c>
      <c r="AU15" s="75">
        <f>IFERROR(__xludf.DUMMYFUNCTION("""COMPUTED_VALUE"""),920.0)</f>
        <v>920</v>
      </c>
      <c r="AV15" s="190">
        <f>IFERROR(__xludf.DUMMYFUNCTION("""COMPUTED_VALUE"""),1385.95)</f>
        <v>1385.95</v>
      </c>
      <c r="AW15" s="75">
        <f>IFERROR(__xludf.DUMMYFUNCTION("""COMPUTED_VALUE"""),35.0)</f>
        <v>35</v>
      </c>
      <c r="AX15" s="75">
        <f>IFERROR(__xludf.DUMMYFUNCTION("""COMPUTED_VALUE"""),9.0)</f>
        <v>9</v>
      </c>
      <c r="AY15" s="75">
        <f>IFERROR(__xludf.DUMMYFUNCTION("""COMPUTED_VALUE"""),31.0)</f>
        <v>31</v>
      </c>
      <c r="AZ15" s="75">
        <f>IFERROR(__xludf.DUMMYFUNCTION("""COMPUTED_VALUE"""),0.0)</f>
        <v>0</v>
      </c>
      <c r="BA15" s="191"/>
      <c r="BB15" s="75"/>
      <c r="BC15" s="192"/>
      <c r="BD15" s="194"/>
      <c r="BE15" s="194"/>
    </row>
    <row r="16">
      <c r="A16" s="183" t="str">
        <f>IFERROR(__xludf.DUMMYFUNCTION("""COMPUTED_VALUE"""),"Nasir Hussain Khan")</f>
        <v>Nasir Hussain Khan</v>
      </c>
      <c r="B16" s="183" t="str">
        <f>IFERROR(__xludf.DUMMYFUNCTION("""COMPUTED_VALUE"""),"JAMMU AND KASHMIR")</f>
        <v>JAMMU AND KASHMIR</v>
      </c>
      <c r="C16" s="184" t="str">
        <f>IFERROR(__xludf.DUMMYFUNCTION("""COMPUTED_VALUE"""),"PAWAN KUMAR")</f>
        <v>PAWAN KUMAR</v>
      </c>
      <c r="D16" s="75" t="str">
        <f>IFERROR(__xludf.DUMMYFUNCTION("""COMPUTED_VALUE"""),"JAMMU")</f>
        <v>JAMMU</v>
      </c>
      <c r="E16" s="185">
        <f>IFERROR(__xludf.DUMMYFUNCTION("""COMPUTED_VALUE"""),44684.0)</f>
        <v>44684</v>
      </c>
      <c r="F16" s="184" t="str">
        <f>IFERROR(__xludf.DUMMYFUNCTION("""COMPUTED_VALUE"""),"JAMMU AND KASHMIR")</f>
        <v>JAMMU AND KASHMIR</v>
      </c>
      <c r="G16" s="186"/>
      <c r="H16" s="186">
        <f>IFERROR(__xludf.DUMMYFUNCTION("""COMPUTED_VALUE"""),3999996.0)</f>
        <v>3999996</v>
      </c>
      <c r="I16" s="186">
        <f>IFERROR(__xludf.DUMMYFUNCTION("""COMPUTED_VALUE"""),2.4E7)</f>
        <v>24000000</v>
      </c>
      <c r="J16" s="186">
        <f>IFERROR(__xludf.DUMMYFUNCTION("""COMPUTED_VALUE"""),1.253355992E7)</f>
        <v>12533559.92</v>
      </c>
      <c r="K16" s="186">
        <f>IFERROR(__xludf.DUMMYFUNCTION("""COMPUTED_VALUE"""),448818.22)</f>
        <v>448818.22</v>
      </c>
      <c r="L16" s="186">
        <f>IFERROR(__xludf.DUMMYFUNCTION("""COMPUTED_VALUE"""),1.2136994E7)</f>
        <v>12136994</v>
      </c>
      <c r="M16" s="187">
        <f>IFERROR(__xludf.DUMMYFUNCTION("""COMPUTED_VALUE"""),0.4636564283794898)</f>
        <v>0.4636564284</v>
      </c>
      <c r="N16" s="187">
        <f>IFERROR(__xludf.DUMMYFUNCTION("""COMPUTED_VALUE"""),0.54)</f>
        <v>0.54</v>
      </c>
      <c r="O16" s="187">
        <f>IFERROR(__xludf.DUMMYFUNCTION("""COMPUTED_VALUE"""),0.43346413335201905)</f>
        <v>0.4334641334</v>
      </c>
      <c r="P16" s="188">
        <f>IFERROR(__xludf.DUMMYFUNCTION("""COMPUTED_VALUE"""),29.0)</f>
        <v>29</v>
      </c>
      <c r="Q16" s="189">
        <f>IFERROR(__xludf.DUMMYFUNCTION("""COMPUTED_VALUE"""),26.0)</f>
        <v>26</v>
      </c>
      <c r="R16" s="188">
        <f>IFERROR(__xludf.DUMMYFUNCTION("""COMPUTED_VALUE"""),1.0)</f>
        <v>1</v>
      </c>
      <c r="S16" s="188">
        <f>IFERROR(__xludf.DUMMYFUNCTION("""COMPUTED_VALUE"""),1.0)</f>
        <v>1</v>
      </c>
      <c r="T16" s="188">
        <f>IFERROR(__xludf.DUMMYFUNCTION("""COMPUTED_VALUE"""),30.0)</f>
        <v>30</v>
      </c>
      <c r="U16" s="188">
        <f>IFERROR(__xludf.DUMMYFUNCTION("""COMPUTED_VALUE"""),4.0)</f>
        <v>4</v>
      </c>
      <c r="V16" s="189">
        <f>IFERROR(__xludf.DUMMYFUNCTION("""COMPUTED_VALUE"""),1.247511022E7)</f>
        <v>12475110.22</v>
      </c>
      <c r="W16" s="189">
        <f>IFERROR(__xludf.DUMMYFUNCTION("""COMPUTED_VALUE"""),58449.7)</f>
        <v>58449.7</v>
      </c>
      <c r="X16" s="188">
        <f>IFERROR(__xludf.DUMMYFUNCTION("""COMPUTED_VALUE"""),17.0)</f>
        <v>17</v>
      </c>
      <c r="Y16" s="188">
        <f>IFERROR(__xludf.DUMMYFUNCTION("""COMPUTED_VALUE"""),1.0)</f>
        <v>1</v>
      </c>
      <c r="Z16" s="188">
        <f>IFERROR(__xludf.DUMMYFUNCTION("""COMPUTED_VALUE"""),18.0)</f>
        <v>18</v>
      </c>
      <c r="AA16" s="188">
        <f>IFERROR(__xludf.DUMMYFUNCTION("""COMPUTED_VALUE"""),1.0)</f>
        <v>1</v>
      </c>
      <c r="AB16" s="188">
        <f>IFERROR(__xludf.DUMMYFUNCTION("""COMPUTED_VALUE"""),6.0)</f>
        <v>6</v>
      </c>
      <c r="AC16" s="188">
        <f>IFERROR(__xludf.DUMMYFUNCTION("""COMPUTED_VALUE"""),7.0)</f>
        <v>7</v>
      </c>
      <c r="AD16" s="188">
        <f>IFERROR(__xludf.DUMMYFUNCTION("""COMPUTED_VALUE"""),106.0)</f>
        <v>106</v>
      </c>
      <c r="AE16" s="188">
        <f>IFERROR(__xludf.DUMMYFUNCTION("""COMPUTED_VALUE"""),5.0)</f>
        <v>5</v>
      </c>
      <c r="AF16" s="188">
        <f>IFERROR(__xludf.DUMMYFUNCTION("""COMPUTED_VALUE"""),123.0)</f>
        <v>123</v>
      </c>
      <c r="AG16" s="188">
        <f>IFERROR(__xludf.DUMMYFUNCTION("""COMPUTED_VALUE"""),1.0)</f>
        <v>1</v>
      </c>
      <c r="AH16" s="188">
        <f>IFERROR(__xludf.DUMMYFUNCTION("""COMPUTED_VALUE"""),30.0)</f>
        <v>30</v>
      </c>
      <c r="AI16" s="188">
        <f>IFERROR(__xludf.DUMMYFUNCTION("""COMPUTED_VALUE"""),0.0)</f>
        <v>0</v>
      </c>
      <c r="AJ16" s="188">
        <f>IFERROR(__xludf.DUMMYFUNCTION("""COMPUTED_VALUE"""),0.0)</f>
        <v>0</v>
      </c>
      <c r="AK16" s="188">
        <f>IFERROR(__xludf.DUMMYFUNCTION("""COMPUTED_VALUE"""),825.0)</f>
        <v>825</v>
      </c>
      <c r="AL16" s="188">
        <f>IFERROR(__xludf.DUMMYFUNCTION("""COMPUTED_VALUE"""),985.0)</f>
        <v>985</v>
      </c>
      <c r="AM16" s="188">
        <f>IFERROR(__xludf.DUMMYFUNCTION("""COMPUTED_VALUE"""),276.0)</f>
        <v>276</v>
      </c>
      <c r="AN16" s="186">
        <f>IFERROR(__xludf.DUMMYFUNCTION("""COMPUTED_VALUE"""),47037.60195652174)</f>
        <v>47037.60196</v>
      </c>
      <c r="AO16" s="189">
        <f>IFERROR(__xludf.DUMMYFUNCTION("""COMPUTED_VALUE"""),3.568840579710145)</f>
        <v>3.56884058</v>
      </c>
      <c r="AP16" s="186">
        <f>IFERROR(__xludf.DUMMYFUNCTION("""COMPUTED_VALUE"""),522060.0)</f>
        <v>522060</v>
      </c>
      <c r="AQ16" s="186">
        <f>IFERROR(__xludf.DUMMYFUNCTION("""COMPUTED_VALUE"""),182199.0)</f>
        <v>182199</v>
      </c>
      <c r="AR16" s="187">
        <f>IFERROR(__xludf.DUMMYFUNCTION("""COMPUTED_VALUE"""),0.05424730295215388)</f>
        <v>0.05424730295</v>
      </c>
      <c r="AS16" s="186">
        <f>IFERROR(__xludf.DUMMYFUNCTION("""COMPUTED_VALUE"""),696308.8844444444)</f>
        <v>696308.8844</v>
      </c>
      <c r="AT16" s="75">
        <f>IFERROR(__xludf.DUMMYFUNCTION("""COMPUTED_VALUE"""),92.0)</f>
        <v>92</v>
      </c>
      <c r="AU16" s="75">
        <f>IFERROR(__xludf.DUMMYFUNCTION("""COMPUTED_VALUE"""),21.0)</f>
        <v>21</v>
      </c>
      <c r="AV16" s="190">
        <f>IFERROR(__xludf.DUMMYFUNCTION("""COMPUTED_VALUE"""),0.0)</f>
        <v>0</v>
      </c>
      <c r="AW16" s="75">
        <f>IFERROR(__xludf.DUMMYFUNCTION("""COMPUTED_VALUE"""),0.0)</f>
        <v>0</v>
      </c>
      <c r="AX16" s="75">
        <f>IFERROR(__xludf.DUMMYFUNCTION("""COMPUTED_VALUE"""),18.0)</f>
        <v>18</v>
      </c>
      <c r="AY16" s="75">
        <f>IFERROR(__xludf.DUMMYFUNCTION("""COMPUTED_VALUE"""),2.0)</f>
        <v>2</v>
      </c>
      <c r="AZ16" s="75">
        <f>IFERROR(__xludf.DUMMYFUNCTION("""COMPUTED_VALUE"""),12.0)</f>
        <v>12</v>
      </c>
      <c r="BA16" s="191"/>
      <c r="BB16" s="75"/>
      <c r="BC16" s="192"/>
      <c r="BD16" s="194"/>
      <c r="BE16" s="194"/>
    </row>
    <row r="17">
      <c r="A17" s="183" t="str">
        <f>IFERROR(__xludf.DUMMYFUNCTION("""COMPUTED_VALUE"""),"Nasir Hussain Khan")</f>
        <v>Nasir Hussain Khan</v>
      </c>
      <c r="B17" s="183" t="str">
        <f>IFERROR(__xludf.DUMMYFUNCTION("""COMPUTED_VALUE"""),"JAMMU AND KASHMIR")</f>
        <v>JAMMU AND KASHMIR</v>
      </c>
      <c r="C17" s="184" t="str">
        <f>IFERROR(__xludf.DUMMYFUNCTION("""COMPUTED_VALUE"""),"Vishant Bandhral")</f>
        <v>Vishant Bandhral</v>
      </c>
      <c r="D17" s="75" t="str">
        <f>IFERROR(__xludf.DUMMYFUNCTION("""COMPUTED_VALUE"""),"Udhampur")</f>
        <v>Udhampur</v>
      </c>
      <c r="E17" s="185">
        <f>IFERROR(__xludf.DUMMYFUNCTION("""COMPUTED_VALUE"""),45208.0)</f>
        <v>45208</v>
      </c>
      <c r="F17" s="184" t="str">
        <f>IFERROR(__xludf.DUMMYFUNCTION("""COMPUTED_VALUE"""),"JAMMU AND KASHMIR")</f>
        <v>JAMMU AND KASHMIR</v>
      </c>
      <c r="G17" s="186"/>
      <c r="H17" s="186">
        <f>IFERROR(__xludf.DUMMYFUNCTION("""COMPUTED_VALUE"""),2000004.0)</f>
        <v>2000004</v>
      </c>
      <c r="I17" s="186">
        <f>IFERROR(__xludf.DUMMYFUNCTION("""COMPUTED_VALUE"""),1.2E7)</f>
        <v>12000000</v>
      </c>
      <c r="J17" s="186">
        <f>IFERROR(__xludf.DUMMYFUNCTION("""COMPUTED_VALUE"""),2616075.48)</f>
        <v>2616075.48</v>
      </c>
      <c r="K17" s="186">
        <f>IFERROR(__xludf.DUMMYFUNCTION("""COMPUTED_VALUE"""),435045.81)</f>
        <v>435045.81</v>
      </c>
      <c r="L17" s="186">
        <f>IFERROR(__xludf.DUMMYFUNCTION("""COMPUTED_VALUE"""),2973305.0)</f>
        <v>2973305</v>
      </c>
      <c r="M17" s="187">
        <f>IFERROR(__xludf.DUMMYFUNCTION("""COMPUTED_VALUE"""),0.21793717273223637)</f>
        <v>0.2179371727</v>
      </c>
      <c r="N17" s="187">
        <f>IFERROR(__xludf.DUMMYFUNCTION("""COMPUTED_VALUE"""),0.22)</f>
        <v>0.22</v>
      </c>
      <c r="O17" s="187">
        <f>IFERROR(__xludf.DUMMYFUNCTION("""COMPUTED_VALUE"""),0.21237886789175203)</f>
        <v>0.2123788679</v>
      </c>
      <c r="P17" s="188">
        <f>IFERROR(__xludf.DUMMYFUNCTION("""COMPUTED_VALUE"""),22.0)</f>
        <v>22</v>
      </c>
      <c r="Q17" s="189">
        <f>IFERROR(__xludf.DUMMYFUNCTION("""COMPUTED_VALUE"""),29.0)</f>
        <v>29</v>
      </c>
      <c r="R17" s="188">
        <f>IFERROR(__xludf.DUMMYFUNCTION("""COMPUTED_VALUE"""),7.0)</f>
        <v>7</v>
      </c>
      <c r="S17" s="188">
        <f>IFERROR(__xludf.DUMMYFUNCTION("""COMPUTED_VALUE"""),7.0)</f>
        <v>7</v>
      </c>
      <c r="T17" s="188">
        <f>IFERROR(__xludf.DUMMYFUNCTION("""COMPUTED_VALUE"""),29.0)</f>
        <v>29</v>
      </c>
      <c r="U17" s="188">
        <f>IFERROR(__xludf.DUMMYFUNCTION("""COMPUTED_VALUE"""),0.0)</f>
        <v>0</v>
      </c>
      <c r="V17" s="189">
        <f>IFERROR(__xludf.DUMMYFUNCTION("""COMPUTED_VALUE"""),1585253.79)</f>
        <v>1585253.79</v>
      </c>
      <c r="W17" s="189">
        <f>IFERROR(__xludf.DUMMYFUNCTION("""COMPUTED_VALUE"""),1030821.69)</f>
        <v>1030821.69</v>
      </c>
      <c r="X17" s="188">
        <f>IFERROR(__xludf.DUMMYFUNCTION("""COMPUTED_VALUE"""),17.0)</f>
        <v>17</v>
      </c>
      <c r="Y17" s="188">
        <f>IFERROR(__xludf.DUMMYFUNCTION("""COMPUTED_VALUE"""),7.0)</f>
        <v>7</v>
      </c>
      <c r="Z17" s="188">
        <f>IFERROR(__xludf.DUMMYFUNCTION("""COMPUTED_VALUE"""),24.0)</f>
        <v>24</v>
      </c>
      <c r="AA17" s="188">
        <f>IFERROR(__xludf.DUMMYFUNCTION("""COMPUTED_VALUE"""),2.0)</f>
        <v>2</v>
      </c>
      <c r="AB17" s="188">
        <f>IFERROR(__xludf.DUMMYFUNCTION("""COMPUTED_VALUE"""),24.0)</f>
        <v>24</v>
      </c>
      <c r="AC17" s="188">
        <f>IFERROR(__xludf.DUMMYFUNCTION("""COMPUTED_VALUE"""),50.0)</f>
        <v>50</v>
      </c>
      <c r="AD17" s="188">
        <f>IFERROR(__xludf.DUMMYFUNCTION("""COMPUTED_VALUE"""),98.0)</f>
        <v>98</v>
      </c>
      <c r="AE17" s="188">
        <f>IFERROR(__xludf.DUMMYFUNCTION("""COMPUTED_VALUE"""),2.0)</f>
        <v>2</v>
      </c>
      <c r="AF17" s="188">
        <f>IFERROR(__xludf.DUMMYFUNCTION("""COMPUTED_VALUE"""),68.0)</f>
        <v>68</v>
      </c>
      <c r="AG17" s="188">
        <f>IFERROR(__xludf.DUMMYFUNCTION("""COMPUTED_VALUE"""),2.0)</f>
        <v>2</v>
      </c>
      <c r="AH17" s="188">
        <f>IFERROR(__xludf.DUMMYFUNCTION("""COMPUTED_VALUE"""),30.0)</f>
        <v>30</v>
      </c>
      <c r="AI17" s="188">
        <f>IFERROR(__xludf.DUMMYFUNCTION("""COMPUTED_VALUE"""),0.0)</f>
        <v>0</v>
      </c>
      <c r="AJ17" s="188">
        <f>IFERROR(__xludf.DUMMYFUNCTION("""COMPUTED_VALUE"""),0.0)</f>
        <v>0</v>
      </c>
      <c r="AK17" s="188">
        <f>IFERROR(__xludf.DUMMYFUNCTION("""COMPUTED_VALUE"""),1003.0)</f>
        <v>1003</v>
      </c>
      <c r="AL17" s="188">
        <f>IFERROR(__xludf.DUMMYFUNCTION("""COMPUTED_VALUE"""),1151.0)</f>
        <v>1151</v>
      </c>
      <c r="AM17" s="188">
        <f>IFERROR(__xludf.DUMMYFUNCTION("""COMPUTED_VALUE"""),271.0)</f>
        <v>271</v>
      </c>
      <c r="AN17" s="186">
        <f>IFERROR(__xludf.DUMMYFUNCTION("""COMPUTED_VALUE"""),11258.750147601477)</f>
        <v>11258.75015</v>
      </c>
      <c r="AO17" s="189">
        <f>IFERROR(__xludf.DUMMYFUNCTION("""COMPUTED_VALUE"""),4.247232472324724)</f>
        <v>4.247232472</v>
      </c>
      <c r="AP17" s="186">
        <f>IFERROR(__xludf.DUMMYFUNCTION("""COMPUTED_VALUE"""),290712.0)</f>
        <v>290712</v>
      </c>
      <c r="AQ17" s="186">
        <f>IFERROR(__xludf.DUMMYFUNCTION("""COMPUTED_VALUE"""),76636.0)</f>
        <v>76636</v>
      </c>
      <c r="AR17" s="187">
        <f>IFERROR(__xludf.DUMMYFUNCTION("""COMPUTED_VALUE"""),0.12039770467466404)</f>
        <v>0.1203977047</v>
      </c>
      <c r="AS17" s="186">
        <f>IFERROR(__xludf.DUMMYFUNCTION("""COMPUTED_VALUE"""),109003.145)</f>
        <v>109003.145</v>
      </c>
      <c r="AT17" s="75">
        <f>IFERROR(__xludf.DUMMYFUNCTION("""COMPUTED_VALUE"""),70.0)</f>
        <v>70</v>
      </c>
      <c r="AU17" s="75">
        <f>IFERROR(__xludf.DUMMYFUNCTION("""COMPUTED_VALUE"""),2580.0)</f>
        <v>2580</v>
      </c>
      <c r="AV17" s="190">
        <f>IFERROR(__xludf.DUMMYFUNCTION("""COMPUTED_VALUE"""),2289.28)</f>
        <v>2289.28</v>
      </c>
      <c r="AW17" s="75">
        <f>IFERROR(__xludf.DUMMYFUNCTION("""COMPUTED_VALUE"""),79.0)</f>
        <v>79</v>
      </c>
      <c r="AX17" s="75">
        <f>IFERROR(__xludf.DUMMYFUNCTION("""COMPUTED_VALUE"""),24.0)</f>
        <v>24</v>
      </c>
      <c r="AY17" s="75">
        <f>IFERROR(__xludf.DUMMYFUNCTION("""COMPUTED_VALUE"""),5.0)</f>
        <v>5</v>
      </c>
      <c r="AZ17" s="75">
        <f>IFERROR(__xludf.DUMMYFUNCTION("""COMPUTED_VALUE"""),0.0)</f>
        <v>0</v>
      </c>
      <c r="BA17" s="191"/>
      <c r="BB17" s="75"/>
      <c r="BC17" s="192"/>
      <c r="BD17" s="194"/>
      <c r="BE17" s="194"/>
    </row>
    <row r="18">
      <c r="A18" s="183" t="str">
        <f>IFERROR(__xludf.DUMMYFUNCTION("""COMPUTED_VALUE"""),"Biju C.O")</f>
        <v>Biju C.O</v>
      </c>
      <c r="B18" s="183" t="str">
        <f>IFERROR(__xludf.DUMMYFUNCTION("""COMPUTED_VALUE"""),"Kerala")</f>
        <v>Kerala</v>
      </c>
      <c r="C18" s="184" t="str">
        <f>IFERROR(__xludf.DUMMYFUNCTION("""COMPUTED_VALUE"""),"Jijo")</f>
        <v>Jijo</v>
      </c>
      <c r="D18" s="75" t="str">
        <f>IFERROR(__xludf.DUMMYFUNCTION("""COMPUTED_VALUE"""),"Manjeri")</f>
        <v>Manjeri</v>
      </c>
      <c r="E18" s="185">
        <f>IFERROR(__xludf.DUMMYFUNCTION("""COMPUTED_VALUE"""),45933.0)</f>
        <v>45933</v>
      </c>
      <c r="F18" s="184" t="str">
        <f>IFERROR(__xludf.DUMMYFUNCTION("""COMPUTED_VALUE"""),"KERALA")</f>
        <v>KERALA</v>
      </c>
      <c r="G18" s="186"/>
      <c r="H18" s="186">
        <f>IFERROR(__xludf.DUMMYFUNCTION("""COMPUTED_VALUE"""),0.0)</f>
        <v>0</v>
      </c>
      <c r="I18" s="186">
        <f>IFERROR(__xludf.DUMMYFUNCTION("""COMPUTED_VALUE"""),7500000.0)</f>
        <v>7500000</v>
      </c>
      <c r="J18" s="186">
        <f>IFERROR(__xludf.DUMMYFUNCTION("""COMPUTED_VALUE"""),3681893.4)</f>
        <v>3681893.4</v>
      </c>
      <c r="K18" s="186">
        <f>IFERROR(__xludf.DUMMYFUNCTION("""COMPUTED_VALUE"""),0.0)</f>
        <v>0</v>
      </c>
      <c r="L18" s="186">
        <f>IFERROR(__xludf.DUMMYFUNCTION("""COMPUTED_VALUE"""),3415793.84)</f>
        <v>3415793.84</v>
      </c>
      <c r="M18" s="187">
        <f>IFERROR(__xludf.DUMMYFUNCTION("""COMPUTED_VALUE"""),0.49091912)</f>
        <v>0.49091912</v>
      </c>
      <c r="N18" s="187">
        <f>IFERROR(__xludf.DUMMYFUNCTION("""COMPUTED_VALUE"""),0.0)</f>
        <v>0</v>
      </c>
      <c r="O18" s="187">
        <f>IFERROR(__xludf.DUMMYFUNCTION("""COMPUTED_VALUE"""),0.45543917866666667)</f>
        <v>0.4554391787</v>
      </c>
      <c r="P18" s="188">
        <f>IFERROR(__xludf.DUMMYFUNCTION("""COMPUTED_VALUE"""),46.0)</f>
        <v>46</v>
      </c>
      <c r="Q18" s="189">
        <f>IFERROR(__xludf.DUMMYFUNCTION("""COMPUTED_VALUE"""),68.0)</f>
        <v>68</v>
      </c>
      <c r="R18" s="188">
        <f>IFERROR(__xludf.DUMMYFUNCTION("""COMPUTED_VALUE"""),23.0)</f>
        <v>23</v>
      </c>
      <c r="S18" s="188">
        <f>IFERROR(__xludf.DUMMYFUNCTION("""COMPUTED_VALUE"""),21.0)</f>
        <v>21</v>
      </c>
      <c r="T18" s="188">
        <f>IFERROR(__xludf.DUMMYFUNCTION("""COMPUTED_VALUE"""),69.0)</f>
        <v>69</v>
      </c>
      <c r="U18" s="188">
        <f>IFERROR(__xludf.DUMMYFUNCTION("""COMPUTED_VALUE"""),1.0)</f>
        <v>1</v>
      </c>
      <c r="V18" s="189">
        <f>IFERROR(__xludf.DUMMYFUNCTION("""COMPUTED_VALUE"""),2836935.6)</f>
        <v>2836935.6</v>
      </c>
      <c r="W18" s="189">
        <f>IFERROR(__xludf.DUMMYFUNCTION("""COMPUTED_VALUE"""),844957.8)</f>
        <v>844957.8</v>
      </c>
      <c r="X18" s="188">
        <f>IFERROR(__xludf.DUMMYFUNCTION("""COMPUTED_VALUE"""),34.0)</f>
        <v>34</v>
      </c>
      <c r="Y18" s="188">
        <f>IFERROR(__xludf.DUMMYFUNCTION("""COMPUTED_VALUE"""),21.0)</f>
        <v>21</v>
      </c>
      <c r="Z18" s="188">
        <f>IFERROR(__xludf.DUMMYFUNCTION("""COMPUTED_VALUE"""),55.0)</f>
        <v>55</v>
      </c>
      <c r="AA18" s="188">
        <f>IFERROR(__xludf.DUMMYFUNCTION("""COMPUTED_VALUE"""),0.0)</f>
        <v>0</v>
      </c>
      <c r="AB18" s="188">
        <f>IFERROR(__xludf.DUMMYFUNCTION("""COMPUTED_VALUE"""),13.0)</f>
        <v>13</v>
      </c>
      <c r="AC18" s="188">
        <f>IFERROR(__xludf.DUMMYFUNCTION("""COMPUTED_VALUE"""),58.0)</f>
        <v>58</v>
      </c>
      <c r="AD18" s="188">
        <f>IFERROR(__xludf.DUMMYFUNCTION("""COMPUTED_VALUE"""),0.0)</f>
        <v>0</v>
      </c>
      <c r="AE18" s="188">
        <f>IFERROR(__xludf.DUMMYFUNCTION("""COMPUTED_VALUE"""),1.0)</f>
        <v>1</v>
      </c>
      <c r="AF18" s="188">
        <f>IFERROR(__xludf.DUMMYFUNCTION("""COMPUTED_VALUE"""),22.0)</f>
        <v>22</v>
      </c>
      <c r="AG18" s="188">
        <f>IFERROR(__xludf.DUMMYFUNCTION("""COMPUTED_VALUE"""),0.0)</f>
        <v>0</v>
      </c>
      <c r="AH18" s="188">
        <f>IFERROR(__xludf.DUMMYFUNCTION("""COMPUTED_VALUE"""),0.0)</f>
        <v>0</v>
      </c>
      <c r="AI18" s="188">
        <f>IFERROR(__xludf.DUMMYFUNCTION("""COMPUTED_VALUE"""),0.0)</f>
        <v>0</v>
      </c>
      <c r="AJ18" s="188">
        <f>IFERROR(__xludf.DUMMYFUNCTION("""COMPUTED_VALUE"""),0.0)</f>
        <v>0</v>
      </c>
      <c r="AK18" s="188">
        <f>IFERROR(__xludf.DUMMYFUNCTION("""COMPUTED_VALUE"""),1011.0)</f>
        <v>1011</v>
      </c>
      <c r="AL18" s="188">
        <f>IFERROR(__xludf.DUMMYFUNCTION("""COMPUTED_VALUE"""),1091.0)</f>
        <v>1091</v>
      </c>
      <c r="AM18" s="188">
        <f>IFERROR(__xludf.DUMMYFUNCTION("""COMPUTED_VALUE"""),145.0)</f>
        <v>145</v>
      </c>
      <c r="AN18" s="186">
        <f>IFERROR(__xludf.DUMMYFUNCTION("""COMPUTED_VALUE"""),25392.368275862067)</f>
        <v>25392.36828</v>
      </c>
      <c r="AO18" s="189">
        <f>IFERROR(__xludf.DUMMYFUNCTION("""COMPUTED_VALUE"""),7.524137931034483)</f>
        <v>7.524137931</v>
      </c>
      <c r="AP18" s="186">
        <f>IFERROR(__xludf.DUMMYFUNCTION("""COMPUTED_VALUE"""),159387.09677419355)</f>
        <v>159387.0968</v>
      </c>
      <c r="AQ18" s="186">
        <f>IFERROR(__xludf.DUMMYFUNCTION("""COMPUTED_VALUE"""),76514.0)</f>
        <v>76514</v>
      </c>
      <c r="AR18" s="187">
        <f>IFERROR(__xludf.DUMMYFUNCTION("""COMPUTED_VALUE"""),0.06407059388905544)</f>
        <v>0.06407059389</v>
      </c>
      <c r="AS18" s="186">
        <f>IFERROR(__xludf.DUMMYFUNCTION("""COMPUTED_VALUE"""),66943.51636363636)</f>
        <v>66943.51636</v>
      </c>
      <c r="AT18" s="75">
        <f>IFERROR(__xludf.DUMMYFUNCTION("""COMPUTED_VALUE"""),171.0)</f>
        <v>171</v>
      </c>
      <c r="AU18" s="75">
        <f>IFERROR(__xludf.DUMMYFUNCTION("""COMPUTED_VALUE"""),1453.0)</f>
        <v>1453</v>
      </c>
      <c r="AV18" s="190">
        <f>IFERROR(__xludf.DUMMYFUNCTION("""COMPUTED_VALUE"""),2581.89)</f>
        <v>2581.89</v>
      </c>
      <c r="AW18" s="75">
        <f>IFERROR(__xludf.DUMMYFUNCTION("""COMPUTED_VALUE"""),38.0)</f>
        <v>38</v>
      </c>
      <c r="AX18" s="75">
        <f>IFERROR(__xludf.DUMMYFUNCTION("""COMPUTED_VALUE"""),55.0)</f>
        <v>55</v>
      </c>
      <c r="AY18" s="75">
        <f>IFERROR(__xludf.DUMMYFUNCTION("""COMPUTED_VALUE"""),13.0)</f>
        <v>13</v>
      </c>
      <c r="AZ18" s="75">
        <f>IFERROR(__xludf.DUMMYFUNCTION("""COMPUTED_VALUE"""),1.0)</f>
        <v>1</v>
      </c>
      <c r="BA18" s="191"/>
      <c r="BB18" s="75"/>
      <c r="BC18" s="192"/>
      <c r="BD18" s="194"/>
      <c r="BE18" s="194"/>
    </row>
    <row r="19">
      <c r="A19" s="183" t="str">
        <f>IFERROR(__xludf.DUMMYFUNCTION("""COMPUTED_VALUE"""),"Syed Aqil Rizvi")</f>
        <v>Syed Aqil Rizvi</v>
      </c>
      <c r="B19" s="183" t="str">
        <f>IFERROR(__xludf.DUMMYFUNCTION("""COMPUTED_VALUE"""),"Madhya Pradesh")</f>
        <v>Madhya Pradesh</v>
      </c>
      <c r="C19" s="184" t="str">
        <f>IFERROR(__xludf.DUMMYFUNCTION("""COMPUTED_VALUE"""),"Manoj Yadav")</f>
        <v>Manoj Yadav</v>
      </c>
      <c r="D19" s="75" t="str">
        <f>IFERROR(__xludf.DUMMYFUNCTION("""COMPUTED_VALUE"""),"Bhopal")</f>
        <v>Bhopal</v>
      </c>
      <c r="E19" s="185">
        <f>IFERROR(__xludf.DUMMYFUNCTION("""COMPUTED_VALUE"""),45658.0)</f>
        <v>45658</v>
      </c>
      <c r="F19" s="184" t="str">
        <f>IFERROR(__xludf.DUMMYFUNCTION("""COMPUTED_VALUE"""),"MADHYA PRADESH")</f>
        <v>MADHYA PRADESH</v>
      </c>
      <c r="G19" s="186"/>
      <c r="H19" s="186">
        <f>IFERROR(__xludf.DUMMYFUNCTION("""COMPUTED_VALUE"""),0.0)</f>
        <v>0</v>
      </c>
      <c r="I19" s="186">
        <f>IFERROR(__xludf.DUMMYFUNCTION("""COMPUTED_VALUE"""),1.4000004E7)</f>
        <v>14000004</v>
      </c>
      <c r="J19" s="186">
        <f>IFERROR(__xludf.DUMMYFUNCTION("""COMPUTED_VALUE"""),6786619.67)</f>
        <v>6786619.67</v>
      </c>
      <c r="K19" s="186">
        <f>IFERROR(__xludf.DUMMYFUNCTION("""COMPUTED_VALUE"""),0.0)</f>
        <v>0</v>
      </c>
      <c r="L19" s="186">
        <f>IFERROR(__xludf.DUMMYFUNCTION("""COMPUTED_VALUE"""),5232734.0)</f>
        <v>5232734</v>
      </c>
      <c r="M19" s="187">
        <f>IFERROR(__xludf.DUMMYFUNCTION("""COMPUTED_VALUE"""),0.4847584093547402)</f>
        <v>0.4847584094</v>
      </c>
      <c r="N19" s="187">
        <f>IFERROR(__xludf.DUMMYFUNCTION("""COMPUTED_VALUE"""),0.0)</f>
        <v>0</v>
      </c>
      <c r="O19" s="187">
        <f>IFERROR(__xludf.DUMMYFUNCTION("""COMPUTED_VALUE"""),0.373766607495255)</f>
        <v>0.3737666075</v>
      </c>
      <c r="P19" s="188">
        <f>IFERROR(__xludf.DUMMYFUNCTION("""COMPUTED_VALUE"""),28.0)</f>
        <v>28</v>
      </c>
      <c r="Q19" s="189">
        <f>IFERROR(__xludf.DUMMYFUNCTION("""COMPUTED_VALUE"""),56.0)</f>
        <v>56</v>
      </c>
      <c r="R19" s="188">
        <f>IFERROR(__xludf.DUMMYFUNCTION("""COMPUTED_VALUE"""),31.0)</f>
        <v>31</v>
      </c>
      <c r="S19" s="188">
        <f>IFERROR(__xludf.DUMMYFUNCTION("""COMPUTED_VALUE"""),30.0)</f>
        <v>30</v>
      </c>
      <c r="T19" s="188">
        <f>IFERROR(__xludf.DUMMYFUNCTION("""COMPUTED_VALUE"""),59.0)</f>
        <v>59</v>
      </c>
      <c r="U19" s="188">
        <f>IFERROR(__xludf.DUMMYFUNCTION("""COMPUTED_VALUE"""),3.0)</f>
        <v>3</v>
      </c>
      <c r="V19" s="189">
        <f>IFERROR(__xludf.DUMMYFUNCTION("""COMPUTED_VALUE"""),2445813.39)</f>
        <v>2445813.39</v>
      </c>
      <c r="W19" s="189">
        <f>IFERROR(__xludf.DUMMYFUNCTION("""COMPUTED_VALUE"""),4340806.28)</f>
        <v>4340806.28</v>
      </c>
      <c r="X19" s="188">
        <f>IFERROR(__xludf.DUMMYFUNCTION("""COMPUTED_VALUE"""),14.0)</f>
        <v>14</v>
      </c>
      <c r="Y19" s="188">
        <f>IFERROR(__xludf.DUMMYFUNCTION("""COMPUTED_VALUE"""),30.0)</f>
        <v>30</v>
      </c>
      <c r="Z19" s="188">
        <f>IFERROR(__xludf.DUMMYFUNCTION("""COMPUTED_VALUE"""),44.0)</f>
        <v>44</v>
      </c>
      <c r="AA19" s="188">
        <f>IFERROR(__xludf.DUMMYFUNCTION("""COMPUTED_VALUE"""),0.0)</f>
        <v>0</v>
      </c>
      <c r="AB19" s="188">
        <f>IFERROR(__xludf.DUMMYFUNCTION("""COMPUTED_VALUE"""),237.0)</f>
        <v>237</v>
      </c>
      <c r="AC19" s="188">
        <f>IFERROR(__xludf.DUMMYFUNCTION("""COMPUTED_VALUE"""),452.0)</f>
        <v>452</v>
      </c>
      <c r="AD19" s="188">
        <f>IFERROR(__xludf.DUMMYFUNCTION("""COMPUTED_VALUE"""),74.0)</f>
        <v>74</v>
      </c>
      <c r="AE19" s="188">
        <f>IFERROR(__xludf.DUMMYFUNCTION("""COMPUTED_VALUE"""),1.0)</f>
        <v>1</v>
      </c>
      <c r="AF19" s="188">
        <f>IFERROR(__xludf.DUMMYFUNCTION("""COMPUTED_VALUE"""),18.0)</f>
        <v>18</v>
      </c>
      <c r="AG19" s="188">
        <f>IFERROR(__xludf.DUMMYFUNCTION("""COMPUTED_VALUE"""),0.0)</f>
        <v>0</v>
      </c>
      <c r="AH19" s="188">
        <f>IFERROR(__xludf.DUMMYFUNCTION("""COMPUTED_VALUE"""),0.0)</f>
        <v>0</v>
      </c>
      <c r="AI19" s="188">
        <f>IFERROR(__xludf.DUMMYFUNCTION("""COMPUTED_VALUE"""),0.0)</f>
        <v>0</v>
      </c>
      <c r="AJ19" s="188">
        <f>IFERROR(__xludf.DUMMYFUNCTION("""COMPUTED_VALUE"""),0.0)</f>
        <v>0</v>
      </c>
      <c r="AK19" s="188">
        <f>IFERROR(__xludf.DUMMYFUNCTION("""COMPUTED_VALUE"""),957.0)</f>
        <v>957</v>
      </c>
      <c r="AL19" s="188">
        <f>IFERROR(__xludf.DUMMYFUNCTION("""COMPUTED_VALUE"""),1427.0)</f>
        <v>1427</v>
      </c>
      <c r="AM19" s="188">
        <f>IFERROR(__xludf.DUMMYFUNCTION("""COMPUTED_VALUE"""),281.0)</f>
        <v>281</v>
      </c>
      <c r="AN19" s="186">
        <f>IFERROR(__xludf.DUMMYFUNCTION("""COMPUTED_VALUE"""),24151.671423487544)</f>
        <v>24151.67142</v>
      </c>
      <c r="AO19" s="189">
        <f>IFERROR(__xludf.DUMMYFUNCTION("""COMPUTED_VALUE"""),5.07829181494662)</f>
        <v>5.078291815</v>
      </c>
      <c r="AP19" s="186">
        <f>IFERROR(__xludf.DUMMYFUNCTION("""COMPUTED_VALUE"""),434256.0)</f>
        <v>434256</v>
      </c>
      <c r="AQ19" s="186">
        <f>IFERROR(__xludf.DUMMYFUNCTION("""COMPUTED_VALUE"""),117372.0)</f>
        <v>117372</v>
      </c>
      <c r="AR19" s="187">
        <f>IFERROR(__xludf.DUMMYFUNCTION("""COMPUTED_VALUE"""),0.08128170235300662)</f>
        <v>0.08128170235</v>
      </c>
      <c r="AS19" s="186">
        <f>IFERROR(__xludf.DUMMYFUNCTION("""COMPUTED_VALUE"""),154241.35613636364)</f>
        <v>154241.3561</v>
      </c>
      <c r="AT19" s="75">
        <f>IFERROR(__xludf.DUMMYFUNCTION("""COMPUTED_VALUE"""),225.0)</f>
        <v>225</v>
      </c>
      <c r="AU19" s="75">
        <f>IFERROR(__xludf.DUMMYFUNCTION("""COMPUTED_VALUE"""),2207.0)</f>
        <v>2207</v>
      </c>
      <c r="AV19" s="190">
        <f>IFERROR(__xludf.DUMMYFUNCTION("""COMPUTED_VALUE"""),2135.91)</f>
        <v>2135.91</v>
      </c>
      <c r="AW19" s="75">
        <f>IFERROR(__xludf.DUMMYFUNCTION("""COMPUTED_VALUE"""),38.0)</f>
        <v>38</v>
      </c>
      <c r="AX19" s="75">
        <f>IFERROR(__xludf.DUMMYFUNCTION("""COMPUTED_VALUE"""),44.0)</f>
        <v>44</v>
      </c>
      <c r="AY19" s="75">
        <f>IFERROR(__xludf.DUMMYFUNCTION("""COMPUTED_VALUE"""),12.0)</f>
        <v>12</v>
      </c>
      <c r="AZ19" s="75">
        <f>IFERROR(__xludf.DUMMYFUNCTION("""COMPUTED_VALUE"""),3.0)</f>
        <v>3</v>
      </c>
      <c r="BA19" s="191"/>
      <c r="BB19" s="75"/>
      <c r="BC19" s="192"/>
      <c r="BD19" s="194"/>
      <c r="BE19" s="194"/>
    </row>
    <row r="20">
      <c r="A20" s="183" t="str">
        <f>IFERROR(__xludf.DUMMYFUNCTION("""COMPUTED_VALUE"""),"Syed Aqil Rizvi")</f>
        <v>Syed Aqil Rizvi</v>
      </c>
      <c r="B20" s="183" t="str">
        <f>IFERROR(__xludf.DUMMYFUNCTION("""COMPUTED_VALUE"""),"Madhya Pradesh")</f>
        <v>Madhya Pradesh</v>
      </c>
      <c r="C20" s="184" t="str">
        <f>IFERROR(__xludf.DUMMYFUNCTION("""COMPUTED_VALUE"""),"Pradeep Kumar Dwivedi")</f>
        <v>Pradeep Kumar Dwivedi</v>
      </c>
      <c r="D20" s="75" t="str">
        <f>IFERROR(__xludf.DUMMYFUNCTION("""COMPUTED_VALUE"""),"Rewa")</f>
        <v>Rewa</v>
      </c>
      <c r="E20" s="185">
        <f>IFERROR(__xludf.DUMMYFUNCTION("""COMPUTED_VALUE"""),45964.0)</f>
        <v>45964</v>
      </c>
      <c r="F20" s="184" t="str">
        <f>IFERROR(__xludf.DUMMYFUNCTION("""COMPUTED_VALUE"""),"MADHYA PRADESH")</f>
        <v>MADHYA PRADESH</v>
      </c>
      <c r="G20" s="186"/>
      <c r="H20" s="186">
        <f>IFERROR(__xludf.DUMMYFUNCTION("""COMPUTED_VALUE"""),0.0)</f>
        <v>0</v>
      </c>
      <c r="I20" s="186">
        <f>IFERROR(__xludf.DUMMYFUNCTION("""COMPUTED_VALUE"""),7000000.0)</f>
        <v>7000000</v>
      </c>
      <c r="J20" s="186">
        <f>IFERROR(__xludf.DUMMYFUNCTION("""COMPUTED_VALUE"""),1490819.6)</f>
        <v>1490819.6</v>
      </c>
      <c r="K20" s="186">
        <f>IFERROR(__xludf.DUMMYFUNCTION("""COMPUTED_VALUE"""),338105.43)</f>
        <v>338105.43</v>
      </c>
      <c r="L20" s="186">
        <f>IFERROR(__xludf.DUMMYFUNCTION("""COMPUTED_VALUE"""),1336548.0)</f>
        <v>1336548</v>
      </c>
      <c r="M20" s="187">
        <f>IFERROR(__xludf.DUMMYFUNCTION("""COMPUTED_VALUE"""),0.26127500428571426)</f>
        <v>0.2612750043</v>
      </c>
      <c r="N20" s="187">
        <f>IFERROR(__xludf.DUMMYFUNCTION("""COMPUTED_VALUE"""),0.0)</f>
        <v>0</v>
      </c>
      <c r="O20" s="187">
        <f>IFERROR(__xludf.DUMMYFUNCTION("""COMPUTED_VALUE"""),0.19093542857142856)</f>
        <v>0.1909354286</v>
      </c>
      <c r="P20" s="188">
        <f>IFERROR(__xludf.DUMMYFUNCTION("""COMPUTED_VALUE"""),56.0)</f>
        <v>56</v>
      </c>
      <c r="Q20" s="189">
        <f>IFERROR(__xludf.DUMMYFUNCTION("""COMPUTED_VALUE"""),80.0)</f>
        <v>80</v>
      </c>
      <c r="R20" s="188">
        <f>IFERROR(__xludf.DUMMYFUNCTION("""COMPUTED_VALUE"""),24.0)</f>
        <v>24</v>
      </c>
      <c r="S20" s="188">
        <f>IFERROR(__xludf.DUMMYFUNCTION("""COMPUTED_VALUE"""),23.0)</f>
        <v>23</v>
      </c>
      <c r="T20" s="188">
        <f>IFERROR(__xludf.DUMMYFUNCTION("""COMPUTED_VALUE"""),80.0)</f>
        <v>80</v>
      </c>
      <c r="U20" s="188">
        <f>IFERROR(__xludf.DUMMYFUNCTION("""COMPUTED_VALUE"""),0.0)</f>
        <v>0</v>
      </c>
      <c r="V20" s="189">
        <f>IFERROR(__xludf.DUMMYFUNCTION("""COMPUTED_VALUE"""),829860.2)</f>
        <v>829860.2</v>
      </c>
      <c r="W20" s="189">
        <f>IFERROR(__xludf.DUMMYFUNCTION("""COMPUTED_VALUE"""),660959.4)</f>
        <v>660959.4</v>
      </c>
      <c r="X20" s="188">
        <f>IFERROR(__xludf.DUMMYFUNCTION("""COMPUTED_VALUE"""),30.0)</f>
        <v>30</v>
      </c>
      <c r="Y20" s="188">
        <f>IFERROR(__xludf.DUMMYFUNCTION("""COMPUTED_VALUE"""),23.0)</f>
        <v>23</v>
      </c>
      <c r="Z20" s="188">
        <f>IFERROR(__xludf.DUMMYFUNCTION("""COMPUTED_VALUE"""),53.0)</f>
        <v>53</v>
      </c>
      <c r="AA20" s="188">
        <f>IFERROR(__xludf.DUMMYFUNCTION("""COMPUTED_VALUE"""),1.0)</f>
        <v>1</v>
      </c>
      <c r="AB20" s="188">
        <f>IFERROR(__xludf.DUMMYFUNCTION("""COMPUTED_VALUE"""),259.0)</f>
        <v>259</v>
      </c>
      <c r="AC20" s="188">
        <f>IFERROR(__xludf.DUMMYFUNCTION("""COMPUTED_VALUE"""),366.0)</f>
        <v>366</v>
      </c>
      <c r="AD20" s="188">
        <f>IFERROR(__xludf.DUMMYFUNCTION("""COMPUTED_VALUE"""),7.0)</f>
        <v>7</v>
      </c>
      <c r="AE20" s="188">
        <f>IFERROR(__xludf.DUMMYFUNCTION("""COMPUTED_VALUE"""),2.0)</f>
        <v>2</v>
      </c>
      <c r="AF20" s="188">
        <f>IFERROR(__xludf.DUMMYFUNCTION("""COMPUTED_VALUE"""),73.0)</f>
        <v>73</v>
      </c>
      <c r="AG20" s="188">
        <f>IFERROR(__xludf.DUMMYFUNCTION("""COMPUTED_VALUE"""),2.0)</f>
        <v>2</v>
      </c>
      <c r="AH20" s="188">
        <f>IFERROR(__xludf.DUMMYFUNCTION("""COMPUTED_VALUE"""),6.0)</f>
        <v>6</v>
      </c>
      <c r="AI20" s="188">
        <f>IFERROR(__xludf.DUMMYFUNCTION("""COMPUTED_VALUE"""),4.0)</f>
        <v>4</v>
      </c>
      <c r="AJ20" s="188">
        <f>IFERROR(__xludf.DUMMYFUNCTION("""COMPUTED_VALUE"""),6.0)</f>
        <v>6</v>
      </c>
      <c r="AK20" s="188">
        <f>IFERROR(__xludf.DUMMYFUNCTION("""COMPUTED_VALUE"""),321.0)</f>
        <v>321</v>
      </c>
      <c r="AL20" s="188">
        <f>IFERROR(__xludf.DUMMYFUNCTION("""COMPUTED_VALUE"""),772.0)</f>
        <v>772</v>
      </c>
      <c r="AM20" s="188">
        <f>IFERROR(__xludf.DUMMYFUNCTION("""COMPUTED_VALUE"""),119.0)</f>
        <v>119</v>
      </c>
      <c r="AN20" s="186">
        <f>IFERROR(__xludf.DUMMYFUNCTION("""COMPUTED_VALUE"""),15369.117899159664)</f>
        <v>15369.1179</v>
      </c>
      <c r="AO20" s="189">
        <f>IFERROR(__xludf.DUMMYFUNCTION("""COMPUTED_VALUE"""),6.487394957983193)</f>
        <v>6.487394958</v>
      </c>
      <c r="AP20" s="186">
        <f>IFERROR(__xludf.DUMMYFUNCTION("""COMPUTED_VALUE"""),177331.0)</f>
        <v>177331</v>
      </c>
      <c r="AQ20" s="186">
        <f>IFERROR(__xludf.DUMMYFUNCTION("""COMPUTED_VALUE"""),55544.0)</f>
        <v>55544</v>
      </c>
      <c r="AR20" s="187">
        <f>IFERROR(__xludf.DUMMYFUNCTION("""COMPUTED_VALUE"""),0.12732889330078226)</f>
        <v>0.1273288933</v>
      </c>
      <c r="AS20" s="186">
        <f>IFERROR(__xludf.DUMMYFUNCTION("""COMPUTED_VALUE"""),28128.67169811321)</f>
        <v>28128.6717</v>
      </c>
      <c r="AT20" s="75">
        <f>IFERROR(__xludf.DUMMYFUNCTION("""COMPUTED_VALUE"""),106.0)</f>
        <v>106</v>
      </c>
      <c r="AU20" s="75">
        <f>IFERROR(__xludf.DUMMYFUNCTION("""COMPUTED_VALUE"""),1255.0)</f>
        <v>1255</v>
      </c>
      <c r="AV20" s="190">
        <f>IFERROR(__xludf.DUMMYFUNCTION("""COMPUTED_VALUE"""),2269.46)</f>
        <v>2269.46</v>
      </c>
      <c r="AW20" s="75">
        <f>IFERROR(__xludf.DUMMYFUNCTION("""COMPUTED_VALUE"""),28.0)</f>
        <v>28</v>
      </c>
      <c r="AX20" s="75">
        <f>IFERROR(__xludf.DUMMYFUNCTION("""COMPUTED_VALUE"""),53.0)</f>
        <v>53</v>
      </c>
      <c r="AY20" s="75">
        <f>IFERROR(__xludf.DUMMYFUNCTION("""COMPUTED_VALUE"""),27.0)</f>
        <v>27</v>
      </c>
      <c r="AZ20" s="75">
        <f>IFERROR(__xludf.DUMMYFUNCTION("""COMPUTED_VALUE"""),0.0)</f>
        <v>0</v>
      </c>
      <c r="BA20" s="191"/>
      <c r="BB20" s="75"/>
      <c r="BC20" s="192"/>
      <c r="BD20" s="194"/>
      <c r="BE20" s="194"/>
    </row>
    <row r="21">
      <c r="A21" s="183" t="str">
        <f>IFERROR(__xludf.DUMMYFUNCTION("""COMPUTED_VALUE"""),"Syed Aqil Rizvi")</f>
        <v>Syed Aqil Rizvi</v>
      </c>
      <c r="B21" s="183" t="str">
        <f>IFERROR(__xludf.DUMMYFUNCTION("""COMPUTED_VALUE"""),"Madhya Pradesh")</f>
        <v>Madhya Pradesh</v>
      </c>
      <c r="C21" s="184" t="str">
        <f>IFERROR(__xludf.DUMMYFUNCTION("""COMPUTED_VALUE"""),"Rajesh Patel")</f>
        <v>Rajesh Patel</v>
      </c>
      <c r="D21" s="75" t="str">
        <f>IFERROR(__xludf.DUMMYFUNCTION("""COMPUTED_VALUE"""),"Indore")</f>
        <v>Indore</v>
      </c>
      <c r="E21" s="185">
        <f>IFERROR(__xludf.DUMMYFUNCTION("""COMPUTED_VALUE"""),45971.0)</f>
        <v>45971</v>
      </c>
      <c r="F21" s="184" t="str">
        <f>IFERROR(__xludf.DUMMYFUNCTION("""COMPUTED_VALUE"""),"MADHYA PRADESH")</f>
        <v>MADHYA PRADESH</v>
      </c>
      <c r="G21" s="186"/>
      <c r="H21" s="186">
        <f>IFERROR(__xludf.DUMMYFUNCTION("""COMPUTED_VALUE"""),0.0)</f>
        <v>0</v>
      </c>
      <c r="I21" s="186">
        <f>IFERROR(__xludf.DUMMYFUNCTION("""COMPUTED_VALUE"""),6000000.0)</f>
        <v>6000000</v>
      </c>
      <c r="J21" s="186">
        <f>IFERROR(__xludf.DUMMYFUNCTION("""COMPUTED_VALUE"""),1311479.66)</f>
        <v>1311479.66</v>
      </c>
      <c r="K21" s="186">
        <f>IFERROR(__xludf.DUMMYFUNCTION("""COMPUTED_VALUE"""),0.0)</f>
        <v>0</v>
      </c>
      <c r="L21" s="186">
        <f>IFERROR(__xludf.DUMMYFUNCTION("""COMPUTED_VALUE"""),1729053.5499999998)</f>
        <v>1729053.55</v>
      </c>
      <c r="M21" s="187">
        <f>IFERROR(__xludf.DUMMYFUNCTION("""COMPUTED_VALUE"""),0.21857994333333333)</f>
        <v>0.2185799433</v>
      </c>
      <c r="N21" s="187">
        <f>IFERROR(__xludf.DUMMYFUNCTION("""COMPUTED_VALUE"""),0.0)</f>
        <v>0</v>
      </c>
      <c r="O21" s="187">
        <f>IFERROR(__xludf.DUMMYFUNCTION("""COMPUTED_VALUE"""),0.2881755916666666)</f>
        <v>0.2881755917</v>
      </c>
      <c r="P21" s="188">
        <f>IFERROR(__xludf.DUMMYFUNCTION("""COMPUTED_VALUE"""),11.0)</f>
        <v>11</v>
      </c>
      <c r="Q21" s="189">
        <f>IFERROR(__xludf.DUMMYFUNCTION("""COMPUTED_VALUE"""),30.0)</f>
        <v>30</v>
      </c>
      <c r="R21" s="188">
        <f>IFERROR(__xludf.DUMMYFUNCTION("""COMPUTED_VALUE"""),20.0)</f>
        <v>20</v>
      </c>
      <c r="S21" s="188">
        <f>IFERROR(__xludf.DUMMYFUNCTION("""COMPUTED_VALUE"""),17.0)</f>
        <v>17</v>
      </c>
      <c r="T21" s="188">
        <f>IFERROR(__xludf.DUMMYFUNCTION("""COMPUTED_VALUE"""),31.0)</f>
        <v>31</v>
      </c>
      <c r="U21" s="188">
        <f>IFERROR(__xludf.DUMMYFUNCTION("""COMPUTED_VALUE"""),1.0)</f>
        <v>1</v>
      </c>
      <c r="V21" s="189">
        <f>IFERROR(__xludf.DUMMYFUNCTION("""COMPUTED_VALUE"""),105495.11)</f>
        <v>105495.11</v>
      </c>
      <c r="W21" s="189">
        <f>IFERROR(__xludf.DUMMYFUNCTION("""COMPUTED_VALUE"""),1205984.55)</f>
        <v>1205984.55</v>
      </c>
      <c r="X21" s="188">
        <f>IFERROR(__xludf.DUMMYFUNCTION("""COMPUTED_VALUE"""),3.0)</f>
        <v>3</v>
      </c>
      <c r="Y21" s="188">
        <f>IFERROR(__xludf.DUMMYFUNCTION("""COMPUTED_VALUE"""),17.0)</f>
        <v>17</v>
      </c>
      <c r="Z21" s="188">
        <f>IFERROR(__xludf.DUMMYFUNCTION("""COMPUTED_VALUE"""),20.0)</f>
        <v>20</v>
      </c>
      <c r="AA21" s="188">
        <f>IFERROR(__xludf.DUMMYFUNCTION("""COMPUTED_VALUE"""),0.0)</f>
        <v>0</v>
      </c>
      <c r="AB21" s="188">
        <f>IFERROR(__xludf.DUMMYFUNCTION("""COMPUTED_VALUE"""),109.0)</f>
        <v>109</v>
      </c>
      <c r="AC21" s="188">
        <f>IFERROR(__xludf.DUMMYFUNCTION("""COMPUTED_VALUE"""),200.0)</f>
        <v>200</v>
      </c>
      <c r="AD21" s="188">
        <f>IFERROR(__xludf.DUMMYFUNCTION("""COMPUTED_VALUE"""),11.0)</f>
        <v>11</v>
      </c>
      <c r="AE21" s="188">
        <f>IFERROR(__xludf.DUMMYFUNCTION("""COMPUTED_VALUE"""),1.0)</f>
        <v>1</v>
      </c>
      <c r="AF21" s="188">
        <f>IFERROR(__xludf.DUMMYFUNCTION("""COMPUTED_VALUE"""),27.0)</f>
        <v>27</v>
      </c>
      <c r="AG21" s="188">
        <f>IFERROR(__xludf.DUMMYFUNCTION("""COMPUTED_VALUE"""),0.0)</f>
        <v>0</v>
      </c>
      <c r="AH21" s="188">
        <f>IFERROR(__xludf.DUMMYFUNCTION("""COMPUTED_VALUE"""),0.0)</f>
        <v>0</v>
      </c>
      <c r="AI21" s="188">
        <f>IFERROR(__xludf.DUMMYFUNCTION("""COMPUTED_VALUE"""),0.0)</f>
        <v>0</v>
      </c>
      <c r="AJ21" s="188">
        <f>IFERROR(__xludf.DUMMYFUNCTION("""COMPUTED_VALUE"""),0.0)</f>
        <v>0</v>
      </c>
      <c r="AK21" s="188">
        <f>IFERROR(__xludf.DUMMYFUNCTION("""COMPUTED_VALUE"""),81.0)</f>
        <v>81</v>
      </c>
      <c r="AL21" s="188">
        <f>IFERROR(__xludf.DUMMYFUNCTION("""COMPUTED_VALUE"""),308.0)</f>
        <v>308</v>
      </c>
      <c r="AM21" s="188">
        <f>IFERROR(__xludf.DUMMYFUNCTION("""COMPUTED_VALUE"""),87.0)</f>
        <v>87</v>
      </c>
      <c r="AN21" s="186">
        <f>IFERROR(__xludf.DUMMYFUNCTION("""COMPUTED_VALUE"""),15074.478850574711)</f>
        <v>15074.47885</v>
      </c>
      <c r="AO21" s="189">
        <f>IFERROR(__xludf.DUMMYFUNCTION("""COMPUTED_VALUE"""),3.5402298850574714)</f>
        <v>3.540229885</v>
      </c>
      <c r="AP21" s="186">
        <f>IFERROR(__xludf.DUMMYFUNCTION("""COMPUTED_VALUE"""),151666.66666666666)</f>
        <v>151666.6667</v>
      </c>
      <c r="AQ21" s="186">
        <f>IFERROR(__xludf.DUMMYFUNCTION("""COMPUTED_VALUE"""),91451.0)</f>
        <v>91451</v>
      </c>
      <c r="AR21" s="187">
        <f>IFERROR(__xludf.DUMMYFUNCTION("""COMPUTED_VALUE"""),0.18537662007405184)</f>
        <v>0.1853766201</v>
      </c>
      <c r="AS21" s="186">
        <f>IFERROR(__xludf.DUMMYFUNCTION("""COMPUTED_VALUE"""),65573.983)</f>
        <v>65573.983</v>
      </c>
      <c r="AT21" s="75">
        <f>IFERROR(__xludf.DUMMYFUNCTION("""COMPUTED_VALUE"""),45.0)</f>
        <v>45</v>
      </c>
      <c r="AU21" s="75">
        <f>IFERROR(__xludf.DUMMYFUNCTION("""COMPUTED_VALUE"""),984.0)</f>
        <v>984</v>
      </c>
      <c r="AV21" s="190">
        <f>IFERROR(__xludf.DUMMYFUNCTION("""COMPUTED_VALUE"""),5126.7)</f>
        <v>5126.7</v>
      </c>
      <c r="AW21" s="75">
        <f>IFERROR(__xludf.DUMMYFUNCTION("""COMPUTED_VALUE"""),171.0)</f>
        <v>171</v>
      </c>
      <c r="AX21" s="75">
        <f>IFERROR(__xludf.DUMMYFUNCTION("""COMPUTED_VALUE"""),20.0)</f>
        <v>20</v>
      </c>
      <c r="AY21" s="75">
        <f>IFERROR(__xludf.DUMMYFUNCTION("""COMPUTED_VALUE"""),10.0)</f>
        <v>10</v>
      </c>
      <c r="AZ21" s="75">
        <f>IFERROR(__xludf.DUMMYFUNCTION("""COMPUTED_VALUE"""),1.0)</f>
        <v>1</v>
      </c>
      <c r="BA21" s="191"/>
      <c r="BB21" s="75"/>
      <c r="BC21" s="192"/>
      <c r="BD21" s="194"/>
      <c r="BE21" s="194"/>
    </row>
    <row r="22">
      <c r="A22" s="183" t="str">
        <f>IFERROR(__xludf.DUMMYFUNCTION("""COMPUTED_VALUE"""),"Syed Aqil Rizvi")</f>
        <v>Syed Aqil Rizvi</v>
      </c>
      <c r="B22" s="183" t="str">
        <f>IFERROR(__xludf.DUMMYFUNCTION("""COMPUTED_VALUE"""),"Madhya Pradesh")</f>
        <v>Madhya Pradesh</v>
      </c>
      <c r="C22" s="184" t="str">
        <f>IFERROR(__xludf.DUMMYFUNCTION("""COMPUTED_VALUE"""),"Sunil Kumar")</f>
        <v>Sunil Kumar</v>
      </c>
      <c r="D22" s="75" t="str">
        <f>IFERROR(__xludf.DUMMYFUNCTION("""COMPUTED_VALUE"""),"Mandsaur")</f>
        <v>Mandsaur</v>
      </c>
      <c r="E22" s="185">
        <f>IFERROR(__xludf.DUMMYFUNCTION("""COMPUTED_VALUE"""),45999.0)</f>
        <v>45999</v>
      </c>
      <c r="F22" s="184" t="str">
        <f>IFERROR(__xludf.DUMMYFUNCTION("""COMPUTED_VALUE"""),"MADHYA PRADESH")</f>
        <v>MADHYA PRADESH</v>
      </c>
      <c r="G22" s="186"/>
      <c r="H22" s="186"/>
      <c r="I22" s="186">
        <f>IFERROR(__xludf.DUMMYFUNCTION("""COMPUTED_VALUE"""),6000000.0)</f>
        <v>6000000</v>
      </c>
      <c r="J22" s="186">
        <f>IFERROR(__xludf.DUMMYFUNCTION("""COMPUTED_VALUE"""),1356219.94)</f>
        <v>1356219.94</v>
      </c>
      <c r="K22" s="186">
        <f>IFERROR(__xludf.DUMMYFUNCTION("""COMPUTED_VALUE"""),0.0)</f>
        <v>0</v>
      </c>
      <c r="L22" s="186">
        <f>IFERROR(__xludf.DUMMYFUNCTION("""COMPUTED_VALUE"""),839600.0)</f>
        <v>839600</v>
      </c>
      <c r="M22" s="187">
        <f>IFERROR(__xludf.DUMMYFUNCTION("""COMPUTED_VALUE"""),0.22603665666666667)</f>
        <v>0.2260366567</v>
      </c>
      <c r="N22" s="187">
        <f>IFERROR(__xludf.DUMMYFUNCTION("""COMPUTED_VALUE"""),0.0)</f>
        <v>0</v>
      </c>
      <c r="O22" s="187">
        <f>IFERROR(__xludf.DUMMYFUNCTION("""COMPUTED_VALUE"""),0.13993333333333333)</f>
        <v>0.1399333333</v>
      </c>
      <c r="P22" s="188">
        <f>IFERROR(__xludf.DUMMYFUNCTION("""COMPUTED_VALUE"""),2.0)</f>
        <v>2</v>
      </c>
      <c r="Q22" s="189">
        <f>IFERROR(__xludf.DUMMYFUNCTION("""COMPUTED_VALUE"""),30.0)</f>
        <v>30</v>
      </c>
      <c r="R22" s="188">
        <f>IFERROR(__xludf.DUMMYFUNCTION("""COMPUTED_VALUE"""),28.0)</f>
        <v>28</v>
      </c>
      <c r="S22" s="188">
        <f>IFERROR(__xludf.DUMMYFUNCTION("""COMPUTED_VALUE"""),28.0)</f>
        <v>28</v>
      </c>
      <c r="T22" s="188">
        <f>IFERROR(__xludf.DUMMYFUNCTION("""COMPUTED_VALUE"""),30.0)</f>
        <v>30</v>
      </c>
      <c r="U22" s="188">
        <f>IFERROR(__xludf.DUMMYFUNCTION("""COMPUTED_VALUE"""),0.0)</f>
        <v>0</v>
      </c>
      <c r="V22" s="189">
        <f>IFERROR(__xludf.DUMMYFUNCTION("""COMPUTED_VALUE"""),0.01)</f>
        <v>0.01</v>
      </c>
      <c r="W22" s="189">
        <f>IFERROR(__xludf.DUMMYFUNCTION("""COMPUTED_VALUE"""),1356219.93)</f>
        <v>1356219.93</v>
      </c>
      <c r="X22" s="188">
        <f>IFERROR(__xludf.DUMMYFUNCTION("""COMPUTED_VALUE"""),0.0)</f>
        <v>0</v>
      </c>
      <c r="Y22" s="188">
        <f>IFERROR(__xludf.DUMMYFUNCTION("""COMPUTED_VALUE"""),28.0)</f>
        <v>28</v>
      </c>
      <c r="Z22" s="188">
        <f>IFERROR(__xludf.DUMMYFUNCTION("""COMPUTED_VALUE"""),28.0)</f>
        <v>28</v>
      </c>
      <c r="AA22" s="188">
        <f>IFERROR(__xludf.DUMMYFUNCTION("""COMPUTED_VALUE"""),0.0)</f>
        <v>0</v>
      </c>
      <c r="AB22" s="188">
        <f>IFERROR(__xludf.DUMMYFUNCTION("""COMPUTED_VALUE"""),104.0)</f>
        <v>104</v>
      </c>
      <c r="AC22" s="188">
        <f>IFERROR(__xludf.DUMMYFUNCTION("""COMPUTED_VALUE"""),239.0)</f>
        <v>239</v>
      </c>
      <c r="AD22" s="188">
        <f>IFERROR(__xludf.DUMMYFUNCTION("""COMPUTED_VALUE"""),1.0)</f>
        <v>1</v>
      </c>
      <c r="AE22" s="188">
        <f>IFERROR(__xludf.DUMMYFUNCTION("""COMPUTED_VALUE"""),1.0)</f>
        <v>1</v>
      </c>
      <c r="AF22" s="188">
        <f>IFERROR(__xludf.DUMMYFUNCTION("""COMPUTED_VALUE"""),6.0)</f>
        <v>6</v>
      </c>
      <c r="AG22" s="188">
        <f>IFERROR(__xludf.DUMMYFUNCTION("""COMPUTED_VALUE"""),1.0)</f>
        <v>1</v>
      </c>
      <c r="AH22" s="188">
        <f>IFERROR(__xludf.DUMMYFUNCTION("""COMPUTED_VALUE"""),7.0)</f>
        <v>7</v>
      </c>
      <c r="AI22" s="188">
        <f>IFERROR(__xludf.DUMMYFUNCTION("""COMPUTED_VALUE"""),0.0)</f>
        <v>0</v>
      </c>
      <c r="AJ22" s="188">
        <f>IFERROR(__xludf.DUMMYFUNCTION("""COMPUTED_VALUE"""),0.0)</f>
        <v>0</v>
      </c>
      <c r="AK22" s="188">
        <f>IFERROR(__xludf.DUMMYFUNCTION("""COMPUTED_VALUE"""),212.0)</f>
        <v>212</v>
      </c>
      <c r="AL22" s="188">
        <f>IFERROR(__xludf.DUMMYFUNCTION("""COMPUTED_VALUE"""),464.0)</f>
        <v>464</v>
      </c>
      <c r="AM22" s="188">
        <f>IFERROR(__xludf.DUMMYFUNCTION("""COMPUTED_VALUE"""),84.0)</f>
        <v>84</v>
      </c>
      <c r="AN22" s="186">
        <f>IFERROR(__xludf.DUMMYFUNCTION("""COMPUTED_VALUE"""),16145.475476190475)</f>
        <v>16145.47548</v>
      </c>
      <c r="AO22" s="189">
        <f>IFERROR(__xludf.DUMMYFUNCTION("""COMPUTED_VALUE"""),5.523809523809524)</f>
        <v>5.523809524</v>
      </c>
      <c r="AP22" s="186">
        <f>IFERROR(__xludf.DUMMYFUNCTION("""COMPUTED_VALUE"""),121612.90322580645)</f>
        <v>121612.9032</v>
      </c>
      <c r="AQ22" s="186">
        <f>IFERROR(__xludf.DUMMYFUNCTION("""COMPUTED_VALUE"""),48642.0)</f>
        <v>48642</v>
      </c>
      <c r="AR22" s="187">
        <f>IFERROR(__xludf.DUMMYFUNCTION("""COMPUTED_VALUE"""),0.12553635159339013)</f>
        <v>0.1255363516</v>
      </c>
      <c r="AS22" s="186">
        <f>IFERROR(__xludf.DUMMYFUNCTION("""COMPUTED_VALUE"""),48436.42642857142)</f>
        <v>48436.42643</v>
      </c>
      <c r="AT22" s="75">
        <f>IFERROR(__xludf.DUMMYFUNCTION("""COMPUTED_VALUE"""),62.0)</f>
        <v>62</v>
      </c>
      <c r="AU22" s="75">
        <f>IFERROR(__xludf.DUMMYFUNCTION("""COMPUTED_VALUE"""),748.0)</f>
        <v>748</v>
      </c>
      <c r="AV22" s="190">
        <f>IFERROR(__xludf.DUMMYFUNCTION("""COMPUTED_VALUE"""),2705.63)</f>
        <v>2705.63</v>
      </c>
      <c r="AW22" s="75">
        <f>IFERROR(__xludf.DUMMYFUNCTION("""COMPUTED_VALUE"""),90.0)</f>
        <v>90</v>
      </c>
      <c r="AX22" s="75">
        <f>IFERROR(__xludf.DUMMYFUNCTION("""COMPUTED_VALUE"""),28.0)</f>
        <v>28</v>
      </c>
      <c r="AY22" s="75">
        <f>IFERROR(__xludf.DUMMYFUNCTION("""COMPUTED_VALUE"""),2.0)</f>
        <v>2</v>
      </c>
      <c r="AZ22" s="75">
        <f>IFERROR(__xludf.DUMMYFUNCTION("""COMPUTED_VALUE"""),0.0)</f>
        <v>0</v>
      </c>
      <c r="BA22" s="191"/>
      <c r="BB22" s="75"/>
      <c r="BC22" s="192"/>
      <c r="BD22" s="194"/>
      <c r="BE22" s="194"/>
    </row>
    <row r="23">
      <c r="A23" s="183" t="str">
        <f>IFERROR(__xludf.DUMMYFUNCTION("""COMPUTED_VALUE"""),"Syed Aqil Rizvi")</f>
        <v>Syed Aqil Rizvi</v>
      </c>
      <c r="B23" s="183" t="str">
        <f>IFERROR(__xludf.DUMMYFUNCTION("""COMPUTED_VALUE"""),"Madhya Pradesh")</f>
        <v>Madhya Pradesh</v>
      </c>
      <c r="C23" s="184" t="str">
        <f>IFERROR(__xludf.DUMMYFUNCTION("""COMPUTED_VALUE"""),"Shubham Shukla")</f>
        <v>Shubham Shukla</v>
      </c>
      <c r="D23" s="75" t="str">
        <f>IFERROR(__xludf.DUMMYFUNCTION("""COMPUTED_VALUE"""),"Gwalior")</f>
        <v>Gwalior</v>
      </c>
      <c r="E23" s="185">
        <f>IFERROR(__xludf.DUMMYFUNCTION("""COMPUTED_VALUE"""),46023.0)</f>
        <v>46023</v>
      </c>
      <c r="F23" s="184" t="str">
        <f>IFERROR(__xludf.DUMMYFUNCTION("""COMPUTED_VALUE"""),"MADHYA PRADESH")</f>
        <v>MADHYA PRADESH</v>
      </c>
      <c r="G23" s="186"/>
      <c r="H23" s="186"/>
      <c r="I23" s="186">
        <f>IFERROR(__xludf.DUMMYFUNCTION("""COMPUTED_VALUE"""),4500000.0)</f>
        <v>4500000</v>
      </c>
      <c r="J23" s="186">
        <f>IFERROR(__xludf.DUMMYFUNCTION("""COMPUTED_VALUE"""),823085.16)</f>
        <v>823085.16</v>
      </c>
      <c r="K23" s="186">
        <f>IFERROR(__xludf.DUMMYFUNCTION("""COMPUTED_VALUE"""),0.0)</f>
        <v>0</v>
      </c>
      <c r="L23" s="186">
        <f>IFERROR(__xludf.DUMMYFUNCTION("""COMPUTED_VALUE"""),822330.0)</f>
        <v>822330</v>
      </c>
      <c r="M23" s="187">
        <f>IFERROR(__xludf.DUMMYFUNCTION("""COMPUTED_VALUE"""),0.18290781333333334)</f>
        <v>0.1829078133</v>
      </c>
      <c r="N23" s="187">
        <f>IFERROR(__xludf.DUMMYFUNCTION("""COMPUTED_VALUE"""),0.0)</f>
        <v>0</v>
      </c>
      <c r="O23" s="187">
        <f>IFERROR(__xludf.DUMMYFUNCTION("""COMPUTED_VALUE"""),0.18274)</f>
        <v>0.18274</v>
      </c>
      <c r="P23" s="188">
        <f>IFERROR(__xludf.DUMMYFUNCTION("""COMPUTED_VALUE"""),21.0)</f>
        <v>21</v>
      </c>
      <c r="Q23" s="189">
        <f>IFERROR(__xludf.DUMMYFUNCTION("""COMPUTED_VALUE"""),37.0)</f>
        <v>37</v>
      </c>
      <c r="R23" s="188">
        <f>IFERROR(__xludf.DUMMYFUNCTION("""COMPUTED_VALUE"""),17.0)</f>
        <v>17</v>
      </c>
      <c r="S23" s="188">
        <f>IFERROR(__xludf.DUMMYFUNCTION("""COMPUTED_VALUE"""),17.0)</f>
        <v>17</v>
      </c>
      <c r="T23" s="188">
        <f>IFERROR(__xludf.DUMMYFUNCTION("""COMPUTED_VALUE"""),38.0)</f>
        <v>38</v>
      </c>
      <c r="U23" s="188">
        <f>IFERROR(__xludf.DUMMYFUNCTION("""COMPUTED_VALUE"""),1.0)</f>
        <v>1</v>
      </c>
      <c r="V23" s="189">
        <f>IFERROR(__xludf.DUMMYFUNCTION("""COMPUTED_VALUE"""),154068.72)</f>
        <v>154068.72</v>
      </c>
      <c r="W23" s="189">
        <f>IFERROR(__xludf.DUMMYFUNCTION("""COMPUTED_VALUE"""),669016.44)</f>
        <v>669016.44</v>
      </c>
      <c r="X23" s="188">
        <f>IFERROR(__xludf.DUMMYFUNCTION("""COMPUTED_VALUE"""),6.0)</f>
        <v>6</v>
      </c>
      <c r="Y23" s="188">
        <f>IFERROR(__xludf.DUMMYFUNCTION("""COMPUTED_VALUE"""),17.0)</f>
        <v>17</v>
      </c>
      <c r="Z23" s="188">
        <f>IFERROR(__xludf.DUMMYFUNCTION("""COMPUTED_VALUE"""),23.0)</f>
        <v>23</v>
      </c>
      <c r="AA23" s="188">
        <f>IFERROR(__xludf.DUMMYFUNCTION("""COMPUTED_VALUE"""),0.0)</f>
        <v>0</v>
      </c>
      <c r="AB23" s="188">
        <f>IFERROR(__xludf.DUMMYFUNCTION("""COMPUTED_VALUE"""),108.0)</f>
        <v>108</v>
      </c>
      <c r="AC23" s="188">
        <f>IFERROR(__xludf.DUMMYFUNCTION("""COMPUTED_VALUE"""),211.0)</f>
        <v>211</v>
      </c>
      <c r="AD23" s="188">
        <f>IFERROR(__xludf.DUMMYFUNCTION("""COMPUTED_VALUE"""),1.0)</f>
        <v>1</v>
      </c>
      <c r="AE23" s="188">
        <f>IFERROR(__xludf.DUMMYFUNCTION("""COMPUTED_VALUE"""),2.0)</f>
        <v>2</v>
      </c>
      <c r="AF23" s="188">
        <f>IFERROR(__xludf.DUMMYFUNCTION("""COMPUTED_VALUE"""),24.0)</f>
        <v>24</v>
      </c>
      <c r="AG23" s="188">
        <f>IFERROR(__xludf.DUMMYFUNCTION("""COMPUTED_VALUE"""),0.0)</f>
        <v>0</v>
      </c>
      <c r="AH23" s="188">
        <f>IFERROR(__xludf.DUMMYFUNCTION("""COMPUTED_VALUE"""),0.0)</f>
        <v>0</v>
      </c>
      <c r="AI23" s="188">
        <f>IFERROR(__xludf.DUMMYFUNCTION("""COMPUTED_VALUE"""),0.0)</f>
        <v>0</v>
      </c>
      <c r="AJ23" s="188">
        <f>IFERROR(__xludf.DUMMYFUNCTION("""COMPUTED_VALUE"""),0.0)</f>
        <v>0</v>
      </c>
      <c r="AK23" s="188">
        <f>IFERROR(__xludf.DUMMYFUNCTION("""COMPUTED_VALUE"""),135.0)</f>
        <v>135</v>
      </c>
      <c r="AL23" s="188">
        <f>IFERROR(__xludf.DUMMYFUNCTION("""COMPUTED_VALUE"""),370.0)</f>
        <v>370</v>
      </c>
      <c r="AM23" s="188">
        <f>IFERROR(__xludf.DUMMYFUNCTION("""COMPUTED_VALUE"""),72.0)</f>
        <v>72</v>
      </c>
      <c r="AN23" s="186">
        <f>IFERROR(__xludf.DUMMYFUNCTION("""COMPUTED_VALUE"""),11431.738333333335)</f>
        <v>11431.73833</v>
      </c>
      <c r="AO23" s="189">
        <f>IFERROR(__xludf.DUMMYFUNCTION("""COMPUTED_VALUE"""),5.138888888888889)</f>
        <v>5.138888889</v>
      </c>
      <c r="AP23" s="186">
        <f>IFERROR(__xludf.DUMMYFUNCTION("""COMPUTED_VALUE"""),114855.0)</f>
        <v>114855</v>
      </c>
      <c r="AQ23" s="186">
        <f>IFERROR(__xludf.DUMMYFUNCTION("""COMPUTED_VALUE"""),37563.0)</f>
        <v>37563</v>
      </c>
      <c r="AR23" s="187">
        <f>IFERROR(__xludf.DUMMYFUNCTION("""COMPUTED_VALUE"""),0.1851788944900914)</f>
        <v>0.1851788945</v>
      </c>
      <c r="AS23" s="186">
        <f>IFERROR(__xludf.DUMMYFUNCTION("""COMPUTED_VALUE"""),35786.31130434783)</f>
        <v>35786.3113</v>
      </c>
      <c r="AT23" s="75">
        <f>IFERROR(__xludf.DUMMYFUNCTION("""COMPUTED_VALUE"""),34.0)</f>
        <v>34</v>
      </c>
      <c r="AU23" s="75">
        <f>IFERROR(__xludf.DUMMYFUNCTION("""COMPUTED_VALUE"""),738.0)</f>
        <v>738</v>
      </c>
      <c r="AV23" s="190">
        <f>IFERROR(__xludf.DUMMYFUNCTION("""COMPUTED_VALUE"""),3036.37)</f>
        <v>3036.37</v>
      </c>
      <c r="AW23" s="75">
        <f>IFERROR(__xludf.DUMMYFUNCTION("""COMPUTED_VALUE"""),82.0)</f>
        <v>82</v>
      </c>
      <c r="AX23" s="75">
        <f>IFERROR(__xludf.DUMMYFUNCTION("""COMPUTED_VALUE"""),23.0)</f>
        <v>23</v>
      </c>
      <c r="AY23" s="75">
        <f>IFERROR(__xludf.DUMMYFUNCTION("""COMPUTED_VALUE"""),14.0)</f>
        <v>14</v>
      </c>
      <c r="AZ23" s="75">
        <f>IFERROR(__xludf.DUMMYFUNCTION("""COMPUTED_VALUE"""),1.0)</f>
        <v>1</v>
      </c>
      <c r="BA23" s="191"/>
      <c r="BB23" s="75"/>
      <c r="BC23" s="192"/>
      <c r="BD23" s="194"/>
      <c r="BE23" s="194"/>
    </row>
    <row r="24">
      <c r="A24" s="183" t="str">
        <f>IFERROR(__xludf.DUMMYFUNCTION("""COMPUTED_VALUE"""),"Lalan Kumar")</f>
        <v>Lalan Kumar</v>
      </c>
      <c r="B24" s="183" t="str">
        <f>IFERROR(__xludf.DUMMYFUNCTION("""COMPUTED_VALUE"""),"Maharashtra")</f>
        <v>Maharashtra</v>
      </c>
      <c r="C24" s="184" t="str">
        <f>IFERROR(__xludf.DUMMYFUNCTION("""COMPUTED_VALUE"""),"Swapnil Rajput")</f>
        <v>Swapnil Rajput</v>
      </c>
      <c r="D24" s="75" t="str">
        <f>IFERROR(__xludf.DUMMYFUNCTION("""COMPUTED_VALUE"""),"Nashik")</f>
        <v>Nashik</v>
      </c>
      <c r="E24" s="185">
        <f>IFERROR(__xludf.DUMMYFUNCTION("""COMPUTED_VALUE"""),45936.0)</f>
        <v>45936</v>
      </c>
      <c r="F24" s="184" t="str">
        <f>IFERROR(__xludf.DUMMYFUNCTION("""COMPUTED_VALUE"""),"MAHARASHTRA")</f>
        <v>MAHARASHTRA</v>
      </c>
      <c r="G24" s="186"/>
      <c r="H24" s="186">
        <f>IFERROR(__xludf.DUMMYFUNCTION("""COMPUTED_VALUE"""),0.0)</f>
        <v>0</v>
      </c>
      <c r="I24" s="186">
        <f>IFERROR(__xludf.DUMMYFUNCTION("""COMPUTED_VALUE"""),3600000.0)</f>
        <v>3600000</v>
      </c>
      <c r="J24" s="186">
        <f>IFERROR(__xludf.DUMMYFUNCTION("""COMPUTED_VALUE"""),431144.24)</f>
        <v>431144.24</v>
      </c>
      <c r="K24" s="186">
        <f>IFERROR(__xludf.DUMMYFUNCTION("""COMPUTED_VALUE"""),0.0)</f>
        <v>0</v>
      </c>
      <c r="L24" s="186">
        <f>IFERROR(__xludf.DUMMYFUNCTION("""COMPUTED_VALUE"""),351396.0)</f>
        <v>351396</v>
      </c>
      <c r="M24" s="187">
        <f>IFERROR(__xludf.DUMMYFUNCTION("""COMPUTED_VALUE"""),0.11976228888888889)</f>
        <v>0.1197622889</v>
      </c>
      <c r="N24" s="187">
        <f>IFERROR(__xludf.DUMMYFUNCTION("""COMPUTED_VALUE"""),0.0)</f>
        <v>0</v>
      </c>
      <c r="O24" s="187">
        <f>IFERROR(__xludf.DUMMYFUNCTION("""COMPUTED_VALUE"""),0.09761)</f>
        <v>0.09761</v>
      </c>
      <c r="P24" s="188">
        <f>IFERROR(__xludf.DUMMYFUNCTION("""COMPUTED_VALUE"""),17.0)</f>
        <v>17</v>
      </c>
      <c r="Q24" s="189">
        <f>IFERROR(__xludf.DUMMYFUNCTION("""COMPUTED_VALUE"""),41.0)</f>
        <v>41</v>
      </c>
      <c r="R24" s="188">
        <f>IFERROR(__xludf.DUMMYFUNCTION("""COMPUTED_VALUE"""),26.0)</f>
        <v>26</v>
      </c>
      <c r="S24" s="188">
        <f>IFERROR(__xludf.DUMMYFUNCTION("""COMPUTED_VALUE"""),26.0)</f>
        <v>26</v>
      </c>
      <c r="T24" s="188">
        <f>IFERROR(__xludf.DUMMYFUNCTION("""COMPUTED_VALUE"""),43.0)</f>
        <v>43</v>
      </c>
      <c r="U24" s="188">
        <f>IFERROR(__xludf.DUMMYFUNCTION("""COMPUTED_VALUE"""),2.0)</f>
        <v>2</v>
      </c>
      <c r="V24" s="189">
        <f>IFERROR(__xludf.DUMMYFUNCTION("""COMPUTED_VALUE"""),57588.5)</f>
        <v>57588.5</v>
      </c>
      <c r="W24" s="189">
        <f>IFERROR(__xludf.DUMMYFUNCTION("""COMPUTED_VALUE"""),373555.74)</f>
        <v>373555.74</v>
      </c>
      <c r="X24" s="188">
        <f>IFERROR(__xludf.DUMMYFUNCTION("""COMPUTED_VALUE"""),5.0)</f>
        <v>5</v>
      </c>
      <c r="Y24" s="188">
        <f>IFERROR(__xludf.DUMMYFUNCTION("""COMPUTED_VALUE"""),26.0)</f>
        <v>26</v>
      </c>
      <c r="Z24" s="188">
        <f>IFERROR(__xludf.DUMMYFUNCTION("""COMPUTED_VALUE"""),31.0)</f>
        <v>31</v>
      </c>
      <c r="AA24" s="188">
        <f>IFERROR(__xludf.DUMMYFUNCTION("""COMPUTED_VALUE"""),0.0)</f>
        <v>0</v>
      </c>
      <c r="AB24" s="188">
        <f>IFERROR(__xludf.DUMMYFUNCTION("""COMPUTED_VALUE"""),137.0)</f>
        <v>137</v>
      </c>
      <c r="AC24" s="188">
        <f>IFERROR(__xludf.DUMMYFUNCTION("""COMPUTED_VALUE"""),440.0)</f>
        <v>440</v>
      </c>
      <c r="AD24" s="188">
        <f>IFERROR(__xludf.DUMMYFUNCTION("""COMPUTED_VALUE"""),3.0)</f>
        <v>3</v>
      </c>
      <c r="AE24" s="188">
        <f>IFERROR(__xludf.DUMMYFUNCTION("""COMPUTED_VALUE"""),2.0)</f>
        <v>2</v>
      </c>
      <c r="AF24" s="188">
        <f>IFERROR(__xludf.DUMMYFUNCTION("""COMPUTED_VALUE"""),26.0)</f>
        <v>26</v>
      </c>
      <c r="AG24" s="188">
        <f>IFERROR(__xludf.DUMMYFUNCTION("""COMPUTED_VALUE"""),1.0)</f>
        <v>1</v>
      </c>
      <c r="AH24" s="188">
        <f>IFERROR(__xludf.DUMMYFUNCTION("""COMPUTED_VALUE"""),4.0)</f>
        <v>4</v>
      </c>
      <c r="AI24" s="188">
        <f>IFERROR(__xludf.DUMMYFUNCTION("""COMPUTED_VALUE"""),1.0)</f>
        <v>1</v>
      </c>
      <c r="AJ24" s="188">
        <f>IFERROR(__xludf.DUMMYFUNCTION("""COMPUTED_VALUE"""),1.0)</f>
        <v>1</v>
      </c>
      <c r="AK24" s="188">
        <f>IFERROR(__xludf.DUMMYFUNCTION("""COMPUTED_VALUE"""),252.0)</f>
        <v>252</v>
      </c>
      <c r="AL24" s="188">
        <f>IFERROR(__xludf.DUMMYFUNCTION("""COMPUTED_VALUE"""),723.0)</f>
        <v>723</v>
      </c>
      <c r="AM24" s="188">
        <f>IFERROR(__xludf.DUMMYFUNCTION("""COMPUTED_VALUE"""),136.0)</f>
        <v>136</v>
      </c>
      <c r="AN24" s="186">
        <f>IFERROR(__xludf.DUMMYFUNCTION("""COMPUTED_VALUE"""),3170.1782352941177)</f>
        <v>3170.178235</v>
      </c>
      <c r="AO24" s="189">
        <f>IFERROR(__xludf.DUMMYFUNCTION("""COMPUTED_VALUE"""),5.3161764705882355)</f>
        <v>5.316176471</v>
      </c>
      <c r="AP24" s="186">
        <f>IFERROR(__xludf.DUMMYFUNCTION("""COMPUTED_VALUE"""),198000.0)</f>
        <v>198000</v>
      </c>
      <c r="AQ24" s="186">
        <f>IFERROR(__xludf.DUMMYFUNCTION("""COMPUTED_VALUE"""),32515.0)</f>
        <v>32515</v>
      </c>
      <c r="AR24" s="187">
        <f>IFERROR(__xludf.DUMMYFUNCTION("""COMPUTED_VALUE"""),0.5346586562306851)</f>
        <v>0.5346586562</v>
      </c>
      <c r="AS24" s="186">
        <f>IFERROR(__xludf.DUMMYFUNCTION("""COMPUTED_VALUE"""),13907.87870967742)</f>
        <v>13907.87871</v>
      </c>
      <c r="AT24" s="75">
        <f>IFERROR(__xludf.DUMMYFUNCTION("""COMPUTED_VALUE"""),43.0)</f>
        <v>43</v>
      </c>
      <c r="AU24" s="75">
        <f>IFERROR(__xludf.DUMMYFUNCTION("""COMPUTED_VALUE"""),1103.0)</f>
        <v>1103</v>
      </c>
      <c r="AV24" s="190">
        <f>IFERROR(__xludf.DUMMYFUNCTION("""COMPUTED_VALUE"""),1947.71)</f>
        <v>1947.71</v>
      </c>
      <c r="AW24" s="75">
        <f>IFERROR(__xludf.DUMMYFUNCTION("""COMPUTED_VALUE"""),48.0)</f>
        <v>48</v>
      </c>
      <c r="AX24" s="75">
        <f>IFERROR(__xludf.DUMMYFUNCTION("""COMPUTED_VALUE"""),31.0)</f>
        <v>31</v>
      </c>
      <c r="AY24" s="75">
        <f>IFERROR(__xludf.DUMMYFUNCTION("""COMPUTED_VALUE"""),10.0)</f>
        <v>10</v>
      </c>
      <c r="AZ24" s="75">
        <f>IFERROR(__xludf.DUMMYFUNCTION("""COMPUTED_VALUE"""),2.0)</f>
        <v>2</v>
      </c>
      <c r="BA24" s="191"/>
      <c r="BB24" s="75"/>
      <c r="BC24" s="192"/>
      <c r="BD24" s="194"/>
      <c r="BE24" s="194"/>
    </row>
    <row r="25">
      <c r="A25" s="183" t="str">
        <f>IFERROR(__xludf.DUMMYFUNCTION("""COMPUTED_VALUE"""),"Syed Aqil Rizvi")</f>
        <v>Syed Aqil Rizvi</v>
      </c>
      <c r="B25" s="183" t="str">
        <f>IFERROR(__xludf.DUMMYFUNCTION("""COMPUTED_VALUE"""),"Maharashtra 2")</f>
        <v>Maharashtra 2</v>
      </c>
      <c r="C25" s="184" t="str">
        <f>IFERROR(__xludf.DUMMYFUNCTION("""COMPUTED_VALUE"""),"Himanshu Sable")</f>
        <v>Himanshu Sable</v>
      </c>
      <c r="D25" s="75" t="str">
        <f>IFERROR(__xludf.DUMMYFUNCTION("""COMPUTED_VALUE"""),"Amravati")</f>
        <v>Amravati</v>
      </c>
      <c r="E25" s="185">
        <f>IFERROR(__xludf.DUMMYFUNCTION("""COMPUTED_VALUE"""),44501.0)</f>
        <v>44501</v>
      </c>
      <c r="F25" s="184" t="str">
        <f>IFERROR(__xludf.DUMMYFUNCTION("""COMPUTED_VALUE"""),"MAHARASHTRA")</f>
        <v>MAHARASHTRA</v>
      </c>
      <c r="G25" s="186"/>
      <c r="H25" s="186">
        <f>IFERROR(__xludf.DUMMYFUNCTION("""COMPUTED_VALUE"""),0.0)</f>
        <v>0</v>
      </c>
      <c r="I25" s="186">
        <f>IFERROR(__xludf.DUMMYFUNCTION("""COMPUTED_VALUE"""),2.112E7)</f>
        <v>21120000</v>
      </c>
      <c r="J25" s="186">
        <f>IFERROR(__xludf.DUMMYFUNCTION("""COMPUTED_VALUE"""),9779119.48)</f>
        <v>9779119.48</v>
      </c>
      <c r="K25" s="186">
        <f>IFERROR(__xludf.DUMMYFUNCTION("""COMPUTED_VALUE"""),0.0)</f>
        <v>0</v>
      </c>
      <c r="L25" s="186">
        <f>IFERROR(__xludf.DUMMYFUNCTION("""COMPUTED_VALUE"""),8111959.82)</f>
        <v>8111959.82</v>
      </c>
      <c r="M25" s="187">
        <f>IFERROR(__xludf.DUMMYFUNCTION("""COMPUTED_VALUE"""),0.46302649053030304)</f>
        <v>0.4630264905</v>
      </c>
      <c r="N25" s="187">
        <f>IFERROR(__xludf.DUMMYFUNCTION("""COMPUTED_VALUE"""),0.0)</f>
        <v>0</v>
      </c>
      <c r="O25" s="187">
        <f>IFERROR(__xludf.DUMMYFUNCTION("""COMPUTED_VALUE"""),0.38408900662878787)</f>
        <v>0.3840890066</v>
      </c>
      <c r="P25" s="188">
        <f>IFERROR(__xludf.DUMMYFUNCTION("""COMPUTED_VALUE"""),77.0)</f>
        <v>77</v>
      </c>
      <c r="Q25" s="189">
        <f>IFERROR(__xludf.DUMMYFUNCTION("""COMPUTED_VALUE"""),77.0)</f>
        <v>77</v>
      </c>
      <c r="R25" s="188">
        <f>IFERROR(__xludf.DUMMYFUNCTION("""COMPUTED_VALUE"""),8.0)</f>
        <v>8</v>
      </c>
      <c r="S25" s="188">
        <f>IFERROR(__xludf.DUMMYFUNCTION("""COMPUTED_VALUE"""),7.0)</f>
        <v>7</v>
      </c>
      <c r="T25" s="188">
        <f>IFERROR(__xludf.DUMMYFUNCTION("""COMPUTED_VALUE"""),85.0)</f>
        <v>85</v>
      </c>
      <c r="U25" s="188">
        <f>IFERROR(__xludf.DUMMYFUNCTION("""COMPUTED_VALUE"""),8.0)</f>
        <v>8</v>
      </c>
      <c r="V25" s="189">
        <f>IFERROR(__xludf.DUMMYFUNCTION("""COMPUTED_VALUE"""),7750625.95)</f>
        <v>7750625.95</v>
      </c>
      <c r="W25" s="189">
        <f>IFERROR(__xludf.DUMMYFUNCTION("""COMPUTED_VALUE"""),2028493.53)</f>
        <v>2028493.53</v>
      </c>
      <c r="X25" s="188">
        <f>IFERROR(__xludf.DUMMYFUNCTION("""COMPUTED_VALUE"""),41.0)</f>
        <v>41</v>
      </c>
      <c r="Y25" s="188">
        <f>IFERROR(__xludf.DUMMYFUNCTION("""COMPUTED_VALUE"""),7.0)</f>
        <v>7</v>
      </c>
      <c r="Z25" s="188">
        <f>IFERROR(__xludf.DUMMYFUNCTION("""COMPUTED_VALUE"""),48.0)</f>
        <v>48</v>
      </c>
      <c r="AA25" s="188">
        <f>IFERROR(__xludf.DUMMYFUNCTION("""COMPUTED_VALUE"""),0.0)</f>
        <v>0</v>
      </c>
      <c r="AB25" s="188">
        <f>IFERROR(__xludf.DUMMYFUNCTION("""COMPUTED_VALUE"""),86.0)</f>
        <v>86</v>
      </c>
      <c r="AC25" s="188">
        <f>IFERROR(__xludf.DUMMYFUNCTION("""COMPUTED_VALUE"""),158.0)</f>
        <v>158</v>
      </c>
      <c r="AD25" s="188">
        <f>IFERROR(__xludf.DUMMYFUNCTION("""COMPUTED_VALUE"""),222.0)</f>
        <v>222</v>
      </c>
      <c r="AE25" s="188">
        <f>IFERROR(__xludf.DUMMYFUNCTION("""COMPUTED_VALUE"""),2.0)</f>
        <v>2</v>
      </c>
      <c r="AF25" s="188">
        <f>IFERROR(__xludf.DUMMYFUNCTION("""COMPUTED_VALUE"""),9.0)</f>
        <v>9</v>
      </c>
      <c r="AG25" s="188">
        <f>IFERROR(__xludf.DUMMYFUNCTION("""COMPUTED_VALUE"""),0.0)</f>
        <v>0</v>
      </c>
      <c r="AH25" s="188">
        <f>IFERROR(__xludf.DUMMYFUNCTION("""COMPUTED_VALUE"""),0.0)</f>
        <v>0</v>
      </c>
      <c r="AI25" s="188">
        <f>IFERROR(__xludf.DUMMYFUNCTION("""COMPUTED_VALUE"""),0.0)</f>
        <v>0</v>
      </c>
      <c r="AJ25" s="188">
        <f>IFERROR(__xludf.DUMMYFUNCTION("""COMPUTED_VALUE"""),0.0)</f>
        <v>0</v>
      </c>
      <c r="AK25" s="188">
        <f>IFERROR(__xludf.DUMMYFUNCTION("""COMPUTED_VALUE"""),984.0)</f>
        <v>984</v>
      </c>
      <c r="AL25" s="188">
        <f>IFERROR(__xludf.DUMMYFUNCTION("""COMPUTED_VALUE"""),1151.0)</f>
        <v>1151</v>
      </c>
      <c r="AM25" s="188">
        <f>IFERROR(__xludf.DUMMYFUNCTION("""COMPUTED_VALUE"""),286.0)</f>
        <v>286</v>
      </c>
      <c r="AN25" s="186">
        <f>IFERROR(__xludf.DUMMYFUNCTION("""COMPUTED_VALUE"""),34192.725454545456)</f>
        <v>34192.72545</v>
      </c>
      <c r="AO25" s="189">
        <f>IFERROR(__xludf.DUMMYFUNCTION("""COMPUTED_VALUE"""),4.024475524475524)</f>
        <v>4.024475524</v>
      </c>
      <c r="AP25" s="186">
        <f>IFERROR(__xludf.DUMMYFUNCTION("""COMPUTED_VALUE"""),342000.0)</f>
        <v>342000</v>
      </c>
      <c r="AQ25" s="186">
        <f>IFERROR(__xludf.DUMMYFUNCTION("""COMPUTED_VALUE"""),186475.0)</f>
        <v>186475</v>
      </c>
      <c r="AR25" s="187">
        <f>IFERROR(__xludf.DUMMYFUNCTION("""COMPUTED_VALUE"""),0.05404116404148893)</f>
        <v>0.05404116404</v>
      </c>
      <c r="AS25" s="186">
        <f>IFERROR(__xludf.DUMMYFUNCTION("""COMPUTED_VALUE"""),203731.65583333335)</f>
        <v>203731.6558</v>
      </c>
      <c r="AT25" s="75">
        <f>IFERROR(__xludf.DUMMYFUNCTION("""COMPUTED_VALUE"""),398.0)</f>
        <v>398</v>
      </c>
      <c r="AU25" s="75">
        <f>IFERROR(__xludf.DUMMYFUNCTION("""COMPUTED_VALUE"""),3476.0)</f>
        <v>3476</v>
      </c>
      <c r="AV25" s="190">
        <f>IFERROR(__xludf.DUMMYFUNCTION("""COMPUTED_VALUE"""),2594.82)</f>
        <v>2594.82</v>
      </c>
      <c r="AW25" s="75">
        <f>IFERROR(__xludf.DUMMYFUNCTION("""COMPUTED_VALUE"""),34.0)</f>
        <v>34</v>
      </c>
      <c r="AX25" s="75">
        <f>IFERROR(__xludf.DUMMYFUNCTION("""COMPUTED_VALUE"""),48.0)</f>
        <v>48</v>
      </c>
      <c r="AY25" s="75">
        <f>IFERROR(__xludf.DUMMYFUNCTION("""COMPUTED_VALUE"""),31.0)</f>
        <v>31</v>
      </c>
      <c r="AZ25" s="75">
        <f>IFERROR(__xludf.DUMMYFUNCTION("""COMPUTED_VALUE"""),6.0)</f>
        <v>6</v>
      </c>
      <c r="BA25" s="191"/>
      <c r="BB25" s="75"/>
      <c r="BC25" s="192"/>
      <c r="BD25" s="194"/>
      <c r="BE25" s="194"/>
    </row>
    <row r="26">
      <c r="A26" s="183" t="str">
        <f>IFERROR(__xludf.DUMMYFUNCTION("""COMPUTED_VALUE"""),"Sulinder Pal")</f>
        <v>Sulinder Pal</v>
      </c>
      <c r="B26" s="183" t="str">
        <f>IFERROR(__xludf.DUMMYFUNCTION("""COMPUTED_VALUE"""),"Punjab")</f>
        <v>Punjab</v>
      </c>
      <c r="C26" s="184" t="str">
        <f>IFERROR(__xludf.DUMMYFUNCTION("""COMPUTED_VALUE"""),"Amit Tangri")</f>
        <v>Amit Tangri</v>
      </c>
      <c r="D26" s="75" t="str">
        <f>IFERROR(__xludf.DUMMYFUNCTION("""COMPUTED_VALUE"""),"Ludhiana")</f>
        <v>Ludhiana</v>
      </c>
      <c r="E26" s="185">
        <f>IFERROR(__xludf.DUMMYFUNCTION("""COMPUTED_VALUE"""),45393.0)</f>
        <v>45393</v>
      </c>
      <c r="F26" s="184" t="str">
        <f>IFERROR(__xludf.DUMMYFUNCTION("""COMPUTED_VALUE"""),"PUNJAB")</f>
        <v>PUNJAB</v>
      </c>
      <c r="G26" s="186"/>
      <c r="H26" s="186">
        <f>IFERROR(__xludf.DUMMYFUNCTION("""COMPUTED_VALUE"""),0.0)</f>
        <v>0</v>
      </c>
      <c r="I26" s="186">
        <f>IFERROR(__xludf.DUMMYFUNCTION("""COMPUTED_VALUE"""),1.5E7)</f>
        <v>15000000</v>
      </c>
      <c r="J26" s="186">
        <f>IFERROR(__xludf.DUMMYFUNCTION("""COMPUTED_VALUE"""),6963246.37)</f>
        <v>6963246.37</v>
      </c>
      <c r="K26" s="186">
        <f>IFERROR(__xludf.DUMMYFUNCTION("""COMPUTED_VALUE"""),0.0)</f>
        <v>0</v>
      </c>
      <c r="L26" s="186">
        <f>IFERROR(__xludf.DUMMYFUNCTION("""COMPUTED_VALUE"""),6665327.5)</f>
        <v>6665327.5</v>
      </c>
      <c r="M26" s="187">
        <f>IFERROR(__xludf.DUMMYFUNCTION("""COMPUTED_VALUE"""),0.4642164246666667)</f>
        <v>0.4642164247</v>
      </c>
      <c r="N26" s="187">
        <f>IFERROR(__xludf.DUMMYFUNCTION("""COMPUTED_VALUE"""),0.0)</f>
        <v>0</v>
      </c>
      <c r="O26" s="187">
        <f>IFERROR(__xludf.DUMMYFUNCTION("""COMPUTED_VALUE"""),0.4443551666666667)</f>
        <v>0.4443551667</v>
      </c>
      <c r="P26" s="188">
        <f>IFERROR(__xludf.DUMMYFUNCTION("""COMPUTED_VALUE"""),130.0)</f>
        <v>130</v>
      </c>
      <c r="Q26" s="189">
        <f>IFERROR(__xludf.DUMMYFUNCTION("""COMPUTED_VALUE"""),143.0)</f>
        <v>143</v>
      </c>
      <c r="R26" s="188">
        <f>IFERROR(__xludf.DUMMYFUNCTION("""COMPUTED_VALUE"""),34.0)</f>
        <v>34</v>
      </c>
      <c r="S26" s="188">
        <f>IFERROR(__xludf.DUMMYFUNCTION("""COMPUTED_VALUE"""),34.0)</f>
        <v>34</v>
      </c>
      <c r="T26" s="188">
        <f>IFERROR(__xludf.DUMMYFUNCTION("""COMPUTED_VALUE"""),164.0)</f>
        <v>164</v>
      </c>
      <c r="U26" s="188">
        <f>IFERROR(__xludf.DUMMYFUNCTION("""COMPUTED_VALUE"""),21.0)</f>
        <v>21</v>
      </c>
      <c r="V26" s="189">
        <f>IFERROR(__xludf.DUMMYFUNCTION("""COMPUTED_VALUE"""),4784994.99)</f>
        <v>4784994.99</v>
      </c>
      <c r="W26" s="189">
        <f>IFERROR(__xludf.DUMMYFUNCTION("""COMPUTED_VALUE"""),2178251.38)</f>
        <v>2178251.38</v>
      </c>
      <c r="X26" s="188">
        <f>IFERROR(__xludf.DUMMYFUNCTION("""COMPUTED_VALUE"""),71.0)</f>
        <v>71</v>
      </c>
      <c r="Y26" s="188">
        <f>IFERROR(__xludf.DUMMYFUNCTION("""COMPUTED_VALUE"""),34.0)</f>
        <v>34</v>
      </c>
      <c r="Z26" s="188">
        <f>IFERROR(__xludf.DUMMYFUNCTION("""COMPUTED_VALUE"""),105.0)</f>
        <v>105</v>
      </c>
      <c r="AA26" s="188">
        <f>IFERROR(__xludf.DUMMYFUNCTION("""COMPUTED_VALUE"""),0.0)</f>
        <v>0</v>
      </c>
      <c r="AB26" s="188">
        <f>IFERROR(__xludf.DUMMYFUNCTION("""COMPUTED_VALUE"""),98.0)</f>
        <v>98</v>
      </c>
      <c r="AC26" s="188">
        <f>IFERROR(__xludf.DUMMYFUNCTION("""COMPUTED_VALUE"""),156.0)</f>
        <v>156</v>
      </c>
      <c r="AD26" s="188">
        <f>IFERROR(__xludf.DUMMYFUNCTION("""COMPUTED_VALUE"""),349.0)</f>
        <v>349</v>
      </c>
      <c r="AE26" s="188">
        <f>IFERROR(__xludf.DUMMYFUNCTION("""COMPUTED_VALUE"""),3.0)</f>
        <v>3</v>
      </c>
      <c r="AF26" s="188">
        <f>IFERROR(__xludf.DUMMYFUNCTION("""COMPUTED_VALUE"""),101.0)</f>
        <v>101</v>
      </c>
      <c r="AG26" s="188">
        <f>IFERROR(__xludf.DUMMYFUNCTION("""COMPUTED_VALUE"""),0.0)</f>
        <v>0</v>
      </c>
      <c r="AH26" s="188">
        <f>IFERROR(__xludf.DUMMYFUNCTION("""COMPUTED_VALUE"""),0.0)</f>
        <v>0</v>
      </c>
      <c r="AI26" s="188">
        <f>IFERROR(__xludf.DUMMYFUNCTION("""COMPUTED_VALUE"""),0.0)</f>
        <v>0</v>
      </c>
      <c r="AJ26" s="188">
        <f>IFERROR(__xludf.DUMMYFUNCTION("""COMPUTED_VALUE"""),0.0)</f>
        <v>0</v>
      </c>
      <c r="AK26" s="188">
        <f>IFERROR(__xludf.DUMMYFUNCTION("""COMPUTED_VALUE"""),1724.0)</f>
        <v>1724</v>
      </c>
      <c r="AL26" s="188">
        <f>IFERROR(__xludf.DUMMYFUNCTION("""COMPUTED_VALUE"""),1981.0)</f>
        <v>1981</v>
      </c>
      <c r="AM26" s="188">
        <f>IFERROR(__xludf.DUMMYFUNCTION("""COMPUTED_VALUE"""),286.0)</f>
        <v>286</v>
      </c>
      <c r="AN26" s="186">
        <f>IFERROR(__xludf.DUMMYFUNCTION("""COMPUTED_VALUE"""),24347.01527972028)</f>
        <v>24347.01528</v>
      </c>
      <c r="AO26" s="189">
        <f>IFERROR(__xludf.DUMMYFUNCTION("""COMPUTED_VALUE"""),6.926573426573427)</f>
        <v>6.926573427</v>
      </c>
      <c r="AP26" s="186">
        <f>IFERROR(__xludf.DUMMYFUNCTION("""COMPUTED_VALUE"""),324000.0)</f>
        <v>324000</v>
      </c>
      <c r="AQ26" s="186">
        <f>IFERROR(__xludf.DUMMYFUNCTION("""COMPUTED_VALUE"""),186003.0)</f>
        <v>186003</v>
      </c>
      <c r="AR26" s="187">
        <f>IFERROR(__xludf.DUMMYFUNCTION("""COMPUTED_VALUE"""),0.07324213059547396)</f>
        <v>0.0732421306</v>
      </c>
      <c r="AS26" s="186">
        <f>IFERROR(__xludf.DUMMYFUNCTION("""COMPUTED_VALUE"""),66316.63209523809)</f>
        <v>66316.6321</v>
      </c>
      <c r="AT26" s="75">
        <f>IFERROR(__xludf.DUMMYFUNCTION("""COMPUTED_VALUE"""),593.0)</f>
        <v>593</v>
      </c>
      <c r="AU26" s="75">
        <f>IFERROR(__xludf.DUMMYFUNCTION("""COMPUTED_VALUE"""),2535.0)</f>
        <v>2535</v>
      </c>
      <c r="AV26" s="190">
        <f>IFERROR(__xludf.DUMMYFUNCTION("""COMPUTED_VALUE"""),2916.37)</f>
        <v>2916.37</v>
      </c>
      <c r="AW26" s="75">
        <f>IFERROR(__xludf.DUMMYFUNCTION("""COMPUTED_VALUE"""),20.0)</f>
        <v>20</v>
      </c>
      <c r="AX26" s="75">
        <f>IFERROR(__xludf.DUMMYFUNCTION("""COMPUTED_VALUE"""),105.0)</f>
        <v>105</v>
      </c>
      <c r="AY26" s="75">
        <f>IFERROR(__xludf.DUMMYFUNCTION("""COMPUTED_VALUE"""),39.0)</f>
        <v>39</v>
      </c>
      <c r="AZ26" s="75">
        <f>IFERROR(__xludf.DUMMYFUNCTION("""COMPUTED_VALUE"""),20.0)</f>
        <v>20</v>
      </c>
      <c r="BA26" s="191"/>
      <c r="BB26" s="75"/>
      <c r="BC26" s="192"/>
      <c r="BD26" s="194"/>
      <c r="BE26" s="194"/>
    </row>
    <row r="27">
      <c r="A27" s="183" t="str">
        <f>IFERROR(__xludf.DUMMYFUNCTION("""COMPUTED_VALUE"""),"Pawan Sharma")</f>
        <v>Pawan Sharma</v>
      </c>
      <c r="B27" s="183" t="str">
        <f>IFERROR(__xludf.DUMMYFUNCTION("""COMPUTED_VALUE"""),"Rajasthan")</f>
        <v>Rajasthan</v>
      </c>
      <c r="C27" s="184" t="str">
        <f>IFERROR(__xludf.DUMMYFUNCTION("""COMPUTED_VALUE"""),"Kanhaiya Lal Salvi")</f>
        <v>Kanhaiya Lal Salvi</v>
      </c>
      <c r="D27" s="75" t="str">
        <f>IFERROR(__xludf.DUMMYFUNCTION("""COMPUTED_VALUE"""),"Chittorgarh")</f>
        <v>Chittorgarh</v>
      </c>
      <c r="E27" s="185">
        <f>IFERROR(__xludf.DUMMYFUNCTION("""COMPUTED_VALUE"""),45518.0)</f>
        <v>45518</v>
      </c>
      <c r="F27" s="184" t="str">
        <f>IFERROR(__xludf.DUMMYFUNCTION("""COMPUTED_VALUE"""),"RAJASTHAN")</f>
        <v>RAJASTHAN</v>
      </c>
      <c r="G27" s="186"/>
      <c r="H27" s="186">
        <f>IFERROR(__xludf.DUMMYFUNCTION("""COMPUTED_VALUE"""),0.0)</f>
        <v>0</v>
      </c>
      <c r="I27" s="186">
        <f>IFERROR(__xludf.DUMMYFUNCTION("""COMPUTED_VALUE"""),8400000.0)</f>
        <v>8400000</v>
      </c>
      <c r="J27" s="186">
        <f>IFERROR(__xludf.DUMMYFUNCTION("""COMPUTED_VALUE"""),2887869.98)</f>
        <v>2887869.98</v>
      </c>
      <c r="K27" s="186">
        <f>IFERROR(__xludf.DUMMYFUNCTION("""COMPUTED_VALUE"""),0.0)</f>
        <v>0</v>
      </c>
      <c r="L27" s="186">
        <f>IFERROR(__xludf.DUMMYFUNCTION("""COMPUTED_VALUE"""),515244.0)</f>
        <v>515244</v>
      </c>
      <c r="M27" s="187">
        <f>IFERROR(__xludf.DUMMYFUNCTION("""COMPUTED_VALUE"""),0.34379404523809526)</f>
        <v>0.3437940452</v>
      </c>
      <c r="N27" s="187">
        <f>IFERROR(__xludf.DUMMYFUNCTION("""COMPUTED_VALUE"""),0.0)</f>
        <v>0</v>
      </c>
      <c r="O27" s="187">
        <f>IFERROR(__xludf.DUMMYFUNCTION("""COMPUTED_VALUE"""),0.06133857142857143)</f>
        <v>0.06133857143</v>
      </c>
      <c r="P27" s="188">
        <f>IFERROR(__xludf.DUMMYFUNCTION("""COMPUTED_VALUE"""),68.0)</f>
        <v>68</v>
      </c>
      <c r="Q27" s="189">
        <f>IFERROR(__xludf.DUMMYFUNCTION("""COMPUTED_VALUE"""),85.0)</f>
        <v>85</v>
      </c>
      <c r="R27" s="188">
        <f>IFERROR(__xludf.DUMMYFUNCTION("""COMPUTED_VALUE"""),20.0)</f>
        <v>20</v>
      </c>
      <c r="S27" s="188">
        <f>IFERROR(__xludf.DUMMYFUNCTION("""COMPUTED_VALUE"""),20.0)</f>
        <v>20</v>
      </c>
      <c r="T27" s="188">
        <f>IFERROR(__xludf.DUMMYFUNCTION("""COMPUTED_VALUE"""),88.0)</f>
        <v>88</v>
      </c>
      <c r="U27" s="188">
        <f>IFERROR(__xludf.DUMMYFUNCTION("""COMPUTED_VALUE"""),3.0)</f>
        <v>3</v>
      </c>
      <c r="V27" s="189">
        <f>IFERROR(__xludf.DUMMYFUNCTION("""COMPUTED_VALUE"""),2051975.42)</f>
        <v>2051975.42</v>
      </c>
      <c r="W27" s="189">
        <f>IFERROR(__xludf.DUMMYFUNCTION("""COMPUTED_VALUE"""),835894.56)</f>
        <v>835894.56</v>
      </c>
      <c r="X27" s="188">
        <f>IFERROR(__xludf.DUMMYFUNCTION("""COMPUTED_VALUE"""),45.0)</f>
        <v>45</v>
      </c>
      <c r="Y27" s="188">
        <f>IFERROR(__xludf.DUMMYFUNCTION("""COMPUTED_VALUE"""),20.0)</f>
        <v>20</v>
      </c>
      <c r="Z27" s="188">
        <f>IFERROR(__xludf.DUMMYFUNCTION("""COMPUTED_VALUE"""),65.0)</f>
        <v>65</v>
      </c>
      <c r="AA27" s="188">
        <f>IFERROR(__xludf.DUMMYFUNCTION("""COMPUTED_VALUE"""),0.0)</f>
        <v>0</v>
      </c>
      <c r="AB27" s="188">
        <f>IFERROR(__xludf.DUMMYFUNCTION("""COMPUTED_VALUE"""),154.0)</f>
        <v>154</v>
      </c>
      <c r="AC27" s="188">
        <f>IFERROR(__xludf.DUMMYFUNCTION("""COMPUTED_VALUE"""),290.0)</f>
        <v>290</v>
      </c>
      <c r="AD27" s="188">
        <f>IFERROR(__xludf.DUMMYFUNCTION("""COMPUTED_VALUE"""),95.0)</f>
        <v>95</v>
      </c>
      <c r="AE27" s="188">
        <f>IFERROR(__xludf.DUMMYFUNCTION("""COMPUTED_VALUE"""),3.0)</f>
        <v>3</v>
      </c>
      <c r="AF27" s="188">
        <f>IFERROR(__xludf.DUMMYFUNCTION("""COMPUTED_VALUE"""),225.0)</f>
        <v>225</v>
      </c>
      <c r="AG27" s="188">
        <f>IFERROR(__xludf.DUMMYFUNCTION("""COMPUTED_VALUE"""),0.0)</f>
        <v>0</v>
      </c>
      <c r="AH27" s="188">
        <f>IFERROR(__xludf.DUMMYFUNCTION("""COMPUTED_VALUE"""),0.0)</f>
        <v>0</v>
      </c>
      <c r="AI27" s="188">
        <f>IFERROR(__xludf.DUMMYFUNCTION("""COMPUTED_VALUE"""),0.0)</f>
        <v>0</v>
      </c>
      <c r="AJ27" s="188">
        <f>IFERROR(__xludf.DUMMYFUNCTION("""COMPUTED_VALUE"""),0.0)</f>
        <v>0</v>
      </c>
      <c r="AK27" s="188">
        <f>IFERROR(__xludf.DUMMYFUNCTION("""COMPUTED_VALUE"""),1536.0)</f>
        <v>1536</v>
      </c>
      <c r="AL27" s="188">
        <f>IFERROR(__xludf.DUMMYFUNCTION("""COMPUTED_VALUE"""),2051.0)</f>
        <v>2051</v>
      </c>
      <c r="AM27" s="188">
        <f>IFERROR(__xludf.DUMMYFUNCTION("""COMPUTED_VALUE"""),270.0)</f>
        <v>270</v>
      </c>
      <c r="AN27" s="186">
        <f>IFERROR(__xludf.DUMMYFUNCTION("""COMPUTED_VALUE"""),10695.814740740741)</f>
        <v>10695.81474</v>
      </c>
      <c r="AO27" s="189">
        <f>IFERROR(__xludf.DUMMYFUNCTION("""COMPUTED_VALUE"""),7.5962962962962965)</f>
        <v>7.596296296</v>
      </c>
      <c r="AP27" s="186">
        <f>IFERROR(__xludf.DUMMYFUNCTION("""COMPUTED_VALUE"""),282840.0)</f>
        <v>282840</v>
      </c>
      <c r="AQ27" s="186">
        <f>IFERROR(__xludf.DUMMYFUNCTION("""COMPUTED_VALUE"""),172362.0)</f>
        <v>172362</v>
      </c>
      <c r="AR27" s="187">
        <f>IFERROR(__xludf.DUMMYFUNCTION("""COMPUTED_VALUE"""),0.15762551747568634)</f>
        <v>0.1576255175</v>
      </c>
      <c r="AS27" s="186">
        <f>IFERROR(__xludf.DUMMYFUNCTION("""COMPUTED_VALUE"""),44428.768923076925)</f>
        <v>44428.76892</v>
      </c>
      <c r="AT27" s="75">
        <f>IFERROR(__xludf.DUMMYFUNCTION("""COMPUTED_VALUE"""),203.0)</f>
        <v>203</v>
      </c>
      <c r="AU27" s="75">
        <f>IFERROR(__xludf.DUMMYFUNCTION("""COMPUTED_VALUE"""),2768.0)</f>
        <v>2768</v>
      </c>
      <c r="AV27" s="190">
        <f>IFERROR(__xludf.DUMMYFUNCTION("""COMPUTED_VALUE"""),2407.74)</f>
        <v>2407.74</v>
      </c>
      <c r="AW27" s="75">
        <f>IFERROR(__xludf.DUMMYFUNCTION("""COMPUTED_VALUE"""),28.0)</f>
        <v>28</v>
      </c>
      <c r="AX27" s="75">
        <f>IFERROR(__xludf.DUMMYFUNCTION("""COMPUTED_VALUE"""),65.0)</f>
        <v>65</v>
      </c>
      <c r="AY27" s="75">
        <f>IFERROR(__xludf.DUMMYFUNCTION("""COMPUTED_VALUE"""),20.0)</f>
        <v>20</v>
      </c>
      <c r="AZ27" s="75">
        <f>IFERROR(__xludf.DUMMYFUNCTION("""COMPUTED_VALUE"""),3.0)</f>
        <v>3</v>
      </c>
      <c r="BA27" s="191"/>
      <c r="BB27" s="75"/>
      <c r="BC27" s="192"/>
      <c r="BD27" s="194"/>
      <c r="BE27" s="194"/>
    </row>
    <row r="28">
      <c r="A28" s="183" t="str">
        <f>IFERROR(__xludf.DUMMYFUNCTION("""COMPUTED_VALUE"""),"Pawan Sharma")</f>
        <v>Pawan Sharma</v>
      </c>
      <c r="B28" s="183" t="str">
        <f>IFERROR(__xludf.DUMMYFUNCTION("""COMPUTED_VALUE"""),"Rajasthan")</f>
        <v>Rajasthan</v>
      </c>
      <c r="C28" s="184" t="str">
        <f>IFERROR(__xludf.DUMMYFUNCTION("""COMPUTED_VALUE"""),"Vikash Gour")</f>
        <v>Vikash Gour</v>
      </c>
      <c r="D28" s="75" t="str">
        <f>IFERROR(__xludf.DUMMYFUNCTION("""COMPUTED_VALUE"""),"Neemrana")</f>
        <v>Neemrana</v>
      </c>
      <c r="E28" s="185">
        <f>IFERROR(__xludf.DUMMYFUNCTION("""COMPUTED_VALUE"""),45733.0)</f>
        <v>45733</v>
      </c>
      <c r="F28" s="184" t="str">
        <f>IFERROR(__xludf.DUMMYFUNCTION("""COMPUTED_VALUE"""),"RAJASTHAN")</f>
        <v>RAJASTHAN</v>
      </c>
      <c r="G28" s="186"/>
      <c r="H28" s="186">
        <f>IFERROR(__xludf.DUMMYFUNCTION("""COMPUTED_VALUE"""),0.0)</f>
        <v>0</v>
      </c>
      <c r="I28" s="186">
        <f>IFERROR(__xludf.DUMMYFUNCTION("""COMPUTED_VALUE"""),1.75E7)</f>
        <v>17500000</v>
      </c>
      <c r="J28" s="186">
        <f>IFERROR(__xludf.DUMMYFUNCTION("""COMPUTED_VALUE"""),8305428.76)</f>
        <v>8305428.76</v>
      </c>
      <c r="K28" s="186">
        <f>IFERROR(__xludf.DUMMYFUNCTION("""COMPUTED_VALUE"""),0.0)</f>
        <v>0</v>
      </c>
      <c r="L28" s="186">
        <f>IFERROR(__xludf.DUMMYFUNCTION("""COMPUTED_VALUE"""),6240886.0)</f>
        <v>6240886</v>
      </c>
      <c r="M28" s="187">
        <f>IFERROR(__xludf.DUMMYFUNCTION("""COMPUTED_VALUE"""),0.47459592914285714)</f>
        <v>0.4745959291</v>
      </c>
      <c r="N28" s="187">
        <f>IFERROR(__xludf.DUMMYFUNCTION("""COMPUTED_VALUE"""),0.0)</f>
        <v>0</v>
      </c>
      <c r="O28" s="187">
        <f>IFERROR(__xludf.DUMMYFUNCTION("""COMPUTED_VALUE"""),0.35662205714285716)</f>
        <v>0.3566220571</v>
      </c>
      <c r="P28" s="188">
        <f>IFERROR(__xludf.DUMMYFUNCTION("""COMPUTED_VALUE"""),56.0)</f>
        <v>56</v>
      </c>
      <c r="Q28" s="189">
        <f>IFERROR(__xludf.DUMMYFUNCTION("""COMPUTED_VALUE"""),92.0)</f>
        <v>92</v>
      </c>
      <c r="R28" s="188">
        <f>IFERROR(__xludf.DUMMYFUNCTION("""COMPUTED_VALUE"""),36.0)</f>
        <v>36</v>
      </c>
      <c r="S28" s="188">
        <f>IFERROR(__xludf.DUMMYFUNCTION("""COMPUTED_VALUE"""),36.0)</f>
        <v>36</v>
      </c>
      <c r="T28" s="188">
        <f>IFERROR(__xludf.DUMMYFUNCTION("""COMPUTED_VALUE"""),92.0)</f>
        <v>92</v>
      </c>
      <c r="U28" s="188">
        <f>IFERROR(__xludf.DUMMYFUNCTION("""COMPUTED_VALUE"""),0.0)</f>
        <v>0</v>
      </c>
      <c r="V28" s="189">
        <f>IFERROR(__xludf.DUMMYFUNCTION("""COMPUTED_VALUE"""),3229622.76)</f>
        <v>3229622.76</v>
      </c>
      <c r="W28" s="189">
        <f>IFERROR(__xludf.DUMMYFUNCTION("""COMPUTED_VALUE"""),5075806.0)</f>
        <v>5075806</v>
      </c>
      <c r="X28" s="188">
        <f>IFERROR(__xludf.DUMMYFUNCTION("""COMPUTED_VALUE"""),22.0)</f>
        <v>22</v>
      </c>
      <c r="Y28" s="188">
        <f>IFERROR(__xludf.DUMMYFUNCTION("""COMPUTED_VALUE"""),36.0)</f>
        <v>36</v>
      </c>
      <c r="Z28" s="188">
        <f>IFERROR(__xludf.DUMMYFUNCTION("""COMPUTED_VALUE"""),58.0)</f>
        <v>58</v>
      </c>
      <c r="AA28" s="188">
        <f>IFERROR(__xludf.DUMMYFUNCTION("""COMPUTED_VALUE"""),0.0)</f>
        <v>0</v>
      </c>
      <c r="AB28" s="188">
        <f>IFERROR(__xludf.DUMMYFUNCTION("""COMPUTED_VALUE"""),226.0)</f>
        <v>226</v>
      </c>
      <c r="AC28" s="188">
        <f>IFERROR(__xludf.DUMMYFUNCTION("""COMPUTED_VALUE"""),642.0)</f>
        <v>642</v>
      </c>
      <c r="AD28" s="188">
        <f>IFERROR(__xludf.DUMMYFUNCTION("""COMPUTED_VALUE"""),1.0)</f>
        <v>1</v>
      </c>
      <c r="AE28" s="188">
        <f>IFERROR(__xludf.DUMMYFUNCTION("""COMPUTED_VALUE"""),7.0)</f>
        <v>7</v>
      </c>
      <c r="AF28" s="188">
        <f>IFERROR(__xludf.DUMMYFUNCTION("""COMPUTED_VALUE"""),142.0)</f>
        <v>142</v>
      </c>
      <c r="AG28" s="188">
        <f>IFERROR(__xludf.DUMMYFUNCTION("""COMPUTED_VALUE"""),1.0)</f>
        <v>1</v>
      </c>
      <c r="AH28" s="188">
        <f>IFERROR(__xludf.DUMMYFUNCTION("""COMPUTED_VALUE"""),4.0)</f>
        <v>4</v>
      </c>
      <c r="AI28" s="188">
        <f>IFERROR(__xludf.DUMMYFUNCTION("""COMPUTED_VALUE"""),18.0)</f>
        <v>18</v>
      </c>
      <c r="AJ28" s="188">
        <f>IFERROR(__xludf.DUMMYFUNCTION("""COMPUTED_VALUE"""),130.0)</f>
        <v>130</v>
      </c>
      <c r="AK28" s="188">
        <f>IFERROR(__xludf.DUMMYFUNCTION("""COMPUTED_VALUE"""),1166.0)</f>
        <v>1166</v>
      </c>
      <c r="AL28" s="188">
        <f>IFERROR(__xludf.DUMMYFUNCTION("""COMPUTED_VALUE"""),2084.0)</f>
        <v>2084</v>
      </c>
      <c r="AM28" s="188">
        <f>IFERROR(__xludf.DUMMYFUNCTION("""COMPUTED_VALUE"""),294.0)</f>
        <v>294</v>
      </c>
      <c r="AN28" s="186">
        <f>IFERROR(__xludf.DUMMYFUNCTION("""COMPUTED_VALUE"""),28249.75768707483)</f>
        <v>28249.75769</v>
      </c>
      <c r="AO28" s="189">
        <f>IFERROR(__xludf.DUMMYFUNCTION("""COMPUTED_VALUE"""),7.08843537414966)</f>
        <v>7.088435374</v>
      </c>
      <c r="AP28" s="186">
        <f>IFERROR(__xludf.DUMMYFUNCTION("""COMPUTED_VALUE"""),402600.0)</f>
        <v>402600</v>
      </c>
      <c r="AQ28" s="186">
        <f>IFERROR(__xludf.DUMMYFUNCTION("""COMPUTED_VALUE"""),333495.0)</f>
        <v>333495</v>
      </c>
      <c r="AR28" s="187">
        <f>IFERROR(__xludf.DUMMYFUNCTION("""COMPUTED_VALUE"""),0.08862817577162627)</f>
        <v>0.08862817577</v>
      </c>
      <c r="AS28" s="186">
        <f>IFERROR(__xludf.DUMMYFUNCTION("""COMPUTED_VALUE"""),143197.0475862069)</f>
        <v>143197.0476</v>
      </c>
      <c r="AT28" s="75">
        <f>IFERROR(__xludf.DUMMYFUNCTION("""COMPUTED_VALUE"""),261.0)</f>
        <v>261</v>
      </c>
      <c r="AU28" s="75">
        <f>IFERROR(__xludf.DUMMYFUNCTION("""COMPUTED_VALUE"""),2799.0)</f>
        <v>2799</v>
      </c>
      <c r="AV28" s="190">
        <f>IFERROR(__xludf.DUMMYFUNCTION("""COMPUTED_VALUE"""),5073.69)</f>
        <v>5073.69</v>
      </c>
      <c r="AW28" s="75">
        <f>IFERROR(__xludf.DUMMYFUNCTION("""COMPUTED_VALUE"""),55.0)</f>
        <v>55</v>
      </c>
      <c r="AX28" s="75">
        <f>IFERROR(__xludf.DUMMYFUNCTION("""COMPUTED_VALUE"""),58.0)</f>
        <v>58</v>
      </c>
      <c r="AY28" s="75">
        <f>IFERROR(__xludf.DUMMYFUNCTION("""COMPUTED_VALUE"""),34.0)</f>
        <v>34</v>
      </c>
      <c r="AZ28" s="75">
        <f>IFERROR(__xludf.DUMMYFUNCTION("""COMPUTED_VALUE"""),0.0)</f>
        <v>0</v>
      </c>
      <c r="BA28" s="191"/>
      <c r="BB28" s="75"/>
      <c r="BC28" s="192"/>
      <c r="BD28" s="194"/>
      <c r="BE28" s="194"/>
    </row>
    <row r="29">
      <c r="A29" s="183" t="str">
        <f>IFERROR(__xludf.DUMMYFUNCTION("""COMPUTED_VALUE"""),"Pawan Sharma")</f>
        <v>Pawan Sharma</v>
      </c>
      <c r="B29" s="183" t="str">
        <f>IFERROR(__xludf.DUMMYFUNCTION("""COMPUTED_VALUE"""),"Rajasthan")</f>
        <v>Rajasthan</v>
      </c>
      <c r="C29" s="184" t="str">
        <f>IFERROR(__xludf.DUMMYFUNCTION("""COMPUTED_VALUE"""),"Manish Kumar Trivedi")</f>
        <v>Manish Kumar Trivedi</v>
      </c>
      <c r="D29" s="75" t="str">
        <f>IFERROR(__xludf.DUMMYFUNCTION("""COMPUTED_VALUE"""),"Jaipur")</f>
        <v>Jaipur</v>
      </c>
      <c r="E29" s="185">
        <f>IFERROR(__xludf.DUMMYFUNCTION("""COMPUTED_VALUE"""),45992.0)</f>
        <v>45992</v>
      </c>
      <c r="F29" s="184" t="str">
        <f>IFERROR(__xludf.DUMMYFUNCTION("""COMPUTED_VALUE"""),"RAJASTHAN")</f>
        <v>RAJASTHAN</v>
      </c>
      <c r="G29" s="186"/>
      <c r="H29" s="186">
        <f>IFERROR(__xludf.DUMMYFUNCTION("""COMPUTED_VALUE"""),0.0)</f>
        <v>0</v>
      </c>
      <c r="I29" s="186">
        <f>IFERROR(__xludf.DUMMYFUNCTION("""COMPUTED_VALUE"""),2400000.0)</f>
        <v>2400000</v>
      </c>
      <c r="J29" s="186">
        <f>IFERROR(__xludf.DUMMYFUNCTION("""COMPUTED_VALUE"""),634214.71)</f>
        <v>634214.71</v>
      </c>
      <c r="K29" s="186">
        <f>IFERROR(__xludf.DUMMYFUNCTION("""COMPUTED_VALUE"""),0.0)</f>
        <v>0</v>
      </c>
      <c r="L29" s="186">
        <f>IFERROR(__xludf.DUMMYFUNCTION("""COMPUTED_VALUE"""),0.0)</f>
        <v>0</v>
      </c>
      <c r="M29" s="187">
        <f>IFERROR(__xludf.DUMMYFUNCTION("""COMPUTED_VALUE"""),0.26425612916666663)</f>
        <v>0.2642561292</v>
      </c>
      <c r="N29" s="187">
        <f>IFERROR(__xludf.DUMMYFUNCTION("""COMPUTED_VALUE"""),0.0)</f>
        <v>0</v>
      </c>
      <c r="O29" s="187">
        <f>IFERROR(__xludf.DUMMYFUNCTION("""COMPUTED_VALUE"""),0.0)</f>
        <v>0</v>
      </c>
      <c r="P29" s="188">
        <f>IFERROR(__xludf.DUMMYFUNCTION("""COMPUTED_VALUE"""),10.0)</f>
        <v>10</v>
      </c>
      <c r="Q29" s="189">
        <f>IFERROR(__xludf.DUMMYFUNCTION("""COMPUTED_VALUE"""),20.0)</f>
        <v>20</v>
      </c>
      <c r="R29" s="188">
        <f>IFERROR(__xludf.DUMMYFUNCTION("""COMPUTED_VALUE"""),10.0)</f>
        <v>10</v>
      </c>
      <c r="S29" s="188">
        <f>IFERROR(__xludf.DUMMYFUNCTION("""COMPUTED_VALUE"""),10.0)</f>
        <v>10</v>
      </c>
      <c r="T29" s="188">
        <f>IFERROR(__xludf.DUMMYFUNCTION("""COMPUTED_VALUE"""),20.0)</f>
        <v>20</v>
      </c>
      <c r="U29" s="188">
        <f>IFERROR(__xludf.DUMMYFUNCTION("""COMPUTED_VALUE"""),0.0)</f>
        <v>0</v>
      </c>
      <c r="V29" s="189">
        <f>IFERROR(__xludf.DUMMYFUNCTION("""COMPUTED_VALUE"""),101158.23)</f>
        <v>101158.23</v>
      </c>
      <c r="W29" s="189">
        <f>IFERROR(__xludf.DUMMYFUNCTION("""COMPUTED_VALUE"""),533056.48)</f>
        <v>533056.48</v>
      </c>
      <c r="X29" s="188">
        <f>IFERROR(__xludf.DUMMYFUNCTION("""COMPUTED_VALUE"""),1.0)</f>
        <v>1</v>
      </c>
      <c r="Y29" s="188">
        <f>IFERROR(__xludf.DUMMYFUNCTION("""COMPUTED_VALUE"""),10.0)</f>
        <v>10</v>
      </c>
      <c r="Z29" s="188">
        <f>IFERROR(__xludf.DUMMYFUNCTION("""COMPUTED_VALUE"""),11.0)</f>
        <v>11</v>
      </c>
      <c r="AA29" s="188">
        <f>IFERROR(__xludf.DUMMYFUNCTION("""COMPUTED_VALUE"""),0.0)</f>
        <v>0</v>
      </c>
      <c r="AB29" s="188">
        <f>IFERROR(__xludf.DUMMYFUNCTION("""COMPUTED_VALUE"""),288.0)</f>
        <v>288</v>
      </c>
      <c r="AC29" s="188">
        <f>IFERROR(__xludf.DUMMYFUNCTION("""COMPUTED_VALUE"""),575.0)</f>
        <v>575</v>
      </c>
      <c r="AD29" s="188">
        <f>IFERROR(__xludf.DUMMYFUNCTION("""COMPUTED_VALUE"""),7.0)</f>
        <v>7</v>
      </c>
      <c r="AE29" s="188">
        <f>IFERROR(__xludf.DUMMYFUNCTION("""COMPUTED_VALUE"""),3.0)</f>
        <v>3</v>
      </c>
      <c r="AF29" s="188">
        <f>IFERROR(__xludf.DUMMYFUNCTION("""COMPUTED_VALUE"""),33.0)</f>
        <v>33</v>
      </c>
      <c r="AG29" s="188">
        <f>IFERROR(__xludf.DUMMYFUNCTION("""COMPUTED_VALUE"""),0.0)</f>
        <v>0</v>
      </c>
      <c r="AH29" s="188">
        <f>IFERROR(__xludf.DUMMYFUNCTION("""COMPUTED_VALUE"""),0.0)</f>
        <v>0</v>
      </c>
      <c r="AI29" s="188">
        <f>IFERROR(__xludf.DUMMYFUNCTION("""COMPUTED_VALUE"""),3.0)</f>
        <v>3</v>
      </c>
      <c r="AJ29" s="188">
        <f>IFERROR(__xludf.DUMMYFUNCTION("""COMPUTED_VALUE"""),13.0)</f>
        <v>13</v>
      </c>
      <c r="AK29" s="188">
        <f>IFERROR(__xludf.DUMMYFUNCTION("""COMPUTED_VALUE"""),96.0)</f>
        <v>96</v>
      </c>
      <c r="AL29" s="188">
        <f>IFERROR(__xludf.DUMMYFUNCTION("""COMPUTED_VALUE"""),717.0)</f>
        <v>717</v>
      </c>
      <c r="AM29" s="188">
        <f>IFERROR(__xludf.DUMMYFUNCTION("""COMPUTED_VALUE"""),91.0)</f>
        <v>91</v>
      </c>
      <c r="AN29" s="186">
        <f>IFERROR(__xludf.DUMMYFUNCTION("""COMPUTED_VALUE"""),6969.392417582417)</f>
        <v>6969.392418</v>
      </c>
      <c r="AO29" s="189">
        <f>IFERROR(__xludf.DUMMYFUNCTION("""COMPUTED_VALUE"""),7.8791208791208796)</f>
        <v>7.879120879</v>
      </c>
      <c r="AP29" s="186">
        <f>IFERROR(__xludf.DUMMYFUNCTION("""COMPUTED_VALUE"""),115336.0)</f>
        <v>115336</v>
      </c>
      <c r="AQ29" s="186">
        <f>IFERROR(__xludf.DUMMYFUNCTION("""COMPUTED_VALUE"""),38742.0)</f>
        <v>38742</v>
      </c>
      <c r="AR29" s="187">
        <f>IFERROR(__xludf.DUMMYFUNCTION("""COMPUTED_VALUE"""),0.24294296169825516)</f>
        <v>0.2429429617</v>
      </c>
      <c r="AS29" s="186">
        <f>IFERROR(__xludf.DUMMYFUNCTION("""COMPUTED_VALUE"""),57655.88272727272)</f>
        <v>57655.88273</v>
      </c>
      <c r="AT29" s="75">
        <f>IFERROR(__xludf.DUMMYFUNCTION("""COMPUTED_VALUE"""),15.0)</f>
        <v>15</v>
      </c>
      <c r="AU29" s="75">
        <f>IFERROR(__xludf.DUMMYFUNCTION("""COMPUTED_VALUE"""),879.0)</f>
        <v>879</v>
      </c>
      <c r="AV29" s="190">
        <f>IFERROR(__xludf.DUMMYFUNCTION("""COMPUTED_VALUE"""),3258.35)</f>
        <v>3258.35</v>
      </c>
      <c r="AW29" s="75">
        <f>IFERROR(__xludf.DUMMYFUNCTION("""COMPUTED_VALUE"""),163.0)</f>
        <v>163</v>
      </c>
      <c r="AX29" s="75">
        <f>IFERROR(__xludf.DUMMYFUNCTION("""COMPUTED_VALUE"""),11.0)</f>
        <v>11</v>
      </c>
      <c r="AY29" s="75">
        <f>IFERROR(__xludf.DUMMYFUNCTION("""COMPUTED_VALUE"""),9.0)</f>
        <v>9</v>
      </c>
      <c r="AZ29" s="75">
        <f>IFERROR(__xludf.DUMMYFUNCTION("""COMPUTED_VALUE"""),0.0)</f>
        <v>0</v>
      </c>
      <c r="BA29" s="191"/>
      <c r="BB29" s="75"/>
      <c r="BC29" s="192"/>
      <c r="BD29" s="194"/>
      <c r="BE29" s="194"/>
    </row>
    <row r="30">
      <c r="A30" s="183" t="str">
        <f>IFERROR(__xludf.DUMMYFUNCTION("""COMPUTED_VALUE"""),"Sandeep Dadheech")</f>
        <v>Sandeep Dadheech</v>
      </c>
      <c r="B30" s="183" t="str">
        <f>IFERROR(__xludf.DUMMYFUNCTION("""COMPUTED_VALUE"""),"West Bengal")</f>
        <v>West Bengal</v>
      </c>
      <c r="C30" s="184" t="str">
        <f>IFERROR(__xludf.DUMMYFUNCTION("""COMPUTED_VALUE"""),"Indrajit Ghosh")</f>
        <v>Indrajit Ghosh</v>
      </c>
      <c r="D30" s="75" t="str">
        <f>IFERROR(__xludf.DUMMYFUNCTION("""COMPUTED_VALUE"""),"Kolkata")</f>
        <v>Kolkata</v>
      </c>
      <c r="E30" s="185">
        <f>IFERROR(__xludf.DUMMYFUNCTION("""COMPUTED_VALUE"""),45817.0)</f>
        <v>45817</v>
      </c>
      <c r="F30" s="184" t="str">
        <f>IFERROR(__xludf.DUMMYFUNCTION("""COMPUTED_VALUE"""),"WEST BENGAL")</f>
        <v>WEST BENGAL</v>
      </c>
      <c r="G30" s="186"/>
      <c r="H30" s="186">
        <f>IFERROR(__xludf.DUMMYFUNCTION("""COMPUTED_VALUE"""),0.0)</f>
        <v>0</v>
      </c>
      <c r="I30" s="186">
        <f>IFERROR(__xludf.DUMMYFUNCTION("""COMPUTED_VALUE"""),1.5E7)</f>
        <v>15000000</v>
      </c>
      <c r="J30" s="186">
        <f>IFERROR(__xludf.DUMMYFUNCTION("""COMPUTED_VALUE"""),4564361.21)</f>
        <v>4564361.21</v>
      </c>
      <c r="K30" s="186">
        <f>IFERROR(__xludf.DUMMYFUNCTION("""COMPUTED_VALUE"""),0.0)</f>
        <v>0</v>
      </c>
      <c r="L30" s="186">
        <f>IFERROR(__xludf.DUMMYFUNCTION("""COMPUTED_VALUE"""),4094227.0)</f>
        <v>4094227</v>
      </c>
      <c r="M30" s="187">
        <f>IFERROR(__xludf.DUMMYFUNCTION("""COMPUTED_VALUE"""),0.30429074733333333)</f>
        <v>0.3042907473</v>
      </c>
      <c r="N30" s="187">
        <f>IFERROR(__xludf.DUMMYFUNCTION("""COMPUTED_VALUE"""),0.0)</f>
        <v>0</v>
      </c>
      <c r="O30" s="187">
        <f>IFERROR(__xludf.DUMMYFUNCTION("""COMPUTED_VALUE"""),0.27294846666666667)</f>
        <v>0.2729484667</v>
      </c>
      <c r="P30" s="188">
        <f>IFERROR(__xludf.DUMMYFUNCTION("""COMPUTED_VALUE"""),49.0)</f>
        <v>49</v>
      </c>
      <c r="Q30" s="189">
        <f>IFERROR(__xludf.DUMMYFUNCTION("""COMPUTED_VALUE"""),83.0)</f>
        <v>83</v>
      </c>
      <c r="R30" s="188">
        <f>IFERROR(__xludf.DUMMYFUNCTION("""COMPUTED_VALUE"""),34.0)</f>
        <v>34</v>
      </c>
      <c r="S30" s="188">
        <f>IFERROR(__xludf.DUMMYFUNCTION("""COMPUTED_VALUE"""),28.0)</f>
        <v>28</v>
      </c>
      <c r="T30" s="188">
        <f>IFERROR(__xludf.DUMMYFUNCTION("""COMPUTED_VALUE"""),83.0)</f>
        <v>83</v>
      </c>
      <c r="U30" s="188">
        <f>IFERROR(__xludf.DUMMYFUNCTION("""COMPUTED_VALUE"""),0.0)</f>
        <v>0</v>
      </c>
      <c r="V30" s="189">
        <f>IFERROR(__xludf.DUMMYFUNCTION("""COMPUTED_VALUE"""),1313378.64)</f>
        <v>1313378.64</v>
      </c>
      <c r="W30" s="189">
        <f>IFERROR(__xludf.DUMMYFUNCTION("""COMPUTED_VALUE"""),3250982.57)</f>
        <v>3250982.57</v>
      </c>
      <c r="X30" s="188">
        <f>IFERROR(__xludf.DUMMYFUNCTION("""COMPUTED_VALUE"""),10.0)</f>
        <v>10</v>
      </c>
      <c r="Y30" s="188">
        <f>IFERROR(__xludf.DUMMYFUNCTION("""COMPUTED_VALUE"""),28.0)</f>
        <v>28</v>
      </c>
      <c r="Z30" s="188">
        <f>IFERROR(__xludf.DUMMYFUNCTION("""COMPUTED_VALUE"""),38.0)</f>
        <v>38</v>
      </c>
      <c r="AA30" s="188">
        <f>IFERROR(__xludf.DUMMYFUNCTION("""COMPUTED_VALUE"""),0.0)</f>
        <v>0</v>
      </c>
      <c r="AB30" s="188">
        <f>IFERROR(__xludf.DUMMYFUNCTION("""COMPUTED_VALUE"""),216.0)</f>
        <v>216</v>
      </c>
      <c r="AC30" s="188">
        <f>IFERROR(__xludf.DUMMYFUNCTION("""COMPUTED_VALUE"""),523.0)</f>
        <v>523</v>
      </c>
      <c r="AD30" s="188">
        <f>IFERROR(__xludf.DUMMYFUNCTION("""COMPUTED_VALUE"""),0.0)</f>
        <v>0</v>
      </c>
      <c r="AE30" s="188">
        <f>IFERROR(__xludf.DUMMYFUNCTION("""COMPUTED_VALUE"""),2.0)</f>
        <v>2</v>
      </c>
      <c r="AF30" s="188">
        <f>IFERROR(__xludf.DUMMYFUNCTION("""COMPUTED_VALUE"""),23.0)</f>
        <v>23</v>
      </c>
      <c r="AG30" s="188">
        <f>IFERROR(__xludf.DUMMYFUNCTION("""COMPUTED_VALUE"""),0.0)</f>
        <v>0</v>
      </c>
      <c r="AH30" s="188">
        <f>IFERROR(__xludf.DUMMYFUNCTION("""COMPUTED_VALUE"""),0.0)</f>
        <v>0</v>
      </c>
      <c r="AI30" s="188">
        <f>IFERROR(__xludf.DUMMYFUNCTION("""COMPUTED_VALUE"""),0.0)</f>
        <v>0</v>
      </c>
      <c r="AJ30" s="188">
        <f>IFERROR(__xludf.DUMMYFUNCTION("""COMPUTED_VALUE"""),0.0)</f>
        <v>0</v>
      </c>
      <c r="AK30" s="188">
        <f>IFERROR(__xludf.DUMMYFUNCTION("""COMPUTED_VALUE"""),642.0)</f>
        <v>642</v>
      </c>
      <c r="AL30" s="188">
        <f>IFERROR(__xludf.DUMMYFUNCTION("""COMPUTED_VALUE"""),1188.0)</f>
        <v>1188</v>
      </c>
      <c r="AM30" s="188">
        <f>IFERROR(__xludf.DUMMYFUNCTION("""COMPUTED_VALUE"""),226.0)</f>
        <v>226</v>
      </c>
      <c r="AN30" s="186">
        <f>IFERROR(__xludf.DUMMYFUNCTION("""COMPUTED_VALUE"""),20196.28853982301)</f>
        <v>20196.28854</v>
      </c>
      <c r="AO30" s="189">
        <f>IFERROR(__xludf.DUMMYFUNCTION("""COMPUTED_VALUE"""),5.256637168141593)</f>
        <v>5.256637168</v>
      </c>
      <c r="AP30" s="186">
        <f>IFERROR(__xludf.DUMMYFUNCTION("""COMPUTED_VALUE"""),325000.0)</f>
        <v>325000</v>
      </c>
      <c r="AQ30" s="186">
        <f>IFERROR(__xludf.DUMMYFUNCTION("""COMPUTED_VALUE"""),83867.0)</f>
        <v>83867</v>
      </c>
      <c r="AR30" s="187">
        <f>IFERROR(__xludf.DUMMYFUNCTION("""COMPUTED_VALUE"""),0.08957814274300172)</f>
        <v>0.08957814274</v>
      </c>
      <c r="AS30" s="186">
        <f>IFERROR(__xludf.DUMMYFUNCTION("""COMPUTED_VALUE"""),120114.76868421053)</f>
        <v>120114.7687</v>
      </c>
      <c r="AT30" s="75">
        <f>IFERROR(__xludf.DUMMYFUNCTION("""COMPUTED_VALUE"""),120.0)</f>
        <v>120</v>
      </c>
      <c r="AU30" s="75">
        <f>IFERROR(__xludf.DUMMYFUNCTION("""COMPUTED_VALUE"""),2262.0)</f>
        <v>2262</v>
      </c>
      <c r="AV30" s="190">
        <f>IFERROR(__xludf.DUMMYFUNCTION("""COMPUTED_VALUE"""),2463.6)</f>
        <v>2463.6</v>
      </c>
      <c r="AW30" s="75">
        <f>IFERROR(__xludf.DUMMYFUNCTION("""COMPUTED_VALUE"""),30.0)</f>
        <v>30</v>
      </c>
      <c r="AX30" s="75">
        <f>IFERROR(__xludf.DUMMYFUNCTION("""COMPUTED_VALUE"""),38.0)</f>
        <v>38</v>
      </c>
      <c r="AY30" s="75">
        <f>IFERROR(__xludf.DUMMYFUNCTION("""COMPUTED_VALUE"""),45.0)</f>
        <v>45</v>
      </c>
      <c r="AZ30" s="75">
        <f>IFERROR(__xludf.DUMMYFUNCTION("""COMPUTED_VALUE"""),0.0)</f>
        <v>0</v>
      </c>
      <c r="BA30" s="191"/>
      <c r="BB30" s="75"/>
      <c r="BC30" s="192"/>
      <c r="BD30" s="194"/>
      <c r="BE30" s="194"/>
    </row>
    <row r="31">
      <c r="A31" s="183" t="str">
        <f>IFERROR(__xludf.DUMMYFUNCTION("""COMPUTED_VALUE"""),"Sandeep Dadheech")</f>
        <v>Sandeep Dadheech</v>
      </c>
      <c r="B31" s="183" t="str">
        <f>IFERROR(__xludf.DUMMYFUNCTION("""COMPUTED_VALUE"""),"West Bengal")</f>
        <v>West Bengal</v>
      </c>
      <c r="C31" s="184" t="str">
        <f>IFERROR(__xludf.DUMMYFUNCTION("""COMPUTED_VALUE"""),"JAHIR ABBAS HALDER")</f>
        <v>JAHIR ABBAS HALDER</v>
      </c>
      <c r="D31" s="75" t="str">
        <f>IFERROR(__xludf.DUMMYFUNCTION("""COMPUTED_VALUE"""),"Hooghly")</f>
        <v>Hooghly</v>
      </c>
      <c r="E31" s="185">
        <f>IFERROR(__xludf.DUMMYFUNCTION("""COMPUTED_VALUE"""),45894.0)</f>
        <v>45894</v>
      </c>
      <c r="F31" s="184" t="str">
        <f>IFERROR(__xludf.DUMMYFUNCTION("""COMPUTED_VALUE"""),"WEST BENGAL")</f>
        <v>WEST BENGAL</v>
      </c>
      <c r="G31" s="186"/>
      <c r="H31" s="186">
        <f>IFERROR(__xludf.DUMMYFUNCTION("""COMPUTED_VALUE"""),0.0)</f>
        <v>0</v>
      </c>
      <c r="I31" s="186">
        <f>IFERROR(__xludf.DUMMYFUNCTION("""COMPUTED_VALUE"""),1.05E7)</f>
        <v>10500000</v>
      </c>
      <c r="J31" s="186">
        <f>IFERROR(__xludf.DUMMYFUNCTION("""COMPUTED_VALUE"""),1885263.77)</f>
        <v>1885263.77</v>
      </c>
      <c r="K31" s="186">
        <f>IFERROR(__xludf.DUMMYFUNCTION("""COMPUTED_VALUE"""),0.0)</f>
        <v>0</v>
      </c>
      <c r="L31" s="186">
        <f>IFERROR(__xludf.DUMMYFUNCTION("""COMPUTED_VALUE"""),9923196.7)</f>
        <v>9923196.7</v>
      </c>
      <c r="M31" s="187">
        <f>IFERROR(__xludf.DUMMYFUNCTION("""COMPUTED_VALUE"""),0.17954893047619047)</f>
        <v>0.1795489305</v>
      </c>
      <c r="N31" s="187">
        <f>IFERROR(__xludf.DUMMYFUNCTION("""COMPUTED_VALUE"""),0.0)</f>
        <v>0</v>
      </c>
      <c r="O31" s="187">
        <f>IFERROR(__xludf.DUMMYFUNCTION("""COMPUTED_VALUE"""),0.9450663523809523)</f>
        <v>0.9450663524</v>
      </c>
      <c r="P31" s="188">
        <f>IFERROR(__xludf.DUMMYFUNCTION("""COMPUTED_VALUE"""),91.0)</f>
        <v>91</v>
      </c>
      <c r="Q31" s="189">
        <f>IFERROR(__xludf.DUMMYFUNCTION("""COMPUTED_VALUE"""),95.0)</f>
        <v>95</v>
      </c>
      <c r="R31" s="188">
        <f>IFERROR(__xludf.DUMMYFUNCTION("""COMPUTED_VALUE"""),4.0)</f>
        <v>4</v>
      </c>
      <c r="S31" s="188">
        <f>IFERROR(__xludf.DUMMYFUNCTION("""COMPUTED_VALUE"""),1.0)</f>
        <v>1</v>
      </c>
      <c r="T31" s="188">
        <f>IFERROR(__xludf.DUMMYFUNCTION("""COMPUTED_VALUE"""),95.0)</f>
        <v>95</v>
      </c>
      <c r="U31" s="188">
        <f>IFERROR(__xludf.DUMMYFUNCTION("""COMPUTED_VALUE"""),0.0)</f>
        <v>0</v>
      </c>
      <c r="V31" s="189">
        <f>IFERROR(__xludf.DUMMYFUNCTION("""COMPUTED_VALUE"""),1505337.97)</f>
        <v>1505337.97</v>
      </c>
      <c r="W31" s="189">
        <f>IFERROR(__xludf.DUMMYFUNCTION("""COMPUTED_VALUE"""),379925.8)</f>
        <v>379925.8</v>
      </c>
      <c r="X31" s="188">
        <f>IFERROR(__xludf.DUMMYFUNCTION("""COMPUTED_VALUE"""),29.0)</f>
        <v>29</v>
      </c>
      <c r="Y31" s="188">
        <f>IFERROR(__xludf.DUMMYFUNCTION("""COMPUTED_VALUE"""),1.0)</f>
        <v>1</v>
      </c>
      <c r="Z31" s="188">
        <f>IFERROR(__xludf.DUMMYFUNCTION("""COMPUTED_VALUE"""),30.0)</f>
        <v>30</v>
      </c>
      <c r="AA31" s="188">
        <f>IFERROR(__xludf.DUMMYFUNCTION("""COMPUTED_VALUE"""),0.0)</f>
        <v>0</v>
      </c>
      <c r="AB31" s="188">
        <f>IFERROR(__xludf.DUMMYFUNCTION("""COMPUTED_VALUE"""),9.0)</f>
        <v>9</v>
      </c>
      <c r="AC31" s="188">
        <f>IFERROR(__xludf.DUMMYFUNCTION("""COMPUTED_VALUE"""),30.0)</f>
        <v>30</v>
      </c>
      <c r="AD31" s="188">
        <f>IFERROR(__xludf.DUMMYFUNCTION("""COMPUTED_VALUE"""),0.0)</f>
        <v>0</v>
      </c>
      <c r="AE31" s="188">
        <f>IFERROR(__xludf.DUMMYFUNCTION("""COMPUTED_VALUE"""),1.0)</f>
        <v>1</v>
      </c>
      <c r="AF31" s="188">
        <f>IFERROR(__xludf.DUMMYFUNCTION("""COMPUTED_VALUE"""),34.0)</f>
        <v>34</v>
      </c>
      <c r="AG31" s="188">
        <f>IFERROR(__xludf.DUMMYFUNCTION("""COMPUTED_VALUE"""),0.0)</f>
        <v>0</v>
      </c>
      <c r="AH31" s="188">
        <f>IFERROR(__xludf.DUMMYFUNCTION("""COMPUTED_VALUE"""),0.0)</f>
        <v>0</v>
      </c>
      <c r="AI31" s="188">
        <f>IFERROR(__xludf.DUMMYFUNCTION("""COMPUTED_VALUE"""),0.0)</f>
        <v>0</v>
      </c>
      <c r="AJ31" s="188">
        <f>IFERROR(__xludf.DUMMYFUNCTION("""COMPUTED_VALUE"""),0.0)</f>
        <v>0</v>
      </c>
      <c r="AK31" s="188">
        <f>IFERROR(__xludf.DUMMYFUNCTION("""COMPUTED_VALUE"""),640.0)</f>
        <v>640</v>
      </c>
      <c r="AL31" s="188">
        <f>IFERROR(__xludf.DUMMYFUNCTION("""COMPUTED_VALUE"""),704.0)</f>
        <v>704</v>
      </c>
      <c r="AM31" s="188">
        <f>IFERROR(__xludf.DUMMYFUNCTION("""COMPUTED_VALUE"""),152.0)</f>
        <v>152</v>
      </c>
      <c r="AN31" s="186">
        <f>IFERROR(__xludf.DUMMYFUNCTION("""COMPUTED_VALUE"""),12403.051118421054)</f>
        <v>12403.05112</v>
      </c>
      <c r="AO31" s="189">
        <f>IFERROR(__xludf.DUMMYFUNCTION("""COMPUTED_VALUE"""),4.631578947368421)</f>
        <v>4.631578947</v>
      </c>
      <c r="AP31" s="186">
        <f>IFERROR(__xludf.DUMMYFUNCTION("""COMPUTED_VALUE"""),196096.12903225806)</f>
        <v>196096.129</v>
      </c>
      <c r="AQ31" s="186">
        <f>IFERROR(__xludf.DUMMYFUNCTION("""COMPUTED_VALUE"""),32350.0)</f>
        <v>32350</v>
      </c>
      <c r="AR31" s="187">
        <f>IFERROR(__xludf.DUMMYFUNCTION("""COMPUTED_VALUE"""),0.12117462429793474)</f>
        <v>0.1211746243</v>
      </c>
      <c r="AS31" s="186">
        <f>IFERROR(__xludf.DUMMYFUNCTION("""COMPUTED_VALUE"""),62842.12566666667)</f>
        <v>62842.12567</v>
      </c>
      <c r="AT31" s="75">
        <f>IFERROR(__xludf.DUMMYFUNCTION("""COMPUTED_VALUE"""),46.0)</f>
        <v>46</v>
      </c>
      <c r="AU31" s="75">
        <f>IFERROR(__xludf.DUMMYFUNCTION("""COMPUTED_VALUE"""),1333.0)</f>
        <v>1333</v>
      </c>
      <c r="AV31" s="190">
        <f>IFERROR(__xludf.DUMMYFUNCTION("""COMPUTED_VALUE"""),2269.07)</f>
        <v>2269.07</v>
      </c>
      <c r="AW31" s="75">
        <f>IFERROR(__xludf.DUMMYFUNCTION("""COMPUTED_VALUE"""),24.0)</f>
        <v>24</v>
      </c>
      <c r="AX31" s="75">
        <f>IFERROR(__xludf.DUMMYFUNCTION("""COMPUTED_VALUE"""),30.0)</f>
        <v>30</v>
      </c>
      <c r="AY31" s="75">
        <f>IFERROR(__xludf.DUMMYFUNCTION("""COMPUTED_VALUE"""),65.0)</f>
        <v>65</v>
      </c>
      <c r="AZ31" s="75">
        <f>IFERROR(__xludf.DUMMYFUNCTION("""COMPUTED_VALUE"""),0.0)</f>
        <v>0</v>
      </c>
      <c r="BA31" s="191"/>
      <c r="BB31" s="75"/>
      <c r="BC31" s="192"/>
      <c r="BD31" s="194"/>
      <c r="BE31" s="194"/>
    </row>
    <row r="32">
      <c r="A32" s="183"/>
      <c r="B32" s="183"/>
      <c r="C32" s="184"/>
      <c r="D32" s="75"/>
      <c r="E32" s="185"/>
      <c r="F32" s="184"/>
      <c r="G32" s="186"/>
      <c r="H32" s="186"/>
      <c r="I32" s="186"/>
      <c r="J32" s="186"/>
      <c r="K32" s="186"/>
      <c r="L32" s="186"/>
      <c r="M32" s="187"/>
      <c r="N32" s="187"/>
      <c r="O32" s="187"/>
      <c r="P32" s="188"/>
      <c r="Q32" s="189"/>
      <c r="R32" s="188"/>
      <c r="S32" s="188"/>
      <c r="T32" s="188"/>
      <c r="U32" s="188"/>
      <c r="V32" s="189"/>
      <c r="W32" s="189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6"/>
      <c r="AO32" s="189"/>
      <c r="AP32" s="186"/>
      <c r="AQ32" s="188"/>
      <c r="AR32" s="187"/>
      <c r="AS32" s="186"/>
      <c r="AT32" s="75"/>
      <c r="AU32" s="75"/>
      <c r="AV32" s="190"/>
      <c r="AW32" s="75"/>
      <c r="AX32" s="75"/>
      <c r="AY32" s="75"/>
      <c r="AZ32" s="75"/>
      <c r="BA32" s="191"/>
      <c r="BB32" s="75"/>
      <c r="BC32" s="192"/>
      <c r="BD32" s="194"/>
      <c r="BE32" s="194"/>
    </row>
    <row r="33">
      <c r="A33" s="183"/>
      <c r="B33" s="183"/>
      <c r="C33" s="184"/>
      <c r="D33" s="75"/>
      <c r="E33" s="185"/>
      <c r="F33" s="184"/>
      <c r="G33" s="186"/>
      <c r="H33" s="186"/>
      <c r="I33" s="186"/>
      <c r="J33" s="186"/>
      <c r="K33" s="186"/>
      <c r="L33" s="186"/>
      <c r="M33" s="187"/>
      <c r="N33" s="187"/>
      <c r="O33" s="187"/>
      <c r="P33" s="188"/>
      <c r="Q33" s="189"/>
      <c r="R33" s="188"/>
      <c r="S33" s="188"/>
      <c r="T33" s="188"/>
      <c r="U33" s="188"/>
      <c r="V33" s="189"/>
      <c r="W33" s="189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6"/>
      <c r="AO33" s="189"/>
      <c r="AP33" s="186"/>
      <c r="AQ33" s="188"/>
      <c r="AR33" s="187"/>
      <c r="AS33" s="186"/>
      <c r="AT33" s="75"/>
      <c r="AU33" s="75"/>
      <c r="AV33" s="190"/>
      <c r="AW33" s="75"/>
      <c r="AX33" s="75"/>
      <c r="AY33" s="75"/>
      <c r="AZ33" s="75"/>
      <c r="BA33" s="191"/>
      <c r="BB33" s="75"/>
      <c r="BC33" s="192"/>
      <c r="BD33" s="194"/>
      <c r="BE33" s="194"/>
    </row>
    <row r="34">
      <c r="A34" s="183"/>
      <c r="B34" s="183"/>
      <c r="C34" s="184"/>
      <c r="D34" s="75"/>
      <c r="E34" s="185"/>
      <c r="F34" s="184"/>
      <c r="G34" s="186"/>
      <c r="H34" s="186"/>
      <c r="I34" s="186"/>
      <c r="J34" s="186"/>
      <c r="K34" s="186"/>
      <c r="L34" s="186"/>
      <c r="M34" s="187"/>
      <c r="N34" s="187"/>
      <c r="O34" s="187"/>
      <c r="P34" s="188"/>
      <c r="Q34" s="189"/>
      <c r="R34" s="188"/>
      <c r="S34" s="188"/>
      <c r="T34" s="188"/>
      <c r="U34" s="188"/>
      <c r="V34" s="189"/>
      <c r="W34" s="189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6"/>
      <c r="AO34" s="189"/>
      <c r="AP34" s="186"/>
      <c r="AQ34" s="188"/>
      <c r="AR34" s="187"/>
      <c r="AS34" s="186"/>
      <c r="AT34" s="75"/>
      <c r="AU34" s="75"/>
      <c r="AV34" s="190"/>
      <c r="AW34" s="75"/>
      <c r="AX34" s="75"/>
      <c r="AY34" s="75"/>
      <c r="AZ34" s="75"/>
      <c r="BA34" s="191"/>
      <c r="BB34" s="75"/>
      <c r="BC34" s="192"/>
      <c r="BD34" s="194"/>
      <c r="BE34" s="194"/>
    </row>
    <row r="35">
      <c r="A35" s="183"/>
      <c r="B35" s="183"/>
      <c r="C35" s="184"/>
      <c r="D35" s="75"/>
      <c r="E35" s="185"/>
      <c r="F35" s="184"/>
      <c r="G35" s="186"/>
      <c r="H35" s="186"/>
      <c r="I35" s="186"/>
      <c r="J35" s="186"/>
      <c r="K35" s="186"/>
      <c r="L35" s="186"/>
      <c r="M35" s="187"/>
      <c r="N35" s="187"/>
      <c r="O35" s="187"/>
      <c r="P35" s="188"/>
      <c r="Q35" s="189"/>
      <c r="R35" s="188"/>
      <c r="S35" s="188"/>
      <c r="T35" s="188"/>
      <c r="U35" s="188"/>
      <c r="V35" s="189"/>
      <c r="W35" s="189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6"/>
      <c r="AO35" s="189"/>
      <c r="AP35" s="186"/>
      <c r="AQ35" s="188"/>
      <c r="AR35" s="187"/>
      <c r="AS35" s="186"/>
      <c r="AT35" s="75"/>
      <c r="AU35" s="75"/>
      <c r="AV35" s="190"/>
      <c r="AW35" s="75"/>
      <c r="AX35" s="75"/>
      <c r="AY35" s="75"/>
      <c r="AZ35" s="75"/>
      <c r="BA35" s="191"/>
      <c r="BB35" s="75"/>
      <c r="BC35" s="192"/>
      <c r="BD35" s="194"/>
      <c r="BE35" s="194"/>
    </row>
    <row r="36">
      <c r="A36" s="183"/>
      <c r="B36" s="183"/>
      <c r="C36" s="184"/>
      <c r="D36" s="75"/>
      <c r="E36" s="185"/>
      <c r="F36" s="184"/>
      <c r="G36" s="186"/>
      <c r="H36" s="186"/>
      <c r="I36" s="186"/>
      <c r="J36" s="186"/>
      <c r="K36" s="186"/>
      <c r="L36" s="186"/>
      <c r="M36" s="187"/>
      <c r="N36" s="187"/>
      <c r="O36" s="187"/>
      <c r="P36" s="188"/>
      <c r="Q36" s="189"/>
      <c r="R36" s="188"/>
      <c r="S36" s="188"/>
      <c r="T36" s="188"/>
      <c r="U36" s="188"/>
      <c r="V36" s="189"/>
      <c r="W36" s="189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6"/>
      <c r="AO36" s="189"/>
      <c r="AP36" s="186"/>
      <c r="AQ36" s="188"/>
      <c r="AR36" s="187"/>
      <c r="AS36" s="186"/>
      <c r="AT36" s="75"/>
      <c r="AU36" s="75"/>
      <c r="AV36" s="190"/>
      <c r="AW36" s="75"/>
      <c r="AX36" s="75"/>
      <c r="AY36" s="75"/>
      <c r="AZ36" s="75"/>
      <c r="BA36" s="191"/>
      <c r="BB36" s="75"/>
      <c r="BC36" s="192"/>
      <c r="BD36" s="194"/>
      <c r="BE36" s="194"/>
    </row>
    <row r="37">
      <c r="A37" s="183"/>
      <c r="B37" s="183"/>
      <c r="C37" s="184"/>
      <c r="D37" s="75"/>
      <c r="E37" s="185"/>
      <c r="F37" s="184"/>
      <c r="G37" s="186"/>
      <c r="H37" s="186"/>
      <c r="I37" s="186"/>
      <c r="J37" s="186"/>
      <c r="K37" s="186"/>
      <c r="L37" s="186"/>
      <c r="M37" s="187"/>
      <c r="N37" s="187"/>
      <c r="O37" s="187"/>
      <c r="P37" s="188"/>
      <c r="Q37" s="189"/>
      <c r="R37" s="188"/>
      <c r="S37" s="188"/>
      <c r="T37" s="188"/>
      <c r="U37" s="188"/>
      <c r="V37" s="189"/>
      <c r="W37" s="189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6"/>
      <c r="AO37" s="189"/>
      <c r="AP37" s="186"/>
      <c r="AQ37" s="188"/>
      <c r="AR37" s="187"/>
      <c r="AS37" s="186"/>
      <c r="AT37" s="75"/>
      <c r="AU37" s="75"/>
      <c r="AV37" s="190"/>
      <c r="AW37" s="75"/>
      <c r="AX37" s="75"/>
      <c r="AY37" s="75"/>
      <c r="AZ37" s="75"/>
      <c r="BA37" s="191"/>
      <c r="BB37" s="75"/>
      <c r="BC37" s="192"/>
      <c r="BD37" s="194"/>
      <c r="BE37" s="194"/>
    </row>
    <row r="38">
      <c r="A38" s="183"/>
      <c r="B38" s="183"/>
      <c r="C38" s="184"/>
      <c r="D38" s="75"/>
      <c r="E38" s="185"/>
      <c r="F38" s="184"/>
      <c r="G38" s="186"/>
      <c r="H38" s="186"/>
      <c r="I38" s="186"/>
      <c r="J38" s="186"/>
      <c r="K38" s="186"/>
      <c r="L38" s="186"/>
      <c r="M38" s="187"/>
      <c r="N38" s="187"/>
      <c r="O38" s="187"/>
      <c r="P38" s="188"/>
      <c r="Q38" s="189"/>
      <c r="R38" s="188"/>
      <c r="S38" s="188"/>
      <c r="T38" s="188"/>
      <c r="U38" s="188"/>
      <c r="V38" s="189"/>
      <c r="W38" s="189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6"/>
      <c r="AO38" s="189"/>
      <c r="AP38" s="186"/>
      <c r="AQ38" s="188"/>
      <c r="AR38" s="187"/>
      <c r="AS38" s="186"/>
      <c r="AT38" s="75"/>
      <c r="AU38" s="75"/>
      <c r="AV38" s="190"/>
      <c r="AW38" s="75"/>
      <c r="AX38" s="75"/>
      <c r="AY38" s="75"/>
      <c r="AZ38" s="75"/>
      <c r="BA38" s="191"/>
      <c r="BB38" s="75"/>
      <c r="BC38" s="192"/>
      <c r="BD38" s="194"/>
      <c r="BE38" s="194"/>
    </row>
    <row r="39">
      <c r="A39" s="183"/>
      <c r="B39" s="183"/>
      <c r="C39" s="184"/>
      <c r="D39" s="75"/>
      <c r="E39" s="185"/>
      <c r="F39" s="184"/>
      <c r="G39" s="186"/>
      <c r="H39" s="186"/>
      <c r="I39" s="186"/>
      <c r="J39" s="186"/>
      <c r="K39" s="186"/>
      <c r="L39" s="186"/>
      <c r="M39" s="187"/>
      <c r="N39" s="187"/>
      <c r="O39" s="187"/>
      <c r="P39" s="188"/>
      <c r="Q39" s="189"/>
      <c r="R39" s="188"/>
      <c r="S39" s="188"/>
      <c r="T39" s="188"/>
      <c r="U39" s="188"/>
      <c r="V39" s="189"/>
      <c r="W39" s="189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6"/>
      <c r="AO39" s="189"/>
      <c r="AP39" s="186"/>
      <c r="AQ39" s="188"/>
      <c r="AR39" s="187"/>
      <c r="AS39" s="186"/>
      <c r="AT39" s="75"/>
      <c r="AU39" s="75"/>
      <c r="AV39" s="190"/>
      <c r="AW39" s="75"/>
      <c r="AX39" s="75"/>
      <c r="AY39" s="75"/>
      <c r="AZ39" s="75"/>
      <c r="BA39" s="191"/>
      <c r="BB39" s="195"/>
      <c r="BC39" s="192"/>
      <c r="BD39" s="194"/>
      <c r="BE39" s="194"/>
    </row>
    <row r="40">
      <c r="A40" s="183"/>
      <c r="B40" s="183"/>
      <c r="C40" s="184"/>
      <c r="D40" s="75"/>
      <c r="E40" s="185"/>
      <c r="F40" s="184"/>
      <c r="G40" s="186"/>
      <c r="H40" s="186"/>
      <c r="I40" s="186"/>
      <c r="J40" s="186"/>
      <c r="K40" s="186"/>
      <c r="L40" s="186"/>
      <c r="M40" s="187"/>
      <c r="N40" s="187"/>
      <c r="O40" s="187"/>
      <c r="P40" s="188"/>
      <c r="Q40" s="189"/>
      <c r="R40" s="188"/>
      <c r="S40" s="188"/>
      <c r="T40" s="188"/>
      <c r="U40" s="188"/>
      <c r="V40" s="189"/>
      <c r="W40" s="189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6"/>
      <c r="AO40" s="189"/>
      <c r="AP40" s="186"/>
      <c r="AQ40" s="188"/>
      <c r="AR40" s="187"/>
      <c r="AS40" s="186"/>
      <c r="AT40" s="75"/>
      <c r="AU40" s="75"/>
      <c r="AV40" s="190"/>
      <c r="AW40" s="75"/>
      <c r="AX40" s="75"/>
      <c r="AY40" s="75"/>
      <c r="AZ40" s="75"/>
      <c r="BA40" s="191"/>
      <c r="BB40" s="75"/>
      <c r="BC40" s="192"/>
      <c r="BD40" s="194"/>
      <c r="BE40" s="194"/>
    </row>
    <row r="41">
      <c r="A41" s="183"/>
      <c r="B41" s="183"/>
      <c r="C41" s="184"/>
      <c r="D41" s="75"/>
      <c r="E41" s="185"/>
      <c r="F41" s="184"/>
      <c r="G41" s="186"/>
      <c r="H41" s="186"/>
      <c r="I41" s="186"/>
      <c r="J41" s="186"/>
      <c r="K41" s="186"/>
      <c r="L41" s="186"/>
      <c r="M41" s="187"/>
      <c r="N41" s="187"/>
      <c r="O41" s="187"/>
      <c r="P41" s="188"/>
      <c r="Q41" s="189"/>
      <c r="R41" s="188"/>
      <c r="S41" s="188"/>
      <c r="T41" s="188"/>
      <c r="U41" s="188"/>
      <c r="V41" s="189"/>
      <c r="W41" s="189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6"/>
      <c r="AO41" s="189"/>
      <c r="AP41" s="186"/>
      <c r="AQ41" s="188"/>
      <c r="AR41" s="187"/>
      <c r="AS41" s="186"/>
      <c r="AT41" s="75"/>
      <c r="AU41" s="75"/>
      <c r="AV41" s="190"/>
      <c r="AW41" s="75"/>
      <c r="AX41" s="75"/>
      <c r="AY41" s="75"/>
      <c r="AZ41" s="75"/>
      <c r="BA41" s="191"/>
      <c r="BB41" s="75"/>
      <c r="BC41" s="192"/>
      <c r="BD41" s="194"/>
      <c r="BE41" s="194"/>
    </row>
    <row r="42">
      <c r="A42" s="183"/>
      <c r="B42" s="183"/>
      <c r="C42" s="184"/>
      <c r="D42" s="75"/>
      <c r="E42" s="185"/>
      <c r="F42" s="184"/>
      <c r="G42" s="186"/>
      <c r="H42" s="186"/>
      <c r="I42" s="186"/>
      <c r="J42" s="186"/>
      <c r="K42" s="186"/>
      <c r="L42" s="186"/>
      <c r="M42" s="187"/>
      <c r="N42" s="187"/>
      <c r="O42" s="187"/>
      <c r="P42" s="188"/>
      <c r="Q42" s="189"/>
      <c r="R42" s="188"/>
      <c r="S42" s="188"/>
      <c r="T42" s="188"/>
      <c r="U42" s="188"/>
      <c r="V42" s="189"/>
      <c r="W42" s="189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6"/>
      <c r="AO42" s="189"/>
      <c r="AP42" s="186"/>
      <c r="AQ42" s="188"/>
      <c r="AR42" s="187"/>
      <c r="AS42" s="186"/>
      <c r="AT42" s="75"/>
      <c r="AU42" s="75"/>
      <c r="AV42" s="190"/>
      <c r="AW42" s="75"/>
      <c r="AX42" s="75"/>
      <c r="AY42" s="75"/>
      <c r="AZ42" s="75"/>
      <c r="BA42" s="191"/>
      <c r="BB42" s="75"/>
      <c r="BC42" s="192"/>
      <c r="BD42" s="194"/>
      <c r="BE42" s="194"/>
    </row>
    <row r="43">
      <c r="A43" s="183"/>
      <c r="B43" s="183"/>
      <c r="C43" s="184"/>
      <c r="D43" s="75"/>
      <c r="E43" s="185"/>
      <c r="F43" s="184"/>
      <c r="G43" s="186"/>
      <c r="H43" s="186"/>
      <c r="I43" s="186"/>
      <c r="J43" s="186"/>
      <c r="K43" s="186"/>
      <c r="L43" s="186"/>
      <c r="M43" s="187"/>
      <c r="N43" s="187"/>
      <c r="O43" s="187"/>
      <c r="P43" s="188"/>
      <c r="Q43" s="189"/>
      <c r="R43" s="188"/>
      <c r="S43" s="188"/>
      <c r="T43" s="188"/>
      <c r="U43" s="188"/>
      <c r="V43" s="189"/>
      <c r="W43" s="189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6"/>
      <c r="AO43" s="189"/>
      <c r="AP43" s="186"/>
      <c r="AQ43" s="188"/>
      <c r="AR43" s="187"/>
      <c r="AS43" s="186"/>
      <c r="AT43" s="75"/>
      <c r="AU43" s="75"/>
      <c r="AV43" s="190"/>
      <c r="AW43" s="75"/>
      <c r="AX43" s="75"/>
      <c r="AY43" s="75"/>
      <c r="AZ43" s="75"/>
      <c r="BA43" s="191"/>
      <c r="BB43" s="75"/>
      <c r="BC43" s="192"/>
      <c r="BD43" s="194"/>
      <c r="BE43" s="194"/>
    </row>
    <row r="44">
      <c r="A44" s="183"/>
      <c r="B44" s="183"/>
      <c r="C44" s="184"/>
      <c r="D44" s="75"/>
      <c r="E44" s="185"/>
      <c r="F44" s="184"/>
      <c r="G44" s="186"/>
      <c r="H44" s="186"/>
      <c r="I44" s="186"/>
      <c r="J44" s="186"/>
      <c r="K44" s="186"/>
      <c r="L44" s="186"/>
      <c r="M44" s="187"/>
      <c r="N44" s="187"/>
      <c r="O44" s="187"/>
      <c r="P44" s="188"/>
      <c r="Q44" s="189"/>
      <c r="R44" s="188"/>
      <c r="S44" s="188"/>
      <c r="T44" s="188"/>
      <c r="U44" s="188"/>
      <c r="V44" s="189"/>
      <c r="W44" s="189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6"/>
      <c r="AO44" s="189"/>
      <c r="AP44" s="186"/>
      <c r="AQ44" s="188"/>
      <c r="AR44" s="187"/>
      <c r="AS44" s="186"/>
      <c r="AT44" s="75"/>
      <c r="AU44" s="75"/>
      <c r="AV44" s="190"/>
      <c r="AW44" s="75"/>
      <c r="AX44" s="75"/>
      <c r="AY44" s="75"/>
      <c r="AZ44" s="75"/>
      <c r="BA44" s="191"/>
      <c r="BB44" s="75"/>
      <c r="BC44" s="192"/>
      <c r="BD44" s="194"/>
      <c r="BE44" s="194"/>
    </row>
    <row r="45">
      <c r="A45" s="183"/>
      <c r="B45" s="183"/>
      <c r="C45" s="184"/>
      <c r="D45" s="75"/>
      <c r="E45" s="185"/>
      <c r="F45" s="184"/>
      <c r="G45" s="186"/>
      <c r="H45" s="186"/>
      <c r="I45" s="186"/>
      <c r="J45" s="186"/>
      <c r="K45" s="186"/>
      <c r="L45" s="186"/>
      <c r="M45" s="187"/>
      <c r="N45" s="187"/>
      <c r="O45" s="187"/>
      <c r="P45" s="188"/>
      <c r="Q45" s="189"/>
      <c r="R45" s="188"/>
      <c r="S45" s="188"/>
      <c r="T45" s="188"/>
      <c r="U45" s="188"/>
      <c r="V45" s="189"/>
      <c r="W45" s="189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6"/>
      <c r="AO45" s="189"/>
      <c r="AP45" s="186"/>
      <c r="AQ45" s="188"/>
      <c r="AR45" s="187"/>
      <c r="AS45" s="186"/>
      <c r="AT45" s="75"/>
      <c r="AU45" s="75"/>
      <c r="AV45" s="190"/>
      <c r="AW45" s="75"/>
      <c r="AX45" s="75"/>
      <c r="AY45" s="75"/>
      <c r="AZ45" s="75"/>
      <c r="BA45" s="191"/>
      <c r="BB45" s="75"/>
      <c r="BC45" s="192"/>
      <c r="BD45" s="194"/>
      <c r="BE45" s="194"/>
    </row>
    <row r="46">
      <c r="A46" s="183"/>
      <c r="B46" s="183"/>
      <c r="C46" s="184"/>
      <c r="D46" s="75"/>
      <c r="E46" s="185"/>
      <c r="F46" s="184"/>
      <c r="G46" s="186"/>
      <c r="H46" s="186"/>
      <c r="I46" s="186"/>
      <c r="J46" s="186"/>
      <c r="K46" s="186"/>
      <c r="L46" s="186"/>
      <c r="M46" s="187"/>
      <c r="N46" s="187"/>
      <c r="O46" s="187"/>
      <c r="P46" s="188"/>
      <c r="Q46" s="189"/>
      <c r="R46" s="188"/>
      <c r="S46" s="188"/>
      <c r="T46" s="188"/>
      <c r="U46" s="188"/>
      <c r="V46" s="189"/>
      <c r="W46" s="189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6"/>
      <c r="AO46" s="189"/>
      <c r="AP46" s="186"/>
      <c r="AQ46" s="188"/>
      <c r="AR46" s="187"/>
      <c r="AS46" s="186"/>
      <c r="AT46" s="75"/>
      <c r="AU46" s="75"/>
      <c r="AV46" s="190"/>
      <c r="AW46" s="75"/>
      <c r="AX46" s="75"/>
      <c r="AY46" s="75"/>
      <c r="AZ46" s="75"/>
      <c r="BA46" s="191"/>
      <c r="BB46" s="75"/>
      <c r="BC46" s="192"/>
      <c r="BD46" s="194"/>
      <c r="BE46" s="194"/>
    </row>
    <row r="47">
      <c r="A47" s="6"/>
      <c r="B47" s="6"/>
      <c r="C47" s="196"/>
      <c r="E47" s="197"/>
      <c r="F47" s="196"/>
      <c r="G47" s="198"/>
      <c r="H47" s="198"/>
      <c r="I47" s="198"/>
      <c r="J47" s="198"/>
      <c r="K47" s="198"/>
      <c r="L47" s="198"/>
      <c r="M47" s="199"/>
      <c r="N47" s="199"/>
      <c r="O47" s="199"/>
      <c r="P47" s="200"/>
      <c r="Q47" s="201"/>
      <c r="R47" s="200"/>
      <c r="S47" s="200"/>
      <c r="T47" s="200"/>
      <c r="U47" s="200"/>
      <c r="V47" s="201"/>
      <c r="W47" s="201"/>
      <c r="X47" s="200"/>
      <c r="Y47" s="200"/>
      <c r="Z47" s="200"/>
      <c r="AA47" s="200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198"/>
      <c r="AO47" s="201"/>
      <c r="AP47" s="198"/>
      <c r="AQ47" s="200"/>
      <c r="AR47" s="199"/>
      <c r="AS47" s="198"/>
      <c r="AV47" s="164"/>
      <c r="BA47" s="202"/>
      <c r="BC47" s="203"/>
      <c r="BD47" s="194"/>
      <c r="BE47" s="194"/>
    </row>
    <row r="48">
      <c r="A48" s="6"/>
      <c r="B48" s="6"/>
      <c r="C48" s="196"/>
      <c r="E48" s="197"/>
      <c r="F48" s="196"/>
      <c r="G48" s="198"/>
      <c r="H48" s="198"/>
      <c r="I48" s="198"/>
      <c r="J48" s="198"/>
      <c r="K48" s="198"/>
      <c r="L48" s="198"/>
      <c r="M48" s="199"/>
      <c r="N48" s="199"/>
      <c r="O48" s="199"/>
      <c r="P48" s="200"/>
      <c r="Q48" s="201"/>
      <c r="R48" s="200"/>
      <c r="S48" s="200"/>
      <c r="T48" s="200"/>
      <c r="U48" s="200"/>
      <c r="V48" s="201"/>
      <c r="W48" s="201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198"/>
      <c r="AO48" s="201"/>
      <c r="AP48" s="198"/>
      <c r="AQ48" s="200"/>
      <c r="AR48" s="199"/>
      <c r="AS48" s="198"/>
      <c r="AV48" s="164"/>
      <c r="BA48" s="202"/>
      <c r="BC48" s="203"/>
      <c r="BD48" s="194"/>
      <c r="BE48" s="194"/>
    </row>
    <row r="49">
      <c r="A49" s="6"/>
      <c r="B49" s="6"/>
      <c r="C49" s="196"/>
      <c r="E49" s="197"/>
      <c r="F49" s="196"/>
      <c r="G49" s="198"/>
      <c r="H49" s="198"/>
      <c r="I49" s="198"/>
      <c r="J49" s="198"/>
      <c r="K49" s="198"/>
      <c r="L49" s="198"/>
      <c r="M49" s="199"/>
      <c r="N49" s="199"/>
      <c r="O49" s="199"/>
      <c r="P49" s="200"/>
      <c r="Q49" s="201"/>
      <c r="R49" s="200"/>
      <c r="S49" s="200"/>
      <c r="T49" s="200"/>
      <c r="U49" s="200"/>
      <c r="V49" s="201"/>
      <c r="W49" s="201"/>
      <c r="X49" s="200"/>
      <c r="Y49" s="200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  <c r="AN49" s="198"/>
      <c r="AO49" s="201"/>
      <c r="AP49" s="198"/>
      <c r="AQ49" s="200"/>
      <c r="AR49" s="199"/>
      <c r="AS49" s="198"/>
      <c r="AV49" s="164"/>
      <c r="BA49" s="202"/>
      <c r="BC49" s="203"/>
      <c r="BD49" s="194"/>
      <c r="BE49" s="194"/>
    </row>
    <row r="50">
      <c r="A50" s="6"/>
      <c r="B50" s="6"/>
      <c r="C50" s="196"/>
      <c r="E50" s="197"/>
      <c r="F50" s="196"/>
      <c r="G50" s="198"/>
      <c r="H50" s="198"/>
      <c r="I50" s="198"/>
      <c r="J50" s="198"/>
      <c r="K50" s="198"/>
      <c r="L50" s="198"/>
      <c r="M50" s="199"/>
      <c r="N50" s="199"/>
      <c r="O50" s="199"/>
      <c r="P50" s="200"/>
      <c r="Q50" s="201"/>
      <c r="R50" s="200"/>
      <c r="S50" s="200"/>
      <c r="T50" s="200"/>
      <c r="U50" s="200"/>
      <c r="V50" s="201"/>
      <c r="W50" s="201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198"/>
      <c r="AO50" s="201"/>
      <c r="AP50" s="198"/>
      <c r="AQ50" s="200"/>
      <c r="AR50" s="199"/>
      <c r="AS50" s="198"/>
      <c r="AV50" s="164"/>
      <c r="BA50" s="202"/>
      <c r="BC50" s="203"/>
      <c r="BD50" s="194"/>
      <c r="BE50" s="194"/>
    </row>
    <row r="51">
      <c r="A51" s="6"/>
      <c r="B51" s="6"/>
      <c r="C51" s="196"/>
      <c r="E51" s="197"/>
      <c r="F51" s="196"/>
      <c r="G51" s="198"/>
      <c r="H51" s="198"/>
      <c r="I51" s="198"/>
      <c r="J51" s="198"/>
      <c r="K51" s="198"/>
      <c r="L51" s="198"/>
      <c r="M51" s="199"/>
      <c r="N51" s="199"/>
      <c r="O51" s="199"/>
      <c r="P51" s="200"/>
      <c r="Q51" s="201"/>
      <c r="R51" s="200"/>
      <c r="S51" s="200"/>
      <c r="T51" s="200"/>
      <c r="U51" s="200"/>
      <c r="V51" s="201"/>
      <c r="W51" s="201"/>
      <c r="X51" s="200"/>
      <c r="Y51" s="200"/>
      <c r="Z51" s="200"/>
      <c r="AA51" s="200"/>
      <c r="AB51" s="200"/>
      <c r="AC51" s="200"/>
      <c r="AD51" s="200"/>
      <c r="AE51" s="200"/>
      <c r="AF51" s="200"/>
      <c r="AG51" s="200"/>
      <c r="AH51" s="200"/>
      <c r="AI51" s="200"/>
      <c r="AJ51" s="200"/>
      <c r="AK51" s="200"/>
      <c r="AL51" s="200"/>
      <c r="AM51" s="200"/>
      <c r="AN51" s="198"/>
      <c r="AO51" s="201"/>
      <c r="AP51" s="198"/>
      <c r="AQ51" s="200"/>
      <c r="AR51" s="199"/>
      <c r="AS51" s="198"/>
      <c r="AV51" s="164"/>
      <c r="BA51" s="202"/>
      <c r="BC51" s="203"/>
      <c r="BD51" s="194"/>
      <c r="BE51" s="194"/>
    </row>
    <row r="52">
      <c r="A52" s="6"/>
      <c r="B52" s="6"/>
      <c r="C52" s="196"/>
      <c r="E52" s="197"/>
      <c r="F52" s="196"/>
      <c r="G52" s="198"/>
      <c r="H52" s="198"/>
      <c r="I52" s="198"/>
      <c r="J52" s="198"/>
      <c r="K52" s="198"/>
      <c r="L52" s="198"/>
      <c r="M52" s="199"/>
      <c r="N52" s="199"/>
      <c r="O52" s="199"/>
      <c r="P52" s="200"/>
      <c r="Q52" s="201"/>
      <c r="R52" s="200"/>
      <c r="S52" s="200"/>
      <c r="T52" s="200"/>
      <c r="U52" s="200"/>
      <c r="V52" s="201"/>
      <c r="W52" s="201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198"/>
      <c r="AO52" s="201"/>
      <c r="AP52" s="198"/>
      <c r="AQ52" s="200"/>
      <c r="AR52" s="199"/>
      <c r="AS52" s="198"/>
      <c r="AV52" s="164"/>
      <c r="BA52" s="202"/>
      <c r="BC52" s="203"/>
      <c r="BD52" s="194"/>
      <c r="BE52" s="194"/>
    </row>
    <row r="53">
      <c r="A53" s="6"/>
      <c r="B53" s="6"/>
      <c r="C53" s="196"/>
      <c r="E53" s="197"/>
      <c r="F53" s="196"/>
      <c r="G53" s="198"/>
      <c r="H53" s="198"/>
      <c r="I53" s="198"/>
      <c r="J53" s="198"/>
      <c r="K53" s="198"/>
      <c r="L53" s="198"/>
      <c r="M53" s="199"/>
      <c r="N53" s="199"/>
      <c r="O53" s="199"/>
      <c r="P53" s="200"/>
      <c r="Q53" s="201"/>
      <c r="R53" s="200"/>
      <c r="S53" s="200"/>
      <c r="T53" s="200"/>
      <c r="U53" s="200"/>
      <c r="V53" s="201"/>
      <c r="W53" s="201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198"/>
      <c r="AO53" s="201"/>
      <c r="AP53" s="198"/>
      <c r="AQ53" s="200"/>
      <c r="AR53" s="199"/>
      <c r="AS53" s="198"/>
      <c r="AV53" s="164"/>
      <c r="BA53" s="202"/>
      <c r="BC53" s="203"/>
      <c r="BD53" s="194"/>
      <c r="BE53" s="194"/>
    </row>
    <row r="54">
      <c r="A54" s="6"/>
      <c r="B54" s="6"/>
      <c r="C54" s="196"/>
      <c r="E54" s="197"/>
      <c r="F54" s="196"/>
      <c r="G54" s="198"/>
      <c r="H54" s="198"/>
      <c r="I54" s="198"/>
      <c r="J54" s="198"/>
      <c r="K54" s="198"/>
      <c r="L54" s="198"/>
      <c r="M54" s="199"/>
      <c r="N54" s="199"/>
      <c r="O54" s="199"/>
      <c r="P54" s="200"/>
      <c r="Q54" s="201"/>
      <c r="R54" s="200"/>
      <c r="S54" s="200"/>
      <c r="T54" s="200"/>
      <c r="U54" s="200"/>
      <c r="V54" s="201"/>
      <c r="W54" s="201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198"/>
      <c r="AO54" s="201"/>
      <c r="AP54" s="198"/>
      <c r="AQ54" s="200"/>
      <c r="AR54" s="199"/>
      <c r="AS54" s="198"/>
      <c r="AV54" s="164"/>
      <c r="BA54" s="202"/>
      <c r="BC54" s="203"/>
      <c r="BD54" s="194"/>
      <c r="BE54" s="194"/>
    </row>
    <row r="55">
      <c r="A55" s="6"/>
      <c r="B55" s="6"/>
      <c r="C55" s="196"/>
      <c r="E55" s="197"/>
      <c r="F55" s="196"/>
      <c r="G55" s="198"/>
      <c r="H55" s="198"/>
      <c r="I55" s="198"/>
      <c r="J55" s="198"/>
      <c r="K55" s="198"/>
      <c r="L55" s="198"/>
      <c r="M55" s="199"/>
      <c r="N55" s="199"/>
      <c r="O55" s="199"/>
      <c r="P55" s="200"/>
      <c r="Q55" s="201"/>
      <c r="R55" s="200"/>
      <c r="S55" s="200"/>
      <c r="T55" s="200"/>
      <c r="U55" s="200"/>
      <c r="V55" s="201"/>
      <c r="W55" s="201"/>
      <c r="X55" s="200"/>
      <c r="Y55" s="200"/>
      <c r="Z55" s="200"/>
      <c r="AA55" s="200"/>
      <c r="AB55" s="200"/>
      <c r="AC55" s="200"/>
      <c r="AD55" s="200"/>
      <c r="AE55" s="200"/>
      <c r="AF55" s="200"/>
      <c r="AG55" s="200"/>
      <c r="AH55" s="200"/>
      <c r="AI55" s="200"/>
      <c r="AJ55" s="200"/>
      <c r="AK55" s="200"/>
      <c r="AL55" s="200"/>
      <c r="AM55" s="200"/>
      <c r="AN55" s="198"/>
      <c r="AO55" s="201"/>
      <c r="AP55" s="198"/>
      <c r="AQ55" s="200"/>
      <c r="AR55" s="199"/>
      <c r="AS55" s="198"/>
      <c r="AV55" s="164"/>
      <c r="BA55" s="202"/>
      <c r="BC55" s="203"/>
      <c r="BD55" s="194"/>
      <c r="BE55" s="194"/>
    </row>
    <row r="56">
      <c r="A56" s="6"/>
      <c r="B56" s="6"/>
      <c r="C56" s="196"/>
      <c r="E56" s="197"/>
      <c r="F56" s="196"/>
      <c r="G56" s="198"/>
      <c r="H56" s="198"/>
      <c r="I56" s="198"/>
      <c r="J56" s="198"/>
      <c r="K56" s="198"/>
      <c r="L56" s="198"/>
      <c r="M56" s="199"/>
      <c r="N56" s="199"/>
      <c r="O56" s="199"/>
      <c r="P56" s="200"/>
      <c r="Q56" s="201"/>
      <c r="R56" s="200"/>
      <c r="S56" s="200"/>
      <c r="T56" s="200"/>
      <c r="U56" s="200"/>
      <c r="V56" s="201"/>
      <c r="W56" s="201"/>
      <c r="X56" s="200"/>
      <c r="Y56" s="200"/>
      <c r="Z56" s="200"/>
      <c r="AA56" s="200"/>
      <c r="AB56" s="200"/>
      <c r="AC56" s="200"/>
      <c r="AD56" s="200"/>
      <c r="AE56" s="200"/>
      <c r="AF56" s="200"/>
      <c r="AG56" s="200"/>
      <c r="AH56" s="200"/>
      <c r="AI56" s="200"/>
      <c r="AJ56" s="200"/>
      <c r="AK56" s="200"/>
      <c r="AL56" s="200"/>
      <c r="AM56" s="200"/>
      <c r="AN56" s="198"/>
      <c r="AO56" s="201"/>
      <c r="AP56" s="198"/>
      <c r="AQ56" s="200"/>
      <c r="AR56" s="199"/>
      <c r="AS56" s="198"/>
      <c r="AV56" s="164"/>
      <c r="BA56" s="202"/>
      <c r="BC56" s="203"/>
      <c r="BD56" s="194"/>
      <c r="BE56" s="194"/>
    </row>
    <row r="57">
      <c r="A57" s="6"/>
      <c r="B57" s="6"/>
      <c r="C57" s="196"/>
      <c r="E57" s="197"/>
      <c r="F57" s="196"/>
      <c r="G57" s="198"/>
      <c r="H57" s="198"/>
      <c r="I57" s="198"/>
      <c r="J57" s="198"/>
      <c r="K57" s="198"/>
      <c r="L57" s="198"/>
      <c r="M57" s="199"/>
      <c r="N57" s="199"/>
      <c r="O57" s="199"/>
      <c r="P57" s="200"/>
      <c r="Q57" s="201"/>
      <c r="R57" s="200"/>
      <c r="S57" s="200"/>
      <c r="T57" s="200"/>
      <c r="U57" s="200"/>
      <c r="V57" s="201"/>
      <c r="W57" s="201"/>
      <c r="X57" s="200"/>
      <c r="Y57" s="200"/>
      <c r="Z57" s="200"/>
      <c r="AA57" s="200"/>
      <c r="AB57" s="200"/>
      <c r="AC57" s="200"/>
      <c r="AD57" s="200"/>
      <c r="AE57" s="200"/>
      <c r="AF57" s="200"/>
      <c r="AG57" s="200"/>
      <c r="AH57" s="200"/>
      <c r="AI57" s="200"/>
      <c r="AJ57" s="200"/>
      <c r="AK57" s="200"/>
      <c r="AL57" s="200"/>
      <c r="AM57" s="200"/>
      <c r="AN57" s="198"/>
      <c r="AO57" s="201"/>
      <c r="AP57" s="198"/>
      <c r="AQ57" s="200"/>
      <c r="AR57" s="199"/>
      <c r="AS57" s="198"/>
      <c r="AV57" s="164"/>
      <c r="BA57" s="202"/>
      <c r="BC57" s="203"/>
      <c r="BD57" s="194"/>
      <c r="BE57" s="194"/>
    </row>
    <row r="58">
      <c r="A58" s="6"/>
      <c r="B58" s="6"/>
      <c r="C58" s="196"/>
      <c r="E58" s="197"/>
      <c r="F58" s="196"/>
      <c r="G58" s="198"/>
      <c r="H58" s="198"/>
      <c r="I58" s="198"/>
      <c r="J58" s="198"/>
      <c r="K58" s="198"/>
      <c r="L58" s="198"/>
      <c r="M58" s="199"/>
      <c r="N58" s="199"/>
      <c r="O58" s="199"/>
      <c r="P58" s="200"/>
      <c r="Q58" s="201"/>
      <c r="R58" s="200"/>
      <c r="S58" s="200"/>
      <c r="T58" s="200"/>
      <c r="U58" s="200"/>
      <c r="V58" s="201"/>
      <c r="W58" s="201"/>
      <c r="X58" s="200"/>
      <c r="Y58" s="200"/>
      <c r="Z58" s="200"/>
      <c r="AA58" s="200"/>
      <c r="AB58" s="200"/>
      <c r="AC58" s="200"/>
      <c r="AD58" s="200"/>
      <c r="AE58" s="200"/>
      <c r="AF58" s="200"/>
      <c r="AG58" s="200"/>
      <c r="AH58" s="200"/>
      <c r="AI58" s="200"/>
      <c r="AJ58" s="200"/>
      <c r="AK58" s="200"/>
      <c r="AL58" s="200"/>
      <c r="AM58" s="200"/>
      <c r="AN58" s="198"/>
      <c r="AO58" s="201"/>
      <c r="AP58" s="198"/>
      <c r="AQ58" s="200"/>
      <c r="AR58" s="199"/>
      <c r="AS58" s="198"/>
      <c r="AV58" s="164"/>
      <c r="BA58" s="202"/>
      <c r="BC58" s="203"/>
      <c r="BD58" s="194"/>
      <c r="BE58" s="194"/>
    </row>
    <row r="59">
      <c r="A59" s="6"/>
      <c r="B59" s="6"/>
      <c r="C59" s="196"/>
      <c r="E59" s="197"/>
      <c r="F59" s="196"/>
      <c r="G59" s="198"/>
      <c r="H59" s="198"/>
      <c r="I59" s="198"/>
      <c r="J59" s="198"/>
      <c r="K59" s="198"/>
      <c r="L59" s="198"/>
      <c r="M59" s="199"/>
      <c r="N59" s="199"/>
      <c r="O59" s="199"/>
      <c r="P59" s="200"/>
      <c r="Q59" s="201"/>
      <c r="R59" s="200"/>
      <c r="S59" s="200"/>
      <c r="T59" s="200"/>
      <c r="U59" s="200"/>
      <c r="V59" s="201"/>
      <c r="W59" s="201"/>
      <c r="X59" s="200"/>
      <c r="Y59" s="200"/>
      <c r="Z59" s="200"/>
      <c r="AA59" s="200"/>
      <c r="AB59" s="200"/>
      <c r="AC59" s="200"/>
      <c r="AD59" s="200"/>
      <c r="AE59" s="200"/>
      <c r="AF59" s="200"/>
      <c r="AG59" s="200"/>
      <c r="AH59" s="200"/>
      <c r="AI59" s="200"/>
      <c r="AJ59" s="200"/>
      <c r="AK59" s="200"/>
      <c r="AL59" s="200"/>
      <c r="AM59" s="200"/>
      <c r="AN59" s="198"/>
      <c r="AO59" s="201"/>
      <c r="AP59" s="198"/>
      <c r="AQ59" s="200"/>
      <c r="AR59" s="199"/>
      <c r="AS59" s="198"/>
      <c r="AV59" s="164"/>
      <c r="BA59" s="202"/>
      <c r="BC59" s="203"/>
      <c r="BD59" s="194"/>
      <c r="BE59" s="194"/>
    </row>
    <row r="60">
      <c r="A60" s="6"/>
      <c r="B60" s="6"/>
      <c r="C60" s="196"/>
      <c r="E60" s="197"/>
      <c r="F60" s="196"/>
      <c r="G60" s="198"/>
      <c r="H60" s="198"/>
      <c r="I60" s="198"/>
      <c r="J60" s="198"/>
      <c r="K60" s="198"/>
      <c r="L60" s="198"/>
      <c r="M60" s="199"/>
      <c r="N60" s="199"/>
      <c r="O60" s="199"/>
      <c r="P60" s="200"/>
      <c r="Q60" s="201"/>
      <c r="R60" s="200"/>
      <c r="S60" s="200"/>
      <c r="T60" s="200"/>
      <c r="U60" s="200"/>
      <c r="V60" s="201"/>
      <c r="W60" s="201"/>
      <c r="X60" s="200"/>
      <c r="Y60" s="200"/>
      <c r="Z60" s="200"/>
      <c r="AA60" s="200"/>
      <c r="AB60" s="200"/>
      <c r="AC60" s="200"/>
      <c r="AD60" s="200"/>
      <c r="AE60" s="200"/>
      <c r="AF60" s="200"/>
      <c r="AG60" s="200"/>
      <c r="AH60" s="200"/>
      <c r="AI60" s="200"/>
      <c r="AJ60" s="200"/>
      <c r="AK60" s="200"/>
      <c r="AL60" s="200"/>
      <c r="AM60" s="200"/>
      <c r="AN60" s="198"/>
      <c r="AO60" s="201"/>
      <c r="AP60" s="198"/>
      <c r="AQ60" s="200"/>
      <c r="AR60" s="199"/>
      <c r="AS60" s="198"/>
      <c r="AV60" s="164"/>
      <c r="BA60" s="202"/>
      <c r="BC60" s="203"/>
      <c r="BD60" s="194"/>
      <c r="BE60" s="194"/>
    </row>
    <row r="61">
      <c r="A61" s="6"/>
      <c r="B61" s="6"/>
      <c r="C61" s="196"/>
      <c r="E61" s="197"/>
      <c r="F61" s="196"/>
      <c r="G61" s="198"/>
      <c r="H61" s="198"/>
      <c r="I61" s="198"/>
      <c r="J61" s="198"/>
      <c r="K61" s="198"/>
      <c r="L61" s="198"/>
      <c r="M61" s="199"/>
      <c r="N61" s="199"/>
      <c r="O61" s="199"/>
      <c r="P61" s="200"/>
      <c r="Q61" s="201"/>
      <c r="R61" s="200"/>
      <c r="S61" s="200"/>
      <c r="T61" s="200"/>
      <c r="U61" s="200"/>
      <c r="V61" s="201"/>
      <c r="W61" s="201"/>
      <c r="X61" s="200"/>
      <c r="Y61" s="200"/>
      <c r="Z61" s="200"/>
      <c r="AA61" s="200"/>
      <c r="AB61" s="200"/>
      <c r="AC61" s="200"/>
      <c r="AD61" s="200"/>
      <c r="AE61" s="200"/>
      <c r="AF61" s="200"/>
      <c r="AG61" s="200"/>
      <c r="AH61" s="200"/>
      <c r="AI61" s="200"/>
      <c r="AJ61" s="200"/>
      <c r="AK61" s="200"/>
      <c r="AL61" s="200"/>
      <c r="AM61" s="200"/>
      <c r="AN61" s="198"/>
      <c r="AO61" s="201"/>
      <c r="AP61" s="198"/>
      <c r="AQ61" s="200"/>
      <c r="AR61" s="199"/>
      <c r="AS61" s="198"/>
      <c r="AV61" s="164"/>
      <c r="BA61" s="202"/>
      <c r="BC61" s="203"/>
      <c r="BD61" s="194"/>
      <c r="BE61" s="194"/>
    </row>
    <row r="62">
      <c r="A62" s="6"/>
      <c r="B62" s="6"/>
      <c r="C62" s="196"/>
      <c r="E62" s="197"/>
      <c r="F62" s="196"/>
      <c r="G62" s="198"/>
      <c r="H62" s="198"/>
      <c r="I62" s="198"/>
      <c r="J62" s="198"/>
      <c r="K62" s="198"/>
      <c r="L62" s="198"/>
      <c r="M62" s="199"/>
      <c r="N62" s="199"/>
      <c r="O62" s="199"/>
      <c r="P62" s="200"/>
      <c r="Q62" s="201"/>
      <c r="R62" s="200"/>
      <c r="S62" s="200"/>
      <c r="T62" s="200"/>
      <c r="U62" s="200"/>
      <c r="V62" s="201"/>
      <c r="W62" s="201"/>
      <c r="X62" s="200"/>
      <c r="Y62" s="200"/>
      <c r="Z62" s="200"/>
      <c r="AA62" s="200"/>
      <c r="AB62" s="200"/>
      <c r="AC62" s="200"/>
      <c r="AD62" s="200"/>
      <c r="AE62" s="200"/>
      <c r="AF62" s="200"/>
      <c r="AG62" s="200"/>
      <c r="AH62" s="200"/>
      <c r="AI62" s="200"/>
      <c r="AJ62" s="200"/>
      <c r="AK62" s="200"/>
      <c r="AL62" s="200"/>
      <c r="AM62" s="200"/>
      <c r="AN62" s="198"/>
      <c r="AO62" s="201"/>
      <c r="AP62" s="198"/>
      <c r="AQ62" s="200"/>
      <c r="AR62" s="199"/>
      <c r="AS62" s="198"/>
      <c r="AV62" s="164"/>
      <c r="BA62" s="202"/>
      <c r="BC62" s="203"/>
      <c r="BD62" s="194"/>
      <c r="BE62" s="194"/>
    </row>
    <row r="63">
      <c r="A63" s="6"/>
      <c r="B63" s="6"/>
      <c r="C63" s="196"/>
      <c r="E63" s="197"/>
      <c r="F63" s="196"/>
      <c r="G63" s="198"/>
      <c r="H63" s="198"/>
      <c r="I63" s="198"/>
      <c r="J63" s="198"/>
      <c r="K63" s="198"/>
      <c r="L63" s="198"/>
      <c r="M63" s="199"/>
      <c r="N63" s="199"/>
      <c r="O63" s="199"/>
      <c r="P63" s="200"/>
      <c r="Q63" s="201"/>
      <c r="R63" s="200"/>
      <c r="S63" s="200"/>
      <c r="T63" s="200"/>
      <c r="U63" s="200"/>
      <c r="V63" s="201"/>
      <c r="W63" s="201"/>
      <c r="X63" s="200"/>
      <c r="Y63" s="200"/>
      <c r="Z63" s="200"/>
      <c r="AA63" s="200"/>
      <c r="AB63" s="200"/>
      <c r="AC63" s="200"/>
      <c r="AD63" s="200"/>
      <c r="AE63" s="200"/>
      <c r="AF63" s="200"/>
      <c r="AG63" s="200"/>
      <c r="AH63" s="200"/>
      <c r="AI63" s="200"/>
      <c r="AJ63" s="200"/>
      <c r="AK63" s="200"/>
      <c r="AL63" s="200"/>
      <c r="AM63" s="200"/>
      <c r="AN63" s="198"/>
      <c r="AO63" s="201"/>
      <c r="AP63" s="198"/>
      <c r="AQ63" s="200"/>
      <c r="AR63" s="199"/>
      <c r="AS63" s="198"/>
      <c r="AV63" s="164"/>
      <c r="BA63" s="202"/>
      <c r="BC63" s="203"/>
      <c r="BD63" s="194"/>
      <c r="BE63" s="194"/>
    </row>
    <row r="64">
      <c r="A64" s="6"/>
      <c r="B64" s="6"/>
      <c r="C64" s="196"/>
      <c r="E64" s="197"/>
      <c r="F64" s="196"/>
      <c r="G64" s="198"/>
      <c r="H64" s="198"/>
      <c r="I64" s="198"/>
      <c r="J64" s="198"/>
      <c r="K64" s="198"/>
      <c r="L64" s="198"/>
      <c r="M64" s="199"/>
      <c r="N64" s="199"/>
      <c r="O64" s="199"/>
      <c r="P64" s="200"/>
      <c r="Q64" s="201"/>
      <c r="R64" s="200"/>
      <c r="S64" s="200"/>
      <c r="T64" s="200"/>
      <c r="U64" s="200"/>
      <c r="V64" s="201"/>
      <c r="W64" s="201"/>
      <c r="X64" s="200"/>
      <c r="Y64" s="200"/>
      <c r="Z64" s="200"/>
      <c r="AA64" s="200"/>
      <c r="AB64" s="200"/>
      <c r="AC64" s="200"/>
      <c r="AD64" s="200"/>
      <c r="AE64" s="200"/>
      <c r="AF64" s="200"/>
      <c r="AG64" s="200"/>
      <c r="AH64" s="200"/>
      <c r="AI64" s="200"/>
      <c r="AJ64" s="200"/>
      <c r="AK64" s="200"/>
      <c r="AL64" s="200"/>
      <c r="AM64" s="200"/>
      <c r="AN64" s="198"/>
      <c r="AO64" s="201"/>
      <c r="AP64" s="198"/>
      <c r="AQ64" s="200"/>
      <c r="AR64" s="199"/>
      <c r="AS64" s="198"/>
      <c r="AV64" s="164"/>
      <c r="BA64" s="202"/>
      <c r="BC64" s="203"/>
      <c r="BD64" s="194"/>
      <c r="BE64" s="194"/>
    </row>
    <row r="65">
      <c r="A65" s="6"/>
      <c r="B65" s="6"/>
      <c r="C65" s="196"/>
      <c r="E65" s="197"/>
      <c r="F65" s="196"/>
      <c r="G65" s="198"/>
      <c r="H65" s="198"/>
      <c r="I65" s="198"/>
      <c r="J65" s="198"/>
      <c r="K65" s="198"/>
      <c r="L65" s="198"/>
      <c r="M65" s="199"/>
      <c r="N65" s="199"/>
      <c r="O65" s="199"/>
      <c r="P65" s="200"/>
      <c r="Q65" s="201"/>
      <c r="R65" s="200"/>
      <c r="S65" s="200"/>
      <c r="T65" s="200"/>
      <c r="U65" s="200"/>
      <c r="V65" s="201"/>
      <c r="W65" s="201"/>
      <c r="X65" s="200"/>
      <c r="Y65" s="200"/>
      <c r="Z65" s="200"/>
      <c r="AA65" s="200"/>
      <c r="AB65" s="200"/>
      <c r="AC65" s="200"/>
      <c r="AD65" s="200"/>
      <c r="AE65" s="200"/>
      <c r="AF65" s="200"/>
      <c r="AG65" s="200"/>
      <c r="AH65" s="200"/>
      <c r="AI65" s="200"/>
      <c r="AJ65" s="200"/>
      <c r="AK65" s="200"/>
      <c r="AL65" s="200"/>
      <c r="AM65" s="200"/>
      <c r="AN65" s="198"/>
      <c r="AO65" s="201"/>
      <c r="AP65" s="198"/>
      <c r="AQ65" s="200"/>
      <c r="AR65" s="199"/>
      <c r="AS65" s="198"/>
      <c r="AV65" s="164"/>
      <c r="BA65" s="202"/>
      <c r="BC65" s="203"/>
      <c r="BD65" s="194"/>
      <c r="BE65" s="194"/>
    </row>
    <row r="66">
      <c r="A66" s="6"/>
      <c r="B66" s="6"/>
      <c r="C66" s="196"/>
      <c r="E66" s="197"/>
      <c r="F66" s="196"/>
      <c r="G66" s="198"/>
      <c r="H66" s="198"/>
      <c r="I66" s="198"/>
      <c r="J66" s="198"/>
      <c r="K66" s="198"/>
      <c r="L66" s="198"/>
      <c r="M66" s="199"/>
      <c r="N66" s="199"/>
      <c r="O66" s="199"/>
      <c r="P66" s="200"/>
      <c r="Q66" s="201"/>
      <c r="R66" s="200"/>
      <c r="S66" s="200"/>
      <c r="T66" s="200"/>
      <c r="U66" s="200"/>
      <c r="V66" s="201"/>
      <c r="W66" s="201"/>
      <c r="X66" s="200"/>
      <c r="Y66" s="200"/>
      <c r="Z66" s="200"/>
      <c r="AA66" s="200"/>
      <c r="AB66" s="200"/>
      <c r="AC66" s="200"/>
      <c r="AD66" s="200"/>
      <c r="AE66" s="200"/>
      <c r="AF66" s="200"/>
      <c r="AG66" s="200"/>
      <c r="AH66" s="200"/>
      <c r="AI66" s="200"/>
      <c r="AJ66" s="200"/>
      <c r="AK66" s="200"/>
      <c r="AL66" s="200"/>
      <c r="AM66" s="200"/>
      <c r="AN66" s="198"/>
      <c r="AO66" s="201"/>
      <c r="AP66" s="198"/>
      <c r="AQ66" s="200"/>
      <c r="AR66" s="199"/>
      <c r="AS66" s="198"/>
      <c r="AV66" s="164"/>
      <c r="BA66" s="202"/>
      <c r="BC66" s="203"/>
      <c r="BD66" s="194"/>
      <c r="BE66" s="194"/>
    </row>
    <row r="67">
      <c r="A67" s="6"/>
      <c r="B67" s="6"/>
      <c r="C67" s="196"/>
      <c r="E67" s="197"/>
      <c r="F67" s="196"/>
      <c r="G67" s="198"/>
      <c r="H67" s="198"/>
      <c r="I67" s="198"/>
      <c r="J67" s="198"/>
      <c r="K67" s="198"/>
      <c r="L67" s="198"/>
      <c r="M67" s="199"/>
      <c r="N67" s="199"/>
      <c r="O67" s="199"/>
      <c r="P67" s="200"/>
      <c r="Q67" s="201"/>
      <c r="R67" s="200"/>
      <c r="S67" s="200"/>
      <c r="T67" s="200"/>
      <c r="U67" s="200"/>
      <c r="V67" s="201"/>
      <c r="W67" s="201"/>
      <c r="X67" s="200"/>
      <c r="Y67" s="200"/>
      <c r="Z67" s="200"/>
      <c r="AA67" s="200"/>
      <c r="AB67" s="200"/>
      <c r="AC67" s="200"/>
      <c r="AD67" s="200"/>
      <c r="AE67" s="200"/>
      <c r="AF67" s="200"/>
      <c r="AG67" s="200"/>
      <c r="AH67" s="200"/>
      <c r="AI67" s="200"/>
      <c r="AJ67" s="200"/>
      <c r="AK67" s="200"/>
      <c r="AL67" s="200"/>
      <c r="AM67" s="200"/>
      <c r="AN67" s="198"/>
      <c r="AO67" s="201"/>
      <c r="AP67" s="198"/>
      <c r="AQ67" s="200"/>
      <c r="AR67" s="199"/>
      <c r="AS67" s="198"/>
      <c r="AV67" s="164"/>
      <c r="BA67" s="202"/>
      <c r="BC67" s="203"/>
      <c r="BD67" s="194"/>
      <c r="BE67" s="194"/>
    </row>
    <row r="68">
      <c r="A68" s="6"/>
      <c r="B68" s="6"/>
      <c r="C68" s="196"/>
      <c r="E68" s="197"/>
      <c r="F68" s="196"/>
      <c r="G68" s="198"/>
      <c r="H68" s="198"/>
      <c r="I68" s="198"/>
      <c r="J68" s="198"/>
      <c r="K68" s="198"/>
      <c r="L68" s="198"/>
      <c r="M68" s="199"/>
      <c r="N68" s="199"/>
      <c r="O68" s="199"/>
      <c r="P68" s="200"/>
      <c r="Q68" s="201"/>
      <c r="R68" s="200"/>
      <c r="S68" s="200"/>
      <c r="T68" s="200"/>
      <c r="U68" s="200"/>
      <c r="V68" s="201"/>
      <c r="W68" s="201"/>
      <c r="X68" s="200"/>
      <c r="Y68" s="200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  <c r="AN68" s="198"/>
      <c r="AO68" s="201"/>
      <c r="AP68" s="198"/>
      <c r="AQ68" s="200"/>
      <c r="AR68" s="199"/>
      <c r="AS68" s="198"/>
      <c r="AV68" s="164"/>
      <c r="BA68" s="202"/>
      <c r="BC68" s="203"/>
      <c r="BD68" s="194"/>
      <c r="BE68" s="194"/>
    </row>
    <row r="69">
      <c r="A69" s="6"/>
      <c r="B69" s="6"/>
      <c r="C69" s="196"/>
      <c r="E69" s="197"/>
      <c r="F69" s="196"/>
      <c r="G69" s="198"/>
      <c r="H69" s="198"/>
      <c r="I69" s="198"/>
      <c r="J69" s="198"/>
      <c r="K69" s="198"/>
      <c r="L69" s="198"/>
      <c r="M69" s="199"/>
      <c r="N69" s="199"/>
      <c r="O69" s="199"/>
      <c r="P69" s="200"/>
      <c r="Q69" s="201"/>
      <c r="R69" s="200"/>
      <c r="S69" s="200"/>
      <c r="T69" s="200"/>
      <c r="U69" s="200"/>
      <c r="V69" s="201"/>
      <c r="W69" s="201"/>
      <c r="X69" s="200"/>
      <c r="Y69" s="200"/>
      <c r="Z69" s="200"/>
      <c r="AA69" s="200"/>
      <c r="AB69" s="200"/>
      <c r="AC69" s="200"/>
      <c r="AD69" s="200"/>
      <c r="AE69" s="200"/>
      <c r="AF69" s="200"/>
      <c r="AG69" s="200"/>
      <c r="AH69" s="200"/>
      <c r="AI69" s="200"/>
      <c r="AJ69" s="200"/>
      <c r="AK69" s="200"/>
      <c r="AL69" s="200"/>
      <c r="AM69" s="200"/>
      <c r="AN69" s="198"/>
      <c r="AO69" s="201"/>
      <c r="AP69" s="198"/>
      <c r="AQ69" s="200"/>
      <c r="AR69" s="199"/>
      <c r="AS69" s="198"/>
      <c r="AV69" s="164"/>
      <c r="BA69" s="202"/>
      <c r="BC69" s="203"/>
      <c r="BD69" s="194"/>
      <c r="BE69" s="194"/>
    </row>
    <row r="70">
      <c r="A70" s="6"/>
      <c r="B70" s="6"/>
      <c r="C70" s="196"/>
      <c r="E70" s="197"/>
      <c r="F70" s="196"/>
      <c r="G70" s="198"/>
      <c r="H70" s="198"/>
      <c r="I70" s="198"/>
      <c r="J70" s="198"/>
      <c r="K70" s="198"/>
      <c r="L70" s="198"/>
      <c r="M70" s="199"/>
      <c r="N70" s="199"/>
      <c r="O70" s="199"/>
      <c r="P70" s="200"/>
      <c r="Q70" s="201"/>
      <c r="R70" s="200"/>
      <c r="S70" s="200"/>
      <c r="T70" s="200"/>
      <c r="U70" s="200"/>
      <c r="V70" s="201"/>
      <c r="W70" s="201"/>
      <c r="X70" s="200"/>
      <c r="Y70" s="200"/>
      <c r="Z70" s="200"/>
      <c r="AA70" s="200"/>
      <c r="AB70" s="200"/>
      <c r="AC70" s="200"/>
      <c r="AD70" s="200"/>
      <c r="AE70" s="200"/>
      <c r="AF70" s="200"/>
      <c r="AG70" s="200"/>
      <c r="AH70" s="200"/>
      <c r="AI70" s="200"/>
      <c r="AJ70" s="200"/>
      <c r="AK70" s="200"/>
      <c r="AL70" s="200"/>
      <c r="AM70" s="200"/>
      <c r="AN70" s="198"/>
      <c r="AO70" s="201"/>
      <c r="AP70" s="198"/>
      <c r="AQ70" s="200"/>
      <c r="AR70" s="199"/>
      <c r="AS70" s="198"/>
      <c r="AV70" s="164"/>
      <c r="BA70" s="202"/>
      <c r="BC70" s="203"/>
      <c r="BD70" s="194"/>
      <c r="BE70" s="194"/>
    </row>
    <row r="71">
      <c r="A71" s="6"/>
      <c r="B71" s="6"/>
      <c r="C71" s="196"/>
      <c r="E71" s="197"/>
      <c r="F71" s="196"/>
      <c r="G71" s="198"/>
      <c r="H71" s="198"/>
      <c r="I71" s="198"/>
      <c r="J71" s="198"/>
      <c r="K71" s="198"/>
      <c r="L71" s="198"/>
      <c r="M71" s="199"/>
      <c r="N71" s="199"/>
      <c r="O71" s="199"/>
      <c r="P71" s="200"/>
      <c r="Q71" s="201"/>
      <c r="R71" s="200"/>
      <c r="S71" s="200"/>
      <c r="T71" s="200"/>
      <c r="U71" s="200"/>
      <c r="V71" s="201"/>
      <c r="W71" s="201"/>
      <c r="X71" s="200"/>
      <c r="Y71" s="200"/>
      <c r="Z71" s="200"/>
      <c r="AA71" s="200"/>
      <c r="AB71" s="200"/>
      <c r="AC71" s="200"/>
      <c r="AD71" s="200"/>
      <c r="AE71" s="200"/>
      <c r="AF71" s="200"/>
      <c r="AG71" s="200"/>
      <c r="AH71" s="200"/>
      <c r="AI71" s="200"/>
      <c r="AJ71" s="200"/>
      <c r="AK71" s="200"/>
      <c r="AL71" s="200"/>
      <c r="AM71" s="200"/>
      <c r="AN71" s="198"/>
      <c r="AO71" s="201"/>
      <c r="AP71" s="198"/>
      <c r="AQ71" s="200"/>
      <c r="AR71" s="199"/>
      <c r="AS71" s="198"/>
      <c r="AV71" s="164"/>
      <c r="BA71" s="202"/>
      <c r="BC71" s="203"/>
      <c r="BD71" s="194"/>
      <c r="BE71" s="194"/>
    </row>
    <row r="72">
      <c r="A72" s="6"/>
      <c r="B72" s="6"/>
      <c r="C72" s="196"/>
      <c r="E72" s="197"/>
      <c r="F72" s="196"/>
      <c r="G72" s="198"/>
      <c r="H72" s="198"/>
      <c r="I72" s="198"/>
      <c r="J72" s="198"/>
      <c r="K72" s="198"/>
      <c r="L72" s="198"/>
      <c r="M72" s="199"/>
      <c r="N72" s="199"/>
      <c r="O72" s="199"/>
      <c r="P72" s="200"/>
      <c r="Q72" s="201"/>
      <c r="R72" s="200"/>
      <c r="S72" s="200"/>
      <c r="T72" s="200"/>
      <c r="U72" s="200"/>
      <c r="V72" s="201"/>
      <c r="W72" s="201"/>
      <c r="X72" s="200"/>
      <c r="Y72" s="200"/>
      <c r="Z72" s="200"/>
      <c r="AA72" s="200"/>
      <c r="AB72" s="200"/>
      <c r="AC72" s="200"/>
      <c r="AD72" s="200"/>
      <c r="AE72" s="200"/>
      <c r="AF72" s="200"/>
      <c r="AG72" s="200"/>
      <c r="AH72" s="200"/>
      <c r="AI72" s="200"/>
      <c r="AJ72" s="200"/>
      <c r="AK72" s="200"/>
      <c r="AL72" s="200"/>
      <c r="AM72" s="200"/>
      <c r="AN72" s="198"/>
      <c r="AO72" s="201"/>
      <c r="AP72" s="198"/>
      <c r="AQ72" s="200"/>
      <c r="AR72" s="199"/>
      <c r="AS72" s="198"/>
      <c r="AV72" s="164"/>
      <c r="BA72" s="202"/>
      <c r="BC72" s="203"/>
      <c r="BD72" s="194"/>
      <c r="BE72" s="194"/>
    </row>
    <row r="73">
      <c r="A73" s="6"/>
      <c r="B73" s="6"/>
      <c r="C73" s="196"/>
      <c r="E73" s="197"/>
      <c r="F73" s="196"/>
      <c r="G73" s="198"/>
      <c r="H73" s="198"/>
      <c r="I73" s="198"/>
      <c r="J73" s="198"/>
      <c r="K73" s="198"/>
      <c r="L73" s="198"/>
      <c r="M73" s="199"/>
      <c r="N73" s="199"/>
      <c r="O73" s="199"/>
      <c r="P73" s="200"/>
      <c r="Q73" s="201"/>
      <c r="R73" s="200"/>
      <c r="S73" s="200"/>
      <c r="T73" s="200"/>
      <c r="U73" s="200"/>
      <c r="V73" s="201"/>
      <c r="W73" s="201"/>
      <c r="X73" s="200"/>
      <c r="Y73" s="200"/>
      <c r="Z73" s="200"/>
      <c r="AA73" s="200"/>
      <c r="AB73" s="200"/>
      <c r="AC73" s="200"/>
      <c r="AD73" s="200"/>
      <c r="AE73" s="200"/>
      <c r="AF73" s="200"/>
      <c r="AG73" s="200"/>
      <c r="AH73" s="200"/>
      <c r="AI73" s="200"/>
      <c r="AJ73" s="200"/>
      <c r="AK73" s="200"/>
      <c r="AL73" s="200"/>
      <c r="AM73" s="200"/>
      <c r="AN73" s="198"/>
      <c r="AO73" s="201"/>
      <c r="AP73" s="198"/>
      <c r="AQ73" s="200"/>
      <c r="AR73" s="199"/>
      <c r="AS73" s="198"/>
      <c r="AV73" s="164"/>
      <c r="BA73" s="202"/>
      <c r="BC73" s="203"/>
      <c r="BD73" s="194"/>
      <c r="BE73" s="194"/>
    </row>
    <row r="74">
      <c r="A74" s="6"/>
      <c r="B74" s="6"/>
      <c r="C74" s="196"/>
      <c r="E74" s="197"/>
      <c r="F74" s="196"/>
      <c r="G74" s="198"/>
      <c r="H74" s="198"/>
      <c r="I74" s="198"/>
      <c r="J74" s="198"/>
      <c r="K74" s="198"/>
      <c r="L74" s="198"/>
      <c r="M74" s="199"/>
      <c r="N74" s="199"/>
      <c r="O74" s="199"/>
      <c r="P74" s="200"/>
      <c r="Q74" s="201"/>
      <c r="R74" s="200"/>
      <c r="S74" s="200"/>
      <c r="T74" s="200"/>
      <c r="U74" s="200"/>
      <c r="V74" s="201"/>
      <c r="W74" s="201"/>
      <c r="X74" s="200"/>
      <c r="Y74" s="200"/>
      <c r="Z74" s="200"/>
      <c r="AA74" s="200"/>
      <c r="AB74" s="200"/>
      <c r="AC74" s="200"/>
      <c r="AD74" s="200"/>
      <c r="AE74" s="200"/>
      <c r="AF74" s="200"/>
      <c r="AG74" s="200"/>
      <c r="AH74" s="200"/>
      <c r="AI74" s="200"/>
      <c r="AJ74" s="200"/>
      <c r="AK74" s="200"/>
      <c r="AL74" s="200"/>
      <c r="AM74" s="200"/>
      <c r="AN74" s="198"/>
      <c r="AO74" s="201"/>
      <c r="AP74" s="198"/>
      <c r="AQ74" s="200"/>
      <c r="AR74" s="199"/>
      <c r="AS74" s="198"/>
      <c r="AV74" s="164"/>
      <c r="BA74" s="202"/>
      <c r="BC74" s="203"/>
      <c r="BD74" s="194"/>
      <c r="BE74" s="194"/>
    </row>
    <row r="75">
      <c r="A75" s="6"/>
      <c r="B75" s="6"/>
      <c r="C75" s="196"/>
      <c r="E75" s="197"/>
      <c r="F75" s="196"/>
      <c r="G75" s="198"/>
      <c r="H75" s="198"/>
      <c r="I75" s="198"/>
      <c r="J75" s="198"/>
      <c r="K75" s="198"/>
      <c r="L75" s="198"/>
      <c r="M75" s="199"/>
      <c r="N75" s="199"/>
      <c r="O75" s="199"/>
      <c r="P75" s="200"/>
      <c r="Q75" s="201"/>
      <c r="R75" s="200"/>
      <c r="S75" s="200"/>
      <c r="T75" s="200"/>
      <c r="U75" s="200"/>
      <c r="V75" s="201"/>
      <c r="W75" s="201"/>
      <c r="X75" s="200"/>
      <c r="Y75" s="200"/>
      <c r="Z75" s="200"/>
      <c r="AA75" s="200"/>
      <c r="AB75" s="200"/>
      <c r="AC75" s="200"/>
      <c r="AD75" s="200"/>
      <c r="AE75" s="200"/>
      <c r="AF75" s="200"/>
      <c r="AG75" s="200"/>
      <c r="AH75" s="200"/>
      <c r="AI75" s="200"/>
      <c r="AJ75" s="200"/>
      <c r="AK75" s="200"/>
      <c r="AL75" s="200"/>
      <c r="AM75" s="200"/>
      <c r="AN75" s="198"/>
      <c r="AO75" s="201"/>
      <c r="AP75" s="198"/>
      <c r="AQ75" s="200"/>
      <c r="AR75" s="199"/>
      <c r="AS75" s="198"/>
      <c r="AV75" s="164"/>
      <c r="BA75" s="202"/>
      <c r="BC75" s="203"/>
      <c r="BD75" s="194"/>
      <c r="BE75" s="194"/>
    </row>
    <row r="76">
      <c r="A76" s="6"/>
      <c r="B76" s="6"/>
      <c r="C76" s="196"/>
      <c r="E76" s="197"/>
      <c r="F76" s="196"/>
      <c r="G76" s="198"/>
      <c r="H76" s="198"/>
      <c r="I76" s="198"/>
      <c r="J76" s="198"/>
      <c r="K76" s="198"/>
      <c r="L76" s="198"/>
      <c r="M76" s="199"/>
      <c r="N76" s="199"/>
      <c r="O76" s="199"/>
      <c r="P76" s="200"/>
      <c r="Q76" s="201"/>
      <c r="R76" s="200"/>
      <c r="S76" s="200"/>
      <c r="T76" s="200"/>
      <c r="U76" s="200"/>
      <c r="V76" s="201"/>
      <c r="W76" s="201"/>
      <c r="X76" s="200"/>
      <c r="Y76" s="200"/>
      <c r="Z76" s="200"/>
      <c r="AA76" s="200"/>
      <c r="AB76" s="200"/>
      <c r="AC76" s="200"/>
      <c r="AD76" s="200"/>
      <c r="AE76" s="200"/>
      <c r="AF76" s="200"/>
      <c r="AG76" s="200"/>
      <c r="AH76" s="200"/>
      <c r="AI76" s="200"/>
      <c r="AJ76" s="200"/>
      <c r="AK76" s="200"/>
      <c r="AL76" s="200"/>
      <c r="AM76" s="200"/>
      <c r="AN76" s="198"/>
      <c r="AO76" s="201"/>
      <c r="AP76" s="198"/>
      <c r="AQ76" s="200"/>
      <c r="AR76" s="199"/>
      <c r="AS76" s="198"/>
      <c r="AV76" s="164"/>
      <c r="BA76" s="202"/>
      <c r="BC76" s="203"/>
      <c r="BD76" s="194"/>
      <c r="BE76" s="194"/>
    </row>
    <row r="77">
      <c r="A77" s="6"/>
      <c r="B77" s="6"/>
      <c r="C77" s="196"/>
      <c r="E77" s="197"/>
      <c r="F77" s="196"/>
      <c r="G77" s="198"/>
      <c r="H77" s="198"/>
      <c r="I77" s="198"/>
      <c r="J77" s="198"/>
      <c r="K77" s="198"/>
      <c r="L77" s="198"/>
      <c r="M77" s="199"/>
      <c r="N77" s="199"/>
      <c r="O77" s="199"/>
      <c r="P77" s="200"/>
      <c r="Q77" s="201"/>
      <c r="R77" s="200"/>
      <c r="S77" s="200"/>
      <c r="T77" s="200"/>
      <c r="U77" s="200"/>
      <c r="V77" s="201"/>
      <c r="W77" s="201"/>
      <c r="X77" s="200"/>
      <c r="Y77" s="200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  <c r="AN77" s="198"/>
      <c r="AO77" s="201"/>
      <c r="AP77" s="198"/>
      <c r="AQ77" s="200"/>
      <c r="AR77" s="199"/>
      <c r="AS77" s="198"/>
      <c r="AV77" s="164"/>
      <c r="BA77" s="202"/>
      <c r="BC77" s="203"/>
      <c r="BD77" s="194"/>
      <c r="BE77" s="194"/>
    </row>
    <row r="78">
      <c r="A78" s="6"/>
      <c r="B78" s="6"/>
      <c r="C78" s="196"/>
      <c r="E78" s="197"/>
      <c r="F78" s="196"/>
      <c r="G78" s="198"/>
      <c r="H78" s="198"/>
      <c r="I78" s="198"/>
      <c r="J78" s="198"/>
      <c r="K78" s="198"/>
      <c r="L78" s="198"/>
      <c r="M78" s="199"/>
      <c r="N78" s="199"/>
      <c r="O78" s="199"/>
      <c r="P78" s="200"/>
      <c r="Q78" s="201"/>
      <c r="R78" s="200"/>
      <c r="S78" s="200"/>
      <c r="T78" s="200"/>
      <c r="U78" s="200"/>
      <c r="V78" s="201"/>
      <c r="W78" s="201"/>
      <c r="X78" s="200"/>
      <c r="Y78" s="200"/>
      <c r="Z78" s="200"/>
      <c r="AA78" s="200"/>
      <c r="AB78" s="200"/>
      <c r="AC78" s="200"/>
      <c r="AD78" s="200"/>
      <c r="AE78" s="200"/>
      <c r="AF78" s="200"/>
      <c r="AG78" s="200"/>
      <c r="AH78" s="200"/>
      <c r="AI78" s="200"/>
      <c r="AJ78" s="200"/>
      <c r="AK78" s="200"/>
      <c r="AL78" s="200"/>
      <c r="AM78" s="200"/>
      <c r="AN78" s="198"/>
      <c r="AO78" s="201"/>
      <c r="AP78" s="198"/>
      <c r="AQ78" s="200"/>
      <c r="AR78" s="199"/>
      <c r="AS78" s="198"/>
      <c r="AV78" s="164"/>
      <c r="BA78" s="202"/>
      <c r="BC78" s="203"/>
      <c r="BD78" s="194"/>
      <c r="BE78" s="194"/>
    </row>
    <row r="79">
      <c r="A79" s="6"/>
      <c r="B79" s="6"/>
      <c r="C79" s="196"/>
      <c r="E79" s="197"/>
      <c r="F79" s="196"/>
      <c r="G79" s="198"/>
      <c r="H79" s="198"/>
      <c r="I79" s="198"/>
      <c r="J79" s="198"/>
      <c r="K79" s="198"/>
      <c r="L79" s="198"/>
      <c r="M79" s="199"/>
      <c r="N79" s="199"/>
      <c r="O79" s="199"/>
      <c r="P79" s="200"/>
      <c r="Q79" s="201"/>
      <c r="R79" s="200"/>
      <c r="S79" s="200"/>
      <c r="T79" s="200"/>
      <c r="U79" s="200"/>
      <c r="V79" s="201"/>
      <c r="W79" s="201"/>
      <c r="X79" s="200"/>
      <c r="Y79" s="200"/>
      <c r="Z79" s="200"/>
      <c r="AA79" s="200"/>
      <c r="AB79" s="200"/>
      <c r="AC79" s="200"/>
      <c r="AD79" s="200"/>
      <c r="AE79" s="200"/>
      <c r="AF79" s="200"/>
      <c r="AG79" s="200"/>
      <c r="AH79" s="200"/>
      <c r="AI79" s="200"/>
      <c r="AJ79" s="200"/>
      <c r="AK79" s="200"/>
      <c r="AL79" s="200"/>
      <c r="AM79" s="200"/>
      <c r="AN79" s="198"/>
      <c r="AO79" s="201"/>
      <c r="AP79" s="198"/>
      <c r="AQ79" s="200"/>
      <c r="AR79" s="199"/>
      <c r="AS79" s="198"/>
      <c r="AV79" s="164"/>
      <c r="BA79" s="202"/>
      <c r="BC79" s="203"/>
      <c r="BD79" s="194"/>
      <c r="BE79" s="194"/>
    </row>
    <row r="80">
      <c r="A80" s="6"/>
      <c r="B80" s="6"/>
      <c r="C80" s="196"/>
      <c r="E80" s="197"/>
      <c r="F80" s="196"/>
      <c r="G80" s="198"/>
      <c r="H80" s="198"/>
      <c r="I80" s="198"/>
      <c r="J80" s="198"/>
      <c r="K80" s="198"/>
      <c r="L80" s="198"/>
      <c r="M80" s="199"/>
      <c r="N80" s="199"/>
      <c r="O80" s="199"/>
      <c r="P80" s="200"/>
      <c r="Q80" s="201"/>
      <c r="R80" s="200"/>
      <c r="S80" s="200"/>
      <c r="T80" s="200"/>
      <c r="U80" s="200"/>
      <c r="V80" s="201"/>
      <c r="W80" s="201"/>
      <c r="X80" s="200"/>
      <c r="Y80" s="200"/>
      <c r="Z80" s="200"/>
      <c r="AA80" s="200"/>
      <c r="AB80" s="200"/>
      <c r="AC80" s="200"/>
      <c r="AD80" s="200"/>
      <c r="AE80" s="200"/>
      <c r="AF80" s="200"/>
      <c r="AG80" s="200"/>
      <c r="AH80" s="200"/>
      <c r="AI80" s="200"/>
      <c r="AJ80" s="200"/>
      <c r="AK80" s="200"/>
      <c r="AL80" s="200"/>
      <c r="AM80" s="200"/>
      <c r="AN80" s="198"/>
      <c r="AO80" s="201"/>
      <c r="AP80" s="198"/>
      <c r="AQ80" s="200"/>
      <c r="AR80" s="199"/>
      <c r="AS80" s="198"/>
      <c r="AV80" s="164"/>
      <c r="BA80" s="202"/>
      <c r="BC80" s="203"/>
      <c r="BD80" s="194"/>
      <c r="BE80" s="194"/>
    </row>
    <row r="81">
      <c r="A81" s="6"/>
      <c r="B81" s="6"/>
      <c r="C81" s="196"/>
      <c r="E81" s="197"/>
      <c r="F81" s="196"/>
      <c r="G81" s="198"/>
      <c r="H81" s="198"/>
      <c r="I81" s="198"/>
      <c r="J81" s="198"/>
      <c r="K81" s="198"/>
      <c r="L81" s="198"/>
      <c r="M81" s="199"/>
      <c r="N81" s="199"/>
      <c r="O81" s="199"/>
      <c r="P81" s="200"/>
      <c r="Q81" s="201"/>
      <c r="R81" s="200"/>
      <c r="S81" s="200"/>
      <c r="T81" s="200"/>
      <c r="U81" s="200"/>
      <c r="V81" s="201"/>
      <c r="W81" s="201"/>
      <c r="X81" s="200"/>
      <c r="Y81" s="200"/>
      <c r="Z81" s="200"/>
      <c r="AA81" s="200"/>
      <c r="AB81" s="200"/>
      <c r="AC81" s="200"/>
      <c r="AD81" s="200"/>
      <c r="AE81" s="200"/>
      <c r="AF81" s="200"/>
      <c r="AG81" s="200"/>
      <c r="AH81" s="200"/>
      <c r="AI81" s="200"/>
      <c r="AJ81" s="200"/>
      <c r="AK81" s="200"/>
      <c r="AL81" s="200"/>
      <c r="AM81" s="200"/>
      <c r="AN81" s="198"/>
      <c r="AO81" s="201"/>
      <c r="AP81" s="198"/>
      <c r="AQ81" s="200"/>
      <c r="AR81" s="199"/>
      <c r="AS81" s="198"/>
      <c r="AV81" s="164"/>
      <c r="BA81" s="202"/>
      <c r="BC81" s="203"/>
      <c r="BD81" s="194"/>
      <c r="BE81" s="194"/>
    </row>
    <row r="82">
      <c r="A82" s="6"/>
      <c r="B82" s="6"/>
      <c r="C82" s="196"/>
      <c r="E82" s="197"/>
      <c r="F82" s="196"/>
      <c r="G82" s="198"/>
      <c r="H82" s="198"/>
      <c r="I82" s="198"/>
      <c r="J82" s="198"/>
      <c r="K82" s="198"/>
      <c r="L82" s="198"/>
      <c r="M82" s="199"/>
      <c r="N82" s="199"/>
      <c r="O82" s="199"/>
      <c r="P82" s="200"/>
      <c r="Q82" s="201"/>
      <c r="R82" s="200"/>
      <c r="S82" s="200"/>
      <c r="T82" s="200"/>
      <c r="U82" s="200"/>
      <c r="V82" s="201"/>
      <c r="W82" s="201"/>
      <c r="X82" s="200"/>
      <c r="Y82" s="200"/>
      <c r="Z82" s="200"/>
      <c r="AA82" s="200"/>
      <c r="AB82" s="200"/>
      <c r="AC82" s="200"/>
      <c r="AD82" s="200"/>
      <c r="AE82" s="200"/>
      <c r="AF82" s="200"/>
      <c r="AG82" s="200"/>
      <c r="AH82" s="200"/>
      <c r="AI82" s="200"/>
      <c r="AJ82" s="200"/>
      <c r="AK82" s="200"/>
      <c r="AL82" s="200"/>
      <c r="AM82" s="200"/>
      <c r="AN82" s="198"/>
      <c r="AO82" s="201"/>
      <c r="AP82" s="198"/>
      <c r="AQ82" s="200"/>
      <c r="AR82" s="199"/>
      <c r="AS82" s="198"/>
      <c r="AV82" s="164"/>
      <c r="BA82" s="202"/>
      <c r="BC82" s="203"/>
      <c r="BD82" s="194"/>
      <c r="BE82" s="194"/>
    </row>
    <row r="83">
      <c r="A83" s="6"/>
      <c r="B83" s="6"/>
      <c r="C83" s="196"/>
      <c r="E83" s="197"/>
      <c r="F83" s="196"/>
      <c r="G83" s="198"/>
      <c r="H83" s="198"/>
      <c r="I83" s="198"/>
      <c r="J83" s="198"/>
      <c r="K83" s="198"/>
      <c r="L83" s="198"/>
      <c r="M83" s="199"/>
      <c r="N83" s="199"/>
      <c r="O83" s="199"/>
      <c r="P83" s="200"/>
      <c r="Q83" s="201"/>
      <c r="R83" s="200"/>
      <c r="S83" s="200"/>
      <c r="T83" s="200"/>
      <c r="U83" s="200"/>
      <c r="V83" s="201"/>
      <c r="W83" s="201"/>
      <c r="X83" s="200"/>
      <c r="Y83" s="200"/>
      <c r="Z83" s="200"/>
      <c r="AA83" s="200"/>
      <c r="AB83" s="200"/>
      <c r="AC83" s="200"/>
      <c r="AD83" s="200"/>
      <c r="AE83" s="200"/>
      <c r="AF83" s="200"/>
      <c r="AG83" s="200"/>
      <c r="AH83" s="200"/>
      <c r="AI83" s="200"/>
      <c r="AJ83" s="200"/>
      <c r="AK83" s="200"/>
      <c r="AL83" s="200"/>
      <c r="AM83" s="200"/>
      <c r="AN83" s="198"/>
      <c r="AO83" s="201"/>
      <c r="AP83" s="198"/>
      <c r="AQ83" s="200"/>
      <c r="AR83" s="199"/>
      <c r="AS83" s="198"/>
      <c r="AV83" s="164"/>
      <c r="BA83" s="202"/>
      <c r="BC83" s="203"/>
      <c r="BD83" s="194"/>
      <c r="BE83" s="194"/>
    </row>
    <row r="84">
      <c r="A84" s="6"/>
      <c r="B84" s="6"/>
      <c r="C84" s="196"/>
      <c r="E84" s="197"/>
      <c r="F84" s="196"/>
      <c r="G84" s="198"/>
      <c r="H84" s="198"/>
      <c r="I84" s="198"/>
      <c r="J84" s="198"/>
      <c r="K84" s="198"/>
      <c r="L84" s="198"/>
      <c r="M84" s="199"/>
      <c r="N84" s="199"/>
      <c r="O84" s="199"/>
      <c r="P84" s="200"/>
      <c r="Q84" s="201"/>
      <c r="R84" s="200"/>
      <c r="S84" s="200"/>
      <c r="T84" s="200"/>
      <c r="U84" s="200"/>
      <c r="V84" s="201"/>
      <c r="W84" s="201"/>
      <c r="X84" s="200"/>
      <c r="Y84" s="200"/>
      <c r="Z84" s="200"/>
      <c r="AA84" s="200"/>
      <c r="AB84" s="200"/>
      <c r="AC84" s="200"/>
      <c r="AD84" s="200"/>
      <c r="AE84" s="200"/>
      <c r="AF84" s="200"/>
      <c r="AG84" s="200"/>
      <c r="AH84" s="200"/>
      <c r="AI84" s="200"/>
      <c r="AJ84" s="200"/>
      <c r="AK84" s="200"/>
      <c r="AL84" s="200"/>
      <c r="AM84" s="200"/>
      <c r="AN84" s="198"/>
      <c r="AO84" s="201"/>
      <c r="AP84" s="198"/>
      <c r="AQ84" s="200"/>
      <c r="AR84" s="199"/>
      <c r="AS84" s="198"/>
      <c r="AV84" s="164"/>
      <c r="BA84" s="202"/>
      <c r="BC84" s="203"/>
      <c r="BD84" s="194"/>
      <c r="BE84" s="194"/>
    </row>
    <row r="85">
      <c r="A85" s="6"/>
      <c r="B85" s="6"/>
      <c r="C85" s="196"/>
      <c r="E85" s="197"/>
      <c r="F85" s="196"/>
      <c r="G85" s="198"/>
      <c r="H85" s="198"/>
      <c r="I85" s="198"/>
      <c r="J85" s="198"/>
      <c r="K85" s="198"/>
      <c r="L85" s="198"/>
      <c r="M85" s="199"/>
      <c r="N85" s="199"/>
      <c r="O85" s="199"/>
      <c r="P85" s="200"/>
      <c r="Q85" s="201"/>
      <c r="R85" s="200"/>
      <c r="S85" s="200"/>
      <c r="T85" s="200"/>
      <c r="U85" s="200"/>
      <c r="V85" s="201"/>
      <c r="W85" s="201"/>
      <c r="X85" s="200"/>
      <c r="Y85" s="200"/>
      <c r="Z85" s="200"/>
      <c r="AA85" s="200"/>
      <c r="AB85" s="200"/>
      <c r="AC85" s="200"/>
      <c r="AD85" s="200"/>
      <c r="AE85" s="200"/>
      <c r="AF85" s="200"/>
      <c r="AG85" s="200"/>
      <c r="AH85" s="200"/>
      <c r="AI85" s="200"/>
      <c r="AJ85" s="200"/>
      <c r="AK85" s="200"/>
      <c r="AL85" s="200"/>
      <c r="AM85" s="200"/>
      <c r="AN85" s="198"/>
      <c r="AO85" s="201"/>
      <c r="AP85" s="198"/>
      <c r="AQ85" s="200"/>
      <c r="AR85" s="199"/>
      <c r="AS85" s="198"/>
      <c r="AV85" s="164"/>
      <c r="BA85" s="202"/>
      <c r="BC85" s="203"/>
      <c r="BD85" s="194"/>
      <c r="BE85" s="194"/>
    </row>
    <row r="86">
      <c r="A86" s="6"/>
      <c r="B86" s="6"/>
      <c r="C86" s="196"/>
      <c r="E86" s="197"/>
      <c r="F86" s="196"/>
      <c r="G86" s="198"/>
      <c r="H86" s="198"/>
      <c r="I86" s="198"/>
      <c r="J86" s="198"/>
      <c r="K86" s="198"/>
      <c r="L86" s="198"/>
      <c r="M86" s="199"/>
      <c r="N86" s="199"/>
      <c r="O86" s="199"/>
      <c r="P86" s="200"/>
      <c r="Q86" s="201"/>
      <c r="R86" s="200"/>
      <c r="S86" s="200"/>
      <c r="T86" s="200"/>
      <c r="U86" s="200"/>
      <c r="V86" s="201"/>
      <c r="W86" s="201"/>
      <c r="X86" s="200"/>
      <c r="Y86" s="200"/>
      <c r="Z86" s="200"/>
      <c r="AA86" s="200"/>
      <c r="AB86" s="200"/>
      <c r="AC86" s="200"/>
      <c r="AD86" s="200"/>
      <c r="AE86" s="200"/>
      <c r="AF86" s="200"/>
      <c r="AG86" s="200"/>
      <c r="AH86" s="200"/>
      <c r="AI86" s="200"/>
      <c r="AJ86" s="200"/>
      <c r="AK86" s="200"/>
      <c r="AL86" s="200"/>
      <c r="AM86" s="200"/>
      <c r="AN86" s="198"/>
      <c r="AO86" s="201"/>
      <c r="AP86" s="198"/>
      <c r="AQ86" s="200"/>
      <c r="AR86" s="199"/>
      <c r="AS86" s="198"/>
      <c r="AV86" s="164"/>
      <c r="BA86" s="202"/>
      <c r="BC86" s="203"/>
      <c r="BD86" s="194"/>
      <c r="BE86" s="194"/>
    </row>
    <row r="87">
      <c r="A87" s="6"/>
      <c r="B87" s="6"/>
      <c r="C87" s="196"/>
      <c r="E87" s="197"/>
      <c r="F87" s="196"/>
      <c r="G87" s="198"/>
      <c r="H87" s="198"/>
      <c r="I87" s="198"/>
      <c r="J87" s="198"/>
      <c r="K87" s="198"/>
      <c r="L87" s="198"/>
      <c r="M87" s="199"/>
      <c r="N87" s="199"/>
      <c r="O87" s="199"/>
      <c r="P87" s="200"/>
      <c r="Q87" s="201"/>
      <c r="R87" s="200"/>
      <c r="S87" s="200"/>
      <c r="T87" s="200"/>
      <c r="U87" s="200"/>
      <c r="V87" s="201"/>
      <c r="W87" s="201"/>
      <c r="X87" s="200"/>
      <c r="Y87" s="200"/>
      <c r="Z87" s="200"/>
      <c r="AA87" s="200"/>
      <c r="AB87" s="200"/>
      <c r="AC87" s="200"/>
      <c r="AD87" s="200"/>
      <c r="AE87" s="200"/>
      <c r="AF87" s="200"/>
      <c r="AG87" s="200"/>
      <c r="AH87" s="200"/>
      <c r="AI87" s="200"/>
      <c r="AJ87" s="200"/>
      <c r="AK87" s="200"/>
      <c r="AL87" s="200"/>
      <c r="AM87" s="200"/>
      <c r="AN87" s="198"/>
      <c r="AO87" s="201"/>
      <c r="AP87" s="198"/>
      <c r="AQ87" s="200"/>
      <c r="AR87" s="199"/>
      <c r="AS87" s="198"/>
      <c r="AV87" s="164"/>
      <c r="BA87" s="202"/>
      <c r="BC87" s="203"/>
      <c r="BD87" s="194"/>
      <c r="BE87" s="194"/>
    </row>
    <row r="88">
      <c r="A88" s="6"/>
      <c r="B88" s="6"/>
      <c r="C88" s="196"/>
      <c r="E88" s="197"/>
      <c r="F88" s="196"/>
      <c r="G88" s="198"/>
      <c r="H88" s="198"/>
      <c r="I88" s="198"/>
      <c r="J88" s="198"/>
      <c r="K88" s="198"/>
      <c r="L88" s="198"/>
      <c r="M88" s="199"/>
      <c r="N88" s="199"/>
      <c r="O88" s="199"/>
      <c r="P88" s="200"/>
      <c r="Q88" s="201"/>
      <c r="R88" s="200"/>
      <c r="S88" s="200"/>
      <c r="T88" s="200"/>
      <c r="U88" s="200"/>
      <c r="V88" s="201"/>
      <c r="W88" s="201"/>
      <c r="X88" s="200"/>
      <c r="Y88" s="200"/>
      <c r="Z88" s="200"/>
      <c r="AA88" s="200"/>
      <c r="AB88" s="200"/>
      <c r="AC88" s="200"/>
      <c r="AD88" s="200"/>
      <c r="AE88" s="200"/>
      <c r="AF88" s="200"/>
      <c r="AG88" s="200"/>
      <c r="AH88" s="200"/>
      <c r="AI88" s="200"/>
      <c r="AJ88" s="200"/>
      <c r="AK88" s="200"/>
      <c r="AL88" s="200"/>
      <c r="AM88" s="200"/>
      <c r="AN88" s="198"/>
      <c r="AO88" s="201"/>
      <c r="AP88" s="198"/>
      <c r="AQ88" s="200"/>
      <c r="AR88" s="199"/>
      <c r="AS88" s="198"/>
      <c r="AV88" s="164"/>
      <c r="BA88" s="202"/>
      <c r="BC88" s="203"/>
      <c r="BD88" s="194"/>
      <c r="BE88" s="194"/>
    </row>
    <row r="89">
      <c r="A89" s="6"/>
      <c r="B89" s="6"/>
      <c r="C89" s="196"/>
      <c r="E89" s="197"/>
      <c r="F89" s="196"/>
      <c r="G89" s="198"/>
      <c r="H89" s="198"/>
      <c r="I89" s="198"/>
      <c r="J89" s="198"/>
      <c r="K89" s="198"/>
      <c r="L89" s="198"/>
      <c r="M89" s="199"/>
      <c r="N89" s="199"/>
      <c r="O89" s="199"/>
      <c r="P89" s="200"/>
      <c r="Q89" s="201"/>
      <c r="R89" s="200"/>
      <c r="S89" s="200"/>
      <c r="T89" s="200"/>
      <c r="U89" s="200"/>
      <c r="V89" s="201"/>
      <c r="W89" s="201"/>
      <c r="X89" s="200"/>
      <c r="Y89" s="200"/>
      <c r="Z89" s="200"/>
      <c r="AA89" s="200"/>
      <c r="AB89" s="200"/>
      <c r="AC89" s="200"/>
      <c r="AD89" s="200"/>
      <c r="AE89" s="200"/>
      <c r="AF89" s="200"/>
      <c r="AG89" s="200"/>
      <c r="AH89" s="200"/>
      <c r="AI89" s="200"/>
      <c r="AJ89" s="200"/>
      <c r="AK89" s="200"/>
      <c r="AL89" s="200"/>
      <c r="AM89" s="200"/>
      <c r="AN89" s="198"/>
      <c r="AO89" s="201"/>
      <c r="AP89" s="198"/>
      <c r="AQ89" s="200"/>
      <c r="AR89" s="199"/>
      <c r="AS89" s="198"/>
      <c r="AV89" s="164"/>
      <c r="BA89" s="202"/>
      <c r="BC89" s="203"/>
      <c r="BD89" s="194"/>
      <c r="BE89" s="194"/>
    </row>
    <row r="90">
      <c r="A90" s="6"/>
      <c r="B90" s="6"/>
      <c r="C90" s="196"/>
      <c r="E90" s="197"/>
      <c r="F90" s="196"/>
      <c r="G90" s="198"/>
      <c r="H90" s="198"/>
      <c r="I90" s="198"/>
      <c r="J90" s="198"/>
      <c r="K90" s="198"/>
      <c r="L90" s="198"/>
      <c r="M90" s="199"/>
      <c r="N90" s="199"/>
      <c r="O90" s="199"/>
      <c r="P90" s="200"/>
      <c r="Q90" s="201"/>
      <c r="R90" s="200"/>
      <c r="S90" s="200"/>
      <c r="T90" s="200"/>
      <c r="U90" s="200"/>
      <c r="V90" s="201"/>
      <c r="W90" s="201"/>
      <c r="X90" s="200"/>
      <c r="Y90" s="200"/>
      <c r="Z90" s="200"/>
      <c r="AA90" s="200"/>
      <c r="AB90" s="200"/>
      <c r="AC90" s="200"/>
      <c r="AD90" s="200"/>
      <c r="AE90" s="200"/>
      <c r="AF90" s="200"/>
      <c r="AG90" s="200"/>
      <c r="AH90" s="200"/>
      <c r="AI90" s="200"/>
      <c r="AJ90" s="200"/>
      <c r="AK90" s="200"/>
      <c r="AL90" s="200"/>
      <c r="AM90" s="200"/>
      <c r="AN90" s="198"/>
      <c r="AO90" s="201"/>
      <c r="AP90" s="198"/>
      <c r="AQ90" s="200"/>
      <c r="AR90" s="199"/>
      <c r="AS90" s="198"/>
      <c r="AV90" s="164"/>
      <c r="BA90" s="202"/>
      <c r="BC90" s="203"/>
      <c r="BD90" s="194"/>
      <c r="BE90" s="194"/>
    </row>
    <row r="91">
      <c r="A91" s="6"/>
      <c r="B91" s="6"/>
      <c r="C91" s="196"/>
      <c r="E91" s="197"/>
      <c r="F91" s="196"/>
      <c r="G91" s="198"/>
      <c r="H91" s="198"/>
      <c r="I91" s="198"/>
      <c r="J91" s="198"/>
      <c r="K91" s="198"/>
      <c r="L91" s="198"/>
      <c r="M91" s="199"/>
      <c r="N91" s="199"/>
      <c r="O91" s="199"/>
      <c r="P91" s="200"/>
      <c r="Q91" s="201"/>
      <c r="R91" s="200"/>
      <c r="S91" s="200"/>
      <c r="T91" s="200"/>
      <c r="U91" s="200"/>
      <c r="V91" s="201"/>
      <c r="W91" s="201"/>
      <c r="X91" s="200"/>
      <c r="Y91" s="200"/>
      <c r="Z91" s="200"/>
      <c r="AA91" s="200"/>
      <c r="AB91" s="200"/>
      <c r="AC91" s="200"/>
      <c r="AD91" s="200"/>
      <c r="AE91" s="200"/>
      <c r="AF91" s="200"/>
      <c r="AG91" s="200"/>
      <c r="AH91" s="200"/>
      <c r="AI91" s="200"/>
      <c r="AJ91" s="200"/>
      <c r="AK91" s="200"/>
      <c r="AL91" s="200"/>
      <c r="AM91" s="200"/>
      <c r="AN91" s="198"/>
      <c r="AO91" s="201"/>
      <c r="AP91" s="198"/>
      <c r="AQ91" s="200"/>
      <c r="AR91" s="199"/>
      <c r="AS91" s="198"/>
      <c r="AV91" s="164"/>
      <c r="BA91" s="202"/>
      <c r="BC91" s="203"/>
      <c r="BD91" s="194"/>
      <c r="BE91" s="194"/>
    </row>
    <row r="92">
      <c r="A92" s="6"/>
      <c r="B92" s="6"/>
      <c r="C92" s="196"/>
      <c r="E92" s="197"/>
      <c r="F92" s="196"/>
      <c r="G92" s="198"/>
      <c r="H92" s="198"/>
      <c r="I92" s="198"/>
      <c r="J92" s="198"/>
      <c r="K92" s="198"/>
      <c r="L92" s="198"/>
      <c r="M92" s="199"/>
      <c r="N92" s="199"/>
      <c r="O92" s="199"/>
      <c r="P92" s="200"/>
      <c r="Q92" s="201"/>
      <c r="R92" s="200"/>
      <c r="S92" s="200"/>
      <c r="T92" s="200"/>
      <c r="U92" s="200"/>
      <c r="V92" s="201"/>
      <c r="W92" s="201"/>
      <c r="X92" s="200"/>
      <c r="Y92" s="200"/>
      <c r="Z92" s="200"/>
      <c r="AA92" s="200"/>
      <c r="AB92" s="200"/>
      <c r="AC92" s="200"/>
      <c r="AD92" s="200"/>
      <c r="AE92" s="200"/>
      <c r="AF92" s="200"/>
      <c r="AG92" s="200"/>
      <c r="AH92" s="200"/>
      <c r="AI92" s="200"/>
      <c r="AJ92" s="200"/>
      <c r="AK92" s="200"/>
      <c r="AL92" s="200"/>
      <c r="AM92" s="200"/>
      <c r="AN92" s="198"/>
      <c r="AO92" s="201"/>
      <c r="AP92" s="198"/>
      <c r="AQ92" s="200"/>
      <c r="AR92" s="199"/>
      <c r="AS92" s="198"/>
      <c r="AV92" s="164"/>
      <c r="BA92" s="202"/>
      <c r="BC92" s="203"/>
      <c r="BD92" s="194"/>
      <c r="BE92" s="194"/>
    </row>
    <row r="93">
      <c r="A93" s="6"/>
      <c r="B93" s="6"/>
      <c r="C93" s="196"/>
      <c r="E93" s="197"/>
      <c r="F93" s="196"/>
      <c r="G93" s="198"/>
      <c r="H93" s="198"/>
      <c r="I93" s="198"/>
      <c r="J93" s="198"/>
      <c r="K93" s="198"/>
      <c r="L93" s="198"/>
      <c r="M93" s="199"/>
      <c r="N93" s="199"/>
      <c r="O93" s="199"/>
      <c r="P93" s="200"/>
      <c r="Q93" s="201"/>
      <c r="R93" s="200"/>
      <c r="S93" s="200"/>
      <c r="T93" s="200"/>
      <c r="U93" s="200"/>
      <c r="V93" s="201"/>
      <c r="W93" s="201"/>
      <c r="X93" s="200"/>
      <c r="Y93" s="200"/>
      <c r="Z93" s="200"/>
      <c r="AA93" s="200"/>
      <c r="AB93" s="200"/>
      <c r="AC93" s="200"/>
      <c r="AD93" s="200"/>
      <c r="AE93" s="200"/>
      <c r="AF93" s="200"/>
      <c r="AG93" s="200"/>
      <c r="AH93" s="200"/>
      <c r="AI93" s="200"/>
      <c r="AJ93" s="200"/>
      <c r="AK93" s="200"/>
      <c r="AL93" s="200"/>
      <c r="AM93" s="200"/>
      <c r="AN93" s="198"/>
      <c r="AO93" s="201"/>
      <c r="AP93" s="198"/>
      <c r="AQ93" s="200"/>
      <c r="AR93" s="199"/>
      <c r="AS93" s="198"/>
      <c r="AV93" s="164"/>
      <c r="BA93" s="202"/>
      <c r="BC93" s="203"/>
      <c r="BD93" s="194"/>
      <c r="BE93" s="194"/>
    </row>
    <row r="94">
      <c r="A94" s="6"/>
      <c r="B94" s="6"/>
      <c r="C94" s="196"/>
      <c r="E94" s="197"/>
      <c r="F94" s="196"/>
      <c r="G94" s="198"/>
      <c r="H94" s="198"/>
      <c r="I94" s="198"/>
      <c r="J94" s="198"/>
      <c r="K94" s="198"/>
      <c r="L94" s="198"/>
      <c r="M94" s="199"/>
      <c r="N94" s="199"/>
      <c r="O94" s="199"/>
      <c r="P94" s="200"/>
      <c r="Q94" s="201"/>
      <c r="R94" s="200"/>
      <c r="S94" s="200"/>
      <c r="T94" s="200"/>
      <c r="U94" s="200"/>
      <c r="V94" s="201"/>
      <c r="W94" s="201"/>
      <c r="X94" s="200"/>
      <c r="Y94" s="200"/>
      <c r="Z94" s="200"/>
      <c r="AA94" s="200"/>
      <c r="AB94" s="200"/>
      <c r="AC94" s="200"/>
      <c r="AD94" s="200"/>
      <c r="AE94" s="200"/>
      <c r="AF94" s="200"/>
      <c r="AG94" s="200"/>
      <c r="AH94" s="200"/>
      <c r="AI94" s="200"/>
      <c r="AJ94" s="200"/>
      <c r="AK94" s="200"/>
      <c r="AL94" s="200"/>
      <c r="AM94" s="200"/>
      <c r="AN94" s="198"/>
      <c r="AO94" s="201"/>
      <c r="AP94" s="198"/>
      <c r="AQ94" s="200"/>
      <c r="AR94" s="199"/>
      <c r="AS94" s="198"/>
      <c r="AV94" s="164"/>
      <c r="BA94" s="202"/>
      <c r="BC94" s="203"/>
      <c r="BD94" s="194"/>
      <c r="BE94" s="194"/>
    </row>
    <row r="95">
      <c r="A95" s="6"/>
      <c r="B95" s="6"/>
      <c r="C95" s="196"/>
      <c r="E95" s="197"/>
      <c r="F95" s="196"/>
      <c r="G95" s="198"/>
      <c r="H95" s="198"/>
      <c r="I95" s="198"/>
      <c r="J95" s="198"/>
      <c r="K95" s="198"/>
      <c r="L95" s="198"/>
      <c r="M95" s="199"/>
      <c r="N95" s="199"/>
      <c r="O95" s="199"/>
      <c r="P95" s="200"/>
      <c r="Q95" s="201"/>
      <c r="R95" s="200"/>
      <c r="S95" s="200"/>
      <c r="T95" s="200"/>
      <c r="U95" s="200"/>
      <c r="V95" s="201"/>
      <c r="W95" s="201"/>
      <c r="X95" s="200"/>
      <c r="Y95" s="200"/>
      <c r="Z95" s="200"/>
      <c r="AA95" s="200"/>
      <c r="AB95" s="200"/>
      <c r="AC95" s="200"/>
      <c r="AD95" s="200"/>
      <c r="AE95" s="200"/>
      <c r="AF95" s="200"/>
      <c r="AG95" s="200"/>
      <c r="AH95" s="200"/>
      <c r="AI95" s="200"/>
      <c r="AJ95" s="200"/>
      <c r="AK95" s="200"/>
      <c r="AL95" s="200"/>
      <c r="AM95" s="200"/>
      <c r="AN95" s="198"/>
      <c r="AO95" s="201"/>
      <c r="AP95" s="198"/>
      <c r="AQ95" s="200"/>
      <c r="AR95" s="199"/>
      <c r="AS95" s="198"/>
      <c r="AV95" s="164"/>
      <c r="BA95" s="202"/>
      <c r="BC95" s="203"/>
      <c r="BD95" s="194"/>
      <c r="BE95" s="194"/>
    </row>
    <row r="96">
      <c r="A96" s="6"/>
      <c r="B96" s="6"/>
      <c r="C96" s="196"/>
      <c r="E96" s="197"/>
      <c r="F96" s="196"/>
      <c r="G96" s="198"/>
      <c r="H96" s="198"/>
      <c r="I96" s="198"/>
      <c r="J96" s="198"/>
      <c r="K96" s="198"/>
      <c r="L96" s="198"/>
      <c r="M96" s="199"/>
      <c r="N96" s="199"/>
      <c r="O96" s="199"/>
      <c r="P96" s="200"/>
      <c r="Q96" s="201"/>
      <c r="R96" s="200"/>
      <c r="S96" s="200"/>
      <c r="T96" s="200"/>
      <c r="U96" s="200"/>
      <c r="V96" s="201"/>
      <c r="W96" s="201"/>
      <c r="X96" s="200"/>
      <c r="Y96" s="200"/>
      <c r="Z96" s="200"/>
      <c r="AA96" s="200"/>
      <c r="AB96" s="200"/>
      <c r="AC96" s="200"/>
      <c r="AD96" s="200"/>
      <c r="AE96" s="200"/>
      <c r="AF96" s="200"/>
      <c r="AG96" s="200"/>
      <c r="AH96" s="200"/>
      <c r="AI96" s="200"/>
      <c r="AJ96" s="200"/>
      <c r="AK96" s="200"/>
      <c r="AL96" s="200"/>
      <c r="AM96" s="200"/>
      <c r="AN96" s="198"/>
      <c r="AO96" s="201"/>
      <c r="AP96" s="198"/>
      <c r="AQ96" s="200"/>
      <c r="AR96" s="199"/>
      <c r="AS96" s="198"/>
      <c r="AV96" s="164"/>
      <c r="BA96" s="202"/>
      <c r="BC96" s="203"/>
      <c r="BD96" s="194"/>
      <c r="BE96" s="194"/>
    </row>
    <row r="97">
      <c r="A97" s="6"/>
      <c r="B97" s="6"/>
      <c r="C97" s="196"/>
      <c r="E97" s="197"/>
      <c r="F97" s="196"/>
      <c r="G97" s="198"/>
      <c r="H97" s="198"/>
      <c r="I97" s="198"/>
      <c r="J97" s="198"/>
      <c r="K97" s="198"/>
      <c r="L97" s="198"/>
      <c r="M97" s="199"/>
      <c r="N97" s="199"/>
      <c r="O97" s="199"/>
      <c r="P97" s="200"/>
      <c r="Q97" s="201"/>
      <c r="R97" s="200"/>
      <c r="S97" s="200"/>
      <c r="T97" s="200"/>
      <c r="U97" s="200"/>
      <c r="V97" s="201"/>
      <c r="W97" s="201"/>
      <c r="X97" s="200"/>
      <c r="Y97" s="200"/>
      <c r="Z97" s="200"/>
      <c r="AA97" s="200"/>
      <c r="AB97" s="200"/>
      <c r="AC97" s="200"/>
      <c r="AD97" s="200"/>
      <c r="AE97" s="200"/>
      <c r="AF97" s="200"/>
      <c r="AG97" s="200"/>
      <c r="AH97" s="200"/>
      <c r="AI97" s="200"/>
      <c r="AJ97" s="200"/>
      <c r="AK97" s="200"/>
      <c r="AL97" s="200"/>
      <c r="AM97" s="200"/>
      <c r="AN97" s="198"/>
      <c r="AO97" s="201"/>
      <c r="AP97" s="198"/>
      <c r="AQ97" s="200"/>
      <c r="AR97" s="199"/>
      <c r="AS97" s="198"/>
      <c r="AV97" s="164"/>
      <c r="BA97" s="202"/>
      <c r="BC97" s="203"/>
      <c r="BD97" s="194"/>
      <c r="BE97" s="194"/>
    </row>
    <row r="98">
      <c r="A98" s="6"/>
      <c r="B98" s="6"/>
      <c r="C98" s="196"/>
      <c r="E98" s="197"/>
      <c r="F98" s="196"/>
      <c r="G98" s="198"/>
      <c r="H98" s="198"/>
      <c r="I98" s="198"/>
      <c r="J98" s="198"/>
      <c r="K98" s="198"/>
      <c r="L98" s="198"/>
      <c r="M98" s="199"/>
      <c r="N98" s="199"/>
      <c r="O98" s="199"/>
      <c r="P98" s="200"/>
      <c r="Q98" s="201"/>
      <c r="R98" s="200"/>
      <c r="S98" s="200"/>
      <c r="T98" s="200"/>
      <c r="U98" s="200"/>
      <c r="V98" s="201"/>
      <c r="W98" s="201"/>
      <c r="X98" s="200"/>
      <c r="Y98" s="200"/>
      <c r="Z98" s="200"/>
      <c r="AA98" s="200"/>
      <c r="AB98" s="200"/>
      <c r="AC98" s="200"/>
      <c r="AD98" s="200"/>
      <c r="AE98" s="200"/>
      <c r="AF98" s="200"/>
      <c r="AG98" s="200"/>
      <c r="AH98" s="200"/>
      <c r="AI98" s="200"/>
      <c r="AJ98" s="200"/>
      <c r="AK98" s="200"/>
      <c r="AL98" s="200"/>
      <c r="AM98" s="200"/>
      <c r="AN98" s="198"/>
      <c r="AO98" s="201"/>
      <c r="AP98" s="198"/>
      <c r="AQ98" s="200"/>
      <c r="AR98" s="199"/>
      <c r="AS98" s="198"/>
      <c r="AV98" s="164"/>
      <c r="BA98" s="202"/>
      <c r="BC98" s="203"/>
      <c r="BD98" s="194"/>
      <c r="BE98" s="194"/>
    </row>
    <row r="99">
      <c r="A99" s="6"/>
      <c r="B99" s="6"/>
      <c r="C99" s="196"/>
      <c r="E99" s="197"/>
      <c r="F99" s="196"/>
      <c r="G99" s="198"/>
      <c r="H99" s="198"/>
      <c r="I99" s="198"/>
      <c r="J99" s="198"/>
      <c r="K99" s="198"/>
      <c r="L99" s="198"/>
      <c r="M99" s="199"/>
      <c r="N99" s="199"/>
      <c r="O99" s="199"/>
      <c r="P99" s="200"/>
      <c r="Q99" s="201"/>
      <c r="R99" s="200"/>
      <c r="S99" s="200"/>
      <c r="T99" s="200"/>
      <c r="U99" s="200"/>
      <c r="V99" s="201"/>
      <c r="W99" s="201"/>
      <c r="X99" s="200"/>
      <c r="Y99" s="200"/>
      <c r="Z99" s="200"/>
      <c r="AA99" s="200"/>
      <c r="AB99" s="200"/>
      <c r="AC99" s="200"/>
      <c r="AD99" s="200"/>
      <c r="AE99" s="200"/>
      <c r="AF99" s="200"/>
      <c r="AG99" s="200"/>
      <c r="AH99" s="200"/>
      <c r="AI99" s="200"/>
      <c r="AJ99" s="200"/>
      <c r="AK99" s="200"/>
      <c r="AL99" s="200"/>
      <c r="AM99" s="200"/>
      <c r="AN99" s="198"/>
      <c r="AO99" s="201"/>
      <c r="AP99" s="198"/>
      <c r="AQ99" s="200"/>
      <c r="AR99" s="199"/>
      <c r="AS99" s="198"/>
      <c r="AV99" s="164"/>
      <c r="BA99" s="202"/>
      <c r="BC99" s="203"/>
      <c r="BD99" s="194"/>
      <c r="BE99" s="194"/>
    </row>
    <row r="100">
      <c r="A100" s="6"/>
      <c r="B100" s="6"/>
      <c r="C100" s="196"/>
      <c r="E100" s="197"/>
      <c r="F100" s="196"/>
      <c r="G100" s="198"/>
      <c r="H100" s="198"/>
      <c r="I100" s="198"/>
      <c r="J100" s="198"/>
      <c r="K100" s="198"/>
      <c r="L100" s="198"/>
      <c r="M100" s="199"/>
      <c r="N100" s="199"/>
      <c r="O100" s="199"/>
      <c r="P100" s="200"/>
      <c r="Q100" s="201"/>
      <c r="R100" s="200"/>
      <c r="S100" s="200"/>
      <c r="T100" s="200"/>
      <c r="U100" s="200"/>
      <c r="V100" s="201"/>
      <c r="W100" s="201"/>
      <c r="X100" s="200"/>
      <c r="Y100" s="200"/>
      <c r="Z100" s="200"/>
      <c r="AA100" s="200"/>
      <c r="AB100" s="200"/>
      <c r="AC100" s="200"/>
      <c r="AD100" s="200"/>
      <c r="AE100" s="200"/>
      <c r="AF100" s="200"/>
      <c r="AG100" s="200"/>
      <c r="AH100" s="200"/>
      <c r="AI100" s="200"/>
      <c r="AJ100" s="200"/>
      <c r="AK100" s="200"/>
      <c r="AL100" s="200"/>
      <c r="AM100" s="200"/>
      <c r="AN100" s="198"/>
      <c r="AO100" s="201"/>
      <c r="AP100" s="198"/>
      <c r="AQ100" s="200"/>
      <c r="AR100" s="199"/>
      <c r="AS100" s="198"/>
      <c r="AV100" s="164"/>
      <c r="BA100" s="202"/>
      <c r="BC100" s="203"/>
      <c r="BD100" s="194"/>
      <c r="BE100" s="194"/>
    </row>
    <row r="101">
      <c r="A101" s="6"/>
      <c r="B101" s="6"/>
      <c r="C101" s="196"/>
      <c r="E101" s="197"/>
      <c r="F101" s="196"/>
      <c r="G101" s="198"/>
      <c r="H101" s="198"/>
      <c r="I101" s="198"/>
      <c r="J101" s="198"/>
      <c r="K101" s="198"/>
      <c r="L101" s="198"/>
      <c r="M101" s="199"/>
      <c r="N101" s="199"/>
      <c r="O101" s="199"/>
      <c r="P101" s="200"/>
      <c r="Q101" s="201"/>
      <c r="R101" s="200"/>
      <c r="S101" s="200"/>
      <c r="T101" s="200"/>
      <c r="U101" s="200"/>
      <c r="V101" s="201"/>
      <c r="W101" s="201"/>
      <c r="X101" s="200"/>
      <c r="Y101" s="200"/>
      <c r="Z101" s="200"/>
      <c r="AA101" s="200"/>
      <c r="AB101" s="200"/>
      <c r="AC101" s="200"/>
      <c r="AD101" s="200"/>
      <c r="AE101" s="200"/>
      <c r="AF101" s="200"/>
      <c r="AG101" s="200"/>
      <c r="AH101" s="200"/>
      <c r="AI101" s="200"/>
      <c r="AJ101" s="200"/>
      <c r="AK101" s="200"/>
      <c r="AL101" s="200"/>
      <c r="AM101" s="200"/>
      <c r="AN101" s="198"/>
      <c r="AO101" s="201"/>
      <c r="AP101" s="198"/>
      <c r="AQ101" s="200"/>
      <c r="AR101" s="199"/>
      <c r="AS101" s="198"/>
      <c r="AV101" s="164"/>
      <c r="BA101" s="202"/>
      <c r="BC101" s="203"/>
      <c r="BD101" s="194"/>
      <c r="BE101" s="194"/>
    </row>
    <row r="102">
      <c r="A102" s="6"/>
      <c r="B102" s="6"/>
      <c r="C102" s="196"/>
      <c r="E102" s="197"/>
      <c r="F102" s="196"/>
      <c r="G102" s="198"/>
      <c r="H102" s="198"/>
      <c r="I102" s="198"/>
      <c r="J102" s="198"/>
      <c r="K102" s="198"/>
      <c r="L102" s="198"/>
      <c r="M102" s="199"/>
      <c r="N102" s="199"/>
      <c r="O102" s="199"/>
      <c r="P102" s="200"/>
      <c r="Q102" s="201"/>
      <c r="R102" s="200"/>
      <c r="S102" s="200"/>
      <c r="T102" s="200"/>
      <c r="U102" s="200"/>
      <c r="V102" s="201"/>
      <c r="W102" s="201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198"/>
      <c r="AO102" s="201"/>
      <c r="AP102" s="198"/>
      <c r="AQ102" s="200"/>
      <c r="AR102" s="199"/>
      <c r="AS102" s="198"/>
      <c r="AV102" s="164"/>
      <c r="BA102" s="202"/>
      <c r="BC102" s="203"/>
      <c r="BD102" s="194"/>
      <c r="BE102" s="194"/>
    </row>
    <row r="103">
      <c r="A103" s="6"/>
      <c r="B103" s="6"/>
      <c r="C103" s="196"/>
      <c r="E103" s="197"/>
      <c r="F103" s="196"/>
      <c r="G103" s="198"/>
      <c r="H103" s="198"/>
      <c r="I103" s="198"/>
      <c r="J103" s="198"/>
      <c r="K103" s="198"/>
      <c r="L103" s="198"/>
      <c r="M103" s="199"/>
      <c r="N103" s="199"/>
      <c r="O103" s="199"/>
      <c r="P103" s="200"/>
      <c r="Q103" s="201"/>
      <c r="R103" s="200"/>
      <c r="S103" s="200"/>
      <c r="T103" s="200"/>
      <c r="U103" s="200"/>
      <c r="V103" s="201"/>
      <c r="W103" s="201"/>
      <c r="X103" s="200"/>
      <c r="Y103" s="200"/>
      <c r="Z103" s="200"/>
      <c r="AA103" s="200"/>
      <c r="AB103" s="200"/>
      <c r="AC103" s="200"/>
      <c r="AD103" s="200"/>
      <c r="AE103" s="200"/>
      <c r="AF103" s="200"/>
      <c r="AG103" s="200"/>
      <c r="AH103" s="200"/>
      <c r="AI103" s="200"/>
      <c r="AJ103" s="200"/>
      <c r="AK103" s="200"/>
      <c r="AL103" s="200"/>
      <c r="AM103" s="200"/>
      <c r="AN103" s="198"/>
      <c r="AO103" s="201"/>
      <c r="AP103" s="198"/>
      <c r="AQ103" s="200"/>
      <c r="AR103" s="199"/>
      <c r="AS103" s="198"/>
      <c r="AV103" s="164"/>
      <c r="BA103" s="202"/>
      <c r="BC103" s="203"/>
      <c r="BD103" s="194"/>
      <c r="BE103" s="194"/>
    </row>
    <row r="104">
      <c r="A104" s="6"/>
      <c r="B104" s="6"/>
      <c r="C104" s="196"/>
      <c r="E104" s="197"/>
      <c r="F104" s="196"/>
      <c r="G104" s="198"/>
      <c r="H104" s="198"/>
      <c r="I104" s="198"/>
      <c r="J104" s="198"/>
      <c r="K104" s="198"/>
      <c r="L104" s="198"/>
      <c r="M104" s="199"/>
      <c r="N104" s="199"/>
      <c r="O104" s="199"/>
      <c r="P104" s="200"/>
      <c r="Q104" s="201"/>
      <c r="R104" s="200"/>
      <c r="S104" s="200"/>
      <c r="T104" s="200"/>
      <c r="U104" s="200"/>
      <c r="V104" s="201"/>
      <c r="W104" s="201"/>
      <c r="X104" s="200"/>
      <c r="Y104" s="200"/>
      <c r="Z104" s="200"/>
      <c r="AA104" s="200"/>
      <c r="AB104" s="200"/>
      <c r="AC104" s="200"/>
      <c r="AD104" s="200"/>
      <c r="AE104" s="200"/>
      <c r="AF104" s="200"/>
      <c r="AG104" s="200"/>
      <c r="AH104" s="200"/>
      <c r="AI104" s="200"/>
      <c r="AJ104" s="200"/>
      <c r="AK104" s="200"/>
      <c r="AL104" s="200"/>
      <c r="AM104" s="200"/>
      <c r="AN104" s="198"/>
      <c r="AO104" s="201"/>
      <c r="AP104" s="198"/>
      <c r="AQ104" s="200"/>
      <c r="AR104" s="199"/>
      <c r="AS104" s="198"/>
      <c r="AV104" s="164"/>
      <c r="BA104" s="202"/>
      <c r="BC104" s="203"/>
      <c r="BD104" s="194"/>
      <c r="BE104" s="194"/>
    </row>
    <row r="105">
      <c r="A105" s="6"/>
      <c r="B105" s="6"/>
      <c r="C105" s="196"/>
      <c r="E105" s="197"/>
      <c r="F105" s="196"/>
      <c r="G105" s="198"/>
      <c r="H105" s="198"/>
      <c r="I105" s="198"/>
      <c r="J105" s="198"/>
      <c r="K105" s="198"/>
      <c r="L105" s="198"/>
      <c r="M105" s="199"/>
      <c r="N105" s="199"/>
      <c r="O105" s="199"/>
      <c r="P105" s="200"/>
      <c r="Q105" s="201"/>
      <c r="R105" s="200"/>
      <c r="S105" s="200"/>
      <c r="T105" s="200"/>
      <c r="U105" s="200"/>
      <c r="V105" s="201"/>
      <c r="W105" s="201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198"/>
      <c r="AO105" s="201"/>
      <c r="AP105" s="198"/>
      <c r="AQ105" s="200"/>
      <c r="AR105" s="199"/>
      <c r="AS105" s="198"/>
      <c r="AV105" s="164"/>
      <c r="BA105" s="202"/>
      <c r="BC105" s="203"/>
      <c r="BD105" s="194"/>
      <c r="BE105" s="194"/>
    </row>
    <row r="106">
      <c r="A106" s="6"/>
      <c r="B106" s="6"/>
      <c r="C106" s="196"/>
      <c r="E106" s="197"/>
      <c r="F106" s="196"/>
      <c r="G106" s="198"/>
      <c r="H106" s="198"/>
      <c r="I106" s="198"/>
      <c r="J106" s="198"/>
      <c r="K106" s="198"/>
      <c r="L106" s="198"/>
      <c r="M106" s="199"/>
      <c r="N106" s="199"/>
      <c r="O106" s="199"/>
      <c r="P106" s="200"/>
      <c r="Q106" s="201"/>
      <c r="R106" s="200"/>
      <c r="S106" s="200"/>
      <c r="T106" s="200"/>
      <c r="U106" s="200"/>
      <c r="V106" s="201"/>
      <c r="W106" s="201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198"/>
      <c r="AO106" s="201"/>
      <c r="AP106" s="198"/>
      <c r="AQ106" s="200"/>
      <c r="AR106" s="199"/>
      <c r="AS106" s="198"/>
      <c r="AV106" s="164"/>
      <c r="BA106" s="202"/>
      <c r="BC106" s="203"/>
      <c r="BD106" s="194"/>
      <c r="BE106" s="194"/>
    </row>
    <row r="107">
      <c r="A107" s="6"/>
      <c r="B107" s="6"/>
      <c r="C107" s="196"/>
      <c r="E107" s="197"/>
      <c r="F107" s="196"/>
      <c r="G107" s="198"/>
      <c r="H107" s="198"/>
      <c r="I107" s="198"/>
      <c r="J107" s="198"/>
      <c r="K107" s="198"/>
      <c r="L107" s="198"/>
      <c r="M107" s="199"/>
      <c r="N107" s="199"/>
      <c r="O107" s="199"/>
      <c r="P107" s="200"/>
      <c r="Q107" s="201"/>
      <c r="R107" s="200"/>
      <c r="S107" s="200"/>
      <c r="T107" s="200"/>
      <c r="U107" s="200"/>
      <c r="V107" s="201"/>
      <c r="W107" s="201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198"/>
      <c r="AO107" s="201"/>
      <c r="AP107" s="198"/>
      <c r="AQ107" s="200"/>
      <c r="AR107" s="199"/>
      <c r="AS107" s="198"/>
      <c r="AV107" s="164"/>
      <c r="BA107" s="202"/>
      <c r="BC107" s="203"/>
      <c r="BD107" s="194"/>
      <c r="BE107" s="194"/>
    </row>
    <row r="108">
      <c r="A108" s="6"/>
      <c r="B108" s="6"/>
      <c r="C108" s="196"/>
      <c r="E108" s="197"/>
      <c r="F108" s="196"/>
      <c r="G108" s="198"/>
      <c r="H108" s="198"/>
      <c r="I108" s="198"/>
      <c r="J108" s="198"/>
      <c r="K108" s="198"/>
      <c r="L108" s="198"/>
      <c r="M108" s="199"/>
      <c r="N108" s="199"/>
      <c r="O108" s="199"/>
      <c r="P108" s="200"/>
      <c r="Q108" s="201"/>
      <c r="R108" s="200"/>
      <c r="S108" s="200"/>
      <c r="T108" s="200"/>
      <c r="U108" s="200"/>
      <c r="V108" s="201"/>
      <c r="W108" s="201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198"/>
      <c r="AO108" s="201"/>
      <c r="AP108" s="198"/>
      <c r="AQ108" s="200"/>
      <c r="AR108" s="199"/>
      <c r="AS108" s="198"/>
      <c r="AV108" s="164"/>
      <c r="BA108" s="202"/>
      <c r="BC108" s="203"/>
      <c r="BD108" s="194"/>
      <c r="BE108" s="194"/>
    </row>
    <row r="109">
      <c r="A109" s="6"/>
      <c r="B109" s="6"/>
      <c r="C109" s="196"/>
      <c r="E109" s="197"/>
      <c r="F109" s="196"/>
      <c r="G109" s="198"/>
      <c r="H109" s="198"/>
      <c r="I109" s="198"/>
      <c r="J109" s="198"/>
      <c r="K109" s="198"/>
      <c r="L109" s="198"/>
      <c r="M109" s="199"/>
      <c r="N109" s="199"/>
      <c r="O109" s="199"/>
      <c r="P109" s="200"/>
      <c r="Q109" s="201"/>
      <c r="R109" s="200"/>
      <c r="S109" s="200"/>
      <c r="T109" s="200"/>
      <c r="U109" s="200"/>
      <c r="V109" s="201"/>
      <c r="W109" s="201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198"/>
      <c r="AO109" s="201"/>
      <c r="AP109" s="198"/>
      <c r="AQ109" s="200"/>
      <c r="AR109" s="199"/>
      <c r="AS109" s="198"/>
      <c r="AV109" s="164"/>
      <c r="BA109" s="202"/>
      <c r="BC109" s="203"/>
      <c r="BD109" s="194"/>
      <c r="BE109" s="194"/>
    </row>
    <row r="110">
      <c r="A110" s="6"/>
      <c r="B110" s="6"/>
      <c r="C110" s="196"/>
      <c r="E110" s="197"/>
      <c r="F110" s="196"/>
      <c r="G110" s="198"/>
      <c r="H110" s="198"/>
      <c r="I110" s="198"/>
      <c r="J110" s="198"/>
      <c r="K110" s="198"/>
      <c r="L110" s="198"/>
      <c r="M110" s="199"/>
      <c r="N110" s="199"/>
      <c r="O110" s="199"/>
      <c r="P110" s="200"/>
      <c r="Q110" s="201"/>
      <c r="R110" s="200"/>
      <c r="S110" s="200"/>
      <c r="T110" s="200"/>
      <c r="U110" s="200"/>
      <c r="V110" s="201"/>
      <c r="W110" s="201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198"/>
      <c r="AO110" s="201"/>
      <c r="AP110" s="198"/>
      <c r="AQ110" s="200"/>
      <c r="AR110" s="199"/>
      <c r="AS110" s="198"/>
      <c r="AV110" s="164"/>
      <c r="BA110" s="202"/>
      <c r="BC110" s="203"/>
      <c r="BD110" s="194"/>
      <c r="BE110" s="194"/>
    </row>
    <row r="111">
      <c r="A111" s="6"/>
      <c r="B111" s="6"/>
      <c r="C111" s="196"/>
      <c r="E111" s="197"/>
      <c r="F111" s="196"/>
      <c r="G111" s="198"/>
      <c r="H111" s="198"/>
      <c r="I111" s="198"/>
      <c r="J111" s="198"/>
      <c r="K111" s="198"/>
      <c r="L111" s="198"/>
      <c r="M111" s="199"/>
      <c r="N111" s="199"/>
      <c r="O111" s="199"/>
      <c r="P111" s="200"/>
      <c r="Q111" s="201"/>
      <c r="R111" s="200"/>
      <c r="S111" s="200"/>
      <c r="T111" s="200"/>
      <c r="U111" s="200"/>
      <c r="V111" s="201"/>
      <c r="W111" s="201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198"/>
      <c r="AO111" s="201"/>
      <c r="AP111" s="198"/>
      <c r="AQ111" s="200"/>
      <c r="AR111" s="199"/>
      <c r="AS111" s="198"/>
      <c r="AV111" s="164"/>
      <c r="BA111" s="202"/>
      <c r="BC111" s="203"/>
      <c r="BD111" s="194"/>
      <c r="BE111" s="194"/>
    </row>
    <row r="112">
      <c r="A112" s="6"/>
      <c r="B112" s="6"/>
      <c r="C112" s="196"/>
      <c r="E112" s="197"/>
      <c r="F112" s="196"/>
      <c r="G112" s="198"/>
      <c r="H112" s="198"/>
      <c r="I112" s="198"/>
      <c r="J112" s="198"/>
      <c r="K112" s="198"/>
      <c r="L112" s="198"/>
      <c r="M112" s="199"/>
      <c r="N112" s="199"/>
      <c r="O112" s="199"/>
      <c r="P112" s="200"/>
      <c r="Q112" s="201"/>
      <c r="R112" s="200"/>
      <c r="S112" s="200"/>
      <c r="T112" s="200"/>
      <c r="U112" s="200"/>
      <c r="V112" s="201"/>
      <c r="W112" s="201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198"/>
      <c r="AO112" s="201"/>
      <c r="AP112" s="198"/>
      <c r="AQ112" s="200"/>
      <c r="AR112" s="199"/>
      <c r="AS112" s="198"/>
      <c r="AV112" s="164"/>
      <c r="BA112" s="202"/>
      <c r="BC112" s="203"/>
      <c r="BD112" s="194"/>
      <c r="BE112" s="194"/>
    </row>
    <row r="113">
      <c r="A113" s="6"/>
      <c r="B113" s="6"/>
      <c r="C113" s="196"/>
      <c r="E113" s="197"/>
      <c r="F113" s="196"/>
      <c r="G113" s="198"/>
      <c r="H113" s="198"/>
      <c r="I113" s="198"/>
      <c r="J113" s="198"/>
      <c r="K113" s="198"/>
      <c r="L113" s="198"/>
      <c r="M113" s="199"/>
      <c r="N113" s="199"/>
      <c r="O113" s="199"/>
      <c r="P113" s="200"/>
      <c r="Q113" s="201"/>
      <c r="R113" s="200"/>
      <c r="S113" s="200"/>
      <c r="T113" s="200"/>
      <c r="U113" s="200"/>
      <c r="V113" s="201"/>
      <c r="W113" s="201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198"/>
      <c r="AO113" s="201"/>
      <c r="AP113" s="198"/>
      <c r="AQ113" s="200"/>
      <c r="AR113" s="199"/>
      <c r="AS113" s="198"/>
      <c r="AV113" s="164"/>
      <c r="BA113" s="202"/>
      <c r="BC113" s="203"/>
      <c r="BD113" s="194"/>
      <c r="BE113" s="194"/>
    </row>
    <row r="114">
      <c r="A114" s="6"/>
      <c r="B114" s="6"/>
      <c r="C114" s="196"/>
      <c r="E114" s="197"/>
      <c r="F114" s="196"/>
      <c r="G114" s="198"/>
      <c r="H114" s="198"/>
      <c r="I114" s="198"/>
      <c r="J114" s="198"/>
      <c r="K114" s="198"/>
      <c r="L114" s="198"/>
      <c r="M114" s="199"/>
      <c r="N114" s="199"/>
      <c r="O114" s="199"/>
      <c r="P114" s="200"/>
      <c r="Q114" s="201"/>
      <c r="R114" s="200"/>
      <c r="S114" s="200"/>
      <c r="T114" s="200"/>
      <c r="U114" s="200"/>
      <c r="V114" s="201"/>
      <c r="W114" s="201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198"/>
      <c r="AO114" s="201"/>
      <c r="AP114" s="198"/>
      <c r="AQ114" s="200"/>
      <c r="AR114" s="199"/>
      <c r="AS114" s="198"/>
      <c r="AV114" s="164"/>
      <c r="BA114" s="202"/>
      <c r="BC114" s="203"/>
      <c r="BD114" s="194"/>
      <c r="BE114" s="194"/>
    </row>
    <row r="115">
      <c r="A115" s="6"/>
      <c r="B115" s="6"/>
      <c r="C115" s="196"/>
      <c r="E115" s="197"/>
      <c r="F115" s="196"/>
      <c r="G115" s="198"/>
      <c r="H115" s="198"/>
      <c r="I115" s="198"/>
      <c r="J115" s="198"/>
      <c r="K115" s="198"/>
      <c r="L115" s="198"/>
      <c r="M115" s="199"/>
      <c r="N115" s="199"/>
      <c r="O115" s="199"/>
      <c r="P115" s="200"/>
      <c r="Q115" s="201"/>
      <c r="R115" s="200"/>
      <c r="S115" s="200"/>
      <c r="T115" s="200"/>
      <c r="U115" s="200"/>
      <c r="V115" s="201"/>
      <c r="W115" s="201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198"/>
      <c r="AO115" s="201"/>
      <c r="AP115" s="198"/>
      <c r="AQ115" s="200"/>
      <c r="AR115" s="199"/>
      <c r="AS115" s="198"/>
      <c r="AV115" s="164"/>
      <c r="BA115" s="202"/>
      <c r="BC115" s="203"/>
      <c r="BD115" s="194"/>
      <c r="BE115" s="194"/>
    </row>
    <row r="116">
      <c r="A116" s="6"/>
      <c r="B116" s="6"/>
      <c r="C116" s="196"/>
      <c r="E116" s="197"/>
      <c r="F116" s="196"/>
      <c r="G116" s="198"/>
      <c r="H116" s="198"/>
      <c r="I116" s="198"/>
      <c r="J116" s="198"/>
      <c r="K116" s="198"/>
      <c r="L116" s="198"/>
      <c r="M116" s="199"/>
      <c r="N116" s="199"/>
      <c r="O116" s="199"/>
      <c r="P116" s="200"/>
      <c r="Q116" s="201"/>
      <c r="R116" s="200"/>
      <c r="S116" s="200"/>
      <c r="T116" s="200"/>
      <c r="U116" s="200"/>
      <c r="V116" s="201"/>
      <c r="W116" s="201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198"/>
      <c r="AO116" s="201"/>
      <c r="AP116" s="198"/>
      <c r="AQ116" s="200"/>
      <c r="AR116" s="199"/>
      <c r="AS116" s="198"/>
      <c r="AV116" s="164"/>
      <c r="BA116" s="202"/>
      <c r="BC116" s="203"/>
      <c r="BD116" s="194"/>
      <c r="BE116" s="194"/>
    </row>
    <row r="117">
      <c r="A117" s="6"/>
      <c r="B117" s="6"/>
      <c r="C117" s="196"/>
      <c r="E117" s="197"/>
      <c r="F117" s="196"/>
      <c r="G117" s="198"/>
      <c r="H117" s="198"/>
      <c r="I117" s="198"/>
      <c r="J117" s="198"/>
      <c r="K117" s="198"/>
      <c r="L117" s="198"/>
      <c r="M117" s="199"/>
      <c r="N117" s="199"/>
      <c r="O117" s="199"/>
      <c r="P117" s="200"/>
      <c r="Q117" s="201"/>
      <c r="R117" s="200"/>
      <c r="S117" s="200"/>
      <c r="T117" s="200"/>
      <c r="U117" s="200"/>
      <c r="V117" s="201"/>
      <c r="W117" s="201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198"/>
      <c r="AO117" s="201"/>
      <c r="AP117" s="198"/>
      <c r="AQ117" s="200"/>
      <c r="AR117" s="199"/>
      <c r="AS117" s="198"/>
      <c r="AV117" s="164"/>
      <c r="BA117" s="202"/>
      <c r="BC117" s="203"/>
      <c r="BD117" s="194"/>
      <c r="BE117" s="194"/>
    </row>
    <row r="118">
      <c r="A118" s="6"/>
      <c r="B118" s="6"/>
      <c r="C118" s="196"/>
      <c r="E118" s="197"/>
      <c r="F118" s="196"/>
      <c r="G118" s="198"/>
      <c r="H118" s="198"/>
      <c r="I118" s="198"/>
      <c r="J118" s="198"/>
      <c r="K118" s="198"/>
      <c r="L118" s="198"/>
      <c r="M118" s="199"/>
      <c r="N118" s="199"/>
      <c r="O118" s="199"/>
      <c r="P118" s="200"/>
      <c r="Q118" s="201"/>
      <c r="R118" s="200"/>
      <c r="S118" s="200"/>
      <c r="T118" s="200"/>
      <c r="U118" s="200"/>
      <c r="V118" s="201"/>
      <c r="W118" s="201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198"/>
      <c r="AO118" s="201"/>
      <c r="AP118" s="198"/>
      <c r="AQ118" s="200"/>
      <c r="AR118" s="199"/>
      <c r="AS118" s="198"/>
      <c r="AV118" s="164"/>
      <c r="BA118" s="202"/>
      <c r="BC118" s="203"/>
      <c r="BD118" s="194"/>
      <c r="BE118" s="194"/>
    </row>
    <row r="119">
      <c r="A119" s="6"/>
      <c r="B119" s="6"/>
      <c r="C119" s="196"/>
      <c r="E119" s="197"/>
      <c r="F119" s="196"/>
      <c r="G119" s="198"/>
      <c r="H119" s="198"/>
      <c r="I119" s="198"/>
      <c r="J119" s="198"/>
      <c r="K119" s="198"/>
      <c r="L119" s="198"/>
      <c r="M119" s="199"/>
      <c r="N119" s="199"/>
      <c r="O119" s="199"/>
      <c r="P119" s="200"/>
      <c r="Q119" s="201"/>
      <c r="R119" s="200"/>
      <c r="S119" s="200"/>
      <c r="T119" s="200"/>
      <c r="U119" s="200"/>
      <c r="V119" s="201"/>
      <c r="W119" s="201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198"/>
      <c r="AO119" s="201"/>
      <c r="AP119" s="198"/>
      <c r="AQ119" s="200"/>
      <c r="AR119" s="199"/>
      <c r="AS119" s="198"/>
      <c r="AV119" s="164"/>
      <c r="BA119" s="202"/>
      <c r="BC119" s="203"/>
      <c r="BD119" s="194"/>
      <c r="BE119" s="194"/>
    </row>
    <row r="120">
      <c r="A120" s="6"/>
      <c r="B120" s="6"/>
      <c r="C120" s="196"/>
      <c r="E120" s="197"/>
      <c r="F120" s="196"/>
      <c r="G120" s="198"/>
      <c r="H120" s="198"/>
      <c r="I120" s="198"/>
      <c r="J120" s="198"/>
      <c r="K120" s="198"/>
      <c r="L120" s="198"/>
      <c r="M120" s="199"/>
      <c r="N120" s="199"/>
      <c r="O120" s="199"/>
      <c r="P120" s="200"/>
      <c r="Q120" s="201"/>
      <c r="R120" s="200"/>
      <c r="S120" s="200"/>
      <c r="T120" s="200"/>
      <c r="U120" s="200"/>
      <c r="V120" s="201"/>
      <c r="W120" s="201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198"/>
      <c r="AO120" s="201"/>
      <c r="AP120" s="198"/>
      <c r="AQ120" s="200"/>
      <c r="AR120" s="199"/>
      <c r="AS120" s="198"/>
      <c r="AV120" s="164"/>
      <c r="BA120" s="202"/>
      <c r="BC120" s="203"/>
      <c r="BD120" s="194"/>
      <c r="BE120" s="194"/>
    </row>
    <row r="121">
      <c r="A121" s="6"/>
      <c r="B121" s="6"/>
      <c r="C121" s="196"/>
      <c r="E121" s="197"/>
      <c r="F121" s="196"/>
      <c r="G121" s="198"/>
      <c r="H121" s="198"/>
      <c r="I121" s="198"/>
      <c r="J121" s="198"/>
      <c r="K121" s="198"/>
      <c r="L121" s="198"/>
      <c r="M121" s="199"/>
      <c r="N121" s="199"/>
      <c r="O121" s="199"/>
      <c r="P121" s="200"/>
      <c r="Q121" s="201"/>
      <c r="R121" s="200"/>
      <c r="S121" s="200"/>
      <c r="T121" s="200"/>
      <c r="U121" s="200"/>
      <c r="V121" s="201"/>
      <c r="W121" s="201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198"/>
      <c r="AO121" s="201"/>
      <c r="AP121" s="198"/>
      <c r="AQ121" s="200"/>
      <c r="AR121" s="199"/>
      <c r="AS121" s="198"/>
      <c r="AV121" s="164"/>
      <c r="BA121" s="202"/>
      <c r="BC121" s="203"/>
      <c r="BD121" s="194"/>
      <c r="BE121" s="194"/>
    </row>
    <row r="122">
      <c r="A122" s="6"/>
      <c r="B122" s="6"/>
      <c r="C122" s="196"/>
      <c r="E122" s="197"/>
      <c r="F122" s="196"/>
      <c r="G122" s="198"/>
      <c r="H122" s="198"/>
      <c r="I122" s="198"/>
      <c r="J122" s="198"/>
      <c r="K122" s="198"/>
      <c r="L122" s="198"/>
      <c r="M122" s="199"/>
      <c r="N122" s="199"/>
      <c r="O122" s="199"/>
      <c r="P122" s="200"/>
      <c r="Q122" s="201"/>
      <c r="R122" s="200"/>
      <c r="S122" s="200"/>
      <c r="T122" s="200"/>
      <c r="U122" s="200"/>
      <c r="V122" s="201"/>
      <c r="W122" s="201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198"/>
      <c r="AO122" s="201"/>
      <c r="AP122" s="198"/>
      <c r="AQ122" s="200"/>
      <c r="AR122" s="199"/>
      <c r="AS122" s="198"/>
      <c r="AV122" s="164"/>
      <c r="BA122" s="202"/>
      <c r="BC122" s="203"/>
      <c r="BD122" s="194"/>
      <c r="BE122" s="194"/>
    </row>
    <row r="123">
      <c r="A123" s="6"/>
      <c r="B123" s="6"/>
      <c r="C123" s="196"/>
      <c r="E123" s="197"/>
      <c r="F123" s="196"/>
      <c r="G123" s="198"/>
      <c r="H123" s="198"/>
      <c r="I123" s="198"/>
      <c r="J123" s="198"/>
      <c r="K123" s="198"/>
      <c r="L123" s="198"/>
      <c r="M123" s="199"/>
      <c r="N123" s="199"/>
      <c r="O123" s="199"/>
      <c r="P123" s="200"/>
      <c r="Q123" s="201"/>
      <c r="R123" s="200"/>
      <c r="S123" s="200"/>
      <c r="T123" s="200"/>
      <c r="U123" s="200"/>
      <c r="V123" s="201"/>
      <c r="W123" s="201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198"/>
      <c r="AO123" s="201"/>
      <c r="AP123" s="198"/>
      <c r="AQ123" s="200"/>
      <c r="AR123" s="199"/>
      <c r="AS123" s="198"/>
      <c r="AV123" s="164"/>
      <c r="BA123" s="202"/>
      <c r="BC123" s="203"/>
      <c r="BD123" s="194"/>
      <c r="BE123" s="194"/>
    </row>
    <row r="124">
      <c r="A124" s="6"/>
      <c r="B124" s="6"/>
      <c r="C124" s="196"/>
      <c r="E124" s="197"/>
      <c r="F124" s="196"/>
      <c r="G124" s="198"/>
      <c r="H124" s="198"/>
      <c r="I124" s="198"/>
      <c r="J124" s="198"/>
      <c r="K124" s="198"/>
      <c r="L124" s="198"/>
      <c r="M124" s="199"/>
      <c r="N124" s="199"/>
      <c r="O124" s="199"/>
      <c r="P124" s="200"/>
      <c r="Q124" s="201"/>
      <c r="R124" s="200"/>
      <c r="S124" s="200"/>
      <c r="T124" s="200"/>
      <c r="U124" s="200"/>
      <c r="V124" s="201"/>
      <c r="W124" s="201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198"/>
      <c r="AO124" s="201"/>
      <c r="AP124" s="198"/>
      <c r="AQ124" s="200"/>
      <c r="AR124" s="199"/>
      <c r="AS124" s="198"/>
      <c r="AV124" s="164"/>
      <c r="BA124" s="202"/>
      <c r="BC124" s="203"/>
      <c r="BD124" s="194"/>
      <c r="BE124" s="194"/>
    </row>
    <row r="125">
      <c r="A125" s="6"/>
      <c r="B125" s="6"/>
      <c r="C125" s="196"/>
      <c r="E125" s="197"/>
      <c r="F125" s="196"/>
      <c r="G125" s="198"/>
      <c r="H125" s="198"/>
      <c r="I125" s="198"/>
      <c r="J125" s="198"/>
      <c r="K125" s="198"/>
      <c r="L125" s="198"/>
      <c r="M125" s="199"/>
      <c r="N125" s="199"/>
      <c r="O125" s="199"/>
      <c r="P125" s="200"/>
      <c r="Q125" s="201"/>
      <c r="R125" s="200"/>
      <c r="S125" s="200"/>
      <c r="T125" s="200"/>
      <c r="U125" s="200"/>
      <c r="V125" s="201"/>
      <c r="W125" s="201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198"/>
      <c r="AO125" s="201"/>
      <c r="AP125" s="198"/>
      <c r="AQ125" s="200"/>
      <c r="AR125" s="199"/>
      <c r="AS125" s="198"/>
      <c r="AV125" s="164"/>
      <c r="BA125" s="202"/>
      <c r="BC125" s="203"/>
      <c r="BD125" s="194"/>
      <c r="BE125" s="194"/>
    </row>
    <row r="126">
      <c r="A126" s="6"/>
      <c r="B126" s="6"/>
      <c r="C126" s="196"/>
      <c r="E126" s="197"/>
      <c r="F126" s="196"/>
      <c r="G126" s="198"/>
      <c r="H126" s="198"/>
      <c r="I126" s="198"/>
      <c r="J126" s="198"/>
      <c r="K126" s="198"/>
      <c r="L126" s="198"/>
      <c r="M126" s="199"/>
      <c r="N126" s="199"/>
      <c r="O126" s="199"/>
      <c r="P126" s="200"/>
      <c r="Q126" s="201"/>
      <c r="R126" s="200"/>
      <c r="S126" s="200"/>
      <c r="T126" s="200"/>
      <c r="U126" s="200"/>
      <c r="V126" s="201"/>
      <c r="W126" s="201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198"/>
      <c r="AO126" s="201"/>
      <c r="AP126" s="198"/>
      <c r="AQ126" s="200"/>
      <c r="AR126" s="199"/>
      <c r="AS126" s="198"/>
      <c r="AV126" s="164"/>
      <c r="BA126" s="202"/>
      <c r="BC126" s="203"/>
      <c r="BD126" s="194"/>
      <c r="BE126" s="194"/>
    </row>
    <row r="127">
      <c r="A127" s="6"/>
      <c r="B127" s="6"/>
      <c r="C127" s="196"/>
      <c r="E127" s="197"/>
      <c r="F127" s="196"/>
      <c r="G127" s="198"/>
      <c r="H127" s="198"/>
      <c r="I127" s="198"/>
      <c r="J127" s="198"/>
      <c r="K127" s="198"/>
      <c r="L127" s="198"/>
      <c r="M127" s="199"/>
      <c r="N127" s="199"/>
      <c r="O127" s="199"/>
      <c r="P127" s="200"/>
      <c r="Q127" s="201"/>
      <c r="R127" s="200"/>
      <c r="S127" s="200"/>
      <c r="T127" s="200"/>
      <c r="U127" s="200"/>
      <c r="V127" s="201"/>
      <c r="W127" s="201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198"/>
      <c r="AO127" s="201"/>
      <c r="AP127" s="198"/>
      <c r="AQ127" s="200"/>
      <c r="AR127" s="199"/>
      <c r="AS127" s="198"/>
      <c r="AV127" s="164"/>
      <c r="BA127" s="202"/>
      <c r="BC127" s="203"/>
      <c r="BD127" s="194"/>
      <c r="BE127" s="194"/>
    </row>
    <row r="128">
      <c r="A128" s="6"/>
      <c r="B128" s="6"/>
      <c r="C128" s="196"/>
      <c r="E128" s="197"/>
      <c r="F128" s="196"/>
      <c r="G128" s="198"/>
      <c r="H128" s="198"/>
      <c r="I128" s="198"/>
      <c r="J128" s="198"/>
      <c r="K128" s="198"/>
      <c r="L128" s="198"/>
      <c r="M128" s="199"/>
      <c r="N128" s="199"/>
      <c r="O128" s="199"/>
      <c r="P128" s="200"/>
      <c r="Q128" s="201"/>
      <c r="R128" s="200"/>
      <c r="S128" s="200"/>
      <c r="T128" s="200"/>
      <c r="U128" s="200"/>
      <c r="V128" s="201"/>
      <c r="W128" s="201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198"/>
      <c r="AO128" s="201"/>
      <c r="AP128" s="198"/>
      <c r="AQ128" s="200"/>
      <c r="AR128" s="199"/>
      <c r="AS128" s="198"/>
      <c r="AV128" s="164"/>
      <c r="BA128" s="202"/>
      <c r="BC128" s="203"/>
      <c r="BD128" s="194"/>
      <c r="BE128" s="194"/>
    </row>
    <row r="129">
      <c r="A129" s="6"/>
      <c r="B129" s="6"/>
      <c r="C129" s="196"/>
      <c r="E129" s="197"/>
      <c r="F129" s="196"/>
      <c r="G129" s="198"/>
      <c r="H129" s="198"/>
      <c r="I129" s="198"/>
      <c r="J129" s="198"/>
      <c r="K129" s="198"/>
      <c r="L129" s="198"/>
      <c r="M129" s="199"/>
      <c r="N129" s="199"/>
      <c r="O129" s="199"/>
      <c r="P129" s="200"/>
      <c r="Q129" s="201"/>
      <c r="R129" s="200"/>
      <c r="S129" s="200"/>
      <c r="T129" s="200"/>
      <c r="U129" s="200"/>
      <c r="V129" s="201"/>
      <c r="W129" s="201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198"/>
      <c r="AO129" s="201"/>
      <c r="AP129" s="198"/>
      <c r="AQ129" s="200"/>
      <c r="AR129" s="199"/>
      <c r="AS129" s="198"/>
      <c r="AV129" s="164"/>
      <c r="BA129" s="202"/>
      <c r="BC129" s="203"/>
      <c r="BD129" s="194"/>
      <c r="BE129" s="194"/>
    </row>
    <row r="130">
      <c r="A130" s="6"/>
      <c r="B130" s="6"/>
      <c r="C130" s="196"/>
      <c r="E130" s="197"/>
      <c r="F130" s="196"/>
      <c r="G130" s="198"/>
      <c r="H130" s="198"/>
      <c r="I130" s="198"/>
      <c r="J130" s="198"/>
      <c r="K130" s="198"/>
      <c r="L130" s="198"/>
      <c r="M130" s="199"/>
      <c r="N130" s="199"/>
      <c r="O130" s="199"/>
      <c r="P130" s="200"/>
      <c r="Q130" s="201"/>
      <c r="R130" s="200"/>
      <c r="S130" s="200"/>
      <c r="T130" s="200"/>
      <c r="U130" s="200"/>
      <c r="V130" s="201"/>
      <c r="W130" s="201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198"/>
      <c r="AO130" s="201"/>
      <c r="AP130" s="198"/>
      <c r="AQ130" s="200"/>
      <c r="AR130" s="199"/>
      <c r="AS130" s="198"/>
      <c r="AV130" s="164"/>
      <c r="BA130" s="202"/>
      <c r="BC130" s="203"/>
      <c r="BD130" s="194"/>
      <c r="BE130" s="194"/>
    </row>
    <row r="131">
      <c r="A131" s="6"/>
      <c r="B131" s="6"/>
      <c r="C131" s="196"/>
      <c r="E131" s="197"/>
      <c r="F131" s="196"/>
      <c r="G131" s="198"/>
      <c r="H131" s="198"/>
      <c r="I131" s="198"/>
      <c r="J131" s="198"/>
      <c r="K131" s="198"/>
      <c r="L131" s="198"/>
      <c r="M131" s="199"/>
      <c r="N131" s="199"/>
      <c r="O131" s="199"/>
      <c r="P131" s="200"/>
      <c r="Q131" s="201"/>
      <c r="R131" s="200"/>
      <c r="S131" s="200"/>
      <c r="T131" s="200"/>
      <c r="U131" s="200"/>
      <c r="V131" s="201"/>
      <c r="W131" s="201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198"/>
      <c r="AO131" s="201"/>
      <c r="AP131" s="198"/>
      <c r="AQ131" s="200"/>
      <c r="AR131" s="199"/>
      <c r="AS131" s="198"/>
      <c r="AV131" s="164"/>
      <c r="BA131" s="202"/>
      <c r="BC131" s="203"/>
      <c r="BD131" s="194"/>
      <c r="BE131" s="194"/>
    </row>
    <row r="132">
      <c r="A132" s="6"/>
      <c r="B132" s="6"/>
      <c r="C132" s="196"/>
      <c r="E132" s="197"/>
      <c r="F132" s="196"/>
      <c r="G132" s="198"/>
      <c r="H132" s="198"/>
      <c r="I132" s="198"/>
      <c r="J132" s="198"/>
      <c r="K132" s="198"/>
      <c r="L132" s="198"/>
      <c r="M132" s="199"/>
      <c r="N132" s="199"/>
      <c r="O132" s="199"/>
      <c r="P132" s="200"/>
      <c r="Q132" s="201"/>
      <c r="R132" s="200"/>
      <c r="S132" s="200"/>
      <c r="T132" s="200"/>
      <c r="U132" s="200"/>
      <c r="V132" s="201"/>
      <c r="W132" s="201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198"/>
      <c r="AO132" s="201"/>
      <c r="AP132" s="198"/>
      <c r="AQ132" s="200"/>
      <c r="AR132" s="199"/>
      <c r="AS132" s="198"/>
      <c r="AV132" s="164"/>
      <c r="BA132" s="202"/>
      <c r="BC132" s="203"/>
      <c r="BD132" s="194"/>
      <c r="BE132" s="194"/>
    </row>
    <row r="133">
      <c r="A133" s="6"/>
      <c r="B133" s="6"/>
      <c r="C133" s="196"/>
      <c r="E133" s="197"/>
      <c r="F133" s="196"/>
      <c r="G133" s="198"/>
      <c r="H133" s="198"/>
      <c r="I133" s="198"/>
      <c r="J133" s="198"/>
      <c r="K133" s="198"/>
      <c r="L133" s="198"/>
      <c r="M133" s="199"/>
      <c r="N133" s="199"/>
      <c r="O133" s="199"/>
      <c r="P133" s="200"/>
      <c r="Q133" s="201"/>
      <c r="R133" s="200"/>
      <c r="S133" s="200"/>
      <c r="T133" s="200"/>
      <c r="U133" s="200"/>
      <c r="V133" s="201"/>
      <c r="W133" s="201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198"/>
      <c r="AO133" s="201"/>
      <c r="AP133" s="198"/>
      <c r="AQ133" s="200"/>
      <c r="AR133" s="199"/>
      <c r="AS133" s="198"/>
      <c r="AV133" s="164"/>
      <c r="BA133" s="202"/>
      <c r="BC133" s="203"/>
      <c r="BD133" s="194"/>
      <c r="BE133" s="194"/>
    </row>
    <row r="134">
      <c r="A134" s="6"/>
      <c r="B134" s="6"/>
      <c r="C134" s="196"/>
      <c r="E134" s="197"/>
      <c r="F134" s="196"/>
      <c r="G134" s="198"/>
      <c r="H134" s="198"/>
      <c r="I134" s="198"/>
      <c r="J134" s="198"/>
      <c r="K134" s="198"/>
      <c r="L134" s="198"/>
      <c r="M134" s="199"/>
      <c r="N134" s="199"/>
      <c r="O134" s="199"/>
      <c r="P134" s="200"/>
      <c r="Q134" s="201"/>
      <c r="R134" s="200"/>
      <c r="S134" s="200"/>
      <c r="T134" s="200"/>
      <c r="U134" s="200"/>
      <c r="V134" s="201"/>
      <c r="W134" s="201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198"/>
      <c r="AO134" s="201"/>
      <c r="AP134" s="198"/>
      <c r="AQ134" s="200"/>
      <c r="AR134" s="199"/>
      <c r="AS134" s="198"/>
      <c r="AV134" s="164"/>
      <c r="BA134" s="202"/>
      <c r="BC134" s="203"/>
      <c r="BD134" s="194"/>
      <c r="BE134" s="194"/>
    </row>
    <row r="135">
      <c r="A135" s="6"/>
      <c r="B135" s="6"/>
      <c r="C135" s="196"/>
      <c r="E135" s="197"/>
      <c r="F135" s="196"/>
      <c r="G135" s="198"/>
      <c r="H135" s="198"/>
      <c r="I135" s="198"/>
      <c r="J135" s="198"/>
      <c r="K135" s="198"/>
      <c r="L135" s="198"/>
      <c r="M135" s="199"/>
      <c r="N135" s="199"/>
      <c r="O135" s="199"/>
      <c r="P135" s="200"/>
      <c r="Q135" s="201"/>
      <c r="R135" s="200"/>
      <c r="S135" s="200"/>
      <c r="T135" s="200"/>
      <c r="U135" s="200"/>
      <c r="V135" s="201"/>
      <c r="W135" s="201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198"/>
      <c r="AO135" s="201"/>
      <c r="AP135" s="198"/>
      <c r="AQ135" s="200"/>
      <c r="AR135" s="199"/>
      <c r="AS135" s="198"/>
      <c r="AV135" s="164"/>
      <c r="BA135" s="202"/>
      <c r="BC135" s="203"/>
      <c r="BD135" s="194"/>
      <c r="BE135" s="194"/>
    </row>
    <row r="136">
      <c r="A136" s="6"/>
      <c r="B136" s="6"/>
      <c r="C136" s="196"/>
      <c r="E136" s="197"/>
      <c r="F136" s="196"/>
      <c r="G136" s="198"/>
      <c r="H136" s="198"/>
      <c r="I136" s="198"/>
      <c r="J136" s="198"/>
      <c r="K136" s="198"/>
      <c r="L136" s="198"/>
      <c r="M136" s="199"/>
      <c r="N136" s="199"/>
      <c r="O136" s="199"/>
      <c r="P136" s="200"/>
      <c r="Q136" s="201"/>
      <c r="R136" s="200"/>
      <c r="S136" s="200"/>
      <c r="T136" s="200"/>
      <c r="U136" s="200"/>
      <c r="V136" s="201"/>
      <c r="W136" s="201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198"/>
      <c r="AO136" s="201"/>
      <c r="AP136" s="198"/>
      <c r="AQ136" s="200"/>
      <c r="AR136" s="199"/>
      <c r="AS136" s="198"/>
      <c r="AV136" s="164"/>
      <c r="BA136" s="202"/>
      <c r="BC136" s="203"/>
      <c r="BD136" s="194"/>
      <c r="BE136" s="194"/>
    </row>
    <row r="137">
      <c r="A137" s="6"/>
      <c r="B137" s="6"/>
      <c r="C137" s="196"/>
      <c r="E137" s="197"/>
      <c r="F137" s="196"/>
      <c r="G137" s="198"/>
      <c r="H137" s="198"/>
      <c r="I137" s="198"/>
      <c r="J137" s="198"/>
      <c r="K137" s="198"/>
      <c r="L137" s="198"/>
      <c r="M137" s="199"/>
      <c r="N137" s="199"/>
      <c r="O137" s="199"/>
      <c r="P137" s="200"/>
      <c r="Q137" s="201"/>
      <c r="R137" s="200"/>
      <c r="S137" s="200"/>
      <c r="T137" s="200"/>
      <c r="U137" s="200"/>
      <c r="V137" s="201"/>
      <c r="W137" s="201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198"/>
      <c r="AO137" s="201"/>
      <c r="AP137" s="198"/>
      <c r="AQ137" s="200"/>
      <c r="AR137" s="199"/>
      <c r="AS137" s="198"/>
      <c r="AV137" s="164"/>
      <c r="BA137" s="202"/>
      <c r="BC137" s="203"/>
      <c r="BD137" s="194"/>
      <c r="BE137" s="194"/>
    </row>
    <row r="138">
      <c r="A138" s="6"/>
      <c r="B138" s="6"/>
      <c r="C138" s="196"/>
      <c r="E138" s="197"/>
      <c r="F138" s="196"/>
      <c r="G138" s="198"/>
      <c r="H138" s="198"/>
      <c r="I138" s="198"/>
      <c r="J138" s="198"/>
      <c r="K138" s="198"/>
      <c r="L138" s="198"/>
      <c r="M138" s="199"/>
      <c r="N138" s="199"/>
      <c r="O138" s="199"/>
      <c r="P138" s="200"/>
      <c r="Q138" s="201"/>
      <c r="R138" s="200"/>
      <c r="S138" s="200"/>
      <c r="T138" s="200"/>
      <c r="U138" s="200"/>
      <c r="V138" s="201"/>
      <c r="W138" s="201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198"/>
      <c r="AO138" s="201"/>
      <c r="AP138" s="198"/>
      <c r="AQ138" s="200"/>
      <c r="AR138" s="199"/>
      <c r="AS138" s="198"/>
      <c r="AV138" s="164"/>
      <c r="BA138" s="202"/>
      <c r="BC138" s="203"/>
      <c r="BD138" s="194"/>
      <c r="BE138" s="194"/>
    </row>
    <row r="139">
      <c r="A139" s="6"/>
      <c r="B139" s="6"/>
      <c r="C139" s="196"/>
      <c r="E139" s="197"/>
      <c r="F139" s="196"/>
      <c r="G139" s="198"/>
      <c r="H139" s="198"/>
      <c r="I139" s="198"/>
      <c r="J139" s="198"/>
      <c r="K139" s="198"/>
      <c r="L139" s="198"/>
      <c r="M139" s="199"/>
      <c r="N139" s="199"/>
      <c r="O139" s="199"/>
      <c r="P139" s="200"/>
      <c r="Q139" s="201"/>
      <c r="R139" s="200"/>
      <c r="S139" s="200"/>
      <c r="T139" s="200"/>
      <c r="U139" s="200"/>
      <c r="V139" s="201"/>
      <c r="W139" s="201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198"/>
      <c r="AO139" s="201"/>
      <c r="AP139" s="198"/>
      <c r="AQ139" s="200"/>
      <c r="AR139" s="199"/>
      <c r="AS139" s="198"/>
      <c r="AV139" s="164"/>
      <c r="BA139" s="202"/>
      <c r="BC139" s="203"/>
      <c r="BD139" s="194"/>
      <c r="BE139" s="194"/>
    </row>
    <row r="140">
      <c r="A140" s="6"/>
      <c r="B140" s="6"/>
      <c r="C140" s="196"/>
      <c r="E140" s="197"/>
      <c r="F140" s="196"/>
      <c r="G140" s="198"/>
      <c r="H140" s="198"/>
      <c r="I140" s="198"/>
      <c r="J140" s="198"/>
      <c r="K140" s="198"/>
      <c r="L140" s="198"/>
      <c r="M140" s="199"/>
      <c r="N140" s="199"/>
      <c r="O140" s="199"/>
      <c r="P140" s="200"/>
      <c r="Q140" s="201"/>
      <c r="R140" s="200"/>
      <c r="S140" s="200"/>
      <c r="T140" s="200"/>
      <c r="U140" s="200"/>
      <c r="V140" s="201"/>
      <c r="W140" s="201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198"/>
      <c r="AO140" s="201"/>
      <c r="AP140" s="198"/>
      <c r="AQ140" s="200"/>
      <c r="AR140" s="199"/>
      <c r="AS140" s="198"/>
      <c r="AV140" s="164"/>
      <c r="BA140" s="202"/>
      <c r="BC140" s="203"/>
      <c r="BD140" s="194"/>
      <c r="BE140" s="194"/>
    </row>
    <row r="141">
      <c r="A141" s="6"/>
      <c r="B141" s="6"/>
      <c r="C141" s="196"/>
      <c r="E141" s="197"/>
      <c r="F141" s="196"/>
      <c r="G141" s="198"/>
      <c r="H141" s="198"/>
      <c r="I141" s="198"/>
      <c r="J141" s="198"/>
      <c r="K141" s="198"/>
      <c r="L141" s="198"/>
      <c r="M141" s="199"/>
      <c r="N141" s="199"/>
      <c r="O141" s="199"/>
      <c r="P141" s="200"/>
      <c r="Q141" s="201"/>
      <c r="R141" s="200"/>
      <c r="S141" s="200"/>
      <c r="T141" s="200"/>
      <c r="U141" s="200"/>
      <c r="V141" s="201"/>
      <c r="W141" s="201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198"/>
      <c r="AO141" s="201"/>
      <c r="AP141" s="198"/>
      <c r="AQ141" s="200"/>
      <c r="AR141" s="199"/>
      <c r="AS141" s="198"/>
      <c r="AV141" s="164"/>
      <c r="BA141" s="202"/>
      <c r="BC141" s="203"/>
      <c r="BD141" s="194"/>
      <c r="BE141" s="194"/>
    </row>
    <row r="142">
      <c r="A142" s="6"/>
      <c r="B142" s="6"/>
      <c r="C142" s="196"/>
      <c r="E142" s="197"/>
      <c r="F142" s="196"/>
      <c r="G142" s="198"/>
      <c r="H142" s="198"/>
      <c r="I142" s="198"/>
      <c r="J142" s="198"/>
      <c r="K142" s="198"/>
      <c r="L142" s="198"/>
      <c r="M142" s="199"/>
      <c r="N142" s="199"/>
      <c r="O142" s="199"/>
      <c r="P142" s="200"/>
      <c r="Q142" s="201"/>
      <c r="R142" s="200"/>
      <c r="S142" s="200"/>
      <c r="T142" s="200"/>
      <c r="U142" s="200"/>
      <c r="V142" s="201"/>
      <c r="W142" s="201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198"/>
      <c r="AO142" s="201"/>
      <c r="AP142" s="198"/>
      <c r="AQ142" s="200"/>
      <c r="AR142" s="199"/>
      <c r="AS142" s="198"/>
      <c r="AV142" s="164"/>
      <c r="BA142" s="202"/>
      <c r="BC142" s="203"/>
      <c r="BD142" s="194"/>
      <c r="BE142" s="194"/>
    </row>
    <row r="143">
      <c r="A143" s="6"/>
      <c r="B143" s="6"/>
      <c r="C143" s="196"/>
      <c r="E143" s="197"/>
      <c r="F143" s="196"/>
      <c r="G143" s="198"/>
      <c r="H143" s="198"/>
      <c r="I143" s="198"/>
      <c r="J143" s="198"/>
      <c r="K143" s="198"/>
      <c r="L143" s="198"/>
      <c r="M143" s="199"/>
      <c r="N143" s="199"/>
      <c r="O143" s="199"/>
      <c r="P143" s="200"/>
      <c r="Q143" s="201"/>
      <c r="R143" s="200"/>
      <c r="S143" s="200"/>
      <c r="T143" s="200"/>
      <c r="U143" s="200"/>
      <c r="V143" s="201"/>
      <c r="W143" s="201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198"/>
      <c r="AO143" s="201"/>
      <c r="AP143" s="198"/>
      <c r="AQ143" s="200"/>
      <c r="AR143" s="199"/>
      <c r="AS143" s="198"/>
      <c r="AV143" s="164"/>
      <c r="BA143" s="202"/>
      <c r="BC143" s="203"/>
      <c r="BD143" s="194"/>
      <c r="BE143" s="194"/>
    </row>
    <row r="144">
      <c r="A144" s="6"/>
      <c r="B144" s="6"/>
      <c r="C144" s="196"/>
      <c r="E144" s="197"/>
      <c r="F144" s="196"/>
      <c r="G144" s="198"/>
      <c r="H144" s="198"/>
      <c r="I144" s="198"/>
      <c r="J144" s="198"/>
      <c r="K144" s="198"/>
      <c r="L144" s="198"/>
      <c r="M144" s="199"/>
      <c r="N144" s="199"/>
      <c r="O144" s="199"/>
      <c r="P144" s="200"/>
      <c r="Q144" s="201"/>
      <c r="R144" s="200"/>
      <c r="S144" s="200"/>
      <c r="T144" s="200"/>
      <c r="U144" s="200"/>
      <c r="V144" s="201"/>
      <c r="W144" s="201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198"/>
      <c r="AO144" s="201"/>
      <c r="AP144" s="198"/>
      <c r="AQ144" s="200"/>
      <c r="AR144" s="199"/>
      <c r="AS144" s="198"/>
      <c r="AV144" s="164"/>
      <c r="BA144" s="202"/>
      <c r="BC144" s="203"/>
      <c r="BD144" s="194"/>
      <c r="BE144" s="194"/>
    </row>
    <row r="145">
      <c r="A145" s="6"/>
      <c r="B145" s="6"/>
      <c r="C145" s="196"/>
      <c r="E145" s="197"/>
      <c r="F145" s="196"/>
      <c r="G145" s="198"/>
      <c r="H145" s="198"/>
      <c r="I145" s="198"/>
      <c r="J145" s="198"/>
      <c r="K145" s="198"/>
      <c r="L145" s="198"/>
      <c r="M145" s="199"/>
      <c r="N145" s="199"/>
      <c r="O145" s="199"/>
      <c r="P145" s="200"/>
      <c r="Q145" s="201"/>
      <c r="R145" s="200"/>
      <c r="S145" s="200"/>
      <c r="T145" s="200"/>
      <c r="U145" s="200"/>
      <c r="V145" s="201"/>
      <c r="W145" s="201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198"/>
      <c r="AO145" s="201"/>
      <c r="AP145" s="198"/>
      <c r="AQ145" s="200"/>
      <c r="AR145" s="199"/>
      <c r="AS145" s="198"/>
      <c r="AV145" s="164"/>
      <c r="BA145" s="202"/>
      <c r="BC145" s="203"/>
      <c r="BD145" s="194"/>
      <c r="BE145" s="194"/>
    </row>
    <row r="146">
      <c r="A146" s="6"/>
      <c r="B146" s="6"/>
      <c r="C146" s="196"/>
      <c r="E146" s="197"/>
      <c r="F146" s="196"/>
      <c r="G146" s="198"/>
      <c r="H146" s="198"/>
      <c r="I146" s="198"/>
      <c r="J146" s="198"/>
      <c r="K146" s="198"/>
      <c r="L146" s="198"/>
      <c r="M146" s="199"/>
      <c r="N146" s="199"/>
      <c r="O146" s="199"/>
      <c r="P146" s="200"/>
      <c r="Q146" s="201"/>
      <c r="R146" s="200"/>
      <c r="S146" s="200"/>
      <c r="T146" s="200"/>
      <c r="U146" s="200"/>
      <c r="V146" s="201"/>
      <c r="W146" s="201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198"/>
      <c r="AO146" s="201"/>
      <c r="AP146" s="198"/>
      <c r="AQ146" s="200"/>
      <c r="AR146" s="199"/>
      <c r="AS146" s="198"/>
      <c r="AV146" s="164"/>
      <c r="BA146" s="202"/>
      <c r="BC146" s="203"/>
      <c r="BD146" s="194"/>
      <c r="BE146" s="194"/>
    </row>
    <row r="147">
      <c r="A147" s="6"/>
      <c r="B147" s="6"/>
      <c r="C147" s="196"/>
      <c r="E147" s="197"/>
      <c r="F147" s="196"/>
      <c r="G147" s="198"/>
      <c r="H147" s="198"/>
      <c r="I147" s="198"/>
      <c r="J147" s="198"/>
      <c r="K147" s="198"/>
      <c r="L147" s="198"/>
      <c r="M147" s="199"/>
      <c r="N147" s="199"/>
      <c r="O147" s="199"/>
      <c r="P147" s="200"/>
      <c r="Q147" s="201"/>
      <c r="R147" s="200"/>
      <c r="S147" s="200"/>
      <c r="T147" s="200"/>
      <c r="U147" s="200"/>
      <c r="V147" s="201"/>
      <c r="W147" s="201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198"/>
      <c r="AO147" s="201"/>
      <c r="AP147" s="198"/>
      <c r="AQ147" s="200"/>
      <c r="AR147" s="199"/>
      <c r="AS147" s="198"/>
      <c r="AV147" s="164"/>
      <c r="BA147" s="202"/>
      <c r="BC147" s="203"/>
      <c r="BD147" s="194"/>
      <c r="BE147" s="194"/>
    </row>
    <row r="148">
      <c r="A148" s="6"/>
      <c r="B148" s="6"/>
      <c r="C148" s="196"/>
      <c r="E148" s="197"/>
      <c r="F148" s="196"/>
      <c r="G148" s="198"/>
      <c r="H148" s="198"/>
      <c r="I148" s="198"/>
      <c r="J148" s="198"/>
      <c r="K148" s="198"/>
      <c r="L148" s="198"/>
      <c r="M148" s="199"/>
      <c r="N148" s="199"/>
      <c r="O148" s="199"/>
      <c r="P148" s="200"/>
      <c r="Q148" s="201"/>
      <c r="R148" s="200"/>
      <c r="S148" s="200"/>
      <c r="T148" s="200"/>
      <c r="U148" s="200"/>
      <c r="V148" s="201"/>
      <c r="W148" s="201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198"/>
      <c r="AO148" s="201"/>
      <c r="AP148" s="198"/>
      <c r="AQ148" s="200"/>
      <c r="AR148" s="199"/>
      <c r="AS148" s="198"/>
      <c r="AV148" s="164"/>
      <c r="BA148" s="202"/>
      <c r="BC148" s="203"/>
      <c r="BD148" s="194"/>
      <c r="BE148" s="194"/>
    </row>
    <row r="149">
      <c r="A149" s="6"/>
      <c r="B149" s="6"/>
      <c r="C149" s="196"/>
      <c r="E149" s="197"/>
      <c r="F149" s="196"/>
      <c r="G149" s="198"/>
      <c r="H149" s="198"/>
      <c r="I149" s="198"/>
      <c r="J149" s="198"/>
      <c r="K149" s="198"/>
      <c r="L149" s="198"/>
      <c r="M149" s="199"/>
      <c r="N149" s="199"/>
      <c r="O149" s="199"/>
      <c r="P149" s="200"/>
      <c r="Q149" s="201"/>
      <c r="R149" s="200"/>
      <c r="S149" s="200"/>
      <c r="T149" s="200"/>
      <c r="U149" s="200"/>
      <c r="V149" s="201"/>
      <c r="W149" s="201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198"/>
      <c r="AO149" s="201"/>
      <c r="AP149" s="198"/>
      <c r="AQ149" s="200"/>
      <c r="AR149" s="199"/>
      <c r="AS149" s="198"/>
      <c r="AV149" s="164"/>
      <c r="BA149" s="202"/>
      <c r="BC149" s="203"/>
      <c r="BD149" s="194"/>
      <c r="BE149" s="194"/>
    </row>
    <row r="150">
      <c r="A150" s="6"/>
      <c r="B150" s="6"/>
      <c r="C150" s="196"/>
      <c r="E150" s="197"/>
      <c r="F150" s="196"/>
      <c r="G150" s="198"/>
      <c r="H150" s="198"/>
      <c r="I150" s="198"/>
      <c r="J150" s="198"/>
      <c r="K150" s="198"/>
      <c r="L150" s="198"/>
      <c r="M150" s="199"/>
      <c r="N150" s="199"/>
      <c r="O150" s="199"/>
      <c r="P150" s="200"/>
      <c r="Q150" s="201"/>
      <c r="R150" s="200"/>
      <c r="S150" s="200"/>
      <c r="T150" s="200"/>
      <c r="U150" s="200"/>
      <c r="V150" s="201"/>
      <c r="W150" s="201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198"/>
      <c r="AO150" s="201"/>
      <c r="AP150" s="198"/>
      <c r="AQ150" s="200"/>
      <c r="AR150" s="199"/>
      <c r="AS150" s="198"/>
      <c r="AV150" s="164"/>
      <c r="BA150" s="202"/>
      <c r="BC150" s="203"/>
      <c r="BD150" s="194"/>
      <c r="BE150" s="194"/>
    </row>
    <row r="151">
      <c r="A151" s="6"/>
      <c r="B151" s="6"/>
      <c r="C151" s="196"/>
      <c r="E151" s="197"/>
      <c r="F151" s="196"/>
      <c r="G151" s="198"/>
      <c r="H151" s="198"/>
      <c r="I151" s="198"/>
      <c r="J151" s="198"/>
      <c r="K151" s="198"/>
      <c r="L151" s="198"/>
      <c r="M151" s="199"/>
      <c r="N151" s="199"/>
      <c r="O151" s="199"/>
      <c r="P151" s="200"/>
      <c r="Q151" s="201"/>
      <c r="R151" s="200"/>
      <c r="S151" s="200"/>
      <c r="T151" s="200"/>
      <c r="U151" s="200"/>
      <c r="V151" s="201"/>
      <c r="W151" s="201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198"/>
      <c r="AO151" s="201"/>
      <c r="AP151" s="198"/>
      <c r="AQ151" s="200"/>
      <c r="AR151" s="199"/>
      <c r="AS151" s="198"/>
      <c r="AV151" s="164"/>
      <c r="BA151" s="202"/>
      <c r="BC151" s="203"/>
      <c r="BD151" s="194"/>
      <c r="BE151" s="194"/>
    </row>
    <row r="152">
      <c r="A152" s="6"/>
      <c r="B152" s="6"/>
      <c r="C152" s="196"/>
      <c r="E152" s="197"/>
      <c r="F152" s="196"/>
      <c r="G152" s="198"/>
      <c r="H152" s="198"/>
      <c r="I152" s="198"/>
      <c r="J152" s="198"/>
      <c r="K152" s="198"/>
      <c r="L152" s="198"/>
      <c r="M152" s="199"/>
      <c r="N152" s="199"/>
      <c r="O152" s="199"/>
      <c r="P152" s="200"/>
      <c r="Q152" s="201"/>
      <c r="R152" s="200"/>
      <c r="S152" s="200"/>
      <c r="T152" s="200"/>
      <c r="U152" s="200"/>
      <c r="V152" s="201"/>
      <c r="W152" s="201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198"/>
      <c r="AO152" s="201"/>
      <c r="AP152" s="198"/>
      <c r="AQ152" s="200"/>
      <c r="AR152" s="199"/>
      <c r="AS152" s="198"/>
      <c r="AV152" s="164"/>
      <c r="BA152" s="202"/>
      <c r="BC152" s="203"/>
      <c r="BD152" s="194"/>
      <c r="BE152" s="194"/>
    </row>
    <row r="153">
      <c r="A153" s="6"/>
      <c r="B153" s="6"/>
      <c r="C153" s="196"/>
      <c r="E153" s="197"/>
      <c r="F153" s="196"/>
      <c r="G153" s="198"/>
      <c r="H153" s="198"/>
      <c r="I153" s="198"/>
      <c r="J153" s="198"/>
      <c r="K153" s="198"/>
      <c r="L153" s="198"/>
      <c r="M153" s="199"/>
      <c r="N153" s="199"/>
      <c r="O153" s="199"/>
      <c r="P153" s="200"/>
      <c r="Q153" s="201"/>
      <c r="R153" s="200"/>
      <c r="S153" s="200"/>
      <c r="T153" s="200"/>
      <c r="U153" s="200"/>
      <c r="V153" s="201"/>
      <c r="W153" s="201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198"/>
      <c r="AO153" s="201"/>
      <c r="AP153" s="198"/>
      <c r="AQ153" s="200"/>
      <c r="AR153" s="199"/>
      <c r="AS153" s="198"/>
      <c r="AV153" s="164"/>
      <c r="BA153" s="202"/>
      <c r="BC153" s="203"/>
      <c r="BD153" s="194"/>
      <c r="BE153" s="194"/>
    </row>
    <row r="154">
      <c r="A154" s="6"/>
      <c r="B154" s="6"/>
      <c r="C154" s="196"/>
      <c r="E154" s="197"/>
      <c r="F154" s="196"/>
      <c r="G154" s="198"/>
      <c r="H154" s="198"/>
      <c r="I154" s="198"/>
      <c r="J154" s="198"/>
      <c r="K154" s="198"/>
      <c r="L154" s="198"/>
      <c r="M154" s="199"/>
      <c r="N154" s="199"/>
      <c r="O154" s="199"/>
      <c r="P154" s="200"/>
      <c r="Q154" s="201"/>
      <c r="R154" s="200"/>
      <c r="S154" s="200"/>
      <c r="T154" s="200"/>
      <c r="U154" s="200"/>
      <c r="V154" s="201"/>
      <c r="W154" s="201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198"/>
      <c r="AO154" s="201"/>
      <c r="AP154" s="198"/>
      <c r="AQ154" s="200"/>
      <c r="AR154" s="199"/>
      <c r="AS154" s="198"/>
      <c r="AV154" s="164"/>
      <c r="BA154" s="202"/>
      <c r="BC154" s="203"/>
      <c r="BD154" s="194"/>
      <c r="BE154" s="194"/>
    </row>
    <row r="155">
      <c r="A155" s="6"/>
      <c r="B155" s="6"/>
      <c r="C155" s="196"/>
      <c r="E155" s="197"/>
      <c r="F155" s="196"/>
      <c r="G155" s="198"/>
      <c r="H155" s="198"/>
      <c r="I155" s="198"/>
      <c r="J155" s="198"/>
      <c r="K155" s="198"/>
      <c r="L155" s="198"/>
      <c r="M155" s="199"/>
      <c r="N155" s="199"/>
      <c r="O155" s="199"/>
      <c r="P155" s="200"/>
      <c r="Q155" s="201"/>
      <c r="R155" s="200"/>
      <c r="S155" s="200"/>
      <c r="T155" s="200"/>
      <c r="U155" s="200"/>
      <c r="V155" s="201"/>
      <c r="W155" s="201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198"/>
      <c r="AO155" s="201"/>
      <c r="AP155" s="198"/>
      <c r="AQ155" s="200"/>
      <c r="AR155" s="199"/>
      <c r="AS155" s="198"/>
      <c r="AV155" s="164"/>
      <c r="BA155" s="202"/>
      <c r="BC155" s="203"/>
      <c r="BD155" s="194"/>
      <c r="BE155" s="194"/>
    </row>
    <row r="156">
      <c r="A156" s="6"/>
      <c r="B156" s="6"/>
      <c r="C156" s="196"/>
      <c r="E156" s="197"/>
      <c r="F156" s="196"/>
      <c r="G156" s="198"/>
      <c r="H156" s="198"/>
      <c r="I156" s="198"/>
      <c r="J156" s="198"/>
      <c r="K156" s="198"/>
      <c r="L156" s="198"/>
      <c r="M156" s="199"/>
      <c r="N156" s="199"/>
      <c r="O156" s="199"/>
      <c r="P156" s="200"/>
      <c r="Q156" s="201"/>
      <c r="R156" s="200"/>
      <c r="S156" s="200"/>
      <c r="T156" s="200"/>
      <c r="U156" s="200"/>
      <c r="V156" s="201"/>
      <c r="W156" s="201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198"/>
      <c r="AO156" s="201"/>
      <c r="AP156" s="198"/>
      <c r="AQ156" s="200"/>
      <c r="AR156" s="199"/>
      <c r="AS156" s="198"/>
      <c r="AV156" s="164"/>
      <c r="BA156" s="202"/>
      <c r="BC156" s="203"/>
      <c r="BD156" s="194"/>
      <c r="BE156" s="194"/>
    </row>
    <row r="157">
      <c r="A157" s="6"/>
      <c r="B157" s="6"/>
      <c r="C157" s="196"/>
      <c r="E157" s="197"/>
      <c r="F157" s="196"/>
      <c r="G157" s="198"/>
      <c r="H157" s="198"/>
      <c r="I157" s="198"/>
      <c r="J157" s="198"/>
      <c r="K157" s="198"/>
      <c r="L157" s="198"/>
      <c r="M157" s="199"/>
      <c r="N157" s="199"/>
      <c r="O157" s="199"/>
      <c r="P157" s="200"/>
      <c r="Q157" s="201"/>
      <c r="R157" s="200"/>
      <c r="S157" s="200"/>
      <c r="T157" s="200"/>
      <c r="U157" s="200"/>
      <c r="V157" s="201"/>
      <c r="W157" s="201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198"/>
      <c r="AO157" s="201"/>
      <c r="AP157" s="198"/>
      <c r="AQ157" s="200"/>
      <c r="AR157" s="199"/>
      <c r="AS157" s="198"/>
      <c r="AV157" s="164"/>
      <c r="BA157" s="202"/>
      <c r="BC157" s="203"/>
      <c r="BD157" s="194"/>
      <c r="BE157" s="194"/>
    </row>
    <row r="158">
      <c r="A158" s="6"/>
      <c r="B158" s="6"/>
      <c r="C158" s="196"/>
      <c r="E158" s="197"/>
      <c r="F158" s="196"/>
      <c r="G158" s="198"/>
      <c r="H158" s="198"/>
      <c r="I158" s="198"/>
      <c r="J158" s="198"/>
      <c r="K158" s="198"/>
      <c r="L158" s="198"/>
      <c r="M158" s="199"/>
      <c r="N158" s="199"/>
      <c r="O158" s="199"/>
      <c r="P158" s="200"/>
      <c r="Q158" s="201"/>
      <c r="R158" s="200"/>
      <c r="S158" s="200"/>
      <c r="T158" s="200"/>
      <c r="U158" s="200"/>
      <c r="V158" s="201"/>
      <c r="W158" s="201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198"/>
      <c r="AO158" s="201"/>
      <c r="AP158" s="198"/>
      <c r="AQ158" s="200"/>
      <c r="AR158" s="199"/>
      <c r="AS158" s="198"/>
      <c r="AV158" s="164"/>
      <c r="BA158" s="202"/>
      <c r="BC158" s="203"/>
      <c r="BD158" s="194"/>
      <c r="BE158" s="194"/>
    </row>
    <row r="159">
      <c r="A159" s="6"/>
      <c r="B159" s="6"/>
      <c r="C159" s="196"/>
      <c r="E159" s="197"/>
      <c r="F159" s="196"/>
      <c r="G159" s="198"/>
      <c r="H159" s="198"/>
      <c r="I159" s="198"/>
      <c r="J159" s="198"/>
      <c r="K159" s="198"/>
      <c r="L159" s="198"/>
      <c r="M159" s="199"/>
      <c r="N159" s="199"/>
      <c r="O159" s="199"/>
      <c r="P159" s="200"/>
      <c r="Q159" s="201"/>
      <c r="R159" s="200"/>
      <c r="S159" s="200"/>
      <c r="T159" s="200"/>
      <c r="U159" s="200"/>
      <c r="V159" s="201"/>
      <c r="W159" s="201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198"/>
      <c r="AO159" s="201"/>
      <c r="AP159" s="198"/>
      <c r="AQ159" s="200"/>
      <c r="AR159" s="199"/>
      <c r="AS159" s="198"/>
      <c r="AV159" s="164"/>
      <c r="BA159" s="202"/>
      <c r="BC159" s="203"/>
      <c r="BD159" s="194"/>
      <c r="BE159" s="194"/>
    </row>
    <row r="160">
      <c r="A160" s="6"/>
      <c r="B160" s="6"/>
      <c r="C160" s="196"/>
      <c r="E160" s="197"/>
      <c r="F160" s="196"/>
      <c r="G160" s="198"/>
      <c r="H160" s="198"/>
      <c r="I160" s="198"/>
      <c r="J160" s="198"/>
      <c r="K160" s="198"/>
      <c r="L160" s="198"/>
      <c r="M160" s="199"/>
      <c r="N160" s="199"/>
      <c r="O160" s="199"/>
      <c r="P160" s="200"/>
      <c r="Q160" s="201"/>
      <c r="R160" s="200"/>
      <c r="S160" s="200"/>
      <c r="T160" s="200"/>
      <c r="U160" s="200"/>
      <c r="V160" s="201"/>
      <c r="W160" s="201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198"/>
      <c r="AO160" s="201"/>
      <c r="AP160" s="198"/>
      <c r="AQ160" s="200"/>
      <c r="AR160" s="199"/>
      <c r="AS160" s="198"/>
      <c r="AV160" s="164"/>
      <c r="BA160" s="202"/>
      <c r="BC160" s="203"/>
      <c r="BD160" s="194"/>
      <c r="BE160" s="194"/>
    </row>
    <row r="161">
      <c r="A161" s="6"/>
      <c r="B161" s="6"/>
      <c r="C161" s="196"/>
      <c r="E161" s="197"/>
      <c r="F161" s="196"/>
      <c r="G161" s="198"/>
      <c r="H161" s="198"/>
      <c r="I161" s="198"/>
      <c r="J161" s="198"/>
      <c r="K161" s="198"/>
      <c r="L161" s="198"/>
      <c r="M161" s="199"/>
      <c r="N161" s="199"/>
      <c r="O161" s="199"/>
      <c r="P161" s="200"/>
      <c r="Q161" s="201"/>
      <c r="R161" s="200"/>
      <c r="S161" s="200"/>
      <c r="T161" s="200"/>
      <c r="U161" s="200"/>
      <c r="V161" s="201"/>
      <c r="W161" s="201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198"/>
      <c r="AO161" s="201"/>
      <c r="AP161" s="198"/>
      <c r="AQ161" s="200"/>
      <c r="AR161" s="199"/>
      <c r="AS161" s="198"/>
      <c r="AV161" s="164"/>
      <c r="BA161" s="202"/>
      <c r="BC161" s="203"/>
      <c r="BD161" s="194"/>
      <c r="BE161" s="194"/>
    </row>
    <row r="162">
      <c r="A162" s="6"/>
      <c r="B162" s="6"/>
      <c r="C162" s="196"/>
      <c r="E162" s="197"/>
      <c r="F162" s="196"/>
      <c r="G162" s="198"/>
      <c r="H162" s="198"/>
      <c r="I162" s="198"/>
      <c r="J162" s="198"/>
      <c r="K162" s="198"/>
      <c r="L162" s="198"/>
      <c r="M162" s="199"/>
      <c r="N162" s="199"/>
      <c r="O162" s="199"/>
      <c r="P162" s="200"/>
      <c r="Q162" s="201"/>
      <c r="R162" s="200"/>
      <c r="S162" s="200"/>
      <c r="T162" s="200"/>
      <c r="U162" s="200"/>
      <c r="V162" s="201"/>
      <c r="W162" s="201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198"/>
      <c r="AO162" s="201"/>
      <c r="AP162" s="198"/>
      <c r="AQ162" s="200"/>
      <c r="AR162" s="199"/>
      <c r="AS162" s="198"/>
      <c r="AV162" s="164"/>
      <c r="BA162" s="202"/>
      <c r="BC162" s="203"/>
      <c r="BD162" s="194"/>
      <c r="BE162" s="194"/>
    </row>
    <row r="163">
      <c r="A163" s="6"/>
      <c r="B163" s="6"/>
      <c r="C163" s="196"/>
      <c r="E163" s="197"/>
      <c r="F163" s="196"/>
      <c r="G163" s="198"/>
      <c r="H163" s="198"/>
      <c r="I163" s="198"/>
      <c r="J163" s="198"/>
      <c r="K163" s="198"/>
      <c r="L163" s="198"/>
      <c r="M163" s="199"/>
      <c r="N163" s="199"/>
      <c r="O163" s="199"/>
      <c r="P163" s="200"/>
      <c r="Q163" s="201"/>
      <c r="R163" s="200"/>
      <c r="S163" s="200"/>
      <c r="T163" s="200"/>
      <c r="U163" s="200"/>
      <c r="V163" s="201"/>
      <c r="W163" s="201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198"/>
      <c r="AO163" s="201"/>
      <c r="AP163" s="198"/>
      <c r="AQ163" s="200"/>
      <c r="AR163" s="199"/>
      <c r="AS163" s="198"/>
      <c r="AV163" s="164"/>
      <c r="BA163" s="202"/>
      <c r="BC163" s="203"/>
      <c r="BD163" s="194"/>
      <c r="BE163" s="194"/>
    </row>
    <row r="164">
      <c r="A164" s="6"/>
      <c r="B164" s="6"/>
      <c r="C164" s="196"/>
      <c r="E164" s="197"/>
      <c r="F164" s="196"/>
      <c r="G164" s="198"/>
      <c r="H164" s="198"/>
      <c r="I164" s="198"/>
      <c r="J164" s="198"/>
      <c r="K164" s="198"/>
      <c r="L164" s="198"/>
      <c r="M164" s="199"/>
      <c r="N164" s="199"/>
      <c r="O164" s="199"/>
      <c r="P164" s="200"/>
      <c r="Q164" s="201"/>
      <c r="R164" s="200"/>
      <c r="S164" s="200"/>
      <c r="T164" s="200"/>
      <c r="U164" s="200"/>
      <c r="V164" s="201"/>
      <c r="W164" s="201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198"/>
      <c r="AO164" s="201"/>
      <c r="AP164" s="198"/>
      <c r="AQ164" s="200"/>
      <c r="AR164" s="199"/>
      <c r="AS164" s="198"/>
      <c r="AV164" s="164"/>
      <c r="BA164" s="202"/>
      <c r="BC164" s="203"/>
      <c r="BD164" s="194"/>
      <c r="BE164" s="194"/>
    </row>
    <row r="165">
      <c r="A165" s="6"/>
      <c r="B165" s="6"/>
      <c r="C165" s="196"/>
      <c r="E165" s="197"/>
      <c r="F165" s="196"/>
      <c r="G165" s="198"/>
      <c r="H165" s="198"/>
      <c r="I165" s="198"/>
      <c r="J165" s="198"/>
      <c r="K165" s="198"/>
      <c r="L165" s="198"/>
      <c r="M165" s="199"/>
      <c r="N165" s="199"/>
      <c r="O165" s="199"/>
      <c r="P165" s="200"/>
      <c r="Q165" s="201"/>
      <c r="R165" s="200"/>
      <c r="S165" s="200"/>
      <c r="T165" s="200"/>
      <c r="U165" s="200"/>
      <c r="V165" s="201"/>
      <c r="W165" s="201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198"/>
      <c r="AO165" s="201"/>
      <c r="AP165" s="198"/>
      <c r="AQ165" s="200"/>
      <c r="AR165" s="199"/>
      <c r="AS165" s="198"/>
      <c r="AV165" s="164"/>
      <c r="BA165" s="202"/>
      <c r="BC165" s="203"/>
      <c r="BD165" s="194"/>
      <c r="BE165" s="194"/>
    </row>
    <row r="166">
      <c r="A166" s="6"/>
      <c r="B166" s="6"/>
      <c r="C166" s="196"/>
      <c r="E166" s="197"/>
      <c r="F166" s="196"/>
      <c r="G166" s="198"/>
      <c r="H166" s="198"/>
      <c r="I166" s="198"/>
      <c r="J166" s="198"/>
      <c r="K166" s="198"/>
      <c r="L166" s="198"/>
      <c r="M166" s="199"/>
      <c r="N166" s="199"/>
      <c r="O166" s="199"/>
      <c r="P166" s="200"/>
      <c r="Q166" s="201"/>
      <c r="R166" s="200"/>
      <c r="S166" s="200"/>
      <c r="T166" s="200"/>
      <c r="U166" s="200"/>
      <c r="V166" s="201"/>
      <c r="W166" s="201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198"/>
      <c r="AO166" s="201"/>
      <c r="AP166" s="198"/>
      <c r="AQ166" s="200"/>
      <c r="AR166" s="199"/>
      <c r="AS166" s="198"/>
      <c r="AV166" s="164"/>
      <c r="BA166" s="202"/>
      <c r="BC166" s="203"/>
      <c r="BD166" s="194"/>
      <c r="BE166" s="194"/>
    </row>
    <row r="167">
      <c r="A167" s="6"/>
      <c r="B167" s="6"/>
      <c r="C167" s="196"/>
      <c r="E167" s="197"/>
      <c r="F167" s="196"/>
      <c r="G167" s="198"/>
      <c r="H167" s="198"/>
      <c r="I167" s="198"/>
      <c r="J167" s="198"/>
      <c r="K167" s="198"/>
      <c r="L167" s="198"/>
      <c r="M167" s="199"/>
      <c r="N167" s="199"/>
      <c r="O167" s="199"/>
      <c r="P167" s="200"/>
      <c r="Q167" s="201"/>
      <c r="R167" s="200"/>
      <c r="S167" s="200"/>
      <c r="T167" s="200"/>
      <c r="U167" s="200"/>
      <c r="V167" s="201"/>
      <c r="W167" s="201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198"/>
      <c r="AO167" s="201"/>
      <c r="AP167" s="198"/>
      <c r="AQ167" s="200"/>
      <c r="AR167" s="199"/>
      <c r="AS167" s="198"/>
      <c r="AV167" s="164"/>
      <c r="BA167" s="202"/>
      <c r="BC167" s="203"/>
      <c r="BD167" s="194"/>
      <c r="BE167" s="194"/>
    </row>
    <row r="168">
      <c r="A168" s="6"/>
      <c r="B168" s="6"/>
      <c r="C168" s="196"/>
      <c r="E168" s="197"/>
      <c r="F168" s="196"/>
      <c r="G168" s="198"/>
      <c r="H168" s="198"/>
      <c r="I168" s="198"/>
      <c r="J168" s="198"/>
      <c r="K168" s="198"/>
      <c r="L168" s="198"/>
      <c r="M168" s="199"/>
      <c r="N168" s="199"/>
      <c r="O168" s="199"/>
      <c r="P168" s="200"/>
      <c r="Q168" s="201"/>
      <c r="R168" s="200"/>
      <c r="S168" s="200"/>
      <c r="T168" s="200"/>
      <c r="U168" s="200"/>
      <c r="V168" s="201"/>
      <c r="W168" s="201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198"/>
      <c r="AO168" s="201"/>
      <c r="AP168" s="198"/>
      <c r="AQ168" s="200"/>
      <c r="AR168" s="199"/>
      <c r="AS168" s="198"/>
      <c r="AV168" s="164"/>
      <c r="BA168" s="202"/>
      <c r="BC168" s="203"/>
      <c r="BD168" s="194"/>
      <c r="BE168" s="194"/>
    </row>
    <row r="169">
      <c r="A169" s="6"/>
      <c r="B169" s="6"/>
      <c r="C169" s="196"/>
      <c r="E169" s="197"/>
      <c r="F169" s="196"/>
      <c r="G169" s="198"/>
      <c r="H169" s="198"/>
      <c r="I169" s="198"/>
      <c r="J169" s="198"/>
      <c r="K169" s="198"/>
      <c r="L169" s="198"/>
      <c r="M169" s="199"/>
      <c r="N169" s="199"/>
      <c r="O169" s="199"/>
      <c r="P169" s="200"/>
      <c r="Q169" s="201"/>
      <c r="R169" s="200"/>
      <c r="S169" s="200"/>
      <c r="T169" s="200"/>
      <c r="U169" s="200"/>
      <c r="V169" s="201"/>
      <c r="W169" s="201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198"/>
      <c r="AO169" s="201"/>
      <c r="AP169" s="198"/>
      <c r="AQ169" s="200"/>
      <c r="AR169" s="199"/>
      <c r="AS169" s="198"/>
      <c r="AV169" s="164"/>
      <c r="BA169" s="202"/>
      <c r="BC169" s="203"/>
      <c r="BD169" s="194"/>
      <c r="BE169" s="194"/>
    </row>
    <row r="170">
      <c r="A170" s="6"/>
      <c r="B170" s="6"/>
      <c r="C170" s="196"/>
      <c r="E170" s="197"/>
      <c r="F170" s="196"/>
      <c r="G170" s="198"/>
      <c r="H170" s="198"/>
      <c r="I170" s="198"/>
      <c r="J170" s="198"/>
      <c r="K170" s="198"/>
      <c r="L170" s="198"/>
      <c r="M170" s="199"/>
      <c r="N170" s="199"/>
      <c r="O170" s="199"/>
      <c r="P170" s="200"/>
      <c r="Q170" s="201"/>
      <c r="R170" s="200"/>
      <c r="S170" s="200"/>
      <c r="T170" s="200"/>
      <c r="U170" s="200"/>
      <c r="V170" s="201"/>
      <c r="W170" s="201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198"/>
      <c r="AO170" s="201"/>
      <c r="AP170" s="198"/>
      <c r="AQ170" s="200"/>
      <c r="AR170" s="199"/>
      <c r="AS170" s="198"/>
      <c r="AV170" s="164"/>
      <c r="BA170" s="202"/>
      <c r="BC170" s="203"/>
      <c r="BD170" s="194"/>
      <c r="BE170" s="194"/>
    </row>
    <row r="171">
      <c r="A171" s="6"/>
      <c r="B171" s="6"/>
      <c r="C171" s="196"/>
      <c r="E171" s="197"/>
      <c r="F171" s="196"/>
      <c r="G171" s="198"/>
      <c r="H171" s="198"/>
      <c r="I171" s="198"/>
      <c r="J171" s="198"/>
      <c r="K171" s="198"/>
      <c r="L171" s="198"/>
      <c r="M171" s="199"/>
      <c r="N171" s="199"/>
      <c r="O171" s="199"/>
      <c r="P171" s="200"/>
      <c r="Q171" s="201"/>
      <c r="R171" s="200"/>
      <c r="S171" s="200"/>
      <c r="T171" s="200"/>
      <c r="U171" s="200"/>
      <c r="V171" s="201"/>
      <c r="W171" s="201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198"/>
      <c r="AO171" s="201"/>
      <c r="AP171" s="198"/>
      <c r="AQ171" s="200"/>
      <c r="AR171" s="199"/>
      <c r="AS171" s="198"/>
      <c r="AV171" s="164"/>
      <c r="BA171" s="202"/>
      <c r="BC171" s="203"/>
      <c r="BD171" s="194"/>
      <c r="BE171" s="194"/>
    </row>
    <row r="172">
      <c r="A172" s="6"/>
      <c r="B172" s="6"/>
      <c r="C172" s="196"/>
      <c r="E172" s="197"/>
      <c r="F172" s="196"/>
      <c r="G172" s="198"/>
      <c r="H172" s="198"/>
      <c r="I172" s="198"/>
      <c r="J172" s="198"/>
      <c r="K172" s="198"/>
      <c r="L172" s="198"/>
      <c r="M172" s="199"/>
      <c r="N172" s="199"/>
      <c r="O172" s="199"/>
      <c r="P172" s="200"/>
      <c r="Q172" s="201"/>
      <c r="R172" s="200"/>
      <c r="S172" s="200"/>
      <c r="T172" s="200"/>
      <c r="U172" s="200"/>
      <c r="V172" s="201"/>
      <c r="W172" s="201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198"/>
      <c r="AO172" s="201"/>
      <c r="AP172" s="198"/>
      <c r="AQ172" s="200"/>
      <c r="AR172" s="199"/>
      <c r="AS172" s="198"/>
      <c r="AV172" s="164"/>
      <c r="BA172" s="202"/>
      <c r="BC172" s="203"/>
      <c r="BD172" s="194"/>
      <c r="BE172" s="194"/>
    </row>
    <row r="173">
      <c r="A173" s="6"/>
      <c r="B173" s="6"/>
      <c r="C173" s="196"/>
      <c r="E173" s="197"/>
      <c r="F173" s="196"/>
      <c r="G173" s="198"/>
      <c r="H173" s="198"/>
      <c r="I173" s="198"/>
      <c r="J173" s="198"/>
      <c r="K173" s="198"/>
      <c r="L173" s="198"/>
      <c r="M173" s="199"/>
      <c r="N173" s="199"/>
      <c r="O173" s="199"/>
      <c r="P173" s="200"/>
      <c r="Q173" s="201"/>
      <c r="R173" s="200"/>
      <c r="S173" s="200"/>
      <c r="T173" s="200"/>
      <c r="U173" s="200"/>
      <c r="V173" s="201"/>
      <c r="W173" s="201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198"/>
      <c r="AO173" s="201"/>
      <c r="AP173" s="198"/>
      <c r="AQ173" s="200"/>
      <c r="AR173" s="199"/>
      <c r="AS173" s="198"/>
      <c r="AV173" s="164"/>
      <c r="BA173" s="202"/>
      <c r="BC173" s="203"/>
      <c r="BD173" s="194"/>
      <c r="BE173" s="194"/>
    </row>
    <row r="174">
      <c r="A174" s="6"/>
      <c r="B174" s="6"/>
      <c r="C174" s="196"/>
      <c r="E174" s="197"/>
      <c r="F174" s="196"/>
      <c r="G174" s="198"/>
      <c r="H174" s="198"/>
      <c r="I174" s="198"/>
      <c r="J174" s="198"/>
      <c r="K174" s="198"/>
      <c r="L174" s="198"/>
      <c r="M174" s="199"/>
      <c r="N174" s="199"/>
      <c r="O174" s="199"/>
      <c r="P174" s="200"/>
      <c r="Q174" s="201"/>
      <c r="R174" s="200"/>
      <c r="S174" s="200"/>
      <c r="T174" s="200"/>
      <c r="U174" s="200"/>
      <c r="V174" s="201"/>
      <c r="W174" s="201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198"/>
      <c r="AO174" s="201"/>
      <c r="AP174" s="198"/>
      <c r="AQ174" s="200"/>
      <c r="AR174" s="199"/>
      <c r="AS174" s="198"/>
      <c r="AV174" s="164"/>
      <c r="BA174" s="202"/>
      <c r="BC174" s="203"/>
      <c r="BD174" s="194"/>
      <c r="BE174" s="194"/>
    </row>
    <row r="175">
      <c r="A175" s="6"/>
      <c r="B175" s="6"/>
      <c r="C175" s="196"/>
      <c r="E175" s="197"/>
      <c r="F175" s="196"/>
      <c r="G175" s="198"/>
      <c r="H175" s="198"/>
      <c r="I175" s="198"/>
      <c r="J175" s="198"/>
      <c r="K175" s="198"/>
      <c r="L175" s="198"/>
      <c r="M175" s="199"/>
      <c r="N175" s="199"/>
      <c r="O175" s="199"/>
      <c r="P175" s="200"/>
      <c r="Q175" s="201"/>
      <c r="R175" s="200"/>
      <c r="S175" s="200"/>
      <c r="T175" s="200"/>
      <c r="U175" s="200"/>
      <c r="V175" s="201"/>
      <c r="W175" s="201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198"/>
      <c r="AO175" s="201"/>
      <c r="AP175" s="198"/>
      <c r="AQ175" s="200"/>
      <c r="AR175" s="199"/>
      <c r="AS175" s="198"/>
      <c r="AV175" s="164"/>
      <c r="BA175" s="202"/>
      <c r="BC175" s="203"/>
      <c r="BD175" s="194"/>
      <c r="BE175" s="194"/>
    </row>
    <row r="176">
      <c r="A176" s="6"/>
      <c r="B176" s="6"/>
      <c r="C176" s="196"/>
      <c r="E176" s="197"/>
      <c r="F176" s="196"/>
      <c r="G176" s="198"/>
      <c r="H176" s="198"/>
      <c r="I176" s="198"/>
      <c r="J176" s="198"/>
      <c r="K176" s="198"/>
      <c r="L176" s="198"/>
      <c r="M176" s="199"/>
      <c r="N176" s="199"/>
      <c r="O176" s="199"/>
      <c r="P176" s="200"/>
      <c r="Q176" s="201"/>
      <c r="R176" s="200"/>
      <c r="S176" s="200"/>
      <c r="T176" s="200"/>
      <c r="U176" s="200"/>
      <c r="V176" s="201"/>
      <c r="W176" s="201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198"/>
      <c r="AO176" s="201"/>
      <c r="AP176" s="198"/>
      <c r="AQ176" s="200"/>
      <c r="AR176" s="199"/>
      <c r="AS176" s="198"/>
      <c r="AV176" s="164"/>
      <c r="BA176" s="202"/>
      <c r="BC176" s="203"/>
      <c r="BD176" s="194"/>
      <c r="BE176" s="194"/>
    </row>
    <row r="177">
      <c r="A177" s="6"/>
      <c r="B177" s="6"/>
      <c r="C177" s="196"/>
      <c r="E177" s="197"/>
      <c r="F177" s="196"/>
      <c r="G177" s="198"/>
      <c r="H177" s="198"/>
      <c r="I177" s="198"/>
      <c r="J177" s="198"/>
      <c r="K177" s="198"/>
      <c r="L177" s="198"/>
      <c r="M177" s="199"/>
      <c r="N177" s="199"/>
      <c r="O177" s="199"/>
      <c r="P177" s="200"/>
      <c r="Q177" s="201"/>
      <c r="R177" s="200"/>
      <c r="S177" s="200"/>
      <c r="T177" s="200"/>
      <c r="U177" s="200"/>
      <c r="V177" s="201"/>
      <c r="W177" s="201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198"/>
      <c r="AO177" s="201"/>
      <c r="AP177" s="198"/>
      <c r="AQ177" s="200"/>
      <c r="AR177" s="199"/>
      <c r="AS177" s="198"/>
      <c r="AV177" s="164"/>
      <c r="BA177" s="202"/>
      <c r="BC177" s="203"/>
      <c r="BD177" s="194"/>
      <c r="BE177" s="194"/>
    </row>
    <row r="178">
      <c r="A178" s="6"/>
      <c r="B178" s="6"/>
      <c r="C178" s="196"/>
      <c r="E178" s="197"/>
      <c r="F178" s="196"/>
      <c r="G178" s="198"/>
      <c r="H178" s="198"/>
      <c r="I178" s="198"/>
      <c r="J178" s="198"/>
      <c r="K178" s="198"/>
      <c r="L178" s="198"/>
      <c r="M178" s="199"/>
      <c r="N178" s="199"/>
      <c r="O178" s="199"/>
      <c r="P178" s="200"/>
      <c r="Q178" s="201"/>
      <c r="R178" s="200"/>
      <c r="S178" s="200"/>
      <c r="T178" s="200"/>
      <c r="U178" s="200"/>
      <c r="V178" s="201"/>
      <c r="W178" s="201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198"/>
      <c r="AO178" s="201"/>
      <c r="AP178" s="198"/>
      <c r="AQ178" s="200"/>
      <c r="AR178" s="199"/>
      <c r="AS178" s="198"/>
      <c r="AV178" s="164"/>
      <c r="BA178" s="202"/>
      <c r="BC178" s="203"/>
      <c r="BD178" s="194"/>
      <c r="BE178" s="194"/>
    </row>
    <row r="179">
      <c r="A179" s="6"/>
      <c r="B179" s="6"/>
      <c r="C179" s="196"/>
      <c r="E179" s="197"/>
      <c r="F179" s="196"/>
      <c r="G179" s="198"/>
      <c r="H179" s="198"/>
      <c r="I179" s="198"/>
      <c r="J179" s="198"/>
      <c r="K179" s="198"/>
      <c r="L179" s="198"/>
      <c r="M179" s="199"/>
      <c r="N179" s="199"/>
      <c r="O179" s="199"/>
      <c r="P179" s="200"/>
      <c r="Q179" s="201"/>
      <c r="R179" s="200"/>
      <c r="S179" s="200"/>
      <c r="T179" s="200"/>
      <c r="U179" s="200"/>
      <c r="V179" s="201"/>
      <c r="W179" s="201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198"/>
      <c r="AO179" s="201"/>
      <c r="AP179" s="198"/>
      <c r="AQ179" s="200"/>
      <c r="AR179" s="199"/>
      <c r="AS179" s="198"/>
      <c r="AV179" s="164"/>
      <c r="BA179" s="202"/>
      <c r="BC179" s="203"/>
      <c r="BD179" s="194"/>
      <c r="BE179" s="194"/>
    </row>
    <row r="180">
      <c r="A180" s="6"/>
      <c r="B180" s="6"/>
      <c r="C180" s="196"/>
      <c r="E180" s="197"/>
      <c r="F180" s="196"/>
      <c r="G180" s="198"/>
      <c r="H180" s="198"/>
      <c r="I180" s="198"/>
      <c r="J180" s="198"/>
      <c r="K180" s="198"/>
      <c r="L180" s="198"/>
      <c r="M180" s="199"/>
      <c r="N180" s="199"/>
      <c r="O180" s="199"/>
      <c r="P180" s="200"/>
      <c r="Q180" s="201"/>
      <c r="R180" s="200"/>
      <c r="S180" s="200"/>
      <c r="T180" s="200"/>
      <c r="U180" s="200"/>
      <c r="V180" s="201"/>
      <c r="W180" s="201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198"/>
      <c r="AO180" s="201"/>
      <c r="AP180" s="198"/>
      <c r="AQ180" s="200"/>
      <c r="AR180" s="199"/>
      <c r="AS180" s="198"/>
      <c r="AV180" s="164"/>
      <c r="BA180" s="202"/>
      <c r="BC180" s="203"/>
      <c r="BD180" s="194"/>
      <c r="BE180" s="194"/>
    </row>
    <row r="181">
      <c r="A181" s="6"/>
      <c r="B181" s="6"/>
      <c r="C181" s="196"/>
      <c r="E181" s="197"/>
      <c r="F181" s="196"/>
      <c r="G181" s="198"/>
      <c r="H181" s="198"/>
      <c r="I181" s="198"/>
      <c r="J181" s="198"/>
      <c r="K181" s="198"/>
      <c r="L181" s="198"/>
      <c r="M181" s="199"/>
      <c r="N181" s="199"/>
      <c r="O181" s="199"/>
      <c r="P181" s="200"/>
      <c r="Q181" s="201"/>
      <c r="R181" s="200"/>
      <c r="S181" s="200"/>
      <c r="T181" s="200"/>
      <c r="U181" s="200"/>
      <c r="V181" s="201"/>
      <c r="W181" s="201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198"/>
      <c r="AO181" s="201"/>
      <c r="AP181" s="198"/>
      <c r="AQ181" s="200"/>
      <c r="AR181" s="199"/>
      <c r="AS181" s="198"/>
      <c r="AV181" s="164"/>
      <c r="BA181" s="202"/>
      <c r="BC181" s="203"/>
      <c r="BD181" s="194"/>
      <c r="BE181" s="194"/>
    </row>
    <row r="182">
      <c r="A182" s="6"/>
      <c r="B182" s="6"/>
      <c r="C182" s="196"/>
      <c r="E182" s="197"/>
      <c r="F182" s="196"/>
      <c r="G182" s="198"/>
      <c r="H182" s="198"/>
      <c r="I182" s="198"/>
      <c r="J182" s="198"/>
      <c r="K182" s="198"/>
      <c r="L182" s="198"/>
      <c r="M182" s="199"/>
      <c r="N182" s="199"/>
      <c r="O182" s="199"/>
      <c r="P182" s="200"/>
      <c r="Q182" s="201"/>
      <c r="R182" s="200"/>
      <c r="S182" s="200"/>
      <c r="T182" s="200"/>
      <c r="U182" s="200"/>
      <c r="V182" s="201"/>
      <c r="W182" s="201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198"/>
      <c r="AO182" s="201"/>
      <c r="AP182" s="198"/>
      <c r="AQ182" s="200"/>
      <c r="AR182" s="199"/>
      <c r="AS182" s="198"/>
      <c r="AV182" s="164"/>
      <c r="BA182" s="202"/>
      <c r="BC182" s="203"/>
      <c r="BD182" s="194"/>
      <c r="BE182" s="194"/>
    </row>
    <row r="183">
      <c r="A183" s="6"/>
      <c r="B183" s="6"/>
      <c r="C183" s="196"/>
      <c r="E183" s="197"/>
      <c r="F183" s="196"/>
      <c r="G183" s="198"/>
      <c r="H183" s="198"/>
      <c r="I183" s="198"/>
      <c r="J183" s="198"/>
      <c r="K183" s="198"/>
      <c r="L183" s="198"/>
      <c r="M183" s="199"/>
      <c r="N183" s="199"/>
      <c r="O183" s="199"/>
      <c r="P183" s="200"/>
      <c r="Q183" s="201"/>
      <c r="R183" s="200"/>
      <c r="S183" s="200"/>
      <c r="T183" s="200"/>
      <c r="U183" s="200"/>
      <c r="V183" s="201"/>
      <c r="W183" s="201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198"/>
      <c r="AO183" s="201"/>
      <c r="AP183" s="198"/>
      <c r="AQ183" s="200"/>
      <c r="AR183" s="199"/>
      <c r="AS183" s="198"/>
      <c r="AV183" s="164"/>
      <c r="BA183" s="202"/>
      <c r="BC183" s="203"/>
      <c r="BD183" s="194"/>
      <c r="BE183" s="194"/>
    </row>
    <row r="184">
      <c r="A184" s="6"/>
      <c r="B184" s="6"/>
      <c r="C184" s="196"/>
      <c r="E184" s="197"/>
      <c r="F184" s="196"/>
      <c r="G184" s="198"/>
      <c r="H184" s="198"/>
      <c r="I184" s="198"/>
      <c r="J184" s="198"/>
      <c r="K184" s="198"/>
      <c r="L184" s="198"/>
      <c r="M184" s="199"/>
      <c r="N184" s="199"/>
      <c r="O184" s="199"/>
      <c r="P184" s="200"/>
      <c r="Q184" s="201"/>
      <c r="R184" s="200"/>
      <c r="S184" s="200"/>
      <c r="T184" s="200"/>
      <c r="U184" s="200"/>
      <c r="V184" s="201"/>
      <c r="W184" s="201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198"/>
      <c r="AO184" s="201"/>
      <c r="AP184" s="198"/>
      <c r="AQ184" s="200"/>
      <c r="AR184" s="199"/>
      <c r="AS184" s="198"/>
      <c r="AV184" s="164"/>
      <c r="BA184" s="202"/>
      <c r="BC184" s="203"/>
      <c r="BD184" s="194"/>
      <c r="BE184" s="194"/>
    </row>
    <row r="185">
      <c r="A185" s="6"/>
      <c r="B185" s="6"/>
      <c r="C185" s="196"/>
      <c r="E185" s="197"/>
      <c r="F185" s="196"/>
      <c r="G185" s="198"/>
      <c r="H185" s="198"/>
      <c r="I185" s="198"/>
      <c r="J185" s="198"/>
      <c r="K185" s="198"/>
      <c r="L185" s="198"/>
      <c r="M185" s="199"/>
      <c r="N185" s="199"/>
      <c r="O185" s="199"/>
      <c r="P185" s="200"/>
      <c r="Q185" s="201"/>
      <c r="R185" s="200"/>
      <c r="S185" s="200"/>
      <c r="T185" s="200"/>
      <c r="U185" s="200"/>
      <c r="V185" s="201"/>
      <c r="W185" s="201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198"/>
      <c r="AO185" s="201"/>
      <c r="AP185" s="198"/>
      <c r="AQ185" s="200"/>
      <c r="AR185" s="199"/>
      <c r="AS185" s="198"/>
      <c r="AV185" s="164"/>
      <c r="BA185" s="202"/>
      <c r="BC185" s="203"/>
      <c r="BD185" s="194"/>
      <c r="BE185" s="194"/>
    </row>
    <row r="186">
      <c r="A186" s="6"/>
      <c r="B186" s="6"/>
      <c r="C186" s="196"/>
      <c r="E186" s="197"/>
      <c r="F186" s="196"/>
      <c r="G186" s="198"/>
      <c r="H186" s="198"/>
      <c r="I186" s="198"/>
      <c r="J186" s="198"/>
      <c r="K186" s="198"/>
      <c r="L186" s="198"/>
      <c r="M186" s="199"/>
      <c r="N186" s="199"/>
      <c r="O186" s="199"/>
      <c r="P186" s="200"/>
      <c r="Q186" s="201"/>
      <c r="R186" s="200"/>
      <c r="S186" s="200"/>
      <c r="T186" s="200"/>
      <c r="U186" s="200"/>
      <c r="V186" s="201"/>
      <c r="W186" s="201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198"/>
      <c r="AO186" s="201"/>
      <c r="AP186" s="198"/>
      <c r="AQ186" s="200"/>
      <c r="AR186" s="199"/>
      <c r="AS186" s="198"/>
      <c r="AV186" s="164"/>
      <c r="BA186" s="202"/>
      <c r="BC186" s="203"/>
      <c r="BD186" s="194"/>
      <c r="BE186" s="194"/>
    </row>
    <row r="187">
      <c r="A187" s="6"/>
      <c r="B187" s="6"/>
      <c r="C187" s="196"/>
      <c r="E187" s="197"/>
      <c r="F187" s="196"/>
      <c r="G187" s="198"/>
      <c r="H187" s="198"/>
      <c r="I187" s="198"/>
      <c r="J187" s="198"/>
      <c r="K187" s="198"/>
      <c r="L187" s="198"/>
      <c r="M187" s="199"/>
      <c r="N187" s="199"/>
      <c r="O187" s="199"/>
      <c r="P187" s="200"/>
      <c r="Q187" s="201"/>
      <c r="R187" s="200"/>
      <c r="S187" s="200"/>
      <c r="T187" s="200"/>
      <c r="U187" s="200"/>
      <c r="V187" s="201"/>
      <c r="W187" s="201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198"/>
      <c r="AO187" s="201"/>
      <c r="AP187" s="198"/>
      <c r="AQ187" s="200"/>
      <c r="AR187" s="199"/>
      <c r="AS187" s="198"/>
      <c r="AV187" s="164"/>
      <c r="BA187" s="202"/>
      <c r="BC187" s="203"/>
      <c r="BD187" s="194"/>
      <c r="BE187" s="194"/>
    </row>
    <row r="188">
      <c r="A188" s="6"/>
      <c r="B188" s="6"/>
      <c r="C188" s="196"/>
      <c r="E188" s="197"/>
      <c r="F188" s="196"/>
      <c r="G188" s="198"/>
      <c r="H188" s="198"/>
      <c r="I188" s="198"/>
      <c r="J188" s="198"/>
      <c r="K188" s="198"/>
      <c r="L188" s="198"/>
      <c r="M188" s="199"/>
      <c r="N188" s="199"/>
      <c r="O188" s="199"/>
      <c r="P188" s="200"/>
      <c r="Q188" s="201"/>
      <c r="R188" s="200"/>
      <c r="S188" s="200"/>
      <c r="T188" s="200"/>
      <c r="U188" s="200"/>
      <c r="V188" s="201"/>
      <c r="W188" s="201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198"/>
      <c r="AO188" s="201"/>
      <c r="AP188" s="198"/>
      <c r="AQ188" s="200"/>
      <c r="AR188" s="199"/>
      <c r="AS188" s="198"/>
      <c r="AV188" s="164"/>
      <c r="BA188" s="202"/>
      <c r="BC188" s="203"/>
      <c r="BD188" s="194"/>
      <c r="BE188" s="194"/>
    </row>
    <row r="189">
      <c r="A189" s="6"/>
      <c r="B189" s="6"/>
      <c r="C189" s="196"/>
      <c r="E189" s="197"/>
      <c r="F189" s="196"/>
      <c r="G189" s="198"/>
      <c r="H189" s="198"/>
      <c r="I189" s="198"/>
      <c r="J189" s="198"/>
      <c r="K189" s="198"/>
      <c r="L189" s="198"/>
      <c r="M189" s="199"/>
      <c r="N189" s="199"/>
      <c r="O189" s="199"/>
      <c r="P189" s="200"/>
      <c r="Q189" s="201"/>
      <c r="R189" s="200"/>
      <c r="S189" s="200"/>
      <c r="T189" s="200"/>
      <c r="U189" s="200"/>
      <c r="V189" s="201"/>
      <c r="W189" s="201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198"/>
      <c r="AO189" s="201"/>
      <c r="AP189" s="198"/>
      <c r="AQ189" s="200"/>
      <c r="AR189" s="199"/>
      <c r="AS189" s="198"/>
      <c r="AV189" s="164"/>
      <c r="BA189" s="202"/>
      <c r="BC189" s="203"/>
      <c r="BD189" s="194"/>
      <c r="BE189" s="194"/>
    </row>
    <row r="190">
      <c r="A190" s="6"/>
      <c r="B190" s="6"/>
      <c r="C190" s="196"/>
      <c r="E190" s="197"/>
      <c r="F190" s="196"/>
      <c r="G190" s="198"/>
      <c r="H190" s="198"/>
      <c r="I190" s="198"/>
      <c r="J190" s="198"/>
      <c r="K190" s="198"/>
      <c r="L190" s="198"/>
      <c r="M190" s="199"/>
      <c r="N190" s="199"/>
      <c r="O190" s="199"/>
      <c r="P190" s="200"/>
      <c r="Q190" s="201"/>
      <c r="R190" s="200"/>
      <c r="S190" s="200"/>
      <c r="T190" s="200"/>
      <c r="U190" s="200"/>
      <c r="V190" s="201"/>
      <c r="W190" s="201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198"/>
      <c r="AO190" s="201"/>
      <c r="AP190" s="198"/>
      <c r="AQ190" s="200"/>
      <c r="AR190" s="199"/>
      <c r="AS190" s="198"/>
      <c r="AV190" s="164"/>
      <c r="BA190" s="202"/>
      <c r="BC190" s="203"/>
      <c r="BD190" s="194"/>
      <c r="BE190" s="194"/>
    </row>
    <row r="191">
      <c r="A191" s="6"/>
      <c r="B191" s="6"/>
      <c r="C191" s="196"/>
      <c r="E191" s="197"/>
      <c r="F191" s="196"/>
      <c r="G191" s="198"/>
      <c r="H191" s="198"/>
      <c r="I191" s="198"/>
      <c r="J191" s="198"/>
      <c r="K191" s="198"/>
      <c r="L191" s="198"/>
      <c r="M191" s="199"/>
      <c r="N191" s="199"/>
      <c r="O191" s="199"/>
      <c r="P191" s="200"/>
      <c r="Q191" s="201"/>
      <c r="R191" s="200"/>
      <c r="S191" s="200"/>
      <c r="T191" s="200"/>
      <c r="U191" s="200"/>
      <c r="V191" s="201"/>
      <c r="W191" s="201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198"/>
      <c r="AO191" s="201"/>
      <c r="AP191" s="198"/>
      <c r="AQ191" s="200"/>
      <c r="AR191" s="199"/>
      <c r="AS191" s="198"/>
      <c r="AV191" s="164"/>
      <c r="BA191" s="202"/>
      <c r="BC191" s="203"/>
      <c r="BD191" s="194"/>
      <c r="BE191" s="194"/>
    </row>
    <row r="192">
      <c r="A192" s="6"/>
      <c r="B192" s="6"/>
      <c r="C192" s="196"/>
      <c r="E192" s="197"/>
      <c r="F192" s="196"/>
      <c r="G192" s="198"/>
      <c r="H192" s="198"/>
      <c r="I192" s="198"/>
      <c r="J192" s="198"/>
      <c r="K192" s="198"/>
      <c r="L192" s="198"/>
      <c r="M192" s="199"/>
      <c r="N192" s="199"/>
      <c r="O192" s="199"/>
      <c r="P192" s="200"/>
      <c r="Q192" s="201"/>
      <c r="R192" s="200"/>
      <c r="S192" s="200"/>
      <c r="T192" s="200"/>
      <c r="U192" s="200"/>
      <c r="V192" s="201"/>
      <c r="W192" s="201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198"/>
      <c r="AO192" s="201"/>
      <c r="AP192" s="198"/>
      <c r="AQ192" s="200"/>
      <c r="AR192" s="199"/>
      <c r="AS192" s="198"/>
      <c r="AV192" s="164"/>
      <c r="BA192" s="202"/>
      <c r="BC192" s="203"/>
      <c r="BD192" s="194"/>
      <c r="BE192" s="194"/>
    </row>
    <row r="193">
      <c r="A193" s="6"/>
      <c r="B193" s="6"/>
      <c r="C193" s="196"/>
      <c r="E193" s="197"/>
      <c r="F193" s="196"/>
      <c r="G193" s="198"/>
      <c r="H193" s="198"/>
      <c r="I193" s="198"/>
      <c r="J193" s="198"/>
      <c r="K193" s="198"/>
      <c r="L193" s="198"/>
      <c r="M193" s="199"/>
      <c r="N193" s="199"/>
      <c r="O193" s="199"/>
      <c r="P193" s="200"/>
      <c r="Q193" s="201"/>
      <c r="R193" s="200"/>
      <c r="S193" s="200"/>
      <c r="T193" s="200"/>
      <c r="U193" s="200"/>
      <c r="V193" s="201"/>
      <c r="W193" s="201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198"/>
      <c r="AO193" s="201"/>
      <c r="AP193" s="198"/>
      <c r="AQ193" s="200"/>
      <c r="AR193" s="199"/>
      <c r="AS193" s="198"/>
      <c r="AV193" s="164"/>
      <c r="BA193" s="202"/>
      <c r="BC193" s="203"/>
      <c r="BD193" s="194"/>
      <c r="BE193" s="194"/>
    </row>
    <row r="194">
      <c r="A194" s="6"/>
      <c r="B194" s="6"/>
      <c r="C194" s="196"/>
      <c r="E194" s="197"/>
      <c r="F194" s="196"/>
      <c r="G194" s="198"/>
      <c r="H194" s="198"/>
      <c r="I194" s="198"/>
      <c r="J194" s="198"/>
      <c r="K194" s="198"/>
      <c r="L194" s="198"/>
      <c r="M194" s="199"/>
      <c r="N194" s="199"/>
      <c r="O194" s="199"/>
      <c r="P194" s="200"/>
      <c r="Q194" s="201"/>
      <c r="R194" s="200"/>
      <c r="S194" s="200"/>
      <c r="T194" s="200"/>
      <c r="U194" s="200"/>
      <c r="V194" s="201"/>
      <c r="W194" s="201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198"/>
      <c r="AO194" s="201"/>
      <c r="AP194" s="198"/>
      <c r="AQ194" s="200"/>
      <c r="AR194" s="199"/>
      <c r="AS194" s="198"/>
      <c r="AV194" s="164"/>
      <c r="BA194" s="202"/>
      <c r="BC194" s="203"/>
      <c r="BD194" s="194"/>
      <c r="BE194" s="194"/>
    </row>
    <row r="195">
      <c r="A195" s="6"/>
      <c r="B195" s="6"/>
      <c r="C195" s="196"/>
      <c r="E195" s="197"/>
      <c r="F195" s="196"/>
      <c r="G195" s="198"/>
      <c r="H195" s="198"/>
      <c r="I195" s="198"/>
      <c r="J195" s="198"/>
      <c r="K195" s="198"/>
      <c r="L195" s="198"/>
      <c r="M195" s="199"/>
      <c r="N195" s="199"/>
      <c r="O195" s="199"/>
      <c r="P195" s="200"/>
      <c r="Q195" s="201"/>
      <c r="R195" s="200"/>
      <c r="S195" s="200"/>
      <c r="T195" s="200"/>
      <c r="U195" s="200"/>
      <c r="V195" s="201"/>
      <c r="W195" s="201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198"/>
      <c r="AO195" s="201"/>
      <c r="AP195" s="198"/>
      <c r="AQ195" s="200"/>
      <c r="AR195" s="199"/>
      <c r="AS195" s="198"/>
      <c r="AV195" s="164"/>
      <c r="BA195" s="202"/>
      <c r="BC195" s="203"/>
      <c r="BD195" s="194"/>
      <c r="BE195" s="194"/>
    </row>
    <row r="196">
      <c r="A196" s="6"/>
      <c r="B196" s="6"/>
      <c r="C196" s="196"/>
      <c r="E196" s="197"/>
      <c r="F196" s="196"/>
      <c r="G196" s="198"/>
      <c r="H196" s="198"/>
      <c r="I196" s="198"/>
      <c r="J196" s="198"/>
      <c r="K196" s="198"/>
      <c r="L196" s="198"/>
      <c r="M196" s="199"/>
      <c r="N196" s="199"/>
      <c r="O196" s="199"/>
      <c r="P196" s="200"/>
      <c r="Q196" s="201"/>
      <c r="R196" s="200"/>
      <c r="S196" s="200"/>
      <c r="T196" s="200"/>
      <c r="U196" s="200"/>
      <c r="V196" s="201"/>
      <c r="W196" s="201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198"/>
      <c r="AO196" s="201"/>
      <c r="AP196" s="198"/>
      <c r="AQ196" s="200"/>
      <c r="AR196" s="199"/>
      <c r="AS196" s="198"/>
      <c r="AV196" s="164"/>
      <c r="BA196" s="202"/>
      <c r="BC196" s="203"/>
      <c r="BD196" s="194"/>
      <c r="BE196" s="194"/>
    </row>
    <row r="197">
      <c r="A197" s="6"/>
      <c r="B197" s="6"/>
      <c r="C197" s="196"/>
      <c r="E197" s="197"/>
      <c r="F197" s="196"/>
      <c r="G197" s="198"/>
      <c r="H197" s="198"/>
      <c r="I197" s="198"/>
      <c r="J197" s="198"/>
      <c r="K197" s="198"/>
      <c r="L197" s="198"/>
      <c r="M197" s="199"/>
      <c r="N197" s="199"/>
      <c r="O197" s="199"/>
      <c r="P197" s="200"/>
      <c r="Q197" s="201"/>
      <c r="R197" s="200"/>
      <c r="S197" s="200"/>
      <c r="T197" s="200"/>
      <c r="U197" s="200"/>
      <c r="V197" s="201"/>
      <c r="W197" s="201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198"/>
      <c r="AO197" s="201"/>
      <c r="AP197" s="198"/>
      <c r="AQ197" s="200"/>
      <c r="AR197" s="199"/>
      <c r="AS197" s="198"/>
      <c r="AV197" s="164"/>
      <c r="BA197" s="202"/>
      <c r="BC197" s="203"/>
      <c r="BD197" s="194"/>
      <c r="BE197" s="194"/>
    </row>
    <row r="198">
      <c r="A198" s="6"/>
      <c r="B198" s="6"/>
      <c r="C198" s="196"/>
      <c r="E198" s="197"/>
      <c r="F198" s="196"/>
      <c r="G198" s="198"/>
      <c r="H198" s="198"/>
      <c r="I198" s="198"/>
      <c r="J198" s="198"/>
      <c r="K198" s="198"/>
      <c r="L198" s="198"/>
      <c r="M198" s="199"/>
      <c r="N198" s="199"/>
      <c r="O198" s="199"/>
      <c r="P198" s="200"/>
      <c r="Q198" s="201"/>
      <c r="R198" s="200"/>
      <c r="S198" s="200"/>
      <c r="T198" s="200"/>
      <c r="U198" s="200"/>
      <c r="V198" s="201"/>
      <c r="W198" s="201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198"/>
      <c r="AO198" s="201"/>
      <c r="AP198" s="198"/>
      <c r="AQ198" s="200"/>
      <c r="AR198" s="199"/>
      <c r="AS198" s="198"/>
      <c r="AV198" s="164"/>
      <c r="BA198" s="202"/>
      <c r="BC198" s="203"/>
      <c r="BD198" s="194"/>
      <c r="BE198" s="194"/>
    </row>
    <row r="199">
      <c r="A199" s="6"/>
      <c r="B199" s="6"/>
      <c r="C199" s="196"/>
      <c r="E199" s="197"/>
      <c r="F199" s="196"/>
      <c r="G199" s="198"/>
      <c r="H199" s="198"/>
      <c r="I199" s="198"/>
      <c r="J199" s="198"/>
      <c r="K199" s="198"/>
      <c r="L199" s="198"/>
      <c r="M199" s="199"/>
      <c r="N199" s="199"/>
      <c r="O199" s="199"/>
      <c r="P199" s="200"/>
      <c r="Q199" s="201"/>
      <c r="R199" s="200"/>
      <c r="S199" s="200"/>
      <c r="T199" s="200"/>
      <c r="U199" s="200"/>
      <c r="V199" s="201"/>
      <c r="W199" s="201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198"/>
      <c r="AO199" s="201"/>
      <c r="AP199" s="198"/>
      <c r="AQ199" s="200"/>
      <c r="AR199" s="199"/>
      <c r="AS199" s="198"/>
      <c r="AV199" s="164"/>
      <c r="BA199" s="202"/>
      <c r="BC199" s="203"/>
      <c r="BD199" s="194"/>
      <c r="BE199" s="194"/>
    </row>
    <row r="200">
      <c r="A200" s="6"/>
      <c r="B200" s="6"/>
      <c r="C200" s="196"/>
      <c r="E200" s="197"/>
      <c r="F200" s="196"/>
      <c r="G200" s="198"/>
      <c r="H200" s="198"/>
      <c r="I200" s="198"/>
      <c r="J200" s="198"/>
      <c r="K200" s="198"/>
      <c r="L200" s="198"/>
      <c r="M200" s="199"/>
      <c r="N200" s="199"/>
      <c r="O200" s="199"/>
      <c r="P200" s="200"/>
      <c r="Q200" s="201"/>
      <c r="R200" s="200"/>
      <c r="S200" s="200"/>
      <c r="T200" s="200"/>
      <c r="U200" s="200"/>
      <c r="V200" s="201"/>
      <c r="W200" s="201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198"/>
      <c r="AO200" s="201"/>
      <c r="AP200" s="198"/>
      <c r="AQ200" s="200"/>
      <c r="AR200" s="199"/>
      <c r="AS200" s="198"/>
      <c r="AV200" s="164"/>
      <c r="BA200" s="202"/>
      <c r="BC200" s="203"/>
      <c r="BD200" s="194"/>
      <c r="BE200" s="194"/>
    </row>
    <row r="201">
      <c r="A201" s="6"/>
      <c r="B201" s="6"/>
      <c r="C201" s="196"/>
      <c r="E201" s="197"/>
      <c r="F201" s="196"/>
      <c r="G201" s="198"/>
      <c r="H201" s="198"/>
      <c r="I201" s="198"/>
      <c r="J201" s="198"/>
      <c r="K201" s="198"/>
      <c r="L201" s="198"/>
      <c r="M201" s="199"/>
      <c r="N201" s="199"/>
      <c r="O201" s="199"/>
      <c r="P201" s="200"/>
      <c r="Q201" s="201"/>
      <c r="R201" s="200"/>
      <c r="S201" s="200"/>
      <c r="T201" s="200"/>
      <c r="U201" s="200"/>
      <c r="V201" s="201"/>
      <c r="W201" s="201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198"/>
      <c r="AO201" s="201"/>
      <c r="AP201" s="198"/>
      <c r="AQ201" s="200"/>
      <c r="AR201" s="199"/>
      <c r="AS201" s="198"/>
      <c r="AV201" s="164"/>
      <c r="BA201" s="202"/>
      <c r="BC201" s="203"/>
      <c r="BD201" s="194"/>
      <c r="BE201" s="194"/>
    </row>
    <row r="202">
      <c r="A202" s="6"/>
      <c r="B202" s="6"/>
      <c r="C202" s="196"/>
      <c r="E202" s="197"/>
      <c r="F202" s="196"/>
      <c r="G202" s="198"/>
      <c r="H202" s="198"/>
      <c r="I202" s="198"/>
      <c r="J202" s="198"/>
      <c r="K202" s="198"/>
      <c r="L202" s="198"/>
      <c r="M202" s="199"/>
      <c r="N202" s="199"/>
      <c r="O202" s="199"/>
      <c r="P202" s="200"/>
      <c r="Q202" s="201"/>
      <c r="R202" s="200"/>
      <c r="S202" s="200"/>
      <c r="T202" s="200"/>
      <c r="U202" s="200"/>
      <c r="V202" s="201"/>
      <c r="W202" s="201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198"/>
      <c r="AO202" s="201"/>
      <c r="AP202" s="198"/>
      <c r="AQ202" s="200"/>
      <c r="AR202" s="199"/>
      <c r="AS202" s="198"/>
      <c r="AV202" s="164"/>
      <c r="BA202" s="202"/>
      <c r="BC202" s="203"/>
      <c r="BD202" s="194"/>
      <c r="BE202" s="194"/>
    </row>
    <row r="203">
      <c r="A203" s="6"/>
      <c r="B203" s="6"/>
      <c r="C203" s="196"/>
      <c r="E203" s="197"/>
      <c r="F203" s="196"/>
      <c r="G203" s="198"/>
      <c r="H203" s="198"/>
      <c r="I203" s="198"/>
      <c r="J203" s="198"/>
      <c r="K203" s="198"/>
      <c r="L203" s="198"/>
      <c r="M203" s="199"/>
      <c r="N203" s="199"/>
      <c r="O203" s="199"/>
      <c r="P203" s="200"/>
      <c r="Q203" s="201"/>
      <c r="R203" s="200"/>
      <c r="S203" s="200"/>
      <c r="T203" s="200"/>
      <c r="U203" s="200"/>
      <c r="V203" s="201"/>
      <c r="W203" s="201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198"/>
      <c r="AO203" s="201"/>
      <c r="AP203" s="198"/>
      <c r="AQ203" s="200"/>
      <c r="AR203" s="199"/>
      <c r="AS203" s="198"/>
      <c r="AV203" s="164"/>
      <c r="BA203" s="202"/>
      <c r="BC203" s="203"/>
      <c r="BD203" s="194"/>
      <c r="BE203" s="194"/>
    </row>
    <row r="204">
      <c r="A204" s="6"/>
      <c r="B204" s="6"/>
      <c r="C204" s="196"/>
      <c r="E204" s="197"/>
      <c r="F204" s="196"/>
      <c r="G204" s="198"/>
      <c r="H204" s="198"/>
      <c r="I204" s="198"/>
      <c r="J204" s="198"/>
      <c r="K204" s="198"/>
      <c r="L204" s="198"/>
      <c r="M204" s="199"/>
      <c r="N204" s="199"/>
      <c r="O204" s="199"/>
      <c r="P204" s="200"/>
      <c r="Q204" s="201"/>
      <c r="R204" s="200"/>
      <c r="S204" s="200"/>
      <c r="T204" s="200"/>
      <c r="U204" s="200"/>
      <c r="V204" s="201"/>
      <c r="W204" s="201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198"/>
      <c r="AO204" s="201"/>
      <c r="AP204" s="198"/>
      <c r="AQ204" s="200"/>
      <c r="AR204" s="199"/>
      <c r="AS204" s="198"/>
      <c r="AV204" s="164"/>
      <c r="BA204" s="202"/>
      <c r="BC204" s="203"/>
      <c r="BD204" s="194"/>
      <c r="BE204" s="194"/>
    </row>
    <row r="205">
      <c r="A205" s="6"/>
      <c r="B205" s="6"/>
      <c r="C205" s="196"/>
      <c r="E205" s="197"/>
      <c r="F205" s="196"/>
      <c r="G205" s="198"/>
      <c r="H205" s="198"/>
      <c r="I205" s="198"/>
      <c r="J205" s="198"/>
      <c r="K205" s="198"/>
      <c r="L205" s="198"/>
      <c r="M205" s="199"/>
      <c r="N205" s="199"/>
      <c r="O205" s="199"/>
      <c r="P205" s="200"/>
      <c r="Q205" s="201"/>
      <c r="R205" s="200"/>
      <c r="S205" s="200"/>
      <c r="T205" s="200"/>
      <c r="U205" s="200"/>
      <c r="V205" s="201"/>
      <c r="W205" s="201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198"/>
      <c r="AO205" s="201"/>
      <c r="AP205" s="198"/>
      <c r="AQ205" s="200"/>
      <c r="AR205" s="199"/>
      <c r="AS205" s="198"/>
      <c r="AV205" s="164"/>
      <c r="BA205" s="202"/>
      <c r="BC205" s="203"/>
      <c r="BD205" s="194"/>
      <c r="BE205" s="194"/>
    </row>
    <row r="206">
      <c r="A206" s="6"/>
      <c r="B206" s="6"/>
      <c r="C206" s="196"/>
      <c r="E206" s="197"/>
      <c r="F206" s="196"/>
      <c r="G206" s="198"/>
      <c r="H206" s="198"/>
      <c r="I206" s="198"/>
      <c r="J206" s="198"/>
      <c r="K206" s="198"/>
      <c r="L206" s="198"/>
      <c r="M206" s="199"/>
      <c r="N206" s="199"/>
      <c r="O206" s="199"/>
      <c r="P206" s="200"/>
      <c r="Q206" s="201"/>
      <c r="R206" s="200"/>
      <c r="S206" s="200"/>
      <c r="T206" s="200"/>
      <c r="U206" s="200"/>
      <c r="V206" s="201"/>
      <c r="W206" s="201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198"/>
      <c r="AO206" s="201"/>
      <c r="AP206" s="198"/>
      <c r="AQ206" s="200"/>
      <c r="AR206" s="199"/>
      <c r="AS206" s="198"/>
      <c r="AV206" s="164"/>
      <c r="BA206" s="202"/>
      <c r="BC206" s="203"/>
      <c r="BD206" s="194"/>
      <c r="BE206" s="194"/>
    </row>
    <row r="207">
      <c r="A207" s="6"/>
      <c r="B207" s="6"/>
      <c r="C207" s="196"/>
      <c r="E207" s="197"/>
      <c r="F207" s="196"/>
      <c r="G207" s="198"/>
      <c r="H207" s="198"/>
      <c r="I207" s="198"/>
      <c r="J207" s="198"/>
      <c r="K207" s="198"/>
      <c r="L207" s="198"/>
      <c r="M207" s="199"/>
      <c r="N207" s="199"/>
      <c r="O207" s="199"/>
      <c r="P207" s="200"/>
      <c r="Q207" s="201"/>
      <c r="R207" s="200"/>
      <c r="S207" s="200"/>
      <c r="T207" s="200"/>
      <c r="U207" s="200"/>
      <c r="V207" s="201"/>
      <c r="W207" s="201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198"/>
      <c r="AO207" s="201"/>
      <c r="AP207" s="198"/>
      <c r="AQ207" s="200"/>
      <c r="AR207" s="199"/>
      <c r="AS207" s="198"/>
      <c r="AV207" s="164"/>
      <c r="BA207" s="202"/>
      <c r="BC207" s="203"/>
      <c r="BD207" s="194"/>
      <c r="BE207" s="194"/>
    </row>
    <row r="208">
      <c r="A208" s="6"/>
      <c r="B208" s="6"/>
      <c r="C208" s="196"/>
      <c r="E208" s="197"/>
      <c r="F208" s="196"/>
      <c r="G208" s="198"/>
      <c r="H208" s="198"/>
      <c r="I208" s="198"/>
      <c r="J208" s="198"/>
      <c r="K208" s="198"/>
      <c r="L208" s="198"/>
      <c r="M208" s="199"/>
      <c r="N208" s="199"/>
      <c r="O208" s="199"/>
      <c r="P208" s="200"/>
      <c r="Q208" s="201"/>
      <c r="R208" s="200"/>
      <c r="S208" s="200"/>
      <c r="T208" s="200"/>
      <c r="U208" s="200"/>
      <c r="V208" s="201"/>
      <c r="W208" s="201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198"/>
      <c r="AO208" s="201"/>
      <c r="AP208" s="198"/>
      <c r="AQ208" s="200"/>
      <c r="AR208" s="199"/>
      <c r="AS208" s="198"/>
      <c r="AV208" s="164"/>
      <c r="BA208" s="202"/>
      <c r="BC208" s="203"/>
      <c r="BD208" s="194"/>
      <c r="BE208" s="194"/>
    </row>
    <row r="209">
      <c r="A209" s="6"/>
      <c r="B209" s="6"/>
      <c r="C209" s="196"/>
      <c r="E209" s="197"/>
      <c r="F209" s="196"/>
      <c r="G209" s="198"/>
      <c r="H209" s="198"/>
      <c r="I209" s="198"/>
      <c r="J209" s="198"/>
      <c r="K209" s="198"/>
      <c r="L209" s="198"/>
      <c r="M209" s="199"/>
      <c r="N209" s="199"/>
      <c r="O209" s="199"/>
      <c r="P209" s="200"/>
      <c r="Q209" s="201"/>
      <c r="R209" s="200"/>
      <c r="S209" s="200"/>
      <c r="T209" s="200"/>
      <c r="U209" s="200"/>
      <c r="V209" s="201"/>
      <c r="W209" s="201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198"/>
      <c r="AO209" s="201"/>
      <c r="AP209" s="198"/>
      <c r="AQ209" s="200"/>
      <c r="AR209" s="199"/>
      <c r="AS209" s="198"/>
      <c r="AV209" s="164"/>
      <c r="BA209" s="202"/>
      <c r="BC209" s="203"/>
      <c r="BD209" s="194"/>
      <c r="BE209" s="194"/>
    </row>
    <row r="210">
      <c r="A210" s="6"/>
      <c r="B210" s="6"/>
      <c r="C210" s="196"/>
      <c r="E210" s="197"/>
      <c r="F210" s="196"/>
      <c r="G210" s="198"/>
      <c r="H210" s="198"/>
      <c r="I210" s="198"/>
      <c r="J210" s="198"/>
      <c r="K210" s="198"/>
      <c r="L210" s="198"/>
      <c r="M210" s="199"/>
      <c r="N210" s="199"/>
      <c r="O210" s="199"/>
      <c r="P210" s="200"/>
      <c r="Q210" s="201"/>
      <c r="R210" s="200"/>
      <c r="S210" s="200"/>
      <c r="T210" s="200"/>
      <c r="U210" s="200"/>
      <c r="V210" s="201"/>
      <c r="W210" s="201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198"/>
      <c r="AO210" s="201"/>
      <c r="AP210" s="198"/>
      <c r="AQ210" s="200"/>
      <c r="AR210" s="199"/>
      <c r="AS210" s="198"/>
      <c r="AV210" s="164"/>
      <c r="BA210" s="202"/>
      <c r="BC210" s="203"/>
      <c r="BD210" s="194"/>
      <c r="BE210" s="194"/>
    </row>
    <row r="211">
      <c r="A211" s="6"/>
      <c r="B211" s="6"/>
      <c r="C211" s="196"/>
      <c r="E211" s="197"/>
      <c r="F211" s="196"/>
      <c r="G211" s="198"/>
      <c r="H211" s="198"/>
      <c r="I211" s="198"/>
      <c r="J211" s="198"/>
      <c r="K211" s="198"/>
      <c r="L211" s="198"/>
      <c r="M211" s="199"/>
      <c r="N211" s="199"/>
      <c r="O211" s="199"/>
      <c r="P211" s="200"/>
      <c r="Q211" s="201"/>
      <c r="R211" s="200"/>
      <c r="S211" s="200"/>
      <c r="T211" s="200"/>
      <c r="U211" s="200"/>
      <c r="V211" s="201"/>
      <c r="W211" s="201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198"/>
      <c r="AO211" s="201"/>
      <c r="AP211" s="198"/>
      <c r="AQ211" s="200"/>
      <c r="AR211" s="199"/>
      <c r="AS211" s="198"/>
      <c r="AV211" s="164"/>
      <c r="BA211" s="202"/>
      <c r="BC211" s="203"/>
      <c r="BD211" s="194"/>
      <c r="BE211" s="194"/>
    </row>
    <row r="212">
      <c r="A212" s="6"/>
      <c r="B212" s="6"/>
      <c r="C212" s="196"/>
      <c r="E212" s="197"/>
      <c r="F212" s="196"/>
      <c r="G212" s="198"/>
      <c r="H212" s="198"/>
      <c r="I212" s="198"/>
      <c r="J212" s="198"/>
      <c r="K212" s="198"/>
      <c r="L212" s="198"/>
      <c r="M212" s="199"/>
      <c r="N212" s="199"/>
      <c r="O212" s="199"/>
      <c r="P212" s="200"/>
      <c r="Q212" s="201"/>
      <c r="R212" s="200"/>
      <c r="S212" s="200"/>
      <c r="T212" s="200"/>
      <c r="U212" s="200"/>
      <c r="V212" s="201"/>
      <c r="W212" s="201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198"/>
      <c r="AO212" s="201"/>
      <c r="AP212" s="198"/>
      <c r="AQ212" s="200"/>
      <c r="AR212" s="199"/>
      <c r="AS212" s="198"/>
      <c r="AV212" s="164"/>
      <c r="BA212" s="202"/>
      <c r="BC212" s="203"/>
      <c r="BD212" s="194"/>
      <c r="BE212" s="194"/>
    </row>
    <row r="213">
      <c r="A213" s="6"/>
      <c r="B213" s="6"/>
      <c r="C213" s="196"/>
      <c r="E213" s="197"/>
      <c r="F213" s="196"/>
      <c r="G213" s="198"/>
      <c r="H213" s="198"/>
      <c r="I213" s="198"/>
      <c r="J213" s="198"/>
      <c r="K213" s="198"/>
      <c r="L213" s="198"/>
      <c r="M213" s="199"/>
      <c r="N213" s="199"/>
      <c r="O213" s="199"/>
      <c r="P213" s="200"/>
      <c r="Q213" s="201"/>
      <c r="R213" s="200"/>
      <c r="S213" s="200"/>
      <c r="T213" s="200"/>
      <c r="U213" s="200"/>
      <c r="V213" s="201"/>
      <c r="W213" s="201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198"/>
      <c r="AO213" s="201"/>
      <c r="AP213" s="198"/>
      <c r="AQ213" s="200"/>
      <c r="AR213" s="199"/>
      <c r="AS213" s="198"/>
      <c r="AV213" s="164"/>
      <c r="BA213" s="202"/>
      <c r="BC213" s="203"/>
      <c r="BD213" s="194"/>
      <c r="BE213" s="194"/>
    </row>
    <row r="214">
      <c r="A214" s="6"/>
      <c r="B214" s="6"/>
      <c r="C214" s="196"/>
      <c r="E214" s="197"/>
      <c r="F214" s="196"/>
      <c r="G214" s="198"/>
      <c r="H214" s="198"/>
      <c r="I214" s="198"/>
      <c r="J214" s="198"/>
      <c r="K214" s="198"/>
      <c r="L214" s="198"/>
      <c r="M214" s="199"/>
      <c r="N214" s="199"/>
      <c r="O214" s="199"/>
      <c r="P214" s="200"/>
      <c r="Q214" s="201"/>
      <c r="R214" s="200"/>
      <c r="S214" s="200"/>
      <c r="T214" s="200"/>
      <c r="U214" s="200"/>
      <c r="V214" s="201"/>
      <c r="W214" s="201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198"/>
      <c r="AO214" s="201"/>
      <c r="AP214" s="198"/>
      <c r="AQ214" s="200"/>
      <c r="AR214" s="199"/>
      <c r="AS214" s="198"/>
      <c r="AV214" s="164"/>
      <c r="BA214" s="202"/>
      <c r="BC214" s="203"/>
      <c r="BD214" s="194"/>
      <c r="BE214" s="194"/>
    </row>
    <row r="215">
      <c r="A215" s="6"/>
      <c r="B215" s="6"/>
      <c r="C215" s="196"/>
      <c r="E215" s="197"/>
      <c r="F215" s="196"/>
      <c r="G215" s="198"/>
      <c r="H215" s="198"/>
      <c r="I215" s="198"/>
      <c r="J215" s="198"/>
      <c r="K215" s="198"/>
      <c r="L215" s="198"/>
      <c r="M215" s="199"/>
      <c r="N215" s="199"/>
      <c r="O215" s="199"/>
      <c r="P215" s="200"/>
      <c r="Q215" s="201"/>
      <c r="R215" s="200"/>
      <c r="S215" s="200"/>
      <c r="T215" s="200"/>
      <c r="U215" s="200"/>
      <c r="V215" s="201"/>
      <c r="W215" s="201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198"/>
      <c r="AO215" s="201"/>
      <c r="AP215" s="198"/>
      <c r="AQ215" s="200"/>
      <c r="AR215" s="199"/>
      <c r="AS215" s="198"/>
      <c r="AV215" s="164"/>
      <c r="BA215" s="202"/>
      <c r="BC215" s="203"/>
      <c r="BD215" s="194"/>
      <c r="BE215" s="194"/>
    </row>
    <row r="216">
      <c r="A216" s="6"/>
      <c r="B216" s="6"/>
      <c r="C216" s="196"/>
      <c r="E216" s="197"/>
      <c r="F216" s="196"/>
      <c r="G216" s="198"/>
      <c r="H216" s="198"/>
      <c r="I216" s="198"/>
      <c r="J216" s="198"/>
      <c r="K216" s="198"/>
      <c r="L216" s="198"/>
      <c r="M216" s="199"/>
      <c r="N216" s="199"/>
      <c r="O216" s="199"/>
      <c r="P216" s="200"/>
      <c r="Q216" s="201"/>
      <c r="R216" s="200"/>
      <c r="S216" s="200"/>
      <c r="T216" s="200"/>
      <c r="U216" s="200"/>
      <c r="V216" s="201"/>
      <c r="W216" s="201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198"/>
      <c r="AO216" s="201"/>
      <c r="AP216" s="198"/>
      <c r="AQ216" s="200"/>
      <c r="AR216" s="199"/>
      <c r="AS216" s="198"/>
      <c r="AV216" s="164"/>
      <c r="BA216" s="202"/>
      <c r="BC216" s="203"/>
      <c r="BD216" s="194"/>
      <c r="BE216" s="194"/>
    </row>
    <row r="217">
      <c r="A217" s="6"/>
      <c r="B217" s="6"/>
      <c r="C217" s="196"/>
      <c r="E217" s="197"/>
      <c r="F217" s="196"/>
      <c r="G217" s="198"/>
      <c r="H217" s="198"/>
      <c r="I217" s="198"/>
      <c r="J217" s="198"/>
      <c r="K217" s="198"/>
      <c r="L217" s="198"/>
      <c r="M217" s="199"/>
      <c r="N217" s="199"/>
      <c r="O217" s="199"/>
      <c r="P217" s="200"/>
      <c r="Q217" s="201"/>
      <c r="R217" s="200"/>
      <c r="S217" s="200"/>
      <c r="T217" s="200"/>
      <c r="U217" s="200"/>
      <c r="V217" s="201"/>
      <c r="W217" s="201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198"/>
      <c r="AO217" s="201"/>
      <c r="AP217" s="198"/>
      <c r="AQ217" s="200"/>
      <c r="AR217" s="199"/>
      <c r="AS217" s="198"/>
      <c r="AV217" s="164"/>
      <c r="BA217" s="202"/>
      <c r="BC217" s="203"/>
      <c r="BD217" s="194"/>
      <c r="BE217" s="194"/>
    </row>
    <row r="218">
      <c r="A218" s="6"/>
      <c r="B218" s="6"/>
      <c r="C218" s="196"/>
      <c r="E218" s="197"/>
      <c r="F218" s="196"/>
      <c r="G218" s="198"/>
      <c r="H218" s="198"/>
      <c r="I218" s="198"/>
      <c r="J218" s="198"/>
      <c r="K218" s="198"/>
      <c r="L218" s="198"/>
      <c r="M218" s="199"/>
      <c r="N218" s="199"/>
      <c r="O218" s="199"/>
      <c r="P218" s="200"/>
      <c r="Q218" s="201"/>
      <c r="R218" s="200"/>
      <c r="S218" s="200"/>
      <c r="T218" s="200"/>
      <c r="U218" s="200"/>
      <c r="V218" s="201"/>
      <c r="W218" s="201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198"/>
      <c r="AO218" s="201"/>
      <c r="AP218" s="198"/>
      <c r="AQ218" s="200"/>
      <c r="AR218" s="199"/>
      <c r="AS218" s="198"/>
      <c r="AV218" s="164"/>
      <c r="BA218" s="202"/>
      <c r="BC218" s="203"/>
      <c r="BD218" s="194"/>
      <c r="BE218" s="194"/>
    </row>
    <row r="219">
      <c r="A219" s="6"/>
      <c r="B219" s="6"/>
      <c r="C219" s="196"/>
      <c r="E219" s="197"/>
      <c r="F219" s="196"/>
      <c r="G219" s="198"/>
      <c r="H219" s="198"/>
      <c r="I219" s="198"/>
      <c r="J219" s="198"/>
      <c r="K219" s="198"/>
      <c r="L219" s="198"/>
      <c r="M219" s="199"/>
      <c r="N219" s="199"/>
      <c r="O219" s="199"/>
      <c r="P219" s="200"/>
      <c r="Q219" s="201"/>
      <c r="R219" s="200"/>
      <c r="S219" s="200"/>
      <c r="T219" s="200"/>
      <c r="U219" s="200"/>
      <c r="V219" s="201"/>
      <c r="W219" s="201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198"/>
      <c r="AO219" s="201"/>
      <c r="AP219" s="198"/>
      <c r="AQ219" s="200"/>
      <c r="AR219" s="199"/>
      <c r="AS219" s="198"/>
      <c r="AV219" s="164"/>
      <c r="BA219" s="202"/>
      <c r="BC219" s="203"/>
      <c r="BD219" s="194"/>
      <c r="BE219" s="194"/>
    </row>
    <row r="220">
      <c r="A220" s="6"/>
      <c r="B220" s="6"/>
      <c r="C220" s="196"/>
      <c r="E220" s="197"/>
      <c r="F220" s="196"/>
      <c r="G220" s="198"/>
      <c r="H220" s="198"/>
      <c r="I220" s="198"/>
      <c r="J220" s="198"/>
      <c r="K220" s="198"/>
      <c r="L220" s="198"/>
      <c r="M220" s="199"/>
      <c r="N220" s="199"/>
      <c r="O220" s="199"/>
      <c r="P220" s="200"/>
      <c r="Q220" s="201"/>
      <c r="R220" s="200"/>
      <c r="S220" s="200"/>
      <c r="T220" s="200"/>
      <c r="U220" s="200"/>
      <c r="V220" s="201"/>
      <c r="W220" s="201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198"/>
      <c r="AO220" s="201"/>
      <c r="AP220" s="198"/>
      <c r="AQ220" s="200"/>
      <c r="AR220" s="199"/>
      <c r="AS220" s="198"/>
      <c r="AV220" s="164"/>
      <c r="BA220" s="202"/>
      <c r="BC220" s="203"/>
      <c r="BD220" s="194"/>
      <c r="BE220" s="194"/>
    </row>
    <row r="221">
      <c r="A221" s="6"/>
      <c r="B221" s="6"/>
      <c r="C221" s="196"/>
      <c r="E221" s="197"/>
      <c r="F221" s="196"/>
      <c r="G221" s="198"/>
      <c r="H221" s="198"/>
      <c r="I221" s="198"/>
      <c r="J221" s="198"/>
      <c r="K221" s="198"/>
      <c r="L221" s="198"/>
      <c r="M221" s="199"/>
      <c r="N221" s="199"/>
      <c r="O221" s="199"/>
      <c r="P221" s="200"/>
      <c r="Q221" s="201"/>
      <c r="R221" s="200"/>
      <c r="S221" s="200"/>
      <c r="T221" s="200"/>
      <c r="U221" s="200"/>
      <c r="V221" s="201"/>
      <c r="W221" s="201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198"/>
      <c r="AO221" s="201"/>
      <c r="AP221" s="198"/>
      <c r="AQ221" s="200"/>
      <c r="AR221" s="199"/>
      <c r="AS221" s="198"/>
      <c r="AV221" s="164"/>
      <c r="BA221" s="202"/>
      <c r="BC221" s="203"/>
      <c r="BD221" s="194"/>
      <c r="BE221" s="194"/>
    </row>
    <row r="222">
      <c r="A222" s="6"/>
      <c r="B222" s="6"/>
      <c r="C222" s="196"/>
      <c r="E222" s="197"/>
      <c r="F222" s="196"/>
      <c r="G222" s="198"/>
      <c r="H222" s="198"/>
      <c r="I222" s="198"/>
      <c r="J222" s="198"/>
      <c r="K222" s="198"/>
      <c r="L222" s="198"/>
      <c r="M222" s="199"/>
      <c r="N222" s="199"/>
      <c r="O222" s="199"/>
      <c r="P222" s="200"/>
      <c r="Q222" s="201"/>
      <c r="R222" s="200"/>
      <c r="S222" s="200"/>
      <c r="T222" s="200"/>
      <c r="U222" s="200"/>
      <c r="V222" s="201"/>
      <c r="W222" s="201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198"/>
      <c r="AO222" s="201"/>
      <c r="AP222" s="198"/>
      <c r="AQ222" s="200"/>
      <c r="AR222" s="199"/>
      <c r="AS222" s="198"/>
      <c r="AV222" s="164"/>
      <c r="BA222" s="202"/>
      <c r="BC222" s="203"/>
      <c r="BD222" s="194"/>
      <c r="BE222" s="194"/>
    </row>
    <row r="223">
      <c r="A223" s="6"/>
      <c r="B223" s="6"/>
      <c r="C223" s="196"/>
      <c r="E223" s="197"/>
      <c r="F223" s="196"/>
      <c r="G223" s="198"/>
      <c r="H223" s="198"/>
      <c r="I223" s="198"/>
      <c r="J223" s="198"/>
      <c r="K223" s="198"/>
      <c r="L223" s="198"/>
      <c r="M223" s="199"/>
      <c r="N223" s="199"/>
      <c r="O223" s="199"/>
      <c r="P223" s="200"/>
      <c r="Q223" s="201"/>
      <c r="R223" s="200"/>
      <c r="S223" s="200"/>
      <c r="T223" s="200"/>
      <c r="U223" s="200"/>
      <c r="V223" s="201"/>
      <c r="W223" s="201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198"/>
      <c r="AO223" s="201"/>
      <c r="AP223" s="198"/>
      <c r="AQ223" s="200"/>
      <c r="AR223" s="199"/>
      <c r="AS223" s="198"/>
      <c r="AV223" s="164"/>
      <c r="BA223" s="202"/>
      <c r="BC223" s="203"/>
      <c r="BD223" s="194"/>
      <c r="BE223" s="194"/>
    </row>
    <row r="224">
      <c r="A224" s="6"/>
      <c r="B224" s="6"/>
      <c r="C224" s="196"/>
      <c r="E224" s="197"/>
      <c r="F224" s="196"/>
      <c r="G224" s="198"/>
      <c r="H224" s="198"/>
      <c r="I224" s="198"/>
      <c r="J224" s="198"/>
      <c r="K224" s="198"/>
      <c r="L224" s="198"/>
      <c r="M224" s="199"/>
      <c r="N224" s="199"/>
      <c r="O224" s="199"/>
      <c r="P224" s="200"/>
      <c r="Q224" s="201"/>
      <c r="R224" s="200"/>
      <c r="S224" s="200"/>
      <c r="T224" s="200"/>
      <c r="U224" s="200"/>
      <c r="V224" s="201"/>
      <c r="W224" s="201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198"/>
      <c r="AO224" s="201"/>
      <c r="AP224" s="198"/>
      <c r="AQ224" s="200"/>
      <c r="AR224" s="199"/>
      <c r="AS224" s="198"/>
      <c r="AV224" s="164"/>
      <c r="BA224" s="202"/>
      <c r="BC224" s="203"/>
      <c r="BD224" s="194"/>
      <c r="BE224" s="194"/>
    </row>
    <row r="225">
      <c r="A225" s="6"/>
      <c r="B225" s="6"/>
      <c r="C225" s="196"/>
      <c r="E225" s="197"/>
      <c r="F225" s="196"/>
      <c r="G225" s="198"/>
      <c r="H225" s="198"/>
      <c r="I225" s="198"/>
      <c r="J225" s="198"/>
      <c r="K225" s="198"/>
      <c r="L225" s="198"/>
      <c r="M225" s="199"/>
      <c r="N225" s="199"/>
      <c r="O225" s="199"/>
      <c r="P225" s="200"/>
      <c r="Q225" s="201"/>
      <c r="R225" s="200"/>
      <c r="S225" s="200"/>
      <c r="T225" s="200"/>
      <c r="U225" s="200"/>
      <c r="V225" s="201"/>
      <c r="W225" s="201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198"/>
      <c r="AO225" s="201"/>
      <c r="AP225" s="198"/>
      <c r="AQ225" s="200"/>
      <c r="AR225" s="199"/>
      <c r="AS225" s="198"/>
      <c r="AV225" s="164"/>
      <c r="BA225" s="202"/>
      <c r="BC225" s="203"/>
      <c r="BD225" s="194"/>
      <c r="BE225" s="194"/>
    </row>
    <row r="226">
      <c r="A226" s="6"/>
      <c r="B226" s="6"/>
      <c r="C226" s="196"/>
      <c r="E226" s="197"/>
      <c r="F226" s="196"/>
      <c r="G226" s="198"/>
      <c r="H226" s="198"/>
      <c r="I226" s="198"/>
      <c r="J226" s="198"/>
      <c r="K226" s="198"/>
      <c r="L226" s="198"/>
      <c r="M226" s="199"/>
      <c r="N226" s="199"/>
      <c r="O226" s="199"/>
      <c r="P226" s="200"/>
      <c r="Q226" s="201"/>
      <c r="R226" s="200"/>
      <c r="S226" s="200"/>
      <c r="T226" s="200"/>
      <c r="U226" s="200"/>
      <c r="V226" s="201"/>
      <c r="W226" s="201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198"/>
      <c r="AO226" s="201"/>
      <c r="AP226" s="198"/>
      <c r="AQ226" s="200"/>
      <c r="AR226" s="199"/>
      <c r="AS226" s="198"/>
      <c r="AV226" s="164"/>
      <c r="BA226" s="202"/>
      <c r="BC226" s="203"/>
      <c r="BD226" s="194"/>
      <c r="BE226" s="194"/>
    </row>
    <row r="227">
      <c r="A227" s="6"/>
      <c r="B227" s="6"/>
      <c r="C227" s="196"/>
      <c r="E227" s="197"/>
      <c r="F227" s="196"/>
      <c r="G227" s="198"/>
      <c r="H227" s="198"/>
      <c r="I227" s="198"/>
      <c r="J227" s="198"/>
      <c r="K227" s="198"/>
      <c r="L227" s="198"/>
      <c r="M227" s="199"/>
      <c r="N227" s="199"/>
      <c r="O227" s="199"/>
      <c r="P227" s="200"/>
      <c r="Q227" s="201"/>
      <c r="R227" s="200"/>
      <c r="S227" s="200"/>
      <c r="T227" s="200"/>
      <c r="U227" s="200"/>
      <c r="V227" s="201"/>
      <c r="W227" s="201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198"/>
      <c r="AO227" s="201"/>
      <c r="AP227" s="198"/>
      <c r="AQ227" s="200"/>
      <c r="AR227" s="199"/>
      <c r="AS227" s="198"/>
      <c r="AV227" s="164"/>
      <c r="BA227" s="202"/>
      <c r="BC227" s="203"/>
      <c r="BD227" s="194"/>
      <c r="BE227" s="194"/>
    </row>
    <row r="228">
      <c r="A228" s="6"/>
      <c r="B228" s="6"/>
      <c r="C228" s="196"/>
      <c r="E228" s="197"/>
      <c r="F228" s="196"/>
      <c r="G228" s="198"/>
      <c r="H228" s="198"/>
      <c r="I228" s="198"/>
      <c r="J228" s="198"/>
      <c r="K228" s="198"/>
      <c r="L228" s="198"/>
      <c r="M228" s="199"/>
      <c r="N228" s="199"/>
      <c r="O228" s="199"/>
      <c r="P228" s="200"/>
      <c r="Q228" s="201"/>
      <c r="R228" s="200"/>
      <c r="S228" s="200"/>
      <c r="T228" s="200"/>
      <c r="U228" s="200"/>
      <c r="V228" s="201"/>
      <c r="W228" s="201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198"/>
      <c r="AO228" s="201"/>
      <c r="AP228" s="198"/>
      <c r="AQ228" s="200"/>
      <c r="AR228" s="199"/>
      <c r="AS228" s="198"/>
      <c r="AV228" s="164"/>
      <c r="BA228" s="202"/>
      <c r="BC228" s="203"/>
      <c r="BD228" s="194"/>
      <c r="BE228" s="194"/>
    </row>
    <row r="229">
      <c r="A229" s="6"/>
      <c r="B229" s="6"/>
      <c r="C229" s="196"/>
      <c r="E229" s="197"/>
      <c r="F229" s="196"/>
      <c r="G229" s="198"/>
      <c r="H229" s="198"/>
      <c r="I229" s="198"/>
      <c r="J229" s="198"/>
      <c r="K229" s="198"/>
      <c r="L229" s="198"/>
      <c r="M229" s="199"/>
      <c r="N229" s="199"/>
      <c r="O229" s="199"/>
      <c r="P229" s="200"/>
      <c r="Q229" s="201"/>
      <c r="R229" s="200"/>
      <c r="S229" s="200"/>
      <c r="T229" s="200"/>
      <c r="U229" s="200"/>
      <c r="V229" s="201"/>
      <c r="W229" s="201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198"/>
      <c r="AO229" s="201"/>
      <c r="AP229" s="198"/>
      <c r="AQ229" s="200"/>
      <c r="AR229" s="199"/>
      <c r="AS229" s="198"/>
      <c r="AV229" s="164"/>
      <c r="BA229" s="202"/>
      <c r="BC229" s="203"/>
      <c r="BD229" s="194"/>
      <c r="BE229" s="194"/>
    </row>
    <row r="230">
      <c r="A230" s="6"/>
      <c r="B230" s="6"/>
      <c r="C230" s="196"/>
      <c r="E230" s="197"/>
      <c r="F230" s="196"/>
      <c r="G230" s="198"/>
      <c r="H230" s="198"/>
      <c r="I230" s="198"/>
      <c r="J230" s="198"/>
      <c r="K230" s="198"/>
      <c r="L230" s="198"/>
      <c r="M230" s="199"/>
      <c r="N230" s="199"/>
      <c r="O230" s="199"/>
      <c r="P230" s="200"/>
      <c r="Q230" s="201"/>
      <c r="R230" s="200"/>
      <c r="S230" s="200"/>
      <c r="T230" s="200"/>
      <c r="U230" s="200"/>
      <c r="V230" s="201"/>
      <c r="W230" s="201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198"/>
      <c r="AO230" s="201"/>
      <c r="AP230" s="198"/>
      <c r="AQ230" s="200"/>
      <c r="AR230" s="199"/>
      <c r="AS230" s="198"/>
      <c r="AV230" s="164"/>
      <c r="BA230" s="202"/>
      <c r="BC230" s="203"/>
      <c r="BD230" s="194"/>
      <c r="BE230" s="194"/>
    </row>
    <row r="231">
      <c r="A231" s="6"/>
      <c r="B231" s="6"/>
      <c r="C231" s="196"/>
      <c r="E231" s="197"/>
      <c r="F231" s="196"/>
      <c r="G231" s="198"/>
      <c r="H231" s="198"/>
      <c r="I231" s="198"/>
      <c r="J231" s="198"/>
      <c r="K231" s="198"/>
      <c r="L231" s="198"/>
      <c r="M231" s="199"/>
      <c r="N231" s="199"/>
      <c r="O231" s="199"/>
      <c r="P231" s="200"/>
      <c r="Q231" s="201"/>
      <c r="R231" s="200"/>
      <c r="S231" s="200"/>
      <c r="T231" s="200"/>
      <c r="U231" s="200"/>
      <c r="V231" s="201"/>
      <c r="W231" s="201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198"/>
      <c r="AO231" s="201"/>
      <c r="AP231" s="198"/>
      <c r="AQ231" s="200"/>
      <c r="AR231" s="199"/>
      <c r="AS231" s="198"/>
      <c r="AV231" s="164"/>
      <c r="BA231" s="202"/>
      <c r="BC231" s="203"/>
      <c r="BD231" s="194"/>
      <c r="BE231" s="194"/>
    </row>
    <row r="232">
      <c r="A232" s="6"/>
      <c r="B232" s="6"/>
      <c r="C232" s="196"/>
      <c r="E232" s="197"/>
      <c r="F232" s="196"/>
      <c r="G232" s="198"/>
      <c r="H232" s="198"/>
      <c r="I232" s="198"/>
      <c r="J232" s="198"/>
      <c r="K232" s="198"/>
      <c r="L232" s="198"/>
      <c r="M232" s="199"/>
      <c r="N232" s="199"/>
      <c r="O232" s="199"/>
      <c r="P232" s="200"/>
      <c r="Q232" s="201"/>
      <c r="R232" s="200"/>
      <c r="S232" s="200"/>
      <c r="T232" s="200"/>
      <c r="U232" s="200"/>
      <c r="V232" s="201"/>
      <c r="W232" s="201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198"/>
      <c r="AO232" s="201"/>
      <c r="AP232" s="198"/>
      <c r="AQ232" s="200"/>
      <c r="AR232" s="199"/>
      <c r="AS232" s="198"/>
      <c r="AV232" s="164"/>
      <c r="BA232" s="202"/>
      <c r="BC232" s="203"/>
      <c r="BD232" s="194"/>
      <c r="BE232" s="194"/>
    </row>
    <row r="233">
      <c r="A233" s="6"/>
      <c r="B233" s="6"/>
      <c r="C233" s="196"/>
      <c r="E233" s="197"/>
      <c r="F233" s="196"/>
      <c r="G233" s="198"/>
      <c r="H233" s="198"/>
      <c r="I233" s="198"/>
      <c r="J233" s="198"/>
      <c r="K233" s="198"/>
      <c r="L233" s="198"/>
      <c r="M233" s="199"/>
      <c r="N233" s="199"/>
      <c r="O233" s="199"/>
      <c r="P233" s="200"/>
      <c r="Q233" s="201"/>
      <c r="R233" s="200"/>
      <c r="S233" s="200"/>
      <c r="T233" s="200"/>
      <c r="U233" s="200"/>
      <c r="V233" s="201"/>
      <c r="W233" s="201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198"/>
      <c r="AO233" s="201"/>
      <c r="AP233" s="198"/>
      <c r="AQ233" s="200"/>
      <c r="AR233" s="199"/>
      <c r="AS233" s="198"/>
      <c r="AV233" s="164"/>
      <c r="BA233" s="202"/>
      <c r="BC233" s="203"/>
      <c r="BD233" s="194"/>
      <c r="BE233" s="194"/>
    </row>
    <row r="234">
      <c r="A234" s="6"/>
      <c r="B234" s="6"/>
      <c r="C234" s="196"/>
      <c r="E234" s="197"/>
      <c r="F234" s="196"/>
      <c r="G234" s="198"/>
      <c r="H234" s="198"/>
      <c r="I234" s="198"/>
      <c r="J234" s="198"/>
      <c r="K234" s="198"/>
      <c r="L234" s="198"/>
      <c r="M234" s="199"/>
      <c r="N234" s="199"/>
      <c r="O234" s="199"/>
      <c r="P234" s="200"/>
      <c r="Q234" s="201"/>
      <c r="R234" s="200"/>
      <c r="S234" s="200"/>
      <c r="T234" s="200"/>
      <c r="U234" s="200"/>
      <c r="V234" s="201"/>
      <c r="W234" s="201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198"/>
      <c r="AO234" s="201"/>
      <c r="AP234" s="198"/>
      <c r="AQ234" s="200"/>
      <c r="AR234" s="199"/>
      <c r="AS234" s="198"/>
      <c r="AV234" s="164"/>
      <c r="BA234" s="202"/>
      <c r="BC234" s="203"/>
      <c r="BD234" s="194"/>
      <c r="BE234" s="194"/>
    </row>
    <row r="235">
      <c r="A235" s="6"/>
      <c r="B235" s="6"/>
      <c r="C235" s="196"/>
      <c r="E235" s="197"/>
      <c r="F235" s="196"/>
      <c r="G235" s="198"/>
      <c r="H235" s="198"/>
      <c r="I235" s="198"/>
      <c r="J235" s="198"/>
      <c r="K235" s="198"/>
      <c r="L235" s="198"/>
      <c r="M235" s="199"/>
      <c r="N235" s="199"/>
      <c r="O235" s="199"/>
      <c r="P235" s="200"/>
      <c r="Q235" s="201"/>
      <c r="R235" s="200"/>
      <c r="S235" s="200"/>
      <c r="T235" s="200"/>
      <c r="U235" s="200"/>
      <c r="V235" s="201"/>
      <c r="W235" s="201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198"/>
      <c r="AO235" s="201"/>
      <c r="AP235" s="198"/>
      <c r="AQ235" s="200"/>
      <c r="AR235" s="199"/>
      <c r="AS235" s="198"/>
      <c r="AV235" s="164"/>
      <c r="BA235" s="202"/>
      <c r="BC235" s="203"/>
      <c r="BD235" s="194"/>
      <c r="BE235" s="194"/>
    </row>
    <row r="236">
      <c r="A236" s="6"/>
      <c r="B236" s="6"/>
      <c r="C236" s="196"/>
      <c r="E236" s="197"/>
      <c r="F236" s="196"/>
      <c r="G236" s="198"/>
      <c r="H236" s="198"/>
      <c r="I236" s="198"/>
      <c r="J236" s="198"/>
      <c r="K236" s="198"/>
      <c r="L236" s="198"/>
      <c r="M236" s="199"/>
      <c r="N236" s="199"/>
      <c r="O236" s="199"/>
      <c r="P236" s="200"/>
      <c r="Q236" s="201"/>
      <c r="R236" s="200"/>
      <c r="S236" s="200"/>
      <c r="T236" s="200"/>
      <c r="U236" s="200"/>
      <c r="V236" s="201"/>
      <c r="W236" s="201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198"/>
      <c r="AO236" s="201"/>
      <c r="AP236" s="198"/>
      <c r="AQ236" s="200"/>
      <c r="AR236" s="199"/>
      <c r="AS236" s="198"/>
      <c r="AV236" s="164"/>
      <c r="BA236" s="202"/>
      <c r="BC236" s="203"/>
      <c r="BD236" s="194"/>
      <c r="BE236" s="194"/>
    </row>
    <row r="237">
      <c r="A237" s="6"/>
      <c r="B237" s="6"/>
      <c r="C237" s="196"/>
      <c r="E237" s="197"/>
      <c r="F237" s="196"/>
      <c r="G237" s="198"/>
      <c r="H237" s="198"/>
      <c r="I237" s="198"/>
      <c r="J237" s="198"/>
      <c r="K237" s="198"/>
      <c r="L237" s="198"/>
      <c r="M237" s="199"/>
      <c r="N237" s="199"/>
      <c r="O237" s="199"/>
      <c r="P237" s="200"/>
      <c r="Q237" s="201"/>
      <c r="R237" s="200"/>
      <c r="S237" s="200"/>
      <c r="T237" s="200"/>
      <c r="U237" s="200"/>
      <c r="V237" s="201"/>
      <c r="W237" s="201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198"/>
      <c r="AO237" s="201"/>
      <c r="AP237" s="198"/>
      <c r="AQ237" s="200"/>
      <c r="AR237" s="199"/>
      <c r="AS237" s="198"/>
      <c r="AV237" s="164"/>
      <c r="BA237" s="202"/>
      <c r="BC237" s="203"/>
      <c r="BD237" s="194"/>
      <c r="BE237" s="194"/>
    </row>
    <row r="238">
      <c r="A238" s="6"/>
      <c r="B238" s="6"/>
      <c r="C238" s="196"/>
      <c r="E238" s="197"/>
      <c r="F238" s="196"/>
      <c r="G238" s="198"/>
      <c r="H238" s="198"/>
      <c r="I238" s="198"/>
      <c r="J238" s="198"/>
      <c r="K238" s="198"/>
      <c r="L238" s="198"/>
      <c r="M238" s="199"/>
      <c r="N238" s="199"/>
      <c r="O238" s="199"/>
      <c r="P238" s="200"/>
      <c r="Q238" s="201"/>
      <c r="R238" s="200"/>
      <c r="S238" s="200"/>
      <c r="T238" s="200"/>
      <c r="U238" s="200"/>
      <c r="V238" s="201"/>
      <c r="W238" s="201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198"/>
      <c r="AO238" s="201"/>
      <c r="AP238" s="198"/>
      <c r="AQ238" s="200"/>
      <c r="AR238" s="199"/>
      <c r="AS238" s="198"/>
      <c r="AV238" s="164"/>
      <c r="BA238" s="202"/>
      <c r="BC238" s="203"/>
      <c r="BD238" s="194"/>
      <c r="BE238" s="194"/>
    </row>
    <row r="239">
      <c r="A239" s="6"/>
      <c r="B239" s="6"/>
      <c r="C239" s="196"/>
      <c r="E239" s="197"/>
      <c r="F239" s="196"/>
      <c r="G239" s="198"/>
      <c r="H239" s="198"/>
      <c r="I239" s="198"/>
      <c r="J239" s="198"/>
      <c r="K239" s="198"/>
      <c r="L239" s="198"/>
      <c r="M239" s="199"/>
      <c r="N239" s="199"/>
      <c r="O239" s="199"/>
      <c r="P239" s="200"/>
      <c r="Q239" s="201"/>
      <c r="R239" s="200"/>
      <c r="S239" s="200"/>
      <c r="T239" s="200"/>
      <c r="U239" s="200"/>
      <c r="V239" s="201"/>
      <c r="W239" s="201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198"/>
      <c r="AO239" s="201"/>
      <c r="AP239" s="198"/>
      <c r="AQ239" s="200"/>
      <c r="AR239" s="199"/>
      <c r="AS239" s="198"/>
      <c r="AV239" s="164"/>
      <c r="BA239" s="202"/>
      <c r="BC239" s="203"/>
      <c r="BD239" s="194"/>
      <c r="BE239" s="194"/>
    </row>
    <row r="240">
      <c r="A240" s="6"/>
      <c r="B240" s="6"/>
      <c r="C240" s="196"/>
      <c r="E240" s="197"/>
      <c r="F240" s="196"/>
      <c r="G240" s="198"/>
      <c r="H240" s="198"/>
      <c r="I240" s="198"/>
      <c r="J240" s="198"/>
      <c r="K240" s="198"/>
      <c r="L240" s="198"/>
      <c r="M240" s="199"/>
      <c r="N240" s="199"/>
      <c r="O240" s="199"/>
      <c r="P240" s="200"/>
      <c r="Q240" s="201"/>
      <c r="R240" s="200"/>
      <c r="S240" s="200"/>
      <c r="T240" s="200"/>
      <c r="U240" s="200"/>
      <c r="V240" s="201"/>
      <c r="W240" s="201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198"/>
      <c r="AO240" s="201"/>
      <c r="AP240" s="198"/>
      <c r="AQ240" s="200"/>
      <c r="AR240" s="199"/>
      <c r="AS240" s="198"/>
      <c r="AV240" s="164"/>
      <c r="BA240" s="202"/>
      <c r="BC240" s="203"/>
      <c r="BD240" s="194"/>
      <c r="BE240" s="194"/>
    </row>
    <row r="241">
      <c r="A241" s="6"/>
      <c r="B241" s="6"/>
      <c r="C241" s="196"/>
      <c r="E241" s="197"/>
      <c r="F241" s="196"/>
      <c r="G241" s="198"/>
      <c r="H241" s="198"/>
      <c r="I241" s="198"/>
      <c r="J241" s="198"/>
      <c r="K241" s="198"/>
      <c r="L241" s="198"/>
      <c r="M241" s="199"/>
      <c r="N241" s="199"/>
      <c r="O241" s="199"/>
      <c r="P241" s="200"/>
      <c r="Q241" s="201"/>
      <c r="R241" s="200"/>
      <c r="S241" s="200"/>
      <c r="T241" s="200"/>
      <c r="U241" s="200"/>
      <c r="V241" s="201"/>
      <c r="W241" s="201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198"/>
      <c r="AO241" s="201"/>
      <c r="AP241" s="198"/>
      <c r="AQ241" s="200"/>
      <c r="AR241" s="199"/>
      <c r="AS241" s="198"/>
      <c r="AV241" s="164"/>
      <c r="BA241" s="202"/>
      <c r="BC241" s="203"/>
      <c r="BD241" s="194"/>
      <c r="BE241" s="194"/>
    </row>
    <row r="242">
      <c r="A242" s="6"/>
      <c r="B242" s="6"/>
      <c r="C242" s="196"/>
      <c r="E242" s="197"/>
      <c r="F242" s="196"/>
      <c r="G242" s="198"/>
      <c r="H242" s="198"/>
      <c r="I242" s="198"/>
      <c r="J242" s="198"/>
      <c r="K242" s="198"/>
      <c r="L242" s="198"/>
      <c r="M242" s="199"/>
      <c r="N242" s="199"/>
      <c r="O242" s="199"/>
      <c r="P242" s="200"/>
      <c r="Q242" s="201"/>
      <c r="R242" s="200"/>
      <c r="S242" s="200"/>
      <c r="T242" s="200"/>
      <c r="U242" s="200"/>
      <c r="V242" s="201"/>
      <c r="W242" s="201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198"/>
      <c r="AO242" s="201"/>
      <c r="AP242" s="198"/>
      <c r="AQ242" s="200"/>
      <c r="AR242" s="199"/>
      <c r="AS242" s="198"/>
      <c r="AV242" s="164"/>
      <c r="BA242" s="202"/>
      <c r="BC242" s="203"/>
      <c r="BD242" s="194"/>
      <c r="BE242" s="194"/>
    </row>
    <row r="243">
      <c r="A243" s="6"/>
      <c r="B243" s="6"/>
      <c r="C243" s="196"/>
      <c r="E243" s="197"/>
      <c r="F243" s="196"/>
      <c r="G243" s="198"/>
      <c r="H243" s="198"/>
      <c r="I243" s="198"/>
      <c r="J243" s="198"/>
      <c r="K243" s="198"/>
      <c r="L243" s="198"/>
      <c r="M243" s="199"/>
      <c r="N243" s="199"/>
      <c r="O243" s="199"/>
      <c r="P243" s="200"/>
      <c r="Q243" s="201"/>
      <c r="R243" s="200"/>
      <c r="S243" s="200"/>
      <c r="T243" s="200"/>
      <c r="U243" s="200"/>
      <c r="V243" s="201"/>
      <c r="W243" s="201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198"/>
      <c r="AO243" s="201"/>
      <c r="AP243" s="198"/>
      <c r="AQ243" s="200"/>
      <c r="AR243" s="199"/>
      <c r="AS243" s="198"/>
      <c r="AV243" s="164"/>
      <c r="BA243" s="202"/>
      <c r="BC243" s="203"/>
      <c r="BD243" s="194"/>
      <c r="BE243" s="194"/>
    </row>
    <row r="244">
      <c r="A244" s="6"/>
      <c r="B244" s="6"/>
      <c r="C244" s="196"/>
      <c r="E244" s="197"/>
      <c r="F244" s="196"/>
      <c r="G244" s="198"/>
      <c r="H244" s="198"/>
      <c r="I244" s="198"/>
      <c r="J244" s="198"/>
      <c r="K244" s="198"/>
      <c r="L244" s="198"/>
      <c r="M244" s="199"/>
      <c r="N244" s="199"/>
      <c r="O244" s="199"/>
      <c r="P244" s="200"/>
      <c r="Q244" s="201"/>
      <c r="R244" s="200"/>
      <c r="S244" s="200"/>
      <c r="T244" s="200"/>
      <c r="U244" s="200"/>
      <c r="V244" s="201"/>
      <c r="W244" s="201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198"/>
      <c r="AO244" s="201"/>
      <c r="AP244" s="198"/>
      <c r="AQ244" s="200"/>
      <c r="AR244" s="199"/>
      <c r="AS244" s="198"/>
      <c r="AV244" s="164"/>
      <c r="BA244" s="202"/>
      <c r="BC244" s="203"/>
      <c r="BD244" s="194"/>
      <c r="BE244" s="194"/>
    </row>
    <row r="245">
      <c r="A245" s="6"/>
      <c r="B245" s="6"/>
      <c r="C245" s="196"/>
      <c r="E245" s="197"/>
      <c r="F245" s="196"/>
      <c r="G245" s="198"/>
      <c r="H245" s="198"/>
      <c r="I245" s="198"/>
      <c r="J245" s="198"/>
      <c r="K245" s="198"/>
      <c r="L245" s="198"/>
      <c r="M245" s="199"/>
      <c r="N245" s="199"/>
      <c r="O245" s="199"/>
      <c r="P245" s="200"/>
      <c r="Q245" s="201"/>
      <c r="R245" s="200"/>
      <c r="S245" s="200"/>
      <c r="T245" s="200"/>
      <c r="U245" s="200"/>
      <c r="V245" s="201"/>
      <c r="W245" s="201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198"/>
      <c r="AO245" s="201"/>
      <c r="AP245" s="198"/>
      <c r="AQ245" s="200"/>
      <c r="AR245" s="199"/>
      <c r="AS245" s="198"/>
      <c r="AV245" s="164"/>
      <c r="BA245" s="202"/>
      <c r="BC245" s="203"/>
      <c r="BD245" s="194"/>
      <c r="BE245" s="194"/>
    </row>
    <row r="246">
      <c r="A246" s="6"/>
      <c r="B246" s="6"/>
      <c r="C246" s="196"/>
      <c r="E246" s="197"/>
      <c r="F246" s="196"/>
      <c r="G246" s="198"/>
      <c r="H246" s="198"/>
      <c r="I246" s="198"/>
      <c r="J246" s="198"/>
      <c r="K246" s="198"/>
      <c r="L246" s="198"/>
      <c r="M246" s="199"/>
      <c r="N246" s="199"/>
      <c r="O246" s="199"/>
      <c r="P246" s="200"/>
      <c r="Q246" s="201"/>
      <c r="R246" s="200"/>
      <c r="S246" s="200"/>
      <c r="T246" s="200"/>
      <c r="U246" s="200"/>
      <c r="V246" s="201"/>
      <c r="W246" s="201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198"/>
      <c r="AO246" s="201"/>
      <c r="AP246" s="198"/>
      <c r="AQ246" s="200"/>
      <c r="AR246" s="199"/>
      <c r="AS246" s="198"/>
      <c r="AV246" s="164"/>
      <c r="BA246" s="202"/>
      <c r="BC246" s="203"/>
      <c r="BD246" s="194"/>
      <c r="BE246" s="194"/>
    </row>
    <row r="247">
      <c r="A247" s="6"/>
      <c r="B247" s="6"/>
      <c r="C247" s="196"/>
      <c r="E247" s="197"/>
      <c r="F247" s="196"/>
      <c r="G247" s="198"/>
      <c r="H247" s="198"/>
      <c r="I247" s="198"/>
      <c r="J247" s="198"/>
      <c r="K247" s="198"/>
      <c r="L247" s="198"/>
      <c r="M247" s="199"/>
      <c r="N247" s="199"/>
      <c r="O247" s="199"/>
      <c r="P247" s="200"/>
      <c r="Q247" s="201"/>
      <c r="R247" s="200"/>
      <c r="S247" s="200"/>
      <c r="T247" s="200"/>
      <c r="U247" s="200"/>
      <c r="V247" s="201"/>
      <c r="W247" s="201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198"/>
      <c r="AO247" s="201"/>
      <c r="AP247" s="198"/>
      <c r="AQ247" s="200"/>
      <c r="AR247" s="199"/>
      <c r="AS247" s="198"/>
      <c r="AV247" s="164"/>
      <c r="BA247" s="202"/>
      <c r="BC247" s="203"/>
      <c r="BD247" s="194"/>
      <c r="BE247" s="194"/>
    </row>
    <row r="248">
      <c r="A248" s="6"/>
      <c r="B248" s="6"/>
      <c r="C248" s="196"/>
      <c r="E248" s="197"/>
      <c r="F248" s="196"/>
      <c r="G248" s="198"/>
      <c r="H248" s="198"/>
      <c r="I248" s="198"/>
      <c r="J248" s="198"/>
      <c r="K248" s="198"/>
      <c r="L248" s="198"/>
      <c r="M248" s="199"/>
      <c r="N248" s="199"/>
      <c r="O248" s="199"/>
      <c r="P248" s="200"/>
      <c r="Q248" s="201"/>
      <c r="R248" s="200"/>
      <c r="S248" s="200"/>
      <c r="T248" s="200"/>
      <c r="U248" s="200"/>
      <c r="V248" s="201"/>
      <c r="W248" s="201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198"/>
      <c r="AO248" s="201"/>
      <c r="AP248" s="198"/>
      <c r="AQ248" s="200"/>
      <c r="AR248" s="199"/>
      <c r="AS248" s="198"/>
      <c r="AV248" s="164"/>
      <c r="BA248" s="202"/>
      <c r="BC248" s="203"/>
      <c r="BD248" s="194"/>
      <c r="BE248" s="194"/>
    </row>
    <row r="249">
      <c r="A249" s="6"/>
      <c r="B249" s="6"/>
      <c r="C249" s="196"/>
      <c r="E249" s="197"/>
      <c r="F249" s="196"/>
      <c r="G249" s="198"/>
      <c r="H249" s="198"/>
      <c r="I249" s="198"/>
      <c r="J249" s="198"/>
      <c r="K249" s="198"/>
      <c r="L249" s="198"/>
      <c r="M249" s="199"/>
      <c r="N249" s="199"/>
      <c r="O249" s="199"/>
      <c r="P249" s="200"/>
      <c r="Q249" s="201"/>
      <c r="R249" s="200"/>
      <c r="S249" s="200"/>
      <c r="T249" s="200"/>
      <c r="U249" s="200"/>
      <c r="V249" s="201"/>
      <c r="W249" s="201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198"/>
      <c r="AO249" s="201"/>
      <c r="AP249" s="198"/>
      <c r="AQ249" s="200"/>
      <c r="AR249" s="199"/>
      <c r="AS249" s="198"/>
      <c r="AV249" s="164"/>
      <c r="BA249" s="202"/>
      <c r="BC249" s="203"/>
      <c r="BD249" s="194"/>
      <c r="BE249" s="194"/>
    </row>
    <row r="250">
      <c r="A250" s="6"/>
      <c r="B250" s="6"/>
      <c r="C250" s="196"/>
      <c r="E250" s="197"/>
      <c r="F250" s="196"/>
      <c r="G250" s="198"/>
      <c r="H250" s="198"/>
      <c r="I250" s="198"/>
      <c r="J250" s="198"/>
      <c r="K250" s="198"/>
      <c r="L250" s="198"/>
      <c r="M250" s="199"/>
      <c r="N250" s="199"/>
      <c r="O250" s="199"/>
      <c r="P250" s="200"/>
      <c r="Q250" s="201"/>
      <c r="R250" s="200"/>
      <c r="S250" s="200"/>
      <c r="T250" s="200"/>
      <c r="U250" s="200"/>
      <c r="V250" s="201"/>
      <c r="W250" s="201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198"/>
      <c r="AO250" s="201"/>
      <c r="AP250" s="198"/>
      <c r="AQ250" s="200"/>
      <c r="AR250" s="199"/>
      <c r="AS250" s="198"/>
      <c r="AV250" s="164"/>
      <c r="BA250" s="202"/>
      <c r="BC250" s="203"/>
      <c r="BD250" s="194"/>
      <c r="BE250" s="194"/>
    </row>
    <row r="251">
      <c r="A251" s="6"/>
      <c r="B251" s="6"/>
      <c r="C251" s="196"/>
      <c r="E251" s="197"/>
      <c r="F251" s="196"/>
      <c r="G251" s="198"/>
      <c r="H251" s="198"/>
      <c r="I251" s="198"/>
      <c r="J251" s="198"/>
      <c r="K251" s="198"/>
      <c r="L251" s="198"/>
      <c r="M251" s="199"/>
      <c r="N251" s="199"/>
      <c r="O251" s="199"/>
      <c r="P251" s="200"/>
      <c r="Q251" s="201"/>
      <c r="R251" s="200"/>
      <c r="S251" s="200"/>
      <c r="T251" s="200"/>
      <c r="U251" s="200"/>
      <c r="V251" s="201"/>
      <c r="W251" s="201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198"/>
      <c r="AO251" s="201"/>
      <c r="AP251" s="198"/>
      <c r="AQ251" s="200"/>
      <c r="AR251" s="199"/>
      <c r="AS251" s="198"/>
      <c r="AV251" s="164"/>
      <c r="BA251" s="202"/>
      <c r="BC251" s="203"/>
      <c r="BD251" s="194"/>
      <c r="BE251" s="194"/>
    </row>
    <row r="252">
      <c r="A252" s="6"/>
      <c r="B252" s="6"/>
      <c r="C252" s="196"/>
      <c r="E252" s="197"/>
      <c r="F252" s="196"/>
      <c r="G252" s="198"/>
      <c r="H252" s="198"/>
      <c r="I252" s="198"/>
      <c r="J252" s="198"/>
      <c r="K252" s="198"/>
      <c r="L252" s="198"/>
      <c r="M252" s="199"/>
      <c r="N252" s="199"/>
      <c r="O252" s="199"/>
      <c r="P252" s="200"/>
      <c r="Q252" s="201"/>
      <c r="R252" s="200"/>
      <c r="S252" s="200"/>
      <c r="T252" s="200"/>
      <c r="U252" s="200"/>
      <c r="V252" s="201"/>
      <c r="W252" s="201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198"/>
      <c r="AO252" s="201"/>
      <c r="AP252" s="198"/>
      <c r="AQ252" s="200"/>
      <c r="AR252" s="199"/>
      <c r="AS252" s="198"/>
      <c r="AV252" s="164"/>
      <c r="BA252" s="202"/>
      <c r="BC252" s="203"/>
      <c r="BD252" s="194"/>
      <c r="BE252" s="194"/>
    </row>
    <row r="253">
      <c r="A253" s="6"/>
      <c r="B253" s="6"/>
      <c r="C253" s="196"/>
      <c r="E253" s="197"/>
      <c r="F253" s="196"/>
      <c r="G253" s="198"/>
      <c r="H253" s="198"/>
      <c r="I253" s="198"/>
      <c r="J253" s="198"/>
      <c r="K253" s="198"/>
      <c r="L253" s="198"/>
      <c r="M253" s="199"/>
      <c r="N253" s="199"/>
      <c r="O253" s="199"/>
      <c r="P253" s="200"/>
      <c r="Q253" s="201"/>
      <c r="R253" s="200"/>
      <c r="S253" s="200"/>
      <c r="T253" s="200"/>
      <c r="U253" s="200"/>
      <c r="V253" s="201"/>
      <c r="W253" s="201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198"/>
      <c r="AO253" s="201"/>
      <c r="AP253" s="198"/>
      <c r="AQ253" s="200"/>
      <c r="AR253" s="199"/>
      <c r="AS253" s="198"/>
      <c r="AV253" s="164"/>
      <c r="BA253" s="202"/>
      <c r="BC253" s="203"/>
      <c r="BD253" s="194"/>
      <c r="BE253" s="194"/>
    </row>
    <row r="254">
      <c r="A254" s="6"/>
      <c r="B254" s="6"/>
      <c r="C254" s="196"/>
      <c r="E254" s="197"/>
      <c r="F254" s="196"/>
      <c r="G254" s="198"/>
      <c r="H254" s="198"/>
      <c r="I254" s="198"/>
      <c r="J254" s="198"/>
      <c r="K254" s="198"/>
      <c r="L254" s="198"/>
      <c r="M254" s="199"/>
      <c r="N254" s="199"/>
      <c r="O254" s="199"/>
      <c r="P254" s="200"/>
      <c r="Q254" s="201"/>
      <c r="R254" s="200"/>
      <c r="S254" s="200"/>
      <c r="T254" s="200"/>
      <c r="U254" s="200"/>
      <c r="V254" s="201"/>
      <c r="W254" s="201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198"/>
      <c r="AO254" s="201"/>
      <c r="AP254" s="198"/>
      <c r="AQ254" s="200"/>
      <c r="AR254" s="199"/>
      <c r="AS254" s="198"/>
      <c r="AV254" s="164"/>
      <c r="BA254" s="202"/>
      <c r="BC254" s="203"/>
      <c r="BD254" s="194"/>
      <c r="BE254" s="194"/>
    </row>
    <row r="255">
      <c r="A255" s="6"/>
      <c r="B255" s="6"/>
      <c r="C255" s="196"/>
      <c r="E255" s="197"/>
      <c r="F255" s="196"/>
      <c r="G255" s="198"/>
      <c r="H255" s="198"/>
      <c r="I255" s="198"/>
      <c r="J255" s="198"/>
      <c r="K255" s="198"/>
      <c r="L255" s="198"/>
      <c r="M255" s="199"/>
      <c r="N255" s="199"/>
      <c r="O255" s="199"/>
      <c r="P255" s="200"/>
      <c r="Q255" s="201"/>
      <c r="R255" s="200"/>
      <c r="S255" s="200"/>
      <c r="T255" s="200"/>
      <c r="U255" s="200"/>
      <c r="V255" s="201"/>
      <c r="W255" s="201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198"/>
      <c r="AO255" s="201"/>
      <c r="AP255" s="198"/>
      <c r="AQ255" s="200"/>
      <c r="AR255" s="199"/>
      <c r="AS255" s="198"/>
      <c r="AV255" s="164"/>
      <c r="BA255" s="202"/>
      <c r="BC255" s="203"/>
      <c r="BD255" s="194"/>
      <c r="BE255" s="194"/>
    </row>
    <row r="256">
      <c r="A256" s="6"/>
      <c r="B256" s="6"/>
      <c r="C256" s="196"/>
      <c r="E256" s="197"/>
      <c r="F256" s="196"/>
      <c r="G256" s="198"/>
      <c r="H256" s="198"/>
      <c r="I256" s="198"/>
      <c r="J256" s="198"/>
      <c r="K256" s="198"/>
      <c r="L256" s="198"/>
      <c r="M256" s="199"/>
      <c r="N256" s="199"/>
      <c r="O256" s="199"/>
      <c r="P256" s="200"/>
      <c r="Q256" s="201"/>
      <c r="R256" s="200"/>
      <c r="S256" s="200"/>
      <c r="T256" s="200"/>
      <c r="U256" s="200"/>
      <c r="V256" s="201"/>
      <c r="W256" s="201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198"/>
      <c r="AO256" s="201"/>
      <c r="AP256" s="198"/>
      <c r="AQ256" s="200"/>
      <c r="AR256" s="199"/>
      <c r="AS256" s="198"/>
      <c r="AV256" s="164"/>
      <c r="BA256" s="202"/>
      <c r="BC256" s="203"/>
      <c r="BD256" s="194"/>
      <c r="BE256" s="194"/>
    </row>
    <row r="257">
      <c r="A257" s="6"/>
      <c r="B257" s="6"/>
      <c r="C257" s="196"/>
      <c r="E257" s="197"/>
      <c r="F257" s="196"/>
      <c r="G257" s="198"/>
      <c r="H257" s="198"/>
      <c r="I257" s="198"/>
      <c r="J257" s="198"/>
      <c r="K257" s="198"/>
      <c r="L257" s="198"/>
      <c r="M257" s="199"/>
      <c r="N257" s="199"/>
      <c r="O257" s="199"/>
      <c r="P257" s="200"/>
      <c r="Q257" s="201"/>
      <c r="R257" s="200"/>
      <c r="S257" s="200"/>
      <c r="T257" s="200"/>
      <c r="U257" s="200"/>
      <c r="V257" s="201"/>
      <c r="W257" s="201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198"/>
      <c r="AO257" s="201"/>
      <c r="AP257" s="198"/>
      <c r="AQ257" s="200"/>
      <c r="AR257" s="199"/>
      <c r="AS257" s="198"/>
      <c r="AV257" s="164"/>
      <c r="BA257" s="202"/>
      <c r="BC257" s="203"/>
      <c r="BD257" s="194"/>
      <c r="BE257" s="194"/>
    </row>
    <row r="258">
      <c r="A258" s="6"/>
      <c r="B258" s="6"/>
      <c r="C258" s="196"/>
      <c r="E258" s="197"/>
      <c r="F258" s="196"/>
      <c r="G258" s="198"/>
      <c r="H258" s="198"/>
      <c r="I258" s="198"/>
      <c r="J258" s="198"/>
      <c r="K258" s="198"/>
      <c r="L258" s="198"/>
      <c r="M258" s="199"/>
      <c r="N258" s="199"/>
      <c r="O258" s="199"/>
      <c r="P258" s="200"/>
      <c r="Q258" s="201"/>
      <c r="R258" s="200"/>
      <c r="S258" s="200"/>
      <c r="T258" s="200"/>
      <c r="U258" s="200"/>
      <c r="V258" s="201"/>
      <c r="W258" s="201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198"/>
      <c r="AO258" s="201"/>
      <c r="AP258" s="198"/>
      <c r="AQ258" s="200"/>
      <c r="AR258" s="199"/>
      <c r="AS258" s="198"/>
      <c r="AV258" s="164"/>
      <c r="BA258" s="202"/>
      <c r="BC258" s="203"/>
      <c r="BD258" s="194"/>
      <c r="BE258" s="194"/>
    </row>
    <row r="259">
      <c r="A259" s="6"/>
      <c r="B259" s="6"/>
      <c r="C259" s="196"/>
      <c r="E259" s="197"/>
      <c r="F259" s="196"/>
      <c r="G259" s="198"/>
      <c r="H259" s="198"/>
      <c r="I259" s="198"/>
      <c r="J259" s="198"/>
      <c r="K259" s="198"/>
      <c r="L259" s="198"/>
      <c r="M259" s="199"/>
      <c r="N259" s="199"/>
      <c r="O259" s="199"/>
      <c r="P259" s="200"/>
      <c r="Q259" s="201"/>
      <c r="R259" s="200"/>
      <c r="S259" s="200"/>
      <c r="T259" s="200"/>
      <c r="U259" s="200"/>
      <c r="V259" s="201"/>
      <c r="W259" s="201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198"/>
      <c r="AO259" s="201"/>
      <c r="AP259" s="198"/>
      <c r="AQ259" s="200"/>
      <c r="AR259" s="199"/>
      <c r="AS259" s="198"/>
      <c r="AV259" s="164"/>
      <c r="BA259" s="202"/>
      <c r="BC259" s="203"/>
      <c r="BD259" s="194"/>
      <c r="BE259" s="194"/>
    </row>
    <row r="260">
      <c r="A260" s="6"/>
      <c r="B260" s="6"/>
      <c r="C260" s="196"/>
      <c r="E260" s="197"/>
      <c r="F260" s="196"/>
      <c r="G260" s="198"/>
      <c r="H260" s="198"/>
      <c r="I260" s="198"/>
      <c r="J260" s="198"/>
      <c r="K260" s="198"/>
      <c r="L260" s="198"/>
      <c r="M260" s="199"/>
      <c r="N260" s="199"/>
      <c r="O260" s="199"/>
      <c r="P260" s="200"/>
      <c r="Q260" s="201"/>
      <c r="R260" s="200"/>
      <c r="S260" s="200"/>
      <c r="T260" s="200"/>
      <c r="U260" s="200"/>
      <c r="V260" s="201"/>
      <c r="W260" s="201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198"/>
      <c r="AO260" s="201"/>
      <c r="AP260" s="198"/>
      <c r="AQ260" s="200"/>
      <c r="AR260" s="199"/>
      <c r="AS260" s="198"/>
      <c r="AV260" s="164"/>
      <c r="BA260" s="202"/>
      <c r="BC260" s="203"/>
      <c r="BD260" s="194"/>
      <c r="BE260" s="194"/>
    </row>
    <row r="261">
      <c r="A261" s="6"/>
      <c r="B261" s="6"/>
      <c r="C261" s="196"/>
      <c r="E261" s="197"/>
      <c r="F261" s="196"/>
      <c r="G261" s="198"/>
      <c r="H261" s="198"/>
      <c r="I261" s="198"/>
      <c r="J261" s="198"/>
      <c r="K261" s="198"/>
      <c r="L261" s="198"/>
      <c r="M261" s="199"/>
      <c r="N261" s="199"/>
      <c r="O261" s="199"/>
      <c r="P261" s="200"/>
      <c r="Q261" s="201"/>
      <c r="R261" s="200"/>
      <c r="S261" s="200"/>
      <c r="T261" s="200"/>
      <c r="U261" s="200"/>
      <c r="V261" s="201"/>
      <c r="W261" s="201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198"/>
      <c r="AO261" s="201"/>
      <c r="AP261" s="198"/>
      <c r="AQ261" s="200"/>
      <c r="AR261" s="199"/>
      <c r="AS261" s="198"/>
      <c r="AV261" s="164"/>
      <c r="BA261" s="202"/>
      <c r="BC261" s="203"/>
      <c r="BD261" s="194"/>
      <c r="BE261" s="194"/>
    </row>
    <row r="262">
      <c r="A262" s="6"/>
      <c r="B262" s="6"/>
      <c r="C262" s="196"/>
      <c r="E262" s="197"/>
      <c r="F262" s="196"/>
      <c r="G262" s="198"/>
      <c r="H262" s="198"/>
      <c r="I262" s="198"/>
      <c r="J262" s="198"/>
      <c r="K262" s="198"/>
      <c r="L262" s="198"/>
      <c r="M262" s="199"/>
      <c r="N262" s="199"/>
      <c r="O262" s="199"/>
      <c r="P262" s="200"/>
      <c r="Q262" s="201"/>
      <c r="R262" s="200"/>
      <c r="S262" s="200"/>
      <c r="T262" s="200"/>
      <c r="U262" s="200"/>
      <c r="V262" s="201"/>
      <c r="W262" s="201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198"/>
      <c r="AO262" s="201"/>
      <c r="AP262" s="198"/>
      <c r="AQ262" s="200"/>
      <c r="AR262" s="199"/>
      <c r="AS262" s="198"/>
      <c r="AV262" s="164"/>
      <c r="BA262" s="202"/>
      <c r="BC262" s="203"/>
      <c r="BD262" s="194"/>
      <c r="BE262" s="194"/>
    </row>
    <row r="263">
      <c r="A263" s="6"/>
      <c r="B263" s="6"/>
      <c r="C263" s="196"/>
      <c r="E263" s="197"/>
      <c r="F263" s="196"/>
      <c r="G263" s="198"/>
      <c r="H263" s="198"/>
      <c r="I263" s="198"/>
      <c r="J263" s="198"/>
      <c r="K263" s="198"/>
      <c r="L263" s="198"/>
      <c r="M263" s="199"/>
      <c r="N263" s="199"/>
      <c r="O263" s="199"/>
      <c r="P263" s="200"/>
      <c r="Q263" s="201"/>
      <c r="R263" s="200"/>
      <c r="S263" s="200"/>
      <c r="T263" s="200"/>
      <c r="U263" s="200"/>
      <c r="V263" s="201"/>
      <c r="W263" s="201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198"/>
      <c r="AO263" s="201"/>
      <c r="AP263" s="198"/>
      <c r="AQ263" s="200"/>
      <c r="AR263" s="199"/>
      <c r="AS263" s="198"/>
      <c r="AV263" s="164"/>
      <c r="BA263" s="202"/>
      <c r="BC263" s="203"/>
      <c r="BD263" s="194"/>
      <c r="BE263" s="194"/>
    </row>
    <row r="264">
      <c r="A264" s="6"/>
      <c r="B264" s="6"/>
      <c r="C264" s="196"/>
      <c r="E264" s="197"/>
      <c r="F264" s="196"/>
      <c r="G264" s="198"/>
      <c r="H264" s="198"/>
      <c r="I264" s="198"/>
      <c r="J264" s="198"/>
      <c r="K264" s="198"/>
      <c r="L264" s="198"/>
      <c r="M264" s="199"/>
      <c r="N264" s="199"/>
      <c r="O264" s="199"/>
      <c r="P264" s="200"/>
      <c r="Q264" s="201"/>
      <c r="R264" s="200"/>
      <c r="S264" s="200"/>
      <c r="T264" s="200"/>
      <c r="U264" s="200"/>
      <c r="V264" s="201"/>
      <c r="W264" s="201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198"/>
      <c r="AO264" s="201"/>
      <c r="AP264" s="198"/>
      <c r="AQ264" s="200"/>
      <c r="AR264" s="199"/>
      <c r="AS264" s="198"/>
      <c r="AV264" s="164"/>
      <c r="BA264" s="202"/>
      <c r="BC264" s="203"/>
      <c r="BD264" s="194"/>
      <c r="BE264" s="194"/>
    </row>
    <row r="265">
      <c r="A265" s="6"/>
      <c r="B265" s="6"/>
      <c r="C265" s="196"/>
      <c r="E265" s="197"/>
      <c r="F265" s="196"/>
      <c r="G265" s="198"/>
      <c r="H265" s="198"/>
      <c r="I265" s="198"/>
      <c r="J265" s="198"/>
      <c r="K265" s="198"/>
      <c r="L265" s="198"/>
      <c r="M265" s="199"/>
      <c r="N265" s="199"/>
      <c r="O265" s="199"/>
      <c r="P265" s="200"/>
      <c r="Q265" s="201"/>
      <c r="R265" s="200"/>
      <c r="S265" s="200"/>
      <c r="T265" s="200"/>
      <c r="U265" s="200"/>
      <c r="V265" s="201"/>
      <c r="W265" s="201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198"/>
      <c r="AO265" s="201"/>
      <c r="AP265" s="198"/>
      <c r="AQ265" s="200"/>
      <c r="AR265" s="199"/>
      <c r="AS265" s="198"/>
      <c r="AV265" s="164"/>
      <c r="BA265" s="202"/>
      <c r="BC265" s="203"/>
      <c r="BD265" s="194"/>
      <c r="BE265" s="194"/>
    </row>
    <row r="266">
      <c r="A266" s="6"/>
      <c r="B266" s="6"/>
      <c r="C266" s="196"/>
      <c r="E266" s="197"/>
      <c r="F266" s="196"/>
      <c r="G266" s="198"/>
      <c r="H266" s="198"/>
      <c r="I266" s="198"/>
      <c r="J266" s="198"/>
      <c r="K266" s="198"/>
      <c r="L266" s="198"/>
      <c r="M266" s="199"/>
      <c r="N266" s="199"/>
      <c r="O266" s="199"/>
      <c r="P266" s="200"/>
      <c r="Q266" s="201"/>
      <c r="R266" s="200"/>
      <c r="S266" s="200"/>
      <c r="T266" s="200"/>
      <c r="U266" s="200"/>
      <c r="V266" s="201"/>
      <c r="W266" s="201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198"/>
      <c r="AO266" s="201"/>
      <c r="AP266" s="198"/>
      <c r="AQ266" s="200"/>
      <c r="AR266" s="199"/>
      <c r="AS266" s="198"/>
      <c r="AV266" s="164"/>
      <c r="BA266" s="202"/>
      <c r="BC266" s="203"/>
      <c r="BD266" s="194"/>
      <c r="BE266" s="194"/>
    </row>
    <row r="267">
      <c r="A267" s="6"/>
      <c r="B267" s="6"/>
      <c r="C267" s="196"/>
      <c r="E267" s="197"/>
      <c r="F267" s="196"/>
      <c r="G267" s="198"/>
      <c r="H267" s="198"/>
      <c r="I267" s="198"/>
      <c r="J267" s="198"/>
      <c r="K267" s="198"/>
      <c r="L267" s="198"/>
      <c r="M267" s="199"/>
      <c r="N267" s="199"/>
      <c r="O267" s="199"/>
      <c r="P267" s="200"/>
      <c r="Q267" s="201"/>
      <c r="R267" s="200"/>
      <c r="S267" s="200"/>
      <c r="T267" s="200"/>
      <c r="U267" s="200"/>
      <c r="V267" s="201"/>
      <c r="W267" s="201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198"/>
      <c r="AO267" s="201"/>
      <c r="AP267" s="198"/>
      <c r="AQ267" s="200"/>
      <c r="AR267" s="199"/>
      <c r="AS267" s="198"/>
      <c r="AV267" s="164"/>
      <c r="BA267" s="202"/>
      <c r="BC267" s="203"/>
      <c r="BD267" s="194"/>
      <c r="BE267" s="194"/>
    </row>
    <row r="268">
      <c r="A268" s="6"/>
      <c r="B268" s="6"/>
      <c r="C268" s="196"/>
      <c r="E268" s="197"/>
      <c r="F268" s="196"/>
      <c r="G268" s="198"/>
      <c r="H268" s="198"/>
      <c r="I268" s="198"/>
      <c r="J268" s="198"/>
      <c r="K268" s="198"/>
      <c r="L268" s="198"/>
      <c r="M268" s="199"/>
      <c r="N268" s="199"/>
      <c r="O268" s="199"/>
      <c r="P268" s="200"/>
      <c r="Q268" s="201"/>
      <c r="R268" s="200"/>
      <c r="S268" s="200"/>
      <c r="T268" s="200"/>
      <c r="U268" s="200"/>
      <c r="V268" s="201"/>
      <c r="W268" s="201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198"/>
      <c r="AO268" s="201"/>
      <c r="AP268" s="198"/>
      <c r="AQ268" s="200"/>
      <c r="AR268" s="199"/>
      <c r="AS268" s="198"/>
      <c r="AV268" s="164"/>
      <c r="BA268" s="202"/>
      <c r="BC268" s="203"/>
      <c r="BD268" s="194"/>
      <c r="BE268" s="194"/>
    </row>
    <row r="269">
      <c r="A269" s="6"/>
      <c r="B269" s="6"/>
      <c r="C269" s="196"/>
      <c r="E269" s="197"/>
      <c r="F269" s="196"/>
      <c r="G269" s="198"/>
      <c r="H269" s="198"/>
      <c r="I269" s="198"/>
      <c r="J269" s="198"/>
      <c r="K269" s="198"/>
      <c r="L269" s="198"/>
      <c r="M269" s="199"/>
      <c r="N269" s="199"/>
      <c r="O269" s="199"/>
      <c r="P269" s="200"/>
      <c r="Q269" s="201"/>
      <c r="R269" s="200"/>
      <c r="S269" s="200"/>
      <c r="T269" s="200"/>
      <c r="U269" s="200"/>
      <c r="V269" s="201"/>
      <c r="W269" s="201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198"/>
      <c r="AO269" s="201"/>
      <c r="AP269" s="198"/>
      <c r="AQ269" s="200"/>
      <c r="AR269" s="199"/>
      <c r="AS269" s="198"/>
      <c r="AV269" s="164"/>
      <c r="BA269" s="202"/>
      <c r="BC269" s="203"/>
      <c r="BD269" s="194"/>
      <c r="BE269" s="194"/>
    </row>
    <row r="270">
      <c r="A270" s="6"/>
      <c r="B270" s="6"/>
      <c r="C270" s="196"/>
      <c r="E270" s="197"/>
      <c r="F270" s="196"/>
      <c r="G270" s="198"/>
      <c r="H270" s="198"/>
      <c r="I270" s="198"/>
      <c r="J270" s="198"/>
      <c r="K270" s="198"/>
      <c r="L270" s="198"/>
      <c r="M270" s="199"/>
      <c r="N270" s="199"/>
      <c r="O270" s="199"/>
      <c r="P270" s="200"/>
      <c r="Q270" s="201"/>
      <c r="R270" s="200"/>
      <c r="S270" s="200"/>
      <c r="T270" s="200"/>
      <c r="U270" s="200"/>
      <c r="V270" s="201"/>
      <c r="W270" s="201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198"/>
      <c r="AO270" s="201"/>
      <c r="AP270" s="198"/>
      <c r="AQ270" s="200"/>
      <c r="AR270" s="199"/>
      <c r="AS270" s="198"/>
      <c r="AV270" s="164"/>
      <c r="BA270" s="202"/>
      <c r="BC270" s="203"/>
      <c r="BD270" s="194"/>
      <c r="BE270" s="194"/>
    </row>
    <row r="271">
      <c r="A271" s="6"/>
      <c r="B271" s="6"/>
      <c r="C271" s="196"/>
      <c r="E271" s="197"/>
      <c r="F271" s="196"/>
      <c r="G271" s="198"/>
      <c r="H271" s="198"/>
      <c r="I271" s="198"/>
      <c r="J271" s="198"/>
      <c r="K271" s="198"/>
      <c r="L271" s="198"/>
      <c r="M271" s="199"/>
      <c r="N271" s="199"/>
      <c r="O271" s="199"/>
      <c r="P271" s="200"/>
      <c r="Q271" s="201"/>
      <c r="R271" s="200"/>
      <c r="S271" s="200"/>
      <c r="T271" s="200"/>
      <c r="U271" s="200"/>
      <c r="V271" s="201"/>
      <c r="W271" s="201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198"/>
      <c r="AO271" s="201"/>
      <c r="AP271" s="198"/>
      <c r="AQ271" s="200"/>
      <c r="AR271" s="199"/>
      <c r="AS271" s="198"/>
      <c r="AV271" s="164"/>
      <c r="BA271" s="202"/>
      <c r="BC271" s="203"/>
      <c r="BD271" s="194"/>
      <c r="BE271" s="194"/>
    </row>
    <row r="272">
      <c r="A272" s="6"/>
      <c r="B272" s="6"/>
      <c r="C272" s="196"/>
      <c r="E272" s="197"/>
      <c r="F272" s="196"/>
      <c r="G272" s="198"/>
      <c r="H272" s="198"/>
      <c r="I272" s="198"/>
      <c r="J272" s="198"/>
      <c r="K272" s="198"/>
      <c r="L272" s="198"/>
      <c r="M272" s="199"/>
      <c r="N272" s="199"/>
      <c r="O272" s="199"/>
      <c r="P272" s="200"/>
      <c r="Q272" s="201"/>
      <c r="R272" s="200"/>
      <c r="S272" s="200"/>
      <c r="T272" s="200"/>
      <c r="U272" s="200"/>
      <c r="V272" s="201"/>
      <c r="W272" s="201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198"/>
      <c r="AO272" s="201"/>
      <c r="AP272" s="198"/>
      <c r="AQ272" s="200"/>
      <c r="AR272" s="199"/>
      <c r="AS272" s="198"/>
      <c r="AV272" s="164"/>
      <c r="BA272" s="202"/>
      <c r="BC272" s="203"/>
      <c r="BD272" s="194"/>
      <c r="BE272" s="194"/>
    </row>
    <row r="273">
      <c r="A273" s="6"/>
      <c r="B273" s="6"/>
      <c r="C273" s="196"/>
      <c r="E273" s="197"/>
      <c r="F273" s="196"/>
      <c r="G273" s="198"/>
      <c r="H273" s="198"/>
      <c r="I273" s="198"/>
      <c r="J273" s="198"/>
      <c r="K273" s="198"/>
      <c r="L273" s="198"/>
      <c r="M273" s="199"/>
      <c r="N273" s="199"/>
      <c r="O273" s="199"/>
      <c r="P273" s="200"/>
      <c r="Q273" s="201"/>
      <c r="R273" s="200"/>
      <c r="S273" s="200"/>
      <c r="T273" s="200"/>
      <c r="U273" s="200"/>
      <c r="V273" s="201"/>
      <c r="W273" s="201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198"/>
      <c r="AO273" s="201"/>
      <c r="AP273" s="198"/>
      <c r="AQ273" s="200"/>
      <c r="AR273" s="199"/>
      <c r="AS273" s="198"/>
      <c r="AV273" s="164"/>
      <c r="BA273" s="202"/>
      <c r="BC273" s="203"/>
      <c r="BD273" s="194"/>
      <c r="BE273" s="194"/>
    </row>
    <row r="274">
      <c r="A274" s="6"/>
      <c r="B274" s="6"/>
      <c r="C274" s="196"/>
      <c r="E274" s="197"/>
      <c r="F274" s="196"/>
      <c r="G274" s="198"/>
      <c r="H274" s="198"/>
      <c r="I274" s="198"/>
      <c r="J274" s="198"/>
      <c r="K274" s="198"/>
      <c r="L274" s="198"/>
      <c r="M274" s="199"/>
      <c r="N274" s="199"/>
      <c r="O274" s="199"/>
      <c r="P274" s="200"/>
      <c r="Q274" s="201"/>
      <c r="R274" s="200"/>
      <c r="S274" s="200"/>
      <c r="T274" s="200"/>
      <c r="U274" s="200"/>
      <c r="V274" s="201"/>
      <c r="W274" s="201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198"/>
      <c r="AO274" s="201"/>
      <c r="AP274" s="198"/>
      <c r="AQ274" s="200"/>
      <c r="AR274" s="199"/>
      <c r="AS274" s="198"/>
      <c r="AV274" s="164"/>
      <c r="BA274" s="202"/>
      <c r="BC274" s="203"/>
      <c r="BD274" s="194"/>
      <c r="BE274" s="194"/>
    </row>
    <row r="275">
      <c r="A275" s="6"/>
      <c r="B275" s="6"/>
      <c r="C275" s="196"/>
      <c r="E275" s="197"/>
      <c r="F275" s="196"/>
      <c r="G275" s="198"/>
      <c r="H275" s="198"/>
      <c r="I275" s="198"/>
      <c r="J275" s="198"/>
      <c r="K275" s="198"/>
      <c r="L275" s="198"/>
      <c r="M275" s="199"/>
      <c r="N275" s="199"/>
      <c r="O275" s="199"/>
      <c r="P275" s="200"/>
      <c r="Q275" s="201"/>
      <c r="R275" s="200"/>
      <c r="S275" s="200"/>
      <c r="T275" s="200"/>
      <c r="U275" s="200"/>
      <c r="V275" s="201"/>
      <c r="W275" s="201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198"/>
      <c r="AO275" s="201"/>
      <c r="AP275" s="198"/>
      <c r="AQ275" s="200"/>
      <c r="AR275" s="199"/>
      <c r="AS275" s="198"/>
      <c r="AV275" s="164"/>
      <c r="BA275" s="202"/>
      <c r="BC275" s="203"/>
      <c r="BD275" s="194"/>
      <c r="BE275" s="194"/>
    </row>
    <row r="276">
      <c r="A276" s="6"/>
      <c r="B276" s="6"/>
      <c r="C276" s="196"/>
      <c r="E276" s="197"/>
      <c r="F276" s="196"/>
      <c r="G276" s="198"/>
      <c r="H276" s="198"/>
      <c r="I276" s="198"/>
      <c r="J276" s="198"/>
      <c r="K276" s="198"/>
      <c r="L276" s="198"/>
      <c r="M276" s="199"/>
      <c r="N276" s="199"/>
      <c r="O276" s="199"/>
      <c r="P276" s="200"/>
      <c r="Q276" s="201"/>
      <c r="R276" s="200"/>
      <c r="S276" s="200"/>
      <c r="T276" s="200"/>
      <c r="U276" s="200"/>
      <c r="V276" s="201"/>
      <c r="W276" s="201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198"/>
      <c r="AO276" s="201"/>
      <c r="AP276" s="198"/>
      <c r="AQ276" s="200"/>
      <c r="AR276" s="199"/>
      <c r="AS276" s="198"/>
      <c r="AV276" s="164"/>
      <c r="BA276" s="202"/>
      <c r="BC276" s="203"/>
      <c r="BD276" s="194"/>
      <c r="BE276" s="194"/>
    </row>
    <row r="277">
      <c r="A277" s="6"/>
      <c r="B277" s="6"/>
      <c r="C277" s="196"/>
      <c r="E277" s="197"/>
      <c r="F277" s="196"/>
      <c r="G277" s="198"/>
      <c r="H277" s="198"/>
      <c r="I277" s="198"/>
      <c r="J277" s="198"/>
      <c r="K277" s="198"/>
      <c r="L277" s="198"/>
      <c r="M277" s="199"/>
      <c r="N277" s="199"/>
      <c r="O277" s="199"/>
      <c r="P277" s="200"/>
      <c r="Q277" s="201"/>
      <c r="R277" s="200"/>
      <c r="S277" s="200"/>
      <c r="T277" s="200"/>
      <c r="U277" s="200"/>
      <c r="V277" s="201"/>
      <c r="W277" s="201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198"/>
      <c r="AO277" s="201"/>
      <c r="AP277" s="198"/>
      <c r="AQ277" s="200"/>
      <c r="AR277" s="199"/>
      <c r="AS277" s="198"/>
      <c r="AV277" s="164"/>
      <c r="BA277" s="202"/>
      <c r="BC277" s="203"/>
      <c r="BD277" s="194"/>
      <c r="BE277" s="194"/>
    </row>
    <row r="278">
      <c r="A278" s="6"/>
      <c r="B278" s="6"/>
      <c r="C278" s="196"/>
      <c r="E278" s="197"/>
      <c r="F278" s="196"/>
      <c r="G278" s="198"/>
      <c r="H278" s="198"/>
      <c r="I278" s="198"/>
      <c r="J278" s="198"/>
      <c r="K278" s="198"/>
      <c r="L278" s="198"/>
      <c r="M278" s="199"/>
      <c r="N278" s="199"/>
      <c r="O278" s="199"/>
      <c r="P278" s="200"/>
      <c r="Q278" s="201"/>
      <c r="R278" s="200"/>
      <c r="S278" s="200"/>
      <c r="T278" s="200"/>
      <c r="U278" s="200"/>
      <c r="V278" s="201"/>
      <c r="W278" s="201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198"/>
      <c r="AO278" s="201"/>
      <c r="AP278" s="198"/>
      <c r="AQ278" s="200"/>
      <c r="AR278" s="199"/>
      <c r="AS278" s="198"/>
      <c r="AV278" s="164"/>
      <c r="BA278" s="202"/>
      <c r="BC278" s="203"/>
      <c r="BD278" s="194"/>
      <c r="BE278" s="194"/>
    </row>
    <row r="279">
      <c r="A279" s="6"/>
      <c r="B279" s="6"/>
      <c r="C279" s="196"/>
      <c r="E279" s="197"/>
      <c r="F279" s="196"/>
      <c r="G279" s="198"/>
      <c r="H279" s="198"/>
      <c r="I279" s="198"/>
      <c r="J279" s="198"/>
      <c r="K279" s="198"/>
      <c r="L279" s="198"/>
      <c r="M279" s="199"/>
      <c r="N279" s="199"/>
      <c r="O279" s="199"/>
      <c r="P279" s="200"/>
      <c r="Q279" s="201"/>
      <c r="R279" s="200"/>
      <c r="S279" s="200"/>
      <c r="T279" s="200"/>
      <c r="U279" s="200"/>
      <c r="V279" s="201"/>
      <c r="W279" s="201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198"/>
      <c r="AO279" s="201"/>
      <c r="AP279" s="198"/>
      <c r="AQ279" s="200"/>
      <c r="AR279" s="199"/>
      <c r="AS279" s="198"/>
      <c r="AV279" s="164"/>
      <c r="BA279" s="202"/>
      <c r="BC279" s="203"/>
      <c r="BD279" s="194"/>
      <c r="BE279" s="194"/>
    </row>
    <row r="280">
      <c r="A280" s="6"/>
      <c r="B280" s="6"/>
      <c r="C280" s="196"/>
      <c r="E280" s="197"/>
      <c r="F280" s="196"/>
      <c r="G280" s="198"/>
      <c r="H280" s="198"/>
      <c r="I280" s="198"/>
      <c r="J280" s="198"/>
      <c r="K280" s="198"/>
      <c r="L280" s="198"/>
      <c r="M280" s="199"/>
      <c r="N280" s="199"/>
      <c r="O280" s="199"/>
      <c r="P280" s="200"/>
      <c r="Q280" s="201"/>
      <c r="R280" s="200"/>
      <c r="S280" s="200"/>
      <c r="T280" s="200"/>
      <c r="U280" s="200"/>
      <c r="V280" s="201"/>
      <c r="W280" s="201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198"/>
      <c r="AO280" s="201"/>
      <c r="AP280" s="198"/>
      <c r="AQ280" s="200"/>
      <c r="AR280" s="199"/>
      <c r="AS280" s="198"/>
      <c r="AV280" s="164"/>
      <c r="BA280" s="202"/>
      <c r="BC280" s="203"/>
      <c r="BD280" s="194"/>
      <c r="BE280" s="194"/>
    </row>
    <row r="281">
      <c r="A281" s="6"/>
      <c r="B281" s="6"/>
      <c r="C281" s="196"/>
      <c r="E281" s="197"/>
      <c r="F281" s="196"/>
      <c r="G281" s="198"/>
      <c r="H281" s="198"/>
      <c r="I281" s="198"/>
      <c r="J281" s="198"/>
      <c r="K281" s="198"/>
      <c r="L281" s="198"/>
      <c r="M281" s="199"/>
      <c r="N281" s="199"/>
      <c r="O281" s="199"/>
      <c r="P281" s="200"/>
      <c r="Q281" s="201"/>
      <c r="R281" s="200"/>
      <c r="S281" s="200"/>
      <c r="T281" s="200"/>
      <c r="U281" s="200"/>
      <c r="V281" s="201"/>
      <c r="W281" s="201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198"/>
      <c r="AO281" s="201"/>
      <c r="AP281" s="198"/>
      <c r="AQ281" s="200"/>
      <c r="AR281" s="199"/>
      <c r="AS281" s="198"/>
      <c r="AV281" s="164"/>
      <c r="BA281" s="202"/>
      <c r="BC281" s="203"/>
      <c r="BD281" s="194"/>
      <c r="BE281" s="194"/>
    </row>
    <row r="282">
      <c r="A282" s="6"/>
      <c r="B282" s="6"/>
      <c r="C282" s="196"/>
      <c r="E282" s="197"/>
      <c r="F282" s="196"/>
      <c r="G282" s="198"/>
      <c r="H282" s="198"/>
      <c r="I282" s="198"/>
      <c r="J282" s="198"/>
      <c r="K282" s="198"/>
      <c r="L282" s="198"/>
      <c r="M282" s="199"/>
      <c r="N282" s="199"/>
      <c r="O282" s="199"/>
      <c r="P282" s="200"/>
      <c r="Q282" s="201"/>
      <c r="R282" s="200"/>
      <c r="S282" s="200"/>
      <c r="T282" s="200"/>
      <c r="U282" s="200"/>
      <c r="V282" s="201"/>
      <c r="W282" s="201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198"/>
      <c r="AO282" s="201"/>
      <c r="AP282" s="198"/>
      <c r="AQ282" s="200"/>
      <c r="AR282" s="199"/>
      <c r="AS282" s="198"/>
      <c r="AV282" s="164"/>
      <c r="BA282" s="202"/>
      <c r="BC282" s="203"/>
      <c r="BD282" s="194"/>
      <c r="BE282" s="194"/>
    </row>
    <row r="283">
      <c r="A283" s="6"/>
      <c r="B283" s="6"/>
      <c r="C283" s="196"/>
      <c r="E283" s="197"/>
      <c r="F283" s="196"/>
      <c r="G283" s="198"/>
      <c r="H283" s="198"/>
      <c r="I283" s="198"/>
      <c r="J283" s="198"/>
      <c r="K283" s="198"/>
      <c r="L283" s="198"/>
      <c r="M283" s="199"/>
      <c r="N283" s="199"/>
      <c r="O283" s="199"/>
      <c r="P283" s="200"/>
      <c r="Q283" s="201"/>
      <c r="R283" s="200"/>
      <c r="S283" s="200"/>
      <c r="T283" s="200"/>
      <c r="U283" s="200"/>
      <c r="V283" s="201"/>
      <c r="W283" s="201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198"/>
      <c r="AO283" s="201"/>
      <c r="AP283" s="198"/>
      <c r="AQ283" s="200"/>
      <c r="AR283" s="199"/>
      <c r="AS283" s="198"/>
      <c r="AV283" s="164"/>
      <c r="BA283" s="202"/>
      <c r="BC283" s="203"/>
      <c r="BD283" s="194"/>
      <c r="BE283" s="194"/>
    </row>
    <row r="284">
      <c r="A284" s="6"/>
      <c r="B284" s="6"/>
      <c r="C284" s="196"/>
      <c r="E284" s="197"/>
      <c r="F284" s="196"/>
      <c r="G284" s="198"/>
      <c r="H284" s="198"/>
      <c r="I284" s="198"/>
      <c r="J284" s="198"/>
      <c r="K284" s="198"/>
      <c r="L284" s="198"/>
      <c r="M284" s="199"/>
      <c r="N284" s="199"/>
      <c r="O284" s="199"/>
      <c r="P284" s="200"/>
      <c r="Q284" s="201"/>
      <c r="R284" s="200"/>
      <c r="S284" s="200"/>
      <c r="T284" s="200"/>
      <c r="U284" s="200"/>
      <c r="V284" s="201"/>
      <c r="W284" s="201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198"/>
      <c r="AO284" s="201"/>
      <c r="AP284" s="198"/>
      <c r="AQ284" s="200"/>
      <c r="AR284" s="199"/>
      <c r="AS284" s="198"/>
      <c r="AV284" s="164"/>
      <c r="BA284" s="202"/>
      <c r="BC284" s="203"/>
      <c r="BD284" s="194"/>
      <c r="BE284" s="194"/>
    </row>
    <row r="285">
      <c r="A285" s="6"/>
      <c r="B285" s="6"/>
      <c r="C285" s="196"/>
      <c r="E285" s="197"/>
      <c r="F285" s="196"/>
      <c r="G285" s="198"/>
      <c r="H285" s="198"/>
      <c r="I285" s="198"/>
      <c r="J285" s="198"/>
      <c r="K285" s="198"/>
      <c r="L285" s="198"/>
      <c r="M285" s="199"/>
      <c r="N285" s="199"/>
      <c r="O285" s="199"/>
      <c r="P285" s="200"/>
      <c r="Q285" s="201"/>
      <c r="R285" s="200"/>
      <c r="S285" s="200"/>
      <c r="T285" s="200"/>
      <c r="U285" s="200"/>
      <c r="V285" s="201"/>
      <c r="W285" s="201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198"/>
      <c r="AO285" s="201"/>
      <c r="AP285" s="198"/>
      <c r="AQ285" s="200"/>
      <c r="AR285" s="199"/>
      <c r="AS285" s="198"/>
      <c r="AV285" s="164"/>
      <c r="BA285" s="202"/>
      <c r="BC285" s="203"/>
      <c r="BD285" s="194"/>
      <c r="BE285" s="194"/>
    </row>
    <row r="286">
      <c r="A286" s="6"/>
      <c r="B286" s="6"/>
      <c r="C286" s="196"/>
      <c r="E286" s="197"/>
      <c r="F286" s="196"/>
      <c r="G286" s="198"/>
      <c r="H286" s="198"/>
      <c r="I286" s="198"/>
      <c r="J286" s="198"/>
      <c r="K286" s="198"/>
      <c r="L286" s="198"/>
      <c r="M286" s="199"/>
      <c r="N286" s="199"/>
      <c r="O286" s="199"/>
      <c r="P286" s="200"/>
      <c r="Q286" s="201"/>
      <c r="R286" s="200"/>
      <c r="S286" s="200"/>
      <c r="T286" s="200"/>
      <c r="U286" s="200"/>
      <c r="V286" s="201"/>
      <c r="W286" s="201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198"/>
      <c r="AO286" s="201"/>
      <c r="AP286" s="198"/>
      <c r="AQ286" s="200"/>
      <c r="AR286" s="199"/>
      <c r="AS286" s="198"/>
      <c r="AV286" s="164"/>
      <c r="BA286" s="202"/>
      <c r="BC286" s="203"/>
      <c r="BD286" s="194"/>
      <c r="BE286" s="194"/>
    </row>
    <row r="287">
      <c r="A287" s="6"/>
      <c r="B287" s="6"/>
      <c r="C287" s="196"/>
      <c r="E287" s="197"/>
      <c r="F287" s="196"/>
      <c r="G287" s="198"/>
      <c r="H287" s="198"/>
      <c r="I287" s="198"/>
      <c r="J287" s="198"/>
      <c r="K287" s="198"/>
      <c r="L287" s="198"/>
      <c r="M287" s="199"/>
      <c r="N287" s="199"/>
      <c r="O287" s="199"/>
      <c r="P287" s="200"/>
      <c r="Q287" s="201"/>
      <c r="R287" s="200"/>
      <c r="S287" s="200"/>
      <c r="T287" s="200"/>
      <c r="U287" s="200"/>
      <c r="V287" s="201"/>
      <c r="W287" s="201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198"/>
      <c r="AO287" s="201"/>
      <c r="AP287" s="198"/>
      <c r="AQ287" s="200"/>
      <c r="AR287" s="199"/>
      <c r="AS287" s="198"/>
      <c r="AV287" s="164"/>
      <c r="BA287" s="202"/>
      <c r="BC287" s="203"/>
      <c r="BD287" s="194"/>
      <c r="BE287" s="194"/>
    </row>
    <row r="288">
      <c r="A288" s="6"/>
      <c r="B288" s="6"/>
      <c r="C288" s="196"/>
      <c r="E288" s="197"/>
      <c r="F288" s="196"/>
      <c r="G288" s="198"/>
      <c r="H288" s="198"/>
      <c r="I288" s="198"/>
      <c r="J288" s="198"/>
      <c r="K288" s="198"/>
      <c r="L288" s="198"/>
      <c r="M288" s="199"/>
      <c r="N288" s="199"/>
      <c r="O288" s="199"/>
      <c r="P288" s="200"/>
      <c r="Q288" s="201"/>
      <c r="R288" s="200"/>
      <c r="S288" s="200"/>
      <c r="T288" s="200"/>
      <c r="U288" s="200"/>
      <c r="V288" s="201"/>
      <c r="W288" s="201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198"/>
      <c r="AO288" s="201"/>
      <c r="AP288" s="198"/>
      <c r="AQ288" s="200"/>
      <c r="AR288" s="199"/>
      <c r="AS288" s="198"/>
      <c r="AV288" s="164"/>
      <c r="BA288" s="202"/>
      <c r="BC288" s="203"/>
      <c r="BD288" s="194"/>
      <c r="BE288" s="194"/>
    </row>
    <row r="289">
      <c r="A289" s="6"/>
      <c r="B289" s="6"/>
      <c r="C289" s="196"/>
      <c r="E289" s="197"/>
      <c r="F289" s="196"/>
      <c r="G289" s="198"/>
      <c r="H289" s="198"/>
      <c r="I289" s="198"/>
      <c r="J289" s="198"/>
      <c r="K289" s="198"/>
      <c r="L289" s="198"/>
      <c r="M289" s="199"/>
      <c r="N289" s="199"/>
      <c r="O289" s="199"/>
      <c r="P289" s="200"/>
      <c r="Q289" s="201"/>
      <c r="R289" s="200"/>
      <c r="S289" s="200"/>
      <c r="T289" s="200"/>
      <c r="U289" s="200"/>
      <c r="V289" s="201"/>
      <c r="W289" s="201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198"/>
      <c r="AO289" s="201"/>
      <c r="AP289" s="198"/>
      <c r="AQ289" s="200"/>
      <c r="AR289" s="199"/>
      <c r="AS289" s="198"/>
      <c r="AV289" s="164"/>
      <c r="BA289" s="202"/>
      <c r="BC289" s="203"/>
      <c r="BD289" s="194"/>
      <c r="BE289" s="194"/>
    </row>
    <row r="290">
      <c r="A290" s="6"/>
      <c r="B290" s="6"/>
      <c r="C290" s="196"/>
      <c r="E290" s="197"/>
      <c r="F290" s="196"/>
      <c r="G290" s="198"/>
      <c r="H290" s="198"/>
      <c r="I290" s="198"/>
      <c r="J290" s="198"/>
      <c r="K290" s="198"/>
      <c r="L290" s="198"/>
      <c r="M290" s="199"/>
      <c r="N290" s="199"/>
      <c r="O290" s="199"/>
      <c r="P290" s="200"/>
      <c r="Q290" s="201"/>
      <c r="R290" s="200"/>
      <c r="S290" s="200"/>
      <c r="T290" s="200"/>
      <c r="U290" s="200"/>
      <c r="V290" s="201"/>
      <c r="W290" s="201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198"/>
      <c r="AO290" s="201"/>
      <c r="AP290" s="198"/>
      <c r="AQ290" s="200"/>
      <c r="AR290" s="199"/>
      <c r="AS290" s="198"/>
      <c r="AV290" s="164"/>
      <c r="BA290" s="202"/>
      <c r="BC290" s="203"/>
      <c r="BD290" s="194"/>
      <c r="BE290" s="194"/>
    </row>
    <row r="291">
      <c r="A291" s="6"/>
      <c r="B291" s="6"/>
      <c r="C291" s="196"/>
      <c r="E291" s="197"/>
      <c r="F291" s="196"/>
      <c r="G291" s="198"/>
      <c r="H291" s="198"/>
      <c r="I291" s="198"/>
      <c r="J291" s="198"/>
      <c r="K291" s="198"/>
      <c r="L291" s="198"/>
      <c r="M291" s="199"/>
      <c r="N291" s="199"/>
      <c r="O291" s="199"/>
      <c r="P291" s="200"/>
      <c r="Q291" s="201"/>
      <c r="R291" s="200"/>
      <c r="S291" s="200"/>
      <c r="T291" s="200"/>
      <c r="U291" s="200"/>
      <c r="V291" s="201"/>
      <c r="W291" s="201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198"/>
      <c r="AO291" s="201"/>
      <c r="AP291" s="198"/>
      <c r="AQ291" s="200"/>
      <c r="AR291" s="199"/>
      <c r="AS291" s="198"/>
      <c r="AV291" s="164"/>
      <c r="BA291" s="202"/>
      <c r="BC291" s="203"/>
      <c r="BD291" s="194"/>
      <c r="BE291" s="194"/>
    </row>
    <row r="292">
      <c r="A292" s="6"/>
      <c r="B292" s="6"/>
      <c r="C292" s="196"/>
      <c r="E292" s="197"/>
      <c r="F292" s="196"/>
      <c r="G292" s="198"/>
      <c r="H292" s="198"/>
      <c r="I292" s="198"/>
      <c r="J292" s="198"/>
      <c r="K292" s="198"/>
      <c r="L292" s="198"/>
      <c r="M292" s="199"/>
      <c r="N292" s="199"/>
      <c r="O292" s="199"/>
      <c r="P292" s="200"/>
      <c r="Q292" s="201"/>
      <c r="R292" s="200"/>
      <c r="S292" s="200"/>
      <c r="T292" s="200"/>
      <c r="U292" s="200"/>
      <c r="V292" s="201"/>
      <c r="W292" s="201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198"/>
      <c r="AO292" s="201"/>
      <c r="AP292" s="198"/>
      <c r="AQ292" s="200"/>
      <c r="AR292" s="199"/>
      <c r="AS292" s="198"/>
      <c r="AV292" s="164"/>
      <c r="BA292" s="202"/>
      <c r="BC292" s="203"/>
      <c r="BD292" s="194"/>
      <c r="BE292" s="194"/>
    </row>
    <row r="293">
      <c r="A293" s="6"/>
      <c r="B293" s="6"/>
      <c r="C293" s="196"/>
      <c r="E293" s="197"/>
      <c r="F293" s="196"/>
      <c r="G293" s="198"/>
      <c r="H293" s="198"/>
      <c r="I293" s="198"/>
      <c r="J293" s="198"/>
      <c r="K293" s="198"/>
      <c r="L293" s="198"/>
      <c r="M293" s="199"/>
      <c r="N293" s="199"/>
      <c r="O293" s="199"/>
      <c r="P293" s="200"/>
      <c r="Q293" s="201"/>
      <c r="R293" s="200"/>
      <c r="S293" s="200"/>
      <c r="T293" s="200"/>
      <c r="U293" s="200"/>
      <c r="V293" s="201"/>
      <c r="W293" s="201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198"/>
      <c r="AO293" s="201"/>
      <c r="AP293" s="198"/>
      <c r="AQ293" s="200"/>
      <c r="AR293" s="199"/>
      <c r="AS293" s="198"/>
      <c r="AV293" s="164"/>
      <c r="BA293" s="202"/>
      <c r="BC293" s="203"/>
      <c r="BD293" s="194"/>
      <c r="BE293" s="194"/>
    </row>
    <row r="294">
      <c r="A294" s="6"/>
      <c r="B294" s="6"/>
      <c r="C294" s="196"/>
      <c r="E294" s="197"/>
      <c r="F294" s="196"/>
      <c r="G294" s="198"/>
      <c r="H294" s="198"/>
      <c r="I294" s="198"/>
      <c r="J294" s="198"/>
      <c r="K294" s="198"/>
      <c r="L294" s="198"/>
      <c r="M294" s="199"/>
      <c r="N294" s="199"/>
      <c r="O294" s="199"/>
      <c r="P294" s="200"/>
      <c r="Q294" s="201"/>
      <c r="R294" s="200"/>
      <c r="S294" s="200"/>
      <c r="T294" s="200"/>
      <c r="U294" s="200"/>
      <c r="V294" s="201"/>
      <c r="W294" s="201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198"/>
      <c r="AO294" s="201"/>
      <c r="AP294" s="198"/>
      <c r="AQ294" s="200"/>
      <c r="AR294" s="199"/>
      <c r="AS294" s="198"/>
      <c r="AV294" s="164"/>
      <c r="BA294" s="202"/>
      <c r="BC294" s="203"/>
      <c r="BD294" s="194"/>
      <c r="BE294" s="194"/>
    </row>
    <row r="295">
      <c r="A295" s="6"/>
      <c r="B295" s="6"/>
      <c r="C295" s="196"/>
      <c r="E295" s="197"/>
      <c r="F295" s="196"/>
      <c r="G295" s="198"/>
      <c r="H295" s="198"/>
      <c r="I295" s="198"/>
      <c r="J295" s="198"/>
      <c r="K295" s="198"/>
      <c r="L295" s="198"/>
      <c r="M295" s="199"/>
      <c r="N295" s="199"/>
      <c r="O295" s="199"/>
      <c r="P295" s="200"/>
      <c r="Q295" s="201"/>
      <c r="R295" s="200"/>
      <c r="S295" s="200"/>
      <c r="T295" s="200"/>
      <c r="U295" s="200"/>
      <c r="V295" s="201"/>
      <c r="W295" s="201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198"/>
      <c r="AO295" s="201"/>
      <c r="AP295" s="198"/>
      <c r="AQ295" s="200"/>
      <c r="AR295" s="199"/>
      <c r="AS295" s="198"/>
      <c r="AV295" s="164"/>
      <c r="BA295" s="202"/>
      <c r="BC295" s="203"/>
      <c r="BD295" s="194"/>
      <c r="BE295" s="194"/>
    </row>
    <row r="296">
      <c r="A296" s="6"/>
      <c r="B296" s="6"/>
      <c r="C296" s="196"/>
      <c r="E296" s="197"/>
      <c r="F296" s="196"/>
      <c r="G296" s="198"/>
      <c r="H296" s="198"/>
      <c r="I296" s="198"/>
      <c r="J296" s="198"/>
      <c r="K296" s="198"/>
      <c r="L296" s="198"/>
      <c r="M296" s="199"/>
      <c r="N296" s="199"/>
      <c r="O296" s="199"/>
      <c r="P296" s="200"/>
      <c r="Q296" s="201"/>
      <c r="R296" s="200"/>
      <c r="S296" s="200"/>
      <c r="T296" s="200"/>
      <c r="U296" s="200"/>
      <c r="V296" s="201"/>
      <c r="W296" s="201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198"/>
      <c r="AO296" s="201"/>
      <c r="AP296" s="198"/>
      <c r="AQ296" s="200"/>
      <c r="AR296" s="199"/>
      <c r="AS296" s="198"/>
      <c r="AV296" s="164"/>
      <c r="BA296" s="202"/>
      <c r="BC296" s="203"/>
      <c r="BD296" s="194"/>
      <c r="BE296" s="194"/>
    </row>
    <row r="297">
      <c r="A297" s="6"/>
      <c r="B297" s="6"/>
      <c r="C297" s="196"/>
      <c r="E297" s="197"/>
      <c r="F297" s="196"/>
      <c r="G297" s="198"/>
      <c r="H297" s="198"/>
      <c r="I297" s="198"/>
      <c r="J297" s="198"/>
      <c r="K297" s="198"/>
      <c r="L297" s="198"/>
      <c r="M297" s="199"/>
      <c r="N297" s="199"/>
      <c r="O297" s="199"/>
      <c r="P297" s="200"/>
      <c r="Q297" s="201"/>
      <c r="R297" s="200"/>
      <c r="S297" s="200"/>
      <c r="T297" s="200"/>
      <c r="U297" s="200"/>
      <c r="V297" s="201"/>
      <c r="W297" s="201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198"/>
      <c r="AO297" s="201"/>
      <c r="AP297" s="198"/>
      <c r="AQ297" s="200"/>
      <c r="AR297" s="199"/>
      <c r="AS297" s="198"/>
      <c r="AV297" s="164"/>
      <c r="BA297" s="202"/>
      <c r="BC297" s="203"/>
      <c r="BD297" s="194"/>
      <c r="BE297" s="194"/>
    </row>
    <row r="298">
      <c r="A298" s="6"/>
      <c r="B298" s="6"/>
      <c r="C298" s="196"/>
      <c r="E298" s="197"/>
      <c r="F298" s="196"/>
      <c r="G298" s="198"/>
      <c r="H298" s="198"/>
      <c r="I298" s="198"/>
      <c r="J298" s="198"/>
      <c r="K298" s="198"/>
      <c r="L298" s="198"/>
      <c r="M298" s="199"/>
      <c r="N298" s="199"/>
      <c r="O298" s="199"/>
      <c r="P298" s="200"/>
      <c r="Q298" s="201"/>
      <c r="R298" s="200"/>
      <c r="S298" s="200"/>
      <c r="T298" s="200"/>
      <c r="U298" s="200"/>
      <c r="V298" s="201"/>
      <c r="W298" s="201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198"/>
      <c r="AO298" s="201"/>
      <c r="AP298" s="198"/>
      <c r="AQ298" s="200"/>
      <c r="AR298" s="199"/>
      <c r="AS298" s="198"/>
      <c r="AV298" s="164"/>
      <c r="BA298" s="202"/>
      <c r="BC298" s="203"/>
      <c r="BD298" s="194"/>
      <c r="BE298" s="194"/>
    </row>
    <row r="299">
      <c r="A299" s="6"/>
      <c r="B299" s="6"/>
      <c r="C299" s="196"/>
      <c r="E299" s="197"/>
      <c r="F299" s="196"/>
      <c r="G299" s="198"/>
      <c r="H299" s="198"/>
      <c r="I299" s="198"/>
      <c r="J299" s="198"/>
      <c r="K299" s="198"/>
      <c r="L299" s="198"/>
      <c r="M299" s="199"/>
      <c r="N299" s="199"/>
      <c r="O299" s="199"/>
      <c r="P299" s="200"/>
      <c r="Q299" s="201"/>
      <c r="R299" s="200"/>
      <c r="S299" s="200"/>
      <c r="T299" s="200"/>
      <c r="U299" s="200"/>
      <c r="V299" s="201"/>
      <c r="W299" s="201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198"/>
      <c r="AO299" s="201"/>
      <c r="AP299" s="198"/>
      <c r="AQ299" s="200"/>
      <c r="AR299" s="199"/>
      <c r="AS299" s="198"/>
      <c r="AV299" s="164"/>
      <c r="BA299" s="202"/>
      <c r="BC299" s="203"/>
      <c r="BD299" s="194"/>
      <c r="BE299" s="194"/>
    </row>
    <row r="300">
      <c r="A300" s="6"/>
      <c r="B300" s="6"/>
      <c r="C300" s="196"/>
      <c r="E300" s="197"/>
      <c r="F300" s="196"/>
      <c r="G300" s="198"/>
      <c r="H300" s="198"/>
      <c r="I300" s="198"/>
      <c r="J300" s="198"/>
      <c r="K300" s="198"/>
      <c r="L300" s="198"/>
      <c r="M300" s="199"/>
      <c r="N300" s="199"/>
      <c r="O300" s="199"/>
      <c r="P300" s="200"/>
      <c r="Q300" s="201"/>
      <c r="R300" s="200"/>
      <c r="S300" s="200"/>
      <c r="T300" s="200"/>
      <c r="U300" s="200"/>
      <c r="V300" s="201"/>
      <c r="W300" s="201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198"/>
      <c r="AO300" s="201"/>
      <c r="AP300" s="198"/>
      <c r="AQ300" s="200"/>
      <c r="AR300" s="199"/>
      <c r="AS300" s="198"/>
      <c r="AV300" s="164"/>
      <c r="BA300" s="202"/>
      <c r="BC300" s="203"/>
      <c r="BD300" s="194"/>
      <c r="BE300" s="194"/>
    </row>
    <row r="301">
      <c r="A301" s="6"/>
      <c r="B301" s="6"/>
      <c r="C301" s="196"/>
      <c r="E301" s="197"/>
      <c r="F301" s="196"/>
      <c r="G301" s="198"/>
      <c r="H301" s="198"/>
      <c r="I301" s="198"/>
      <c r="J301" s="198"/>
      <c r="K301" s="198"/>
      <c r="L301" s="198"/>
      <c r="M301" s="199"/>
      <c r="N301" s="199"/>
      <c r="O301" s="199"/>
      <c r="P301" s="200"/>
      <c r="Q301" s="201"/>
      <c r="R301" s="200"/>
      <c r="S301" s="200"/>
      <c r="T301" s="200"/>
      <c r="U301" s="200"/>
      <c r="V301" s="201"/>
      <c r="W301" s="201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198"/>
      <c r="AO301" s="201"/>
      <c r="AP301" s="198"/>
      <c r="AQ301" s="200"/>
      <c r="AR301" s="199"/>
      <c r="AS301" s="198"/>
      <c r="AV301" s="164"/>
      <c r="BA301" s="202"/>
      <c r="BC301" s="203"/>
      <c r="BD301" s="194"/>
      <c r="BE301" s="194"/>
    </row>
    <row r="302">
      <c r="A302" s="6"/>
      <c r="B302" s="6"/>
      <c r="C302" s="196"/>
      <c r="E302" s="197"/>
      <c r="F302" s="196"/>
      <c r="G302" s="198"/>
      <c r="H302" s="198"/>
      <c r="I302" s="198"/>
      <c r="J302" s="198"/>
      <c r="K302" s="198"/>
      <c r="L302" s="198"/>
      <c r="M302" s="199"/>
      <c r="N302" s="199"/>
      <c r="O302" s="199"/>
      <c r="P302" s="200"/>
      <c r="Q302" s="201"/>
      <c r="R302" s="200"/>
      <c r="S302" s="200"/>
      <c r="T302" s="200"/>
      <c r="U302" s="200"/>
      <c r="V302" s="201"/>
      <c r="W302" s="201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198"/>
      <c r="AO302" s="201"/>
      <c r="AP302" s="198"/>
      <c r="AQ302" s="200"/>
      <c r="AR302" s="199"/>
      <c r="AS302" s="198"/>
      <c r="AV302" s="164"/>
      <c r="BA302" s="202"/>
      <c r="BC302" s="203"/>
      <c r="BD302" s="194"/>
      <c r="BE302" s="194"/>
    </row>
    <row r="303">
      <c r="A303" s="6"/>
      <c r="B303" s="6"/>
      <c r="C303" s="196"/>
      <c r="E303" s="197"/>
      <c r="F303" s="196"/>
      <c r="G303" s="198"/>
      <c r="H303" s="198"/>
      <c r="I303" s="198"/>
      <c r="J303" s="198"/>
      <c r="K303" s="198"/>
      <c r="L303" s="198"/>
      <c r="M303" s="199"/>
      <c r="N303" s="199"/>
      <c r="O303" s="199"/>
      <c r="P303" s="200"/>
      <c r="Q303" s="201"/>
      <c r="R303" s="200"/>
      <c r="S303" s="200"/>
      <c r="T303" s="200"/>
      <c r="U303" s="200"/>
      <c r="V303" s="201"/>
      <c r="W303" s="201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198"/>
      <c r="AO303" s="201"/>
      <c r="AP303" s="198"/>
      <c r="AQ303" s="200"/>
      <c r="AR303" s="199"/>
      <c r="AS303" s="198"/>
      <c r="AV303" s="164"/>
      <c r="BA303" s="202"/>
      <c r="BC303" s="203"/>
      <c r="BD303" s="194"/>
      <c r="BE303" s="194"/>
    </row>
    <row r="304">
      <c r="A304" s="6"/>
      <c r="B304" s="6"/>
      <c r="C304" s="196"/>
      <c r="E304" s="197"/>
      <c r="F304" s="196"/>
      <c r="G304" s="198"/>
      <c r="H304" s="198"/>
      <c r="I304" s="198"/>
      <c r="J304" s="198"/>
      <c r="K304" s="198"/>
      <c r="L304" s="198"/>
      <c r="M304" s="199"/>
      <c r="N304" s="199"/>
      <c r="O304" s="199"/>
      <c r="P304" s="200"/>
      <c r="Q304" s="201"/>
      <c r="R304" s="200"/>
      <c r="S304" s="200"/>
      <c r="T304" s="200"/>
      <c r="U304" s="200"/>
      <c r="V304" s="201"/>
      <c r="W304" s="201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198"/>
      <c r="AO304" s="201"/>
      <c r="AP304" s="198"/>
      <c r="AQ304" s="200"/>
      <c r="AR304" s="199"/>
      <c r="AS304" s="198"/>
      <c r="AV304" s="164"/>
      <c r="BA304" s="202"/>
      <c r="BC304" s="203"/>
      <c r="BD304" s="194"/>
      <c r="BE304" s="194"/>
    </row>
    <row r="305">
      <c r="A305" s="6"/>
      <c r="B305" s="6"/>
      <c r="C305" s="196"/>
      <c r="E305" s="197"/>
      <c r="F305" s="196"/>
      <c r="G305" s="198"/>
      <c r="H305" s="198"/>
      <c r="I305" s="198"/>
      <c r="J305" s="198"/>
      <c r="K305" s="198"/>
      <c r="L305" s="198"/>
      <c r="M305" s="199"/>
      <c r="N305" s="199"/>
      <c r="O305" s="199"/>
      <c r="P305" s="200"/>
      <c r="Q305" s="201"/>
      <c r="R305" s="200"/>
      <c r="S305" s="200"/>
      <c r="T305" s="200"/>
      <c r="U305" s="200"/>
      <c r="V305" s="201"/>
      <c r="W305" s="201"/>
      <c r="X305" s="200"/>
      <c r="Y305" s="200"/>
      <c r="Z305" s="200"/>
      <c r="AA305" s="200"/>
      <c r="AB305" s="200"/>
      <c r="AC305" s="200"/>
      <c r="AD305" s="200"/>
      <c r="AE305" s="200"/>
      <c r="AF305" s="200"/>
      <c r="AG305" s="200"/>
      <c r="AH305" s="200"/>
      <c r="AI305" s="200"/>
      <c r="AJ305" s="200"/>
      <c r="AK305" s="200"/>
      <c r="AL305" s="200"/>
      <c r="AM305" s="200"/>
      <c r="AN305" s="198"/>
      <c r="AO305" s="201"/>
      <c r="AP305" s="198"/>
      <c r="AQ305" s="200"/>
      <c r="AR305" s="199"/>
      <c r="AS305" s="198"/>
      <c r="AV305" s="164"/>
      <c r="BA305" s="202"/>
      <c r="BC305" s="203"/>
      <c r="BD305" s="194"/>
      <c r="BE305" s="194"/>
    </row>
    <row r="306">
      <c r="A306" s="6"/>
      <c r="B306" s="6"/>
      <c r="C306" s="196"/>
      <c r="E306" s="197"/>
      <c r="F306" s="196"/>
      <c r="G306" s="198"/>
      <c r="H306" s="198"/>
      <c r="I306" s="198"/>
      <c r="J306" s="198"/>
      <c r="K306" s="198"/>
      <c r="L306" s="198"/>
      <c r="M306" s="199"/>
      <c r="N306" s="199"/>
      <c r="O306" s="199"/>
      <c r="P306" s="200"/>
      <c r="Q306" s="201"/>
      <c r="R306" s="200"/>
      <c r="S306" s="200"/>
      <c r="T306" s="200"/>
      <c r="U306" s="200"/>
      <c r="V306" s="201"/>
      <c r="W306" s="201"/>
      <c r="X306" s="200"/>
      <c r="Y306" s="200"/>
      <c r="Z306" s="200"/>
      <c r="AA306" s="200"/>
      <c r="AB306" s="200"/>
      <c r="AC306" s="200"/>
      <c r="AD306" s="200"/>
      <c r="AE306" s="200"/>
      <c r="AF306" s="200"/>
      <c r="AG306" s="200"/>
      <c r="AH306" s="200"/>
      <c r="AI306" s="200"/>
      <c r="AJ306" s="200"/>
      <c r="AK306" s="200"/>
      <c r="AL306" s="200"/>
      <c r="AM306" s="200"/>
      <c r="AN306" s="198"/>
      <c r="AO306" s="201"/>
      <c r="AP306" s="198"/>
      <c r="AQ306" s="200"/>
      <c r="AR306" s="199"/>
      <c r="AS306" s="198"/>
      <c r="AV306" s="164"/>
      <c r="BA306" s="202"/>
      <c r="BC306" s="203"/>
      <c r="BD306" s="194"/>
      <c r="BE306" s="194"/>
    </row>
    <row r="307">
      <c r="A307" s="6"/>
      <c r="B307" s="6"/>
      <c r="C307" s="196"/>
      <c r="E307" s="197"/>
      <c r="F307" s="196"/>
      <c r="G307" s="198"/>
      <c r="H307" s="198"/>
      <c r="I307" s="198"/>
      <c r="J307" s="198"/>
      <c r="K307" s="198"/>
      <c r="L307" s="198"/>
      <c r="M307" s="199"/>
      <c r="N307" s="199"/>
      <c r="O307" s="199"/>
      <c r="P307" s="200"/>
      <c r="Q307" s="201"/>
      <c r="R307" s="200"/>
      <c r="S307" s="200"/>
      <c r="T307" s="200"/>
      <c r="U307" s="200"/>
      <c r="V307" s="201"/>
      <c r="W307" s="201"/>
      <c r="X307" s="200"/>
      <c r="Y307" s="200"/>
      <c r="Z307" s="200"/>
      <c r="AA307" s="200"/>
      <c r="AB307" s="200"/>
      <c r="AC307" s="200"/>
      <c r="AD307" s="200"/>
      <c r="AE307" s="200"/>
      <c r="AF307" s="200"/>
      <c r="AG307" s="200"/>
      <c r="AH307" s="200"/>
      <c r="AI307" s="200"/>
      <c r="AJ307" s="200"/>
      <c r="AK307" s="200"/>
      <c r="AL307" s="200"/>
      <c r="AM307" s="200"/>
      <c r="AN307" s="198"/>
      <c r="AO307" s="201"/>
      <c r="AP307" s="198"/>
      <c r="AQ307" s="200"/>
      <c r="AR307" s="199"/>
      <c r="AS307" s="198"/>
      <c r="AV307" s="164"/>
      <c r="BA307" s="202"/>
      <c r="BC307" s="203"/>
      <c r="BD307" s="194"/>
      <c r="BE307" s="194"/>
    </row>
    <row r="308">
      <c r="A308" s="6"/>
      <c r="B308" s="6"/>
      <c r="C308" s="196"/>
      <c r="E308" s="197"/>
      <c r="F308" s="196"/>
      <c r="G308" s="198"/>
      <c r="H308" s="198"/>
      <c r="I308" s="198"/>
      <c r="J308" s="198"/>
      <c r="K308" s="198"/>
      <c r="L308" s="198"/>
      <c r="M308" s="199"/>
      <c r="N308" s="199"/>
      <c r="O308" s="199"/>
      <c r="P308" s="200"/>
      <c r="Q308" s="201"/>
      <c r="R308" s="200"/>
      <c r="S308" s="200"/>
      <c r="T308" s="200"/>
      <c r="U308" s="200"/>
      <c r="V308" s="201"/>
      <c r="W308" s="201"/>
      <c r="X308" s="200"/>
      <c r="Y308" s="200"/>
      <c r="Z308" s="200"/>
      <c r="AA308" s="200"/>
      <c r="AB308" s="200"/>
      <c r="AC308" s="200"/>
      <c r="AD308" s="200"/>
      <c r="AE308" s="200"/>
      <c r="AF308" s="200"/>
      <c r="AG308" s="200"/>
      <c r="AH308" s="200"/>
      <c r="AI308" s="200"/>
      <c r="AJ308" s="200"/>
      <c r="AK308" s="200"/>
      <c r="AL308" s="200"/>
      <c r="AM308" s="200"/>
      <c r="AN308" s="198"/>
      <c r="AO308" s="201"/>
      <c r="AP308" s="198"/>
      <c r="AQ308" s="200"/>
      <c r="AR308" s="199"/>
      <c r="AS308" s="198"/>
      <c r="AV308" s="164"/>
      <c r="BA308" s="202"/>
      <c r="BC308" s="203"/>
      <c r="BD308" s="194"/>
      <c r="BE308" s="194"/>
    </row>
    <row r="309">
      <c r="A309" s="6"/>
      <c r="B309" s="6"/>
      <c r="C309" s="196"/>
      <c r="E309" s="197"/>
      <c r="F309" s="196"/>
      <c r="G309" s="198"/>
      <c r="H309" s="198"/>
      <c r="I309" s="198"/>
      <c r="J309" s="198"/>
      <c r="K309" s="198"/>
      <c r="L309" s="198"/>
      <c r="M309" s="199"/>
      <c r="N309" s="199"/>
      <c r="O309" s="199"/>
      <c r="P309" s="200"/>
      <c r="Q309" s="201"/>
      <c r="R309" s="200"/>
      <c r="S309" s="200"/>
      <c r="T309" s="200"/>
      <c r="U309" s="200"/>
      <c r="V309" s="201"/>
      <c r="W309" s="201"/>
      <c r="X309" s="200"/>
      <c r="Y309" s="200"/>
      <c r="Z309" s="200"/>
      <c r="AA309" s="200"/>
      <c r="AB309" s="200"/>
      <c r="AC309" s="200"/>
      <c r="AD309" s="200"/>
      <c r="AE309" s="200"/>
      <c r="AF309" s="200"/>
      <c r="AG309" s="200"/>
      <c r="AH309" s="200"/>
      <c r="AI309" s="200"/>
      <c r="AJ309" s="200"/>
      <c r="AK309" s="200"/>
      <c r="AL309" s="200"/>
      <c r="AM309" s="200"/>
      <c r="AN309" s="198"/>
      <c r="AO309" s="201"/>
      <c r="AP309" s="198"/>
      <c r="AQ309" s="200"/>
      <c r="AR309" s="199"/>
      <c r="AS309" s="198"/>
      <c r="AV309" s="164"/>
      <c r="BA309" s="202"/>
      <c r="BC309" s="203"/>
      <c r="BD309" s="194"/>
      <c r="BE309" s="194"/>
    </row>
    <row r="310">
      <c r="A310" s="6"/>
      <c r="B310" s="6"/>
      <c r="C310" s="196"/>
      <c r="E310" s="197"/>
      <c r="F310" s="196"/>
      <c r="G310" s="198"/>
      <c r="H310" s="198"/>
      <c r="I310" s="198"/>
      <c r="J310" s="198"/>
      <c r="K310" s="198"/>
      <c r="L310" s="198"/>
      <c r="M310" s="199"/>
      <c r="N310" s="199"/>
      <c r="O310" s="199"/>
      <c r="P310" s="200"/>
      <c r="Q310" s="201"/>
      <c r="R310" s="200"/>
      <c r="S310" s="200"/>
      <c r="T310" s="200"/>
      <c r="U310" s="200"/>
      <c r="V310" s="201"/>
      <c r="W310" s="201"/>
      <c r="X310" s="200"/>
      <c r="Y310" s="200"/>
      <c r="Z310" s="200"/>
      <c r="AA310" s="200"/>
      <c r="AB310" s="200"/>
      <c r="AC310" s="200"/>
      <c r="AD310" s="200"/>
      <c r="AE310" s="200"/>
      <c r="AF310" s="200"/>
      <c r="AG310" s="200"/>
      <c r="AH310" s="200"/>
      <c r="AI310" s="200"/>
      <c r="AJ310" s="200"/>
      <c r="AK310" s="200"/>
      <c r="AL310" s="200"/>
      <c r="AM310" s="200"/>
      <c r="AN310" s="198"/>
      <c r="AO310" s="201"/>
      <c r="AP310" s="198"/>
      <c r="AQ310" s="200"/>
      <c r="AR310" s="199"/>
      <c r="AS310" s="198"/>
      <c r="AV310" s="164"/>
      <c r="BA310" s="202"/>
      <c r="BC310" s="203"/>
      <c r="BD310" s="194"/>
      <c r="BE310" s="194"/>
    </row>
    <row r="311">
      <c r="A311" s="6"/>
      <c r="B311" s="6"/>
      <c r="C311" s="196"/>
      <c r="E311" s="197"/>
      <c r="F311" s="196"/>
      <c r="G311" s="198"/>
      <c r="H311" s="198"/>
      <c r="I311" s="198"/>
      <c r="J311" s="198"/>
      <c r="K311" s="198"/>
      <c r="L311" s="198"/>
      <c r="M311" s="199"/>
      <c r="N311" s="199"/>
      <c r="O311" s="199"/>
      <c r="P311" s="200"/>
      <c r="Q311" s="201"/>
      <c r="R311" s="200"/>
      <c r="S311" s="200"/>
      <c r="T311" s="200"/>
      <c r="U311" s="200"/>
      <c r="V311" s="201"/>
      <c r="W311" s="201"/>
      <c r="X311" s="200"/>
      <c r="Y311" s="200"/>
      <c r="Z311" s="200"/>
      <c r="AA311" s="200"/>
      <c r="AB311" s="200"/>
      <c r="AC311" s="200"/>
      <c r="AD311" s="200"/>
      <c r="AE311" s="200"/>
      <c r="AF311" s="200"/>
      <c r="AG311" s="200"/>
      <c r="AH311" s="200"/>
      <c r="AI311" s="200"/>
      <c r="AJ311" s="200"/>
      <c r="AK311" s="200"/>
      <c r="AL311" s="200"/>
      <c r="AM311" s="200"/>
      <c r="AN311" s="198"/>
      <c r="AO311" s="201"/>
      <c r="AP311" s="198"/>
      <c r="AQ311" s="200"/>
      <c r="AR311" s="199"/>
      <c r="AS311" s="198"/>
      <c r="AV311" s="164"/>
      <c r="BA311" s="202"/>
      <c r="BC311" s="203"/>
      <c r="BD311" s="194"/>
      <c r="BE311" s="194"/>
    </row>
    <row r="312">
      <c r="A312" s="6"/>
      <c r="B312" s="6"/>
      <c r="C312" s="196"/>
      <c r="E312" s="197"/>
      <c r="F312" s="196"/>
      <c r="G312" s="198"/>
      <c r="H312" s="198"/>
      <c r="I312" s="198"/>
      <c r="J312" s="198"/>
      <c r="K312" s="198"/>
      <c r="L312" s="198"/>
      <c r="M312" s="199"/>
      <c r="N312" s="199"/>
      <c r="O312" s="199"/>
      <c r="P312" s="200"/>
      <c r="Q312" s="201"/>
      <c r="R312" s="200"/>
      <c r="S312" s="200"/>
      <c r="T312" s="200"/>
      <c r="U312" s="200"/>
      <c r="V312" s="201"/>
      <c r="W312" s="201"/>
      <c r="X312" s="200"/>
      <c r="Y312" s="200"/>
      <c r="Z312" s="200"/>
      <c r="AA312" s="200"/>
      <c r="AB312" s="200"/>
      <c r="AC312" s="200"/>
      <c r="AD312" s="200"/>
      <c r="AE312" s="200"/>
      <c r="AF312" s="200"/>
      <c r="AG312" s="200"/>
      <c r="AH312" s="200"/>
      <c r="AI312" s="200"/>
      <c r="AJ312" s="200"/>
      <c r="AK312" s="200"/>
      <c r="AL312" s="200"/>
      <c r="AM312" s="200"/>
      <c r="AN312" s="198"/>
      <c r="AO312" s="201"/>
      <c r="AP312" s="198"/>
      <c r="AQ312" s="200"/>
      <c r="AR312" s="199"/>
      <c r="AS312" s="198"/>
      <c r="AV312" s="164"/>
      <c r="BA312" s="202"/>
      <c r="BC312" s="203"/>
      <c r="BD312" s="194"/>
      <c r="BE312" s="194"/>
    </row>
    <row r="313">
      <c r="A313" s="6"/>
      <c r="B313" s="6"/>
      <c r="C313" s="196"/>
      <c r="E313" s="197"/>
      <c r="F313" s="196"/>
      <c r="G313" s="198"/>
      <c r="H313" s="198"/>
      <c r="I313" s="198"/>
      <c r="J313" s="198"/>
      <c r="K313" s="198"/>
      <c r="L313" s="198"/>
      <c r="M313" s="199"/>
      <c r="N313" s="199"/>
      <c r="O313" s="199"/>
      <c r="P313" s="200"/>
      <c r="Q313" s="201"/>
      <c r="R313" s="200"/>
      <c r="S313" s="200"/>
      <c r="T313" s="200"/>
      <c r="U313" s="200"/>
      <c r="V313" s="201"/>
      <c r="W313" s="201"/>
      <c r="X313" s="200"/>
      <c r="Y313" s="200"/>
      <c r="Z313" s="200"/>
      <c r="AA313" s="200"/>
      <c r="AB313" s="200"/>
      <c r="AC313" s="200"/>
      <c r="AD313" s="200"/>
      <c r="AE313" s="200"/>
      <c r="AF313" s="200"/>
      <c r="AG313" s="200"/>
      <c r="AH313" s="200"/>
      <c r="AI313" s="200"/>
      <c r="AJ313" s="200"/>
      <c r="AK313" s="200"/>
      <c r="AL313" s="200"/>
      <c r="AM313" s="200"/>
      <c r="AN313" s="198"/>
      <c r="AO313" s="201"/>
      <c r="AP313" s="198"/>
      <c r="AQ313" s="200"/>
      <c r="AR313" s="199"/>
      <c r="AS313" s="198"/>
      <c r="AV313" s="164"/>
      <c r="BA313" s="202"/>
      <c r="BC313" s="203"/>
      <c r="BD313" s="194"/>
      <c r="BE313" s="194"/>
    </row>
    <row r="314">
      <c r="A314" s="6"/>
      <c r="B314" s="6"/>
      <c r="C314" s="196"/>
      <c r="E314" s="197"/>
      <c r="F314" s="196"/>
      <c r="G314" s="198"/>
      <c r="H314" s="198"/>
      <c r="I314" s="198"/>
      <c r="J314" s="198"/>
      <c r="K314" s="198"/>
      <c r="L314" s="198"/>
      <c r="M314" s="199"/>
      <c r="N314" s="199"/>
      <c r="O314" s="199"/>
      <c r="P314" s="200"/>
      <c r="Q314" s="201"/>
      <c r="R314" s="200"/>
      <c r="S314" s="200"/>
      <c r="T314" s="200"/>
      <c r="U314" s="200"/>
      <c r="V314" s="201"/>
      <c r="W314" s="201"/>
      <c r="X314" s="200"/>
      <c r="Y314" s="200"/>
      <c r="Z314" s="200"/>
      <c r="AA314" s="200"/>
      <c r="AB314" s="200"/>
      <c r="AC314" s="200"/>
      <c r="AD314" s="200"/>
      <c r="AE314" s="200"/>
      <c r="AF314" s="200"/>
      <c r="AG314" s="200"/>
      <c r="AH314" s="200"/>
      <c r="AI314" s="200"/>
      <c r="AJ314" s="200"/>
      <c r="AK314" s="200"/>
      <c r="AL314" s="200"/>
      <c r="AM314" s="200"/>
      <c r="AN314" s="198"/>
      <c r="AO314" s="201"/>
      <c r="AP314" s="198"/>
      <c r="AQ314" s="200"/>
      <c r="AR314" s="199"/>
      <c r="AS314" s="198"/>
      <c r="AV314" s="164"/>
      <c r="BA314" s="202"/>
      <c r="BC314" s="203"/>
      <c r="BD314" s="194"/>
      <c r="BE314" s="194"/>
    </row>
    <row r="315">
      <c r="A315" s="6"/>
      <c r="B315" s="6"/>
      <c r="C315" s="196"/>
      <c r="E315" s="197"/>
      <c r="F315" s="196"/>
      <c r="G315" s="198"/>
      <c r="H315" s="198"/>
      <c r="I315" s="198"/>
      <c r="J315" s="198"/>
      <c r="K315" s="198"/>
      <c r="L315" s="198"/>
      <c r="M315" s="199"/>
      <c r="N315" s="199"/>
      <c r="O315" s="199"/>
      <c r="P315" s="200"/>
      <c r="Q315" s="201"/>
      <c r="R315" s="200"/>
      <c r="S315" s="200"/>
      <c r="T315" s="200"/>
      <c r="U315" s="200"/>
      <c r="V315" s="201"/>
      <c r="W315" s="201"/>
      <c r="X315" s="200"/>
      <c r="Y315" s="200"/>
      <c r="Z315" s="200"/>
      <c r="AA315" s="200"/>
      <c r="AB315" s="200"/>
      <c r="AC315" s="200"/>
      <c r="AD315" s="200"/>
      <c r="AE315" s="200"/>
      <c r="AF315" s="200"/>
      <c r="AG315" s="200"/>
      <c r="AH315" s="200"/>
      <c r="AI315" s="200"/>
      <c r="AJ315" s="200"/>
      <c r="AK315" s="200"/>
      <c r="AL315" s="200"/>
      <c r="AM315" s="200"/>
      <c r="AN315" s="198"/>
      <c r="AO315" s="201"/>
      <c r="AP315" s="198"/>
      <c r="AQ315" s="200"/>
      <c r="AR315" s="199"/>
      <c r="AS315" s="198"/>
      <c r="AV315" s="164"/>
      <c r="BA315" s="202"/>
      <c r="BC315" s="203"/>
      <c r="BD315" s="194"/>
      <c r="BE315" s="194"/>
    </row>
    <row r="316">
      <c r="A316" s="6"/>
      <c r="B316" s="6"/>
      <c r="C316" s="196"/>
      <c r="E316" s="197"/>
      <c r="F316" s="196"/>
      <c r="G316" s="198"/>
      <c r="H316" s="198"/>
      <c r="I316" s="198"/>
      <c r="J316" s="198"/>
      <c r="K316" s="198"/>
      <c r="L316" s="198"/>
      <c r="M316" s="199"/>
      <c r="N316" s="199"/>
      <c r="O316" s="199"/>
      <c r="P316" s="200"/>
      <c r="Q316" s="201"/>
      <c r="R316" s="200"/>
      <c r="S316" s="200"/>
      <c r="T316" s="200"/>
      <c r="U316" s="200"/>
      <c r="V316" s="201"/>
      <c r="W316" s="201"/>
      <c r="X316" s="200"/>
      <c r="Y316" s="200"/>
      <c r="Z316" s="200"/>
      <c r="AA316" s="200"/>
      <c r="AB316" s="200"/>
      <c r="AC316" s="200"/>
      <c r="AD316" s="200"/>
      <c r="AE316" s="200"/>
      <c r="AF316" s="200"/>
      <c r="AG316" s="200"/>
      <c r="AH316" s="200"/>
      <c r="AI316" s="200"/>
      <c r="AJ316" s="200"/>
      <c r="AK316" s="200"/>
      <c r="AL316" s="200"/>
      <c r="AM316" s="200"/>
      <c r="AN316" s="198"/>
      <c r="AO316" s="201"/>
      <c r="AP316" s="198"/>
      <c r="AQ316" s="200"/>
      <c r="AR316" s="199"/>
      <c r="AS316" s="198"/>
      <c r="AV316" s="164"/>
      <c r="BA316" s="202"/>
      <c r="BC316" s="203"/>
      <c r="BD316" s="194"/>
      <c r="BE316" s="194"/>
    </row>
    <row r="317">
      <c r="A317" s="6"/>
      <c r="B317" s="6"/>
      <c r="C317" s="196"/>
      <c r="E317" s="197"/>
      <c r="F317" s="196"/>
      <c r="G317" s="198"/>
      <c r="H317" s="198"/>
      <c r="I317" s="198"/>
      <c r="J317" s="198"/>
      <c r="K317" s="198"/>
      <c r="L317" s="198"/>
      <c r="M317" s="199"/>
      <c r="N317" s="199"/>
      <c r="O317" s="199"/>
      <c r="P317" s="200"/>
      <c r="Q317" s="201"/>
      <c r="R317" s="200"/>
      <c r="S317" s="200"/>
      <c r="T317" s="200"/>
      <c r="U317" s="200"/>
      <c r="V317" s="201"/>
      <c r="W317" s="201"/>
      <c r="X317" s="200"/>
      <c r="Y317" s="200"/>
      <c r="Z317" s="200"/>
      <c r="AA317" s="200"/>
      <c r="AB317" s="200"/>
      <c r="AC317" s="200"/>
      <c r="AD317" s="200"/>
      <c r="AE317" s="200"/>
      <c r="AF317" s="200"/>
      <c r="AG317" s="200"/>
      <c r="AH317" s="200"/>
      <c r="AI317" s="200"/>
      <c r="AJ317" s="200"/>
      <c r="AK317" s="200"/>
      <c r="AL317" s="200"/>
      <c r="AM317" s="200"/>
      <c r="AN317" s="198"/>
      <c r="AO317" s="201"/>
      <c r="AP317" s="198"/>
      <c r="AQ317" s="200"/>
      <c r="AR317" s="199"/>
      <c r="AS317" s="198"/>
      <c r="AV317" s="164"/>
      <c r="BA317" s="202"/>
      <c r="BC317" s="203"/>
      <c r="BD317" s="194"/>
      <c r="BE317" s="194"/>
    </row>
    <row r="318">
      <c r="A318" s="6"/>
      <c r="B318" s="6"/>
      <c r="C318" s="196"/>
      <c r="E318" s="197"/>
      <c r="F318" s="196"/>
      <c r="G318" s="198"/>
      <c r="H318" s="198"/>
      <c r="I318" s="198"/>
      <c r="J318" s="198"/>
      <c r="K318" s="198"/>
      <c r="L318" s="198"/>
      <c r="M318" s="199"/>
      <c r="N318" s="199"/>
      <c r="O318" s="199"/>
      <c r="P318" s="200"/>
      <c r="Q318" s="201"/>
      <c r="R318" s="200"/>
      <c r="S318" s="200"/>
      <c r="T318" s="200"/>
      <c r="U318" s="200"/>
      <c r="V318" s="201"/>
      <c r="W318" s="201"/>
      <c r="X318" s="200"/>
      <c r="Y318" s="200"/>
      <c r="Z318" s="200"/>
      <c r="AA318" s="200"/>
      <c r="AB318" s="200"/>
      <c r="AC318" s="200"/>
      <c r="AD318" s="200"/>
      <c r="AE318" s="200"/>
      <c r="AF318" s="200"/>
      <c r="AG318" s="200"/>
      <c r="AH318" s="200"/>
      <c r="AI318" s="200"/>
      <c r="AJ318" s="200"/>
      <c r="AK318" s="200"/>
      <c r="AL318" s="200"/>
      <c r="AM318" s="200"/>
      <c r="AN318" s="198"/>
      <c r="AO318" s="201"/>
      <c r="AP318" s="198"/>
      <c r="AQ318" s="200"/>
      <c r="AR318" s="199"/>
      <c r="AS318" s="198"/>
      <c r="AV318" s="164"/>
      <c r="BA318" s="202"/>
      <c r="BC318" s="203"/>
      <c r="BD318" s="194"/>
      <c r="BE318" s="194"/>
    </row>
    <row r="319">
      <c r="A319" s="6"/>
      <c r="B319" s="6"/>
      <c r="C319" s="196"/>
      <c r="E319" s="197"/>
      <c r="F319" s="196"/>
      <c r="G319" s="198"/>
      <c r="H319" s="198"/>
      <c r="I319" s="198"/>
      <c r="J319" s="198"/>
      <c r="K319" s="198"/>
      <c r="L319" s="198"/>
      <c r="M319" s="199"/>
      <c r="N319" s="199"/>
      <c r="O319" s="199"/>
      <c r="P319" s="200"/>
      <c r="Q319" s="201"/>
      <c r="R319" s="200"/>
      <c r="S319" s="200"/>
      <c r="T319" s="200"/>
      <c r="U319" s="200"/>
      <c r="V319" s="201"/>
      <c r="W319" s="201"/>
      <c r="X319" s="200"/>
      <c r="Y319" s="200"/>
      <c r="Z319" s="200"/>
      <c r="AA319" s="200"/>
      <c r="AB319" s="200"/>
      <c r="AC319" s="200"/>
      <c r="AD319" s="200"/>
      <c r="AE319" s="200"/>
      <c r="AF319" s="200"/>
      <c r="AG319" s="200"/>
      <c r="AH319" s="200"/>
      <c r="AI319" s="200"/>
      <c r="AJ319" s="200"/>
      <c r="AK319" s="200"/>
      <c r="AL319" s="200"/>
      <c r="AM319" s="200"/>
      <c r="AN319" s="198"/>
      <c r="AO319" s="201"/>
      <c r="AP319" s="198"/>
      <c r="AQ319" s="200"/>
      <c r="AR319" s="199"/>
      <c r="AS319" s="198"/>
      <c r="AV319" s="164"/>
      <c r="BA319" s="202"/>
      <c r="BC319" s="203"/>
      <c r="BD319" s="194"/>
      <c r="BE319" s="194"/>
    </row>
    <row r="320">
      <c r="A320" s="6"/>
      <c r="B320" s="6"/>
      <c r="C320" s="196"/>
      <c r="E320" s="197"/>
      <c r="F320" s="196"/>
      <c r="G320" s="198"/>
      <c r="H320" s="198"/>
      <c r="I320" s="198"/>
      <c r="J320" s="198"/>
      <c r="K320" s="198"/>
      <c r="L320" s="198"/>
      <c r="M320" s="199"/>
      <c r="N320" s="199"/>
      <c r="O320" s="199"/>
      <c r="P320" s="200"/>
      <c r="Q320" s="201"/>
      <c r="R320" s="200"/>
      <c r="S320" s="200"/>
      <c r="T320" s="200"/>
      <c r="U320" s="200"/>
      <c r="V320" s="201"/>
      <c r="W320" s="201"/>
      <c r="X320" s="200"/>
      <c r="Y320" s="200"/>
      <c r="Z320" s="200"/>
      <c r="AA320" s="200"/>
      <c r="AB320" s="200"/>
      <c r="AC320" s="200"/>
      <c r="AD320" s="200"/>
      <c r="AE320" s="200"/>
      <c r="AF320" s="200"/>
      <c r="AG320" s="200"/>
      <c r="AH320" s="200"/>
      <c r="AI320" s="200"/>
      <c r="AJ320" s="200"/>
      <c r="AK320" s="200"/>
      <c r="AL320" s="200"/>
      <c r="AM320" s="200"/>
      <c r="AN320" s="198"/>
      <c r="AO320" s="201"/>
      <c r="AP320" s="198"/>
      <c r="AQ320" s="200"/>
      <c r="AR320" s="199"/>
      <c r="AS320" s="198"/>
      <c r="AV320" s="164"/>
      <c r="BA320" s="202"/>
      <c r="BC320" s="203"/>
      <c r="BD320" s="194"/>
      <c r="BE320" s="194"/>
    </row>
    <row r="321">
      <c r="A321" s="6"/>
      <c r="B321" s="6"/>
      <c r="C321" s="196"/>
      <c r="E321" s="197"/>
      <c r="F321" s="196"/>
      <c r="G321" s="198"/>
      <c r="H321" s="198"/>
      <c r="I321" s="198"/>
      <c r="J321" s="198"/>
      <c r="K321" s="198"/>
      <c r="L321" s="198"/>
      <c r="M321" s="199"/>
      <c r="N321" s="199"/>
      <c r="O321" s="199"/>
      <c r="P321" s="200"/>
      <c r="Q321" s="201"/>
      <c r="R321" s="200"/>
      <c r="S321" s="200"/>
      <c r="T321" s="200"/>
      <c r="U321" s="200"/>
      <c r="V321" s="201"/>
      <c r="W321" s="201"/>
      <c r="X321" s="200"/>
      <c r="Y321" s="200"/>
      <c r="Z321" s="200"/>
      <c r="AA321" s="200"/>
      <c r="AB321" s="200"/>
      <c r="AC321" s="200"/>
      <c r="AD321" s="200"/>
      <c r="AE321" s="200"/>
      <c r="AF321" s="200"/>
      <c r="AG321" s="200"/>
      <c r="AH321" s="200"/>
      <c r="AI321" s="200"/>
      <c r="AJ321" s="200"/>
      <c r="AK321" s="200"/>
      <c r="AL321" s="200"/>
      <c r="AM321" s="200"/>
      <c r="AN321" s="198"/>
      <c r="AO321" s="201"/>
      <c r="AP321" s="198"/>
      <c r="AQ321" s="200"/>
      <c r="AR321" s="199"/>
      <c r="AS321" s="198"/>
      <c r="AV321" s="164"/>
      <c r="BA321" s="202"/>
      <c r="BC321" s="203"/>
      <c r="BD321" s="194"/>
      <c r="BE321" s="194"/>
    </row>
    <row r="322">
      <c r="A322" s="6"/>
      <c r="B322" s="6"/>
      <c r="C322" s="196"/>
      <c r="E322" s="197"/>
      <c r="F322" s="196"/>
      <c r="G322" s="198"/>
      <c r="H322" s="198"/>
      <c r="I322" s="198"/>
      <c r="J322" s="198"/>
      <c r="K322" s="198"/>
      <c r="L322" s="198"/>
      <c r="M322" s="199"/>
      <c r="N322" s="199"/>
      <c r="O322" s="199"/>
      <c r="P322" s="200"/>
      <c r="Q322" s="201"/>
      <c r="R322" s="200"/>
      <c r="S322" s="200"/>
      <c r="T322" s="200"/>
      <c r="U322" s="200"/>
      <c r="V322" s="201"/>
      <c r="W322" s="201"/>
      <c r="X322" s="200"/>
      <c r="Y322" s="200"/>
      <c r="Z322" s="200"/>
      <c r="AA322" s="200"/>
      <c r="AB322" s="200"/>
      <c r="AC322" s="200"/>
      <c r="AD322" s="200"/>
      <c r="AE322" s="200"/>
      <c r="AF322" s="200"/>
      <c r="AG322" s="200"/>
      <c r="AH322" s="200"/>
      <c r="AI322" s="200"/>
      <c r="AJ322" s="200"/>
      <c r="AK322" s="200"/>
      <c r="AL322" s="200"/>
      <c r="AM322" s="200"/>
      <c r="AN322" s="198"/>
      <c r="AO322" s="201"/>
      <c r="AP322" s="198"/>
      <c r="AQ322" s="200"/>
      <c r="AR322" s="199"/>
      <c r="AS322" s="198"/>
      <c r="AV322" s="164"/>
      <c r="BA322" s="202"/>
      <c r="BC322" s="203"/>
      <c r="BD322" s="194"/>
      <c r="BE322" s="194"/>
    </row>
    <row r="323">
      <c r="A323" s="6"/>
      <c r="B323" s="6"/>
      <c r="C323" s="196"/>
      <c r="E323" s="197"/>
      <c r="F323" s="196"/>
      <c r="G323" s="198"/>
      <c r="H323" s="198"/>
      <c r="I323" s="198"/>
      <c r="J323" s="198"/>
      <c r="K323" s="198"/>
      <c r="L323" s="198"/>
      <c r="M323" s="199"/>
      <c r="N323" s="199"/>
      <c r="O323" s="199"/>
      <c r="P323" s="200"/>
      <c r="Q323" s="201"/>
      <c r="R323" s="200"/>
      <c r="S323" s="200"/>
      <c r="T323" s="200"/>
      <c r="U323" s="200"/>
      <c r="V323" s="201"/>
      <c r="W323" s="201"/>
      <c r="X323" s="200"/>
      <c r="Y323" s="200"/>
      <c r="Z323" s="200"/>
      <c r="AA323" s="200"/>
      <c r="AB323" s="200"/>
      <c r="AC323" s="200"/>
      <c r="AD323" s="200"/>
      <c r="AE323" s="200"/>
      <c r="AF323" s="200"/>
      <c r="AG323" s="200"/>
      <c r="AH323" s="200"/>
      <c r="AI323" s="200"/>
      <c r="AJ323" s="200"/>
      <c r="AK323" s="200"/>
      <c r="AL323" s="200"/>
      <c r="AM323" s="200"/>
      <c r="AN323" s="198"/>
      <c r="AO323" s="201"/>
      <c r="AP323" s="198"/>
      <c r="AQ323" s="200"/>
      <c r="AR323" s="199"/>
      <c r="AS323" s="198"/>
      <c r="AV323" s="164"/>
      <c r="BA323" s="202"/>
      <c r="BC323" s="203"/>
      <c r="BD323" s="194"/>
      <c r="BE323" s="194"/>
    </row>
    <row r="324">
      <c r="A324" s="6"/>
      <c r="B324" s="6"/>
      <c r="C324" s="196"/>
      <c r="E324" s="197"/>
      <c r="F324" s="196"/>
      <c r="G324" s="198"/>
      <c r="H324" s="198"/>
      <c r="I324" s="198"/>
      <c r="J324" s="198"/>
      <c r="K324" s="198"/>
      <c r="L324" s="198"/>
      <c r="M324" s="199"/>
      <c r="N324" s="199"/>
      <c r="O324" s="199"/>
      <c r="P324" s="200"/>
      <c r="Q324" s="201"/>
      <c r="R324" s="200"/>
      <c r="S324" s="200"/>
      <c r="T324" s="200"/>
      <c r="U324" s="200"/>
      <c r="V324" s="201"/>
      <c r="W324" s="201"/>
      <c r="X324" s="200"/>
      <c r="Y324" s="200"/>
      <c r="Z324" s="200"/>
      <c r="AA324" s="200"/>
      <c r="AB324" s="200"/>
      <c r="AC324" s="200"/>
      <c r="AD324" s="200"/>
      <c r="AE324" s="200"/>
      <c r="AF324" s="200"/>
      <c r="AG324" s="200"/>
      <c r="AH324" s="200"/>
      <c r="AI324" s="200"/>
      <c r="AJ324" s="200"/>
      <c r="AK324" s="200"/>
      <c r="AL324" s="200"/>
      <c r="AM324" s="200"/>
      <c r="AN324" s="198"/>
      <c r="AO324" s="201"/>
      <c r="AP324" s="198"/>
      <c r="AQ324" s="200"/>
      <c r="AR324" s="199"/>
      <c r="AS324" s="198"/>
      <c r="AV324" s="164"/>
      <c r="BA324" s="202"/>
      <c r="BC324" s="203"/>
      <c r="BD324" s="194"/>
      <c r="BE324" s="194"/>
    </row>
    <row r="325">
      <c r="A325" s="6"/>
      <c r="B325" s="6"/>
      <c r="C325" s="196"/>
      <c r="E325" s="197"/>
      <c r="F325" s="196"/>
      <c r="G325" s="198"/>
      <c r="H325" s="198"/>
      <c r="I325" s="198"/>
      <c r="J325" s="198"/>
      <c r="K325" s="198"/>
      <c r="L325" s="198"/>
      <c r="M325" s="199"/>
      <c r="N325" s="199"/>
      <c r="O325" s="199"/>
      <c r="P325" s="200"/>
      <c r="Q325" s="201"/>
      <c r="R325" s="200"/>
      <c r="S325" s="200"/>
      <c r="T325" s="200"/>
      <c r="U325" s="200"/>
      <c r="V325" s="201"/>
      <c r="W325" s="201"/>
      <c r="X325" s="200"/>
      <c r="Y325" s="200"/>
      <c r="Z325" s="200"/>
      <c r="AA325" s="200"/>
      <c r="AB325" s="200"/>
      <c r="AC325" s="200"/>
      <c r="AD325" s="200"/>
      <c r="AE325" s="200"/>
      <c r="AF325" s="200"/>
      <c r="AG325" s="200"/>
      <c r="AH325" s="200"/>
      <c r="AI325" s="200"/>
      <c r="AJ325" s="200"/>
      <c r="AK325" s="200"/>
      <c r="AL325" s="200"/>
      <c r="AM325" s="200"/>
      <c r="AN325" s="198"/>
      <c r="AO325" s="201"/>
      <c r="AP325" s="198"/>
      <c r="AQ325" s="200"/>
      <c r="AR325" s="199"/>
      <c r="AS325" s="198"/>
      <c r="AV325" s="164"/>
      <c r="BA325" s="202"/>
      <c r="BC325" s="203"/>
      <c r="BD325" s="194"/>
      <c r="BE325" s="194"/>
    </row>
    <row r="326">
      <c r="A326" s="6"/>
      <c r="B326" s="6"/>
      <c r="C326" s="196"/>
      <c r="E326" s="197"/>
      <c r="F326" s="196"/>
      <c r="G326" s="198"/>
      <c r="H326" s="198"/>
      <c r="I326" s="198"/>
      <c r="J326" s="198"/>
      <c r="K326" s="198"/>
      <c r="L326" s="198"/>
      <c r="M326" s="199"/>
      <c r="N326" s="199"/>
      <c r="O326" s="199"/>
      <c r="P326" s="200"/>
      <c r="Q326" s="201"/>
      <c r="R326" s="200"/>
      <c r="S326" s="200"/>
      <c r="T326" s="200"/>
      <c r="U326" s="200"/>
      <c r="V326" s="201"/>
      <c r="W326" s="201"/>
      <c r="X326" s="200"/>
      <c r="Y326" s="200"/>
      <c r="Z326" s="200"/>
      <c r="AA326" s="200"/>
      <c r="AB326" s="200"/>
      <c r="AC326" s="200"/>
      <c r="AD326" s="200"/>
      <c r="AE326" s="200"/>
      <c r="AF326" s="200"/>
      <c r="AG326" s="200"/>
      <c r="AH326" s="200"/>
      <c r="AI326" s="200"/>
      <c r="AJ326" s="200"/>
      <c r="AK326" s="200"/>
      <c r="AL326" s="200"/>
      <c r="AM326" s="200"/>
      <c r="AN326" s="198"/>
      <c r="AO326" s="201"/>
      <c r="AP326" s="198"/>
      <c r="AQ326" s="200"/>
      <c r="AR326" s="199"/>
      <c r="AS326" s="198"/>
      <c r="AV326" s="164"/>
      <c r="BA326" s="202"/>
      <c r="BC326" s="203"/>
      <c r="BD326" s="194"/>
      <c r="BE326" s="194"/>
    </row>
    <row r="327">
      <c r="A327" s="6"/>
      <c r="B327" s="6"/>
      <c r="C327" s="196"/>
      <c r="E327" s="197"/>
      <c r="F327" s="196"/>
      <c r="G327" s="198"/>
      <c r="H327" s="198"/>
      <c r="I327" s="198"/>
      <c r="J327" s="198"/>
      <c r="K327" s="198"/>
      <c r="L327" s="198"/>
      <c r="M327" s="199"/>
      <c r="N327" s="199"/>
      <c r="O327" s="199"/>
      <c r="P327" s="200"/>
      <c r="Q327" s="201"/>
      <c r="R327" s="200"/>
      <c r="S327" s="200"/>
      <c r="T327" s="200"/>
      <c r="U327" s="200"/>
      <c r="V327" s="201"/>
      <c r="W327" s="201"/>
      <c r="X327" s="200"/>
      <c r="Y327" s="200"/>
      <c r="Z327" s="200"/>
      <c r="AA327" s="200"/>
      <c r="AB327" s="200"/>
      <c r="AC327" s="200"/>
      <c r="AD327" s="200"/>
      <c r="AE327" s="200"/>
      <c r="AF327" s="200"/>
      <c r="AG327" s="200"/>
      <c r="AH327" s="200"/>
      <c r="AI327" s="200"/>
      <c r="AJ327" s="200"/>
      <c r="AK327" s="200"/>
      <c r="AL327" s="200"/>
      <c r="AM327" s="200"/>
      <c r="AN327" s="198"/>
      <c r="AO327" s="201"/>
      <c r="AP327" s="198"/>
      <c r="AQ327" s="200"/>
      <c r="AR327" s="199"/>
      <c r="AS327" s="198"/>
      <c r="AV327" s="164"/>
      <c r="BA327" s="202"/>
      <c r="BC327" s="203"/>
      <c r="BD327" s="194"/>
      <c r="BE327" s="194"/>
    </row>
    <row r="328">
      <c r="A328" s="6"/>
      <c r="B328" s="6"/>
      <c r="C328" s="196"/>
      <c r="E328" s="197"/>
      <c r="F328" s="196"/>
      <c r="G328" s="198"/>
      <c r="H328" s="198"/>
      <c r="I328" s="198"/>
      <c r="J328" s="198"/>
      <c r="K328" s="198"/>
      <c r="L328" s="198"/>
      <c r="M328" s="199"/>
      <c r="N328" s="199"/>
      <c r="O328" s="199"/>
      <c r="P328" s="200"/>
      <c r="Q328" s="201"/>
      <c r="R328" s="200"/>
      <c r="S328" s="200"/>
      <c r="T328" s="200"/>
      <c r="U328" s="200"/>
      <c r="V328" s="201"/>
      <c r="W328" s="201"/>
      <c r="X328" s="200"/>
      <c r="Y328" s="200"/>
      <c r="Z328" s="200"/>
      <c r="AA328" s="200"/>
      <c r="AB328" s="200"/>
      <c r="AC328" s="200"/>
      <c r="AD328" s="200"/>
      <c r="AE328" s="200"/>
      <c r="AF328" s="200"/>
      <c r="AG328" s="200"/>
      <c r="AH328" s="200"/>
      <c r="AI328" s="200"/>
      <c r="AJ328" s="200"/>
      <c r="AK328" s="200"/>
      <c r="AL328" s="200"/>
      <c r="AM328" s="200"/>
      <c r="AN328" s="198"/>
      <c r="AO328" s="201"/>
      <c r="AP328" s="198"/>
      <c r="AQ328" s="200"/>
      <c r="AR328" s="199"/>
      <c r="AS328" s="198"/>
      <c r="AV328" s="164"/>
      <c r="BA328" s="202"/>
      <c r="BC328" s="203"/>
      <c r="BD328" s="194"/>
      <c r="BE328" s="194"/>
    </row>
    <row r="329">
      <c r="A329" s="6"/>
      <c r="B329" s="6"/>
      <c r="C329" s="196"/>
      <c r="E329" s="197"/>
      <c r="F329" s="196"/>
      <c r="G329" s="198"/>
      <c r="H329" s="198"/>
      <c r="I329" s="198"/>
      <c r="J329" s="198"/>
      <c r="K329" s="198"/>
      <c r="L329" s="198"/>
      <c r="M329" s="199"/>
      <c r="N329" s="199"/>
      <c r="O329" s="199"/>
      <c r="P329" s="200"/>
      <c r="Q329" s="201"/>
      <c r="R329" s="200"/>
      <c r="S329" s="200"/>
      <c r="T329" s="200"/>
      <c r="U329" s="200"/>
      <c r="V329" s="201"/>
      <c r="W329" s="201"/>
      <c r="X329" s="200"/>
      <c r="Y329" s="200"/>
      <c r="Z329" s="200"/>
      <c r="AA329" s="200"/>
      <c r="AB329" s="200"/>
      <c r="AC329" s="200"/>
      <c r="AD329" s="200"/>
      <c r="AE329" s="200"/>
      <c r="AF329" s="200"/>
      <c r="AG329" s="200"/>
      <c r="AH329" s="200"/>
      <c r="AI329" s="200"/>
      <c r="AJ329" s="200"/>
      <c r="AK329" s="200"/>
      <c r="AL329" s="200"/>
      <c r="AM329" s="200"/>
      <c r="AN329" s="198"/>
      <c r="AO329" s="201"/>
      <c r="AP329" s="198"/>
      <c r="AQ329" s="200"/>
      <c r="AR329" s="199"/>
      <c r="AS329" s="198"/>
      <c r="AV329" s="164"/>
      <c r="BA329" s="202"/>
      <c r="BC329" s="203"/>
      <c r="BD329" s="194"/>
      <c r="BE329" s="194"/>
    </row>
    <row r="330">
      <c r="A330" s="6"/>
      <c r="B330" s="6"/>
      <c r="C330" s="196"/>
      <c r="E330" s="197"/>
      <c r="F330" s="196"/>
      <c r="G330" s="198"/>
      <c r="H330" s="198"/>
      <c r="I330" s="198"/>
      <c r="J330" s="198"/>
      <c r="K330" s="198"/>
      <c r="L330" s="198"/>
      <c r="M330" s="199"/>
      <c r="N330" s="199"/>
      <c r="O330" s="199"/>
      <c r="P330" s="200"/>
      <c r="Q330" s="201"/>
      <c r="R330" s="200"/>
      <c r="S330" s="200"/>
      <c r="T330" s="200"/>
      <c r="U330" s="200"/>
      <c r="V330" s="201"/>
      <c r="W330" s="201"/>
      <c r="X330" s="200"/>
      <c r="Y330" s="200"/>
      <c r="Z330" s="200"/>
      <c r="AA330" s="200"/>
      <c r="AB330" s="200"/>
      <c r="AC330" s="200"/>
      <c r="AD330" s="200"/>
      <c r="AE330" s="200"/>
      <c r="AF330" s="200"/>
      <c r="AG330" s="200"/>
      <c r="AH330" s="200"/>
      <c r="AI330" s="200"/>
      <c r="AJ330" s="200"/>
      <c r="AK330" s="200"/>
      <c r="AL330" s="200"/>
      <c r="AM330" s="200"/>
      <c r="AN330" s="198"/>
      <c r="AO330" s="201"/>
      <c r="AP330" s="198"/>
      <c r="AQ330" s="200"/>
      <c r="AR330" s="199"/>
      <c r="AS330" s="198"/>
      <c r="AV330" s="164"/>
      <c r="BA330" s="202"/>
      <c r="BC330" s="203"/>
      <c r="BD330" s="194"/>
      <c r="BE330" s="194"/>
    </row>
    <row r="331">
      <c r="A331" s="6"/>
      <c r="B331" s="6"/>
      <c r="C331" s="196"/>
      <c r="E331" s="197"/>
      <c r="F331" s="196"/>
      <c r="G331" s="198"/>
      <c r="H331" s="198"/>
      <c r="I331" s="198"/>
      <c r="J331" s="198"/>
      <c r="K331" s="198"/>
      <c r="L331" s="198"/>
      <c r="M331" s="199"/>
      <c r="N331" s="199"/>
      <c r="O331" s="199"/>
      <c r="P331" s="200"/>
      <c r="Q331" s="201"/>
      <c r="R331" s="200"/>
      <c r="S331" s="200"/>
      <c r="T331" s="200"/>
      <c r="U331" s="200"/>
      <c r="V331" s="201"/>
      <c r="W331" s="201"/>
      <c r="X331" s="200"/>
      <c r="Y331" s="200"/>
      <c r="Z331" s="200"/>
      <c r="AA331" s="200"/>
      <c r="AB331" s="200"/>
      <c r="AC331" s="200"/>
      <c r="AD331" s="200"/>
      <c r="AE331" s="200"/>
      <c r="AF331" s="200"/>
      <c r="AG331" s="200"/>
      <c r="AH331" s="200"/>
      <c r="AI331" s="200"/>
      <c r="AJ331" s="200"/>
      <c r="AK331" s="200"/>
      <c r="AL331" s="200"/>
      <c r="AM331" s="200"/>
      <c r="AN331" s="198"/>
      <c r="AO331" s="201"/>
      <c r="AP331" s="198"/>
      <c r="AQ331" s="200"/>
      <c r="AR331" s="199"/>
      <c r="AS331" s="198"/>
      <c r="AV331" s="164"/>
      <c r="BA331" s="202"/>
      <c r="BC331" s="203"/>
      <c r="BD331" s="194"/>
      <c r="BE331" s="194"/>
    </row>
    <row r="332">
      <c r="A332" s="6"/>
      <c r="B332" s="6"/>
      <c r="C332" s="196"/>
      <c r="E332" s="197"/>
      <c r="F332" s="196"/>
      <c r="G332" s="198"/>
      <c r="H332" s="198"/>
      <c r="I332" s="198"/>
      <c r="J332" s="198"/>
      <c r="K332" s="198"/>
      <c r="L332" s="198"/>
      <c r="M332" s="199"/>
      <c r="N332" s="199"/>
      <c r="O332" s="199"/>
      <c r="P332" s="200"/>
      <c r="Q332" s="201"/>
      <c r="R332" s="200"/>
      <c r="S332" s="200"/>
      <c r="T332" s="200"/>
      <c r="U332" s="200"/>
      <c r="V332" s="201"/>
      <c r="W332" s="201"/>
      <c r="X332" s="200"/>
      <c r="Y332" s="200"/>
      <c r="Z332" s="200"/>
      <c r="AA332" s="200"/>
      <c r="AB332" s="200"/>
      <c r="AC332" s="200"/>
      <c r="AD332" s="200"/>
      <c r="AE332" s="200"/>
      <c r="AF332" s="200"/>
      <c r="AG332" s="200"/>
      <c r="AH332" s="200"/>
      <c r="AI332" s="200"/>
      <c r="AJ332" s="200"/>
      <c r="AK332" s="200"/>
      <c r="AL332" s="200"/>
      <c r="AM332" s="200"/>
      <c r="AN332" s="198"/>
      <c r="AO332" s="201"/>
      <c r="AP332" s="198"/>
      <c r="AQ332" s="200"/>
      <c r="AR332" s="199"/>
      <c r="AS332" s="198"/>
      <c r="AV332" s="164"/>
      <c r="BA332" s="202"/>
      <c r="BC332" s="203"/>
      <c r="BD332" s="194"/>
      <c r="BE332" s="194"/>
    </row>
    <row r="333">
      <c r="A333" s="6"/>
      <c r="B333" s="6"/>
      <c r="C333" s="196"/>
      <c r="E333" s="197"/>
      <c r="F333" s="196"/>
      <c r="G333" s="198"/>
      <c r="H333" s="198"/>
      <c r="I333" s="198"/>
      <c r="J333" s="198"/>
      <c r="K333" s="198"/>
      <c r="L333" s="198"/>
      <c r="M333" s="199"/>
      <c r="N333" s="199"/>
      <c r="O333" s="199"/>
      <c r="P333" s="200"/>
      <c r="Q333" s="201"/>
      <c r="R333" s="200"/>
      <c r="S333" s="200"/>
      <c r="T333" s="200"/>
      <c r="U333" s="200"/>
      <c r="V333" s="201"/>
      <c r="W333" s="201"/>
      <c r="X333" s="200"/>
      <c r="Y333" s="200"/>
      <c r="Z333" s="200"/>
      <c r="AA333" s="200"/>
      <c r="AB333" s="200"/>
      <c r="AC333" s="200"/>
      <c r="AD333" s="200"/>
      <c r="AE333" s="200"/>
      <c r="AF333" s="200"/>
      <c r="AG333" s="200"/>
      <c r="AH333" s="200"/>
      <c r="AI333" s="200"/>
      <c r="AJ333" s="200"/>
      <c r="AK333" s="200"/>
      <c r="AL333" s="200"/>
      <c r="AM333" s="200"/>
      <c r="AN333" s="198"/>
      <c r="AO333" s="201"/>
      <c r="AP333" s="198"/>
      <c r="AQ333" s="200"/>
      <c r="AR333" s="199"/>
      <c r="AS333" s="198"/>
      <c r="AV333" s="164"/>
      <c r="BA333" s="202"/>
      <c r="BC333" s="203"/>
      <c r="BD333" s="194"/>
      <c r="BE333" s="194"/>
    </row>
    <row r="334">
      <c r="A334" s="6"/>
      <c r="B334" s="6"/>
      <c r="C334" s="196"/>
      <c r="E334" s="197"/>
      <c r="F334" s="196"/>
      <c r="G334" s="198"/>
      <c r="H334" s="198"/>
      <c r="I334" s="198"/>
      <c r="J334" s="198"/>
      <c r="K334" s="198"/>
      <c r="L334" s="198"/>
      <c r="M334" s="199"/>
      <c r="N334" s="199"/>
      <c r="O334" s="199"/>
      <c r="P334" s="200"/>
      <c r="Q334" s="201"/>
      <c r="R334" s="200"/>
      <c r="S334" s="200"/>
      <c r="T334" s="200"/>
      <c r="U334" s="200"/>
      <c r="V334" s="201"/>
      <c r="W334" s="201"/>
      <c r="X334" s="200"/>
      <c r="Y334" s="200"/>
      <c r="Z334" s="200"/>
      <c r="AA334" s="200"/>
      <c r="AB334" s="200"/>
      <c r="AC334" s="200"/>
      <c r="AD334" s="200"/>
      <c r="AE334" s="200"/>
      <c r="AF334" s="200"/>
      <c r="AG334" s="200"/>
      <c r="AH334" s="200"/>
      <c r="AI334" s="200"/>
      <c r="AJ334" s="200"/>
      <c r="AK334" s="200"/>
      <c r="AL334" s="200"/>
      <c r="AM334" s="200"/>
      <c r="AN334" s="198"/>
      <c r="AO334" s="201"/>
      <c r="AP334" s="198"/>
      <c r="AQ334" s="200"/>
      <c r="AR334" s="199"/>
      <c r="AS334" s="198"/>
      <c r="AV334" s="164"/>
      <c r="BA334" s="202"/>
      <c r="BC334" s="203"/>
      <c r="BD334" s="194"/>
      <c r="BE334" s="194"/>
    </row>
    <row r="335">
      <c r="A335" s="6"/>
      <c r="B335" s="6"/>
      <c r="C335" s="196"/>
      <c r="E335" s="197"/>
      <c r="F335" s="196"/>
      <c r="G335" s="198"/>
      <c r="H335" s="198"/>
      <c r="I335" s="198"/>
      <c r="J335" s="198"/>
      <c r="K335" s="198"/>
      <c r="L335" s="198"/>
      <c r="M335" s="199"/>
      <c r="N335" s="199"/>
      <c r="O335" s="199"/>
      <c r="P335" s="200"/>
      <c r="Q335" s="201"/>
      <c r="R335" s="200"/>
      <c r="S335" s="200"/>
      <c r="T335" s="200"/>
      <c r="U335" s="200"/>
      <c r="V335" s="201"/>
      <c r="W335" s="201"/>
      <c r="X335" s="200"/>
      <c r="Y335" s="200"/>
      <c r="Z335" s="200"/>
      <c r="AA335" s="200"/>
      <c r="AB335" s="200"/>
      <c r="AC335" s="200"/>
      <c r="AD335" s="200"/>
      <c r="AE335" s="200"/>
      <c r="AF335" s="200"/>
      <c r="AG335" s="200"/>
      <c r="AH335" s="200"/>
      <c r="AI335" s="200"/>
      <c r="AJ335" s="200"/>
      <c r="AK335" s="200"/>
      <c r="AL335" s="200"/>
      <c r="AM335" s="200"/>
      <c r="AN335" s="198"/>
      <c r="AO335" s="201"/>
      <c r="AP335" s="198"/>
      <c r="AQ335" s="200"/>
      <c r="AR335" s="199"/>
      <c r="AS335" s="198"/>
      <c r="AV335" s="164"/>
      <c r="BA335" s="202"/>
      <c r="BC335" s="203"/>
      <c r="BD335" s="194"/>
      <c r="BE335" s="194"/>
    </row>
    <row r="336">
      <c r="A336" s="6"/>
      <c r="B336" s="6"/>
      <c r="C336" s="196"/>
      <c r="E336" s="197"/>
      <c r="F336" s="196"/>
      <c r="G336" s="198"/>
      <c r="H336" s="198"/>
      <c r="I336" s="198"/>
      <c r="J336" s="198"/>
      <c r="K336" s="198"/>
      <c r="L336" s="198"/>
      <c r="M336" s="199"/>
      <c r="N336" s="199"/>
      <c r="O336" s="199"/>
      <c r="P336" s="200"/>
      <c r="Q336" s="201"/>
      <c r="R336" s="200"/>
      <c r="S336" s="200"/>
      <c r="T336" s="200"/>
      <c r="U336" s="200"/>
      <c r="V336" s="201"/>
      <c r="W336" s="201"/>
      <c r="X336" s="200"/>
      <c r="Y336" s="200"/>
      <c r="Z336" s="200"/>
      <c r="AA336" s="200"/>
      <c r="AB336" s="200"/>
      <c r="AC336" s="200"/>
      <c r="AD336" s="200"/>
      <c r="AE336" s="200"/>
      <c r="AF336" s="200"/>
      <c r="AG336" s="200"/>
      <c r="AH336" s="200"/>
      <c r="AI336" s="200"/>
      <c r="AJ336" s="200"/>
      <c r="AK336" s="200"/>
      <c r="AL336" s="200"/>
      <c r="AM336" s="200"/>
      <c r="AN336" s="198"/>
      <c r="AO336" s="201"/>
      <c r="AP336" s="198"/>
      <c r="AQ336" s="200"/>
      <c r="AR336" s="199"/>
      <c r="AS336" s="198"/>
      <c r="AV336" s="164"/>
      <c r="BA336" s="202"/>
      <c r="BC336" s="203"/>
      <c r="BD336" s="194"/>
      <c r="BE336" s="194"/>
    </row>
    <row r="337">
      <c r="A337" s="6"/>
      <c r="B337" s="6"/>
      <c r="C337" s="196"/>
      <c r="E337" s="197"/>
      <c r="F337" s="196"/>
      <c r="G337" s="198"/>
      <c r="H337" s="198"/>
      <c r="I337" s="198"/>
      <c r="J337" s="198"/>
      <c r="K337" s="198"/>
      <c r="L337" s="198"/>
      <c r="M337" s="199"/>
      <c r="N337" s="199"/>
      <c r="O337" s="199"/>
      <c r="P337" s="200"/>
      <c r="Q337" s="201"/>
      <c r="R337" s="200"/>
      <c r="S337" s="200"/>
      <c r="T337" s="200"/>
      <c r="U337" s="200"/>
      <c r="V337" s="201"/>
      <c r="W337" s="201"/>
      <c r="X337" s="200"/>
      <c r="Y337" s="200"/>
      <c r="Z337" s="200"/>
      <c r="AA337" s="200"/>
      <c r="AB337" s="200"/>
      <c r="AC337" s="200"/>
      <c r="AD337" s="200"/>
      <c r="AE337" s="200"/>
      <c r="AF337" s="200"/>
      <c r="AG337" s="200"/>
      <c r="AH337" s="200"/>
      <c r="AI337" s="200"/>
      <c r="AJ337" s="200"/>
      <c r="AK337" s="200"/>
      <c r="AL337" s="200"/>
      <c r="AM337" s="200"/>
      <c r="AN337" s="198"/>
      <c r="AO337" s="201"/>
      <c r="AP337" s="198"/>
      <c r="AQ337" s="200"/>
      <c r="AR337" s="199"/>
      <c r="AS337" s="198"/>
      <c r="AV337" s="164"/>
      <c r="BA337" s="202"/>
      <c r="BC337" s="203"/>
      <c r="BD337" s="194"/>
      <c r="BE337" s="194"/>
    </row>
    <row r="338">
      <c r="A338" s="6"/>
      <c r="B338" s="6"/>
      <c r="C338" s="196"/>
      <c r="E338" s="197"/>
      <c r="F338" s="196"/>
      <c r="G338" s="198"/>
      <c r="H338" s="198"/>
      <c r="I338" s="198"/>
      <c r="J338" s="198"/>
      <c r="K338" s="198"/>
      <c r="L338" s="198"/>
      <c r="M338" s="199"/>
      <c r="N338" s="199"/>
      <c r="O338" s="199"/>
      <c r="P338" s="200"/>
      <c r="Q338" s="201"/>
      <c r="R338" s="200"/>
      <c r="S338" s="200"/>
      <c r="T338" s="200"/>
      <c r="U338" s="200"/>
      <c r="V338" s="201"/>
      <c r="W338" s="201"/>
      <c r="X338" s="200"/>
      <c r="Y338" s="200"/>
      <c r="Z338" s="200"/>
      <c r="AA338" s="200"/>
      <c r="AB338" s="200"/>
      <c r="AC338" s="200"/>
      <c r="AD338" s="200"/>
      <c r="AE338" s="200"/>
      <c r="AF338" s="200"/>
      <c r="AG338" s="200"/>
      <c r="AH338" s="200"/>
      <c r="AI338" s="200"/>
      <c r="AJ338" s="200"/>
      <c r="AK338" s="200"/>
      <c r="AL338" s="200"/>
      <c r="AM338" s="200"/>
      <c r="AN338" s="198"/>
      <c r="AO338" s="201"/>
      <c r="AP338" s="198"/>
      <c r="AQ338" s="200"/>
      <c r="AR338" s="199"/>
      <c r="AS338" s="198"/>
      <c r="AV338" s="164"/>
      <c r="BA338" s="202"/>
      <c r="BC338" s="203"/>
      <c r="BD338" s="194"/>
      <c r="BE338" s="194"/>
    </row>
    <row r="339">
      <c r="A339" s="6"/>
      <c r="B339" s="6"/>
      <c r="C339" s="196"/>
      <c r="E339" s="197"/>
      <c r="F339" s="196"/>
      <c r="G339" s="198"/>
      <c r="H339" s="198"/>
      <c r="I339" s="198"/>
      <c r="J339" s="198"/>
      <c r="K339" s="198"/>
      <c r="L339" s="198"/>
      <c r="M339" s="199"/>
      <c r="N339" s="199"/>
      <c r="O339" s="199"/>
      <c r="P339" s="200"/>
      <c r="Q339" s="201"/>
      <c r="R339" s="200"/>
      <c r="S339" s="200"/>
      <c r="T339" s="200"/>
      <c r="U339" s="200"/>
      <c r="V339" s="201"/>
      <c r="W339" s="201"/>
      <c r="X339" s="200"/>
      <c r="Y339" s="200"/>
      <c r="Z339" s="200"/>
      <c r="AA339" s="200"/>
      <c r="AB339" s="200"/>
      <c r="AC339" s="200"/>
      <c r="AD339" s="200"/>
      <c r="AE339" s="200"/>
      <c r="AF339" s="200"/>
      <c r="AG339" s="200"/>
      <c r="AH339" s="200"/>
      <c r="AI339" s="200"/>
      <c r="AJ339" s="200"/>
      <c r="AK339" s="200"/>
      <c r="AL339" s="200"/>
      <c r="AM339" s="200"/>
      <c r="AN339" s="198"/>
      <c r="AO339" s="201"/>
      <c r="AP339" s="198"/>
      <c r="AQ339" s="200"/>
      <c r="AR339" s="199"/>
      <c r="AS339" s="198"/>
      <c r="AV339" s="164"/>
      <c r="BA339" s="202"/>
      <c r="BC339" s="203"/>
      <c r="BD339" s="194"/>
      <c r="BE339" s="194"/>
    </row>
    <row r="340">
      <c r="A340" s="6"/>
      <c r="B340" s="6"/>
      <c r="C340" s="196"/>
      <c r="E340" s="197"/>
      <c r="F340" s="196"/>
      <c r="G340" s="198"/>
      <c r="H340" s="198"/>
      <c r="I340" s="198"/>
      <c r="J340" s="198"/>
      <c r="K340" s="198"/>
      <c r="L340" s="198"/>
      <c r="M340" s="199"/>
      <c r="N340" s="199"/>
      <c r="O340" s="199"/>
      <c r="P340" s="200"/>
      <c r="Q340" s="201"/>
      <c r="R340" s="200"/>
      <c r="S340" s="200"/>
      <c r="T340" s="200"/>
      <c r="U340" s="200"/>
      <c r="V340" s="201"/>
      <c r="W340" s="201"/>
      <c r="X340" s="200"/>
      <c r="Y340" s="200"/>
      <c r="Z340" s="200"/>
      <c r="AA340" s="200"/>
      <c r="AB340" s="200"/>
      <c r="AC340" s="200"/>
      <c r="AD340" s="200"/>
      <c r="AE340" s="200"/>
      <c r="AF340" s="200"/>
      <c r="AG340" s="200"/>
      <c r="AH340" s="200"/>
      <c r="AI340" s="200"/>
      <c r="AJ340" s="200"/>
      <c r="AK340" s="200"/>
      <c r="AL340" s="200"/>
      <c r="AM340" s="200"/>
      <c r="AN340" s="198"/>
      <c r="AO340" s="201"/>
      <c r="AP340" s="198"/>
      <c r="AQ340" s="200"/>
      <c r="AR340" s="199"/>
      <c r="AS340" s="198"/>
      <c r="AV340" s="164"/>
      <c r="BA340" s="202"/>
      <c r="BC340" s="203"/>
      <c r="BD340" s="194"/>
      <c r="BE340" s="194"/>
    </row>
    <row r="341">
      <c r="A341" s="6"/>
      <c r="B341" s="6"/>
      <c r="C341" s="196"/>
      <c r="E341" s="197"/>
      <c r="F341" s="196"/>
      <c r="G341" s="198"/>
      <c r="H341" s="198"/>
      <c r="I341" s="198"/>
      <c r="J341" s="198"/>
      <c r="K341" s="198"/>
      <c r="L341" s="198"/>
      <c r="M341" s="199"/>
      <c r="N341" s="199"/>
      <c r="O341" s="199"/>
      <c r="P341" s="200"/>
      <c r="Q341" s="201"/>
      <c r="R341" s="200"/>
      <c r="S341" s="200"/>
      <c r="T341" s="200"/>
      <c r="U341" s="200"/>
      <c r="V341" s="201"/>
      <c r="W341" s="201"/>
      <c r="X341" s="200"/>
      <c r="Y341" s="200"/>
      <c r="Z341" s="200"/>
      <c r="AA341" s="200"/>
      <c r="AB341" s="200"/>
      <c r="AC341" s="200"/>
      <c r="AD341" s="200"/>
      <c r="AE341" s="200"/>
      <c r="AF341" s="200"/>
      <c r="AG341" s="200"/>
      <c r="AH341" s="200"/>
      <c r="AI341" s="200"/>
      <c r="AJ341" s="200"/>
      <c r="AK341" s="200"/>
      <c r="AL341" s="200"/>
      <c r="AM341" s="200"/>
      <c r="AN341" s="198"/>
      <c r="AO341" s="201"/>
      <c r="AP341" s="198"/>
      <c r="AQ341" s="200"/>
      <c r="AR341" s="199"/>
      <c r="AS341" s="198"/>
      <c r="AV341" s="164"/>
      <c r="BA341" s="202"/>
      <c r="BC341" s="203"/>
      <c r="BD341" s="194"/>
      <c r="BE341" s="194"/>
    </row>
    <row r="342">
      <c r="A342" s="6"/>
      <c r="B342" s="6"/>
      <c r="C342" s="196"/>
      <c r="E342" s="197"/>
      <c r="F342" s="196"/>
      <c r="G342" s="198"/>
      <c r="H342" s="198"/>
      <c r="I342" s="198"/>
      <c r="J342" s="198"/>
      <c r="K342" s="198"/>
      <c r="L342" s="198"/>
      <c r="M342" s="199"/>
      <c r="N342" s="199"/>
      <c r="O342" s="199"/>
      <c r="P342" s="200"/>
      <c r="Q342" s="201"/>
      <c r="R342" s="200"/>
      <c r="S342" s="200"/>
      <c r="T342" s="200"/>
      <c r="U342" s="200"/>
      <c r="V342" s="201"/>
      <c r="W342" s="201"/>
      <c r="X342" s="200"/>
      <c r="Y342" s="200"/>
      <c r="Z342" s="200"/>
      <c r="AA342" s="200"/>
      <c r="AB342" s="200"/>
      <c r="AC342" s="200"/>
      <c r="AD342" s="200"/>
      <c r="AE342" s="200"/>
      <c r="AF342" s="200"/>
      <c r="AG342" s="200"/>
      <c r="AH342" s="200"/>
      <c r="AI342" s="200"/>
      <c r="AJ342" s="200"/>
      <c r="AK342" s="200"/>
      <c r="AL342" s="200"/>
      <c r="AM342" s="200"/>
      <c r="AN342" s="198"/>
      <c r="AO342" s="201"/>
      <c r="AP342" s="198"/>
      <c r="AQ342" s="200"/>
      <c r="AR342" s="199"/>
      <c r="AS342" s="198"/>
      <c r="AV342" s="164"/>
      <c r="BA342" s="202"/>
      <c r="BC342" s="203"/>
      <c r="BD342" s="194"/>
      <c r="BE342" s="194"/>
    </row>
    <row r="343">
      <c r="A343" s="6"/>
      <c r="B343" s="6"/>
      <c r="C343" s="196"/>
      <c r="E343" s="197"/>
      <c r="F343" s="196"/>
      <c r="G343" s="198"/>
      <c r="H343" s="198"/>
      <c r="I343" s="198"/>
      <c r="J343" s="198"/>
      <c r="K343" s="198"/>
      <c r="L343" s="198"/>
      <c r="M343" s="199"/>
      <c r="N343" s="199"/>
      <c r="O343" s="199"/>
      <c r="P343" s="200"/>
      <c r="Q343" s="201"/>
      <c r="R343" s="200"/>
      <c r="S343" s="200"/>
      <c r="T343" s="200"/>
      <c r="U343" s="200"/>
      <c r="V343" s="201"/>
      <c r="W343" s="201"/>
      <c r="X343" s="200"/>
      <c r="Y343" s="200"/>
      <c r="Z343" s="200"/>
      <c r="AA343" s="200"/>
      <c r="AB343" s="200"/>
      <c r="AC343" s="200"/>
      <c r="AD343" s="200"/>
      <c r="AE343" s="200"/>
      <c r="AF343" s="200"/>
      <c r="AG343" s="200"/>
      <c r="AH343" s="200"/>
      <c r="AI343" s="200"/>
      <c r="AJ343" s="200"/>
      <c r="AK343" s="200"/>
      <c r="AL343" s="200"/>
      <c r="AM343" s="200"/>
      <c r="AN343" s="198"/>
      <c r="AO343" s="201"/>
      <c r="AP343" s="198"/>
      <c r="AQ343" s="200"/>
      <c r="AR343" s="199"/>
      <c r="AS343" s="198"/>
      <c r="AV343" s="164"/>
      <c r="BA343" s="202"/>
      <c r="BC343" s="203"/>
      <c r="BD343" s="194"/>
      <c r="BE343" s="194"/>
    </row>
    <row r="344">
      <c r="A344" s="6"/>
      <c r="B344" s="6"/>
      <c r="C344" s="196"/>
      <c r="E344" s="197"/>
      <c r="F344" s="196"/>
      <c r="G344" s="198"/>
      <c r="H344" s="198"/>
      <c r="I344" s="198"/>
      <c r="J344" s="198"/>
      <c r="K344" s="198"/>
      <c r="L344" s="198"/>
      <c r="M344" s="199"/>
      <c r="N344" s="199"/>
      <c r="O344" s="199"/>
      <c r="P344" s="200"/>
      <c r="Q344" s="201"/>
      <c r="R344" s="200"/>
      <c r="S344" s="200"/>
      <c r="T344" s="200"/>
      <c r="U344" s="200"/>
      <c r="V344" s="201"/>
      <c r="W344" s="201"/>
      <c r="X344" s="200"/>
      <c r="Y344" s="200"/>
      <c r="Z344" s="200"/>
      <c r="AA344" s="200"/>
      <c r="AB344" s="200"/>
      <c r="AC344" s="200"/>
      <c r="AD344" s="200"/>
      <c r="AE344" s="200"/>
      <c r="AF344" s="200"/>
      <c r="AG344" s="200"/>
      <c r="AH344" s="200"/>
      <c r="AI344" s="200"/>
      <c r="AJ344" s="200"/>
      <c r="AK344" s="200"/>
      <c r="AL344" s="200"/>
      <c r="AM344" s="200"/>
      <c r="AN344" s="198"/>
      <c r="AO344" s="201"/>
      <c r="AP344" s="198"/>
      <c r="AQ344" s="200"/>
      <c r="AR344" s="199"/>
      <c r="AS344" s="198"/>
      <c r="AV344" s="164"/>
      <c r="BA344" s="202"/>
      <c r="BC344" s="203"/>
      <c r="BD344" s="194"/>
      <c r="BE344" s="194"/>
    </row>
    <row r="345">
      <c r="A345" s="6"/>
      <c r="B345" s="6"/>
      <c r="C345" s="196"/>
      <c r="E345" s="197"/>
      <c r="F345" s="196"/>
      <c r="G345" s="198"/>
      <c r="H345" s="198"/>
      <c r="I345" s="198"/>
      <c r="J345" s="198"/>
      <c r="K345" s="198"/>
      <c r="L345" s="198"/>
      <c r="M345" s="199"/>
      <c r="N345" s="199"/>
      <c r="O345" s="199"/>
      <c r="P345" s="200"/>
      <c r="Q345" s="201"/>
      <c r="R345" s="200"/>
      <c r="S345" s="200"/>
      <c r="T345" s="200"/>
      <c r="U345" s="200"/>
      <c r="V345" s="201"/>
      <c r="W345" s="201"/>
      <c r="X345" s="200"/>
      <c r="Y345" s="200"/>
      <c r="Z345" s="200"/>
      <c r="AA345" s="200"/>
      <c r="AB345" s="200"/>
      <c r="AC345" s="200"/>
      <c r="AD345" s="200"/>
      <c r="AE345" s="200"/>
      <c r="AF345" s="200"/>
      <c r="AG345" s="200"/>
      <c r="AH345" s="200"/>
      <c r="AI345" s="200"/>
      <c r="AJ345" s="200"/>
      <c r="AK345" s="200"/>
      <c r="AL345" s="200"/>
      <c r="AM345" s="200"/>
      <c r="AN345" s="198"/>
      <c r="AO345" s="201"/>
      <c r="AP345" s="198"/>
      <c r="AQ345" s="200"/>
      <c r="AR345" s="199"/>
      <c r="AS345" s="198"/>
      <c r="AV345" s="164"/>
      <c r="BA345" s="202"/>
      <c r="BC345" s="203"/>
      <c r="BD345" s="194"/>
      <c r="BE345" s="194"/>
    </row>
    <row r="346">
      <c r="A346" s="6"/>
      <c r="B346" s="6"/>
      <c r="C346" s="196"/>
      <c r="E346" s="197"/>
      <c r="F346" s="196"/>
      <c r="G346" s="198"/>
      <c r="H346" s="198"/>
      <c r="I346" s="198"/>
      <c r="J346" s="198"/>
      <c r="K346" s="198"/>
      <c r="L346" s="198"/>
      <c r="M346" s="199"/>
      <c r="N346" s="199"/>
      <c r="O346" s="199"/>
      <c r="P346" s="200"/>
      <c r="Q346" s="201"/>
      <c r="R346" s="200"/>
      <c r="S346" s="200"/>
      <c r="T346" s="200"/>
      <c r="U346" s="200"/>
      <c r="V346" s="201"/>
      <c r="W346" s="201"/>
      <c r="X346" s="200"/>
      <c r="Y346" s="200"/>
      <c r="Z346" s="200"/>
      <c r="AA346" s="200"/>
      <c r="AB346" s="200"/>
      <c r="AC346" s="200"/>
      <c r="AD346" s="200"/>
      <c r="AE346" s="200"/>
      <c r="AF346" s="200"/>
      <c r="AG346" s="200"/>
      <c r="AH346" s="200"/>
      <c r="AI346" s="200"/>
      <c r="AJ346" s="200"/>
      <c r="AK346" s="200"/>
      <c r="AL346" s="200"/>
      <c r="AM346" s="200"/>
      <c r="AN346" s="198"/>
      <c r="AO346" s="201"/>
      <c r="AP346" s="198"/>
      <c r="AQ346" s="200"/>
      <c r="AR346" s="199"/>
      <c r="AS346" s="198"/>
      <c r="AV346" s="164"/>
      <c r="BA346" s="202"/>
      <c r="BC346" s="203"/>
      <c r="BD346" s="194"/>
      <c r="BE346" s="194"/>
    </row>
    <row r="347">
      <c r="A347" s="6"/>
      <c r="B347" s="6"/>
      <c r="C347" s="196"/>
      <c r="E347" s="197"/>
      <c r="F347" s="196"/>
      <c r="G347" s="198"/>
      <c r="H347" s="198"/>
      <c r="I347" s="198"/>
      <c r="J347" s="198"/>
      <c r="K347" s="198"/>
      <c r="L347" s="198"/>
      <c r="M347" s="199"/>
      <c r="N347" s="199"/>
      <c r="O347" s="199"/>
      <c r="P347" s="200"/>
      <c r="Q347" s="201"/>
      <c r="R347" s="200"/>
      <c r="S347" s="200"/>
      <c r="T347" s="200"/>
      <c r="U347" s="200"/>
      <c r="V347" s="201"/>
      <c r="W347" s="201"/>
      <c r="X347" s="200"/>
      <c r="Y347" s="200"/>
      <c r="Z347" s="200"/>
      <c r="AA347" s="200"/>
      <c r="AB347" s="200"/>
      <c r="AC347" s="200"/>
      <c r="AD347" s="200"/>
      <c r="AE347" s="200"/>
      <c r="AF347" s="200"/>
      <c r="AG347" s="200"/>
      <c r="AH347" s="200"/>
      <c r="AI347" s="200"/>
      <c r="AJ347" s="200"/>
      <c r="AK347" s="200"/>
      <c r="AL347" s="200"/>
      <c r="AM347" s="200"/>
      <c r="AN347" s="198"/>
      <c r="AO347" s="201"/>
      <c r="AP347" s="198"/>
      <c r="AQ347" s="200"/>
      <c r="AR347" s="199"/>
      <c r="AS347" s="198"/>
      <c r="AV347" s="164"/>
      <c r="BA347" s="202"/>
      <c r="BC347" s="203"/>
      <c r="BD347" s="194"/>
      <c r="BE347" s="194"/>
    </row>
    <row r="348">
      <c r="A348" s="6"/>
      <c r="B348" s="6"/>
      <c r="C348" s="196"/>
      <c r="E348" s="197"/>
      <c r="F348" s="196"/>
      <c r="G348" s="198"/>
      <c r="H348" s="198"/>
      <c r="I348" s="198"/>
      <c r="J348" s="198"/>
      <c r="K348" s="198"/>
      <c r="L348" s="198"/>
      <c r="M348" s="199"/>
      <c r="N348" s="199"/>
      <c r="O348" s="199"/>
      <c r="P348" s="200"/>
      <c r="Q348" s="201"/>
      <c r="R348" s="200"/>
      <c r="S348" s="200"/>
      <c r="T348" s="200"/>
      <c r="U348" s="200"/>
      <c r="V348" s="201"/>
      <c r="W348" s="201"/>
      <c r="X348" s="200"/>
      <c r="Y348" s="200"/>
      <c r="Z348" s="200"/>
      <c r="AA348" s="200"/>
      <c r="AB348" s="200"/>
      <c r="AC348" s="200"/>
      <c r="AD348" s="200"/>
      <c r="AE348" s="200"/>
      <c r="AF348" s="200"/>
      <c r="AG348" s="200"/>
      <c r="AH348" s="200"/>
      <c r="AI348" s="200"/>
      <c r="AJ348" s="200"/>
      <c r="AK348" s="200"/>
      <c r="AL348" s="200"/>
      <c r="AM348" s="200"/>
      <c r="AN348" s="198"/>
      <c r="AO348" s="201"/>
      <c r="AP348" s="198"/>
      <c r="AQ348" s="200"/>
      <c r="AR348" s="199"/>
      <c r="AS348" s="198"/>
      <c r="AV348" s="164"/>
      <c r="BA348" s="202"/>
      <c r="BC348" s="203"/>
      <c r="BD348" s="194"/>
      <c r="BE348" s="194"/>
    </row>
    <row r="349">
      <c r="A349" s="6"/>
      <c r="B349" s="6"/>
      <c r="C349" s="196"/>
      <c r="E349" s="197"/>
      <c r="F349" s="196"/>
      <c r="G349" s="198"/>
      <c r="H349" s="198"/>
      <c r="I349" s="198"/>
      <c r="J349" s="198"/>
      <c r="K349" s="198"/>
      <c r="L349" s="198"/>
      <c r="M349" s="199"/>
      <c r="N349" s="199"/>
      <c r="O349" s="199"/>
      <c r="P349" s="200"/>
      <c r="Q349" s="201"/>
      <c r="R349" s="200"/>
      <c r="S349" s="200"/>
      <c r="T349" s="200"/>
      <c r="U349" s="200"/>
      <c r="V349" s="201"/>
      <c r="W349" s="201"/>
      <c r="X349" s="200"/>
      <c r="Y349" s="200"/>
      <c r="Z349" s="200"/>
      <c r="AA349" s="200"/>
      <c r="AB349" s="200"/>
      <c r="AC349" s="200"/>
      <c r="AD349" s="200"/>
      <c r="AE349" s="200"/>
      <c r="AF349" s="200"/>
      <c r="AG349" s="200"/>
      <c r="AH349" s="200"/>
      <c r="AI349" s="200"/>
      <c r="AJ349" s="200"/>
      <c r="AK349" s="200"/>
      <c r="AL349" s="200"/>
      <c r="AM349" s="200"/>
      <c r="AN349" s="198"/>
      <c r="AO349" s="201"/>
      <c r="AP349" s="198"/>
      <c r="AQ349" s="200"/>
      <c r="AR349" s="199"/>
      <c r="AS349" s="198"/>
      <c r="AV349" s="164"/>
      <c r="BA349" s="202"/>
      <c r="BC349" s="203"/>
      <c r="BD349" s="194"/>
      <c r="BE349" s="194"/>
    </row>
    <row r="350">
      <c r="A350" s="6"/>
      <c r="B350" s="6"/>
      <c r="C350" s="196"/>
      <c r="E350" s="197"/>
      <c r="F350" s="196"/>
      <c r="G350" s="198"/>
      <c r="H350" s="198"/>
      <c r="I350" s="198"/>
      <c r="J350" s="198"/>
      <c r="K350" s="198"/>
      <c r="L350" s="198"/>
      <c r="M350" s="199"/>
      <c r="N350" s="199"/>
      <c r="O350" s="199"/>
      <c r="P350" s="200"/>
      <c r="Q350" s="201"/>
      <c r="R350" s="200"/>
      <c r="S350" s="200"/>
      <c r="T350" s="200"/>
      <c r="U350" s="200"/>
      <c r="V350" s="201"/>
      <c r="W350" s="201"/>
      <c r="X350" s="200"/>
      <c r="Y350" s="200"/>
      <c r="Z350" s="200"/>
      <c r="AA350" s="200"/>
      <c r="AB350" s="200"/>
      <c r="AC350" s="200"/>
      <c r="AD350" s="200"/>
      <c r="AE350" s="200"/>
      <c r="AF350" s="200"/>
      <c r="AG350" s="200"/>
      <c r="AH350" s="200"/>
      <c r="AI350" s="200"/>
      <c r="AJ350" s="200"/>
      <c r="AK350" s="200"/>
      <c r="AL350" s="200"/>
      <c r="AM350" s="200"/>
      <c r="AN350" s="198"/>
      <c r="AO350" s="201"/>
      <c r="AP350" s="198"/>
      <c r="AQ350" s="200"/>
      <c r="AR350" s="199"/>
      <c r="AS350" s="198"/>
      <c r="AV350" s="164"/>
      <c r="BA350" s="202"/>
      <c r="BC350" s="203"/>
      <c r="BD350" s="194"/>
      <c r="BE350" s="194"/>
    </row>
    <row r="351">
      <c r="A351" s="6"/>
      <c r="B351" s="6"/>
      <c r="C351" s="196"/>
      <c r="E351" s="197"/>
      <c r="F351" s="196"/>
      <c r="G351" s="198"/>
      <c r="H351" s="198"/>
      <c r="I351" s="198"/>
      <c r="J351" s="198"/>
      <c r="K351" s="198"/>
      <c r="L351" s="198"/>
      <c r="M351" s="199"/>
      <c r="N351" s="199"/>
      <c r="O351" s="199"/>
      <c r="P351" s="200"/>
      <c r="Q351" s="201"/>
      <c r="R351" s="200"/>
      <c r="S351" s="200"/>
      <c r="T351" s="200"/>
      <c r="U351" s="200"/>
      <c r="V351" s="201"/>
      <c r="W351" s="201"/>
      <c r="X351" s="200"/>
      <c r="Y351" s="200"/>
      <c r="Z351" s="200"/>
      <c r="AA351" s="200"/>
      <c r="AB351" s="200"/>
      <c r="AC351" s="200"/>
      <c r="AD351" s="200"/>
      <c r="AE351" s="200"/>
      <c r="AF351" s="200"/>
      <c r="AG351" s="200"/>
      <c r="AH351" s="200"/>
      <c r="AI351" s="200"/>
      <c r="AJ351" s="200"/>
      <c r="AK351" s="200"/>
      <c r="AL351" s="200"/>
      <c r="AM351" s="200"/>
      <c r="AN351" s="198"/>
      <c r="AO351" s="201"/>
      <c r="AP351" s="198"/>
      <c r="AQ351" s="200"/>
      <c r="AR351" s="199"/>
      <c r="AS351" s="198"/>
      <c r="AV351" s="164"/>
      <c r="BA351" s="202"/>
      <c r="BC351" s="203"/>
      <c r="BD351" s="194"/>
      <c r="BE351" s="194"/>
    </row>
    <row r="352">
      <c r="A352" s="6"/>
      <c r="B352" s="6"/>
      <c r="C352" s="196"/>
      <c r="E352" s="197"/>
      <c r="F352" s="196"/>
      <c r="G352" s="198"/>
      <c r="H352" s="198"/>
      <c r="I352" s="198"/>
      <c r="J352" s="198"/>
      <c r="K352" s="198"/>
      <c r="L352" s="198"/>
      <c r="M352" s="199"/>
      <c r="N352" s="199"/>
      <c r="O352" s="199"/>
      <c r="P352" s="200"/>
      <c r="Q352" s="201"/>
      <c r="R352" s="200"/>
      <c r="S352" s="200"/>
      <c r="T352" s="200"/>
      <c r="U352" s="200"/>
      <c r="V352" s="201"/>
      <c r="W352" s="201"/>
      <c r="X352" s="200"/>
      <c r="Y352" s="200"/>
      <c r="Z352" s="200"/>
      <c r="AA352" s="200"/>
      <c r="AB352" s="200"/>
      <c r="AC352" s="200"/>
      <c r="AD352" s="200"/>
      <c r="AE352" s="200"/>
      <c r="AF352" s="200"/>
      <c r="AG352" s="200"/>
      <c r="AH352" s="200"/>
      <c r="AI352" s="200"/>
      <c r="AJ352" s="200"/>
      <c r="AK352" s="200"/>
      <c r="AL352" s="200"/>
      <c r="AM352" s="200"/>
      <c r="AN352" s="198"/>
      <c r="AO352" s="201"/>
      <c r="AP352" s="198"/>
      <c r="AQ352" s="200"/>
      <c r="AR352" s="199"/>
      <c r="AS352" s="198"/>
      <c r="AV352" s="164"/>
      <c r="BA352" s="202"/>
      <c r="BC352" s="203"/>
      <c r="BD352" s="194"/>
      <c r="BE352" s="194"/>
    </row>
    <row r="353">
      <c r="A353" s="6"/>
      <c r="B353" s="6"/>
      <c r="C353" s="196"/>
      <c r="E353" s="197"/>
      <c r="F353" s="196"/>
      <c r="G353" s="198"/>
      <c r="H353" s="198"/>
      <c r="I353" s="198"/>
      <c r="J353" s="198"/>
      <c r="K353" s="198"/>
      <c r="L353" s="198"/>
      <c r="M353" s="199"/>
      <c r="N353" s="199"/>
      <c r="O353" s="199"/>
      <c r="P353" s="200"/>
      <c r="Q353" s="201"/>
      <c r="R353" s="200"/>
      <c r="S353" s="200"/>
      <c r="T353" s="200"/>
      <c r="U353" s="200"/>
      <c r="V353" s="201"/>
      <c r="W353" s="201"/>
      <c r="X353" s="200"/>
      <c r="Y353" s="200"/>
      <c r="Z353" s="200"/>
      <c r="AA353" s="200"/>
      <c r="AB353" s="200"/>
      <c r="AC353" s="200"/>
      <c r="AD353" s="200"/>
      <c r="AE353" s="200"/>
      <c r="AF353" s="200"/>
      <c r="AG353" s="200"/>
      <c r="AH353" s="200"/>
      <c r="AI353" s="200"/>
      <c r="AJ353" s="200"/>
      <c r="AK353" s="200"/>
      <c r="AL353" s="200"/>
      <c r="AM353" s="200"/>
      <c r="AN353" s="198"/>
      <c r="AO353" s="201"/>
      <c r="AP353" s="198"/>
      <c r="AQ353" s="200"/>
      <c r="AR353" s="199"/>
      <c r="AS353" s="198"/>
      <c r="AV353" s="164"/>
      <c r="BA353" s="202"/>
      <c r="BC353" s="203"/>
      <c r="BD353" s="194"/>
      <c r="BE353" s="194"/>
    </row>
    <row r="354">
      <c r="A354" s="6"/>
      <c r="B354" s="6"/>
      <c r="C354" s="196"/>
      <c r="E354" s="197"/>
      <c r="F354" s="196"/>
      <c r="G354" s="198"/>
      <c r="H354" s="198"/>
      <c r="I354" s="198"/>
      <c r="J354" s="198"/>
      <c r="K354" s="198"/>
      <c r="L354" s="198"/>
      <c r="M354" s="199"/>
      <c r="N354" s="199"/>
      <c r="O354" s="199"/>
      <c r="P354" s="200"/>
      <c r="Q354" s="201"/>
      <c r="R354" s="200"/>
      <c r="S354" s="200"/>
      <c r="T354" s="200"/>
      <c r="U354" s="200"/>
      <c r="V354" s="201"/>
      <c r="W354" s="201"/>
      <c r="X354" s="200"/>
      <c r="Y354" s="200"/>
      <c r="Z354" s="200"/>
      <c r="AA354" s="200"/>
      <c r="AB354" s="200"/>
      <c r="AC354" s="200"/>
      <c r="AD354" s="200"/>
      <c r="AE354" s="200"/>
      <c r="AF354" s="200"/>
      <c r="AG354" s="200"/>
      <c r="AH354" s="200"/>
      <c r="AI354" s="200"/>
      <c r="AJ354" s="200"/>
      <c r="AK354" s="200"/>
      <c r="AL354" s="200"/>
      <c r="AM354" s="200"/>
      <c r="AN354" s="198"/>
      <c r="AO354" s="201"/>
      <c r="AP354" s="198"/>
      <c r="AQ354" s="200"/>
      <c r="AR354" s="199"/>
      <c r="AS354" s="198"/>
      <c r="AV354" s="164"/>
      <c r="BA354" s="202"/>
      <c r="BC354" s="203"/>
      <c r="BD354" s="194"/>
      <c r="BE354" s="194"/>
    </row>
    <row r="355">
      <c r="A355" s="6"/>
      <c r="B355" s="6"/>
      <c r="C355" s="196"/>
      <c r="E355" s="197"/>
      <c r="F355" s="196"/>
      <c r="G355" s="198"/>
      <c r="H355" s="198"/>
      <c r="I355" s="198"/>
      <c r="J355" s="198"/>
      <c r="K355" s="198"/>
      <c r="L355" s="198"/>
      <c r="M355" s="199"/>
      <c r="N355" s="199"/>
      <c r="O355" s="199"/>
      <c r="P355" s="200"/>
      <c r="Q355" s="201"/>
      <c r="R355" s="200"/>
      <c r="S355" s="200"/>
      <c r="T355" s="200"/>
      <c r="U355" s="200"/>
      <c r="V355" s="201"/>
      <c r="W355" s="201"/>
      <c r="X355" s="200"/>
      <c r="Y355" s="200"/>
      <c r="Z355" s="200"/>
      <c r="AA355" s="200"/>
      <c r="AB355" s="200"/>
      <c r="AC355" s="200"/>
      <c r="AD355" s="200"/>
      <c r="AE355" s="200"/>
      <c r="AF355" s="200"/>
      <c r="AG355" s="200"/>
      <c r="AH355" s="200"/>
      <c r="AI355" s="200"/>
      <c r="AJ355" s="200"/>
      <c r="AK355" s="200"/>
      <c r="AL355" s="200"/>
      <c r="AM355" s="200"/>
      <c r="AN355" s="198"/>
      <c r="AO355" s="201"/>
      <c r="AP355" s="198"/>
      <c r="AQ355" s="200"/>
      <c r="AR355" s="199"/>
      <c r="AS355" s="198"/>
      <c r="AV355" s="164"/>
      <c r="BA355" s="202"/>
      <c r="BC355" s="203"/>
      <c r="BD355" s="194"/>
      <c r="BE355" s="194"/>
    </row>
    <row r="356">
      <c r="A356" s="6"/>
      <c r="B356" s="6"/>
      <c r="C356" s="196"/>
      <c r="E356" s="197"/>
      <c r="F356" s="196"/>
      <c r="G356" s="198"/>
      <c r="H356" s="198"/>
      <c r="I356" s="198"/>
      <c r="J356" s="198"/>
      <c r="K356" s="198"/>
      <c r="L356" s="198"/>
      <c r="M356" s="199"/>
      <c r="N356" s="199"/>
      <c r="O356" s="199"/>
      <c r="P356" s="200"/>
      <c r="Q356" s="201"/>
      <c r="R356" s="200"/>
      <c r="S356" s="200"/>
      <c r="T356" s="200"/>
      <c r="U356" s="200"/>
      <c r="V356" s="201"/>
      <c r="W356" s="201"/>
      <c r="X356" s="200"/>
      <c r="Y356" s="200"/>
      <c r="Z356" s="200"/>
      <c r="AA356" s="200"/>
      <c r="AB356" s="200"/>
      <c r="AC356" s="200"/>
      <c r="AD356" s="200"/>
      <c r="AE356" s="200"/>
      <c r="AF356" s="200"/>
      <c r="AG356" s="200"/>
      <c r="AH356" s="200"/>
      <c r="AI356" s="200"/>
      <c r="AJ356" s="200"/>
      <c r="AK356" s="200"/>
      <c r="AL356" s="200"/>
      <c r="AM356" s="200"/>
      <c r="AN356" s="198"/>
      <c r="AO356" s="201"/>
      <c r="AP356" s="198"/>
      <c r="AQ356" s="200"/>
      <c r="AR356" s="199"/>
      <c r="AS356" s="198"/>
      <c r="AV356" s="164"/>
      <c r="BA356" s="202"/>
      <c r="BC356" s="203"/>
      <c r="BD356" s="194"/>
      <c r="BE356" s="194"/>
    </row>
    <row r="357">
      <c r="A357" s="6"/>
      <c r="B357" s="6"/>
      <c r="C357" s="196"/>
      <c r="E357" s="197"/>
      <c r="F357" s="196"/>
      <c r="G357" s="198"/>
      <c r="H357" s="198"/>
      <c r="I357" s="198"/>
      <c r="J357" s="198"/>
      <c r="K357" s="198"/>
      <c r="L357" s="198"/>
      <c r="M357" s="199"/>
      <c r="N357" s="199"/>
      <c r="O357" s="199"/>
      <c r="P357" s="200"/>
      <c r="Q357" s="201"/>
      <c r="R357" s="200"/>
      <c r="S357" s="200"/>
      <c r="T357" s="200"/>
      <c r="U357" s="200"/>
      <c r="V357" s="201"/>
      <c r="W357" s="201"/>
      <c r="X357" s="200"/>
      <c r="Y357" s="200"/>
      <c r="Z357" s="200"/>
      <c r="AA357" s="200"/>
      <c r="AB357" s="200"/>
      <c r="AC357" s="200"/>
      <c r="AD357" s="200"/>
      <c r="AE357" s="200"/>
      <c r="AF357" s="200"/>
      <c r="AG357" s="200"/>
      <c r="AH357" s="200"/>
      <c r="AI357" s="200"/>
      <c r="AJ357" s="200"/>
      <c r="AK357" s="200"/>
      <c r="AL357" s="200"/>
      <c r="AM357" s="200"/>
      <c r="AN357" s="198"/>
      <c r="AO357" s="201"/>
      <c r="AP357" s="198"/>
      <c r="AQ357" s="200"/>
      <c r="AR357" s="199"/>
      <c r="AS357" s="198"/>
      <c r="AV357" s="164"/>
      <c r="BA357" s="202"/>
      <c r="BC357" s="203"/>
      <c r="BD357" s="194"/>
      <c r="BE357" s="194"/>
    </row>
    <row r="358">
      <c r="A358" s="6"/>
      <c r="B358" s="6"/>
      <c r="C358" s="196"/>
      <c r="E358" s="197"/>
      <c r="F358" s="196"/>
      <c r="G358" s="198"/>
      <c r="H358" s="198"/>
      <c r="I358" s="198"/>
      <c r="J358" s="198"/>
      <c r="K358" s="198"/>
      <c r="L358" s="198"/>
      <c r="M358" s="199"/>
      <c r="N358" s="199"/>
      <c r="O358" s="199"/>
      <c r="P358" s="200"/>
      <c r="Q358" s="201"/>
      <c r="R358" s="200"/>
      <c r="S358" s="200"/>
      <c r="T358" s="200"/>
      <c r="U358" s="200"/>
      <c r="V358" s="201"/>
      <c r="W358" s="201"/>
      <c r="X358" s="200"/>
      <c r="Y358" s="200"/>
      <c r="Z358" s="200"/>
      <c r="AA358" s="200"/>
      <c r="AB358" s="200"/>
      <c r="AC358" s="200"/>
      <c r="AD358" s="200"/>
      <c r="AE358" s="200"/>
      <c r="AF358" s="200"/>
      <c r="AG358" s="200"/>
      <c r="AH358" s="200"/>
      <c r="AI358" s="200"/>
      <c r="AJ358" s="200"/>
      <c r="AK358" s="200"/>
      <c r="AL358" s="200"/>
      <c r="AM358" s="200"/>
      <c r="AN358" s="198"/>
      <c r="AO358" s="201"/>
      <c r="AP358" s="198"/>
      <c r="AQ358" s="200"/>
      <c r="AR358" s="199"/>
      <c r="AS358" s="198"/>
      <c r="AV358" s="164"/>
      <c r="BA358" s="202"/>
      <c r="BC358" s="203"/>
      <c r="BD358" s="194"/>
      <c r="BE358" s="194"/>
    </row>
    <row r="359">
      <c r="A359" s="6"/>
      <c r="B359" s="6"/>
      <c r="C359" s="196"/>
      <c r="E359" s="197"/>
      <c r="F359" s="196"/>
      <c r="G359" s="198"/>
      <c r="H359" s="198"/>
      <c r="I359" s="198"/>
      <c r="J359" s="198"/>
      <c r="K359" s="198"/>
      <c r="L359" s="198"/>
      <c r="M359" s="199"/>
      <c r="N359" s="199"/>
      <c r="O359" s="199"/>
      <c r="P359" s="200"/>
      <c r="Q359" s="201"/>
      <c r="R359" s="200"/>
      <c r="S359" s="200"/>
      <c r="T359" s="200"/>
      <c r="U359" s="200"/>
      <c r="V359" s="201"/>
      <c r="W359" s="201"/>
      <c r="X359" s="200"/>
      <c r="Y359" s="200"/>
      <c r="Z359" s="200"/>
      <c r="AA359" s="200"/>
      <c r="AB359" s="200"/>
      <c r="AC359" s="200"/>
      <c r="AD359" s="200"/>
      <c r="AE359" s="200"/>
      <c r="AF359" s="200"/>
      <c r="AG359" s="200"/>
      <c r="AH359" s="200"/>
      <c r="AI359" s="200"/>
      <c r="AJ359" s="200"/>
      <c r="AK359" s="200"/>
      <c r="AL359" s="200"/>
      <c r="AM359" s="200"/>
      <c r="AN359" s="198"/>
      <c r="AO359" s="201"/>
      <c r="AP359" s="198"/>
      <c r="AQ359" s="200"/>
      <c r="AR359" s="199"/>
      <c r="AS359" s="198"/>
      <c r="AV359" s="164"/>
      <c r="BA359" s="202"/>
      <c r="BC359" s="203"/>
      <c r="BD359" s="194"/>
      <c r="BE359" s="194"/>
    </row>
    <row r="360">
      <c r="A360" s="6"/>
      <c r="B360" s="6"/>
      <c r="C360" s="196"/>
      <c r="E360" s="197"/>
      <c r="F360" s="196"/>
      <c r="G360" s="198"/>
      <c r="H360" s="198"/>
      <c r="I360" s="198"/>
      <c r="J360" s="198"/>
      <c r="K360" s="198"/>
      <c r="L360" s="198"/>
      <c r="M360" s="199"/>
      <c r="N360" s="199"/>
      <c r="O360" s="199"/>
      <c r="P360" s="200"/>
      <c r="Q360" s="201"/>
      <c r="R360" s="200"/>
      <c r="S360" s="200"/>
      <c r="T360" s="200"/>
      <c r="U360" s="200"/>
      <c r="V360" s="201"/>
      <c r="W360" s="201"/>
      <c r="X360" s="200"/>
      <c r="Y360" s="200"/>
      <c r="Z360" s="200"/>
      <c r="AA360" s="200"/>
      <c r="AB360" s="200"/>
      <c r="AC360" s="200"/>
      <c r="AD360" s="200"/>
      <c r="AE360" s="200"/>
      <c r="AF360" s="200"/>
      <c r="AG360" s="200"/>
      <c r="AH360" s="200"/>
      <c r="AI360" s="200"/>
      <c r="AJ360" s="200"/>
      <c r="AK360" s="200"/>
      <c r="AL360" s="200"/>
      <c r="AM360" s="200"/>
      <c r="AN360" s="198"/>
      <c r="AO360" s="201"/>
      <c r="AP360" s="198"/>
      <c r="AQ360" s="200"/>
      <c r="AR360" s="199"/>
      <c r="AS360" s="198"/>
      <c r="AV360" s="164"/>
      <c r="BA360" s="202"/>
      <c r="BC360" s="203"/>
      <c r="BD360" s="194"/>
      <c r="BE360" s="194"/>
    </row>
    <row r="361">
      <c r="A361" s="6"/>
      <c r="B361" s="6"/>
      <c r="C361" s="196"/>
      <c r="E361" s="197"/>
      <c r="F361" s="196"/>
      <c r="G361" s="198"/>
      <c r="H361" s="198"/>
      <c r="I361" s="198"/>
      <c r="J361" s="198"/>
      <c r="K361" s="198"/>
      <c r="L361" s="198"/>
      <c r="M361" s="199"/>
      <c r="N361" s="199"/>
      <c r="O361" s="199"/>
      <c r="P361" s="200"/>
      <c r="Q361" s="201"/>
      <c r="R361" s="200"/>
      <c r="S361" s="200"/>
      <c r="T361" s="200"/>
      <c r="U361" s="200"/>
      <c r="V361" s="201"/>
      <c r="W361" s="201"/>
      <c r="X361" s="200"/>
      <c r="Y361" s="200"/>
      <c r="Z361" s="200"/>
      <c r="AA361" s="200"/>
      <c r="AB361" s="200"/>
      <c r="AC361" s="200"/>
      <c r="AD361" s="200"/>
      <c r="AE361" s="200"/>
      <c r="AF361" s="200"/>
      <c r="AG361" s="200"/>
      <c r="AH361" s="200"/>
      <c r="AI361" s="200"/>
      <c r="AJ361" s="200"/>
      <c r="AK361" s="200"/>
      <c r="AL361" s="200"/>
      <c r="AM361" s="200"/>
      <c r="AN361" s="198"/>
      <c r="AO361" s="201"/>
      <c r="AP361" s="198"/>
      <c r="AQ361" s="200"/>
      <c r="AR361" s="199"/>
      <c r="AS361" s="198"/>
      <c r="AV361" s="164"/>
      <c r="BA361" s="202"/>
      <c r="BC361" s="203"/>
      <c r="BD361" s="194"/>
      <c r="BE361" s="194"/>
    </row>
    <row r="362">
      <c r="A362" s="6"/>
      <c r="B362" s="6"/>
      <c r="C362" s="196"/>
      <c r="E362" s="197"/>
      <c r="F362" s="196"/>
      <c r="G362" s="198"/>
      <c r="H362" s="198"/>
      <c r="I362" s="198"/>
      <c r="J362" s="198"/>
      <c r="K362" s="198"/>
      <c r="L362" s="198"/>
      <c r="M362" s="199"/>
      <c r="N362" s="199"/>
      <c r="O362" s="199"/>
      <c r="P362" s="200"/>
      <c r="Q362" s="201"/>
      <c r="R362" s="200"/>
      <c r="S362" s="200"/>
      <c r="T362" s="200"/>
      <c r="U362" s="200"/>
      <c r="V362" s="201"/>
      <c r="W362" s="201"/>
      <c r="X362" s="200"/>
      <c r="Y362" s="200"/>
      <c r="Z362" s="200"/>
      <c r="AA362" s="200"/>
      <c r="AB362" s="200"/>
      <c r="AC362" s="200"/>
      <c r="AD362" s="200"/>
      <c r="AE362" s="200"/>
      <c r="AF362" s="200"/>
      <c r="AG362" s="200"/>
      <c r="AH362" s="200"/>
      <c r="AI362" s="200"/>
      <c r="AJ362" s="200"/>
      <c r="AK362" s="200"/>
      <c r="AL362" s="200"/>
      <c r="AM362" s="200"/>
      <c r="AN362" s="198"/>
      <c r="AO362" s="201"/>
      <c r="AP362" s="198"/>
      <c r="AQ362" s="200"/>
      <c r="AR362" s="199"/>
      <c r="AS362" s="198"/>
      <c r="AV362" s="164"/>
      <c r="BA362" s="202"/>
      <c r="BC362" s="203"/>
      <c r="BD362" s="194"/>
      <c r="BE362" s="194"/>
    </row>
    <row r="363">
      <c r="A363" s="6"/>
      <c r="B363" s="6"/>
      <c r="C363" s="196"/>
      <c r="E363" s="197"/>
      <c r="F363" s="196"/>
      <c r="G363" s="198"/>
      <c r="H363" s="198"/>
      <c r="I363" s="198"/>
      <c r="J363" s="198"/>
      <c r="K363" s="198"/>
      <c r="L363" s="198"/>
      <c r="M363" s="199"/>
      <c r="N363" s="199"/>
      <c r="O363" s="199"/>
      <c r="P363" s="200"/>
      <c r="Q363" s="201"/>
      <c r="R363" s="200"/>
      <c r="S363" s="200"/>
      <c r="T363" s="200"/>
      <c r="U363" s="200"/>
      <c r="V363" s="201"/>
      <c r="W363" s="201"/>
      <c r="X363" s="200"/>
      <c r="Y363" s="200"/>
      <c r="Z363" s="200"/>
      <c r="AA363" s="200"/>
      <c r="AB363" s="200"/>
      <c r="AC363" s="200"/>
      <c r="AD363" s="200"/>
      <c r="AE363" s="200"/>
      <c r="AF363" s="200"/>
      <c r="AG363" s="200"/>
      <c r="AH363" s="200"/>
      <c r="AI363" s="200"/>
      <c r="AJ363" s="200"/>
      <c r="AK363" s="200"/>
      <c r="AL363" s="200"/>
      <c r="AM363" s="200"/>
      <c r="AN363" s="198"/>
      <c r="AO363" s="201"/>
      <c r="AP363" s="198"/>
      <c r="AQ363" s="200"/>
      <c r="AR363" s="199"/>
      <c r="AS363" s="198"/>
      <c r="AV363" s="164"/>
      <c r="BA363" s="202"/>
      <c r="BC363" s="203"/>
      <c r="BD363" s="194"/>
      <c r="BE363" s="194"/>
    </row>
    <row r="364">
      <c r="A364" s="6"/>
      <c r="B364" s="6"/>
      <c r="C364" s="196"/>
      <c r="E364" s="197"/>
      <c r="F364" s="196"/>
      <c r="G364" s="198"/>
      <c r="H364" s="198"/>
      <c r="I364" s="198"/>
      <c r="J364" s="198"/>
      <c r="K364" s="198"/>
      <c r="L364" s="198"/>
      <c r="M364" s="199"/>
      <c r="N364" s="199"/>
      <c r="O364" s="199"/>
      <c r="P364" s="200"/>
      <c r="Q364" s="201"/>
      <c r="R364" s="200"/>
      <c r="S364" s="200"/>
      <c r="T364" s="200"/>
      <c r="U364" s="200"/>
      <c r="V364" s="201"/>
      <c r="W364" s="201"/>
      <c r="X364" s="200"/>
      <c r="Y364" s="200"/>
      <c r="Z364" s="200"/>
      <c r="AA364" s="200"/>
      <c r="AB364" s="200"/>
      <c r="AC364" s="200"/>
      <c r="AD364" s="200"/>
      <c r="AE364" s="200"/>
      <c r="AF364" s="200"/>
      <c r="AG364" s="200"/>
      <c r="AH364" s="200"/>
      <c r="AI364" s="200"/>
      <c r="AJ364" s="200"/>
      <c r="AK364" s="200"/>
      <c r="AL364" s="200"/>
      <c r="AM364" s="200"/>
      <c r="AN364" s="198"/>
      <c r="AO364" s="201"/>
      <c r="AP364" s="198"/>
      <c r="AQ364" s="200"/>
      <c r="AR364" s="199"/>
      <c r="AS364" s="198"/>
      <c r="AV364" s="164"/>
      <c r="BA364" s="202"/>
      <c r="BC364" s="203"/>
      <c r="BD364" s="194"/>
      <c r="BE364" s="194"/>
    </row>
    <row r="365">
      <c r="A365" s="6"/>
      <c r="B365" s="6"/>
      <c r="C365" s="196"/>
      <c r="E365" s="197"/>
      <c r="F365" s="196"/>
      <c r="G365" s="198"/>
      <c r="H365" s="198"/>
      <c r="I365" s="198"/>
      <c r="J365" s="198"/>
      <c r="K365" s="198"/>
      <c r="L365" s="198"/>
      <c r="M365" s="199"/>
      <c r="N365" s="199"/>
      <c r="O365" s="199"/>
      <c r="P365" s="200"/>
      <c r="Q365" s="201"/>
      <c r="R365" s="200"/>
      <c r="S365" s="200"/>
      <c r="T365" s="200"/>
      <c r="U365" s="200"/>
      <c r="V365" s="201"/>
      <c r="W365" s="201"/>
      <c r="X365" s="200"/>
      <c r="Y365" s="200"/>
      <c r="Z365" s="200"/>
      <c r="AA365" s="200"/>
      <c r="AB365" s="200"/>
      <c r="AC365" s="200"/>
      <c r="AD365" s="200"/>
      <c r="AE365" s="200"/>
      <c r="AF365" s="200"/>
      <c r="AG365" s="200"/>
      <c r="AH365" s="200"/>
      <c r="AI365" s="200"/>
      <c r="AJ365" s="200"/>
      <c r="AK365" s="200"/>
      <c r="AL365" s="200"/>
      <c r="AM365" s="200"/>
      <c r="AN365" s="198"/>
      <c r="AO365" s="201"/>
      <c r="AP365" s="198"/>
      <c r="AQ365" s="200"/>
      <c r="AR365" s="199"/>
      <c r="AS365" s="198"/>
      <c r="AV365" s="164"/>
      <c r="BA365" s="202"/>
      <c r="BC365" s="203"/>
      <c r="BD365" s="194"/>
      <c r="BE365" s="194"/>
    </row>
    <row r="366">
      <c r="A366" s="6"/>
      <c r="B366" s="6"/>
      <c r="C366" s="196"/>
      <c r="E366" s="197"/>
      <c r="F366" s="196"/>
      <c r="G366" s="198"/>
      <c r="H366" s="198"/>
      <c r="I366" s="198"/>
      <c r="J366" s="198"/>
      <c r="K366" s="198"/>
      <c r="L366" s="198"/>
      <c r="M366" s="199"/>
      <c r="N366" s="199"/>
      <c r="O366" s="199"/>
      <c r="P366" s="200"/>
      <c r="Q366" s="201"/>
      <c r="R366" s="200"/>
      <c r="S366" s="200"/>
      <c r="T366" s="200"/>
      <c r="U366" s="200"/>
      <c r="V366" s="201"/>
      <c r="W366" s="201"/>
      <c r="X366" s="200"/>
      <c r="Y366" s="200"/>
      <c r="Z366" s="200"/>
      <c r="AA366" s="200"/>
      <c r="AB366" s="200"/>
      <c r="AC366" s="200"/>
      <c r="AD366" s="200"/>
      <c r="AE366" s="200"/>
      <c r="AF366" s="200"/>
      <c r="AG366" s="200"/>
      <c r="AH366" s="200"/>
      <c r="AI366" s="200"/>
      <c r="AJ366" s="200"/>
      <c r="AK366" s="200"/>
      <c r="AL366" s="200"/>
      <c r="AM366" s="200"/>
      <c r="AN366" s="198"/>
      <c r="AO366" s="201"/>
      <c r="AP366" s="198"/>
      <c r="AQ366" s="200"/>
      <c r="AR366" s="199"/>
      <c r="AS366" s="198"/>
      <c r="AV366" s="164"/>
      <c r="BA366" s="202"/>
      <c r="BC366" s="203"/>
      <c r="BD366" s="194"/>
      <c r="BE366" s="194"/>
    </row>
    <row r="367">
      <c r="A367" s="6"/>
      <c r="B367" s="6"/>
      <c r="C367" s="196"/>
      <c r="E367" s="197"/>
      <c r="F367" s="196"/>
      <c r="G367" s="198"/>
      <c r="H367" s="198"/>
      <c r="I367" s="198"/>
      <c r="J367" s="198"/>
      <c r="K367" s="198"/>
      <c r="L367" s="198"/>
      <c r="M367" s="199"/>
      <c r="N367" s="199"/>
      <c r="O367" s="199"/>
      <c r="P367" s="200"/>
      <c r="Q367" s="201"/>
      <c r="R367" s="200"/>
      <c r="S367" s="200"/>
      <c r="T367" s="200"/>
      <c r="U367" s="200"/>
      <c r="V367" s="201"/>
      <c r="W367" s="201"/>
      <c r="X367" s="200"/>
      <c r="Y367" s="200"/>
      <c r="Z367" s="200"/>
      <c r="AA367" s="200"/>
      <c r="AB367" s="200"/>
      <c r="AC367" s="200"/>
      <c r="AD367" s="200"/>
      <c r="AE367" s="200"/>
      <c r="AF367" s="200"/>
      <c r="AG367" s="200"/>
      <c r="AH367" s="200"/>
      <c r="AI367" s="200"/>
      <c r="AJ367" s="200"/>
      <c r="AK367" s="200"/>
      <c r="AL367" s="200"/>
      <c r="AM367" s="200"/>
      <c r="AN367" s="198"/>
      <c r="AO367" s="201"/>
      <c r="AP367" s="198"/>
      <c r="AQ367" s="200"/>
      <c r="AR367" s="199"/>
      <c r="AS367" s="198"/>
      <c r="AV367" s="164"/>
      <c r="BA367" s="202"/>
      <c r="BC367" s="203"/>
      <c r="BD367" s="194"/>
      <c r="BE367" s="194"/>
    </row>
    <row r="368">
      <c r="A368" s="6"/>
      <c r="B368" s="6"/>
      <c r="C368" s="196"/>
      <c r="E368" s="197"/>
      <c r="F368" s="196"/>
      <c r="G368" s="198"/>
      <c r="H368" s="198"/>
      <c r="I368" s="198"/>
      <c r="J368" s="198"/>
      <c r="K368" s="198"/>
      <c r="L368" s="198"/>
      <c r="M368" s="199"/>
      <c r="N368" s="199"/>
      <c r="O368" s="199"/>
      <c r="P368" s="200"/>
      <c r="Q368" s="201"/>
      <c r="R368" s="200"/>
      <c r="S368" s="200"/>
      <c r="T368" s="200"/>
      <c r="U368" s="200"/>
      <c r="V368" s="201"/>
      <c r="W368" s="201"/>
      <c r="X368" s="200"/>
      <c r="Y368" s="200"/>
      <c r="Z368" s="200"/>
      <c r="AA368" s="200"/>
      <c r="AB368" s="200"/>
      <c r="AC368" s="200"/>
      <c r="AD368" s="200"/>
      <c r="AE368" s="200"/>
      <c r="AF368" s="200"/>
      <c r="AG368" s="200"/>
      <c r="AH368" s="200"/>
      <c r="AI368" s="200"/>
      <c r="AJ368" s="200"/>
      <c r="AK368" s="200"/>
      <c r="AL368" s="200"/>
      <c r="AM368" s="200"/>
      <c r="AN368" s="198"/>
      <c r="AO368" s="201"/>
      <c r="AP368" s="198"/>
      <c r="AQ368" s="200"/>
      <c r="AR368" s="199"/>
      <c r="AS368" s="198"/>
      <c r="AV368" s="164"/>
      <c r="BA368" s="202"/>
      <c r="BC368" s="203"/>
      <c r="BD368" s="194"/>
      <c r="BE368" s="194"/>
    </row>
    <row r="369">
      <c r="A369" s="6"/>
      <c r="B369" s="6"/>
      <c r="C369" s="196"/>
      <c r="E369" s="197"/>
      <c r="F369" s="196"/>
      <c r="G369" s="198"/>
      <c r="H369" s="198"/>
      <c r="I369" s="198"/>
      <c r="J369" s="198"/>
      <c r="K369" s="198"/>
      <c r="L369" s="198"/>
      <c r="M369" s="199"/>
      <c r="N369" s="199"/>
      <c r="O369" s="199"/>
      <c r="P369" s="200"/>
      <c r="Q369" s="201"/>
      <c r="R369" s="200"/>
      <c r="S369" s="200"/>
      <c r="T369" s="200"/>
      <c r="U369" s="200"/>
      <c r="V369" s="201"/>
      <c r="W369" s="201"/>
      <c r="X369" s="200"/>
      <c r="Y369" s="200"/>
      <c r="Z369" s="200"/>
      <c r="AA369" s="200"/>
      <c r="AB369" s="200"/>
      <c r="AC369" s="200"/>
      <c r="AD369" s="200"/>
      <c r="AE369" s="200"/>
      <c r="AF369" s="200"/>
      <c r="AG369" s="200"/>
      <c r="AH369" s="200"/>
      <c r="AI369" s="200"/>
      <c r="AJ369" s="200"/>
      <c r="AK369" s="200"/>
      <c r="AL369" s="200"/>
      <c r="AM369" s="200"/>
      <c r="AN369" s="198"/>
      <c r="AO369" s="201"/>
      <c r="AP369" s="198"/>
      <c r="AQ369" s="200"/>
      <c r="AR369" s="199"/>
      <c r="AS369" s="198"/>
      <c r="AV369" s="164"/>
      <c r="BA369" s="202"/>
      <c r="BC369" s="203"/>
      <c r="BD369" s="194"/>
      <c r="BE369" s="194"/>
    </row>
    <row r="370">
      <c r="A370" s="6"/>
      <c r="B370" s="6"/>
      <c r="C370" s="196"/>
      <c r="E370" s="197"/>
      <c r="F370" s="196"/>
      <c r="G370" s="198"/>
      <c r="H370" s="198"/>
      <c r="I370" s="198"/>
      <c r="J370" s="198"/>
      <c r="K370" s="198"/>
      <c r="L370" s="198"/>
      <c r="M370" s="199"/>
      <c r="N370" s="199"/>
      <c r="O370" s="199"/>
      <c r="P370" s="200"/>
      <c r="Q370" s="201"/>
      <c r="R370" s="200"/>
      <c r="S370" s="200"/>
      <c r="T370" s="200"/>
      <c r="U370" s="200"/>
      <c r="V370" s="201"/>
      <c r="W370" s="201"/>
      <c r="X370" s="200"/>
      <c r="Y370" s="200"/>
      <c r="Z370" s="200"/>
      <c r="AA370" s="200"/>
      <c r="AB370" s="200"/>
      <c r="AC370" s="200"/>
      <c r="AD370" s="200"/>
      <c r="AE370" s="200"/>
      <c r="AF370" s="200"/>
      <c r="AG370" s="200"/>
      <c r="AH370" s="200"/>
      <c r="AI370" s="200"/>
      <c r="AJ370" s="200"/>
      <c r="AK370" s="200"/>
      <c r="AL370" s="200"/>
      <c r="AM370" s="200"/>
      <c r="AN370" s="198"/>
      <c r="AO370" s="201"/>
      <c r="AP370" s="198"/>
      <c r="AQ370" s="200"/>
      <c r="AR370" s="199"/>
      <c r="AS370" s="198"/>
      <c r="AV370" s="164"/>
      <c r="BA370" s="202"/>
      <c r="BC370" s="203"/>
      <c r="BD370" s="194"/>
      <c r="BE370" s="194"/>
    </row>
    <row r="371">
      <c r="A371" s="6"/>
      <c r="B371" s="6"/>
      <c r="C371" s="196"/>
      <c r="E371" s="197"/>
      <c r="F371" s="196"/>
      <c r="G371" s="198"/>
      <c r="H371" s="198"/>
      <c r="I371" s="198"/>
      <c r="J371" s="198"/>
      <c r="K371" s="198"/>
      <c r="L371" s="198"/>
      <c r="M371" s="199"/>
      <c r="N371" s="199"/>
      <c r="O371" s="199"/>
      <c r="P371" s="200"/>
      <c r="Q371" s="201"/>
      <c r="R371" s="200"/>
      <c r="S371" s="200"/>
      <c r="T371" s="200"/>
      <c r="U371" s="200"/>
      <c r="V371" s="201"/>
      <c r="W371" s="201"/>
      <c r="X371" s="200"/>
      <c r="Y371" s="200"/>
      <c r="Z371" s="200"/>
      <c r="AA371" s="200"/>
      <c r="AB371" s="200"/>
      <c r="AC371" s="200"/>
      <c r="AD371" s="200"/>
      <c r="AE371" s="200"/>
      <c r="AF371" s="200"/>
      <c r="AG371" s="200"/>
      <c r="AH371" s="200"/>
      <c r="AI371" s="200"/>
      <c r="AJ371" s="200"/>
      <c r="AK371" s="200"/>
      <c r="AL371" s="200"/>
      <c r="AM371" s="200"/>
      <c r="AN371" s="198"/>
      <c r="AO371" s="201"/>
      <c r="AP371" s="198"/>
      <c r="AQ371" s="200"/>
      <c r="AR371" s="199"/>
      <c r="AS371" s="198"/>
      <c r="AV371" s="164"/>
      <c r="BA371" s="202"/>
      <c r="BC371" s="203"/>
      <c r="BD371" s="194"/>
      <c r="BE371" s="194"/>
    </row>
    <row r="372">
      <c r="A372" s="6"/>
      <c r="B372" s="6"/>
      <c r="C372" s="196"/>
      <c r="E372" s="197"/>
      <c r="F372" s="196"/>
      <c r="G372" s="198"/>
      <c r="H372" s="198"/>
      <c r="I372" s="198"/>
      <c r="J372" s="198"/>
      <c r="K372" s="198"/>
      <c r="L372" s="198"/>
      <c r="M372" s="199"/>
      <c r="N372" s="199"/>
      <c r="O372" s="199"/>
      <c r="P372" s="200"/>
      <c r="Q372" s="201"/>
      <c r="R372" s="200"/>
      <c r="S372" s="200"/>
      <c r="T372" s="200"/>
      <c r="U372" s="200"/>
      <c r="V372" s="201"/>
      <c r="W372" s="201"/>
      <c r="X372" s="200"/>
      <c r="Y372" s="200"/>
      <c r="Z372" s="200"/>
      <c r="AA372" s="200"/>
      <c r="AB372" s="200"/>
      <c r="AC372" s="200"/>
      <c r="AD372" s="200"/>
      <c r="AE372" s="200"/>
      <c r="AF372" s="200"/>
      <c r="AG372" s="200"/>
      <c r="AH372" s="200"/>
      <c r="AI372" s="200"/>
      <c r="AJ372" s="200"/>
      <c r="AK372" s="200"/>
      <c r="AL372" s="200"/>
      <c r="AM372" s="200"/>
      <c r="AN372" s="198"/>
      <c r="AO372" s="201"/>
      <c r="AP372" s="198"/>
      <c r="AQ372" s="200"/>
      <c r="AR372" s="199"/>
      <c r="AS372" s="198"/>
      <c r="AV372" s="164"/>
      <c r="BA372" s="202"/>
      <c r="BC372" s="203"/>
      <c r="BD372" s="194"/>
      <c r="BE372" s="194"/>
    </row>
    <row r="373">
      <c r="A373" s="6"/>
      <c r="B373" s="6"/>
      <c r="C373" s="196"/>
      <c r="E373" s="197"/>
      <c r="F373" s="196"/>
      <c r="G373" s="198"/>
      <c r="H373" s="198"/>
      <c r="I373" s="198"/>
      <c r="J373" s="198"/>
      <c r="K373" s="198"/>
      <c r="L373" s="198"/>
      <c r="M373" s="199"/>
      <c r="N373" s="199"/>
      <c r="O373" s="199"/>
      <c r="P373" s="200"/>
      <c r="Q373" s="201"/>
      <c r="R373" s="200"/>
      <c r="S373" s="200"/>
      <c r="T373" s="200"/>
      <c r="U373" s="200"/>
      <c r="V373" s="201"/>
      <c r="W373" s="201"/>
      <c r="X373" s="200"/>
      <c r="Y373" s="200"/>
      <c r="Z373" s="200"/>
      <c r="AA373" s="200"/>
      <c r="AB373" s="200"/>
      <c r="AC373" s="200"/>
      <c r="AD373" s="200"/>
      <c r="AE373" s="200"/>
      <c r="AF373" s="200"/>
      <c r="AG373" s="200"/>
      <c r="AH373" s="200"/>
      <c r="AI373" s="200"/>
      <c r="AJ373" s="200"/>
      <c r="AK373" s="200"/>
      <c r="AL373" s="200"/>
      <c r="AM373" s="200"/>
      <c r="AN373" s="198"/>
      <c r="AO373" s="201"/>
      <c r="AP373" s="198"/>
      <c r="AQ373" s="200"/>
      <c r="AR373" s="199"/>
      <c r="AS373" s="198"/>
      <c r="AV373" s="164"/>
      <c r="BA373" s="202"/>
      <c r="BC373" s="203"/>
      <c r="BD373" s="194"/>
      <c r="BE373" s="194"/>
    </row>
    <row r="374">
      <c r="A374" s="6"/>
      <c r="B374" s="6"/>
      <c r="C374" s="196"/>
      <c r="E374" s="197"/>
      <c r="F374" s="196"/>
      <c r="G374" s="198"/>
      <c r="H374" s="198"/>
      <c r="I374" s="198"/>
      <c r="J374" s="198"/>
      <c r="K374" s="198"/>
      <c r="L374" s="198"/>
      <c r="M374" s="199"/>
      <c r="N374" s="199"/>
      <c r="O374" s="199"/>
      <c r="P374" s="200"/>
      <c r="Q374" s="201"/>
      <c r="R374" s="200"/>
      <c r="S374" s="200"/>
      <c r="T374" s="200"/>
      <c r="U374" s="200"/>
      <c r="V374" s="201"/>
      <c r="W374" s="201"/>
      <c r="X374" s="200"/>
      <c r="Y374" s="200"/>
      <c r="Z374" s="200"/>
      <c r="AA374" s="200"/>
      <c r="AB374" s="200"/>
      <c r="AC374" s="200"/>
      <c r="AD374" s="200"/>
      <c r="AE374" s="200"/>
      <c r="AF374" s="200"/>
      <c r="AG374" s="200"/>
      <c r="AH374" s="200"/>
      <c r="AI374" s="200"/>
      <c r="AJ374" s="200"/>
      <c r="AK374" s="200"/>
      <c r="AL374" s="200"/>
      <c r="AM374" s="200"/>
      <c r="AN374" s="198"/>
      <c r="AO374" s="201"/>
      <c r="AP374" s="198"/>
      <c r="AQ374" s="200"/>
      <c r="AR374" s="199"/>
      <c r="AS374" s="198"/>
      <c r="AV374" s="164"/>
      <c r="BA374" s="202"/>
      <c r="BC374" s="203"/>
      <c r="BD374" s="194"/>
      <c r="BE374" s="194"/>
    </row>
    <row r="375">
      <c r="A375" s="6"/>
      <c r="B375" s="6"/>
      <c r="C375" s="196"/>
      <c r="E375" s="197"/>
      <c r="F375" s="196"/>
      <c r="G375" s="198"/>
      <c r="H375" s="198"/>
      <c r="I375" s="198"/>
      <c r="J375" s="198"/>
      <c r="K375" s="198"/>
      <c r="L375" s="198"/>
      <c r="M375" s="199"/>
      <c r="N375" s="199"/>
      <c r="O375" s="199"/>
      <c r="P375" s="200"/>
      <c r="Q375" s="201"/>
      <c r="R375" s="200"/>
      <c r="S375" s="200"/>
      <c r="T375" s="200"/>
      <c r="U375" s="200"/>
      <c r="V375" s="201"/>
      <c r="W375" s="201"/>
      <c r="X375" s="200"/>
      <c r="Y375" s="200"/>
      <c r="Z375" s="200"/>
      <c r="AA375" s="200"/>
      <c r="AB375" s="200"/>
      <c r="AC375" s="200"/>
      <c r="AD375" s="200"/>
      <c r="AE375" s="200"/>
      <c r="AF375" s="200"/>
      <c r="AG375" s="200"/>
      <c r="AH375" s="200"/>
      <c r="AI375" s="200"/>
      <c r="AJ375" s="200"/>
      <c r="AK375" s="200"/>
      <c r="AL375" s="200"/>
      <c r="AM375" s="200"/>
      <c r="AN375" s="198"/>
      <c r="AO375" s="201"/>
      <c r="AP375" s="198"/>
      <c r="AQ375" s="200"/>
      <c r="AR375" s="199"/>
      <c r="AS375" s="198"/>
      <c r="AV375" s="164"/>
      <c r="BA375" s="202"/>
      <c r="BC375" s="203"/>
      <c r="BD375" s="194"/>
      <c r="BE375" s="194"/>
    </row>
    <row r="376">
      <c r="A376" s="6"/>
      <c r="B376" s="6"/>
      <c r="C376" s="196"/>
      <c r="E376" s="197"/>
      <c r="F376" s="196"/>
      <c r="G376" s="198"/>
      <c r="H376" s="198"/>
      <c r="I376" s="198"/>
      <c r="J376" s="198"/>
      <c r="K376" s="198"/>
      <c r="L376" s="198"/>
      <c r="M376" s="199"/>
      <c r="N376" s="199"/>
      <c r="O376" s="199"/>
      <c r="P376" s="200"/>
      <c r="Q376" s="201"/>
      <c r="R376" s="200"/>
      <c r="S376" s="200"/>
      <c r="T376" s="200"/>
      <c r="U376" s="200"/>
      <c r="V376" s="201"/>
      <c r="W376" s="201"/>
      <c r="X376" s="200"/>
      <c r="Y376" s="200"/>
      <c r="Z376" s="200"/>
      <c r="AA376" s="200"/>
      <c r="AB376" s="200"/>
      <c r="AC376" s="200"/>
      <c r="AD376" s="200"/>
      <c r="AE376" s="200"/>
      <c r="AF376" s="200"/>
      <c r="AG376" s="200"/>
      <c r="AH376" s="200"/>
      <c r="AI376" s="200"/>
      <c r="AJ376" s="200"/>
      <c r="AK376" s="200"/>
      <c r="AL376" s="200"/>
      <c r="AM376" s="200"/>
      <c r="AN376" s="198"/>
      <c r="AO376" s="201"/>
      <c r="AP376" s="198"/>
      <c r="AQ376" s="200"/>
      <c r="AR376" s="199"/>
      <c r="AS376" s="198"/>
      <c r="AV376" s="164"/>
      <c r="BA376" s="202"/>
      <c r="BC376" s="203"/>
      <c r="BD376" s="194"/>
      <c r="BE376" s="194"/>
    </row>
    <row r="377">
      <c r="A377" s="6"/>
      <c r="B377" s="6"/>
      <c r="C377" s="196"/>
      <c r="E377" s="197"/>
      <c r="F377" s="196"/>
      <c r="G377" s="198"/>
      <c r="H377" s="198"/>
      <c r="I377" s="198"/>
      <c r="J377" s="198"/>
      <c r="K377" s="198"/>
      <c r="L377" s="198"/>
      <c r="M377" s="199"/>
      <c r="N377" s="199"/>
      <c r="O377" s="199"/>
      <c r="P377" s="200"/>
      <c r="Q377" s="201"/>
      <c r="R377" s="200"/>
      <c r="S377" s="200"/>
      <c r="T377" s="200"/>
      <c r="U377" s="200"/>
      <c r="V377" s="201"/>
      <c r="W377" s="201"/>
      <c r="X377" s="200"/>
      <c r="Y377" s="200"/>
      <c r="Z377" s="200"/>
      <c r="AA377" s="200"/>
      <c r="AB377" s="200"/>
      <c r="AC377" s="200"/>
      <c r="AD377" s="200"/>
      <c r="AE377" s="200"/>
      <c r="AF377" s="200"/>
      <c r="AG377" s="200"/>
      <c r="AH377" s="200"/>
      <c r="AI377" s="200"/>
      <c r="AJ377" s="200"/>
      <c r="AK377" s="200"/>
      <c r="AL377" s="200"/>
      <c r="AM377" s="200"/>
      <c r="AN377" s="198"/>
      <c r="AO377" s="201"/>
      <c r="AP377" s="198"/>
      <c r="AQ377" s="200"/>
      <c r="AR377" s="199"/>
      <c r="AS377" s="198"/>
      <c r="AV377" s="164"/>
      <c r="BA377" s="202"/>
      <c r="BC377" s="203"/>
      <c r="BD377" s="194"/>
      <c r="BE377" s="194"/>
    </row>
    <row r="378">
      <c r="A378" s="6"/>
      <c r="B378" s="6"/>
      <c r="C378" s="196"/>
      <c r="E378" s="197"/>
      <c r="F378" s="196"/>
      <c r="G378" s="198"/>
      <c r="H378" s="198"/>
      <c r="I378" s="198"/>
      <c r="J378" s="198"/>
      <c r="K378" s="198"/>
      <c r="L378" s="198"/>
      <c r="M378" s="199"/>
      <c r="N378" s="199"/>
      <c r="O378" s="199"/>
      <c r="P378" s="200"/>
      <c r="Q378" s="201"/>
      <c r="R378" s="200"/>
      <c r="S378" s="200"/>
      <c r="T378" s="200"/>
      <c r="U378" s="200"/>
      <c r="V378" s="201"/>
      <c r="W378" s="201"/>
      <c r="X378" s="200"/>
      <c r="Y378" s="200"/>
      <c r="Z378" s="200"/>
      <c r="AA378" s="200"/>
      <c r="AB378" s="200"/>
      <c r="AC378" s="200"/>
      <c r="AD378" s="200"/>
      <c r="AE378" s="200"/>
      <c r="AF378" s="200"/>
      <c r="AG378" s="200"/>
      <c r="AH378" s="200"/>
      <c r="AI378" s="200"/>
      <c r="AJ378" s="200"/>
      <c r="AK378" s="200"/>
      <c r="AL378" s="200"/>
      <c r="AM378" s="200"/>
      <c r="AN378" s="198"/>
      <c r="AO378" s="201"/>
      <c r="AP378" s="198"/>
      <c r="AQ378" s="200"/>
      <c r="AR378" s="199"/>
      <c r="AS378" s="198"/>
      <c r="AV378" s="164"/>
      <c r="BA378" s="202"/>
      <c r="BC378" s="203"/>
      <c r="BD378" s="194"/>
      <c r="BE378" s="194"/>
    </row>
    <row r="379">
      <c r="A379" s="6"/>
      <c r="B379" s="6"/>
      <c r="C379" s="196"/>
      <c r="E379" s="197"/>
      <c r="F379" s="196"/>
      <c r="G379" s="198"/>
      <c r="H379" s="198"/>
      <c r="I379" s="198"/>
      <c r="J379" s="198"/>
      <c r="K379" s="198"/>
      <c r="L379" s="198"/>
      <c r="M379" s="199"/>
      <c r="N379" s="199"/>
      <c r="O379" s="199"/>
      <c r="P379" s="200"/>
      <c r="Q379" s="201"/>
      <c r="R379" s="200"/>
      <c r="S379" s="200"/>
      <c r="T379" s="200"/>
      <c r="U379" s="200"/>
      <c r="V379" s="201"/>
      <c r="W379" s="201"/>
      <c r="X379" s="200"/>
      <c r="Y379" s="200"/>
      <c r="Z379" s="200"/>
      <c r="AA379" s="200"/>
      <c r="AB379" s="200"/>
      <c r="AC379" s="200"/>
      <c r="AD379" s="200"/>
      <c r="AE379" s="200"/>
      <c r="AF379" s="200"/>
      <c r="AG379" s="200"/>
      <c r="AH379" s="200"/>
      <c r="AI379" s="200"/>
      <c r="AJ379" s="200"/>
      <c r="AK379" s="200"/>
      <c r="AL379" s="200"/>
      <c r="AM379" s="200"/>
      <c r="AN379" s="198"/>
      <c r="AO379" s="201"/>
      <c r="AP379" s="198"/>
      <c r="AQ379" s="200"/>
      <c r="AR379" s="199"/>
      <c r="AS379" s="198"/>
      <c r="AV379" s="164"/>
      <c r="BA379" s="202"/>
      <c r="BC379" s="203"/>
      <c r="BD379" s="194"/>
      <c r="BE379" s="194"/>
    </row>
    <row r="380">
      <c r="A380" s="6"/>
      <c r="B380" s="6"/>
      <c r="C380" s="196"/>
      <c r="E380" s="197"/>
      <c r="F380" s="196"/>
      <c r="G380" s="198"/>
      <c r="H380" s="198"/>
      <c r="I380" s="198"/>
      <c r="J380" s="198"/>
      <c r="K380" s="198"/>
      <c r="L380" s="198"/>
      <c r="M380" s="199"/>
      <c r="N380" s="199"/>
      <c r="O380" s="199"/>
      <c r="P380" s="200"/>
      <c r="Q380" s="201"/>
      <c r="R380" s="200"/>
      <c r="S380" s="200"/>
      <c r="T380" s="200"/>
      <c r="U380" s="200"/>
      <c r="V380" s="201"/>
      <c r="W380" s="201"/>
      <c r="X380" s="200"/>
      <c r="Y380" s="200"/>
      <c r="Z380" s="200"/>
      <c r="AA380" s="200"/>
      <c r="AB380" s="200"/>
      <c r="AC380" s="200"/>
      <c r="AD380" s="200"/>
      <c r="AE380" s="200"/>
      <c r="AF380" s="200"/>
      <c r="AG380" s="200"/>
      <c r="AH380" s="200"/>
      <c r="AI380" s="200"/>
      <c r="AJ380" s="200"/>
      <c r="AK380" s="200"/>
      <c r="AL380" s="200"/>
      <c r="AM380" s="200"/>
      <c r="AN380" s="198"/>
      <c r="AO380" s="201"/>
      <c r="AP380" s="198"/>
      <c r="AQ380" s="200"/>
      <c r="AR380" s="199"/>
      <c r="AS380" s="198"/>
      <c r="AV380" s="164"/>
      <c r="BA380" s="202"/>
      <c r="BC380" s="203"/>
      <c r="BD380" s="194"/>
      <c r="BE380" s="194"/>
    </row>
    <row r="381">
      <c r="A381" s="6"/>
      <c r="B381" s="6"/>
      <c r="C381" s="196"/>
      <c r="E381" s="197"/>
      <c r="F381" s="196"/>
      <c r="G381" s="198"/>
      <c r="H381" s="198"/>
      <c r="I381" s="198"/>
      <c r="J381" s="198"/>
      <c r="K381" s="198"/>
      <c r="L381" s="198"/>
      <c r="M381" s="199"/>
      <c r="N381" s="199"/>
      <c r="O381" s="199"/>
      <c r="P381" s="200"/>
      <c r="Q381" s="201"/>
      <c r="R381" s="200"/>
      <c r="S381" s="200"/>
      <c r="T381" s="200"/>
      <c r="U381" s="200"/>
      <c r="V381" s="201"/>
      <c r="W381" s="201"/>
      <c r="X381" s="200"/>
      <c r="Y381" s="200"/>
      <c r="Z381" s="200"/>
      <c r="AA381" s="200"/>
      <c r="AB381" s="200"/>
      <c r="AC381" s="200"/>
      <c r="AD381" s="200"/>
      <c r="AE381" s="200"/>
      <c r="AF381" s="200"/>
      <c r="AG381" s="200"/>
      <c r="AH381" s="200"/>
      <c r="AI381" s="200"/>
      <c r="AJ381" s="200"/>
      <c r="AK381" s="200"/>
      <c r="AL381" s="200"/>
      <c r="AM381" s="200"/>
      <c r="AN381" s="198"/>
      <c r="AO381" s="201"/>
      <c r="AP381" s="198"/>
      <c r="AQ381" s="200"/>
      <c r="AR381" s="199"/>
      <c r="AS381" s="198"/>
      <c r="AV381" s="164"/>
      <c r="BA381" s="202"/>
      <c r="BC381" s="203"/>
      <c r="BD381" s="194"/>
      <c r="BE381" s="194"/>
    </row>
    <row r="382">
      <c r="A382" s="6"/>
      <c r="B382" s="6"/>
      <c r="C382" s="196"/>
      <c r="E382" s="197"/>
      <c r="F382" s="196"/>
      <c r="G382" s="198"/>
      <c r="H382" s="198"/>
      <c r="I382" s="198"/>
      <c r="J382" s="198"/>
      <c r="K382" s="198"/>
      <c r="L382" s="198"/>
      <c r="M382" s="199"/>
      <c r="N382" s="199"/>
      <c r="O382" s="199"/>
      <c r="P382" s="200"/>
      <c r="Q382" s="201"/>
      <c r="R382" s="200"/>
      <c r="S382" s="200"/>
      <c r="T382" s="200"/>
      <c r="U382" s="200"/>
      <c r="V382" s="201"/>
      <c r="W382" s="201"/>
      <c r="X382" s="200"/>
      <c r="Y382" s="200"/>
      <c r="Z382" s="200"/>
      <c r="AA382" s="200"/>
      <c r="AB382" s="200"/>
      <c r="AC382" s="200"/>
      <c r="AD382" s="200"/>
      <c r="AE382" s="200"/>
      <c r="AF382" s="200"/>
      <c r="AG382" s="200"/>
      <c r="AH382" s="200"/>
      <c r="AI382" s="200"/>
      <c r="AJ382" s="200"/>
      <c r="AK382" s="200"/>
      <c r="AL382" s="200"/>
      <c r="AM382" s="200"/>
      <c r="AN382" s="198"/>
      <c r="AO382" s="201"/>
      <c r="AP382" s="198"/>
      <c r="AQ382" s="200"/>
      <c r="AR382" s="199"/>
      <c r="AS382" s="198"/>
      <c r="AV382" s="164"/>
      <c r="BA382" s="202"/>
      <c r="BC382" s="203"/>
      <c r="BD382" s="194"/>
      <c r="BE382" s="194"/>
    </row>
    <row r="383">
      <c r="A383" s="6"/>
      <c r="B383" s="6"/>
      <c r="C383" s="196"/>
      <c r="E383" s="197"/>
      <c r="F383" s="196"/>
      <c r="G383" s="198"/>
      <c r="H383" s="198"/>
      <c r="I383" s="198"/>
      <c r="J383" s="198"/>
      <c r="K383" s="198"/>
      <c r="L383" s="198"/>
      <c r="M383" s="199"/>
      <c r="N383" s="199"/>
      <c r="O383" s="199"/>
      <c r="P383" s="200"/>
      <c r="Q383" s="201"/>
      <c r="R383" s="200"/>
      <c r="S383" s="200"/>
      <c r="T383" s="200"/>
      <c r="U383" s="200"/>
      <c r="V383" s="201"/>
      <c r="W383" s="201"/>
      <c r="X383" s="200"/>
      <c r="Y383" s="200"/>
      <c r="Z383" s="200"/>
      <c r="AA383" s="200"/>
      <c r="AB383" s="200"/>
      <c r="AC383" s="200"/>
      <c r="AD383" s="200"/>
      <c r="AE383" s="200"/>
      <c r="AF383" s="200"/>
      <c r="AG383" s="200"/>
      <c r="AH383" s="200"/>
      <c r="AI383" s="200"/>
      <c r="AJ383" s="200"/>
      <c r="AK383" s="200"/>
      <c r="AL383" s="200"/>
      <c r="AM383" s="200"/>
      <c r="AN383" s="198"/>
      <c r="AO383" s="201"/>
      <c r="AP383" s="198"/>
      <c r="AQ383" s="200"/>
      <c r="AR383" s="199"/>
      <c r="AS383" s="198"/>
      <c r="AV383" s="164"/>
      <c r="BA383" s="202"/>
      <c r="BC383" s="203"/>
      <c r="BD383" s="194"/>
      <c r="BE383" s="194"/>
    </row>
    <row r="384">
      <c r="A384" s="6"/>
      <c r="B384" s="6"/>
      <c r="C384" s="196"/>
      <c r="E384" s="197"/>
      <c r="F384" s="196"/>
      <c r="G384" s="198"/>
      <c r="H384" s="198"/>
      <c r="I384" s="198"/>
      <c r="J384" s="198"/>
      <c r="K384" s="198"/>
      <c r="L384" s="198"/>
      <c r="M384" s="199"/>
      <c r="N384" s="199"/>
      <c r="O384" s="199"/>
      <c r="P384" s="200"/>
      <c r="Q384" s="201"/>
      <c r="R384" s="200"/>
      <c r="S384" s="200"/>
      <c r="T384" s="200"/>
      <c r="U384" s="200"/>
      <c r="V384" s="201"/>
      <c r="W384" s="201"/>
      <c r="X384" s="200"/>
      <c r="Y384" s="200"/>
      <c r="Z384" s="200"/>
      <c r="AA384" s="200"/>
      <c r="AB384" s="200"/>
      <c r="AC384" s="200"/>
      <c r="AD384" s="200"/>
      <c r="AE384" s="200"/>
      <c r="AF384" s="200"/>
      <c r="AG384" s="200"/>
      <c r="AH384" s="200"/>
      <c r="AI384" s="200"/>
      <c r="AJ384" s="200"/>
      <c r="AK384" s="200"/>
      <c r="AL384" s="200"/>
      <c r="AM384" s="200"/>
      <c r="AN384" s="198"/>
      <c r="AO384" s="201"/>
      <c r="AP384" s="198"/>
      <c r="AQ384" s="200"/>
      <c r="AR384" s="199"/>
      <c r="AS384" s="198"/>
      <c r="AV384" s="164"/>
      <c r="BA384" s="202"/>
      <c r="BC384" s="203"/>
      <c r="BD384" s="194"/>
      <c r="BE384" s="194"/>
    </row>
    <row r="385">
      <c r="A385" s="6"/>
      <c r="B385" s="6"/>
      <c r="C385" s="196"/>
      <c r="E385" s="197"/>
      <c r="F385" s="196"/>
      <c r="G385" s="198"/>
      <c r="H385" s="198"/>
      <c r="I385" s="198"/>
      <c r="J385" s="198"/>
      <c r="K385" s="198"/>
      <c r="L385" s="198"/>
      <c r="M385" s="199"/>
      <c r="N385" s="199"/>
      <c r="O385" s="199"/>
      <c r="P385" s="200"/>
      <c r="Q385" s="201"/>
      <c r="R385" s="200"/>
      <c r="S385" s="200"/>
      <c r="T385" s="200"/>
      <c r="U385" s="200"/>
      <c r="V385" s="201"/>
      <c r="W385" s="201"/>
      <c r="X385" s="200"/>
      <c r="Y385" s="200"/>
      <c r="Z385" s="200"/>
      <c r="AA385" s="200"/>
      <c r="AB385" s="200"/>
      <c r="AC385" s="200"/>
      <c r="AD385" s="200"/>
      <c r="AE385" s="200"/>
      <c r="AF385" s="200"/>
      <c r="AG385" s="200"/>
      <c r="AH385" s="200"/>
      <c r="AI385" s="200"/>
      <c r="AJ385" s="200"/>
      <c r="AK385" s="200"/>
      <c r="AL385" s="200"/>
      <c r="AM385" s="200"/>
      <c r="AN385" s="198"/>
      <c r="AO385" s="201"/>
      <c r="AP385" s="198"/>
      <c r="AQ385" s="200"/>
      <c r="AR385" s="199"/>
      <c r="AS385" s="198"/>
      <c r="AV385" s="164"/>
      <c r="BA385" s="202"/>
      <c r="BC385" s="203"/>
      <c r="BD385" s="194"/>
      <c r="BE385" s="194"/>
    </row>
    <row r="386">
      <c r="A386" s="6"/>
      <c r="B386" s="6"/>
      <c r="C386" s="196"/>
      <c r="E386" s="197"/>
      <c r="F386" s="196"/>
      <c r="G386" s="198"/>
      <c r="H386" s="198"/>
      <c r="I386" s="198"/>
      <c r="J386" s="198"/>
      <c r="K386" s="198"/>
      <c r="L386" s="198"/>
      <c r="M386" s="199"/>
      <c r="N386" s="199"/>
      <c r="O386" s="199"/>
      <c r="P386" s="200"/>
      <c r="Q386" s="201"/>
      <c r="R386" s="200"/>
      <c r="S386" s="200"/>
      <c r="T386" s="200"/>
      <c r="U386" s="200"/>
      <c r="V386" s="201"/>
      <c r="W386" s="201"/>
      <c r="X386" s="200"/>
      <c r="Y386" s="200"/>
      <c r="Z386" s="200"/>
      <c r="AA386" s="200"/>
      <c r="AB386" s="200"/>
      <c r="AC386" s="200"/>
      <c r="AD386" s="200"/>
      <c r="AE386" s="200"/>
      <c r="AF386" s="200"/>
      <c r="AG386" s="200"/>
      <c r="AH386" s="200"/>
      <c r="AI386" s="200"/>
      <c r="AJ386" s="200"/>
      <c r="AK386" s="200"/>
      <c r="AL386" s="200"/>
      <c r="AM386" s="200"/>
      <c r="AN386" s="198"/>
      <c r="AO386" s="201"/>
      <c r="AP386" s="198"/>
      <c r="AQ386" s="200"/>
      <c r="AR386" s="199"/>
      <c r="AS386" s="198"/>
      <c r="AV386" s="164"/>
      <c r="BA386" s="202"/>
      <c r="BC386" s="203"/>
      <c r="BD386" s="194"/>
      <c r="BE386" s="194"/>
    </row>
    <row r="387">
      <c r="A387" s="6"/>
      <c r="B387" s="6"/>
      <c r="C387" s="196"/>
      <c r="E387" s="197"/>
      <c r="F387" s="196"/>
      <c r="G387" s="198"/>
      <c r="H387" s="198"/>
      <c r="I387" s="198"/>
      <c r="J387" s="198"/>
      <c r="K387" s="198"/>
      <c r="L387" s="198"/>
      <c r="M387" s="199"/>
      <c r="N387" s="199"/>
      <c r="O387" s="199"/>
      <c r="P387" s="200"/>
      <c r="Q387" s="201"/>
      <c r="R387" s="200"/>
      <c r="S387" s="200"/>
      <c r="T387" s="200"/>
      <c r="U387" s="200"/>
      <c r="V387" s="201"/>
      <c r="W387" s="201"/>
      <c r="X387" s="200"/>
      <c r="Y387" s="200"/>
      <c r="Z387" s="200"/>
      <c r="AA387" s="200"/>
      <c r="AB387" s="200"/>
      <c r="AC387" s="200"/>
      <c r="AD387" s="200"/>
      <c r="AE387" s="200"/>
      <c r="AF387" s="200"/>
      <c r="AG387" s="200"/>
      <c r="AH387" s="200"/>
      <c r="AI387" s="200"/>
      <c r="AJ387" s="200"/>
      <c r="AK387" s="200"/>
      <c r="AL387" s="200"/>
      <c r="AM387" s="200"/>
      <c r="AN387" s="198"/>
      <c r="AO387" s="201"/>
      <c r="AP387" s="198"/>
      <c r="AQ387" s="200"/>
      <c r="AR387" s="199"/>
      <c r="AS387" s="198"/>
      <c r="AV387" s="164"/>
      <c r="BA387" s="202"/>
      <c r="BC387" s="203"/>
      <c r="BD387" s="194"/>
      <c r="BE387" s="194"/>
    </row>
    <row r="388">
      <c r="A388" s="6"/>
      <c r="B388" s="6"/>
      <c r="C388" s="196"/>
      <c r="E388" s="197"/>
      <c r="F388" s="196"/>
      <c r="G388" s="198"/>
      <c r="H388" s="198"/>
      <c r="I388" s="198"/>
      <c r="J388" s="198"/>
      <c r="K388" s="198"/>
      <c r="L388" s="198"/>
      <c r="M388" s="199"/>
      <c r="N388" s="199"/>
      <c r="O388" s="199"/>
      <c r="P388" s="200"/>
      <c r="Q388" s="201"/>
      <c r="R388" s="200"/>
      <c r="S388" s="200"/>
      <c r="T388" s="200"/>
      <c r="U388" s="200"/>
      <c r="V388" s="201"/>
      <c r="W388" s="201"/>
      <c r="X388" s="200"/>
      <c r="Y388" s="200"/>
      <c r="Z388" s="200"/>
      <c r="AA388" s="200"/>
      <c r="AB388" s="200"/>
      <c r="AC388" s="200"/>
      <c r="AD388" s="200"/>
      <c r="AE388" s="200"/>
      <c r="AF388" s="200"/>
      <c r="AG388" s="200"/>
      <c r="AH388" s="200"/>
      <c r="AI388" s="200"/>
      <c r="AJ388" s="200"/>
      <c r="AK388" s="200"/>
      <c r="AL388" s="200"/>
      <c r="AM388" s="200"/>
      <c r="AN388" s="198"/>
      <c r="AO388" s="201"/>
      <c r="AP388" s="198"/>
      <c r="AQ388" s="200"/>
      <c r="AR388" s="199"/>
      <c r="AS388" s="198"/>
      <c r="AV388" s="164"/>
      <c r="BA388" s="202"/>
      <c r="BC388" s="203"/>
      <c r="BD388" s="194"/>
      <c r="BE388" s="194"/>
    </row>
    <row r="389">
      <c r="A389" s="6"/>
      <c r="B389" s="6"/>
      <c r="C389" s="196"/>
      <c r="E389" s="197"/>
      <c r="F389" s="196"/>
      <c r="G389" s="198"/>
      <c r="H389" s="198"/>
      <c r="I389" s="198"/>
      <c r="J389" s="198"/>
      <c r="K389" s="198"/>
      <c r="L389" s="198"/>
      <c r="M389" s="199"/>
      <c r="N389" s="199"/>
      <c r="O389" s="199"/>
      <c r="P389" s="200"/>
      <c r="Q389" s="201"/>
      <c r="R389" s="200"/>
      <c r="S389" s="200"/>
      <c r="T389" s="200"/>
      <c r="U389" s="200"/>
      <c r="V389" s="201"/>
      <c r="W389" s="201"/>
      <c r="X389" s="200"/>
      <c r="Y389" s="200"/>
      <c r="Z389" s="200"/>
      <c r="AA389" s="200"/>
      <c r="AB389" s="200"/>
      <c r="AC389" s="200"/>
      <c r="AD389" s="200"/>
      <c r="AE389" s="200"/>
      <c r="AF389" s="200"/>
      <c r="AG389" s="200"/>
      <c r="AH389" s="200"/>
      <c r="AI389" s="200"/>
      <c r="AJ389" s="200"/>
      <c r="AK389" s="200"/>
      <c r="AL389" s="200"/>
      <c r="AM389" s="200"/>
      <c r="AN389" s="198"/>
      <c r="AO389" s="201"/>
      <c r="AP389" s="198"/>
      <c r="AQ389" s="200"/>
      <c r="AR389" s="199"/>
      <c r="AS389" s="198"/>
      <c r="AV389" s="164"/>
      <c r="BA389" s="202"/>
      <c r="BC389" s="203"/>
      <c r="BD389" s="194"/>
      <c r="BE389" s="194"/>
    </row>
    <row r="390">
      <c r="A390" s="6"/>
      <c r="B390" s="6"/>
      <c r="C390" s="196"/>
      <c r="E390" s="197"/>
      <c r="F390" s="196"/>
      <c r="G390" s="198"/>
      <c r="H390" s="198"/>
      <c r="I390" s="198"/>
      <c r="J390" s="198"/>
      <c r="K390" s="198"/>
      <c r="L390" s="198"/>
      <c r="M390" s="199"/>
      <c r="N390" s="199"/>
      <c r="O390" s="199"/>
      <c r="P390" s="200"/>
      <c r="Q390" s="201"/>
      <c r="R390" s="200"/>
      <c r="S390" s="200"/>
      <c r="T390" s="200"/>
      <c r="U390" s="200"/>
      <c r="V390" s="201"/>
      <c r="W390" s="201"/>
      <c r="X390" s="200"/>
      <c r="Y390" s="200"/>
      <c r="Z390" s="200"/>
      <c r="AA390" s="200"/>
      <c r="AB390" s="200"/>
      <c r="AC390" s="200"/>
      <c r="AD390" s="200"/>
      <c r="AE390" s="200"/>
      <c r="AF390" s="200"/>
      <c r="AG390" s="200"/>
      <c r="AH390" s="200"/>
      <c r="AI390" s="200"/>
      <c r="AJ390" s="200"/>
      <c r="AK390" s="200"/>
      <c r="AL390" s="200"/>
      <c r="AM390" s="200"/>
      <c r="AN390" s="198"/>
      <c r="AO390" s="201"/>
      <c r="AP390" s="198"/>
      <c r="AQ390" s="200"/>
      <c r="AR390" s="199"/>
      <c r="AS390" s="198"/>
      <c r="AV390" s="164"/>
      <c r="BA390" s="202"/>
      <c r="BC390" s="203"/>
      <c r="BD390" s="194"/>
      <c r="BE390" s="194"/>
    </row>
    <row r="391">
      <c r="A391" s="6"/>
      <c r="B391" s="6"/>
      <c r="C391" s="196"/>
      <c r="E391" s="197"/>
      <c r="F391" s="196"/>
      <c r="G391" s="198"/>
      <c r="H391" s="198"/>
      <c r="I391" s="198"/>
      <c r="J391" s="198"/>
      <c r="K391" s="198"/>
      <c r="L391" s="198"/>
      <c r="M391" s="199"/>
      <c r="N391" s="199"/>
      <c r="O391" s="199"/>
      <c r="P391" s="200"/>
      <c r="Q391" s="201"/>
      <c r="R391" s="200"/>
      <c r="S391" s="200"/>
      <c r="T391" s="200"/>
      <c r="U391" s="200"/>
      <c r="V391" s="201"/>
      <c r="W391" s="201"/>
      <c r="X391" s="200"/>
      <c r="Y391" s="200"/>
      <c r="Z391" s="200"/>
      <c r="AA391" s="200"/>
      <c r="AB391" s="200"/>
      <c r="AC391" s="200"/>
      <c r="AD391" s="200"/>
      <c r="AE391" s="200"/>
      <c r="AF391" s="200"/>
      <c r="AG391" s="200"/>
      <c r="AH391" s="200"/>
      <c r="AI391" s="200"/>
      <c r="AJ391" s="200"/>
      <c r="AK391" s="200"/>
      <c r="AL391" s="200"/>
      <c r="AM391" s="200"/>
      <c r="AN391" s="198"/>
      <c r="AO391" s="201"/>
      <c r="AP391" s="198"/>
      <c r="AQ391" s="200"/>
      <c r="AR391" s="199"/>
      <c r="AS391" s="198"/>
      <c r="AV391" s="164"/>
      <c r="BA391" s="202"/>
      <c r="BC391" s="203"/>
      <c r="BD391" s="194"/>
      <c r="BE391" s="194"/>
    </row>
    <row r="392">
      <c r="A392" s="6"/>
      <c r="B392" s="6"/>
      <c r="C392" s="196"/>
      <c r="E392" s="197"/>
      <c r="F392" s="196"/>
      <c r="G392" s="198"/>
      <c r="H392" s="198"/>
      <c r="I392" s="198"/>
      <c r="J392" s="198"/>
      <c r="K392" s="198"/>
      <c r="L392" s="198"/>
      <c r="M392" s="199"/>
      <c r="N392" s="199"/>
      <c r="O392" s="199"/>
      <c r="P392" s="200"/>
      <c r="Q392" s="201"/>
      <c r="R392" s="200"/>
      <c r="S392" s="200"/>
      <c r="T392" s="200"/>
      <c r="U392" s="200"/>
      <c r="V392" s="201"/>
      <c r="W392" s="201"/>
      <c r="X392" s="200"/>
      <c r="Y392" s="200"/>
      <c r="Z392" s="200"/>
      <c r="AA392" s="200"/>
      <c r="AB392" s="200"/>
      <c r="AC392" s="200"/>
      <c r="AD392" s="200"/>
      <c r="AE392" s="200"/>
      <c r="AF392" s="200"/>
      <c r="AG392" s="200"/>
      <c r="AH392" s="200"/>
      <c r="AI392" s="200"/>
      <c r="AJ392" s="200"/>
      <c r="AK392" s="200"/>
      <c r="AL392" s="200"/>
      <c r="AM392" s="200"/>
      <c r="AN392" s="198"/>
      <c r="AO392" s="201"/>
      <c r="AP392" s="198"/>
      <c r="AQ392" s="200"/>
      <c r="AR392" s="199"/>
      <c r="AS392" s="198"/>
      <c r="AV392" s="164"/>
      <c r="BA392" s="202"/>
      <c r="BC392" s="203"/>
      <c r="BD392" s="194"/>
      <c r="BE392" s="194"/>
    </row>
    <row r="393">
      <c r="A393" s="6"/>
      <c r="B393" s="6"/>
      <c r="C393" s="196"/>
      <c r="E393" s="197"/>
      <c r="F393" s="196"/>
      <c r="G393" s="198"/>
      <c r="H393" s="198"/>
      <c r="I393" s="198"/>
      <c r="J393" s="198"/>
      <c r="K393" s="198"/>
      <c r="L393" s="198"/>
      <c r="M393" s="199"/>
      <c r="N393" s="199"/>
      <c r="O393" s="199"/>
      <c r="P393" s="200"/>
      <c r="Q393" s="201"/>
      <c r="R393" s="200"/>
      <c r="S393" s="200"/>
      <c r="T393" s="200"/>
      <c r="U393" s="200"/>
      <c r="V393" s="201"/>
      <c r="W393" s="201"/>
      <c r="X393" s="200"/>
      <c r="Y393" s="200"/>
      <c r="Z393" s="200"/>
      <c r="AA393" s="200"/>
      <c r="AB393" s="200"/>
      <c r="AC393" s="200"/>
      <c r="AD393" s="200"/>
      <c r="AE393" s="200"/>
      <c r="AF393" s="200"/>
      <c r="AG393" s="200"/>
      <c r="AH393" s="200"/>
      <c r="AI393" s="200"/>
      <c r="AJ393" s="200"/>
      <c r="AK393" s="200"/>
      <c r="AL393" s="200"/>
      <c r="AM393" s="200"/>
      <c r="AN393" s="198"/>
      <c r="AO393" s="201"/>
      <c r="AP393" s="198"/>
      <c r="AQ393" s="200"/>
      <c r="AR393" s="199"/>
      <c r="AS393" s="198"/>
      <c r="AV393" s="164"/>
      <c r="BA393" s="202"/>
      <c r="BC393" s="203"/>
      <c r="BD393" s="194"/>
      <c r="BE393" s="194"/>
    </row>
    <row r="394">
      <c r="A394" s="6"/>
      <c r="B394" s="6"/>
      <c r="C394" s="196"/>
      <c r="E394" s="197"/>
      <c r="F394" s="196"/>
      <c r="G394" s="198"/>
      <c r="H394" s="198"/>
      <c r="I394" s="198"/>
      <c r="J394" s="198"/>
      <c r="K394" s="198"/>
      <c r="L394" s="198"/>
      <c r="M394" s="199"/>
      <c r="N394" s="199"/>
      <c r="O394" s="199"/>
      <c r="P394" s="200"/>
      <c r="Q394" s="201"/>
      <c r="R394" s="200"/>
      <c r="S394" s="200"/>
      <c r="T394" s="200"/>
      <c r="U394" s="200"/>
      <c r="V394" s="201"/>
      <c r="W394" s="201"/>
      <c r="X394" s="200"/>
      <c r="Y394" s="200"/>
      <c r="Z394" s="200"/>
      <c r="AA394" s="200"/>
      <c r="AB394" s="200"/>
      <c r="AC394" s="200"/>
      <c r="AD394" s="200"/>
      <c r="AE394" s="200"/>
      <c r="AF394" s="200"/>
      <c r="AG394" s="200"/>
      <c r="AH394" s="200"/>
      <c r="AI394" s="200"/>
      <c r="AJ394" s="200"/>
      <c r="AK394" s="200"/>
      <c r="AL394" s="200"/>
      <c r="AM394" s="200"/>
      <c r="AN394" s="198"/>
      <c r="AO394" s="201"/>
      <c r="AP394" s="198"/>
      <c r="AQ394" s="200"/>
      <c r="AR394" s="199"/>
      <c r="AS394" s="198"/>
      <c r="AV394" s="164"/>
      <c r="BA394" s="202"/>
      <c r="BC394" s="203"/>
      <c r="BD394" s="194"/>
      <c r="BE394" s="194"/>
    </row>
    <row r="395">
      <c r="A395" s="6"/>
      <c r="B395" s="6"/>
      <c r="C395" s="196"/>
      <c r="E395" s="197"/>
      <c r="F395" s="196"/>
      <c r="G395" s="198"/>
      <c r="H395" s="198"/>
      <c r="I395" s="198"/>
      <c r="J395" s="198"/>
      <c r="K395" s="198"/>
      <c r="L395" s="198"/>
      <c r="M395" s="199"/>
      <c r="N395" s="199"/>
      <c r="O395" s="199"/>
      <c r="P395" s="200"/>
      <c r="Q395" s="201"/>
      <c r="R395" s="200"/>
      <c r="S395" s="200"/>
      <c r="T395" s="200"/>
      <c r="U395" s="200"/>
      <c r="V395" s="201"/>
      <c r="W395" s="201"/>
      <c r="X395" s="200"/>
      <c r="Y395" s="200"/>
      <c r="Z395" s="200"/>
      <c r="AA395" s="200"/>
      <c r="AB395" s="200"/>
      <c r="AC395" s="200"/>
      <c r="AD395" s="200"/>
      <c r="AE395" s="200"/>
      <c r="AF395" s="200"/>
      <c r="AG395" s="200"/>
      <c r="AH395" s="200"/>
      <c r="AI395" s="200"/>
      <c r="AJ395" s="200"/>
      <c r="AK395" s="200"/>
      <c r="AL395" s="200"/>
      <c r="AM395" s="200"/>
      <c r="AN395" s="198"/>
      <c r="AO395" s="201"/>
      <c r="AP395" s="198"/>
      <c r="AQ395" s="200"/>
      <c r="AR395" s="199"/>
      <c r="AS395" s="198"/>
      <c r="AV395" s="164"/>
      <c r="BA395" s="202"/>
      <c r="BC395" s="203"/>
      <c r="BD395" s="194"/>
      <c r="BE395" s="194"/>
    </row>
    <row r="396">
      <c r="A396" s="6"/>
      <c r="B396" s="6"/>
      <c r="C396" s="196"/>
      <c r="E396" s="197"/>
      <c r="F396" s="196"/>
      <c r="G396" s="198"/>
      <c r="H396" s="198"/>
      <c r="I396" s="198"/>
      <c r="J396" s="198"/>
      <c r="K396" s="198"/>
      <c r="L396" s="198"/>
      <c r="M396" s="199"/>
      <c r="N396" s="199"/>
      <c r="O396" s="199"/>
      <c r="P396" s="200"/>
      <c r="Q396" s="201"/>
      <c r="R396" s="200"/>
      <c r="S396" s="200"/>
      <c r="T396" s="200"/>
      <c r="U396" s="200"/>
      <c r="V396" s="201"/>
      <c r="W396" s="201"/>
      <c r="X396" s="200"/>
      <c r="Y396" s="200"/>
      <c r="Z396" s="200"/>
      <c r="AA396" s="200"/>
      <c r="AB396" s="200"/>
      <c r="AC396" s="200"/>
      <c r="AD396" s="200"/>
      <c r="AE396" s="200"/>
      <c r="AF396" s="200"/>
      <c r="AG396" s="200"/>
      <c r="AH396" s="200"/>
      <c r="AI396" s="200"/>
      <c r="AJ396" s="200"/>
      <c r="AK396" s="200"/>
      <c r="AL396" s="200"/>
      <c r="AM396" s="200"/>
      <c r="AN396" s="198"/>
      <c r="AO396" s="201"/>
      <c r="AP396" s="198"/>
      <c r="AQ396" s="200"/>
      <c r="AR396" s="199"/>
      <c r="AS396" s="198"/>
      <c r="AV396" s="164"/>
      <c r="BA396" s="202"/>
      <c r="BC396" s="203"/>
      <c r="BD396" s="194"/>
      <c r="BE396" s="194"/>
    </row>
    <row r="397">
      <c r="A397" s="6"/>
      <c r="B397" s="6"/>
      <c r="C397" s="196"/>
      <c r="E397" s="197"/>
      <c r="F397" s="196"/>
      <c r="G397" s="198"/>
      <c r="H397" s="198"/>
      <c r="I397" s="198"/>
      <c r="J397" s="198"/>
      <c r="K397" s="198"/>
      <c r="L397" s="198"/>
      <c r="M397" s="199"/>
      <c r="N397" s="199"/>
      <c r="O397" s="199"/>
      <c r="P397" s="200"/>
      <c r="Q397" s="201"/>
      <c r="R397" s="200"/>
      <c r="S397" s="200"/>
      <c r="T397" s="200"/>
      <c r="U397" s="200"/>
      <c r="V397" s="201"/>
      <c r="W397" s="201"/>
      <c r="X397" s="200"/>
      <c r="Y397" s="200"/>
      <c r="Z397" s="200"/>
      <c r="AA397" s="200"/>
      <c r="AB397" s="200"/>
      <c r="AC397" s="200"/>
      <c r="AD397" s="200"/>
      <c r="AE397" s="200"/>
      <c r="AF397" s="200"/>
      <c r="AG397" s="200"/>
      <c r="AH397" s="200"/>
      <c r="AI397" s="200"/>
      <c r="AJ397" s="200"/>
      <c r="AK397" s="200"/>
      <c r="AL397" s="200"/>
      <c r="AM397" s="200"/>
      <c r="AN397" s="198"/>
      <c r="AO397" s="201"/>
      <c r="AP397" s="198"/>
      <c r="AQ397" s="200"/>
      <c r="AR397" s="199"/>
      <c r="AS397" s="198"/>
      <c r="AV397" s="164"/>
      <c r="BA397" s="202"/>
      <c r="BC397" s="203"/>
      <c r="BD397" s="194"/>
      <c r="BE397" s="194"/>
    </row>
    <row r="398">
      <c r="A398" s="6"/>
      <c r="B398" s="6"/>
      <c r="C398" s="196"/>
      <c r="E398" s="197"/>
      <c r="F398" s="196"/>
      <c r="G398" s="198"/>
      <c r="H398" s="198"/>
      <c r="I398" s="198"/>
      <c r="J398" s="198"/>
      <c r="K398" s="198"/>
      <c r="L398" s="198"/>
      <c r="M398" s="199"/>
      <c r="N398" s="199"/>
      <c r="O398" s="199"/>
      <c r="P398" s="200"/>
      <c r="Q398" s="201"/>
      <c r="R398" s="200"/>
      <c r="S398" s="200"/>
      <c r="T398" s="200"/>
      <c r="U398" s="200"/>
      <c r="V398" s="201"/>
      <c r="W398" s="201"/>
      <c r="X398" s="200"/>
      <c r="Y398" s="200"/>
      <c r="Z398" s="200"/>
      <c r="AA398" s="200"/>
      <c r="AB398" s="200"/>
      <c r="AC398" s="200"/>
      <c r="AD398" s="200"/>
      <c r="AE398" s="200"/>
      <c r="AF398" s="200"/>
      <c r="AG398" s="200"/>
      <c r="AH398" s="200"/>
      <c r="AI398" s="200"/>
      <c r="AJ398" s="200"/>
      <c r="AK398" s="200"/>
      <c r="AL398" s="200"/>
      <c r="AM398" s="200"/>
      <c r="AN398" s="198"/>
      <c r="AO398" s="201"/>
      <c r="AP398" s="198"/>
      <c r="AQ398" s="200"/>
      <c r="AR398" s="199"/>
      <c r="AS398" s="198"/>
      <c r="AV398" s="164"/>
      <c r="BA398" s="202"/>
      <c r="BC398" s="203"/>
      <c r="BD398" s="194"/>
      <c r="BE398" s="194"/>
    </row>
    <row r="399">
      <c r="A399" s="6"/>
      <c r="B399" s="6"/>
      <c r="C399" s="196"/>
      <c r="E399" s="197"/>
      <c r="F399" s="196"/>
      <c r="G399" s="198"/>
      <c r="H399" s="198"/>
      <c r="I399" s="198"/>
      <c r="J399" s="198"/>
      <c r="K399" s="198"/>
      <c r="L399" s="198"/>
      <c r="M399" s="199"/>
      <c r="N399" s="199"/>
      <c r="O399" s="199"/>
      <c r="P399" s="200"/>
      <c r="Q399" s="201"/>
      <c r="R399" s="200"/>
      <c r="S399" s="200"/>
      <c r="T399" s="200"/>
      <c r="U399" s="200"/>
      <c r="V399" s="201"/>
      <c r="W399" s="201"/>
      <c r="X399" s="200"/>
      <c r="Y399" s="200"/>
      <c r="Z399" s="200"/>
      <c r="AA399" s="200"/>
      <c r="AB399" s="200"/>
      <c r="AC399" s="200"/>
      <c r="AD399" s="200"/>
      <c r="AE399" s="200"/>
      <c r="AF399" s="200"/>
      <c r="AG399" s="200"/>
      <c r="AH399" s="200"/>
      <c r="AI399" s="200"/>
      <c r="AJ399" s="200"/>
      <c r="AK399" s="200"/>
      <c r="AL399" s="200"/>
      <c r="AM399" s="200"/>
      <c r="AN399" s="198"/>
      <c r="AO399" s="201"/>
      <c r="AP399" s="198"/>
      <c r="AQ399" s="200"/>
      <c r="AR399" s="199"/>
      <c r="AS399" s="198"/>
      <c r="AV399" s="164"/>
      <c r="BA399" s="202"/>
      <c r="BC399" s="203"/>
      <c r="BD399" s="194"/>
      <c r="BE399" s="194"/>
    </row>
    <row r="400">
      <c r="A400" s="6"/>
      <c r="B400" s="6"/>
      <c r="C400" s="196"/>
      <c r="E400" s="197"/>
      <c r="F400" s="196"/>
      <c r="G400" s="198"/>
      <c r="H400" s="198"/>
      <c r="I400" s="198"/>
      <c r="J400" s="198"/>
      <c r="K400" s="198"/>
      <c r="L400" s="198"/>
      <c r="M400" s="199"/>
      <c r="N400" s="199"/>
      <c r="O400" s="199"/>
      <c r="P400" s="200"/>
      <c r="Q400" s="201"/>
      <c r="R400" s="200"/>
      <c r="S400" s="200"/>
      <c r="T400" s="200"/>
      <c r="U400" s="200"/>
      <c r="V400" s="201"/>
      <c r="W400" s="201"/>
      <c r="X400" s="200"/>
      <c r="Y400" s="200"/>
      <c r="Z400" s="200"/>
      <c r="AA400" s="200"/>
      <c r="AB400" s="200"/>
      <c r="AC400" s="200"/>
      <c r="AD400" s="200"/>
      <c r="AE400" s="200"/>
      <c r="AF400" s="200"/>
      <c r="AG400" s="200"/>
      <c r="AH400" s="200"/>
      <c r="AI400" s="200"/>
      <c r="AJ400" s="200"/>
      <c r="AK400" s="200"/>
      <c r="AL400" s="200"/>
      <c r="AM400" s="200"/>
      <c r="AN400" s="198"/>
      <c r="AO400" s="201"/>
      <c r="AP400" s="198"/>
      <c r="AQ400" s="200"/>
      <c r="AR400" s="199"/>
      <c r="AS400" s="198"/>
      <c r="AV400" s="164"/>
      <c r="BA400" s="202"/>
      <c r="BC400" s="203"/>
      <c r="BD400" s="194"/>
      <c r="BE400" s="194"/>
    </row>
    <row r="401">
      <c r="A401" s="6"/>
      <c r="B401" s="6"/>
      <c r="C401" s="196"/>
      <c r="E401" s="197"/>
      <c r="F401" s="196"/>
      <c r="G401" s="198"/>
      <c r="H401" s="198"/>
      <c r="I401" s="198"/>
      <c r="J401" s="198"/>
      <c r="K401" s="198"/>
      <c r="L401" s="198"/>
      <c r="M401" s="199"/>
      <c r="N401" s="199"/>
      <c r="O401" s="199"/>
      <c r="P401" s="200"/>
      <c r="Q401" s="201"/>
      <c r="R401" s="200"/>
      <c r="S401" s="200"/>
      <c r="T401" s="200"/>
      <c r="U401" s="200"/>
      <c r="V401" s="201"/>
      <c r="W401" s="201"/>
      <c r="X401" s="200"/>
      <c r="Y401" s="200"/>
      <c r="Z401" s="200"/>
      <c r="AA401" s="200"/>
      <c r="AB401" s="200"/>
      <c r="AC401" s="200"/>
      <c r="AD401" s="200"/>
      <c r="AE401" s="200"/>
      <c r="AF401" s="200"/>
      <c r="AG401" s="200"/>
      <c r="AH401" s="200"/>
      <c r="AI401" s="200"/>
      <c r="AJ401" s="200"/>
      <c r="AK401" s="200"/>
      <c r="AL401" s="200"/>
      <c r="AM401" s="200"/>
      <c r="AN401" s="198"/>
      <c r="AO401" s="201"/>
      <c r="AP401" s="198"/>
      <c r="AQ401" s="200"/>
      <c r="AR401" s="199"/>
      <c r="AS401" s="198"/>
      <c r="AV401" s="164"/>
      <c r="BA401" s="202"/>
      <c r="BC401" s="203"/>
      <c r="BD401" s="194"/>
      <c r="BE401" s="194"/>
    </row>
    <row r="402">
      <c r="A402" s="6"/>
      <c r="B402" s="6"/>
      <c r="C402" s="196"/>
      <c r="E402" s="197"/>
      <c r="F402" s="196"/>
      <c r="G402" s="198"/>
      <c r="H402" s="198"/>
      <c r="I402" s="198"/>
      <c r="J402" s="198"/>
      <c r="K402" s="198"/>
      <c r="L402" s="198"/>
      <c r="M402" s="199"/>
      <c r="N402" s="199"/>
      <c r="O402" s="199"/>
      <c r="P402" s="200"/>
      <c r="Q402" s="201"/>
      <c r="R402" s="200"/>
      <c r="S402" s="200"/>
      <c r="T402" s="200"/>
      <c r="U402" s="200"/>
      <c r="V402" s="201"/>
      <c r="W402" s="201"/>
      <c r="X402" s="200"/>
      <c r="Y402" s="200"/>
      <c r="Z402" s="200"/>
      <c r="AA402" s="200"/>
      <c r="AB402" s="200"/>
      <c r="AC402" s="200"/>
      <c r="AD402" s="200"/>
      <c r="AE402" s="200"/>
      <c r="AF402" s="200"/>
      <c r="AG402" s="200"/>
      <c r="AH402" s="200"/>
      <c r="AI402" s="200"/>
      <c r="AJ402" s="200"/>
      <c r="AK402" s="200"/>
      <c r="AL402" s="200"/>
      <c r="AM402" s="200"/>
      <c r="AN402" s="198"/>
      <c r="AO402" s="201"/>
      <c r="AP402" s="198"/>
      <c r="AQ402" s="200"/>
      <c r="AR402" s="199"/>
      <c r="AS402" s="198"/>
      <c r="AV402" s="164"/>
      <c r="BA402" s="202"/>
      <c r="BC402" s="203"/>
      <c r="BD402" s="194"/>
      <c r="BE402" s="194"/>
    </row>
    <row r="403">
      <c r="A403" s="6"/>
      <c r="B403" s="6"/>
      <c r="C403" s="196"/>
      <c r="E403" s="197"/>
      <c r="F403" s="196"/>
      <c r="G403" s="198"/>
      <c r="H403" s="198"/>
      <c r="I403" s="198"/>
      <c r="J403" s="198"/>
      <c r="K403" s="198"/>
      <c r="L403" s="198"/>
      <c r="M403" s="199"/>
      <c r="N403" s="199"/>
      <c r="O403" s="199"/>
      <c r="P403" s="200"/>
      <c r="Q403" s="201"/>
      <c r="R403" s="200"/>
      <c r="S403" s="200"/>
      <c r="T403" s="200"/>
      <c r="U403" s="200"/>
      <c r="V403" s="201"/>
      <c r="W403" s="201"/>
      <c r="X403" s="200"/>
      <c r="Y403" s="200"/>
      <c r="Z403" s="200"/>
      <c r="AA403" s="200"/>
      <c r="AB403" s="200"/>
      <c r="AC403" s="200"/>
      <c r="AD403" s="200"/>
      <c r="AE403" s="200"/>
      <c r="AF403" s="200"/>
      <c r="AG403" s="200"/>
      <c r="AH403" s="200"/>
      <c r="AI403" s="200"/>
      <c r="AJ403" s="200"/>
      <c r="AK403" s="200"/>
      <c r="AL403" s="200"/>
      <c r="AM403" s="200"/>
      <c r="AN403" s="198"/>
      <c r="AO403" s="201"/>
      <c r="AP403" s="198"/>
      <c r="AQ403" s="200"/>
      <c r="AR403" s="199"/>
      <c r="AS403" s="198"/>
      <c r="AV403" s="164"/>
      <c r="BA403" s="202"/>
      <c r="BC403" s="203"/>
      <c r="BD403" s="194"/>
      <c r="BE403" s="194"/>
    </row>
    <row r="404">
      <c r="A404" s="6"/>
      <c r="B404" s="6"/>
      <c r="C404" s="196"/>
      <c r="E404" s="197"/>
      <c r="F404" s="196"/>
      <c r="G404" s="198"/>
      <c r="H404" s="198"/>
      <c r="I404" s="198"/>
      <c r="J404" s="198"/>
      <c r="K404" s="198"/>
      <c r="L404" s="198"/>
      <c r="M404" s="199"/>
      <c r="N404" s="199"/>
      <c r="O404" s="199"/>
      <c r="P404" s="200"/>
      <c r="Q404" s="201"/>
      <c r="R404" s="200"/>
      <c r="S404" s="200"/>
      <c r="T404" s="200"/>
      <c r="U404" s="200"/>
      <c r="V404" s="201"/>
      <c r="W404" s="201"/>
      <c r="X404" s="200"/>
      <c r="Y404" s="200"/>
      <c r="Z404" s="200"/>
      <c r="AA404" s="200"/>
      <c r="AB404" s="200"/>
      <c r="AC404" s="200"/>
      <c r="AD404" s="200"/>
      <c r="AE404" s="200"/>
      <c r="AF404" s="200"/>
      <c r="AG404" s="200"/>
      <c r="AH404" s="200"/>
      <c r="AI404" s="200"/>
      <c r="AJ404" s="200"/>
      <c r="AK404" s="200"/>
      <c r="AL404" s="200"/>
      <c r="AM404" s="200"/>
      <c r="AN404" s="198"/>
      <c r="AO404" s="201"/>
      <c r="AP404" s="198"/>
      <c r="AQ404" s="200"/>
      <c r="AR404" s="199"/>
      <c r="AS404" s="198"/>
      <c r="AV404" s="164"/>
      <c r="BA404" s="202"/>
      <c r="BC404" s="203"/>
      <c r="BD404" s="194"/>
      <c r="BE404" s="194"/>
    </row>
    <row r="405">
      <c r="A405" s="6"/>
      <c r="B405" s="6"/>
      <c r="C405" s="196"/>
      <c r="E405" s="197"/>
      <c r="F405" s="196"/>
      <c r="G405" s="198"/>
      <c r="H405" s="198"/>
      <c r="I405" s="198"/>
      <c r="J405" s="198"/>
      <c r="K405" s="198"/>
      <c r="L405" s="198"/>
      <c r="M405" s="199"/>
      <c r="N405" s="199"/>
      <c r="O405" s="199"/>
      <c r="P405" s="200"/>
      <c r="Q405" s="201"/>
      <c r="R405" s="200"/>
      <c r="S405" s="200"/>
      <c r="T405" s="200"/>
      <c r="U405" s="200"/>
      <c r="V405" s="201"/>
      <c r="W405" s="201"/>
      <c r="X405" s="200"/>
      <c r="Y405" s="200"/>
      <c r="Z405" s="200"/>
      <c r="AA405" s="200"/>
      <c r="AB405" s="200"/>
      <c r="AC405" s="200"/>
      <c r="AD405" s="200"/>
      <c r="AE405" s="200"/>
      <c r="AF405" s="200"/>
      <c r="AG405" s="200"/>
      <c r="AH405" s="200"/>
      <c r="AI405" s="200"/>
      <c r="AJ405" s="200"/>
      <c r="AK405" s="200"/>
      <c r="AL405" s="200"/>
      <c r="AM405" s="200"/>
      <c r="AN405" s="198"/>
      <c r="AO405" s="201"/>
      <c r="AP405" s="198"/>
      <c r="AQ405" s="200"/>
      <c r="AR405" s="199"/>
      <c r="AS405" s="198"/>
      <c r="AV405" s="164"/>
      <c r="BA405" s="202"/>
      <c r="BC405" s="203"/>
      <c r="BD405" s="194"/>
      <c r="BE405" s="194"/>
    </row>
    <row r="406">
      <c r="A406" s="6"/>
      <c r="B406" s="6"/>
      <c r="C406" s="196"/>
      <c r="E406" s="197"/>
      <c r="F406" s="196"/>
      <c r="G406" s="198"/>
      <c r="H406" s="198"/>
      <c r="I406" s="198"/>
      <c r="J406" s="198"/>
      <c r="K406" s="198"/>
      <c r="L406" s="198"/>
      <c r="M406" s="199"/>
      <c r="N406" s="199"/>
      <c r="O406" s="199"/>
      <c r="P406" s="200"/>
      <c r="Q406" s="201"/>
      <c r="R406" s="200"/>
      <c r="S406" s="200"/>
      <c r="T406" s="200"/>
      <c r="U406" s="200"/>
      <c r="V406" s="201"/>
      <c r="W406" s="201"/>
      <c r="X406" s="200"/>
      <c r="Y406" s="200"/>
      <c r="Z406" s="200"/>
      <c r="AA406" s="200"/>
      <c r="AB406" s="200"/>
      <c r="AC406" s="200"/>
      <c r="AD406" s="200"/>
      <c r="AE406" s="200"/>
      <c r="AF406" s="200"/>
      <c r="AG406" s="200"/>
      <c r="AH406" s="200"/>
      <c r="AI406" s="200"/>
      <c r="AJ406" s="200"/>
      <c r="AK406" s="200"/>
      <c r="AL406" s="200"/>
      <c r="AM406" s="200"/>
      <c r="AN406" s="198"/>
      <c r="AO406" s="201"/>
      <c r="AP406" s="198"/>
      <c r="AQ406" s="200"/>
      <c r="AR406" s="199"/>
      <c r="AS406" s="198"/>
      <c r="AV406" s="164"/>
      <c r="BA406" s="202"/>
      <c r="BC406" s="203"/>
      <c r="BD406" s="194"/>
      <c r="BE406" s="194"/>
    </row>
    <row r="407">
      <c r="A407" s="6"/>
      <c r="B407" s="6"/>
      <c r="C407" s="196"/>
      <c r="E407" s="197"/>
      <c r="F407" s="196"/>
      <c r="G407" s="198"/>
      <c r="H407" s="198"/>
      <c r="I407" s="198"/>
      <c r="J407" s="198"/>
      <c r="K407" s="198"/>
      <c r="L407" s="198"/>
      <c r="M407" s="199"/>
      <c r="N407" s="199"/>
      <c r="O407" s="199"/>
      <c r="P407" s="200"/>
      <c r="Q407" s="201"/>
      <c r="R407" s="200"/>
      <c r="S407" s="200"/>
      <c r="T407" s="200"/>
      <c r="U407" s="200"/>
      <c r="V407" s="201"/>
      <c r="W407" s="201"/>
      <c r="X407" s="200"/>
      <c r="Y407" s="200"/>
      <c r="Z407" s="200"/>
      <c r="AA407" s="200"/>
      <c r="AB407" s="200"/>
      <c r="AC407" s="200"/>
      <c r="AD407" s="200"/>
      <c r="AE407" s="200"/>
      <c r="AF407" s="200"/>
      <c r="AG407" s="200"/>
      <c r="AH407" s="200"/>
      <c r="AI407" s="200"/>
      <c r="AJ407" s="200"/>
      <c r="AK407" s="200"/>
      <c r="AL407" s="200"/>
      <c r="AM407" s="200"/>
      <c r="AN407" s="198"/>
      <c r="AO407" s="201"/>
      <c r="AP407" s="198"/>
      <c r="AQ407" s="200"/>
      <c r="AR407" s="199"/>
      <c r="AS407" s="198"/>
      <c r="AV407" s="164"/>
      <c r="BA407" s="202"/>
      <c r="BC407" s="203"/>
      <c r="BD407" s="194"/>
      <c r="BE407" s="194"/>
    </row>
    <row r="408">
      <c r="A408" s="6"/>
      <c r="B408" s="6"/>
      <c r="C408" s="196"/>
      <c r="E408" s="197"/>
      <c r="F408" s="196"/>
      <c r="G408" s="198"/>
      <c r="H408" s="198"/>
      <c r="I408" s="198"/>
      <c r="J408" s="198"/>
      <c r="K408" s="198"/>
      <c r="L408" s="198"/>
      <c r="M408" s="199"/>
      <c r="N408" s="199"/>
      <c r="O408" s="199"/>
      <c r="P408" s="200"/>
      <c r="Q408" s="201"/>
      <c r="R408" s="200"/>
      <c r="S408" s="200"/>
      <c r="T408" s="200"/>
      <c r="U408" s="200"/>
      <c r="V408" s="201"/>
      <c r="W408" s="201"/>
      <c r="X408" s="200"/>
      <c r="Y408" s="200"/>
      <c r="Z408" s="200"/>
      <c r="AA408" s="200"/>
      <c r="AB408" s="200"/>
      <c r="AC408" s="200"/>
      <c r="AD408" s="200"/>
      <c r="AE408" s="200"/>
      <c r="AF408" s="200"/>
      <c r="AG408" s="200"/>
      <c r="AH408" s="200"/>
      <c r="AI408" s="200"/>
      <c r="AJ408" s="200"/>
      <c r="AK408" s="200"/>
      <c r="AL408" s="200"/>
      <c r="AM408" s="200"/>
      <c r="AN408" s="198"/>
      <c r="AO408" s="201"/>
      <c r="AP408" s="198"/>
      <c r="AQ408" s="200"/>
      <c r="AR408" s="199"/>
      <c r="AS408" s="198"/>
      <c r="AV408" s="164"/>
      <c r="BA408" s="202"/>
      <c r="BC408" s="203"/>
      <c r="BD408" s="194"/>
      <c r="BE408" s="194"/>
    </row>
    <row r="409">
      <c r="A409" s="6"/>
      <c r="B409" s="6"/>
      <c r="C409" s="196"/>
      <c r="E409" s="197"/>
      <c r="F409" s="196"/>
      <c r="G409" s="198"/>
      <c r="H409" s="198"/>
      <c r="I409" s="198"/>
      <c r="J409" s="198"/>
      <c r="K409" s="198"/>
      <c r="L409" s="198"/>
      <c r="M409" s="199"/>
      <c r="N409" s="199"/>
      <c r="O409" s="199"/>
      <c r="P409" s="200"/>
      <c r="Q409" s="201"/>
      <c r="R409" s="200"/>
      <c r="S409" s="200"/>
      <c r="T409" s="200"/>
      <c r="U409" s="200"/>
      <c r="V409" s="201"/>
      <c r="W409" s="201"/>
      <c r="X409" s="200"/>
      <c r="Y409" s="200"/>
      <c r="Z409" s="200"/>
      <c r="AA409" s="200"/>
      <c r="AB409" s="200"/>
      <c r="AC409" s="200"/>
      <c r="AD409" s="200"/>
      <c r="AE409" s="200"/>
      <c r="AF409" s="200"/>
      <c r="AG409" s="200"/>
      <c r="AH409" s="200"/>
      <c r="AI409" s="200"/>
      <c r="AJ409" s="200"/>
      <c r="AK409" s="200"/>
      <c r="AL409" s="200"/>
      <c r="AM409" s="200"/>
      <c r="AN409" s="198"/>
      <c r="AO409" s="201"/>
      <c r="AP409" s="198"/>
      <c r="AQ409" s="200"/>
      <c r="AR409" s="199"/>
      <c r="AS409" s="198"/>
      <c r="AV409" s="164"/>
      <c r="BA409" s="202"/>
      <c r="BC409" s="203"/>
      <c r="BD409" s="194"/>
      <c r="BE409" s="194"/>
    </row>
    <row r="410">
      <c r="A410" s="6"/>
      <c r="B410" s="6"/>
      <c r="C410" s="196"/>
      <c r="E410" s="197"/>
      <c r="F410" s="196"/>
      <c r="G410" s="198"/>
      <c r="H410" s="198"/>
      <c r="I410" s="198"/>
      <c r="J410" s="198"/>
      <c r="K410" s="198"/>
      <c r="L410" s="198"/>
      <c r="M410" s="199"/>
      <c r="N410" s="199"/>
      <c r="O410" s="199"/>
      <c r="P410" s="200"/>
      <c r="Q410" s="201"/>
      <c r="R410" s="200"/>
      <c r="S410" s="200"/>
      <c r="T410" s="200"/>
      <c r="U410" s="200"/>
      <c r="V410" s="201"/>
      <c r="W410" s="201"/>
      <c r="X410" s="200"/>
      <c r="Y410" s="200"/>
      <c r="Z410" s="200"/>
      <c r="AA410" s="200"/>
      <c r="AB410" s="200"/>
      <c r="AC410" s="200"/>
      <c r="AD410" s="200"/>
      <c r="AE410" s="200"/>
      <c r="AF410" s="200"/>
      <c r="AG410" s="200"/>
      <c r="AH410" s="200"/>
      <c r="AI410" s="200"/>
      <c r="AJ410" s="200"/>
      <c r="AK410" s="200"/>
      <c r="AL410" s="200"/>
      <c r="AM410" s="200"/>
      <c r="AN410" s="198"/>
      <c r="AO410" s="201"/>
      <c r="AP410" s="198"/>
      <c r="AQ410" s="200"/>
      <c r="AR410" s="199"/>
      <c r="AS410" s="198"/>
      <c r="AV410" s="164"/>
      <c r="BA410" s="202"/>
      <c r="BC410" s="203"/>
      <c r="BD410" s="194"/>
      <c r="BE410" s="194"/>
    </row>
    <row r="411">
      <c r="A411" s="6"/>
      <c r="B411" s="6"/>
      <c r="C411" s="196"/>
      <c r="E411" s="197"/>
      <c r="F411" s="196"/>
      <c r="G411" s="198"/>
      <c r="H411" s="198"/>
      <c r="I411" s="198"/>
      <c r="J411" s="198"/>
      <c r="K411" s="198"/>
      <c r="L411" s="198"/>
      <c r="M411" s="199"/>
      <c r="N411" s="199"/>
      <c r="O411" s="199"/>
      <c r="P411" s="200"/>
      <c r="Q411" s="201"/>
      <c r="R411" s="200"/>
      <c r="S411" s="200"/>
      <c r="T411" s="200"/>
      <c r="U411" s="200"/>
      <c r="V411" s="201"/>
      <c r="W411" s="201"/>
      <c r="X411" s="200"/>
      <c r="Y411" s="200"/>
      <c r="Z411" s="200"/>
      <c r="AA411" s="200"/>
      <c r="AB411" s="200"/>
      <c r="AC411" s="200"/>
      <c r="AD411" s="200"/>
      <c r="AE411" s="200"/>
      <c r="AF411" s="200"/>
      <c r="AG411" s="200"/>
      <c r="AH411" s="200"/>
      <c r="AI411" s="200"/>
      <c r="AJ411" s="200"/>
      <c r="AK411" s="200"/>
      <c r="AL411" s="200"/>
      <c r="AM411" s="200"/>
      <c r="AN411" s="198"/>
      <c r="AO411" s="201"/>
      <c r="AP411" s="198"/>
      <c r="AQ411" s="200"/>
      <c r="AR411" s="199"/>
      <c r="AS411" s="198"/>
      <c r="AV411" s="164"/>
      <c r="BA411" s="202"/>
      <c r="BC411" s="203"/>
      <c r="BD411" s="194"/>
      <c r="BE411" s="194"/>
    </row>
    <row r="412">
      <c r="A412" s="6"/>
      <c r="B412" s="6"/>
      <c r="C412" s="196"/>
      <c r="E412" s="197"/>
      <c r="F412" s="196"/>
      <c r="G412" s="198"/>
      <c r="H412" s="198"/>
      <c r="I412" s="198"/>
      <c r="J412" s="198"/>
      <c r="K412" s="198"/>
      <c r="L412" s="198"/>
      <c r="M412" s="199"/>
      <c r="N412" s="199"/>
      <c r="O412" s="199"/>
      <c r="P412" s="200"/>
      <c r="Q412" s="201"/>
      <c r="R412" s="200"/>
      <c r="S412" s="200"/>
      <c r="T412" s="200"/>
      <c r="U412" s="200"/>
      <c r="V412" s="201"/>
      <c r="W412" s="201"/>
      <c r="X412" s="200"/>
      <c r="Y412" s="200"/>
      <c r="Z412" s="200"/>
      <c r="AA412" s="200"/>
      <c r="AB412" s="200"/>
      <c r="AC412" s="200"/>
      <c r="AD412" s="200"/>
      <c r="AE412" s="200"/>
      <c r="AF412" s="200"/>
      <c r="AG412" s="200"/>
      <c r="AH412" s="200"/>
      <c r="AI412" s="200"/>
      <c r="AJ412" s="200"/>
      <c r="AK412" s="200"/>
      <c r="AL412" s="200"/>
      <c r="AM412" s="200"/>
      <c r="AN412" s="198"/>
      <c r="AO412" s="201"/>
      <c r="AP412" s="198"/>
      <c r="AQ412" s="200"/>
      <c r="AR412" s="199"/>
      <c r="AS412" s="198"/>
      <c r="AV412" s="164"/>
      <c r="BA412" s="202"/>
      <c r="BC412" s="203"/>
      <c r="BD412" s="194"/>
      <c r="BE412" s="194"/>
    </row>
    <row r="413">
      <c r="A413" s="6"/>
      <c r="B413" s="6"/>
      <c r="C413" s="196"/>
      <c r="E413" s="197"/>
      <c r="F413" s="196"/>
      <c r="G413" s="198"/>
      <c r="H413" s="198"/>
      <c r="I413" s="198"/>
      <c r="J413" s="198"/>
      <c r="K413" s="198"/>
      <c r="L413" s="198"/>
      <c r="M413" s="199"/>
      <c r="N413" s="199"/>
      <c r="O413" s="199"/>
      <c r="P413" s="200"/>
      <c r="Q413" s="201"/>
      <c r="R413" s="200"/>
      <c r="S413" s="200"/>
      <c r="T413" s="200"/>
      <c r="U413" s="200"/>
      <c r="V413" s="201"/>
      <c r="W413" s="201"/>
      <c r="X413" s="200"/>
      <c r="Y413" s="200"/>
      <c r="Z413" s="200"/>
      <c r="AA413" s="200"/>
      <c r="AB413" s="200"/>
      <c r="AC413" s="200"/>
      <c r="AD413" s="200"/>
      <c r="AE413" s="200"/>
      <c r="AF413" s="200"/>
      <c r="AG413" s="200"/>
      <c r="AH413" s="200"/>
      <c r="AI413" s="200"/>
      <c r="AJ413" s="200"/>
      <c r="AK413" s="200"/>
      <c r="AL413" s="200"/>
      <c r="AM413" s="200"/>
      <c r="AN413" s="198"/>
      <c r="AO413" s="201"/>
      <c r="AP413" s="198"/>
      <c r="AQ413" s="200"/>
      <c r="AR413" s="199"/>
      <c r="AS413" s="198"/>
      <c r="AV413" s="164"/>
      <c r="BA413" s="202"/>
      <c r="BC413" s="203"/>
      <c r="BD413" s="194"/>
      <c r="BE413" s="194"/>
    </row>
    <row r="414">
      <c r="A414" s="6"/>
      <c r="B414" s="6"/>
      <c r="C414" s="196"/>
      <c r="E414" s="197"/>
      <c r="F414" s="196"/>
      <c r="G414" s="198"/>
      <c r="H414" s="198"/>
      <c r="I414" s="198"/>
      <c r="J414" s="198"/>
      <c r="K414" s="198"/>
      <c r="L414" s="198"/>
      <c r="M414" s="199"/>
      <c r="N414" s="199"/>
      <c r="O414" s="199"/>
      <c r="P414" s="200"/>
      <c r="Q414" s="201"/>
      <c r="R414" s="200"/>
      <c r="S414" s="200"/>
      <c r="T414" s="200"/>
      <c r="U414" s="200"/>
      <c r="V414" s="201"/>
      <c r="W414" s="201"/>
      <c r="X414" s="200"/>
      <c r="Y414" s="200"/>
      <c r="Z414" s="200"/>
      <c r="AA414" s="200"/>
      <c r="AB414" s="200"/>
      <c r="AC414" s="200"/>
      <c r="AD414" s="200"/>
      <c r="AE414" s="200"/>
      <c r="AF414" s="200"/>
      <c r="AG414" s="200"/>
      <c r="AH414" s="200"/>
      <c r="AI414" s="200"/>
      <c r="AJ414" s="200"/>
      <c r="AK414" s="200"/>
      <c r="AL414" s="200"/>
      <c r="AM414" s="200"/>
      <c r="AN414" s="198"/>
      <c r="AO414" s="201"/>
      <c r="AP414" s="198"/>
      <c r="AQ414" s="200"/>
      <c r="AR414" s="199"/>
      <c r="AS414" s="198"/>
      <c r="AV414" s="164"/>
      <c r="BA414" s="202"/>
      <c r="BC414" s="203"/>
      <c r="BD414" s="194"/>
      <c r="BE414" s="194"/>
    </row>
    <row r="415">
      <c r="A415" s="6"/>
      <c r="B415" s="6"/>
      <c r="C415" s="196"/>
      <c r="E415" s="197"/>
      <c r="F415" s="196"/>
      <c r="G415" s="198"/>
      <c r="H415" s="198"/>
      <c r="I415" s="198"/>
      <c r="J415" s="198"/>
      <c r="K415" s="198"/>
      <c r="L415" s="198"/>
      <c r="M415" s="199"/>
      <c r="N415" s="199"/>
      <c r="O415" s="199"/>
      <c r="P415" s="200"/>
      <c r="Q415" s="201"/>
      <c r="R415" s="200"/>
      <c r="S415" s="200"/>
      <c r="T415" s="200"/>
      <c r="U415" s="200"/>
      <c r="V415" s="201"/>
      <c r="W415" s="201"/>
      <c r="X415" s="200"/>
      <c r="Y415" s="200"/>
      <c r="Z415" s="200"/>
      <c r="AA415" s="200"/>
      <c r="AB415" s="200"/>
      <c r="AC415" s="200"/>
      <c r="AD415" s="200"/>
      <c r="AE415" s="200"/>
      <c r="AF415" s="200"/>
      <c r="AG415" s="200"/>
      <c r="AH415" s="200"/>
      <c r="AI415" s="200"/>
      <c r="AJ415" s="200"/>
      <c r="AK415" s="200"/>
      <c r="AL415" s="200"/>
      <c r="AM415" s="200"/>
      <c r="AN415" s="198"/>
      <c r="AO415" s="201"/>
      <c r="AP415" s="198"/>
      <c r="AQ415" s="200"/>
      <c r="AR415" s="199"/>
      <c r="AS415" s="198"/>
      <c r="AV415" s="164"/>
      <c r="BA415" s="202"/>
      <c r="BC415" s="203"/>
      <c r="BD415" s="194"/>
      <c r="BE415" s="194"/>
    </row>
    <row r="416">
      <c r="A416" s="6"/>
      <c r="B416" s="6"/>
      <c r="C416" s="196"/>
      <c r="E416" s="197"/>
      <c r="F416" s="196"/>
      <c r="G416" s="198"/>
      <c r="H416" s="198"/>
      <c r="I416" s="198"/>
      <c r="J416" s="198"/>
      <c r="K416" s="198"/>
      <c r="L416" s="198"/>
      <c r="M416" s="199"/>
      <c r="N416" s="199"/>
      <c r="O416" s="199"/>
      <c r="P416" s="200"/>
      <c r="Q416" s="201"/>
      <c r="R416" s="200"/>
      <c r="S416" s="200"/>
      <c r="T416" s="200"/>
      <c r="U416" s="200"/>
      <c r="V416" s="201"/>
      <c r="W416" s="201"/>
      <c r="X416" s="200"/>
      <c r="Y416" s="200"/>
      <c r="Z416" s="200"/>
      <c r="AA416" s="200"/>
      <c r="AB416" s="200"/>
      <c r="AC416" s="200"/>
      <c r="AD416" s="200"/>
      <c r="AE416" s="200"/>
      <c r="AF416" s="200"/>
      <c r="AG416" s="200"/>
      <c r="AH416" s="200"/>
      <c r="AI416" s="200"/>
      <c r="AJ416" s="200"/>
      <c r="AK416" s="200"/>
      <c r="AL416" s="200"/>
      <c r="AM416" s="200"/>
      <c r="AN416" s="198"/>
      <c r="AO416" s="201"/>
      <c r="AP416" s="198"/>
      <c r="AQ416" s="200"/>
      <c r="AR416" s="199"/>
      <c r="AS416" s="198"/>
      <c r="AV416" s="164"/>
      <c r="BA416" s="202"/>
      <c r="BC416" s="203"/>
      <c r="BD416" s="194"/>
      <c r="BE416" s="194"/>
    </row>
    <row r="417">
      <c r="A417" s="6"/>
      <c r="B417" s="6"/>
      <c r="C417" s="196"/>
      <c r="E417" s="197"/>
      <c r="F417" s="196"/>
      <c r="G417" s="198"/>
      <c r="H417" s="198"/>
      <c r="I417" s="198"/>
      <c r="J417" s="198"/>
      <c r="K417" s="198"/>
      <c r="L417" s="198"/>
      <c r="M417" s="199"/>
      <c r="N417" s="199"/>
      <c r="O417" s="199"/>
      <c r="P417" s="200"/>
      <c r="Q417" s="201"/>
      <c r="R417" s="200"/>
      <c r="S417" s="200"/>
      <c r="T417" s="200"/>
      <c r="U417" s="200"/>
      <c r="V417" s="201"/>
      <c r="W417" s="201"/>
      <c r="X417" s="200"/>
      <c r="Y417" s="200"/>
      <c r="Z417" s="200"/>
      <c r="AA417" s="200"/>
      <c r="AB417" s="200"/>
      <c r="AC417" s="200"/>
      <c r="AD417" s="200"/>
      <c r="AE417" s="200"/>
      <c r="AF417" s="200"/>
      <c r="AG417" s="200"/>
      <c r="AH417" s="200"/>
      <c r="AI417" s="200"/>
      <c r="AJ417" s="200"/>
      <c r="AK417" s="200"/>
      <c r="AL417" s="200"/>
      <c r="AM417" s="200"/>
      <c r="AN417" s="198"/>
      <c r="AO417" s="201"/>
      <c r="AP417" s="198"/>
      <c r="AQ417" s="200"/>
      <c r="AR417" s="199"/>
      <c r="AS417" s="198"/>
      <c r="AV417" s="164"/>
      <c r="BA417" s="202"/>
      <c r="BC417" s="203"/>
      <c r="BD417" s="194"/>
      <c r="BE417" s="194"/>
    </row>
    <row r="418">
      <c r="A418" s="6"/>
      <c r="B418" s="6"/>
      <c r="C418" s="196"/>
      <c r="E418" s="197"/>
      <c r="F418" s="196"/>
      <c r="G418" s="198"/>
      <c r="H418" s="198"/>
      <c r="I418" s="198"/>
      <c r="J418" s="198"/>
      <c r="K418" s="198"/>
      <c r="L418" s="198"/>
      <c r="M418" s="199"/>
      <c r="N418" s="199"/>
      <c r="O418" s="199"/>
      <c r="P418" s="200"/>
      <c r="Q418" s="201"/>
      <c r="R418" s="200"/>
      <c r="S418" s="200"/>
      <c r="T418" s="200"/>
      <c r="U418" s="200"/>
      <c r="V418" s="201"/>
      <c r="W418" s="201"/>
      <c r="X418" s="200"/>
      <c r="Y418" s="200"/>
      <c r="Z418" s="200"/>
      <c r="AA418" s="200"/>
      <c r="AB418" s="200"/>
      <c r="AC418" s="200"/>
      <c r="AD418" s="200"/>
      <c r="AE418" s="200"/>
      <c r="AF418" s="200"/>
      <c r="AG418" s="200"/>
      <c r="AH418" s="200"/>
      <c r="AI418" s="200"/>
      <c r="AJ418" s="200"/>
      <c r="AK418" s="200"/>
      <c r="AL418" s="200"/>
      <c r="AM418" s="200"/>
      <c r="AN418" s="198"/>
      <c r="AO418" s="201"/>
      <c r="AP418" s="198"/>
      <c r="AQ418" s="200"/>
      <c r="AR418" s="199"/>
      <c r="AS418" s="198"/>
      <c r="AV418" s="164"/>
      <c r="BA418" s="202"/>
      <c r="BC418" s="203"/>
      <c r="BD418" s="194"/>
      <c r="BE418" s="194"/>
    </row>
    <row r="419">
      <c r="A419" s="6"/>
      <c r="B419" s="6"/>
      <c r="C419" s="196"/>
      <c r="E419" s="197"/>
      <c r="F419" s="196"/>
      <c r="G419" s="198"/>
      <c r="H419" s="198"/>
      <c r="I419" s="198"/>
      <c r="J419" s="198"/>
      <c r="K419" s="198"/>
      <c r="L419" s="198"/>
      <c r="M419" s="199"/>
      <c r="N419" s="199"/>
      <c r="O419" s="199"/>
      <c r="P419" s="200"/>
      <c r="Q419" s="201"/>
      <c r="R419" s="200"/>
      <c r="S419" s="200"/>
      <c r="T419" s="200"/>
      <c r="U419" s="200"/>
      <c r="V419" s="201"/>
      <c r="W419" s="201"/>
      <c r="X419" s="200"/>
      <c r="Y419" s="200"/>
      <c r="Z419" s="200"/>
      <c r="AA419" s="200"/>
      <c r="AB419" s="200"/>
      <c r="AC419" s="200"/>
      <c r="AD419" s="200"/>
      <c r="AE419" s="200"/>
      <c r="AF419" s="200"/>
      <c r="AG419" s="200"/>
      <c r="AH419" s="200"/>
      <c r="AI419" s="200"/>
      <c r="AJ419" s="200"/>
      <c r="AK419" s="200"/>
      <c r="AL419" s="200"/>
      <c r="AM419" s="200"/>
      <c r="AN419" s="198"/>
      <c r="AO419" s="201"/>
      <c r="AP419" s="198"/>
      <c r="AQ419" s="200"/>
      <c r="AR419" s="199"/>
      <c r="AS419" s="198"/>
      <c r="AV419" s="164"/>
      <c r="BA419" s="202"/>
      <c r="BC419" s="203"/>
      <c r="BD419" s="194"/>
      <c r="BE419" s="194"/>
    </row>
    <row r="420">
      <c r="A420" s="6"/>
      <c r="B420" s="6"/>
      <c r="C420" s="196"/>
      <c r="E420" s="197"/>
      <c r="F420" s="196"/>
      <c r="G420" s="198"/>
      <c r="H420" s="198"/>
      <c r="I420" s="198"/>
      <c r="J420" s="198"/>
      <c r="K420" s="198"/>
      <c r="L420" s="198"/>
      <c r="M420" s="199"/>
      <c r="N420" s="199"/>
      <c r="O420" s="199"/>
      <c r="P420" s="200"/>
      <c r="Q420" s="201"/>
      <c r="R420" s="200"/>
      <c r="S420" s="200"/>
      <c r="T420" s="200"/>
      <c r="U420" s="200"/>
      <c r="V420" s="201"/>
      <c r="W420" s="201"/>
      <c r="X420" s="200"/>
      <c r="Y420" s="200"/>
      <c r="Z420" s="200"/>
      <c r="AA420" s="200"/>
      <c r="AB420" s="200"/>
      <c r="AC420" s="200"/>
      <c r="AD420" s="200"/>
      <c r="AE420" s="200"/>
      <c r="AF420" s="200"/>
      <c r="AG420" s="200"/>
      <c r="AH420" s="200"/>
      <c r="AI420" s="200"/>
      <c r="AJ420" s="200"/>
      <c r="AK420" s="200"/>
      <c r="AL420" s="200"/>
      <c r="AM420" s="200"/>
      <c r="AN420" s="198"/>
      <c r="AO420" s="201"/>
      <c r="AP420" s="198"/>
      <c r="AQ420" s="200"/>
      <c r="AR420" s="199"/>
      <c r="AS420" s="198"/>
      <c r="AV420" s="164"/>
      <c r="BA420" s="202"/>
      <c r="BC420" s="203"/>
      <c r="BD420" s="194"/>
      <c r="BE420" s="194"/>
    </row>
    <row r="421">
      <c r="A421" s="6"/>
      <c r="B421" s="6"/>
      <c r="C421" s="196"/>
      <c r="E421" s="197"/>
      <c r="F421" s="196"/>
      <c r="G421" s="198"/>
      <c r="H421" s="198"/>
      <c r="I421" s="198"/>
      <c r="J421" s="198"/>
      <c r="K421" s="198"/>
      <c r="L421" s="198"/>
      <c r="M421" s="199"/>
      <c r="N421" s="199"/>
      <c r="O421" s="199"/>
      <c r="P421" s="200"/>
      <c r="Q421" s="201"/>
      <c r="R421" s="200"/>
      <c r="S421" s="200"/>
      <c r="T421" s="200"/>
      <c r="U421" s="200"/>
      <c r="V421" s="201"/>
      <c r="W421" s="201"/>
      <c r="X421" s="200"/>
      <c r="Y421" s="200"/>
      <c r="Z421" s="200"/>
      <c r="AA421" s="200"/>
      <c r="AB421" s="200"/>
      <c r="AC421" s="200"/>
      <c r="AD421" s="200"/>
      <c r="AE421" s="200"/>
      <c r="AF421" s="200"/>
      <c r="AG421" s="200"/>
      <c r="AH421" s="200"/>
      <c r="AI421" s="200"/>
      <c r="AJ421" s="200"/>
      <c r="AK421" s="200"/>
      <c r="AL421" s="200"/>
      <c r="AM421" s="200"/>
      <c r="AN421" s="198"/>
      <c r="AO421" s="201"/>
      <c r="AP421" s="198"/>
      <c r="AQ421" s="200"/>
      <c r="AR421" s="199"/>
      <c r="AS421" s="198"/>
      <c r="AV421" s="164"/>
      <c r="BA421" s="202"/>
      <c r="BC421" s="203"/>
      <c r="BD421" s="194"/>
      <c r="BE421" s="194"/>
    </row>
    <row r="422">
      <c r="A422" s="6"/>
      <c r="B422" s="6"/>
      <c r="C422" s="196"/>
      <c r="E422" s="197"/>
      <c r="F422" s="196"/>
      <c r="G422" s="198"/>
      <c r="H422" s="198"/>
      <c r="I422" s="198"/>
      <c r="J422" s="198"/>
      <c r="K422" s="198"/>
      <c r="L422" s="198"/>
      <c r="M422" s="199"/>
      <c r="N422" s="199"/>
      <c r="O422" s="199"/>
      <c r="P422" s="200"/>
      <c r="Q422" s="201"/>
      <c r="R422" s="200"/>
      <c r="S422" s="200"/>
      <c r="T422" s="200"/>
      <c r="U422" s="200"/>
      <c r="V422" s="201"/>
      <c r="W422" s="201"/>
      <c r="X422" s="200"/>
      <c r="Y422" s="200"/>
      <c r="Z422" s="200"/>
      <c r="AA422" s="200"/>
      <c r="AB422" s="200"/>
      <c r="AC422" s="200"/>
      <c r="AD422" s="200"/>
      <c r="AE422" s="200"/>
      <c r="AF422" s="200"/>
      <c r="AG422" s="200"/>
      <c r="AH422" s="200"/>
      <c r="AI422" s="200"/>
      <c r="AJ422" s="200"/>
      <c r="AK422" s="200"/>
      <c r="AL422" s="200"/>
      <c r="AM422" s="200"/>
      <c r="AN422" s="198"/>
      <c r="AO422" s="201"/>
      <c r="AP422" s="198"/>
      <c r="AQ422" s="200"/>
      <c r="AR422" s="199"/>
      <c r="AS422" s="198"/>
      <c r="AV422" s="164"/>
      <c r="BA422" s="202"/>
      <c r="BC422" s="203"/>
      <c r="BD422" s="194"/>
      <c r="BE422" s="194"/>
    </row>
    <row r="423">
      <c r="A423" s="6"/>
      <c r="B423" s="6"/>
      <c r="C423" s="196"/>
      <c r="E423" s="197"/>
      <c r="F423" s="196"/>
      <c r="G423" s="198"/>
      <c r="H423" s="198"/>
      <c r="I423" s="198"/>
      <c r="J423" s="198"/>
      <c r="K423" s="198"/>
      <c r="L423" s="198"/>
      <c r="M423" s="199"/>
      <c r="N423" s="199"/>
      <c r="O423" s="199"/>
      <c r="P423" s="200"/>
      <c r="Q423" s="201"/>
      <c r="R423" s="200"/>
      <c r="S423" s="200"/>
      <c r="T423" s="200"/>
      <c r="U423" s="200"/>
      <c r="V423" s="201"/>
      <c r="W423" s="201"/>
      <c r="X423" s="200"/>
      <c r="Y423" s="200"/>
      <c r="Z423" s="200"/>
      <c r="AA423" s="200"/>
      <c r="AB423" s="200"/>
      <c r="AC423" s="200"/>
      <c r="AD423" s="200"/>
      <c r="AE423" s="200"/>
      <c r="AF423" s="200"/>
      <c r="AG423" s="200"/>
      <c r="AH423" s="200"/>
      <c r="AI423" s="200"/>
      <c r="AJ423" s="200"/>
      <c r="AK423" s="200"/>
      <c r="AL423" s="200"/>
      <c r="AM423" s="200"/>
      <c r="AN423" s="198"/>
      <c r="AO423" s="201"/>
      <c r="AP423" s="198"/>
      <c r="AQ423" s="200"/>
      <c r="AR423" s="199"/>
      <c r="AS423" s="198"/>
      <c r="AV423" s="164"/>
      <c r="BA423" s="202"/>
      <c r="BC423" s="203"/>
      <c r="BD423" s="194"/>
      <c r="BE423" s="194"/>
    </row>
    <row r="424">
      <c r="A424" s="6"/>
      <c r="B424" s="6"/>
      <c r="C424" s="196"/>
      <c r="E424" s="197"/>
      <c r="F424" s="196"/>
      <c r="G424" s="198"/>
      <c r="H424" s="198"/>
      <c r="I424" s="198"/>
      <c r="J424" s="198"/>
      <c r="K424" s="198"/>
      <c r="L424" s="198"/>
      <c r="M424" s="199"/>
      <c r="N424" s="199"/>
      <c r="O424" s="199"/>
      <c r="P424" s="200"/>
      <c r="Q424" s="201"/>
      <c r="R424" s="200"/>
      <c r="S424" s="200"/>
      <c r="T424" s="200"/>
      <c r="U424" s="200"/>
      <c r="V424" s="201"/>
      <c r="W424" s="201"/>
      <c r="X424" s="200"/>
      <c r="Y424" s="200"/>
      <c r="Z424" s="200"/>
      <c r="AA424" s="200"/>
      <c r="AB424" s="200"/>
      <c r="AC424" s="200"/>
      <c r="AD424" s="200"/>
      <c r="AE424" s="200"/>
      <c r="AF424" s="200"/>
      <c r="AG424" s="200"/>
      <c r="AH424" s="200"/>
      <c r="AI424" s="200"/>
      <c r="AJ424" s="200"/>
      <c r="AK424" s="200"/>
      <c r="AL424" s="200"/>
      <c r="AM424" s="200"/>
      <c r="AN424" s="198"/>
      <c r="AO424" s="201"/>
      <c r="AP424" s="198"/>
      <c r="AQ424" s="200"/>
      <c r="AR424" s="199"/>
      <c r="AS424" s="198"/>
      <c r="AV424" s="164"/>
      <c r="BA424" s="202"/>
      <c r="BC424" s="203"/>
      <c r="BD424" s="194"/>
      <c r="BE424" s="194"/>
    </row>
    <row r="425">
      <c r="A425" s="6"/>
      <c r="B425" s="6"/>
      <c r="C425" s="196"/>
      <c r="E425" s="197"/>
      <c r="F425" s="196"/>
      <c r="G425" s="198"/>
      <c r="H425" s="198"/>
      <c r="I425" s="198"/>
      <c r="J425" s="198"/>
      <c r="K425" s="198"/>
      <c r="L425" s="198"/>
      <c r="M425" s="199"/>
      <c r="N425" s="199"/>
      <c r="O425" s="199"/>
      <c r="P425" s="200"/>
      <c r="Q425" s="201"/>
      <c r="R425" s="200"/>
      <c r="S425" s="200"/>
      <c r="T425" s="200"/>
      <c r="U425" s="200"/>
      <c r="V425" s="201"/>
      <c r="W425" s="201"/>
      <c r="X425" s="200"/>
      <c r="Y425" s="200"/>
      <c r="Z425" s="200"/>
      <c r="AA425" s="200"/>
      <c r="AB425" s="200"/>
      <c r="AC425" s="200"/>
      <c r="AD425" s="200"/>
      <c r="AE425" s="200"/>
      <c r="AF425" s="200"/>
      <c r="AG425" s="200"/>
      <c r="AH425" s="200"/>
      <c r="AI425" s="200"/>
      <c r="AJ425" s="200"/>
      <c r="AK425" s="200"/>
      <c r="AL425" s="200"/>
      <c r="AM425" s="200"/>
      <c r="AN425" s="198"/>
      <c r="AO425" s="201"/>
      <c r="AP425" s="198"/>
      <c r="AQ425" s="200"/>
      <c r="AR425" s="199"/>
      <c r="AS425" s="198"/>
      <c r="AV425" s="164"/>
      <c r="BA425" s="202"/>
      <c r="BC425" s="203"/>
      <c r="BD425" s="194"/>
      <c r="BE425" s="194"/>
    </row>
    <row r="426">
      <c r="A426" s="6"/>
      <c r="B426" s="6"/>
      <c r="C426" s="196"/>
      <c r="E426" s="197"/>
      <c r="F426" s="196"/>
      <c r="G426" s="198"/>
      <c r="H426" s="198"/>
      <c r="I426" s="198"/>
      <c r="J426" s="198"/>
      <c r="K426" s="198"/>
      <c r="L426" s="198"/>
      <c r="M426" s="199"/>
      <c r="N426" s="199"/>
      <c r="O426" s="199"/>
      <c r="P426" s="200"/>
      <c r="Q426" s="201"/>
      <c r="R426" s="200"/>
      <c r="S426" s="200"/>
      <c r="T426" s="200"/>
      <c r="U426" s="200"/>
      <c r="V426" s="201"/>
      <c r="W426" s="201"/>
      <c r="X426" s="200"/>
      <c r="Y426" s="200"/>
      <c r="Z426" s="200"/>
      <c r="AA426" s="200"/>
      <c r="AB426" s="200"/>
      <c r="AC426" s="200"/>
      <c r="AD426" s="200"/>
      <c r="AE426" s="200"/>
      <c r="AF426" s="200"/>
      <c r="AG426" s="200"/>
      <c r="AH426" s="200"/>
      <c r="AI426" s="200"/>
      <c r="AJ426" s="200"/>
      <c r="AK426" s="200"/>
      <c r="AL426" s="200"/>
      <c r="AM426" s="200"/>
      <c r="AN426" s="198"/>
      <c r="AO426" s="201"/>
      <c r="AP426" s="198"/>
      <c r="AQ426" s="200"/>
      <c r="AR426" s="199"/>
      <c r="AS426" s="198"/>
      <c r="AV426" s="164"/>
      <c r="BA426" s="202"/>
      <c r="BC426" s="203"/>
      <c r="BD426" s="194"/>
      <c r="BE426" s="194"/>
    </row>
    <row r="427">
      <c r="A427" s="6"/>
      <c r="B427" s="6"/>
      <c r="C427" s="196"/>
      <c r="E427" s="197"/>
      <c r="F427" s="196"/>
      <c r="G427" s="198"/>
      <c r="H427" s="198"/>
      <c r="I427" s="198"/>
      <c r="J427" s="198"/>
      <c r="K427" s="198"/>
      <c r="L427" s="198"/>
      <c r="M427" s="199"/>
      <c r="N427" s="199"/>
      <c r="O427" s="199"/>
      <c r="P427" s="200"/>
      <c r="Q427" s="201"/>
      <c r="R427" s="200"/>
      <c r="S427" s="200"/>
      <c r="T427" s="200"/>
      <c r="U427" s="200"/>
      <c r="V427" s="201"/>
      <c r="W427" s="201"/>
      <c r="X427" s="200"/>
      <c r="Y427" s="200"/>
      <c r="Z427" s="200"/>
      <c r="AA427" s="200"/>
      <c r="AB427" s="200"/>
      <c r="AC427" s="200"/>
      <c r="AD427" s="200"/>
      <c r="AE427" s="200"/>
      <c r="AF427" s="200"/>
      <c r="AG427" s="200"/>
      <c r="AH427" s="200"/>
      <c r="AI427" s="200"/>
      <c r="AJ427" s="200"/>
      <c r="AK427" s="200"/>
      <c r="AL427" s="200"/>
      <c r="AM427" s="200"/>
      <c r="AN427" s="198"/>
      <c r="AO427" s="201"/>
      <c r="AP427" s="198"/>
      <c r="AQ427" s="200"/>
      <c r="AR427" s="199"/>
      <c r="AS427" s="198"/>
      <c r="AV427" s="164"/>
      <c r="BA427" s="202"/>
      <c r="BC427" s="203"/>
      <c r="BD427" s="194"/>
      <c r="BE427" s="194"/>
    </row>
    <row r="428">
      <c r="A428" s="6"/>
      <c r="B428" s="6"/>
      <c r="C428" s="196"/>
      <c r="E428" s="197"/>
      <c r="F428" s="196"/>
      <c r="G428" s="198"/>
      <c r="H428" s="198"/>
      <c r="I428" s="198"/>
      <c r="J428" s="198"/>
      <c r="K428" s="198"/>
      <c r="L428" s="198"/>
      <c r="M428" s="199"/>
      <c r="N428" s="199"/>
      <c r="O428" s="199"/>
      <c r="P428" s="200"/>
      <c r="Q428" s="201"/>
      <c r="R428" s="200"/>
      <c r="S428" s="200"/>
      <c r="T428" s="200"/>
      <c r="U428" s="200"/>
      <c r="V428" s="201"/>
      <c r="W428" s="201"/>
      <c r="X428" s="200"/>
      <c r="Y428" s="200"/>
      <c r="Z428" s="200"/>
      <c r="AA428" s="200"/>
      <c r="AB428" s="200"/>
      <c r="AC428" s="200"/>
      <c r="AD428" s="200"/>
      <c r="AE428" s="200"/>
      <c r="AF428" s="200"/>
      <c r="AG428" s="200"/>
      <c r="AH428" s="200"/>
      <c r="AI428" s="200"/>
      <c r="AJ428" s="200"/>
      <c r="AK428" s="200"/>
      <c r="AL428" s="200"/>
      <c r="AM428" s="200"/>
      <c r="AN428" s="198"/>
      <c r="AO428" s="201"/>
      <c r="AP428" s="198"/>
      <c r="AQ428" s="200"/>
      <c r="AR428" s="199"/>
      <c r="AS428" s="198"/>
      <c r="AV428" s="164"/>
      <c r="BA428" s="202"/>
      <c r="BC428" s="203"/>
      <c r="BD428" s="194"/>
      <c r="BE428" s="194"/>
    </row>
    <row r="429">
      <c r="A429" s="6"/>
      <c r="B429" s="6"/>
      <c r="C429" s="196"/>
      <c r="E429" s="197"/>
      <c r="F429" s="196"/>
      <c r="G429" s="198"/>
      <c r="H429" s="198"/>
      <c r="I429" s="198"/>
      <c r="J429" s="198"/>
      <c r="K429" s="198"/>
      <c r="L429" s="198"/>
      <c r="M429" s="199"/>
      <c r="N429" s="199"/>
      <c r="O429" s="199"/>
      <c r="P429" s="200"/>
      <c r="Q429" s="201"/>
      <c r="R429" s="200"/>
      <c r="S429" s="200"/>
      <c r="T429" s="200"/>
      <c r="U429" s="200"/>
      <c r="V429" s="201"/>
      <c r="W429" s="201"/>
      <c r="X429" s="200"/>
      <c r="Y429" s="200"/>
      <c r="Z429" s="200"/>
      <c r="AA429" s="200"/>
      <c r="AB429" s="200"/>
      <c r="AC429" s="200"/>
      <c r="AD429" s="200"/>
      <c r="AE429" s="200"/>
      <c r="AF429" s="200"/>
      <c r="AG429" s="200"/>
      <c r="AH429" s="200"/>
      <c r="AI429" s="200"/>
      <c r="AJ429" s="200"/>
      <c r="AK429" s="200"/>
      <c r="AL429" s="200"/>
      <c r="AM429" s="200"/>
      <c r="AN429" s="198"/>
      <c r="AO429" s="201"/>
      <c r="AP429" s="198"/>
      <c r="AQ429" s="200"/>
      <c r="AR429" s="199"/>
      <c r="AS429" s="198"/>
      <c r="AV429" s="164"/>
      <c r="BA429" s="202"/>
      <c r="BC429" s="203"/>
      <c r="BD429" s="194"/>
      <c r="BE429" s="194"/>
    </row>
    <row r="430">
      <c r="A430" s="6"/>
      <c r="B430" s="6"/>
      <c r="C430" s="196"/>
      <c r="E430" s="197"/>
      <c r="F430" s="196"/>
      <c r="G430" s="198"/>
      <c r="H430" s="198"/>
      <c r="I430" s="198"/>
      <c r="J430" s="198"/>
      <c r="K430" s="198"/>
      <c r="L430" s="198"/>
      <c r="M430" s="199"/>
      <c r="N430" s="199"/>
      <c r="O430" s="199"/>
      <c r="P430" s="200"/>
      <c r="Q430" s="201"/>
      <c r="R430" s="200"/>
      <c r="S430" s="200"/>
      <c r="T430" s="200"/>
      <c r="U430" s="200"/>
      <c r="V430" s="201"/>
      <c r="W430" s="201"/>
      <c r="X430" s="200"/>
      <c r="Y430" s="200"/>
      <c r="Z430" s="200"/>
      <c r="AA430" s="200"/>
      <c r="AB430" s="200"/>
      <c r="AC430" s="200"/>
      <c r="AD430" s="200"/>
      <c r="AE430" s="200"/>
      <c r="AF430" s="200"/>
      <c r="AG430" s="200"/>
      <c r="AH430" s="200"/>
      <c r="AI430" s="200"/>
      <c r="AJ430" s="200"/>
      <c r="AK430" s="200"/>
      <c r="AL430" s="200"/>
      <c r="AM430" s="200"/>
      <c r="AN430" s="198"/>
      <c r="AO430" s="201"/>
      <c r="AP430" s="198"/>
      <c r="AQ430" s="200"/>
      <c r="AR430" s="199"/>
      <c r="AS430" s="198"/>
      <c r="AV430" s="164"/>
      <c r="BA430" s="202"/>
      <c r="BC430" s="203"/>
      <c r="BD430" s="194"/>
      <c r="BE430" s="194"/>
    </row>
    <row r="431">
      <c r="A431" s="6"/>
      <c r="B431" s="6"/>
      <c r="C431" s="196"/>
      <c r="E431" s="197"/>
      <c r="F431" s="196"/>
      <c r="G431" s="198"/>
      <c r="H431" s="198"/>
      <c r="I431" s="198"/>
      <c r="J431" s="198"/>
      <c r="K431" s="198"/>
      <c r="L431" s="198"/>
      <c r="M431" s="199"/>
      <c r="N431" s="199"/>
      <c r="O431" s="199"/>
      <c r="P431" s="200"/>
      <c r="Q431" s="201"/>
      <c r="R431" s="200"/>
      <c r="S431" s="200"/>
      <c r="T431" s="200"/>
      <c r="U431" s="200"/>
      <c r="V431" s="201"/>
      <c r="W431" s="201"/>
      <c r="X431" s="200"/>
      <c r="Y431" s="200"/>
      <c r="Z431" s="200"/>
      <c r="AA431" s="200"/>
      <c r="AB431" s="200"/>
      <c r="AC431" s="200"/>
      <c r="AD431" s="200"/>
      <c r="AE431" s="200"/>
      <c r="AF431" s="200"/>
      <c r="AG431" s="200"/>
      <c r="AH431" s="200"/>
      <c r="AI431" s="200"/>
      <c r="AJ431" s="200"/>
      <c r="AK431" s="200"/>
      <c r="AL431" s="200"/>
      <c r="AM431" s="200"/>
      <c r="AN431" s="198"/>
      <c r="AO431" s="201"/>
      <c r="AP431" s="198"/>
      <c r="AQ431" s="200"/>
      <c r="AR431" s="199"/>
      <c r="AS431" s="198"/>
      <c r="AV431" s="164"/>
      <c r="BA431" s="202"/>
      <c r="BC431" s="203"/>
      <c r="BD431" s="194"/>
      <c r="BE431" s="194"/>
    </row>
    <row r="432">
      <c r="A432" s="6"/>
      <c r="B432" s="6"/>
      <c r="C432" s="196"/>
      <c r="E432" s="197"/>
      <c r="F432" s="196"/>
      <c r="G432" s="198"/>
      <c r="H432" s="198"/>
      <c r="I432" s="198"/>
      <c r="J432" s="198"/>
      <c r="K432" s="198"/>
      <c r="L432" s="198"/>
      <c r="M432" s="199"/>
      <c r="N432" s="199"/>
      <c r="O432" s="199"/>
      <c r="P432" s="200"/>
      <c r="Q432" s="201"/>
      <c r="R432" s="200"/>
      <c r="S432" s="200"/>
      <c r="T432" s="200"/>
      <c r="U432" s="200"/>
      <c r="V432" s="201"/>
      <c r="W432" s="201"/>
      <c r="X432" s="200"/>
      <c r="Y432" s="200"/>
      <c r="Z432" s="200"/>
      <c r="AA432" s="200"/>
      <c r="AB432" s="200"/>
      <c r="AC432" s="200"/>
      <c r="AD432" s="200"/>
      <c r="AE432" s="200"/>
      <c r="AF432" s="200"/>
      <c r="AG432" s="200"/>
      <c r="AH432" s="200"/>
      <c r="AI432" s="200"/>
      <c r="AJ432" s="200"/>
      <c r="AK432" s="200"/>
      <c r="AL432" s="200"/>
      <c r="AM432" s="200"/>
      <c r="AN432" s="198"/>
      <c r="AO432" s="201"/>
      <c r="AP432" s="198"/>
      <c r="AQ432" s="200"/>
      <c r="AR432" s="199"/>
      <c r="AS432" s="198"/>
      <c r="AV432" s="164"/>
      <c r="BA432" s="202"/>
      <c r="BC432" s="203"/>
      <c r="BD432" s="194"/>
      <c r="BE432" s="194"/>
    </row>
    <row r="433">
      <c r="A433" s="6"/>
      <c r="B433" s="6"/>
      <c r="C433" s="196"/>
      <c r="E433" s="197"/>
      <c r="F433" s="196"/>
      <c r="G433" s="198"/>
      <c r="H433" s="198"/>
      <c r="I433" s="198"/>
      <c r="J433" s="198"/>
      <c r="K433" s="198"/>
      <c r="L433" s="198"/>
      <c r="M433" s="199"/>
      <c r="N433" s="199"/>
      <c r="O433" s="199"/>
      <c r="P433" s="200"/>
      <c r="Q433" s="201"/>
      <c r="R433" s="200"/>
      <c r="S433" s="200"/>
      <c r="T433" s="200"/>
      <c r="U433" s="200"/>
      <c r="V433" s="201"/>
      <c r="W433" s="201"/>
      <c r="X433" s="200"/>
      <c r="Y433" s="200"/>
      <c r="Z433" s="200"/>
      <c r="AA433" s="200"/>
      <c r="AB433" s="200"/>
      <c r="AC433" s="200"/>
      <c r="AD433" s="200"/>
      <c r="AE433" s="200"/>
      <c r="AF433" s="200"/>
      <c r="AG433" s="200"/>
      <c r="AH433" s="200"/>
      <c r="AI433" s="200"/>
      <c r="AJ433" s="200"/>
      <c r="AK433" s="200"/>
      <c r="AL433" s="200"/>
      <c r="AM433" s="200"/>
      <c r="AN433" s="198"/>
      <c r="AO433" s="201"/>
      <c r="AP433" s="198"/>
      <c r="AQ433" s="200"/>
      <c r="AR433" s="199"/>
      <c r="AS433" s="198"/>
      <c r="AV433" s="164"/>
      <c r="BA433" s="202"/>
      <c r="BC433" s="203"/>
      <c r="BD433" s="194"/>
      <c r="BE433" s="194"/>
    </row>
    <row r="434">
      <c r="A434" s="6"/>
      <c r="B434" s="6"/>
      <c r="C434" s="196"/>
      <c r="E434" s="197"/>
      <c r="F434" s="196"/>
      <c r="G434" s="198"/>
      <c r="H434" s="198"/>
      <c r="I434" s="198"/>
      <c r="J434" s="198"/>
      <c r="K434" s="198"/>
      <c r="L434" s="198"/>
      <c r="M434" s="199"/>
      <c r="N434" s="199"/>
      <c r="O434" s="199"/>
      <c r="P434" s="200"/>
      <c r="Q434" s="201"/>
      <c r="R434" s="200"/>
      <c r="S434" s="200"/>
      <c r="T434" s="200"/>
      <c r="U434" s="200"/>
      <c r="V434" s="201"/>
      <c r="W434" s="201"/>
      <c r="X434" s="200"/>
      <c r="Y434" s="200"/>
      <c r="Z434" s="200"/>
      <c r="AA434" s="200"/>
      <c r="AB434" s="200"/>
      <c r="AC434" s="200"/>
      <c r="AD434" s="200"/>
      <c r="AE434" s="200"/>
      <c r="AF434" s="200"/>
      <c r="AG434" s="200"/>
      <c r="AH434" s="200"/>
      <c r="AI434" s="200"/>
      <c r="AJ434" s="200"/>
      <c r="AK434" s="200"/>
      <c r="AL434" s="200"/>
      <c r="AM434" s="200"/>
      <c r="AN434" s="198"/>
      <c r="AO434" s="201"/>
      <c r="AP434" s="198"/>
      <c r="AQ434" s="200"/>
      <c r="AR434" s="199"/>
      <c r="AS434" s="198"/>
      <c r="AV434" s="164"/>
      <c r="BA434" s="202"/>
      <c r="BC434" s="203"/>
      <c r="BD434" s="194"/>
      <c r="BE434" s="194"/>
    </row>
    <row r="435">
      <c r="A435" s="6"/>
      <c r="B435" s="6"/>
      <c r="C435" s="196"/>
      <c r="E435" s="197"/>
      <c r="F435" s="196"/>
      <c r="G435" s="198"/>
      <c r="H435" s="198"/>
      <c r="I435" s="198"/>
      <c r="J435" s="198"/>
      <c r="K435" s="198"/>
      <c r="L435" s="198"/>
      <c r="M435" s="199"/>
      <c r="N435" s="199"/>
      <c r="O435" s="199"/>
      <c r="P435" s="200"/>
      <c r="Q435" s="201"/>
      <c r="R435" s="200"/>
      <c r="S435" s="200"/>
      <c r="T435" s="200"/>
      <c r="U435" s="200"/>
      <c r="V435" s="201"/>
      <c r="W435" s="201"/>
      <c r="X435" s="200"/>
      <c r="Y435" s="200"/>
      <c r="Z435" s="200"/>
      <c r="AA435" s="200"/>
      <c r="AB435" s="200"/>
      <c r="AC435" s="200"/>
      <c r="AD435" s="200"/>
      <c r="AE435" s="200"/>
      <c r="AF435" s="200"/>
      <c r="AG435" s="200"/>
      <c r="AH435" s="200"/>
      <c r="AI435" s="200"/>
      <c r="AJ435" s="200"/>
      <c r="AK435" s="200"/>
      <c r="AL435" s="200"/>
      <c r="AM435" s="200"/>
      <c r="AN435" s="198"/>
      <c r="AO435" s="201"/>
      <c r="AP435" s="198"/>
      <c r="AQ435" s="200"/>
      <c r="AR435" s="199"/>
      <c r="AS435" s="198"/>
      <c r="AV435" s="164"/>
      <c r="BA435" s="202"/>
      <c r="BC435" s="203"/>
      <c r="BD435" s="194"/>
      <c r="BE435" s="194"/>
    </row>
    <row r="436">
      <c r="A436" s="6"/>
      <c r="B436" s="6"/>
      <c r="C436" s="196"/>
      <c r="E436" s="197"/>
      <c r="F436" s="196"/>
      <c r="G436" s="198"/>
      <c r="H436" s="198"/>
      <c r="I436" s="198"/>
      <c r="J436" s="198"/>
      <c r="K436" s="198"/>
      <c r="L436" s="198"/>
      <c r="M436" s="199"/>
      <c r="N436" s="199"/>
      <c r="O436" s="199"/>
      <c r="P436" s="200"/>
      <c r="Q436" s="201"/>
      <c r="R436" s="200"/>
      <c r="S436" s="200"/>
      <c r="T436" s="200"/>
      <c r="U436" s="200"/>
      <c r="V436" s="201"/>
      <c r="W436" s="201"/>
      <c r="X436" s="200"/>
      <c r="Y436" s="200"/>
      <c r="Z436" s="200"/>
      <c r="AA436" s="200"/>
      <c r="AB436" s="200"/>
      <c r="AC436" s="200"/>
      <c r="AD436" s="200"/>
      <c r="AE436" s="200"/>
      <c r="AF436" s="200"/>
      <c r="AG436" s="200"/>
      <c r="AH436" s="200"/>
      <c r="AI436" s="200"/>
      <c r="AJ436" s="200"/>
      <c r="AK436" s="200"/>
      <c r="AL436" s="200"/>
      <c r="AM436" s="200"/>
      <c r="AN436" s="198"/>
      <c r="AO436" s="201"/>
      <c r="AP436" s="198"/>
      <c r="AQ436" s="200"/>
      <c r="AR436" s="199"/>
      <c r="AS436" s="198"/>
      <c r="AV436" s="164"/>
      <c r="BA436" s="202"/>
      <c r="BC436" s="203"/>
      <c r="BD436" s="194"/>
      <c r="BE436" s="194"/>
    </row>
    <row r="437">
      <c r="A437" s="6"/>
      <c r="B437" s="6"/>
      <c r="C437" s="196"/>
      <c r="E437" s="197"/>
      <c r="F437" s="196"/>
      <c r="G437" s="198"/>
      <c r="H437" s="198"/>
      <c r="I437" s="198"/>
      <c r="J437" s="198"/>
      <c r="K437" s="198"/>
      <c r="L437" s="198"/>
      <c r="M437" s="199"/>
      <c r="N437" s="199"/>
      <c r="O437" s="199"/>
      <c r="P437" s="200"/>
      <c r="Q437" s="201"/>
      <c r="R437" s="200"/>
      <c r="S437" s="200"/>
      <c r="T437" s="200"/>
      <c r="U437" s="200"/>
      <c r="V437" s="201"/>
      <c r="W437" s="201"/>
      <c r="X437" s="200"/>
      <c r="Y437" s="200"/>
      <c r="Z437" s="200"/>
      <c r="AA437" s="200"/>
      <c r="AB437" s="200"/>
      <c r="AC437" s="200"/>
      <c r="AD437" s="200"/>
      <c r="AE437" s="200"/>
      <c r="AF437" s="200"/>
      <c r="AG437" s="200"/>
      <c r="AH437" s="200"/>
      <c r="AI437" s="200"/>
      <c r="AJ437" s="200"/>
      <c r="AK437" s="200"/>
      <c r="AL437" s="200"/>
      <c r="AM437" s="200"/>
      <c r="AN437" s="198"/>
      <c r="AO437" s="201"/>
      <c r="AP437" s="198"/>
      <c r="AQ437" s="200"/>
      <c r="AR437" s="199"/>
      <c r="AS437" s="198"/>
      <c r="AV437" s="164"/>
      <c r="BA437" s="202"/>
      <c r="BC437" s="203"/>
      <c r="BD437" s="194"/>
      <c r="BE437" s="194"/>
    </row>
    <row r="438">
      <c r="A438" s="6"/>
      <c r="B438" s="6"/>
      <c r="C438" s="196"/>
      <c r="E438" s="197"/>
      <c r="F438" s="196"/>
      <c r="G438" s="198"/>
      <c r="H438" s="198"/>
      <c r="I438" s="198"/>
      <c r="J438" s="198"/>
      <c r="K438" s="198"/>
      <c r="L438" s="198"/>
      <c r="M438" s="199"/>
      <c r="N438" s="199"/>
      <c r="O438" s="199"/>
      <c r="P438" s="200"/>
      <c r="Q438" s="201"/>
      <c r="R438" s="200"/>
      <c r="S438" s="200"/>
      <c r="T438" s="200"/>
      <c r="U438" s="200"/>
      <c r="V438" s="201"/>
      <c r="W438" s="201"/>
      <c r="X438" s="200"/>
      <c r="Y438" s="200"/>
      <c r="Z438" s="200"/>
      <c r="AA438" s="200"/>
      <c r="AB438" s="200"/>
      <c r="AC438" s="200"/>
      <c r="AD438" s="200"/>
      <c r="AE438" s="200"/>
      <c r="AF438" s="200"/>
      <c r="AG438" s="200"/>
      <c r="AH438" s="200"/>
      <c r="AI438" s="200"/>
      <c r="AJ438" s="200"/>
      <c r="AK438" s="200"/>
      <c r="AL438" s="200"/>
      <c r="AM438" s="200"/>
      <c r="AN438" s="198"/>
      <c r="AO438" s="201"/>
      <c r="AP438" s="198"/>
      <c r="AQ438" s="200"/>
      <c r="AR438" s="199"/>
      <c r="AS438" s="198"/>
      <c r="AV438" s="164"/>
      <c r="BA438" s="202"/>
      <c r="BC438" s="203"/>
      <c r="BD438" s="194"/>
      <c r="BE438" s="194"/>
    </row>
    <row r="439">
      <c r="A439" s="6"/>
      <c r="B439" s="6"/>
      <c r="C439" s="196"/>
      <c r="E439" s="197"/>
      <c r="F439" s="196"/>
      <c r="G439" s="198"/>
      <c r="H439" s="198"/>
      <c r="I439" s="198"/>
      <c r="J439" s="198"/>
      <c r="K439" s="198"/>
      <c r="L439" s="198"/>
      <c r="M439" s="199"/>
      <c r="N439" s="199"/>
      <c r="O439" s="199"/>
      <c r="P439" s="200"/>
      <c r="Q439" s="201"/>
      <c r="R439" s="200"/>
      <c r="S439" s="200"/>
      <c r="T439" s="200"/>
      <c r="U439" s="200"/>
      <c r="V439" s="201"/>
      <c r="W439" s="201"/>
      <c r="X439" s="200"/>
      <c r="Y439" s="200"/>
      <c r="Z439" s="200"/>
      <c r="AA439" s="200"/>
      <c r="AB439" s="200"/>
      <c r="AC439" s="200"/>
      <c r="AD439" s="200"/>
      <c r="AE439" s="200"/>
      <c r="AF439" s="200"/>
      <c r="AG439" s="200"/>
      <c r="AH439" s="200"/>
      <c r="AI439" s="200"/>
      <c r="AJ439" s="200"/>
      <c r="AK439" s="200"/>
      <c r="AL439" s="200"/>
      <c r="AM439" s="200"/>
      <c r="AN439" s="198"/>
      <c r="AO439" s="201"/>
      <c r="AP439" s="198"/>
      <c r="AQ439" s="200"/>
      <c r="AR439" s="199"/>
      <c r="AS439" s="198"/>
      <c r="AV439" s="164"/>
      <c r="BA439" s="202"/>
      <c r="BC439" s="203"/>
      <c r="BD439" s="194"/>
      <c r="BE439" s="194"/>
    </row>
    <row r="440">
      <c r="A440" s="6"/>
      <c r="B440" s="6"/>
      <c r="C440" s="196"/>
      <c r="E440" s="197"/>
      <c r="F440" s="196"/>
      <c r="G440" s="198"/>
      <c r="H440" s="198"/>
      <c r="I440" s="198"/>
      <c r="J440" s="198"/>
      <c r="K440" s="198"/>
      <c r="L440" s="198"/>
      <c r="M440" s="199"/>
      <c r="N440" s="199"/>
      <c r="O440" s="199"/>
      <c r="P440" s="200"/>
      <c r="Q440" s="201"/>
      <c r="R440" s="200"/>
      <c r="S440" s="200"/>
      <c r="T440" s="200"/>
      <c r="U440" s="200"/>
      <c r="V440" s="201"/>
      <c r="W440" s="201"/>
      <c r="X440" s="200"/>
      <c r="Y440" s="200"/>
      <c r="Z440" s="200"/>
      <c r="AA440" s="200"/>
      <c r="AB440" s="200"/>
      <c r="AC440" s="200"/>
      <c r="AD440" s="200"/>
      <c r="AE440" s="200"/>
      <c r="AF440" s="200"/>
      <c r="AG440" s="200"/>
      <c r="AH440" s="200"/>
      <c r="AI440" s="200"/>
      <c r="AJ440" s="200"/>
      <c r="AK440" s="200"/>
      <c r="AL440" s="200"/>
      <c r="AM440" s="200"/>
      <c r="AN440" s="198"/>
      <c r="AO440" s="201"/>
      <c r="AP440" s="198"/>
      <c r="AQ440" s="200"/>
      <c r="AR440" s="199"/>
      <c r="AS440" s="198"/>
      <c r="AV440" s="164"/>
      <c r="BA440" s="202"/>
      <c r="BC440" s="203"/>
      <c r="BD440" s="194"/>
      <c r="BE440" s="194"/>
    </row>
    <row r="441">
      <c r="A441" s="6"/>
      <c r="B441" s="6"/>
      <c r="C441" s="196"/>
      <c r="E441" s="197"/>
      <c r="F441" s="196"/>
      <c r="G441" s="198"/>
      <c r="H441" s="198"/>
      <c r="I441" s="198"/>
      <c r="J441" s="198"/>
      <c r="K441" s="198"/>
      <c r="L441" s="198"/>
      <c r="M441" s="199"/>
      <c r="N441" s="199"/>
      <c r="O441" s="199"/>
      <c r="P441" s="200"/>
      <c r="Q441" s="201"/>
      <c r="R441" s="200"/>
      <c r="S441" s="200"/>
      <c r="T441" s="200"/>
      <c r="U441" s="200"/>
      <c r="V441" s="201"/>
      <c r="W441" s="201"/>
      <c r="X441" s="200"/>
      <c r="Y441" s="200"/>
      <c r="Z441" s="200"/>
      <c r="AA441" s="200"/>
      <c r="AB441" s="200"/>
      <c r="AC441" s="200"/>
      <c r="AD441" s="200"/>
      <c r="AE441" s="200"/>
      <c r="AF441" s="200"/>
      <c r="AG441" s="200"/>
      <c r="AH441" s="200"/>
      <c r="AI441" s="200"/>
      <c r="AJ441" s="200"/>
      <c r="AK441" s="200"/>
      <c r="AL441" s="200"/>
      <c r="AM441" s="200"/>
      <c r="AN441" s="198"/>
      <c r="AO441" s="201"/>
      <c r="AP441" s="198"/>
      <c r="AQ441" s="200"/>
      <c r="AR441" s="199"/>
      <c r="AS441" s="198"/>
      <c r="AV441" s="164"/>
      <c r="BA441" s="202"/>
      <c r="BC441" s="203"/>
      <c r="BD441" s="194"/>
      <c r="BE441" s="194"/>
    </row>
    <row r="442">
      <c r="A442" s="6"/>
      <c r="B442" s="6"/>
      <c r="C442" s="196"/>
      <c r="E442" s="197"/>
      <c r="F442" s="196"/>
      <c r="G442" s="198"/>
      <c r="H442" s="198"/>
      <c r="I442" s="198"/>
      <c r="J442" s="198"/>
      <c r="K442" s="198"/>
      <c r="L442" s="198"/>
      <c r="M442" s="199"/>
      <c r="N442" s="199"/>
      <c r="O442" s="199"/>
      <c r="P442" s="200"/>
      <c r="Q442" s="201"/>
      <c r="R442" s="200"/>
      <c r="S442" s="200"/>
      <c r="T442" s="200"/>
      <c r="U442" s="200"/>
      <c r="V442" s="201"/>
      <c r="W442" s="201"/>
      <c r="X442" s="200"/>
      <c r="Y442" s="200"/>
      <c r="Z442" s="200"/>
      <c r="AA442" s="200"/>
      <c r="AB442" s="200"/>
      <c r="AC442" s="200"/>
      <c r="AD442" s="200"/>
      <c r="AE442" s="200"/>
      <c r="AF442" s="200"/>
      <c r="AG442" s="200"/>
      <c r="AH442" s="200"/>
      <c r="AI442" s="200"/>
      <c r="AJ442" s="200"/>
      <c r="AK442" s="200"/>
      <c r="AL442" s="200"/>
      <c r="AM442" s="200"/>
      <c r="AN442" s="198"/>
      <c r="AO442" s="201"/>
      <c r="AP442" s="198"/>
      <c r="AQ442" s="200"/>
      <c r="AR442" s="199"/>
      <c r="AS442" s="198"/>
      <c r="AV442" s="164"/>
      <c r="BA442" s="202"/>
      <c r="BC442" s="203"/>
      <c r="BD442" s="194"/>
      <c r="BE442" s="194"/>
    </row>
    <row r="443">
      <c r="A443" s="6"/>
      <c r="B443" s="6"/>
      <c r="C443" s="196"/>
      <c r="E443" s="197"/>
      <c r="F443" s="196"/>
      <c r="G443" s="198"/>
      <c r="H443" s="198"/>
      <c r="I443" s="198"/>
      <c r="J443" s="198"/>
      <c r="K443" s="198"/>
      <c r="L443" s="198"/>
      <c r="M443" s="199"/>
      <c r="N443" s="199"/>
      <c r="O443" s="199"/>
      <c r="P443" s="200"/>
      <c r="Q443" s="201"/>
      <c r="R443" s="200"/>
      <c r="S443" s="200"/>
      <c r="T443" s="200"/>
      <c r="U443" s="200"/>
      <c r="V443" s="201"/>
      <c r="W443" s="201"/>
      <c r="X443" s="200"/>
      <c r="Y443" s="200"/>
      <c r="Z443" s="200"/>
      <c r="AA443" s="200"/>
      <c r="AB443" s="200"/>
      <c r="AC443" s="200"/>
      <c r="AD443" s="200"/>
      <c r="AE443" s="200"/>
      <c r="AF443" s="200"/>
      <c r="AG443" s="200"/>
      <c r="AH443" s="200"/>
      <c r="AI443" s="200"/>
      <c r="AJ443" s="200"/>
      <c r="AK443" s="200"/>
      <c r="AL443" s="200"/>
      <c r="AM443" s="200"/>
      <c r="AN443" s="198"/>
      <c r="AO443" s="201"/>
      <c r="AP443" s="198"/>
      <c r="AQ443" s="200"/>
      <c r="AR443" s="199"/>
      <c r="AS443" s="198"/>
      <c r="AV443" s="164"/>
      <c r="BA443" s="202"/>
      <c r="BC443" s="203"/>
      <c r="BD443" s="194"/>
      <c r="BE443" s="194"/>
    </row>
    <row r="444">
      <c r="A444" s="6"/>
      <c r="B444" s="6"/>
      <c r="C444" s="196"/>
      <c r="E444" s="197"/>
      <c r="F444" s="196"/>
      <c r="G444" s="198"/>
      <c r="H444" s="198"/>
      <c r="I444" s="198"/>
      <c r="J444" s="198"/>
      <c r="K444" s="198"/>
      <c r="L444" s="198"/>
      <c r="M444" s="199"/>
      <c r="N444" s="199"/>
      <c r="O444" s="199"/>
      <c r="P444" s="200"/>
      <c r="Q444" s="201"/>
      <c r="R444" s="200"/>
      <c r="S444" s="200"/>
      <c r="T444" s="200"/>
      <c r="U444" s="200"/>
      <c r="V444" s="201"/>
      <c r="W444" s="201"/>
      <c r="X444" s="200"/>
      <c r="Y444" s="200"/>
      <c r="Z444" s="200"/>
      <c r="AA444" s="200"/>
      <c r="AB444" s="200"/>
      <c r="AC444" s="200"/>
      <c r="AD444" s="200"/>
      <c r="AE444" s="200"/>
      <c r="AF444" s="200"/>
      <c r="AG444" s="200"/>
      <c r="AH444" s="200"/>
      <c r="AI444" s="200"/>
      <c r="AJ444" s="200"/>
      <c r="AK444" s="200"/>
      <c r="AL444" s="200"/>
      <c r="AM444" s="200"/>
      <c r="AN444" s="198"/>
      <c r="AO444" s="201"/>
      <c r="AP444" s="198"/>
      <c r="AQ444" s="200"/>
      <c r="AR444" s="199"/>
      <c r="AS444" s="198"/>
      <c r="AV444" s="164"/>
      <c r="BA444" s="202"/>
      <c r="BC444" s="203"/>
      <c r="BD444" s="194"/>
      <c r="BE444" s="194"/>
    </row>
    <row r="445">
      <c r="A445" s="6"/>
      <c r="B445" s="6"/>
      <c r="C445" s="196"/>
      <c r="E445" s="197"/>
      <c r="F445" s="196"/>
      <c r="G445" s="198"/>
      <c r="H445" s="198"/>
      <c r="I445" s="198"/>
      <c r="J445" s="198"/>
      <c r="K445" s="198"/>
      <c r="L445" s="198"/>
      <c r="M445" s="199"/>
      <c r="N445" s="199"/>
      <c r="O445" s="199"/>
      <c r="P445" s="200"/>
      <c r="Q445" s="201"/>
      <c r="R445" s="200"/>
      <c r="S445" s="200"/>
      <c r="T445" s="200"/>
      <c r="U445" s="200"/>
      <c r="V445" s="201"/>
      <c r="W445" s="201"/>
      <c r="X445" s="200"/>
      <c r="Y445" s="200"/>
      <c r="Z445" s="200"/>
      <c r="AA445" s="200"/>
      <c r="AB445" s="200"/>
      <c r="AC445" s="200"/>
      <c r="AD445" s="200"/>
      <c r="AE445" s="200"/>
      <c r="AF445" s="200"/>
      <c r="AG445" s="200"/>
      <c r="AH445" s="200"/>
      <c r="AI445" s="200"/>
      <c r="AJ445" s="200"/>
      <c r="AK445" s="200"/>
      <c r="AL445" s="200"/>
      <c r="AM445" s="200"/>
      <c r="AN445" s="198"/>
      <c r="AO445" s="201"/>
      <c r="AP445" s="198"/>
      <c r="AQ445" s="200"/>
      <c r="AR445" s="199"/>
      <c r="AS445" s="198"/>
      <c r="AV445" s="164"/>
      <c r="BA445" s="202"/>
      <c r="BC445" s="203"/>
      <c r="BD445" s="194"/>
      <c r="BE445" s="194"/>
    </row>
    <row r="446">
      <c r="A446" s="6"/>
      <c r="B446" s="6"/>
      <c r="C446" s="196"/>
      <c r="E446" s="197"/>
      <c r="F446" s="196"/>
      <c r="G446" s="198"/>
      <c r="H446" s="198"/>
      <c r="I446" s="198"/>
      <c r="J446" s="198"/>
      <c r="K446" s="198"/>
      <c r="L446" s="198"/>
      <c r="M446" s="199"/>
      <c r="N446" s="199"/>
      <c r="O446" s="199"/>
      <c r="P446" s="200"/>
      <c r="Q446" s="201"/>
      <c r="R446" s="200"/>
      <c r="S446" s="200"/>
      <c r="T446" s="200"/>
      <c r="U446" s="200"/>
      <c r="V446" s="201"/>
      <c r="W446" s="201"/>
      <c r="X446" s="200"/>
      <c r="Y446" s="200"/>
      <c r="Z446" s="200"/>
      <c r="AA446" s="200"/>
      <c r="AB446" s="200"/>
      <c r="AC446" s="200"/>
      <c r="AD446" s="200"/>
      <c r="AE446" s="200"/>
      <c r="AF446" s="200"/>
      <c r="AG446" s="200"/>
      <c r="AH446" s="200"/>
      <c r="AI446" s="200"/>
      <c r="AJ446" s="200"/>
      <c r="AK446" s="200"/>
      <c r="AL446" s="200"/>
      <c r="AM446" s="200"/>
      <c r="AN446" s="198"/>
      <c r="AO446" s="201"/>
      <c r="AP446" s="198"/>
      <c r="AQ446" s="200"/>
      <c r="AR446" s="199"/>
      <c r="AS446" s="198"/>
      <c r="AV446" s="164"/>
      <c r="BA446" s="202"/>
      <c r="BC446" s="203"/>
      <c r="BD446" s="194"/>
      <c r="BE446" s="194"/>
    </row>
    <row r="447">
      <c r="A447" s="6"/>
      <c r="B447" s="6"/>
      <c r="C447" s="196"/>
      <c r="E447" s="197"/>
      <c r="F447" s="196"/>
      <c r="G447" s="198"/>
      <c r="H447" s="198"/>
      <c r="I447" s="198"/>
      <c r="J447" s="198"/>
      <c r="K447" s="198"/>
      <c r="L447" s="198"/>
      <c r="M447" s="199"/>
      <c r="N447" s="199"/>
      <c r="O447" s="199"/>
      <c r="P447" s="200"/>
      <c r="Q447" s="201"/>
      <c r="R447" s="200"/>
      <c r="S447" s="200"/>
      <c r="T447" s="200"/>
      <c r="U447" s="200"/>
      <c r="V447" s="201"/>
      <c r="W447" s="201"/>
      <c r="X447" s="200"/>
      <c r="Y447" s="200"/>
      <c r="Z447" s="200"/>
      <c r="AA447" s="200"/>
      <c r="AB447" s="200"/>
      <c r="AC447" s="200"/>
      <c r="AD447" s="200"/>
      <c r="AE447" s="200"/>
      <c r="AF447" s="200"/>
      <c r="AG447" s="200"/>
      <c r="AH447" s="200"/>
      <c r="AI447" s="200"/>
      <c r="AJ447" s="200"/>
      <c r="AK447" s="200"/>
      <c r="AL447" s="200"/>
      <c r="AM447" s="200"/>
      <c r="AN447" s="198"/>
      <c r="AO447" s="201"/>
      <c r="AP447" s="198"/>
      <c r="AQ447" s="200"/>
      <c r="AR447" s="199"/>
      <c r="AS447" s="198"/>
      <c r="AV447" s="164"/>
      <c r="BA447" s="202"/>
      <c r="BC447" s="203"/>
      <c r="BD447" s="194"/>
      <c r="BE447" s="194"/>
    </row>
    <row r="448">
      <c r="A448" s="6"/>
      <c r="B448" s="6"/>
      <c r="C448" s="196"/>
      <c r="E448" s="197"/>
      <c r="F448" s="196"/>
      <c r="G448" s="198"/>
      <c r="H448" s="198"/>
      <c r="I448" s="198"/>
      <c r="J448" s="198"/>
      <c r="K448" s="198"/>
      <c r="L448" s="198"/>
      <c r="M448" s="199"/>
      <c r="N448" s="199"/>
      <c r="O448" s="199"/>
      <c r="P448" s="200"/>
      <c r="Q448" s="201"/>
      <c r="R448" s="200"/>
      <c r="S448" s="200"/>
      <c r="T448" s="200"/>
      <c r="U448" s="200"/>
      <c r="V448" s="201"/>
      <c r="W448" s="201"/>
      <c r="X448" s="200"/>
      <c r="Y448" s="200"/>
      <c r="Z448" s="200"/>
      <c r="AA448" s="200"/>
      <c r="AB448" s="200"/>
      <c r="AC448" s="200"/>
      <c r="AD448" s="200"/>
      <c r="AE448" s="200"/>
      <c r="AF448" s="200"/>
      <c r="AG448" s="200"/>
      <c r="AH448" s="200"/>
      <c r="AI448" s="200"/>
      <c r="AJ448" s="200"/>
      <c r="AK448" s="200"/>
      <c r="AL448" s="200"/>
      <c r="AM448" s="200"/>
      <c r="AN448" s="198"/>
      <c r="AO448" s="201"/>
      <c r="AP448" s="198"/>
      <c r="AQ448" s="200"/>
      <c r="AR448" s="199"/>
      <c r="AS448" s="198"/>
      <c r="AV448" s="164"/>
      <c r="BA448" s="202"/>
      <c r="BC448" s="203"/>
      <c r="BD448" s="194"/>
      <c r="BE448" s="194"/>
    </row>
    <row r="449">
      <c r="A449" s="6"/>
      <c r="B449" s="6"/>
      <c r="C449" s="196"/>
      <c r="E449" s="197"/>
      <c r="F449" s="196"/>
      <c r="G449" s="198"/>
      <c r="H449" s="198"/>
      <c r="I449" s="198"/>
      <c r="J449" s="198"/>
      <c r="K449" s="198"/>
      <c r="L449" s="198"/>
      <c r="M449" s="199"/>
      <c r="N449" s="199"/>
      <c r="O449" s="199"/>
      <c r="P449" s="200"/>
      <c r="Q449" s="201"/>
      <c r="R449" s="200"/>
      <c r="S449" s="200"/>
      <c r="T449" s="200"/>
      <c r="U449" s="200"/>
      <c r="V449" s="201"/>
      <c r="W449" s="201"/>
      <c r="X449" s="200"/>
      <c r="Y449" s="200"/>
      <c r="Z449" s="200"/>
      <c r="AA449" s="200"/>
      <c r="AB449" s="200"/>
      <c r="AC449" s="200"/>
      <c r="AD449" s="200"/>
      <c r="AE449" s="200"/>
      <c r="AF449" s="200"/>
      <c r="AG449" s="200"/>
      <c r="AH449" s="200"/>
      <c r="AI449" s="200"/>
      <c r="AJ449" s="200"/>
      <c r="AK449" s="200"/>
      <c r="AL449" s="200"/>
      <c r="AM449" s="200"/>
      <c r="AN449" s="198"/>
      <c r="AO449" s="201"/>
      <c r="AP449" s="198"/>
      <c r="AQ449" s="200"/>
      <c r="AR449" s="199"/>
      <c r="AS449" s="198"/>
      <c r="AV449" s="164"/>
      <c r="BA449" s="202"/>
      <c r="BC449" s="203"/>
      <c r="BD449" s="194"/>
      <c r="BE449" s="194"/>
    </row>
    <row r="450">
      <c r="A450" s="6"/>
      <c r="B450" s="6"/>
      <c r="C450" s="196"/>
      <c r="E450" s="197"/>
      <c r="F450" s="196"/>
      <c r="G450" s="198"/>
      <c r="H450" s="198"/>
      <c r="I450" s="198"/>
      <c r="J450" s="198"/>
      <c r="K450" s="198"/>
      <c r="L450" s="198"/>
      <c r="M450" s="199"/>
      <c r="N450" s="199"/>
      <c r="O450" s="199"/>
      <c r="P450" s="200"/>
      <c r="Q450" s="201"/>
      <c r="R450" s="200"/>
      <c r="S450" s="200"/>
      <c r="T450" s="200"/>
      <c r="U450" s="200"/>
      <c r="V450" s="201"/>
      <c r="W450" s="201"/>
      <c r="X450" s="200"/>
      <c r="Y450" s="200"/>
      <c r="Z450" s="200"/>
      <c r="AA450" s="200"/>
      <c r="AB450" s="200"/>
      <c r="AC450" s="200"/>
      <c r="AD450" s="200"/>
      <c r="AE450" s="200"/>
      <c r="AF450" s="200"/>
      <c r="AG450" s="200"/>
      <c r="AH450" s="200"/>
      <c r="AI450" s="200"/>
      <c r="AJ450" s="200"/>
      <c r="AK450" s="200"/>
      <c r="AL450" s="200"/>
      <c r="AM450" s="200"/>
      <c r="AN450" s="198"/>
      <c r="AO450" s="201"/>
      <c r="AP450" s="198"/>
      <c r="AQ450" s="200"/>
      <c r="AR450" s="199"/>
      <c r="AS450" s="198"/>
      <c r="AV450" s="164"/>
      <c r="BA450" s="202"/>
      <c r="BC450" s="203"/>
      <c r="BD450" s="194"/>
      <c r="BE450" s="194"/>
    </row>
    <row r="451">
      <c r="A451" s="6"/>
      <c r="B451" s="6"/>
      <c r="C451" s="196"/>
      <c r="E451" s="197"/>
      <c r="F451" s="196"/>
      <c r="G451" s="198"/>
      <c r="H451" s="198"/>
      <c r="I451" s="198"/>
      <c r="J451" s="198"/>
      <c r="K451" s="198"/>
      <c r="L451" s="198"/>
      <c r="M451" s="199"/>
      <c r="N451" s="199"/>
      <c r="O451" s="199"/>
      <c r="P451" s="200"/>
      <c r="Q451" s="201"/>
      <c r="R451" s="200"/>
      <c r="S451" s="200"/>
      <c r="T451" s="200"/>
      <c r="U451" s="200"/>
      <c r="V451" s="201"/>
      <c r="W451" s="201"/>
      <c r="X451" s="200"/>
      <c r="Y451" s="200"/>
      <c r="Z451" s="200"/>
      <c r="AA451" s="200"/>
      <c r="AB451" s="200"/>
      <c r="AC451" s="200"/>
      <c r="AD451" s="200"/>
      <c r="AE451" s="200"/>
      <c r="AF451" s="200"/>
      <c r="AG451" s="200"/>
      <c r="AH451" s="200"/>
      <c r="AI451" s="200"/>
      <c r="AJ451" s="200"/>
      <c r="AK451" s="200"/>
      <c r="AL451" s="200"/>
      <c r="AM451" s="200"/>
      <c r="AN451" s="198"/>
      <c r="AO451" s="201"/>
      <c r="AP451" s="198"/>
      <c r="AQ451" s="200"/>
      <c r="AR451" s="199"/>
      <c r="AS451" s="198"/>
      <c r="AV451" s="164"/>
      <c r="BA451" s="202"/>
      <c r="BC451" s="203"/>
      <c r="BD451" s="194"/>
      <c r="BE451" s="194"/>
    </row>
    <row r="452">
      <c r="A452" s="6"/>
      <c r="B452" s="6"/>
      <c r="C452" s="196"/>
      <c r="E452" s="197"/>
      <c r="F452" s="196"/>
      <c r="G452" s="198"/>
      <c r="H452" s="198"/>
      <c r="I452" s="198"/>
      <c r="J452" s="198"/>
      <c r="K452" s="198"/>
      <c r="L452" s="198"/>
      <c r="M452" s="199"/>
      <c r="N452" s="199"/>
      <c r="O452" s="199"/>
      <c r="P452" s="200"/>
      <c r="Q452" s="201"/>
      <c r="R452" s="200"/>
      <c r="S452" s="200"/>
      <c r="T452" s="200"/>
      <c r="U452" s="200"/>
      <c r="V452" s="201"/>
      <c r="W452" s="201"/>
      <c r="X452" s="200"/>
      <c r="Y452" s="200"/>
      <c r="Z452" s="200"/>
      <c r="AA452" s="200"/>
      <c r="AB452" s="200"/>
      <c r="AC452" s="200"/>
      <c r="AD452" s="200"/>
      <c r="AE452" s="200"/>
      <c r="AF452" s="200"/>
      <c r="AG452" s="200"/>
      <c r="AH452" s="200"/>
      <c r="AI452" s="200"/>
      <c r="AJ452" s="200"/>
      <c r="AK452" s="200"/>
      <c r="AL452" s="200"/>
      <c r="AM452" s="200"/>
      <c r="AN452" s="198"/>
      <c r="AO452" s="201"/>
      <c r="AP452" s="198"/>
      <c r="AQ452" s="200"/>
      <c r="AR452" s="199"/>
      <c r="AS452" s="198"/>
      <c r="AV452" s="164"/>
      <c r="BA452" s="202"/>
      <c r="BC452" s="203"/>
      <c r="BD452" s="194"/>
      <c r="BE452" s="194"/>
    </row>
    <row r="453">
      <c r="A453" s="6"/>
      <c r="B453" s="6"/>
      <c r="C453" s="196"/>
      <c r="E453" s="197"/>
      <c r="F453" s="196"/>
      <c r="G453" s="198"/>
      <c r="H453" s="198"/>
      <c r="I453" s="198"/>
      <c r="J453" s="198"/>
      <c r="K453" s="198"/>
      <c r="L453" s="198"/>
      <c r="M453" s="199"/>
      <c r="N453" s="199"/>
      <c r="O453" s="199"/>
      <c r="P453" s="200"/>
      <c r="Q453" s="201"/>
      <c r="R453" s="200"/>
      <c r="S453" s="200"/>
      <c r="T453" s="200"/>
      <c r="U453" s="200"/>
      <c r="V453" s="201"/>
      <c r="W453" s="201"/>
      <c r="X453" s="200"/>
      <c r="Y453" s="200"/>
      <c r="Z453" s="200"/>
      <c r="AA453" s="200"/>
      <c r="AB453" s="200"/>
      <c r="AC453" s="200"/>
      <c r="AD453" s="200"/>
      <c r="AE453" s="200"/>
      <c r="AF453" s="200"/>
      <c r="AG453" s="200"/>
      <c r="AH453" s="200"/>
      <c r="AI453" s="200"/>
      <c r="AJ453" s="200"/>
      <c r="AK453" s="200"/>
      <c r="AL453" s="200"/>
      <c r="AM453" s="200"/>
      <c r="AN453" s="198"/>
      <c r="AO453" s="201"/>
      <c r="AP453" s="198"/>
      <c r="AQ453" s="200"/>
      <c r="AR453" s="199"/>
      <c r="AS453" s="198"/>
      <c r="AV453" s="164"/>
      <c r="BA453" s="202"/>
      <c r="BC453" s="203"/>
      <c r="BD453" s="194"/>
      <c r="BE453" s="194"/>
    </row>
    <row r="454">
      <c r="A454" s="6"/>
      <c r="B454" s="6"/>
      <c r="C454" s="196"/>
      <c r="E454" s="197"/>
      <c r="F454" s="196"/>
      <c r="G454" s="198"/>
      <c r="H454" s="198"/>
      <c r="I454" s="198"/>
      <c r="J454" s="198"/>
      <c r="K454" s="198"/>
      <c r="L454" s="198"/>
      <c r="M454" s="199"/>
      <c r="N454" s="199"/>
      <c r="O454" s="199"/>
      <c r="P454" s="200"/>
      <c r="Q454" s="201"/>
      <c r="R454" s="200"/>
      <c r="S454" s="200"/>
      <c r="T454" s="200"/>
      <c r="U454" s="200"/>
      <c r="V454" s="201"/>
      <c r="W454" s="201"/>
      <c r="X454" s="200"/>
      <c r="Y454" s="200"/>
      <c r="Z454" s="200"/>
      <c r="AA454" s="200"/>
      <c r="AB454" s="200"/>
      <c r="AC454" s="200"/>
      <c r="AD454" s="200"/>
      <c r="AE454" s="200"/>
      <c r="AF454" s="200"/>
      <c r="AG454" s="200"/>
      <c r="AH454" s="200"/>
      <c r="AI454" s="200"/>
      <c r="AJ454" s="200"/>
      <c r="AK454" s="200"/>
      <c r="AL454" s="200"/>
      <c r="AM454" s="200"/>
      <c r="AN454" s="198"/>
      <c r="AO454" s="201"/>
      <c r="AP454" s="198"/>
      <c r="AQ454" s="200"/>
      <c r="AR454" s="199"/>
      <c r="AS454" s="198"/>
      <c r="AV454" s="164"/>
      <c r="BA454" s="202"/>
      <c r="BC454" s="203"/>
      <c r="BD454" s="194"/>
      <c r="BE454" s="194"/>
    </row>
    <row r="455">
      <c r="A455" s="6"/>
      <c r="B455" s="6"/>
      <c r="C455" s="196"/>
      <c r="E455" s="197"/>
      <c r="F455" s="196"/>
      <c r="G455" s="198"/>
      <c r="H455" s="198"/>
      <c r="I455" s="198"/>
      <c r="J455" s="198"/>
      <c r="K455" s="198"/>
      <c r="L455" s="198"/>
      <c r="M455" s="199"/>
      <c r="N455" s="199"/>
      <c r="O455" s="199"/>
      <c r="P455" s="200"/>
      <c r="Q455" s="201"/>
      <c r="R455" s="200"/>
      <c r="S455" s="200"/>
      <c r="T455" s="200"/>
      <c r="U455" s="200"/>
      <c r="V455" s="201"/>
      <c r="W455" s="201"/>
      <c r="X455" s="200"/>
      <c r="Y455" s="200"/>
      <c r="Z455" s="200"/>
      <c r="AA455" s="200"/>
      <c r="AB455" s="200"/>
      <c r="AC455" s="200"/>
      <c r="AD455" s="200"/>
      <c r="AE455" s="200"/>
      <c r="AF455" s="200"/>
      <c r="AG455" s="200"/>
      <c r="AH455" s="200"/>
      <c r="AI455" s="200"/>
      <c r="AJ455" s="200"/>
      <c r="AK455" s="200"/>
      <c r="AL455" s="200"/>
      <c r="AM455" s="200"/>
      <c r="AN455" s="198"/>
      <c r="AO455" s="201"/>
      <c r="AP455" s="198"/>
      <c r="AQ455" s="200"/>
      <c r="AR455" s="199"/>
      <c r="AS455" s="198"/>
      <c r="AV455" s="164"/>
      <c r="BA455" s="202"/>
      <c r="BC455" s="203"/>
      <c r="BD455" s="194"/>
      <c r="BE455" s="194"/>
    </row>
    <row r="456">
      <c r="A456" s="6"/>
      <c r="B456" s="6"/>
      <c r="C456" s="196"/>
      <c r="E456" s="197"/>
      <c r="F456" s="196"/>
      <c r="G456" s="198"/>
      <c r="H456" s="198"/>
      <c r="I456" s="198"/>
      <c r="J456" s="198"/>
      <c r="K456" s="198"/>
      <c r="L456" s="198"/>
      <c r="M456" s="199"/>
      <c r="N456" s="199"/>
      <c r="O456" s="199"/>
      <c r="P456" s="200"/>
      <c r="Q456" s="201"/>
      <c r="R456" s="200"/>
      <c r="S456" s="200"/>
      <c r="T456" s="200"/>
      <c r="U456" s="200"/>
      <c r="V456" s="201"/>
      <c r="W456" s="201"/>
      <c r="X456" s="200"/>
      <c r="Y456" s="200"/>
      <c r="Z456" s="200"/>
      <c r="AA456" s="200"/>
      <c r="AB456" s="200"/>
      <c r="AC456" s="200"/>
      <c r="AD456" s="200"/>
      <c r="AE456" s="200"/>
      <c r="AF456" s="200"/>
      <c r="AG456" s="200"/>
      <c r="AH456" s="200"/>
      <c r="AI456" s="200"/>
      <c r="AJ456" s="200"/>
      <c r="AK456" s="200"/>
      <c r="AL456" s="200"/>
      <c r="AM456" s="200"/>
      <c r="AN456" s="198"/>
      <c r="AO456" s="201"/>
      <c r="AP456" s="198"/>
      <c r="AQ456" s="200"/>
      <c r="AR456" s="199"/>
      <c r="AS456" s="198"/>
      <c r="AV456" s="164"/>
      <c r="BA456" s="202"/>
      <c r="BC456" s="203"/>
      <c r="BD456" s="194"/>
      <c r="BE456" s="194"/>
    </row>
    <row r="457">
      <c r="A457" s="6"/>
      <c r="B457" s="6"/>
      <c r="C457" s="196"/>
      <c r="E457" s="197"/>
      <c r="F457" s="196"/>
      <c r="G457" s="198"/>
      <c r="H457" s="198"/>
      <c r="I457" s="198"/>
      <c r="J457" s="198"/>
      <c r="K457" s="198"/>
      <c r="L457" s="198"/>
      <c r="M457" s="199"/>
      <c r="N457" s="199"/>
      <c r="O457" s="199"/>
      <c r="P457" s="200"/>
      <c r="Q457" s="201"/>
      <c r="R457" s="200"/>
      <c r="S457" s="200"/>
      <c r="T457" s="200"/>
      <c r="U457" s="200"/>
      <c r="V457" s="201"/>
      <c r="W457" s="201"/>
      <c r="X457" s="200"/>
      <c r="Y457" s="200"/>
      <c r="Z457" s="200"/>
      <c r="AA457" s="200"/>
      <c r="AB457" s="200"/>
      <c r="AC457" s="200"/>
      <c r="AD457" s="200"/>
      <c r="AE457" s="200"/>
      <c r="AF457" s="200"/>
      <c r="AG457" s="200"/>
      <c r="AH457" s="200"/>
      <c r="AI457" s="200"/>
      <c r="AJ457" s="200"/>
      <c r="AK457" s="200"/>
      <c r="AL457" s="200"/>
      <c r="AM457" s="200"/>
      <c r="AN457" s="198"/>
      <c r="AO457" s="201"/>
      <c r="AP457" s="198"/>
      <c r="AQ457" s="200"/>
      <c r="AR457" s="199"/>
      <c r="AS457" s="198"/>
      <c r="AV457" s="164"/>
      <c r="BA457" s="202"/>
      <c r="BC457" s="203"/>
      <c r="BD457" s="194"/>
      <c r="BE457" s="194"/>
    </row>
    <row r="458">
      <c r="A458" s="6"/>
      <c r="B458" s="6"/>
      <c r="C458" s="196"/>
      <c r="E458" s="197"/>
      <c r="F458" s="196"/>
      <c r="G458" s="198"/>
      <c r="H458" s="198"/>
      <c r="I458" s="198"/>
      <c r="J458" s="198"/>
      <c r="K458" s="198"/>
      <c r="L458" s="198"/>
      <c r="M458" s="199"/>
      <c r="N458" s="199"/>
      <c r="O458" s="199"/>
      <c r="P458" s="200"/>
      <c r="Q458" s="201"/>
      <c r="R458" s="200"/>
      <c r="S458" s="200"/>
      <c r="T458" s="200"/>
      <c r="U458" s="200"/>
      <c r="V458" s="201"/>
      <c r="W458" s="201"/>
      <c r="X458" s="200"/>
      <c r="Y458" s="200"/>
      <c r="Z458" s="200"/>
      <c r="AA458" s="200"/>
      <c r="AB458" s="200"/>
      <c r="AC458" s="200"/>
      <c r="AD458" s="200"/>
      <c r="AE458" s="200"/>
      <c r="AF458" s="200"/>
      <c r="AG458" s="200"/>
      <c r="AH458" s="200"/>
      <c r="AI458" s="200"/>
      <c r="AJ458" s="200"/>
      <c r="AK458" s="200"/>
      <c r="AL458" s="200"/>
      <c r="AM458" s="200"/>
      <c r="AN458" s="198"/>
      <c r="AO458" s="201"/>
      <c r="AP458" s="198"/>
      <c r="AQ458" s="200"/>
      <c r="AR458" s="199"/>
      <c r="AS458" s="198"/>
      <c r="AV458" s="164"/>
      <c r="BA458" s="202"/>
      <c r="BC458" s="203"/>
      <c r="BD458" s="194"/>
      <c r="BE458" s="194"/>
    </row>
    <row r="459">
      <c r="A459" s="6"/>
      <c r="B459" s="6"/>
      <c r="C459" s="196"/>
      <c r="E459" s="197"/>
      <c r="F459" s="196"/>
      <c r="G459" s="198"/>
      <c r="H459" s="198"/>
      <c r="I459" s="198"/>
      <c r="J459" s="198"/>
      <c r="K459" s="198"/>
      <c r="L459" s="198"/>
      <c r="M459" s="199"/>
      <c r="N459" s="199"/>
      <c r="O459" s="199"/>
      <c r="P459" s="200"/>
      <c r="Q459" s="201"/>
      <c r="R459" s="200"/>
      <c r="S459" s="200"/>
      <c r="T459" s="200"/>
      <c r="U459" s="200"/>
      <c r="V459" s="201"/>
      <c r="W459" s="201"/>
      <c r="X459" s="200"/>
      <c r="Y459" s="200"/>
      <c r="Z459" s="200"/>
      <c r="AA459" s="200"/>
      <c r="AB459" s="200"/>
      <c r="AC459" s="200"/>
      <c r="AD459" s="200"/>
      <c r="AE459" s="200"/>
      <c r="AF459" s="200"/>
      <c r="AG459" s="200"/>
      <c r="AH459" s="200"/>
      <c r="AI459" s="200"/>
      <c r="AJ459" s="200"/>
      <c r="AK459" s="200"/>
      <c r="AL459" s="200"/>
      <c r="AM459" s="200"/>
      <c r="AN459" s="198"/>
      <c r="AO459" s="201"/>
      <c r="AP459" s="198"/>
      <c r="AQ459" s="200"/>
      <c r="AR459" s="199"/>
      <c r="AS459" s="198"/>
      <c r="AV459" s="164"/>
      <c r="BA459" s="202"/>
      <c r="BC459" s="203"/>
      <c r="BD459" s="194"/>
      <c r="BE459" s="194"/>
    </row>
    <row r="460">
      <c r="A460" s="6"/>
      <c r="B460" s="6"/>
      <c r="C460" s="196"/>
      <c r="E460" s="197"/>
      <c r="F460" s="196"/>
      <c r="G460" s="198"/>
      <c r="H460" s="198"/>
      <c r="I460" s="198"/>
      <c r="J460" s="198"/>
      <c r="K460" s="198"/>
      <c r="L460" s="198"/>
      <c r="M460" s="199"/>
      <c r="N460" s="199"/>
      <c r="O460" s="199"/>
      <c r="P460" s="200"/>
      <c r="Q460" s="201"/>
      <c r="R460" s="200"/>
      <c r="S460" s="200"/>
      <c r="T460" s="200"/>
      <c r="U460" s="200"/>
      <c r="V460" s="201"/>
      <c r="W460" s="201"/>
      <c r="X460" s="200"/>
      <c r="Y460" s="200"/>
      <c r="Z460" s="200"/>
      <c r="AA460" s="200"/>
      <c r="AB460" s="200"/>
      <c r="AC460" s="200"/>
      <c r="AD460" s="200"/>
      <c r="AE460" s="200"/>
      <c r="AF460" s="200"/>
      <c r="AG460" s="200"/>
      <c r="AH460" s="200"/>
      <c r="AI460" s="200"/>
      <c r="AJ460" s="200"/>
      <c r="AK460" s="200"/>
      <c r="AL460" s="200"/>
      <c r="AM460" s="200"/>
      <c r="AN460" s="198"/>
      <c r="AO460" s="201"/>
      <c r="AP460" s="198"/>
      <c r="AQ460" s="200"/>
      <c r="AR460" s="199"/>
      <c r="AS460" s="198"/>
      <c r="AV460" s="164"/>
      <c r="BA460" s="202"/>
      <c r="BC460" s="203"/>
      <c r="BD460" s="194"/>
      <c r="BE460" s="194"/>
    </row>
    <row r="461">
      <c r="A461" s="6"/>
      <c r="B461" s="6"/>
      <c r="C461" s="196"/>
      <c r="E461" s="197"/>
      <c r="F461" s="196"/>
      <c r="G461" s="198"/>
      <c r="H461" s="198"/>
      <c r="I461" s="198"/>
      <c r="J461" s="198"/>
      <c r="K461" s="198"/>
      <c r="L461" s="198"/>
      <c r="M461" s="199"/>
      <c r="N461" s="199"/>
      <c r="O461" s="199"/>
      <c r="P461" s="200"/>
      <c r="Q461" s="201"/>
      <c r="R461" s="200"/>
      <c r="S461" s="200"/>
      <c r="T461" s="200"/>
      <c r="U461" s="200"/>
      <c r="V461" s="201"/>
      <c r="W461" s="201"/>
      <c r="X461" s="200"/>
      <c r="Y461" s="200"/>
      <c r="Z461" s="200"/>
      <c r="AA461" s="200"/>
      <c r="AB461" s="200"/>
      <c r="AC461" s="200"/>
      <c r="AD461" s="200"/>
      <c r="AE461" s="200"/>
      <c r="AF461" s="200"/>
      <c r="AG461" s="200"/>
      <c r="AH461" s="200"/>
      <c r="AI461" s="200"/>
      <c r="AJ461" s="200"/>
      <c r="AK461" s="200"/>
      <c r="AL461" s="200"/>
      <c r="AM461" s="200"/>
      <c r="AN461" s="198"/>
      <c r="AO461" s="201"/>
      <c r="AP461" s="198"/>
      <c r="AQ461" s="200"/>
      <c r="AR461" s="199"/>
      <c r="AS461" s="198"/>
      <c r="AV461" s="164"/>
      <c r="BA461" s="202"/>
      <c r="BC461" s="203"/>
      <c r="BD461" s="194"/>
      <c r="BE461" s="194"/>
    </row>
    <row r="462">
      <c r="A462" s="6"/>
      <c r="B462" s="6"/>
      <c r="C462" s="196"/>
      <c r="E462" s="197"/>
      <c r="F462" s="196"/>
      <c r="G462" s="198"/>
      <c r="H462" s="198"/>
      <c r="I462" s="198"/>
      <c r="J462" s="198"/>
      <c r="K462" s="198"/>
      <c r="L462" s="198"/>
      <c r="M462" s="199"/>
      <c r="N462" s="199"/>
      <c r="O462" s="199"/>
      <c r="P462" s="200"/>
      <c r="Q462" s="201"/>
      <c r="R462" s="200"/>
      <c r="S462" s="200"/>
      <c r="T462" s="200"/>
      <c r="U462" s="200"/>
      <c r="V462" s="201"/>
      <c r="W462" s="201"/>
      <c r="X462" s="200"/>
      <c r="Y462" s="200"/>
      <c r="Z462" s="200"/>
      <c r="AA462" s="200"/>
      <c r="AB462" s="200"/>
      <c r="AC462" s="200"/>
      <c r="AD462" s="200"/>
      <c r="AE462" s="200"/>
      <c r="AF462" s="200"/>
      <c r="AG462" s="200"/>
      <c r="AH462" s="200"/>
      <c r="AI462" s="200"/>
      <c r="AJ462" s="200"/>
      <c r="AK462" s="200"/>
      <c r="AL462" s="200"/>
      <c r="AM462" s="200"/>
      <c r="AN462" s="198"/>
      <c r="AO462" s="201"/>
      <c r="AP462" s="198"/>
      <c r="AQ462" s="200"/>
      <c r="AR462" s="199"/>
      <c r="AS462" s="198"/>
      <c r="AV462" s="164"/>
      <c r="BA462" s="202"/>
      <c r="BC462" s="203"/>
      <c r="BD462" s="194"/>
      <c r="BE462" s="194"/>
    </row>
    <row r="463">
      <c r="A463" s="6"/>
      <c r="B463" s="6"/>
      <c r="C463" s="196"/>
      <c r="E463" s="197"/>
      <c r="F463" s="196"/>
      <c r="G463" s="198"/>
      <c r="H463" s="198"/>
      <c r="I463" s="198"/>
      <c r="J463" s="198"/>
      <c r="K463" s="198"/>
      <c r="L463" s="198"/>
      <c r="M463" s="199"/>
      <c r="N463" s="199"/>
      <c r="O463" s="199"/>
      <c r="P463" s="200"/>
      <c r="Q463" s="201"/>
      <c r="R463" s="200"/>
      <c r="S463" s="200"/>
      <c r="T463" s="200"/>
      <c r="U463" s="200"/>
      <c r="V463" s="201"/>
      <c r="W463" s="201"/>
      <c r="X463" s="200"/>
      <c r="Y463" s="200"/>
      <c r="Z463" s="200"/>
      <c r="AA463" s="200"/>
      <c r="AB463" s="200"/>
      <c r="AC463" s="200"/>
      <c r="AD463" s="200"/>
      <c r="AE463" s="200"/>
      <c r="AF463" s="200"/>
      <c r="AG463" s="200"/>
      <c r="AH463" s="200"/>
      <c r="AI463" s="200"/>
      <c r="AJ463" s="200"/>
      <c r="AK463" s="200"/>
      <c r="AL463" s="200"/>
      <c r="AM463" s="200"/>
      <c r="AN463" s="198"/>
      <c r="AO463" s="201"/>
      <c r="AP463" s="198"/>
      <c r="AQ463" s="200"/>
      <c r="AR463" s="199"/>
      <c r="AS463" s="198"/>
      <c r="AV463" s="164"/>
      <c r="BA463" s="202"/>
      <c r="BC463" s="203"/>
      <c r="BD463" s="194"/>
      <c r="BE463" s="194"/>
    </row>
    <row r="464">
      <c r="A464" s="6"/>
      <c r="B464" s="6"/>
      <c r="C464" s="196"/>
      <c r="E464" s="197"/>
      <c r="F464" s="196"/>
      <c r="G464" s="198"/>
      <c r="H464" s="198"/>
      <c r="I464" s="198"/>
      <c r="J464" s="198"/>
      <c r="K464" s="198"/>
      <c r="L464" s="198"/>
      <c r="M464" s="199"/>
      <c r="N464" s="199"/>
      <c r="O464" s="199"/>
      <c r="P464" s="200"/>
      <c r="Q464" s="201"/>
      <c r="R464" s="200"/>
      <c r="S464" s="200"/>
      <c r="T464" s="200"/>
      <c r="U464" s="200"/>
      <c r="V464" s="201"/>
      <c r="W464" s="201"/>
      <c r="X464" s="200"/>
      <c r="Y464" s="200"/>
      <c r="Z464" s="200"/>
      <c r="AA464" s="200"/>
      <c r="AB464" s="200"/>
      <c r="AC464" s="200"/>
      <c r="AD464" s="200"/>
      <c r="AE464" s="200"/>
      <c r="AF464" s="200"/>
      <c r="AG464" s="200"/>
      <c r="AH464" s="200"/>
      <c r="AI464" s="200"/>
      <c r="AJ464" s="200"/>
      <c r="AK464" s="200"/>
      <c r="AL464" s="200"/>
      <c r="AM464" s="200"/>
      <c r="AN464" s="198"/>
      <c r="AO464" s="201"/>
      <c r="AP464" s="198"/>
      <c r="AQ464" s="200"/>
      <c r="AR464" s="199"/>
      <c r="AS464" s="198"/>
      <c r="AV464" s="164"/>
      <c r="BA464" s="202"/>
      <c r="BC464" s="203"/>
      <c r="BD464" s="194"/>
      <c r="BE464" s="194"/>
    </row>
    <row r="465">
      <c r="A465" s="6"/>
      <c r="B465" s="6"/>
      <c r="C465" s="196"/>
      <c r="E465" s="197"/>
      <c r="F465" s="196"/>
      <c r="G465" s="198"/>
      <c r="H465" s="198"/>
      <c r="I465" s="198"/>
      <c r="J465" s="198"/>
      <c r="K465" s="198"/>
      <c r="L465" s="198"/>
      <c r="M465" s="199"/>
      <c r="N465" s="199"/>
      <c r="O465" s="199"/>
      <c r="P465" s="200"/>
      <c r="Q465" s="201"/>
      <c r="R465" s="200"/>
      <c r="S465" s="200"/>
      <c r="T465" s="200"/>
      <c r="U465" s="200"/>
      <c r="V465" s="201"/>
      <c r="W465" s="201"/>
      <c r="X465" s="200"/>
      <c r="Y465" s="200"/>
      <c r="Z465" s="200"/>
      <c r="AA465" s="200"/>
      <c r="AB465" s="200"/>
      <c r="AC465" s="200"/>
      <c r="AD465" s="200"/>
      <c r="AE465" s="200"/>
      <c r="AF465" s="200"/>
      <c r="AG465" s="200"/>
      <c r="AH465" s="200"/>
      <c r="AI465" s="200"/>
      <c r="AJ465" s="200"/>
      <c r="AK465" s="200"/>
      <c r="AL465" s="200"/>
      <c r="AM465" s="200"/>
      <c r="AN465" s="198"/>
      <c r="AO465" s="201"/>
      <c r="AP465" s="198"/>
      <c r="AQ465" s="200"/>
      <c r="AR465" s="199"/>
      <c r="AS465" s="198"/>
      <c r="AV465" s="164"/>
      <c r="BA465" s="202"/>
      <c r="BC465" s="203"/>
      <c r="BD465" s="194"/>
      <c r="BE465" s="194"/>
    </row>
    <row r="466">
      <c r="A466" s="6"/>
      <c r="B466" s="6"/>
      <c r="C466" s="196"/>
      <c r="E466" s="197"/>
      <c r="F466" s="196"/>
      <c r="G466" s="198"/>
      <c r="H466" s="198"/>
      <c r="I466" s="198"/>
      <c r="J466" s="198"/>
      <c r="K466" s="198"/>
      <c r="L466" s="198"/>
      <c r="M466" s="199"/>
      <c r="N466" s="199"/>
      <c r="O466" s="199"/>
      <c r="P466" s="200"/>
      <c r="Q466" s="201"/>
      <c r="R466" s="200"/>
      <c r="S466" s="200"/>
      <c r="T466" s="200"/>
      <c r="U466" s="200"/>
      <c r="V466" s="201"/>
      <c r="W466" s="201"/>
      <c r="X466" s="200"/>
      <c r="Y466" s="200"/>
      <c r="Z466" s="200"/>
      <c r="AA466" s="200"/>
      <c r="AB466" s="200"/>
      <c r="AC466" s="200"/>
      <c r="AD466" s="200"/>
      <c r="AE466" s="200"/>
      <c r="AF466" s="200"/>
      <c r="AG466" s="200"/>
      <c r="AH466" s="200"/>
      <c r="AI466" s="200"/>
      <c r="AJ466" s="200"/>
      <c r="AK466" s="200"/>
      <c r="AL466" s="200"/>
      <c r="AM466" s="200"/>
      <c r="AN466" s="198"/>
      <c r="AO466" s="201"/>
      <c r="AP466" s="198"/>
      <c r="AQ466" s="200"/>
      <c r="AR466" s="199"/>
      <c r="AS466" s="198"/>
      <c r="AV466" s="164"/>
      <c r="BA466" s="202"/>
      <c r="BC466" s="203"/>
      <c r="BD466" s="194"/>
      <c r="BE466" s="194"/>
    </row>
    <row r="467">
      <c r="A467" s="6"/>
      <c r="B467" s="6"/>
      <c r="C467" s="196"/>
      <c r="E467" s="197"/>
      <c r="F467" s="196"/>
      <c r="G467" s="198"/>
      <c r="H467" s="198"/>
      <c r="I467" s="198"/>
      <c r="J467" s="198"/>
      <c r="K467" s="198"/>
      <c r="L467" s="198"/>
      <c r="M467" s="199"/>
      <c r="N467" s="199"/>
      <c r="O467" s="199"/>
      <c r="P467" s="200"/>
      <c r="Q467" s="201"/>
      <c r="R467" s="200"/>
      <c r="S467" s="200"/>
      <c r="T467" s="200"/>
      <c r="U467" s="200"/>
      <c r="V467" s="201"/>
      <c r="W467" s="201"/>
      <c r="X467" s="200"/>
      <c r="Y467" s="200"/>
      <c r="Z467" s="200"/>
      <c r="AA467" s="200"/>
      <c r="AB467" s="200"/>
      <c r="AC467" s="200"/>
      <c r="AD467" s="200"/>
      <c r="AE467" s="200"/>
      <c r="AF467" s="200"/>
      <c r="AG467" s="200"/>
      <c r="AH467" s="200"/>
      <c r="AI467" s="200"/>
      <c r="AJ467" s="200"/>
      <c r="AK467" s="200"/>
      <c r="AL467" s="200"/>
      <c r="AM467" s="200"/>
      <c r="AN467" s="198"/>
      <c r="AO467" s="201"/>
      <c r="AP467" s="198"/>
      <c r="AQ467" s="200"/>
      <c r="AR467" s="199"/>
      <c r="AS467" s="198"/>
      <c r="AV467" s="164"/>
      <c r="BA467" s="202"/>
      <c r="BC467" s="203"/>
      <c r="BD467" s="194"/>
      <c r="BE467" s="194"/>
    </row>
    <row r="468">
      <c r="A468" s="6"/>
      <c r="B468" s="6"/>
      <c r="C468" s="196"/>
      <c r="E468" s="197"/>
      <c r="F468" s="196"/>
      <c r="G468" s="198"/>
      <c r="H468" s="198"/>
      <c r="I468" s="198"/>
      <c r="J468" s="198"/>
      <c r="K468" s="198"/>
      <c r="L468" s="198"/>
      <c r="M468" s="199"/>
      <c r="N468" s="199"/>
      <c r="O468" s="199"/>
      <c r="P468" s="200"/>
      <c r="Q468" s="201"/>
      <c r="R468" s="200"/>
      <c r="S468" s="200"/>
      <c r="T468" s="200"/>
      <c r="U468" s="200"/>
      <c r="V468" s="201"/>
      <c r="W468" s="201"/>
      <c r="X468" s="200"/>
      <c r="Y468" s="200"/>
      <c r="Z468" s="200"/>
      <c r="AA468" s="200"/>
      <c r="AB468" s="200"/>
      <c r="AC468" s="200"/>
      <c r="AD468" s="200"/>
      <c r="AE468" s="200"/>
      <c r="AF468" s="200"/>
      <c r="AG468" s="200"/>
      <c r="AH468" s="200"/>
      <c r="AI468" s="200"/>
      <c r="AJ468" s="200"/>
      <c r="AK468" s="200"/>
      <c r="AL468" s="200"/>
      <c r="AM468" s="200"/>
      <c r="AN468" s="198"/>
      <c r="AO468" s="201"/>
      <c r="AP468" s="198"/>
      <c r="AQ468" s="200"/>
      <c r="AR468" s="199"/>
      <c r="AS468" s="198"/>
      <c r="AV468" s="164"/>
      <c r="BA468" s="202"/>
      <c r="BC468" s="203"/>
      <c r="BD468" s="194"/>
      <c r="BE468" s="194"/>
    </row>
    <row r="469">
      <c r="A469" s="6"/>
      <c r="B469" s="6"/>
      <c r="C469" s="196"/>
      <c r="E469" s="197"/>
      <c r="F469" s="196"/>
      <c r="G469" s="198"/>
      <c r="H469" s="198"/>
      <c r="I469" s="198"/>
      <c r="J469" s="198"/>
      <c r="K469" s="198"/>
      <c r="L469" s="198"/>
      <c r="M469" s="199"/>
      <c r="N469" s="199"/>
      <c r="O469" s="199"/>
      <c r="P469" s="200"/>
      <c r="Q469" s="201"/>
      <c r="R469" s="200"/>
      <c r="S469" s="200"/>
      <c r="T469" s="200"/>
      <c r="U469" s="200"/>
      <c r="V469" s="201"/>
      <c r="W469" s="201"/>
      <c r="X469" s="200"/>
      <c r="Y469" s="200"/>
      <c r="Z469" s="200"/>
      <c r="AA469" s="200"/>
      <c r="AB469" s="200"/>
      <c r="AC469" s="200"/>
      <c r="AD469" s="200"/>
      <c r="AE469" s="200"/>
      <c r="AF469" s="200"/>
      <c r="AG469" s="200"/>
      <c r="AH469" s="200"/>
      <c r="AI469" s="200"/>
      <c r="AJ469" s="200"/>
      <c r="AK469" s="200"/>
      <c r="AL469" s="200"/>
      <c r="AM469" s="200"/>
      <c r="AN469" s="198"/>
      <c r="AO469" s="201"/>
      <c r="AP469" s="198"/>
      <c r="AQ469" s="200"/>
      <c r="AR469" s="199"/>
      <c r="AS469" s="198"/>
      <c r="AV469" s="164"/>
      <c r="BA469" s="202"/>
      <c r="BC469" s="203"/>
      <c r="BD469" s="194"/>
      <c r="BE469" s="194"/>
    </row>
    <row r="470">
      <c r="A470" s="6"/>
      <c r="B470" s="6"/>
      <c r="C470" s="196"/>
      <c r="E470" s="197"/>
      <c r="F470" s="196"/>
      <c r="G470" s="198"/>
      <c r="H470" s="198"/>
      <c r="I470" s="198"/>
      <c r="J470" s="198"/>
      <c r="K470" s="198"/>
      <c r="L470" s="198"/>
      <c r="M470" s="199"/>
      <c r="N470" s="199"/>
      <c r="O470" s="199"/>
      <c r="P470" s="200"/>
      <c r="Q470" s="201"/>
      <c r="R470" s="200"/>
      <c r="S470" s="200"/>
      <c r="T470" s="200"/>
      <c r="U470" s="200"/>
      <c r="V470" s="201"/>
      <c r="W470" s="201"/>
      <c r="X470" s="200"/>
      <c r="Y470" s="200"/>
      <c r="Z470" s="200"/>
      <c r="AA470" s="200"/>
      <c r="AB470" s="200"/>
      <c r="AC470" s="200"/>
      <c r="AD470" s="200"/>
      <c r="AE470" s="200"/>
      <c r="AF470" s="200"/>
      <c r="AG470" s="200"/>
      <c r="AH470" s="200"/>
      <c r="AI470" s="200"/>
      <c r="AJ470" s="200"/>
      <c r="AK470" s="200"/>
      <c r="AL470" s="200"/>
      <c r="AM470" s="200"/>
      <c r="AN470" s="198"/>
      <c r="AO470" s="201"/>
      <c r="AP470" s="198"/>
      <c r="AQ470" s="200"/>
      <c r="AR470" s="199"/>
      <c r="AS470" s="198"/>
      <c r="AV470" s="164"/>
      <c r="BA470" s="202"/>
      <c r="BC470" s="203"/>
      <c r="BD470" s="194"/>
      <c r="BE470" s="194"/>
    </row>
    <row r="471">
      <c r="A471" s="6"/>
      <c r="B471" s="6"/>
      <c r="C471" s="196"/>
      <c r="E471" s="197"/>
      <c r="F471" s="196"/>
      <c r="G471" s="198"/>
      <c r="H471" s="198"/>
      <c r="I471" s="198"/>
      <c r="J471" s="198"/>
      <c r="K471" s="198"/>
      <c r="L471" s="198"/>
      <c r="M471" s="199"/>
      <c r="N471" s="199"/>
      <c r="O471" s="199"/>
      <c r="P471" s="200"/>
      <c r="Q471" s="201"/>
      <c r="R471" s="200"/>
      <c r="S471" s="200"/>
      <c r="T471" s="200"/>
      <c r="U471" s="200"/>
      <c r="V471" s="201"/>
      <c r="W471" s="201"/>
      <c r="X471" s="200"/>
      <c r="Y471" s="200"/>
      <c r="Z471" s="200"/>
      <c r="AA471" s="200"/>
      <c r="AB471" s="200"/>
      <c r="AC471" s="200"/>
      <c r="AD471" s="200"/>
      <c r="AE471" s="200"/>
      <c r="AF471" s="200"/>
      <c r="AG471" s="200"/>
      <c r="AH471" s="200"/>
      <c r="AI471" s="200"/>
      <c r="AJ471" s="200"/>
      <c r="AK471" s="200"/>
      <c r="AL471" s="200"/>
      <c r="AM471" s="200"/>
      <c r="AN471" s="198"/>
      <c r="AO471" s="201"/>
      <c r="AP471" s="198"/>
      <c r="AQ471" s="200"/>
      <c r="AR471" s="199"/>
      <c r="AS471" s="198"/>
      <c r="AV471" s="164"/>
      <c r="BA471" s="202"/>
      <c r="BC471" s="203"/>
      <c r="BD471" s="194"/>
      <c r="BE471" s="194"/>
    </row>
    <row r="472">
      <c r="A472" s="6"/>
      <c r="B472" s="6"/>
      <c r="C472" s="196"/>
      <c r="E472" s="197"/>
      <c r="F472" s="196"/>
      <c r="G472" s="198"/>
      <c r="H472" s="198"/>
      <c r="I472" s="198"/>
      <c r="J472" s="198"/>
      <c r="K472" s="198"/>
      <c r="L472" s="198"/>
      <c r="M472" s="199"/>
      <c r="N472" s="199"/>
      <c r="O472" s="199"/>
      <c r="P472" s="200"/>
      <c r="Q472" s="201"/>
      <c r="R472" s="200"/>
      <c r="S472" s="200"/>
      <c r="T472" s="200"/>
      <c r="U472" s="200"/>
      <c r="V472" s="201"/>
      <c r="W472" s="201"/>
      <c r="X472" s="200"/>
      <c r="Y472" s="200"/>
      <c r="Z472" s="200"/>
      <c r="AA472" s="200"/>
      <c r="AB472" s="200"/>
      <c r="AC472" s="200"/>
      <c r="AD472" s="200"/>
      <c r="AE472" s="200"/>
      <c r="AF472" s="200"/>
      <c r="AG472" s="200"/>
      <c r="AH472" s="200"/>
      <c r="AI472" s="200"/>
      <c r="AJ472" s="200"/>
      <c r="AK472" s="200"/>
      <c r="AL472" s="200"/>
      <c r="AM472" s="200"/>
      <c r="AN472" s="198"/>
      <c r="AO472" s="201"/>
      <c r="AP472" s="198"/>
      <c r="AQ472" s="200"/>
      <c r="AR472" s="199"/>
      <c r="AS472" s="198"/>
      <c r="AV472" s="164"/>
      <c r="BA472" s="202"/>
      <c r="BC472" s="203"/>
      <c r="BD472" s="194"/>
      <c r="BE472" s="194"/>
    </row>
    <row r="473">
      <c r="A473" s="6"/>
      <c r="B473" s="6"/>
      <c r="C473" s="196"/>
      <c r="E473" s="197"/>
      <c r="F473" s="196"/>
      <c r="G473" s="198"/>
      <c r="H473" s="198"/>
      <c r="I473" s="198"/>
      <c r="J473" s="198"/>
      <c r="K473" s="198"/>
      <c r="L473" s="198"/>
      <c r="M473" s="199"/>
      <c r="N473" s="199"/>
      <c r="O473" s="199"/>
      <c r="P473" s="200"/>
      <c r="Q473" s="201"/>
      <c r="R473" s="200"/>
      <c r="S473" s="200"/>
      <c r="T473" s="200"/>
      <c r="U473" s="200"/>
      <c r="V473" s="201"/>
      <c r="W473" s="201"/>
      <c r="X473" s="200"/>
      <c r="Y473" s="200"/>
      <c r="Z473" s="200"/>
      <c r="AA473" s="200"/>
      <c r="AB473" s="200"/>
      <c r="AC473" s="200"/>
      <c r="AD473" s="200"/>
      <c r="AE473" s="200"/>
      <c r="AF473" s="200"/>
      <c r="AG473" s="200"/>
      <c r="AH473" s="200"/>
      <c r="AI473" s="200"/>
      <c r="AJ473" s="200"/>
      <c r="AK473" s="200"/>
      <c r="AL473" s="200"/>
      <c r="AM473" s="200"/>
      <c r="AN473" s="198"/>
      <c r="AO473" s="201"/>
      <c r="AP473" s="198"/>
      <c r="AQ473" s="200"/>
      <c r="AR473" s="199"/>
      <c r="AS473" s="198"/>
      <c r="AV473" s="164"/>
      <c r="BA473" s="202"/>
      <c r="BC473" s="203"/>
      <c r="BD473" s="194"/>
      <c r="BE473" s="194"/>
    </row>
    <row r="474">
      <c r="A474" s="6"/>
      <c r="B474" s="6"/>
      <c r="C474" s="196"/>
      <c r="E474" s="197"/>
      <c r="F474" s="196"/>
      <c r="G474" s="198"/>
      <c r="H474" s="198"/>
      <c r="I474" s="198"/>
      <c r="J474" s="198"/>
      <c r="K474" s="198"/>
      <c r="L474" s="198"/>
      <c r="M474" s="199"/>
      <c r="N474" s="199"/>
      <c r="O474" s="199"/>
      <c r="P474" s="200"/>
      <c r="Q474" s="201"/>
      <c r="R474" s="200"/>
      <c r="S474" s="200"/>
      <c r="T474" s="200"/>
      <c r="U474" s="200"/>
      <c r="V474" s="201"/>
      <c r="W474" s="201"/>
      <c r="X474" s="200"/>
      <c r="Y474" s="200"/>
      <c r="Z474" s="200"/>
      <c r="AA474" s="200"/>
      <c r="AB474" s="200"/>
      <c r="AC474" s="200"/>
      <c r="AD474" s="200"/>
      <c r="AE474" s="200"/>
      <c r="AF474" s="200"/>
      <c r="AG474" s="200"/>
      <c r="AH474" s="200"/>
      <c r="AI474" s="200"/>
      <c r="AJ474" s="200"/>
      <c r="AK474" s="200"/>
      <c r="AL474" s="200"/>
      <c r="AM474" s="200"/>
      <c r="AN474" s="198"/>
      <c r="AO474" s="201"/>
      <c r="AP474" s="198"/>
      <c r="AQ474" s="200"/>
      <c r="AR474" s="199"/>
      <c r="AS474" s="198"/>
      <c r="AV474" s="164"/>
      <c r="BA474" s="202"/>
      <c r="BC474" s="203"/>
      <c r="BD474" s="194"/>
      <c r="BE474" s="194"/>
    </row>
    <row r="475">
      <c r="A475" s="6"/>
      <c r="B475" s="6"/>
      <c r="C475" s="196"/>
      <c r="E475" s="197"/>
      <c r="F475" s="196"/>
      <c r="G475" s="198"/>
      <c r="H475" s="198"/>
      <c r="I475" s="198"/>
      <c r="J475" s="198"/>
      <c r="K475" s="198"/>
      <c r="L475" s="198"/>
      <c r="M475" s="199"/>
      <c r="N475" s="199"/>
      <c r="O475" s="199"/>
      <c r="P475" s="200"/>
      <c r="Q475" s="201"/>
      <c r="R475" s="200"/>
      <c r="S475" s="200"/>
      <c r="T475" s="200"/>
      <c r="U475" s="200"/>
      <c r="V475" s="201"/>
      <c r="W475" s="201"/>
      <c r="X475" s="200"/>
      <c r="Y475" s="200"/>
      <c r="Z475" s="200"/>
      <c r="AA475" s="200"/>
      <c r="AB475" s="200"/>
      <c r="AC475" s="200"/>
      <c r="AD475" s="200"/>
      <c r="AE475" s="200"/>
      <c r="AF475" s="200"/>
      <c r="AG475" s="200"/>
      <c r="AH475" s="200"/>
      <c r="AI475" s="200"/>
      <c r="AJ475" s="200"/>
      <c r="AK475" s="200"/>
      <c r="AL475" s="200"/>
      <c r="AM475" s="200"/>
      <c r="AN475" s="198"/>
      <c r="AO475" s="201"/>
      <c r="AP475" s="198"/>
      <c r="AQ475" s="200"/>
      <c r="AR475" s="199"/>
      <c r="AS475" s="198"/>
      <c r="AV475" s="164"/>
      <c r="BA475" s="202"/>
      <c r="BC475" s="203"/>
      <c r="BD475" s="194"/>
      <c r="BE475" s="194"/>
    </row>
    <row r="476">
      <c r="A476" s="6"/>
      <c r="B476" s="6"/>
      <c r="C476" s="196"/>
      <c r="E476" s="197"/>
      <c r="F476" s="196"/>
      <c r="G476" s="198"/>
      <c r="H476" s="198"/>
      <c r="I476" s="198"/>
      <c r="J476" s="198"/>
      <c r="K476" s="198"/>
      <c r="L476" s="198"/>
      <c r="M476" s="199"/>
      <c r="N476" s="199"/>
      <c r="O476" s="199"/>
      <c r="P476" s="200"/>
      <c r="Q476" s="201"/>
      <c r="R476" s="200"/>
      <c r="S476" s="200"/>
      <c r="T476" s="200"/>
      <c r="U476" s="200"/>
      <c r="V476" s="201"/>
      <c r="W476" s="201"/>
      <c r="X476" s="200"/>
      <c r="Y476" s="200"/>
      <c r="Z476" s="200"/>
      <c r="AA476" s="200"/>
      <c r="AB476" s="200"/>
      <c r="AC476" s="200"/>
      <c r="AD476" s="200"/>
      <c r="AE476" s="200"/>
      <c r="AF476" s="200"/>
      <c r="AG476" s="200"/>
      <c r="AH476" s="200"/>
      <c r="AI476" s="200"/>
      <c r="AJ476" s="200"/>
      <c r="AK476" s="200"/>
      <c r="AL476" s="200"/>
      <c r="AM476" s="200"/>
      <c r="AN476" s="198"/>
      <c r="AO476" s="201"/>
      <c r="AP476" s="198"/>
      <c r="AQ476" s="200"/>
      <c r="AR476" s="199"/>
      <c r="AS476" s="198"/>
      <c r="AV476" s="164"/>
      <c r="BA476" s="202"/>
      <c r="BC476" s="203"/>
      <c r="BD476" s="194"/>
      <c r="BE476" s="194"/>
    </row>
    <row r="477">
      <c r="A477" s="6"/>
      <c r="B477" s="6"/>
      <c r="C477" s="196"/>
      <c r="E477" s="197"/>
      <c r="F477" s="196"/>
      <c r="G477" s="198"/>
      <c r="H477" s="198"/>
      <c r="I477" s="198"/>
      <c r="J477" s="198"/>
      <c r="K477" s="198"/>
      <c r="L477" s="198"/>
      <c r="M477" s="199"/>
      <c r="N477" s="199"/>
      <c r="O477" s="199"/>
      <c r="P477" s="200"/>
      <c r="Q477" s="201"/>
      <c r="R477" s="200"/>
      <c r="S477" s="200"/>
      <c r="T477" s="200"/>
      <c r="U477" s="200"/>
      <c r="V477" s="201"/>
      <c r="W477" s="201"/>
      <c r="X477" s="200"/>
      <c r="Y477" s="200"/>
      <c r="Z477" s="200"/>
      <c r="AA477" s="200"/>
      <c r="AB477" s="200"/>
      <c r="AC477" s="200"/>
      <c r="AD477" s="200"/>
      <c r="AE477" s="200"/>
      <c r="AF477" s="200"/>
      <c r="AG477" s="200"/>
      <c r="AH477" s="200"/>
      <c r="AI477" s="200"/>
      <c r="AJ477" s="200"/>
      <c r="AK477" s="200"/>
      <c r="AL477" s="200"/>
      <c r="AM477" s="200"/>
      <c r="AN477" s="198"/>
      <c r="AO477" s="201"/>
      <c r="AP477" s="198"/>
      <c r="AQ477" s="200"/>
      <c r="AR477" s="199"/>
      <c r="AS477" s="198"/>
      <c r="AV477" s="164"/>
      <c r="BA477" s="202"/>
      <c r="BC477" s="203"/>
      <c r="BD477" s="194"/>
      <c r="BE477" s="194"/>
    </row>
    <row r="478">
      <c r="A478" s="6"/>
      <c r="B478" s="6"/>
      <c r="C478" s="196"/>
      <c r="E478" s="197"/>
      <c r="F478" s="196"/>
      <c r="G478" s="198"/>
      <c r="H478" s="198"/>
      <c r="I478" s="198"/>
      <c r="J478" s="198"/>
      <c r="K478" s="198"/>
      <c r="L478" s="198"/>
      <c r="M478" s="199"/>
      <c r="N478" s="199"/>
      <c r="O478" s="199"/>
      <c r="P478" s="200"/>
      <c r="Q478" s="201"/>
      <c r="R478" s="200"/>
      <c r="S478" s="200"/>
      <c r="T478" s="200"/>
      <c r="U478" s="200"/>
      <c r="V478" s="201"/>
      <c r="W478" s="201"/>
      <c r="X478" s="200"/>
      <c r="Y478" s="200"/>
      <c r="Z478" s="200"/>
      <c r="AA478" s="200"/>
      <c r="AB478" s="200"/>
      <c r="AC478" s="200"/>
      <c r="AD478" s="200"/>
      <c r="AE478" s="200"/>
      <c r="AF478" s="200"/>
      <c r="AG478" s="200"/>
      <c r="AH478" s="200"/>
      <c r="AI478" s="200"/>
      <c r="AJ478" s="200"/>
      <c r="AK478" s="200"/>
      <c r="AL478" s="200"/>
      <c r="AM478" s="200"/>
      <c r="AN478" s="198"/>
      <c r="AO478" s="201"/>
      <c r="AP478" s="198"/>
      <c r="AQ478" s="200"/>
      <c r="AR478" s="199"/>
      <c r="AS478" s="198"/>
      <c r="AV478" s="164"/>
      <c r="BA478" s="202"/>
      <c r="BC478" s="203"/>
      <c r="BD478" s="194"/>
      <c r="BE478" s="194"/>
    </row>
    <row r="479">
      <c r="A479" s="6"/>
      <c r="B479" s="6"/>
      <c r="C479" s="196"/>
      <c r="E479" s="197"/>
      <c r="F479" s="196"/>
      <c r="G479" s="198"/>
      <c r="H479" s="198"/>
      <c r="I479" s="198"/>
      <c r="J479" s="198"/>
      <c r="K479" s="198"/>
      <c r="L479" s="198"/>
      <c r="M479" s="199"/>
      <c r="N479" s="199"/>
      <c r="O479" s="199"/>
      <c r="P479" s="200"/>
      <c r="Q479" s="201"/>
      <c r="R479" s="200"/>
      <c r="S479" s="200"/>
      <c r="T479" s="200"/>
      <c r="U479" s="200"/>
      <c r="V479" s="201"/>
      <c r="W479" s="201"/>
      <c r="X479" s="200"/>
      <c r="Y479" s="200"/>
      <c r="Z479" s="200"/>
      <c r="AA479" s="200"/>
      <c r="AB479" s="200"/>
      <c r="AC479" s="200"/>
      <c r="AD479" s="200"/>
      <c r="AE479" s="200"/>
      <c r="AF479" s="200"/>
      <c r="AG479" s="200"/>
      <c r="AH479" s="200"/>
      <c r="AI479" s="200"/>
      <c r="AJ479" s="200"/>
      <c r="AK479" s="200"/>
      <c r="AL479" s="200"/>
      <c r="AM479" s="200"/>
      <c r="AN479" s="198"/>
      <c r="AO479" s="201"/>
      <c r="AP479" s="198"/>
      <c r="AQ479" s="200"/>
      <c r="AR479" s="199"/>
      <c r="AS479" s="198"/>
      <c r="AV479" s="164"/>
      <c r="BA479" s="202"/>
      <c r="BC479" s="203"/>
      <c r="BD479" s="194"/>
      <c r="BE479" s="194"/>
    </row>
    <row r="480">
      <c r="A480" s="6"/>
      <c r="B480" s="6"/>
      <c r="C480" s="196"/>
      <c r="E480" s="197"/>
      <c r="F480" s="196"/>
      <c r="G480" s="198"/>
      <c r="H480" s="198"/>
      <c r="I480" s="198"/>
      <c r="J480" s="198"/>
      <c r="K480" s="198"/>
      <c r="L480" s="198"/>
      <c r="M480" s="199"/>
      <c r="N480" s="199"/>
      <c r="O480" s="199"/>
      <c r="P480" s="200"/>
      <c r="Q480" s="201"/>
      <c r="R480" s="200"/>
      <c r="S480" s="200"/>
      <c r="T480" s="200"/>
      <c r="U480" s="200"/>
      <c r="V480" s="201"/>
      <c r="W480" s="201"/>
      <c r="X480" s="200"/>
      <c r="Y480" s="200"/>
      <c r="Z480" s="200"/>
      <c r="AA480" s="200"/>
      <c r="AB480" s="200"/>
      <c r="AC480" s="200"/>
      <c r="AD480" s="200"/>
      <c r="AE480" s="200"/>
      <c r="AF480" s="200"/>
      <c r="AG480" s="200"/>
      <c r="AH480" s="200"/>
      <c r="AI480" s="200"/>
      <c r="AJ480" s="200"/>
      <c r="AK480" s="200"/>
      <c r="AL480" s="200"/>
      <c r="AM480" s="200"/>
      <c r="AN480" s="198"/>
      <c r="AO480" s="201"/>
      <c r="AP480" s="198"/>
      <c r="AQ480" s="200"/>
      <c r="AR480" s="199"/>
      <c r="AS480" s="198"/>
      <c r="AV480" s="164"/>
      <c r="BA480" s="202"/>
      <c r="BC480" s="203"/>
      <c r="BD480" s="194"/>
      <c r="BE480" s="194"/>
    </row>
    <row r="481">
      <c r="A481" s="6"/>
      <c r="B481" s="6"/>
      <c r="C481" s="196"/>
      <c r="E481" s="197"/>
      <c r="F481" s="196"/>
      <c r="G481" s="198"/>
      <c r="H481" s="198"/>
      <c r="I481" s="198"/>
      <c r="J481" s="198"/>
      <c r="K481" s="198"/>
      <c r="L481" s="198"/>
      <c r="M481" s="199"/>
      <c r="N481" s="199"/>
      <c r="O481" s="199"/>
      <c r="P481" s="200"/>
      <c r="Q481" s="201"/>
      <c r="R481" s="200"/>
      <c r="S481" s="200"/>
      <c r="T481" s="200"/>
      <c r="U481" s="200"/>
      <c r="V481" s="201"/>
      <c r="W481" s="201"/>
      <c r="X481" s="200"/>
      <c r="Y481" s="200"/>
      <c r="Z481" s="200"/>
      <c r="AA481" s="200"/>
      <c r="AB481" s="200"/>
      <c r="AC481" s="200"/>
      <c r="AD481" s="200"/>
      <c r="AE481" s="200"/>
      <c r="AF481" s="200"/>
      <c r="AG481" s="200"/>
      <c r="AH481" s="200"/>
      <c r="AI481" s="200"/>
      <c r="AJ481" s="200"/>
      <c r="AK481" s="200"/>
      <c r="AL481" s="200"/>
      <c r="AM481" s="200"/>
      <c r="AN481" s="198"/>
      <c r="AO481" s="201"/>
      <c r="AP481" s="198"/>
      <c r="AQ481" s="200"/>
      <c r="AR481" s="199"/>
      <c r="AS481" s="198"/>
      <c r="AV481" s="164"/>
      <c r="BA481" s="202"/>
      <c r="BC481" s="203"/>
      <c r="BD481" s="194"/>
      <c r="BE481" s="194"/>
    </row>
    <row r="482">
      <c r="A482" s="6"/>
      <c r="B482" s="6"/>
      <c r="C482" s="196"/>
      <c r="E482" s="197"/>
      <c r="F482" s="196"/>
      <c r="G482" s="198"/>
      <c r="H482" s="198"/>
      <c r="I482" s="198"/>
      <c r="J482" s="198"/>
      <c r="K482" s="198"/>
      <c r="L482" s="198"/>
      <c r="M482" s="199"/>
      <c r="N482" s="199"/>
      <c r="O482" s="199"/>
      <c r="P482" s="200"/>
      <c r="Q482" s="201"/>
      <c r="R482" s="200"/>
      <c r="S482" s="200"/>
      <c r="T482" s="200"/>
      <c r="U482" s="200"/>
      <c r="V482" s="201"/>
      <c r="W482" s="201"/>
      <c r="X482" s="200"/>
      <c r="Y482" s="200"/>
      <c r="Z482" s="200"/>
      <c r="AA482" s="200"/>
      <c r="AB482" s="200"/>
      <c r="AC482" s="200"/>
      <c r="AD482" s="200"/>
      <c r="AE482" s="200"/>
      <c r="AF482" s="200"/>
      <c r="AG482" s="200"/>
      <c r="AH482" s="200"/>
      <c r="AI482" s="200"/>
      <c r="AJ482" s="200"/>
      <c r="AK482" s="200"/>
      <c r="AL482" s="200"/>
      <c r="AM482" s="200"/>
      <c r="AN482" s="198"/>
      <c r="AO482" s="201"/>
      <c r="AP482" s="198"/>
      <c r="AQ482" s="200"/>
      <c r="AR482" s="199"/>
      <c r="AS482" s="198"/>
      <c r="AV482" s="164"/>
      <c r="BA482" s="202"/>
      <c r="BC482" s="203"/>
      <c r="BD482" s="194"/>
      <c r="BE482" s="194"/>
    </row>
    <row r="483">
      <c r="A483" s="6"/>
      <c r="B483" s="6"/>
      <c r="C483" s="196"/>
      <c r="E483" s="197"/>
      <c r="F483" s="196"/>
      <c r="G483" s="198"/>
      <c r="H483" s="198"/>
      <c r="I483" s="198"/>
      <c r="J483" s="198"/>
      <c r="K483" s="198"/>
      <c r="L483" s="198"/>
      <c r="M483" s="199"/>
      <c r="N483" s="199"/>
      <c r="O483" s="199"/>
      <c r="P483" s="200"/>
      <c r="Q483" s="201"/>
      <c r="R483" s="200"/>
      <c r="S483" s="200"/>
      <c r="T483" s="200"/>
      <c r="U483" s="200"/>
      <c r="V483" s="201"/>
      <c r="W483" s="201"/>
      <c r="X483" s="200"/>
      <c r="Y483" s="200"/>
      <c r="Z483" s="200"/>
      <c r="AA483" s="200"/>
      <c r="AB483" s="200"/>
      <c r="AC483" s="200"/>
      <c r="AD483" s="200"/>
      <c r="AE483" s="200"/>
      <c r="AF483" s="200"/>
      <c r="AG483" s="200"/>
      <c r="AH483" s="200"/>
      <c r="AI483" s="200"/>
      <c r="AJ483" s="200"/>
      <c r="AK483" s="200"/>
      <c r="AL483" s="200"/>
      <c r="AM483" s="200"/>
      <c r="AN483" s="198"/>
      <c r="AO483" s="201"/>
      <c r="AP483" s="198"/>
      <c r="AQ483" s="200"/>
      <c r="AR483" s="199"/>
      <c r="AS483" s="198"/>
      <c r="AV483" s="164"/>
      <c r="BA483" s="202"/>
      <c r="BC483" s="203"/>
      <c r="BD483" s="194"/>
      <c r="BE483" s="194"/>
    </row>
    <row r="484">
      <c r="A484" s="6"/>
      <c r="B484" s="6"/>
      <c r="C484" s="196"/>
      <c r="E484" s="197"/>
      <c r="F484" s="196"/>
      <c r="G484" s="198"/>
      <c r="H484" s="198"/>
      <c r="I484" s="198"/>
      <c r="J484" s="198"/>
      <c r="K484" s="198"/>
      <c r="L484" s="198"/>
      <c r="M484" s="199"/>
      <c r="N484" s="199"/>
      <c r="O484" s="199"/>
      <c r="P484" s="200"/>
      <c r="Q484" s="201"/>
      <c r="R484" s="200"/>
      <c r="S484" s="200"/>
      <c r="T484" s="200"/>
      <c r="U484" s="200"/>
      <c r="V484" s="201"/>
      <c r="W484" s="201"/>
      <c r="X484" s="200"/>
      <c r="Y484" s="200"/>
      <c r="Z484" s="200"/>
      <c r="AA484" s="200"/>
      <c r="AB484" s="200"/>
      <c r="AC484" s="200"/>
      <c r="AD484" s="200"/>
      <c r="AE484" s="200"/>
      <c r="AF484" s="200"/>
      <c r="AG484" s="200"/>
      <c r="AH484" s="200"/>
      <c r="AI484" s="200"/>
      <c r="AJ484" s="200"/>
      <c r="AK484" s="200"/>
      <c r="AL484" s="200"/>
      <c r="AM484" s="200"/>
      <c r="AN484" s="198"/>
      <c r="AO484" s="201"/>
      <c r="AP484" s="198"/>
      <c r="AQ484" s="200"/>
      <c r="AR484" s="199"/>
      <c r="AS484" s="198"/>
      <c r="AV484" s="164"/>
      <c r="BA484" s="202"/>
      <c r="BC484" s="203"/>
      <c r="BD484" s="194"/>
      <c r="BE484" s="194"/>
    </row>
    <row r="485">
      <c r="A485" s="6"/>
      <c r="B485" s="6"/>
      <c r="C485" s="196"/>
      <c r="E485" s="197"/>
      <c r="F485" s="196"/>
      <c r="G485" s="198"/>
      <c r="H485" s="198"/>
      <c r="I485" s="198"/>
      <c r="J485" s="198"/>
      <c r="K485" s="198"/>
      <c r="L485" s="198"/>
      <c r="M485" s="199"/>
      <c r="N485" s="199"/>
      <c r="O485" s="199"/>
      <c r="P485" s="200"/>
      <c r="Q485" s="201"/>
      <c r="R485" s="200"/>
      <c r="S485" s="200"/>
      <c r="T485" s="200"/>
      <c r="U485" s="200"/>
      <c r="V485" s="201"/>
      <c r="W485" s="201"/>
      <c r="X485" s="200"/>
      <c r="Y485" s="200"/>
      <c r="Z485" s="200"/>
      <c r="AA485" s="200"/>
      <c r="AB485" s="200"/>
      <c r="AC485" s="200"/>
      <c r="AD485" s="200"/>
      <c r="AE485" s="200"/>
      <c r="AF485" s="200"/>
      <c r="AG485" s="200"/>
      <c r="AH485" s="200"/>
      <c r="AI485" s="200"/>
      <c r="AJ485" s="200"/>
      <c r="AK485" s="200"/>
      <c r="AL485" s="200"/>
      <c r="AM485" s="200"/>
      <c r="AN485" s="198"/>
      <c r="AO485" s="201"/>
      <c r="AP485" s="198"/>
      <c r="AQ485" s="200"/>
      <c r="AR485" s="199"/>
      <c r="AS485" s="198"/>
      <c r="AV485" s="164"/>
      <c r="BA485" s="202"/>
      <c r="BC485" s="203"/>
      <c r="BD485" s="194"/>
      <c r="BE485" s="194"/>
    </row>
    <row r="486">
      <c r="A486" s="6"/>
      <c r="B486" s="6"/>
      <c r="C486" s="196"/>
      <c r="E486" s="197"/>
      <c r="F486" s="196"/>
      <c r="G486" s="198"/>
      <c r="H486" s="198"/>
      <c r="I486" s="198"/>
      <c r="J486" s="198"/>
      <c r="K486" s="198"/>
      <c r="L486" s="198"/>
      <c r="M486" s="199"/>
      <c r="N486" s="199"/>
      <c r="O486" s="199"/>
      <c r="P486" s="200"/>
      <c r="Q486" s="201"/>
      <c r="R486" s="200"/>
      <c r="S486" s="200"/>
      <c r="T486" s="200"/>
      <c r="U486" s="200"/>
      <c r="V486" s="201"/>
      <c r="W486" s="201"/>
      <c r="X486" s="200"/>
      <c r="Y486" s="200"/>
      <c r="Z486" s="200"/>
      <c r="AA486" s="200"/>
      <c r="AB486" s="200"/>
      <c r="AC486" s="200"/>
      <c r="AD486" s="200"/>
      <c r="AE486" s="200"/>
      <c r="AF486" s="200"/>
      <c r="AG486" s="200"/>
      <c r="AH486" s="200"/>
      <c r="AI486" s="200"/>
      <c r="AJ486" s="200"/>
      <c r="AK486" s="200"/>
      <c r="AL486" s="200"/>
      <c r="AM486" s="200"/>
      <c r="AN486" s="198"/>
      <c r="AO486" s="201"/>
      <c r="AP486" s="198"/>
      <c r="AQ486" s="200"/>
      <c r="AR486" s="199"/>
      <c r="AS486" s="198"/>
      <c r="AV486" s="164"/>
      <c r="BA486" s="202"/>
      <c r="BC486" s="203"/>
      <c r="BD486" s="194"/>
      <c r="BE486" s="194"/>
    </row>
    <row r="487">
      <c r="A487" s="6"/>
      <c r="B487" s="6"/>
      <c r="C487" s="196"/>
      <c r="E487" s="197"/>
      <c r="F487" s="196"/>
      <c r="G487" s="198"/>
      <c r="H487" s="198"/>
      <c r="I487" s="198"/>
      <c r="J487" s="198"/>
      <c r="K487" s="198"/>
      <c r="L487" s="198"/>
      <c r="M487" s="199"/>
      <c r="N487" s="199"/>
      <c r="O487" s="199"/>
      <c r="P487" s="200"/>
      <c r="Q487" s="201"/>
      <c r="R487" s="200"/>
      <c r="S487" s="200"/>
      <c r="T487" s="200"/>
      <c r="U487" s="200"/>
      <c r="V487" s="201"/>
      <c r="W487" s="201"/>
      <c r="X487" s="200"/>
      <c r="Y487" s="200"/>
      <c r="Z487" s="200"/>
      <c r="AA487" s="200"/>
      <c r="AB487" s="200"/>
      <c r="AC487" s="200"/>
      <c r="AD487" s="200"/>
      <c r="AE487" s="200"/>
      <c r="AF487" s="200"/>
      <c r="AG487" s="200"/>
      <c r="AH487" s="200"/>
      <c r="AI487" s="200"/>
      <c r="AJ487" s="200"/>
      <c r="AK487" s="200"/>
      <c r="AL487" s="200"/>
      <c r="AM487" s="200"/>
      <c r="AN487" s="198"/>
      <c r="AO487" s="201"/>
      <c r="AP487" s="198"/>
      <c r="AQ487" s="200"/>
      <c r="AR487" s="199"/>
      <c r="AS487" s="198"/>
      <c r="AV487" s="164"/>
      <c r="BA487" s="202"/>
      <c r="BC487" s="203"/>
      <c r="BD487" s="194"/>
      <c r="BE487" s="194"/>
    </row>
    <row r="488">
      <c r="A488" s="6"/>
      <c r="B488" s="6"/>
      <c r="C488" s="196"/>
      <c r="E488" s="197"/>
      <c r="F488" s="196"/>
      <c r="G488" s="198"/>
      <c r="H488" s="198"/>
      <c r="I488" s="198"/>
      <c r="J488" s="198"/>
      <c r="K488" s="198"/>
      <c r="L488" s="198"/>
      <c r="M488" s="199"/>
      <c r="N488" s="199"/>
      <c r="O488" s="199"/>
      <c r="P488" s="200"/>
      <c r="Q488" s="201"/>
      <c r="R488" s="200"/>
      <c r="S488" s="200"/>
      <c r="T488" s="200"/>
      <c r="U488" s="200"/>
      <c r="V488" s="201"/>
      <c r="W488" s="201"/>
      <c r="X488" s="200"/>
      <c r="Y488" s="200"/>
      <c r="Z488" s="200"/>
      <c r="AA488" s="200"/>
      <c r="AB488" s="200"/>
      <c r="AC488" s="200"/>
      <c r="AD488" s="200"/>
      <c r="AE488" s="200"/>
      <c r="AF488" s="200"/>
      <c r="AG488" s="200"/>
      <c r="AH488" s="200"/>
      <c r="AI488" s="200"/>
      <c r="AJ488" s="200"/>
      <c r="AK488" s="200"/>
      <c r="AL488" s="200"/>
      <c r="AM488" s="200"/>
      <c r="AN488" s="198"/>
      <c r="AO488" s="201"/>
      <c r="AP488" s="198"/>
      <c r="AQ488" s="200"/>
      <c r="AR488" s="199"/>
      <c r="AS488" s="198"/>
      <c r="AV488" s="164"/>
      <c r="BA488" s="202"/>
      <c r="BC488" s="203"/>
      <c r="BD488" s="194"/>
      <c r="BE488" s="194"/>
    </row>
    <row r="489">
      <c r="A489" s="6"/>
      <c r="B489" s="6"/>
      <c r="C489" s="196"/>
      <c r="E489" s="197"/>
      <c r="F489" s="196"/>
      <c r="G489" s="198"/>
      <c r="H489" s="198"/>
      <c r="I489" s="198"/>
      <c r="J489" s="198"/>
      <c r="K489" s="198"/>
      <c r="L489" s="198"/>
      <c r="M489" s="199"/>
      <c r="N489" s="199"/>
      <c r="O489" s="199"/>
      <c r="P489" s="200"/>
      <c r="Q489" s="201"/>
      <c r="R489" s="200"/>
      <c r="S489" s="200"/>
      <c r="T489" s="200"/>
      <c r="U489" s="200"/>
      <c r="V489" s="201"/>
      <c r="W489" s="201"/>
      <c r="X489" s="200"/>
      <c r="Y489" s="200"/>
      <c r="Z489" s="200"/>
      <c r="AA489" s="200"/>
      <c r="AB489" s="200"/>
      <c r="AC489" s="200"/>
      <c r="AD489" s="200"/>
      <c r="AE489" s="200"/>
      <c r="AF489" s="200"/>
      <c r="AG489" s="200"/>
      <c r="AH489" s="200"/>
      <c r="AI489" s="200"/>
      <c r="AJ489" s="200"/>
      <c r="AK489" s="200"/>
      <c r="AL489" s="200"/>
      <c r="AM489" s="200"/>
      <c r="AN489" s="198"/>
      <c r="AO489" s="201"/>
      <c r="AP489" s="198"/>
      <c r="AQ489" s="200"/>
      <c r="AR489" s="199"/>
      <c r="AS489" s="198"/>
      <c r="AV489" s="164"/>
      <c r="BA489" s="202"/>
      <c r="BC489" s="203"/>
      <c r="BD489" s="194"/>
      <c r="BE489" s="194"/>
    </row>
    <row r="490">
      <c r="A490" s="6"/>
      <c r="B490" s="6"/>
      <c r="C490" s="196"/>
      <c r="E490" s="197"/>
      <c r="F490" s="196"/>
      <c r="G490" s="198"/>
      <c r="H490" s="198"/>
      <c r="I490" s="198"/>
      <c r="J490" s="198"/>
      <c r="K490" s="198"/>
      <c r="L490" s="198"/>
      <c r="M490" s="199"/>
      <c r="N490" s="199"/>
      <c r="O490" s="199"/>
      <c r="P490" s="200"/>
      <c r="Q490" s="201"/>
      <c r="R490" s="200"/>
      <c r="S490" s="200"/>
      <c r="T490" s="200"/>
      <c r="U490" s="200"/>
      <c r="V490" s="201"/>
      <c r="W490" s="201"/>
      <c r="X490" s="200"/>
      <c r="Y490" s="200"/>
      <c r="Z490" s="200"/>
      <c r="AA490" s="200"/>
      <c r="AB490" s="200"/>
      <c r="AC490" s="200"/>
      <c r="AD490" s="200"/>
      <c r="AE490" s="200"/>
      <c r="AF490" s="200"/>
      <c r="AG490" s="200"/>
      <c r="AH490" s="200"/>
      <c r="AI490" s="200"/>
      <c r="AJ490" s="200"/>
      <c r="AK490" s="200"/>
      <c r="AL490" s="200"/>
      <c r="AM490" s="200"/>
      <c r="AN490" s="198"/>
      <c r="AO490" s="201"/>
      <c r="AP490" s="198"/>
      <c r="AQ490" s="200"/>
      <c r="AR490" s="199"/>
      <c r="AS490" s="198"/>
      <c r="AV490" s="164"/>
      <c r="BA490" s="202"/>
      <c r="BC490" s="203"/>
      <c r="BD490" s="194"/>
      <c r="BE490" s="194"/>
    </row>
    <row r="491">
      <c r="A491" s="6"/>
      <c r="B491" s="6"/>
      <c r="C491" s="196"/>
      <c r="E491" s="197"/>
      <c r="F491" s="196"/>
      <c r="G491" s="198"/>
      <c r="H491" s="198"/>
      <c r="I491" s="198"/>
      <c r="J491" s="198"/>
      <c r="K491" s="198"/>
      <c r="L491" s="198"/>
      <c r="M491" s="199"/>
      <c r="N491" s="199"/>
      <c r="O491" s="199"/>
      <c r="P491" s="200"/>
      <c r="Q491" s="201"/>
      <c r="R491" s="200"/>
      <c r="S491" s="200"/>
      <c r="T491" s="200"/>
      <c r="U491" s="200"/>
      <c r="V491" s="201"/>
      <c r="W491" s="201"/>
      <c r="X491" s="200"/>
      <c r="Y491" s="200"/>
      <c r="Z491" s="200"/>
      <c r="AA491" s="200"/>
      <c r="AB491" s="200"/>
      <c r="AC491" s="200"/>
      <c r="AD491" s="200"/>
      <c r="AE491" s="200"/>
      <c r="AF491" s="200"/>
      <c r="AG491" s="200"/>
      <c r="AH491" s="200"/>
      <c r="AI491" s="200"/>
      <c r="AJ491" s="200"/>
      <c r="AK491" s="200"/>
      <c r="AL491" s="200"/>
      <c r="AM491" s="200"/>
      <c r="AN491" s="198"/>
      <c r="AO491" s="201"/>
      <c r="AP491" s="198"/>
      <c r="AQ491" s="200"/>
      <c r="AR491" s="199"/>
      <c r="AS491" s="198"/>
      <c r="AV491" s="164"/>
      <c r="BA491" s="202"/>
      <c r="BC491" s="203"/>
      <c r="BD491" s="194"/>
      <c r="BE491" s="194"/>
    </row>
    <row r="492">
      <c r="A492" s="6"/>
      <c r="B492" s="6"/>
      <c r="C492" s="196"/>
      <c r="E492" s="197"/>
      <c r="F492" s="196"/>
      <c r="G492" s="198"/>
      <c r="H492" s="198"/>
      <c r="I492" s="198"/>
      <c r="J492" s="198"/>
      <c r="K492" s="198"/>
      <c r="L492" s="198"/>
      <c r="M492" s="199"/>
      <c r="N492" s="199"/>
      <c r="O492" s="199"/>
      <c r="P492" s="200"/>
      <c r="Q492" s="201"/>
      <c r="R492" s="200"/>
      <c r="S492" s="200"/>
      <c r="T492" s="200"/>
      <c r="U492" s="200"/>
      <c r="V492" s="201"/>
      <c r="W492" s="201"/>
      <c r="X492" s="200"/>
      <c r="Y492" s="200"/>
      <c r="Z492" s="200"/>
      <c r="AA492" s="200"/>
      <c r="AB492" s="200"/>
      <c r="AC492" s="200"/>
      <c r="AD492" s="200"/>
      <c r="AE492" s="200"/>
      <c r="AF492" s="200"/>
      <c r="AG492" s="200"/>
      <c r="AH492" s="200"/>
      <c r="AI492" s="200"/>
      <c r="AJ492" s="200"/>
      <c r="AK492" s="200"/>
      <c r="AL492" s="200"/>
      <c r="AM492" s="200"/>
      <c r="AN492" s="198"/>
      <c r="AO492" s="201"/>
      <c r="AP492" s="198"/>
      <c r="AQ492" s="200"/>
      <c r="AR492" s="199"/>
      <c r="AS492" s="198"/>
      <c r="AV492" s="164"/>
      <c r="BA492" s="202"/>
      <c r="BC492" s="203"/>
      <c r="BD492" s="194"/>
      <c r="BE492" s="194"/>
    </row>
    <row r="493">
      <c r="A493" s="6"/>
      <c r="B493" s="6"/>
      <c r="C493" s="196"/>
      <c r="E493" s="197"/>
      <c r="F493" s="196"/>
      <c r="G493" s="198"/>
      <c r="H493" s="198"/>
      <c r="I493" s="198"/>
      <c r="J493" s="198"/>
      <c r="K493" s="198"/>
      <c r="L493" s="198"/>
      <c r="M493" s="199"/>
      <c r="N493" s="199"/>
      <c r="O493" s="199"/>
      <c r="P493" s="200"/>
      <c r="Q493" s="201"/>
      <c r="R493" s="200"/>
      <c r="S493" s="200"/>
      <c r="T493" s="200"/>
      <c r="U493" s="200"/>
      <c r="V493" s="201"/>
      <c r="W493" s="201"/>
      <c r="X493" s="200"/>
      <c r="Y493" s="200"/>
      <c r="Z493" s="200"/>
      <c r="AA493" s="200"/>
      <c r="AB493" s="200"/>
      <c r="AC493" s="200"/>
      <c r="AD493" s="200"/>
      <c r="AE493" s="200"/>
      <c r="AF493" s="200"/>
      <c r="AG493" s="200"/>
      <c r="AH493" s="200"/>
      <c r="AI493" s="200"/>
      <c r="AJ493" s="200"/>
      <c r="AK493" s="200"/>
      <c r="AL493" s="200"/>
      <c r="AM493" s="200"/>
      <c r="AN493" s="198"/>
      <c r="AO493" s="201"/>
      <c r="AP493" s="198"/>
      <c r="AQ493" s="200"/>
      <c r="AR493" s="199"/>
      <c r="AS493" s="198"/>
      <c r="AV493" s="164"/>
      <c r="BA493" s="202"/>
      <c r="BC493" s="203"/>
      <c r="BD493" s="194"/>
      <c r="BE493" s="194"/>
    </row>
    <row r="494">
      <c r="A494" s="6"/>
      <c r="B494" s="6"/>
      <c r="C494" s="196"/>
      <c r="E494" s="197"/>
      <c r="F494" s="196"/>
      <c r="G494" s="198"/>
      <c r="H494" s="198"/>
      <c r="I494" s="198"/>
      <c r="J494" s="198"/>
      <c r="K494" s="198"/>
      <c r="L494" s="198"/>
      <c r="M494" s="199"/>
      <c r="N494" s="199"/>
      <c r="O494" s="199"/>
      <c r="P494" s="200"/>
      <c r="Q494" s="201"/>
      <c r="R494" s="200"/>
      <c r="S494" s="200"/>
      <c r="T494" s="200"/>
      <c r="U494" s="200"/>
      <c r="V494" s="201"/>
      <c r="W494" s="201"/>
      <c r="X494" s="200"/>
      <c r="Y494" s="200"/>
      <c r="Z494" s="200"/>
      <c r="AA494" s="200"/>
      <c r="AB494" s="200"/>
      <c r="AC494" s="200"/>
      <c r="AD494" s="200"/>
      <c r="AE494" s="200"/>
      <c r="AF494" s="200"/>
      <c r="AG494" s="200"/>
      <c r="AH494" s="200"/>
      <c r="AI494" s="200"/>
      <c r="AJ494" s="200"/>
      <c r="AK494" s="200"/>
      <c r="AL494" s="200"/>
      <c r="AM494" s="200"/>
      <c r="AN494" s="198"/>
      <c r="AO494" s="201"/>
      <c r="AP494" s="198"/>
      <c r="AQ494" s="200"/>
      <c r="AR494" s="199"/>
      <c r="AS494" s="198"/>
      <c r="AV494" s="164"/>
      <c r="BA494" s="202"/>
      <c r="BC494" s="203"/>
      <c r="BD494" s="194"/>
      <c r="BE494" s="194"/>
    </row>
    <row r="495">
      <c r="A495" s="6"/>
      <c r="B495" s="6"/>
      <c r="C495" s="196"/>
      <c r="E495" s="197"/>
      <c r="F495" s="196"/>
      <c r="G495" s="198"/>
      <c r="H495" s="198"/>
      <c r="I495" s="198"/>
      <c r="J495" s="198"/>
      <c r="K495" s="198"/>
      <c r="L495" s="198"/>
      <c r="M495" s="199"/>
      <c r="N495" s="199"/>
      <c r="O495" s="199"/>
      <c r="P495" s="200"/>
      <c r="Q495" s="201"/>
      <c r="R495" s="200"/>
      <c r="S495" s="200"/>
      <c r="T495" s="200"/>
      <c r="U495" s="200"/>
      <c r="V495" s="201"/>
      <c r="W495" s="201"/>
      <c r="X495" s="200"/>
      <c r="Y495" s="200"/>
      <c r="Z495" s="200"/>
      <c r="AA495" s="200"/>
      <c r="AB495" s="200"/>
      <c r="AC495" s="200"/>
      <c r="AD495" s="200"/>
      <c r="AE495" s="200"/>
      <c r="AF495" s="200"/>
      <c r="AG495" s="200"/>
      <c r="AH495" s="200"/>
      <c r="AI495" s="200"/>
      <c r="AJ495" s="200"/>
      <c r="AK495" s="200"/>
      <c r="AL495" s="200"/>
      <c r="AM495" s="200"/>
      <c r="AN495" s="198"/>
      <c r="AO495" s="201"/>
      <c r="AP495" s="198"/>
      <c r="AQ495" s="200"/>
      <c r="AR495" s="199"/>
      <c r="AS495" s="198"/>
      <c r="AV495" s="164"/>
      <c r="BA495" s="202"/>
      <c r="BC495" s="203"/>
      <c r="BD495" s="194"/>
      <c r="BE495" s="194"/>
    </row>
    <row r="496">
      <c r="A496" s="6"/>
      <c r="B496" s="6"/>
      <c r="C496" s="196"/>
      <c r="E496" s="197"/>
      <c r="F496" s="196"/>
      <c r="G496" s="198"/>
      <c r="H496" s="198"/>
      <c r="I496" s="198"/>
      <c r="J496" s="198"/>
      <c r="K496" s="198"/>
      <c r="L496" s="198"/>
      <c r="M496" s="199"/>
      <c r="N496" s="199"/>
      <c r="O496" s="199"/>
      <c r="P496" s="200"/>
      <c r="Q496" s="201"/>
      <c r="R496" s="200"/>
      <c r="S496" s="200"/>
      <c r="T496" s="200"/>
      <c r="U496" s="200"/>
      <c r="V496" s="201"/>
      <c r="W496" s="201"/>
      <c r="X496" s="200"/>
      <c r="Y496" s="200"/>
      <c r="Z496" s="200"/>
      <c r="AA496" s="200"/>
      <c r="AB496" s="200"/>
      <c r="AC496" s="200"/>
      <c r="AD496" s="200"/>
      <c r="AE496" s="200"/>
      <c r="AF496" s="200"/>
      <c r="AG496" s="200"/>
      <c r="AH496" s="200"/>
      <c r="AI496" s="200"/>
      <c r="AJ496" s="200"/>
      <c r="AK496" s="200"/>
      <c r="AL496" s="200"/>
      <c r="AM496" s="200"/>
      <c r="AN496" s="198"/>
      <c r="AO496" s="201"/>
      <c r="AP496" s="198"/>
      <c r="AQ496" s="200"/>
      <c r="AR496" s="199"/>
      <c r="AS496" s="198"/>
      <c r="AV496" s="164"/>
      <c r="BA496" s="202"/>
      <c r="BC496" s="203"/>
      <c r="BD496" s="194"/>
      <c r="BE496" s="194"/>
    </row>
    <row r="497">
      <c r="A497" s="6"/>
      <c r="B497" s="6"/>
      <c r="C497" s="196"/>
      <c r="E497" s="197"/>
      <c r="F497" s="196"/>
      <c r="G497" s="198"/>
      <c r="H497" s="198"/>
      <c r="I497" s="198"/>
      <c r="J497" s="198"/>
      <c r="K497" s="198"/>
      <c r="L497" s="198"/>
      <c r="M497" s="199"/>
      <c r="N497" s="199"/>
      <c r="O497" s="199"/>
      <c r="P497" s="200"/>
      <c r="Q497" s="201"/>
      <c r="R497" s="200"/>
      <c r="S497" s="200"/>
      <c r="T497" s="200"/>
      <c r="U497" s="200"/>
      <c r="V497" s="201"/>
      <c r="W497" s="201"/>
      <c r="X497" s="200"/>
      <c r="Y497" s="200"/>
      <c r="Z497" s="200"/>
      <c r="AA497" s="200"/>
      <c r="AB497" s="200"/>
      <c r="AC497" s="200"/>
      <c r="AD497" s="200"/>
      <c r="AE497" s="200"/>
      <c r="AF497" s="200"/>
      <c r="AG497" s="200"/>
      <c r="AH497" s="200"/>
      <c r="AI497" s="200"/>
      <c r="AJ497" s="200"/>
      <c r="AK497" s="200"/>
      <c r="AL497" s="200"/>
      <c r="AM497" s="200"/>
      <c r="AN497" s="198"/>
      <c r="AO497" s="201"/>
      <c r="AP497" s="198"/>
      <c r="AQ497" s="200"/>
      <c r="AR497" s="199"/>
      <c r="AS497" s="198"/>
      <c r="AV497" s="164"/>
      <c r="BA497" s="202"/>
      <c r="BC497" s="203"/>
      <c r="BD497" s="194"/>
      <c r="BE497" s="194"/>
    </row>
    <row r="498">
      <c r="A498" s="6"/>
      <c r="B498" s="6"/>
      <c r="C498" s="196"/>
      <c r="E498" s="197"/>
      <c r="F498" s="196"/>
      <c r="G498" s="198"/>
      <c r="H498" s="198"/>
      <c r="I498" s="198"/>
      <c r="J498" s="198"/>
      <c r="K498" s="198"/>
      <c r="L498" s="198"/>
      <c r="M498" s="199"/>
      <c r="N498" s="199"/>
      <c r="O498" s="199"/>
      <c r="P498" s="200"/>
      <c r="Q498" s="201"/>
      <c r="R498" s="200"/>
      <c r="S498" s="200"/>
      <c r="T498" s="200"/>
      <c r="U498" s="200"/>
      <c r="V498" s="201"/>
      <c r="W498" s="201"/>
      <c r="X498" s="200"/>
      <c r="Y498" s="200"/>
      <c r="Z498" s="200"/>
      <c r="AA498" s="200"/>
      <c r="AB498" s="200"/>
      <c r="AC498" s="200"/>
      <c r="AD498" s="200"/>
      <c r="AE498" s="200"/>
      <c r="AF498" s="200"/>
      <c r="AG498" s="200"/>
      <c r="AH498" s="200"/>
      <c r="AI498" s="200"/>
      <c r="AJ498" s="200"/>
      <c r="AK498" s="200"/>
      <c r="AL498" s="200"/>
      <c r="AM498" s="200"/>
      <c r="AN498" s="198"/>
      <c r="AO498" s="201"/>
      <c r="AP498" s="198"/>
      <c r="AQ498" s="200"/>
      <c r="AR498" s="199"/>
      <c r="AS498" s="198"/>
      <c r="AV498" s="164"/>
      <c r="BA498" s="202"/>
      <c r="BC498" s="203"/>
      <c r="BD498" s="194"/>
      <c r="BE498" s="194"/>
    </row>
    <row r="499">
      <c r="A499" s="6"/>
      <c r="B499" s="6"/>
      <c r="C499" s="196"/>
      <c r="E499" s="197"/>
      <c r="F499" s="196"/>
      <c r="G499" s="198"/>
      <c r="H499" s="198"/>
      <c r="I499" s="198"/>
      <c r="J499" s="198"/>
      <c r="K499" s="198"/>
      <c r="L499" s="198"/>
      <c r="M499" s="199"/>
      <c r="N499" s="199"/>
      <c r="O499" s="199"/>
      <c r="P499" s="200"/>
      <c r="Q499" s="201"/>
      <c r="R499" s="200"/>
      <c r="S499" s="200"/>
      <c r="T499" s="200"/>
      <c r="U499" s="200"/>
      <c r="V499" s="201"/>
      <c r="W499" s="201"/>
      <c r="X499" s="200"/>
      <c r="Y499" s="200"/>
      <c r="Z499" s="200"/>
      <c r="AA499" s="200"/>
      <c r="AB499" s="200"/>
      <c r="AC499" s="200"/>
      <c r="AD499" s="200"/>
      <c r="AE499" s="200"/>
      <c r="AF499" s="200"/>
      <c r="AG499" s="200"/>
      <c r="AH499" s="200"/>
      <c r="AI499" s="200"/>
      <c r="AJ499" s="200"/>
      <c r="AK499" s="200"/>
      <c r="AL499" s="200"/>
      <c r="AM499" s="200"/>
      <c r="AN499" s="198"/>
      <c r="AO499" s="201"/>
      <c r="AP499" s="198"/>
      <c r="AQ499" s="200"/>
      <c r="AR499" s="199"/>
      <c r="AS499" s="198"/>
      <c r="AV499" s="164"/>
      <c r="BA499" s="202"/>
      <c r="BC499" s="203"/>
      <c r="BD499" s="194"/>
      <c r="BE499" s="194"/>
    </row>
    <row r="500">
      <c r="A500" s="6"/>
      <c r="B500" s="6"/>
      <c r="C500" s="196"/>
      <c r="E500" s="197"/>
      <c r="F500" s="196"/>
      <c r="G500" s="198"/>
      <c r="H500" s="198"/>
      <c r="I500" s="198"/>
      <c r="J500" s="198"/>
      <c r="K500" s="198"/>
      <c r="L500" s="198"/>
      <c r="M500" s="199"/>
      <c r="N500" s="199"/>
      <c r="O500" s="199"/>
      <c r="P500" s="200"/>
      <c r="Q500" s="201"/>
      <c r="R500" s="200"/>
      <c r="S500" s="200"/>
      <c r="T500" s="200"/>
      <c r="U500" s="200"/>
      <c r="V500" s="201"/>
      <c r="W500" s="201"/>
      <c r="X500" s="200"/>
      <c r="Y500" s="200"/>
      <c r="Z500" s="200"/>
      <c r="AA500" s="200"/>
      <c r="AB500" s="200"/>
      <c r="AC500" s="200"/>
      <c r="AD500" s="200"/>
      <c r="AE500" s="200"/>
      <c r="AF500" s="200"/>
      <c r="AG500" s="200"/>
      <c r="AH500" s="200"/>
      <c r="AI500" s="200"/>
      <c r="AJ500" s="200"/>
      <c r="AK500" s="200"/>
      <c r="AL500" s="200"/>
      <c r="AM500" s="200"/>
      <c r="AN500" s="198"/>
      <c r="AO500" s="201"/>
      <c r="AP500" s="198"/>
      <c r="AQ500" s="200"/>
      <c r="AR500" s="199"/>
      <c r="AS500" s="198"/>
      <c r="AV500" s="164"/>
      <c r="BA500" s="202"/>
      <c r="BC500" s="203"/>
      <c r="BD500" s="194"/>
      <c r="BE500" s="194"/>
    </row>
    <row r="501">
      <c r="A501" s="6"/>
      <c r="B501" s="6"/>
      <c r="C501" s="196"/>
      <c r="E501" s="197"/>
      <c r="F501" s="196"/>
      <c r="G501" s="198"/>
      <c r="H501" s="198"/>
      <c r="I501" s="198"/>
      <c r="J501" s="198"/>
      <c r="K501" s="198"/>
      <c r="L501" s="198"/>
      <c r="M501" s="199"/>
      <c r="N501" s="199"/>
      <c r="O501" s="199"/>
      <c r="P501" s="200"/>
      <c r="Q501" s="201"/>
      <c r="R501" s="200"/>
      <c r="S501" s="200"/>
      <c r="T501" s="200"/>
      <c r="U501" s="200"/>
      <c r="V501" s="201"/>
      <c r="W501" s="201"/>
      <c r="X501" s="200"/>
      <c r="Y501" s="200"/>
      <c r="Z501" s="200"/>
      <c r="AA501" s="200"/>
      <c r="AB501" s="200"/>
      <c r="AC501" s="200"/>
      <c r="AD501" s="200"/>
      <c r="AE501" s="200"/>
      <c r="AF501" s="200"/>
      <c r="AG501" s="200"/>
      <c r="AH501" s="200"/>
      <c r="AI501" s="200"/>
      <c r="AJ501" s="200"/>
      <c r="AK501" s="200"/>
      <c r="AL501" s="200"/>
      <c r="AM501" s="200"/>
      <c r="AN501" s="198"/>
      <c r="AO501" s="201"/>
      <c r="AP501" s="198"/>
      <c r="AQ501" s="200"/>
      <c r="AR501" s="199"/>
      <c r="AS501" s="198"/>
      <c r="AV501" s="164"/>
      <c r="BA501" s="202"/>
      <c r="BC501" s="203"/>
      <c r="BD501" s="194"/>
      <c r="BE501" s="194"/>
    </row>
    <row r="502">
      <c r="A502" s="6"/>
      <c r="B502" s="6"/>
      <c r="C502" s="196"/>
      <c r="E502" s="197"/>
      <c r="F502" s="196"/>
      <c r="G502" s="198"/>
      <c r="H502" s="198"/>
      <c r="I502" s="198"/>
      <c r="J502" s="198"/>
      <c r="K502" s="198"/>
      <c r="L502" s="198"/>
      <c r="M502" s="199"/>
      <c r="N502" s="199"/>
      <c r="O502" s="199"/>
      <c r="P502" s="200"/>
      <c r="Q502" s="201"/>
      <c r="R502" s="200"/>
      <c r="S502" s="200"/>
      <c r="T502" s="200"/>
      <c r="U502" s="200"/>
      <c r="V502" s="201"/>
      <c r="W502" s="201"/>
      <c r="X502" s="200"/>
      <c r="Y502" s="200"/>
      <c r="Z502" s="200"/>
      <c r="AA502" s="200"/>
      <c r="AB502" s="200"/>
      <c r="AC502" s="200"/>
      <c r="AD502" s="200"/>
      <c r="AE502" s="200"/>
      <c r="AF502" s="200"/>
      <c r="AG502" s="200"/>
      <c r="AH502" s="200"/>
      <c r="AI502" s="200"/>
      <c r="AJ502" s="200"/>
      <c r="AK502" s="200"/>
      <c r="AL502" s="200"/>
      <c r="AM502" s="200"/>
      <c r="AN502" s="198"/>
      <c r="AO502" s="201"/>
      <c r="AP502" s="198"/>
      <c r="AQ502" s="200"/>
      <c r="AR502" s="199"/>
      <c r="AS502" s="198"/>
      <c r="AV502" s="164"/>
      <c r="BA502" s="202"/>
      <c r="BC502" s="203"/>
      <c r="BD502" s="194"/>
      <c r="BE502" s="194"/>
    </row>
    <row r="503">
      <c r="A503" s="6"/>
      <c r="B503" s="6"/>
      <c r="C503" s="196"/>
      <c r="E503" s="197"/>
      <c r="F503" s="196"/>
      <c r="G503" s="198"/>
      <c r="H503" s="198"/>
      <c r="I503" s="198"/>
      <c r="J503" s="198"/>
      <c r="K503" s="198"/>
      <c r="L503" s="198"/>
      <c r="M503" s="199"/>
      <c r="N503" s="199"/>
      <c r="O503" s="199"/>
      <c r="P503" s="200"/>
      <c r="Q503" s="201"/>
      <c r="R503" s="200"/>
      <c r="S503" s="200"/>
      <c r="T503" s="200"/>
      <c r="U503" s="200"/>
      <c r="V503" s="201"/>
      <c r="W503" s="201"/>
      <c r="X503" s="200"/>
      <c r="Y503" s="200"/>
      <c r="Z503" s="200"/>
      <c r="AA503" s="200"/>
      <c r="AB503" s="200"/>
      <c r="AC503" s="200"/>
      <c r="AD503" s="200"/>
      <c r="AE503" s="200"/>
      <c r="AF503" s="200"/>
      <c r="AG503" s="200"/>
      <c r="AH503" s="200"/>
      <c r="AI503" s="200"/>
      <c r="AJ503" s="200"/>
      <c r="AK503" s="200"/>
      <c r="AL503" s="200"/>
      <c r="AM503" s="200"/>
      <c r="AN503" s="198"/>
      <c r="AO503" s="201"/>
      <c r="AP503" s="198"/>
      <c r="AQ503" s="200"/>
      <c r="AR503" s="199"/>
      <c r="AS503" s="198"/>
      <c r="AV503" s="164"/>
      <c r="BA503" s="202"/>
      <c r="BC503" s="203"/>
      <c r="BD503" s="194"/>
      <c r="BE503" s="194"/>
    </row>
    <row r="504">
      <c r="A504" s="6"/>
      <c r="B504" s="6"/>
      <c r="C504" s="196"/>
      <c r="E504" s="197"/>
      <c r="F504" s="196"/>
      <c r="G504" s="198"/>
      <c r="H504" s="198"/>
      <c r="I504" s="198"/>
      <c r="J504" s="198"/>
      <c r="K504" s="198"/>
      <c r="L504" s="198"/>
      <c r="M504" s="199"/>
      <c r="N504" s="199"/>
      <c r="O504" s="199"/>
      <c r="P504" s="200"/>
      <c r="Q504" s="201"/>
      <c r="R504" s="200"/>
      <c r="S504" s="200"/>
      <c r="T504" s="200"/>
      <c r="U504" s="200"/>
      <c r="V504" s="201"/>
      <c r="W504" s="201"/>
      <c r="X504" s="200"/>
      <c r="Y504" s="200"/>
      <c r="Z504" s="200"/>
      <c r="AA504" s="200"/>
      <c r="AB504" s="200"/>
      <c r="AC504" s="200"/>
      <c r="AD504" s="200"/>
      <c r="AE504" s="200"/>
      <c r="AF504" s="200"/>
      <c r="AG504" s="200"/>
      <c r="AH504" s="200"/>
      <c r="AI504" s="200"/>
      <c r="AJ504" s="200"/>
      <c r="AK504" s="200"/>
      <c r="AL504" s="200"/>
      <c r="AM504" s="200"/>
      <c r="AN504" s="198"/>
      <c r="AO504" s="201"/>
      <c r="AP504" s="198"/>
      <c r="AQ504" s="200"/>
      <c r="AR504" s="199"/>
      <c r="AS504" s="198"/>
      <c r="AV504" s="164"/>
      <c r="BA504" s="202"/>
      <c r="BC504" s="203"/>
      <c r="BD504" s="194"/>
      <c r="BE504" s="194"/>
    </row>
    <row r="505">
      <c r="A505" s="6"/>
      <c r="B505" s="6"/>
      <c r="C505" s="196"/>
      <c r="E505" s="197"/>
      <c r="F505" s="196"/>
      <c r="G505" s="198"/>
      <c r="H505" s="198"/>
      <c r="I505" s="198"/>
      <c r="J505" s="198"/>
      <c r="K505" s="198"/>
      <c r="L505" s="198"/>
      <c r="M505" s="199"/>
      <c r="N505" s="199"/>
      <c r="O505" s="199"/>
      <c r="P505" s="200"/>
      <c r="Q505" s="201"/>
      <c r="R505" s="200"/>
      <c r="S505" s="200"/>
      <c r="T505" s="200"/>
      <c r="U505" s="200"/>
      <c r="V505" s="201"/>
      <c r="W505" s="201"/>
      <c r="X505" s="200"/>
      <c r="Y505" s="200"/>
      <c r="Z505" s="200"/>
      <c r="AA505" s="200"/>
      <c r="AB505" s="200"/>
      <c r="AC505" s="200"/>
      <c r="AD505" s="200"/>
      <c r="AE505" s="200"/>
      <c r="AF505" s="200"/>
      <c r="AG505" s="200"/>
      <c r="AH505" s="200"/>
      <c r="AI505" s="200"/>
      <c r="AJ505" s="200"/>
      <c r="AK505" s="200"/>
      <c r="AL505" s="200"/>
      <c r="AM505" s="200"/>
      <c r="AN505" s="198"/>
      <c r="AO505" s="201"/>
      <c r="AP505" s="198"/>
      <c r="AQ505" s="200"/>
      <c r="AR505" s="199"/>
      <c r="AS505" s="198"/>
      <c r="AV505" s="164"/>
      <c r="BA505" s="202"/>
      <c r="BC505" s="203"/>
      <c r="BD505" s="194"/>
      <c r="BE505" s="194"/>
    </row>
    <row r="506">
      <c r="A506" s="6"/>
      <c r="B506" s="6"/>
      <c r="C506" s="196"/>
      <c r="E506" s="197"/>
      <c r="F506" s="196"/>
      <c r="G506" s="198"/>
      <c r="H506" s="198"/>
      <c r="I506" s="198"/>
      <c r="J506" s="198"/>
      <c r="K506" s="198"/>
      <c r="L506" s="198"/>
      <c r="M506" s="199"/>
      <c r="N506" s="199"/>
      <c r="O506" s="199"/>
      <c r="P506" s="200"/>
      <c r="Q506" s="201"/>
      <c r="R506" s="200"/>
      <c r="S506" s="200"/>
      <c r="T506" s="200"/>
      <c r="U506" s="200"/>
      <c r="V506" s="201"/>
      <c r="W506" s="201"/>
      <c r="X506" s="200"/>
      <c r="Y506" s="200"/>
      <c r="Z506" s="200"/>
      <c r="AA506" s="200"/>
      <c r="AB506" s="200"/>
      <c r="AC506" s="200"/>
      <c r="AD506" s="200"/>
      <c r="AE506" s="200"/>
      <c r="AF506" s="200"/>
      <c r="AG506" s="200"/>
      <c r="AH506" s="200"/>
      <c r="AI506" s="200"/>
      <c r="AJ506" s="200"/>
      <c r="AK506" s="200"/>
      <c r="AL506" s="200"/>
      <c r="AM506" s="200"/>
      <c r="AN506" s="198"/>
      <c r="AO506" s="201"/>
      <c r="AP506" s="198"/>
      <c r="AQ506" s="200"/>
      <c r="AR506" s="199"/>
      <c r="AS506" s="198"/>
      <c r="AV506" s="164"/>
      <c r="BA506" s="202"/>
      <c r="BC506" s="203"/>
      <c r="BD506" s="194"/>
      <c r="BE506" s="194"/>
    </row>
    <row r="507">
      <c r="A507" s="6"/>
      <c r="B507" s="6"/>
      <c r="C507" s="196"/>
      <c r="E507" s="197"/>
      <c r="F507" s="196"/>
      <c r="G507" s="198"/>
      <c r="H507" s="198"/>
      <c r="I507" s="198"/>
      <c r="J507" s="198"/>
      <c r="K507" s="198"/>
      <c r="L507" s="198"/>
      <c r="M507" s="199"/>
      <c r="N507" s="199"/>
      <c r="O507" s="199"/>
      <c r="P507" s="200"/>
      <c r="Q507" s="201"/>
      <c r="R507" s="200"/>
      <c r="S507" s="200"/>
      <c r="T507" s="200"/>
      <c r="U507" s="200"/>
      <c r="V507" s="201"/>
      <c r="W507" s="201"/>
      <c r="X507" s="200"/>
      <c r="Y507" s="200"/>
      <c r="Z507" s="200"/>
      <c r="AA507" s="200"/>
      <c r="AB507" s="200"/>
      <c r="AC507" s="200"/>
      <c r="AD507" s="200"/>
      <c r="AE507" s="200"/>
      <c r="AF507" s="200"/>
      <c r="AG507" s="200"/>
      <c r="AH507" s="200"/>
      <c r="AI507" s="200"/>
      <c r="AJ507" s="200"/>
      <c r="AK507" s="200"/>
      <c r="AL507" s="200"/>
      <c r="AM507" s="200"/>
      <c r="AN507" s="198"/>
      <c r="AO507" s="201"/>
      <c r="AP507" s="198"/>
      <c r="AQ507" s="200"/>
      <c r="AR507" s="199"/>
      <c r="AS507" s="198"/>
      <c r="AV507" s="164"/>
      <c r="BA507" s="202"/>
      <c r="BC507" s="203"/>
      <c r="BD507" s="194"/>
      <c r="BE507" s="194"/>
    </row>
    <row r="508">
      <c r="A508" s="6"/>
      <c r="B508" s="6"/>
      <c r="C508" s="196"/>
      <c r="E508" s="197"/>
      <c r="F508" s="196"/>
      <c r="G508" s="198"/>
      <c r="H508" s="198"/>
      <c r="I508" s="198"/>
      <c r="J508" s="198"/>
      <c r="K508" s="198"/>
      <c r="L508" s="198"/>
      <c r="M508" s="199"/>
      <c r="N508" s="199"/>
      <c r="O508" s="199"/>
      <c r="P508" s="200"/>
      <c r="Q508" s="201"/>
      <c r="R508" s="200"/>
      <c r="S508" s="200"/>
      <c r="T508" s="200"/>
      <c r="U508" s="200"/>
      <c r="V508" s="201"/>
      <c r="W508" s="201"/>
      <c r="X508" s="200"/>
      <c r="Y508" s="200"/>
      <c r="Z508" s="200"/>
      <c r="AA508" s="200"/>
      <c r="AB508" s="200"/>
      <c r="AC508" s="200"/>
      <c r="AD508" s="200"/>
      <c r="AE508" s="200"/>
      <c r="AF508" s="200"/>
      <c r="AG508" s="200"/>
      <c r="AH508" s="200"/>
      <c r="AI508" s="200"/>
      <c r="AJ508" s="200"/>
      <c r="AK508" s="200"/>
      <c r="AL508" s="200"/>
      <c r="AM508" s="200"/>
      <c r="AN508" s="198"/>
      <c r="AO508" s="201"/>
      <c r="AP508" s="198"/>
      <c r="AQ508" s="200"/>
      <c r="AR508" s="199"/>
      <c r="AS508" s="198"/>
      <c r="AV508" s="164"/>
      <c r="BA508" s="202"/>
      <c r="BC508" s="203"/>
      <c r="BD508" s="194"/>
      <c r="BE508" s="194"/>
    </row>
    <row r="509">
      <c r="A509" s="6"/>
      <c r="B509" s="6"/>
      <c r="C509" s="196"/>
      <c r="E509" s="197"/>
      <c r="F509" s="196"/>
      <c r="G509" s="198"/>
      <c r="H509" s="198"/>
      <c r="I509" s="198"/>
      <c r="J509" s="198"/>
      <c r="K509" s="198"/>
      <c r="L509" s="198"/>
      <c r="M509" s="199"/>
      <c r="N509" s="199"/>
      <c r="O509" s="199"/>
      <c r="P509" s="200"/>
      <c r="Q509" s="201"/>
      <c r="R509" s="200"/>
      <c r="S509" s="200"/>
      <c r="T509" s="200"/>
      <c r="U509" s="200"/>
      <c r="V509" s="201"/>
      <c r="W509" s="201"/>
      <c r="X509" s="200"/>
      <c r="Y509" s="200"/>
      <c r="Z509" s="200"/>
      <c r="AA509" s="200"/>
      <c r="AB509" s="200"/>
      <c r="AC509" s="200"/>
      <c r="AD509" s="200"/>
      <c r="AE509" s="200"/>
      <c r="AF509" s="200"/>
      <c r="AG509" s="200"/>
      <c r="AH509" s="200"/>
      <c r="AI509" s="200"/>
      <c r="AJ509" s="200"/>
      <c r="AK509" s="200"/>
      <c r="AL509" s="200"/>
      <c r="AM509" s="200"/>
      <c r="AN509" s="198"/>
      <c r="AO509" s="201"/>
      <c r="AP509" s="198"/>
      <c r="AQ509" s="200"/>
      <c r="AR509" s="199"/>
      <c r="AS509" s="198"/>
      <c r="AV509" s="164"/>
      <c r="BA509" s="202"/>
      <c r="BC509" s="203"/>
      <c r="BD509" s="194"/>
      <c r="BE509" s="194"/>
    </row>
    <row r="510">
      <c r="A510" s="6"/>
      <c r="B510" s="6"/>
      <c r="C510" s="196"/>
      <c r="E510" s="197"/>
      <c r="F510" s="196"/>
      <c r="G510" s="198"/>
      <c r="H510" s="198"/>
      <c r="I510" s="198"/>
      <c r="J510" s="198"/>
      <c r="K510" s="198"/>
      <c r="L510" s="198"/>
      <c r="M510" s="199"/>
      <c r="N510" s="199"/>
      <c r="O510" s="199"/>
      <c r="P510" s="200"/>
      <c r="Q510" s="201"/>
      <c r="R510" s="200"/>
      <c r="S510" s="200"/>
      <c r="T510" s="200"/>
      <c r="U510" s="200"/>
      <c r="V510" s="201"/>
      <c r="W510" s="201"/>
      <c r="X510" s="200"/>
      <c r="Y510" s="200"/>
      <c r="Z510" s="200"/>
      <c r="AA510" s="200"/>
      <c r="AB510" s="200"/>
      <c r="AC510" s="200"/>
      <c r="AD510" s="200"/>
      <c r="AE510" s="200"/>
      <c r="AF510" s="200"/>
      <c r="AG510" s="200"/>
      <c r="AH510" s="200"/>
      <c r="AI510" s="200"/>
      <c r="AJ510" s="200"/>
      <c r="AK510" s="200"/>
      <c r="AL510" s="200"/>
      <c r="AM510" s="200"/>
      <c r="AN510" s="198"/>
      <c r="AO510" s="201"/>
      <c r="AP510" s="198"/>
      <c r="AQ510" s="200"/>
      <c r="AR510" s="199"/>
      <c r="AS510" s="198"/>
      <c r="AV510" s="164"/>
      <c r="BA510" s="202"/>
      <c r="BC510" s="203"/>
      <c r="BD510" s="194"/>
      <c r="BE510" s="194"/>
    </row>
    <row r="511">
      <c r="A511" s="6"/>
      <c r="B511" s="6"/>
      <c r="C511" s="196"/>
      <c r="E511" s="197"/>
      <c r="F511" s="196"/>
      <c r="G511" s="198"/>
      <c r="H511" s="198"/>
      <c r="I511" s="198"/>
      <c r="J511" s="198"/>
      <c r="K511" s="198"/>
      <c r="L511" s="198"/>
      <c r="M511" s="199"/>
      <c r="N511" s="199"/>
      <c r="O511" s="199"/>
      <c r="P511" s="200"/>
      <c r="Q511" s="201"/>
      <c r="R511" s="200"/>
      <c r="S511" s="200"/>
      <c r="T511" s="200"/>
      <c r="U511" s="200"/>
      <c r="V511" s="201"/>
      <c r="W511" s="201"/>
      <c r="X511" s="200"/>
      <c r="Y511" s="200"/>
      <c r="Z511" s="200"/>
      <c r="AA511" s="200"/>
      <c r="AB511" s="200"/>
      <c r="AC511" s="200"/>
      <c r="AD511" s="200"/>
      <c r="AE511" s="200"/>
      <c r="AF511" s="200"/>
      <c r="AG511" s="200"/>
      <c r="AH511" s="200"/>
      <c r="AI511" s="200"/>
      <c r="AJ511" s="200"/>
      <c r="AK511" s="200"/>
      <c r="AL511" s="200"/>
      <c r="AM511" s="200"/>
      <c r="AN511" s="198"/>
      <c r="AO511" s="201"/>
      <c r="AP511" s="198"/>
      <c r="AQ511" s="200"/>
      <c r="AR511" s="199"/>
      <c r="AS511" s="198"/>
      <c r="AV511" s="164"/>
      <c r="BA511" s="202"/>
      <c r="BC511" s="203"/>
      <c r="BD511" s="194"/>
      <c r="BE511" s="194"/>
    </row>
    <row r="512">
      <c r="A512" s="6"/>
      <c r="B512" s="6"/>
      <c r="C512" s="196"/>
      <c r="E512" s="197"/>
      <c r="F512" s="196"/>
      <c r="G512" s="198"/>
      <c r="H512" s="198"/>
      <c r="I512" s="198"/>
      <c r="J512" s="198"/>
      <c r="K512" s="198"/>
      <c r="L512" s="198"/>
      <c r="M512" s="199"/>
      <c r="N512" s="199"/>
      <c r="O512" s="199"/>
      <c r="P512" s="200"/>
      <c r="Q512" s="201"/>
      <c r="R512" s="200"/>
      <c r="S512" s="200"/>
      <c r="T512" s="200"/>
      <c r="U512" s="200"/>
      <c r="V512" s="201"/>
      <c r="W512" s="201"/>
      <c r="X512" s="200"/>
      <c r="Y512" s="200"/>
      <c r="Z512" s="200"/>
      <c r="AA512" s="200"/>
      <c r="AB512" s="200"/>
      <c r="AC512" s="200"/>
      <c r="AD512" s="200"/>
      <c r="AE512" s="200"/>
      <c r="AF512" s="200"/>
      <c r="AG512" s="200"/>
      <c r="AH512" s="200"/>
      <c r="AI512" s="200"/>
      <c r="AJ512" s="200"/>
      <c r="AK512" s="200"/>
      <c r="AL512" s="200"/>
      <c r="AM512" s="200"/>
      <c r="AN512" s="198"/>
      <c r="AO512" s="201"/>
      <c r="AP512" s="198"/>
      <c r="AQ512" s="200"/>
      <c r="AR512" s="199"/>
      <c r="AS512" s="198"/>
      <c r="AV512" s="164"/>
      <c r="BA512" s="202"/>
      <c r="BC512" s="203"/>
      <c r="BD512" s="194"/>
      <c r="BE512" s="194"/>
    </row>
    <row r="513">
      <c r="A513" s="6"/>
      <c r="B513" s="6"/>
      <c r="C513" s="196"/>
      <c r="E513" s="197"/>
      <c r="F513" s="196"/>
      <c r="G513" s="198"/>
      <c r="H513" s="198"/>
      <c r="I513" s="198"/>
      <c r="J513" s="198"/>
      <c r="K513" s="198"/>
      <c r="L513" s="198"/>
      <c r="M513" s="199"/>
      <c r="N513" s="199"/>
      <c r="O513" s="199"/>
      <c r="P513" s="200"/>
      <c r="Q513" s="201"/>
      <c r="R513" s="200"/>
      <c r="S513" s="200"/>
      <c r="T513" s="200"/>
      <c r="U513" s="200"/>
      <c r="V513" s="201"/>
      <c r="W513" s="201"/>
      <c r="X513" s="200"/>
      <c r="Y513" s="200"/>
      <c r="Z513" s="200"/>
      <c r="AA513" s="200"/>
      <c r="AB513" s="200"/>
      <c r="AC513" s="200"/>
      <c r="AD513" s="200"/>
      <c r="AE513" s="200"/>
      <c r="AF513" s="200"/>
      <c r="AG513" s="200"/>
      <c r="AH513" s="200"/>
      <c r="AI513" s="200"/>
      <c r="AJ513" s="200"/>
      <c r="AK513" s="200"/>
      <c r="AL513" s="200"/>
      <c r="AM513" s="200"/>
      <c r="AN513" s="198"/>
      <c r="AO513" s="201"/>
      <c r="AP513" s="198"/>
      <c r="AQ513" s="200"/>
      <c r="AR513" s="199"/>
      <c r="AS513" s="198"/>
      <c r="AV513" s="164"/>
      <c r="BA513" s="202"/>
      <c r="BC513" s="203"/>
      <c r="BD513" s="194"/>
      <c r="BE513" s="194"/>
    </row>
    <row r="514">
      <c r="A514" s="6"/>
      <c r="B514" s="6"/>
      <c r="C514" s="196"/>
      <c r="E514" s="197"/>
      <c r="F514" s="196"/>
      <c r="G514" s="198"/>
      <c r="H514" s="198"/>
      <c r="I514" s="198"/>
      <c r="J514" s="198"/>
      <c r="K514" s="198"/>
      <c r="L514" s="198"/>
      <c r="M514" s="199"/>
      <c r="N514" s="199"/>
      <c r="O514" s="199"/>
      <c r="P514" s="200"/>
      <c r="Q514" s="201"/>
      <c r="R514" s="200"/>
      <c r="S514" s="200"/>
      <c r="T514" s="200"/>
      <c r="U514" s="200"/>
      <c r="V514" s="201"/>
      <c r="W514" s="201"/>
      <c r="X514" s="200"/>
      <c r="Y514" s="200"/>
      <c r="Z514" s="200"/>
      <c r="AA514" s="200"/>
      <c r="AB514" s="200"/>
      <c r="AC514" s="200"/>
      <c r="AD514" s="200"/>
      <c r="AE514" s="200"/>
      <c r="AF514" s="200"/>
      <c r="AG514" s="200"/>
      <c r="AH514" s="200"/>
      <c r="AI514" s="200"/>
      <c r="AJ514" s="200"/>
      <c r="AK514" s="200"/>
      <c r="AL514" s="200"/>
      <c r="AM514" s="200"/>
      <c r="AN514" s="198"/>
      <c r="AO514" s="201"/>
      <c r="AP514" s="198"/>
      <c r="AQ514" s="200"/>
      <c r="AR514" s="199"/>
      <c r="AS514" s="198"/>
      <c r="AV514" s="164"/>
      <c r="BA514" s="202"/>
      <c r="BC514" s="203"/>
      <c r="BD514" s="194"/>
      <c r="BE514" s="194"/>
    </row>
    <row r="515">
      <c r="A515" s="6"/>
      <c r="B515" s="6"/>
      <c r="C515" s="196"/>
      <c r="E515" s="197"/>
      <c r="F515" s="196"/>
      <c r="G515" s="198"/>
      <c r="H515" s="198"/>
      <c r="I515" s="198"/>
      <c r="J515" s="198"/>
      <c r="K515" s="198"/>
      <c r="L515" s="198"/>
      <c r="M515" s="199"/>
      <c r="N515" s="199"/>
      <c r="O515" s="199"/>
      <c r="P515" s="200"/>
      <c r="Q515" s="201"/>
      <c r="R515" s="200"/>
      <c r="S515" s="200"/>
      <c r="T515" s="200"/>
      <c r="U515" s="200"/>
      <c r="V515" s="201"/>
      <c r="W515" s="201"/>
      <c r="X515" s="200"/>
      <c r="Y515" s="200"/>
      <c r="Z515" s="200"/>
      <c r="AA515" s="200"/>
      <c r="AB515" s="200"/>
      <c r="AC515" s="200"/>
      <c r="AD515" s="200"/>
      <c r="AE515" s="200"/>
      <c r="AF515" s="200"/>
      <c r="AG515" s="200"/>
      <c r="AH515" s="200"/>
      <c r="AI515" s="200"/>
      <c r="AJ515" s="200"/>
      <c r="AK515" s="200"/>
      <c r="AL515" s="200"/>
      <c r="AM515" s="200"/>
      <c r="AN515" s="198"/>
      <c r="AO515" s="201"/>
      <c r="AP515" s="198"/>
      <c r="AQ515" s="200"/>
      <c r="AR515" s="199"/>
      <c r="AS515" s="198"/>
      <c r="AV515" s="164"/>
      <c r="BA515" s="202"/>
      <c r="BC515" s="203"/>
      <c r="BD515" s="194"/>
      <c r="BE515" s="194"/>
    </row>
    <row r="516">
      <c r="A516" s="6"/>
      <c r="B516" s="6"/>
      <c r="C516" s="196"/>
      <c r="E516" s="197"/>
      <c r="F516" s="196"/>
      <c r="G516" s="198"/>
      <c r="H516" s="198"/>
      <c r="I516" s="198"/>
      <c r="J516" s="198"/>
      <c r="K516" s="198"/>
      <c r="L516" s="198"/>
      <c r="M516" s="199"/>
      <c r="N516" s="199"/>
      <c r="O516" s="199"/>
      <c r="P516" s="200"/>
      <c r="Q516" s="201"/>
      <c r="R516" s="200"/>
      <c r="S516" s="200"/>
      <c r="T516" s="200"/>
      <c r="U516" s="200"/>
      <c r="V516" s="201"/>
      <c r="W516" s="201"/>
      <c r="X516" s="200"/>
      <c r="Y516" s="200"/>
      <c r="Z516" s="200"/>
      <c r="AA516" s="200"/>
      <c r="AB516" s="200"/>
      <c r="AC516" s="200"/>
      <c r="AD516" s="200"/>
      <c r="AE516" s="200"/>
      <c r="AF516" s="200"/>
      <c r="AG516" s="200"/>
      <c r="AH516" s="200"/>
      <c r="AI516" s="200"/>
      <c r="AJ516" s="200"/>
      <c r="AK516" s="200"/>
      <c r="AL516" s="200"/>
      <c r="AM516" s="200"/>
      <c r="AN516" s="198"/>
      <c r="AO516" s="201"/>
      <c r="AP516" s="198"/>
      <c r="AQ516" s="200"/>
      <c r="AR516" s="199"/>
      <c r="AS516" s="198"/>
      <c r="AV516" s="164"/>
      <c r="BA516" s="202"/>
      <c r="BC516" s="203"/>
      <c r="BD516" s="194"/>
      <c r="BE516" s="194"/>
    </row>
    <row r="517">
      <c r="A517" s="6"/>
      <c r="B517" s="6"/>
      <c r="C517" s="196"/>
      <c r="E517" s="197"/>
      <c r="F517" s="196"/>
      <c r="G517" s="198"/>
      <c r="H517" s="198"/>
      <c r="I517" s="198"/>
      <c r="J517" s="198"/>
      <c r="K517" s="198"/>
      <c r="L517" s="198"/>
      <c r="M517" s="199"/>
      <c r="N517" s="199"/>
      <c r="O517" s="199"/>
      <c r="P517" s="200"/>
      <c r="Q517" s="201"/>
      <c r="R517" s="200"/>
      <c r="S517" s="200"/>
      <c r="T517" s="200"/>
      <c r="U517" s="200"/>
      <c r="V517" s="201"/>
      <c r="W517" s="201"/>
      <c r="X517" s="200"/>
      <c r="Y517" s="200"/>
      <c r="Z517" s="200"/>
      <c r="AA517" s="200"/>
      <c r="AB517" s="200"/>
      <c r="AC517" s="200"/>
      <c r="AD517" s="200"/>
      <c r="AE517" s="200"/>
      <c r="AF517" s="200"/>
      <c r="AG517" s="200"/>
      <c r="AH517" s="200"/>
      <c r="AI517" s="200"/>
      <c r="AJ517" s="200"/>
      <c r="AK517" s="200"/>
      <c r="AL517" s="200"/>
      <c r="AM517" s="200"/>
      <c r="AN517" s="198"/>
      <c r="AO517" s="201"/>
      <c r="AP517" s="198"/>
      <c r="AQ517" s="200"/>
      <c r="AR517" s="199"/>
      <c r="AS517" s="198"/>
      <c r="AV517" s="164"/>
      <c r="BA517" s="202"/>
      <c r="BC517" s="203"/>
      <c r="BD517" s="194"/>
      <c r="BE517" s="194"/>
    </row>
    <row r="518">
      <c r="A518" s="6"/>
      <c r="B518" s="6"/>
      <c r="C518" s="196"/>
      <c r="E518" s="197"/>
      <c r="F518" s="196"/>
      <c r="G518" s="198"/>
      <c r="H518" s="198"/>
      <c r="I518" s="198"/>
      <c r="J518" s="198"/>
      <c r="K518" s="198"/>
      <c r="L518" s="198"/>
      <c r="M518" s="199"/>
      <c r="N518" s="199"/>
      <c r="O518" s="199"/>
      <c r="P518" s="200"/>
      <c r="Q518" s="201"/>
      <c r="R518" s="200"/>
      <c r="S518" s="200"/>
      <c r="T518" s="200"/>
      <c r="U518" s="200"/>
      <c r="V518" s="201"/>
      <c r="W518" s="201"/>
      <c r="X518" s="200"/>
      <c r="Y518" s="200"/>
      <c r="Z518" s="200"/>
      <c r="AA518" s="200"/>
      <c r="AB518" s="200"/>
      <c r="AC518" s="200"/>
      <c r="AD518" s="200"/>
      <c r="AE518" s="200"/>
      <c r="AF518" s="200"/>
      <c r="AG518" s="200"/>
      <c r="AH518" s="200"/>
      <c r="AI518" s="200"/>
      <c r="AJ518" s="200"/>
      <c r="AK518" s="200"/>
      <c r="AL518" s="200"/>
      <c r="AM518" s="200"/>
      <c r="AN518" s="198"/>
      <c r="AO518" s="201"/>
      <c r="AP518" s="198"/>
      <c r="AQ518" s="200"/>
      <c r="AR518" s="199"/>
      <c r="AS518" s="198"/>
      <c r="AV518" s="164"/>
      <c r="BA518" s="202"/>
      <c r="BC518" s="203"/>
      <c r="BD518" s="194"/>
      <c r="BE518" s="194"/>
    </row>
    <row r="519">
      <c r="A519" s="6"/>
      <c r="B519" s="6"/>
      <c r="C519" s="196"/>
      <c r="E519" s="197"/>
      <c r="F519" s="196"/>
      <c r="G519" s="198"/>
      <c r="H519" s="198"/>
      <c r="I519" s="198"/>
      <c r="J519" s="198"/>
      <c r="K519" s="198"/>
      <c r="L519" s="198"/>
      <c r="M519" s="199"/>
      <c r="N519" s="199"/>
      <c r="O519" s="199"/>
      <c r="P519" s="200"/>
      <c r="Q519" s="201"/>
      <c r="R519" s="200"/>
      <c r="S519" s="200"/>
      <c r="T519" s="200"/>
      <c r="U519" s="200"/>
      <c r="V519" s="201"/>
      <c r="W519" s="201"/>
      <c r="X519" s="200"/>
      <c r="Y519" s="200"/>
      <c r="Z519" s="200"/>
      <c r="AA519" s="200"/>
      <c r="AB519" s="200"/>
      <c r="AC519" s="200"/>
      <c r="AD519" s="200"/>
      <c r="AE519" s="200"/>
      <c r="AF519" s="200"/>
      <c r="AG519" s="200"/>
      <c r="AH519" s="200"/>
      <c r="AI519" s="200"/>
      <c r="AJ519" s="200"/>
      <c r="AK519" s="200"/>
      <c r="AL519" s="200"/>
      <c r="AM519" s="200"/>
      <c r="AN519" s="198"/>
      <c r="AO519" s="201"/>
      <c r="AP519" s="198"/>
      <c r="AQ519" s="200"/>
      <c r="AR519" s="199"/>
      <c r="AS519" s="198"/>
      <c r="AV519" s="164"/>
      <c r="BA519" s="202"/>
      <c r="BC519" s="203"/>
      <c r="BD519" s="194"/>
      <c r="BE519" s="194"/>
    </row>
    <row r="520">
      <c r="A520" s="6"/>
      <c r="B520" s="6"/>
      <c r="C520" s="196"/>
      <c r="E520" s="197"/>
      <c r="F520" s="196"/>
      <c r="G520" s="198"/>
      <c r="H520" s="198"/>
      <c r="I520" s="198"/>
      <c r="J520" s="198"/>
      <c r="K520" s="198"/>
      <c r="L520" s="198"/>
      <c r="M520" s="199"/>
      <c r="N520" s="199"/>
      <c r="O520" s="199"/>
      <c r="P520" s="200"/>
      <c r="Q520" s="201"/>
      <c r="R520" s="200"/>
      <c r="S520" s="200"/>
      <c r="T520" s="200"/>
      <c r="U520" s="200"/>
      <c r="V520" s="201"/>
      <c r="W520" s="201"/>
      <c r="X520" s="200"/>
      <c r="Y520" s="200"/>
      <c r="Z520" s="200"/>
      <c r="AA520" s="200"/>
      <c r="AB520" s="200"/>
      <c r="AC520" s="200"/>
      <c r="AD520" s="200"/>
      <c r="AE520" s="200"/>
      <c r="AF520" s="200"/>
      <c r="AG520" s="200"/>
      <c r="AH520" s="200"/>
      <c r="AI520" s="200"/>
      <c r="AJ520" s="200"/>
      <c r="AK520" s="200"/>
      <c r="AL520" s="200"/>
      <c r="AM520" s="200"/>
      <c r="AN520" s="198"/>
      <c r="AO520" s="201"/>
      <c r="AP520" s="198"/>
      <c r="AQ520" s="200"/>
      <c r="AR520" s="199"/>
      <c r="AS520" s="198"/>
      <c r="AV520" s="164"/>
      <c r="BA520" s="202"/>
      <c r="BC520" s="203"/>
      <c r="BD520" s="194"/>
      <c r="BE520" s="194"/>
    </row>
    <row r="521">
      <c r="A521" s="6"/>
      <c r="B521" s="6"/>
      <c r="C521" s="196"/>
      <c r="E521" s="197"/>
      <c r="F521" s="196"/>
      <c r="G521" s="198"/>
      <c r="H521" s="198"/>
      <c r="I521" s="198"/>
      <c r="J521" s="198"/>
      <c r="K521" s="198"/>
      <c r="L521" s="198"/>
      <c r="M521" s="199"/>
      <c r="N521" s="199"/>
      <c r="O521" s="199"/>
      <c r="P521" s="200"/>
      <c r="Q521" s="201"/>
      <c r="R521" s="200"/>
      <c r="S521" s="200"/>
      <c r="T521" s="200"/>
      <c r="U521" s="200"/>
      <c r="V521" s="201"/>
      <c r="W521" s="201"/>
      <c r="X521" s="200"/>
      <c r="Y521" s="200"/>
      <c r="Z521" s="200"/>
      <c r="AA521" s="200"/>
      <c r="AB521" s="200"/>
      <c r="AC521" s="200"/>
      <c r="AD521" s="200"/>
      <c r="AE521" s="200"/>
      <c r="AF521" s="200"/>
      <c r="AG521" s="200"/>
      <c r="AH521" s="200"/>
      <c r="AI521" s="200"/>
      <c r="AJ521" s="200"/>
      <c r="AK521" s="200"/>
      <c r="AL521" s="200"/>
      <c r="AM521" s="200"/>
      <c r="AN521" s="198"/>
      <c r="AO521" s="201"/>
      <c r="AP521" s="198"/>
      <c r="AQ521" s="200"/>
      <c r="AR521" s="199"/>
      <c r="AS521" s="198"/>
      <c r="AV521" s="164"/>
      <c r="BA521" s="202"/>
      <c r="BC521" s="203"/>
      <c r="BD521" s="194"/>
      <c r="BE521" s="194"/>
    </row>
    <row r="522">
      <c r="A522" s="6"/>
      <c r="B522" s="6"/>
      <c r="C522" s="196"/>
      <c r="E522" s="197"/>
      <c r="F522" s="196"/>
      <c r="G522" s="198"/>
      <c r="H522" s="198"/>
      <c r="I522" s="198"/>
      <c r="J522" s="198"/>
      <c r="K522" s="198"/>
      <c r="L522" s="198"/>
      <c r="M522" s="199"/>
      <c r="N522" s="199"/>
      <c r="O522" s="199"/>
      <c r="P522" s="200"/>
      <c r="Q522" s="201"/>
      <c r="R522" s="200"/>
      <c r="S522" s="200"/>
      <c r="T522" s="200"/>
      <c r="U522" s="200"/>
      <c r="V522" s="201"/>
      <c r="W522" s="201"/>
      <c r="X522" s="200"/>
      <c r="Y522" s="200"/>
      <c r="Z522" s="200"/>
      <c r="AA522" s="200"/>
      <c r="AB522" s="200"/>
      <c r="AC522" s="200"/>
      <c r="AD522" s="200"/>
      <c r="AE522" s="200"/>
      <c r="AF522" s="200"/>
      <c r="AG522" s="200"/>
      <c r="AH522" s="200"/>
      <c r="AI522" s="200"/>
      <c r="AJ522" s="200"/>
      <c r="AK522" s="200"/>
      <c r="AL522" s="200"/>
      <c r="AM522" s="200"/>
      <c r="AN522" s="198"/>
      <c r="AO522" s="201"/>
      <c r="AP522" s="198"/>
      <c r="AQ522" s="200"/>
      <c r="AR522" s="199"/>
      <c r="AS522" s="198"/>
      <c r="AV522" s="164"/>
      <c r="BA522" s="202"/>
      <c r="BC522" s="203"/>
      <c r="BD522" s="194"/>
      <c r="BE522" s="194"/>
    </row>
    <row r="523">
      <c r="A523" s="6"/>
      <c r="B523" s="6"/>
      <c r="C523" s="196"/>
      <c r="E523" s="197"/>
      <c r="F523" s="196"/>
      <c r="G523" s="198"/>
      <c r="H523" s="198"/>
      <c r="I523" s="198"/>
      <c r="J523" s="198"/>
      <c r="K523" s="198"/>
      <c r="L523" s="198"/>
      <c r="M523" s="199"/>
      <c r="N523" s="199"/>
      <c r="O523" s="199"/>
      <c r="P523" s="200"/>
      <c r="Q523" s="201"/>
      <c r="R523" s="200"/>
      <c r="S523" s="200"/>
      <c r="T523" s="200"/>
      <c r="U523" s="200"/>
      <c r="V523" s="201"/>
      <c r="W523" s="201"/>
      <c r="X523" s="200"/>
      <c r="Y523" s="200"/>
      <c r="Z523" s="200"/>
      <c r="AA523" s="200"/>
      <c r="AB523" s="200"/>
      <c r="AC523" s="200"/>
      <c r="AD523" s="200"/>
      <c r="AE523" s="200"/>
      <c r="AF523" s="200"/>
      <c r="AG523" s="200"/>
      <c r="AH523" s="200"/>
      <c r="AI523" s="200"/>
      <c r="AJ523" s="200"/>
      <c r="AK523" s="200"/>
      <c r="AL523" s="200"/>
      <c r="AM523" s="200"/>
      <c r="AN523" s="198"/>
      <c r="AO523" s="201"/>
      <c r="AP523" s="198"/>
      <c r="AQ523" s="200"/>
      <c r="AR523" s="199"/>
      <c r="AS523" s="198"/>
      <c r="AV523" s="164"/>
      <c r="BA523" s="202"/>
      <c r="BC523" s="203"/>
      <c r="BD523" s="194"/>
      <c r="BE523" s="194"/>
    </row>
    <row r="524">
      <c r="A524" s="6"/>
      <c r="B524" s="6"/>
      <c r="C524" s="196"/>
      <c r="E524" s="197"/>
      <c r="F524" s="196"/>
      <c r="G524" s="198"/>
      <c r="H524" s="198"/>
      <c r="I524" s="198"/>
      <c r="J524" s="198"/>
      <c r="K524" s="198"/>
      <c r="L524" s="198"/>
      <c r="M524" s="199"/>
      <c r="N524" s="199"/>
      <c r="O524" s="199"/>
      <c r="P524" s="200"/>
      <c r="Q524" s="201"/>
      <c r="R524" s="200"/>
      <c r="S524" s="200"/>
      <c r="T524" s="200"/>
      <c r="U524" s="200"/>
      <c r="V524" s="201"/>
      <c r="W524" s="201"/>
      <c r="X524" s="200"/>
      <c r="Y524" s="200"/>
      <c r="Z524" s="200"/>
      <c r="AA524" s="200"/>
      <c r="AB524" s="200"/>
      <c r="AC524" s="200"/>
      <c r="AD524" s="200"/>
      <c r="AE524" s="200"/>
      <c r="AF524" s="200"/>
      <c r="AG524" s="200"/>
      <c r="AH524" s="200"/>
      <c r="AI524" s="200"/>
      <c r="AJ524" s="200"/>
      <c r="AK524" s="200"/>
      <c r="AL524" s="200"/>
      <c r="AM524" s="200"/>
      <c r="AN524" s="198"/>
      <c r="AO524" s="201"/>
      <c r="AP524" s="198"/>
      <c r="AQ524" s="200"/>
      <c r="AR524" s="199"/>
      <c r="AS524" s="198"/>
      <c r="AV524" s="164"/>
      <c r="BA524" s="202"/>
      <c r="BC524" s="203"/>
      <c r="BD524" s="194"/>
      <c r="BE524" s="194"/>
    </row>
    <row r="525">
      <c r="A525" s="6"/>
      <c r="B525" s="6"/>
      <c r="C525" s="196"/>
      <c r="E525" s="197"/>
      <c r="F525" s="196"/>
      <c r="G525" s="198"/>
      <c r="H525" s="198"/>
      <c r="I525" s="198"/>
      <c r="J525" s="198"/>
      <c r="K525" s="198"/>
      <c r="L525" s="198"/>
      <c r="M525" s="199"/>
      <c r="N525" s="199"/>
      <c r="O525" s="199"/>
      <c r="P525" s="200"/>
      <c r="Q525" s="201"/>
      <c r="R525" s="200"/>
      <c r="S525" s="200"/>
      <c r="T525" s="200"/>
      <c r="U525" s="200"/>
      <c r="V525" s="201"/>
      <c r="W525" s="201"/>
      <c r="X525" s="200"/>
      <c r="Y525" s="200"/>
      <c r="Z525" s="200"/>
      <c r="AA525" s="200"/>
      <c r="AB525" s="200"/>
      <c r="AC525" s="200"/>
      <c r="AD525" s="200"/>
      <c r="AE525" s="200"/>
      <c r="AF525" s="200"/>
      <c r="AG525" s="200"/>
      <c r="AH525" s="200"/>
      <c r="AI525" s="200"/>
      <c r="AJ525" s="200"/>
      <c r="AK525" s="200"/>
      <c r="AL525" s="200"/>
      <c r="AM525" s="200"/>
      <c r="AN525" s="198"/>
      <c r="AO525" s="201"/>
      <c r="AP525" s="198"/>
      <c r="AQ525" s="200"/>
      <c r="AR525" s="199"/>
      <c r="AS525" s="198"/>
      <c r="AV525" s="164"/>
      <c r="BA525" s="202"/>
      <c r="BC525" s="203"/>
      <c r="BD525" s="194"/>
      <c r="BE525" s="194"/>
    </row>
    <row r="526">
      <c r="A526" s="6"/>
      <c r="B526" s="6"/>
      <c r="C526" s="196"/>
      <c r="E526" s="197"/>
      <c r="F526" s="196"/>
      <c r="G526" s="198"/>
      <c r="H526" s="198"/>
      <c r="I526" s="198"/>
      <c r="J526" s="198"/>
      <c r="K526" s="198"/>
      <c r="L526" s="198"/>
      <c r="M526" s="199"/>
      <c r="N526" s="199"/>
      <c r="O526" s="199"/>
      <c r="P526" s="200"/>
      <c r="Q526" s="201"/>
      <c r="R526" s="200"/>
      <c r="S526" s="200"/>
      <c r="T526" s="200"/>
      <c r="U526" s="200"/>
      <c r="V526" s="201"/>
      <c r="W526" s="201"/>
      <c r="X526" s="200"/>
      <c r="Y526" s="200"/>
      <c r="Z526" s="200"/>
      <c r="AA526" s="200"/>
      <c r="AB526" s="200"/>
      <c r="AC526" s="200"/>
      <c r="AD526" s="200"/>
      <c r="AE526" s="200"/>
      <c r="AF526" s="200"/>
      <c r="AG526" s="200"/>
      <c r="AH526" s="200"/>
      <c r="AI526" s="200"/>
      <c r="AJ526" s="200"/>
      <c r="AK526" s="200"/>
      <c r="AL526" s="200"/>
      <c r="AM526" s="200"/>
      <c r="AN526" s="198"/>
      <c r="AO526" s="201"/>
      <c r="AP526" s="198"/>
      <c r="AQ526" s="200"/>
      <c r="AR526" s="199"/>
      <c r="AS526" s="198"/>
      <c r="AV526" s="164"/>
      <c r="BA526" s="202"/>
      <c r="BC526" s="203"/>
      <c r="BD526" s="194"/>
      <c r="BE526" s="194"/>
    </row>
    <row r="527">
      <c r="A527" s="6"/>
      <c r="B527" s="6"/>
      <c r="C527" s="196"/>
      <c r="E527" s="197"/>
      <c r="F527" s="196"/>
      <c r="G527" s="198"/>
      <c r="H527" s="198"/>
      <c r="I527" s="198"/>
      <c r="J527" s="198"/>
      <c r="K527" s="198"/>
      <c r="L527" s="198"/>
      <c r="M527" s="199"/>
      <c r="N527" s="199"/>
      <c r="O527" s="199"/>
      <c r="P527" s="200"/>
      <c r="Q527" s="201"/>
      <c r="R527" s="200"/>
      <c r="S527" s="200"/>
      <c r="T527" s="200"/>
      <c r="U527" s="200"/>
      <c r="V527" s="201"/>
      <c r="W527" s="201"/>
      <c r="X527" s="200"/>
      <c r="Y527" s="200"/>
      <c r="Z527" s="200"/>
      <c r="AA527" s="200"/>
      <c r="AB527" s="200"/>
      <c r="AC527" s="200"/>
      <c r="AD527" s="200"/>
      <c r="AE527" s="200"/>
      <c r="AF527" s="200"/>
      <c r="AG527" s="200"/>
      <c r="AH527" s="200"/>
      <c r="AI527" s="200"/>
      <c r="AJ527" s="200"/>
      <c r="AK527" s="200"/>
      <c r="AL527" s="200"/>
      <c r="AM527" s="200"/>
      <c r="AN527" s="198"/>
      <c r="AO527" s="201"/>
      <c r="AP527" s="198"/>
      <c r="AQ527" s="200"/>
      <c r="AR527" s="199"/>
      <c r="AS527" s="198"/>
      <c r="AV527" s="164"/>
      <c r="BA527" s="202"/>
      <c r="BC527" s="203"/>
      <c r="BD527" s="194"/>
      <c r="BE527" s="194"/>
    </row>
    <row r="528">
      <c r="A528" s="6"/>
      <c r="B528" s="6"/>
      <c r="C528" s="196"/>
      <c r="E528" s="197"/>
      <c r="F528" s="196"/>
      <c r="G528" s="198"/>
      <c r="H528" s="198"/>
      <c r="I528" s="198"/>
      <c r="J528" s="198"/>
      <c r="K528" s="198"/>
      <c r="L528" s="198"/>
      <c r="M528" s="199"/>
      <c r="N528" s="199"/>
      <c r="O528" s="199"/>
      <c r="P528" s="200"/>
      <c r="Q528" s="201"/>
      <c r="R528" s="200"/>
      <c r="S528" s="200"/>
      <c r="T528" s="200"/>
      <c r="U528" s="200"/>
      <c r="V528" s="201"/>
      <c r="W528" s="201"/>
      <c r="X528" s="200"/>
      <c r="Y528" s="200"/>
      <c r="Z528" s="200"/>
      <c r="AA528" s="200"/>
      <c r="AB528" s="200"/>
      <c r="AC528" s="200"/>
      <c r="AD528" s="200"/>
      <c r="AE528" s="200"/>
      <c r="AF528" s="200"/>
      <c r="AG528" s="200"/>
      <c r="AH528" s="200"/>
      <c r="AI528" s="200"/>
      <c r="AJ528" s="200"/>
      <c r="AK528" s="200"/>
      <c r="AL528" s="200"/>
      <c r="AM528" s="200"/>
      <c r="AN528" s="198"/>
      <c r="AO528" s="201"/>
      <c r="AP528" s="198"/>
      <c r="AQ528" s="200"/>
      <c r="AR528" s="199"/>
      <c r="AS528" s="198"/>
      <c r="AV528" s="164"/>
      <c r="BA528" s="202"/>
      <c r="BC528" s="203"/>
      <c r="BD528" s="194"/>
      <c r="BE528" s="194"/>
    </row>
    <row r="529">
      <c r="A529" s="6"/>
      <c r="B529" s="6"/>
      <c r="C529" s="196"/>
      <c r="E529" s="197"/>
      <c r="F529" s="196"/>
      <c r="G529" s="198"/>
      <c r="H529" s="198"/>
      <c r="I529" s="198"/>
      <c r="J529" s="198"/>
      <c r="K529" s="198"/>
      <c r="L529" s="198"/>
      <c r="M529" s="199"/>
      <c r="N529" s="199"/>
      <c r="O529" s="199"/>
      <c r="P529" s="200"/>
      <c r="Q529" s="201"/>
      <c r="R529" s="200"/>
      <c r="S529" s="200"/>
      <c r="T529" s="200"/>
      <c r="U529" s="200"/>
      <c r="V529" s="201"/>
      <c r="W529" s="201"/>
      <c r="X529" s="200"/>
      <c r="Y529" s="200"/>
      <c r="Z529" s="200"/>
      <c r="AA529" s="200"/>
      <c r="AB529" s="200"/>
      <c r="AC529" s="200"/>
      <c r="AD529" s="200"/>
      <c r="AE529" s="200"/>
      <c r="AF529" s="200"/>
      <c r="AG529" s="200"/>
      <c r="AH529" s="200"/>
      <c r="AI529" s="200"/>
      <c r="AJ529" s="200"/>
      <c r="AK529" s="200"/>
      <c r="AL529" s="200"/>
      <c r="AM529" s="200"/>
      <c r="AN529" s="198"/>
      <c r="AO529" s="201"/>
      <c r="AP529" s="198"/>
      <c r="AQ529" s="200"/>
      <c r="AR529" s="199"/>
      <c r="AS529" s="198"/>
      <c r="AV529" s="164"/>
      <c r="BA529" s="202"/>
      <c r="BC529" s="203"/>
      <c r="BD529" s="194"/>
      <c r="BE529" s="194"/>
    </row>
    <row r="530">
      <c r="A530" s="6"/>
      <c r="B530" s="6"/>
      <c r="C530" s="196"/>
      <c r="E530" s="197"/>
      <c r="F530" s="196"/>
      <c r="G530" s="198"/>
      <c r="H530" s="198"/>
      <c r="I530" s="198"/>
      <c r="J530" s="198"/>
      <c r="K530" s="198"/>
      <c r="L530" s="198"/>
      <c r="M530" s="199"/>
      <c r="N530" s="199"/>
      <c r="O530" s="199"/>
      <c r="P530" s="200"/>
      <c r="Q530" s="201"/>
      <c r="R530" s="200"/>
      <c r="S530" s="200"/>
      <c r="T530" s="200"/>
      <c r="U530" s="200"/>
      <c r="V530" s="201"/>
      <c r="W530" s="201"/>
      <c r="X530" s="200"/>
      <c r="Y530" s="200"/>
      <c r="Z530" s="200"/>
      <c r="AA530" s="200"/>
      <c r="AB530" s="200"/>
      <c r="AC530" s="200"/>
      <c r="AD530" s="200"/>
      <c r="AE530" s="200"/>
      <c r="AF530" s="200"/>
      <c r="AG530" s="200"/>
      <c r="AH530" s="200"/>
      <c r="AI530" s="200"/>
      <c r="AJ530" s="200"/>
      <c r="AK530" s="200"/>
      <c r="AL530" s="200"/>
      <c r="AM530" s="200"/>
      <c r="AN530" s="198"/>
      <c r="AO530" s="201"/>
      <c r="AP530" s="198"/>
      <c r="AQ530" s="200"/>
      <c r="AR530" s="199"/>
      <c r="AS530" s="198"/>
      <c r="AV530" s="164"/>
      <c r="BA530" s="202"/>
      <c r="BC530" s="203"/>
      <c r="BD530" s="194"/>
      <c r="BE530" s="194"/>
    </row>
    <row r="531">
      <c r="A531" s="6"/>
      <c r="B531" s="6"/>
      <c r="C531" s="196"/>
      <c r="E531" s="197"/>
      <c r="F531" s="196"/>
      <c r="G531" s="198"/>
      <c r="H531" s="198"/>
      <c r="I531" s="198"/>
      <c r="J531" s="198"/>
      <c r="K531" s="198"/>
      <c r="L531" s="198"/>
      <c r="M531" s="199"/>
      <c r="N531" s="199"/>
      <c r="O531" s="199"/>
      <c r="P531" s="200"/>
      <c r="Q531" s="201"/>
      <c r="R531" s="200"/>
      <c r="S531" s="200"/>
      <c r="T531" s="200"/>
      <c r="U531" s="200"/>
      <c r="V531" s="201"/>
      <c r="W531" s="201"/>
      <c r="X531" s="200"/>
      <c r="Y531" s="200"/>
      <c r="Z531" s="200"/>
      <c r="AA531" s="200"/>
      <c r="AB531" s="200"/>
      <c r="AC531" s="200"/>
      <c r="AD531" s="200"/>
      <c r="AE531" s="200"/>
      <c r="AF531" s="200"/>
      <c r="AG531" s="200"/>
      <c r="AH531" s="200"/>
      <c r="AI531" s="200"/>
      <c r="AJ531" s="200"/>
      <c r="AK531" s="200"/>
      <c r="AL531" s="200"/>
      <c r="AM531" s="200"/>
      <c r="AN531" s="198"/>
      <c r="AO531" s="201"/>
      <c r="AP531" s="198"/>
      <c r="AQ531" s="200"/>
      <c r="AR531" s="199"/>
      <c r="AS531" s="198"/>
      <c r="AV531" s="164"/>
      <c r="BA531" s="202"/>
      <c r="BC531" s="203"/>
      <c r="BD531" s="194"/>
      <c r="BE531" s="194"/>
    </row>
    <row r="532">
      <c r="A532" s="6"/>
      <c r="B532" s="6"/>
      <c r="C532" s="196"/>
      <c r="E532" s="197"/>
      <c r="F532" s="196"/>
      <c r="G532" s="198"/>
      <c r="H532" s="198"/>
      <c r="I532" s="198"/>
      <c r="J532" s="198"/>
      <c r="K532" s="198"/>
      <c r="L532" s="198"/>
      <c r="M532" s="199"/>
      <c r="N532" s="199"/>
      <c r="O532" s="199"/>
      <c r="P532" s="200"/>
      <c r="Q532" s="201"/>
      <c r="R532" s="200"/>
      <c r="S532" s="200"/>
      <c r="T532" s="200"/>
      <c r="U532" s="200"/>
      <c r="V532" s="201"/>
      <c r="W532" s="201"/>
      <c r="X532" s="200"/>
      <c r="Y532" s="200"/>
      <c r="Z532" s="200"/>
      <c r="AA532" s="200"/>
      <c r="AB532" s="200"/>
      <c r="AC532" s="200"/>
      <c r="AD532" s="200"/>
      <c r="AE532" s="200"/>
      <c r="AF532" s="200"/>
      <c r="AG532" s="200"/>
      <c r="AH532" s="200"/>
      <c r="AI532" s="200"/>
      <c r="AJ532" s="200"/>
      <c r="AK532" s="200"/>
      <c r="AL532" s="200"/>
      <c r="AM532" s="200"/>
      <c r="AN532" s="198"/>
      <c r="AO532" s="201"/>
      <c r="AP532" s="198"/>
      <c r="AQ532" s="200"/>
      <c r="AR532" s="199"/>
      <c r="AS532" s="198"/>
      <c r="AV532" s="164"/>
      <c r="BA532" s="202"/>
      <c r="BC532" s="203"/>
      <c r="BD532" s="194"/>
      <c r="BE532" s="194"/>
    </row>
    <row r="533">
      <c r="A533" s="6"/>
      <c r="B533" s="6"/>
      <c r="C533" s="196"/>
      <c r="E533" s="197"/>
      <c r="F533" s="196"/>
      <c r="G533" s="198"/>
      <c r="H533" s="198"/>
      <c r="I533" s="198"/>
      <c r="J533" s="198"/>
      <c r="K533" s="198"/>
      <c r="L533" s="198"/>
      <c r="M533" s="199"/>
      <c r="N533" s="199"/>
      <c r="O533" s="199"/>
      <c r="P533" s="200"/>
      <c r="Q533" s="201"/>
      <c r="R533" s="200"/>
      <c r="S533" s="200"/>
      <c r="T533" s="200"/>
      <c r="U533" s="200"/>
      <c r="V533" s="201"/>
      <c r="W533" s="201"/>
      <c r="X533" s="200"/>
      <c r="Y533" s="200"/>
      <c r="Z533" s="200"/>
      <c r="AA533" s="200"/>
      <c r="AB533" s="200"/>
      <c r="AC533" s="200"/>
      <c r="AD533" s="200"/>
      <c r="AE533" s="200"/>
      <c r="AF533" s="200"/>
      <c r="AG533" s="200"/>
      <c r="AH533" s="200"/>
      <c r="AI533" s="200"/>
      <c r="AJ533" s="200"/>
      <c r="AK533" s="200"/>
      <c r="AL533" s="200"/>
      <c r="AM533" s="200"/>
      <c r="AN533" s="198"/>
      <c r="AO533" s="201"/>
      <c r="AP533" s="198"/>
      <c r="AQ533" s="200"/>
      <c r="AR533" s="199"/>
      <c r="AS533" s="198"/>
      <c r="AV533" s="164"/>
      <c r="BA533" s="202"/>
      <c r="BC533" s="203"/>
      <c r="BD533" s="194"/>
      <c r="BE533" s="194"/>
    </row>
    <row r="534">
      <c r="A534" s="6"/>
      <c r="B534" s="6"/>
      <c r="C534" s="196"/>
      <c r="E534" s="197"/>
      <c r="F534" s="196"/>
      <c r="G534" s="198"/>
      <c r="H534" s="198"/>
      <c r="I534" s="198"/>
      <c r="J534" s="198"/>
      <c r="K534" s="198"/>
      <c r="L534" s="198"/>
      <c r="M534" s="199"/>
      <c r="N534" s="199"/>
      <c r="O534" s="199"/>
      <c r="P534" s="200"/>
      <c r="Q534" s="201"/>
      <c r="R534" s="200"/>
      <c r="S534" s="200"/>
      <c r="T534" s="200"/>
      <c r="U534" s="200"/>
      <c r="V534" s="201"/>
      <c r="W534" s="201"/>
      <c r="X534" s="200"/>
      <c r="Y534" s="200"/>
      <c r="Z534" s="200"/>
      <c r="AA534" s="200"/>
      <c r="AB534" s="200"/>
      <c r="AC534" s="200"/>
      <c r="AD534" s="200"/>
      <c r="AE534" s="200"/>
      <c r="AF534" s="200"/>
      <c r="AG534" s="200"/>
      <c r="AH534" s="200"/>
      <c r="AI534" s="200"/>
      <c r="AJ534" s="200"/>
      <c r="AK534" s="200"/>
      <c r="AL534" s="200"/>
      <c r="AM534" s="200"/>
      <c r="AN534" s="198"/>
      <c r="AO534" s="201"/>
      <c r="AP534" s="198"/>
      <c r="AQ534" s="200"/>
      <c r="AR534" s="199"/>
      <c r="AS534" s="198"/>
      <c r="AV534" s="164"/>
      <c r="BA534" s="202"/>
      <c r="BC534" s="203"/>
      <c r="BD534" s="194"/>
      <c r="BE534" s="194"/>
    </row>
    <row r="535">
      <c r="A535" s="6"/>
      <c r="B535" s="6"/>
      <c r="C535" s="196"/>
      <c r="E535" s="197"/>
      <c r="F535" s="196"/>
      <c r="G535" s="198"/>
      <c r="H535" s="198"/>
      <c r="I535" s="198"/>
      <c r="J535" s="198"/>
      <c r="K535" s="198"/>
      <c r="L535" s="198"/>
      <c r="M535" s="199"/>
      <c r="N535" s="199"/>
      <c r="O535" s="199"/>
      <c r="P535" s="200"/>
      <c r="Q535" s="201"/>
      <c r="R535" s="200"/>
      <c r="S535" s="200"/>
      <c r="T535" s="200"/>
      <c r="U535" s="200"/>
      <c r="V535" s="201"/>
      <c r="W535" s="201"/>
      <c r="X535" s="200"/>
      <c r="Y535" s="200"/>
      <c r="Z535" s="200"/>
      <c r="AA535" s="200"/>
      <c r="AB535" s="200"/>
      <c r="AC535" s="200"/>
      <c r="AD535" s="200"/>
      <c r="AE535" s="200"/>
      <c r="AF535" s="200"/>
      <c r="AG535" s="200"/>
      <c r="AH535" s="200"/>
      <c r="AI535" s="200"/>
      <c r="AJ535" s="200"/>
      <c r="AK535" s="200"/>
      <c r="AL535" s="200"/>
      <c r="AM535" s="200"/>
      <c r="AN535" s="198"/>
      <c r="AO535" s="201"/>
      <c r="AP535" s="198"/>
      <c r="AQ535" s="200"/>
      <c r="AR535" s="199"/>
      <c r="AS535" s="198"/>
      <c r="AV535" s="164"/>
      <c r="BA535" s="202"/>
      <c r="BC535" s="203"/>
      <c r="BD535" s="194"/>
      <c r="BE535" s="194"/>
    </row>
    <row r="536">
      <c r="A536" s="6"/>
      <c r="B536" s="6"/>
      <c r="C536" s="196"/>
      <c r="E536" s="197"/>
      <c r="F536" s="196"/>
      <c r="G536" s="198"/>
      <c r="H536" s="198"/>
      <c r="I536" s="198"/>
      <c r="J536" s="198"/>
      <c r="K536" s="198"/>
      <c r="L536" s="198"/>
      <c r="M536" s="199"/>
      <c r="N536" s="199"/>
      <c r="O536" s="199"/>
      <c r="P536" s="200"/>
      <c r="Q536" s="201"/>
      <c r="R536" s="200"/>
      <c r="S536" s="200"/>
      <c r="T536" s="200"/>
      <c r="U536" s="200"/>
      <c r="V536" s="201"/>
      <c r="W536" s="201"/>
      <c r="X536" s="200"/>
      <c r="Y536" s="200"/>
      <c r="Z536" s="200"/>
      <c r="AA536" s="200"/>
      <c r="AB536" s="200"/>
      <c r="AC536" s="200"/>
      <c r="AD536" s="200"/>
      <c r="AE536" s="200"/>
      <c r="AF536" s="200"/>
      <c r="AG536" s="200"/>
      <c r="AH536" s="200"/>
      <c r="AI536" s="200"/>
      <c r="AJ536" s="200"/>
      <c r="AK536" s="200"/>
      <c r="AL536" s="200"/>
      <c r="AM536" s="200"/>
      <c r="AN536" s="198"/>
      <c r="AO536" s="201"/>
      <c r="AP536" s="198"/>
      <c r="AQ536" s="200"/>
      <c r="AR536" s="199"/>
      <c r="AS536" s="198"/>
      <c r="AV536" s="164"/>
      <c r="BA536" s="202"/>
      <c r="BC536" s="203"/>
      <c r="BD536" s="194"/>
      <c r="BE536" s="194"/>
    </row>
    <row r="537">
      <c r="A537" s="6"/>
      <c r="B537" s="6"/>
      <c r="C537" s="196"/>
      <c r="E537" s="197"/>
      <c r="F537" s="196"/>
      <c r="G537" s="198"/>
      <c r="H537" s="198"/>
      <c r="I537" s="198"/>
      <c r="J537" s="198"/>
      <c r="K537" s="198"/>
      <c r="L537" s="198"/>
      <c r="M537" s="199"/>
      <c r="N537" s="199"/>
      <c r="O537" s="199"/>
      <c r="P537" s="200"/>
      <c r="Q537" s="201"/>
      <c r="R537" s="200"/>
      <c r="S537" s="200"/>
      <c r="T537" s="200"/>
      <c r="U537" s="200"/>
      <c r="V537" s="201"/>
      <c r="W537" s="201"/>
      <c r="X537" s="200"/>
      <c r="Y537" s="200"/>
      <c r="Z537" s="200"/>
      <c r="AA537" s="200"/>
      <c r="AB537" s="200"/>
      <c r="AC537" s="200"/>
      <c r="AD537" s="200"/>
      <c r="AE537" s="200"/>
      <c r="AF537" s="200"/>
      <c r="AG537" s="200"/>
      <c r="AH537" s="200"/>
      <c r="AI537" s="200"/>
      <c r="AJ537" s="200"/>
      <c r="AK537" s="200"/>
      <c r="AL537" s="200"/>
      <c r="AM537" s="200"/>
      <c r="AN537" s="198"/>
      <c r="AO537" s="201"/>
      <c r="AP537" s="198"/>
      <c r="AQ537" s="200"/>
      <c r="AR537" s="199"/>
      <c r="AS537" s="198"/>
      <c r="AV537" s="164"/>
      <c r="BA537" s="202"/>
      <c r="BC537" s="203"/>
      <c r="BD537" s="194"/>
      <c r="BE537" s="194"/>
    </row>
    <row r="538">
      <c r="A538" s="6"/>
      <c r="B538" s="6"/>
      <c r="C538" s="196"/>
      <c r="E538" s="197"/>
      <c r="F538" s="196"/>
      <c r="G538" s="198"/>
      <c r="H538" s="198"/>
      <c r="I538" s="198"/>
      <c r="J538" s="198"/>
      <c r="K538" s="198"/>
      <c r="L538" s="198"/>
      <c r="M538" s="199"/>
      <c r="N538" s="199"/>
      <c r="O538" s="199"/>
      <c r="P538" s="200"/>
      <c r="Q538" s="201"/>
      <c r="R538" s="200"/>
      <c r="S538" s="200"/>
      <c r="T538" s="200"/>
      <c r="U538" s="200"/>
      <c r="V538" s="201"/>
      <c r="W538" s="201"/>
      <c r="X538" s="200"/>
      <c r="Y538" s="200"/>
      <c r="Z538" s="200"/>
      <c r="AA538" s="200"/>
      <c r="AB538" s="200"/>
      <c r="AC538" s="200"/>
      <c r="AD538" s="200"/>
      <c r="AE538" s="200"/>
      <c r="AF538" s="200"/>
      <c r="AG538" s="200"/>
      <c r="AH538" s="200"/>
      <c r="AI538" s="200"/>
      <c r="AJ538" s="200"/>
      <c r="AK538" s="200"/>
      <c r="AL538" s="200"/>
      <c r="AM538" s="200"/>
      <c r="AN538" s="198"/>
      <c r="AO538" s="201"/>
      <c r="AP538" s="198"/>
      <c r="AQ538" s="200"/>
      <c r="AR538" s="199"/>
      <c r="AS538" s="198"/>
      <c r="AV538" s="164"/>
      <c r="BA538" s="202"/>
      <c r="BC538" s="203"/>
      <c r="BD538" s="194"/>
      <c r="BE538" s="194"/>
    </row>
    <row r="539">
      <c r="A539" s="6"/>
      <c r="B539" s="6"/>
      <c r="C539" s="196"/>
      <c r="E539" s="197"/>
      <c r="F539" s="196"/>
      <c r="G539" s="198"/>
      <c r="H539" s="198"/>
      <c r="I539" s="198"/>
      <c r="J539" s="198"/>
      <c r="K539" s="198"/>
      <c r="L539" s="198"/>
      <c r="M539" s="199"/>
      <c r="N539" s="199"/>
      <c r="O539" s="199"/>
      <c r="P539" s="200"/>
      <c r="Q539" s="201"/>
      <c r="R539" s="200"/>
      <c r="S539" s="200"/>
      <c r="T539" s="200"/>
      <c r="U539" s="200"/>
      <c r="V539" s="201"/>
      <c r="W539" s="201"/>
      <c r="X539" s="200"/>
      <c r="Y539" s="200"/>
      <c r="Z539" s="200"/>
      <c r="AA539" s="200"/>
      <c r="AB539" s="200"/>
      <c r="AC539" s="200"/>
      <c r="AD539" s="200"/>
      <c r="AE539" s="200"/>
      <c r="AF539" s="200"/>
      <c r="AG539" s="200"/>
      <c r="AH539" s="200"/>
      <c r="AI539" s="200"/>
      <c r="AJ539" s="200"/>
      <c r="AK539" s="200"/>
      <c r="AL539" s="200"/>
      <c r="AM539" s="200"/>
      <c r="AN539" s="198"/>
      <c r="AO539" s="201"/>
      <c r="AP539" s="198"/>
      <c r="AQ539" s="200"/>
      <c r="AR539" s="199"/>
      <c r="AS539" s="198"/>
      <c r="AV539" s="164"/>
      <c r="BA539" s="202"/>
      <c r="BC539" s="203"/>
      <c r="BD539" s="194"/>
      <c r="BE539" s="194"/>
    </row>
    <row r="540">
      <c r="A540" s="6"/>
      <c r="B540" s="6"/>
      <c r="C540" s="196"/>
      <c r="E540" s="197"/>
      <c r="F540" s="196"/>
      <c r="G540" s="198"/>
      <c r="H540" s="198"/>
      <c r="I540" s="198"/>
      <c r="J540" s="198"/>
      <c r="K540" s="198"/>
      <c r="L540" s="198"/>
      <c r="M540" s="199"/>
      <c r="N540" s="199"/>
      <c r="O540" s="199"/>
      <c r="P540" s="200"/>
      <c r="Q540" s="201"/>
      <c r="R540" s="200"/>
      <c r="S540" s="200"/>
      <c r="T540" s="200"/>
      <c r="U540" s="200"/>
      <c r="V540" s="201"/>
      <c r="W540" s="201"/>
      <c r="X540" s="200"/>
      <c r="Y540" s="200"/>
      <c r="Z540" s="200"/>
      <c r="AA540" s="200"/>
      <c r="AB540" s="200"/>
      <c r="AC540" s="200"/>
      <c r="AD540" s="200"/>
      <c r="AE540" s="200"/>
      <c r="AF540" s="200"/>
      <c r="AG540" s="200"/>
      <c r="AH540" s="200"/>
      <c r="AI540" s="200"/>
      <c r="AJ540" s="200"/>
      <c r="AK540" s="200"/>
      <c r="AL540" s="200"/>
      <c r="AM540" s="200"/>
      <c r="AN540" s="198"/>
      <c r="AO540" s="201"/>
      <c r="AP540" s="198"/>
      <c r="AQ540" s="200"/>
      <c r="AR540" s="199"/>
      <c r="AS540" s="198"/>
      <c r="AV540" s="164"/>
      <c r="BA540" s="202"/>
      <c r="BC540" s="203"/>
      <c r="BD540" s="194"/>
      <c r="BE540" s="194"/>
    </row>
    <row r="541">
      <c r="A541" s="6"/>
      <c r="B541" s="6"/>
      <c r="C541" s="196"/>
      <c r="E541" s="197"/>
      <c r="F541" s="196"/>
      <c r="G541" s="198"/>
      <c r="H541" s="198"/>
      <c r="I541" s="198"/>
      <c r="J541" s="198"/>
      <c r="K541" s="198"/>
      <c r="L541" s="198"/>
      <c r="M541" s="199"/>
      <c r="N541" s="199"/>
      <c r="O541" s="199"/>
      <c r="P541" s="200"/>
      <c r="Q541" s="201"/>
      <c r="R541" s="200"/>
      <c r="S541" s="200"/>
      <c r="T541" s="200"/>
      <c r="U541" s="200"/>
      <c r="V541" s="201"/>
      <c r="W541" s="201"/>
      <c r="X541" s="200"/>
      <c r="Y541" s="200"/>
      <c r="Z541" s="200"/>
      <c r="AA541" s="200"/>
      <c r="AB541" s="200"/>
      <c r="AC541" s="200"/>
      <c r="AD541" s="200"/>
      <c r="AE541" s="200"/>
      <c r="AF541" s="200"/>
      <c r="AG541" s="200"/>
      <c r="AH541" s="200"/>
      <c r="AI541" s="200"/>
      <c r="AJ541" s="200"/>
      <c r="AK541" s="200"/>
      <c r="AL541" s="200"/>
      <c r="AM541" s="200"/>
      <c r="AN541" s="198"/>
      <c r="AO541" s="201"/>
      <c r="AP541" s="198"/>
      <c r="AQ541" s="200"/>
      <c r="AR541" s="199"/>
      <c r="AS541" s="198"/>
      <c r="AV541" s="164"/>
      <c r="BA541" s="202"/>
      <c r="BC541" s="203"/>
      <c r="BD541" s="194"/>
      <c r="BE541" s="194"/>
    </row>
    <row r="542">
      <c r="A542" s="6"/>
      <c r="B542" s="6"/>
      <c r="C542" s="196"/>
      <c r="E542" s="197"/>
      <c r="F542" s="196"/>
      <c r="G542" s="198"/>
      <c r="H542" s="198"/>
      <c r="I542" s="198"/>
      <c r="J542" s="198"/>
      <c r="K542" s="198"/>
      <c r="L542" s="198"/>
      <c r="M542" s="199"/>
      <c r="N542" s="199"/>
      <c r="O542" s="199"/>
      <c r="P542" s="200"/>
      <c r="Q542" s="201"/>
      <c r="R542" s="200"/>
      <c r="S542" s="200"/>
      <c r="T542" s="200"/>
      <c r="U542" s="200"/>
      <c r="V542" s="201"/>
      <c r="W542" s="201"/>
      <c r="X542" s="200"/>
      <c r="Y542" s="200"/>
      <c r="Z542" s="200"/>
      <c r="AA542" s="200"/>
      <c r="AB542" s="200"/>
      <c r="AC542" s="200"/>
      <c r="AD542" s="200"/>
      <c r="AE542" s="200"/>
      <c r="AF542" s="200"/>
      <c r="AG542" s="200"/>
      <c r="AH542" s="200"/>
      <c r="AI542" s="200"/>
      <c r="AJ542" s="200"/>
      <c r="AK542" s="200"/>
      <c r="AL542" s="200"/>
      <c r="AM542" s="200"/>
      <c r="AN542" s="198"/>
      <c r="AO542" s="201"/>
      <c r="AP542" s="198"/>
      <c r="AQ542" s="200"/>
      <c r="AR542" s="199"/>
      <c r="AS542" s="198"/>
      <c r="AV542" s="164"/>
      <c r="BA542" s="202"/>
      <c r="BC542" s="203"/>
      <c r="BD542" s="194"/>
      <c r="BE542" s="194"/>
    </row>
    <row r="543">
      <c r="A543" s="6"/>
      <c r="B543" s="6"/>
      <c r="C543" s="196"/>
      <c r="E543" s="197"/>
      <c r="F543" s="196"/>
      <c r="G543" s="198"/>
      <c r="H543" s="198"/>
      <c r="I543" s="198"/>
      <c r="J543" s="198"/>
      <c r="K543" s="198"/>
      <c r="L543" s="198"/>
      <c r="M543" s="199"/>
      <c r="N543" s="199"/>
      <c r="O543" s="199"/>
      <c r="P543" s="200"/>
      <c r="Q543" s="201"/>
      <c r="R543" s="200"/>
      <c r="S543" s="200"/>
      <c r="T543" s="200"/>
      <c r="U543" s="200"/>
      <c r="V543" s="201"/>
      <c r="W543" s="201"/>
      <c r="X543" s="200"/>
      <c r="Y543" s="200"/>
      <c r="Z543" s="200"/>
      <c r="AA543" s="200"/>
      <c r="AB543" s="200"/>
      <c r="AC543" s="200"/>
      <c r="AD543" s="200"/>
      <c r="AE543" s="200"/>
      <c r="AF543" s="200"/>
      <c r="AG543" s="200"/>
      <c r="AH543" s="200"/>
      <c r="AI543" s="200"/>
      <c r="AJ543" s="200"/>
      <c r="AK543" s="200"/>
      <c r="AL543" s="200"/>
      <c r="AM543" s="200"/>
      <c r="AN543" s="198"/>
      <c r="AO543" s="201"/>
      <c r="AP543" s="198"/>
      <c r="AQ543" s="200"/>
      <c r="AR543" s="199"/>
      <c r="AS543" s="198"/>
      <c r="AV543" s="164"/>
      <c r="BA543" s="202"/>
      <c r="BC543" s="203"/>
      <c r="BD543" s="194"/>
      <c r="BE543" s="194"/>
    </row>
    <row r="544">
      <c r="A544" s="6"/>
      <c r="B544" s="6"/>
      <c r="C544" s="196"/>
      <c r="E544" s="197"/>
      <c r="F544" s="196"/>
      <c r="G544" s="198"/>
      <c r="H544" s="198"/>
      <c r="I544" s="198"/>
      <c r="J544" s="198"/>
      <c r="K544" s="198"/>
      <c r="L544" s="198"/>
      <c r="M544" s="199"/>
      <c r="N544" s="199"/>
      <c r="O544" s="199"/>
      <c r="P544" s="200"/>
      <c r="Q544" s="201"/>
      <c r="R544" s="200"/>
      <c r="S544" s="200"/>
      <c r="T544" s="200"/>
      <c r="U544" s="200"/>
      <c r="V544" s="201"/>
      <c r="W544" s="201"/>
      <c r="X544" s="200"/>
      <c r="Y544" s="200"/>
      <c r="Z544" s="200"/>
      <c r="AA544" s="200"/>
      <c r="AB544" s="200"/>
      <c r="AC544" s="200"/>
      <c r="AD544" s="200"/>
      <c r="AE544" s="200"/>
      <c r="AF544" s="200"/>
      <c r="AG544" s="200"/>
      <c r="AH544" s="200"/>
      <c r="AI544" s="200"/>
      <c r="AJ544" s="200"/>
      <c r="AK544" s="200"/>
      <c r="AL544" s="200"/>
      <c r="AM544" s="200"/>
      <c r="AN544" s="198"/>
      <c r="AO544" s="201"/>
      <c r="AP544" s="198"/>
      <c r="AQ544" s="200"/>
      <c r="AR544" s="199"/>
      <c r="AS544" s="198"/>
      <c r="AV544" s="164"/>
      <c r="BA544" s="202"/>
      <c r="BC544" s="203"/>
      <c r="BD544" s="194"/>
      <c r="BE544" s="194"/>
    </row>
    <row r="545">
      <c r="A545" s="6"/>
      <c r="B545" s="6"/>
      <c r="C545" s="196"/>
      <c r="E545" s="197"/>
      <c r="F545" s="196"/>
      <c r="G545" s="198"/>
      <c r="H545" s="198"/>
      <c r="I545" s="198"/>
      <c r="J545" s="198"/>
      <c r="K545" s="198"/>
      <c r="L545" s="198"/>
      <c r="M545" s="199"/>
      <c r="N545" s="199"/>
      <c r="O545" s="199"/>
      <c r="P545" s="200"/>
      <c r="Q545" s="201"/>
      <c r="R545" s="200"/>
      <c r="S545" s="200"/>
      <c r="T545" s="200"/>
      <c r="U545" s="200"/>
      <c r="V545" s="201"/>
      <c r="W545" s="201"/>
      <c r="X545" s="200"/>
      <c r="Y545" s="200"/>
      <c r="Z545" s="200"/>
      <c r="AA545" s="200"/>
      <c r="AB545" s="200"/>
      <c r="AC545" s="200"/>
      <c r="AD545" s="200"/>
      <c r="AE545" s="200"/>
      <c r="AF545" s="200"/>
      <c r="AG545" s="200"/>
      <c r="AH545" s="200"/>
      <c r="AI545" s="200"/>
      <c r="AJ545" s="200"/>
      <c r="AK545" s="200"/>
      <c r="AL545" s="200"/>
      <c r="AM545" s="200"/>
      <c r="AN545" s="198"/>
      <c r="AO545" s="201"/>
      <c r="AP545" s="198"/>
      <c r="AQ545" s="200"/>
      <c r="AR545" s="199"/>
      <c r="AS545" s="198"/>
      <c r="AV545" s="164"/>
      <c r="BA545" s="202"/>
      <c r="BC545" s="203"/>
      <c r="BD545" s="194"/>
      <c r="BE545" s="194"/>
    </row>
    <row r="546">
      <c r="A546" s="6"/>
      <c r="B546" s="6"/>
      <c r="C546" s="196"/>
      <c r="E546" s="197"/>
      <c r="F546" s="196"/>
      <c r="G546" s="198"/>
      <c r="H546" s="198"/>
      <c r="I546" s="198"/>
      <c r="J546" s="198"/>
      <c r="K546" s="198"/>
      <c r="L546" s="198"/>
      <c r="M546" s="199"/>
      <c r="N546" s="199"/>
      <c r="O546" s="199"/>
      <c r="P546" s="200"/>
      <c r="Q546" s="201"/>
      <c r="R546" s="200"/>
      <c r="S546" s="200"/>
      <c r="T546" s="200"/>
      <c r="U546" s="200"/>
      <c r="V546" s="201"/>
      <c r="W546" s="201"/>
      <c r="X546" s="200"/>
      <c r="Y546" s="200"/>
      <c r="Z546" s="200"/>
      <c r="AA546" s="200"/>
      <c r="AB546" s="200"/>
      <c r="AC546" s="200"/>
      <c r="AD546" s="200"/>
      <c r="AE546" s="200"/>
      <c r="AF546" s="200"/>
      <c r="AG546" s="200"/>
      <c r="AH546" s="200"/>
      <c r="AI546" s="200"/>
      <c r="AJ546" s="200"/>
      <c r="AK546" s="200"/>
      <c r="AL546" s="200"/>
      <c r="AM546" s="200"/>
      <c r="AN546" s="198"/>
      <c r="AO546" s="201"/>
      <c r="AP546" s="198"/>
      <c r="AQ546" s="200"/>
      <c r="AR546" s="199"/>
      <c r="AS546" s="198"/>
      <c r="AV546" s="164"/>
      <c r="BA546" s="202"/>
      <c r="BC546" s="203"/>
      <c r="BD546" s="194"/>
      <c r="BE546" s="194"/>
    </row>
    <row r="547">
      <c r="A547" s="6"/>
      <c r="B547" s="6"/>
      <c r="C547" s="196"/>
      <c r="E547" s="197"/>
      <c r="F547" s="196"/>
      <c r="G547" s="198"/>
      <c r="H547" s="198"/>
      <c r="I547" s="198"/>
      <c r="J547" s="198"/>
      <c r="K547" s="198"/>
      <c r="L547" s="198"/>
      <c r="M547" s="199"/>
      <c r="N547" s="199"/>
      <c r="O547" s="199"/>
      <c r="P547" s="200"/>
      <c r="Q547" s="201"/>
      <c r="R547" s="200"/>
      <c r="S547" s="200"/>
      <c r="T547" s="200"/>
      <c r="U547" s="200"/>
      <c r="V547" s="201"/>
      <c r="W547" s="201"/>
      <c r="X547" s="200"/>
      <c r="Y547" s="200"/>
      <c r="Z547" s="200"/>
      <c r="AA547" s="200"/>
      <c r="AB547" s="200"/>
      <c r="AC547" s="200"/>
      <c r="AD547" s="200"/>
      <c r="AE547" s="200"/>
      <c r="AF547" s="200"/>
      <c r="AG547" s="200"/>
      <c r="AH547" s="200"/>
      <c r="AI547" s="200"/>
      <c r="AJ547" s="200"/>
      <c r="AK547" s="200"/>
      <c r="AL547" s="200"/>
      <c r="AM547" s="200"/>
      <c r="AN547" s="198"/>
      <c r="AO547" s="201"/>
      <c r="AP547" s="198"/>
      <c r="AQ547" s="200"/>
      <c r="AR547" s="199"/>
      <c r="AS547" s="198"/>
      <c r="AV547" s="164"/>
      <c r="BA547" s="202"/>
      <c r="BC547" s="203"/>
      <c r="BD547" s="194"/>
      <c r="BE547" s="194"/>
    </row>
    <row r="548">
      <c r="A548" s="6"/>
      <c r="B548" s="6"/>
      <c r="C548" s="196"/>
      <c r="E548" s="197"/>
      <c r="F548" s="196"/>
      <c r="G548" s="198"/>
      <c r="H548" s="198"/>
      <c r="I548" s="198"/>
      <c r="J548" s="198"/>
      <c r="K548" s="198"/>
      <c r="L548" s="198"/>
      <c r="M548" s="199"/>
      <c r="N548" s="199"/>
      <c r="O548" s="199"/>
      <c r="P548" s="200"/>
      <c r="Q548" s="201"/>
      <c r="R548" s="200"/>
      <c r="S548" s="200"/>
      <c r="T548" s="200"/>
      <c r="U548" s="200"/>
      <c r="V548" s="201"/>
      <c r="W548" s="201"/>
      <c r="X548" s="200"/>
      <c r="Y548" s="200"/>
      <c r="Z548" s="200"/>
      <c r="AA548" s="200"/>
      <c r="AB548" s="200"/>
      <c r="AC548" s="200"/>
      <c r="AD548" s="200"/>
      <c r="AE548" s="200"/>
      <c r="AF548" s="200"/>
      <c r="AG548" s="200"/>
      <c r="AH548" s="200"/>
      <c r="AI548" s="200"/>
      <c r="AJ548" s="200"/>
      <c r="AK548" s="200"/>
      <c r="AL548" s="200"/>
      <c r="AM548" s="200"/>
      <c r="AN548" s="198"/>
      <c r="AO548" s="201"/>
      <c r="AP548" s="198"/>
      <c r="AQ548" s="200"/>
      <c r="AR548" s="199"/>
      <c r="AS548" s="198"/>
      <c r="AV548" s="164"/>
      <c r="BA548" s="202"/>
      <c r="BC548" s="203"/>
      <c r="BD548" s="194"/>
      <c r="BE548" s="194"/>
    </row>
    <row r="549">
      <c r="A549" s="6"/>
      <c r="B549" s="6"/>
      <c r="C549" s="196"/>
      <c r="E549" s="197"/>
      <c r="F549" s="196"/>
      <c r="G549" s="198"/>
      <c r="H549" s="198"/>
      <c r="I549" s="198"/>
      <c r="J549" s="198"/>
      <c r="K549" s="198"/>
      <c r="L549" s="198"/>
      <c r="M549" s="199"/>
      <c r="N549" s="199"/>
      <c r="O549" s="199"/>
      <c r="P549" s="200"/>
      <c r="Q549" s="201"/>
      <c r="R549" s="200"/>
      <c r="S549" s="200"/>
      <c r="T549" s="200"/>
      <c r="U549" s="200"/>
      <c r="V549" s="201"/>
      <c r="W549" s="201"/>
      <c r="X549" s="200"/>
      <c r="Y549" s="200"/>
      <c r="Z549" s="200"/>
      <c r="AA549" s="200"/>
      <c r="AB549" s="200"/>
      <c r="AC549" s="200"/>
      <c r="AD549" s="200"/>
      <c r="AE549" s="200"/>
      <c r="AF549" s="200"/>
      <c r="AG549" s="200"/>
      <c r="AH549" s="200"/>
      <c r="AI549" s="200"/>
      <c r="AJ549" s="200"/>
      <c r="AK549" s="200"/>
      <c r="AL549" s="200"/>
      <c r="AM549" s="200"/>
      <c r="AN549" s="198"/>
      <c r="AO549" s="201"/>
      <c r="AP549" s="198"/>
      <c r="AQ549" s="200"/>
      <c r="AR549" s="199"/>
      <c r="AS549" s="198"/>
      <c r="AV549" s="164"/>
      <c r="BA549" s="202"/>
      <c r="BC549" s="203"/>
      <c r="BD549" s="194"/>
      <c r="BE549" s="194"/>
    </row>
    <row r="550">
      <c r="A550" s="6"/>
      <c r="B550" s="6"/>
      <c r="C550" s="196"/>
      <c r="E550" s="197"/>
      <c r="F550" s="196"/>
      <c r="G550" s="198"/>
      <c r="H550" s="198"/>
      <c r="I550" s="198"/>
      <c r="J550" s="198"/>
      <c r="K550" s="198"/>
      <c r="L550" s="198"/>
      <c r="M550" s="199"/>
      <c r="N550" s="199"/>
      <c r="O550" s="199"/>
      <c r="P550" s="200"/>
      <c r="Q550" s="201"/>
      <c r="R550" s="200"/>
      <c r="S550" s="200"/>
      <c r="T550" s="200"/>
      <c r="U550" s="200"/>
      <c r="V550" s="201"/>
      <c r="W550" s="201"/>
      <c r="X550" s="200"/>
      <c r="Y550" s="200"/>
      <c r="Z550" s="200"/>
      <c r="AA550" s="200"/>
      <c r="AB550" s="200"/>
      <c r="AC550" s="200"/>
      <c r="AD550" s="200"/>
      <c r="AE550" s="200"/>
      <c r="AF550" s="200"/>
      <c r="AG550" s="200"/>
      <c r="AH550" s="200"/>
      <c r="AI550" s="200"/>
      <c r="AJ550" s="200"/>
      <c r="AK550" s="200"/>
      <c r="AL550" s="200"/>
      <c r="AM550" s="200"/>
      <c r="AN550" s="198"/>
      <c r="AO550" s="201"/>
      <c r="AP550" s="198"/>
      <c r="AQ550" s="200"/>
      <c r="AR550" s="199"/>
      <c r="AS550" s="198"/>
      <c r="AV550" s="164"/>
      <c r="BA550" s="202"/>
      <c r="BC550" s="203"/>
      <c r="BD550" s="194"/>
      <c r="BE550" s="194"/>
    </row>
    <row r="551">
      <c r="A551" s="6"/>
      <c r="B551" s="6"/>
      <c r="C551" s="196"/>
      <c r="E551" s="197"/>
      <c r="F551" s="196"/>
      <c r="G551" s="198"/>
      <c r="H551" s="198"/>
      <c r="I551" s="198"/>
      <c r="J551" s="198"/>
      <c r="K551" s="198"/>
      <c r="L551" s="198"/>
      <c r="M551" s="199"/>
      <c r="N551" s="199"/>
      <c r="O551" s="199"/>
      <c r="P551" s="200"/>
      <c r="Q551" s="201"/>
      <c r="R551" s="200"/>
      <c r="S551" s="200"/>
      <c r="T551" s="200"/>
      <c r="U551" s="200"/>
      <c r="V551" s="201"/>
      <c r="W551" s="201"/>
      <c r="X551" s="200"/>
      <c r="Y551" s="200"/>
      <c r="Z551" s="200"/>
      <c r="AA551" s="200"/>
      <c r="AB551" s="200"/>
      <c r="AC551" s="200"/>
      <c r="AD551" s="200"/>
      <c r="AE551" s="200"/>
      <c r="AF551" s="200"/>
      <c r="AG551" s="200"/>
      <c r="AH551" s="200"/>
      <c r="AI551" s="200"/>
      <c r="AJ551" s="200"/>
      <c r="AK551" s="200"/>
      <c r="AL551" s="200"/>
      <c r="AM551" s="200"/>
      <c r="AN551" s="198"/>
      <c r="AO551" s="201"/>
      <c r="AP551" s="198"/>
      <c r="AQ551" s="200"/>
      <c r="AR551" s="199"/>
      <c r="AS551" s="198"/>
      <c r="AV551" s="164"/>
      <c r="BA551" s="202"/>
      <c r="BC551" s="203"/>
      <c r="BD551" s="194"/>
      <c r="BE551" s="194"/>
    </row>
    <row r="552">
      <c r="A552" s="6"/>
      <c r="B552" s="6"/>
      <c r="C552" s="196"/>
      <c r="E552" s="197"/>
      <c r="F552" s="196"/>
      <c r="G552" s="198"/>
      <c r="H552" s="198"/>
      <c r="I552" s="198"/>
      <c r="J552" s="198"/>
      <c r="K552" s="198"/>
      <c r="L552" s="198"/>
      <c r="M552" s="199"/>
      <c r="N552" s="199"/>
      <c r="O552" s="199"/>
      <c r="P552" s="200"/>
      <c r="Q552" s="201"/>
      <c r="R552" s="200"/>
      <c r="S552" s="200"/>
      <c r="T552" s="200"/>
      <c r="U552" s="200"/>
      <c r="V552" s="201"/>
      <c r="W552" s="201"/>
      <c r="X552" s="200"/>
      <c r="Y552" s="200"/>
      <c r="Z552" s="200"/>
      <c r="AA552" s="200"/>
      <c r="AB552" s="200"/>
      <c r="AC552" s="200"/>
      <c r="AD552" s="200"/>
      <c r="AE552" s="200"/>
      <c r="AF552" s="200"/>
      <c r="AG552" s="200"/>
      <c r="AH552" s="200"/>
      <c r="AI552" s="200"/>
      <c r="AJ552" s="200"/>
      <c r="AK552" s="200"/>
      <c r="AL552" s="200"/>
      <c r="AM552" s="200"/>
      <c r="AN552" s="198"/>
      <c r="AO552" s="201"/>
      <c r="AP552" s="198"/>
      <c r="AQ552" s="200"/>
      <c r="AR552" s="199"/>
      <c r="AS552" s="198"/>
      <c r="AV552" s="164"/>
      <c r="BA552" s="202"/>
      <c r="BC552" s="203"/>
      <c r="BD552" s="194"/>
      <c r="BE552" s="194"/>
    </row>
    <row r="553">
      <c r="A553" s="6"/>
      <c r="B553" s="6"/>
      <c r="C553" s="196"/>
      <c r="E553" s="197"/>
      <c r="F553" s="196"/>
      <c r="G553" s="198"/>
      <c r="H553" s="198"/>
      <c r="I553" s="198"/>
      <c r="J553" s="198"/>
      <c r="K553" s="198"/>
      <c r="L553" s="198"/>
      <c r="M553" s="199"/>
      <c r="N553" s="199"/>
      <c r="O553" s="199"/>
      <c r="P553" s="200"/>
      <c r="Q553" s="201"/>
      <c r="R553" s="200"/>
      <c r="S553" s="200"/>
      <c r="T553" s="200"/>
      <c r="U553" s="200"/>
      <c r="V553" s="201"/>
      <c r="W553" s="201"/>
      <c r="X553" s="200"/>
      <c r="Y553" s="200"/>
      <c r="Z553" s="200"/>
      <c r="AA553" s="200"/>
      <c r="AB553" s="200"/>
      <c r="AC553" s="200"/>
      <c r="AD553" s="200"/>
      <c r="AE553" s="200"/>
      <c r="AF553" s="200"/>
      <c r="AG553" s="200"/>
      <c r="AH553" s="200"/>
      <c r="AI553" s="200"/>
      <c r="AJ553" s="200"/>
      <c r="AK553" s="200"/>
      <c r="AL553" s="200"/>
      <c r="AM553" s="200"/>
      <c r="AN553" s="198"/>
      <c r="AO553" s="201"/>
      <c r="AP553" s="198"/>
      <c r="AQ553" s="200"/>
      <c r="AR553" s="199"/>
      <c r="AS553" s="198"/>
      <c r="AV553" s="164"/>
      <c r="BA553" s="202"/>
      <c r="BC553" s="203"/>
      <c r="BD553" s="194"/>
      <c r="BE553" s="194"/>
    </row>
    <row r="554">
      <c r="A554" s="6"/>
      <c r="B554" s="6"/>
      <c r="C554" s="196"/>
      <c r="E554" s="197"/>
      <c r="F554" s="196"/>
      <c r="G554" s="198"/>
      <c r="H554" s="198"/>
      <c r="I554" s="198"/>
      <c r="J554" s="198"/>
      <c r="K554" s="198"/>
      <c r="L554" s="198"/>
      <c r="M554" s="199"/>
      <c r="N554" s="199"/>
      <c r="O554" s="199"/>
      <c r="P554" s="200"/>
      <c r="Q554" s="201"/>
      <c r="R554" s="200"/>
      <c r="S554" s="200"/>
      <c r="T554" s="200"/>
      <c r="U554" s="200"/>
      <c r="V554" s="201"/>
      <c r="W554" s="201"/>
      <c r="X554" s="200"/>
      <c r="Y554" s="200"/>
      <c r="Z554" s="200"/>
      <c r="AA554" s="200"/>
      <c r="AB554" s="200"/>
      <c r="AC554" s="200"/>
      <c r="AD554" s="200"/>
      <c r="AE554" s="200"/>
      <c r="AF554" s="200"/>
      <c r="AG554" s="200"/>
      <c r="AH554" s="200"/>
      <c r="AI554" s="200"/>
      <c r="AJ554" s="200"/>
      <c r="AK554" s="200"/>
      <c r="AL554" s="200"/>
      <c r="AM554" s="200"/>
      <c r="AN554" s="198"/>
      <c r="AO554" s="201"/>
      <c r="AP554" s="198"/>
      <c r="AQ554" s="200"/>
      <c r="AR554" s="199"/>
      <c r="AS554" s="198"/>
      <c r="AV554" s="164"/>
      <c r="BA554" s="202"/>
      <c r="BC554" s="203"/>
      <c r="BD554" s="194"/>
      <c r="BE554" s="194"/>
    </row>
    <row r="555">
      <c r="A555" s="6"/>
      <c r="B555" s="6"/>
      <c r="C555" s="196"/>
      <c r="E555" s="197"/>
      <c r="F555" s="196"/>
      <c r="G555" s="198"/>
      <c r="H555" s="198"/>
      <c r="I555" s="198"/>
      <c r="J555" s="198"/>
      <c r="K555" s="198"/>
      <c r="L555" s="198"/>
      <c r="M555" s="199"/>
      <c r="N555" s="199"/>
      <c r="O555" s="199"/>
      <c r="P555" s="200"/>
      <c r="Q555" s="201"/>
      <c r="R555" s="200"/>
      <c r="S555" s="200"/>
      <c r="T555" s="200"/>
      <c r="U555" s="200"/>
      <c r="V555" s="201"/>
      <c r="W555" s="201"/>
      <c r="X555" s="200"/>
      <c r="Y555" s="200"/>
      <c r="Z555" s="200"/>
      <c r="AA555" s="200"/>
      <c r="AB555" s="200"/>
      <c r="AC555" s="200"/>
      <c r="AD555" s="200"/>
      <c r="AE555" s="200"/>
      <c r="AF555" s="200"/>
      <c r="AG555" s="200"/>
      <c r="AH555" s="200"/>
      <c r="AI555" s="200"/>
      <c r="AJ555" s="200"/>
      <c r="AK555" s="200"/>
      <c r="AL555" s="200"/>
      <c r="AM555" s="200"/>
      <c r="AN555" s="198"/>
      <c r="AO555" s="201"/>
      <c r="AP555" s="198"/>
      <c r="AQ555" s="200"/>
      <c r="AR555" s="199"/>
      <c r="AS555" s="198"/>
      <c r="AV555" s="164"/>
      <c r="BA555" s="202"/>
      <c r="BC555" s="203"/>
      <c r="BD555" s="194"/>
      <c r="BE555" s="194"/>
    </row>
    <row r="556">
      <c r="A556" s="6"/>
      <c r="B556" s="6"/>
      <c r="C556" s="196"/>
      <c r="E556" s="197"/>
      <c r="F556" s="196"/>
      <c r="G556" s="198"/>
      <c r="H556" s="198"/>
      <c r="I556" s="198"/>
      <c r="J556" s="198"/>
      <c r="K556" s="198"/>
      <c r="L556" s="198"/>
      <c r="M556" s="199"/>
      <c r="N556" s="199"/>
      <c r="O556" s="199"/>
      <c r="P556" s="200"/>
      <c r="Q556" s="201"/>
      <c r="R556" s="200"/>
      <c r="S556" s="200"/>
      <c r="T556" s="200"/>
      <c r="U556" s="200"/>
      <c r="V556" s="201"/>
      <c r="W556" s="201"/>
      <c r="X556" s="200"/>
      <c r="Y556" s="200"/>
      <c r="Z556" s="200"/>
      <c r="AA556" s="200"/>
      <c r="AB556" s="200"/>
      <c r="AC556" s="200"/>
      <c r="AD556" s="200"/>
      <c r="AE556" s="200"/>
      <c r="AF556" s="200"/>
      <c r="AG556" s="200"/>
      <c r="AH556" s="200"/>
      <c r="AI556" s="200"/>
      <c r="AJ556" s="200"/>
      <c r="AK556" s="200"/>
      <c r="AL556" s="200"/>
      <c r="AM556" s="200"/>
      <c r="AN556" s="198"/>
      <c r="AO556" s="201"/>
      <c r="AP556" s="198"/>
      <c r="AQ556" s="200"/>
      <c r="AR556" s="199"/>
      <c r="AS556" s="198"/>
      <c r="AV556" s="164"/>
      <c r="BA556" s="202"/>
      <c r="BC556" s="203"/>
      <c r="BD556" s="194"/>
      <c r="BE556" s="194"/>
    </row>
    <row r="557">
      <c r="A557" s="6"/>
      <c r="B557" s="6"/>
      <c r="C557" s="196"/>
      <c r="E557" s="197"/>
      <c r="F557" s="196"/>
      <c r="G557" s="198"/>
      <c r="H557" s="198"/>
      <c r="I557" s="198"/>
      <c r="J557" s="198"/>
      <c r="K557" s="198"/>
      <c r="L557" s="198"/>
      <c r="M557" s="199"/>
      <c r="N557" s="199"/>
      <c r="O557" s="199"/>
      <c r="P557" s="200"/>
      <c r="Q557" s="201"/>
      <c r="R557" s="200"/>
      <c r="S557" s="200"/>
      <c r="T557" s="200"/>
      <c r="U557" s="200"/>
      <c r="V557" s="201"/>
      <c r="W557" s="201"/>
      <c r="X557" s="200"/>
      <c r="Y557" s="200"/>
      <c r="Z557" s="200"/>
      <c r="AA557" s="200"/>
      <c r="AB557" s="200"/>
      <c r="AC557" s="200"/>
      <c r="AD557" s="200"/>
      <c r="AE557" s="200"/>
      <c r="AF557" s="200"/>
      <c r="AG557" s="200"/>
      <c r="AH557" s="200"/>
      <c r="AI557" s="200"/>
      <c r="AJ557" s="200"/>
      <c r="AK557" s="200"/>
      <c r="AL557" s="200"/>
      <c r="AM557" s="200"/>
      <c r="AN557" s="198"/>
      <c r="AO557" s="201"/>
      <c r="AP557" s="198"/>
      <c r="AQ557" s="200"/>
      <c r="AR557" s="199"/>
      <c r="AS557" s="198"/>
      <c r="AV557" s="164"/>
      <c r="BA557" s="202"/>
      <c r="BC557" s="203"/>
      <c r="BD557" s="194"/>
      <c r="BE557" s="194"/>
    </row>
    <row r="558">
      <c r="A558" s="6"/>
      <c r="B558" s="6"/>
      <c r="C558" s="196"/>
      <c r="E558" s="197"/>
      <c r="F558" s="196"/>
      <c r="G558" s="198"/>
      <c r="H558" s="198"/>
      <c r="I558" s="198"/>
      <c r="J558" s="198"/>
      <c r="K558" s="198"/>
      <c r="L558" s="198"/>
      <c r="M558" s="199"/>
      <c r="N558" s="199"/>
      <c r="O558" s="199"/>
      <c r="P558" s="200"/>
      <c r="Q558" s="201"/>
      <c r="R558" s="200"/>
      <c r="S558" s="200"/>
      <c r="T558" s="200"/>
      <c r="U558" s="200"/>
      <c r="V558" s="201"/>
      <c r="W558" s="201"/>
      <c r="X558" s="200"/>
      <c r="Y558" s="200"/>
      <c r="Z558" s="200"/>
      <c r="AA558" s="200"/>
      <c r="AB558" s="200"/>
      <c r="AC558" s="200"/>
      <c r="AD558" s="200"/>
      <c r="AE558" s="200"/>
      <c r="AF558" s="200"/>
      <c r="AG558" s="200"/>
      <c r="AH558" s="200"/>
      <c r="AI558" s="200"/>
      <c r="AJ558" s="200"/>
      <c r="AK558" s="200"/>
      <c r="AL558" s="200"/>
      <c r="AM558" s="200"/>
      <c r="AN558" s="198"/>
      <c r="AO558" s="201"/>
      <c r="AP558" s="198"/>
      <c r="AQ558" s="200"/>
      <c r="AR558" s="199"/>
      <c r="AS558" s="198"/>
      <c r="AV558" s="164"/>
      <c r="BA558" s="202"/>
      <c r="BC558" s="203"/>
      <c r="BD558" s="194"/>
      <c r="BE558" s="194"/>
    </row>
    <row r="559">
      <c r="A559" s="6"/>
      <c r="B559" s="6"/>
      <c r="C559" s="196"/>
      <c r="E559" s="197"/>
      <c r="F559" s="196"/>
      <c r="G559" s="198"/>
      <c r="H559" s="198"/>
      <c r="I559" s="198"/>
      <c r="J559" s="198"/>
      <c r="K559" s="198"/>
      <c r="L559" s="198"/>
      <c r="M559" s="199"/>
      <c r="N559" s="199"/>
      <c r="O559" s="199"/>
      <c r="P559" s="200"/>
      <c r="Q559" s="201"/>
      <c r="R559" s="200"/>
      <c r="S559" s="200"/>
      <c r="T559" s="200"/>
      <c r="U559" s="200"/>
      <c r="V559" s="201"/>
      <c r="W559" s="201"/>
      <c r="X559" s="200"/>
      <c r="Y559" s="200"/>
      <c r="Z559" s="200"/>
      <c r="AA559" s="200"/>
      <c r="AB559" s="200"/>
      <c r="AC559" s="200"/>
      <c r="AD559" s="200"/>
      <c r="AE559" s="200"/>
      <c r="AF559" s="200"/>
      <c r="AG559" s="200"/>
      <c r="AH559" s="200"/>
      <c r="AI559" s="200"/>
      <c r="AJ559" s="200"/>
      <c r="AK559" s="200"/>
      <c r="AL559" s="200"/>
      <c r="AM559" s="200"/>
      <c r="AN559" s="198"/>
      <c r="AO559" s="201"/>
      <c r="AP559" s="198"/>
      <c r="AQ559" s="200"/>
      <c r="AR559" s="199"/>
      <c r="AS559" s="198"/>
      <c r="AV559" s="164"/>
      <c r="BA559" s="202"/>
      <c r="BC559" s="203"/>
      <c r="BD559" s="194"/>
      <c r="BE559" s="194"/>
    </row>
    <row r="560">
      <c r="A560" s="6"/>
      <c r="B560" s="6"/>
      <c r="C560" s="196"/>
      <c r="E560" s="197"/>
      <c r="F560" s="196"/>
      <c r="G560" s="198"/>
      <c r="H560" s="198"/>
      <c r="I560" s="198"/>
      <c r="J560" s="198"/>
      <c r="K560" s="198"/>
      <c r="L560" s="198"/>
      <c r="M560" s="199"/>
      <c r="N560" s="199"/>
      <c r="O560" s="199"/>
      <c r="P560" s="200"/>
      <c r="Q560" s="201"/>
      <c r="R560" s="200"/>
      <c r="S560" s="200"/>
      <c r="T560" s="200"/>
      <c r="U560" s="200"/>
      <c r="V560" s="201"/>
      <c r="W560" s="201"/>
      <c r="X560" s="200"/>
      <c r="Y560" s="200"/>
      <c r="Z560" s="200"/>
      <c r="AA560" s="200"/>
      <c r="AB560" s="200"/>
      <c r="AC560" s="200"/>
      <c r="AD560" s="200"/>
      <c r="AE560" s="200"/>
      <c r="AF560" s="200"/>
      <c r="AG560" s="200"/>
      <c r="AH560" s="200"/>
      <c r="AI560" s="200"/>
      <c r="AJ560" s="200"/>
      <c r="AK560" s="200"/>
      <c r="AL560" s="200"/>
      <c r="AM560" s="200"/>
      <c r="AN560" s="198"/>
      <c r="AO560" s="201"/>
      <c r="AP560" s="198"/>
      <c r="AQ560" s="200"/>
      <c r="AR560" s="199"/>
      <c r="AS560" s="198"/>
      <c r="AV560" s="164"/>
      <c r="BA560" s="202"/>
      <c r="BC560" s="203"/>
      <c r="BD560" s="194"/>
      <c r="BE560" s="194"/>
    </row>
    <row r="561">
      <c r="A561" s="6"/>
      <c r="B561" s="6"/>
      <c r="C561" s="196"/>
      <c r="E561" s="197"/>
      <c r="F561" s="196"/>
      <c r="G561" s="198"/>
      <c r="H561" s="198"/>
      <c r="I561" s="198"/>
      <c r="J561" s="198"/>
      <c r="K561" s="198"/>
      <c r="L561" s="198"/>
      <c r="M561" s="199"/>
      <c r="N561" s="199"/>
      <c r="O561" s="199"/>
      <c r="P561" s="200"/>
      <c r="Q561" s="201"/>
      <c r="R561" s="200"/>
      <c r="S561" s="200"/>
      <c r="T561" s="200"/>
      <c r="U561" s="200"/>
      <c r="V561" s="201"/>
      <c r="W561" s="201"/>
      <c r="X561" s="200"/>
      <c r="Y561" s="200"/>
      <c r="Z561" s="200"/>
      <c r="AA561" s="200"/>
      <c r="AB561" s="200"/>
      <c r="AC561" s="200"/>
      <c r="AD561" s="200"/>
      <c r="AE561" s="200"/>
      <c r="AF561" s="200"/>
      <c r="AG561" s="200"/>
      <c r="AH561" s="200"/>
      <c r="AI561" s="200"/>
      <c r="AJ561" s="200"/>
      <c r="AK561" s="200"/>
      <c r="AL561" s="200"/>
      <c r="AM561" s="200"/>
      <c r="AN561" s="198"/>
      <c r="AO561" s="201"/>
      <c r="AP561" s="198"/>
      <c r="AQ561" s="200"/>
      <c r="AR561" s="199"/>
      <c r="AS561" s="198"/>
      <c r="AV561" s="164"/>
      <c r="BA561" s="202"/>
      <c r="BC561" s="203"/>
      <c r="BD561" s="194"/>
      <c r="BE561" s="194"/>
    </row>
    <row r="562">
      <c r="A562" s="6"/>
      <c r="B562" s="6"/>
      <c r="C562" s="196"/>
      <c r="E562" s="197"/>
      <c r="F562" s="196"/>
      <c r="G562" s="198"/>
      <c r="H562" s="198"/>
      <c r="I562" s="198"/>
      <c r="J562" s="198"/>
      <c r="K562" s="198"/>
      <c r="L562" s="198"/>
      <c r="M562" s="199"/>
      <c r="N562" s="199"/>
      <c r="O562" s="199"/>
      <c r="P562" s="200"/>
      <c r="Q562" s="201"/>
      <c r="R562" s="200"/>
      <c r="S562" s="200"/>
      <c r="T562" s="200"/>
      <c r="U562" s="200"/>
      <c r="V562" s="201"/>
      <c r="W562" s="201"/>
      <c r="X562" s="200"/>
      <c r="Y562" s="200"/>
      <c r="Z562" s="200"/>
      <c r="AA562" s="200"/>
      <c r="AB562" s="200"/>
      <c r="AC562" s="200"/>
      <c r="AD562" s="200"/>
      <c r="AE562" s="200"/>
      <c r="AF562" s="200"/>
      <c r="AG562" s="200"/>
      <c r="AH562" s="200"/>
      <c r="AI562" s="200"/>
      <c r="AJ562" s="200"/>
      <c r="AK562" s="200"/>
      <c r="AL562" s="200"/>
      <c r="AM562" s="200"/>
      <c r="AN562" s="198"/>
      <c r="AO562" s="201"/>
      <c r="AP562" s="198"/>
      <c r="AQ562" s="200"/>
      <c r="AR562" s="199"/>
      <c r="AS562" s="198"/>
      <c r="AV562" s="164"/>
      <c r="BA562" s="202"/>
      <c r="BC562" s="203"/>
      <c r="BD562" s="194"/>
      <c r="BE562" s="194"/>
    </row>
    <row r="563">
      <c r="A563" s="6"/>
      <c r="B563" s="6"/>
      <c r="C563" s="196"/>
      <c r="E563" s="197"/>
      <c r="F563" s="196"/>
      <c r="G563" s="198"/>
      <c r="H563" s="198"/>
      <c r="I563" s="198"/>
      <c r="J563" s="198"/>
      <c r="K563" s="198"/>
      <c r="L563" s="198"/>
      <c r="M563" s="199"/>
      <c r="N563" s="199"/>
      <c r="O563" s="199"/>
      <c r="P563" s="200"/>
      <c r="Q563" s="201"/>
      <c r="R563" s="200"/>
      <c r="S563" s="200"/>
      <c r="T563" s="200"/>
      <c r="U563" s="200"/>
      <c r="V563" s="201"/>
      <c r="W563" s="201"/>
      <c r="X563" s="200"/>
      <c r="Y563" s="200"/>
      <c r="Z563" s="200"/>
      <c r="AA563" s="200"/>
      <c r="AB563" s="200"/>
      <c r="AC563" s="200"/>
      <c r="AD563" s="200"/>
      <c r="AE563" s="200"/>
      <c r="AF563" s="200"/>
      <c r="AG563" s="200"/>
      <c r="AH563" s="200"/>
      <c r="AI563" s="200"/>
      <c r="AJ563" s="200"/>
      <c r="AK563" s="200"/>
      <c r="AL563" s="200"/>
      <c r="AM563" s="200"/>
      <c r="AN563" s="198"/>
      <c r="AO563" s="201"/>
      <c r="AP563" s="198"/>
      <c r="AQ563" s="200"/>
      <c r="AR563" s="199"/>
      <c r="AS563" s="198"/>
      <c r="AV563" s="164"/>
      <c r="BA563" s="202"/>
      <c r="BC563" s="203"/>
      <c r="BD563" s="194"/>
      <c r="BE563" s="194"/>
    </row>
    <row r="564">
      <c r="A564" s="6"/>
      <c r="B564" s="6"/>
      <c r="C564" s="196"/>
      <c r="E564" s="197"/>
      <c r="F564" s="196"/>
      <c r="G564" s="198"/>
      <c r="H564" s="198"/>
      <c r="I564" s="198"/>
      <c r="J564" s="198"/>
      <c r="K564" s="198"/>
      <c r="L564" s="198"/>
      <c r="M564" s="199"/>
      <c r="N564" s="199"/>
      <c r="O564" s="199"/>
      <c r="P564" s="200"/>
      <c r="Q564" s="201"/>
      <c r="R564" s="200"/>
      <c r="S564" s="200"/>
      <c r="T564" s="200"/>
      <c r="U564" s="200"/>
      <c r="V564" s="201"/>
      <c r="W564" s="201"/>
      <c r="X564" s="200"/>
      <c r="Y564" s="200"/>
      <c r="Z564" s="200"/>
      <c r="AA564" s="200"/>
      <c r="AB564" s="200"/>
      <c r="AC564" s="200"/>
      <c r="AD564" s="200"/>
      <c r="AE564" s="200"/>
      <c r="AF564" s="200"/>
      <c r="AG564" s="200"/>
      <c r="AH564" s="200"/>
      <c r="AI564" s="200"/>
      <c r="AJ564" s="200"/>
      <c r="AK564" s="200"/>
      <c r="AL564" s="200"/>
      <c r="AM564" s="200"/>
      <c r="AN564" s="198"/>
      <c r="AO564" s="201"/>
      <c r="AP564" s="198"/>
      <c r="AQ564" s="200"/>
      <c r="AR564" s="199"/>
      <c r="AS564" s="198"/>
      <c r="AV564" s="164"/>
      <c r="BA564" s="202"/>
      <c r="BC564" s="203"/>
      <c r="BD564" s="194"/>
      <c r="BE564" s="194"/>
    </row>
    <row r="565">
      <c r="A565" s="6"/>
      <c r="B565" s="6"/>
      <c r="C565" s="196"/>
      <c r="E565" s="197"/>
      <c r="F565" s="196"/>
      <c r="G565" s="198"/>
      <c r="H565" s="198"/>
      <c r="I565" s="198"/>
      <c r="J565" s="198"/>
      <c r="K565" s="198"/>
      <c r="L565" s="198"/>
      <c r="M565" s="199"/>
      <c r="N565" s="199"/>
      <c r="O565" s="199"/>
      <c r="P565" s="200"/>
      <c r="Q565" s="201"/>
      <c r="R565" s="200"/>
      <c r="S565" s="200"/>
      <c r="T565" s="200"/>
      <c r="U565" s="200"/>
      <c r="V565" s="201"/>
      <c r="W565" s="201"/>
      <c r="X565" s="200"/>
      <c r="Y565" s="200"/>
      <c r="Z565" s="200"/>
      <c r="AA565" s="200"/>
      <c r="AB565" s="200"/>
      <c r="AC565" s="200"/>
      <c r="AD565" s="200"/>
      <c r="AE565" s="200"/>
      <c r="AF565" s="200"/>
      <c r="AG565" s="200"/>
      <c r="AH565" s="200"/>
      <c r="AI565" s="200"/>
      <c r="AJ565" s="200"/>
      <c r="AK565" s="200"/>
      <c r="AL565" s="200"/>
      <c r="AM565" s="200"/>
      <c r="AN565" s="198"/>
      <c r="AO565" s="201"/>
      <c r="AP565" s="198"/>
      <c r="AQ565" s="200"/>
      <c r="AR565" s="199"/>
      <c r="AS565" s="198"/>
      <c r="AV565" s="164"/>
      <c r="BA565" s="202"/>
      <c r="BC565" s="203"/>
      <c r="BD565" s="194"/>
      <c r="BE565" s="194"/>
    </row>
    <row r="566">
      <c r="A566" s="6"/>
      <c r="B566" s="6"/>
      <c r="C566" s="196"/>
      <c r="E566" s="197"/>
      <c r="F566" s="196"/>
      <c r="G566" s="198"/>
      <c r="H566" s="198"/>
      <c r="I566" s="198"/>
      <c r="J566" s="198"/>
      <c r="K566" s="198"/>
      <c r="L566" s="198"/>
      <c r="M566" s="199"/>
      <c r="N566" s="199"/>
      <c r="O566" s="199"/>
      <c r="P566" s="200"/>
      <c r="Q566" s="201"/>
      <c r="R566" s="200"/>
      <c r="S566" s="200"/>
      <c r="T566" s="200"/>
      <c r="U566" s="200"/>
      <c r="V566" s="201"/>
      <c r="W566" s="201"/>
      <c r="X566" s="200"/>
      <c r="Y566" s="200"/>
      <c r="Z566" s="200"/>
      <c r="AA566" s="200"/>
      <c r="AB566" s="200"/>
      <c r="AC566" s="200"/>
      <c r="AD566" s="200"/>
      <c r="AE566" s="200"/>
      <c r="AF566" s="200"/>
      <c r="AG566" s="200"/>
      <c r="AH566" s="200"/>
      <c r="AI566" s="200"/>
      <c r="AJ566" s="200"/>
      <c r="AK566" s="200"/>
      <c r="AL566" s="200"/>
      <c r="AM566" s="200"/>
      <c r="AN566" s="198"/>
      <c r="AO566" s="201"/>
      <c r="AP566" s="198"/>
      <c r="AQ566" s="200"/>
      <c r="AR566" s="199"/>
      <c r="AS566" s="198"/>
      <c r="AV566" s="164"/>
      <c r="BA566" s="202"/>
      <c r="BC566" s="203"/>
      <c r="BD566" s="194"/>
      <c r="BE566" s="194"/>
    </row>
    <row r="567">
      <c r="A567" s="6"/>
      <c r="B567" s="6"/>
      <c r="C567" s="196"/>
      <c r="E567" s="197"/>
      <c r="F567" s="196"/>
      <c r="G567" s="198"/>
      <c r="H567" s="198"/>
      <c r="I567" s="198"/>
      <c r="J567" s="198"/>
      <c r="K567" s="198"/>
      <c r="L567" s="198"/>
      <c r="M567" s="199"/>
      <c r="N567" s="199"/>
      <c r="O567" s="199"/>
      <c r="P567" s="200"/>
      <c r="Q567" s="201"/>
      <c r="R567" s="200"/>
      <c r="S567" s="200"/>
      <c r="T567" s="200"/>
      <c r="U567" s="200"/>
      <c r="V567" s="201"/>
      <c r="W567" s="201"/>
      <c r="X567" s="200"/>
      <c r="Y567" s="200"/>
      <c r="Z567" s="200"/>
      <c r="AA567" s="200"/>
      <c r="AB567" s="200"/>
      <c r="AC567" s="200"/>
      <c r="AD567" s="200"/>
      <c r="AE567" s="200"/>
      <c r="AF567" s="200"/>
      <c r="AG567" s="200"/>
      <c r="AH567" s="200"/>
      <c r="AI567" s="200"/>
      <c r="AJ567" s="200"/>
      <c r="AK567" s="200"/>
      <c r="AL567" s="200"/>
      <c r="AM567" s="200"/>
      <c r="AN567" s="198"/>
      <c r="AO567" s="201"/>
      <c r="AP567" s="198"/>
      <c r="AQ567" s="200"/>
      <c r="AR567" s="199"/>
      <c r="AS567" s="198"/>
      <c r="AV567" s="164"/>
      <c r="BA567" s="202"/>
      <c r="BC567" s="203"/>
      <c r="BD567" s="194"/>
      <c r="BE567" s="194"/>
    </row>
    <row r="568">
      <c r="A568" s="6"/>
      <c r="B568" s="6"/>
      <c r="C568" s="196"/>
      <c r="E568" s="197"/>
      <c r="F568" s="196"/>
      <c r="G568" s="198"/>
      <c r="H568" s="198"/>
      <c r="I568" s="198"/>
      <c r="J568" s="198"/>
      <c r="K568" s="198"/>
      <c r="L568" s="198"/>
      <c r="M568" s="199"/>
      <c r="N568" s="199"/>
      <c r="O568" s="199"/>
      <c r="P568" s="200"/>
      <c r="Q568" s="201"/>
      <c r="R568" s="200"/>
      <c r="S568" s="200"/>
      <c r="T568" s="200"/>
      <c r="U568" s="200"/>
      <c r="V568" s="201"/>
      <c r="W568" s="201"/>
      <c r="X568" s="200"/>
      <c r="Y568" s="200"/>
      <c r="Z568" s="200"/>
      <c r="AA568" s="200"/>
      <c r="AB568" s="200"/>
      <c r="AC568" s="200"/>
      <c r="AD568" s="200"/>
      <c r="AE568" s="200"/>
      <c r="AF568" s="200"/>
      <c r="AG568" s="200"/>
      <c r="AH568" s="200"/>
      <c r="AI568" s="200"/>
      <c r="AJ568" s="200"/>
      <c r="AK568" s="200"/>
      <c r="AL568" s="200"/>
      <c r="AM568" s="200"/>
      <c r="AN568" s="198"/>
      <c r="AO568" s="201"/>
      <c r="AP568" s="198"/>
      <c r="AQ568" s="200"/>
      <c r="AR568" s="199"/>
      <c r="AS568" s="198"/>
      <c r="AV568" s="164"/>
      <c r="BA568" s="202"/>
      <c r="BC568" s="203"/>
      <c r="BD568" s="194"/>
      <c r="BE568" s="194"/>
    </row>
    <row r="569">
      <c r="A569" s="6"/>
      <c r="B569" s="6"/>
      <c r="C569" s="196"/>
      <c r="E569" s="197"/>
      <c r="F569" s="196"/>
      <c r="G569" s="198"/>
      <c r="H569" s="198"/>
      <c r="I569" s="198"/>
      <c r="J569" s="198"/>
      <c r="K569" s="198"/>
      <c r="L569" s="198"/>
      <c r="M569" s="199"/>
      <c r="N569" s="199"/>
      <c r="O569" s="199"/>
      <c r="P569" s="200"/>
      <c r="Q569" s="201"/>
      <c r="R569" s="200"/>
      <c r="S569" s="200"/>
      <c r="T569" s="200"/>
      <c r="U569" s="200"/>
      <c r="V569" s="201"/>
      <c r="W569" s="201"/>
      <c r="X569" s="200"/>
      <c r="Y569" s="200"/>
      <c r="Z569" s="200"/>
      <c r="AA569" s="200"/>
      <c r="AB569" s="200"/>
      <c r="AC569" s="200"/>
      <c r="AD569" s="200"/>
      <c r="AE569" s="200"/>
      <c r="AF569" s="200"/>
      <c r="AG569" s="200"/>
      <c r="AH569" s="200"/>
      <c r="AI569" s="200"/>
      <c r="AJ569" s="200"/>
      <c r="AK569" s="200"/>
      <c r="AL569" s="200"/>
      <c r="AM569" s="200"/>
      <c r="AN569" s="198"/>
      <c r="AO569" s="201"/>
      <c r="AP569" s="198"/>
      <c r="AQ569" s="200"/>
      <c r="AR569" s="199"/>
      <c r="AS569" s="198"/>
      <c r="AV569" s="164"/>
      <c r="BA569" s="202"/>
      <c r="BC569" s="203"/>
      <c r="BD569" s="194"/>
      <c r="BE569" s="194"/>
    </row>
    <row r="570">
      <c r="A570" s="6"/>
      <c r="B570" s="6"/>
      <c r="C570" s="196"/>
      <c r="E570" s="197"/>
      <c r="F570" s="196"/>
      <c r="G570" s="198"/>
      <c r="H570" s="198"/>
      <c r="I570" s="198"/>
      <c r="J570" s="198"/>
      <c r="K570" s="198"/>
      <c r="L570" s="198"/>
      <c r="M570" s="199"/>
      <c r="N570" s="199"/>
      <c r="O570" s="199"/>
      <c r="P570" s="200"/>
      <c r="Q570" s="201"/>
      <c r="R570" s="200"/>
      <c r="S570" s="200"/>
      <c r="T570" s="200"/>
      <c r="U570" s="200"/>
      <c r="V570" s="201"/>
      <c r="W570" s="201"/>
      <c r="X570" s="200"/>
      <c r="Y570" s="200"/>
      <c r="Z570" s="200"/>
      <c r="AA570" s="200"/>
      <c r="AB570" s="200"/>
      <c r="AC570" s="200"/>
      <c r="AD570" s="200"/>
      <c r="AE570" s="200"/>
      <c r="AF570" s="200"/>
      <c r="AG570" s="200"/>
      <c r="AH570" s="200"/>
      <c r="AI570" s="200"/>
      <c r="AJ570" s="200"/>
      <c r="AK570" s="200"/>
      <c r="AL570" s="200"/>
      <c r="AM570" s="200"/>
      <c r="AN570" s="198"/>
      <c r="AO570" s="201"/>
      <c r="AP570" s="198"/>
      <c r="AQ570" s="200"/>
      <c r="AR570" s="199"/>
      <c r="AS570" s="198"/>
      <c r="AV570" s="164"/>
      <c r="BA570" s="202"/>
      <c r="BC570" s="203"/>
      <c r="BD570" s="194"/>
      <c r="BE570" s="194"/>
    </row>
    <row r="571">
      <c r="A571" s="6"/>
      <c r="B571" s="6"/>
      <c r="C571" s="196"/>
      <c r="E571" s="197"/>
      <c r="F571" s="196"/>
      <c r="G571" s="198"/>
      <c r="H571" s="198"/>
      <c r="I571" s="198"/>
      <c r="J571" s="198"/>
      <c r="K571" s="198"/>
      <c r="L571" s="198"/>
      <c r="M571" s="199"/>
      <c r="N571" s="199"/>
      <c r="O571" s="199"/>
      <c r="P571" s="200"/>
      <c r="Q571" s="201"/>
      <c r="R571" s="200"/>
      <c r="S571" s="200"/>
      <c r="T571" s="200"/>
      <c r="U571" s="200"/>
      <c r="V571" s="201"/>
      <c r="W571" s="201"/>
      <c r="X571" s="200"/>
      <c r="Y571" s="200"/>
      <c r="Z571" s="200"/>
      <c r="AA571" s="200"/>
      <c r="AB571" s="200"/>
      <c r="AC571" s="200"/>
      <c r="AD571" s="200"/>
      <c r="AE571" s="200"/>
      <c r="AF571" s="200"/>
      <c r="AG571" s="200"/>
      <c r="AH571" s="200"/>
      <c r="AI571" s="200"/>
      <c r="AJ571" s="200"/>
      <c r="AK571" s="200"/>
      <c r="AL571" s="200"/>
      <c r="AM571" s="200"/>
      <c r="AN571" s="198"/>
      <c r="AO571" s="201"/>
      <c r="AP571" s="198"/>
      <c r="AQ571" s="200"/>
      <c r="AR571" s="199"/>
      <c r="AS571" s="198"/>
      <c r="AV571" s="164"/>
      <c r="BA571" s="202"/>
      <c r="BC571" s="203"/>
      <c r="BD571" s="194"/>
      <c r="BE571" s="194"/>
    </row>
    <row r="572">
      <c r="A572" s="6"/>
      <c r="B572" s="6"/>
      <c r="C572" s="196"/>
      <c r="E572" s="197"/>
      <c r="F572" s="196"/>
      <c r="G572" s="198"/>
      <c r="H572" s="198"/>
      <c r="I572" s="198"/>
      <c r="J572" s="198"/>
      <c r="K572" s="198"/>
      <c r="L572" s="198"/>
      <c r="M572" s="199"/>
      <c r="N572" s="199"/>
      <c r="O572" s="199"/>
      <c r="P572" s="200"/>
      <c r="Q572" s="201"/>
      <c r="R572" s="200"/>
      <c r="S572" s="200"/>
      <c r="T572" s="200"/>
      <c r="U572" s="200"/>
      <c r="V572" s="201"/>
      <c r="W572" s="201"/>
      <c r="X572" s="200"/>
      <c r="Y572" s="200"/>
      <c r="Z572" s="200"/>
      <c r="AA572" s="200"/>
      <c r="AB572" s="200"/>
      <c r="AC572" s="200"/>
      <c r="AD572" s="200"/>
      <c r="AE572" s="200"/>
      <c r="AF572" s="200"/>
      <c r="AG572" s="200"/>
      <c r="AH572" s="200"/>
      <c r="AI572" s="200"/>
      <c r="AJ572" s="200"/>
      <c r="AK572" s="200"/>
      <c r="AL572" s="200"/>
      <c r="AM572" s="200"/>
      <c r="AN572" s="198"/>
      <c r="AO572" s="201"/>
      <c r="AP572" s="198"/>
      <c r="AQ572" s="200"/>
      <c r="AR572" s="199"/>
      <c r="AS572" s="198"/>
      <c r="AV572" s="164"/>
      <c r="BA572" s="202"/>
      <c r="BC572" s="203"/>
      <c r="BD572" s="194"/>
      <c r="BE572" s="194"/>
    </row>
    <row r="573">
      <c r="A573" s="6"/>
      <c r="B573" s="6"/>
      <c r="C573" s="196"/>
      <c r="E573" s="197"/>
      <c r="F573" s="196"/>
      <c r="G573" s="198"/>
      <c r="H573" s="198"/>
      <c r="I573" s="198"/>
      <c r="J573" s="198"/>
      <c r="K573" s="198"/>
      <c r="L573" s="198"/>
      <c r="M573" s="199"/>
      <c r="N573" s="199"/>
      <c r="O573" s="199"/>
      <c r="P573" s="200"/>
      <c r="Q573" s="201"/>
      <c r="R573" s="200"/>
      <c r="S573" s="200"/>
      <c r="T573" s="200"/>
      <c r="U573" s="200"/>
      <c r="V573" s="201"/>
      <c r="W573" s="201"/>
      <c r="X573" s="200"/>
      <c r="Y573" s="200"/>
      <c r="Z573" s="200"/>
      <c r="AA573" s="200"/>
      <c r="AB573" s="200"/>
      <c r="AC573" s="200"/>
      <c r="AD573" s="200"/>
      <c r="AE573" s="200"/>
      <c r="AF573" s="200"/>
      <c r="AG573" s="200"/>
      <c r="AH573" s="200"/>
      <c r="AI573" s="200"/>
      <c r="AJ573" s="200"/>
      <c r="AK573" s="200"/>
      <c r="AL573" s="200"/>
      <c r="AM573" s="200"/>
      <c r="AN573" s="198"/>
      <c r="AO573" s="201"/>
      <c r="AP573" s="198"/>
      <c r="AQ573" s="200"/>
      <c r="AR573" s="199"/>
      <c r="AS573" s="198"/>
      <c r="AV573" s="164"/>
      <c r="BA573" s="202"/>
      <c r="BC573" s="203"/>
      <c r="BD573" s="194"/>
      <c r="BE573" s="194"/>
    </row>
    <row r="574">
      <c r="A574" s="6"/>
      <c r="B574" s="6"/>
      <c r="C574" s="196"/>
      <c r="E574" s="197"/>
      <c r="F574" s="196"/>
      <c r="G574" s="198"/>
      <c r="H574" s="198"/>
      <c r="I574" s="198"/>
      <c r="J574" s="198"/>
      <c r="K574" s="198"/>
      <c r="L574" s="198"/>
      <c r="M574" s="199"/>
      <c r="N574" s="199"/>
      <c r="O574" s="199"/>
      <c r="P574" s="200"/>
      <c r="Q574" s="201"/>
      <c r="R574" s="200"/>
      <c r="S574" s="200"/>
      <c r="T574" s="200"/>
      <c r="U574" s="200"/>
      <c r="V574" s="201"/>
      <c r="W574" s="201"/>
      <c r="X574" s="200"/>
      <c r="Y574" s="200"/>
      <c r="Z574" s="200"/>
      <c r="AA574" s="200"/>
      <c r="AB574" s="200"/>
      <c r="AC574" s="200"/>
      <c r="AD574" s="200"/>
      <c r="AE574" s="200"/>
      <c r="AF574" s="200"/>
      <c r="AG574" s="200"/>
      <c r="AH574" s="200"/>
      <c r="AI574" s="200"/>
      <c r="AJ574" s="200"/>
      <c r="AK574" s="200"/>
      <c r="AL574" s="200"/>
      <c r="AM574" s="200"/>
      <c r="AN574" s="198"/>
      <c r="AO574" s="201"/>
      <c r="AP574" s="198"/>
      <c r="AQ574" s="200"/>
      <c r="AR574" s="199"/>
      <c r="AS574" s="198"/>
      <c r="AV574" s="164"/>
      <c r="BA574" s="202"/>
      <c r="BC574" s="203"/>
      <c r="BD574" s="194"/>
      <c r="BE574" s="194"/>
    </row>
    <row r="575">
      <c r="A575" s="6"/>
      <c r="B575" s="6"/>
      <c r="C575" s="196"/>
      <c r="E575" s="197"/>
      <c r="F575" s="196"/>
      <c r="G575" s="198"/>
      <c r="H575" s="198"/>
      <c r="I575" s="198"/>
      <c r="J575" s="198"/>
      <c r="K575" s="198"/>
      <c r="L575" s="198"/>
      <c r="M575" s="199"/>
      <c r="N575" s="199"/>
      <c r="O575" s="199"/>
      <c r="P575" s="200"/>
      <c r="Q575" s="201"/>
      <c r="R575" s="200"/>
      <c r="S575" s="200"/>
      <c r="T575" s="200"/>
      <c r="U575" s="200"/>
      <c r="V575" s="201"/>
      <c r="W575" s="201"/>
      <c r="X575" s="200"/>
      <c r="Y575" s="200"/>
      <c r="Z575" s="200"/>
      <c r="AA575" s="200"/>
      <c r="AB575" s="200"/>
      <c r="AC575" s="200"/>
      <c r="AD575" s="200"/>
      <c r="AE575" s="200"/>
      <c r="AF575" s="200"/>
      <c r="AG575" s="200"/>
      <c r="AH575" s="200"/>
      <c r="AI575" s="200"/>
      <c r="AJ575" s="200"/>
      <c r="AK575" s="200"/>
      <c r="AL575" s="200"/>
      <c r="AM575" s="200"/>
      <c r="AN575" s="198"/>
      <c r="AO575" s="201"/>
      <c r="AP575" s="198"/>
      <c r="AQ575" s="200"/>
      <c r="AR575" s="199"/>
      <c r="AS575" s="198"/>
      <c r="AV575" s="164"/>
      <c r="BA575" s="202"/>
      <c r="BC575" s="203"/>
      <c r="BD575" s="194"/>
      <c r="BE575" s="194"/>
    </row>
    <row r="576">
      <c r="A576" s="6"/>
      <c r="B576" s="6"/>
      <c r="C576" s="196"/>
      <c r="E576" s="197"/>
      <c r="F576" s="196"/>
      <c r="G576" s="198"/>
      <c r="H576" s="198"/>
      <c r="I576" s="198"/>
      <c r="J576" s="198"/>
      <c r="K576" s="198"/>
      <c r="L576" s="198"/>
      <c r="M576" s="199"/>
      <c r="N576" s="199"/>
      <c r="O576" s="199"/>
      <c r="P576" s="200"/>
      <c r="Q576" s="201"/>
      <c r="R576" s="200"/>
      <c r="S576" s="200"/>
      <c r="T576" s="200"/>
      <c r="U576" s="200"/>
      <c r="V576" s="201"/>
      <c r="W576" s="201"/>
      <c r="X576" s="200"/>
      <c r="Y576" s="200"/>
      <c r="Z576" s="200"/>
      <c r="AA576" s="200"/>
      <c r="AB576" s="200"/>
      <c r="AC576" s="200"/>
      <c r="AD576" s="200"/>
      <c r="AE576" s="200"/>
      <c r="AF576" s="200"/>
      <c r="AG576" s="200"/>
      <c r="AH576" s="200"/>
      <c r="AI576" s="200"/>
      <c r="AJ576" s="200"/>
      <c r="AK576" s="200"/>
      <c r="AL576" s="200"/>
      <c r="AM576" s="200"/>
      <c r="AN576" s="198"/>
      <c r="AO576" s="201"/>
      <c r="AP576" s="198"/>
      <c r="AQ576" s="200"/>
      <c r="AR576" s="199"/>
      <c r="AS576" s="198"/>
      <c r="AV576" s="164"/>
      <c r="BA576" s="202"/>
      <c r="BC576" s="203"/>
      <c r="BD576" s="194"/>
      <c r="BE576" s="194"/>
    </row>
    <row r="577">
      <c r="A577" s="6"/>
      <c r="B577" s="6"/>
      <c r="C577" s="196"/>
      <c r="E577" s="197"/>
      <c r="F577" s="196"/>
      <c r="G577" s="198"/>
      <c r="H577" s="198"/>
      <c r="I577" s="198"/>
      <c r="J577" s="198"/>
      <c r="K577" s="198"/>
      <c r="L577" s="198"/>
      <c r="M577" s="199"/>
      <c r="N577" s="199"/>
      <c r="O577" s="199"/>
      <c r="P577" s="200"/>
      <c r="Q577" s="201"/>
      <c r="R577" s="200"/>
      <c r="S577" s="200"/>
      <c r="T577" s="200"/>
      <c r="U577" s="200"/>
      <c r="V577" s="201"/>
      <c r="W577" s="201"/>
      <c r="X577" s="200"/>
      <c r="Y577" s="200"/>
      <c r="Z577" s="200"/>
      <c r="AA577" s="200"/>
      <c r="AB577" s="200"/>
      <c r="AC577" s="200"/>
      <c r="AD577" s="200"/>
      <c r="AE577" s="200"/>
      <c r="AF577" s="200"/>
      <c r="AG577" s="200"/>
      <c r="AH577" s="200"/>
      <c r="AI577" s="200"/>
      <c r="AJ577" s="200"/>
      <c r="AK577" s="200"/>
      <c r="AL577" s="200"/>
      <c r="AM577" s="200"/>
      <c r="AN577" s="198"/>
      <c r="AO577" s="201"/>
      <c r="AP577" s="198"/>
      <c r="AQ577" s="200"/>
      <c r="AR577" s="199"/>
      <c r="AS577" s="198"/>
      <c r="AV577" s="164"/>
      <c r="BA577" s="202"/>
      <c r="BC577" s="203"/>
      <c r="BD577" s="194"/>
      <c r="BE577" s="194"/>
    </row>
  </sheetData>
  <mergeCells count="2">
    <mergeCell ref="B1:E1"/>
    <mergeCell ref="G1:I1"/>
  </mergeCells>
  <conditionalFormatting sqref="C4:C577">
    <cfRule type="expression" dxfId="1" priority="1">
      <formula>BA4:BA577</formula>
    </cfRule>
  </conditionalFormatting>
  <conditionalFormatting sqref="BA3:BA577 BB4:BB577">
    <cfRule type="notContainsBlanks" dxfId="1" priority="2">
      <formula>LEN(TRIM(BA3))&gt;0</formula>
    </cfRule>
  </conditionalFormatting>
  <conditionalFormatting sqref="M4:M577">
    <cfRule type="cellIs" dxfId="2" priority="3" operator="greaterThan">
      <formula>"50%"</formula>
    </cfRule>
  </conditionalFormatting>
  <conditionalFormatting sqref="O4:O577">
    <cfRule type="cellIs" dxfId="3" priority="4" operator="greaterThan">
      <formula>"50%"</formula>
    </cfRule>
  </conditionalFormatting>
  <conditionalFormatting sqref="AR4:AR577">
    <cfRule type="cellIs" dxfId="2" priority="5" operator="lessThan">
      <formula>"5%"</formula>
    </cfRule>
  </conditionalFormatting>
  <printOptions horizontalCentered="1"/>
  <pageMargins bottom="0.75" footer="0.0" header="0.0" left="0.25" right="0.25" top="0.75"/>
  <pageSetup paperSize="9" scale="60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75"/>
  <cols>
    <col customWidth="1" min="1" max="2" width="14.63"/>
    <col customWidth="1" min="3" max="3" width="26.75"/>
    <col customWidth="1" min="4" max="4" width="17.13"/>
    <col customWidth="1" min="5" max="5" width="10.38"/>
    <col hidden="1" min="6" max="6" width="12.63"/>
    <col customWidth="1" hidden="1" min="7" max="8" width="10.88"/>
    <col customWidth="1" min="9" max="9" width="8.63"/>
    <col customWidth="1" min="10" max="10" width="8.75"/>
    <col customWidth="1" min="11" max="11" width="9.5"/>
    <col customWidth="1" min="12" max="12" width="14.5"/>
    <col customWidth="1" min="13" max="13" width="10.25"/>
    <col customWidth="1" min="14" max="14" width="10.0"/>
    <col customWidth="1" min="15" max="15" width="10.25"/>
    <col customWidth="1" min="16" max="16" width="9.13"/>
    <col customWidth="1" hidden="1" min="17" max="17" width="8.63"/>
    <col customWidth="1" min="18" max="18" width="11.38"/>
    <col customWidth="1" min="19" max="19" width="8.38"/>
    <col customWidth="1" min="20" max="20" width="6.75"/>
    <col customWidth="1" min="21" max="21" width="8.25"/>
    <col customWidth="1" min="22" max="22" width="9.63"/>
    <col customWidth="1" min="23" max="23" width="8.25"/>
    <col customWidth="1" min="24" max="24" width="8.13"/>
    <col customWidth="1" hidden="1" min="25" max="28" width="9.75"/>
    <col customWidth="1" min="29" max="29" width="9.75"/>
    <col customWidth="1" min="30" max="30" width="11.88"/>
    <col customWidth="1" min="31" max="31" width="6.0"/>
    <col customWidth="1" min="32" max="32" width="5.5"/>
    <col customWidth="1" hidden="1" min="33" max="33" width="5.63"/>
    <col customWidth="1" hidden="1" min="34" max="34" width="7.75"/>
    <col customWidth="1" min="35" max="35" width="7.75"/>
    <col customWidth="1" hidden="1" min="36" max="36" width="6.63"/>
    <col customWidth="1" min="37" max="37" width="6.63"/>
    <col customWidth="1" hidden="1" min="38" max="38" width="11.5"/>
    <col customWidth="1" min="39" max="39" width="11.5"/>
    <col customWidth="1" min="40" max="40" width="6.75"/>
    <col customWidth="1" min="41" max="41" width="7.63"/>
    <col customWidth="1" min="42" max="42" width="8.0"/>
    <col customWidth="1" min="43" max="43" width="8.38"/>
    <col customWidth="1" min="44" max="44" width="5.0"/>
    <col customWidth="1" min="45" max="46" width="8.38"/>
    <col customWidth="1" min="47" max="47" width="7.63"/>
    <col customWidth="1" min="48" max="48" width="8.13"/>
    <col customWidth="1" hidden="1" min="49" max="49" width="8.0"/>
    <col customWidth="1" hidden="1" min="50" max="50" width="8.88"/>
    <col customWidth="1" hidden="1" min="51" max="51" width="12.13"/>
    <col customWidth="1" hidden="1" min="52" max="55" width="8.13"/>
    <col customWidth="1" min="56" max="56" width="9.0"/>
    <col customWidth="1" min="57" max="57" width="18.38"/>
    <col customWidth="1" hidden="1" min="58" max="58" width="9.0"/>
    <col customWidth="1" hidden="1" min="59" max="59" width="8.0"/>
    <col hidden="1" min="60" max="70" width="12.63"/>
  </cols>
  <sheetData>
    <row r="1">
      <c r="A1" s="204"/>
      <c r="B1" s="204" t="s">
        <v>953</v>
      </c>
      <c r="F1" s="205"/>
      <c r="G1" s="205"/>
      <c r="H1" s="205"/>
      <c r="I1" s="206" t="s">
        <v>954</v>
      </c>
      <c r="J1" s="206" t="s">
        <v>955</v>
      </c>
      <c r="K1" s="206" t="s">
        <v>956</v>
      </c>
      <c r="L1" s="206" t="s">
        <v>957</v>
      </c>
      <c r="M1" s="164">
        <f>M5+N5</f>
        <v>37964369.57</v>
      </c>
      <c r="N1" s="164">
        <f>K5+L5</f>
        <v>105568458</v>
      </c>
      <c r="P1" s="207"/>
      <c r="Q1" s="166"/>
      <c r="R1" s="166"/>
      <c r="S1" s="166"/>
      <c r="T1" s="208"/>
      <c r="AW1" s="167"/>
      <c r="AX1" s="209"/>
      <c r="AY1" s="210"/>
      <c r="AZ1" s="167"/>
      <c r="BA1" s="167"/>
      <c r="BB1" s="167"/>
      <c r="BC1" s="167"/>
    </row>
    <row r="2" ht="31.5" customHeight="1">
      <c r="A2" s="211"/>
      <c r="B2" s="212" t="s">
        <v>958</v>
      </c>
      <c r="C2" s="213" t="s">
        <v>892</v>
      </c>
      <c r="D2" s="213" t="s">
        <v>959</v>
      </c>
      <c r="E2" s="213" t="s">
        <v>902</v>
      </c>
      <c r="F2" s="205"/>
      <c r="G2" s="205"/>
      <c r="H2" s="205"/>
      <c r="I2" s="15"/>
      <c r="J2" s="15"/>
      <c r="K2" s="15"/>
      <c r="L2" s="15"/>
      <c r="M2" s="214">
        <f>K5+L5</f>
        <v>105568458</v>
      </c>
      <c r="N2" s="166"/>
      <c r="O2" s="166"/>
      <c r="P2" s="207"/>
      <c r="Q2" s="166"/>
      <c r="R2" s="166"/>
      <c r="S2" s="166"/>
      <c r="T2" s="208" t="s">
        <v>1</v>
      </c>
      <c r="AW2" s="167"/>
      <c r="AX2" s="209"/>
      <c r="AY2" s="210"/>
      <c r="AZ2" s="167"/>
      <c r="BA2" s="167"/>
      <c r="BB2" s="167"/>
      <c r="BC2" s="167"/>
    </row>
    <row r="3">
      <c r="A3" s="215"/>
      <c r="B3" s="216" t="s">
        <v>53</v>
      </c>
      <c r="C3" s="216"/>
      <c r="D3" s="217"/>
      <c r="E3" s="218"/>
      <c r="F3" s="219"/>
      <c r="G3" s="219"/>
      <c r="H3" s="219"/>
      <c r="I3" s="75"/>
      <c r="J3" s="217"/>
      <c r="K3" s="220"/>
      <c r="L3" s="220"/>
      <c r="AU3" s="166">
        <f>sum(AS5:AT5)/SUM(O5)</f>
        <v>0.2081233242</v>
      </c>
      <c r="AW3" s="167"/>
      <c r="AX3" s="209"/>
      <c r="AY3" s="210"/>
      <c r="AZ3" s="167"/>
      <c r="BA3" s="167"/>
      <c r="BB3" s="167"/>
      <c r="BC3" s="167"/>
      <c r="BI3" s="124" t="str">
        <f>IFERROR(__xludf.DUMMYFUNCTION("sort(unique(QUERY(Data!A3:CC270,""SELECT A,B WHERE A='""&amp;B3&amp;""'"")),2,1)"),"Pawan Sharma")</f>
        <v>Pawan Sharma</v>
      </c>
      <c r="BJ3" s="124" t="str">
        <f>IFERROR(__xludf.DUMMYFUNCTION("""COMPUTED_VALUE"""),"Haryana")</f>
        <v>Haryana</v>
      </c>
      <c r="BM3" s="124" t="str">
        <f t="array" ref="BM3:BM13">SORT(UNIQUE(Data!A3:A270),1,2)</f>
        <v>Anant Singh</v>
      </c>
      <c r="BN3" s="124" t="str">
        <f t="array" ref="BN3:BN8">SORT(UNIQUE(Data!BC3:BC270),1,2)</f>
        <v>50%-70%</v>
      </c>
    </row>
    <row r="4">
      <c r="A4" s="221"/>
      <c r="B4" s="222" t="s">
        <v>960</v>
      </c>
      <c r="C4" s="222" t="s">
        <v>961</v>
      </c>
      <c r="D4" s="222" t="s">
        <v>962</v>
      </c>
      <c r="E4" s="222" t="s">
        <v>963</v>
      </c>
      <c r="F4" s="223"/>
      <c r="G4" s="224"/>
      <c r="H4" s="224"/>
      <c r="I4" s="225"/>
      <c r="L4" s="226"/>
      <c r="M4" s="227"/>
      <c r="N4" s="228"/>
      <c r="O4" s="229"/>
      <c r="P4" s="230"/>
      <c r="Q4" s="231"/>
      <c r="R4" s="231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2"/>
      <c r="AH4" s="232"/>
      <c r="AI4" s="232"/>
      <c r="AJ4" s="232"/>
      <c r="AK4" s="232"/>
      <c r="AL4" s="232"/>
      <c r="AM4" s="232"/>
      <c r="AN4" s="232"/>
      <c r="AO4" s="232"/>
      <c r="AP4" s="232"/>
      <c r="AQ4" s="232"/>
      <c r="AR4" s="232"/>
      <c r="AS4" s="232"/>
      <c r="AT4" s="232"/>
      <c r="AU4" s="231"/>
      <c r="AV4" s="232"/>
      <c r="AW4" s="157"/>
      <c r="AX4" s="233"/>
      <c r="AY4" s="234"/>
      <c r="AZ4" s="157"/>
      <c r="BA4" s="157"/>
      <c r="BB4" s="157"/>
      <c r="BC4" s="157"/>
      <c r="BD4" s="157"/>
      <c r="BE4" s="157"/>
      <c r="BI4" s="124" t="str">
        <f>IFERROR(__xludf.DUMMYFUNCTION("""COMPUTED_VALUE"""),"Pawan Sharma")</f>
        <v>Pawan Sharma</v>
      </c>
      <c r="BJ4" s="124" t="str">
        <f>IFERROR(__xludf.DUMMYFUNCTION("""COMPUTED_VALUE"""),"Rajasthan")</f>
        <v>Rajasthan</v>
      </c>
      <c r="BM4" s="124" t="s">
        <v>97</v>
      </c>
      <c r="BN4" s="124" t="s">
        <v>964</v>
      </c>
    </row>
    <row r="5">
      <c r="A5" s="235"/>
      <c r="B5" s="236">
        <f>COUNTIF(E:E, "&gt;=" &amp; DATE(2025,4,1))</f>
        <v>14</v>
      </c>
      <c r="C5" s="237">
        <f>COUNTIFS(BD7:BD270,"",C7:C270,"&lt;&gt;")</f>
        <v>10</v>
      </c>
      <c r="D5" s="238">
        <f>countif(BD7:BD270,"&lt;&gt;")</f>
        <v>17</v>
      </c>
      <c r="E5" s="239">
        <f>counta(C7:C270)</f>
        <v>27</v>
      </c>
      <c r="F5" s="240"/>
      <c r="G5" s="241">
        <f t="shared" ref="G5:O5" si="1">sum(G7:G270)</f>
        <v>0</v>
      </c>
      <c r="H5" s="241">
        <f t="shared" si="1"/>
        <v>0</v>
      </c>
      <c r="I5" s="242">
        <f t="shared" si="1"/>
        <v>895291</v>
      </c>
      <c r="J5" s="242">
        <f t="shared" si="1"/>
        <v>16100000</v>
      </c>
      <c r="K5" s="242">
        <f t="shared" si="1"/>
        <v>0</v>
      </c>
      <c r="L5" s="242">
        <f t="shared" si="1"/>
        <v>105568458</v>
      </c>
      <c r="M5" s="242">
        <f t="shared" si="1"/>
        <v>37964369.57</v>
      </c>
      <c r="N5" s="242">
        <f t="shared" si="1"/>
        <v>0</v>
      </c>
      <c r="O5" s="242">
        <f t="shared" si="1"/>
        <v>30216909</v>
      </c>
      <c r="P5" s="243">
        <f>iferror(Sum(M5:N5)/(L5+K5),"")</f>
        <v>0.3596184911</v>
      </c>
      <c r="Q5" s="243">
        <f>iferror(Sum(N5:O5)/M5,"")</f>
        <v>0.7959281121</v>
      </c>
      <c r="R5" s="243">
        <f>iferror(Sum(O5)/(L5+K5),"")</f>
        <v>0.2862304667</v>
      </c>
      <c r="S5" s="242">
        <f t="shared" ref="S5:AP5" si="2">sum(S7:S270)</f>
        <v>1161</v>
      </c>
      <c r="T5" s="242">
        <f t="shared" si="2"/>
        <v>1143</v>
      </c>
      <c r="U5" s="242">
        <f t="shared" si="2"/>
        <v>261</v>
      </c>
      <c r="V5" s="242">
        <f t="shared" si="2"/>
        <v>194</v>
      </c>
      <c r="W5" s="242">
        <f t="shared" si="2"/>
        <v>1422</v>
      </c>
      <c r="X5" s="242">
        <f t="shared" si="2"/>
        <v>279</v>
      </c>
      <c r="Y5" s="242">
        <f t="shared" si="2"/>
        <v>23719894.53</v>
      </c>
      <c r="Z5" s="242">
        <f t="shared" si="2"/>
        <v>14244475.04</v>
      </c>
      <c r="AA5" s="242">
        <f t="shared" si="2"/>
        <v>249</v>
      </c>
      <c r="AB5" s="242">
        <f t="shared" si="2"/>
        <v>194</v>
      </c>
      <c r="AC5" s="242">
        <f t="shared" si="2"/>
        <v>443</v>
      </c>
      <c r="AD5" s="242">
        <f t="shared" si="2"/>
        <v>0</v>
      </c>
      <c r="AE5" s="242">
        <f t="shared" si="2"/>
        <v>3253</v>
      </c>
      <c r="AF5" s="242">
        <f t="shared" si="2"/>
        <v>7276</v>
      </c>
      <c r="AG5" s="242">
        <f t="shared" si="2"/>
        <v>3701</v>
      </c>
      <c r="AH5" s="242">
        <f t="shared" si="2"/>
        <v>107</v>
      </c>
      <c r="AI5" s="242">
        <f t="shared" si="2"/>
        <v>1452</v>
      </c>
      <c r="AJ5" s="242">
        <f t="shared" si="2"/>
        <v>1</v>
      </c>
      <c r="AK5" s="242">
        <f t="shared" si="2"/>
        <v>4</v>
      </c>
      <c r="AL5" s="242">
        <f t="shared" si="2"/>
        <v>155</v>
      </c>
      <c r="AM5" s="242">
        <f t="shared" si="2"/>
        <v>530</v>
      </c>
      <c r="AN5" s="242">
        <f t="shared" si="2"/>
        <v>8777</v>
      </c>
      <c r="AO5" s="242">
        <f t="shared" si="2"/>
        <v>18039</v>
      </c>
      <c r="AP5" s="242">
        <f t="shared" si="2"/>
        <v>3058</v>
      </c>
      <c r="AQ5" s="242">
        <f>Sum(M5:N5)/AP5</f>
        <v>12414.77095</v>
      </c>
      <c r="AR5" s="242">
        <f>AO5/AP5</f>
        <v>5.898953564</v>
      </c>
      <c r="AS5" s="242">
        <f t="shared" ref="AS5:AT5" si="3">sum(AS7:AS270)</f>
        <v>4300721.547</v>
      </c>
      <c r="AT5" s="242">
        <f t="shared" si="3"/>
        <v>1988122</v>
      </c>
      <c r="AU5" s="243">
        <f>sum(AS5:AT5)/SUM(M5:N5)</f>
        <v>0.1656512045</v>
      </c>
      <c r="AV5" s="242">
        <f>M5/AC5</f>
        <v>85698.35117</v>
      </c>
      <c r="AW5" s="240"/>
      <c r="AX5" s="244"/>
      <c r="AY5" s="245"/>
      <c r="AZ5" s="240"/>
      <c r="BA5" s="240"/>
      <c r="BB5" s="240"/>
      <c r="BC5" s="246"/>
      <c r="BD5" s="247"/>
      <c r="BE5" s="248"/>
      <c r="BM5" s="124" t="s">
        <v>298</v>
      </c>
      <c r="BN5" s="124" t="s">
        <v>965</v>
      </c>
    </row>
    <row r="6" ht="55.5" customHeight="1">
      <c r="A6" s="172" t="s">
        <v>3</v>
      </c>
      <c r="B6" s="172" t="s">
        <v>892</v>
      </c>
      <c r="C6" s="173" t="s">
        <v>458</v>
      </c>
      <c r="D6" s="173" t="s">
        <v>893</v>
      </c>
      <c r="E6" s="174" t="s">
        <v>894</v>
      </c>
      <c r="F6" s="249" t="s">
        <v>895</v>
      </c>
      <c r="G6" s="178" t="s">
        <v>966</v>
      </c>
      <c r="H6" s="178" t="s">
        <v>896</v>
      </c>
      <c r="I6" s="174" t="s">
        <v>967</v>
      </c>
      <c r="J6" s="174" t="s">
        <v>968</v>
      </c>
      <c r="K6" s="175" t="s">
        <v>897</v>
      </c>
      <c r="L6" s="175" t="s">
        <v>969</v>
      </c>
      <c r="M6" s="175" t="s">
        <v>899</v>
      </c>
      <c r="N6" s="174" t="s">
        <v>900</v>
      </c>
      <c r="O6" s="174" t="s">
        <v>901</v>
      </c>
      <c r="P6" s="176" t="s">
        <v>902</v>
      </c>
      <c r="Q6" s="177" t="s">
        <v>903</v>
      </c>
      <c r="R6" s="174" t="s">
        <v>904</v>
      </c>
      <c r="S6" s="174" t="s">
        <v>905</v>
      </c>
      <c r="T6" s="174" t="s">
        <v>906</v>
      </c>
      <c r="U6" s="174" t="s">
        <v>907</v>
      </c>
      <c r="V6" s="178" t="s">
        <v>908</v>
      </c>
      <c r="W6" s="174" t="s">
        <v>909</v>
      </c>
      <c r="X6" s="174" t="s">
        <v>910</v>
      </c>
      <c r="Y6" s="178" t="s">
        <v>911</v>
      </c>
      <c r="Z6" s="178" t="s">
        <v>912</v>
      </c>
      <c r="AA6" s="177" t="s">
        <v>913</v>
      </c>
      <c r="AB6" s="177" t="s">
        <v>914</v>
      </c>
      <c r="AC6" s="174" t="s">
        <v>915</v>
      </c>
      <c r="AD6" s="174" t="s">
        <v>916</v>
      </c>
      <c r="AE6" s="174" t="s">
        <v>917</v>
      </c>
      <c r="AF6" s="174" t="s">
        <v>918</v>
      </c>
      <c r="AG6" s="177" t="s">
        <v>919</v>
      </c>
      <c r="AH6" s="177" t="s">
        <v>920</v>
      </c>
      <c r="AI6" s="174" t="s">
        <v>921</v>
      </c>
      <c r="AJ6" s="177" t="s">
        <v>922</v>
      </c>
      <c r="AK6" s="174" t="s">
        <v>923</v>
      </c>
      <c r="AL6" s="177" t="s">
        <v>924</v>
      </c>
      <c r="AM6" s="174" t="s">
        <v>925</v>
      </c>
      <c r="AN6" s="174" t="s">
        <v>926</v>
      </c>
      <c r="AO6" s="174" t="s">
        <v>927</v>
      </c>
      <c r="AP6" s="174" t="s">
        <v>928</v>
      </c>
      <c r="AQ6" s="174" t="s">
        <v>929</v>
      </c>
      <c r="AR6" s="174" t="s">
        <v>930</v>
      </c>
      <c r="AS6" s="174" t="s">
        <v>931</v>
      </c>
      <c r="AT6" s="174" t="s">
        <v>932</v>
      </c>
      <c r="AU6" s="176" t="s">
        <v>933</v>
      </c>
      <c r="AV6" s="174" t="s">
        <v>934</v>
      </c>
      <c r="AW6" s="177" t="s">
        <v>935</v>
      </c>
      <c r="AX6" s="179" t="s">
        <v>936</v>
      </c>
      <c r="AY6" s="178" t="s">
        <v>937</v>
      </c>
      <c r="AZ6" s="177" t="s">
        <v>938</v>
      </c>
      <c r="BA6" s="177" t="s">
        <v>939</v>
      </c>
      <c r="BB6" s="177" t="s">
        <v>940</v>
      </c>
      <c r="BC6" s="177" t="s">
        <v>941</v>
      </c>
      <c r="BD6" s="250" t="s">
        <v>942</v>
      </c>
      <c r="BE6" s="250" t="s">
        <v>943</v>
      </c>
      <c r="BH6" s="251"/>
      <c r="BI6" s="75"/>
      <c r="BJ6" s="195"/>
      <c r="BK6" s="195"/>
      <c r="BL6" s="195"/>
      <c r="BM6" s="195" t="s">
        <v>73</v>
      </c>
      <c r="BN6" s="195" t="s">
        <v>970</v>
      </c>
      <c r="BO6" s="195"/>
      <c r="BP6" s="195"/>
      <c r="BQ6" s="195"/>
      <c r="BR6" s="195"/>
    </row>
    <row r="7">
      <c r="A7" s="183" t="str">
        <f>IFERROR(__xludf.DUMMYFUNCTION("SORT(QUERY(Data!A3:CH270,""SELECT A, B,C,E,F,D,BI,BH,AJ,BE,BL,H,I,J,AY,AO,AP,BS,K,L,M,AT,N,O,P,Q,R,S,T,U,V,W,X,Y,Z,AA,AB,AC,AD,AE,AF,AG,AH,AI,AK,AL,AM,AN,AQ,AR,AS,AU,AV,AW,AX,AZ,BN WHERE A CONTAINS'""&amp;B3&amp;""' AND B CONTAINS '""&amp;C3&amp;""' AND BA CONTAINS'""&amp;D3"&amp;"&amp;""' AND BC CONTAINS'""&amp;E3&amp;""' AND BB CONTAINS'""&amp;I3&amp;""'AND BG CONTAINS'""&amp;J3&amp;""'AND CG CONTAINS'""&amp;K3&amp;""'AND CH CONTAINS'""&amp;L3&amp;""'""),5,1)"),"Pawan Sharma")</f>
        <v>Pawan Sharma</v>
      </c>
      <c r="B7" s="75" t="str">
        <f>IFERROR(__xludf.DUMMYFUNCTION("""COMPUTED_VALUE"""),"Haryana")</f>
        <v>Haryana</v>
      </c>
      <c r="C7" s="184" t="str">
        <f>IFERROR(__xludf.DUMMYFUNCTION("""COMPUTED_VALUE"""),"Gulab singh")</f>
        <v>Gulab singh</v>
      </c>
      <c r="D7" s="75" t="str">
        <f>IFERROR(__xludf.DUMMYFUNCTION("""COMPUTED_VALUE"""),"Karnal")</f>
        <v>Karnal</v>
      </c>
      <c r="E7" s="185">
        <f>IFERROR(__xludf.DUMMYFUNCTION("""COMPUTED_VALUE"""),45061.0)</f>
        <v>45061</v>
      </c>
      <c r="F7" s="252" t="str">
        <f>IFERROR(__xludf.DUMMYFUNCTION("""COMPUTED_VALUE"""),"HARYANA")</f>
        <v>HARYANA</v>
      </c>
      <c r="G7" s="253"/>
      <c r="H7" s="253"/>
      <c r="I7" s="190">
        <f>IFERROR(__xludf.DUMMYFUNCTION("""COMPUTED_VALUE"""),40590.0)</f>
        <v>40590</v>
      </c>
      <c r="J7" s="190">
        <f>IFERROR(__xludf.DUMMYFUNCTION("""COMPUTED_VALUE"""),1500000.0)</f>
        <v>1500000</v>
      </c>
      <c r="K7" s="186">
        <f>IFERROR(__xludf.DUMMYFUNCTION("""COMPUTED_VALUE"""),0.0)</f>
        <v>0</v>
      </c>
      <c r="L7" s="186">
        <f>IFERROR(__xludf.DUMMYFUNCTION("""COMPUTED_VALUE"""),1.78E7)</f>
        <v>17800000</v>
      </c>
      <c r="M7" s="186">
        <f>IFERROR(__xludf.DUMMYFUNCTION("""COMPUTED_VALUE"""),1.235476867E7)</f>
        <v>12354768.67</v>
      </c>
      <c r="N7" s="186">
        <f>IFERROR(__xludf.DUMMYFUNCTION("""COMPUTED_VALUE"""),0.0)</f>
        <v>0</v>
      </c>
      <c r="O7" s="186">
        <f>IFERROR(__xludf.DUMMYFUNCTION("""COMPUTED_VALUE"""),1.3679177E7)</f>
        <v>13679177</v>
      </c>
      <c r="P7" s="187">
        <f>IFERROR(__xludf.DUMMYFUNCTION("""COMPUTED_VALUE"""),0.6940881275280899)</f>
        <v>0.6940881275</v>
      </c>
      <c r="Q7" s="187">
        <f>IFERROR(__xludf.DUMMYFUNCTION("""COMPUTED_VALUE"""),0.0)</f>
        <v>0</v>
      </c>
      <c r="R7" s="187">
        <f>IFERROR(__xludf.DUMMYFUNCTION("""COMPUTED_VALUE"""),0.7684930898876404)</f>
        <v>0.7684930899</v>
      </c>
      <c r="S7" s="188">
        <f>IFERROR(__xludf.DUMMYFUNCTION("""COMPUTED_VALUE"""),116.0)</f>
        <v>116</v>
      </c>
      <c r="T7" s="189">
        <f>IFERROR(__xludf.DUMMYFUNCTION("""COMPUTED_VALUE"""),113.0)</f>
        <v>113</v>
      </c>
      <c r="U7" s="188">
        <f>IFERROR(__xludf.DUMMYFUNCTION("""COMPUTED_VALUE"""),15.0)</f>
        <v>15</v>
      </c>
      <c r="V7" s="188">
        <f>IFERROR(__xludf.DUMMYFUNCTION("""COMPUTED_VALUE"""),15.0)</f>
        <v>15</v>
      </c>
      <c r="W7" s="188">
        <f>IFERROR(__xludf.DUMMYFUNCTION("""COMPUTED_VALUE"""),131.0)</f>
        <v>131</v>
      </c>
      <c r="X7" s="188">
        <f>IFERROR(__xludf.DUMMYFUNCTION("""COMPUTED_VALUE"""),18.0)</f>
        <v>18</v>
      </c>
      <c r="Y7" s="189">
        <f>IFERROR(__xludf.DUMMYFUNCTION("""COMPUTED_VALUE"""),1.056802716E7)</f>
        <v>10568027.16</v>
      </c>
      <c r="Z7" s="189">
        <f>IFERROR(__xludf.DUMMYFUNCTION("""COMPUTED_VALUE"""),1786741.51)</f>
        <v>1786741.51</v>
      </c>
      <c r="AA7" s="188">
        <f>IFERROR(__xludf.DUMMYFUNCTION("""COMPUTED_VALUE"""),50.0)</f>
        <v>50</v>
      </c>
      <c r="AB7" s="188">
        <f>IFERROR(__xludf.DUMMYFUNCTION("""COMPUTED_VALUE"""),15.0)</f>
        <v>15</v>
      </c>
      <c r="AC7" s="188">
        <f>IFERROR(__xludf.DUMMYFUNCTION("""COMPUTED_VALUE"""),65.0)</f>
        <v>65</v>
      </c>
      <c r="AD7" s="188">
        <f>IFERROR(__xludf.DUMMYFUNCTION("""COMPUTED_VALUE"""),0.0)</f>
        <v>0</v>
      </c>
      <c r="AE7" s="188">
        <f>IFERROR(__xludf.DUMMYFUNCTION("""COMPUTED_VALUE"""),158.0)</f>
        <v>158</v>
      </c>
      <c r="AF7" s="188">
        <f>IFERROR(__xludf.DUMMYFUNCTION("""COMPUTED_VALUE"""),276.0)</f>
        <v>276</v>
      </c>
      <c r="AG7" s="188">
        <f>IFERROR(__xludf.DUMMYFUNCTION("""COMPUTED_VALUE"""),352.0)</f>
        <v>352</v>
      </c>
      <c r="AH7" s="188">
        <f>IFERROR(__xludf.DUMMYFUNCTION("""COMPUTED_VALUE"""),5.0)</f>
        <v>5</v>
      </c>
      <c r="AI7" s="188">
        <f>IFERROR(__xludf.DUMMYFUNCTION("""COMPUTED_VALUE"""),77.0)</f>
        <v>77</v>
      </c>
      <c r="AJ7" s="188">
        <f>IFERROR(__xludf.DUMMYFUNCTION("""COMPUTED_VALUE"""),0.0)</f>
        <v>0</v>
      </c>
      <c r="AK7" s="188">
        <f>IFERROR(__xludf.DUMMYFUNCTION("""COMPUTED_VALUE"""),0.0)</f>
        <v>0</v>
      </c>
      <c r="AL7" s="188">
        <f>IFERROR(__xludf.DUMMYFUNCTION("""COMPUTED_VALUE"""),4.0)</f>
        <v>4</v>
      </c>
      <c r="AM7" s="188">
        <f>IFERROR(__xludf.DUMMYFUNCTION("""COMPUTED_VALUE"""),18.0)</f>
        <v>18</v>
      </c>
      <c r="AN7" s="188">
        <f>IFERROR(__xludf.DUMMYFUNCTION("""COMPUTED_VALUE"""),1496.0)</f>
        <v>1496</v>
      </c>
      <c r="AO7" s="188">
        <f>IFERROR(__xludf.DUMMYFUNCTION("""COMPUTED_VALUE"""),1867.0)</f>
        <v>1867</v>
      </c>
      <c r="AP7" s="188">
        <f>IFERROR(__xludf.DUMMYFUNCTION("""COMPUTED_VALUE"""),275.0)</f>
        <v>275</v>
      </c>
      <c r="AQ7" s="186">
        <f>IFERROR(__xludf.DUMMYFUNCTION("""COMPUTED_VALUE"""),44926.431527272725)</f>
        <v>44926.43153</v>
      </c>
      <c r="AR7" s="189">
        <f>IFERROR(__xludf.DUMMYFUNCTION("""COMPUTED_VALUE"""),6.789090909090909)</f>
        <v>6.789090909</v>
      </c>
      <c r="AS7" s="186">
        <f>IFERROR(__xludf.DUMMYFUNCTION("""COMPUTED_VALUE"""),487080.0)</f>
        <v>487080</v>
      </c>
      <c r="AT7" s="186">
        <f>IFERROR(__xludf.DUMMYFUNCTION("""COMPUTED_VALUE"""),230144.0)</f>
        <v>230144</v>
      </c>
      <c r="AU7" s="187">
        <f>IFERROR(__xludf.DUMMYFUNCTION("""COMPUTED_VALUE"""),0.058052402206572436)</f>
        <v>0.05805240221</v>
      </c>
      <c r="AV7" s="186">
        <f>IFERROR(__xludf.DUMMYFUNCTION("""COMPUTED_VALUE"""),190073.36415384617)</f>
        <v>190073.3642</v>
      </c>
      <c r="AW7" s="219">
        <f>IFERROR(__xludf.DUMMYFUNCTION("""COMPUTED_VALUE"""),254.0)</f>
        <v>254</v>
      </c>
      <c r="AX7" s="219">
        <f>IFERROR(__xludf.DUMMYFUNCTION("""COMPUTED_VALUE"""),2926.0)</f>
        <v>2926</v>
      </c>
      <c r="AY7" s="254">
        <f>IFERROR(__xludf.DUMMYFUNCTION("""COMPUTED_VALUE"""),2976.67)</f>
        <v>2976.67</v>
      </c>
      <c r="AZ7" s="219">
        <f>IFERROR(__xludf.DUMMYFUNCTION("""COMPUTED_VALUE"""),26.0)</f>
        <v>26</v>
      </c>
      <c r="BA7" s="219">
        <f>IFERROR(__xludf.DUMMYFUNCTION("""COMPUTED_VALUE"""),65.0)</f>
        <v>65</v>
      </c>
      <c r="BB7" s="219">
        <f>IFERROR(__xludf.DUMMYFUNCTION("""COMPUTED_VALUE"""),48.0)</f>
        <v>48</v>
      </c>
      <c r="BC7" s="219">
        <f>IFERROR(__xludf.DUMMYFUNCTION("""COMPUTED_VALUE"""),18.0)</f>
        <v>18</v>
      </c>
      <c r="BD7" s="191"/>
      <c r="BE7" s="75"/>
      <c r="BF7" s="164">
        <f t="array" ref="BF7:BF230">VLOOKUP($C$7:$C$230,'ORDER BOOKING REPORT 2025-26'!$C:$M,11,0)-VLOOKUP($C$7:$C$230,{C7:C270,BG7:BG270},2,0)</f>
        <v>0.1400000006</v>
      </c>
      <c r="BG7" s="203">
        <f t="shared" ref="BG7:BG230" si="4">M7+N7</f>
        <v>12354768.67</v>
      </c>
      <c r="BH7" s="255" t="str">
        <f t="shared" ref="BH7:BH202" si="5">#REF!-sum(M7:N7)</f>
        <v>#REF!</v>
      </c>
      <c r="BI7" s="75"/>
      <c r="BJ7" s="219"/>
      <c r="BK7" s="256"/>
      <c r="BL7" s="75"/>
      <c r="BM7" s="75" t="s">
        <v>53</v>
      </c>
      <c r="BN7" s="75" t="s">
        <v>971</v>
      </c>
      <c r="BO7" s="75"/>
      <c r="BP7" s="75"/>
      <c r="BQ7" s="75"/>
      <c r="BR7" s="75"/>
    </row>
    <row r="8">
      <c r="A8" s="6" t="str">
        <f>IFERROR(__xludf.DUMMYFUNCTION("""COMPUTED_VALUE"""),"Pawan Sharma")</f>
        <v>Pawan Sharma</v>
      </c>
      <c r="B8" s="183" t="str">
        <f>IFERROR(__xludf.DUMMYFUNCTION("""COMPUTED_VALUE"""),"Haryana")</f>
        <v>Haryana</v>
      </c>
      <c r="C8" s="184" t="str">
        <f>IFERROR(__xludf.DUMMYFUNCTION("""COMPUTED_VALUE"""),"Rounak Mehla")</f>
        <v>Rounak Mehla</v>
      </c>
      <c r="D8" s="75" t="str">
        <f>IFERROR(__xludf.DUMMYFUNCTION("""COMPUTED_VALUE"""),"Karnal")</f>
        <v>Karnal</v>
      </c>
      <c r="E8" s="256">
        <f>IFERROR(__xludf.DUMMYFUNCTION("""COMPUTED_VALUE"""),45079.0)</f>
        <v>45079</v>
      </c>
      <c r="F8" s="219" t="str">
        <f>IFERROR(__xludf.DUMMYFUNCTION("""COMPUTED_VALUE"""),"HARYANA")</f>
        <v>HARYANA</v>
      </c>
      <c r="G8" s="253"/>
      <c r="H8" s="253"/>
      <c r="I8" s="190">
        <f>IFERROR(__xludf.DUMMYFUNCTION("""COMPUTED_VALUE"""),24085.0)</f>
        <v>24085</v>
      </c>
      <c r="J8" s="190"/>
      <c r="K8" s="186">
        <f>IFERROR(__xludf.DUMMYFUNCTION("""COMPUTED_VALUE"""),0.0)</f>
        <v>0</v>
      </c>
      <c r="L8" s="186">
        <f>IFERROR(__xludf.DUMMYFUNCTION("""COMPUTED_VALUE"""),0.0)</f>
        <v>0</v>
      </c>
      <c r="M8" s="186">
        <f>IFERROR(__xludf.DUMMYFUNCTION("""COMPUTED_VALUE"""),301773.35)</f>
        <v>301773.35</v>
      </c>
      <c r="N8" s="186">
        <f>IFERROR(__xludf.DUMMYFUNCTION("""COMPUTED_VALUE"""),0.0)</f>
        <v>0</v>
      </c>
      <c r="O8" s="186">
        <f>IFERROR(__xludf.DUMMYFUNCTION("""COMPUTED_VALUE"""),0.0)</f>
        <v>0</v>
      </c>
      <c r="P8" s="187"/>
      <c r="Q8" s="187">
        <f>IFERROR(__xludf.DUMMYFUNCTION("""COMPUTED_VALUE"""),0.0)</f>
        <v>0</v>
      </c>
      <c r="R8" s="187"/>
      <c r="S8" s="188">
        <f>IFERROR(__xludf.DUMMYFUNCTION("""COMPUTED_VALUE"""),95.0)</f>
        <v>95</v>
      </c>
      <c r="T8" s="188">
        <f>IFERROR(__xludf.DUMMYFUNCTION("""COMPUTED_VALUE"""),71.0)</f>
        <v>71</v>
      </c>
      <c r="U8" s="188">
        <f>IFERROR(__xludf.DUMMYFUNCTION("""COMPUTED_VALUE"""),8.0)</f>
        <v>8</v>
      </c>
      <c r="V8" s="188">
        <f>IFERROR(__xludf.DUMMYFUNCTION("""COMPUTED_VALUE"""),1.0)</f>
        <v>1</v>
      </c>
      <c r="W8" s="188">
        <f>IFERROR(__xludf.DUMMYFUNCTION("""COMPUTED_VALUE"""),103.0)</f>
        <v>103</v>
      </c>
      <c r="X8" s="188">
        <f>IFERROR(__xludf.DUMMYFUNCTION("""COMPUTED_VALUE"""),32.0)</f>
        <v>32</v>
      </c>
      <c r="Y8" s="189">
        <f>IFERROR(__xludf.DUMMYFUNCTION("""COMPUTED_VALUE"""),284357.99)</f>
        <v>284357.99</v>
      </c>
      <c r="Z8" s="189">
        <f>IFERROR(__xludf.DUMMYFUNCTION("""COMPUTED_VALUE"""),17415.36)</f>
        <v>17415.36</v>
      </c>
      <c r="AA8" s="188">
        <f>IFERROR(__xludf.DUMMYFUNCTION("""COMPUTED_VALUE"""),30.0)</f>
        <v>30</v>
      </c>
      <c r="AB8" s="188">
        <f>IFERROR(__xludf.DUMMYFUNCTION("""COMPUTED_VALUE"""),1.0)</f>
        <v>1</v>
      </c>
      <c r="AC8" s="188">
        <f>IFERROR(__xludf.DUMMYFUNCTION("""COMPUTED_VALUE"""),31.0)</f>
        <v>31</v>
      </c>
      <c r="AD8" s="188">
        <f>IFERROR(__xludf.DUMMYFUNCTION("""COMPUTED_VALUE"""),0.0)</f>
        <v>0</v>
      </c>
      <c r="AE8" s="188">
        <f>IFERROR(__xludf.DUMMYFUNCTION("""COMPUTED_VALUE"""),107.0)</f>
        <v>107</v>
      </c>
      <c r="AF8" s="188">
        <f>IFERROR(__xludf.DUMMYFUNCTION("""COMPUTED_VALUE"""),116.0)</f>
        <v>116</v>
      </c>
      <c r="AG8" s="188">
        <f>IFERROR(__xludf.DUMMYFUNCTION("""COMPUTED_VALUE"""),513.0)</f>
        <v>513</v>
      </c>
      <c r="AH8" s="188">
        <f>IFERROR(__xludf.DUMMYFUNCTION("""COMPUTED_VALUE"""),3.0)</f>
        <v>3</v>
      </c>
      <c r="AI8" s="188">
        <f>IFERROR(__xludf.DUMMYFUNCTION("""COMPUTED_VALUE"""),12.0)</f>
        <v>12</v>
      </c>
      <c r="AJ8" s="188">
        <f>IFERROR(__xludf.DUMMYFUNCTION("""COMPUTED_VALUE"""),0.0)</f>
        <v>0</v>
      </c>
      <c r="AK8" s="188">
        <f>IFERROR(__xludf.DUMMYFUNCTION("""COMPUTED_VALUE"""),0.0)</f>
        <v>0</v>
      </c>
      <c r="AL8" s="188">
        <f>IFERROR(__xludf.DUMMYFUNCTION("""COMPUTED_VALUE"""),1.0)</f>
        <v>1</v>
      </c>
      <c r="AM8" s="188">
        <f>IFERROR(__xludf.DUMMYFUNCTION("""COMPUTED_VALUE"""),1.0)</f>
        <v>1</v>
      </c>
      <c r="AN8" s="188">
        <f>IFERROR(__xludf.DUMMYFUNCTION("""COMPUTED_VALUE"""),127.0)</f>
        <v>127</v>
      </c>
      <c r="AO8" s="188">
        <f>IFERROR(__xludf.DUMMYFUNCTION("""COMPUTED_VALUE"""),256.0)</f>
        <v>256</v>
      </c>
      <c r="AP8" s="188">
        <f>IFERROR(__xludf.DUMMYFUNCTION("""COMPUTED_VALUE"""),37.0)</f>
        <v>37</v>
      </c>
      <c r="AQ8" s="186">
        <f>IFERROR(__xludf.DUMMYFUNCTION("""COMPUTED_VALUE"""),8156.036486486486)</f>
        <v>8156.036486</v>
      </c>
      <c r="AR8" s="189">
        <f>IFERROR(__xludf.DUMMYFUNCTION("""COMPUTED_VALUE"""),6.918918918918919)</f>
        <v>6.918918919</v>
      </c>
      <c r="AS8" s="186">
        <f>IFERROR(__xludf.DUMMYFUNCTION("""COMPUTED_VALUE"""),37331.75)</f>
        <v>37331.75</v>
      </c>
      <c r="AT8" s="186">
        <f>IFERROR(__xludf.DUMMYFUNCTION("""COMPUTED_VALUE"""),24883.0)</f>
        <v>24883</v>
      </c>
      <c r="AU8" s="187">
        <f>IFERROR(__xludf.DUMMYFUNCTION("""COMPUTED_VALUE"""),0.20616383123294355)</f>
        <v>0.2061638312</v>
      </c>
      <c r="AV8" s="186">
        <f>IFERROR(__xludf.DUMMYFUNCTION("""COMPUTED_VALUE"""),9734.624193548387)</f>
        <v>9734.624194</v>
      </c>
      <c r="AW8" s="219">
        <f>IFERROR(__xludf.DUMMYFUNCTION("""COMPUTED_VALUE"""),35.0)</f>
        <v>35</v>
      </c>
      <c r="AX8" s="219">
        <f>IFERROR(__xludf.DUMMYFUNCTION("""COMPUTED_VALUE"""),441.0)</f>
        <v>441</v>
      </c>
      <c r="AY8" s="254">
        <f>IFERROR(__xludf.DUMMYFUNCTION("""COMPUTED_VALUE"""),0.0)</f>
        <v>0</v>
      </c>
      <c r="AZ8" s="219">
        <f>IFERROR(__xludf.DUMMYFUNCTION("""COMPUTED_VALUE"""),0.0)</f>
        <v>0</v>
      </c>
      <c r="BA8" s="219">
        <f>IFERROR(__xludf.DUMMYFUNCTION("""COMPUTED_VALUE"""),31.0)</f>
        <v>31</v>
      </c>
      <c r="BB8" s="219">
        <f>IFERROR(__xludf.DUMMYFUNCTION("""COMPUTED_VALUE"""),43.0)</f>
        <v>43</v>
      </c>
      <c r="BC8" s="219">
        <f>IFERROR(__xludf.DUMMYFUNCTION("""COMPUTED_VALUE"""),29.0)</f>
        <v>29</v>
      </c>
      <c r="BD8" s="191">
        <f>IFERROR(__xludf.DUMMYFUNCTION("""COMPUTED_VALUE"""),45794.0)</f>
        <v>45794</v>
      </c>
      <c r="BE8" s="195"/>
      <c r="BF8" s="164">
        <v>0.09999999997671694</v>
      </c>
      <c r="BG8" s="203">
        <f t="shared" si="4"/>
        <v>301773.35</v>
      </c>
      <c r="BH8" s="255" t="str">
        <f t="shared" si="5"/>
        <v>#REF!</v>
      </c>
      <c r="BI8" s="75"/>
      <c r="BJ8" s="75"/>
      <c r="BK8" s="75"/>
      <c r="BL8" s="75"/>
      <c r="BM8" s="75" t="s">
        <v>885</v>
      </c>
      <c r="BN8" s="75" t="s">
        <v>972</v>
      </c>
      <c r="BO8" s="75"/>
      <c r="BP8" s="75"/>
      <c r="BQ8" s="75"/>
      <c r="BR8" s="75"/>
    </row>
    <row r="9">
      <c r="A9" s="6" t="str">
        <f>IFERROR(__xludf.DUMMYFUNCTION("""COMPUTED_VALUE"""),"Pawan Sharma")</f>
        <v>Pawan Sharma</v>
      </c>
      <c r="B9" s="183" t="str">
        <f>IFERROR(__xludf.DUMMYFUNCTION("""COMPUTED_VALUE"""),"Rajasthan")</f>
        <v>Rajasthan</v>
      </c>
      <c r="C9" s="184" t="str">
        <f>IFERROR(__xludf.DUMMYFUNCTION("""COMPUTED_VALUE"""),"Kaushal Sharma")</f>
        <v>Kaushal Sharma</v>
      </c>
      <c r="D9" s="75" t="str">
        <f>IFERROR(__xludf.DUMMYFUNCTION("""COMPUTED_VALUE"""),"Hanumangarh")</f>
        <v>Hanumangarh</v>
      </c>
      <c r="E9" s="256">
        <f>IFERROR(__xludf.DUMMYFUNCTION("""COMPUTED_VALUE"""),45313.0)</f>
        <v>45313</v>
      </c>
      <c r="F9" s="219" t="str">
        <f>IFERROR(__xludf.DUMMYFUNCTION("""COMPUTED_VALUE"""),"RAJASTHAN")</f>
        <v>RAJASTHAN</v>
      </c>
      <c r="G9" s="253"/>
      <c r="H9" s="253"/>
      <c r="I9" s="190">
        <f>IFERROR(__xludf.DUMMYFUNCTION("""COMPUTED_VALUE"""),24425.0)</f>
        <v>24425</v>
      </c>
      <c r="J9" s="190">
        <f>IFERROR(__xludf.DUMMYFUNCTION("""COMPUTED_VALUE"""),600000.0)</f>
        <v>600000</v>
      </c>
      <c r="K9" s="186">
        <f>IFERROR(__xludf.DUMMYFUNCTION("""COMPUTED_VALUE"""),0.0)</f>
        <v>0</v>
      </c>
      <c r="L9" s="186">
        <f>IFERROR(__xludf.DUMMYFUNCTION("""COMPUTED_VALUE"""),0.0)</f>
        <v>0</v>
      </c>
      <c r="M9" s="186">
        <f>IFERROR(__xludf.DUMMYFUNCTION("""COMPUTED_VALUE"""),0.0)</f>
        <v>0</v>
      </c>
      <c r="N9" s="186">
        <f>IFERROR(__xludf.DUMMYFUNCTION("""COMPUTED_VALUE"""),0.0)</f>
        <v>0</v>
      </c>
      <c r="O9" s="186">
        <f>IFERROR(__xludf.DUMMYFUNCTION("""COMPUTED_VALUE"""),0.0)</f>
        <v>0</v>
      </c>
      <c r="P9" s="187"/>
      <c r="Q9" s="187">
        <f>IFERROR(__xludf.DUMMYFUNCTION("""COMPUTED_VALUE"""),0.0)</f>
        <v>0</v>
      </c>
      <c r="R9" s="187"/>
      <c r="S9" s="188">
        <f>IFERROR(__xludf.DUMMYFUNCTION("""COMPUTED_VALUE"""),40.0)</f>
        <v>40</v>
      </c>
      <c r="T9" s="188">
        <f>IFERROR(__xludf.DUMMYFUNCTION("""COMPUTED_VALUE"""),21.0)</f>
        <v>21</v>
      </c>
      <c r="U9" s="188">
        <f>IFERROR(__xludf.DUMMYFUNCTION("""COMPUTED_VALUE"""),9.0)</f>
        <v>9</v>
      </c>
      <c r="V9" s="188">
        <f>IFERROR(__xludf.DUMMYFUNCTION("""COMPUTED_VALUE"""),0.0)</f>
        <v>0</v>
      </c>
      <c r="W9" s="188">
        <f>IFERROR(__xludf.DUMMYFUNCTION("""COMPUTED_VALUE"""),49.0)</f>
        <v>49</v>
      </c>
      <c r="X9" s="188">
        <f>IFERROR(__xludf.DUMMYFUNCTION("""COMPUTED_VALUE"""),28.0)</f>
        <v>28</v>
      </c>
      <c r="Y9" s="189">
        <f>IFERROR(__xludf.DUMMYFUNCTION("""COMPUTED_VALUE"""),0.0)</f>
        <v>0</v>
      </c>
      <c r="Z9" s="189">
        <f>IFERROR(__xludf.DUMMYFUNCTION("""COMPUTED_VALUE"""),0.0)</f>
        <v>0</v>
      </c>
      <c r="AA9" s="188">
        <f>IFERROR(__xludf.DUMMYFUNCTION("""COMPUTED_VALUE"""),0.0)</f>
        <v>0</v>
      </c>
      <c r="AB9" s="188">
        <f>IFERROR(__xludf.DUMMYFUNCTION("""COMPUTED_VALUE"""),0.0)</f>
        <v>0</v>
      </c>
      <c r="AC9" s="188">
        <f>IFERROR(__xludf.DUMMYFUNCTION("""COMPUTED_VALUE"""),0.0)</f>
        <v>0</v>
      </c>
      <c r="AD9" s="188">
        <f>IFERROR(__xludf.DUMMYFUNCTION("""COMPUTED_VALUE"""),0.0)</f>
        <v>0</v>
      </c>
      <c r="AE9" s="188">
        <f>IFERROR(__xludf.DUMMYFUNCTION("""COMPUTED_VALUE"""),17.0)</f>
        <v>17</v>
      </c>
      <c r="AF9" s="188">
        <f>IFERROR(__xludf.DUMMYFUNCTION("""COMPUTED_VALUE"""),20.0)</f>
        <v>20</v>
      </c>
      <c r="AG9" s="188">
        <f>IFERROR(__xludf.DUMMYFUNCTION("""COMPUTED_VALUE"""),343.0)</f>
        <v>343</v>
      </c>
      <c r="AH9" s="188">
        <f>IFERROR(__xludf.DUMMYFUNCTION("""COMPUTED_VALUE"""),3.0)</f>
        <v>3</v>
      </c>
      <c r="AI9" s="188">
        <f>IFERROR(__xludf.DUMMYFUNCTION("""COMPUTED_VALUE"""),9.0)</f>
        <v>9</v>
      </c>
      <c r="AJ9" s="188">
        <f>IFERROR(__xludf.DUMMYFUNCTION("""COMPUTED_VALUE"""),0.0)</f>
        <v>0</v>
      </c>
      <c r="AK9" s="188">
        <f>IFERROR(__xludf.DUMMYFUNCTION("""COMPUTED_VALUE"""),0.0)</f>
        <v>0</v>
      </c>
      <c r="AL9" s="188">
        <f>IFERROR(__xludf.DUMMYFUNCTION("""COMPUTED_VALUE"""),0.0)</f>
        <v>0</v>
      </c>
      <c r="AM9" s="188">
        <f>IFERROR(__xludf.DUMMYFUNCTION("""COMPUTED_VALUE"""),0.0)</f>
        <v>0</v>
      </c>
      <c r="AN9" s="188">
        <f>IFERROR(__xludf.DUMMYFUNCTION("""COMPUTED_VALUE"""),35.0)</f>
        <v>35</v>
      </c>
      <c r="AO9" s="188">
        <f>IFERROR(__xludf.DUMMYFUNCTION("""COMPUTED_VALUE"""),64.0)</f>
        <v>64</v>
      </c>
      <c r="AP9" s="188">
        <f>IFERROR(__xludf.DUMMYFUNCTION("""COMPUTED_VALUE"""),16.0)</f>
        <v>16</v>
      </c>
      <c r="AQ9" s="186">
        <f>IFERROR(__xludf.DUMMYFUNCTION("""COMPUTED_VALUE"""),0.0)</f>
        <v>0</v>
      </c>
      <c r="AR9" s="189">
        <f>IFERROR(__xludf.DUMMYFUNCTION("""COMPUTED_VALUE"""),4.0)</f>
        <v>4</v>
      </c>
      <c r="AS9" s="186">
        <f>IFERROR(__xludf.DUMMYFUNCTION("""COMPUTED_VALUE"""),17097.5)</f>
        <v>17097.5</v>
      </c>
      <c r="AT9" s="186">
        <f>IFERROR(__xludf.DUMMYFUNCTION("""COMPUTED_VALUE"""),11425.0)</f>
        <v>11425</v>
      </c>
      <c r="AU9" s="187"/>
      <c r="AV9" s="186"/>
      <c r="AW9" s="219">
        <f>IFERROR(__xludf.DUMMYFUNCTION("""COMPUTED_VALUE"""),0.0)</f>
        <v>0</v>
      </c>
      <c r="AX9" s="219">
        <f>IFERROR(__xludf.DUMMYFUNCTION("""COMPUTED_VALUE"""),130.0)</f>
        <v>130</v>
      </c>
      <c r="AY9" s="254">
        <f>IFERROR(__xludf.DUMMYFUNCTION("""COMPUTED_VALUE"""),0.0)</f>
        <v>0</v>
      </c>
      <c r="AZ9" s="219">
        <f>IFERROR(__xludf.DUMMYFUNCTION("""COMPUTED_VALUE"""),0.0)</f>
        <v>0</v>
      </c>
      <c r="BA9" s="219">
        <f>IFERROR(__xludf.DUMMYFUNCTION("""COMPUTED_VALUE"""),0.0)</f>
        <v>0</v>
      </c>
      <c r="BB9" s="219">
        <f>IFERROR(__xludf.DUMMYFUNCTION("""COMPUTED_VALUE"""),21.0)</f>
        <v>21</v>
      </c>
      <c r="BC9" s="219">
        <f>IFERROR(__xludf.DUMMYFUNCTION("""COMPUTED_VALUE"""),28.0)</f>
        <v>28</v>
      </c>
      <c r="BD9" s="191">
        <f>IFERROR(__xludf.DUMMYFUNCTION("""COMPUTED_VALUE"""),45768.0)</f>
        <v>45768</v>
      </c>
      <c r="BE9" s="75"/>
      <c r="BF9" s="164">
        <v>0.0</v>
      </c>
      <c r="BG9" s="203">
        <f t="shared" si="4"/>
        <v>0</v>
      </c>
      <c r="BH9" s="255" t="str">
        <f t="shared" si="5"/>
        <v>#REF!</v>
      </c>
      <c r="BI9" s="75"/>
      <c r="BJ9" s="75"/>
      <c r="BK9" s="75"/>
      <c r="BL9" s="75"/>
      <c r="BM9" s="75" t="s">
        <v>185</v>
      </c>
      <c r="BN9" s="75"/>
      <c r="BO9" s="75"/>
      <c r="BP9" s="75"/>
      <c r="BQ9" s="75"/>
      <c r="BR9" s="75"/>
    </row>
    <row r="10">
      <c r="A10" s="6" t="str">
        <f>IFERROR(__xludf.DUMMYFUNCTION("""COMPUTED_VALUE"""),"Pawan Sharma")</f>
        <v>Pawan Sharma</v>
      </c>
      <c r="B10" s="183" t="str">
        <f>IFERROR(__xludf.DUMMYFUNCTION("""COMPUTED_VALUE"""),"Rajasthan")</f>
        <v>Rajasthan</v>
      </c>
      <c r="C10" s="184" t="str">
        <f>IFERROR(__xludf.DUMMYFUNCTION("""COMPUTED_VALUE"""),"Gourav Trivedi")</f>
        <v>Gourav Trivedi</v>
      </c>
      <c r="D10" s="75" t="str">
        <f>IFERROR(__xludf.DUMMYFUNCTION("""COMPUTED_VALUE"""),"Karauli")</f>
        <v>Karauli</v>
      </c>
      <c r="E10" s="256">
        <f>IFERROR(__xludf.DUMMYFUNCTION("""COMPUTED_VALUE"""),45428.0)</f>
        <v>45428</v>
      </c>
      <c r="F10" s="219" t="str">
        <f>IFERROR(__xludf.DUMMYFUNCTION("""COMPUTED_VALUE"""),"RAJASTHAN")</f>
        <v>RAJASTHAN</v>
      </c>
      <c r="G10" s="253"/>
      <c r="H10" s="253"/>
      <c r="I10" s="190">
        <f>IFERROR(__xludf.DUMMYFUNCTION("""COMPUTED_VALUE"""),29880.0)</f>
        <v>29880</v>
      </c>
      <c r="J10" s="190"/>
      <c r="K10" s="186">
        <f>IFERROR(__xludf.DUMMYFUNCTION("""COMPUTED_VALUE"""),0.0)</f>
        <v>0</v>
      </c>
      <c r="L10" s="186">
        <f>IFERROR(__xludf.DUMMYFUNCTION("""COMPUTED_VALUE"""),0.0)</f>
        <v>0</v>
      </c>
      <c r="M10" s="186">
        <f>IFERROR(__xludf.DUMMYFUNCTION("""COMPUTED_VALUE"""),0.0)</f>
        <v>0</v>
      </c>
      <c r="N10" s="186">
        <f>IFERROR(__xludf.DUMMYFUNCTION("""COMPUTED_VALUE"""),0.0)</f>
        <v>0</v>
      </c>
      <c r="O10" s="186"/>
      <c r="P10" s="187"/>
      <c r="Q10" s="187">
        <f>IFERROR(__xludf.DUMMYFUNCTION("""COMPUTED_VALUE"""),0.0)</f>
        <v>0</v>
      </c>
      <c r="R10" s="187"/>
      <c r="S10" s="188">
        <f>IFERROR(__xludf.DUMMYFUNCTION("""COMPUTED_VALUE"""),69.0)</f>
        <v>69</v>
      </c>
      <c r="T10" s="188">
        <f>IFERROR(__xludf.DUMMYFUNCTION("""COMPUTED_VALUE"""),58.0)</f>
        <v>58</v>
      </c>
      <c r="U10" s="188">
        <f>IFERROR(__xludf.DUMMYFUNCTION("""COMPUTED_VALUE"""),9.0)</f>
        <v>9</v>
      </c>
      <c r="V10" s="188">
        <f>IFERROR(__xludf.DUMMYFUNCTION("""COMPUTED_VALUE"""),0.0)</f>
        <v>0</v>
      </c>
      <c r="W10" s="188">
        <f>IFERROR(__xludf.DUMMYFUNCTION("""COMPUTED_VALUE"""),78.0)</f>
        <v>78</v>
      </c>
      <c r="X10" s="188">
        <f>IFERROR(__xludf.DUMMYFUNCTION("""COMPUTED_VALUE"""),20.0)</f>
        <v>20</v>
      </c>
      <c r="Y10" s="189">
        <f>IFERROR(__xludf.DUMMYFUNCTION("""COMPUTED_VALUE"""),0.0)</f>
        <v>0</v>
      </c>
      <c r="Z10" s="189">
        <f>IFERROR(__xludf.DUMMYFUNCTION("""COMPUTED_VALUE"""),0.0)</f>
        <v>0</v>
      </c>
      <c r="AA10" s="188">
        <f>IFERROR(__xludf.DUMMYFUNCTION("""COMPUTED_VALUE"""),0.0)</f>
        <v>0</v>
      </c>
      <c r="AB10" s="188">
        <f>IFERROR(__xludf.DUMMYFUNCTION("""COMPUTED_VALUE"""),0.0)</f>
        <v>0</v>
      </c>
      <c r="AC10" s="188">
        <f>IFERROR(__xludf.DUMMYFUNCTION("""COMPUTED_VALUE"""),0.0)</f>
        <v>0</v>
      </c>
      <c r="AD10" s="188">
        <f>IFERROR(__xludf.DUMMYFUNCTION("""COMPUTED_VALUE"""),0.0)</f>
        <v>0</v>
      </c>
      <c r="AE10" s="188">
        <f>IFERROR(__xludf.DUMMYFUNCTION("""COMPUTED_VALUE"""),201.0)</f>
        <v>201</v>
      </c>
      <c r="AF10" s="188">
        <f>IFERROR(__xludf.DUMMYFUNCTION("""COMPUTED_VALUE"""),503.0)</f>
        <v>503</v>
      </c>
      <c r="AG10" s="188">
        <f>IFERROR(__xludf.DUMMYFUNCTION("""COMPUTED_VALUE"""),133.0)</f>
        <v>133</v>
      </c>
      <c r="AH10" s="188">
        <f>IFERROR(__xludf.DUMMYFUNCTION("""COMPUTED_VALUE"""),15.0)</f>
        <v>15</v>
      </c>
      <c r="AI10" s="188">
        <f>IFERROR(__xludf.DUMMYFUNCTION("""COMPUTED_VALUE"""),163.0)</f>
        <v>163</v>
      </c>
      <c r="AJ10" s="188">
        <f>IFERROR(__xludf.DUMMYFUNCTION("""COMPUTED_VALUE"""),0.0)</f>
        <v>0</v>
      </c>
      <c r="AK10" s="188">
        <f>IFERROR(__xludf.DUMMYFUNCTION("""COMPUTED_VALUE"""),0.0)</f>
        <v>0</v>
      </c>
      <c r="AL10" s="188">
        <f>IFERROR(__xludf.DUMMYFUNCTION("""COMPUTED_VALUE"""),25.0)</f>
        <v>25</v>
      </c>
      <c r="AM10" s="188">
        <f>IFERROR(__xludf.DUMMYFUNCTION("""COMPUTED_VALUE"""),41.0)</f>
        <v>41</v>
      </c>
      <c r="AN10" s="188">
        <f>IFERROR(__xludf.DUMMYFUNCTION("""COMPUTED_VALUE"""),289.0)</f>
        <v>289</v>
      </c>
      <c r="AO10" s="188">
        <f>IFERROR(__xludf.DUMMYFUNCTION("""COMPUTED_VALUE"""),996.0)</f>
        <v>996</v>
      </c>
      <c r="AP10" s="188">
        <f>IFERROR(__xludf.DUMMYFUNCTION("""COMPUTED_VALUE"""),274.0)</f>
        <v>274</v>
      </c>
      <c r="AQ10" s="186">
        <f>IFERROR(__xludf.DUMMYFUNCTION("""COMPUTED_VALUE"""),0.0)</f>
        <v>0</v>
      </c>
      <c r="AR10" s="189">
        <f>IFERROR(__xludf.DUMMYFUNCTION("""COMPUTED_VALUE"""),3.6350364963503647)</f>
        <v>3.635036496</v>
      </c>
      <c r="AS10" s="186">
        <f>IFERROR(__xludf.DUMMYFUNCTION("""COMPUTED_VALUE"""),358560.0)</f>
        <v>358560</v>
      </c>
      <c r="AT10" s="186">
        <f>IFERROR(__xludf.DUMMYFUNCTION("""COMPUTED_VALUE"""),156310.0)</f>
        <v>156310</v>
      </c>
      <c r="AU10" s="187"/>
      <c r="AV10" s="186"/>
      <c r="AW10" s="219">
        <f>IFERROR(__xludf.DUMMYFUNCTION("""COMPUTED_VALUE"""),0.0)</f>
        <v>0</v>
      </c>
      <c r="AX10" s="219">
        <f>IFERROR(__xludf.DUMMYFUNCTION("""COMPUTED_VALUE"""),2219.0)</f>
        <v>2219</v>
      </c>
      <c r="AY10" s="254">
        <f>IFERROR(__xludf.DUMMYFUNCTION("""COMPUTED_VALUE"""),2134.83)</f>
        <v>2134.83</v>
      </c>
      <c r="AZ10" s="219">
        <f>IFERROR(__xludf.DUMMYFUNCTION("""COMPUTED_VALUE"""),37.0)</f>
        <v>37</v>
      </c>
      <c r="BA10" s="219">
        <f>IFERROR(__xludf.DUMMYFUNCTION("""COMPUTED_VALUE"""),0.0)</f>
        <v>0</v>
      </c>
      <c r="BB10" s="219">
        <f>IFERROR(__xludf.DUMMYFUNCTION("""COMPUTED_VALUE"""),58.0)</f>
        <v>58</v>
      </c>
      <c r="BC10" s="219">
        <f>IFERROR(__xludf.DUMMYFUNCTION("""COMPUTED_VALUE"""),20.0)</f>
        <v>20</v>
      </c>
      <c r="BD10" s="191"/>
      <c r="BE10" s="75"/>
      <c r="BF10" s="164" t="e">
        <v>#N/A</v>
      </c>
      <c r="BG10" s="203">
        <f t="shared" si="4"/>
        <v>0</v>
      </c>
      <c r="BH10" s="255" t="str">
        <f t="shared" si="5"/>
        <v>#REF!</v>
      </c>
      <c r="BI10" s="75"/>
      <c r="BJ10" s="75"/>
      <c r="BK10" s="75"/>
      <c r="BL10" s="75"/>
      <c r="BM10" s="75" t="s">
        <v>47</v>
      </c>
      <c r="BN10" s="75"/>
      <c r="BO10" s="75"/>
      <c r="BP10" s="75"/>
      <c r="BQ10" s="75"/>
      <c r="BR10" s="75"/>
    </row>
    <row r="11">
      <c r="A11" s="6" t="str">
        <f>IFERROR(__xludf.DUMMYFUNCTION("""COMPUTED_VALUE"""),"Pawan Sharma")</f>
        <v>Pawan Sharma</v>
      </c>
      <c r="B11" s="183" t="str">
        <f>IFERROR(__xludf.DUMMYFUNCTION("""COMPUTED_VALUE"""),"Rajasthan")</f>
        <v>Rajasthan</v>
      </c>
      <c r="C11" s="184" t="str">
        <f>IFERROR(__xludf.DUMMYFUNCTION("""COMPUTED_VALUE"""),"Dinesh Kumar Kaushik")</f>
        <v>Dinesh Kumar Kaushik</v>
      </c>
      <c r="D11" s="75" t="str">
        <f>IFERROR(__xludf.DUMMYFUNCTION("""COMPUTED_VALUE"""),"Bharatpur")</f>
        <v>Bharatpur</v>
      </c>
      <c r="E11" s="256">
        <f>IFERROR(__xludf.DUMMYFUNCTION("""COMPUTED_VALUE"""),45428.0)</f>
        <v>45428</v>
      </c>
      <c r="F11" s="219" t="str">
        <f>IFERROR(__xludf.DUMMYFUNCTION("""COMPUTED_VALUE"""),"RAJASTHAN")</f>
        <v>RAJASTHAN</v>
      </c>
      <c r="G11" s="253"/>
      <c r="H11" s="253"/>
      <c r="I11" s="190">
        <f>IFERROR(__xludf.DUMMYFUNCTION("""COMPUTED_VALUE"""),26526.0)</f>
        <v>26526</v>
      </c>
      <c r="J11" s="190">
        <f>IFERROR(__xludf.DUMMYFUNCTION("""COMPUTED_VALUE"""),1000000.0)</f>
        <v>1000000</v>
      </c>
      <c r="K11" s="186">
        <f>IFERROR(__xludf.DUMMYFUNCTION("""COMPUTED_VALUE"""),0.0)</f>
        <v>0</v>
      </c>
      <c r="L11" s="186">
        <f>IFERROR(__xludf.DUMMYFUNCTION("""COMPUTED_VALUE"""),1.18E7)</f>
        <v>11800000</v>
      </c>
      <c r="M11" s="186">
        <f>IFERROR(__xludf.DUMMYFUNCTION("""COMPUTED_VALUE"""),5898219.9)</f>
        <v>5898219.9</v>
      </c>
      <c r="N11" s="186">
        <f>IFERROR(__xludf.DUMMYFUNCTION("""COMPUTED_VALUE"""),0.0)</f>
        <v>0</v>
      </c>
      <c r="O11" s="186">
        <f>IFERROR(__xludf.DUMMYFUNCTION("""COMPUTED_VALUE"""),5917829.0)</f>
        <v>5917829</v>
      </c>
      <c r="P11" s="187">
        <f>IFERROR(__xludf.DUMMYFUNCTION("""COMPUTED_VALUE"""),0.4998491440677966)</f>
        <v>0.4998491441</v>
      </c>
      <c r="Q11" s="187">
        <f>IFERROR(__xludf.DUMMYFUNCTION("""COMPUTED_VALUE"""),0.0)</f>
        <v>0</v>
      </c>
      <c r="R11" s="187">
        <f>IFERROR(__xludf.DUMMYFUNCTION("""COMPUTED_VALUE"""),0.5015109322033898)</f>
        <v>0.5015109322</v>
      </c>
      <c r="S11" s="188">
        <f>IFERROR(__xludf.DUMMYFUNCTION("""COMPUTED_VALUE"""),83.0)</f>
        <v>83</v>
      </c>
      <c r="T11" s="188">
        <f>IFERROR(__xludf.DUMMYFUNCTION("""COMPUTED_VALUE"""),84.0)</f>
        <v>84</v>
      </c>
      <c r="U11" s="188">
        <f>IFERROR(__xludf.DUMMYFUNCTION("""COMPUTED_VALUE"""),17.0)</f>
        <v>17</v>
      </c>
      <c r="V11" s="188">
        <f>IFERROR(__xludf.DUMMYFUNCTION("""COMPUTED_VALUE"""),10.0)</f>
        <v>10</v>
      </c>
      <c r="W11" s="188">
        <f>IFERROR(__xludf.DUMMYFUNCTION("""COMPUTED_VALUE"""),100.0)</f>
        <v>100</v>
      </c>
      <c r="X11" s="188">
        <f>IFERROR(__xludf.DUMMYFUNCTION("""COMPUTED_VALUE"""),16.0)</f>
        <v>16</v>
      </c>
      <c r="Y11" s="189">
        <f>IFERROR(__xludf.DUMMYFUNCTION("""COMPUTED_VALUE"""),5127371.1)</f>
        <v>5127371.1</v>
      </c>
      <c r="Z11" s="189">
        <f>IFERROR(__xludf.DUMMYFUNCTION("""COMPUTED_VALUE"""),770848.8)</f>
        <v>770848.8</v>
      </c>
      <c r="AA11" s="188">
        <f>IFERROR(__xludf.DUMMYFUNCTION("""COMPUTED_VALUE"""),44.0)</f>
        <v>44</v>
      </c>
      <c r="AB11" s="188">
        <f>IFERROR(__xludf.DUMMYFUNCTION("""COMPUTED_VALUE"""),10.0)</f>
        <v>10</v>
      </c>
      <c r="AC11" s="188">
        <f>IFERROR(__xludf.DUMMYFUNCTION("""COMPUTED_VALUE"""),54.0)</f>
        <v>54</v>
      </c>
      <c r="AD11" s="188">
        <f>IFERROR(__xludf.DUMMYFUNCTION("""COMPUTED_VALUE"""),0.0)</f>
        <v>0</v>
      </c>
      <c r="AE11" s="188">
        <f>IFERROR(__xludf.DUMMYFUNCTION("""COMPUTED_VALUE"""),135.0)</f>
        <v>135</v>
      </c>
      <c r="AF11" s="188">
        <f>IFERROR(__xludf.DUMMYFUNCTION("""COMPUTED_VALUE"""),283.0)</f>
        <v>283</v>
      </c>
      <c r="AG11" s="188">
        <f>IFERROR(__xludf.DUMMYFUNCTION("""COMPUTED_VALUE"""),394.0)</f>
        <v>394</v>
      </c>
      <c r="AH11" s="188">
        <f>IFERROR(__xludf.DUMMYFUNCTION("""COMPUTED_VALUE"""),7.0)</f>
        <v>7</v>
      </c>
      <c r="AI11" s="188">
        <f>IFERROR(__xludf.DUMMYFUNCTION("""COMPUTED_VALUE"""),175.0)</f>
        <v>175</v>
      </c>
      <c r="AJ11" s="188">
        <f>IFERROR(__xludf.DUMMYFUNCTION("""COMPUTED_VALUE"""),0.0)</f>
        <v>0</v>
      </c>
      <c r="AK11" s="188">
        <f>IFERROR(__xludf.DUMMYFUNCTION("""COMPUTED_VALUE"""),0.0)</f>
        <v>0</v>
      </c>
      <c r="AL11" s="188">
        <f>IFERROR(__xludf.DUMMYFUNCTION("""COMPUTED_VALUE"""),0.0)</f>
        <v>0</v>
      </c>
      <c r="AM11" s="188">
        <f>IFERROR(__xludf.DUMMYFUNCTION("""COMPUTED_VALUE"""),0.0)</f>
        <v>0</v>
      </c>
      <c r="AN11" s="188">
        <f>IFERROR(__xludf.DUMMYFUNCTION("""COMPUTED_VALUE"""),1221.0)</f>
        <v>1221</v>
      </c>
      <c r="AO11" s="188">
        <f>IFERROR(__xludf.DUMMYFUNCTION("""COMPUTED_VALUE"""),1679.0)</f>
        <v>1679</v>
      </c>
      <c r="AP11" s="188">
        <f>IFERROR(__xludf.DUMMYFUNCTION("""COMPUTED_VALUE"""),272.0)</f>
        <v>272</v>
      </c>
      <c r="AQ11" s="186">
        <f>IFERROR(__xludf.DUMMYFUNCTION("""COMPUTED_VALUE"""),21684.63198529412)</f>
        <v>21684.63199</v>
      </c>
      <c r="AR11" s="189">
        <f>IFERROR(__xludf.DUMMYFUNCTION("""COMPUTED_VALUE"""),6.172794117647059)</f>
        <v>6.172794118</v>
      </c>
      <c r="AS11" s="186">
        <f>IFERROR(__xludf.DUMMYFUNCTION("""COMPUTED_VALUE"""),318312.0)</f>
        <v>318312</v>
      </c>
      <c r="AT11" s="186">
        <f>IFERROR(__xludf.DUMMYFUNCTION("""COMPUTED_VALUE"""),126419.0)</f>
        <v>126419</v>
      </c>
      <c r="AU11" s="187">
        <f>IFERROR(__xludf.DUMMYFUNCTION("""COMPUTED_VALUE"""),0.07540088493479193)</f>
        <v>0.07540088493</v>
      </c>
      <c r="AV11" s="186">
        <f>IFERROR(__xludf.DUMMYFUNCTION("""COMPUTED_VALUE"""),109226.29444444446)</f>
        <v>109226.2944</v>
      </c>
      <c r="AW11" s="219">
        <f>IFERROR(__xludf.DUMMYFUNCTION("""COMPUTED_VALUE"""),230.0)</f>
        <v>230</v>
      </c>
      <c r="AX11" s="219">
        <f>IFERROR(__xludf.DUMMYFUNCTION("""COMPUTED_VALUE"""),2818.0)</f>
        <v>2818</v>
      </c>
      <c r="AY11" s="254">
        <f>IFERROR(__xludf.DUMMYFUNCTION("""COMPUTED_VALUE"""),2950.78)</f>
        <v>2950.78</v>
      </c>
      <c r="AZ11" s="219">
        <f>IFERROR(__xludf.DUMMYFUNCTION("""COMPUTED_VALUE"""),35.0)</f>
        <v>35</v>
      </c>
      <c r="BA11" s="219">
        <f>IFERROR(__xludf.DUMMYFUNCTION("""COMPUTED_VALUE"""),54.0)</f>
        <v>54</v>
      </c>
      <c r="BB11" s="219">
        <f>IFERROR(__xludf.DUMMYFUNCTION("""COMPUTED_VALUE"""),32.0)</f>
        <v>32</v>
      </c>
      <c r="BC11" s="219">
        <f>IFERROR(__xludf.DUMMYFUNCTION("""COMPUTED_VALUE"""),14.0)</f>
        <v>14</v>
      </c>
      <c r="BD11" s="191"/>
      <c r="BE11" s="75"/>
      <c r="BF11" s="164">
        <v>0.9799999995157123</v>
      </c>
      <c r="BG11" s="203">
        <f t="shared" si="4"/>
        <v>5898219.9</v>
      </c>
      <c r="BH11" s="255" t="str">
        <f t="shared" si="5"/>
        <v>#REF!</v>
      </c>
      <c r="BI11" s="75"/>
      <c r="BJ11" s="75"/>
      <c r="BK11" s="75"/>
      <c r="BL11" s="75"/>
      <c r="BM11" s="75" t="s">
        <v>322</v>
      </c>
      <c r="BN11" s="75"/>
      <c r="BO11" s="75"/>
      <c r="BP11" s="75"/>
      <c r="BQ11" s="75"/>
      <c r="BR11" s="75"/>
    </row>
    <row r="12">
      <c r="A12" s="6" t="str">
        <f>IFERROR(__xludf.DUMMYFUNCTION("""COMPUTED_VALUE"""),"Pawan Sharma")</f>
        <v>Pawan Sharma</v>
      </c>
      <c r="B12" s="183" t="str">
        <f>IFERROR(__xludf.DUMMYFUNCTION("""COMPUTED_VALUE"""),"Rajasthan")</f>
        <v>Rajasthan</v>
      </c>
      <c r="C12" s="184" t="str">
        <f>IFERROR(__xludf.DUMMYFUNCTION("""COMPUTED_VALUE"""),"Arif Khan")</f>
        <v>Arif Khan</v>
      </c>
      <c r="D12" s="75" t="str">
        <f>IFERROR(__xludf.DUMMYFUNCTION("""COMPUTED_VALUE"""),"Jaipur")</f>
        <v>Jaipur</v>
      </c>
      <c r="E12" s="256">
        <f>IFERROR(__xludf.DUMMYFUNCTION("""COMPUTED_VALUE"""),45464.0)</f>
        <v>45464</v>
      </c>
      <c r="F12" s="219" t="str">
        <f>IFERROR(__xludf.DUMMYFUNCTION("""COMPUTED_VALUE"""),"RAJASTHAN")</f>
        <v>RAJASTHAN</v>
      </c>
      <c r="G12" s="253"/>
      <c r="H12" s="253"/>
      <c r="I12" s="190">
        <f>IFERROR(__xludf.DUMMYFUNCTION("""COMPUTED_VALUE"""),38285.0)</f>
        <v>38285</v>
      </c>
      <c r="J12" s="190">
        <f>IFERROR(__xludf.DUMMYFUNCTION("""COMPUTED_VALUE"""),1500000.0)</f>
        <v>1500000</v>
      </c>
      <c r="K12" s="186">
        <f>IFERROR(__xludf.DUMMYFUNCTION("""COMPUTED_VALUE"""),0.0)</f>
        <v>0</v>
      </c>
      <c r="L12" s="186">
        <f>IFERROR(__xludf.DUMMYFUNCTION("""COMPUTED_VALUE"""),4500000.0)</f>
        <v>4500000</v>
      </c>
      <c r="M12" s="186">
        <f>IFERROR(__xludf.DUMMYFUNCTION("""COMPUTED_VALUE"""),462446.74)</f>
        <v>462446.74</v>
      </c>
      <c r="N12" s="186">
        <f>IFERROR(__xludf.DUMMYFUNCTION("""COMPUTED_VALUE"""),0.0)</f>
        <v>0</v>
      </c>
      <c r="O12" s="186">
        <f>IFERROR(__xludf.DUMMYFUNCTION("""COMPUTED_VALUE"""),923900.0)</f>
        <v>923900</v>
      </c>
      <c r="P12" s="187">
        <f>IFERROR(__xludf.DUMMYFUNCTION("""COMPUTED_VALUE"""),0.10276594222222223)</f>
        <v>0.1027659422</v>
      </c>
      <c r="Q12" s="187">
        <f>IFERROR(__xludf.DUMMYFUNCTION("""COMPUTED_VALUE"""),0.0)</f>
        <v>0</v>
      </c>
      <c r="R12" s="187">
        <f>IFERROR(__xludf.DUMMYFUNCTION("""COMPUTED_VALUE"""),0.2053111111111111)</f>
        <v>0.2053111111</v>
      </c>
      <c r="S12" s="188">
        <f>IFERROR(__xludf.DUMMYFUNCTION("""COMPUTED_VALUE"""),31.0)</f>
        <v>31</v>
      </c>
      <c r="T12" s="188">
        <f>IFERROR(__xludf.DUMMYFUNCTION("""COMPUTED_VALUE"""),24.0)</f>
        <v>24</v>
      </c>
      <c r="U12" s="188">
        <f>IFERROR(__xludf.DUMMYFUNCTION("""COMPUTED_VALUE"""),5.0)</f>
        <v>5</v>
      </c>
      <c r="V12" s="188">
        <f>IFERROR(__xludf.DUMMYFUNCTION("""COMPUTED_VALUE"""),3.0)</f>
        <v>3</v>
      </c>
      <c r="W12" s="188">
        <f>IFERROR(__xludf.DUMMYFUNCTION("""COMPUTED_VALUE"""),36.0)</f>
        <v>36</v>
      </c>
      <c r="X12" s="188">
        <f>IFERROR(__xludf.DUMMYFUNCTION("""COMPUTED_VALUE"""),12.0)</f>
        <v>12</v>
      </c>
      <c r="Y12" s="189">
        <f>IFERROR(__xludf.DUMMYFUNCTION("""COMPUTED_VALUE"""),290652.74)</f>
        <v>290652.74</v>
      </c>
      <c r="Z12" s="189">
        <f>IFERROR(__xludf.DUMMYFUNCTION("""COMPUTED_VALUE"""),171794.0)</f>
        <v>171794</v>
      </c>
      <c r="AA12" s="188">
        <f>IFERROR(__xludf.DUMMYFUNCTION("""COMPUTED_VALUE"""),5.0)</f>
        <v>5</v>
      </c>
      <c r="AB12" s="188">
        <f>IFERROR(__xludf.DUMMYFUNCTION("""COMPUTED_VALUE"""),3.0)</f>
        <v>3</v>
      </c>
      <c r="AC12" s="188">
        <f>IFERROR(__xludf.DUMMYFUNCTION("""COMPUTED_VALUE"""),8.0)</f>
        <v>8</v>
      </c>
      <c r="AD12" s="188">
        <f>IFERROR(__xludf.DUMMYFUNCTION("""COMPUTED_VALUE"""),0.0)</f>
        <v>0</v>
      </c>
      <c r="AE12" s="188">
        <f>IFERROR(__xludf.DUMMYFUNCTION("""COMPUTED_VALUE"""),94.0)</f>
        <v>94</v>
      </c>
      <c r="AF12" s="188">
        <f>IFERROR(__xludf.DUMMYFUNCTION("""COMPUTED_VALUE"""),145.0)</f>
        <v>145</v>
      </c>
      <c r="AG12" s="188">
        <f>IFERROR(__xludf.DUMMYFUNCTION("""COMPUTED_VALUE"""),306.0)</f>
        <v>306</v>
      </c>
      <c r="AH12" s="188">
        <f>IFERROR(__xludf.DUMMYFUNCTION("""COMPUTED_VALUE"""),4.0)</f>
        <v>4</v>
      </c>
      <c r="AI12" s="188">
        <f>IFERROR(__xludf.DUMMYFUNCTION("""COMPUTED_VALUE"""),23.0)</f>
        <v>23</v>
      </c>
      <c r="AJ12" s="188">
        <f>IFERROR(__xludf.DUMMYFUNCTION("""COMPUTED_VALUE"""),0.0)</f>
        <v>0</v>
      </c>
      <c r="AK12" s="188">
        <f>IFERROR(__xludf.DUMMYFUNCTION("""COMPUTED_VALUE"""),0.0)</f>
        <v>0</v>
      </c>
      <c r="AL12" s="188">
        <f>IFERROR(__xludf.DUMMYFUNCTION("""COMPUTED_VALUE"""),2.0)</f>
        <v>2</v>
      </c>
      <c r="AM12" s="188">
        <f>IFERROR(__xludf.DUMMYFUNCTION("""COMPUTED_VALUE"""),4.0)</f>
        <v>4</v>
      </c>
      <c r="AN12" s="188">
        <f>IFERROR(__xludf.DUMMYFUNCTION("""COMPUTED_VALUE"""),209.0)</f>
        <v>209</v>
      </c>
      <c r="AO12" s="188">
        <f>IFERROR(__xludf.DUMMYFUNCTION("""COMPUTED_VALUE"""),381.0)</f>
        <v>381</v>
      </c>
      <c r="AP12" s="188">
        <f>IFERROR(__xludf.DUMMYFUNCTION("""COMPUTED_VALUE"""),75.0)</f>
        <v>75</v>
      </c>
      <c r="AQ12" s="186">
        <f>IFERROR(__xludf.DUMMYFUNCTION("""COMPUTED_VALUE"""),6165.956533333333)</f>
        <v>6165.956533</v>
      </c>
      <c r="AR12" s="189">
        <f>IFERROR(__xludf.DUMMYFUNCTION("""COMPUTED_VALUE"""),5.08)</f>
        <v>5.08</v>
      </c>
      <c r="AS12" s="186">
        <f>IFERROR(__xludf.DUMMYFUNCTION("""COMPUTED_VALUE"""),114855.0)</f>
        <v>114855</v>
      </c>
      <c r="AT12" s="186">
        <f>IFERROR(__xludf.DUMMYFUNCTION("""COMPUTED_VALUE"""),27335.0)</f>
        <v>27335</v>
      </c>
      <c r="AU12" s="187">
        <f>IFERROR(__xludf.DUMMYFUNCTION("""COMPUTED_VALUE"""),0.30747324545957444)</f>
        <v>0.3074732455</v>
      </c>
      <c r="AV12" s="186">
        <f>IFERROR(__xludf.DUMMYFUNCTION("""COMPUTED_VALUE"""),57805.8425)</f>
        <v>57805.8425</v>
      </c>
      <c r="AW12" s="219">
        <f>IFERROR(__xludf.DUMMYFUNCTION("""COMPUTED_VALUE"""),15.0)</f>
        <v>15</v>
      </c>
      <c r="AX12" s="219">
        <f>IFERROR(__xludf.DUMMYFUNCTION("""COMPUTED_VALUE"""),792.0)</f>
        <v>792</v>
      </c>
      <c r="AY12" s="254">
        <f>IFERROR(__xludf.DUMMYFUNCTION("""COMPUTED_VALUE"""),0.0)</f>
        <v>0</v>
      </c>
      <c r="AZ12" s="219">
        <f>IFERROR(__xludf.DUMMYFUNCTION("""COMPUTED_VALUE"""),0.0)</f>
        <v>0</v>
      </c>
      <c r="BA12" s="219">
        <f>IFERROR(__xludf.DUMMYFUNCTION("""COMPUTED_VALUE"""),8.0)</f>
        <v>8</v>
      </c>
      <c r="BB12" s="219">
        <f>IFERROR(__xludf.DUMMYFUNCTION("""COMPUTED_VALUE"""),16.0)</f>
        <v>16</v>
      </c>
      <c r="BC12" s="219">
        <f>IFERROR(__xludf.DUMMYFUNCTION("""COMPUTED_VALUE"""),12.0)</f>
        <v>12</v>
      </c>
      <c r="BD12" s="191">
        <f>IFERROR(__xludf.DUMMYFUNCTION("""COMPUTED_VALUE"""),45838.0)</f>
        <v>45838</v>
      </c>
      <c r="BE12" s="75"/>
      <c r="BF12" s="164">
        <v>-0.03999999997904524</v>
      </c>
      <c r="BG12" s="203">
        <f t="shared" si="4"/>
        <v>462446.74</v>
      </c>
      <c r="BH12" s="255" t="str">
        <f t="shared" si="5"/>
        <v>#REF!</v>
      </c>
      <c r="BI12" s="75"/>
      <c r="BJ12" s="75"/>
      <c r="BK12" s="75"/>
      <c r="BL12" s="75"/>
      <c r="BM12" s="75" t="s">
        <v>126</v>
      </c>
      <c r="BN12" s="75"/>
      <c r="BO12" s="75"/>
      <c r="BP12" s="75"/>
      <c r="BQ12" s="75"/>
      <c r="BR12" s="75"/>
    </row>
    <row r="13">
      <c r="A13" s="6" t="str">
        <f>IFERROR(__xludf.DUMMYFUNCTION("""COMPUTED_VALUE"""),"Pawan Sharma")</f>
        <v>Pawan Sharma</v>
      </c>
      <c r="B13" s="183" t="str">
        <f>IFERROR(__xludf.DUMMYFUNCTION("""COMPUTED_VALUE"""),"Haryana")</f>
        <v>Haryana</v>
      </c>
      <c r="C13" s="184" t="str">
        <f>IFERROR(__xludf.DUMMYFUNCTION("""COMPUTED_VALUE"""),"Shanker Singh")</f>
        <v>Shanker Singh</v>
      </c>
      <c r="D13" s="75" t="str">
        <f>IFERROR(__xludf.DUMMYFUNCTION("""COMPUTED_VALUE"""),"Rewari")</f>
        <v>Rewari</v>
      </c>
      <c r="E13" s="256">
        <f>IFERROR(__xludf.DUMMYFUNCTION("""COMPUTED_VALUE"""),45488.0)</f>
        <v>45488</v>
      </c>
      <c r="F13" s="219" t="str">
        <f>IFERROR(__xludf.DUMMYFUNCTION("""COMPUTED_VALUE"""),"Delhi NCR, HARYANA")</f>
        <v>Delhi NCR, HARYANA</v>
      </c>
      <c r="G13" s="253"/>
      <c r="H13" s="253"/>
      <c r="I13" s="190">
        <f>IFERROR(__xludf.DUMMYFUNCTION("""COMPUTED_VALUE"""),32500.0)</f>
        <v>32500</v>
      </c>
      <c r="J13" s="190">
        <f>IFERROR(__xludf.DUMMYFUNCTION("""COMPUTED_VALUE"""),1500000.0)</f>
        <v>1500000</v>
      </c>
      <c r="K13" s="186">
        <f>IFERROR(__xludf.DUMMYFUNCTION("""COMPUTED_VALUE"""),0.0)</f>
        <v>0</v>
      </c>
      <c r="L13" s="186">
        <f>IFERROR(__xludf.DUMMYFUNCTION("""COMPUTED_VALUE"""),7500000.0)</f>
        <v>7500000</v>
      </c>
      <c r="M13" s="186">
        <f>IFERROR(__xludf.DUMMYFUNCTION("""COMPUTED_VALUE"""),477497.81)</f>
        <v>477497.81</v>
      </c>
      <c r="N13" s="186">
        <f>IFERROR(__xludf.DUMMYFUNCTION("""COMPUTED_VALUE"""),0.0)</f>
        <v>0</v>
      </c>
      <c r="O13" s="186">
        <f>IFERROR(__xludf.DUMMYFUNCTION("""COMPUTED_VALUE"""),0.0)</f>
        <v>0</v>
      </c>
      <c r="P13" s="187">
        <f>IFERROR(__xludf.DUMMYFUNCTION("""COMPUTED_VALUE"""),0.06366637466666666)</f>
        <v>0.06366637467</v>
      </c>
      <c r="Q13" s="187">
        <f>IFERROR(__xludf.DUMMYFUNCTION("""COMPUTED_VALUE"""),0.0)</f>
        <v>0</v>
      </c>
      <c r="R13" s="187">
        <f>IFERROR(__xludf.DUMMYFUNCTION("""COMPUTED_VALUE"""),0.0)</f>
        <v>0</v>
      </c>
      <c r="S13" s="188">
        <f>IFERROR(__xludf.DUMMYFUNCTION("""COMPUTED_VALUE"""),92.0)</f>
        <v>92</v>
      </c>
      <c r="T13" s="188">
        <f>IFERROR(__xludf.DUMMYFUNCTION("""COMPUTED_VALUE"""),67.0)</f>
        <v>67</v>
      </c>
      <c r="U13" s="188">
        <f>IFERROR(__xludf.DUMMYFUNCTION("""COMPUTED_VALUE"""),8.0)</f>
        <v>8</v>
      </c>
      <c r="V13" s="188">
        <f>IFERROR(__xludf.DUMMYFUNCTION("""COMPUTED_VALUE"""),5.0)</f>
        <v>5</v>
      </c>
      <c r="W13" s="188">
        <f>IFERROR(__xludf.DUMMYFUNCTION("""COMPUTED_VALUE"""),100.0)</f>
        <v>100</v>
      </c>
      <c r="X13" s="188">
        <f>IFERROR(__xludf.DUMMYFUNCTION("""COMPUTED_VALUE"""),33.0)</f>
        <v>33</v>
      </c>
      <c r="Y13" s="189">
        <f>IFERROR(__xludf.DUMMYFUNCTION("""COMPUTED_VALUE"""),399788.1)</f>
        <v>399788.1</v>
      </c>
      <c r="Z13" s="189">
        <f>IFERROR(__xludf.DUMMYFUNCTION("""COMPUTED_VALUE"""),77709.71)</f>
        <v>77709.71</v>
      </c>
      <c r="AA13" s="188">
        <f>IFERROR(__xludf.DUMMYFUNCTION("""COMPUTED_VALUE"""),17.0)</f>
        <v>17</v>
      </c>
      <c r="AB13" s="188">
        <f>IFERROR(__xludf.DUMMYFUNCTION("""COMPUTED_VALUE"""),5.0)</f>
        <v>5</v>
      </c>
      <c r="AC13" s="188">
        <f>IFERROR(__xludf.DUMMYFUNCTION("""COMPUTED_VALUE"""),22.0)</f>
        <v>22</v>
      </c>
      <c r="AD13" s="188">
        <f>IFERROR(__xludf.DUMMYFUNCTION("""COMPUTED_VALUE"""),0.0)</f>
        <v>0</v>
      </c>
      <c r="AE13" s="188">
        <f>IFERROR(__xludf.DUMMYFUNCTION("""COMPUTED_VALUE"""),225.0)</f>
        <v>225</v>
      </c>
      <c r="AF13" s="188">
        <f>IFERROR(__xludf.DUMMYFUNCTION("""COMPUTED_VALUE"""),380.0)</f>
        <v>380</v>
      </c>
      <c r="AG13" s="188">
        <f>IFERROR(__xludf.DUMMYFUNCTION("""COMPUTED_VALUE"""),431.0)</f>
        <v>431</v>
      </c>
      <c r="AH13" s="188">
        <f>IFERROR(__xludf.DUMMYFUNCTION("""COMPUTED_VALUE"""),8.0)</f>
        <v>8</v>
      </c>
      <c r="AI13" s="188">
        <f>IFERROR(__xludf.DUMMYFUNCTION("""COMPUTED_VALUE"""),39.0)</f>
        <v>39</v>
      </c>
      <c r="AJ13" s="188">
        <f>IFERROR(__xludf.DUMMYFUNCTION("""COMPUTED_VALUE"""),0.0)</f>
        <v>0</v>
      </c>
      <c r="AK13" s="188">
        <f>IFERROR(__xludf.DUMMYFUNCTION("""COMPUTED_VALUE"""),0.0)</f>
        <v>0</v>
      </c>
      <c r="AL13" s="188">
        <f>IFERROR(__xludf.DUMMYFUNCTION("""COMPUTED_VALUE"""),11.0)</f>
        <v>11</v>
      </c>
      <c r="AM13" s="188">
        <f>IFERROR(__xludf.DUMMYFUNCTION("""COMPUTED_VALUE"""),50.0)</f>
        <v>50</v>
      </c>
      <c r="AN13" s="188">
        <f>IFERROR(__xludf.DUMMYFUNCTION("""COMPUTED_VALUE"""),184.0)</f>
        <v>184</v>
      </c>
      <c r="AO13" s="188">
        <f>IFERROR(__xludf.DUMMYFUNCTION("""COMPUTED_VALUE"""),653.0)</f>
        <v>653</v>
      </c>
      <c r="AP13" s="188">
        <f>IFERROR(__xludf.DUMMYFUNCTION("""COMPUTED_VALUE"""),104.0)</f>
        <v>104</v>
      </c>
      <c r="AQ13" s="186">
        <f>IFERROR(__xludf.DUMMYFUNCTION("""COMPUTED_VALUE"""),4591.325096153846)</f>
        <v>4591.325096</v>
      </c>
      <c r="AR13" s="189">
        <f>IFERROR(__xludf.DUMMYFUNCTION("""COMPUTED_VALUE"""),6.278846153846154)</f>
        <v>6.278846154</v>
      </c>
      <c r="AS13" s="186">
        <f>IFERROR(__xludf.DUMMYFUNCTION("""COMPUTED_VALUE"""),136175.0)</f>
        <v>136175</v>
      </c>
      <c r="AT13" s="186">
        <f>IFERROR(__xludf.DUMMYFUNCTION("""COMPUTED_VALUE"""),38818.0)</f>
        <v>38818</v>
      </c>
      <c r="AU13" s="187">
        <f>IFERROR(__xludf.DUMMYFUNCTION("""COMPUTED_VALUE"""),0.3664791677264447)</f>
        <v>0.3664791677</v>
      </c>
      <c r="AV13" s="186">
        <f>IFERROR(__xludf.DUMMYFUNCTION("""COMPUTED_VALUE"""),21704.445909090908)</f>
        <v>21704.44591</v>
      </c>
      <c r="AW13" s="219">
        <f>IFERROR(__xludf.DUMMYFUNCTION("""COMPUTED_VALUE"""),36.0)</f>
        <v>36</v>
      </c>
      <c r="AX13" s="219">
        <f>IFERROR(__xludf.DUMMYFUNCTION("""COMPUTED_VALUE"""),1087.0)</f>
        <v>1087</v>
      </c>
      <c r="AY13" s="254">
        <f>IFERROR(__xludf.DUMMYFUNCTION("""COMPUTED_VALUE"""),0.0)</f>
        <v>0</v>
      </c>
      <c r="AZ13" s="219">
        <f>IFERROR(__xludf.DUMMYFUNCTION("""COMPUTED_VALUE"""),0.0)</f>
        <v>0</v>
      </c>
      <c r="BA13" s="219">
        <f>IFERROR(__xludf.DUMMYFUNCTION("""COMPUTED_VALUE"""),22.0)</f>
        <v>22</v>
      </c>
      <c r="BB13" s="219">
        <f>IFERROR(__xludf.DUMMYFUNCTION("""COMPUTED_VALUE"""),45.0)</f>
        <v>45</v>
      </c>
      <c r="BC13" s="219">
        <f>IFERROR(__xludf.DUMMYFUNCTION("""COMPUTED_VALUE"""),33.0)</f>
        <v>33</v>
      </c>
      <c r="BD13" s="191">
        <f>IFERROR(__xludf.DUMMYFUNCTION("""COMPUTED_VALUE"""),45875.0)</f>
        <v>45875</v>
      </c>
      <c r="BE13" s="75"/>
      <c r="BF13" s="164">
        <v>0.01999999996041879</v>
      </c>
      <c r="BG13" s="203">
        <f t="shared" si="4"/>
        <v>477497.81</v>
      </c>
      <c r="BH13" s="255" t="str">
        <f t="shared" si="5"/>
        <v>#REF!</v>
      </c>
      <c r="BI13" s="75"/>
      <c r="BJ13" s="75"/>
      <c r="BK13" s="75"/>
      <c r="BL13" s="75"/>
      <c r="BM13" s="75"/>
      <c r="BN13" s="75"/>
      <c r="BO13" s="75"/>
      <c r="BP13" s="75"/>
      <c r="BQ13" s="75"/>
      <c r="BR13" s="75"/>
    </row>
    <row r="14">
      <c r="A14" s="6" t="str">
        <f>IFERROR(__xludf.DUMMYFUNCTION("""COMPUTED_VALUE"""),"Pawan Sharma")</f>
        <v>Pawan Sharma</v>
      </c>
      <c r="B14" s="183" t="str">
        <f>IFERROR(__xludf.DUMMYFUNCTION("""COMPUTED_VALUE"""),"Rajasthan")</f>
        <v>Rajasthan</v>
      </c>
      <c r="C14" s="184" t="str">
        <f>IFERROR(__xludf.DUMMYFUNCTION("""COMPUTED_VALUE"""),"Madan Joshi")</f>
        <v>Madan Joshi</v>
      </c>
      <c r="D14" s="75" t="str">
        <f>IFERROR(__xludf.DUMMYFUNCTION("""COMPUTED_VALUE"""),"Bikaner")</f>
        <v>Bikaner</v>
      </c>
      <c r="E14" s="256">
        <f>IFERROR(__xludf.DUMMYFUNCTION("""COMPUTED_VALUE"""),45502.0)</f>
        <v>45502</v>
      </c>
      <c r="F14" s="219" t="str">
        <f>IFERROR(__xludf.DUMMYFUNCTION("""COMPUTED_VALUE"""),"RAJASTHAN")</f>
        <v>RAJASTHAN</v>
      </c>
      <c r="G14" s="253"/>
      <c r="H14" s="253"/>
      <c r="I14" s="190">
        <f>IFERROR(__xludf.DUMMYFUNCTION("""COMPUTED_VALUE"""),46670.0)</f>
        <v>46670</v>
      </c>
      <c r="J14" s="190">
        <f>IFERROR(__xludf.DUMMYFUNCTION("""COMPUTED_VALUE"""),1500000.0)</f>
        <v>1500000</v>
      </c>
      <c r="K14" s="186">
        <f>IFERROR(__xludf.DUMMYFUNCTION("""COMPUTED_VALUE"""),0.0)</f>
        <v>0</v>
      </c>
      <c r="L14" s="186">
        <f>IFERROR(__xludf.DUMMYFUNCTION("""COMPUTED_VALUE"""),7500000.0)</f>
        <v>7500000</v>
      </c>
      <c r="M14" s="186">
        <f>IFERROR(__xludf.DUMMYFUNCTION("""COMPUTED_VALUE"""),454619.97)</f>
        <v>454619.97</v>
      </c>
      <c r="N14" s="186">
        <f>IFERROR(__xludf.DUMMYFUNCTION("""COMPUTED_VALUE"""),0.0)</f>
        <v>0</v>
      </c>
      <c r="O14" s="186">
        <f>IFERROR(__xludf.DUMMYFUNCTION("""COMPUTED_VALUE"""),316192.0)</f>
        <v>316192</v>
      </c>
      <c r="P14" s="187">
        <f>IFERROR(__xludf.DUMMYFUNCTION("""COMPUTED_VALUE"""),0.060615996)</f>
        <v>0.060615996</v>
      </c>
      <c r="Q14" s="187">
        <f>IFERROR(__xludf.DUMMYFUNCTION("""COMPUTED_VALUE"""),0.0)</f>
        <v>0</v>
      </c>
      <c r="R14" s="187">
        <f>IFERROR(__xludf.DUMMYFUNCTION("""COMPUTED_VALUE"""),0.042158933333333336)</f>
        <v>0.04215893333</v>
      </c>
      <c r="S14" s="188">
        <f>IFERROR(__xludf.DUMMYFUNCTION("""COMPUTED_VALUE"""),30.0)</f>
        <v>30</v>
      </c>
      <c r="T14" s="188">
        <f>IFERROR(__xludf.DUMMYFUNCTION("""COMPUTED_VALUE"""),27.0)</f>
        <v>27</v>
      </c>
      <c r="U14" s="188">
        <f>IFERROR(__xludf.DUMMYFUNCTION("""COMPUTED_VALUE"""),1.0)</f>
        <v>1</v>
      </c>
      <c r="V14" s="188">
        <f>IFERROR(__xludf.DUMMYFUNCTION("""COMPUTED_VALUE"""),1.0)</f>
        <v>1</v>
      </c>
      <c r="W14" s="188">
        <f>IFERROR(__xludf.DUMMYFUNCTION("""COMPUTED_VALUE"""),31.0)</f>
        <v>31</v>
      </c>
      <c r="X14" s="188">
        <f>IFERROR(__xludf.DUMMYFUNCTION("""COMPUTED_VALUE"""),4.0)</f>
        <v>4</v>
      </c>
      <c r="Y14" s="189">
        <f>IFERROR(__xludf.DUMMYFUNCTION("""COMPUTED_VALUE"""),279361.21)</f>
        <v>279361.21</v>
      </c>
      <c r="Z14" s="189">
        <f>IFERROR(__xludf.DUMMYFUNCTION("""COMPUTED_VALUE"""),175258.76)</f>
        <v>175258.76</v>
      </c>
      <c r="AA14" s="188">
        <f>IFERROR(__xludf.DUMMYFUNCTION("""COMPUTED_VALUE"""),7.0)</f>
        <v>7</v>
      </c>
      <c r="AB14" s="188">
        <f>IFERROR(__xludf.DUMMYFUNCTION("""COMPUTED_VALUE"""),1.0)</f>
        <v>1</v>
      </c>
      <c r="AC14" s="188">
        <f>IFERROR(__xludf.DUMMYFUNCTION("""COMPUTED_VALUE"""),8.0)</f>
        <v>8</v>
      </c>
      <c r="AD14" s="188">
        <f>IFERROR(__xludf.DUMMYFUNCTION("""COMPUTED_VALUE"""),0.0)</f>
        <v>0</v>
      </c>
      <c r="AE14" s="188">
        <f>IFERROR(__xludf.DUMMYFUNCTION("""COMPUTED_VALUE"""),34.0)</f>
        <v>34</v>
      </c>
      <c r="AF14" s="188">
        <f>IFERROR(__xludf.DUMMYFUNCTION("""COMPUTED_VALUE"""),73.0)</f>
        <v>73</v>
      </c>
      <c r="AG14" s="188">
        <f>IFERROR(__xludf.DUMMYFUNCTION("""COMPUTED_VALUE"""),96.0)</f>
        <v>96</v>
      </c>
      <c r="AH14" s="188">
        <f>IFERROR(__xludf.DUMMYFUNCTION("""COMPUTED_VALUE"""),1.0)</f>
        <v>1</v>
      </c>
      <c r="AI14" s="188">
        <f>IFERROR(__xludf.DUMMYFUNCTION("""COMPUTED_VALUE"""),48.0)</f>
        <v>48</v>
      </c>
      <c r="AJ14" s="188">
        <f>IFERROR(__xludf.DUMMYFUNCTION("""COMPUTED_VALUE"""),0.0)</f>
        <v>0</v>
      </c>
      <c r="AK14" s="188">
        <f>IFERROR(__xludf.DUMMYFUNCTION("""COMPUTED_VALUE"""),0.0)</f>
        <v>0</v>
      </c>
      <c r="AL14" s="188">
        <f>IFERROR(__xludf.DUMMYFUNCTION("""COMPUTED_VALUE"""),0.0)</f>
        <v>0</v>
      </c>
      <c r="AM14" s="188">
        <f>IFERROR(__xludf.DUMMYFUNCTION("""COMPUTED_VALUE"""),0.0)</f>
        <v>0</v>
      </c>
      <c r="AN14" s="188">
        <f>IFERROR(__xludf.DUMMYFUNCTION("""COMPUTED_VALUE"""),250.0)</f>
        <v>250</v>
      </c>
      <c r="AO14" s="188">
        <f>IFERROR(__xludf.DUMMYFUNCTION("""COMPUTED_VALUE"""),371.0)</f>
        <v>371</v>
      </c>
      <c r="AP14" s="188">
        <f>IFERROR(__xludf.DUMMYFUNCTION("""COMPUTED_VALUE"""),91.0)</f>
        <v>91</v>
      </c>
      <c r="AQ14" s="186">
        <f>IFERROR(__xludf.DUMMYFUNCTION("""COMPUTED_VALUE"""),4995.823846153846)</f>
        <v>4995.823846</v>
      </c>
      <c r="AR14" s="189">
        <f>IFERROR(__xludf.DUMMYFUNCTION("""COMPUTED_VALUE"""),4.076923076923077)</f>
        <v>4.076923077</v>
      </c>
      <c r="AS14" s="186">
        <f>IFERROR(__xludf.DUMMYFUNCTION("""COMPUTED_VALUE"""),215148.7)</f>
        <v>215148.7</v>
      </c>
      <c r="AT14" s="186">
        <f>IFERROR(__xludf.DUMMYFUNCTION("""COMPUTED_VALUE"""),40242.0)</f>
        <v>40242</v>
      </c>
      <c r="AU14" s="187">
        <f>IFERROR(__xludf.DUMMYFUNCTION("""COMPUTED_VALUE"""),0.5617674472153082)</f>
        <v>0.5617674472</v>
      </c>
      <c r="AV14" s="186">
        <f>IFERROR(__xludf.DUMMYFUNCTION("""COMPUTED_VALUE"""),56827.49625)</f>
        <v>56827.49625</v>
      </c>
      <c r="AW14" s="219">
        <f>IFERROR(__xludf.DUMMYFUNCTION("""COMPUTED_VALUE"""),16.0)</f>
        <v>16</v>
      </c>
      <c r="AX14" s="219">
        <f>IFERROR(__xludf.DUMMYFUNCTION("""COMPUTED_VALUE"""),732.0)</f>
        <v>732</v>
      </c>
      <c r="AY14" s="254">
        <f>IFERROR(__xludf.DUMMYFUNCTION("""COMPUTED_VALUE"""),0.0)</f>
        <v>0</v>
      </c>
      <c r="AZ14" s="219">
        <f>IFERROR(__xludf.DUMMYFUNCTION("""COMPUTED_VALUE"""),0.0)</f>
        <v>0</v>
      </c>
      <c r="BA14" s="219">
        <f>IFERROR(__xludf.DUMMYFUNCTION("""COMPUTED_VALUE"""),8.0)</f>
        <v>8</v>
      </c>
      <c r="BB14" s="219">
        <f>IFERROR(__xludf.DUMMYFUNCTION("""COMPUTED_VALUE"""),19.0)</f>
        <v>19</v>
      </c>
      <c r="BC14" s="219">
        <f>IFERROR(__xludf.DUMMYFUNCTION("""COMPUTED_VALUE"""),4.0)</f>
        <v>4</v>
      </c>
      <c r="BD14" s="191">
        <f>IFERROR(__xludf.DUMMYFUNCTION("""COMPUTED_VALUE"""),45882.0)</f>
        <v>45882</v>
      </c>
      <c r="BE14" s="75"/>
      <c r="BF14" s="164">
        <v>-0.04999999998835847</v>
      </c>
      <c r="BG14" s="203">
        <f t="shared" si="4"/>
        <v>454619.97</v>
      </c>
      <c r="BH14" s="255" t="str">
        <f t="shared" si="5"/>
        <v>#REF!</v>
      </c>
      <c r="BI14" s="75"/>
      <c r="BJ14" s="75"/>
      <c r="BK14" s="75"/>
      <c r="BL14" s="75"/>
      <c r="BM14" s="75"/>
      <c r="BN14" s="75"/>
      <c r="BO14" s="75"/>
      <c r="BP14" s="75"/>
      <c r="BQ14" s="75"/>
      <c r="BR14" s="75"/>
    </row>
    <row r="15">
      <c r="A15" s="6" t="str">
        <f>IFERROR(__xludf.DUMMYFUNCTION("""COMPUTED_VALUE"""),"Pawan Sharma")</f>
        <v>Pawan Sharma</v>
      </c>
      <c r="B15" s="183" t="str">
        <f>IFERROR(__xludf.DUMMYFUNCTION("""COMPUTED_VALUE"""),"Rajasthan")</f>
        <v>Rajasthan</v>
      </c>
      <c r="C15" s="184" t="str">
        <f>IFERROR(__xludf.DUMMYFUNCTION("""COMPUTED_VALUE"""),"Kanhaiya Lal Salvi")</f>
        <v>Kanhaiya Lal Salvi</v>
      </c>
      <c r="D15" s="75" t="str">
        <f>IFERROR(__xludf.DUMMYFUNCTION("""COMPUTED_VALUE"""),"Chittorgarh")</f>
        <v>Chittorgarh</v>
      </c>
      <c r="E15" s="256">
        <f>IFERROR(__xludf.DUMMYFUNCTION("""COMPUTED_VALUE"""),45518.0)</f>
        <v>45518</v>
      </c>
      <c r="F15" s="219" t="str">
        <f>IFERROR(__xludf.DUMMYFUNCTION("""COMPUTED_VALUE"""),"RAJASTHAN")</f>
        <v>RAJASTHAN</v>
      </c>
      <c r="G15" s="253"/>
      <c r="H15" s="253"/>
      <c r="I15" s="190">
        <f>IFERROR(__xludf.DUMMYFUNCTION("""COMPUTED_VALUE"""),23570.0)</f>
        <v>23570</v>
      </c>
      <c r="J15" s="190">
        <f>IFERROR(__xludf.DUMMYFUNCTION("""COMPUTED_VALUE"""),700000.0)</f>
        <v>700000</v>
      </c>
      <c r="K15" s="186">
        <f>IFERROR(__xludf.DUMMYFUNCTION("""COMPUTED_VALUE"""),0.0)</f>
        <v>0</v>
      </c>
      <c r="L15" s="186">
        <f>IFERROR(__xludf.DUMMYFUNCTION("""COMPUTED_VALUE"""),8400000.0)</f>
        <v>8400000</v>
      </c>
      <c r="M15" s="186">
        <f>IFERROR(__xludf.DUMMYFUNCTION("""COMPUTED_VALUE"""),2887869.98)</f>
        <v>2887869.98</v>
      </c>
      <c r="N15" s="186">
        <f>IFERROR(__xludf.DUMMYFUNCTION("""COMPUTED_VALUE"""),0.0)</f>
        <v>0</v>
      </c>
      <c r="O15" s="186">
        <f>IFERROR(__xludf.DUMMYFUNCTION("""COMPUTED_VALUE"""),515244.0)</f>
        <v>515244</v>
      </c>
      <c r="P15" s="187">
        <f>IFERROR(__xludf.DUMMYFUNCTION("""COMPUTED_VALUE"""),0.34379404523809526)</f>
        <v>0.3437940452</v>
      </c>
      <c r="Q15" s="187">
        <f>IFERROR(__xludf.DUMMYFUNCTION("""COMPUTED_VALUE"""),0.0)</f>
        <v>0</v>
      </c>
      <c r="R15" s="187">
        <f>IFERROR(__xludf.DUMMYFUNCTION("""COMPUTED_VALUE"""),0.06133857142857143)</f>
        <v>0.06133857143</v>
      </c>
      <c r="S15" s="188">
        <f>IFERROR(__xludf.DUMMYFUNCTION("""COMPUTED_VALUE"""),68.0)</f>
        <v>68</v>
      </c>
      <c r="T15" s="188">
        <f>IFERROR(__xludf.DUMMYFUNCTION("""COMPUTED_VALUE"""),85.0)</f>
        <v>85</v>
      </c>
      <c r="U15" s="188">
        <f>IFERROR(__xludf.DUMMYFUNCTION("""COMPUTED_VALUE"""),20.0)</f>
        <v>20</v>
      </c>
      <c r="V15" s="188">
        <f>IFERROR(__xludf.DUMMYFUNCTION("""COMPUTED_VALUE"""),20.0)</f>
        <v>20</v>
      </c>
      <c r="W15" s="188">
        <f>IFERROR(__xludf.DUMMYFUNCTION("""COMPUTED_VALUE"""),88.0)</f>
        <v>88</v>
      </c>
      <c r="X15" s="188">
        <f>IFERROR(__xludf.DUMMYFUNCTION("""COMPUTED_VALUE"""),3.0)</f>
        <v>3</v>
      </c>
      <c r="Y15" s="189">
        <f>IFERROR(__xludf.DUMMYFUNCTION("""COMPUTED_VALUE"""),2051975.42)</f>
        <v>2051975.42</v>
      </c>
      <c r="Z15" s="189">
        <f>IFERROR(__xludf.DUMMYFUNCTION("""COMPUTED_VALUE"""),835894.56)</f>
        <v>835894.56</v>
      </c>
      <c r="AA15" s="188">
        <f>IFERROR(__xludf.DUMMYFUNCTION("""COMPUTED_VALUE"""),45.0)</f>
        <v>45</v>
      </c>
      <c r="AB15" s="188">
        <f>IFERROR(__xludf.DUMMYFUNCTION("""COMPUTED_VALUE"""),20.0)</f>
        <v>20</v>
      </c>
      <c r="AC15" s="188">
        <f>IFERROR(__xludf.DUMMYFUNCTION("""COMPUTED_VALUE"""),65.0)</f>
        <v>65</v>
      </c>
      <c r="AD15" s="188">
        <f>IFERROR(__xludf.DUMMYFUNCTION("""COMPUTED_VALUE"""),0.0)</f>
        <v>0</v>
      </c>
      <c r="AE15" s="188">
        <f>IFERROR(__xludf.DUMMYFUNCTION("""COMPUTED_VALUE"""),154.0)</f>
        <v>154</v>
      </c>
      <c r="AF15" s="188">
        <f>IFERROR(__xludf.DUMMYFUNCTION("""COMPUTED_VALUE"""),290.0)</f>
        <v>290</v>
      </c>
      <c r="AG15" s="188">
        <f>IFERROR(__xludf.DUMMYFUNCTION("""COMPUTED_VALUE"""),95.0)</f>
        <v>95</v>
      </c>
      <c r="AH15" s="188">
        <f>IFERROR(__xludf.DUMMYFUNCTION("""COMPUTED_VALUE"""),3.0)</f>
        <v>3</v>
      </c>
      <c r="AI15" s="188">
        <f>IFERROR(__xludf.DUMMYFUNCTION("""COMPUTED_VALUE"""),225.0)</f>
        <v>225</v>
      </c>
      <c r="AJ15" s="188">
        <f>IFERROR(__xludf.DUMMYFUNCTION("""COMPUTED_VALUE"""),0.0)</f>
        <v>0</v>
      </c>
      <c r="AK15" s="188">
        <f>IFERROR(__xludf.DUMMYFUNCTION("""COMPUTED_VALUE"""),0.0)</f>
        <v>0</v>
      </c>
      <c r="AL15" s="188">
        <f>IFERROR(__xludf.DUMMYFUNCTION("""COMPUTED_VALUE"""),0.0)</f>
        <v>0</v>
      </c>
      <c r="AM15" s="188">
        <f>IFERROR(__xludf.DUMMYFUNCTION("""COMPUTED_VALUE"""),0.0)</f>
        <v>0</v>
      </c>
      <c r="AN15" s="188">
        <f>IFERROR(__xludf.DUMMYFUNCTION("""COMPUTED_VALUE"""),1536.0)</f>
        <v>1536</v>
      </c>
      <c r="AO15" s="188">
        <f>IFERROR(__xludf.DUMMYFUNCTION("""COMPUTED_VALUE"""),2051.0)</f>
        <v>2051</v>
      </c>
      <c r="AP15" s="188">
        <f>IFERROR(__xludf.DUMMYFUNCTION("""COMPUTED_VALUE"""),270.0)</f>
        <v>270</v>
      </c>
      <c r="AQ15" s="186">
        <f>IFERROR(__xludf.DUMMYFUNCTION("""COMPUTED_VALUE"""),10695.814740740741)</f>
        <v>10695.81474</v>
      </c>
      <c r="AR15" s="189">
        <f>IFERROR(__xludf.DUMMYFUNCTION("""COMPUTED_VALUE"""),7.5962962962962965)</f>
        <v>7.596296296</v>
      </c>
      <c r="AS15" s="186">
        <f>IFERROR(__xludf.DUMMYFUNCTION("""COMPUTED_VALUE"""),282840.0)</f>
        <v>282840</v>
      </c>
      <c r="AT15" s="186">
        <f>IFERROR(__xludf.DUMMYFUNCTION("""COMPUTED_VALUE"""),172362.0)</f>
        <v>172362</v>
      </c>
      <c r="AU15" s="187">
        <f>IFERROR(__xludf.DUMMYFUNCTION("""COMPUTED_VALUE"""),0.15762551747568634)</f>
        <v>0.1576255175</v>
      </c>
      <c r="AV15" s="186">
        <f>IFERROR(__xludf.DUMMYFUNCTION("""COMPUTED_VALUE"""),44428.768923076925)</f>
        <v>44428.76892</v>
      </c>
      <c r="AW15" s="219">
        <f>IFERROR(__xludf.DUMMYFUNCTION("""COMPUTED_VALUE"""),203.0)</f>
        <v>203</v>
      </c>
      <c r="AX15" s="219">
        <f>IFERROR(__xludf.DUMMYFUNCTION("""COMPUTED_VALUE"""),2768.0)</f>
        <v>2768</v>
      </c>
      <c r="AY15" s="254">
        <f>IFERROR(__xludf.DUMMYFUNCTION("""COMPUTED_VALUE"""),2407.74)</f>
        <v>2407.74</v>
      </c>
      <c r="AZ15" s="219">
        <f>IFERROR(__xludf.DUMMYFUNCTION("""COMPUTED_VALUE"""),28.0)</f>
        <v>28</v>
      </c>
      <c r="BA15" s="219">
        <f>IFERROR(__xludf.DUMMYFUNCTION("""COMPUTED_VALUE"""),65.0)</f>
        <v>65</v>
      </c>
      <c r="BB15" s="219">
        <f>IFERROR(__xludf.DUMMYFUNCTION("""COMPUTED_VALUE"""),20.0)</f>
        <v>20</v>
      </c>
      <c r="BC15" s="219">
        <f>IFERROR(__xludf.DUMMYFUNCTION("""COMPUTED_VALUE"""),3.0)</f>
        <v>3</v>
      </c>
      <c r="BD15" s="191"/>
      <c r="BE15" s="75"/>
      <c r="BF15" s="164">
        <v>-0.13999999966472387</v>
      </c>
      <c r="BG15" s="203">
        <f t="shared" si="4"/>
        <v>2887869.98</v>
      </c>
      <c r="BH15" s="255" t="str">
        <f t="shared" si="5"/>
        <v>#REF!</v>
      </c>
      <c r="BI15" s="75"/>
      <c r="BJ15" s="75"/>
      <c r="BK15" s="75"/>
      <c r="BL15" s="75"/>
      <c r="BM15" s="75"/>
      <c r="BN15" s="75"/>
      <c r="BO15" s="75"/>
      <c r="BP15" s="75"/>
      <c r="BQ15" s="75"/>
      <c r="BR15" s="75"/>
    </row>
    <row r="16">
      <c r="A16" s="6" t="str">
        <f>IFERROR(__xludf.DUMMYFUNCTION("""COMPUTED_VALUE"""),"Pawan Sharma")</f>
        <v>Pawan Sharma</v>
      </c>
      <c r="B16" s="183" t="str">
        <f>IFERROR(__xludf.DUMMYFUNCTION("""COMPUTED_VALUE"""),"Rajasthan")</f>
        <v>Rajasthan</v>
      </c>
      <c r="C16" s="184" t="str">
        <f>IFERROR(__xludf.DUMMYFUNCTION("""COMPUTED_VALUE"""),"Vikash Gour")</f>
        <v>Vikash Gour</v>
      </c>
      <c r="D16" s="75" t="str">
        <f>IFERROR(__xludf.DUMMYFUNCTION("""COMPUTED_VALUE"""),"Neemrana")</f>
        <v>Neemrana</v>
      </c>
      <c r="E16" s="256">
        <f>IFERROR(__xludf.DUMMYFUNCTION("""COMPUTED_VALUE"""),45733.0)</f>
        <v>45733</v>
      </c>
      <c r="F16" s="219" t="str">
        <f>IFERROR(__xludf.DUMMYFUNCTION("""COMPUTED_VALUE"""),"RAJASTHAN")</f>
        <v>RAJASTHAN</v>
      </c>
      <c r="G16" s="253"/>
      <c r="H16" s="253"/>
      <c r="I16" s="190">
        <f>IFERROR(__xludf.DUMMYFUNCTION("""COMPUTED_VALUE"""),33550.0)</f>
        <v>33550</v>
      </c>
      <c r="J16" s="190">
        <f>IFERROR(__xludf.DUMMYFUNCTION("""COMPUTED_VALUE"""),1500000.0)</f>
        <v>1500000</v>
      </c>
      <c r="K16" s="186">
        <f>IFERROR(__xludf.DUMMYFUNCTION("""COMPUTED_VALUE"""),0.0)</f>
        <v>0</v>
      </c>
      <c r="L16" s="186">
        <f>IFERROR(__xludf.DUMMYFUNCTION("""COMPUTED_VALUE"""),1.75E7)</f>
        <v>17500000</v>
      </c>
      <c r="M16" s="186">
        <f>IFERROR(__xludf.DUMMYFUNCTION("""COMPUTED_VALUE"""),8305428.76)</f>
        <v>8305428.76</v>
      </c>
      <c r="N16" s="186">
        <f>IFERROR(__xludf.DUMMYFUNCTION("""COMPUTED_VALUE"""),0.0)</f>
        <v>0</v>
      </c>
      <c r="O16" s="186">
        <f>IFERROR(__xludf.DUMMYFUNCTION("""COMPUTED_VALUE"""),6240886.0)</f>
        <v>6240886</v>
      </c>
      <c r="P16" s="187">
        <f>IFERROR(__xludf.DUMMYFUNCTION("""COMPUTED_VALUE"""),0.47459592914285714)</f>
        <v>0.4745959291</v>
      </c>
      <c r="Q16" s="187">
        <f>IFERROR(__xludf.DUMMYFUNCTION("""COMPUTED_VALUE"""),0.0)</f>
        <v>0</v>
      </c>
      <c r="R16" s="187">
        <f>IFERROR(__xludf.DUMMYFUNCTION("""COMPUTED_VALUE"""),0.35662205714285716)</f>
        <v>0.3566220571</v>
      </c>
      <c r="S16" s="188">
        <f>IFERROR(__xludf.DUMMYFUNCTION("""COMPUTED_VALUE"""),56.0)</f>
        <v>56</v>
      </c>
      <c r="T16" s="188">
        <f>IFERROR(__xludf.DUMMYFUNCTION("""COMPUTED_VALUE"""),92.0)</f>
        <v>92</v>
      </c>
      <c r="U16" s="188">
        <f>IFERROR(__xludf.DUMMYFUNCTION("""COMPUTED_VALUE"""),36.0)</f>
        <v>36</v>
      </c>
      <c r="V16" s="188">
        <f>IFERROR(__xludf.DUMMYFUNCTION("""COMPUTED_VALUE"""),36.0)</f>
        <v>36</v>
      </c>
      <c r="W16" s="188">
        <f>IFERROR(__xludf.DUMMYFUNCTION("""COMPUTED_VALUE"""),92.0)</f>
        <v>92</v>
      </c>
      <c r="X16" s="188">
        <f>IFERROR(__xludf.DUMMYFUNCTION("""COMPUTED_VALUE"""),0.0)</f>
        <v>0</v>
      </c>
      <c r="Y16" s="189">
        <f>IFERROR(__xludf.DUMMYFUNCTION("""COMPUTED_VALUE"""),3229622.76)</f>
        <v>3229622.76</v>
      </c>
      <c r="Z16" s="189">
        <f>IFERROR(__xludf.DUMMYFUNCTION("""COMPUTED_VALUE"""),5075806.0)</f>
        <v>5075806</v>
      </c>
      <c r="AA16" s="188">
        <f>IFERROR(__xludf.DUMMYFUNCTION("""COMPUTED_VALUE"""),22.0)</f>
        <v>22</v>
      </c>
      <c r="AB16" s="188">
        <f>IFERROR(__xludf.DUMMYFUNCTION("""COMPUTED_VALUE"""),36.0)</f>
        <v>36</v>
      </c>
      <c r="AC16" s="188">
        <f>IFERROR(__xludf.DUMMYFUNCTION("""COMPUTED_VALUE"""),58.0)</f>
        <v>58</v>
      </c>
      <c r="AD16" s="188">
        <f>IFERROR(__xludf.DUMMYFUNCTION("""COMPUTED_VALUE"""),0.0)</f>
        <v>0</v>
      </c>
      <c r="AE16" s="188">
        <f>IFERROR(__xludf.DUMMYFUNCTION("""COMPUTED_VALUE"""),226.0)</f>
        <v>226</v>
      </c>
      <c r="AF16" s="188">
        <f>IFERROR(__xludf.DUMMYFUNCTION("""COMPUTED_VALUE"""),642.0)</f>
        <v>642</v>
      </c>
      <c r="AG16" s="188">
        <f>IFERROR(__xludf.DUMMYFUNCTION("""COMPUTED_VALUE"""),1.0)</f>
        <v>1</v>
      </c>
      <c r="AH16" s="188">
        <f>IFERROR(__xludf.DUMMYFUNCTION("""COMPUTED_VALUE"""),7.0)</f>
        <v>7</v>
      </c>
      <c r="AI16" s="188">
        <f>IFERROR(__xludf.DUMMYFUNCTION("""COMPUTED_VALUE"""),142.0)</f>
        <v>142</v>
      </c>
      <c r="AJ16" s="188">
        <f>IFERROR(__xludf.DUMMYFUNCTION("""COMPUTED_VALUE"""),1.0)</f>
        <v>1</v>
      </c>
      <c r="AK16" s="188">
        <f>IFERROR(__xludf.DUMMYFUNCTION("""COMPUTED_VALUE"""),4.0)</f>
        <v>4</v>
      </c>
      <c r="AL16" s="188">
        <f>IFERROR(__xludf.DUMMYFUNCTION("""COMPUTED_VALUE"""),18.0)</f>
        <v>18</v>
      </c>
      <c r="AM16" s="188">
        <f>IFERROR(__xludf.DUMMYFUNCTION("""COMPUTED_VALUE"""),130.0)</f>
        <v>130</v>
      </c>
      <c r="AN16" s="188">
        <f>IFERROR(__xludf.DUMMYFUNCTION("""COMPUTED_VALUE"""),1166.0)</f>
        <v>1166</v>
      </c>
      <c r="AO16" s="188">
        <f>IFERROR(__xludf.DUMMYFUNCTION("""COMPUTED_VALUE"""),2084.0)</f>
        <v>2084</v>
      </c>
      <c r="AP16" s="188">
        <f>IFERROR(__xludf.DUMMYFUNCTION("""COMPUTED_VALUE"""),294.0)</f>
        <v>294</v>
      </c>
      <c r="AQ16" s="186">
        <f>IFERROR(__xludf.DUMMYFUNCTION("""COMPUTED_VALUE"""),28249.75768707483)</f>
        <v>28249.75769</v>
      </c>
      <c r="AR16" s="189">
        <f>IFERROR(__xludf.DUMMYFUNCTION("""COMPUTED_VALUE"""),7.08843537414966)</f>
        <v>7.088435374</v>
      </c>
      <c r="AS16" s="186">
        <f>IFERROR(__xludf.DUMMYFUNCTION("""COMPUTED_VALUE"""),402600.0)</f>
        <v>402600</v>
      </c>
      <c r="AT16" s="186">
        <f>IFERROR(__xludf.DUMMYFUNCTION("""COMPUTED_VALUE"""),333495.0)</f>
        <v>333495</v>
      </c>
      <c r="AU16" s="187">
        <f>IFERROR(__xludf.DUMMYFUNCTION("""COMPUTED_VALUE"""),0.08862817577162627)</f>
        <v>0.08862817577</v>
      </c>
      <c r="AV16" s="186">
        <f>IFERROR(__xludf.DUMMYFUNCTION("""COMPUTED_VALUE"""),143197.0475862069)</f>
        <v>143197.0476</v>
      </c>
      <c r="AW16" s="219">
        <f>IFERROR(__xludf.DUMMYFUNCTION("""COMPUTED_VALUE"""),261.0)</f>
        <v>261</v>
      </c>
      <c r="AX16" s="219">
        <f>IFERROR(__xludf.DUMMYFUNCTION("""COMPUTED_VALUE"""),2799.0)</f>
        <v>2799</v>
      </c>
      <c r="AY16" s="254">
        <f>IFERROR(__xludf.DUMMYFUNCTION("""COMPUTED_VALUE"""),5073.69)</f>
        <v>5073.69</v>
      </c>
      <c r="AZ16" s="219">
        <f>IFERROR(__xludf.DUMMYFUNCTION("""COMPUTED_VALUE"""),55.0)</f>
        <v>55</v>
      </c>
      <c r="BA16" s="219">
        <f>IFERROR(__xludf.DUMMYFUNCTION("""COMPUTED_VALUE"""),58.0)</f>
        <v>58</v>
      </c>
      <c r="BB16" s="219">
        <f>IFERROR(__xludf.DUMMYFUNCTION("""COMPUTED_VALUE"""),34.0)</f>
        <v>34</v>
      </c>
      <c r="BC16" s="219">
        <f>IFERROR(__xludf.DUMMYFUNCTION("""COMPUTED_VALUE"""),0.0)</f>
        <v>0</v>
      </c>
      <c r="BD16" s="191"/>
      <c r="BE16" s="195"/>
      <c r="BF16" s="164">
        <v>-0.15999999828636646</v>
      </c>
      <c r="BG16" s="203">
        <f t="shared" si="4"/>
        <v>8305428.76</v>
      </c>
      <c r="BH16" s="255" t="str">
        <f t="shared" si="5"/>
        <v>#REF!</v>
      </c>
      <c r="BI16" s="75"/>
      <c r="BJ16" s="75"/>
      <c r="BK16" s="75"/>
      <c r="BL16" s="75"/>
      <c r="BM16" s="75"/>
      <c r="BN16" s="75"/>
      <c r="BO16" s="75"/>
      <c r="BP16" s="75"/>
      <c r="BQ16" s="75"/>
      <c r="BR16" s="75"/>
    </row>
    <row r="17">
      <c r="A17" s="6" t="str">
        <f>IFERROR(__xludf.DUMMYFUNCTION("""COMPUTED_VALUE"""),"Pawan Sharma")</f>
        <v>Pawan Sharma</v>
      </c>
      <c r="B17" s="183" t="str">
        <f>IFERROR(__xludf.DUMMYFUNCTION("""COMPUTED_VALUE"""),"Rajasthan")</f>
        <v>Rajasthan</v>
      </c>
      <c r="C17" s="184" t="str">
        <f>IFERROR(__xludf.DUMMYFUNCTION("""COMPUTED_VALUE"""),"Ranveer Singh")</f>
        <v>Ranveer Singh</v>
      </c>
      <c r="D17" s="75" t="str">
        <f>IFERROR(__xludf.DUMMYFUNCTION("""COMPUTED_VALUE"""),"Jhunjhunu")</f>
        <v>Jhunjhunu</v>
      </c>
      <c r="E17" s="256">
        <f>IFERROR(__xludf.DUMMYFUNCTION("""COMPUTED_VALUE"""),45735.0)</f>
        <v>45735</v>
      </c>
      <c r="F17" s="219" t="str">
        <f>IFERROR(__xludf.DUMMYFUNCTION("""COMPUTED_VALUE"""),"RAJASTHAN")</f>
        <v>RAJASTHAN</v>
      </c>
      <c r="G17" s="253"/>
      <c r="H17" s="253"/>
      <c r="I17" s="190">
        <f>IFERROR(__xludf.DUMMYFUNCTION("""COMPUTED_VALUE"""),25165.0)</f>
        <v>25165</v>
      </c>
      <c r="J17" s="190">
        <f>IFERROR(__xludf.DUMMYFUNCTION("""COMPUTED_VALUE"""),700000.0)</f>
        <v>700000</v>
      </c>
      <c r="K17" s="186">
        <f>IFERROR(__xludf.DUMMYFUNCTION("""COMPUTED_VALUE"""),0.0)</f>
        <v>0</v>
      </c>
      <c r="L17" s="186">
        <f>IFERROR(__xludf.DUMMYFUNCTION("""COMPUTED_VALUE"""),2800000.0)</f>
        <v>2800000</v>
      </c>
      <c r="M17" s="186">
        <f>IFERROR(__xludf.DUMMYFUNCTION("""COMPUTED_VALUE"""),19908.0)</f>
        <v>19908</v>
      </c>
      <c r="N17" s="186">
        <f>IFERROR(__xludf.DUMMYFUNCTION("""COMPUTED_VALUE"""),0.0)</f>
        <v>0</v>
      </c>
      <c r="O17" s="186">
        <f>IFERROR(__xludf.DUMMYFUNCTION("""COMPUTED_VALUE"""),0.0)</f>
        <v>0</v>
      </c>
      <c r="P17" s="187">
        <f>IFERROR(__xludf.DUMMYFUNCTION("""COMPUTED_VALUE"""),0.00711)</f>
        <v>0.00711</v>
      </c>
      <c r="Q17" s="187">
        <f>IFERROR(__xludf.DUMMYFUNCTION("""COMPUTED_VALUE"""),0.0)</f>
        <v>0</v>
      </c>
      <c r="R17" s="187">
        <f>IFERROR(__xludf.DUMMYFUNCTION("""COMPUTED_VALUE"""),0.0)</f>
        <v>0</v>
      </c>
      <c r="S17" s="188">
        <f>IFERROR(__xludf.DUMMYFUNCTION("""COMPUTED_VALUE"""),33.0)</f>
        <v>33</v>
      </c>
      <c r="T17" s="188">
        <f>IFERROR(__xludf.DUMMYFUNCTION("""COMPUTED_VALUE"""),28.0)</f>
        <v>28</v>
      </c>
      <c r="U17" s="188">
        <f>IFERROR(__xludf.DUMMYFUNCTION("""COMPUTED_VALUE"""),4.0)</f>
        <v>4</v>
      </c>
      <c r="V17" s="188">
        <f>IFERROR(__xludf.DUMMYFUNCTION("""COMPUTED_VALUE"""),0.0)</f>
        <v>0</v>
      </c>
      <c r="W17" s="188">
        <f>IFERROR(__xludf.DUMMYFUNCTION("""COMPUTED_VALUE"""),37.0)</f>
        <v>37</v>
      </c>
      <c r="X17" s="188">
        <f>IFERROR(__xludf.DUMMYFUNCTION("""COMPUTED_VALUE"""),9.0)</f>
        <v>9</v>
      </c>
      <c r="Y17" s="189">
        <f>IFERROR(__xludf.DUMMYFUNCTION("""COMPUTED_VALUE"""),19908.0)</f>
        <v>19908</v>
      </c>
      <c r="Z17" s="189">
        <f>IFERROR(__xludf.DUMMYFUNCTION("""COMPUTED_VALUE"""),0.0)</f>
        <v>0</v>
      </c>
      <c r="AA17" s="188">
        <f>IFERROR(__xludf.DUMMYFUNCTION("""COMPUTED_VALUE"""),1.0)</f>
        <v>1</v>
      </c>
      <c r="AB17" s="188">
        <f>IFERROR(__xludf.DUMMYFUNCTION("""COMPUTED_VALUE"""),0.0)</f>
        <v>0</v>
      </c>
      <c r="AC17" s="188">
        <f>IFERROR(__xludf.DUMMYFUNCTION("""COMPUTED_VALUE"""),1.0)</f>
        <v>1</v>
      </c>
      <c r="AD17" s="188">
        <f>IFERROR(__xludf.DUMMYFUNCTION("""COMPUTED_VALUE"""),0.0)</f>
        <v>0</v>
      </c>
      <c r="AE17" s="188">
        <f>IFERROR(__xludf.DUMMYFUNCTION("""COMPUTED_VALUE"""),148.0)</f>
        <v>148</v>
      </c>
      <c r="AF17" s="188">
        <f>IFERROR(__xludf.DUMMYFUNCTION("""COMPUTED_VALUE"""),358.0)</f>
        <v>358</v>
      </c>
      <c r="AG17" s="188">
        <f>IFERROR(__xludf.DUMMYFUNCTION("""COMPUTED_VALUE"""),105.0)</f>
        <v>105</v>
      </c>
      <c r="AH17" s="188">
        <f>IFERROR(__xludf.DUMMYFUNCTION("""COMPUTED_VALUE"""),2.0)</f>
        <v>2</v>
      </c>
      <c r="AI17" s="188">
        <f>IFERROR(__xludf.DUMMYFUNCTION("""COMPUTED_VALUE"""),3.0)</f>
        <v>3</v>
      </c>
      <c r="AJ17" s="188">
        <f>IFERROR(__xludf.DUMMYFUNCTION("""COMPUTED_VALUE"""),0.0)</f>
        <v>0</v>
      </c>
      <c r="AK17" s="188">
        <f>IFERROR(__xludf.DUMMYFUNCTION("""COMPUTED_VALUE"""),0.0)</f>
        <v>0</v>
      </c>
      <c r="AL17" s="188">
        <f>IFERROR(__xludf.DUMMYFUNCTION("""COMPUTED_VALUE"""),4.0)</f>
        <v>4</v>
      </c>
      <c r="AM17" s="188">
        <f>IFERROR(__xludf.DUMMYFUNCTION("""COMPUTED_VALUE"""),7.0)</f>
        <v>7</v>
      </c>
      <c r="AN17" s="188">
        <f>IFERROR(__xludf.DUMMYFUNCTION("""COMPUTED_VALUE"""),109.0)</f>
        <v>109</v>
      </c>
      <c r="AO17" s="188">
        <f>IFERROR(__xludf.DUMMYFUNCTION("""COMPUTED_VALUE"""),477.0)</f>
        <v>477</v>
      </c>
      <c r="AP17" s="188">
        <f>IFERROR(__xludf.DUMMYFUNCTION("""COMPUTED_VALUE"""),83.0)</f>
        <v>83</v>
      </c>
      <c r="AQ17" s="186">
        <f>IFERROR(__xludf.DUMMYFUNCTION("""COMPUTED_VALUE"""),239.85542168674698)</f>
        <v>239.8554217</v>
      </c>
      <c r="AR17" s="189">
        <f>IFERROR(__xludf.DUMMYFUNCTION("""COMPUTED_VALUE"""),5.746987951807229)</f>
        <v>5.746987952</v>
      </c>
      <c r="AS17" s="186">
        <f>IFERROR(__xludf.DUMMYFUNCTION("""COMPUTED_VALUE"""),88077.5)</f>
        <v>88077.5</v>
      </c>
      <c r="AT17" s="186">
        <f>IFERROR(__xludf.DUMMYFUNCTION("""COMPUTED_VALUE"""),26514.0)</f>
        <v>26514</v>
      </c>
      <c r="AU17" s="187">
        <f>IFERROR(__xludf.DUMMYFUNCTION("""COMPUTED_VALUE"""),5.75605284307816)</f>
        <v>5.756052843</v>
      </c>
      <c r="AV17" s="186">
        <f>IFERROR(__xludf.DUMMYFUNCTION("""COMPUTED_VALUE"""),19908.0)</f>
        <v>19908</v>
      </c>
      <c r="AW17" s="219">
        <f>IFERROR(__xludf.DUMMYFUNCTION("""COMPUTED_VALUE"""),1.0)</f>
        <v>1</v>
      </c>
      <c r="AX17" s="219">
        <f>IFERROR(__xludf.DUMMYFUNCTION("""COMPUTED_VALUE"""),679.0)</f>
        <v>679</v>
      </c>
      <c r="AY17" s="254">
        <f>IFERROR(__xludf.DUMMYFUNCTION("""COMPUTED_VALUE"""),0.0)</f>
        <v>0</v>
      </c>
      <c r="AZ17" s="219">
        <f>IFERROR(__xludf.DUMMYFUNCTION("""COMPUTED_VALUE"""),0.0)</f>
        <v>0</v>
      </c>
      <c r="BA17" s="219">
        <f>IFERROR(__xludf.DUMMYFUNCTION("""COMPUTED_VALUE"""),1.0)</f>
        <v>1</v>
      </c>
      <c r="BB17" s="219">
        <f>IFERROR(__xludf.DUMMYFUNCTION("""COMPUTED_VALUE"""),27.0)</f>
        <v>27</v>
      </c>
      <c r="BC17" s="219">
        <f>IFERROR(__xludf.DUMMYFUNCTION("""COMPUTED_VALUE"""),9.0)</f>
        <v>9</v>
      </c>
      <c r="BD17" s="191">
        <f>IFERROR(__xludf.DUMMYFUNCTION("""COMPUTED_VALUE"""),45853.0)</f>
        <v>45853</v>
      </c>
      <c r="BE17" s="75"/>
      <c r="BF17" s="164">
        <v>0.0</v>
      </c>
      <c r="BG17" s="203">
        <f t="shared" si="4"/>
        <v>19908</v>
      </c>
      <c r="BH17" s="255" t="str">
        <f t="shared" si="5"/>
        <v>#REF!</v>
      </c>
      <c r="BI17" s="75"/>
      <c r="BJ17" s="75"/>
      <c r="BK17" s="75"/>
      <c r="BL17" s="75"/>
      <c r="BM17" s="75"/>
      <c r="BN17" s="75"/>
      <c r="BO17" s="75"/>
      <c r="BP17" s="75"/>
      <c r="BQ17" s="75"/>
      <c r="BR17" s="75"/>
    </row>
    <row r="18">
      <c r="A18" s="6" t="str">
        <f>IFERROR(__xludf.DUMMYFUNCTION("""COMPUTED_VALUE"""),"Pawan Sharma")</f>
        <v>Pawan Sharma</v>
      </c>
      <c r="B18" s="183" t="str">
        <f>IFERROR(__xludf.DUMMYFUNCTION("""COMPUTED_VALUE"""),"Rajasthan")</f>
        <v>Rajasthan</v>
      </c>
      <c r="C18" s="184" t="str">
        <f>IFERROR(__xludf.DUMMYFUNCTION("""COMPUTED_VALUE"""),"Pawan Kumar.")</f>
        <v>Pawan Kumar.</v>
      </c>
      <c r="D18" s="75" t="str">
        <f>IFERROR(__xludf.DUMMYFUNCTION("""COMPUTED_VALUE"""),"Sri GangaNagar")</f>
        <v>Sri GangaNagar</v>
      </c>
      <c r="E18" s="256">
        <f>IFERROR(__xludf.DUMMYFUNCTION("""COMPUTED_VALUE"""),45735.0)</f>
        <v>45735</v>
      </c>
      <c r="F18" s="219" t="str">
        <f>IFERROR(__xludf.DUMMYFUNCTION("""COMPUTED_VALUE"""),"RAJASTHAN")</f>
        <v>RAJASTHAN</v>
      </c>
      <c r="G18" s="253"/>
      <c r="H18" s="253"/>
      <c r="I18" s="190">
        <f>IFERROR(__xludf.DUMMYFUNCTION("""COMPUTED_VALUE"""),25165.0)</f>
        <v>25165</v>
      </c>
      <c r="J18" s="190">
        <f>IFERROR(__xludf.DUMMYFUNCTION("""COMPUTED_VALUE"""),700000.0)</f>
        <v>700000</v>
      </c>
      <c r="K18" s="186">
        <f>IFERROR(__xludf.DUMMYFUNCTION("""COMPUTED_VALUE"""),0.0)</f>
        <v>0</v>
      </c>
      <c r="L18" s="186">
        <f>IFERROR(__xludf.DUMMYFUNCTION("""COMPUTED_VALUE"""),4900000.0)</f>
        <v>4900000</v>
      </c>
      <c r="M18" s="186">
        <f>IFERROR(__xludf.DUMMYFUNCTION("""COMPUTED_VALUE"""),967341.44)</f>
        <v>967341.44</v>
      </c>
      <c r="N18" s="186">
        <f>IFERROR(__xludf.DUMMYFUNCTION("""COMPUTED_VALUE"""),0.0)</f>
        <v>0</v>
      </c>
      <c r="O18" s="186">
        <f>IFERROR(__xludf.DUMMYFUNCTION("""COMPUTED_VALUE"""),0.0)</f>
        <v>0</v>
      </c>
      <c r="P18" s="187">
        <f>IFERROR(__xludf.DUMMYFUNCTION("""COMPUTED_VALUE"""),0.19741662040816324)</f>
        <v>0.1974166204</v>
      </c>
      <c r="Q18" s="187">
        <f>IFERROR(__xludf.DUMMYFUNCTION("""COMPUTED_VALUE"""),0.0)</f>
        <v>0</v>
      </c>
      <c r="R18" s="187">
        <f>IFERROR(__xludf.DUMMYFUNCTION("""COMPUTED_VALUE"""),0.0)</f>
        <v>0</v>
      </c>
      <c r="S18" s="188">
        <f>IFERROR(__xludf.DUMMYFUNCTION("""COMPUTED_VALUE"""),48.0)</f>
        <v>48</v>
      </c>
      <c r="T18" s="188">
        <f>IFERROR(__xludf.DUMMYFUNCTION("""COMPUTED_VALUE"""),74.0)</f>
        <v>74</v>
      </c>
      <c r="U18" s="188">
        <f>IFERROR(__xludf.DUMMYFUNCTION("""COMPUTED_VALUE"""),27.0)</f>
        <v>27</v>
      </c>
      <c r="V18" s="188">
        <f>IFERROR(__xludf.DUMMYFUNCTION("""COMPUTED_VALUE"""),27.0)</f>
        <v>27</v>
      </c>
      <c r="W18" s="188">
        <f>IFERROR(__xludf.DUMMYFUNCTION("""COMPUTED_VALUE"""),75.0)</f>
        <v>75</v>
      </c>
      <c r="X18" s="188">
        <f>IFERROR(__xludf.DUMMYFUNCTION("""COMPUTED_VALUE"""),1.0)</f>
        <v>1</v>
      </c>
      <c r="Y18" s="189">
        <f>IFERROR(__xludf.DUMMYFUNCTION("""COMPUTED_VALUE"""),149111.2)</f>
        <v>149111.2</v>
      </c>
      <c r="Z18" s="189">
        <f>IFERROR(__xludf.DUMMYFUNCTION("""COMPUTED_VALUE"""),818230.24)</f>
        <v>818230.24</v>
      </c>
      <c r="AA18" s="188">
        <f>IFERROR(__xludf.DUMMYFUNCTION("""COMPUTED_VALUE"""),4.0)</f>
        <v>4</v>
      </c>
      <c r="AB18" s="188">
        <f>IFERROR(__xludf.DUMMYFUNCTION("""COMPUTED_VALUE"""),27.0)</f>
        <v>27</v>
      </c>
      <c r="AC18" s="188">
        <f>IFERROR(__xludf.DUMMYFUNCTION("""COMPUTED_VALUE"""),31.0)</f>
        <v>31</v>
      </c>
      <c r="AD18" s="188">
        <f>IFERROR(__xludf.DUMMYFUNCTION("""COMPUTED_VALUE"""),0.0)</f>
        <v>0</v>
      </c>
      <c r="AE18" s="188">
        <f>IFERROR(__xludf.DUMMYFUNCTION("""COMPUTED_VALUE"""),197.0)</f>
        <v>197</v>
      </c>
      <c r="AF18" s="188">
        <f>IFERROR(__xludf.DUMMYFUNCTION("""COMPUTED_VALUE"""),612.0)</f>
        <v>612</v>
      </c>
      <c r="AG18" s="188">
        <f>IFERROR(__xludf.DUMMYFUNCTION("""COMPUTED_VALUE"""),4.0)</f>
        <v>4</v>
      </c>
      <c r="AH18" s="188">
        <f>IFERROR(__xludf.DUMMYFUNCTION("""COMPUTED_VALUE"""),4.0)</f>
        <v>4</v>
      </c>
      <c r="AI18" s="188">
        <f>IFERROR(__xludf.DUMMYFUNCTION("""COMPUTED_VALUE"""),75.0)</f>
        <v>75</v>
      </c>
      <c r="AJ18" s="188">
        <f>IFERROR(__xludf.DUMMYFUNCTION("""COMPUTED_VALUE"""),0.0)</f>
        <v>0</v>
      </c>
      <c r="AK18" s="188">
        <f>IFERROR(__xludf.DUMMYFUNCTION("""COMPUTED_VALUE"""),0.0)</f>
        <v>0</v>
      </c>
      <c r="AL18" s="188">
        <f>IFERROR(__xludf.DUMMYFUNCTION("""COMPUTED_VALUE"""),11.0)</f>
        <v>11</v>
      </c>
      <c r="AM18" s="188">
        <f>IFERROR(__xludf.DUMMYFUNCTION("""COMPUTED_VALUE"""),70.0)</f>
        <v>70</v>
      </c>
      <c r="AN18" s="188">
        <f>IFERROR(__xludf.DUMMYFUNCTION("""COMPUTED_VALUE"""),434.0)</f>
        <v>434</v>
      </c>
      <c r="AO18" s="188">
        <f>IFERROR(__xludf.DUMMYFUNCTION("""COMPUTED_VALUE"""),1191.0)</f>
        <v>1191</v>
      </c>
      <c r="AP18" s="188">
        <f>IFERROR(__xludf.DUMMYFUNCTION("""COMPUTED_VALUE"""),153.0)</f>
        <v>153</v>
      </c>
      <c r="AQ18" s="186">
        <f>IFERROR(__xludf.DUMMYFUNCTION("""COMPUTED_VALUE"""),6322.493071895425)</f>
        <v>6322.493072</v>
      </c>
      <c r="AR18" s="189">
        <f>IFERROR(__xludf.DUMMYFUNCTION("""COMPUTED_VALUE"""),7.784313725490196)</f>
        <v>7.784313725</v>
      </c>
      <c r="AS18" s="186">
        <f>IFERROR(__xludf.DUMMYFUNCTION("""COMPUTED_VALUE"""),157484.1935483871)</f>
        <v>157484.1935</v>
      </c>
      <c r="AT18" s="186">
        <f>IFERROR(__xludf.DUMMYFUNCTION("""COMPUTED_VALUE"""),80854.0)</f>
        <v>80854</v>
      </c>
      <c r="AU18" s="187">
        <f>IFERROR(__xludf.DUMMYFUNCTION("""COMPUTED_VALUE"""),0.24638476518527636)</f>
        <v>0.2463847652</v>
      </c>
      <c r="AV18" s="186">
        <f>IFERROR(__xludf.DUMMYFUNCTION("""COMPUTED_VALUE"""),31204.56258064516)</f>
        <v>31204.56258</v>
      </c>
      <c r="AW18" s="219">
        <f>IFERROR(__xludf.DUMMYFUNCTION("""COMPUTED_VALUE"""),58.0)</f>
        <v>58</v>
      </c>
      <c r="AX18" s="219">
        <f>IFERROR(__xludf.DUMMYFUNCTION("""COMPUTED_VALUE"""),1801.0)</f>
        <v>1801</v>
      </c>
      <c r="AY18" s="254">
        <f>IFERROR(__xludf.DUMMYFUNCTION("""COMPUTED_VALUE"""),0.0)</f>
        <v>0</v>
      </c>
      <c r="AZ18" s="219">
        <f>IFERROR(__xludf.DUMMYFUNCTION("""COMPUTED_VALUE"""),0.0)</f>
        <v>0</v>
      </c>
      <c r="BA18" s="219">
        <f>IFERROR(__xludf.DUMMYFUNCTION("""COMPUTED_VALUE"""),31.0)</f>
        <v>31</v>
      </c>
      <c r="BB18" s="219">
        <f>IFERROR(__xludf.DUMMYFUNCTION("""COMPUTED_VALUE"""),43.0)</f>
        <v>43</v>
      </c>
      <c r="BC18" s="219">
        <f>IFERROR(__xludf.DUMMYFUNCTION("""COMPUTED_VALUE"""),1.0)</f>
        <v>1</v>
      </c>
      <c r="BD18" s="191">
        <f>IFERROR(__xludf.DUMMYFUNCTION("""COMPUTED_VALUE"""),45938.0)</f>
        <v>45938</v>
      </c>
      <c r="BE18" s="75"/>
      <c r="BF18" s="164">
        <v>0.06999999983236194</v>
      </c>
      <c r="BG18" s="203">
        <f t="shared" si="4"/>
        <v>967341.44</v>
      </c>
      <c r="BH18" s="255" t="str">
        <f t="shared" si="5"/>
        <v>#REF!</v>
      </c>
      <c r="BI18" s="75"/>
      <c r="BJ18" s="75"/>
      <c r="BK18" s="75"/>
      <c r="BL18" s="75"/>
      <c r="BM18" s="75"/>
      <c r="BN18" s="75"/>
      <c r="BO18" s="75"/>
      <c r="BP18" s="75"/>
      <c r="BQ18" s="75"/>
      <c r="BR18" s="75"/>
    </row>
    <row r="19">
      <c r="A19" s="6" t="str">
        <f>IFERROR(__xludf.DUMMYFUNCTION("""COMPUTED_VALUE"""),"Pawan Sharma")</f>
        <v>Pawan Sharma</v>
      </c>
      <c r="B19" s="183" t="str">
        <f>IFERROR(__xludf.DUMMYFUNCTION("""COMPUTED_VALUE"""),"Rajasthan")</f>
        <v>Rajasthan</v>
      </c>
      <c r="C19" s="184" t="str">
        <f>IFERROR(__xludf.DUMMYFUNCTION("""COMPUTED_VALUE"""),"Subhash")</f>
        <v>Subhash</v>
      </c>
      <c r="D19" s="75" t="str">
        <f>IFERROR(__xludf.DUMMYFUNCTION("""COMPUTED_VALUE"""),"Hanumangarh")</f>
        <v>Hanumangarh</v>
      </c>
      <c r="E19" s="256">
        <f>IFERROR(__xludf.DUMMYFUNCTION("""COMPUTED_VALUE"""),45736.0)</f>
        <v>45736</v>
      </c>
      <c r="F19" s="219" t="str">
        <f>IFERROR(__xludf.DUMMYFUNCTION("""COMPUTED_VALUE"""),"HARYANA, RAJASTHAN")</f>
        <v>HARYANA, RAJASTHAN</v>
      </c>
      <c r="G19" s="253"/>
      <c r="H19" s="253"/>
      <c r="I19" s="190">
        <f>IFERROR(__xludf.DUMMYFUNCTION("""COMPUTED_VALUE"""),37740.0)</f>
        <v>37740</v>
      </c>
      <c r="J19" s="190"/>
      <c r="K19" s="186">
        <f>IFERROR(__xludf.DUMMYFUNCTION("""COMPUTED_VALUE"""),0.0)</f>
        <v>0</v>
      </c>
      <c r="L19" s="186">
        <f>IFERROR(__xludf.DUMMYFUNCTION("""COMPUTED_VALUE"""),0.0)</f>
        <v>0</v>
      </c>
      <c r="M19" s="186">
        <f>IFERROR(__xludf.DUMMYFUNCTION("""COMPUTED_VALUE"""),0.0)</f>
        <v>0</v>
      </c>
      <c r="N19" s="186">
        <f>IFERROR(__xludf.DUMMYFUNCTION("""COMPUTED_VALUE"""),0.0)</f>
        <v>0</v>
      </c>
      <c r="O19" s="186"/>
      <c r="P19" s="187"/>
      <c r="Q19" s="187">
        <f>IFERROR(__xludf.DUMMYFUNCTION("""COMPUTED_VALUE"""),0.0)</f>
        <v>0</v>
      </c>
      <c r="R19" s="187"/>
      <c r="S19" s="188">
        <f>IFERROR(__xludf.DUMMYFUNCTION("""COMPUTED_VALUE"""),29.0)</f>
        <v>29</v>
      </c>
      <c r="T19" s="188">
        <f>IFERROR(__xludf.DUMMYFUNCTION("""COMPUTED_VALUE"""),45.0)</f>
        <v>45</v>
      </c>
      <c r="U19" s="188">
        <f>IFERROR(__xludf.DUMMYFUNCTION("""COMPUTED_VALUE"""),16.0)</f>
        <v>16</v>
      </c>
      <c r="V19" s="188">
        <f>IFERROR(__xludf.DUMMYFUNCTION("""COMPUTED_VALUE"""),0.0)</f>
        <v>0</v>
      </c>
      <c r="W19" s="188">
        <f>IFERROR(__xludf.DUMMYFUNCTION("""COMPUTED_VALUE"""),45.0)</f>
        <v>45</v>
      </c>
      <c r="X19" s="188">
        <f>IFERROR(__xludf.DUMMYFUNCTION("""COMPUTED_VALUE"""),0.0)</f>
        <v>0</v>
      </c>
      <c r="Y19" s="189">
        <f>IFERROR(__xludf.DUMMYFUNCTION("""COMPUTED_VALUE"""),0.0)</f>
        <v>0</v>
      </c>
      <c r="Z19" s="189">
        <f>IFERROR(__xludf.DUMMYFUNCTION("""COMPUTED_VALUE"""),0.0)</f>
        <v>0</v>
      </c>
      <c r="AA19" s="188">
        <f>IFERROR(__xludf.DUMMYFUNCTION("""COMPUTED_VALUE"""),0.0)</f>
        <v>0</v>
      </c>
      <c r="AB19" s="188">
        <f>IFERROR(__xludf.DUMMYFUNCTION("""COMPUTED_VALUE"""),0.0)</f>
        <v>0</v>
      </c>
      <c r="AC19" s="188">
        <f>IFERROR(__xludf.DUMMYFUNCTION("""COMPUTED_VALUE"""),0.0)</f>
        <v>0</v>
      </c>
      <c r="AD19" s="188">
        <f>IFERROR(__xludf.DUMMYFUNCTION("""COMPUTED_VALUE"""),0.0)</f>
        <v>0</v>
      </c>
      <c r="AE19" s="188">
        <f>IFERROR(__xludf.DUMMYFUNCTION("""COMPUTED_VALUE"""),119.0)</f>
        <v>119</v>
      </c>
      <c r="AF19" s="188">
        <f>IFERROR(__xludf.DUMMYFUNCTION("""COMPUTED_VALUE"""),321.0)</f>
        <v>321</v>
      </c>
      <c r="AG19" s="188">
        <f>IFERROR(__xludf.DUMMYFUNCTION("""COMPUTED_VALUE"""),1.0)</f>
        <v>1</v>
      </c>
      <c r="AH19" s="188">
        <f>IFERROR(__xludf.DUMMYFUNCTION("""COMPUTED_VALUE"""),5.0)</f>
        <v>5</v>
      </c>
      <c r="AI19" s="188">
        <f>IFERROR(__xludf.DUMMYFUNCTION("""COMPUTED_VALUE"""),36.0)</f>
        <v>36</v>
      </c>
      <c r="AJ19" s="188">
        <f>IFERROR(__xludf.DUMMYFUNCTION("""COMPUTED_VALUE"""),0.0)</f>
        <v>0</v>
      </c>
      <c r="AK19" s="188">
        <f>IFERROR(__xludf.DUMMYFUNCTION("""COMPUTED_VALUE"""),0.0)</f>
        <v>0</v>
      </c>
      <c r="AL19" s="188">
        <f>IFERROR(__xludf.DUMMYFUNCTION("""COMPUTED_VALUE"""),19.0)</f>
        <v>19</v>
      </c>
      <c r="AM19" s="188">
        <f>IFERROR(__xludf.DUMMYFUNCTION("""COMPUTED_VALUE"""),57.0)</f>
        <v>57</v>
      </c>
      <c r="AN19" s="188">
        <f>IFERROR(__xludf.DUMMYFUNCTION("""COMPUTED_VALUE"""),117.0)</f>
        <v>117</v>
      </c>
      <c r="AO19" s="188">
        <f>IFERROR(__xludf.DUMMYFUNCTION("""COMPUTED_VALUE"""),531.0)</f>
        <v>531</v>
      </c>
      <c r="AP19" s="188">
        <f>IFERROR(__xludf.DUMMYFUNCTION("""COMPUTED_VALUE"""),132.0)</f>
        <v>132</v>
      </c>
      <c r="AQ19" s="186">
        <f>IFERROR(__xludf.DUMMYFUNCTION("""COMPUTED_VALUE"""),0.0)</f>
        <v>0</v>
      </c>
      <c r="AR19" s="189">
        <f>IFERROR(__xludf.DUMMYFUNCTION("""COMPUTED_VALUE"""),4.0227272727272725)</f>
        <v>4.022727273</v>
      </c>
      <c r="AS19" s="186">
        <f>IFERROR(__xludf.DUMMYFUNCTION("""COMPUTED_VALUE"""),212601.99999999997)</f>
        <v>212602</v>
      </c>
      <c r="AT19" s="186">
        <f>IFERROR(__xludf.DUMMYFUNCTION("""COMPUTED_VALUE"""),89487.0)</f>
        <v>89487</v>
      </c>
      <c r="AU19" s="187"/>
      <c r="AV19" s="186"/>
      <c r="AW19" s="219">
        <f>IFERROR(__xludf.DUMMYFUNCTION("""COMPUTED_VALUE"""),0.0)</f>
        <v>0</v>
      </c>
      <c r="AX19" s="219">
        <f>IFERROR(__xludf.DUMMYFUNCTION("""COMPUTED_VALUE"""),1326.0)</f>
        <v>1326</v>
      </c>
      <c r="AY19" s="254">
        <f>IFERROR(__xludf.DUMMYFUNCTION("""COMPUTED_VALUE"""),0.0)</f>
        <v>0</v>
      </c>
      <c r="AZ19" s="219">
        <f>IFERROR(__xludf.DUMMYFUNCTION("""COMPUTED_VALUE"""),0.0)</f>
        <v>0</v>
      </c>
      <c r="BA19" s="219">
        <f>IFERROR(__xludf.DUMMYFUNCTION("""COMPUTED_VALUE"""),0.0)</f>
        <v>0</v>
      </c>
      <c r="BB19" s="219">
        <f>IFERROR(__xludf.DUMMYFUNCTION("""COMPUTED_VALUE"""),45.0)</f>
        <v>45</v>
      </c>
      <c r="BC19" s="219">
        <f>IFERROR(__xludf.DUMMYFUNCTION("""COMPUTED_VALUE"""),0.0)</f>
        <v>0</v>
      </c>
      <c r="BD19" s="191">
        <f>IFERROR(__xludf.DUMMYFUNCTION("""COMPUTED_VALUE"""),45919.0)</f>
        <v>45919</v>
      </c>
      <c r="BE19" s="75"/>
      <c r="BF19" s="164" t="e">
        <v>#N/A</v>
      </c>
      <c r="BG19" s="203">
        <f t="shared" si="4"/>
        <v>0</v>
      </c>
      <c r="BH19" s="255" t="str">
        <f t="shared" si="5"/>
        <v>#REF!</v>
      </c>
      <c r="BI19" s="75"/>
      <c r="BJ19" s="75"/>
      <c r="BK19" s="75"/>
      <c r="BL19" s="75"/>
      <c r="BM19" s="75"/>
      <c r="BN19" s="75"/>
      <c r="BO19" s="75"/>
      <c r="BP19" s="75"/>
      <c r="BQ19" s="75"/>
      <c r="BR19" s="75"/>
    </row>
    <row r="20">
      <c r="A20" s="6" t="str">
        <f>IFERROR(__xludf.DUMMYFUNCTION("""COMPUTED_VALUE"""),"Pawan Sharma")</f>
        <v>Pawan Sharma</v>
      </c>
      <c r="B20" s="183" t="str">
        <f>IFERROR(__xludf.DUMMYFUNCTION("""COMPUTED_VALUE"""),"Rajasthan")</f>
        <v>Rajasthan</v>
      </c>
      <c r="C20" s="184" t="str">
        <f>IFERROR(__xludf.DUMMYFUNCTION("""COMPUTED_VALUE"""),"Anil Kant Dadhich")</f>
        <v>Anil Kant Dadhich</v>
      </c>
      <c r="D20" s="75" t="str">
        <f>IFERROR(__xludf.DUMMYFUNCTION("""COMPUTED_VALUE"""),"Jaipur")</f>
        <v>Jaipur</v>
      </c>
      <c r="E20" s="256">
        <f>IFERROR(__xludf.DUMMYFUNCTION("""COMPUTED_VALUE"""),45761.0)</f>
        <v>45761</v>
      </c>
      <c r="F20" s="219" t="str">
        <f>IFERROR(__xludf.DUMMYFUNCTION("""COMPUTED_VALUE"""),"RAJASTHAN")</f>
        <v>RAJASTHAN</v>
      </c>
      <c r="G20" s="253"/>
      <c r="H20" s="253"/>
      <c r="I20" s="190">
        <f>IFERROR(__xludf.DUMMYFUNCTION("""COMPUTED_VALUE"""),65000.0)</f>
        <v>65000</v>
      </c>
      <c r="J20" s="190"/>
      <c r="K20" s="186">
        <f>IFERROR(__xludf.DUMMYFUNCTION("""COMPUTED_VALUE"""),0.0)</f>
        <v>0</v>
      </c>
      <c r="L20" s="186">
        <f>IFERROR(__xludf.DUMMYFUNCTION("""COMPUTED_VALUE"""),0.0)</f>
        <v>0</v>
      </c>
      <c r="M20" s="186">
        <f>IFERROR(__xludf.DUMMYFUNCTION("""COMPUTED_VALUE"""),0.0)</f>
        <v>0</v>
      </c>
      <c r="N20" s="186">
        <f>IFERROR(__xludf.DUMMYFUNCTION("""COMPUTED_VALUE"""),0.0)</f>
        <v>0</v>
      </c>
      <c r="O20" s="186"/>
      <c r="P20" s="187"/>
      <c r="Q20" s="187">
        <f>IFERROR(__xludf.DUMMYFUNCTION("""COMPUTED_VALUE"""),0.0)</f>
        <v>0</v>
      </c>
      <c r="R20" s="187"/>
      <c r="S20" s="188">
        <f>IFERROR(__xludf.DUMMYFUNCTION("""COMPUTED_VALUE"""),7.0)</f>
        <v>7</v>
      </c>
      <c r="T20" s="188">
        <f>IFERROR(__xludf.DUMMYFUNCTION("""COMPUTED_VALUE"""),10.0)</f>
        <v>10</v>
      </c>
      <c r="U20" s="188">
        <f>IFERROR(__xludf.DUMMYFUNCTION("""COMPUTED_VALUE"""),3.0)</f>
        <v>3</v>
      </c>
      <c r="V20" s="188">
        <f>IFERROR(__xludf.DUMMYFUNCTION("""COMPUTED_VALUE"""),0.0)</f>
        <v>0</v>
      </c>
      <c r="W20" s="188">
        <f>IFERROR(__xludf.DUMMYFUNCTION("""COMPUTED_VALUE"""),10.0)</f>
        <v>10</v>
      </c>
      <c r="X20" s="188">
        <f>IFERROR(__xludf.DUMMYFUNCTION("""COMPUTED_VALUE"""),0.0)</f>
        <v>0</v>
      </c>
      <c r="Y20" s="189">
        <f>IFERROR(__xludf.DUMMYFUNCTION("""COMPUTED_VALUE"""),0.0)</f>
        <v>0</v>
      </c>
      <c r="Z20" s="189">
        <f>IFERROR(__xludf.DUMMYFUNCTION("""COMPUTED_VALUE"""),0.0)</f>
        <v>0</v>
      </c>
      <c r="AA20" s="188">
        <f>IFERROR(__xludf.DUMMYFUNCTION("""COMPUTED_VALUE"""),0.0)</f>
        <v>0</v>
      </c>
      <c r="AB20" s="188">
        <f>IFERROR(__xludf.DUMMYFUNCTION("""COMPUTED_VALUE"""),0.0)</f>
        <v>0</v>
      </c>
      <c r="AC20" s="188">
        <f>IFERROR(__xludf.DUMMYFUNCTION("""COMPUTED_VALUE"""),0.0)</f>
        <v>0</v>
      </c>
      <c r="AD20" s="188">
        <f>IFERROR(__xludf.DUMMYFUNCTION("""COMPUTED_VALUE"""),0.0)</f>
        <v>0</v>
      </c>
      <c r="AE20" s="188">
        <f>IFERROR(__xludf.DUMMYFUNCTION("""COMPUTED_VALUE"""),7.0)</f>
        <v>7</v>
      </c>
      <c r="AF20" s="188">
        <f>IFERROR(__xludf.DUMMYFUNCTION("""COMPUTED_VALUE"""),9.0)</f>
        <v>9</v>
      </c>
      <c r="AG20" s="188">
        <f>IFERROR(__xludf.DUMMYFUNCTION("""COMPUTED_VALUE"""),0.0)</f>
        <v>0</v>
      </c>
      <c r="AH20" s="188">
        <f>IFERROR(__xludf.DUMMYFUNCTION("""COMPUTED_VALUE"""),2.0)</f>
        <v>2</v>
      </c>
      <c r="AI20" s="188">
        <f>IFERROR(__xludf.DUMMYFUNCTION("""COMPUTED_VALUE"""),3.0)</f>
        <v>3</v>
      </c>
      <c r="AJ20" s="188">
        <f>IFERROR(__xludf.DUMMYFUNCTION("""COMPUTED_VALUE"""),0.0)</f>
        <v>0</v>
      </c>
      <c r="AK20" s="188">
        <f>IFERROR(__xludf.DUMMYFUNCTION("""COMPUTED_VALUE"""),0.0)</f>
        <v>0</v>
      </c>
      <c r="AL20" s="188">
        <f>IFERROR(__xludf.DUMMYFUNCTION("""COMPUTED_VALUE"""),4.0)</f>
        <v>4</v>
      </c>
      <c r="AM20" s="188">
        <f>IFERROR(__xludf.DUMMYFUNCTION("""COMPUTED_VALUE"""),6.0)</f>
        <v>6</v>
      </c>
      <c r="AN20" s="188">
        <f>IFERROR(__xludf.DUMMYFUNCTION("""COMPUTED_VALUE"""),11.0)</f>
        <v>11</v>
      </c>
      <c r="AO20" s="188">
        <f>IFERROR(__xludf.DUMMYFUNCTION("""COMPUTED_VALUE"""),29.0)</f>
        <v>29</v>
      </c>
      <c r="AP20" s="188">
        <f>IFERROR(__xludf.DUMMYFUNCTION("""COMPUTED_VALUE"""),9.0)</f>
        <v>9</v>
      </c>
      <c r="AQ20" s="186">
        <f>IFERROR(__xludf.DUMMYFUNCTION("""COMPUTED_VALUE"""),0.0)</f>
        <v>0</v>
      </c>
      <c r="AR20" s="189">
        <f>IFERROR(__xludf.DUMMYFUNCTION("""COMPUTED_VALUE"""),3.2222222222222223)</f>
        <v>3.222222222</v>
      </c>
      <c r="AS20" s="186">
        <f>IFERROR(__xludf.DUMMYFUNCTION("""COMPUTED_VALUE"""),21450.0)</f>
        <v>21450</v>
      </c>
      <c r="AT20" s="186">
        <f>IFERROR(__xludf.DUMMYFUNCTION("""COMPUTED_VALUE"""),2872.0)</f>
        <v>2872</v>
      </c>
      <c r="AU20" s="187"/>
      <c r="AV20" s="186"/>
      <c r="AW20" s="219">
        <f>IFERROR(__xludf.DUMMYFUNCTION("""COMPUTED_VALUE"""),0.0)</f>
        <v>0</v>
      </c>
      <c r="AX20" s="219">
        <f>IFERROR(__xludf.DUMMYFUNCTION("""COMPUTED_VALUE"""),89.0)</f>
        <v>89</v>
      </c>
      <c r="AY20" s="254">
        <f>IFERROR(__xludf.DUMMYFUNCTION("""COMPUTED_VALUE"""),0.0)</f>
        <v>0</v>
      </c>
      <c r="AZ20" s="219">
        <f>IFERROR(__xludf.DUMMYFUNCTION("""COMPUTED_VALUE"""),0.0)</f>
        <v>0</v>
      </c>
      <c r="BA20" s="219">
        <f>IFERROR(__xludf.DUMMYFUNCTION("""COMPUTED_VALUE"""),0.0)</f>
        <v>0</v>
      </c>
      <c r="BB20" s="219">
        <f>IFERROR(__xludf.DUMMYFUNCTION("""COMPUTED_VALUE"""),10.0)</f>
        <v>10</v>
      </c>
      <c r="BC20" s="219">
        <f>IFERROR(__xludf.DUMMYFUNCTION("""COMPUTED_VALUE"""),0.0)</f>
        <v>0</v>
      </c>
      <c r="BD20" s="191">
        <f>IFERROR(__xludf.DUMMYFUNCTION("""COMPUTED_VALUE"""),45771.0)</f>
        <v>45771</v>
      </c>
      <c r="BE20" s="75"/>
      <c r="BF20" s="164" t="e">
        <v>#N/A</v>
      </c>
      <c r="BG20" s="203">
        <f t="shared" si="4"/>
        <v>0</v>
      </c>
      <c r="BH20" s="255" t="str">
        <f t="shared" si="5"/>
        <v>#REF!</v>
      </c>
      <c r="BI20" s="75"/>
      <c r="BJ20" s="75"/>
      <c r="BK20" s="75"/>
      <c r="BL20" s="75"/>
      <c r="BM20" s="75"/>
      <c r="BN20" s="75"/>
      <c r="BO20" s="75"/>
      <c r="BP20" s="75"/>
      <c r="BQ20" s="75"/>
      <c r="BR20" s="75"/>
    </row>
    <row r="21">
      <c r="A21" s="6" t="str">
        <f>IFERROR(__xludf.DUMMYFUNCTION("""COMPUTED_VALUE"""),"Pawan Sharma")</f>
        <v>Pawan Sharma</v>
      </c>
      <c r="B21" s="183" t="str">
        <f>IFERROR(__xludf.DUMMYFUNCTION("""COMPUTED_VALUE"""),"Haryana")</f>
        <v>Haryana</v>
      </c>
      <c r="C21" s="184" t="str">
        <f>IFERROR(__xludf.DUMMYFUNCTION("""COMPUTED_VALUE"""),"YOGESH KUMAR")</f>
        <v>YOGESH KUMAR</v>
      </c>
      <c r="D21" s="75" t="str">
        <f>IFERROR(__xludf.DUMMYFUNCTION("""COMPUTED_VALUE"""),"SIRSA")</f>
        <v>SIRSA</v>
      </c>
      <c r="E21" s="256">
        <f>IFERROR(__xludf.DUMMYFUNCTION("""COMPUTED_VALUE"""),45778.0)</f>
        <v>45778</v>
      </c>
      <c r="F21" s="219" t="str">
        <f>IFERROR(__xludf.DUMMYFUNCTION("""COMPUTED_VALUE"""),"HARYANA")</f>
        <v>HARYANA</v>
      </c>
      <c r="G21" s="253"/>
      <c r="H21" s="253"/>
      <c r="I21" s="190">
        <f>IFERROR(__xludf.DUMMYFUNCTION("""COMPUTED_VALUE"""),50860.0)</f>
        <v>50860</v>
      </c>
      <c r="J21" s="190"/>
      <c r="K21" s="186">
        <f>IFERROR(__xludf.DUMMYFUNCTION("""COMPUTED_VALUE"""),0.0)</f>
        <v>0</v>
      </c>
      <c r="L21" s="186">
        <f>IFERROR(__xludf.DUMMYFUNCTION("""COMPUTED_VALUE"""),0.0)</f>
        <v>0</v>
      </c>
      <c r="M21" s="186">
        <f>IFERROR(__xludf.DUMMYFUNCTION("""COMPUTED_VALUE"""),0.0)</f>
        <v>0</v>
      </c>
      <c r="N21" s="186">
        <f>IFERROR(__xludf.DUMMYFUNCTION("""COMPUTED_VALUE"""),0.0)</f>
        <v>0</v>
      </c>
      <c r="O21" s="186"/>
      <c r="P21" s="187"/>
      <c r="Q21" s="187">
        <f>IFERROR(__xludf.DUMMYFUNCTION("""COMPUTED_VALUE"""),0.0)</f>
        <v>0</v>
      </c>
      <c r="R21" s="187"/>
      <c r="S21" s="188">
        <f>IFERROR(__xludf.DUMMYFUNCTION("""COMPUTED_VALUE"""),58.0)</f>
        <v>58</v>
      </c>
      <c r="T21" s="188">
        <f>IFERROR(__xludf.DUMMYFUNCTION("""COMPUTED_VALUE"""),18.0)</f>
        <v>18</v>
      </c>
      <c r="U21" s="188">
        <f>IFERROR(__xludf.DUMMYFUNCTION("""COMPUTED_VALUE"""),0.0)</f>
        <v>0</v>
      </c>
      <c r="V21" s="188">
        <f>IFERROR(__xludf.DUMMYFUNCTION("""COMPUTED_VALUE"""),0.0)</f>
        <v>0</v>
      </c>
      <c r="W21" s="188">
        <f>IFERROR(__xludf.DUMMYFUNCTION("""COMPUTED_VALUE"""),58.0)</f>
        <v>58</v>
      </c>
      <c r="X21" s="188">
        <f>IFERROR(__xludf.DUMMYFUNCTION("""COMPUTED_VALUE"""),40.0)</f>
        <v>40</v>
      </c>
      <c r="Y21" s="189">
        <f>IFERROR(__xludf.DUMMYFUNCTION("""COMPUTED_VALUE"""),0.0)</f>
        <v>0</v>
      </c>
      <c r="Z21" s="189">
        <f>IFERROR(__xludf.DUMMYFUNCTION("""COMPUTED_VALUE"""),0.0)</f>
        <v>0</v>
      </c>
      <c r="AA21" s="188">
        <f>IFERROR(__xludf.DUMMYFUNCTION("""COMPUTED_VALUE"""),0.0)</f>
        <v>0</v>
      </c>
      <c r="AB21" s="188">
        <f>IFERROR(__xludf.DUMMYFUNCTION("""COMPUTED_VALUE"""),0.0)</f>
        <v>0</v>
      </c>
      <c r="AC21" s="188">
        <f>IFERROR(__xludf.DUMMYFUNCTION("""COMPUTED_VALUE"""),0.0)</f>
        <v>0</v>
      </c>
      <c r="AD21" s="188">
        <f>IFERROR(__xludf.DUMMYFUNCTION("""COMPUTED_VALUE"""),0.0)</f>
        <v>0</v>
      </c>
      <c r="AE21" s="188">
        <f>IFERROR(__xludf.DUMMYFUNCTION("""COMPUTED_VALUE"""),22.0)</f>
        <v>22</v>
      </c>
      <c r="AF21" s="188">
        <f>IFERROR(__xludf.DUMMYFUNCTION("""COMPUTED_VALUE"""),38.0)</f>
        <v>38</v>
      </c>
      <c r="AG21" s="188">
        <f>IFERROR(__xludf.DUMMYFUNCTION("""COMPUTED_VALUE"""),77.0)</f>
        <v>77</v>
      </c>
      <c r="AH21" s="188">
        <f>IFERROR(__xludf.DUMMYFUNCTION("""COMPUTED_VALUE"""),10.0)</f>
        <v>10</v>
      </c>
      <c r="AI21" s="188">
        <f>IFERROR(__xludf.DUMMYFUNCTION("""COMPUTED_VALUE"""),51.0)</f>
        <v>51</v>
      </c>
      <c r="AJ21" s="188">
        <f>IFERROR(__xludf.DUMMYFUNCTION("""COMPUTED_VALUE"""),0.0)</f>
        <v>0</v>
      </c>
      <c r="AK21" s="188">
        <f>IFERROR(__xludf.DUMMYFUNCTION("""COMPUTED_VALUE"""),0.0)</f>
        <v>0</v>
      </c>
      <c r="AL21" s="188">
        <f>IFERROR(__xludf.DUMMYFUNCTION("""COMPUTED_VALUE"""),11.0)</f>
        <v>11</v>
      </c>
      <c r="AM21" s="188">
        <f>IFERROR(__xludf.DUMMYFUNCTION("""COMPUTED_VALUE"""),25.0)</f>
        <v>25</v>
      </c>
      <c r="AN21" s="188">
        <f>IFERROR(__xludf.DUMMYFUNCTION("""COMPUTED_VALUE"""),52.0)</f>
        <v>52</v>
      </c>
      <c r="AO21" s="188">
        <f>IFERROR(__xludf.DUMMYFUNCTION("""COMPUTED_VALUE"""),166.0)</f>
        <v>166</v>
      </c>
      <c r="AP21" s="188">
        <f>IFERROR(__xludf.DUMMYFUNCTION("""COMPUTED_VALUE"""),78.0)</f>
        <v>78</v>
      </c>
      <c r="AQ21" s="186">
        <f>IFERROR(__xludf.DUMMYFUNCTION("""COMPUTED_VALUE"""),0.0)</f>
        <v>0</v>
      </c>
      <c r="AR21" s="189">
        <f>IFERROR(__xludf.DUMMYFUNCTION("""COMPUTED_VALUE"""),2.128205128205128)</f>
        <v>2.128205128</v>
      </c>
      <c r="AS21" s="186">
        <f>IFERROR(__xludf.DUMMYFUNCTION("""COMPUTED_VALUE"""),203440.0)</f>
        <v>203440</v>
      </c>
      <c r="AT21" s="186">
        <f>IFERROR(__xludf.DUMMYFUNCTION("""COMPUTED_VALUE"""),170387.0)</f>
        <v>170387</v>
      </c>
      <c r="AU21" s="187"/>
      <c r="AV21" s="186"/>
      <c r="AW21" s="219">
        <f>IFERROR(__xludf.DUMMYFUNCTION("""COMPUTED_VALUE"""),0.0)</f>
        <v>0</v>
      </c>
      <c r="AX21" s="219">
        <f>IFERROR(__xludf.DUMMYFUNCTION("""COMPUTED_VALUE"""),819.0)</f>
        <v>819</v>
      </c>
      <c r="AY21" s="254">
        <f>IFERROR(__xludf.DUMMYFUNCTION("""COMPUTED_VALUE"""),0.0)</f>
        <v>0</v>
      </c>
      <c r="AZ21" s="219">
        <f>IFERROR(__xludf.DUMMYFUNCTION("""COMPUTED_VALUE"""),0.0)</f>
        <v>0</v>
      </c>
      <c r="BA21" s="219">
        <f>IFERROR(__xludf.DUMMYFUNCTION("""COMPUTED_VALUE"""),0.0)</f>
        <v>0</v>
      </c>
      <c r="BB21" s="219">
        <f>IFERROR(__xludf.DUMMYFUNCTION("""COMPUTED_VALUE"""),18.0)</f>
        <v>18</v>
      </c>
      <c r="BC21" s="219">
        <f>IFERROR(__xludf.DUMMYFUNCTION("""COMPUTED_VALUE"""),40.0)</f>
        <v>40</v>
      </c>
      <c r="BD21" s="191">
        <f>IFERROR(__xludf.DUMMYFUNCTION("""COMPUTED_VALUE"""),45899.0)</f>
        <v>45899</v>
      </c>
      <c r="BE21" s="75"/>
      <c r="BF21" s="164" t="e">
        <v>#N/A</v>
      </c>
      <c r="BG21" s="203">
        <f t="shared" si="4"/>
        <v>0</v>
      </c>
      <c r="BH21" s="255" t="str">
        <f t="shared" si="5"/>
        <v>#REF!</v>
      </c>
      <c r="BI21" s="75"/>
      <c r="BJ21" s="75"/>
      <c r="BK21" s="75"/>
      <c r="BL21" s="75"/>
      <c r="BM21" s="75"/>
      <c r="BN21" s="75"/>
      <c r="BO21" s="75"/>
      <c r="BP21" s="75"/>
      <c r="BQ21" s="75"/>
      <c r="BR21" s="75"/>
    </row>
    <row r="22">
      <c r="A22" s="6" t="str">
        <f>IFERROR(__xludf.DUMMYFUNCTION("""COMPUTED_VALUE"""),"Pawan Sharma")</f>
        <v>Pawan Sharma</v>
      </c>
      <c r="B22" s="183" t="str">
        <f>IFERROR(__xludf.DUMMYFUNCTION("""COMPUTED_VALUE"""),"Haryana")</f>
        <v>Haryana</v>
      </c>
      <c r="C22" s="183" t="str">
        <f>IFERROR(__xludf.DUMMYFUNCTION("""COMPUTED_VALUE"""),"RAVI KUMAR .")</f>
        <v>RAVI KUMAR .</v>
      </c>
      <c r="D22" s="75" t="str">
        <f>IFERROR(__xludf.DUMMYFUNCTION("""COMPUTED_VALUE"""),"Mahendergarh")</f>
        <v>Mahendergarh</v>
      </c>
      <c r="E22" s="256">
        <f>IFERROR(__xludf.DUMMYFUNCTION("""COMPUTED_VALUE"""),45789.0)</f>
        <v>45789</v>
      </c>
      <c r="F22" s="219" t="str">
        <f>IFERROR(__xludf.DUMMYFUNCTION("""COMPUTED_VALUE"""),"HARYANA")</f>
        <v>HARYANA</v>
      </c>
      <c r="G22" s="253"/>
      <c r="H22" s="253"/>
      <c r="I22" s="190">
        <f>IFERROR(__xludf.DUMMYFUNCTION("""COMPUTED_VALUE"""),30400.0)</f>
        <v>30400</v>
      </c>
      <c r="J22" s="190">
        <f>IFERROR(__xludf.DUMMYFUNCTION("""COMPUTED_VALUE"""),500000.0)</f>
        <v>500000</v>
      </c>
      <c r="K22" s="186">
        <f>IFERROR(__xludf.DUMMYFUNCTION("""COMPUTED_VALUE"""),0.0)</f>
        <v>0</v>
      </c>
      <c r="L22" s="186">
        <f>IFERROR(__xludf.DUMMYFUNCTION("""COMPUTED_VALUE"""),2700000.0)</f>
        <v>2700000</v>
      </c>
      <c r="M22" s="186">
        <f>IFERROR(__xludf.DUMMYFUNCTION("""COMPUTED_VALUE"""),1043511.67)</f>
        <v>1043511.67</v>
      </c>
      <c r="N22" s="186">
        <f>IFERROR(__xludf.DUMMYFUNCTION("""COMPUTED_VALUE"""),0.0)</f>
        <v>0</v>
      </c>
      <c r="O22" s="186">
        <f>IFERROR(__xludf.DUMMYFUNCTION("""COMPUTED_VALUE"""),498089.0)</f>
        <v>498089</v>
      </c>
      <c r="P22" s="187">
        <f>IFERROR(__xludf.DUMMYFUNCTION("""COMPUTED_VALUE"""),0.3864858037037037)</f>
        <v>0.3864858037</v>
      </c>
      <c r="Q22" s="187">
        <f>IFERROR(__xludf.DUMMYFUNCTION("""COMPUTED_VALUE"""),0.0)</f>
        <v>0</v>
      </c>
      <c r="R22" s="187">
        <f>IFERROR(__xludf.DUMMYFUNCTION("""COMPUTED_VALUE"""),0.1844774074074074)</f>
        <v>0.1844774074</v>
      </c>
      <c r="S22" s="188">
        <f>IFERROR(__xludf.DUMMYFUNCTION("""COMPUTED_VALUE"""),91.0)</f>
        <v>91</v>
      </c>
      <c r="T22" s="188">
        <f>IFERROR(__xludf.DUMMYFUNCTION("""COMPUTED_VALUE"""),70.0)</f>
        <v>70</v>
      </c>
      <c r="U22" s="188">
        <f>IFERROR(__xludf.DUMMYFUNCTION("""COMPUTED_VALUE"""),7.0)</f>
        <v>7</v>
      </c>
      <c r="V22" s="188">
        <f>IFERROR(__xludf.DUMMYFUNCTION("""COMPUTED_VALUE"""),4.0)</f>
        <v>4</v>
      </c>
      <c r="W22" s="188">
        <f>IFERROR(__xludf.DUMMYFUNCTION("""COMPUTED_VALUE"""),98.0)</f>
        <v>98</v>
      </c>
      <c r="X22" s="188">
        <f>IFERROR(__xludf.DUMMYFUNCTION("""COMPUTED_VALUE"""),28.0)</f>
        <v>28</v>
      </c>
      <c r="Y22" s="189">
        <f>IFERROR(__xludf.DUMMYFUNCTION("""COMPUTED_VALUE"""),747318.26)</f>
        <v>747318.26</v>
      </c>
      <c r="Z22" s="189">
        <f>IFERROR(__xludf.DUMMYFUNCTION("""COMPUTED_VALUE"""),296193.41)</f>
        <v>296193.41</v>
      </c>
      <c r="AA22" s="188">
        <f>IFERROR(__xludf.DUMMYFUNCTION("""COMPUTED_VALUE"""),13.0)</f>
        <v>13</v>
      </c>
      <c r="AB22" s="188">
        <f>IFERROR(__xludf.DUMMYFUNCTION("""COMPUTED_VALUE"""),4.0)</f>
        <v>4</v>
      </c>
      <c r="AC22" s="188">
        <f>IFERROR(__xludf.DUMMYFUNCTION("""COMPUTED_VALUE"""),17.0)</f>
        <v>17</v>
      </c>
      <c r="AD22" s="188">
        <f>IFERROR(__xludf.DUMMYFUNCTION("""COMPUTED_VALUE"""),0.0)</f>
        <v>0</v>
      </c>
      <c r="AE22" s="188">
        <f>IFERROR(__xludf.DUMMYFUNCTION("""COMPUTED_VALUE"""),67.0)</f>
        <v>67</v>
      </c>
      <c r="AF22" s="188">
        <f>IFERROR(__xludf.DUMMYFUNCTION("""COMPUTED_VALUE"""),129.0)</f>
        <v>129</v>
      </c>
      <c r="AG22" s="188">
        <f>IFERROR(__xludf.DUMMYFUNCTION("""COMPUTED_VALUE"""),236.0)</f>
        <v>236</v>
      </c>
      <c r="AH22" s="188">
        <f>IFERROR(__xludf.DUMMYFUNCTION("""COMPUTED_VALUE"""),3.0)</f>
        <v>3</v>
      </c>
      <c r="AI22" s="188">
        <f>IFERROR(__xludf.DUMMYFUNCTION("""COMPUTED_VALUE"""),26.0)</f>
        <v>26</v>
      </c>
      <c r="AJ22" s="188">
        <f>IFERROR(__xludf.DUMMYFUNCTION("""COMPUTED_VALUE"""),0.0)</f>
        <v>0</v>
      </c>
      <c r="AK22" s="188">
        <f>IFERROR(__xludf.DUMMYFUNCTION("""COMPUTED_VALUE"""),0.0)</f>
        <v>0</v>
      </c>
      <c r="AL22" s="188">
        <f>IFERROR(__xludf.DUMMYFUNCTION("""COMPUTED_VALUE"""),3.0)</f>
        <v>3</v>
      </c>
      <c r="AM22" s="188">
        <f>IFERROR(__xludf.DUMMYFUNCTION("""COMPUTED_VALUE"""),9.0)</f>
        <v>9</v>
      </c>
      <c r="AN22" s="188">
        <f>IFERROR(__xludf.DUMMYFUNCTION("""COMPUTED_VALUE"""),332.0)</f>
        <v>332</v>
      </c>
      <c r="AO22" s="188">
        <f>IFERROR(__xludf.DUMMYFUNCTION("""COMPUTED_VALUE"""),496.0)</f>
        <v>496</v>
      </c>
      <c r="AP22" s="188">
        <f>IFERROR(__xludf.DUMMYFUNCTION("""COMPUTED_VALUE"""),99.0)</f>
        <v>99</v>
      </c>
      <c r="AQ22" s="186">
        <f>IFERROR(__xludf.DUMMYFUNCTION("""COMPUTED_VALUE"""),10540.52191919192)</f>
        <v>10540.52192</v>
      </c>
      <c r="AR22" s="189">
        <f>IFERROR(__xludf.DUMMYFUNCTION("""COMPUTED_VALUE"""),5.01010101010101)</f>
        <v>5.01010101</v>
      </c>
      <c r="AS22" s="186">
        <f>IFERROR(__xludf.DUMMYFUNCTION("""COMPUTED_VALUE"""),140232.25806451615)</f>
        <v>140232.2581</v>
      </c>
      <c r="AT22" s="186">
        <f>IFERROR(__xludf.DUMMYFUNCTION("""COMPUTED_VALUE"""),41724.0)</f>
        <v>41724</v>
      </c>
      <c r="AU22" s="187">
        <f>IFERROR(__xludf.DUMMYFUNCTION("""COMPUTED_VALUE"""),0.1743691645197568)</f>
        <v>0.1743691645</v>
      </c>
      <c r="AV22" s="186">
        <f>IFERROR(__xludf.DUMMYFUNCTION("""COMPUTED_VALUE"""),61383.03941176471)</f>
        <v>61383.03941</v>
      </c>
      <c r="AW22" s="219">
        <f>IFERROR(__xludf.DUMMYFUNCTION("""COMPUTED_VALUE"""),38.0)</f>
        <v>38</v>
      </c>
      <c r="AX22" s="219">
        <f>IFERROR(__xludf.DUMMYFUNCTION("""COMPUTED_VALUE"""),898.0)</f>
        <v>898</v>
      </c>
      <c r="AY22" s="254">
        <f>IFERROR(__xludf.DUMMYFUNCTION("""COMPUTED_VALUE"""),0.0)</f>
        <v>0</v>
      </c>
      <c r="AZ22" s="219">
        <f>IFERROR(__xludf.DUMMYFUNCTION("""COMPUTED_VALUE"""),0.0)</f>
        <v>0</v>
      </c>
      <c r="BA22" s="219">
        <f>IFERROR(__xludf.DUMMYFUNCTION("""COMPUTED_VALUE"""),17.0)</f>
        <v>17</v>
      </c>
      <c r="BB22" s="219">
        <f>IFERROR(__xludf.DUMMYFUNCTION("""COMPUTED_VALUE"""),53.0)</f>
        <v>53</v>
      </c>
      <c r="BC22" s="219">
        <f>IFERROR(__xludf.DUMMYFUNCTION("""COMPUTED_VALUE"""),28.0)</f>
        <v>28</v>
      </c>
      <c r="BD22" s="191">
        <f>IFERROR(__xludf.DUMMYFUNCTION("""COMPUTED_VALUE"""),45930.0)</f>
        <v>45930</v>
      </c>
      <c r="BE22" s="75"/>
      <c r="BF22" s="164">
        <v>6.249998696148396E-4</v>
      </c>
      <c r="BG22" s="203">
        <f t="shared" si="4"/>
        <v>1043511.67</v>
      </c>
      <c r="BH22" s="255" t="str">
        <f t="shared" si="5"/>
        <v>#REF!</v>
      </c>
      <c r="BI22" s="75"/>
      <c r="BJ22" s="75"/>
      <c r="BK22" s="75"/>
      <c r="BL22" s="75"/>
      <c r="BM22" s="75"/>
      <c r="BN22" s="75"/>
      <c r="BO22" s="75"/>
      <c r="BP22" s="75"/>
      <c r="BQ22" s="75"/>
      <c r="BR22" s="75"/>
    </row>
    <row r="23">
      <c r="A23" s="6" t="str">
        <f>IFERROR(__xludf.DUMMYFUNCTION("""COMPUTED_VALUE"""),"Pawan Sharma")</f>
        <v>Pawan Sharma</v>
      </c>
      <c r="B23" s="183" t="str">
        <f>IFERROR(__xludf.DUMMYFUNCTION("""COMPUTED_VALUE"""),"Rajasthan")</f>
        <v>Rajasthan</v>
      </c>
      <c r="C23" s="184" t="str">
        <f>IFERROR(__xludf.DUMMYFUNCTION("""COMPUTED_VALUE"""),"Durgesh Kumar Jangid")</f>
        <v>Durgesh Kumar Jangid</v>
      </c>
      <c r="D23" s="75" t="str">
        <f>IFERROR(__xludf.DUMMYFUNCTION("""COMPUTED_VALUE"""),"Jaipur")</f>
        <v>Jaipur</v>
      </c>
      <c r="E23" s="256">
        <f>IFERROR(__xludf.DUMMYFUNCTION("""COMPUTED_VALUE"""),45812.0)</f>
        <v>45812</v>
      </c>
      <c r="F23" s="219" t="str">
        <f>IFERROR(__xludf.DUMMYFUNCTION("""COMPUTED_VALUE"""),"RAJASTHAN")</f>
        <v>RAJASTHAN</v>
      </c>
      <c r="G23" s="253"/>
      <c r="H23" s="253"/>
      <c r="I23" s="190">
        <f>IFERROR(__xludf.DUMMYFUNCTION("""COMPUTED_VALUE"""),24120.0)</f>
        <v>24120</v>
      </c>
      <c r="J23" s="190"/>
      <c r="K23" s="186">
        <f>IFERROR(__xludf.DUMMYFUNCTION("""COMPUTED_VALUE"""),0.0)</f>
        <v>0</v>
      </c>
      <c r="L23" s="186">
        <f>IFERROR(__xludf.DUMMYFUNCTION("""COMPUTED_VALUE"""),500000.0)</f>
        <v>500000</v>
      </c>
      <c r="M23" s="186">
        <f>IFERROR(__xludf.DUMMYFUNCTION("""COMPUTED_VALUE"""),50738.2)</f>
        <v>50738.2</v>
      </c>
      <c r="N23" s="186">
        <f>IFERROR(__xludf.DUMMYFUNCTION("""COMPUTED_VALUE"""),0.0)</f>
        <v>0</v>
      </c>
      <c r="O23" s="186">
        <f>IFERROR(__xludf.DUMMYFUNCTION("""COMPUTED_VALUE"""),0.0)</f>
        <v>0</v>
      </c>
      <c r="P23" s="187">
        <f>IFERROR(__xludf.DUMMYFUNCTION("""COMPUTED_VALUE"""),0.1014764)</f>
        <v>0.1014764</v>
      </c>
      <c r="Q23" s="187">
        <f>IFERROR(__xludf.DUMMYFUNCTION("""COMPUTED_VALUE"""),0.0)</f>
        <v>0</v>
      </c>
      <c r="R23" s="187">
        <f>IFERROR(__xludf.DUMMYFUNCTION("""COMPUTED_VALUE"""),0.0)</f>
        <v>0</v>
      </c>
      <c r="S23" s="188">
        <f>IFERROR(__xludf.DUMMYFUNCTION("""COMPUTED_VALUE"""),10.0)</f>
        <v>10</v>
      </c>
      <c r="T23" s="188">
        <f>IFERROR(__xludf.DUMMYFUNCTION("""COMPUTED_VALUE"""),12.0)</f>
        <v>12</v>
      </c>
      <c r="U23" s="188">
        <f>IFERROR(__xludf.DUMMYFUNCTION("""COMPUTED_VALUE"""),2.0)</f>
        <v>2</v>
      </c>
      <c r="V23" s="188">
        <f>IFERROR(__xludf.DUMMYFUNCTION("""COMPUTED_VALUE"""),2.0)</f>
        <v>2</v>
      </c>
      <c r="W23" s="188">
        <f>IFERROR(__xludf.DUMMYFUNCTION("""COMPUTED_VALUE"""),12.0)</f>
        <v>12</v>
      </c>
      <c r="X23" s="188">
        <f>IFERROR(__xludf.DUMMYFUNCTION("""COMPUTED_VALUE"""),0.0)</f>
        <v>0</v>
      </c>
      <c r="Y23" s="189">
        <f>IFERROR(__xludf.DUMMYFUNCTION("""COMPUTED_VALUE"""),28709.2)</f>
        <v>28709.2</v>
      </c>
      <c r="Z23" s="189">
        <f>IFERROR(__xludf.DUMMYFUNCTION("""COMPUTED_VALUE"""),22029.0)</f>
        <v>22029</v>
      </c>
      <c r="AA23" s="188">
        <f>IFERROR(__xludf.DUMMYFUNCTION("""COMPUTED_VALUE"""),2.0)</f>
        <v>2</v>
      </c>
      <c r="AB23" s="188">
        <f>IFERROR(__xludf.DUMMYFUNCTION("""COMPUTED_VALUE"""),2.0)</f>
        <v>2</v>
      </c>
      <c r="AC23" s="188">
        <f>IFERROR(__xludf.DUMMYFUNCTION("""COMPUTED_VALUE"""),4.0)</f>
        <v>4</v>
      </c>
      <c r="AD23" s="188">
        <f>IFERROR(__xludf.DUMMYFUNCTION("""COMPUTED_VALUE"""),0.0)</f>
        <v>0</v>
      </c>
      <c r="AE23" s="188">
        <f>IFERROR(__xludf.DUMMYFUNCTION("""COMPUTED_VALUE"""),0.0)</f>
        <v>0</v>
      </c>
      <c r="AF23" s="188">
        <f>IFERROR(__xludf.DUMMYFUNCTION("""COMPUTED_VALUE"""),0.0)</f>
        <v>0</v>
      </c>
      <c r="AG23" s="188">
        <f>IFERROR(__xludf.DUMMYFUNCTION("""COMPUTED_VALUE"""),77.0)</f>
        <v>77</v>
      </c>
      <c r="AH23" s="188">
        <f>IFERROR(__xludf.DUMMYFUNCTION("""COMPUTED_VALUE"""),1.0)</f>
        <v>1</v>
      </c>
      <c r="AI23" s="188">
        <f>IFERROR(__xludf.DUMMYFUNCTION("""COMPUTED_VALUE"""),4.0)</f>
        <v>4</v>
      </c>
      <c r="AJ23" s="188">
        <f>IFERROR(__xludf.DUMMYFUNCTION("""COMPUTED_VALUE"""),0.0)</f>
        <v>0</v>
      </c>
      <c r="AK23" s="188">
        <f>IFERROR(__xludf.DUMMYFUNCTION("""COMPUTED_VALUE"""),0.0)</f>
        <v>0</v>
      </c>
      <c r="AL23" s="188">
        <f>IFERROR(__xludf.DUMMYFUNCTION("""COMPUTED_VALUE"""),3.0)</f>
        <v>3</v>
      </c>
      <c r="AM23" s="188">
        <f>IFERROR(__xludf.DUMMYFUNCTION("""COMPUTED_VALUE"""),3.0)</f>
        <v>3</v>
      </c>
      <c r="AN23" s="188">
        <f>IFERROR(__xludf.DUMMYFUNCTION("""COMPUTED_VALUE"""),25.0)</f>
        <v>25</v>
      </c>
      <c r="AO23" s="188">
        <f>IFERROR(__xludf.DUMMYFUNCTION("""COMPUTED_VALUE"""),32.0)</f>
        <v>32</v>
      </c>
      <c r="AP23" s="188">
        <f>IFERROR(__xludf.DUMMYFUNCTION("""COMPUTED_VALUE"""),19.0)</f>
        <v>19</v>
      </c>
      <c r="AQ23" s="186">
        <f>IFERROR(__xludf.DUMMYFUNCTION("""COMPUTED_VALUE"""),2670.431578947368)</f>
        <v>2670.431579</v>
      </c>
      <c r="AR23" s="189">
        <f>IFERROR(__xludf.DUMMYFUNCTION("""COMPUTED_VALUE"""),1.6842105263157894)</f>
        <v>1.684210526</v>
      </c>
      <c r="AS23" s="186">
        <f>IFERROR(__xludf.DUMMYFUNCTION("""COMPUTED_VALUE"""),24120.0)</f>
        <v>24120</v>
      </c>
      <c r="AT23" s="186"/>
      <c r="AU23" s="187">
        <f>IFERROR(__xludf.DUMMYFUNCTION("""COMPUTED_VALUE"""),0.4753814680063542)</f>
        <v>0.475381468</v>
      </c>
      <c r="AV23" s="186">
        <f>IFERROR(__xludf.DUMMYFUNCTION("""COMPUTED_VALUE"""),12684.55)</f>
        <v>12684.55</v>
      </c>
      <c r="AW23" s="219">
        <f>IFERROR(__xludf.DUMMYFUNCTION("""COMPUTED_VALUE"""),4.0)</f>
        <v>4</v>
      </c>
      <c r="AX23" s="219">
        <f>IFERROR(__xludf.DUMMYFUNCTION("""COMPUTED_VALUE"""),214.0)</f>
        <v>214</v>
      </c>
      <c r="AY23" s="254">
        <f>IFERROR(__xludf.DUMMYFUNCTION("""COMPUTED_VALUE"""),0.0)</f>
        <v>0</v>
      </c>
      <c r="AZ23" s="219">
        <f>IFERROR(__xludf.DUMMYFUNCTION("""COMPUTED_VALUE"""),0.0)</f>
        <v>0</v>
      </c>
      <c r="BA23" s="219">
        <f>IFERROR(__xludf.DUMMYFUNCTION("""COMPUTED_VALUE"""),4.0)</f>
        <v>4</v>
      </c>
      <c r="BB23" s="219">
        <f>IFERROR(__xludf.DUMMYFUNCTION("""COMPUTED_VALUE"""),8.0)</f>
        <v>8</v>
      </c>
      <c r="BC23" s="219">
        <f>IFERROR(__xludf.DUMMYFUNCTION("""COMPUTED_VALUE"""),0.0)</f>
        <v>0</v>
      </c>
      <c r="BD23" s="191">
        <f>IFERROR(__xludf.DUMMYFUNCTION("""COMPUTED_VALUE"""),45849.0)</f>
        <v>45849</v>
      </c>
      <c r="BE23" s="75"/>
      <c r="BF23" s="164">
        <v>0.0</v>
      </c>
      <c r="BG23" s="203">
        <f t="shared" si="4"/>
        <v>50738.2</v>
      </c>
      <c r="BH23" s="255" t="str">
        <f t="shared" si="5"/>
        <v>#REF!</v>
      </c>
      <c r="BI23" s="75"/>
      <c r="BJ23" s="75"/>
      <c r="BK23" s="75"/>
      <c r="BL23" s="75"/>
      <c r="BM23" s="75"/>
      <c r="BN23" s="75"/>
      <c r="BO23" s="75"/>
      <c r="BP23" s="75"/>
      <c r="BQ23" s="75"/>
      <c r="BR23" s="75"/>
    </row>
    <row r="24">
      <c r="A24" s="6" t="str">
        <f>IFERROR(__xludf.DUMMYFUNCTION("""COMPUTED_VALUE"""),"Pawan Sharma")</f>
        <v>Pawan Sharma</v>
      </c>
      <c r="B24" s="183" t="str">
        <f>IFERROR(__xludf.DUMMYFUNCTION("""COMPUTED_VALUE"""),"Haryana")</f>
        <v>Haryana</v>
      </c>
      <c r="C24" s="184" t="str">
        <f>IFERROR(__xludf.DUMMYFUNCTION("""COMPUTED_VALUE"""),"Rahul (Tohana)")</f>
        <v>Rahul (Tohana)</v>
      </c>
      <c r="D24" s="75" t="str">
        <f>IFERROR(__xludf.DUMMYFUNCTION("""COMPUTED_VALUE"""),"Tohana")</f>
        <v>Tohana</v>
      </c>
      <c r="E24" s="256">
        <f>IFERROR(__xludf.DUMMYFUNCTION("""COMPUTED_VALUE"""),45845.0)</f>
        <v>45845</v>
      </c>
      <c r="F24" s="219" t="str">
        <f>IFERROR(__xludf.DUMMYFUNCTION("""COMPUTED_VALUE"""),"HARYANA")</f>
        <v>HARYANA</v>
      </c>
      <c r="G24" s="253"/>
      <c r="H24" s="253"/>
      <c r="I24" s="190">
        <f>IFERROR(__xludf.DUMMYFUNCTION("""COMPUTED_VALUE"""),37760.0)</f>
        <v>37760</v>
      </c>
      <c r="J24" s="190"/>
      <c r="K24" s="186">
        <f>IFERROR(__xludf.DUMMYFUNCTION("""COMPUTED_VALUE"""),0.0)</f>
        <v>0</v>
      </c>
      <c r="L24" s="186">
        <f>IFERROR(__xludf.DUMMYFUNCTION("""COMPUTED_VALUE"""),0.0)</f>
        <v>0</v>
      </c>
      <c r="M24" s="186">
        <f>IFERROR(__xludf.DUMMYFUNCTION("""COMPUTED_VALUE"""),0.0)</f>
        <v>0</v>
      </c>
      <c r="N24" s="186">
        <f>IFERROR(__xludf.DUMMYFUNCTION("""COMPUTED_VALUE"""),0.0)</f>
        <v>0</v>
      </c>
      <c r="O24" s="186">
        <f>IFERROR(__xludf.DUMMYFUNCTION("""COMPUTED_VALUE"""),0.0)</f>
        <v>0</v>
      </c>
      <c r="P24" s="187"/>
      <c r="Q24" s="187">
        <f>IFERROR(__xludf.DUMMYFUNCTION("""COMPUTED_VALUE"""),0.0)</f>
        <v>0</v>
      </c>
      <c r="R24" s="187"/>
      <c r="S24" s="188">
        <f>IFERROR(__xludf.DUMMYFUNCTION("""COMPUTED_VALUE"""),4.0)</f>
        <v>4</v>
      </c>
      <c r="T24" s="188">
        <f>IFERROR(__xludf.DUMMYFUNCTION("""COMPUTED_VALUE"""),4.0)</f>
        <v>4</v>
      </c>
      <c r="U24" s="188">
        <f>IFERROR(__xludf.DUMMYFUNCTION("""COMPUTED_VALUE"""),0.0)</f>
        <v>0</v>
      </c>
      <c r="V24" s="188">
        <f>IFERROR(__xludf.DUMMYFUNCTION("""COMPUTED_VALUE"""),0.0)</f>
        <v>0</v>
      </c>
      <c r="W24" s="188">
        <f>IFERROR(__xludf.DUMMYFUNCTION("""COMPUTED_VALUE"""),4.0)</f>
        <v>4</v>
      </c>
      <c r="X24" s="188">
        <f>IFERROR(__xludf.DUMMYFUNCTION("""COMPUTED_VALUE"""),0.0)</f>
        <v>0</v>
      </c>
      <c r="Y24" s="189">
        <f>IFERROR(__xludf.DUMMYFUNCTION("""COMPUTED_VALUE"""),0.0)</f>
        <v>0</v>
      </c>
      <c r="Z24" s="189">
        <f>IFERROR(__xludf.DUMMYFUNCTION("""COMPUTED_VALUE"""),0.0)</f>
        <v>0</v>
      </c>
      <c r="AA24" s="188">
        <f>IFERROR(__xludf.DUMMYFUNCTION("""COMPUTED_VALUE"""),0.0)</f>
        <v>0</v>
      </c>
      <c r="AB24" s="188">
        <f>IFERROR(__xludf.DUMMYFUNCTION("""COMPUTED_VALUE"""),0.0)</f>
        <v>0</v>
      </c>
      <c r="AC24" s="188">
        <f>IFERROR(__xludf.DUMMYFUNCTION("""COMPUTED_VALUE"""),0.0)</f>
        <v>0</v>
      </c>
      <c r="AD24" s="188">
        <f>IFERROR(__xludf.DUMMYFUNCTION("""COMPUTED_VALUE"""),0.0)</f>
        <v>0</v>
      </c>
      <c r="AE24" s="188">
        <f>IFERROR(__xludf.DUMMYFUNCTION("""COMPUTED_VALUE"""),29.0)</f>
        <v>29</v>
      </c>
      <c r="AF24" s="188">
        <f>IFERROR(__xludf.DUMMYFUNCTION("""COMPUTED_VALUE"""),85.0)</f>
        <v>85</v>
      </c>
      <c r="AG24" s="188">
        <f>IFERROR(__xludf.DUMMYFUNCTION("""COMPUTED_VALUE"""),0.0)</f>
        <v>0</v>
      </c>
      <c r="AH24" s="188">
        <f>IFERROR(__xludf.DUMMYFUNCTION("""COMPUTED_VALUE"""),1.0)</f>
        <v>1</v>
      </c>
      <c r="AI24" s="188">
        <f>IFERROR(__xludf.DUMMYFUNCTION("""COMPUTED_VALUE"""),1.0)</f>
        <v>1</v>
      </c>
      <c r="AJ24" s="188">
        <f>IFERROR(__xludf.DUMMYFUNCTION("""COMPUTED_VALUE"""),0.0)</f>
        <v>0</v>
      </c>
      <c r="AK24" s="188">
        <f>IFERROR(__xludf.DUMMYFUNCTION("""COMPUTED_VALUE"""),0.0)</f>
        <v>0</v>
      </c>
      <c r="AL24" s="188">
        <f>IFERROR(__xludf.DUMMYFUNCTION("""COMPUTED_VALUE"""),5.0)</f>
        <v>5</v>
      </c>
      <c r="AM24" s="188">
        <f>IFERROR(__xludf.DUMMYFUNCTION("""COMPUTED_VALUE"""),8.0)</f>
        <v>8</v>
      </c>
      <c r="AN24" s="188">
        <f>IFERROR(__xludf.DUMMYFUNCTION("""COMPUTED_VALUE"""),14.0)</f>
        <v>14</v>
      </c>
      <c r="AO24" s="188">
        <f>IFERROR(__xludf.DUMMYFUNCTION("""COMPUTED_VALUE"""),108.0)</f>
        <v>108</v>
      </c>
      <c r="AP24" s="188">
        <f>IFERROR(__xludf.DUMMYFUNCTION("""COMPUTED_VALUE"""),20.0)</f>
        <v>20</v>
      </c>
      <c r="AQ24" s="186">
        <f>IFERROR(__xludf.DUMMYFUNCTION("""COMPUTED_VALUE"""),0.0)</f>
        <v>0</v>
      </c>
      <c r="AR24" s="189">
        <f>IFERROR(__xludf.DUMMYFUNCTION("""COMPUTED_VALUE"""),5.4)</f>
        <v>5.4</v>
      </c>
      <c r="AS24" s="186">
        <f>IFERROR(__xludf.DUMMYFUNCTION("""COMPUTED_VALUE"""),26432.0)</f>
        <v>26432</v>
      </c>
      <c r="AT24" s="186"/>
      <c r="AU24" s="187"/>
      <c r="AV24" s="186"/>
      <c r="AW24" s="219">
        <f>IFERROR(__xludf.DUMMYFUNCTION("""COMPUTED_VALUE"""),0.0)</f>
        <v>0</v>
      </c>
      <c r="AX24" s="219">
        <f>IFERROR(__xludf.DUMMYFUNCTION("""COMPUTED_VALUE"""),170.0)</f>
        <v>170</v>
      </c>
      <c r="AY24" s="254">
        <f>IFERROR(__xludf.DUMMYFUNCTION("""COMPUTED_VALUE"""),0.0)</f>
        <v>0</v>
      </c>
      <c r="AZ24" s="219">
        <f>IFERROR(__xludf.DUMMYFUNCTION("""COMPUTED_VALUE"""),0.0)</f>
        <v>0</v>
      </c>
      <c r="BA24" s="219">
        <f>IFERROR(__xludf.DUMMYFUNCTION("""COMPUTED_VALUE"""),0.0)</f>
        <v>0</v>
      </c>
      <c r="BB24" s="219">
        <f>IFERROR(__xludf.DUMMYFUNCTION("""COMPUTED_VALUE"""),4.0)</f>
        <v>4</v>
      </c>
      <c r="BC24" s="219">
        <f>IFERROR(__xludf.DUMMYFUNCTION("""COMPUTED_VALUE"""),0.0)</f>
        <v>0</v>
      </c>
      <c r="BD24" s="191">
        <f>IFERROR(__xludf.DUMMYFUNCTION("""COMPUTED_VALUE"""),45869.0)</f>
        <v>45869</v>
      </c>
      <c r="BE24" s="75"/>
      <c r="BF24" s="164">
        <v>0.0</v>
      </c>
      <c r="BG24" s="203">
        <f t="shared" si="4"/>
        <v>0</v>
      </c>
      <c r="BH24" s="255" t="str">
        <f t="shared" si="5"/>
        <v>#REF!</v>
      </c>
      <c r="BI24" s="75"/>
      <c r="BJ24" s="75"/>
      <c r="BK24" s="75"/>
      <c r="BL24" s="75"/>
      <c r="BM24" s="75"/>
      <c r="BN24" s="75"/>
      <c r="BO24" s="75"/>
      <c r="BP24" s="75"/>
      <c r="BQ24" s="75"/>
      <c r="BR24" s="75"/>
    </row>
    <row r="25">
      <c r="A25" s="6" t="str">
        <f>IFERROR(__xludf.DUMMYFUNCTION("""COMPUTED_VALUE"""),"Pawan Sharma")</f>
        <v>Pawan Sharma</v>
      </c>
      <c r="B25" s="183" t="str">
        <f>IFERROR(__xludf.DUMMYFUNCTION("""COMPUTED_VALUE"""),"Rajasthan")</f>
        <v>Rajasthan</v>
      </c>
      <c r="C25" s="184" t="str">
        <f>IFERROR(__xludf.DUMMYFUNCTION("""COMPUTED_VALUE"""),"SHOYKARAN NAI")</f>
        <v>SHOYKARAN NAI</v>
      </c>
      <c r="D25" s="75" t="str">
        <f>IFERROR(__xludf.DUMMYFUNCTION("""COMPUTED_VALUE"""),"Churu")</f>
        <v>Churu</v>
      </c>
      <c r="E25" s="256">
        <f>IFERROR(__xludf.DUMMYFUNCTION("""COMPUTED_VALUE"""),45861.0)</f>
        <v>45861</v>
      </c>
      <c r="F25" s="219" t="str">
        <f>IFERROR(__xludf.DUMMYFUNCTION("""COMPUTED_VALUE"""),"RAJASTHAN")</f>
        <v>RAJASTHAN</v>
      </c>
      <c r="G25" s="253"/>
      <c r="H25" s="253"/>
      <c r="I25" s="190">
        <f>IFERROR(__xludf.DUMMYFUNCTION("""COMPUTED_VALUE"""),24120.0)</f>
        <v>24120</v>
      </c>
      <c r="J25" s="190">
        <f>IFERROR(__xludf.DUMMYFUNCTION("""COMPUTED_VALUE"""),500000.0)</f>
        <v>500000</v>
      </c>
      <c r="K25" s="186">
        <f>IFERROR(__xludf.DUMMYFUNCTION("""COMPUTED_VALUE"""),0.0)</f>
        <v>0</v>
      </c>
      <c r="L25" s="186">
        <f>IFERROR(__xludf.DUMMYFUNCTION("""COMPUTED_VALUE"""),2500000.0)</f>
        <v>2500000</v>
      </c>
      <c r="M25" s="186">
        <f>IFERROR(__xludf.DUMMYFUNCTION("""COMPUTED_VALUE"""),2995134.11)</f>
        <v>2995134.11</v>
      </c>
      <c r="N25" s="186">
        <f>IFERROR(__xludf.DUMMYFUNCTION("""COMPUTED_VALUE"""),0.0)</f>
        <v>0</v>
      </c>
      <c r="O25" s="186">
        <f>IFERROR(__xludf.DUMMYFUNCTION("""COMPUTED_VALUE"""),1279491.0)</f>
        <v>1279491</v>
      </c>
      <c r="P25" s="187">
        <f>IFERROR(__xludf.DUMMYFUNCTION("""COMPUTED_VALUE"""),1.198053644)</f>
        <v>1.198053644</v>
      </c>
      <c r="Q25" s="187">
        <f>IFERROR(__xludf.DUMMYFUNCTION("""COMPUTED_VALUE"""),0.0)</f>
        <v>0</v>
      </c>
      <c r="R25" s="187">
        <f>IFERROR(__xludf.DUMMYFUNCTION("""COMPUTED_VALUE"""),0.5117964)</f>
        <v>0.5117964</v>
      </c>
      <c r="S25" s="188">
        <f>IFERROR(__xludf.DUMMYFUNCTION("""COMPUTED_VALUE"""),12.0)</f>
        <v>12</v>
      </c>
      <c r="T25" s="188">
        <f>IFERROR(__xludf.DUMMYFUNCTION("""COMPUTED_VALUE"""),38.0)</f>
        <v>38</v>
      </c>
      <c r="U25" s="188">
        <f>IFERROR(__xludf.DUMMYFUNCTION("""COMPUTED_VALUE"""),26.0)</f>
        <v>26</v>
      </c>
      <c r="V25" s="188">
        <f>IFERROR(__xludf.DUMMYFUNCTION("""COMPUTED_VALUE"""),26.0)</f>
        <v>26</v>
      </c>
      <c r="W25" s="188">
        <f>IFERROR(__xludf.DUMMYFUNCTION("""COMPUTED_VALUE"""),38.0)</f>
        <v>38</v>
      </c>
      <c r="X25" s="188">
        <f>IFERROR(__xludf.DUMMYFUNCTION("""COMPUTED_VALUE"""),0.0)</f>
        <v>0</v>
      </c>
      <c r="Y25" s="189">
        <f>IFERROR(__xludf.DUMMYFUNCTION("""COMPUTED_VALUE"""),385636.39)</f>
        <v>385636.39</v>
      </c>
      <c r="Z25" s="189">
        <f>IFERROR(__xludf.DUMMYFUNCTION("""COMPUTED_VALUE"""),2609497.72)</f>
        <v>2609497.72</v>
      </c>
      <c r="AA25" s="188">
        <f>IFERROR(__xludf.DUMMYFUNCTION("""COMPUTED_VALUE"""),6.0)</f>
        <v>6</v>
      </c>
      <c r="AB25" s="188">
        <f>IFERROR(__xludf.DUMMYFUNCTION("""COMPUTED_VALUE"""),26.0)</f>
        <v>26</v>
      </c>
      <c r="AC25" s="188">
        <f>IFERROR(__xludf.DUMMYFUNCTION("""COMPUTED_VALUE"""),32.0)</f>
        <v>32</v>
      </c>
      <c r="AD25" s="188">
        <f>IFERROR(__xludf.DUMMYFUNCTION("""COMPUTED_VALUE"""),0.0)</f>
        <v>0</v>
      </c>
      <c r="AE25" s="188">
        <f>IFERROR(__xludf.DUMMYFUNCTION("""COMPUTED_VALUE"""),266.0)</f>
        <v>266</v>
      </c>
      <c r="AF25" s="188">
        <f>IFERROR(__xludf.DUMMYFUNCTION("""COMPUTED_VALUE"""),801.0)</f>
        <v>801</v>
      </c>
      <c r="AG25" s="188">
        <f>IFERROR(__xludf.DUMMYFUNCTION("""COMPUTED_VALUE"""),6.0)</f>
        <v>6</v>
      </c>
      <c r="AH25" s="188">
        <f>IFERROR(__xludf.DUMMYFUNCTION("""COMPUTED_VALUE"""),2.0)</f>
        <v>2</v>
      </c>
      <c r="AI25" s="188">
        <f>IFERROR(__xludf.DUMMYFUNCTION("""COMPUTED_VALUE"""),103.0)</f>
        <v>103</v>
      </c>
      <c r="AJ25" s="188">
        <f>IFERROR(__xludf.DUMMYFUNCTION("""COMPUTED_VALUE"""),0.0)</f>
        <v>0</v>
      </c>
      <c r="AK25" s="188">
        <f>IFERROR(__xludf.DUMMYFUNCTION("""COMPUTED_VALUE"""),0.0)</f>
        <v>0</v>
      </c>
      <c r="AL25" s="188">
        <f>IFERROR(__xludf.DUMMYFUNCTION("""COMPUTED_VALUE"""),2.0)</f>
        <v>2</v>
      </c>
      <c r="AM25" s="188">
        <f>IFERROR(__xludf.DUMMYFUNCTION("""COMPUTED_VALUE"""),5.0)</f>
        <v>5</v>
      </c>
      <c r="AN25" s="188">
        <f>IFERROR(__xludf.DUMMYFUNCTION("""COMPUTED_VALUE"""),339.0)</f>
        <v>339</v>
      </c>
      <c r="AO25" s="188">
        <f>IFERROR(__xludf.DUMMYFUNCTION("""COMPUTED_VALUE"""),1248.0)</f>
        <v>1248</v>
      </c>
      <c r="AP25" s="188">
        <f>IFERROR(__xludf.DUMMYFUNCTION("""COMPUTED_VALUE"""),182.0)</f>
        <v>182</v>
      </c>
      <c r="AQ25" s="186">
        <f>IFERROR(__xludf.DUMMYFUNCTION("""COMPUTED_VALUE"""),16456.780824175825)</f>
        <v>16456.78082</v>
      </c>
      <c r="AR25" s="189">
        <f>IFERROR(__xludf.DUMMYFUNCTION("""COMPUTED_VALUE"""),6.857142857142857)</f>
        <v>6.857142857</v>
      </c>
      <c r="AS25" s="186">
        <f>IFERROR(__xludf.DUMMYFUNCTION("""COMPUTED_VALUE"""),199962.58064516127)</f>
        <v>199962.5806</v>
      </c>
      <c r="AT25" s="186">
        <f>IFERROR(__xludf.DUMMYFUNCTION("""COMPUTED_VALUE"""),88990.0)</f>
        <v>88990</v>
      </c>
      <c r="AU25" s="187">
        <f>IFERROR(__xludf.DUMMYFUNCTION("""COMPUTED_VALUE"""),0.0964740041791188)</f>
        <v>0.09647400418</v>
      </c>
      <c r="AV25" s="186">
        <f>IFERROR(__xludf.DUMMYFUNCTION("""COMPUTED_VALUE"""),93597.9409375)</f>
        <v>93597.94094</v>
      </c>
      <c r="AW25" s="219">
        <f>IFERROR(__xludf.DUMMYFUNCTION("""COMPUTED_VALUE"""),93.0)</f>
        <v>93</v>
      </c>
      <c r="AX25" s="219">
        <f>IFERROR(__xludf.DUMMYFUNCTION("""COMPUTED_VALUE"""),1736.0)</f>
        <v>1736</v>
      </c>
      <c r="AY25" s="254">
        <f>IFERROR(__xludf.DUMMYFUNCTION("""COMPUTED_VALUE"""),2311.29)</f>
        <v>2311.29</v>
      </c>
      <c r="AZ25" s="219">
        <f>IFERROR(__xludf.DUMMYFUNCTION("""COMPUTED_VALUE"""),61.0)</f>
        <v>61</v>
      </c>
      <c r="BA25" s="219">
        <f>IFERROR(__xludf.DUMMYFUNCTION("""COMPUTED_VALUE"""),32.0)</f>
        <v>32</v>
      </c>
      <c r="BB25" s="219">
        <f>IFERROR(__xludf.DUMMYFUNCTION("""COMPUTED_VALUE"""),6.0)</f>
        <v>6</v>
      </c>
      <c r="BC25" s="219">
        <f>IFERROR(__xludf.DUMMYFUNCTION("""COMPUTED_VALUE"""),0.0)</f>
        <v>0</v>
      </c>
      <c r="BD25" s="191"/>
      <c r="BE25" s="75"/>
      <c r="BF25" s="164">
        <v>0.0</v>
      </c>
      <c r="BG25" s="203">
        <f t="shared" si="4"/>
        <v>2995134.11</v>
      </c>
      <c r="BH25" s="255" t="str">
        <f t="shared" si="5"/>
        <v>#REF!</v>
      </c>
      <c r="BI25" s="75"/>
      <c r="BJ25" s="75"/>
      <c r="BK25" s="75"/>
      <c r="BL25" s="75"/>
      <c r="BM25" s="75"/>
      <c r="BN25" s="75"/>
      <c r="BO25" s="75"/>
      <c r="BP25" s="75"/>
      <c r="BQ25" s="75"/>
      <c r="BR25" s="75"/>
    </row>
    <row r="26">
      <c r="A26" s="6" t="str">
        <f>IFERROR(__xludf.DUMMYFUNCTION("""COMPUTED_VALUE"""),"Pawan Sharma")</f>
        <v>Pawan Sharma</v>
      </c>
      <c r="B26" s="183" t="str">
        <f>IFERROR(__xludf.DUMMYFUNCTION("""COMPUTED_VALUE"""),"Rajasthan")</f>
        <v>Rajasthan</v>
      </c>
      <c r="C26" s="184" t="str">
        <f>IFERROR(__xludf.DUMMYFUNCTION("""COMPUTED_VALUE"""),"KARAN SINGH PANWAR")</f>
        <v>KARAN SINGH PANWAR</v>
      </c>
      <c r="D26" s="75" t="str">
        <f>IFERROR(__xludf.DUMMYFUNCTION("""COMPUTED_VALUE"""),"Pali")</f>
        <v>Pali</v>
      </c>
      <c r="E26" s="256">
        <f>IFERROR(__xludf.DUMMYFUNCTION("""COMPUTED_VALUE"""),45862.0)</f>
        <v>45862</v>
      </c>
      <c r="F26" s="219" t="str">
        <f>IFERROR(__xludf.DUMMYFUNCTION("""COMPUTED_VALUE"""),"RAJASTHAN")</f>
        <v>RAJASTHAN</v>
      </c>
      <c r="G26" s="253"/>
      <c r="H26" s="253"/>
      <c r="I26" s="190">
        <f>IFERROR(__xludf.DUMMYFUNCTION("""COMPUTED_VALUE"""),25215.0)</f>
        <v>25215</v>
      </c>
      <c r="J26" s="190">
        <f>IFERROR(__xludf.DUMMYFUNCTION("""COMPUTED_VALUE"""),500000.0)</f>
        <v>500000</v>
      </c>
      <c r="K26" s="186">
        <f>IFERROR(__xludf.DUMMYFUNCTION("""COMPUTED_VALUE"""),0.0)</f>
        <v>0</v>
      </c>
      <c r="L26" s="186">
        <f>IFERROR(__xludf.DUMMYFUNCTION("""COMPUTED_VALUE"""),2500000.0)</f>
        <v>2500000</v>
      </c>
      <c r="M26" s="186">
        <f>IFERROR(__xludf.DUMMYFUNCTION("""COMPUTED_VALUE"""),281491.7)</f>
        <v>281491.7</v>
      </c>
      <c r="N26" s="186">
        <f>IFERROR(__xludf.DUMMYFUNCTION("""COMPUTED_VALUE"""),0.0)</f>
        <v>0</v>
      </c>
      <c r="O26" s="186">
        <f>IFERROR(__xludf.DUMMYFUNCTION("""COMPUTED_VALUE"""),0.0)</f>
        <v>0</v>
      </c>
      <c r="P26" s="187">
        <f>IFERROR(__xludf.DUMMYFUNCTION("""COMPUTED_VALUE"""),0.11259668)</f>
        <v>0.11259668</v>
      </c>
      <c r="Q26" s="187">
        <f>IFERROR(__xludf.DUMMYFUNCTION("""COMPUTED_VALUE"""),0.0)</f>
        <v>0</v>
      </c>
      <c r="R26" s="187">
        <f>IFERROR(__xludf.DUMMYFUNCTION("""COMPUTED_VALUE"""),0.0)</f>
        <v>0</v>
      </c>
      <c r="S26" s="188">
        <f>IFERROR(__xludf.DUMMYFUNCTION("""COMPUTED_VALUE"""),0.0)</f>
        <v>0</v>
      </c>
      <c r="T26" s="188">
        <f>IFERROR(__xludf.DUMMYFUNCTION("""COMPUTED_VALUE"""),25.0)</f>
        <v>25</v>
      </c>
      <c r="U26" s="188">
        <f>IFERROR(__xludf.DUMMYFUNCTION("""COMPUTED_VALUE"""),25.0)</f>
        <v>25</v>
      </c>
      <c r="V26" s="188">
        <f>IFERROR(__xludf.DUMMYFUNCTION("""COMPUTED_VALUE"""),25.0)</f>
        <v>25</v>
      </c>
      <c r="W26" s="188">
        <f>IFERROR(__xludf.DUMMYFUNCTION("""COMPUTED_VALUE"""),25.0)</f>
        <v>25</v>
      </c>
      <c r="X26" s="188">
        <f>IFERROR(__xludf.DUMMYFUNCTION("""COMPUTED_VALUE"""),0.0)</f>
        <v>0</v>
      </c>
      <c r="Y26" s="189">
        <f>IFERROR(__xludf.DUMMYFUNCTION("""COMPUTED_VALUE"""),0.0)</f>
        <v>0</v>
      </c>
      <c r="Z26" s="189">
        <f>IFERROR(__xludf.DUMMYFUNCTION("""COMPUTED_VALUE"""),281491.7)</f>
        <v>281491.7</v>
      </c>
      <c r="AA26" s="188">
        <f>IFERROR(__xludf.DUMMYFUNCTION("""COMPUTED_VALUE"""),0.0)</f>
        <v>0</v>
      </c>
      <c r="AB26" s="188">
        <f>IFERROR(__xludf.DUMMYFUNCTION("""COMPUTED_VALUE"""),25.0)</f>
        <v>25</v>
      </c>
      <c r="AC26" s="188">
        <f>IFERROR(__xludf.DUMMYFUNCTION("""COMPUTED_VALUE"""),25.0)</f>
        <v>25</v>
      </c>
      <c r="AD26" s="188">
        <f>IFERROR(__xludf.DUMMYFUNCTION("""COMPUTED_VALUE"""),0.0)</f>
        <v>0</v>
      </c>
      <c r="AE26" s="188">
        <f>IFERROR(__xludf.DUMMYFUNCTION("""COMPUTED_VALUE"""),113.0)</f>
        <v>113</v>
      </c>
      <c r="AF26" s="188">
        <f>IFERROR(__xludf.DUMMYFUNCTION("""COMPUTED_VALUE"""),346.0)</f>
        <v>346</v>
      </c>
      <c r="AG26" s="188">
        <f>IFERROR(__xludf.DUMMYFUNCTION("""COMPUTED_VALUE"""),1.0)</f>
        <v>1</v>
      </c>
      <c r="AH26" s="188">
        <f>IFERROR(__xludf.DUMMYFUNCTION("""COMPUTED_VALUE"""),1.0)</f>
        <v>1</v>
      </c>
      <c r="AI26" s="188">
        <f>IFERROR(__xludf.DUMMYFUNCTION("""COMPUTED_VALUE"""),70.0)</f>
        <v>70</v>
      </c>
      <c r="AJ26" s="188">
        <f>IFERROR(__xludf.DUMMYFUNCTION("""COMPUTED_VALUE"""),0.0)</f>
        <v>0</v>
      </c>
      <c r="AK26" s="188">
        <f>IFERROR(__xludf.DUMMYFUNCTION("""COMPUTED_VALUE"""),0.0)</f>
        <v>0</v>
      </c>
      <c r="AL26" s="188">
        <f>IFERROR(__xludf.DUMMYFUNCTION("""COMPUTED_VALUE"""),5.0)</f>
        <v>5</v>
      </c>
      <c r="AM26" s="188">
        <f>IFERROR(__xludf.DUMMYFUNCTION("""COMPUTED_VALUE"""),34.0)</f>
        <v>34</v>
      </c>
      <c r="AN26" s="188">
        <f>IFERROR(__xludf.DUMMYFUNCTION("""COMPUTED_VALUE"""),252.0)</f>
        <v>252</v>
      </c>
      <c r="AO26" s="188">
        <f>IFERROR(__xludf.DUMMYFUNCTION("""COMPUTED_VALUE"""),702.0)</f>
        <v>702</v>
      </c>
      <c r="AP26" s="188">
        <f>IFERROR(__xludf.DUMMYFUNCTION("""COMPUTED_VALUE"""),116.0)</f>
        <v>116</v>
      </c>
      <c r="AQ26" s="186">
        <f>IFERROR(__xludf.DUMMYFUNCTION("""COMPUTED_VALUE"""),2426.6525862068966)</f>
        <v>2426.652586</v>
      </c>
      <c r="AR26" s="189">
        <f>IFERROR(__xludf.DUMMYFUNCTION("""COMPUTED_VALUE"""),6.051724137931035)</f>
        <v>6.051724138</v>
      </c>
      <c r="AS26" s="186">
        <f>IFERROR(__xludf.DUMMYFUNCTION("""COMPUTED_VALUE"""),121601.37096774192)</f>
        <v>121601.371</v>
      </c>
      <c r="AT26" s="186">
        <f>IFERROR(__xludf.DUMMYFUNCTION("""COMPUTED_VALUE"""),43729.0)</f>
        <v>43729</v>
      </c>
      <c r="AU26" s="187">
        <f>IFERROR(__xludf.DUMMYFUNCTION("""COMPUTED_VALUE"""),0.5873365749957883)</f>
        <v>0.587336575</v>
      </c>
      <c r="AV26" s="186">
        <f>IFERROR(__xludf.DUMMYFUNCTION("""COMPUTED_VALUE"""),11259.668)</f>
        <v>11259.668</v>
      </c>
      <c r="AW26" s="219">
        <f>IFERROR(__xludf.DUMMYFUNCTION("""COMPUTED_VALUE"""),40.0)</f>
        <v>40</v>
      </c>
      <c r="AX26" s="219">
        <f>IFERROR(__xludf.DUMMYFUNCTION("""COMPUTED_VALUE"""),934.0)</f>
        <v>934</v>
      </c>
      <c r="AY26" s="254">
        <f>IFERROR(__xludf.DUMMYFUNCTION("""COMPUTED_VALUE"""),0.0)</f>
        <v>0</v>
      </c>
      <c r="AZ26" s="219">
        <f>IFERROR(__xludf.DUMMYFUNCTION("""COMPUTED_VALUE"""),0.0)</f>
        <v>0</v>
      </c>
      <c r="BA26" s="219">
        <f>IFERROR(__xludf.DUMMYFUNCTION("""COMPUTED_VALUE"""),25.0)</f>
        <v>25</v>
      </c>
      <c r="BB26" s="219">
        <f>IFERROR(__xludf.DUMMYFUNCTION("""COMPUTED_VALUE"""),0.0)</f>
        <v>0</v>
      </c>
      <c r="BC26" s="219">
        <f>IFERROR(__xludf.DUMMYFUNCTION("""COMPUTED_VALUE"""),0.0)</f>
        <v>0</v>
      </c>
      <c r="BD26" s="191">
        <f>IFERROR(__xludf.DUMMYFUNCTION("""COMPUTED_VALUE"""),46007.0)</f>
        <v>46007</v>
      </c>
      <c r="BE26" s="75"/>
      <c r="BF26" s="164">
        <v>0.0</v>
      </c>
      <c r="BG26" s="203">
        <f t="shared" si="4"/>
        <v>281491.7</v>
      </c>
      <c r="BH26" s="255" t="str">
        <f t="shared" si="5"/>
        <v>#REF!</v>
      </c>
      <c r="BI26" s="75"/>
      <c r="BJ26" s="75"/>
      <c r="BK26" s="75"/>
      <c r="BL26" s="75"/>
      <c r="BM26" s="75"/>
      <c r="BN26" s="75"/>
      <c r="BO26" s="75"/>
      <c r="BP26" s="75"/>
      <c r="BQ26" s="75"/>
      <c r="BR26" s="75"/>
    </row>
    <row r="27">
      <c r="A27" s="6" t="str">
        <f>IFERROR(__xludf.DUMMYFUNCTION("""COMPUTED_VALUE"""),"Pawan Sharma")</f>
        <v>Pawan Sharma</v>
      </c>
      <c r="B27" s="183" t="str">
        <f>IFERROR(__xludf.DUMMYFUNCTION("""COMPUTED_VALUE"""),"Haryana")</f>
        <v>Haryana</v>
      </c>
      <c r="C27" s="184" t="str">
        <f>IFERROR(__xludf.DUMMYFUNCTION("""COMPUTED_VALUE"""),"CHANGAL CHANDEEP")</f>
        <v>CHANGAL CHANDEEP</v>
      </c>
      <c r="D27" s="75" t="str">
        <f>IFERROR(__xludf.DUMMYFUNCTION("""COMPUTED_VALUE"""),"Dadri")</f>
        <v>Dadri</v>
      </c>
      <c r="E27" s="256">
        <f>IFERROR(__xludf.DUMMYFUNCTION("""COMPUTED_VALUE"""),45922.0)</f>
        <v>45922</v>
      </c>
      <c r="F27" s="219" t="str">
        <f>IFERROR(__xludf.DUMMYFUNCTION("""COMPUTED_VALUE"""),"HARYANA")</f>
        <v>HARYANA</v>
      </c>
      <c r="G27" s="253"/>
      <c r="H27" s="253"/>
      <c r="I27" s="190">
        <f>IFERROR(__xludf.DUMMYFUNCTION("""COMPUTED_VALUE"""),41430.0)</f>
        <v>41430</v>
      </c>
      <c r="J27" s="190">
        <f>IFERROR(__xludf.DUMMYFUNCTION("""COMPUTED_VALUE"""),500000.0)</f>
        <v>500000</v>
      </c>
      <c r="K27" s="186">
        <f>IFERROR(__xludf.DUMMYFUNCTION("""COMPUTED_VALUE"""),0.0)</f>
        <v>0</v>
      </c>
      <c r="L27" s="186">
        <f>IFERROR(__xludf.DUMMYFUNCTION("""COMPUTED_VALUE"""),4355555.0)</f>
        <v>4355555</v>
      </c>
      <c r="M27" s="186">
        <f>IFERROR(__xludf.DUMMYFUNCTION("""COMPUTED_VALUE"""),357731.03)</f>
        <v>357731.03</v>
      </c>
      <c r="N27" s="186">
        <f>IFERROR(__xludf.DUMMYFUNCTION("""COMPUTED_VALUE"""),0.0)</f>
        <v>0</v>
      </c>
      <c r="O27" s="186">
        <f>IFERROR(__xludf.DUMMYFUNCTION("""COMPUTED_VALUE"""),369596.0)</f>
        <v>369596</v>
      </c>
      <c r="P27" s="187">
        <f>IFERROR(__xludf.DUMMYFUNCTION("""COMPUTED_VALUE"""),0.08213213471073147)</f>
        <v>0.08213213471</v>
      </c>
      <c r="Q27" s="187">
        <f>IFERROR(__xludf.DUMMYFUNCTION("""COMPUTED_VALUE"""),0.0)</f>
        <v>0</v>
      </c>
      <c r="R27" s="187">
        <f>IFERROR(__xludf.DUMMYFUNCTION("""COMPUTED_VALUE"""),0.08485623531329532)</f>
        <v>0.08485623531</v>
      </c>
      <c r="S27" s="188">
        <f>IFERROR(__xludf.DUMMYFUNCTION("""COMPUTED_VALUE"""),14.0)</f>
        <v>14</v>
      </c>
      <c r="T27" s="188">
        <f>IFERROR(__xludf.DUMMYFUNCTION("""COMPUTED_VALUE"""),18.0)</f>
        <v>18</v>
      </c>
      <c r="U27" s="188">
        <f>IFERROR(__xludf.DUMMYFUNCTION("""COMPUTED_VALUE"""),4.0)</f>
        <v>4</v>
      </c>
      <c r="V27" s="188">
        <f>IFERROR(__xludf.DUMMYFUNCTION("""COMPUTED_VALUE"""),2.0)</f>
        <v>2</v>
      </c>
      <c r="W27" s="188">
        <f>IFERROR(__xludf.DUMMYFUNCTION("""COMPUTED_VALUE"""),18.0)</f>
        <v>18</v>
      </c>
      <c r="X27" s="188">
        <f>IFERROR(__xludf.DUMMYFUNCTION("""COMPUTED_VALUE"""),0.0)</f>
        <v>0</v>
      </c>
      <c r="Y27" s="189">
        <f>IFERROR(__xludf.DUMMYFUNCTION("""COMPUTED_VALUE"""),0.0)</f>
        <v>0</v>
      </c>
      <c r="Z27" s="189">
        <f>IFERROR(__xludf.DUMMYFUNCTION("""COMPUTED_VALUE"""),357731.03)</f>
        <v>357731.03</v>
      </c>
      <c r="AA27" s="188">
        <f>IFERROR(__xludf.DUMMYFUNCTION("""COMPUTED_VALUE"""),0.0)</f>
        <v>0</v>
      </c>
      <c r="AB27" s="188">
        <f>IFERROR(__xludf.DUMMYFUNCTION("""COMPUTED_VALUE"""),2.0)</f>
        <v>2</v>
      </c>
      <c r="AC27" s="188">
        <f>IFERROR(__xludf.DUMMYFUNCTION("""COMPUTED_VALUE"""),2.0)</f>
        <v>2</v>
      </c>
      <c r="AD27" s="188">
        <f>IFERROR(__xludf.DUMMYFUNCTION("""COMPUTED_VALUE"""),0.0)</f>
        <v>0</v>
      </c>
      <c r="AE27" s="188">
        <f>IFERROR(__xludf.DUMMYFUNCTION("""COMPUTED_VALUE"""),177.0)</f>
        <v>177</v>
      </c>
      <c r="AF27" s="188">
        <f>IFERROR(__xludf.DUMMYFUNCTION("""COMPUTED_VALUE"""),350.0)</f>
        <v>350</v>
      </c>
      <c r="AG27" s="188">
        <f>IFERROR(__xludf.DUMMYFUNCTION("""COMPUTED_VALUE"""),3.0)</f>
        <v>3</v>
      </c>
      <c r="AH27" s="188">
        <f>IFERROR(__xludf.DUMMYFUNCTION("""COMPUTED_VALUE"""),9.0)</f>
        <v>9</v>
      </c>
      <c r="AI27" s="188">
        <f>IFERROR(__xludf.DUMMYFUNCTION("""COMPUTED_VALUE"""),16.0)</f>
        <v>16</v>
      </c>
      <c r="AJ27" s="188">
        <f>IFERROR(__xludf.DUMMYFUNCTION("""COMPUTED_VALUE"""),0.0)</f>
        <v>0</v>
      </c>
      <c r="AK27" s="188">
        <f>IFERROR(__xludf.DUMMYFUNCTION("""COMPUTED_VALUE"""),0.0)</f>
        <v>0</v>
      </c>
      <c r="AL27" s="188">
        <f>IFERROR(__xludf.DUMMYFUNCTION("""COMPUTED_VALUE"""),13.0)</f>
        <v>13</v>
      </c>
      <c r="AM27" s="188">
        <f>IFERROR(__xludf.DUMMYFUNCTION("""COMPUTED_VALUE"""),32.0)</f>
        <v>32</v>
      </c>
      <c r="AN27" s="188">
        <f>IFERROR(__xludf.DUMMYFUNCTION("""COMPUTED_VALUE"""),63.0)</f>
        <v>63</v>
      </c>
      <c r="AO27" s="188">
        <f>IFERROR(__xludf.DUMMYFUNCTION("""COMPUTED_VALUE"""),461.0)</f>
        <v>461</v>
      </c>
      <c r="AP27" s="188">
        <f>IFERROR(__xludf.DUMMYFUNCTION("""COMPUTED_VALUE"""),116.0)</f>
        <v>116</v>
      </c>
      <c r="AQ27" s="186">
        <f>IFERROR(__xludf.DUMMYFUNCTION("""COMPUTED_VALUE"""),3083.8881896551725)</f>
        <v>3083.88819</v>
      </c>
      <c r="AR27" s="189">
        <f>IFERROR(__xludf.DUMMYFUNCTION("""COMPUTED_VALUE"""),3.9741379310344827)</f>
        <v>3.974137931</v>
      </c>
      <c r="AS27" s="186">
        <f>IFERROR(__xludf.DUMMYFUNCTION("""COMPUTED_VALUE"""),218198.0)</f>
        <v>218198</v>
      </c>
      <c r="AT27" s="186">
        <f>IFERROR(__xludf.DUMMYFUNCTION("""COMPUTED_VALUE"""),134566.0)</f>
        <v>134566</v>
      </c>
      <c r="AU27" s="187">
        <f>IFERROR(__xludf.DUMMYFUNCTION("""COMPUTED_VALUE"""),0.9861151826834814)</f>
        <v>0.9861151827</v>
      </c>
      <c r="AV27" s="186">
        <f>IFERROR(__xludf.DUMMYFUNCTION("""COMPUTED_VALUE"""),178865.515)</f>
        <v>178865.515</v>
      </c>
      <c r="AW27" s="219">
        <f>IFERROR(__xludf.DUMMYFUNCTION("""COMPUTED_VALUE"""),3.0)</f>
        <v>3</v>
      </c>
      <c r="AX27" s="219">
        <f>IFERROR(__xludf.DUMMYFUNCTION("""COMPUTED_VALUE"""),989.0)</f>
        <v>989</v>
      </c>
      <c r="AY27" s="254">
        <f>IFERROR(__xludf.DUMMYFUNCTION("""COMPUTED_VALUE"""),702.55)</f>
        <v>702.55</v>
      </c>
      <c r="AZ27" s="219">
        <f>IFERROR(__xludf.DUMMYFUNCTION("""COMPUTED_VALUE"""),39.0)</f>
        <v>39</v>
      </c>
      <c r="BA27" s="219">
        <f>IFERROR(__xludf.DUMMYFUNCTION("""COMPUTED_VALUE"""),2.0)</f>
        <v>2</v>
      </c>
      <c r="BB27" s="219">
        <f>IFERROR(__xludf.DUMMYFUNCTION("""COMPUTED_VALUE"""),16.0)</f>
        <v>16</v>
      </c>
      <c r="BC27" s="219">
        <f>IFERROR(__xludf.DUMMYFUNCTION("""COMPUTED_VALUE"""),0.0)</f>
        <v>0</v>
      </c>
      <c r="BD27" s="191">
        <f>IFERROR(__xludf.DUMMYFUNCTION("""COMPUTED_VALUE"""),46077.0)</f>
        <v>46077</v>
      </c>
      <c r="BE27" s="75"/>
      <c r="BF27" s="164">
        <v>0.0</v>
      </c>
      <c r="BG27" s="203">
        <f t="shared" si="4"/>
        <v>357731.03</v>
      </c>
      <c r="BH27" s="255" t="str">
        <f t="shared" si="5"/>
        <v>#REF!</v>
      </c>
      <c r="BI27" s="75"/>
      <c r="BJ27" s="75"/>
      <c r="BK27" s="75"/>
      <c r="BL27" s="75"/>
      <c r="BM27" s="75"/>
      <c r="BN27" s="75"/>
      <c r="BO27" s="75"/>
      <c r="BP27" s="75"/>
      <c r="BQ27" s="75"/>
      <c r="BR27" s="75"/>
    </row>
    <row r="28">
      <c r="A28" s="6" t="str">
        <f>IFERROR(__xludf.DUMMYFUNCTION("""COMPUTED_VALUE"""),"Pawan Sharma")</f>
        <v>Pawan Sharma</v>
      </c>
      <c r="B28" s="183" t="str">
        <f>IFERROR(__xludf.DUMMYFUNCTION("""COMPUTED_VALUE"""),"Haryana")</f>
        <v>Haryana</v>
      </c>
      <c r="C28" s="183" t="str">
        <f>IFERROR(__xludf.DUMMYFUNCTION("""COMPUTED_VALUE"""),"Sachin Yadav")</f>
        <v>Sachin Yadav</v>
      </c>
      <c r="D28" s="75" t="str">
        <f>IFERROR(__xludf.DUMMYFUNCTION("""COMPUTED_VALUE"""),"Ateli")</f>
        <v>Ateli</v>
      </c>
      <c r="E28" s="256">
        <f>IFERROR(__xludf.DUMMYFUNCTION("""COMPUTED_VALUE"""),45964.0)</f>
        <v>45964</v>
      </c>
      <c r="F28" s="219" t="str">
        <f>IFERROR(__xludf.DUMMYFUNCTION("""COMPUTED_VALUE"""),"HARYANA")</f>
        <v>HARYANA</v>
      </c>
      <c r="G28" s="253"/>
      <c r="H28" s="253"/>
      <c r="I28" s="190">
        <f>IFERROR(__xludf.DUMMYFUNCTION("""COMPUTED_VALUE"""),24115.0)</f>
        <v>24115</v>
      </c>
      <c r="J28" s="190"/>
      <c r="K28" s="186">
        <f>IFERROR(__xludf.DUMMYFUNCTION("""COMPUTED_VALUE"""),0.0)</f>
        <v>0</v>
      </c>
      <c r="L28" s="186">
        <f>IFERROR(__xludf.DUMMYFUNCTION("""COMPUTED_VALUE"""),500000.0)</f>
        <v>500000</v>
      </c>
      <c r="M28" s="186">
        <f>IFERROR(__xludf.DUMMYFUNCTION("""COMPUTED_VALUE"""),0.0)</f>
        <v>0</v>
      </c>
      <c r="N28" s="186">
        <f>IFERROR(__xludf.DUMMYFUNCTION("""COMPUTED_VALUE"""),0.0)</f>
        <v>0</v>
      </c>
      <c r="O28" s="186"/>
      <c r="P28" s="187">
        <f>IFERROR(__xludf.DUMMYFUNCTION("""COMPUTED_VALUE"""),0.0)</f>
        <v>0</v>
      </c>
      <c r="Q28" s="187">
        <f>IFERROR(__xludf.DUMMYFUNCTION("""COMPUTED_VALUE"""),0.0)</f>
        <v>0</v>
      </c>
      <c r="R28" s="187">
        <f>IFERROR(__xludf.DUMMYFUNCTION("""COMPUTED_VALUE"""),0.0)</f>
        <v>0</v>
      </c>
      <c r="S28" s="188">
        <f>IFERROR(__xludf.DUMMYFUNCTION("""COMPUTED_VALUE"""),5.0)</f>
        <v>5</v>
      </c>
      <c r="T28" s="188">
        <f>IFERROR(__xludf.DUMMYFUNCTION("""COMPUTED_VALUE"""),5.0)</f>
        <v>5</v>
      </c>
      <c r="U28" s="188">
        <f>IFERROR(__xludf.DUMMYFUNCTION("""COMPUTED_VALUE"""),0.0)</f>
        <v>0</v>
      </c>
      <c r="V28" s="188">
        <f>IFERROR(__xludf.DUMMYFUNCTION("""COMPUTED_VALUE"""),0.0)</f>
        <v>0</v>
      </c>
      <c r="W28" s="188">
        <f>IFERROR(__xludf.DUMMYFUNCTION("""COMPUTED_VALUE"""),5.0)</f>
        <v>5</v>
      </c>
      <c r="X28" s="188">
        <f>IFERROR(__xludf.DUMMYFUNCTION("""COMPUTED_VALUE"""),0.0)</f>
        <v>0</v>
      </c>
      <c r="Y28" s="189">
        <f>IFERROR(__xludf.DUMMYFUNCTION("""COMPUTED_VALUE"""),0.0)</f>
        <v>0</v>
      </c>
      <c r="Z28" s="189">
        <f>IFERROR(__xludf.DUMMYFUNCTION("""COMPUTED_VALUE"""),0.0)</f>
        <v>0</v>
      </c>
      <c r="AA28" s="188">
        <f>IFERROR(__xludf.DUMMYFUNCTION("""COMPUTED_VALUE"""),0.0)</f>
        <v>0</v>
      </c>
      <c r="AB28" s="188">
        <f>IFERROR(__xludf.DUMMYFUNCTION("""COMPUTED_VALUE"""),0.0)</f>
        <v>0</v>
      </c>
      <c r="AC28" s="188">
        <f>IFERROR(__xludf.DUMMYFUNCTION("""COMPUTED_VALUE"""),0.0)</f>
        <v>0</v>
      </c>
      <c r="AD28" s="188">
        <f>IFERROR(__xludf.DUMMYFUNCTION("""COMPUTED_VALUE"""),0.0)</f>
        <v>0</v>
      </c>
      <c r="AE28" s="188">
        <f>IFERROR(__xludf.DUMMYFUNCTION("""COMPUTED_VALUE"""),21.0)</f>
        <v>21</v>
      </c>
      <c r="AF28" s="188">
        <f>IFERROR(__xludf.DUMMYFUNCTION("""COMPUTED_VALUE"""),21.0)</f>
        <v>21</v>
      </c>
      <c r="AG28" s="188">
        <f>IFERROR(__xludf.DUMMYFUNCTION("""COMPUTED_VALUE"""),0.0)</f>
        <v>0</v>
      </c>
      <c r="AH28" s="188">
        <f>IFERROR(__xludf.DUMMYFUNCTION("""COMPUTED_VALUE"""),0.0)</f>
        <v>0</v>
      </c>
      <c r="AI28" s="188">
        <f>IFERROR(__xludf.DUMMYFUNCTION("""COMPUTED_VALUE"""),0.0)</f>
        <v>0</v>
      </c>
      <c r="AJ28" s="188">
        <f>IFERROR(__xludf.DUMMYFUNCTION("""COMPUTED_VALUE"""),0.0)</f>
        <v>0</v>
      </c>
      <c r="AK28" s="188">
        <f>IFERROR(__xludf.DUMMYFUNCTION("""COMPUTED_VALUE"""),0.0)</f>
        <v>0</v>
      </c>
      <c r="AL28" s="188">
        <f>IFERROR(__xludf.DUMMYFUNCTION("""COMPUTED_VALUE"""),1.0)</f>
        <v>1</v>
      </c>
      <c r="AM28" s="188">
        <f>IFERROR(__xludf.DUMMYFUNCTION("""COMPUTED_VALUE"""),2.0)</f>
        <v>2</v>
      </c>
      <c r="AN28" s="188">
        <f>IFERROR(__xludf.DUMMYFUNCTION("""COMPUTED_VALUE"""),5.0)</f>
        <v>5</v>
      </c>
      <c r="AO28" s="188">
        <f>IFERROR(__xludf.DUMMYFUNCTION("""COMPUTED_VALUE"""),28.0)</f>
        <v>28</v>
      </c>
      <c r="AP28" s="188">
        <f>IFERROR(__xludf.DUMMYFUNCTION("""COMPUTED_VALUE"""),6.0)</f>
        <v>6</v>
      </c>
      <c r="AQ28" s="186">
        <f>IFERROR(__xludf.DUMMYFUNCTION("""COMPUTED_VALUE"""),0.0)</f>
        <v>0</v>
      </c>
      <c r="AR28" s="189">
        <f>IFERROR(__xludf.DUMMYFUNCTION("""COMPUTED_VALUE"""),4.666666666666667)</f>
        <v>4.666666667</v>
      </c>
      <c r="AS28" s="186">
        <f>IFERROR(__xludf.DUMMYFUNCTION("""COMPUTED_VALUE"""),21703.5)</f>
        <v>21703.5</v>
      </c>
      <c r="AT28" s="186"/>
      <c r="AU28" s="187"/>
      <c r="AV28" s="186"/>
      <c r="AW28" s="219">
        <f>IFERROR(__xludf.DUMMYFUNCTION("""COMPUTED_VALUE"""),0.0)</f>
        <v>0</v>
      </c>
      <c r="AX28" s="219">
        <f>IFERROR(__xludf.DUMMYFUNCTION("""COMPUTED_VALUE"""),48.0)</f>
        <v>48</v>
      </c>
      <c r="AY28" s="254">
        <f>IFERROR(__xludf.DUMMYFUNCTION("""COMPUTED_VALUE"""),0.0)</f>
        <v>0</v>
      </c>
      <c r="AZ28" s="219">
        <f>IFERROR(__xludf.DUMMYFUNCTION("""COMPUTED_VALUE"""),0.0)</f>
        <v>0</v>
      </c>
      <c r="BA28" s="219">
        <f>IFERROR(__xludf.DUMMYFUNCTION("""COMPUTED_VALUE"""),0.0)</f>
        <v>0</v>
      </c>
      <c r="BB28" s="219">
        <f>IFERROR(__xludf.DUMMYFUNCTION("""COMPUTED_VALUE"""),5.0)</f>
        <v>5</v>
      </c>
      <c r="BC28" s="219">
        <f>IFERROR(__xludf.DUMMYFUNCTION("""COMPUTED_VALUE"""),0.0)</f>
        <v>0</v>
      </c>
      <c r="BD28" s="191">
        <f>IFERROR(__xludf.DUMMYFUNCTION("""COMPUTED_VALUE"""),45972.0)</f>
        <v>45972</v>
      </c>
      <c r="BE28" s="75"/>
      <c r="BF28" s="164" t="e">
        <v>#N/A</v>
      </c>
      <c r="BG28" s="203">
        <f t="shared" si="4"/>
        <v>0</v>
      </c>
      <c r="BH28" s="255" t="str">
        <f t="shared" si="5"/>
        <v>#REF!</v>
      </c>
      <c r="BI28" s="75"/>
      <c r="BJ28" s="75"/>
      <c r="BK28" s="75"/>
      <c r="BL28" s="75"/>
      <c r="BM28" s="75"/>
      <c r="BN28" s="75"/>
      <c r="BO28" s="75"/>
      <c r="BP28" s="75"/>
      <c r="BQ28" s="75"/>
      <c r="BR28" s="75"/>
    </row>
    <row r="29">
      <c r="A29" s="6" t="str">
        <f>IFERROR(__xludf.DUMMYFUNCTION("""COMPUTED_VALUE"""),"Pawan Sharma")</f>
        <v>Pawan Sharma</v>
      </c>
      <c r="B29" s="183" t="str">
        <f>IFERROR(__xludf.DUMMYFUNCTION("""COMPUTED_VALUE"""),"Haryana")</f>
        <v>Haryana</v>
      </c>
      <c r="C29" s="184" t="str">
        <f>IFERROR(__xludf.DUMMYFUNCTION("""COMPUTED_VALUE"""),"Ishant")</f>
        <v>Ishant</v>
      </c>
      <c r="D29" s="75" t="str">
        <f>IFERROR(__xludf.DUMMYFUNCTION("""COMPUTED_VALUE"""),"Sonipat")</f>
        <v>Sonipat</v>
      </c>
      <c r="E29" s="256">
        <f>IFERROR(__xludf.DUMMYFUNCTION("""COMPUTED_VALUE"""),45979.0)</f>
        <v>45979</v>
      </c>
      <c r="F29" s="219" t="str">
        <f>IFERROR(__xludf.DUMMYFUNCTION("""COMPUTED_VALUE"""),"HARYANA")</f>
        <v>HARYANA</v>
      </c>
      <c r="G29" s="253"/>
      <c r="H29" s="253"/>
      <c r="I29" s="190">
        <f>IFERROR(__xludf.DUMMYFUNCTION("""COMPUTED_VALUE"""),37740.0)</f>
        <v>37740</v>
      </c>
      <c r="J29" s="190">
        <f>IFERROR(__xludf.DUMMYFUNCTION("""COMPUTED_VALUE"""),1000000.0)</f>
        <v>1000000</v>
      </c>
      <c r="K29" s="186">
        <f>IFERROR(__xludf.DUMMYFUNCTION("""COMPUTED_VALUE"""),0.0)</f>
        <v>0</v>
      </c>
      <c r="L29" s="186">
        <f>IFERROR(__xludf.DUMMYFUNCTION("""COMPUTED_VALUE"""),3800000.0)</f>
        <v>3800000</v>
      </c>
      <c r="M29" s="186">
        <f>IFERROR(__xludf.DUMMYFUNCTION("""COMPUTED_VALUE"""),471673.53)</f>
        <v>471673.53</v>
      </c>
      <c r="N29" s="186">
        <f>IFERROR(__xludf.DUMMYFUNCTION("""COMPUTED_VALUE"""),0.0)</f>
        <v>0</v>
      </c>
      <c r="O29" s="186">
        <f>IFERROR(__xludf.DUMMYFUNCTION("""COMPUTED_VALUE"""),476505.0)</f>
        <v>476505</v>
      </c>
      <c r="P29" s="187">
        <f>IFERROR(__xludf.DUMMYFUNCTION("""COMPUTED_VALUE"""),0.12412461315789475)</f>
        <v>0.1241246132</v>
      </c>
      <c r="Q29" s="187">
        <f>IFERROR(__xludf.DUMMYFUNCTION("""COMPUTED_VALUE"""),0.0)</f>
        <v>0</v>
      </c>
      <c r="R29" s="187">
        <f>IFERROR(__xludf.DUMMYFUNCTION("""COMPUTED_VALUE"""),0.12539605263157894)</f>
        <v>0.1253960526</v>
      </c>
      <c r="S29" s="188">
        <f>IFERROR(__xludf.DUMMYFUNCTION("""COMPUTED_VALUE"""),33.0)</f>
        <v>33</v>
      </c>
      <c r="T29" s="188">
        <f>IFERROR(__xludf.DUMMYFUNCTION("""COMPUTED_VALUE"""),40.0)</f>
        <v>40</v>
      </c>
      <c r="U29" s="188">
        <f>IFERROR(__xludf.DUMMYFUNCTION("""COMPUTED_VALUE"""),7.0)</f>
        <v>7</v>
      </c>
      <c r="V29" s="188">
        <f>IFERROR(__xludf.DUMMYFUNCTION("""COMPUTED_VALUE"""),7.0)</f>
        <v>7</v>
      </c>
      <c r="W29" s="188">
        <f>IFERROR(__xludf.DUMMYFUNCTION("""COMPUTED_VALUE"""),40.0)</f>
        <v>40</v>
      </c>
      <c r="X29" s="188">
        <f>IFERROR(__xludf.DUMMYFUNCTION("""COMPUTED_VALUE"""),0.0)</f>
        <v>0</v>
      </c>
      <c r="Y29" s="189">
        <f>IFERROR(__xludf.DUMMYFUNCTION("""COMPUTED_VALUE"""),56896.77)</f>
        <v>56896.77</v>
      </c>
      <c r="Z29" s="189">
        <f>IFERROR(__xludf.DUMMYFUNCTION("""COMPUTED_VALUE"""),414776.76)</f>
        <v>414776.76</v>
      </c>
      <c r="AA29" s="188">
        <f>IFERROR(__xludf.DUMMYFUNCTION("""COMPUTED_VALUE"""),2.0)</f>
        <v>2</v>
      </c>
      <c r="AB29" s="188">
        <f>IFERROR(__xludf.DUMMYFUNCTION("""COMPUTED_VALUE"""),7.0)</f>
        <v>7</v>
      </c>
      <c r="AC29" s="188">
        <f>IFERROR(__xludf.DUMMYFUNCTION("""COMPUTED_VALUE"""),9.0)</f>
        <v>9</v>
      </c>
      <c r="AD29" s="188">
        <f>IFERROR(__xludf.DUMMYFUNCTION("""COMPUTED_VALUE"""),0.0)</f>
        <v>0</v>
      </c>
      <c r="AE29" s="188">
        <f>IFERROR(__xludf.DUMMYFUNCTION("""COMPUTED_VALUE"""),153.0)</f>
        <v>153</v>
      </c>
      <c r="AF29" s="188">
        <f>IFERROR(__xludf.DUMMYFUNCTION("""COMPUTED_VALUE"""),299.0)</f>
        <v>299</v>
      </c>
      <c r="AG29" s="188">
        <f>IFERROR(__xludf.DUMMYFUNCTION("""COMPUTED_VALUE"""),2.0)</f>
        <v>2</v>
      </c>
      <c r="AH29" s="188">
        <f>IFERROR(__xludf.DUMMYFUNCTION("""COMPUTED_VALUE"""),3.0)</f>
        <v>3</v>
      </c>
      <c r="AI29" s="188">
        <f>IFERROR(__xludf.DUMMYFUNCTION("""COMPUTED_VALUE"""),87.0)</f>
        <v>87</v>
      </c>
      <c r="AJ29" s="188">
        <f>IFERROR(__xludf.DUMMYFUNCTION("""COMPUTED_VALUE"""),0.0)</f>
        <v>0</v>
      </c>
      <c r="AK29" s="188">
        <f>IFERROR(__xludf.DUMMYFUNCTION("""COMPUTED_VALUE"""),0.0)</f>
        <v>0</v>
      </c>
      <c r="AL29" s="188">
        <f>IFERROR(__xludf.DUMMYFUNCTION("""COMPUTED_VALUE"""),2.0)</f>
        <v>2</v>
      </c>
      <c r="AM29" s="188">
        <f>IFERROR(__xludf.DUMMYFUNCTION("""COMPUTED_VALUE"""),2.0)</f>
        <v>2</v>
      </c>
      <c r="AN29" s="188">
        <f>IFERROR(__xludf.DUMMYFUNCTION("""COMPUTED_VALUE"""),213.0)</f>
        <v>213</v>
      </c>
      <c r="AO29" s="188">
        <f>IFERROR(__xludf.DUMMYFUNCTION("""COMPUTED_VALUE"""),601.0)</f>
        <v>601</v>
      </c>
      <c r="AP29" s="188">
        <f>IFERROR(__xludf.DUMMYFUNCTION("""COMPUTED_VALUE"""),99.0)</f>
        <v>99</v>
      </c>
      <c r="AQ29" s="186">
        <f>IFERROR(__xludf.DUMMYFUNCTION("""COMPUTED_VALUE"""),4764.379090909091)</f>
        <v>4764.379091</v>
      </c>
      <c r="AR29" s="189">
        <f>IFERROR(__xludf.DUMMYFUNCTION("""COMPUTED_VALUE"""),6.070707070707071)</f>
        <v>6.070707071</v>
      </c>
      <c r="AS29" s="186">
        <f>IFERROR(__xludf.DUMMYFUNCTION("""COMPUTED_VALUE"""),173604.0)</f>
        <v>173604</v>
      </c>
      <c r="AT29" s="186">
        <f>IFERROR(__xludf.DUMMYFUNCTION("""COMPUTED_VALUE"""),25836.0)</f>
        <v>25836</v>
      </c>
      <c r="AU29" s="187">
        <f>IFERROR(__xludf.DUMMYFUNCTION("""COMPUTED_VALUE"""),0.4228348366294797)</f>
        <v>0.4228348366</v>
      </c>
      <c r="AV29" s="186">
        <f>IFERROR(__xludf.DUMMYFUNCTION("""COMPUTED_VALUE"""),52408.170000000006)</f>
        <v>52408.17</v>
      </c>
      <c r="AW29" s="219">
        <f>IFERROR(__xludf.DUMMYFUNCTION("""COMPUTED_VALUE"""),20.0)</f>
        <v>20</v>
      </c>
      <c r="AX29" s="219">
        <f>IFERROR(__xludf.DUMMYFUNCTION("""COMPUTED_VALUE"""),920.0)</f>
        <v>920</v>
      </c>
      <c r="AY29" s="254">
        <f>IFERROR(__xludf.DUMMYFUNCTION("""COMPUTED_VALUE"""),1385.95)</f>
        <v>1385.95</v>
      </c>
      <c r="AZ29" s="219">
        <f>IFERROR(__xludf.DUMMYFUNCTION("""COMPUTED_VALUE"""),35.0)</f>
        <v>35</v>
      </c>
      <c r="BA29" s="219">
        <f>IFERROR(__xludf.DUMMYFUNCTION("""COMPUTED_VALUE"""),9.0)</f>
        <v>9</v>
      </c>
      <c r="BB29" s="219">
        <f>IFERROR(__xludf.DUMMYFUNCTION("""COMPUTED_VALUE"""),31.0)</f>
        <v>31</v>
      </c>
      <c r="BC29" s="219">
        <f>IFERROR(__xludf.DUMMYFUNCTION("""COMPUTED_VALUE"""),0.0)</f>
        <v>0</v>
      </c>
      <c r="BD29" s="191"/>
      <c r="BE29" s="75"/>
      <c r="BF29" s="164">
        <v>-5.820766091346741E-11</v>
      </c>
      <c r="BG29" s="203">
        <f t="shared" si="4"/>
        <v>471673.53</v>
      </c>
      <c r="BH29" s="255" t="str">
        <f t="shared" si="5"/>
        <v>#REF!</v>
      </c>
      <c r="BI29" s="75"/>
      <c r="BJ29" s="75"/>
      <c r="BK29" s="75"/>
      <c r="BL29" s="75"/>
      <c r="BM29" s="75"/>
      <c r="BN29" s="75"/>
      <c r="BO29" s="75"/>
      <c r="BP29" s="75"/>
      <c r="BQ29" s="75"/>
      <c r="BR29" s="75"/>
    </row>
    <row r="30">
      <c r="A30" s="6" t="str">
        <f>IFERROR(__xludf.DUMMYFUNCTION("""COMPUTED_VALUE"""),"Pawan Sharma")</f>
        <v>Pawan Sharma</v>
      </c>
      <c r="B30" s="183" t="str">
        <f>IFERROR(__xludf.DUMMYFUNCTION("""COMPUTED_VALUE"""),"Rajasthan")</f>
        <v>Rajasthan</v>
      </c>
      <c r="C30" s="183" t="str">
        <f>IFERROR(__xludf.DUMMYFUNCTION("""COMPUTED_VALUE"""),"Manish Kumar Trivedi")</f>
        <v>Manish Kumar Trivedi</v>
      </c>
      <c r="D30" s="75" t="str">
        <f>IFERROR(__xludf.DUMMYFUNCTION("""COMPUTED_VALUE"""),"Jaipur")</f>
        <v>Jaipur</v>
      </c>
      <c r="E30" s="256">
        <f>IFERROR(__xludf.DUMMYFUNCTION("""COMPUTED_VALUE"""),45992.0)</f>
        <v>45992</v>
      </c>
      <c r="F30" s="219" t="str">
        <f>IFERROR(__xludf.DUMMYFUNCTION("""COMPUTED_VALUE"""),"RAJASTHAN")</f>
        <v>RAJASTHAN</v>
      </c>
      <c r="G30" s="253"/>
      <c r="H30" s="253"/>
      <c r="I30" s="190">
        <f>IFERROR(__xludf.DUMMYFUNCTION("""COMPUTED_VALUE"""),28834.0)</f>
        <v>28834</v>
      </c>
      <c r="J30" s="190">
        <f>IFERROR(__xludf.DUMMYFUNCTION("""COMPUTED_VALUE"""),600000.0)</f>
        <v>600000</v>
      </c>
      <c r="K30" s="186">
        <f>IFERROR(__xludf.DUMMYFUNCTION("""COMPUTED_VALUE"""),0.0)</f>
        <v>0</v>
      </c>
      <c r="L30" s="186">
        <f>IFERROR(__xludf.DUMMYFUNCTION("""COMPUTED_VALUE"""),2400000.0)</f>
        <v>2400000</v>
      </c>
      <c r="M30" s="186">
        <f>IFERROR(__xludf.DUMMYFUNCTION("""COMPUTED_VALUE"""),634214.71)</f>
        <v>634214.71</v>
      </c>
      <c r="N30" s="186">
        <f>IFERROR(__xludf.DUMMYFUNCTION("""COMPUTED_VALUE"""),0.0)</f>
        <v>0</v>
      </c>
      <c r="O30" s="186">
        <f>IFERROR(__xludf.DUMMYFUNCTION("""COMPUTED_VALUE"""),0.0)</f>
        <v>0</v>
      </c>
      <c r="P30" s="187">
        <f>IFERROR(__xludf.DUMMYFUNCTION("""COMPUTED_VALUE"""),0.26425612916666663)</f>
        <v>0.2642561292</v>
      </c>
      <c r="Q30" s="187">
        <f>IFERROR(__xludf.DUMMYFUNCTION("""COMPUTED_VALUE"""),0.0)</f>
        <v>0</v>
      </c>
      <c r="R30" s="187">
        <f>IFERROR(__xludf.DUMMYFUNCTION("""COMPUTED_VALUE"""),0.0)</f>
        <v>0</v>
      </c>
      <c r="S30" s="188">
        <f>IFERROR(__xludf.DUMMYFUNCTION("""COMPUTED_VALUE"""),10.0)</f>
        <v>10</v>
      </c>
      <c r="T30" s="188">
        <f>IFERROR(__xludf.DUMMYFUNCTION("""COMPUTED_VALUE"""),20.0)</f>
        <v>20</v>
      </c>
      <c r="U30" s="188">
        <f>IFERROR(__xludf.DUMMYFUNCTION("""COMPUTED_VALUE"""),10.0)</f>
        <v>10</v>
      </c>
      <c r="V30" s="188">
        <f>IFERROR(__xludf.DUMMYFUNCTION("""COMPUTED_VALUE"""),10.0)</f>
        <v>10</v>
      </c>
      <c r="W30" s="188">
        <f>IFERROR(__xludf.DUMMYFUNCTION("""COMPUTED_VALUE"""),20.0)</f>
        <v>20</v>
      </c>
      <c r="X30" s="188">
        <f>IFERROR(__xludf.DUMMYFUNCTION("""COMPUTED_VALUE"""),0.0)</f>
        <v>0</v>
      </c>
      <c r="Y30" s="189">
        <f>IFERROR(__xludf.DUMMYFUNCTION("""COMPUTED_VALUE"""),101158.23)</f>
        <v>101158.23</v>
      </c>
      <c r="Z30" s="189">
        <f>IFERROR(__xludf.DUMMYFUNCTION("""COMPUTED_VALUE"""),533056.48)</f>
        <v>533056.48</v>
      </c>
      <c r="AA30" s="188">
        <f>IFERROR(__xludf.DUMMYFUNCTION("""COMPUTED_VALUE"""),1.0)</f>
        <v>1</v>
      </c>
      <c r="AB30" s="188">
        <f>IFERROR(__xludf.DUMMYFUNCTION("""COMPUTED_VALUE"""),10.0)</f>
        <v>10</v>
      </c>
      <c r="AC30" s="188">
        <f>IFERROR(__xludf.DUMMYFUNCTION("""COMPUTED_VALUE"""),11.0)</f>
        <v>11</v>
      </c>
      <c r="AD30" s="188">
        <f>IFERROR(__xludf.DUMMYFUNCTION("""COMPUTED_VALUE"""),0.0)</f>
        <v>0</v>
      </c>
      <c r="AE30" s="188">
        <f>IFERROR(__xludf.DUMMYFUNCTION("""COMPUTED_VALUE"""),288.0)</f>
        <v>288</v>
      </c>
      <c r="AF30" s="188">
        <f>IFERROR(__xludf.DUMMYFUNCTION("""COMPUTED_VALUE"""),575.0)</f>
        <v>575</v>
      </c>
      <c r="AG30" s="188">
        <f>IFERROR(__xludf.DUMMYFUNCTION("""COMPUTED_VALUE"""),7.0)</f>
        <v>7</v>
      </c>
      <c r="AH30" s="188">
        <f>IFERROR(__xludf.DUMMYFUNCTION("""COMPUTED_VALUE"""),3.0)</f>
        <v>3</v>
      </c>
      <c r="AI30" s="188">
        <f>IFERROR(__xludf.DUMMYFUNCTION("""COMPUTED_VALUE"""),33.0)</f>
        <v>33</v>
      </c>
      <c r="AJ30" s="188">
        <f>IFERROR(__xludf.DUMMYFUNCTION("""COMPUTED_VALUE"""),0.0)</f>
        <v>0</v>
      </c>
      <c r="AK30" s="188">
        <f>IFERROR(__xludf.DUMMYFUNCTION("""COMPUTED_VALUE"""),0.0)</f>
        <v>0</v>
      </c>
      <c r="AL30" s="188">
        <f>IFERROR(__xludf.DUMMYFUNCTION("""COMPUTED_VALUE"""),3.0)</f>
        <v>3</v>
      </c>
      <c r="AM30" s="188">
        <f>IFERROR(__xludf.DUMMYFUNCTION("""COMPUTED_VALUE"""),13.0)</f>
        <v>13</v>
      </c>
      <c r="AN30" s="188">
        <f>IFERROR(__xludf.DUMMYFUNCTION("""COMPUTED_VALUE"""),96.0)</f>
        <v>96</v>
      </c>
      <c r="AO30" s="188">
        <f>IFERROR(__xludf.DUMMYFUNCTION("""COMPUTED_VALUE"""),717.0)</f>
        <v>717</v>
      </c>
      <c r="AP30" s="188">
        <f>IFERROR(__xludf.DUMMYFUNCTION("""COMPUTED_VALUE"""),91.0)</f>
        <v>91</v>
      </c>
      <c r="AQ30" s="186">
        <f>IFERROR(__xludf.DUMMYFUNCTION("""COMPUTED_VALUE"""),6969.392417582417)</f>
        <v>6969.392418</v>
      </c>
      <c r="AR30" s="189">
        <f>IFERROR(__xludf.DUMMYFUNCTION("""COMPUTED_VALUE"""),7.8791208791208796)</f>
        <v>7.879120879</v>
      </c>
      <c r="AS30" s="186">
        <f>IFERROR(__xludf.DUMMYFUNCTION("""COMPUTED_VALUE"""),115336.0)</f>
        <v>115336</v>
      </c>
      <c r="AT30" s="186">
        <f>IFERROR(__xludf.DUMMYFUNCTION("""COMPUTED_VALUE"""),38742.0)</f>
        <v>38742</v>
      </c>
      <c r="AU30" s="187">
        <f>IFERROR(__xludf.DUMMYFUNCTION("""COMPUTED_VALUE"""),0.24294296169825516)</f>
        <v>0.2429429617</v>
      </c>
      <c r="AV30" s="186">
        <f>IFERROR(__xludf.DUMMYFUNCTION("""COMPUTED_VALUE"""),57655.88272727272)</f>
        <v>57655.88273</v>
      </c>
      <c r="AW30" s="219">
        <f>IFERROR(__xludf.DUMMYFUNCTION("""COMPUTED_VALUE"""),15.0)</f>
        <v>15</v>
      </c>
      <c r="AX30" s="219">
        <f>IFERROR(__xludf.DUMMYFUNCTION("""COMPUTED_VALUE"""),879.0)</f>
        <v>879</v>
      </c>
      <c r="AY30" s="254">
        <f>IFERROR(__xludf.DUMMYFUNCTION("""COMPUTED_VALUE"""),3258.35)</f>
        <v>3258.35</v>
      </c>
      <c r="AZ30" s="219">
        <f>IFERROR(__xludf.DUMMYFUNCTION("""COMPUTED_VALUE"""),163.0)</f>
        <v>163</v>
      </c>
      <c r="BA30" s="219">
        <f>IFERROR(__xludf.DUMMYFUNCTION("""COMPUTED_VALUE"""),11.0)</f>
        <v>11</v>
      </c>
      <c r="BB30" s="219">
        <f>IFERROR(__xludf.DUMMYFUNCTION("""COMPUTED_VALUE"""),9.0)</f>
        <v>9</v>
      </c>
      <c r="BC30" s="219">
        <f>IFERROR(__xludf.DUMMYFUNCTION("""COMPUTED_VALUE"""),0.0)</f>
        <v>0</v>
      </c>
      <c r="BD30" s="191"/>
      <c r="BE30" s="75"/>
      <c r="BF30" s="164">
        <v>0.0</v>
      </c>
      <c r="BG30" s="203">
        <f t="shared" si="4"/>
        <v>634214.71</v>
      </c>
      <c r="BH30" s="255" t="str">
        <f t="shared" si="5"/>
        <v>#REF!</v>
      </c>
      <c r="BI30" s="75"/>
      <c r="BJ30" s="75"/>
      <c r="BK30" s="75"/>
      <c r="BL30" s="75"/>
      <c r="BM30" s="75"/>
      <c r="BN30" s="75"/>
      <c r="BO30" s="75"/>
      <c r="BP30" s="75"/>
      <c r="BQ30" s="75"/>
      <c r="BR30" s="75"/>
    </row>
    <row r="31">
      <c r="A31" s="6" t="str">
        <f>IFERROR(__xludf.DUMMYFUNCTION("""COMPUTED_VALUE"""),"Pawan Sharma")</f>
        <v>Pawan Sharma</v>
      </c>
      <c r="B31" s="183" t="str">
        <f>IFERROR(__xludf.DUMMYFUNCTION("""COMPUTED_VALUE"""),"Haryana")</f>
        <v>Haryana</v>
      </c>
      <c r="C31" s="184" t="str">
        <f>IFERROR(__xludf.DUMMYFUNCTION("""COMPUTED_VALUE"""),"Neeraj")</f>
        <v>Neeraj</v>
      </c>
      <c r="D31" s="75" t="str">
        <f>IFERROR(__xludf.DUMMYFUNCTION("""COMPUTED_VALUE"""),"Ateli-Mahendragarh")</f>
        <v>Ateli-Mahendragarh</v>
      </c>
      <c r="E31" s="256">
        <f>IFERROR(__xludf.DUMMYFUNCTION("""COMPUTED_VALUE"""),45992.0)</f>
        <v>45992</v>
      </c>
      <c r="F31" s="219" t="str">
        <f>IFERROR(__xludf.DUMMYFUNCTION("""COMPUTED_VALUE"""),"HARYANA")</f>
        <v>HARYANA</v>
      </c>
      <c r="G31" s="253"/>
      <c r="H31" s="253"/>
      <c r="I31" s="190">
        <f>IFERROR(__xludf.DUMMYFUNCTION("""COMPUTED_VALUE"""),24116.0)</f>
        <v>24116</v>
      </c>
      <c r="J31" s="190">
        <f>IFERROR(__xludf.DUMMYFUNCTION("""COMPUTED_VALUE"""),500000.0)</f>
        <v>500000</v>
      </c>
      <c r="K31" s="186">
        <f>IFERROR(__xludf.DUMMYFUNCTION("""COMPUTED_VALUE"""),0.0)</f>
        <v>0</v>
      </c>
      <c r="L31" s="186">
        <f>IFERROR(__xludf.DUMMYFUNCTION("""COMPUTED_VALUE"""),2000000.0)</f>
        <v>2000000</v>
      </c>
      <c r="M31" s="186">
        <f>IFERROR(__xludf.DUMMYFUNCTION("""COMPUTED_VALUE"""),0.0)</f>
        <v>0</v>
      </c>
      <c r="N31" s="186">
        <f>IFERROR(__xludf.DUMMYFUNCTION("""COMPUTED_VALUE"""),0.0)</f>
        <v>0</v>
      </c>
      <c r="O31" s="186">
        <f>IFERROR(__xludf.DUMMYFUNCTION("""COMPUTED_VALUE"""),0.0)</f>
        <v>0</v>
      </c>
      <c r="P31" s="187">
        <f>IFERROR(__xludf.DUMMYFUNCTION("""COMPUTED_VALUE"""),0.0)</f>
        <v>0</v>
      </c>
      <c r="Q31" s="187">
        <f>IFERROR(__xludf.DUMMYFUNCTION("""COMPUTED_VALUE"""),0.0)</f>
        <v>0</v>
      </c>
      <c r="R31" s="187">
        <f>IFERROR(__xludf.DUMMYFUNCTION("""COMPUTED_VALUE"""),0.0)</f>
        <v>0</v>
      </c>
      <c r="S31" s="188">
        <f>IFERROR(__xludf.DUMMYFUNCTION("""COMPUTED_VALUE"""),37.0)</f>
        <v>37</v>
      </c>
      <c r="T31" s="188">
        <f>IFERROR(__xludf.DUMMYFUNCTION("""COMPUTED_VALUE"""),38.0)</f>
        <v>38</v>
      </c>
      <c r="U31" s="188">
        <f>IFERROR(__xludf.DUMMYFUNCTION("""COMPUTED_VALUE"""),2.0)</f>
        <v>2</v>
      </c>
      <c r="V31" s="188">
        <f>IFERROR(__xludf.DUMMYFUNCTION("""COMPUTED_VALUE"""),0.0)</f>
        <v>0</v>
      </c>
      <c r="W31" s="188">
        <f>IFERROR(__xludf.DUMMYFUNCTION("""COMPUTED_VALUE"""),39.0)</f>
        <v>39</v>
      </c>
      <c r="X31" s="188">
        <f>IFERROR(__xludf.DUMMYFUNCTION("""COMPUTED_VALUE"""),1.0)</f>
        <v>1</v>
      </c>
      <c r="Y31" s="189">
        <f>IFERROR(__xludf.DUMMYFUNCTION("""COMPUTED_VALUE"""),0.0)</f>
        <v>0</v>
      </c>
      <c r="Z31" s="189">
        <f>IFERROR(__xludf.DUMMYFUNCTION("""COMPUTED_VALUE"""),0.0)</f>
        <v>0</v>
      </c>
      <c r="AA31" s="188">
        <f>IFERROR(__xludf.DUMMYFUNCTION("""COMPUTED_VALUE"""),0.0)</f>
        <v>0</v>
      </c>
      <c r="AB31" s="188">
        <f>IFERROR(__xludf.DUMMYFUNCTION("""COMPUTED_VALUE"""),0.0)</f>
        <v>0</v>
      </c>
      <c r="AC31" s="188">
        <f>IFERROR(__xludf.DUMMYFUNCTION("""COMPUTED_VALUE"""),0.0)</f>
        <v>0</v>
      </c>
      <c r="AD31" s="188">
        <f>IFERROR(__xludf.DUMMYFUNCTION("""COMPUTED_VALUE"""),0.0)</f>
        <v>0</v>
      </c>
      <c r="AE31" s="188">
        <f>IFERROR(__xludf.DUMMYFUNCTION("""COMPUTED_VALUE"""),168.0)</f>
        <v>168</v>
      </c>
      <c r="AF31" s="188">
        <f>IFERROR(__xludf.DUMMYFUNCTION("""COMPUTED_VALUE"""),400.0)</f>
        <v>400</v>
      </c>
      <c r="AG31" s="188">
        <f>IFERROR(__xludf.DUMMYFUNCTION("""COMPUTED_VALUE"""),3.0)</f>
        <v>3</v>
      </c>
      <c r="AH31" s="188">
        <f>IFERROR(__xludf.DUMMYFUNCTION("""COMPUTED_VALUE"""),2.0)</f>
        <v>2</v>
      </c>
      <c r="AI31" s="188">
        <f>IFERROR(__xludf.DUMMYFUNCTION("""COMPUTED_VALUE"""),6.0)</f>
        <v>6</v>
      </c>
      <c r="AJ31" s="188">
        <f>IFERROR(__xludf.DUMMYFUNCTION("""COMPUTED_VALUE"""),0.0)</f>
        <v>0</v>
      </c>
      <c r="AK31" s="188">
        <f>IFERROR(__xludf.DUMMYFUNCTION("""COMPUTED_VALUE"""),0.0)</f>
        <v>0</v>
      </c>
      <c r="AL31" s="188">
        <f>IFERROR(__xludf.DUMMYFUNCTION("""COMPUTED_VALUE"""),5.0)</f>
        <v>5</v>
      </c>
      <c r="AM31" s="188">
        <f>IFERROR(__xludf.DUMMYFUNCTION("""COMPUTED_VALUE"""),8.0)</f>
        <v>8</v>
      </c>
      <c r="AN31" s="188">
        <f>IFERROR(__xludf.DUMMYFUNCTION("""COMPUTED_VALUE"""),85.0)</f>
        <v>85</v>
      </c>
      <c r="AO31" s="188">
        <f>IFERROR(__xludf.DUMMYFUNCTION("""COMPUTED_VALUE"""),499.0)</f>
        <v>499</v>
      </c>
      <c r="AP31" s="188">
        <f>IFERROR(__xludf.DUMMYFUNCTION("""COMPUTED_VALUE"""),91.0)</f>
        <v>91</v>
      </c>
      <c r="AQ31" s="186">
        <f>IFERROR(__xludf.DUMMYFUNCTION("""COMPUTED_VALUE"""),0.0)</f>
        <v>0</v>
      </c>
      <c r="AR31" s="189">
        <f>IFERROR(__xludf.DUMMYFUNCTION("""COMPUTED_VALUE"""),5.483516483516484)</f>
        <v>5.483516484</v>
      </c>
      <c r="AS31" s="186">
        <f>IFERROR(__xludf.DUMMYFUNCTION("""COMPUTED_VALUE"""),96464.0)</f>
        <v>96464</v>
      </c>
      <c r="AT31" s="186">
        <f>IFERROR(__xludf.DUMMYFUNCTION("""COMPUTED_VALUE"""),38418.0)</f>
        <v>38418</v>
      </c>
      <c r="AU31" s="187"/>
      <c r="AV31" s="186"/>
      <c r="AW31" s="219">
        <f>IFERROR(__xludf.DUMMYFUNCTION("""COMPUTED_VALUE"""),0.0)</f>
        <v>0</v>
      </c>
      <c r="AX31" s="219">
        <f>IFERROR(__xludf.DUMMYFUNCTION("""COMPUTED_VALUE"""),812.0)</f>
        <v>812</v>
      </c>
      <c r="AY31" s="254">
        <f>IFERROR(__xludf.DUMMYFUNCTION("""COMPUTED_VALUE"""),2250.49)</f>
        <v>2250.49</v>
      </c>
      <c r="AZ31" s="219">
        <f>IFERROR(__xludf.DUMMYFUNCTION("""COMPUTED_VALUE"""),59.0)</f>
        <v>59</v>
      </c>
      <c r="BA31" s="219">
        <f>IFERROR(__xludf.DUMMYFUNCTION("""COMPUTED_VALUE"""),0.0)</f>
        <v>0</v>
      </c>
      <c r="BB31" s="219">
        <f>IFERROR(__xludf.DUMMYFUNCTION("""COMPUTED_VALUE"""),38.0)</f>
        <v>38</v>
      </c>
      <c r="BC31" s="219">
        <f>IFERROR(__xludf.DUMMYFUNCTION("""COMPUTED_VALUE"""),1.0)</f>
        <v>1</v>
      </c>
      <c r="BD31" s="191"/>
      <c r="BE31" s="75"/>
      <c r="BF31" s="164">
        <v>0.0</v>
      </c>
      <c r="BG31" s="203">
        <f t="shared" si="4"/>
        <v>0</v>
      </c>
      <c r="BH31" s="255" t="str">
        <f t="shared" si="5"/>
        <v>#REF!</v>
      </c>
      <c r="BI31" s="75"/>
      <c r="BJ31" s="75"/>
      <c r="BK31" s="75"/>
      <c r="BL31" s="75"/>
      <c r="BM31" s="75"/>
      <c r="BN31" s="75"/>
      <c r="BO31" s="75"/>
      <c r="BP31" s="75"/>
      <c r="BQ31" s="75"/>
      <c r="BR31" s="75"/>
    </row>
    <row r="32">
      <c r="A32" s="6" t="str">
        <f>IFERROR(__xludf.DUMMYFUNCTION("""COMPUTED_VALUE"""),"Pawan Sharma")</f>
        <v>Pawan Sharma</v>
      </c>
      <c r="B32" s="183" t="str">
        <f>IFERROR(__xludf.DUMMYFUNCTION("""COMPUTED_VALUE"""),"Haryana")</f>
        <v>Haryana</v>
      </c>
      <c r="C32" s="183" t="str">
        <f>IFERROR(__xludf.DUMMYFUNCTION("""COMPUTED_VALUE"""),"Kailash Verma")</f>
        <v>Kailash Verma</v>
      </c>
      <c r="D32" s="75" t="str">
        <f>IFERROR(__xludf.DUMMYFUNCTION("""COMPUTED_VALUE"""),"Agroha")</f>
        <v>Agroha</v>
      </c>
      <c r="E32" s="256">
        <f>IFERROR(__xludf.DUMMYFUNCTION("""COMPUTED_VALUE"""),46043.0)</f>
        <v>46043</v>
      </c>
      <c r="F32" s="219" t="str">
        <f>IFERROR(__xludf.DUMMYFUNCTION("""COMPUTED_VALUE"""),"HARYANA")</f>
        <v>HARYANA</v>
      </c>
      <c r="G32" s="253"/>
      <c r="H32" s="253"/>
      <c r="I32" s="190">
        <f>IFERROR(__xludf.DUMMYFUNCTION("""COMPUTED_VALUE"""),40380.0)</f>
        <v>40380</v>
      </c>
      <c r="J32" s="190">
        <f>IFERROR(__xludf.DUMMYFUNCTION("""COMPUTED_VALUE"""),600000.0)</f>
        <v>600000</v>
      </c>
      <c r="K32" s="186"/>
      <c r="L32" s="186">
        <f>IFERROR(__xludf.DUMMYFUNCTION("""COMPUTED_VALUE"""),1412903.0)</f>
        <v>1412903</v>
      </c>
      <c r="M32" s="186">
        <f>IFERROR(__xludf.DUMMYFUNCTION("""COMPUTED_VALUE"""),0.0)</f>
        <v>0</v>
      </c>
      <c r="N32" s="186">
        <f>IFERROR(__xludf.DUMMYFUNCTION("""COMPUTED_VALUE"""),0.0)</f>
        <v>0</v>
      </c>
      <c r="O32" s="186">
        <f>IFERROR(__xludf.DUMMYFUNCTION("""COMPUTED_VALUE"""),0.0)</f>
        <v>0</v>
      </c>
      <c r="P32" s="187">
        <f>IFERROR(__xludf.DUMMYFUNCTION("""COMPUTED_VALUE"""),0.0)</f>
        <v>0</v>
      </c>
      <c r="Q32" s="187">
        <f>IFERROR(__xludf.DUMMYFUNCTION("""COMPUTED_VALUE"""),0.0)</f>
        <v>0</v>
      </c>
      <c r="R32" s="187">
        <f>IFERROR(__xludf.DUMMYFUNCTION("""COMPUTED_VALUE"""),0.0)</f>
        <v>0</v>
      </c>
      <c r="S32" s="188">
        <f>IFERROR(__xludf.DUMMYFUNCTION("""COMPUTED_VALUE"""),79.0)</f>
        <v>79</v>
      </c>
      <c r="T32" s="188">
        <f>IFERROR(__xludf.DUMMYFUNCTION("""COMPUTED_VALUE"""),47.0)</f>
        <v>47</v>
      </c>
      <c r="U32" s="188">
        <f>IFERROR(__xludf.DUMMYFUNCTION("""COMPUTED_VALUE"""),0.0)</f>
        <v>0</v>
      </c>
      <c r="V32" s="188">
        <f>IFERROR(__xludf.DUMMYFUNCTION("""COMPUTED_VALUE"""),0.0)</f>
        <v>0</v>
      </c>
      <c r="W32" s="188">
        <f>IFERROR(__xludf.DUMMYFUNCTION("""COMPUTED_VALUE"""),79.0)</f>
        <v>79</v>
      </c>
      <c r="X32" s="188">
        <f>IFERROR(__xludf.DUMMYFUNCTION("""COMPUTED_VALUE"""),32.0)</f>
        <v>32</v>
      </c>
      <c r="Y32" s="189">
        <f>IFERROR(__xludf.DUMMYFUNCTION("""COMPUTED_VALUE"""),0.0)</f>
        <v>0</v>
      </c>
      <c r="Z32" s="189">
        <f>IFERROR(__xludf.DUMMYFUNCTION("""COMPUTED_VALUE"""),0.0)</f>
        <v>0</v>
      </c>
      <c r="AA32" s="188">
        <f>IFERROR(__xludf.DUMMYFUNCTION("""COMPUTED_VALUE"""),0.0)</f>
        <v>0</v>
      </c>
      <c r="AB32" s="188">
        <f>IFERROR(__xludf.DUMMYFUNCTION("""COMPUTED_VALUE"""),0.0)</f>
        <v>0</v>
      </c>
      <c r="AC32" s="188">
        <f>IFERROR(__xludf.DUMMYFUNCTION("""COMPUTED_VALUE"""),0.0)</f>
        <v>0</v>
      </c>
      <c r="AD32" s="188">
        <f>IFERROR(__xludf.DUMMYFUNCTION("""COMPUTED_VALUE"""),0.0)</f>
        <v>0</v>
      </c>
      <c r="AE32" s="188">
        <f>IFERROR(__xludf.DUMMYFUNCTION("""COMPUTED_VALUE"""),95.0)</f>
        <v>95</v>
      </c>
      <c r="AF32" s="188">
        <f>IFERROR(__xludf.DUMMYFUNCTION("""COMPUTED_VALUE"""),172.0)</f>
        <v>172</v>
      </c>
      <c r="AG32" s="188">
        <f>IFERROR(__xludf.DUMMYFUNCTION("""COMPUTED_VALUE"""),489.0)</f>
        <v>489</v>
      </c>
      <c r="AH32" s="188">
        <f>IFERROR(__xludf.DUMMYFUNCTION("""COMPUTED_VALUE"""),2.0)</f>
        <v>2</v>
      </c>
      <c r="AI32" s="188">
        <f>IFERROR(__xludf.DUMMYFUNCTION("""COMPUTED_VALUE"""),24.0)</f>
        <v>24</v>
      </c>
      <c r="AJ32" s="188">
        <f>IFERROR(__xludf.DUMMYFUNCTION("""COMPUTED_VALUE"""),0.0)</f>
        <v>0</v>
      </c>
      <c r="AK32" s="188">
        <f>IFERROR(__xludf.DUMMYFUNCTION("""COMPUTED_VALUE"""),0.0)</f>
        <v>0</v>
      </c>
      <c r="AL32" s="188">
        <f>IFERROR(__xludf.DUMMYFUNCTION("""COMPUTED_VALUE"""),2.0)</f>
        <v>2</v>
      </c>
      <c r="AM32" s="188">
        <f>IFERROR(__xludf.DUMMYFUNCTION("""COMPUTED_VALUE"""),4.0)</f>
        <v>4</v>
      </c>
      <c r="AN32" s="188">
        <f>IFERROR(__xludf.DUMMYFUNCTION("""COMPUTED_VALUE"""),108.0)</f>
        <v>108</v>
      </c>
      <c r="AO32" s="188">
        <f>IFERROR(__xludf.DUMMYFUNCTION("""COMPUTED_VALUE"""),308.0)</f>
        <v>308</v>
      </c>
      <c r="AP32" s="188">
        <f>IFERROR(__xludf.DUMMYFUNCTION("""COMPUTED_VALUE"""),49.0)</f>
        <v>49</v>
      </c>
      <c r="AQ32" s="186">
        <f>IFERROR(__xludf.DUMMYFUNCTION("""COMPUTED_VALUE"""),0.0)</f>
        <v>0</v>
      </c>
      <c r="AR32" s="189">
        <f>IFERROR(__xludf.DUMMYFUNCTION("""COMPUTED_VALUE"""),6.285714285714286)</f>
        <v>6.285714286</v>
      </c>
      <c r="AS32" s="186">
        <f>IFERROR(__xludf.DUMMYFUNCTION("""COMPUTED_VALUE"""),95088.3870967742)</f>
        <v>95088.3871</v>
      </c>
      <c r="AT32" s="186">
        <f>IFERROR(__xludf.DUMMYFUNCTION("""COMPUTED_VALUE"""),35918.0)</f>
        <v>35918</v>
      </c>
      <c r="AU32" s="187"/>
      <c r="AV32" s="186"/>
      <c r="AW32" s="219">
        <f>IFERROR(__xludf.DUMMYFUNCTION("""COMPUTED_VALUE"""),0.0)</f>
        <v>0</v>
      </c>
      <c r="AX32" s="219">
        <f>IFERROR(__xludf.DUMMYFUNCTION("""COMPUTED_VALUE"""),496.0)</f>
        <v>496</v>
      </c>
      <c r="AY32" s="254">
        <f>IFERROR(__xludf.DUMMYFUNCTION("""COMPUTED_VALUE"""),3623.38)</f>
        <v>3623.38</v>
      </c>
      <c r="AZ32" s="219">
        <f>IFERROR(__xludf.DUMMYFUNCTION("""COMPUTED_VALUE"""),77.0)</f>
        <v>77</v>
      </c>
      <c r="BA32" s="219">
        <f>IFERROR(__xludf.DUMMYFUNCTION("""COMPUTED_VALUE"""),0.0)</f>
        <v>0</v>
      </c>
      <c r="BB32" s="219">
        <f>IFERROR(__xludf.DUMMYFUNCTION("""COMPUTED_VALUE"""),47.0)</f>
        <v>47</v>
      </c>
      <c r="BC32" s="219">
        <f>IFERROR(__xludf.DUMMYFUNCTION("""COMPUTED_VALUE"""),32.0)</f>
        <v>32</v>
      </c>
      <c r="BD32" s="191">
        <f>IFERROR(__xludf.DUMMYFUNCTION("""COMPUTED_VALUE"""),46112.0)</f>
        <v>46112</v>
      </c>
      <c r="BE32" s="75"/>
      <c r="BF32" s="164">
        <v>0.0</v>
      </c>
      <c r="BG32" s="203">
        <f t="shared" si="4"/>
        <v>0</v>
      </c>
      <c r="BH32" s="255" t="str">
        <f t="shared" si="5"/>
        <v>#REF!</v>
      </c>
      <c r="BI32" s="75"/>
      <c r="BJ32" s="75"/>
      <c r="BK32" s="75"/>
      <c r="BL32" s="75"/>
      <c r="BM32" s="75"/>
      <c r="BN32" s="75"/>
      <c r="BO32" s="75"/>
      <c r="BP32" s="75"/>
      <c r="BQ32" s="75"/>
      <c r="BR32" s="75"/>
    </row>
    <row r="33">
      <c r="A33" s="6" t="str">
        <f>IFERROR(__xludf.DUMMYFUNCTION("""COMPUTED_VALUE"""),"Pawan Sharma")</f>
        <v>Pawan Sharma</v>
      </c>
      <c r="B33" s="183" t="str">
        <f>IFERROR(__xludf.DUMMYFUNCTION("""COMPUTED_VALUE"""),"Haryana")</f>
        <v>Haryana</v>
      </c>
      <c r="C33" s="184" t="str">
        <f>IFERROR(__xludf.DUMMYFUNCTION("""COMPUTED_VALUE"""),"Shakti Raj")</f>
        <v>Shakti Raj</v>
      </c>
      <c r="D33" s="75" t="str">
        <f>IFERROR(__xludf.DUMMYFUNCTION("""COMPUTED_VALUE"""),"Sonipat")</f>
        <v>Sonipat</v>
      </c>
      <c r="E33" s="256">
        <f>IFERROR(__xludf.DUMMYFUNCTION("""COMPUTED_VALUE"""),46099.0)</f>
        <v>46099</v>
      </c>
      <c r="F33" s="219" t="str">
        <f>IFERROR(__xludf.DUMMYFUNCTION("""COMPUTED_VALUE"""),"HARYANA")</f>
        <v>HARYANA</v>
      </c>
      <c r="G33" s="253"/>
      <c r="H33" s="253"/>
      <c r="I33" s="190">
        <f>IFERROR(__xludf.DUMMYFUNCTION("""COMPUTED_VALUE"""),33050.0)</f>
        <v>33050</v>
      </c>
      <c r="J33" s="190">
        <f>IFERROR(__xludf.DUMMYFUNCTION("""COMPUTED_VALUE"""),200000.0)</f>
        <v>200000</v>
      </c>
      <c r="K33" s="186"/>
      <c r="L33" s="186">
        <f>IFERROR(__xludf.DUMMYFUNCTION("""COMPUTED_VALUE"""),200000.0)</f>
        <v>200000</v>
      </c>
      <c r="M33" s="186">
        <f>IFERROR(__xludf.DUMMYFUNCTION("""COMPUTED_VALUE"""),0.0)</f>
        <v>0</v>
      </c>
      <c r="N33" s="186">
        <f>IFERROR(__xludf.DUMMYFUNCTION("""COMPUTED_VALUE"""),0.0)</f>
        <v>0</v>
      </c>
      <c r="O33" s="186">
        <f>IFERROR(__xludf.DUMMYFUNCTION("""COMPUTED_VALUE"""),0.0)</f>
        <v>0</v>
      </c>
      <c r="P33" s="187">
        <f>IFERROR(__xludf.DUMMYFUNCTION("""COMPUTED_VALUE"""),0.0)</f>
        <v>0</v>
      </c>
      <c r="Q33" s="187">
        <f>IFERROR(__xludf.DUMMYFUNCTION("""COMPUTED_VALUE"""),0.0)</f>
        <v>0</v>
      </c>
      <c r="R33" s="187">
        <f>IFERROR(__xludf.DUMMYFUNCTION("""COMPUTED_VALUE"""),0.0)</f>
        <v>0</v>
      </c>
      <c r="S33" s="188">
        <f>IFERROR(__xludf.DUMMYFUNCTION("""COMPUTED_VALUE"""),11.0)</f>
        <v>11</v>
      </c>
      <c r="T33" s="188">
        <f>IFERROR(__xludf.DUMMYFUNCTION("""COMPUTED_VALUE"""),9.0)</f>
        <v>9</v>
      </c>
      <c r="U33" s="188">
        <f>IFERROR(__xludf.DUMMYFUNCTION("""COMPUTED_VALUE"""),0.0)</f>
        <v>0</v>
      </c>
      <c r="V33" s="188">
        <f>IFERROR(__xludf.DUMMYFUNCTION("""COMPUTED_VALUE"""),0.0)</f>
        <v>0</v>
      </c>
      <c r="W33" s="188">
        <f>IFERROR(__xludf.DUMMYFUNCTION("""COMPUTED_VALUE"""),11.0)</f>
        <v>11</v>
      </c>
      <c r="X33" s="188">
        <f>IFERROR(__xludf.DUMMYFUNCTION("""COMPUTED_VALUE"""),2.0)</f>
        <v>2</v>
      </c>
      <c r="Y33" s="189">
        <f>IFERROR(__xludf.DUMMYFUNCTION("""COMPUTED_VALUE"""),0.0)</f>
        <v>0</v>
      </c>
      <c r="Z33" s="189">
        <f>IFERROR(__xludf.DUMMYFUNCTION("""COMPUTED_VALUE"""),0.0)</f>
        <v>0</v>
      </c>
      <c r="AA33" s="188">
        <f>IFERROR(__xludf.DUMMYFUNCTION("""COMPUTED_VALUE"""),0.0)</f>
        <v>0</v>
      </c>
      <c r="AB33" s="188">
        <f>IFERROR(__xludf.DUMMYFUNCTION("""COMPUTED_VALUE"""),0.0)</f>
        <v>0</v>
      </c>
      <c r="AC33" s="188">
        <f>IFERROR(__xludf.DUMMYFUNCTION("""COMPUTED_VALUE"""),0.0)</f>
        <v>0</v>
      </c>
      <c r="AD33" s="188">
        <f>IFERROR(__xludf.DUMMYFUNCTION("""COMPUTED_VALUE"""),0.0)</f>
        <v>0</v>
      </c>
      <c r="AE33" s="188">
        <f>IFERROR(__xludf.DUMMYFUNCTION("""COMPUTED_VALUE"""),32.0)</f>
        <v>32</v>
      </c>
      <c r="AF33" s="188">
        <f>IFERROR(__xludf.DUMMYFUNCTION("""COMPUTED_VALUE"""),32.0)</f>
        <v>32</v>
      </c>
      <c r="AG33" s="188">
        <f>IFERROR(__xludf.DUMMYFUNCTION("""COMPUTED_VALUE"""),26.0)</f>
        <v>26</v>
      </c>
      <c r="AH33" s="188">
        <f>IFERROR(__xludf.DUMMYFUNCTION("""COMPUTED_VALUE"""),1.0)</f>
        <v>1</v>
      </c>
      <c r="AI33" s="188">
        <f>IFERROR(__xludf.DUMMYFUNCTION("""COMPUTED_VALUE"""),1.0)</f>
        <v>1</v>
      </c>
      <c r="AJ33" s="188">
        <f>IFERROR(__xludf.DUMMYFUNCTION("""COMPUTED_VALUE"""),0.0)</f>
        <v>0</v>
      </c>
      <c r="AK33" s="188">
        <f>IFERROR(__xludf.DUMMYFUNCTION("""COMPUTED_VALUE"""),0.0)</f>
        <v>0</v>
      </c>
      <c r="AL33" s="188">
        <f>IFERROR(__xludf.DUMMYFUNCTION("""COMPUTED_VALUE"""),1.0)</f>
        <v>1</v>
      </c>
      <c r="AM33" s="188">
        <f>IFERROR(__xludf.DUMMYFUNCTION("""COMPUTED_VALUE"""),1.0)</f>
        <v>1</v>
      </c>
      <c r="AN33" s="188">
        <f>IFERROR(__xludf.DUMMYFUNCTION("""COMPUTED_VALUE"""),9.0)</f>
        <v>9</v>
      </c>
      <c r="AO33" s="188">
        <f>IFERROR(__xludf.DUMMYFUNCTION("""COMPUTED_VALUE"""),43.0)</f>
        <v>43</v>
      </c>
      <c r="AP33" s="188">
        <f>IFERROR(__xludf.DUMMYFUNCTION("""COMPUTED_VALUE"""),7.0)</f>
        <v>7</v>
      </c>
      <c r="AQ33" s="186">
        <f>IFERROR(__xludf.DUMMYFUNCTION("""COMPUTED_VALUE"""),0.0)</f>
        <v>0</v>
      </c>
      <c r="AR33" s="189">
        <f>IFERROR(__xludf.DUMMYFUNCTION("""COMPUTED_VALUE"""),6.142857142857143)</f>
        <v>6.142857143</v>
      </c>
      <c r="AS33" s="186">
        <f>IFERROR(__xludf.DUMMYFUNCTION("""COMPUTED_VALUE"""),14925.806451612903)</f>
        <v>14925.80645</v>
      </c>
      <c r="AT33" s="186">
        <f>IFERROR(__xludf.DUMMYFUNCTION("""COMPUTED_VALUE"""),8652.0)</f>
        <v>8652</v>
      </c>
      <c r="AU33" s="187"/>
      <c r="AV33" s="186"/>
      <c r="AW33" s="219">
        <f>IFERROR(__xludf.DUMMYFUNCTION("""COMPUTED_VALUE"""),0.0)</f>
        <v>0</v>
      </c>
      <c r="AX33" s="219">
        <f>IFERROR(__xludf.DUMMYFUNCTION("""COMPUTED_VALUE"""),68.0)</f>
        <v>68</v>
      </c>
      <c r="AY33" s="254">
        <f>IFERROR(__xludf.DUMMYFUNCTION("""COMPUTED_VALUE"""),909.81)</f>
        <v>909.81</v>
      </c>
      <c r="AZ33" s="219">
        <f>IFERROR(__xludf.DUMMYFUNCTION("""COMPUTED_VALUE"""),101.0)</f>
        <v>101</v>
      </c>
      <c r="BA33" s="219">
        <f>IFERROR(__xludf.DUMMYFUNCTION("""COMPUTED_VALUE"""),0.0)</f>
        <v>0</v>
      </c>
      <c r="BB33" s="219">
        <f>IFERROR(__xludf.DUMMYFUNCTION("""COMPUTED_VALUE"""),9.0)</f>
        <v>9</v>
      </c>
      <c r="BC33" s="219">
        <f>IFERROR(__xludf.DUMMYFUNCTION("""COMPUTED_VALUE"""),2.0)</f>
        <v>2</v>
      </c>
      <c r="BD33" s="191"/>
      <c r="BE33" s="75"/>
      <c r="BF33" s="164">
        <v>0.0</v>
      </c>
      <c r="BG33" s="203">
        <f t="shared" si="4"/>
        <v>0</v>
      </c>
      <c r="BH33" s="255" t="str">
        <f t="shared" si="5"/>
        <v>#REF!</v>
      </c>
      <c r="BI33" s="75"/>
      <c r="BJ33" s="75"/>
      <c r="BK33" s="75"/>
      <c r="BL33" s="75"/>
      <c r="BM33" s="75"/>
      <c r="BN33" s="75"/>
      <c r="BO33" s="75"/>
      <c r="BP33" s="75"/>
      <c r="BQ33" s="75"/>
      <c r="BR33" s="75"/>
    </row>
    <row r="34">
      <c r="A34" s="6"/>
      <c r="B34" s="183"/>
      <c r="C34" s="184"/>
      <c r="D34" s="75"/>
      <c r="E34" s="75"/>
      <c r="F34" s="219"/>
      <c r="G34" s="253"/>
      <c r="H34" s="253"/>
      <c r="I34" s="75"/>
      <c r="J34" s="75"/>
      <c r="K34" s="186"/>
      <c r="L34" s="186"/>
      <c r="M34" s="186"/>
      <c r="N34" s="186"/>
      <c r="O34" s="186"/>
      <c r="P34" s="187"/>
      <c r="Q34" s="187"/>
      <c r="R34" s="187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6"/>
      <c r="AR34" s="188"/>
      <c r="AS34" s="186"/>
      <c r="AT34" s="188"/>
      <c r="AU34" s="188"/>
      <c r="AV34" s="186"/>
      <c r="AW34" s="219"/>
      <c r="AX34" s="219"/>
      <c r="AY34" s="254"/>
      <c r="AZ34" s="219"/>
      <c r="BA34" s="219"/>
      <c r="BB34" s="219"/>
      <c r="BC34" s="219"/>
      <c r="BD34" s="75"/>
      <c r="BE34" s="75"/>
      <c r="BF34" s="164" t="e">
        <v>#N/A</v>
      </c>
      <c r="BG34" s="203">
        <f t="shared" si="4"/>
        <v>0</v>
      </c>
      <c r="BH34" s="255" t="str">
        <f t="shared" si="5"/>
        <v>#REF!</v>
      </c>
      <c r="BI34" s="75"/>
      <c r="BJ34" s="75"/>
      <c r="BK34" s="75"/>
      <c r="BL34" s="75"/>
      <c r="BM34" s="75"/>
      <c r="BN34" s="75"/>
      <c r="BO34" s="75"/>
      <c r="BP34" s="75"/>
      <c r="BQ34" s="75"/>
      <c r="BR34" s="75"/>
    </row>
    <row r="35">
      <c r="A35" s="6"/>
      <c r="B35" s="183"/>
      <c r="C35" s="184"/>
      <c r="D35" s="75"/>
      <c r="E35" s="75"/>
      <c r="F35" s="219"/>
      <c r="G35" s="253"/>
      <c r="H35" s="253"/>
      <c r="I35" s="75"/>
      <c r="J35" s="75"/>
      <c r="K35" s="186"/>
      <c r="L35" s="186"/>
      <c r="M35" s="186"/>
      <c r="N35" s="186"/>
      <c r="O35" s="186"/>
      <c r="P35" s="187"/>
      <c r="Q35" s="187"/>
      <c r="R35" s="187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6"/>
      <c r="AR35" s="188"/>
      <c r="AS35" s="186"/>
      <c r="AT35" s="186"/>
      <c r="AU35" s="188"/>
      <c r="AV35" s="186"/>
      <c r="AW35" s="219"/>
      <c r="AX35" s="219"/>
      <c r="AY35" s="254"/>
      <c r="AZ35" s="219"/>
      <c r="BA35" s="219"/>
      <c r="BB35" s="219"/>
      <c r="BC35" s="219"/>
      <c r="BD35" s="75"/>
      <c r="BE35" s="75"/>
      <c r="BF35" s="164" t="e">
        <v>#N/A</v>
      </c>
      <c r="BG35" s="203">
        <f t="shared" si="4"/>
        <v>0</v>
      </c>
      <c r="BH35" s="255" t="str">
        <f t="shared" si="5"/>
        <v>#REF!</v>
      </c>
      <c r="BI35" s="75"/>
      <c r="BJ35" s="75"/>
      <c r="BK35" s="75"/>
      <c r="BL35" s="75"/>
      <c r="BM35" s="75"/>
      <c r="BN35" s="75"/>
      <c r="BO35" s="75"/>
      <c r="BP35" s="75"/>
      <c r="BQ35" s="75"/>
      <c r="BR35" s="75"/>
    </row>
    <row r="36">
      <c r="A36" s="6"/>
      <c r="B36" s="183"/>
      <c r="C36" s="184"/>
      <c r="D36" s="75"/>
      <c r="E36" s="75"/>
      <c r="F36" s="219"/>
      <c r="G36" s="253"/>
      <c r="H36" s="253"/>
      <c r="I36" s="75"/>
      <c r="J36" s="75"/>
      <c r="K36" s="186"/>
      <c r="L36" s="186"/>
      <c r="M36" s="186"/>
      <c r="N36" s="186"/>
      <c r="O36" s="186"/>
      <c r="P36" s="187"/>
      <c r="Q36" s="187"/>
      <c r="R36" s="187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6"/>
      <c r="AR36" s="188"/>
      <c r="AS36" s="186"/>
      <c r="AT36" s="186"/>
      <c r="AU36" s="188"/>
      <c r="AV36" s="186"/>
      <c r="AW36" s="219"/>
      <c r="AX36" s="219"/>
      <c r="AY36" s="254"/>
      <c r="AZ36" s="219"/>
      <c r="BA36" s="219"/>
      <c r="BB36" s="219"/>
      <c r="BC36" s="219"/>
      <c r="BD36" s="75"/>
      <c r="BE36" s="75"/>
      <c r="BF36" s="164" t="e">
        <v>#N/A</v>
      </c>
      <c r="BG36" s="203">
        <f t="shared" si="4"/>
        <v>0</v>
      </c>
      <c r="BH36" s="255" t="str">
        <f t="shared" si="5"/>
        <v>#REF!</v>
      </c>
      <c r="BI36" s="75"/>
      <c r="BJ36" s="75"/>
      <c r="BK36" s="75"/>
      <c r="BL36" s="75"/>
      <c r="BM36" s="75"/>
      <c r="BN36" s="75"/>
      <c r="BO36" s="75"/>
      <c r="BP36" s="75"/>
      <c r="BQ36" s="75"/>
      <c r="BR36" s="75"/>
    </row>
    <row r="37">
      <c r="A37" s="6"/>
      <c r="B37" s="183"/>
      <c r="C37" s="184"/>
      <c r="D37" s="75"/>
      <c r="E37" s="75"/>
      <c r="F37" s="219"/>
      <c r="G37" s="253"/>
      <c r="H37" s="253"/>
      <c r="I37" s="75"/>
      <c r="J37" s="75"/>
      <c r="K37" s="186"/>
      <c r="L37" s="186"/>
      <c r="M37" s="186"/>
      <c r="N37" s="186"/>
      <c r="O37" s="186"/>
      <c r="P37" s="187"/>
      <c r="Q37" s="187"/>
      <c r="R37" s="187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6"/>
      <c r="AR37" s="188"/>
      <c r="AS37" s="186"/>
      <c r="AT37" s="186"/>
      <c r="AU37" s="188"/>
      <c r="AV37" s="186"/>
      <c r="AW37" s="219"/>
      <c r="AX37" s="219"/>
      <c r="AY37" s="254"/>
      <c r="AZ37" s="219"/>
      <c r="BA37" s="219"/>
      <c r="BB37" s="219"/>
      <c r="BC37" s="219"/>
      <c r="BD37" s="75"/>
      <c r="BE37" s="75"/>
      <c r="BF37" s="164" t="e">
        <v>#N/A</v>
      </c>
      <c r="BG37" s="203">
        <f t="shared" si="4"/>
        <v>0</v>
      </c>
      <c r="BH37" s="255" t="str">
        <f t="shared" si="5"/>
        <v>#REF!</v>
      </c>
      <c r="BI37" s="75"/>
      <c r="BJ37" s="75"/>
      <c r="BK37" s="75"/>
      <c r="BL37" s="75"/>
      <c r="BM37" s="75"/>
      <c r="BN37" s="75"/>
      <c r="BO37" s="75"/>
      <c r="BP37" s="75"/>
      <c r="BQ37" s="75"/>
      <c r="BR37" s="75"/>
    </row>
    <row r="38">
      <c r="A38" s="6"/>
      <c r="B38" s="183"/>
      <c r="C38" s="184"/>
      <c r="D38" s="75"/>
      <c r="E38" s="75"/>
      <c r="F38" s="219"/>
      <c r="G38" s="253"/>
      <c r="H38" s="253"/>
      <c r="I38" s="75"/>
      <c r="J38" s="75"/>
      <c r="K38" s="186"/>
      <c r="L38" s="186"/>
      <c r="M38" s="186"/>
      <c r="N38" s="186"/>
      <c r="O38" s="186"/>
      <c r="P38" s="187"/>
      <c r="Q38" s="187"/>
      <c r="R38" s="187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6"/>
      <c r="AR38" s="188"/>
      <c r="AS38" s="186"/>
      <c r="AT38" s="186"/>
      <c r="AU38" s="188"/>
      <c r="AV38" s="186"/>
      <c r="AW38" s="219"/>
      <c r="AX38" s="219"/>
      <c r="AY38" s="254"/>
      <c r="AZ38" s="219"/>
      <c r="BA38" s="219"/>
      <c r="BB38" s="219"/>
      <c r="BC38" s="219"/>
      <c r="BD38" s="75"/>
      <c r="BE38" s="75"/>
      <c r="BF38" s="164" t="e">
        <v>#N/A</v>
      </c>
      <c r="BG38" s="203">
        <f t="shared" si="4"/>
        <v>0</v>
      </c>
      <c r="BH38" s="255" t="str">
        <f t="shared" si="5"/>
        <v>#REF!</v>
      </c>
      <c r="BI38" s="75"/>
      <c r="BJ38" s="75"/>
      <c r="BK38" s="75"/>
      <c r="BL38" s="75"/>
      <c r="BM38" s="75"/>
      <c r="BN38" s="75"/>
      <c r="BO38" s="75"/>
      <c r="BP38" s="75"/>
      <c r="BQ38" s="75"/>
      <c r="BR38" s="75"/>
    </row>
    <row r="39">
      <c r="A39" s="6"/>
      <c r="B39" s="183"/>
      <c r="C39" s="183"/>
      <c r="D39" s="75"/>
      <c r="E39" s="75"/>
      <c r="F39" s="219"/>
      <c r="G39" s="253"/>
      <c r="H39" s="253"/>
      <c r="I39" s="75"/>
      <c r="J39" s="75"/>
      <c r="K39" s="186"/>
      <c r="L39" s="186"/>
      <c r="M39" s="186"/>
      <c r="N39" s="186"/>
      <c r="O39" s="186"/>
      <c r="P39" s="187"/>
      <c r="Q39" s="187"/>
      <c r="R39" s="187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6"/>
      <c r="AR39" s="188"/>
      <c r="AS39" s="186"/>
      <c r="AT39" s="186"/>
      <c r="AU39" s="188"/>
      <c r="AV39" s="186"/>
      <c r="AW39" s="219"/>
      <c r="AX39" s="219"/>
      <c r="AY39" s="254"/>
      <c r="AZ39" s="219"/>
      <c r="BA39" s="219"/>
      <c r="BB39" s="219"/>
      <c r="BC39" s="219"/>
      <c r="BD39" s="75"/>
      <c r="BE39" s="75"/>
      <c r="BF39" s="164" t="e">
        <v>#N/A</v>
      </c>
      <c r="BG39" s="203">
        <f t="shared" si="4"/>
        <v>0</v>
      </c>
      <c r="BH39" s="255" t="str">
        <f t="shared" si="5"/>
        <v>#REF!</v>
      </c>
      <c r="BI39" s="75"/>
      <c r="BJ39" s="75"/>
      <c r="BK39" s="75"/>
      <c r="BL39" s="75"/>
      <c r="BM39" s="75"/>
      <c r="BN39" s="75"/>
      <c r="BO39" s="75"/>
      <c r="BP39" s="75"/>
      <c r="BQ39" s="75"/>
      <c r="BR39" s="75"/>
    </row>
    <row r="40">
      <c r="A40" s="6"/>
      <c r="B40" s="183"/>
      <c r="C40" s="184"/>
      <c r="D40" s="75"/>
      <c r="E40" s="75"/>
      <c r="F40" s="219"/>
      <c r="G40" s="253"/>
      <c r="H40" s="253"/>
      <c r="I40" s="75"/>
      <c r="J40" s="75"/>
      <c r="K40" s="186"/>
      <c r="L40" s="186"/>
      <c r="M40" s="186"/>
      <c r="N40" s="186"/>
      <c r="O40" s="186"/>
      <c r="P40" s="187"/>
      <c r="Q40" s="187"/>
      <c r="R40" s="187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6"/>
      <c r="AR40" s="188"/>
      <c r="AS40" s="186"/>
      <c r="AT40" s="186"/>
      <c r="AU40" s="188"/>
      <c r="AV40" s="186"/>
      <c r="AW40" s="219"/>
      <c r="AX40" s="219"/>
      <c r="AY40" s="254"/>
      <c r="AZ40" s="219"/>
      <c r="BA40" s="219"/>
      <c r="BB40" s="219"/>
      <c r="BC40" s="219"/>
      <c r="BD40" s="75"/>
      <c r="BE40" s="75"/>
      <c r="BF40" s="164" t="e">
        <v>#N/A</v>
      </c>
      <c r="BG40" s="203">
        <f t="shared" si="4"/>
        <v>0</v>
      </c>
      <c r="BH40" s="255" t="str">
        <f t="shared" si="5"/>
        <v>#REF!</v>
      </c>
      <c r="BI40" s="75"/>
      <c r="BJ40" s="75"/>
      <c r="BK40" s="75"/>
      <c r="BL40" s="75"/>
      <c r="BM40" s="75"/>
      <c r="BN40" s="75"/>
      <c r="BO40" s="75"/>
      <c r="BP40" s="75"/>
      <c r="BQ40" s="75"/>
      <c r="BR40" s="75"/>
    </row>
    <row r="41">
      <c r="A41" s="6"/>
      <c r="B41" s="183"/>
      <c r="C41" s="184"/>
      <c r="D41" s="75"/>
      <c r="E41" s="75"/>
      <c r="F41" s="219"/>
      <c r="G41" s="253"/>
      <c r="H41" s="253"/>
      <c r="I41" s="75"/>
      <c r="J41" s="75"/>
      <c r="K41" s="186"/>
      <c r="L41" s="186"/>
      <c r="M41" s="186"/>
      <c r="N41" s="186"/>
      <c r="O41" s="186"/>
      <c r="P41" s="187"/>
      <c r="Q41" s="187"/>
      <c r="R41" s="187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6"/>
      <c r="AR41" s="188"/>
      <c r="AS41" s="186"/>
      <c r="AT41" s="186"/>
      <c r="AU41" s="188"/>
      <c r="AV41" s="186"/>
      <c r="AW41" s="219"/>
      <c r="AX41" s="219"/>
      <c r="AY41" s="254"/>
      <c r="AZ41" s="219"/>
      <c r="BA41" s="219"/>
      <c r="BB41" s="219"/>
      <c r="BC41" s="219"/>
      <c r="BD41" s="75"/>
      <c r="BE41" s="75"/>
      <c r="BF41" s="164" t="e">
        <v>#N/A</v>
      </c>
      <c r="BG41" s="203">
        <f t="shared" si="4"/>
        <v>0</v>
      </c>
      <c r="BH41" s="255" t="str">
        <f t="shared" si="5"/>
        <v>#REF!</v>
      </c>
      <c r="BI41" s="75"/>
      <c r="BJ41" s="75"/>
      <c r="BK41" s="75"/>
      <c r="BL41" s="75"/>
      <c r="BM41" s="75"/>
      <c r="BN41" s="75"/>
      <c r="BO41" s="75"/>
      <c r="BP41" s="75"/>
      <c r="BQ41" s="75"/>
      <c r="BR41" s="75"/>
    </row>
    <row r="42">
      <c r="A42" s="6"/>
      <c r="B42" s="183"/>
      <c r="C42" s="184"/>
      <c r="D42" s="75"/>
      <c r="E42" s="75"/>
      <c r="F42" s="219"/>
      <c r="G42" s="253"/>
      <c r="H42" s="253"/>
      <c r="I42" s="75"/>
      <c r="J42" s="75"/>
      <c r="K42" s="186"/>
      <c r="L42" s="186"/>
      <c r="M42" s="186"/>
      <c r="N42" s="186"/>
      <c r="O42" s="186"/>
      <c r="P42" s="187"/>
      <c r="Q42" s="187"/>
      <c r="R42" s="187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6"/>
      <c r="AR42" s="188"/>
      <c r="AS42" s="186"/>
      <c r="AT42" s="186"/>
      <c r="AU42" s="188"/>
      <c r="AV42" s="186"/>
      <c r="AW42" s="219"/>
      <c r="AX42" s="219"/>
      <c r="AY42" s="254"/>
      <c r="AZ42" s="219"/>
      <c r="BA42" s="219"/>
      <c r="BB42" s="219"/>
      <c r="BC42" s="219"/>
      <c r="BD42" s="75"/>
      <c r="BE42" s="75"/>
      <c r="BF42" s="164" t="e">
        <v>#N/A</v>
      </c>
      <c r="BG42" s="203">
        <f t="shared" si="4"/>
        <v>0</v>
      </c>
      <c r="BH42" s="255" t="str">
        <f t="shared" si="5"/>
        <v>#REF!</v>
      </c>
      <c r="BI42" s="75"/>
      <c r="BJ42" s="75"/>
      <c r="BK42" s="75"/>
      <c r="BL42" s="75"/>
      <c r="BM42" s="75"/>
      <c r="BN42" s="75"/>
      <c r="BO42" s="75"/>
      <c r="BP42" s="75"/>
      <c r="BQ42" s="75"/>
      <c r="BR42" s="75"/>
    </row>
    <row r="43">
      <c r="A43" s="6"/>
      <c r="B43" s="183"/>
      <c r="C43" s="184"/>
      <c r="D43" s="75"/>
      <c r="E43" s="75"/>
      <c r="F43" s="219"/>
      <c r="G43" s="253"/>
      <c r="H43" s="253"/>
      <c r="I43" s="75"/>
      <c r="J43" s="75"/>
      <c r="K43" s="186"/>
      <c r="L43" s="186"/>
      <c r="M43" s="186"/>
      <c r="N43" s="186"/>
      <c r="O43" s="186"/>
      <c r="P43" s="187"/>
      <c r="Q43" s="187"/>
      <c r="R43" s="187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6"/>
      <c r="AR43" s="188"/>
      <c r="AS43" s="186"/>
      <c r="AT43" s="186"/>
      <c r="AU43" s="188"/>
      <c r="AV43" s="186"/>
      <c r="AW43" s="219"/>
      <c r="AX43" s="219"/>
      <c r="AY43" s="254"/>
      <c r="AZ43" s="219"/>
      <c r="BA43" s="219"/>
      <c r="BB43" s="219"/>
      <c r="BC43" s="219"/>
      <c r="BD43" s="75"/>
      <c r="BE43" s="75"/>
      <c r="BF43" s="164" t="e">
        <v>#N/A</v>
      </c>
      <c r="BG43" s="203">
        <f t="shared" si="4"/>
        <v>0</v>
      </c>
      <c r="BH43" s="255" t="str">
        <f t="shared" si="5"/>
        <v>#REF!</v>
      </c>
      <c r="BI43" s="75"/>
      <c r="BJ43" s="75"/>
      <c r="BK43" s="75"/>
      <c r="BL43" s="75"/>
      <c r="BM43" s="75"/>
      <c r="BN43" s="75"/>
      <c r="BO43" s="75"/>
      <c r="BP43" s="75"/>
      <c r="BQ43" s="75"/>
      <c r="BR43" s="75"/>
    </row>
    <row r="44">
      <c r="A44" s="6"/>
      <c r="B44" s="183"/>
      <c r="C44" s="184"/>
      <c r="D44" s="75"/>
      <c r="E44" s="75"/>
      <c r="F44" s="219"/>
      <c r="G44" s="253"/>
      <c r="H44" s="253"/>
      <c r="I44" s="75"/>
      <c r="J44" s="75"/>
      <c r="K44" s="186"/>
      <c r="L44" s="186"/>
      <c r="M44" s="186"/>
      <c r="N44" s="186"/>
      <c r="O44" s="186"/>
      <c r="P44" s="187"/>
      <c r="Q44" s="187"/>
      <c r="R44" s="187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6"/>
      <c r="AR44" s="188"/>
      <c r="AS44" s="186"/>
      <c r="AT44" s="186"/>
      <c r="AU44" s="188"/>
      <c r="AV44" s="186"/>
      <c r="AW44" s="219"/>
      <c r="AX44" s="219"/>
      <c r="AY44" s="254"/>
      <c r="AZ44" s="219"/>
      <c r="BA44" s="219"/>
      <c r="BB44" s="219"/>
      <c r="BC44" s="219"/>
      <c r="BD44" s="75"/>
      <c r="BE44" s="75"/>
      <c r="BF44" s="164" t="e">
        <v>#N/A</v>
      </c>
      <c r="BG44" s="203">
        <f t="shared" si="4"/>
        <v>0</v>
      </c>
      <c r="BH44" s="255" t="str">
        <f t="shared" si="5"/>
        <v>#REF!</v>
      </c>
      <c r="BI44" s="75"/>
      <c r="BJ44" s="75"/>
      <c r="BK44" s="75"/>
      <c r="BL44" s="75"/>
      <c r="BM44" s="75"/>
      <c r="BN44" s="75"/>
      <c r="BO44" s="75"/>
      <c r="BP44" s="75"/>
      <c r="BQ44" s="75"/>
      <c r="BR44" s="75"/>
    </row>
    <row r="45">
      <c r="A45" s="6"/>
      <c r="B45" s="183"/>
      <c r="C45" s="184"/>
      <c r="D45" s="75"/>
      <c r="E45" s="75"/>
      <c r="F45" s="219"/>
      <c r="G45" s="253"/>
      <c r="H45" s="253"/>
      <c r="I45" s="75"/>
      <c r="J45" s="75"/>
      <c r="K45" s="186"/>
      <c r="L45" s="186"/>
      <c r="M45" s="186"/>
      <c r="N45" s="186"/>
      <c r="O45" s="186"/>
      <c r="P45" s="187"/>
      <c r="Q45" s="187"/>
      <c r="R45" s="187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6"/>
      <c r="AR45" s="188"/>
      <c r="AS45" s="186"/>
      <c r="AT45" s="186"/>
      <c r="AU45" s="188"/>
      <c r="AV45" s="186"/>
      <c r="AW45" s="219"/>
      <c r="AX45" s="219"/>
      <c r="AY45" s="254"/>
      <c r="AZ45" s="219"/>
      <c r="BA45" s="219"/>
      <c r="BB45" s="219"/>
      <c r="BC45" s="219"/>
      <c r="BD45" s="75"/>
      <c r="BE45" s="75"/>
      <c r="BF45" s="164" t="e">
        <v>#N/A</v>
      </c>
      <c r="BG45" s="203">
        <f t="shared" si="4"/>
        <v>0</v>
      </c>
      <c r="BH45" s="255" t="str">
        <f t="shared" si="5"/>
        <v>#REF!</v>
      </c>
      <c r="BI45" s="75"/>
      <c r="BJ45" s="75"/>
      <c r="BK45" s="75"/>
      <c r="BL45" s="75"/>
      <c r="BM45" s="75"/>
      <c r="BN45" s="75"/>
      <c r="BO45" s="75"/>
      <c r="BP45" s="75"/>
      <c r="BQ45" s="75"/>
      <c r="BR45" s="75"/>
    </row>
    <row r="46">
      <c r="A46" s="6"/>
      <c r="B46" s="183"/>
      <c r="C46" s="183"/>
      <c r="D46" s="75"/>
      <c r="E46" s="75"/>
      <c r="F46" s="219"/>
      <c r="G46" s="253"/>
      <c r="H46" s="253"/>
      <c r="I46" s="75"/>
      <c r="J46" s="75"/>
      <c r="K46" s="186"/>
      <c r="L46" s="186"/>
      <c r="M46" s="186"/>
      <c r="N46" s="186"/>
      <c r="O46" s="186"/>
      <c r="P46" s="187"/>
      <c r="Q46" s="187"/>
      <c r="R46" s="187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6"/>
      <c r="AR46" s="188"/>
      <c r="AS46" s="186"/>
      <c r="AT46" s="186"/>
      <c r="AU46" s="188"/>
      <c r="AV46" s="186"/>
      <c r="AW46" s="219"/>
      <c r="AX46" s="219"/>
      <c r="AY46" s="254"/>
      <c r="AZ46" s="219"/>
      <c r="BA46" s="219"/>
      <c r="BB46" s="219"/>
      <c r="BC46" s="219"/>
      <c r="BD46" s="75"/>
      <c r="BE46" s="75"/>
      <c r="BF46" s="164" t="e">
        <v>#N/A</v>
      </c>
      <c r="BG46" s="203">
        <f t="shared" si="4"/>
        <v>0</v>
      </c>
      <c r="BH46" s="255" t="str">
        <f t="shared" si="5"/>
        <v>#REF!</v>
      </c>
      <c r="BI46" s="75"/>
      <c r="BJ46" s="75"/>
      <c r="BK46" s="75"/>
      <c r="BL46" s="75"/>
      <c r="BM46" s="75"/>
      <c r="BN46" s="75"/>
      <c r="BO46" s="75"/>
      <c r="BP46" s="75"/>
      <c r="BQ46" s="75"/>
      <c r="BR46" s="75"/>
    </row>
    <row r="47">
      <c r="A47" s="6"/>
      <c r="B47" s="183"/>
      <c r="C47" s="184"/>
      <c r="D47" s="75"/>
      <c r="E47" s="75"/>
      <c r="F47" s="219"/>
      <c r="G47" s="253"/>
      <c r="H47" s="253"/>
      <c r="I47" s="75"/>
      <c r="J47" s="75"/>
      <c r="K47" s="186"/>
      <c r="L47" s="186"/>
      <c r="M47" s="186"/>
      <c r="N47" s="186"/>
      <c r="O47" s="186"/>
      <c r="P47" s="187"/>
      <c r="Q47" s="187"/>
      <c r="R47" s="187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6"/>
      <c r="AR47" s="188"/>
      <c r="AS47" s="186"/>
      <c r="AT47" s="186"/>
      <c r="AU47" s="188"/>
      <c r="AV47" s="186"/>
      <c r="AW47" s="219"/>
      <c r="AX47" s="219"/>
      <c r="AY47" s="254"/>
      <c r="AZ47" s="219"/>
      <c r="BA47" s="219"/>
      <c r="BB47" s="219"/>
      <c r="BC47" s="219"/>
      <c r="BD47" s="75"/>
      <c r="BE47" s="75"/>
      <c r="BF47" s="164" t="e">
        <v>#N/A</v>
      </c>
      <c r="BG47" s="203">
        <f t="shared" si="4"/>
        <v>0</v>
      </c>
      <c r="BH47" s="255" t="str">
        <f t="shared" si="5"/>
        <v>#REF!</v>
      </c>
      <c r="BI47" s="75"/>
      <c r="BJ47" s="75"/>
      <c r="BK47" s="75"/>
      <c r="BL47" s="75"/>
      <c r="BM47" s="75"/>
      <c r="BN47" s="75"/>
      <c r="BO47" s="75"/>
      <c r="BP47" s="75"/>
      <c r="BQ47" s="75"/>
      <c r="BR47" s="75"/>
    </row>
    <row r="48">
      <c r="A48" s="6"/>
      <c r="B48" s="183"/>
      <c r="C48" s="184"/>
      <c r="D48" s="75"/>
      <c r="E48" s="75"/>
      <c r="F48" s="219"/>
      <c r="G48" s="253"/>
      <c r="H48" s="253"/>
      <c r="I48" s="75"/>
      <c r="J48" s="75"/>
      <c r="K48" s="186"/>
      <c r="L48" s="186"/>
      <c r="M48" s="186"/>
      <c r="N48" s="186"/>
      <c r="O48" s="186"/>
      <c r="P48" s="187"/>
      <c r="Q48" s="187"/>
      <c r="R48" s="187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6"/>
      <c r="AR48" s="188"/>
      <c r="AS48" s="186"/>
      <c r="AT48" s="186"/>
      <c r="AU48" s="188"/>
      <c r="AV48" s="186"/>
      <c r="AW48" s="219"/>
      <c r="AX48" s="219"/>
      <c r="AY48" s="254"/>
      <c r="AZ48" s="219"/>
      <c r="BA48" s="219"/>
      <c r="BB48" s="219"/>
      <c r="BC48" s="219"/>
      <c r="BD48" s="75"/>
      <c r="BE48" s="75"/>
      <c r="BF48" s="164" t="e">
        <v>#N/A</v>
      </c>
      <c r="BG48" s="203">
        <f t="shared" si="4"/>
        <v>0</v>
      </c>
      <c r="BH48" s="255" t="str">
        <f t="shared" si="5"/>
        <v>#REF!</v>
      </c>
      <c r="BI48" s="75"/>
      <c r="BJ48" s="75"/>
      <c r="BK48" s="75"/>
      <c r="BL48" s="75"/>
      <c r="BM48" s="75"/>
      <c r="BN48" s="75"/>
      <c r="BO48" s="75"/>
      <c r="BP48" s="75"/>
      <c r="BQ48" s="75"/>
      <c r="BR48" s="75"/>
    </row>
    <row r="49">
      <c r="A49" s="6"/>
      <c r="B49" s="183"/>
      <c r="C49" s="184"/>
      <c r="D49" s="75"/>
      <c r="E49" s="75"/>
      <c r="F49" s="219"/>
      <c r="G49" s="253"/>
      <c r="H49" s="253"/>
      <c r="I49" s="75"/>
      <c r="J49" s="75"/>
      <c r="K49" s="186"/>
      <c r="L49" s="186"/>
      <c r="M49" s="186"/>
      <c r="N49" s="186"/>
      <c r="O49" s="186"/>
      <c r="P49" s="187"/>
      <c r="Q49" s="187"/>
      <c r="R49" s="187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6"/>
      <c r="AR49" s="188"/>
      <c r="AS49" s="186"/>
      <c r="AT49" s="186"/>
      <c r="AU49" s="188"/>
      <c r="AV49" s="186"/>
      <c r="AW49" s="219"/>
      <c r="AX49" s="219"/>
      <c r="AY49" s="254"/>
      <c r="AZ49" s="219"/>
      <c r="BA49" s="219"/>
      <c r="BB49" s="219"/>
      <c r="BC49" s="219"/>
      <c r="BD49" s="75"/>
      <c r="BE49" s="75"/>
      <c r="BF49" s="164" t="e">
        <v>#N/A</v>
      </c>
      <c r="BG49" s="203">
        <f t="shared" si="4"/>
        <v>0</v>
      </c>
      <c r="BH49" s="255" t="str">
        <f t="shared" si="5"/>
        <v>#REF!</v>
      </c>
      <c r="BI49" s="75"/>
      <c r="BJ49" s="75"/>
      <c r="BK49" s="75"/>
      <c r="BL49" s="75"/>
      <c r="BM49" s="75"/>
      <c r="BN49" s="75"/>
      <c r="BO49" s="75"/>
      <c r="BP49" s="75"/>
      <c r="BQ49" s="75"/>
      <c r="BR49" s="75"/>
    </row>
    <row r="50">
      <c r="A50" s="6"/>
      <c r="B50" s="183"/>
      <c r="C50" s="184"/>
      <c r="D50" s="75"/>
      <c r="E50" s="75"/>
      <c r="F50" s="219"/>
      <c r="G50" s="253"/>
      <c r="H50" s="253"/>
      <c r="I50" s="75"/>
      <c r="J50" s="75"/>
      <c r="K50" s="186"/>
      <c r="L50" s="186"/>
      <c r="M50" s="186"/>
      <c r="N50" s="186"/>
      <c r="O50" s="186"/>
      <c r="P50" s="187"/>
      <c r="Q50" s="187"/>
      <c r="R50" s="187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6"/>
      <c r="AR50" s="188"/>
      <c r="AS50" s="186"/>
      <c r="AT50" s="186"/>
      <c r="AU50" s="188"/>
      <c r="AV50" s="186"/>
      <c r="AW50" s="219"/>
      <c r="AX50" s="219"/>
      <c r="AY50" s="254"/>
      <c r="AZ50" s="219"/>
      <c r="BA50" s="219"/>
      <c r="BB50" s="219"/>
      <c r="BC50" s="219"/>
      <c r="BD50" s="75"/>
      <c r="BE50" s="75"/>
      <c r="BF50" s="164" t="e">
        <v>#N/A</v>
      </c>
      <c r="BG50" s="203">
        <f t="shared" si="4"/>
        <v>0</v>
      </c>
      <c r="BH50" s="255" t="str">
        <f t="shared" si="5"/>
        <v>#REF!</v>
      </c>
      <c r="BI50" s="75"/>
      <c r="BJ50" s="75"/>
      <c r="BK50" s="75"/>
      <c r="BL50" s="75"/>
      <c r="BM50" s="75"/>
      <c r="BN50" s="75"/>
      <c r="BO50" s="75"/>
      <c r="BP50" s="75"/>
      <c r="BQ50" s="75"/>
      <c r="BR50" s="75"/>
    </row>
    <row r="51">
      <c r="A51" s="6"/>
      <c r="B51" s="183"/>
      <c r="C51" s="184"/>
      <c r="D51" s="75"/>
      <c r="E51" s="75"/>
      <c r="F51" s="219"/>
      <c r="G51" s="253"/>
      <c r="H51" s="253"/>
      <c r="I51" s="75"/>
      <c r="J51" s="75"/>
      <c r="K51" s="186"/>
      <c r="L51" s="186"/>
      <c r="M51" s="186"/>
      <c r="N51" s="186"/>
      <c r="O51" s="186"/>
      <c r="P51" s="187"/>
      <c r="Q51" s="187"/>
      <c r="R51" s="187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6"/>
      <c r="AR51" s="188"/>
      <c r="AS51" s="186"/>
      <c r="AT51" s="186"/>
      <c r="AU51" s="188"/>
      <c r="AV51" s="186"/>
      <c r="AW51" s="219"/>
      <c r="AX51" s="219"/>
      <c r="AY51" s="254"/>
      <c r="AZ51" s="219"/>
      <c r="BA51" s="219"/>
      <c r="BB51" s="219"/>
      <c r="BC51" s="219"/>
      <c r="BD51" s="75"/>
      <c r="BE51" s="75"/>
      <c r="BF51" s="164" t="e">
        <v>#N/A</v>
      </c>
      <c r="BG51" s="203">
        <f t="shared" si="4"/>
        <v>0</v>
      </c>
      <c r="BH51" s="255" t="str">
        <f t="shared" si="5"/>
        <v>#REF!</v>
      </c>
      <c r="BI51" s="75"/>
      <c r="BJ51" s="75"/>
      <c r="BK51" s="75"/>
      <c r="BL51" s="75"/>
      <c r="BM51" s="75"/>
      <c r="BN51" s="75"/>
      <c r="BO51" s="75"/>
      <c r="BP51" s="75"/>
      <c r="BQ51" s="75"/>
      <c r="BR51" s="75"/>
    </row>
    <row r="52">
      <c r="A52" s="6"/>
      <c r="B52" s="183"/>
      <c r="C52" s="184"/>
      <c r="D52" s="75"/>
      <c r="E52" s="75"/>
      <c r="F52" s="219"/>
      <c r="G52" s="253"/>
      <c r="H52" s="253"/>
      <c r="I52" s="75"/>
      <c r="J52" s="75"/>
      <c r="K52" s="186"/>
      <c r="L52" s="186"/>
      <c r="M52" s="186"/>
      <c r="N52" s="186"/>
      <c r="O52" s="186"/>
      <c r="P52" s="187"/>
      <c r="Q52" s="187"/>
      <c r="R52" s="187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6"/>
      <c r="AR52" s="188"/>
      <c r="AS52" s="186"/>
      <c r="AT52" s="186"/>
      <c r="AU52" s="188"/>
      <c r="AV52" s="186"/>
      <c r="AW52" s="219"/>
      <c r="AX52" s="219"/>
      <c r="AY52" s="254"/>
      <c r="AZ52" s="219"/>
      <c r="BA52" s="219"/>
      <c r="BB52" s="219"/>
      <c r="BC52" s="219"/>
      <c r="BD52" s="75"/>
      <c r="BE52" s="75"/>
      <c r="BF52" s="164" t="e">
        <v>#N/A</v>
      </c>
      <c r="BG52" s="203">
        <f t="shared" si="4"/>
        <v>0</v>
      </c>
      <c r="BH52" s="255" t="str">
        <f t="shared" si="5"/>
        <v>#REF!</v>
      </c>
      <c r="BI52" s="75"/>
      <c r="BJ52" s="75"/>
      <c r="BK52" s="75"/>
      <c r="BL52" s="75"/>
      <c r="BM52" s="75"/>
      <c r="BN52" s="75"/>
      <c r="BO52" s="75"/>
      <c r="BP52" s="75"/>
      <c r="BQ52" s="75"/>
      <c r="BR52" s="75"/>
    </row>
    <row r="53">
      <c r="A53" s="6"/>
      <c r="B53" s="183"/>
      <c r="C53" s="184"/>
      <c r="D53" s="75"/>
      <c r="E53" s="75"/>
      <c r="F53" s="219"/>
      <c r="G53" s="253"/>
      <c r="H53" s="253"/>
      <c r="I53" s="75"/>
      <c r="J53" s="75"/>
      <c r="K53" s="186"/>
      <c r="L53" s="186"/>
      <c r="M53" s="186"/>
      <c r="N53" s="186"/>
      <c r="O53" s="186"/>
      <c r="P53" s="187"/>
      <c r="Q53" s="187"/>
      <c r="R53" s="187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6"/>
      <c r="AR53" s="188"/>
      <c r="AS53" s="186"/>
      <c r="AT53" s="186"/>
      <c r="AU53" s="188"/>
      <c r="AV53" s="186"/>
      <c r="AW53" s="219"/>
      <c r="AX53" s="219"/>
      <c r="AY53" s="254"/>
      <c r="AZ53" s="219"/>
      <c r="BA53" s="219"/>
      <c r="BB53" s="219"/>
      <c r="BC53" s="219"/>
      <c r="BD53" s="75"/>
      <c r="BE53" s="75"/>
      <c r="BF53" s="164" t="e">
        <v>#N/A</v>
      </c>
      <c r="BG53" s="203">
        <f t="shared" si="4"/>
        <v>0</v>
      </c>
      <c r="BH53" s="255" t="str">
        <f t="shared" si="5"/>
        <v>#REF!</v>
      </c>
      <c r="BI53" s="75"/>
      <c r="BJ53" s="75"/>
      <c r="BK53" s="75"/>
      <c r="BL53" s="75"/>
      <c r="BM53" s="75"/>
      <c r="BN53" s="75"/>
      <c r="BO53" s="75"/>
      <c r="BP53" s="75"/>
      <c r="BQ53" s="75"/>
      <c r="BR53" s="75"/>
    </row>
    <row r="54">
      <c r="A54" s="6"/>
      <c r="B54" s="183"/>
      <c r="C54" s="184"/>
      <c r="D54" s="75"/>
      <c r="E54" s="75"/>
      <c r="F54" s="219"/>
      <c r="G54" s="253"/>
      <c r="H54" s="253"/>
      <c r="I54" s="75"/>
      <c r="J54" s="75"/>
      <c r="K54" s="186"/>
      <c r="L54" s="186"/>
      <c r="M54" s="186"/>
      <c r="N54" s="186"/>
      <c r="O54" s="186"/>
      <c r="P54" s="187"/>
      <c r="Q54" s="187"/>
      <c r="R54" s="187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6"/>
      <c r="AR54" s="188"/>
      <c r="AS54" s="186"/>
      <c r="AT54" s="186"/>
      <c r="AU54" s="188"/>
      <c r="AV54" s="186"/>
      <c r="AW54" s="219"/>
      <c r="AX54" s="219"/>
      <c r="AY54" s="254"/>
      <c r="AZ54" s="219"/>
      <c r="BA54" s="219"/>
      <c r="BB54" s="219"/>
      <c r="BC54" s="219"/>
      <c r="BD54" s="75"/>
      <c r="BE54" s="75"/>
      <c r="BF54" s="164" t="e">
        <v>#N/A</v>
      </c>
      <c r="BG54" s="203">
        <f t="shared" si="4"/>
        <v>0</v>
      </c>
      <c r="BH54" s="255" t="str">
        <f t="shared" si="5"/>
        <v>#REF!</v>
      </c>
      <c r="BI54" s="75"/>
      <c r="BJ54" s="75"/>
      <c r="BK54" s="75"/>
      <c r="BL54" s="75"/>
      <c r="BM54" s="75"/>
      <c r="BN54" s="75"/>
      <c r="BO54" s="75"/>
      <c r="BP54" s="75"/>
      <c r="BQ54" s="75"/>
      <c r="BR54" s="75"/>
    </row>
    <row r="55">
      <c r="A55" s="6"/>
      <c r="B55" s="183"/>
      <c r="C55" s="184"/>
      <c r="D55" s="75"/>
      <c r="E55" s="75"/>
      <c r="F55" s="219"/>
      <c r="G55" s="253"/>
      <c r="H55" s="253"/>
      <c r="I55" s="75"/>
      <c r="J55" s="75"/>
      <c r="K55" s="186"/>
      <c r="L55" s="186"/>
      <c r="M55" s="186"/>
      <c r="N55" s="186"/>
      <c r="O55" s="186"/>
      <c r="P55" s="187"/>
      <c r="Q55" s="187"/>
      <c r="R55" s="187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6"/>
      <c r="AR55" s="188"/>
      <c r="AS55" s="186"/>
      <c r="AT55" s="186"/>
      <c r="AU55" s="188"/>
      <c r="AV55" s="186"/>
      <c r="AW55" s="219"/>
      <c r="AX55" s="219"/>
      <c r="AY55" s="254"/>
      <c r="AZ55" s="219"/>
      <c r="BA55" s="219"/>
      <c r="BB55" s="219"/>
      <c r="BC55" s="219"/>
      <c r="BD55" s="75"/>
      <c r="BE55" s="75"/>
      <c r="BF55" s="164" t="e">
        <v>#N/A</v>
      </c>
      <c r="BG55" s="203">
        <f t="shared" si="4"/>
        <v>0</v>
      </c>
      <c r="BH55" s="255" t="str">
        <f t="shared" si="5"/>
        <v>#REF!</v>
      </c>
      <c r="BI55" s="75"/>
      <c r="BJ55" s="75"/>
      <c r="BK55" s="75"/>
      <c r="BL55" s="75"/>
      <c r="BM55" s="75"/>
      <c r="BN55" s="75"/>
      <c r="BO55" s="75"/>
      <c r="BP55" s="75"/>
      <c r="BQ55" s="75"/>
      <c r="BR55" s="75"/>
    </row>
    <row r="56">
      <c r="A56" s="6"/>
      <c r="B56" s="183"/>
      <c r="C56" s="184"/>
      <c r="D56" s="75"/>
      <c r="E56" s="75"/>
      <c r="F56" s="219"/>
      <c r="G56" s="253"/>
      <c r="H56" s="253"/>
      <c r="I56" s="75"/>
      <c r="J56" s="75"/>
      <c r="K56" s="186"/>
      <c r="L56" s="186"/>
      <c r="M56" s="186"/>
      <c r="N56" s="186"/>
      <c r="O56" s="186"/>
      <c r="P56" s="187"/>
      <c r="Q56" s="187"/>
      <c r="R56" s="187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6"/>
      <c r="AR56" s="188"/>
      <c r="AS56" s="186"/>
      <c r="AT56" s="186"/>
      <c r="AU56" s="188"/>
      <c r="AV56" s="186"/>
      <c r="AW56" s="219"/>
      <c r="AX56" s="219"/>
      <c r="AY56" s="254"/>
      <c r="AZ56" s="219"/>
      <c r="BA56" s="219"/>
      <c r="BB56" s="219"/>
      <c r="BC56" s="219"/>
      <c r="BD56" s="75"/>
      <c r="BE56" s="75"/>
      <c r="BF56" s="164" t="e">
        <v>#N/A</v>
      </c>
      <c r="BG56" s="203">
        <f t="shared" si="4"/>
        <v>0</v>
      </c>
      <c r="BH56" s="255" t="str">
        <f t="shared" si="5"/>
        <v>#REF!</v>
      </c>
      <c r="BI56" s="75"/>
      <c r="BJ56" s="75"/>
      <c r="BK56" s="75"/>
      <c r="BL56" s="75"/>
      <c r="BM56" s="75"/>
      <c r="BN56" s="75"/>
      <c r="BO56" s="75"/>
      <c r="BP56" s="75"/>
      <c r="BQ56" s="75"/>
      <c r="BR56" s="75"/>
    </row>
    <row r="57">
      <c r="A57" s="6"/>
      <c r="B57" s="183"/>
      <c r="C57" s="183"/>
      <c r="D57" s="75"/>
      <c r="E57" s="75"/>
      <c r="F57" s="219"/>
      <c r="G57" s="253"/>
      <c r="H57" s="253"/>
      <c r="I57" s="75"/>
      <c r="J57" s="75"/>
      <c r="K57" s="186"/>
      <c r="L57" s="186"/>
      <c r="M57" s="186"/>
      <c r="N57" s="186"/>
      <c r="O57" s="186"/>
      <c r="P57" s="187"/>
      <c r="Q57" s="187"/>
      <c r="R57" s="187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6"/>
      <c r="AR57" s="188"/>
      <c r="AS57" s="186"/>
      <c r="AT57" s="186"/>
      <c r="AU57" s="188"/>
      <c r="AV57" s="186"/>
      <c r="AW57" s="219"/>
      <c r="AX57" s="219"/>
      <c r="AY57" s="254"/>
      <c r="AZ57" s="219"/>
      <c r="BA57" s="219"/>
      <c r="BB57" s="219"/>
      <c r="BC57" s="219"/>
      <c r="BD57" s="75"/>
      <c r="BE57" s="75"/>
      <c r="BF57" s="164" t="e">
        <v>#N/A</v>
      </c>
      <c r="BG57" s="203">
        <f t="shared" si="4"/>
        <v>0</v>
      </c>
      <c r="BH57" s="255" t="str">
        <f t="shared" si="5"/>
        <v>#REF!</v>
      </c>
      <c r="BI57" s="75"/>
      <c r="BJ57" s="75"/>
      <c r="BK57" s="75"/>
      <c r="BL57" s="75"/>
      <c r="BM57" s="75"/>
      <c r="BN57" s="75"/>
      <c r="BO57" s="75"/>
      <c r="BP57" s="75"/>
      <c r="BQ57" s="75"/>
      <c r="BR57" s="75"/>
    </row>
    <row r="58">
      <c r="A58" s="6"/>
      <c r="B58" s="183"/>
      <c r="C58" s="184"/>
      <c r="D58" s="75"/>
      <c r="E58" s="75"/>
      <c r="F58" s="219"/>
      <c r="G58" s="253"/>
      <c r="H58" s="253"/>
      <c r="I58" s="75"/>
      <c r="J58" s="75"/>
      <c r="K58" s="186"/>
      <c r="L58" s="186"/>
      <c r="M58" s="186"/>
      <c r="N58" s="186"/>
      <c r="O58" s="186"/>
      <c r="P58" s="187"/>
      <c r="Q58" s="187"/>
      <c r="R58" s="187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88"/>
      <c r="AQ58" s="186"/>
      <c r="AR58" s="188"/>
      <c r="AS58" s="186"/>
      <c r="AT58" s="186"/>
      <c r="AU58" s="188"/>
      <c r="AV58" s="186"/>
      <c r="AW58" s="219"/>
      <c r="AX58" s="219"/>
      <c r="AY58" s="254"/>
      <c r="AZ58" s="219"/>
      <c r="BA58" s="219"/>
      <c r="BB58" s="219"/>
      <c r="BC58" s="219"/>
      <c r="BD58" s="75"/>
      <c r="BE58" s="75"/>
      <c r="BF58" s="164" t="e">
        <v>#N/A</v>
      </c>
      <c r="BG58" s="203">
        <f t="shared" si="4"/>
        <v>0</v>
      </c>
      <c r="BH58" s="255" t="str">
        <f t="shared" si="5"/>
        <v>#REF!</v>
      </c>
      <c r="BI58" s="75"/>
      <c r="BJ58" s="75"/>
      <c r="BK58" s="75"/>
      <c r="BL58" s="75"/>
      <c r="BM58" s="75"/>
      <c r="BN58" s="75"/>
      <c r="BO58" s="75"/>
      <c r="BP58" s="75"/>
      <c r="BQ58" s="75"/>
      <c r="BR58" s="75"/>
    </row>
    <row r="59">
      <c r="A59" s="6"/>
      <c r="B59" s="183"/>
      <c r="C59" s="184"/>
      <c r="D59" s="75"/>
      <c r="E59" s="75"/>
      <c r="F59" s="219"/>
      <c r="G59" s="253"/>
      <c r="H59" s="253"/>
      <c r="I59" s="75"/>
      <c r="J59" s="75"/>
      <c r="K59" s="186"/>
      <c r="L59" s="186"/>
      <c r="M59" s="186"/>
      <c r="N59" s="186"/>
      <c r="O59" s="186"/>
      <c r="P59" s="187"/>
      <c r="Q59" s="187"/>
      <c r="R59" s="187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6"/>
      <c r="AR59" s="188"/>
      <c r="AS59" s="186"/>
      <c r="AT59" s="186"/>
      <c r="AU59" s="188"/>
      <c r="AV59" s="186"/>
      <c r="AW59" s="219"/>
      <c r="AX59" s="219"/>
      <c r="AY59" s="254"/>
      <c r="AZ59" s="219"/>
      <c r="BA59" s="219"/>
      <c r="BB59" s="219"/>
      <c r="BC59" s="219"/>
      <c r="BD59" s="75"/>
      <c r="BE59" s="75"/>
      <c r="BF59" s="164" t="e">
        <v>#N/A</v>
      </c>
      <c r="BG59" s="203">
        <f t="shared" si="4"/>
        <v>0</v>
      </c>
      <c r="BH59" s="255" t="str">
        <f t="shared" si="5"/>
        <v>#REF!</v>
      </c>
      <c r="BI59" s="75"/>
      <c r="BJ59" s="75"/>
      <c r="BK59" s="75"/>
      <c r="BL59" s="75"/>
      <c r="BM59" s="75"/>
      <c r="BN59" s="75"/>
      <c r="BO59" s="75"/>
      <c r="BP59" s="75"/>
      <c r="BQ59" s="75"/>
      <c r="BR59" s="75"/>
    </row>
    <row r="60">
      <c r="A60" s="6"/>
      <c r="B60" s="183"/>
      <c r="C60" s="184"/>
      <c r="D60" s="75"/>
      <c r="E60" s="75"/>
      <c r="F60" s="219"/>
      <c r="G60" s="253"/>
      <c r="H60" s="253"/>
      <c r="I60" s="75"/>
      <c r="J60" s="75"/>
      <c r="K60" s="186"/>
      <c r="L60" s="186"/>
      <c r="M60" s="186"/>
      <c r="N60" s="186"/>
      <c r="O60" s="186"/>
      <c r="P60" s="187"/>
      <c r="Q60" s="187"/>
      <c r="R60" s="187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6"/>
      <c r="AR60" s="188"/>
      <c r="AS60" s="186"/>
      <c r="AT60" s="186"/>
      <c r="AU60" s="188"/>
      <c r="AV60" s="186"/>
      <c r="AW60" s="219"/>
      <c r="AX60" s="219"/>
      <c r="AY60" s="254"/>
      <c r="AZ60" s="219"/>
      <c r="BA60" s="219"/>
      <c r="BB60" s="219"/>
      <c r="BC60" s="219"/>
      <c r="BD60" s="75"/>
      <c r="BE60" s="75"/>
      <c r="BF60" s="164" t="e">
        <v>#N/A</v>
      </c>
      <c r="BG60" s="203">
        <f t="shared" si="4"/>
        <v>0</v>
      </c>
      <c r="BH60" s="255" t="str">
        <f t="shared" si="5"/>
        <v>#REF!</v>
      </c>
      <c r="BI60" s="75"/>
      <c r="BJ60" s="75"/>
      <c r="BK60" s="75"/>
      <c r="BL60" s="75"/>
      <c r="BM60" s="75"/>
      <c r="BN60" s="75"/>
      <c r="BO60" s="75"/>
      <c r="BP60" s="75"/>
      <c r="BQ60" s="75"/>
      <c r="BR60" s="75"/>
    </row>
    <row r="61">
      <c r="A61" s="6"/>
      <c r="B61" s="183"/>
      <c r="C61" s="184"/>
      <c r="D61" s="75"/>
      <c r="E61" s="75"/>
      <c r="F61" s="219"/>
      <c r="G61" s="253"/>
      <c r="H61" s="253"/>
      <c r="I61" s="75"/>
      <c r="J61" s="75"/>
      <c r="K61" s="186"/>
      <c r="L61" s="186"/>
      <c r="M61" s="186"/>
      <c r="N61" s="186"/>
      <c r="O61" s="186"/>
      <c r="P61" s="187"/>
      <c r="Q61" s="187"/>
      <c r="R61" s="187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6"/>
      <c r="AR61" s="188"/>
      <c r="AS61" s="186"/>
      <c r="AT61" s="186"/>
      <c r="AU61" s="188"/>
      <c r="AV61" s="186"/>
      <c r="AW61" s="219"/>
      <c r="AX61" s="219"/>
      <c r="AY61" s="254"/>
      <c r="AZ61" s="219"/>
      <c r="BA61" s="219"/>
      <c r="BB61" s="219"/>
      <c r="BC61" s="219"/>
      <c r="BD61" s="75"/>
      <c r="BE61" s="75"/>
      <c r="BF61" s="164" t="e">
        <v>#N/A</v>
      </c>
      <c r="BG61" s="203">
        <f t="shared" si="4"/>
        <v>0</v>
      </c>
      <c r="BH61" s="255" t="str">
        <f t="shared" si="5"/>
        <v>#REF!</v>
      </c>
      <c r="BI61" s="75"/>
      <c r="BJ61" s="75"/>
      <c r="BK61" s="75"/>
      <c r="BL61" s="75"/>
      <c r="BM61" s="75"/>
      <c r="BN61" s="75"/>
      <c r="BO61" s="75"/>
      <c r="BP61" s="75"/>
      <c r="BQ61" s="75"/>
      <c r="BR61" s="75"/>
    </row>
    <row r="62">
      <c r="A62" s="6"/>
      <c r="B62" s="183"/>
      <c r="C62" s="184"/>
      <c r="D62" s="75"/>
      <c r="E62" s="75"/>
      <c r="F62" s="219"/>
      <c r="G62" s="253"/>
      <c r="H62" s="253"/>
      <c r="I62" s="75"/>
      <c r="J62" s="75"/>
      <c r="K62" s="186"/>
      <c r="L62" s="186"/>
      <c r="M62" s="186"/>
      <c r="N62" s="186"/>
      <c r="O62" s="186"/>
      <c r="P62" s="187"/>
      <c r="Q62" s="187"/>
      <c r="R62" s="187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6"/>
      <c r="AR62" s="188"/>
      <c r="AS62" s="186"/>
      <c r="AT62" s="186"/>
      <c r="AU62" s="188"/>
      <c r="AV62" s="186"/>
      <c r="AW62" s="219"/>
      <c r="AX62" s="219"/>
      <c r="AY62" s="254"/>
      <c r="AZ62" s="219"/>
      <c r="BA62" s="219"/>
      <c r="BB62" s="219"/>
      <c r="BC62" s="219"/>
      <c r="BD62" s="75"/>
      <c r="BE62" s="75"/>
      <c r="BF62" s="164" t="e">
        <v>#N/A</v>
      </c>
      <c r="BG62" s="203">
        <f t="shared" si="4"/>
        <v>0</v>
      </c>
      <c r="BH62" s="255" t="str">
        <f t="shared" si="5"/>
        <v>#REF!</v>
      </c>
      <c r="BI62" s="75"/>
      <c r="BJ62" s="75"/>
      <c r="BK62" s="75"/>
      <c r="BL62" s="75"/>
      <c r="BM62" s="75"/>
      <c r="BN62" s="75"/>
      <c r="BO62" s="75"/>
      <c r="BP62" s="75"/>
      <c r="BQ62" s="75"/>
      <c r="BR62" s="75"/>
    </row>
    <row r="63">
      <c r="A63" s="6"/>
      <c r="B63" s="183"/>
      <c r="C63" s="183"/>
      <c r="D63" s="75"/>
      <c r="E63" s="75"/>
      <c r="F63" s="219"/>
      <c r="G63" s="253"/>
      <c r="H63" s="253"/>
      <c r="I63" s="75"/>
      <c r="J63" s="75"/>
      <c r="K63" s="186"/>
      <c r="L63" s="186"/>
      <c r="M63" s="186"/>
      <c r="N63" s="186"/>
      <c r="O63" s="186"/>
      <c r="P63" s="187"/>
      <c r="Q63" s="187"/>
      <c r="R63" s="187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6"/>
      <c r="AR63" s="188"/>
      <c r="AS63" s="186"/>
      <c r="AT63" s="186"/>
      <c r="AU63" s="188"/>
      <c r="AV63" s="186"/>
      <c r="AW63" s="219"/>
      <c r="AX63" s="219"/>
      <c r="AY63" s="254"/>
      <c r="AZ63" s="219"/>
      <c r="BA63" s="219"/>
      <c r="BB63" s="219"/>
      <c r="BC63" s="219"/>
      <c r="BD63" s="75"/>
      <c r="BE63" s="75"/>
      <c r="BF63" s="164" t="e">
        <v>#N/A</v>
      </c>
      <c r="BG63" s="203">
        <f t="shared" si="4"/>
        <v>0</v>
      </c>
      <c r="BH63" s="255" t="str">
        <f t="shared" si="5"/>
        <v>#REF!</v>
      </c>
      <c r="BI63" s="75"/>
      <c r="BJ63" s="75"/>
      <c r="BK63" s="75"/>
      <c r="BL63" s="75"/>
      <c r="BM63" s="75"/>
      <c r="BN63" s="75"/>
      <c r="BO63" s="75"/>
      <c r="BP63" s="75"/>
      <c r="BQ63" s="75"/>
      <c r="BR63" s="75"/>
    </row>
    <row r="64">
      <c r="A64" s="6"/>
      <c r="B64" s="183"/>
      <c r="C64" s="184"/>
      <c r="D64" s="75"/>
      <c r="E64" s="75"/>
      <c r="F64" s="219"/>
      <c r="G64" s="253"/>
      <c r="H64" s="253"/>
      <c r="I64" s="75"/>
      <c r="J64" s="75"/>
      <c r="K64" s="186"/>
      <c r="L64" s="186"/>
      <c r="M64" s="186"/>
      <c r="N64" s="186"/>
      <c r="O64" s="186"/>
      <c r="P64" s="187"/>
      <c r="Q64" s="187"/>
      <c r="R64" s="187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6"/>
      <c r="AR64" s="188"/>
      <c r="AS64" s="186"/>
      <c r="AT64" s="186"/>
      <c r="AU64" s="188"/>
      <c r="AV64" s="186"/>
      <c r="AW64" s="219"/>
      <c r="AX64" s="219"/>
      <c r="AY64" s="254"/>
      <c r="AZ64" s="219"/>
      <c r="BA64" s="219"/>
      <c r="BB64" s="219"/>
      <c r="BC64" s="219"/>
      <c r="BD64" s="75"/>
      <c r="BE64" s="75"/>
      <c r="BF64" s="164" t="e">
        <v>#N/A</v>
      </c>
      <c r="BG64" s="203">
        <f t="shared" si="4"/>
        <v>0</v>
      </c>
      <c r="BH64" s="255" t="str">
        <f t="shared" si="5"/>
        <v>#REF!</v>
      </c>
      <c r="BI64" s="75"/>
      <c r="BJ64" s="75"/>
      <c r="BK64" s="75"/>
      <c r="BL64" s="75"/>
      <c r="BM64" s="75"/>
      <c r="BN64" s="75"/>
      <c r="BO64" s="75"/>
      <c r="BP64" s="75"/>
      <c r="BQ64" s="75"/>
      <c r="BR64" s="75"/>
    </row>
    <row r="65">
      <c r="A65" s="6"/>
      <c r="B65" s="183"/>
      <c r="C65" s="184"/>
      <c r="D65" s="75"/>
      <c r="E65" s="75"/>
      <c r="F65" s="219"/>
      <c r="G65" s="253"/>
      <c r="H65" s="253"/>
      <c r="I65" s="75"/>
      <c r="J65" s="75"/>
      <c r="K65" s="186"/>
      <c r="L65" s="186"/>
      <c r="M65" s="186"/>
      <c r="N65" s="186"/>
      <c r="O65" s="186"/>
      <c r="P65" s="187"/>
      <c r="Q65" s="187"/>
      <c r="R65" s="187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  <c r="AP65" s="188"/>
      <c r="AQ65" s="186"/>
      <c r="AR65" s="188"/>
      <c r="AS65" s="186"/>
      <c r="AT65" s="186"/>
      <c r="AU65" s="188"/>
      <c r="AV65" s="186"/>
      <c r="AW65" s="219"/>
      <c r="AX65" s="219"/>
      <c r="AY65" s="254"/>
      <c r="AZ65" s="219"/>
      <c r="BA65" s="219"/>
      <c r="BB65" s="219"/>
      <c r="BC65" s="219"/>
      <c r="BD65" s="75"/>
      <c r="BE65" s="75"/>
      <c r="BF65" s="164" t="e">
        <v>#N/A</v>
      </c>
      <c r="BG65" s="203">
        <f t="shared" si="4"/>
        <v>0</v>
      </c>
      <c r="BH65" s="255" t="str">
        <f t="shared" si="5"/>
        <v>#REF!</v>
      </c>
      <c r="BI65" s="75"/>
      <c r="BJ65" s="75"/>
      <c r="BK65" s="75"/>
      <c r="BL65" s="75"/>
      <c r="BM65" s="75"/>
      <c r="BN65" s="75"/>
      <c r="BO65" s="75"/>
      <c r="BP65" s="75"/>
      <c r="BQ65" s="75"/>
      <c r="BR65" s="75"/>
    </row>
    <row r="66">
      <c r="A66" s="6"/>
      <c r="B66" s="183"/>
      <c r="C66" s="183"/>
      <c r="D66" s="75"/>
      <c r="E66" s="75"/>
      <c r="F66" s="219"/>
      <c r="G66" s="253"/>
      <c r="H66" s="253"/>
      <c r="I66" s="75"/>
      <c r="J66" s="75"/>
      <c r="K66" s="186"/>
      <c r="L66" s="186"/>
      <c r="M66" s="186"/>
      <c r="N66" s="186"/>
      <c r="O66" s="186"/>
      <c r="P66" s="187"/>
      <c r="Q66" s="187"/>
      <c r="R66" s="187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6"/>
      <c r="AR66" s="188"/>
      <c r="AS66" s="186"/>
      <c r="AT66" s="186"/>
      <c r="AU66" s="188"/>
      <c r="AV66" s="186"/>
      <c r="AW66" s="219"/>
      <c r="AX66" s="219"/>
      <c r="AY66" s="254"/>
      <c r="AZ66" s="219"/>
      <c r="BA66" s="219"/>
      <c r="BB66" s="219"/>
      <c r="BC66" s="219"/>
      <c r="BD66" s="75"/>
      <c r="BE66" s="75"/>
      <c r="BF66" s="164" t="e">
        <v>#N/A</v>
      </c>
      <c r="BG66" s="203">
        <f t="shared" si="4"/>
        <v>0</v>
      </c>
      <c r="BH66" s="255" t="str">
        <f t="shared" si="5"/>
        <v>#REF!</v>
      </c>
      <c r="BI66" s="75"/>
      <c r="BJ66" s="75"/>
      <c r="BK66" s="75"/>
      <c r="BL66" s="75"/>
      <c r="BM66" s="75"/>
      <c r="BN66" s="75"/>
      <c r="BO66" s="75"/>
      <c r="BP66" s="75"/>
      <c r="BQ66" s="75"/>
      <c r="BR66" s="75"/>
    </row>
    <row r="67">
      <c r="A67" s="6"/>
      <c r="B67" s="183"/>
      <c r="C67" s="184"/>
      <c r="D67" s="75"/>
      <c r="E67" s="75"/>
      <c r="F67" s="219"/>
      <c r="G67" s="253"/>
      <c r="H67" s="253"/>
      <c r="I67" s="75"/>
      <c r="J67" s="75"/>
      <c r="K67" s="186"/>
      <c r="L67" s="186"/>
      <c r="M67" s="186"/>
      <c r="N67" s="186"/>
      <c r="O67" s="186"/>
      <c r="P67" s="187"/>
      <c r="Q67" s="187"/>
      <c r="R67" s="187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  <c r="AP67" s="188"/>
      <c r="AQ67" s="186"/>
      <c r="AR67" s="188"/>
      <c r="AS67" s="186"/>
      <c r="AT67" s="186"/>
      <c r="AU67" s="188"/>
      <c r="AV67" s="186"/>
      <c r="AW67" s="219"/>
      <c r="AX67" s="219"/>
      <c r="AY67" s="254"/>
      <c r="AZ67" s="219"/>
      <c r="BA67" s="219"/>
      <c r="BB67" s="219"/>
      <c r="BC67" s="219"/>
      <c r="BD67" s="75"/>
      <c r="BE67" s="75"/>
      <c r="BF67" s="164" t="e">
        <v>#N/A</v>
      </c>
      <c r="BG67" s="203">
        <f t="shared" si="4"/>
        <v>0</v>
      </c>
      <c r="BH67" s="255" t="str">
        <f t="shared" si="5"/>
        <v>#REF!</v>
      </c>
      <c r="BI67" s="75"/>
      <c r="BJ67" s="75"/>
      <c r="BK67" s="75"/>
      <c r="BL67" s="75"/>
      <c r="BM67" s="75"/>
      <c r="BN67" s="75"/>
      <c r="BO67" s="75"/>
      <c r="BP67" s="75"/>
      <c r="BQ67" s="75"/>
      <c r="BR67" s="75"/>
    </row>
    <row r="68">
      <c r="A68" s="6"/>
      <c r="B68" s="183"/>
      <c r="C68" s="184"/>
      <c r="D68" s="75"/>
      <c r="E68" s="75"/>
      <c r="F68" s="219"/>
      <c r="G68" s="253"/>
      <c r="H68" s="253"/>
      <c r="I68" s="75"/>
      <c r="J68" s="75"/>
      <c r="K68" s="186"/>
      <c r="L68" s="186"/>
      <c r="M68" s="186"/>
      <c r="N68" s="186"/>
      <c r="O68" s="186"/>
      <c r="P68" s="187"/>
      <c r="Q68" s="187"/>
      <c r="R68" s="187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6"/>
      <c r="AR68" s="188"/>
      <c r="AS68" s="186"/>
      <c r="AT68" s="186"/>
      <c r="AU68" s="188"/>
      <c r="AV68" s="186"/>
      <c r="AW68" s="219"/>
      <c r="AX68" s="219"/>
      <c r="AY68" s="254"/>
      <c r="AZ68" s="219"/>
      <c r="BA68" s="219"/>
      <c r="BB68" s="219"/>
      <c r="BC68" s="219"/>
      <c r="BD68" s="75"/>
      <c r="BE68" s="75"/>
      <c r="BF68" s="164" t="e">
        <v>#N/A</v>
      </c>
      <c r="BG68" s="203">
        <f t="shared" si="4"/>
        <v>0</v>
      </c>
      <c r="BH68" s="255" t="str">
        <f t="shared" si="5"/>
        <v>#REF!</v>
      </c>
      <c r="BI68" s="75"/>
      <c r="BJ68" s="75"/>
      <c r="BK68" s="75"/>
      <c r="BL68" s="75"/>
      <c r="BM68" s="75"/>
      <c r="BN68" s="75"/>
      <c r="BO68" s="75"/>
      <c r="BP68" s="75"/>
      <c r="BQ68" s="75"/>
      <c r="BR68" s="75"/>
    </row>
    <row r="69">
      <c r="A69" s="6"/>
      <c r="B69" s="183"/>
      <c r="C69" s="184"/>
      <c r="D69" s="75"/>
      <c r="E69" s="75"/>
      <c r="F69" s="219"/>
      <c r="G69" s="253"/>
      <c r="H69" s="253"/>
      <c r="I69" s="75"/>
      <c r="J69" s="75"/>
      <c r="K69" s="186"/>
      <c r="L69" s="186"/>
      <c r="M69" s="186"/>
      <c r="N69" s="186"/>
      <c r="O69" s="186"/>
      <c r="P69" s="187"/>
      <c r="Q69" s="187"/>
      <c r="R69" s="187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  <c r="AP69" s="188"/>
      <c r="AQ69" s="186"/>
      <c r="AR69" s="188"/>
      <c r="AS69" s="186"/>
      <c r="AT69" s="186"/>
      <c r="AU69" s="188"/>
      <c r="AV69" s="186"/>
      <c r="AW69" s="219"/>
      <c r="AX69" s="219"/>
      <c r="AY69" s="254"/>
      <c r="AZ69" s="219"/>
      <c r="BA69" s="219"/>
      <c r="BB69" s="219"/>
      <c r="BC69" s="219"/>
      <c r="BD69" s="75"/>
      <c r="BE69" s="75"/>
      <c r="BF69" s="164" t="e">
        <v>#N/A</v>
      </c>
      <c r="BG69" s="203">
        <f t="shared" si="4"/>
        <v>0</v>
      </c>
      <c r="BH69" s="255" t="str">
        <f t="shared" si="5"/>
        <v>#REF!</v>
      </c>
      <c r="BI69" s="75"/>
      <c r="BJ69" s="75"/>
      <c r="BK69" s="75"/>
      <c r="BL69" s="75"/>
      <c r="BM69" s="75"/>
      <c r="BN69" s="75"/>
      <c r="BO69" s="75"/>
      <c r="BP69" s="75"/>
      <c r="BQ69" s="75"/>
      <c r="BR69" s="75"/>
    </row>
    <row r="70">
      <c r="A70" s="6"/>
      <c r="B70" s="183"/>
      <c r="C70" s="184"/>
      <c r="D70" s="75"/>
      <c r="E70" s="75"/>
      <c r="F70" s="219"/>
      <c r="G70" s="253"/>
      <c r="H70" s="253"/>
      <c r="I70" s="75"/>
      <c r="J70" s="75"/>
      <c r="K70" s="186"/>
      <c r="L70" s="186"/>
      <c r="M70" s="186"/>
      <c r="N70" s="186"/>
      <c r="O70" s="186"/>
      <c r="P70" s="187"/>
      <c r="Q70" s="187"/>
      <c r="R70" s="187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6"/>
      <c r="AR70" s="188"/>
      <c r="AS70" s="186"/>
      <c r="AT70" s="186"/>
      <c r="AU70" s="188"/>
      <c r="AV70" s="186"/>
      <c r="AW70" s="219"/>
      <c r="AX70" s="219"/>
      <c r="AY70" s="257"/>
      <c r="AZ70" s="258"/>
      <c r="BA70" s="258"/>
      <c r="BB70" s="258"/>
      <c r="BC70" s="258"/>
      <c r="BD70" s="259"/>
      <c r="BE70" s="259"/>
      <c r="BF70" s="164" t="e">
        <v>#N/A</v>
      </c>
      <c r="BG70" s="203">
        <f t="shared" si="4"/>
        <v>0</v>
      </c>
      <c r="BH70" s="255" t="str">
        <f t="shared" si="5"/>
        <v>#REF!</v>
      </c>
      <c r="BI70" s="75"/>
      <c r="BJ70" s="75"/>
      <c r="BK70" s="75"/>
      <c r="BL70" s="75"/>
      <c r="BM70" s="75"/>
      <c r="BN70" s="75"/>
      <c r="BO70" s="75"/>
      <c r="BP70" s="75"/>
      <c r="BQ70" s="75"/>
      <c r="BR70" s="75"/>
    </row>
    <row r="71">
      <c r="A71" s="6"/>
      <c r="B71" s="183"/>
      <c r="C71" s="184"/>
      <c r="D71" s="75"/>
      <c r="E71" s="75"/>
      <c r="F71" s="219"/>
      <c r="G71" s="253"/>
      <c r="H71" s="253"/>
      <c r="I71" s="75"/>
      <c r="J71" s="75"/>
      <c r="K71" s="186"/>
      <c r="L71" s="186"/>
      <c r="M71" s="186"/>
      <c r="N71" s="186"/>
      <c r="O71" s="186"/>
      <c r="P71" s="187"/>
      <c r="Q71" s="187"/>
      <c r="R71" s="187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  <c r="AP71" s="188"/>
      <c r="AQ71" s="186"/>
      <c r="AR71" s="188"/>
      <c r="AS71" s="186"/>
      <c r="AT71" s="186"/>
      <c r="AU71" s="188"/>
      <c r="AV71" s="186"/>
      <c r="AW71" s="219"/>
      <c r="AX71" s="219"/>
      <c r="AY71" s="257"/>
      <c r="AZ71" s="258"/>
      <c r="BA71" s="258"/>
      <c r="BB71" s="258"/>
      <c r="BC71" s="258"/>
      <c r="BD71" s="259"/>
      <c r="BE71" s="259"/>
      <c r="BF71" s="164" t="e">
        <v>#N/A</v>
      </c>
      <c r="BG71" s="203">
        <f t="shared" si="4"/>
        <v>0</v>
      </c>
      <c r="BH71" s="255" t="str">
        <f t="shared" si="5"/>
        <v>#REF!</v>
      </c>
      <c r="BI71" s="75"/>
      <c r="BJ71" s="75"/>
      <c r="BK71" s="75"/>
      <c r="BL71" s="75"/>
      <c r="BM71" s="75"/>
      <c r="BN71" s="75"/>
      <c r="BO71" s="75"/>
      <c r="BP71" s="75"/>
      <c r="BQ71" s="75"/>
      <c r="BR71" s="75"/>
    </row>
    <row r="72">
      <c r="A72" s="6"/>
      <c r="B72" s="183"/>
      <c r="C72" s="183"/>
      <c r="D72" s="75"/>
      <c r="E72" s="75"/>
      <c r="F72" s="219"/>
      <c r="G72" s="253"/>
      <c r="H72" s="253"/>
      <c r="I72" s="75"/>
      <c r="J72" s="75"/>
      <c r="K72" s="186"/>
      <c r="L72" s="186"/>
      <c r="M72" s="186"/>
      <c r="N72" s="186"/>
      <c r="O72" s="186"/>
      <c r="P72" s="187"/>
      <c r="Q72" s="187"/>
      <c r="R72" s="187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6"/>
      <c r="AR72" s="188"/>
      <c r="AS72" s="186"/>
      <c r="AT72" s="186"/>
      <c r="AU72" s="188"/>
      <c r="AV72" s="186"/>
      <c r="AW72" s="219"/>
      <c r="AX72" s="219"/>
      <c r="AY72" s="257"/>
      <c r="AZ72" s="258"/>
      <c r="BA72" s="258"/>
      <c r="BB72" s="258"/>
      <c r="BC72" s="258"/>
      <c r="BD72" s="259"/>
      <c r="BE72" s="259"/>
      <c r="BF72" s="164" t="e">
        <v>#N/A</v>
      </c>
      <c r="BG72" s="203">
        <f t="shared" si="4"/>
        <v>0</v>
      </c>
      <c r="BH72" s="255" t="str">
        <f t="shared" si="5"/>
        <v>#REF!</v>
      </c>
      <c r="BI72" s="75"/>
      <c r="BJ72" s="75"/>
      <c r="BK72" s="75"/>
      <c r="BL72" s="75"/>
      <c r="BM72" s="75"/>
      <c r="BN72" s="75"/>
      <c r="BO72" s="75"/>
      <c r="BP72" s="75"/>
      <c r="BQ72" s="75"/>
      <c r="BR72" s="75"/>
    </row>
    <row r="73">
      <c r="A73" s="6"/>
      <c r="B73" s="183"/>
      <c r="C73" s="184"/>
      <c r="D73" s="75"/>
      <c r="E73" s="75"/>
      <c r="F73" s="219"/>
      <c r="G73" s="253"/>
      <c r="H73" s="253"/>
      <c r="I73" s="75"/>
      <c r="J73" s="75"/>
      <c r="K73" s="186"/>
      <c r="L73" s="186"/>
      <c r="M73" s="186"/>
      <c r="N73" s="186"/>
      <c r="O73" s="186"/>
      <c r="P73" s="187"/>
      <c r="Q73" s="187"/>
      <c r="R73" s="187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  <c r="AP73" s="188"/>
      <c r="AQ73" s="186"/>
      <c r="AR73" s="188"/>
      <c r="AS73" s="186"/>
      <c r="AT73" s="186"/>
      <c r="AU73" s="188"/>
      <c r="AV73" s="186"/>
      <c r="AW73" s="219"/>
      <c r="AX73" s="219"/>
      <c r="AY73" s="257"/>
      <c r="AZ73" s="258"/>
      <c r="BA73" s="258"/>
      <c r="BB73" s="258"/>
      <c r="BC73" s="258"/>
      <c r="BD73" s="259"/>
      <c r="BE73" s="259"/>
      <c r="BF73" s="164" t="e">
        <v>#N/A</v>
      </c>
      <c r="BG73" s="203">
        <f t="shared" si="4"/>
        <v>0</v>
      </c>
      <c r="BH73" s="255" t="str">
        <f t="shared" si="5"/>
        <v>#REF!</v>
      </c>
      <c r="BI73" s="75"/>
      <c r="BJ73" s="75"/>
      <c r="BK73" s="75"/>
      <c r="BL73" s="75"/>
      <c r="BM73" s="75"/>
      <c r="BN73" s="75"/>
      <c r="BO73" s="75"/>
      <c r="BP73" s="75"/>
      <c r="BQ73" s="75"/>
      <c r="BR73" s="75"/>
    </row>
    <row r="74">
      <c r="A74" s="6"/>
      <c r="B74" s="183"/>
      <c r="C74" s="184"/>
      <c r="D74" s="75"/>
      <c r="E74" s="75"/>
      <c r="F74" s="219"/>
      <c r="G74" s="253"/>
      <c r="H74" s="253"/>
      <c r="I74" s="75"/>
      <c r="J74" s="75"/>
      <c r="K74" s="186"/>
      <c r="L74" s="186"/>
      <c r="M74" s="186"/>
      <c r="N74" s="186"/>
      <c r="O74" s="186"/>
      <c r="P74" s="187"/>
      <c r="Q74" s="187"/>
      <c r="R74" s="187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6"/>
      <c r="AR74" s="188"/>
      <c r="AS74" s="186"/>
      <c r="AT74" s="186"/>
      <c r="AU74" s="188"/>
      <c r="AV74" s="186"/>
      <c r="AW74" s="219"/>
      <c r="AX74" s="219"/>
      <c r="AY74" s="257"/>
      <c r="AZ74" s="258"/>
      <c r="BA74" s="258"/>
      <c r="BB74" s="258"/>
      <c r="BC74" s="258"/>
      <c r="BD74" s="259"/>
      <c r="BE74" s="259"/>
      <c r="BF74" s="164" t="e">
        <v>#N/A</v>
      </c>
      <c r="BG74" s="203">
        <f t="shared" si="4"/>
        <v>0</v>
      </c>
      <c r="BH74" s="255" t="str">
        <f t="shared" si="5"/>
        <v>#REF!</v>
      </c>
      <c r="BI74" s="75"/>
      <c r="BJ74" s="75"/>
      <c r="BK74" s="75"/>
      <c r="BL74" s="75"/>
      <c r="BM74" s="75"/>
      <c r="BN74" s="75"/>
      <c r="BO74" s="75"/>
      <c r="BP74" s="75"/>
      <c r="BQ74" s="75"/>
      <c r="BR74" s="75"/>
    </row>
    <row r="75">
      <c r="A75" s="6"/>
      <c r="B75" s="183"/>
      <c r="C75" s="184"/>
      <c r="D75" s="75"/>
      <c r="E75" s="75"/>
      <c r="F75" s="219"/>
      <c r="G75" s="253"/>
      <c r="H75" s="253"/>
      <c r="I75" s="75"/>
      <c r="J75" s="75"/>
      <c r="K75" s="186"/>
      <c r="L75" s="186"/>
      <c r="M75" s="186"/>
      <c r="N75" s="186"/>
      <c r="O75" s="186"/>
      <c r="P75" s="187"/>
      <c r="Q75" s="187"/>
      <c r="R75" s="187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6"/>
      <c r="AR75" s="188"/>
      <c r="AS75" s="186"/>
      <c r="AT75" s="186"/>
      <c r="AU75" s="188"/>
      <c r="AV75" s="186"/>
      <c r="AW75" s="219"/>
      <c r="AX75" s="219"/>
      <c r="AY75" s="257"/>
      <c r="AZ75" s="258"/>
      <c r="BA75" s="258"/>
      <c r="BB75" s="258"/>
      <c r="BC75" s="258"/>
      <c r="BD75" s="259"/>
      <c r="BE75" s="259"/>
      <c r="BF75" s="164" t="e">
        <v>#N/A</v>
      </c>
      <c r="BG75" s="203">
        <f t="shared" si="4"/>
        <v>0</v>
      </c>
      <c r="BH75" s="255" t="str">
        <f t="shared" si="5"/>
        <v>#REF!</v>
      </c>
      <c r="BI75" s="75"/>
      <c r="BJ75" s="75"/>
      <c r="BK75" s="75"/>
      <c r="BL75" s="75"/>
      <c r="BM75" s="75"/>
      <c r="BN75" s="75"/>
      <c r="BO75" s="75"/>
      <c r="BP75" s="75"/>
      <c r="BQ75" s="75"/>
      <c r="BR75" s="75"/>
    </row>
    <row r="76">
      <c r="A76" s="6"/>
      <c r="B76" s="183"/>
      <c r="C76" s="184"/>
      <c r="D76" s="75"/>
      <c r="E76" s="256"/>
      <c r="F76" s="219"/>
      <c r="G76" s="253"/>
      <c r="H76" s="253"/>
      <c r="I76" s="75"/>
      <c r="J76" s="75"/>
      <c r="K76" s="186"/>
      <c r="L76" s="186"/>
      <c r="M76" s="186"/>
      <c r="N76" s="186"/>
      <c r="O76" s="186"/>
      <c r="P76" s="187"/>
      <c r="Q76" s="187"/>
      <c r="R76" s="187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6"/>
      <c r="AR76" s="189"/>
      <c r="AS76" s="186"/>
      <c r="AT76" s="186"/>
      <c r="AU76" s="187"/>
      <c r="AV76" s="186"/>
      <c r="AW76" s="219"/>
      <c r="AX76" s="219"/>
      <c r="AY76" s="257"/>
      <c r="AZ76" s="258"/>
      <c r="BA76" s="258"/>
      <c r="BB76" s="258"/>
      <c r="BC76" s="258"/>
      <c r="BD76" s="260"/>
      <c r="BE76" s="260"/>
      <c r="BF76" s="164" t="e">
        <v>#N/A</v>
      </c>
      <c r="BG76" s="203">
        <f t="shared" si="4"/>
        <v>0</v>
      </c>
      <c r="BH76" s="255" t="str">
        <f t="shared" si="5"/>
        <v>#REF!</v>
      </c>
      <c r="BI76" s="75"/>
      <c r="BJ76" s="75"/>
      <c r="BK76" s="75"/>
      <c r="BL76" s="75"/>
      <c r="BM76" s="75"/>
      <c r="BN76" s="75"/>
      <c r="BO76" s="75"/>
      <c r="BP76" s="75"/>
      <c r="BQ76" s="75"/>
      <c r="BR76" s="75"/>
    </row>
    <row r="77">
      <c r="A77" s="6"/>
      <c r="B77" s="183"/>
      <c r="C77" s="184"/>
      <c r="D77" s="75"/>
      <c r="E77" s="256"/>
      <c r="F77" s="219"/>
      <c r="G77" s="253"/>
      <c r="H77" s="253"/>
      <c r="I77" s="75"/>
      <c r="J77" s="75"/>
      <c r="K77" s="186"/>
      <c r="L77" s="186"/>
      <c r="M77" s="186"/>
      <c r="N77" s="186"/>
      <c r="O77" s="186"/>
      <c r="P77" s="187"/>
      <c r="Q77" s="187"/>
      <c r="R77" s="187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6"/>
      <c r="AR77" s="189"/>
      <c r="AS77" s="186"/>
      <c r="AT77" s="186"/>
      <c r="AU77" s="187"/>
      <c r="AV77" s="186"/>
      <c r="AW77" s="219"/>
      <c r="AX77" s="219"/>
      <c r="AY77" s="257"/>
      <c r="AZ77" s="258"/>
      <c r="BA77" s="258"/>
      <c r="BB77" s="258"/>
      <c r="BC77" s="258"/>
      <c r="BD77" s="260"/>
      <c r="BE77" s="260"/>
      <c r="BF77" s="164" t="e">
        <v>#N/A</v>
      </c>
      <c r="BG77" s="203">
        <f t="shared" si="4"/>
        <v>0</v>
      </c>
      <c r="BH77" s="255" t="str">
        <f t="shared" si="5"/>
        <v>#REF!</v>
      </c>
      <c r="BI77" s="75"/>
      <c r="BJ77" s="75"/>
      <c r="BK77" s="75"/>
      <c r="BL77" s="75"/>
      <c r="BM77" s="75"/>
      <c r="BN77" s="75"/>
      <c r="BO77" s="75"/>
      <c r="BP77" s="75"/>
      <c r="BQ77" s="75"/>
      <c r="BR77" s="75"/>
    </row>
    <row r="78">
      <c r="A78" s="6"/>
      <c r="B78" s="183"/>
      <c r="C78" s="184"/>
      <c r="D78" s="75"/>
      <c r="E78" s="256"/>
      <c r="F78" s="219"/>
      <c r="G78" s="253"/>
      <c r="H78" s="253"/>
      <c r="I78" s="75"/>
      <c r="J78" s="75"/>
      <c r="K78" s="186"/>
      <c r="L78" s="186"/>
      <c r="M78" s="186"/>
      <c r="N78" s="186"/>
      <c r="O78" s="186"/>
      <c r="P78" s="187"/>
      <c r="Q78" s="187"/>
      <c r="R78" s="187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6"/>
      <c r="AR78" s="189"/>
      <c r="AS78" s="186"/>
      <c r="AT78" s="186"/>
      <c r="AU78" s="187"/>
      <c r="AV78" s="186"/>
      <c r="AW78" s="219"/>
      <c r="AX78" s="219"/>
      <c r="AY78" s="257"/>
      <c r="AZ78" s="258"/>
      <c r="BA78" s="258"/>
      <c r="BB78" s="258"/>
      <c r="BC78" s="258"/>
      <c r="BD78" s="260"/>
      <c r="BE78" s="260"/>
      <c r="BF78" s="164" t="e">
        <v>#N/A</v>
      </c>
      <c r="BG78" s="203">
        <f t="shared" si="4"/>
        <v>0</v>
      </c>
      <c r="BH78" s="255" t="str">
        <f t="shared" si="5"/>
        <v>#REF!</v>
      </c>
      <c r="BI78" s="75"/>
      <c r="BJ78" s="75"/>
      <c r="BK78" s="75"/>
      <c r="BL78" s="75"/>
      <c r="BM78" s="75"/>
      <c r="BN78" s="75"/>
      <c r="BO78" s="75"/>
      <c r="BP78" s="75"/>
      <c r="BQ78" s="75"/>
      <c r="BR78" s="75"/>
    </row>
    <row r="79">
      <c r="A79" s="6"/>
      <c r="B79" s="183"/>
      <c r="C79" s="184"/>
      <c r="D79" s="75"/>
      <c r="E79" s="256"/>
      <c r="F79" s="219"/>
      <c r="G79" s="253"/>
      <c r="H79" s="253"/>
      <c r="I79" s="75"/>
      <c r="J79" s="75"/>
      <c r="K79" s="186"/>
      <c r="L79" s="186"/>
      <c r="M79" s="186"/>
      <c r="N79" s="186"/>
      <c r="O79" s="186"/>
      <c r="P79" s="187"/>
      <c r="Q79" s="187"/>
      <c r="R79" s="187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6"/>
      <c r="AR79" s="189"/>
      <c r="AS79" s="186"/>
      <c r="AT79" s="186"/>
      <c r="AU79" s="187"/>
      <c r="AV79" s="186"/>
      <c r="AW79" s="219"/>
      <c r="AX79" s="219"/>
      <c r="AY79" s="257"/>
      <c r="AZ79" s="258"/>
      <c r="BA79" s="258"/>
      <c r="BB79" s="258"/>
      <c r="BC79" s="258"/>
      <c r="BD79" s="260"/>
      <c r="BE79" s="260"/>
      <c r="BF79" s="164" t="e">
        <v>#N/A</v>
      </c>
      <c r="BG79" s="203">
        <f t="shared" si="4"/>
        <v>0</v>
      </c>
      <c r="BH79" s="255" t="str">
        <f t="shared" si="5"/>
        <v>#REF!</v>
      </c>
      <c r="BI79" s="75"/>
      <c r="BJ79" s="75"/>
      <c r="BK79" s="75"/>
      <c r="BL79" s="75"/>
      <c r="BM79" s="75"/>
      <c r="BN79" s="75"/>
      <c r="BO79" s="75"/>
      <c r="BP79" s="75"/>
      <c r="BQ79" s="75"/>
      <c r="BR79" s="75"/>
    </row>
    <row r="80">
      <c r="A80" s="6"/>
      <c r="B80" s="183"/>
      <c r="C80" s="184"/>
      <c r="D80" s="75"/>
      <c r="E80" s="256"/>
      <c r="F80" s="219"/>
      <c r="G80" s="253"/>
      <c r="H80" s="253"/>
      <c r="I80" s="75"/>
      <c r="J80" s="75"/>
      <c r="K80" s="186"/>
      <c r="L80" s="186"/>
      <c r="M80" s="186"/>
      <c r="N80" s="186"/>
      <c r="O80" s="186"/>
      <c r="P80" s="187"/>
      <c r="Q80" s="187"/>
      <c r="R80" s="187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6"/>
      <c r="AR80" s="189"/>
      <c r="AS80" s="186"/>
      <c r="AT80" s="186"/>
      <c r="AU80" s="187"/>
      <c r="AV80" s="186"/>
      <c r="AW80" s="219"/>
      <c r="AX80" s="219"/>
      <c r="AY80" s="257"/>
      <c r="AZ80" s="258"/>
      <c r="BA80" s="258"/>
      <c r="BB80" s="258"/>
      <c r="BC80" s="258"/>
      <c r="BD80" s="260"/>
      <c r="BE80" s="260"/>
      <c r="BF80" s="164" t="e">
        <v>#N/A</v>
      </c>
      <c r="BG80" s="203">
        <f t="shared" si="4"/>
        <v>0</v>
      </c>
      <c r="BH80" s="255" t="str">
        <f t="shared" si="5"/>
        <v>#REF!</v>
      </c>
      <c r="BI80" s="75"/>
      <c r="BJ80" s="75"/>
      <c r="BK80" s="75"/>
      <c r="BL80" s="75"/>
      <c r="BM80" s="75"/>
      <c r="BN80" s="75"/>
      <c r="BO80" s="75"/>
      <c r="BP80" s="75"/>
      <c r="BQ80" s="75"/>
      <c r="BR80" s="75"/>
    </row>
    <row r="81">
      <c r="A81" s="6"/>
      <c r="B81" s="183"/>
      <c r="C81" s="184"/>
      <c r="D81" s="75"/>
      <c r="E81" s="256"/>
      <c r="F81" s="219"/>
      <c r="G81" s="253"/>
      <c r="H81" s="253"/>
      <c r="I81" s="75"/>
      <c r="J81" s="75"/>
      <c r="K81" s="186"/>
      <c r="L81" s="186"/>
      <c r="M81" s="186"/>
      <c r="N81" s="186"/>
      <c r="O81" s="186"/>
      <c r="P81" s="187"/>
      <c r="Q81" s="187"/>
      <c r="R81" s="187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6"/>
      <c r="AR81" s="189"/>
      <c r="AS81" s="186"/>
      <c r="AT81" s="186"/>
      <c r="AU81" s="187"/>
      <c r="AV81" s="186"/>
      <c r="AW81" s="219"/>
      <c r="AX81" s="219"/>
      <c r="AY81" s="257"/>
      <c r="AZ81" s="258"/>
      <c r="BA81" s="258"/>
      <c r="BB81" s="258"/>
      <c r="BC81" s="258"/>
      <c r="BD81" s="260"/>
      <c r="BE81" s="260"/>
      <c r="BF81" s="164" t="e">
        <v>#N/A</v>
      </c>
      <c r="BG81" s="203">
        <f t="shared" si="4"/>
        <v>0</v>
      </c>
      <c r="BH81" s="255" t="str">
        <f t="shared" si="5"/>
        <v>#REF!</v>
      </c>
      <c r="BI81" s="75"/>
      <c r="BJ81" s="75"/>
      <c r="BK81" s="75"/>
      <c r="BL81" s="75"/>
      <c r="BM81" s="75"/>
      <c r="BN81" s="75"/>
      <c r="BO81" s="75"/>
      <c r="BP81" s="75"/>
      <c r="BQ81" s="75"/>
      <c r="BR81" s="75"/>
    </row>
    <row r="82">
      <c r="A82" s="6"/>
      <c r="B82" s="183"/>
      <c r="C82" s="184"/>
      <c r="D82" s="75"/>
      <c r="E82" s="256"/>
      <c r="F82" s="219"/>
      <c r="G82" s="253"/>
      <c r="H82" s="253"/>
      <c r="I82" s="75"/>
      <c r="J82" s="75"/>
      <c r="K82" s="186"/>
      <c r="L82" s="186"/>
      <c r="M82" s="186"/>
      <c r="N82" s="186"/>
      <c r="O82" s="186"/>
      <c r="P82" s="187"/>
      <c r="Q82" s="187"/>
      <c r="R82" s="187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6"/>
      <c r="AR82" s="189"/>
      <c r="AS82" s="186"/>
      <c r="AT82" s="186"/>
      <c r="AU82" s="187"/>
      <c r="AV82" s="186"/>
      <c r="AW82" s="219"/>
      <c r="AX82" s="219"/>
      <c r="AY82" s="257"/>
      <c r="AZ82" s="258"/>
      <c r="BA82" s="258"/>
      <c r="BB82" s="258"/>
      <c r="BC82" s="258"/>
      <c r="BD82" s="260"/>
      <c r="BE82" s="260"/>
      <c r="BF82" s="164" t="e">
        <v>#N/A</v>
      </c>
      <c r="BG82" s="203">
        <f t="shared" si="4"/>
        <v>0</v>
      </c>
      <c r="BH82" s="255" t="str">
        <f t="shared" si="5"/>
        <v>#REF!</v>
      </c>
      <c r="BI82" s="75"/>
      <c r="BJ82" s="75"/>
      <c r="BK82" s="75"/>
      <c r="BL82" s="75"/>
      <c r="BM82" s="75"/>
      <c r="BN82" s="75"/>
      <c r="BO82" s="75"/>
      <c r="BP82" s="75"/>
      <c r="BQ82" s="75"/>
      <c r="BR82" s="75"/>
    </row>
    <row r="83">
      <c r="A83" s="6"/>
      <c r="B83" s="183"/>
      <c r="C83" s="184"/>
      <c r="D83" s="75"/>
      <c r="E83" s="256"/>
      <c r="F83" s="219"/>
      <c r="G83" s="253"/>
      <c r="H83" s="253"/>
      <c r="I83" s="75"/>
      <c r="J83" s="75"/>
      <c r="K83" s="186"/>
      <c r="L83" s="186"/>
      <c r="M83" s="186"/>
      <c r="N83" s="186"/>
      <c r="O83" s="186"/>
      <c r="P83" s="187"/>
      <c r="Q83" s="187"/>
      <c r="R83" s="187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6"/>
      <c r="AR83" s="189"/>
      <c r="AS83" s="186"/>
      <c r="AT83" s="186"/>
      <c r="AU83" s="187"/>
      <c r="AV83" s="186"/>
      <c r="AW83" s="219"/>
      <c r="AX83" s="219"/>
      <c r="AY83" s="257"/>
      <c r="AZ83" s="258"/>
      <c r="BA83" s="258"/>
      <c r="BB83" s="258"/>
      <c r="BC83" s="258"/>
      <c r="BD83" s="260"/>
      <c r="BE83" s="260"/>
      <c r="BF83" s="164" t="e">
        <v>#N/A</v>
      </c>
      <c r="BG83" s="203">
        <f t="shared" si="4"/>
        <v>0</v>
      </c>
      <c r="BH83" s="255" t="str">
        <f t="shared" si="5"/>
        <v>#REF!</v>
      </c>
      <c r="BI83" s="75"/>
      <c r="BJ83" s="75"/>
      <c r="BK83" s="75"/>
      <c r="BL83" s="75"/>
      <c r="BM83" s="75"/>
      <c r="BN83" s="75"/>
      <c r="BO83" s="75"/>
      <c r="BP83" s="75"/>
      <c r="BQ83" s="75"/>
      <c r="BR83" s="75"/>
    </row>
    <row r="84">
      <c r="A84" s="6"/>
      <c r="B84" s="183"/>
      <c r="C84" s="184"/>
      <c r="D84" s="75"/>
      <c r="E84" s="256"/>
      <c r="F84" s="219"/>
      <c r="G84" s="253"/>
      <c r="H84" s="253"/>
      <c r="I84" s="75"/>
      <c r="J84" s="75"/>
      <c r="K84" s="186"/>
      <c r="L84" s="186"/>
      <c r="M84" s="186"/>
      <c r="N84" s="186"/>
      <c r="O84" s="186"/>
      <c r="P84" s="187"/>
      <c r="Q84" s="187"/>
      <c r="R84" s="187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6"/>
      <c r="AR84" s="189"/>
      <c r="AS84" s="186"/>
      <c r="AT84" s="186"/>
      <c r="AU84" s="187"/>
      <c r="AV84" s="186"/>
      <c r="AW84" s="219"/>
      <c r="AX84" s="219"/>
      <c r="AY84" s="257"/>
      <c r="AZ84" s="258"/>
      <c r="BA84" s="258"/>
      <c r="BB84" s="258"/>
      <c r="BC84" s="258"/>
      <c r="BD84" s="260"/>
      <c r="BE84" s="260"/>
      <c r="BF84" s="164" t="e">
        <v>#N/A</v>
      </c>
      <c r="BG84" s="203">
        <f t="shared" si="4"/>
        <v>0</v>
      </c>
      <c r="BH84" s="255" t="str">
        <f t="shared" si="5"/>
        <v>#REF!</v>
      </c>
      <c r="BI84" s="75"/>
      <c r="BJ84" s="75"/>
      <c r="BK84" s="75"/>
      <c r="BL84" s="75"/>
      <c r="BM84" s="75"/>
      <c r="BN84" s="75"/>
      <c r="BO84" s="75"/>
      <c r="BP84" s="75"/>
      <c r="BQ84" s="75"/>
      <c r="BR84" s="75"/>
    </row>
    <row r="85">
      <c r="A85" s="6"/>
      <c r="B85" s="183"/>
      <c r="C85" s="184"/>
      <c r="D85" s="75"/>
      <c r="E85" s="256"/>
      <c r="F85" s="219"/>
      <c r="G85" s="253"/>
      <c r="H85" s="253"/>
      <c r="I85" s="75"/>
      <c r="J85" s="75"/>
      <c r="K85" s="186"/>
      <c r="L85" s="186"/>
      <c r="M85" s="186"/>
      <c r="N85" s="186"/>
      <c r="O85" s="186"/>
      <c r="P85" s="187"/>
      <c r="Q85" s="187"/>
      <c r="R85" s="187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6"/>
      <c r="AR85" s="189"/>
      <c r="AS85" s="186"/>
      <c r="AT85" s="186"/>
      <c r="AU85" s="187"/>
      <c r="AV85" s="186"/>
      <c r="AW85" s="219"/>
      <c r="AX85" s="219"/>
      <c r="AY85" s="257"/>
      <c r="AZ85" s="258"/>
      <c r="BA85" s="258"/>
      <c r="BB85" s="258"/>
      <c r="BC85" s="258"/>
      <c r="BD85" s="260"/>
      <c r="BE85" s="260"/>
      <c r="BF85" s="164" t="e">
        <v>#N/A</v>
      </c>
      <c r="BG85" s="203">
        <f t="shared" si="4"/>
        <v>0</v>
      </c>
      <c r="BH85" s="255" t="str">
        <f t="shared" si="5"/>
        <v>#REF!</v>
      </c>
      <c r="BI85" s="75"/>
      <c r="BJ85" s="75"/>
      <c r="BK85" s="75"/>
      <c r="BL85" s="75"/>
      <c r="BM85" s="75"/>
      <c r="BN85" s="75"/>
      <c r="BO85" s="75"/>
      <c r="BP85" s="75"/>
      <c r="BQ85" s="75"/>
      <c r="BR85" s="75"/>
    </row>
    <row r="86">
      <c r="A86" s="6"/>
      <c r="B86" s="183"/>
      <c r="C86" s="184"/>
      <c r="D86" s="75"/>
      <c r="E86" s="256"/>
      <c r="F86" s="219"/>
      <c r="G86" s="253"/>
      <c r="H86" s="253"/>
      <c r="I86" s="75"/>
      <c r="J86" s="75"/>
      <c r="K86" s="186"/>
      <c r="L86" s="186"/>
      <c r="M86" s="186"/>
      <c r="N86" s="186"/>
      <c r="O86" s="186"/>
      <c r="P86" s="187"/>
      <c r="Q86" s="187"/>
      <c r="R86" s="187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6"/>
      <c r="AR86" s="189"/>
      <c r="AS86" s="186"/>
      <c r="AT86" s="186"/>
      <c r="AU86" s="187"/>
      <c r="AV86" s="186"/>
      <c r="AW86" s="219"/>
      <c r="AX86" s="219"/>
      <c r="AY86" s="257"/>
      <c r="AZ86" s="258"/>
      <c r="BA86" s="258"/>
      <c r="BB86" s="258"/>
      <c r="BC86" s="258"/>
      <c r="BD86" s="260"/>
      <c r="BE86" s="260"/>
      <c r="BF86" s="164" t="e">
        <v>#N/A</v>
      </c>
      <c r="BG86" s="203">
        <f t="shared" si="4"/>
        <v>0</v>
      </c>
      <c r="BH86" s="255" t="str">
        <f t="shared" si="5"/>
        <v>#REF!</v>
      </c>
      <c r="BI86" s="75"/>
      <c r="BJ86" s="75"/>
      <c r="BK86" s="75"/>
      <c r="BL86" s="75"/>
      <c r="BM86" s="75"/>
      <c r="BN86" s="75"/>
      <c r="BO86" s="75"/>
      <c r="BP86" s="75"/>
      <c r="BQ86" s="75"/>
      <c r="BR86" s="75"/>
    </row>
    <row r="87">
      <c r="A87" s="6"/>
      <c r="B87" s="183"/>
      <c r="C87" s="184"/>
      <c r="D87" s="75"/>
      <c r="E87" s="256"/>
      <c r="F87" s="219"/>
      <c r="G87" s="253"/>
      <c r="H87" s="253"/>
      <c r="I87" s="75"/>
      <c r="J87" s="75"/>
      <c r="K87" s="186"/>
      <c r="L87" s="186"/>
      <c r="M87" s="186"/>
      <c r="N87" s="186"/>
      <c r="O87" s="186"/>
      <c r="P87" s="187"/>
      <c r="Q87" s="187"/>
      <c r="R87" s="187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6"/>
      <c r="AR87" s="189"/>
      <c r="AS87" s="186"/>
      <c r="AT87" s="186"/>
      <c r="AU87" s="187"/>
      <c r="AV87" s="186"/>
      <c r="AW87" s="219"/>
      <c r="AX87" s="219"/>
      <c r="AY87" s="257"/>
      <c r="AZ87" s="258"/>
      <c r="BA87" s="258"/>
      <c r="BB87" s="258"/>
      <c r="BC87" s="258"/>
      <c r="BD87" s="260"/>
      <c r="BE87" s="260"/>
      <c r="BF87" s="164" t="e">
        <v>#N/A</v>
      </c>
      <c r="BG87" s="203">
        <f t="shared" si="4"/>
        <v>0</v>
      </c>
      <c r="BH87" s="255" t="str">
        <f t="shared" si="5"/>
        <v>#REF!</v>
      </c>
      <c r="BI87" s="75"/>
      <c r="BJ87" s="75"/>
      <c r="BK87" s="75"/>
      <c r="BL87" s="75"/>
      <c r="BM87" s="75"/>
      <c r="BN87" s="75"/>
      <c r="BO87" s="75"/>
      <c r="BP87" s="75"/>
      <c r="BQ87" s="75"/>
      <c r="BR87" s="75"/>
    </row>
    <row r="88">
      <c r="A88" s="6"/>
      <c r="B88" s="183"/>
      <c r="C88" s="184"/>
      <c r="D88" s="75"/>
      <c r="E88" s="256"/>
      <c r="F88" s="219"/>
      <c r="G88" s="253"/>
      <c r="H88" s="253"/>
      <c r="I88" s="75"/>
      <c r="J88" s="75"/>
      <c r="K88" s="186"/>
      <c r="L88" s="186"/>
      <c r="M88" s="186"/>
      <c r="N88" s="186"/>
      <c r="O88" s="186"/>
      <c r="P88" s="187"/>
      <c r="Q88" s="187"/>
      <c r="R88" s="187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6"/>
      <c r="AR88" s="189"/>
      <c r="AS88" s="186"/>
      <c r="AT88" s="186"/>
      <c r="AU88" s="187"/>
      <c r="AV88" s="186"/>
      <c r="AW88" s="219"/>
      <c r="AX88" s="219"/>
      <c r="AY88" s="257"/>
      <c r="AZ88" s="258"/>
      <c r="BA88" s="258"/>
      <c r="BB88" s="258"/>
      <c r="BC88" s="258"/>
      <c r="BD88" s="260"/>
      <c r="BE88" s="260"/>
      <c r="BF88" s="164" t="e">
        <v>#N/A</v>
      </c>
      <c r="BG88" s="203">
        <f t="shared" si="4"/>
        <v>0</v>
      </c>
      <c r="BH88" s="255" t="str">
        <f t="shared" si="5"/>
        <v>#REF!</v>
      </c>
      <c r="BI88" s="75"/>
      <c r="BJ88" s="75"/>
      <c r="BK88" s="75"/>
      <c r="BL88" s="75"/>
      <c r="BM88" s="75"/>
      <c r="BN88" s="75"/>
      <c r="BO88" s="75"/>
      <c r="BP88" s="75"/>
      <c r="BQ88" s="75"/>
      <c r="BR88" s="75"/>
    </row>
    <row r="89">
      <c r="A89" s="6"/>
      <c r="B89" s="183"/>
      <c r="C89" s="184"/>
      <c r="D89" s="75"/>
      <c r="E89" s="256"/>
      <c r="F89" s="219"/>
      <c r="G89" s="253"/>
      <c r="H89" s="253"/>
      <c r="I89" s="75"/>
      <c r="J89" s="75"/>
      <c r="K89" s="186"/>
      <c r="L89" s="186"/>
      <c r="M89" s="186"/>
      <c r="N89" s="186"/>
      <c r="O89" s="186"/>
      <c r="P89" s="187"/>
      <c r="Q89" s="187"/>
      <c r="R89" s="187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6"/>
      <c r="AR89" s="189"/>
      <c r="AS89" s="186"/>
      <c r="AT89" s="186"/>
      <c r="AU89" s="187"/>
      <c r="AV89" s="186"/>
      <c r="AW89" s="219"/>
      <c r="AX89" s="219"/>
      <c r="AY89" s="257"/>
      <c r="AZ89" s="258"/>
      <c r="BA89" s="258"/>
      <c r="BB89" s="258"/>
      <c r="BC89" s="258"/>
      <c r="BD89" s="260"/>
      <c r="BE89" s="260"/>
      <c r="BF89" s="164" t="e">
        <v>#N/A</v>
      </c>
      <c r="BG89" s="203">
        <f t="shared" si="4"/>
        <v>0</v>
      </c>
      <c r="BH89" s="255" t="str">
        <f t="shared" si="5"/>
        <v>#REF!</v>
      </c>
      <c r="BI89" s="75"/>
      <c r="BJ89" s="75"/>
      <c r="BK89" s="75"/>
      <c r="BL89" s="75"/>
      <c r="BM89" s="75"/>
      <c r="BN89" s="75"/>
      <c r="BO89" s="75"/>
      <c r="BP89" s="75"/>
      <c r="BQ89" s="75"/>
      <c r="BR89" s="75"/>
    </row>
    <row r="90">
      <c r="A90" s="6"/>
      <c r="B90" s="183"/>
      <c r="C90" s="184"/>
      <c r="D90" s="75"/>
      <c r="E90" s="256"/>
      <c r="F90" s="219"/>
      <c r="G90" s="253"/>
      <c r="H90" s="253"/>
      <c r="I90" s="75"/>
      <c r="J90" s="75"/>
      <c r="K90" s="186"/>
      <c r="L90" s="186"/>
      <c r="M90" s="186"/>
      <c r="N90" s="186"/>
      <c r="O90" s="186"/>
      <c r="P90" s="187"/>
      <c r="Q90" s="187"/>
      <c r="R90" s="187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6"/>
      <c r="AR90" s="189"/>
      <c r="AS90" s="186"/>
      <c r="AT90" s="186"/>
      <c r="AU90" s="187"/>
      <c r="AV90" s="186"/>
      <c r="AW90" s="219"/>
      <c r="AX90" s="219"/>
      <c r="AY90" s="257"/>
      <c r="AZ90" s="258"/>
      <c r="BA90" s="258"/>
      <c r="BB90" s="258"/>
      <c r="BC90" s="258"/>
      <c r="BD90" s="260"/>
      <c r="BE90" s="260"/>
      <c r="BF90" s="164" t="e">
        <v>#N/A</v>
      </c>
      <c r="BG90" s="203">
        <f t="shared" si="4"/>
        <v>0</v>
      </c>
      <c r="BH90" s="255" t="str">
        <f t="shared" si="5"/>
        <v>#REF!</v>
      </c>
      <c r="BI90" s="75"/>
      <c r="BJ90" s="75"/>
      <c r="BK90" s="75"/>
      <c r="BL90" s="75"/>
      <c r="BM90" s="75"/>
      <c r="BN90" s="75"/>
      <c r="BO90" s="75"/>
      <c r="BP90" s="75"/>
      <c r="BQ90" s="75"/>
      <c r="BR90" s="75"/>
    </row>
    <row r="91">
      <c r="A91" s="6"/>
      <c r="B91" s="183"/>
      <c r="C91" s="184"/>
      <c r="D91" s="75"/>
      <c r="E91" s="256"/>
      <c r="F91" s="219"/>
      <c r="G91" s="253"/>
      <c r="H91" s="253"/>
      <c r="I91" s="75"/>
      <c r="J91" s="75"/>
      <c r="K91" s="186"/>
      <c r="L91" s="186"/>
      <c r="M91" s="186"/>
      <c r="N91" s="186"/>
      <c r="O91" s="186"/>
      <c r="P91" s="187"/>
      <c r="Q91" s="187"/>
      <c r="R91" s="187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6"/>
      <c r="AR91" s="189"/>
      <c r="AS91" s="186"/>
      <c r="AT91" s="186"/>
      <c r="AU91" s="187"/>
      <c r="AV91" s="186"/>
      <c r="AW91" s="219"/>
      <c r="AX91" s="219"/>
      <c r="AY91" s="257"/>
      <c r="AZ91" s="258"/>
      <c r="BA91" s="258"/>
      <c r="BB91" s="258"/>
      <c r="BC91" s="258"/>
      <c r="BD91" s="260"/>
      <c r="BE91" s="260"/>
      <c r="BF91" s="164" t="e">
        <v>#N/A</v>
      </c>
      <c r="BG91" s="203">
        <f t="shared" si="4"/>
        <v>0</v>
      </c>
      <c r="BH91" s="255" t="str">
        <f t="shared" si="5"/>
        <v>#REF!</v>
      </c>
      <c r="BI91" s="75"/>
      <c r="BJ91" s="75"/>
      <c r="BK91" s="75"/>
      <c r="BL91" s="75"/>
      <c r="BM91" s="75"/>
      <c r="BN91" s="75"/>
      <c r="BO91" s="75"/>
      <c r="BP91" s="75"/>
      <c r="BQ91" s="75"/>
      <c r="BR91" s="75"/>
    </row>
    <row r="92">
      <c r="A92" s="6"/>
      <c r="B92" s="183"/>
      <c r="C92" s="184"/>
      <c r="D92" s="75"/>
      <c r="E92" s="256"/>
      <c r="F92" s="219"/>
      <c r="G92" s="253"/>
      <c r="H92" s="253"/>
      <c r="I92" s="75"/>
      <c r="J92" s="75"/>
      <c r="K92" s="186"/>
      <c r="L92" s="186"/>
      <c r="M92" s="186"/>
      <c r="N92" s="186"/>
      <c r="O92" s="186"/>
      <c r="P92" s="187"/>
      <c r="Q92" s="187"/>
      <c r="R92" s="187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6"/>
      <c r="AR92" s="189"/>
      <c r="AS92" s="186"/>
      <c r="AT92" s="186"/>
      <c r="AU92" s="187"/>
      <c r="AV92" s="186"/>
      <c r="AW92" s="219"/>
      <c r="AX92" s="219"/>
      <c r="AY92" s="257"/>
      <c r="AZ92" s="258"/>
      <c r="BA92" s="258"/>
      <c r="BB92" s="258"/>
      <c r="BC92" s="258"/>
      <c r="BD92" s="260"/>
      <c r="BE92" s="260"/>
      <c r="BF92" s="164" t="e">
        <v>#N/A</v>
      </c>
      <c r="BG92" s="203">
        <f t="shared" si="4"/>
        <v>0</v>
      </c>
      <c r="BH92" s="255" t="str">
        <f t="shared" si="5"/>
        <v>#REF!</v>
      </c>
      <c r="BI92" s="75"/>
      <c r="BJ92" s="75"/>
      <c r="BK92" s="75"/>
      <c r="BL92" s="75"/>
      <c r="BM92" s="75"/>
      <c r="BN92" s="75"/>
      <c r="BO92" s="75"/>
      <c r="BP92" s="75"/>
      <c r="BQ92" s="75"/>
      <c r="BR92" s="75"/>
    </row>
    <row r="93">
      <c r="A93" s="6"/>
      <c r="B93" s="183"/>
      <c r="C93" s="184"/>
      <c r="D93" s="75"/>
      <c r="E93" s="256"/>
      <c r="F93" s="219"/>
      <c r="G93" s="253"/>
      <c r="H93" s="253"/>
      <c r="I93" s="75"/>
      <c r="J93" s="75"/>
      <c r="K93" s="186"/>
      <c r="L93" s="186"/>
      <c r="M93" s="186"/>
      <c r="N93" s="186"/>
      <c r="O93" s="186"/>
      <c r="P93" s="187"/>
      <c r="Q93" s="187"/>
      <c r="R93" s="187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6"/>
      <c r="AR93" s="189"/>
      <c r="AS93" s="186"/>
      <c r="AT93" s="186"/>
      <c r="AU93" s="187"/>
      <c r="AV93" s="186"/>
      <c r="AW93" s="219"/>
      <c r="AX93" s="219"/>
      <c r="AY93" s="257"/>
      <c r="AZ93" s="258"/>
      <c r="BA93" s="258"/>
      <c r="BB93" s="258"/>
      <c r="BC93" s="258"/>
      <c r="BD93" s="260"/>
      <c r="BE93" s="260"/>
      <c r="BF93" s="164" t="e">
        <v>#N/A</v>
      </c>
      <c r="BG93" s="203">
        <f t="shared" si="4"/>
        <v>0</v>
      </c>
      <c r="BH93" s="255" t="str">
        <f t="shared" si="5"/>
        <v>#REF!</v>
      </c>
      <c r="BI93" s="75"/>
      <c r="BJ93" s="75"/>
      <c r="BK93" s="75"/>
      <c r="BL93" s="75"/>
      <c r="BM93" s="75"/>
      <c r="BN93" s="75"/>
      <c r="BO93" s="75"/>
      <c r="BP93" s="75"/>
      <c r="BQ93" s="75"/>
      <c r="BR93" s="75"/>
    </row>
    <row r="94">
      <c r="A94" s="6"/>
      <c r="B94" s="183"/>
      <c r="C94" s="184"/>
      <c r="D94" s="75"/>
      <c r="E94" s="256"/>
      <c r="F94" s="219"/>
      <c r="G94" s="253"/>
      <c r="H94" s="253"/>
      <c r="I94" s="75"/>
      <c r="J94" s="75"/>
      <c r="K94" s="186"/>
      <c r="L94" s="186"/>
      <c r="M94" s="186"/>
      <c r="N94" s="186"/>
      <c r="O94" s="186"/>
      <c r="P94" s="187"/>
      <c r="Q94" s="187"/>
      <c r="R94" s="187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6"/>
      <c r="AR94" s="189"/>
      <c r="AS94" s="186"/>
      <c r="AT94" s="186"/>
      <c r="AU94" s="187"/>
      <c r="AV94" s="186"/>
      <c r="AW94" s="219"/>
      <c r="AX94" s="219"/>
      <c r="AY94" s="257"/>
      <c r="AZ94" s="258"/>
      <c r="BA94" s="258"/>
      <c r="BB94" s="258"/>
      <c r="BC94" s="258"/>
      <c r="BD94" s="260"/>
      <c r="BE94" s="260"/>
      <c r="BF94" s="164" t="e">
        <v>#N/A</v>
      </c>
      <c r="BG94" s="203">
        <f t="shared" si="4"/>
        <v>0</v>
      </c>
      <c r="BH94" s="255" t="str">
        <f t="shared" si="5"/>
        <v>#REF!</v>
      </c>
      <c r="BI94" s="75"/>
      <c r="BJ94" s="75"/>
      <c r="BK94" s="75"/>
      <c r="BL94" s="75"/>
      <c r="BM94" s="75"/>
      <c r="BN94" s="75"/>
      <c r="BO94" s="75"/>
      <c r="BP94" s="75"/>
      <c r="BQ94" s="75"/>
      <c r="BR94" s="75"/>
    </row>
    <row r="95">
      <c r="A95" s="6"/>
      <c r="B95" s="183"/>
      <c r="C95" s="184"/>
      <c r="D95" s="75"/>
      <c r="E95" s="256"/>
      <c r="F95" s="219"/>
      <c r="G95" s="253"/>
      <c r="H95" s="253"/>
      <c r="I95" s="75"/>
      <c r="J95" s="75"/>
      <c r="K95" s="186"/>
      <c r="L95" s="186"/>
      <c r="M95" s="186"/>
      <c r="N95" s="186"/>
      <c r="O95" s="186"/>
      <c r="P95" s="187"/>
      <c r="Q95" s="187"/>
      <c r="R95" s="187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6"/>
      <c r="AR95" s="189"/>
      <c r="AS95" s="186"/>
      <c r="AT95" s="186"/>
      <c r="AU95" s="187"/>
      <c r="AV95" s="186"/>
      <c r="AW95" s="219"/>
      <c r="AX95" s="219"/>
      <c r="AY95" s="257"/>
      <c r="AZ95" s="258"/>
      <c r="BA95" s="258"/>
      <c r="BB95" s="258"/>
      <c r="BC95" s="258"/>
      <c r="BD95" s="260"/>
      <c r="BE95" s="260"/>
      <c r="BF95" s="164" t="e">
        <v>#N/A</v>
      </c>
      <c r="BG95" s="203">
        <f t="shared" si="4"/>
        <v>0</v>
      </c>
      <c r="BH95" s="255" t="str">
        <f t="shared" si="5"/>
        <v>#REF!</v>
      </c>
      <c r="BI95" s="75"/>
      <c r="BJ95" s="75"/>
      <c r="BK95" s="75"/>
      <c r="BL95" s="75"/>
      <c r="BM95" s="75"/>
      <c r="BN95" s="75"/>
      <c r="BO95" s="75"/>
      <c r="BP95" s="75"/>
      <c r="BQ95" s="75"/>
      <c r="BR95" s="75"/>
    </row>
    <row r="96">
      <c r="A96" s="6"/>
      <c r="B96" s="183"/>
      <c r="C96" s="184"/>
      <c r="D96" s="75"/>
      <c r="E96" s="256"/>
      <c r="F96" s="219"/>
      <c r="G96" s="253"/>
      <c r="H96" s="253"/>
      <c r="I96" s="75"/>
      <c r="J96" s="75"/>
      <c r="K96" s="186"/>
      <c r="L96" s="186"/>
      <c r="M96" s="186"/>
      <c r="N96" s="186"/>
      <c r="O96" s="186"/>
      <c r="P96" s="187"/>
      <c r="Q96" s="187"/>
      <c r="R96" s="187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6"/>
      <c r="AR96" s="189"/>
      <c r="AS96" s="186"/>
      <c r="AT96" s="186"/>
      <c r="AU96" s="187"/>
      <c r="AV96" s="186"/>
      <c r="AW96" s="219"/>
      <c r="AX96" s="219"/>
      <c r="AY96" s="257"/>
      <c r="AZ96" s="258"/>
      <c r="BA96" s="258"/>
      <c r="BB96" s="258"/>
      <c r="BC96" s="258"/>
      <c r="BD96" s="260"/>
      <c r="BE96" s="260"/>
      <c r="BF96" s="164" t="e">
        <v>#N/A</v>
      </c>
      <c r="BG96" s="203">
        <f t="shared" si="4"/>
        <v>0</v>
      </c>
      <c r="BH96" s="255" t="str">
        <f t="shared" si="5"/>
        <v>#REF!</v>
      </c>
      <c r="BI96" s="75"/>
      <c r="BJ96" s="75"/>
      <c r="BK96" s="75"/>
      <c r="BL96" s="75"/>
      <c r="BM96" s="75"/>
      <c r="BN96" s="75"/>
      <c r="BO96" s="75"/>
      <c r="BP96" s="75"/>
      <c r="BQ96" s="75"/>
      <c r="BR96" s="75"/>
    </row>
    <row r="97">
      <c r="A97" s="6"/>
      <c r="B97" s="183"/>
      <c r="C97" s="184"/>
      <c r="D97" s="75"/>
      <c r="E97" s="256"/>
      <c r="F97" s="219"/>
      <c r="G97" s="253"/>
      <c r="H97" s="253"/>
      <c r="I97" s="75"/>
      <c r="J97" s="75"/>
      <c r="K97" s="186"/>
      <c r="L97" s="186"/>
      <c r="M97" s="186"/>
      <c r="N97" s="186"/>
      <c r="O97" s="186"/>
      <c r="P97" s="187"/>
      <c r="Q97" s="187"/>
      <c r="R97" s="187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6"/>
      <c r="AR97" s="189"/>
      <c r="AS97" s="186"/>
      <c r="AT97" s="186"/>
      <c r="AU97" s="187"/>
      <c r="AV97" s="186"/>
      <c r="AW97" s="219"/>
      <c r="AX97" s="219"/>
      <c r="AY97" s="257"/>
      <c r="AZ97" s="258"/>
      <c r="BA97" s="258"/>
      <c r="BB97" s="258"/>
      <c r="BC97" s="258"/>
      <c r="BD97" s="260"/>
      <c r="BE97" s="260"/>
      <c r="BF97" s="164" t="e">
        <v>#N/A</v>
      </c>
      <c r="BG97" s="203">
        <f t="shared" si="4"/>
        <v>0</v>
      </c>
      <c r="BH97" s="255" t="str">
        <f t="shared" si="5"/>
        <v>#REF!</v>
      </c>
      <c r="BI97" s="75"/>
      <c r="BJ97" s="75"/>
      <c r="BK97" s="75"/>
      <c r="BL97" s="75"/>
      <c r="BM97" s="75"/>
      <c r="BN97" s="75"/>
      <c r="BO97" s="75"/>
      <c r="BP97" s="75"/>
      <c r="BQ97" s="75"/>
      <c r="BR97" s="75"/>
    </row>
    <row r="98">
      <c r="A98" s="6"/>
      <c r="B98" s="183"/>
      <c r="C98" s="184"/>
      <c r="D98" s="75"/>
      <c r="E98" s="256"/>
      <c r="F98" s="219"/>
      <c r="G98" s="253"/>
      <c r="H98" s="253"/>
      <c r="I98" s="75"/>
      <c r="J98" s="75"/>
      <c r="K98" s="186"/>
      <c r="L98" s="186"/>
      <c r="M98" s="186"/>
      <c r="N98" s="186"/>
      <c r="O98" s="186"/>
      <c r="P98" s="187"/>
      <c r="Q98" s="187"/>
      <c r="R98" s="187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6"/>
      <c r="AR98" s="189"/>
      <c r="AS98" s="186"/>
      <c r="AT98" s="186"/>
      <c r="AU98" s="187"/>
      <c r="AV98" s="186"/>
      <c r="AW98" s="219"/>
      <c r="AX98" s="219"/>
      <c r="AY98" s="257"/>
      <c r="AZ98" s="258"/>
      <c r="BA98" s="258"/>
      <c r="BB98" s="258"/>
      <c r="BC98" s="258"/>
      <c r="BD98" s="260"/>
      <c r="BE98" s="260"/>
      <c r="BF98" s="164" t="e">
        <v>#N/A</v>
      </c>
      <c r="BG98" s="203">
        <f t="shared" si="4"/>
        <v>0</v>
      </c>
      <c r="BH98" s="255" t="str">
        <f t="shared" si="5"/>
        <v>#REF!</v>
      </c>
      <c r="BI98" s="75"/>
      <c r="BJ98" s="75"/>
      <c r="BK98" s="75"/>
      <c r="BL98" s="75"/>
      <c r="BM98" s="75"/>
      <c r="BN98" s="75"/>
      <c r="BO98" s="75"/>
      <c r="BP98" s="75"/>
      <c r="BQ98" s="75"/>
      <c r="BR98" s="75"/>
    </row>
    <row r="99">
      <c r="A99" s="6"/>
      <c r="B99" s="183"/>
      <c r="C99" s="184"/>
      <c r="D99" s="75"/>
      <c r="E99" s="256"/>
      <c r="F99" s="219"/>
      <c r="G99" s="253"/>
      <c r="H99" s="253"/>
      <c r="I99" s="75"/>
      <c r="J99" s="75"/>
      <c r="K99" s="186"/>
      <c r="L99" s="186"/>
      <c r="M99" s="186"/>
      <c r="N99" s="186"/>
      <c r="O99" s="186"/>
      <c r="P99" s="187"/>
      <c r="Q99" s="187"/>
      <c r="R99" s="187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6"/>
      <c r="AR99" s="189"/>
      <c r="AS99" s="186"/>
      <c r="AT99" s="186"/>
      <c r="AU99" s="187"/>
      <c r="AV99" s="186"/>
      <c r="AW99" s="219"/>
      <c r="AX99" s="219"/>
      <c r="AY99" s="257"/>
      <c r="AZ99" s="258"/>
      <c r="BA99" s="258"/>
      <c r="BB99" s="258"/>
      <c r="BC99" s="258"/>
      <c r="BD99" s="260"/>
      <c r="BE99" s="260"/>
      <c r="BF99" s="164" t="e">
        <v>#N/A</v>
      </c>
      <c r="BG99" s="203">
        <f t="shared" si="4"/>
        <v>0</v>
      </c>
      <c r="BH99" s="255" t="str">
        <f t="shared" si="5"/>
        <v>#REF!</v>
      </c>
      <c r="BI99" s="75"/>
      <c r="BJ99" s="75"/>
      <c r="BK99" s="75"/>
      <c r="BL99" s="75"/>
      <c r="BM99" s="75"/>
      <c r="BN99" s="75"/>
      <c r="BO99" s="75"/>
      <c r="BP99" s="75"/>
      <c r="BQ99" s="75"/>
      <c r="BR99" s="75"/>
    </row>
    <row r="100">
      <c r="A100" s="6"/>
      <c r="B100" s="183"/>
      <c r="C100" s="184"/>
      <c r="D100" s="75"/>
      <c r="E100" s="256"/>
      <c r="F100" s="219"/>
      <c r="G100" s="253"/>
      <c r="H100" s="253"/>
      <c r="I100" s="75"/>
      <c r="J100" s="75"/>
      <c r="K100" s="186"/>
      <c r="L100" s="186"/>
      <c r="M100" s="186"/>
      <c r="N100" s="186"/>
      <c r="O100" s="186"/>
      <c r="P100" s="187"/>
      <c r="Q100" s="187"/>
      <c r="R100" s="187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6"/>
      <c r="AR100" s="189"/>
      <c r="AS100" s="186"/>
      <c r="AT100" s="186"/>
      <c r="AU100" s="187"/>
      <c r="AV100" s="186"/>
      <c r="AW100" s="219"/>
      <c r="AX100" s="219"/>
      <c r="AY100" s="257"/>
      <c r="AZ100" s="258"/>
      <c r="BA100" s="258"/>
      <c r="BB100" s="258"/>
      <c r="BC100" s="258"/>
      <c r="BD100" s="260"/>
      <c r="BE100" s="260"/>
      <c r="BF100" s="164" t="e">
        <v>#N/A</v>
      </c>
      <c r="BG100" s="203">
        <f t="shared" si="4"/>
        <v>0</v>
      </c>
      <c r="BH100" s="255" t="str">
        <f t="shared" si="5"/>
        <v>#REF!</v>
      </c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</row>
    <row r="101">
      <c r="A101" s="6"/>
      <c r="B101" s="183"/>
      <c r="C101" s="184"/>
      <c r="D101" s="75"/>
      <c r="E101" s="256"/>
      <c r="F101" s="219"/>
      <c r="G101" s="253"/>
      <c r="H101" s="253"/>
      <c r="I101" s="75"/>
      <c r="J101" s="75"/>
      <c r="K101" s="186"/>
      <c r="L101" s="186"/>
      <c r="M101" s="186"/>
      <c r="N101" s="186"/>
      <c r="O101" s="186"/>
      <c r="P101" s="187"/>
      <c r="Q101" s="187"/>
      <c r="R101" s="187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6"/>
      <c r="AR101" s="189"/>
      <c r="AS101" s="186"/>
      <c r="AT101" s="186"/>
      <c r="AU101" s="187"/>
      <c r="AV101" s="186"/>
      <c r="AW101" s="219"/>
      <c r="AX101" s="219"/>
      <c r="AY101" s="257"/>
      <c r="AZ101" s="258"/>
      <c r="BA101" s="258"/>
      <c r="BB101" s="258"/>
      <c r="BC101" s="258"/>
      <c r="BD101" s="260"/>
      <c r="BE101" s="260"/>
      <c r="BF101" s="164" t="e">
        <v>#N/A</v>
      </c>
      <c r="BG101" s="203">
        <f t="shared" si="4"/>
        <v>0</v>
      </c>
      <c r="BH101" s="255" t="str">
        <f t="shared" si="5"/>
        <v>#REF!</v>
      </c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</row>
    <row r="102">
      <c r="A102" s="6"/>
      <c r="B102" s="183"/>
      <c r="C102" s="184"/>
      <c r="D102" s="75"/>
      <c r="E102" s="256"/>
      <c r="F102" s="219"/>
      <c r="G102" s="253"/>
      <c r="H102" s="253"/>
      <c r="I102" s="75"/>
      <c r="J102" s="75"/>
      <c r="K102" s="186"/>
      <c r="L102" s="186"/>
      <c r="M102" s="186"/>
      <c r="N102" s="186"/>
      <c r="O102" s="186"/>
      <c r="P102" s="187"/>
      <c r="Q102" s="187"/>
      <c r="R102" s="187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6"/>
      <c r="AR102" s="189"/>
      <c r="AS102" s="186"/>
      <c r="AT102" s="186"/>
      <c r="AU102" s="187"/>
      <c r="AV102" s="186"/>
      <c r="AW102" s="219"/>
      <c r="AX102" s="219"/>
      <c r="AY102" s="257"/>
      <c r="AZ102" s="258"/>
      <c r="BA102" s="258"/>
      <c r="BB102" s="258"/>
      <c r="BC102" s="258"/>
      <c r="BD102" s="260"/>
      <c r="BE102" s="260"/>
      <c r="BF102" s="164" t="e">
        <v>#N/A</v>
      </c>
      <c r="BG102" s="203">
        <f t="shared" si="4"/>
        <v>0</v>
      </c>
      <c r="BH102" s="255" t="str">
        <f t="shared" si="5"/>
        <v>#REF!</v>
      </c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</row>
    <row r="103">
      <c r="A103" s="6"/>
      <c r="B103" s="183"/>
      <c r="C103" s="184"/>
      <c r="D103" s="75"/>
      <c r="E103" s="256"/>
      <c r="F103" s="219"/>
      <c r="G103" s="253"/>
      <c r="H103" s="253"/>
      <c r="I103" s="75"/>
      <c r="J103" s="75"/>
      <c r="K103" s="186"/>
      <c r="L103" s="186"/>
      <c r="M103" s="186"/>
      <c r="N103" s="186"/>
      <c r="O103" s="186"/>
      <c r="P103" s="187"/>
      <c r="Q103" s="187"/>
      <c r="R103" s="187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6"/>
      <c r="AR103" s="189"/>
      <c r="AS103" s="186"/>
      <c r="AT103" s="186"/>
      <c r="AU103" s="187"/>
      <c r="AV103" s="186"/>
      <c r="AW103" s="219"/>
      <c r="AX103" s="219"/>
      <c r="AY103" s="257"/>
      <c r="AZ103" s="258"/>
      <c r="BA103" s="258"/>
      <c r="BB103" s="258"/>
      <c r="BC103" s="258"/>
      <c r="BD103" s="260"/>
      <c r="BE103" s="260"/>
      <c r="BF103" s="164" t="e">
        <v>#N/A</v>
      </c>
      <c r="BG103" s="203">
        <f t="shared" si="4"/>
        <v>0</v>
      </c>
      <c r="BH103" s="255" t="str">
        <f t="shared" si="5"/>
        <v>#REF!</v>
      </c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</row>
    <row r="104">
      <c r="A104" s="6"/>
      <c r="B104" s="183"/>
      <c r="C104" s="184"/>
      <c r="D104" s="75"/>
      <c r="E104" s="256"/>
      <c r="F104" s="219"/>
      <c r="G104" s="253"/>
      <c r="H104" s="253"/>
      <c r="I104" s="75"/>
      <c r="J104" s="75"/>
      <c r="K104" s="186"/>
      <c r="L104" s="186"/>
      <c r="M104" s="186"/>
      <c r="N104" s="186"/>
      <c r="O104" s="186"/>
      <c r="P104" s="187"/>
      <c r="Q104" s="187"/>
      <c r="R104" s="187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6"/>
      <c r="AR104" s="189"/>
      <c r="AS104" s="186"/>
      <c r="AT104" s="186"/>
      <c r="AU104" s="187"/>
      <c r="AV104" s="186"/>
      <c r="AW104" s="219"/>
      <c r="AX104" s="219"/>
      <c r="AY104" s="257"/>
      <c r="AZ104" s="258"/>
      <c r="BA104" s="258"/>
      <c r="BB104" s="258"/>
      <c r="BC104" s="258"/>
      <c r="BD104" s="260"/>
      <c r="BE104" s="260"/>
      <c r="BF104" s="164" t="e">
        <v>#N/A</v>
      </c>
      <c r="BG104" s="203">
        <f t="shared" si="4"/>
        <v>0</v>
      </c>
      <c r="BH104" s="255" t="str">
        <f t="shared" si="5"/>
        <v>#REF!</v>
      </c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</row>
    <row r="105">
      <c r="A105" s="6"/>
      <c r="B105" s="183"/>
      <c r="C105" s="184"/>
      <c r="D105" s="75"/>
      <c r="E105" s="256"/>
      <c r="F105" s="219"/>
      <c r="G105" s="253"/>
      <c r="H105" s="253"/>
      <c r="I105" s="75"/>
      <c r="J105" s="75"/>
      <c r="K105" s="186"/>
      <c r="L105" s="186"/>
      <c r="M105" s="186"/>
      <c r="N105" s="186"/>
      <c r="O105" s="186"/>
      <c r="P105" s="187"/>
      <c r="Q105" s="187"/>
      <c r="R105" s="187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6"/>
      <c r="AR105" s="189"/>
      <c r="AS105" s="186"/>
      <c r="AT105" s="186"/>
      <c r="AU105" s="187"/>
      <c r="AV105" s="186"/>
      <c r="AW105" s="219"/>
      <c r="AX105" s="219"/>
      <c r="AY105" s="257"/>
      <c r="AZ105" s="258"/>
      <c r="BA105" s="258"/>
      <c r="BB105" s="258"/>
      <c r="BC105" s="258"/>
      <c r="BD105" s="260"/>
      <c r="BE105" s="260"/>
      <c r="BF105" s="164" t="e">
        <v>#N/A</v>
      </c>
      <c r="BG105" s="203">
        <f t="shared" si="4"/>
        <v>0</v>
      </c>
      <c r="BH105" s="255" t="str">
        <f t="shared" si="5"/>
        <v>#REF!</v>
      </c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</row>
    <row r="106">
      <c r="A106" s="6"/>
      <c r="B106" s="183"/>
      <c r="C106" s="184"/>
      <c r="D106" s="75"/>
      <c r="E106" s="256"/>
      <c r="F106" s="219"/>
      <c r="G106" s="253"/>
      <c r="H106" s="253"/>
      <c r="I106" s="75"/>
      <c r="J106" s="75"/>
      <c r="K106" s="186"/>
      <c r="L106" s="186"/>
      <c r="M106" s="186"/>
      <c r="N106" s="186"/>
      <c r="O106" s="186"/>
      <c r="P106" s="187"/>
      <c r="Q106" s="187"/>
      <c r="R106" s="187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6"/>
      <c r="AR106" s="189"/>
      <c r="AS106" s="186"/>
      <c r="AT106" s="186"/>
      <c r="AU106" s="187"/>
      <c r="AV106" s="186"/>
      <c r="AW106" s="219"/>
      <c r="AX106" s="219"/>
      <c r="AY106" s="257"/>
      <c r="AZ106" s="258"/>
      <c r="BA106" s="258"/>
      <c r="BB106" s="258"/>
      <c r="BC106" s="258"/>
      <c r="BD106" s="260"/>
      <c r="BE106" s="260"/>
      <c r="BF106" s="164" t="e">
        <v>#N/A</v>
      </c>
      <c r="BG106" s="203">
        <f t="shared" si="4"/>
        <v>0</v>
      </c>
      <c r="BH106" s="255" t="str">
        <f t="shared" si="5"/>
        <v>#REF!</v>
      </c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</row>
    <row r="107">
      <c r="A107" s="6"/>
      <c r="B107" s="183"/>
      <c r="C107" s="184"/>
      <c r="D107" s="75"/>
      <c r="E107" s="256"/>
      <c r="F107" s="219"/>
      <c r="G107" s="253"/>
      <c r="H107" s="253"/>
      <c r="I107" s="75"/>
      <c r="J107" s="75"/>
      <c r="K107" s="186"/>
      <c r="L107" s="186"/>
      <c r="M107" s="186"/>
      <c r="N107" s="186"/>
      <c r="O107" s="186"/>
      <c r="P107" s="187"/>
      <c r="Q107" s="187"/>
      <c r="R107" s="187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6"/>
      <c r="AR107" s="189"/>
      <c r="AS107" s="186"/>
      <c r="AT107" s="186"/>
      <c r="AU107" s="187"/>
      <c r="AV107" s="186"/>
      <c r="AW107" s="219"/>
      <c r="AX107" s="219"/>
      <c r="AY107" s="257"/>
      <c r="AZ107" s="258"/>
      <c r="BA107" s="258"/>
      <c r="BB107" s="258"/>
      <c r="BC107" s="258"/>
      <c r="BD107" s="260"/>
      <c r="BE107" s="260"/>
      <c r="BF107" s="164" t="e">
        <v>#N/A</v>
      </c>
      <c r="BG107" s="203">
        <f t="shared" si="4"/>
        <v>0</v>
      </c>
      <c r="BH107" s="255" t="str">
        <f t="shared" si="5"/>
        <v>#REF!</v>
      </c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</row>
    <row r="108">
      <c r="A108" s="6"/>
      <c r="B108" s="183"/>
      <c r="C108" s="184"/>
      <c r="D108" s="75"/>
      <c r="E108" s="256"/>
      <c r="F108" s="219"/>
      <c r="G108" s="253"/>
      <c r="H108" s="253"/>
      <c r="I108" s="75"/>
      <c r="J108" s="75"/>
      <c r="K108" s="186"/>
      <c r="L108" s="186"/>
      <c r="M108" s="186"/>
      <c r="N108" s="186"/>
      <c r="O108" s="186"/>
      <c r="P108" s="187"/>
      <c r="Q108" s="187"/>
      <c r="R108" s="187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6"/>
      <c r="AR108" s="189"/>
      <c r="AS108" s="186"/>
      <c r="AT108" s="186"/>
      <c r="AU108" s="187"/>
      <c r="AV108" s="186"/>
      <c r="AW108" s="219"/>
      <c r="AX108" s="219"/>
      <c r="AY108" s="257"/>
      <c r="AZ108" s="258"/>
      <c r="BA108" s="258"/>
      <c r="BB108" s="258"/>
      <c r="BC108" s="258"/>
      <c r="BD108" s="260"/>
      <c r="BE108" s="260"/>
      <c r="BF108" s="164" t="e">
        <v>#N/A</v>
      </c>
      <c r="BG108" s="203">
        <f t="shared" si="4"/>
        <v>0</v>
      </c>
      <c r="BH108" s="255" t="str">
        <f t="shared" si="5"/>
        <v>#REF!</v>
      </c>
      <c r="BI108" s="75"/>
      <c r="BJ108" s="75"/>
      <c r="BK108" s="75"/>
      <c r="BL108" s="75"/>
      <c r="BM108" s="75"/>
      <c r="BN108" s="75"/>
      <c r="BO108" s="75"/>
      <c r="BP108" s="75"/>
      <c r="BQ108" s="75"/>
      <c r="BR108" s="75"/>
    </row>
    <row r="109">
      <c r="A109" s="6"/>
      <c r="B109" s="183"/>
      <c r="C109" s="184"/>
      <c r="D109" s="75"/>
      <c r="E109" s="256"/>
      <c r="F109" s="219"/>
      <c r="G109" s="253"/>
      <c r="H109" s="253"/>
      <c r="I109" s="75"/>
      <c r="J109" s="75"/>
      <c r="K109" s="186"/>
      <c r="L109" s="186"/>
      <c r="M109" s="186"/>
      <c r="N109" s="186"/>
      <c r="O109" s="186"/>
      <c r="P109" s="187"/>
      <c r="Q109" s="187"/>
      <c r="R109" s="187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6"/>
      <c r="AR109" s="189"/>
      <c r="AS109" s="186"/>
      <c r="AT109" s="186"/>
      <c r="AU109" s="187"/>
      <c r="AV109" s="186"/>
      <c r="AW109" s="219"/>
      <c r="AX109" s="219"/>
      <c r="AY109" s="257"/>
      <c r="AZ109" s="258"/>
      <c r="BA109" s="258"/>
      <c r="BB109" s="258"/>
      <c r="BC109" s="258"/>
      <c r="BD109" s="260"/>
      <c r="BE109" s="260"/>
      <c r="BF109" s="164" t="e">
        <v>#N/A</v>
      </c>
      <c r="BG109" s="203">
        <f t="shared" si="4"/>
        <v>0</v>
      </c>
      <c r="BH109" s="255" t="str">
        <f t="shared" si="5"/>
        <v>#REF!</v>
      </c>
      <c r="BI109" s="75"/>
      <c r="BJ109" s="75"/>
      <c r="BK109" s="75"/>
      <c r="BL109" s="75"/>
      <c r="BM109" s="75"/>
      <c r="BN109" s="75"/>
      <c r="BO109" s="75"/>
      <c r="BP109" s="75"/>
      <c r="BQ109" s="75"/>
      <c r="BR109" s="75"/>
    </row>
    <row r="110">
      <c r="A110" s="6"/>
      <c r="B110" s="183"/>
      <c r="C110" s="184"/>
      <c r="D110" s="75"/>
      <c r="E110" s="256"/>
      <c r="F110" s="219"/>
      <c r="G110" s="253"/>
      <c r="H110" s="253"/>
      <c r="I110" s="75"/>
      <c r="J110" s="75"/>
      <c r="K110" s="186"/>
      <c r="L110" s="186"/>
      <c r="M110" s="186"/>
      <c r="N110" s="186"/>
      <c r="O110" s="186"/>
      <c r="P110" s="187"/>
      <c r="Q110" s="187"/>
      <c r="R110" s="187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6"/>
      <c r="AR110" s="189"/>
      <c r="AS110" s="186"/>
      <c r="AT110" s="186"/>
      <c r="AU110" s="187"/>
      <c r="AV110" s="186"/>
      <c r="AW110" s="219"/>
      <c r="AX110" s="219"/>
      <c r="AY110" s="257"/>
      <c r="AZ110" s="258"/>
      <c r="BA110" s="258"/>
      <c r="BB110" s="258"/>
      <c r="BC110" s="258"/>
      <c r="BD110" s="260"/>
      <c r="BE110" s="260"/>
      <c r="BF110" s="164" t="e">
        <v>#N/A</v>
      </c>
      <c r="BG110" s="203">
        <f t="shared" si="4"/>
        <v>0</v>
      </c>
      <c r="BH110" s="255" t="str">
        <f t="shared" si="5"/>
        <v>#REF!</v>
      </c>
      <c r="BI110" s="75"/>
      <c r="BJ110" s="75"/>
      <c r="BK110" s="75"/>
      <c r="BL110" s="75"/>
      <c r="BM110" s="75"/>
      <c r="BN110" s="75"/>
      <c r="BO110" s="75"/>
      <c r="BP110" s="75"/>
      <c r="BQ110" s="75"/>
      <c r="BR110" s="75"/>
    </row>
    <row r="111">
      <c r="A111" s="6"/>
      <c r="B111" s="183"/>
      <c r="C111" s="184"/>
      <c r="D111" s="75"/>
      <c r="E111" s="256"/>
      <c r="F111" s="219"/>
      <c r="G111" s="253"/>
      <c r="H111" s="253"/>
      <c r="I111" s="75"/>
      <c r="J111" s="75"/>
      <c r="K111" s="186"/>
      <c r="L111" s="186"/>
      <c r="M111" s="186"/>
      <c r="N111" s="186"/>
      <c r="O111" s="186"/>
      <c r="P111" s="187"/>
      <c r="Q111" s="187"/>
      <c r="R111" s="187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6"/>
      <c r="AR111" s="189"/>
      <c r="AS111" s="186"/>
      <c r="AT111" s="186"/>
      <c r="AU111" s="187"/>
      <c r="AV111" s="186"/>
      <c r="AW111" s="219"/>
      <c r="AX111" s="219"/>
      <c r="AY111" s="257"/>
      <c r="AZ111" s="258"/>
      <c r="BA111" s="258"/>
      <c r="BB111" s="258"/>
      <c r="BC111" s="258"/>
      <c r="BD111" s="260"/>
      <c r="BE111" s="260"/>
      <c r="BF111" s="164" t="e">
        <v>#N/A</v>
      </c>
      <c r="BG111" s="203">
        <f t="shared" si="4"/>
        <v>0</v>
      </c>
      <c r="BH111" s="255" t="str">
        <f t="shared" si="5"/>
        <v>#REF!</v>
      </c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</row>
    <row r="112">
      <c r="A112" s="6"/>
      <c r="B112" s="183"/>
      <c r="C112" s="184"/>
      <c r="D112" s="75"/>
      <c r="E112" s="256"/>
      <c r="F112" s="219"/>
      <c r="G112" s="253"/>
      <c r="H112" s="253"/>
      <c r="I112" s="75"/>
      <c r="J112" s="75"/>
      <c r="K112" s="186"/>
      <c r="L112" s="186"/>
      <c r="M112" s="186"/>
      <c r="N112" s="186"/>
      <c r="O112" s="186"/>
      <c r="P112" s="187"/>
      <c r="Q112" s="187"/>
      <c r="R112" s="187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6"/>
      <c r="AR112" s="189"/>
      <c r="AS112" s="186"/>
      <c r="AT112" s="186"/>
      <c r="AU112" s="187"/>
      <c r="AV112" s="186"/>
      <c r="AW112" s="219"/>
      <c r="AX112" s="219"/>
      <c r="AY112" s="257"/>
      <c r="AZ112" s="258"/>
      <c r="BA112" s="258"/>
      <c r="BB112" s="258"/>
      <c r="BC112" s="258"/>
      <c r="BD112" s="260"/>
      <c r="BE112" s="260"/>
      <c r="BF112" s="164" t="e">
        <v>#N/A</v>
      </c>
      <c r="BG112" s="203">
        <f t="shared" si="4"/>
        <v>0</v>
      </c>
      <c r="BH112" s="255" t="str">
        <f t="shared" si="5"/>
        <v>#REF!</v>
      </c>
      <c r="BI112" s="75"/>
      <c r="BJ112" s="75"/>
      <c r="BK112" s="75"/>
      <c r="BL112" s="75"/>
      <c r="BM112" s="75"/>
      <c r="BN112" s="75"/>
      <c r="BO112" s="75"/>
      <c r="BP112" s="75"/>
      <c r="BQ112" s="75"/>
      <c r="BR112" s="75"/>
    </row>
    <row r="113">
      <c r="A113" s="6"/>
      <c r="B113" s="183"/>
      <c r="C113" s="184"/>
      <c r="D113" s="75"/>
      <c r="E113" s="256"/>
      <c r="F113" s="219"/>
      <c r="G113" s="253"/>
      <c r="H113" s="253"/>
      <c r="I113" s="75"/>
      <c r="J113" s="75"/>
      <c r="K113" s="186"/>
      <c r="L113" s="186"/>
      <c r="M113" s="186"/>
      <c r="N113" s="186"/>
      <c r="O113" s="186"/>
      <c r="P113" s="187"/>
      <c r="Q113" s="187"/>
      <c r="R113" s="187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6"/>
      <c r="AR113" s="189"/>
      <c r="AS113" s="186"/>
      <c r="AT113" s="186"/>
      <c r="AU113" s="187"/>
      <c r="AV113" s="186"/>
      <c r="AW113" s="219"/>
      <c r="AX113" s="219"/>
      <c r="AY113" s="257"/>
      <c r="AZ113" s="258"/>
      <c r="BA113" s="258"/>
      <c r="BB113" s="258"/>
      <c r="BC113" s="258"/>
      <c r="BD113" s="260"/>
      <c r="BE113" s="260"/>
      <c r="BF113" s="164" t="e">
        <v>#N/A</v>
      </c>
      <c r="BG113" s="203">
        <f t="shared" si="4"/>
        <v>0</v>
      </c>
      <c r="BH113" s="255" t="str">
        <f t="shared" si="5"/>
        <v>#REF!</v>
      </c>
      <c r="BI113" s="75"/>
      <c r="BJ113" s="75"/>
      <c r="BK113" s="75"/>
      <c r="BL113" s="75"/>
      <c r="BM113" s="75"/>
      <c r="BN113" s="75"/>
      <c r="BO113" s="75"/>
      <c r="BP113" s="75"/>
      <c r="BQ113" s="75"/>
      <c r="BR113" s="75"/>
    </row>
    <row r="114">
      <c r="A114" s="6"/>
      <c r="B114" s="183"/>
      <c r="C114" s="184"/>
      <c r="D114" s="75"/>
      <c r="E114" s="256"/>
      <c r="F114" s="219"/>
      <c r="G114" s="253"/>
      <c r="H114" s="253"/>
      <c r="I114" s="75"/>
      <c r="J114" s="75"/>
      <c r="K114" s="186"/>
      <c r="L114" s="186"/>
      <c r="M114" s="186"/>
      <c r="N114" s="186"/>
      <c r="O114" s="186"/>
      <c r="P114" s="187"/>
      <c r="Q114" s="187"/>
      <c r="R114" s="187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6"/>
      <c r="AR114" s="189"/>
      <c r="AS114" s="186"/>
      <c r="AT114" s="186"/>
      <c r="AU114" s="187"/>
      <c r="AV114" s="186"/>
      <c r="AW114" s="219"/>
      <c r="AX114" s="219"/>
      <c r="AY114" s="257"/>
      <c r="AZ114" s="258"/>
      <c r="BA114" s="258"/>
      <c r="BB114" s="258"/>
      <c r="BC114" s="258"/>
      <c r="BD114" s="260"/>
      <c r="BE114" s="260"/>
      <c r="BF114" s="164" t="e">
        <v>#N/A</v>
      </c>
      <c r="BG114" s="203">
        <f t="shared" si="4"/>
        <v>0</v>
      </c>
      <c r="BH114" s="255" t="str">
        <f t="shared" si="5"/>
        <v>#REF!</v>
      </c>
      <c r="BI114" s="75"/>
      <c r="BJ114" s="75"/>
      <c r="BK114" s="75"/>
      <c r="BL114" s="75"/>
      <c r="BM114" s="75"/>
      <c r="BN114" s="75"/>
      <c r="BO114" s="75"/>
      <c r="BP114" s="75"/>
      <c r="BQ114" s="75"/>
      <c r="BR114" s="75"/>
    </row>
    <row r="115">
      <c r="A115" s="6"/>
      <c r="B115" s="183"/>
      <c r="C115" s="184"/>
      <c r="D115" s="75"/>
      <c r="E115" s="256"/>
      <c r="F115" s="219"/>
      <c r="G115" s="253"/>
      <c r="H115" s="253"/>
      <c r="I115" s="75"/>
      <c r="J115" s="75"/>
      <c r="K115" s="186"/>
      <c r="L115" s="186"/>
      <c r="M115" s="186"/>
      <c r="N115" s="186"/>
      <c r="O115" s="186"/>
      <c r="P115" s="187"/>
      <c r="Q115" s="187"/>
      <c r="R115" s="187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6"/>
      <c r="AR115" s="189"/>
      <c r="AS115" s="186"/>
      <c r="AT115" s="186"/>
      <c r="AU115" s="187"/>
      <c r="AV115" s="186"/>
      <c r="AW115" s="219"/>
      <c r="AX115" s="219"/>
      <c r="AY115" s="257"/>
      <c r="AZ115" s="258"/>
      <c r="BA115" s="258"/>
      <c r="BB115" s="258"/>
      <c r="BC115" s="258"/>
      <c r="BD115" s="260"/>
      <c r="BE115" s="260"/>
      <c r="BF115" s="164" t="e">
        <v>#N/A</v>
      </c>
      <c r="BG115" s="203">
        <f t="shared" si="4"/>
        <v>0</v>
      </c>
      <c r="BH115" s="255" t="str">
        <f t="shared" si="5"/>
        <v>#REF!</v>
      </c>
      <c r="BI115" s="75"/>
      <c r="BJ115" s="75"/>
      <c r="BK115" s="75"/>
      <c r="BL115" s="75"/>
      <c r="BM115" s="75"/>
      <c r="BN115" s="75"/>
      <c r="BO115" s="75"/>
      <c r="BP115" s="75"/>
      <c r="BQ115" s="75"/>
      <c r="BR115" s="75"/>
    </row>
    <row r="116">
      <c r="A116" s="6"/>
      <c r="B116" s="183"/>
      <c r="C116" s="184"/>
      <c r="D116" s="75"/>
      <c r="E116" s="256"/>
      <c r="F116" s="219"/>
      <c r="G116" s="253"/>
      <c r="H116" s="253"/>
      <c r="I116" s="75"/>
      <c r="J116" s="75"/>
      <c r="K116" s="186"/>
      <c r="L116" s="186"/>
      <c r="M116" s="186"/>
      <c r="N116" s="186"/>
      <c r="O116" s="186"/>
      <c r="P116" s="187"/>
      <c r="Q116" s="187"/>
      <c r="R116" s="187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6"/>
      <c r="AR116" s="189"/>
      <c r="AS116" s="186"/>
      <c r="AT116" s="186"/>
      <c r="AU116" s="187"/>
      <c r="AV116" s="186"/>
      <c r="AW116" s="219"/>
      <c r="AX116" s="219"/>
      <c r="AY116" s="257"/>
      <c r="AZ116" s="258"/>
      <c r="BA116" s="258"/>
      <c r="BB116" s="258"/>
      <c r="BC116" s="258"/>
      <c r="BD116" s="260"/>
      <c r="BE116" s="260"/>
      <c r="BF116" s="164" t="e">
        <v>#N/A</v>
      </c>
      <c r="BG116" s="203">
        <f t="shared" si="4"/>
        <v>0</v>
      </c>
      <c r="BH116" s="255" t="str">
        <f t="shared" si="5"/>
        <v>#REF!</v>
      </c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</row>
    <row r="117">
      <c r="A117" s="6"/>
      <c r="B117" s="183"/>
      <c r="C117" s="184"/>
      <c r="D117" s="75"/>
      <c r="E117" s="256"/>
      <c r="F117" s="219"/>
      <c r="G117" s="253"/>
      <c r="H117" s="253"/>
      <c r="I117" s="75"/>
      <c r="J117" s="75"/>
      <c r="K117" s="186"/>
      <c r="L117" s="186"/>
      <c r="M117" s="186"/>
      <c r="N117" s="186"/>
      <c r="O117" s="186"/>
      <c r="P117" s="187"/>
      <c r="Q117" s="187"/>
      <c r="R117" s="187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6"/>
      <c r="AR117" s="189"/>
      <c r="AS117" s="186"/>
      <c r="AT117" s="186"/>
      <c r="AU117" s="187"/>
      <c r="AV117" s="186"/>
      <c r="AW117" s="219"/>
      <c r="AX117" s="219"/>
      <c r="AY117" s="257"/>
      <c r="AZ117" s="258"/>
      <c r="BA117" s="258"/>
      <c r="BB117" s="258"/>
      <c r="BC117" s="258"/>
      <c r="BD117" s="260"/>
      <c r="BE117" s="260"/>
      <c r="BF117" s="164" t="e">
        <v>#N/A</v>
      </c>
      <c r="BG117" s="203">
        <f t="shared" si="4"/>
        <v>0</v>
      </c>
      <c r="BH117" s="255" t="str">
        <f t="shared" si="5"/>
        <v>#REF!</v>
      </c>
      <c r="BI117" s="75"/>
      <c r="BJ117" s="75"/>
      <c r="BK117" s="75"/>
      <c r="BL117" s="75"/>
      <c r="BM117" s="75"/>
      <c r="BN117" s="75"/>
      <c r="BO117" s="75"/>
      <c r="BP117" s="75"/>
      <c r="BQ117" s="75"/>
      <c r="BR117" s="75"/>
    </row>
    <row r="118">
      <c r="A118" s="6"/>
      <c r="B118" s="183"/>
      <c r="C118" s="184"/>
      <c r="D118" s="75"/>
      <c r="E118" s="256"/>
      <c r="F118" s="219"/>
      <c r="G118" s="253"/>
      <c r="H118" s="253"/>
      <c r="I118" s="75"/>
      <c r="J118" s="75"/>
      <c r="K118" s="186"/>
      <c r="L118" s="186"/>
      <c r="M118" s="186"/>
      <c r="N118" s="186"/>
      <c r="O118" s="186"/>
      <c r="P118" s="187"/>
      <c r="Q118" s="187"/>
      <c r="R118" s="187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6"/>
      <c r="AR118" s="189"/>
      <c r="AS118" s="186"/>
      <c r="AT118" s="186"/>
      <c r="AU118" s="187"/>
      <c r="AV118" s="186"/>
      <c r="AW118" s="219"/>
      <c r="AX118" s="219"/>
      <c r="AY118" s="257"/>
      <c r="AZ118" s="258"/>
      <c r="BA118" s="258"/>
      <c r="BB118" s="258"/>
      <c r="BC118" s="258"/>
      <c r="BD118" s="260"/>
      <c r="BE118" s="260"/>
      <c r="BF118" s="164" t="e">
        <v>#N/A</v>
      </c>
      <c r="BG118" s="203">
        <f t="shared" si="4"/>
        <v>0</v>
      </c>
      <c r="BH118" s="255" t="str">
        <f t="shared" si="5"/>
        <v>#REF!</v>
      </c>
      <c r="BI118" s="75"/>
      <c r="BJ118" s="75"/>
      <c r="BK118" s="75"/>
      <c r="BL118" s="75"/>
      <c r="BM118" s="75"/>
      <c r="BN118" s="75"/>
      <c r="BO118" s="75"/>
      <c r="BP118" s="75"/>
      <c r="BQ118" s="75"/>
      <c r="BR118" s="75"/>
    </row>
    <row r="119">
      <c r="A119" s="6"/>
      <c r="B119" s="183"/>
      <c r="C119" s="184"/>
      <c r="D119" s="75"/>
      <c r="E119" s="256"/>
      <c r="F119" s="219"/>
      <c r="G119" s="253"/>
      <c r="H119" s="253"/>
      <c r="I119" s="75"/>
      <c r="J119" s="75"/>
      <c r="K119" s="186"/>
      <c r="L119" s="186"/>
      <c r="M119" s="186"/>
      <c r="N119" s="186"/>
      <c r="O119" s="186"/>
      <c r="P119" s="187"/>
      <c r="Q119" s="187"/>
      <c r="R119" s="187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6"/>
      <c r="AR119" s="189"/>
      <c r="AS119" s="186"/>
      <c r="AT119" s="186"/>
      <c r="AU119" s="187"/>
      <c r="AV119" s="186"/>
      <c r="AW119" s="219"/>
      <c r="AX119" s="219"/>
      <c r="AY119" s="257"/>
      <c r="AZ119" s="258"/>
      <c r="BA119" s="258"/>
      <c r="BB119" s="258"/>
      <c r="BC119" s="258"/>
      <c r="BD119" s="260"/>
      <c r="BE119" s="260"/>
      <c r="BF119" s="164" t="e">
        <v>#N/A</v>
      </c>
      <c r="BG119" s="203">
        <f t="shared" si="4"/>
        <v>0</v>
      </c>
      <c r="BH119" s="255" t="str">
        <f t="shared" si="5"/>
        <v>#REF!</v>
      </c>
      <c r="BI119" s="75"/>
      <c r="BJ119" s="75"/>
      <c r="BK119" s="75"/>
      <c r="BL119" s="75"/>
      <c r="BM119" s="75"/>
      <c r="BN119" s="75"/>
      <c r="BO119" s="75"/>
      <c r="BP119" s="75"/>
      <c r="BQ119" s="75"/>
      <c r="BR119" s="75"/>
    </row>
    <row r="120">
      <c r="A120" s="6"/>
      <c r="B120" s="183"/>
      <c r="C120" s="184"/>
      <c r="D120" s="75"/>
      <c r="E120" s="256"/>
      <c r="F120" s="219"/>
      <c r="G120" s="253"/>
      <c r="H120" s="253"/>
      <c r="I120" s="75"/>
      <c r="J120" s="75"/>
      <c r="K120" s="186"/>
      <c r="L120" s="186"/>
      <c r="M120" s="186"/>
      <c r="N120" s="186"/>
      <c r="O120" s="186"/>
      <c r="P120" s="187"/>
      <c r="Q120" s="187"/>
      <c r="R120" s="187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6"/>
      <c r="AR120" s="189"/>
      <c r="AS120" s="186"/>
      <c r="AT120" s="186"/>
      <c r="AU120" s="187"/>
      <c r="AV120" s="186"/>
      <c r="AW120" s="219"/>
      <c r="AX120" s="219"/>
      <c r="AY120" s="257"/>
      <c r="AZ120" s="258"/>
      <c r="BA120" s="258"/>
      <c r="BB120" s="258"/>
      <c r="BC120" s="258"/>
      <c r="BD120" s="260"/>
      <c r="BE120" s="260"/>
      <c r="BF120" s="164" t="e">
        <v>#N/A</v>
      </c>
      <c r="BG120" s="203">
        <f t="shared" si="4"/>
        <v>0</v>
      </c>
      <c r="BH120" s="255" t="str">
        <f t="shared" si="5"/>
        <v>#REF!</v>
      </c>
      <c r="BI120" s="75"/>
      <c r="BJ120" s="75"/>
      <c r="BK120" s="75"/>
      <c r="BL120" s="75"/>
      <c r="BM120" s="75"/>
      <c r="BN120" s="75"/>
      <c r="BO120" s="75"/>
      <c r="BP120" s="75"/>
      <c r="BQ120" s="75"/>
      <c r="BR120" s="75"/>
    </row>
    <row r="121">
      <c r="A121" s="6"/>
      <c r="B121" s="183"/>
      <c r="C121" s="184"/>
      <c r="D121" s="75"/>
      <c r="E121" s="256"/>
      <c r="F121" s="219"/>
      <c r="G121" s="253"/>
      <c r="H121" s="253"/>
      <c r="I121" s="75"/>
      <c r="J121" s="75"/>
      <c r="K121" s="186"/>
      <c r="L121" s="186"/>
      <c r="M121" s="186"/>
      <c r="N121" s="186"/>
      <c r="O121" s="186"/>
      <c r="P121" s="187"/>
      <c r="Q121" s="187"/>
      <c r="R121" s="187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6"/>
      <c r="AR121" s="189"/>
      <c r="AS121" s="186"/>
      <c r="AT121" s="186"/>
      <c r="AU121" s="187"/>
      <c r="AV121" s="186"/>
      <c r="AW121" s="219"/>
      <c r="AX121" s="219"/>
      <c r="AY121" s="257"/>
      <c r="AZ121" s="258"/>
      <c r="BA121" s="258"/>
      <c r="BB121" s="258"/>
      <c r="BC121" s="258"/>
      <c r="BD121" s="260"/>
      <c r="BE121" s="260"/>
      <c r="BF121" s="164" t="e">
        <v>#N/A</v>
      </c>
      <c r="BG121" s="203">
        <f t="shared" si="4"/>
        <v>0</v>
      </c>
      <c r="BH121" s="255" t="str">
        <f t="shared" si="5"/>
        <v>#REF!</v>
      </c>
      <c r="BI121" s="75"/>
      <c r="BJ121" s="75"/>
      <c r="BK121" s="75"/>
      <c r="BL121" s="75"/>
      <c r="BM121" s="75"/>
      <c r="BN121" s="75"/>
      <c r="BO121" s="75"/>
      <c r="BP121" s="75"/>
      <c r="BQ121" s="75"/>
      <c r="BR121" s="75"/>
    </row>
    <row r="122">
      <c r="A122" s="6"/>
      <c r="B122" s="183"/>
      <c r="C122" s="184"/>
      <c r="D122" s="75"/>
      <c r="E122" s="256"/>
      <c r="F122" s="219"/>
      <c r="G122" s="253"/>
      <c r="H122" s="253"/>
      <c r="I122" s="75"/>
      <c r="J122" s="75"/>
      <c r="K122" s="186"/>
      <c r="L122" s="186"/>
      <c r="M122" s="186"/>
      <c r="N122" s="186"/>
      <c r="O122" s="186"/>
      <c r="P122" s="187"/>
      <c r="Q122" s="187"/>
      <c r="R122" s="187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6"/>
      <c r="AR122" s="189"/>
      <c r="AS122" s="186"/>
      <c r="AT122" s="186"/>
      <c r="AU122" s="187"/>
      <c r="AV122" s="186"/>
      <c r="AW122" s="219"/>
      <c r="AX122" s="219"/>
      <c r="AY122" s="257"/>
      <c r="AZ122" s="258"/>
      <c r="BA122" s="258"/>
      <c r="BB122" s="258"/>
      <c r="BC122" s="258"/>
      <c r="BD122" s="260"/>
      <c r="BE122" s="260"/>
      <c r="BF122" s="164" t="e">
        <v>#N/A</v>
      </c>
      <c r="BG122" s="203">
        <f t="shared" si="4"/>
        <v>0</v>
      </c>
      <c r="BH122" s="255" t="str">
        <f t="shared" si="5"/>
        <v>#REF!</v>
      </c>
      <c r="BI122" s="75"/>
      <c r="BJ122" s="75"/>
      <c r="BK122" s="75"/>
      <c r="BL122" s="75"/>
      <c r="BM122" s="75"/>
      <c r="BN122" s="75"/>
      <c r="BO122" s="75"/>
      <c r="BP122" s="75"/>
      <c r="BQ122" s="75"/>
      <c r="BR122" s="75"/>
    </row>
    <row r="123">
      <c r="A123" s="6"/>
      <c r="B123" s="183"/>
      <c r="C123" s="184"/>
      <c r="D123" s="75"/>
      <c r="E123" s="256"/>
      <c r="F123" s="219"/>
      <c r="G123" s="253"/>
      <c r="H123" s="253"/>
      <c r="I123" s="75"/>
      <c r="J123" s="75"/>
      <c r="K123" s="186"/>
      <c r="L123" s="186"/>
      <c r="M123" s="186"/>
      <c r="N123" s="186"/>
      <c r="O123" s="186"/>
      <c r="P123" s="187"/>
      <c r="Q123" s="187"/>
      <c r="R123" s="187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6"/>
      <c r="AR123" s="189"/>
      <c r="AS123" s="186"/>
      <c r="AT123" s="186"/>
      <c r="AU123" s="187"/>
      <c r="AV123" s="186"/>
      <c r="AW123" s="219"/>
      <c r="AX123" s="219"/>
      <c r="AY123" s="257"/>
      <c r="AZ123" s="258"/>
      <c r="BA123" s="258"/>
      <c r="BB123" s="258"/>
      <c r="BC123" s="258"/>
      <c r="BD123" s="260"/>
      <c r="BE123" s="260"/>
      <c r="BF123" s="164" t="e">
        <v>#N/A</v>
      </c>
      <c r="BG123" s="203">
        <f t="shared" si="4"/>
        <v>0</v>
      </c>
      <c r="BH123" s="255" t="str">
        <f t="shared" si="5"/>
        <v>#REF!</v>
      </c>
      <c r="BI123" s="75"/>
      <c r="BJ123" s="75"/>
      <c r="BK123" s="75"/>
      <c r="BL123" s="75"/>
      <c r="BM123" s="75"/>
      <c r="BN123" s="75"/>
      <c r="BO123" s="75"/>
      <c r="BP123" s="75"/>
      <c r="BQ123" s="75"/>
      <c r="BR123" s="75"/>
    </row>
    <row r="124">
      <c r="A124" s="6"/>
      <c r="B124" s="183"/>
      <c r="C124" s="184"/>
      <c r="D124" s="75"/>
      <c r="E124" s="256"/>
      <c r="F124" s="219"/>
      <c r="G124" s="253"/>
      <c r="H124" s="253"/>
      <c r="I124" s="75"/>
      <c r="J124" s="75"/>
      <c r="K124" s="186"/>
      <c r="L124" s="186"/>
      <c r="M124" s="186"/>
      <c r="N124" s="186"/>
      <c r="O124" s="186"/>
      <c r="P124" s="187"/>
      <c r="Q124" s="187"/>
      <c r="R124" s="187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6"/>
      <c r="AR124" s="189"/>
      <c r="AS124" s="186"/>
      <c r="AT124" s="186"/>
      <c r="AU124" s="187"/>
      <c r="AV124" s="186"/>
      <c r="AW124" s="219"/>
      <c r="AX124" s="219"/>
      <c r="AY124" s="257"/>
      <c r="AZ124" s="258"/>
      <c r="BA124" s="258"/>
      <c r="BB124" s="258"/>
      <c r="BC124" s="258"/>
      <c r="BD124" s="260"/>
      <c r="BE124" s="260"/>
      <c r="BF124" s="164" t="e">
        <v>#N/A</v>
      </c>
      <c r="BG124" s="203">
        <f t="shared" si="4"/>
        <v>0</v>
      </c>
      <c r="BH124" s="255" t="str">
        <f t="shared" si="5"/>
        <v>#REF!</v>
      </c>
      <c r="BI124" s="75"/>
      <c r="BJ124" s="75"/>
      <c r="BK124" s="75"/>
      <c r="BL124" s="75"/>
      <c r="BM124" s="75"/>
      <c r="BN124" s="75"/>
      <c r="BO124" s="75"/>
      <c r="BP124" s="75"/>
      <c r="BQ124" s="75"/>
      <c r="BR124" s="75"/>
    </row>
    <row r="125">
      <c r="A125" s="6"/>
      <c r="B125" s="183"/>
      <c r="C125" s="184"/>
      <c r="D125" s="75"/>
      <c r="E125" s="256"/>
      <c r="F125" s="219"/>
      <c r="G125" s="253"/>
      <c r="H125" s="253"/>
      <c r="I125" s="75"/>
      <c r="J125" s="75"/>
      <c r="K125" s="186"/>
      <c r="L125" s="186"/>
      <c r="M125" s="186"/>
      <c r="N125" s="186"/>
      <c r="O125" s="186"/>
      <c r="P125" s="187"/>
      <c r="Q125" s="187"/>
      <c r="R125" s="187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6"/>
      <c r="AR125" s="189"/>
      <c r="AS125" s="186"/>
      <c r="AT125" s="186"/>
      <c r="AU125" s="187"/>
      <c r="AV125" s="186"/>
      <c r="AW125" s="219"/>
      <c r="AX125" s="219"/>
      <c r="AY125" s="257"/>
      <c r="AZ125" s="258"/>
      <c r="BA125" s="258"/>
      <c r="BB125" s="258"/>
      <c r="BC125" s="258"/>
      <c r="BD125" s="260"/>
      <c r="BE125" s="260"/>
      <c r="BF125" s="164" t="e">
        <v>#N/A</v>
      </c>
      <c r="BG125" s="203">
        <f t="shared" si="4"/>
        <v>0</v>
      </c>
      <c r="BH125" s="255" t="str">
        <f t="shared" si="5"/>
        <v>#REF!</v>
      </c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</row>
    <row r="126">
      <c r="A126" s="6"/>
      <c r="B126" s="183"/>
      <c r="C126" s="184"/>
      <c r="D126" s="75"/>
      <c r="E126" s="256"/>
      <c r="F126" s="219"/>
      <c r="G126" s="253"/>
      <c r="H126" s="253"/>
      <c r="I126" s="75"/>
      <c r="J126" s="75"/>
      <c r="K126" s="186"/>
      <c r="L126" s="186"/>
      <c r="M126" s="186"/>
      <c r="N126" s="186"/>
      <c r="O126" s="186"/>
      <c r="P126" s="187"/>
      <c r="Q126" s="187"/>
      <c r="R126" s="187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6"/>
      <c r="AR126" s="189"/>
      <c r="AS126" s="186"/>
      <c r="AT126" s="186"/>
      <c r="AU126" s="187"/>
      <c r="AV126" s="186"/>
      <c r="AW126" s="219"/>
      <c r="AX126" s="219"/>
      <c r="AY126" s="257"/>
      <c r="AZ126" s="258"/>
      <c r="BA126" s="258"/>
      <c r="BB126" s="258"/>
      <c r="BC126" s="258"/>
      <c r="BD126" s="260"/>
      <c r="BE126" s="260"/>
      <c r="BF126" s="164" t="e">
        <v>#N/A</v>
      </c>
      <c r="BG126" s="203">
        <f t="shared" si="4"/>
        <v>0</v>
      </c>
      <c r="BH126" s="255" t="str">
        <f t="shared" si="5"/>
        <v>#REF!</v>
      </c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</row>
    <row r="127">
      <c r="A127" s="6"/>
      <c r="B127" s="183"/>
      <c r="C127" s="184"/>
      <c r="D127" s="75"/>
      <c r="E127" s="256"/>
      <c r="F127" s="219"/>
      <c r="G127" s="253"/>
      <c r="H127" s="253"/>
      <c r="I127" s="75"/>
      <c r="J127" s="75"/>
      <c r="K127" s="186"/>
      <c r="L127" s="186"/>
      <c r="M127" s="186"/>
      <c r="N127" s="186"/>
      <c r="O127" s="186"/>
      <c r="P127" s="187"/>
      <c r="Q127" s="187"/>
      <c r="R127" s="187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  <c r="AP127" s="188"/>
      <c r="AQ127" s="186"/>
      <c r="AR127" s="189"/>
      <c r="AS127" s="186"/>
      <c r="AT127" s="186"/>
      <c r="AU127" s="187"/>
      <c r="AV127" s="186"/>
      <c r="AW127" s="219"/>
      <c r="AX127" s="219"/>
      <c r="AY127" s="257"/>
      <c r="AZ127" s="258"/>
      <c r="BA127" s="258"/>
      <c r="BB127" s="258"/>
      <c r="BC127" s="258"/>
      <c r="BD127" s="260"/>
      <c r="BE127" s="260"/>
      <c r="BF127" s="164" t="e">
        <v>#N/A</v>
      </c>
      <c r="BG127" s="203">
        <f t="shared" si="4"/>
        <v>0</v>
      </c>
      <c r="BH127" s="255" t="str">
        <f t="shared" si="5"/>
        <v>#REF!</v>
      </c>
      <c r="BI127" s="75"/>
      <c r="BJ127" s="75"/>
      <c r="BK127" s="75"/>
      <c r="BL127" s="75"/>
      <c r="BM127" s="75"/>
      <c r="BN127" s="75"/>
      <c r="BO127" s="75"/>
      <c r="BP127" s="75"/>
      <c r="BQ127" s="75"/>
      <c r="BR127" s="75"/>
    </row>
    <row r="128">
      <c r="A128" s="6"/>
      <c r="B128" s="183"/>
      <c r="C128" s="184"/>
      <c r="D128" s="75"/>
      <c r="E128" s="256"/>
      <c r="F128" s="219"/>
      <c r="G128" s="253"/>
      <c r="H128" s="253"/>
      <c r="I128" s="75"/>
      <c r="J128" s="75"/>
      <c r="K128" s="186"/>
      <c r="L128" s="186"/>
      <c r="M128" s="186"/>
      <c r="N128" s="186"/>
      <c r="O128" s="186"/>
      <c r="P128" s="187"/>
      <c r="Q128" s="187"/>
      <c r="R128" s="187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  <c r="AP128" s="188"/>
      <c r="AQ128" s="186"/>
      <c r="AR128" s="189"/>
      <c r="AS128" s="186"/>
      <c r="AT128" s="186"/>
      <c r="AU128" s="187"/>
      <c r="AV128" s="186"/>
      <c r="AW128" s="219"/>
      <c r="AX128" s="219"/>
      <c r="AY128" s="257"/>
      <c r="AZ128" s="258"/>
      <c r="BA128" s="258"/>
      <c r="BB128" s="258"/>
      <c r="BC128" s="258"/>
      <c r="BD128" s="260"/>
      <c r="BE128" s="260"/>
      <c r="BF128" s="164" t="e">
        <v>#N/A</v>
      </c>
      <c r="BG128" s="203">
        <f t="shared" si="4"/>
        <v>0</v>
      </c>
      <c r="BH128" s="255" t="str">
        <f t="shared" si="5"/>
        <v>#REF!</v>
      </c>
      <c r="BI128" s="75"/>
      <c r="BJ128" s="75"/>
      <c r="BK128" s="75"/>
      <c r="BL128" s="75"/>
      <c r="BM128" s="75"/>
      <c r="BN128" s="75"/>
      <c r="BO128" s="75"/>
      <c r="BP128" s="75"/>
      <c r="BQ128" s="75"/>
      <c r="BR128" s="75"/>
    </row>
    <row r="129">
      <c r="A129" s="6"/>
      <c r="B129" s="183"/>
      <c r="C129" s="184"/>
      <c r="D129" s="75"/>
      <c r="E129" s="256"/>
      <c r="F129" s="219"/>
      <c r="G129" s="253"/>
      <c r="H129" s="253"/>
      <c r="I129" s="75"/>
      <c r="J129" s="75"/>
      <c r="K129" s="186"/>
      <c r="L129" s="186"/>
      <c r="M129" s="186"/>
      <c r="N129" s="186"/>
      <c r="O129" s="186"/>
      <c r="P129" s="187"/>
      <c r="Q129" s="187"/>
      <c r="R129" s="187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  <c r="AP129" s="188"/>
      <c r="AQ129" s="186"/>
      <c r="AR129" s="189"/>
      <c r="AS129" s="186"/>
      <c r="AT129" s="186"/>
      <c r="AU129" s="187"/>
      <c r="AV129" s="186"/>
      <c r="AW129" s="219"/>
      <c r="AX129" s="219"/>
      <c r="AY129" s="257"/>
      <c r="AZ129" s="258"/>
      <c r="BA129" s="258"/>
      <c r="BB129" s="258"/>
      <c r="BC129" s="258"/>
      <c r="BD129" s="260"/>
      <c r="BE129" s="260"/>
      <c r="BF129" s="164" t="e">
        <v>#N/A</v>
      </c>
      <c r="BG129" s="203">
        <f t="shared" si="4"/>
        <v>0</v>
      </c>
      <c r="BH129" s="255" t="str">
        <f t="shared" si="5"/>
        <v>#REF!</v>
      </c>
      <c r="BI129" s="75"/>
      <c r="BJ129" s="75"/>
      <c r="BK129" s="75"/>
      <c r="BL129" s="75"/>
      <c r="BM129" s="75"/>
      <c r="BN129" s="75"/>
      <c r="BO129" s="75"/>
      <c r="BP129" s="75"/>
      <c r="BQ129" s="75"/>
      <c r="BR129" s="75"/>
    </row>
    <row r="130">
      <c r="A130" s="6"/>
      <c r="B130" s="183"/>
      <c r="C130" s="184"/>
      <c r="D130" s="75"/>
      <c r="E130" s="256"/>
      <c r="F130" s="219"/>
      <c r="G130" s="253"/>
      <c r="H130" s="253"/>
      <c r="I130" s="75"/>
      <c r="J130" s="75"/>
      <c r="K130" s="186"/>
      <c r="L130" s="186"/>
      <c r="M130" s="186"/>
      <c r="N130" s="186"/>
      <c r="O130" s="186"/>
      <c r="P130" s="187"/>
      <c r="Q130" s="187"/>
      <c r="R130" s="187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  <c r="AP130" s="188"/>
      <c r="AQ130" s="186"/>
      <c r="AR130" s="189"/>
      <c r="AS130" s="186"/>
      <c r="AT130" s="186"/>
      <c r="AU130" s="187"/>
      <c r="AV130" s="186"/>
      <c r="AW130" s="219"/>
      <c r="AX130" s="219"/>
      <c r="AY130" s="257"/>
      <c r="AZ130" s="258"/>
      <c r="BA130" s="258"/>
      <c r="BB130" s="258"/>
      <c r="BC130" s="258"/>
      <c r="BD130" s="260"/>
      <c r="BE130" s="260"/>
      <c r="BF130" s="164" t="e">
        <v>#N/A</v>
      </c>
      <c r="BG130" s="203">
        <f t="shared" si="4"/>
        <v>0</v>
      </c>
      <c r="BH130" s="255" t="str">
        <f t="shared" si="5"/>
        <v>#REF!</v>
      </c>
      <c r="BI130" s="75"/>
      <c r="BJ130" s="75"/>
      <c r="BK130" s="75"/>
      <c r="BL130" s="75"/>
      <c r="BM130" s="75"/>
      <c r="BN130" s="75"/>
      <c r="BO130" s="75"/>
      <c r="BP130" s="75"/>
      <c r="BQ130" s="75"/>
      <c r="BR130" s="75"/>
    </row>
    <row r="131">
      <c r="A131" s="6"/>
      <c r="B131" s="183"/>
      <c r="C131" s="184"/>
      <c r="D131" s="75"/>
      <c r="E131" s="256"/>
      <c r="F131" s="219"/>
      <c r="G131" s="253"/>
      <c r="H131" s="253"/>
      <c r="I131" s="75"/>
      <c r="J131" s="75"/>
      <c r="K131" s="186"/>
      <c r="L131" s="186"/>
      <c r="M131" s="186"/>
      <c r="N131" s="186"/>
      <c r="O131" s="186"/>
      <c r="P131" s="187"/>
      <c r="Q131" s="187"/>
      <c r="R131" s="187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  <c r="AP131" s="188"/>
      <c r="AQ131" s="186"/>
      <c r="AR131" s="189"/>
      <c r="AS131" s="186"/>
      <c r="AT131" s="186"/>
      <c r="AU131" s="187"/>
      <c r="AV131" s="186"/>
      <c r="AW131" s="219"/>
      <c r="AX131" s="219"/>
      <c r="AY131" s="257"/>
      <c r="AZ131" s="258"/>
      <c r="BA131" s="258"/>
      <c r="BB131" s="258"/>
      <c r="BC131" s="258"/>
      <c r="BD131" s="260"/>
      <c r="BE131" s="260"/>
      <c r="BF131" s="164" t="e">
        <v>#N/A</v>
      </c>
      <c r="BG131" s="203">
        <f t="shared" si="4"/>
        <v>0</v>
      </c>
      <c r="BH131" s="255" t="str">
        <f t="shared" si="5"/>
        <v>#REF!</v>
      </c>
      <c r="BI131" s="75"/>
      <c r="BJ131" s="75"/>
      <c r="BK131" s="75"/>
      <c r="BL131" s="75"/>
      <c r="BM131" s="75"/>
      <c r="BN131" s="75"/>
      <c r="BO131" s="75"/>
      <c r="BP131" s="75"/>
      <c r="BQ131" s="75"/>
      <c r="BR131" s="75"/>
    </row>
    <row r="132">
      <c r="A132" s="6"/>
      <c r="B132" s="183"/>
      <c r="C132" s="184"/>
      <c r="D132" s="75"/>
      <c r="E132" s="256"/>
      <c r="F132" s="219"/>
      <c r="G132" s="253"/>
      <c r="H132" s="253"/>
      <c r="I132" s="75"/>
      <c r="J132" s="75"/>
      <c r="K132" s="186"/>
      <c r="L132" s="186"/>
      <c r="M132" s="186"/>
      <c r="N132" s="186"/>
      <c r="O132" s="186"/>
      <c r="P132" s="187"/>
      <c r="Q132" s="187"/>
      <c r="R132" s="187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  <c r="AP132" s="188"/>
      <c r="AQ132" s="186"/>
      <c r="AR132" s="189"/>
      <c r="AS132" s="186"/>
      <c r="AT132" s="186"/>
      <c r="AU132" s="187"/>
      <c r="AV132" s="186"/>
      <c r="AW132" s="219"/>
      <c r="AX132" s="219"/>
      <c r="AY132" s="257"/>
      <c r="AZ132" s="258"/>
      <c r="BA132" s="258"/>
      <c r="BB132" s="258"/>
      <c r="BC132" s="258"/>
      <c r="BD132" s="260"/>
      <c r="BE132" s="260"/>
      <c r="BF132" s="164" t="e">
        <v>#N/A</v>
      </c>
      <c r="BG132" s="203">
        <f t="shared" si="4"/>
        <v>0</v>
      </c>
      <c r="BH132" s="255" t="str">
        <f t="shared" si="5"/>
        <v>#REF!</v>
      </c>
      <c r="BI132" s="75"/>
      <c r="BJ132" s="75"/>
      <c r="BK132" s="75"/>
      <c r="BL132" s="75"/>
      <c r="BM132" s="75"/>
      <c r="BN132" s="75"/>
      <c r="BO132" s="75"/>
      <c r="BP132" s="75"/>
      <c r="BQ132" s="75"/>
      <c r="BR132" s="75"/>
    </row>
    <row r="133">
      <c r="A133" s="6"/>
      <c r="B133" s="183"/>
      <c r="C133" s="184"/>
      <c r="D133" s="75"/>
      <c r="E133" s="256"/>
      <c r="F133" s="219"/>
      <c r="G133" s="253"/>
      <c r="H133" s="253"/>
      <c r="I133" s="75"/>
      <c r="J133" s="75"/>
      <c r="K133" s="186"/>
      <c r="L133" s="186"/>
      <c r="M133" s="186"/>
      <c r="N133" s="186"/>
      <c r="O133" s="186"/>
      <c r="P133" s="187"/>
      <c r="Q133" s="187"/>
      <c r="R133" s="187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6"/>
      <c r="AR133" s="189"/>
      <c r="AS133" s="186"/>
      <c r="AT133" s="186"/>
      <c r="AU133" s="187"/>
      <c r="AV133" s="186"/>
      <c r="AW133" s="219"/>
      <c r="AX133" s="219"/>
      <c r="AY133" s="257"/>
      <c r="AZ133" s="258"/>
      <c r="BA133" s="258"/>
      <c r="BB133" s="258"/>
      <c r="BC133" s="258"/>
      <c r="BD133" s="260"/>
      <c r="BE133" s="260"/>
      <c r="BF133" s="164" t="e">
        <v>#N/A</v>
      </c>
      <c r="BG133" s="203">
        <f t="shared" si="4"/>
        <v>0</v>
      </c>
      <c r="BH133" s="255" t="str">
        <f t="shared" si="5"/>
        <v>#REF!</v>
      </c>
      <c r="BI133" s="75"/>
      <c r="BJ133" s="75"/>
      <c r="BK133" s="75"/>
      <c r="BL133" s="75"/>
      <c r="BM133" s="75"/>
      <c r="BN133" s="75"/>
      <c r="BO133" s="75"/>
      <c r="BP133" s="75"/>
      <c r="BQ133" s="75"/>
      <c r="BR133" s="75"/>
    </row>
    <row r="134">
      <c r="A134" s="6"/>
      <c r="B134" s="183"/>
      <c r="C134" s="184"/>
      <c r="D134" s="75"/>
      <c r="E134" s="256"/>
      <c r="F134" s="219"/>
      <c r="G134" s="253"/>
      <c r="H134" s="253"/>
      <c r="I134" s="75"/>
      <c r="J134" s="75"/>
      <c r="K134" s="186"/>
      <c r="L134" s="186"/>
      <c r="M134" s="186"/>
      <c r="N134" s="186"/>
      <c r="O134" s="186"/>
      <c r="P134" s="187"/>
      <c r="Q134" s="187"/>
      <c r="R134" s="187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  <c r="AP134" s="188"/>
      <c r="AQ134" s="186"/>
      <c r="AR134" s="189"/>
      <c r="AS134" s="186"/>
      <c r="AT134" s="186"/>
      <c r="AU134" s="187"/>
      <c r="AV134" s="186"/>
      <c r="AW134" s="219"/>
      <c r="AX134" s="219"/>
      <c r="AY134" s="257"/>
      <c r="AZ134" s="258"/>
      <c r="BA134" s="258"/>
      <c r="BB134" s="258"/>
      <c r="BC134" s="258"/>
      <c r="BD134" s="260"/>
      <c r="BE134" s="260"/>
      <c r="BF134" s="164" t="e">
        <v>#N/A</v>
      </c>
      <c r="BG134" s="203">
        <f t="shared" si="4"/>
        <v>0</v>
      </c>
      <c r="BH134" s="255" t="str">
        <f t="shared" si="5"/>
        <v>#REF!</v>
      </c>
      <c r="BI134" s="75"/>
      <c r="BJ134" s="75"/>
      <c r="BK134" s="75"/>
      <c r="BL134" s="75"/>
      <c r="BM134" s="75"/>
      <c r="BN134" s="75"/>
      <c r="BO134" s="75"/>
      <c r="BP134" s="75"/>
      <c r="BQ134" s="75"/>
      <c r="BR134" s="75"/>
    </row>
    <row r="135">
      <c r="A135" s="6"/>
      <c r="B135" s="183"/>
      <c r="C135" s="184"/>
      <c r="D135" s="75"/>
      <c r="E135" s="256"/>
      <c r="F135" s="219"/>
      <c r="G135" s="253"/>
      <c r="H135" s="253"/>
      <c r="I135" s="75"/>
      <c r="J135" s="75"/>
      <c r="K135" s="186"/>
      <c r="L135" s="186"/>
      <c r="M135" s="186"/>
      <c r="N135" s="186"/>
      <c r="O135" s="186"/>
      <c r="P135" s="187"/>
      <c r="Q135" s="187"/>
      <c r="R135" s="187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  <c r="AP135" s="188"/>
      <c r="AQ135" s="186"/>
      <c r="AR135" s="189"/>
      <c r="AS135" s="186"/>
      <c r="AT135" s="186"/>
      <c r="AU135" s="187"/>
      <c r="AV135" s="186"/>
      <c r="AW135" s="219"/>
      <c r="AX135" s="219"/>
      <c r="AY135" s="257"/>
      <c r="AZ135" s="258"/>
      <c r="BA135" s="258"/>
      <c r="BB135" s="258"/>
      <c r="BC135" s="258"/>
      <c r="BD135" s="260"/>
      <c r="BE135" s="260"/>
      <c r="BF135" s="164" t="e">
        <v>#N/A</v>
      </c>
      <c r="BG135" s="203">
        <f t="shared" si="4"/>
        <v>0</v>
      </c>
      <c r="BH135" s="255" t="str">
        <f t="shared" si="5"/>
        <v>#REF!</v>
      </c>
      <c r="BI135" s="75"/>
      <c r="BJ135" s="75"/>
      <c r="BK135" s="75"/>
      <c r="BL135" s="75"/>
      <c r="BM135" s="75"/>
      <c r="BN135" s="75"/>
      <c r="BO135" s="75"/>
      <c r="BP135" s="75"/>
      <c r="BQ135" s="75"/>
      <c r="BR135" s="75"/>
    </row>
    <row r="136">
      <c r="A136" s="6"/>
      <c r="B136" s="183"/>
      <c r="C136" s="184"/>
      <c r="D136" s="75"/>
      <c r="E136" s="256"/>
      <c r="F136" s="219"/>
      <c r="G136" s="253"/>
      <c r="H136" s="253"/>
      <c r="I136" s="75"/>
      <c r="J136" s="75"/>
      <c r="K136" s="186"/>
      <c r="L136" s="186"/>
      <c r="M136" s="186"/>
      <c r="N136" s="186"/>
      <c r="O136" s="186"/>
      <c r="P136" s="187"/>
      <c r="Q136" s="187"/>
      <c r="R136" s="187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  <c r="AP136" s="188"/>
      <c r="AQ136" s="186"/>
      <c r="AR136" s="189"/>
      <c r="AS136" s="186"/>
      <c r="AT136" s="186"/>
      <c r="AU136" s="187"/>
      <c r="AV136" s="186"/>
      <c r="AW136" s="219"/>
      <c r="AX136" s="219"/>
      <c r="AY136" s="257"/>
      <c r="AZ136" s="258"/>
      <c r="BA136" s="258"/>
      <c r="BB136" s="258"/>
      <c r="BC136" s="258"/>
      <c r="BD136" s="260"/>
      <c r="BE136" s="260"/>
      <c r="BF136" s="164" t="e">
        <v>#N/A</v>
      </c>
      <c r="BG136" s="203">
        <f t="shared" si="4"/>
        <v>0</v>
      </c>
      <c r="BH136" s="255" t="str">
        <f t="shared" si="5"/>
        <v>#REF!</v>
      </c>
      <c r="BI136" s="75"/>
      <c r="BJ136" s="75"/>
      <c r="BK136" s="75"/>
      <c r="BL136" s="75"/>
      <c r="BM136" s="75"/>
      <c r="BN136" s="75"/>
      <c r="BO136" s="75"/>
      <c r="BP136" s="75"/>
      <c r="BQ136" s="75"/>
      <c r="BR136" s="75"/>
    </row>
    <row r="137">
      <c r="A137" s="6"/>
      <c r="B137" s="183"/>
      <c r="C137" s="184"/>
      <c r="D137" s="75"/>
      <c r="E137" s="256"/>
      <c r="F137" s="219"/>
      <c r="G137" s="253"/>
      <c r="H137" s="253"/>
      <c r="I137" s="75"/>
      <c r="J137" s="75"/>
      <c r="K137" s="186"/>
      <c r="L137" s="186"/>
      <c r="M137" s="186"/>
      <c r="N137" s="186"/>
      <c r="O137" s="186"/>
      <c r="P137" s="187"/>
      <c r="Q137" s="187"/>
      <c r="R137" s="187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  <c r="AP137" s="188"/>
      <c r="AQ137" s="186"/>
      <c r="AR137" s="189"/>
      <c r="AS137" s="186"/>
      <c r="AT137" s="186"/>
      <c r="AU137" s="187"/>
      <c r="AV137" s="186"/>
      <c r="AW137" s="219"/>
      <c r="AX137" s="219"/>
      <c r="AY137" s="257"/>
      <c r="AZ137" s="258"/>
      <c r="BA137" s="258"/>
      <c r="BB137" s="258"/>
      <c r="BC137" s="258"/>
      <c r="BD137" s="260"/>
      <c r="BE137" s="260"/>
      <c r="BF137" s="164" t="e">
        <v>#N/A</v>
      </c>
      <c r="BG137" s="203">
        <f t="shared" si="4"/>
        <v>0</v>
      </c>
      <c r="BH137" s="255" t="str">
        <f t="shared" si="5"/>
        <v>#REF!</v>
      </c>
      <c r="BI137" s="75"/>
      <c r="BJ137" s="75"/>
      <c r="BK137" s="75"/>
      <c r="BL137" s="75"/>
      <c r="BM137" s="75"/>
      <c r="BN137" s="75"/>
      <c r="BO137" s="75"/>
      <c r="BP137" s="75"/>
      <c r="BQ137" s="75"/>
      <c r="BR137" s="75"/>
    </row>
    <row r="138">
      <c r="A138" s="6"/>
      <c r="B138" s="183"/>
      <c r="C138" s="184"/>
      <c r="D138" s="75"/>
      <c r="E138" s="256"/>
      <c r="F138" s="219"/>
      <c r="G138" s="253"/>
      <c r="H138" s="253"/>
      <c r="I138" s="75"/>
      <c r="J138" s="75"/>
      <c r="K138" s="186"/>
      <c r="L138" s="186"/>
      <c r="M138" s="186"/>
      <c r="N138" s="186"/>
      <c r="O138" s="186"/>
      <c r="P138" s="187"/>
      <c r="Q138" s="187"/>
      <c r="R138" s="187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  <c r="AP138" s="188"/>
      <c r="AQ138" s="186"/>
      <c r="AR138" s="189"/>
      <c r="AS138" s="186"/>
      <c r="AT138" s="186"/>
      <c r="AU138" s="187"/>
      <c r="AV138" s="186"/>
      <c r="AW138" s="219"/>
      <c r="AX138" s="219"/>
      <c r="AY138" s="257"/>
      <c r="AZ138" s="258"/>
      <c r="BA138" s="258"/>
      <c r="BB138" s="258"/>
      <c r="BC138" s="258"/>
      <c r="BD138" s="260"/>
      <c r="BE138" s="260"/>
      <c r="BF138" s="164" t="e">
        <v>#N/A</v>
      </c>
      <c r="BG138" s="203">
        <f t="shared" si="4"/>
        <v>0</v>
      </c>
      <c r="BH138" s="255" t="str">
        <f t="shared" si="5"/>
        <v>#REF!</v>
      </c>
      <c r="BI138" s="75"/>
      <c r="BJ138" s="75"/>
      <c r="BK138" s="75"/>
      <c r="BL138" s="75"/>
      <c r="BM138" s="75"/>
      <c r="BN138" s="75"/>
      <c r="BO138" s="75"/>
      <c r="BP138" s="75"/>
      <c r="BQ138" s="75"/>
      <c r="BR138" s="75"/>
    </row>
    <row r="139">
      <c r="A139" s="6"/>
      <c r="B139" s="183"/>
      <c r="C139" s="184"/>
      <c r="D139" s="75"/>
      <c r="E139" s="256"/>
      <c r="F139" s="219"/>
      <c r="G139" s="253"/>
      <c r="H139" s="253"/>
      <c r="I139" s="75"/>
      <c r="J139" s="75"/>
      <c r="K139" s="186"/>
      <c r="L139" s="186"/>
      <c r="M139" s="186"/>
      <c r="N139" s="186"/>
      <c r="O139" s="186"/>
      <c r="P139" s="187"/>
      <c r="Q139" s="187"/>
      <c r="R139" s="187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  <c r="AP139" s="188"/>
      <c r="AQ139" s="186"/>
      <c r="AR139" s="189"/>
      <c r="AS139" s="186"/>
      <c r="AT139" s="186"/>
      <c r="AU139" s="187"/>
      <c r="AV139" s="186"/>
      <c r="AW139" s="219"/>
      <c r="AX139" s="219"/>
      <c r="AY139" s="257"/>
      <c r="AZ139" s="258"/>
      <c r="BA139" s="258"/>
      <c r="BB139" s="258"/>
      <c r="BC139" s="258"/>
      <c r="BD139" s="260"/>
      <c r="BE139" s="260"/>
      <c r="BF139" s="164" t="e">
        <v>#N/A</v>
      </c>
      <c r="BG139" s="203">
        <f t="shared" si="4"/>
        <v>0</v>
      </c>
      <c r="BH139" s="255" t="str">
        <f t="shared" si="5"/>
        <v>#REF!</v>
      </c>
      <c r="BI139" s="75"/>
      <c r="BJ139" s="75"/>
      <c r="BK139" s="75"/>
      <c r="BL139" s="75"/>
      <c r="BM139" s="75"/>
      <c r="BN139" s="75"/>
      <c r="BO139" s="75"/>
      <c r="BP139" s="75"/>
      <c r="BQ139" s="75"/>
      <c r="BR139" s="75"/>
    </row>
    <row r="140">
      <c r="A140" s="6"/>
      <c r="B140" s="183"/>
      <c r="C140" s="184"/>
      <c r="D140" s="75"/>
      <c r="E140" s="256"/>
      <c r="F140" s="219"/>
      <c r="G140" s="253"/>
      <c r="H140" s="253"/>
      <c r="I140" s="75"/>
      <c r="J140" s="75"/>
      <c r="K140" s="186"/>
      <c r="L140" s="186"/>
      <c r="M140" s="186"/>
      <c r="N140" s="186"/>
      <c r="O140" s="186"/>
      <c r="P140" s="187"/>
      <c r="Q140" s="187"/>
      <c r="R140" s="187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6"/>
      <c r="AR140" s="189"/>
      <c r="AS140" s="186"/>
      <c r="AT140" s="186"/>
      <c r="AU140" s="187"/>
      <c r="AV140" s="186"/>
      <c r="AW140" s="219"/>
      <c r="AX140" s="219"/>
      <c r="AY140" s="257"/>
      <c r="AZ140" s="258"/>
      <c r="BA140" s="258"/>
      <c r="BB140" s="258"/>
      <c r="BC140" s="258"/>
      <c r="BD140" s="260"/>
      <c r="BE140" s="260"/>
      <c r="BF140" s="164" t="e">
        <v>#N/A</v>
      </c>
      <c r="BG140" s="203">
        <f t="shared" si="4"/>
        <v>0</v>
      </c>
      <c r="BH140" s="255" t="str">
        <f t="shared" si="5"/>
        <v>#REF!</v>
      </c>
      <c r="BI140" s="75"/>
      <c r="BJ140" s="75"/>
      <c r="BK140" s="75"/>
      <c r="BL140" s="75"/>
      <c r="BM140" s="75"/>
      <c r="BN140" s="75"/>
      <c r="BO140" s="75"/>
      <c r="BP140" s="75"/>
      <c r="BQ140" s="75"/>
      <c r="BR140" s="75"/>
    </row>
    <row r="141">
      <c r="A141" s="6"/>
      <c r="B141" s="183"/>
      <c r="C141" s="184"/>
      <c r="D141" s="75"/>
      <c r="E141" s="256"/>
      <c r="F141" s="219"/>
      <c r="G141" s="253"/>
      <c r="H141" s="253"/>
      <c r="I141" s="75"/>
      <c r="J141" s="75"/>
      <c r="K141" s="186"/>
      <c r="L141" s="186"/>
      <c r="M141" s="186"/>
      <c r="N141" s="186"/>
      <c r="O141" s="186"/>
      <c r="P141" s="187"/>
      <c r="Q141" s="187"/>
      <c r="R141" s="187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6"/>
      <c r="AR141" s="189"/>
      <c r="AS141" s="186"/>
      <c r="AT141" s="186"/>
      <c r="AU141" s="187"/>
      <c r="AV141" s="186"/>
      <c r="AW141" s="219"/>
      <c r="AX141" s="219"/>
      <c r="AY141" s="257"/>
      <c r="AZ141" s="258"/>
      <c r="BA141" s="258"/>
      <c r="BB141" s="258"/>
      <c r="BC141" s="258"/>
      <c r="BD141" s="260"/>
      <c r="BE141" s="260"/>
      <c r="BF141" s="164" t="e">
        <v>#N/A</v>
      </c>
      <c r="BG141" s="203">
        <f t="shared" si="4"/>
        <v>0</v>
      </c>
      <c r="BH141" s="255" t="str">
        <f t="shared" si="5"/>
        <v>#REF!</v>
      </c>
      <c r="BI141" s="75"/>
      <c r="BJ141" s="75"/>
      <c r="BK141" s="75"/>
      <c r="BL141" s="75"/>
      <c r="BM141" s="75"/>
      <c r="BN141" s="75"/>
      <c r="BO141" s="75"/>
      <c r="BP141" s="75"/>
      <c r="BQ141" s="75"/>
      <c r="BR141" s="75"/>
    </row>
    <row r="142">
      <c r="A142" s="6"/>
      <c r="B142" s="183"/>
      <c r="C142" s="184"/>
      <c r="D142" s="75"/>
      <c r="E142" s="256"/>
      <c r="F142" s="219"/>
      <c r="G142" s="253"/>
      <c r="H142" s="253"/>
      <c r="I142" s="75"/>
      <c r="J142" s="75"/>
      <c r="K142" s="186"/>
      <c r="L142" s="186"/>
      <c r="M142" s="186"/>
      <c r="N142" s="186"/>
      <c r="O142" s="186"/>
      <c r="P142" s="187"/>
      <c r="Q142" s="187"/>
      <c r="R142" s="187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6"/>
      <c r="AR142" s="189"/>
      <c r="AS142" s="186"/>
      <c r="AT142" s="186"/>
      <c r="AU142" s="187"/>
      <c r="AV142" s="186"/>
      <c r="AW142" s="219"/>
      <c r="AX142" s="219"/>
      <c r="AY142" s="257"/>
      <c r="AZ142" s="258"/>
      <c r="BA142" s="258"/>
      <c r="BB142" s="258"/>
      <c r="BC142" s="258"/>
      <c r="BD142" s="260"/>
      <c r="BE142" s="260"/>
      <c r="BF142" s="164" t="e">
        <v>#N/A</v>
      </c>
      <c r="BG142" s="203">
        <f t="shared" si="4"/>
        <v>0</v>
      </c>
      <c r="BH142" s="255" t="str">
        <f t="shared" si="5"/>
        <v>#REF!</v>
      </c>
      <c r="BI142" s="75"/>
      <c r="BJ142" s="75"/>
      <c r="BK142" s="75"/>
      <c r="BL142" s="75"/>
      <c r="BM142" s="75"/>
      <c r="BN142" s="75"/>
      <c r="BO142" s="75"/>
      <c r="BP142" s="75"/>
      <c r="BQ142" s="75"/>
      <c r="BR142" s="75"/>
    </row>
    <row r="143">
      <c r="A143" s="6"/>
      <c r="B143" s="183"/>
      <c r="C143" s="184"/>
      <c r="D143" s="75"/>
      <c r="E143" s="256"/>
      <c r="F143" s="219"/>
      <c r="G143" s="253"/>
      <c r="H143" s="253"/>
      <c r="I143" s="75"/>
      <c r="J143" s="75"/>
      <c r="K143" s="186"/>
      <c r="L143" s="186"/>
      <c r="M143" s="186"/>
      <c r="N143" s="186"/>
      <c r="O143" s="186"/>
      <c r="P143" s="187"/>
      <c r="Q143" s="187"/>
      <c r="R143" s="187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6"/>
      <c r="AR143" s="189"/>
      <c r="AS143" s="186"/>
      <c r="AT143" s="186"/>
      <c r="AU143" s="187"/>
      <c r="AV143" s="186"/>
      <c r="AW143" s="219"/>
      <c r="AX143" s="219"/>
      <c r="AY143" s="257"/>
      <c r="AZ143" s="258"/>
      <c r="BA143" s="258"/>
      <c r="BB143" s="258"/>
      <c r="BC143" s="258"/>
      <c r="BD143" s="260"/>
      <c r="BE143" s="260"/>
      <c r="BF143" s="164" t="e">
        <v>#N/A</v>
      </c>
      <c r="BG143" s="203">
        <f t="shared" si="4"/>
        <v>0</v>
      </c>
      <c r="BH143" s="255" t="str">
        <f t="shared" si="5"/>
        <v>#REF!</v>
      </c>
      <c r="BI143" s="75"/>
      <c r="BJ143" s="75"/>
      <c r="BK143" s="75"/>
      <c r="BL143" s="75"/>
      <c r="BM143" s="75"/>
      <c r="BN143" s="75"/>
      <c r="BO143" s="75"/>
      <c r="BP143" s="75"/>
      <c r="BQ143" s="75"/>
      <c r="BR143" s="75"/>
    </row>
    <row r="144">
      <c r="A144" s="6"/>
      <c r="B144" s="183"/>
      <c r="C144" s="184"/>
      <c r="D144" s="75"/>
      <c r="E144" s="256"/>
      <c r="F144" s="219"/>
      <c r="G144" s="253"/>
      <c r="H144" s="253"/>
      <c r="I144" s="75"/>
      <c r="J144" s="75"/>
      <c r="K144" s="186"/>
      <c r="L144" s="186"/>
      <c r="M144" s="186"/>
      <c r="N144" s="186"/>
      <c r="O144" s="186"/>
      <c r="P144" s="187"/>
      <c r="Q144" s="187"/>
      <c r="R144" s="187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6"/>
      <c r="AR144" s="189"/>
      <c r="AS144" s="186"/>
      <c r="AT144" s="186"/>
      <c r="AU144" s="187"/>
      <c r="AV144" s="186"/>
      <c r="AW144" s="219"/>
      <c r="AX144" s="219"/>
      <c r="AY144" s="257"/>
      <c r="AZ144" s="258"/>
      <c r="BA144" s="258"/>
      <c r="BB144" s="258"/>
      <c r="BC144" s="258"/>
      <c r="BD144" s="260"/>
      <c r="BE144" s="260"/>
      <c r="BF144" s="164" t="e">
        <v>#N/A</v>
      </c>
      <c r="BG144" s="203">
        <f t="shared" si="4"/>
        <v>0</v>
      </c>
      <c r="BH144" s="255" t="str">
        <f t="shared" si="5"/>
        <v>#REF!</v>
      </c>
      <c r="BI144" s="75"/>
      <c r="BJ144" s="75"/>
      <c r="BK144" s="75"/>
      <c r="BL144" s="75"/>
      <c r="BM144" s="75"/>
      <c r="BN144" s="75"/>
      <c r="BO144" s="75"/>
      <c r="BP144" s="75"/>
      <c r="BQ144" s="75"/>
      <c r="BR144" s="75"/>
    </row>
    <row r="145">
      <c r="A145" s="6"/>
      <c r="B145" s="183"/>
      <c r="C145" s="184"/>
      <c r="D145" s="75"/>
      <c r="E145" s="256"/>
      <c r="F145" s="219"/>
      <c r="G145" s="253"/>
      <c r="H145" s="253"/>
      <c r="I145" s="75"/>
      <c r="J145" s="75"/>
      <c r="K145" s="186"/>
      <c r="L145" s="186"/>
      <c r="M145" s="186"/>
      <c r="N145" s="186"/>
      <c r="O145" s="186"/>
      <c r="P145" s="187"/>
      <c r="Q145" s="187"/>
      <c r="R145" s="187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6"/>
      <c r="AR145" s="189"/>
      <c r="AS145" s="186"/>
      <c r="AT145" s="186"/>
      <c r="AU145" s="187"/>
      <c r="AV145" s="186"/>
      <c r="AW145" s="219"/>
      <c r="AX145" s="219"/>
      <c r="AY145" s="257"/>
      <c r="AZ145" s="258"/>
      <c r="BA145" s="258"/>
      <c r="BB145" s="258"/>
      <c r="BC145" s="258"/>
      <c r="BD145" s="260"/>
      <c r="BE145" s="260"/>
      <c r="BF145" s="164" t="e">
        <v>#N/A</v>
      </c>
      <c r="BG145" s="203">
        <f t="shared" si="4"/>
        <v>0</v>
      </c>
      <c r="BH145" s="255" t="str">
        <f t="shared" si="5"/>
        <v>#REF!</v>
      </c>
      <c r="BI145" s="75"/>
      <c r="BJ145" s="75"/>
      <c r="BK145" s="75"/>
      <c r="BL145" s="75"/>
      <c r="BM145" s="75"/>
      <c r="BN145" s="75"/>
      <c r="BO145" s="75"/>
      <c r="BP145" s="75"/>
      <c r="BQ145" s="75"/>
      <c r="BR145" s="75"/>
    </row>
    <row r="146">
      <c r="A146" s="6"/>
      <c r="B146" s="183"/>
      <c r="C146" s="184"/>
      <c r="D146" s="75"/>
      <c r="E146" s="256"/>
      <c r="F146" s="219"/>
      <c r="G146" s="253"/>
      <c r="H146" s="253"/>
      <c r="I146" s="75"/>
      <c r="J146" s="75"/>
      <c r="K146" s="186"/>
      <c r="L146" s="186"/>
      <c r="M146" s="186"/>
      <c r="N146" s="186"/>
      <c r="O146" s="186"/>
      <c r="P146" s="187"/>
      <c r="Q146" s="187"/>
      <c r="R146" s="187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6"/>
      <c r="AR146" s="189"/>
      <c r="AS146" s="186"/>
      <c r="AT146" s="186"/>
      <c r="AU146" s="187"/>
      <c r="AV146" s="186"/>
      <c r="AW146" s="219"/>
      <c r="AX146" s="219"/>
      <c r="AY146" s="257"/>
      <c r="AZ146" s="258"/>
      <c r="BA146" s="258"/>
      <c r="BB146" s="258"/>
      <c r="BC146" s="258"/>
      <c r="BD146" s="260"/>
      <c r="BE146" s="260"/>
      <c r="BF146" s="164" t="e">
        <v>#N/A</v>
      </c>
      <c r="BG146" s="203">
        <f t="shared" si="4"/>
        <v>0</v>
      </c>
      <c r="BH146" s="255" t="str">
        <f t="shared" si="5"/>
        <v>#REF!</v>
      </c>
      <c r="BI146" s="75"/>
      <c r="BJ146" s="75"/>
      <c r="BK146" s="75"/>
      <c r="BL146" s="75"/>
      <c r="BM146" s="75"/>
      <c r="BN146" s="75"/>
      <c r="BO146" s="75"/>
      <c r="BP146" s="75"/>
      <c r="BQ146" s="75"/>
      <c r="BR146" s="75"/>
    </row>
    <row r="147">
      <c r="A147" s="6"/>
      <c r="B147" s="183"/>
      <c r="C147" s="184"/>
      <c r="D147" s="75"/>
      <c r="E147" s="256"/>
      <c r="F147" s="219"/>
      <c r="G147" s="253"/>
      <c r="H147" s="253"/>
      <c r="I147" s="75"/>
      <c r="J147" s="75"/>
      <c r="K147" s="186"/>
      <c r="L147" s="186"/>
      <c r="M147" s="186"/>
      <c r="N147" s="186"/>
      <c r="O147" s="186"/>
      <c r="P147" s="187"/>
      <c r="Q147" s="187"/>
      <c r="R147" s="187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6"/>
      <c r="AR147" s="189"/>
      <c r="AS147" s="186"/>
      <c r="AT147" s="186"/>
      <c r="AU147" s="187"/>
      <c r="AV147" s="186"/>
      <c r="AW147" s="219"/>
      <c r="AX147" s="219"/>
      <c r="AY147" s="257"/>
      <c r="AZ147" s="258"/>
      <c r="BA147" s="258"/>
      <c r="BB147" s="258"/>
      <c r="BC147" s="258"/>
      <c r="BD147" s="260"/>
      <c r="BE147" s="260"/>
      <c r="BF147" s="164" t="e">
        <v>#N/A</v>
      </c>
      <c r="BG147" s="203">
        <f t="shared" si="4"/>
        <v>0</v>
      </c>
      <c r="BH147" s="255" t="str">
        <f t="shared" si="5"/>
        <v>#REF!</v>
      </c>
      <c r="BI147" s="75"/>
      <c r="BJ147" s="75"/>
      <c r="BK147" s="75"/>
      <c r="BL147" s="75"/>
      <c r="BM147" s="75"/>
      <c r="BN147" s="75"/>
      <c r="BO147" s="75"/>
      <c r="BP147" s="75"/>
      <c r="BQ147" s="75"/>
      <c r="BR147" s="75"/>
    </row>
    <row r="148">
      <c r="A148" s="6"/>
      <c r="B148" s="183"/>
      <c r="C148" s="184"/>
      <c r="D148" s="75"/>
      <c r="E148" s="256"/>
      <c r="F148" s="219"/>
      <c r="G148" s="253"/>
      <c r="H148" s="253"/>
      <c r="I148" s="75"/>
      <c r="J148" s="75"/>
      <c r="K148" s="186"/>
      <c r="L148" s="186"/>
      <c r="M148" s="186"/>
      <c r="N148" s="186"/>
      <c r="O148" s="186"/>
      <c r="P148" s="187"/>
      <c r="Q148" s="187"/>
      <c r="R148" s="187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6"/>
      <c r="AR148" s="189"/>
      <c r="AS148" s="186"/>
      <c r="AT148" s="186"/>
      <c r="AU148" s="187"/>
      <c r="AV148" s="186"/>
      <c r="AW148" s="219"/>
      <c r="AX148" s="219"/>
      <c r="AY148" s="257"/>
      <c r="AZ148" s="258"/>
      <c r="BA148" s="258"/>
      <c r="BB148" s="258"/>
      <c r="BC148" s="258"/>
      <c r="BD148" s="260"/>
      <c r="BE148" s="260"/>
      <c r="BF148" s="164" t="e">
        <v>#N/A</v>
      </c>
      <c r="BG148" s="203">
        <f t="shared" si="4"/>
        <v>0</v>
      </c>
      <c r="BH148" s="255" t="str">
        <f t="shared" si="5"/>
        <v>#REF!</v>
      </c>
      <c r="BI148" s="75"/>
      <c r="BJ148" s="75"/>
      <c r="BK148" s="75"/>
      <c r="BL148" s="75"/>
      <c r="BM148" s="75"/>
      <c r="BN148" s="75"/>
      <c r="BO148" s="75"/>
      <c r="BP148" s="75"/>
      <c r="BQ148" s="75"/>
      <c r="BR148" s="75"/>
    </row>
    <row r="149">
      <c r="A149" s="6"/>
      <c r="B149" s="183"/>
      <c r="C149" s="184"/>
      <c r="D149" s="75"/>
      <c r="E149" s="256"/>
      <c r="F149" s="219"/>
      <c r="G149" s="253"/>
      <c r="H149" s="253"/>
      <c r="I149" s="75"/>
      <c r="J149" s="75"/>
      <c r="K149" s="186"/>
      <c r="L149" s="186"/>
      <c r="M149" s="186"/>
      <c r="N149" s="186"/>
      <c r="O149" s="186"/>
      <c r="P149" s="187"/>
      <c r="Q149" s="187"/>
      <c r="R149" s="187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6"/>
      <c r="AR149" s="189"/>
      <c r="AS149" s="186"/>
      <c r="AT149" s="186"/>
      <c r="AU149" s="187"/>
      <c r="AV149" s="186"/>
      <c r="AW149" s="219"/>
      <c r="AX149" s="219"/>
      <c r="AY149" s="257"/>
      <c r="AZ149" s="258"/>
      <c r="BA149" s="258"/>
      <c r="BB149" s="258"/>
      <c r="BC149" s="258"/>
      <c r="BD149" s="260"/>
      <c r="BE149" s="260"/>
      <c r="BF149" s="164" t="e">
        <v>#N/A</v>
      </c>
      <c r="BG149" s="203">
        <f t="shared" si="4"/>
        <v>0</v>
      </c>
      <c r="BH149" s="255" t="str">
        <f t="shared" si="5"/>
        <v>#REF!</v>
      </c>
      <c r="BI149" s="75"/>
      <c r="BJ149" s="75"/>
      <c r="BK149" s="75"/>
      <c r="BL149" s="75"/>
      <c r="BM149" s="75"/>
      <c r="BN149" s="75"/>
      <c r="BO149" s="75"/>
      <c r="BP149" s="75"/>
      <c r="BQ149" s="75"/>
      <c r="BR149" s="75"/>
    </row>
    <row r="150">
      <c r="A150" s="6"/>
      <c r="B150" s="183"/>
      <c r="C150" s="184"/>
      <c r="D150" s="75"/>
      <c r="E150" s="256"/>
      <c r="F150" s="219"/>
      <c r="G150" s="253"/>
      <c r="H150" s="253"/>
      <c r="I150" s="75"/>
      <c r="J150" s="75"/>
      <c r="K150" s="186"/>
      <c r="L150" s="186"/>
      <c r="M150" s="186"/>
      <c r="N150" s="186"/>
      <c r="O150" s="186"/>
      <c r="P150" s="187"/>
      <c r="Q150" s="187"/>
      <c r="R150" s="187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6"/>
      <c r="AR150" s="189"/>
      <c r="AS150" s="186"/>
      <c r="AT150" s="186"/>
      <c r="AU150" s="187"/>
      <c r="AV150" s="186"/>
      <c r="AW150" s="219"/>
      <c r="AX150" s="219"/>
      <c r="AY150" s="257"/>
      <c r="AZ150" s="258"/>
      <c r="BA150" s="258"/>
      <c r="BB150" s="258"/>
      <c r="BC150" s="258"/>
      <c r="BD150" s="260"/>
      <c r="BE150" s="260"/>
      <c r="BF150" s="164" t="e">
        <v>#N/A</v>
      </c>
      <c r="BG150" s="203">
        <f t="shared" si="4"/>
        <v>0</v>
      </c>
      <c r="BH150" s="255" t="str">
        <f t="shared" si="5"/>
        <v>#REF!</v>
      </c>
      <c r="BI150" s="75"/>
      <c r="BJ150" s="75"/>
      <c r="BK150" s="75"/>
      <c r="BL150" s="75"/>
      <c r="BM150" s="75"/>
      <c r="BN150" s="75"/>
      <c r="BO150" s="75"/>
      <c r="BP150" s="75"/>
      <c r="BQ150" s="75"/>
      <c r="BR150" s="75"/>
    </row>
    <row r="151">
      <c r="A151" s="6"/>
      <c r="B151" s="183"/>
      <c r="C151" s="184"/>
      <c r="D151" s="75"/>
      <c r="E151" s="256"/>
      <c r="F151" s="219"/>
      <c r="G151" s="253"/>
      <c r="H151" s="253"/>
      <c r="I151" s="75"/>
      <c r="J151" s="75"/>
      <c r="K151" s="186"/>
      <c r="L151" s="186"/>
      <c r="M151" s="186"/>
      <c r="N151" s="186"/>
      <c r="O151" s="186"/>
      <c r="P151" s="187"/>
      <c r="Q151" s="187"/>
      <c r="R151" s="187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6"/>
      <c r="AR151" s="189"/>
      <c r="AS151" s="186"/>
      <c r="AT151" s="186"/>
      <c r="AU151" s="187"/>
      <c r="AV151" s="186"/>
      <c r="AW151" s="219"/>
      <c r="AX151" s="219"/>
      <c r="AY151" s="257"/>
      <c r="AZ151" s="258"/>
      <c r="BA151" s="258"/>
      <c r="BB151" s="258"/>
      <c r="BC151" s="258"/>
      <c r="BD151" s="260"/>
      <c r="BE151" s="260"/>
      <c r="BF151" s="164" t="e">
        <v>#N/A</v>
      </c>
      <c r="BG151" s="203">
        <f t="shared" si="4"/>
        <v>0</v>
      </c>
      <c r="BH151" s="255" t="str">
        <f t="shared" si="5"/>
        <v>#REF!</v>
      </c>
      <c r="BI151" s="75"/>
      <c r="BJ151" s="75"/>
      <c r="BK151" s="75"/>
      <c r="BL151" s="75"/>
      <c r="BM151" s="75"/>
      <c r="BN151" s="75"/>
      <c r="BO151" s="75"/>
      <c r="BP151" s="75"/>
      <c r="BQ151" s="75"/>
      <c r="BR151" s="75"/>
    </row>
    <row r="152">
      <c r="A152" s="6"/>
      <c r="B152" s="183"/>
      <c r="C152" s="184"/>
      <c r="D152" s="75"/>
      <c r="E152" s="256"/>
      <c r="F152" s="219"/>
      <c r="G152" s="253"/>
      <c r="H152" s="253"/>
      <c r="I152" s="75"/>
      <c r="J152" s="75"/>
      <c r="K152" s="186"/>
      <c r="L152" s="186"/>
      <c r="M152" s="186"/>
      <c r="N152" s="186"/>
      <c r="O152" s="186"/>
      <c r="P152" s="187"/>
      <c r="Q152" s="187"/>
      <c r="R152" s="187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6"/>
      <c r="AR152" s="189"/>
      <c r="AS152" s="186"/>
      <c r="AT152" s="186"/>
      <c r="AU152" s="187"/>
      <c r="AV152" s="186"/>
      <c r="AW152" s="219"/>
      <c r="AX152" s="219"/>
      <c r="AY152" s="257"/>
      <c r="AZ152" s="258"/>
      <c r="BA152" s="258"/>
      <c r="BB152" s="258"/>
      <c r="BC152" s="258"/>
      <c r="BD152" s="260"/>
      <c r="BE152" s="260"/>
      <c r="BF152" s="164" t="e">
        <v>#N/A</v>
      </c>
      <c r="BG152" s="203">
        <f t="shared" si="4"/>
        <v>0</v>
      </c>
      <c r="BH152" s="255" t="str">
        <f t="shared" si="5"/>
        <v>#REF!</v>
      </c>
      <c r="BI152" s="75"/>
      <c r="BJ152" s="75"/>
      <c r="BK152" s="75"/>
      <c r="BL152" s="75"/>
      <c r="BM152" s="75"/>
      <c r="BN152" s="75"/>
      <c r="BO152" s="75"/>
      <c r="BP152" s="75"/>
      <c r="BQ152" s="75"/>
      <c r="BR152" s="75"/>
    </row>
    <row r="153">
      <c r="A153" s="6"/>
      <c r="B153" s="183"/>
      <c r="C153" s="184"/>
      <c r="D153" s="75"/>
      <c r="E153" s="256"/>
      <c r="F153" s="219"/>
      <c r="G153" s="253"/>
      <c r="H153" s="253"/>
      <c r="I153" s="75"/>
      <c r="J153" s="75"/>
      <c r="K153" s="186"/>
      <c r="L153" s="186"/>
      <c r="M153" s="186"/>
      <c r="N153" s="186"/>
      <c r="O153" s="186"/>
      <c r="P153" s="187"/>
      <c r="Q153" s="187"/>
      <c r="R153" s="187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6"/>
      <c r="AR153" s="189"/>
      <c r="AS153" s="186"/>
      <c r="AT153" s="186"/>
      <c r="AU153" s="187"/>
      <c r="AV153" s="186"/>
      <c r="AW153" s="219"/>
      <c r="AX153" s="219"/>
      <c r="AY153" s="257"/>
      <c r="AZ153" s="258"/>
      <c r="BA153" s="258"/>
      <c r="BB153" s="258"/>
      <c r="BC153" s="258"/>
      <c r="BD153" s="260"/>
      <c r="BE153" s="260"/>
      <c r="BF153" s="164" t="e">
        <v>#N/A</v>
      </c>
      <c r="BG153" s="203">
        <f t="shared" si="4"/>
        <v>0</v>
      </c>
      <c r="BH153" s="255" t="str">
        <f t="shared" si="5"/>
        <v>#REF!</v>
      </c>
      <c r="BI153" s="75"/>
      <c r="BJ153" s="75"/>
      <c r="BK153" s="75"/>
      <c r="BL153" s="75"/>
      <c r="BM153" s="75"/>
      <c r="BN153" s="75"/>
      <c r="BO153" s="75"/>
      <c r="BP153" s="75"/>
      <c r="BQ153" s="75"/>
      <c r="BR153" s="75"/>
    </row>
    <row r="154">
      <c r="A154" s="6"/>
      <c r="B154" s="183"/>
      <c r="C154" s="184"/>
      <c r="D154" s="75"/>
      <c r="E154" s="256"/>
      <c r="F154" s="219"/>
      <c r="G154" s="253"/>
      <c r="H154" s="253"/>
      <c r="I154" s="75"/>
      <c r="J154" s="75"/>
      <c r="K154" s="186"/>
      <c r="L154" s="186"/>
      <c r="M154" s="186"/>
      <c r="N154" s="186"/>
      <c r="O154" s="186"/>
      <c r="P154" s="187"/>
      <c r="Q154" s="187"/>
      <c r="R154" s="187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6"/>
      <c r="AR154" s="189"/>
      <c r="AS154" s="186"/>
      <c r="AT154" s="186"/>
      <c r="AU154" s="187"/>
      <c r="AV154" s="186"/>
      <c r="AW154" s="219"/>
      <c r="AX154" s="219"/>
      <c r="AY154" s="257"/>
      <c r="AZ154" s="258"/>
      <c r="BA154" s="258"/>
      <c r="BB154" s="258"/>
      <c r="BC154" s="258"/>
      <c r="BD154" s="260"/>
      <c r="BE154" s="260"/>
      <c r="BF154" s="164" t="e">
        <v>#N/A</v>
      </c>
      <c r="BG154" s="203">
        <f t="shared" si="4"/>
        <v>0</v>
      </c>
      <c r="BH154" s="255" t="str">
        <f t="shared" si="5"/>
        <v>#REF!</v>
      </c>
      <c r="BI154" s="75"/>
      <c r="BJ154" s="75"/>
      <c r="BK154" s="75"/>
      <c r="BL154" s="75"/>
      <c r="BM154" s="75"/>
      <c r="BN154" s="75"/>
      <c r="BO154" s="75"/>
      <c r="BP154" s="75"/>
      <c r="BQ154" s="75"/>
      <c r="BR154" s="75"/>
    </row>
    <row r="155">
      <c r="A155" s="6"/>
      <c r="B155" s="183"/>
      <c r="C155" s="184"/>
      <c r="D155" s="75"/>
      <c r="E155" s="256"/>
      <c r="F155" s="219"/>
      <c r="G155" s="253"/>
      <c r="H155" s="253"/>
      <c r="I155" s="75"/>
      <c r="J155" s="75"/>
      <c r="K155" s="186"/>
      <c r="L155" s="186"/>
      <c r="M155" s="186"/>
      <c r="N155" s="186"/>
      <c r="O155" s="186"/>
      <c r="P155" s="187"/>
      <c r="Q155" s="187"/>
      <c r="R155" s="187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6"/>
      <c r="AR155" s="189"/>
      <c r="AS155" s="186"/>
      <c r="AT155" s="186"/>
      <c r="AU155" s="187"/>
      <c r="AV155" s="186"/>
      <c r="AW155" s="219"/>
      <c r="AX155" s="219"/>
      <c r="AY155" s="257"/>
      <c r="AZ155" s="258"/>
      <c r="BA155" s="258"/>
      <c r="BB155" s="258"/>
      <c r="BC155" s="258"/>
      <c r="BD155" s="260"/>
      <c r="BE155" s="260"/>
      <c r="BF155" s="164" t="e">
        <v>#N/A</v>
      </c>
      <c r="BG155" s="203">
        <f t="shared" si="4"/>
        <v>0</v>
      </c>
      <c r="BH155" s="255" t="str">
        <f t="shared" si="5"/>
        <v>#REF!</v>
      </c>
      <c r="BI155" s="75"/>
      <c r="BJ155" s="75"/>
      <c r="BK155" s="75"/>
      <c r="BL155" s="75"/>
      <c r="BM155" s="75"/>
      <c r="BN155" s="75"/>
      <c r="BO155" s="75"/>
      <c r="BP155" s="75"/>
      <c r="BQ155" s="75"/>
      <c r="BR155" s="75"/>
    </row>
    <row r="156">
      <c r="A156" s="6"/>
      <c r="B156" s="183"/>
      <c r="C156" s="184"/>
      <c r="D156" s="75"/>
      <c r="E156" s="256"/>
      <c r="F156" s="219"/>
      <c r="G156" s="253"/>
      <c r="H156" s="253"/>
      <c r="I156" s="75"/>
      <c r="J156" s="75"/>
      <c r="K156" s="186"/>
      <c r="L156" s="186"/>
      <c r="M156" s="186"/>
      <c r="N156" s="186"/>
      <c r="O156" s="186"/>
      <c r="P156" s="187"/>
      <c r="Q156" s="187"/>
      <c r="R156" s="187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6"/>
      <c r="AR156" s="189"/>
      <c r="AS156" s="186"/>
      <c r="AT156" s="186"/>
      <c r="AU156" s="187"/>
      <c r="AV156" s="186"/>
      <c r="AW156" s="219"/>
      <c r="AX156" s="219"/>
      <c r="AY156" s="257"/>
      <c r="AZ156" s="258"/>
      <c r="BA156" s="258"/>
      <c r="BB156" s="258"/>
      <c r="BC156" s="258"/>
      <c r="BD156" s="260"/>
      <c r="BE156" s="260"/>
      <c r="BF156" s="164" t="e">
        <v>#N/A</v>
      </c>
      <c r="BG156" s="203">
        <f t="shared" si="4"/>
        <v>0</v>
      </c>
      <c r="BH156" s="255" t="str">
        <f t="shared" si="5"/>
        <v>#REF!</v>
      </c>
      <c r="BI156" s="75"/>
      <c r="BJ156" s="75"/>
      <c r="BK156" s="75"/>
      <c r="BL156" s="75"/>
      <c r="BM156" s="75"/>
      <c r="BN156" s="75"/>
      <c r="BO156" s="75"/>
      <c r="BP156" s="75"/>
      <c r="BQ156" s="75"/>
      <c r="BR156" s="75"/>
    </row>
    <row r="157">
      <c r="A157" s="6"/>
      <c r="B157" s="183"/>
      <c r="C157" s="184"/>
      <c r="D157" s="75"/>
      <c r="E157" s="256"/>
      <c r="F157" s="219"/>
      <c r="G157" s="253"/>
      <c r="H157" s="253"/>
      <c r="I157" s="75"/>
      <c r="J157" s="75"/>
      <c r="K157" s="186"/>
      <c r="L157" s="186"/>
      <c r="M157" s="186"/>
      <c r="N157" s="186"/>
      <c r="O157" s="186"/>
      <c r="P157" s="187"/>
      <c r="Q157" s="187"/>
      <c r="R157" s="187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6"/>
      <c r="AR157" s="189"/>
      <c r="AS157" s="186"/>
      <c r="AT157" s="186"/>
      <c r="AU157" s="187"/>
      <c r="AV157" s="186"/>
      <c r="AW157" s="219"/>
      <c r="AX157" s="219"/>
      <c r="AY157" s="257"/>
      <c r="AZ157" s="258"/>
      <c r="BA157" s="258"/>
      <c r="BB157" s="258"/>
      <c r="BC157" s="258"/>
      <c r="BD157" s="260"/>
      <c r="BE157" s="260"/>
      <c r="BF157" s="164" t="e">
        <v>#N/A</v>
      </c>
      <c r="BG157" s="203">
        <f t="shared" si="4"/>
        <v>0</v>
      </c>
      <c r="BH157" s="255" t="str">
        <f t="shared" si="5"/>
        <v>#REF!</v>
      </c>
      <c r="BI157" s="75"/>
      <c r="BJ157" s="75"/>
      <c r="BK157" s="75"/>
      <c r="BL157" s="75"/>
      <c r="BM157" s="75"/>
      <c r="BN157" s="75"/>
      <c r="BO157" s="75"/>
      <c r="BP157" s="75"/>
      <c r="BQ157" s="75"/>
      <c r="BR157" s="75"/>
    </row>
    <row r="158">
      <c r="A158" s="6"/>
      <c r="B158" s="183"/>
      <c r="C158" s="184"/>
      <c r="D158" s="75"/>
      <c r="E158" s="256"/>
      <c r="F158" s="219"/>
      <c r="G158" s="253"/>
      <c r="H158" s="253"/>
      <c r="I158" s="75"/>
      <c r="J158" s="75"/>
      <c r="K158" s="186"/>
      <c r="L158" s="186"/>
      <c r="M158" s="186"/>
      <c r="N158" s="186"/>
      <c r="O158" s="186"/>
      <c r="P158" s="187"/>
      <c r="Q158" s="187"/>
      <c r="R158" s="187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6"/>
      <c r="AR158" s="189"/>
      <c r="AS158" s="186"/>
      <c r="AT158" s="186"/>
      <c r="AU158" s="187"/>
      <c r="AV158" s="186"/>
      <c r="AW158" s="219"/>
      <c r="AX158" s="219"/>
      <c r="AY158" s="257"/>
      <c r="AZ158" s="258"/>
      <c r="BA158" s="258"/>
      <c r="BB158" s="258"/>
      <c r="BC158" s="258"/>
      <c r="BD158" s="260"/>
      <c r="BE158" s="260"/>
      <c r="BF158" s="164" t="e">
        <v>#N/A</v>
      </c>
      <c r="BG158" s="203">
        <f t="shared" si="4"/>
        <v>0</v>
      </c>
      <c r="BH158" s="255" t="str">
        <f t="shared" si="5"/>
        <v>#REF!</v>
      </c>
      <c r="BI158" s="75"/>
      <c r="BJ158" s="75"/>
      <c r="BK158" s="75"/>
      <c r="BL158" s="75"/>
      <c r="BM158" s="75"/>
      <c r="BN158" s="75"/>
      <c r="BO158" s="75"/>
      <c r="BP158" s="75"/>
      <c r="BQ158" s="75"/>
      <c r="BR158" s="75"/>
    </row>
    <row r="159">
      <c r="A159" s="6"/>
      <c r="B159" s="183"/>
      <c r="C159" s="184"/>
      <c r="D159" s="75"/>
      <c r="E159" s="256"/>
      <c r="F159" s="219"/>
      <c r="G159" s="253"/>
      <c r="H159" s="253"/>
      <c r="I159" s="75"/>
      <c r="J159" s="75"/>
      <c r="K159" s="186"/>
      <c r="L159" s="186"/>
      <c r="M159" s="186"/>
      <c r="N159" s="186"/>
      <c r="O159" s="186"/>
      <c r="P159" s="187"/>
      <c r="Q159" s="187"/>
      <c r="R159" s="187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6"/>
      <c r="AR159" s="189"/>
      <c r="AS159" s="186"/>
      <c r="AT159" s="186"/>
      <c r="AU159" s="187"/>
      <c r="AV159" s="186"/>
      <c r="AW159" s="219"/>
      <c r="AX159" s="219"/>
      <c r="AY159" s="257"/>
      <c r="AZ159" s="258"/>
      <c r="BA159" s="258"/>
      <c r="BB159" s="258"/>
      <c r="BC159" s="258"/>
      <c r="BD159" s="260"/>
      <c r="BE159" s="260"/>
      <c r="BF159" s="164" t="e">
        <v>#N/A</v>
      </c>
      <c r="BG159" s="203">
        <f t="shared" si="4"/>
        <v>0</v>
      </c>
      <c r="BH159" s="255" t="str">
        <f t="shared" si="5"/>
        <v>#REF!</v>
      </c>
      <c r="BI159" s="75"/>
      <c r="BJ159" s="75"/>
      <c r="BK159" s="75"/>
      <c r="BL159" s="75"/>
      <c r="BM159" s="75"/>
      <c r="BN159" s="75"/>
      <c r="BO159" s="75"/>
      <c r="BP159" s="75"/>
      <c r="BQ159" s="75"/>
      <c r="BR159" s="75"/>
    </row>
    <row r="160">
      <c r="A160" s="6"/>
      <c r="B160" s="183"/>
      <c r="C160" s="184"/>
      <c r="D160" s="75"/>
      <c r="E160" s="256"/>
      <c r="F160" s="219"/>
      <c r="G160" s="253"/>
      <c r="H160" s="253"/>
      <c r="I160" s="75"/>
      <c r="J160" s="75"/>
      <c r="K160" s="186"/>
      <c r="L160" s="186"/>
      <c r="M160" s="186"/>
      <c r="N160" s="186"/>
      <c r="O160" s="186"/>
      <c r="P160" s="187"/>
      <c r="Q160" s="187"/>
      <c r="R160" s="187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6"/>
      <c r="AR160" s="189"/>
      <c r="AS160" s="186"/>
      <c r="AT160" s="186"/>
      <c r="AU160" s="187"/>
      <c r="AV160" s="186"/>
      <c r="AW160" s="219"/>
      <c r="AX160" s="219"/>
      <c r="AY160" s="257"/>
      <c r="AZ160" s="258"/>
      <c r="BA160" s="258"/>
      <c r="BB160" s="258"/>
      <c r="BC160" s="258"/>
      <c r="BD160" s="260"/>
      <c r="BE160" s="260"/>
      <c r="BF160" s="164" t="e">
        <v>#N/A</v>
      </c>
      <c r="BG160" s="203">
        <f t="shared" si="4"/>
        <v>0</v>
      </c>
      <c r="BH160" s="255" t="str">
        <f t="shared" si="5"/>
        <v>#REF!</v>
      </c>
      <c r="BI160" s="75"/>
      <c r="BJ160" s="75"/>
      <c r="BK160" s="75"/>
      <c r="BL160" s="75"/>
      <c r="BM160" s="75"/>
      <c r="BN160" s="75"/>
      <c r="BO160" s="75"/>
      <c r="BP160" s="75"/>
      <c r="BQ160" s="75"/>
      <c r="BR160" s="75"/>
    </row>
    <row r="161">
      <c r="A161" s="6"/>
      <c r="B161" s="183"/>
      <c r="C161" s="184"/>
      <c r="D161" s="75"/>
      <c r="E161" s="256"/>
      <c r="F161" s="219"/>
      <c r="G161" s="253"/>
      <c r="H161" s="253"/>
      <c r="I161" s="75"/>
      <c r="J161" s="75"/>
      <c r="K161" s="186"/>
      <c r="L161" s="186"/>
      <c r="M161" s="186"/>
      <c r="N161" s="186"/>
      <c r="O161" s="186"/>
      <c r="P161" s="187"/>
      <c r="Q161" s="187"/>
      <c r="R161" s="187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6"/>
      <c r="AR161" s="189"/>
      <c r="AS161" s="186"/>
      <c r="AT161" s="186"/>
      <c r="AU161" s="187"/>
      <c r="AV161" s="186"/>
      <c r="AW161" s="219"/>
      <c r="AX161" s="219"/>
      <c r="AY161" s="257"/>
      <c r="AZ161" s="258"/>
      <c r="BA161" s="258"/>
      <c r="BB161" s="258"/>
      <c r="BC161" s="258"/>
      <c r="BD161" s="260"/>
      <c r="BE161" s="260"/>
      <c r="BF161" s="164" t="e">
        <v>#N/A</v>
      </c>
      <c r="BG161" s="203">
        <f t="shared" si="4"/>
        <v>0</v>
      </c>
      <c r="BH161" s="255" t="str">
        <f t="shared" si="5"/>
        <v>#REF!</v>
      </c>
      <c r="BI161" s="75"/>
      <c r="BJ161" s="75"/>
      <c r="BK161" s="75"/>
      <c r="BL161" s="75"/>
      <c r="BM161" s="75"/>
      <c r="BN161" s="75"/>
      <c r="BO161" s="75"/>
      <c r="BP161" s="75"/>
      <c r="BQ161" s="75"/>
      <c r="BR161" s="75"/>
    </row>
    <row r="162">
      <c r="A162" s="6"/>
      <c r="B162" s="183"/>
      <c r="C162" s="184"/>
      <c r="D162" s="75"/>
      <c r="E162" s="256"/>
      <c r="F162" s="219"/>
      <c r="G162" s="253"/>
      <c r="H162" s="253"/>
      <c r="I162" s="75"/>
      <c r="J162" s="75"/>
      <c r="K162" s="186"/>
      <c r="L162" s="186"/>
      <c r="M162" s="186"/>
      <c r="N162" s="186"/>
      <c r="O162" s="186"/>
      <c r="P162" s="187"/>
      <c r="Q162" s="187"/>
      <c r="R162" s="187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6"/>
      <c r="AR162" s="189"/>
      <c r="AS162" s="186"/>
      <c r="AT162" s="186"/>
      <c r="AU162" s="187"/>
      <c r="AV162" s="186"/>
      <c r="AW162" s="219"/>
      <c r="AX162" s="219"/>
      <c r="AY162" s="257"/>
      <c r="AZ162" s="258"/>
      <c r="BA162" s="258"/>
      <c r="BB162" s="258"/>
      <c r="BC162" s="258"/>
      <c r="BD162" s="260"/>
      <c r="BE162" s="260"/>
      <c r="BF162" s="164" t="e">
        <v>#N/A</v>
      </c>
      <c r="BG162" s="203">
        <f t="shared" si="4"/>
        <v>0</v>
      </c>
      <c r="BH162" s="255" t="str">
        <f t="shared" si="5"/>
        <v>#REF!</v>
      </c>
      <c r="BI162" s="75"/>
      <c r="BJ162" s="75"/>
      <c r="BK162" s="75"/>
      <c r="BL162" s="75"/>
      <c r="BM162" s="75"/>
      <c r="BN162" s="75"/>
      <c r="BO162" s="75"/>
      <c r="BP162" s="75"/>
      <c r="BQ162" s="75"/>
      <c r="BR162" s="75"/>
    </row>
    <row r="163">
      <c r="A163" s="6"/>
      <c r="B163" s="183"/>
      <c r="C163" s="184"/>
      <c r="D163" s="75"/>
      <c r="E163" s="256"/>
      <c r="F163" s="219"/>
      <c r="G163" s="253"/>
      <c r="H163" s="253"/>
      <c r="I163" s="75"/>
      <c r="J163" s="75"/>
      <c r="K163" s="186"/>
      <c r="L163" s="186"/>
      <c r="M163" s="186"/>
      <c r="N163" s="186"/>
      <c r="O163" s="186"/>
      <c r="P163" s="187"/>
      <c r="Q163" s="187"/>
      <c r="R163" s="187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  <c r="AP163" s="188"/>
      <c r="AQ163" s="186"/>
      <c r="AR163" s="189"/>
      <c r="AS163" s="186"/>
      <c r="AT163" s="186"/>
      <c r="AU163" s="187"/>
      <c r="AV163" s="186"/>
      <c r="AW163" s="219"/>
      <c r="AX163" s="219"/>
      <c r="AY163" s="257"/>
      <c r="AZ163" s="258"/>
      <c r="BA163" s="258"/>
      <c r="BB163" s="258"/>
      <c r="BC163" s="258"/>
      <c r="BD163" s="260"/>
      <c r="BE163" s="260"/>
      <c r="BF163" s="164" t="e">
        <v>#N/A</v>
      </c>
      <c r="BG163" s="203">
        <f t="shared" si="4"/>
        <v>0</v>
      </c>
      <c r="BH163" s="255" t="str">
        <f t="shared" si="5"/>
        <v>#REF!</v>
      </c>
      <c r="BI163" s="75"/>
      <c r="BJ163" s="75"/>
      <c r="BK163" s="75"/>
      <c r="BL163" s="75"/>
      <c r="BM163" s="75"/>
      <c r="BN163" s="75"/>
      <c r="BO163" s="75"/>
      <c r="BP163" s="75"/>
      <c r="BQ163" s="75"/>
      <c r="BR163" s="75"/>
    </row>
    <row r="164">
      <c r="A164" s="6"/>
      <c r="B164" s="183"/>
      <c r="C164" s="184"/>
      <c r="D164" s="75"/>
      <c r="E164" s="256"/>
      <c r="F164" s="219"/>
      <c r="G164" s="253"/>
      <c r="H164" s="253"/>
      <c r="I164" s="75"/>
      <c r="J164" s="75"/>
      <c r="K164" s="186"/>
      <c r="L164" s="186"/>
      <c r="M164" s="186"/>
      <c r="N164" s="186"/>
      <c r="O164" s="186"/>
      <c r="P164" s="187"/>
      <c r="Q164" s="187"/>
      <c r="R164" s="187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  <c r="AP164" s="188"/>
      <c r="AQ164" s="186"/>
      <c r="AR164" s="189"/>
      <c r="AS164" s="186"/>
      <c r="AT164" s="186"/>
      <c r="AU164" s="187"/>
      <c r="AV164" s="186"/>
      <c r="AW164" s="219"/>
      <c r="AX164" s="219"/>
      <c r="AY164" s="257"/>
      <c r="AZ164" s="258"/>
      <c r="BA164" s="258"/>
      <c r="BB164" s="258"/>
      <c r="BC164" s="258"/>
      <c r="BD164" s="260"/>
      <c r="BE164" s="260"/>
      <c r="BF164" s="164" t="e">
        <v>#N/A</v>
      </c>
      <c r="BG164" s="203">
        <f t="shared" si="4"/>
        <v>0</v>
      </c>
      <c r="BH164" s="255" t="str">
        <f t="shared" si="5"/>
        <v>#REF!</v>
      </c>
      <c r="BI164" s="75"/>
      <c r="BJ164" s="75"/>
      <c r="BK164" s="75"/>
      <c r="BL164" s="75"/>
      <c r="BM164" s="75"/>
      <c r="BN164" s="75"/>
      <c r="BO164" s="75"/>
      <c r="BP164" s="75"/>
      <c r="BQ164" s="75"/>
      <c r="BR164" s="75"/>
    </row>
    <row r="165">
      <c r="A165" s="6"/>
      <c r="B165" s="183"/>
      <c r="C165" s="184"/>
      <c r="D165" s="75"/>
      <c r="E165" s="256"/>
      <c r="F165" s="219"/>
      <c r="G165" s="253"/>
      <c r="H165" s="253"/>
      <c r="I165" s="75"/>
      <c r="J165" s="75"/>
      <c r="K165" s="186"/>
      <c r="L165" s="186"/>
      <c r="M165" s="186"/>
      <c r="N165" s="186"/>
      <c r="O165" s="186"/>
      <c r="P165" s="187"/>
      <c r="Q165" s="187"/>
      <c r="R165" s="187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  <c r="AP165" s="188"/>
      <c r="AQ165" s="186"/>
      <c r="AR165" s="189"/>
      <c r="AS165" s="186"/>
      <c r="AT165" s="186"/>
      <c r="AU165" s="187"/>
      <c r="AV165" s="186"/>
      <c r="AW165" s="219"/>
      <c r="AX165" s="219"/>
      <c r="AY165" s="257"/>
      <c r="AZ165" s="258"/>
      <c r="BA165" s="258"/>
      <c r="BB165" s="258"/>
      <c r="BC165" s="258"/>
      <c r="BD165" s="260"/>
      <c r="BE165" s="260"/>
      <c r="BF165" s="164" t="e">
        <v>#N/A</v>
      </c>
      <c r="BG165" s="203">
        <f t="shared" si="4"/>
        <v>0</v>
      </c>
      <c r="BH165" s="255" t="str">
        <f t="shared" si="5"/>
        <v>#REF!</v>
      </c>
      <c r="BI165" s="75"/>
      <c r="BJ165" s="75"/>
      <c r="BK165" s="75"/>
      <c r="BL165" s="75"/>
      <c r="BM165" s="75"/>
      <c r="BN165" s="75"/>
      <c r="BO165" s="75"/>
      <c r="BP165" s="75"/>
      <c r="BQ165" s="75"/>
      <c r="BR165" s="75"/>
    </row>
    <row r="166">
      <c r="A166" s="6"/>
      <c r="B166" s="183"/>
      <c r="C166" s="184"/>
      <c r="D166" s="75"/>
      <c r="E166" s="256"/>
      <c r="F166" s="219"/>
      <c r="G166" s="253"/>
      <c r="H166" s="253"/>
      <c r="I166" s="75"/>
      <c r="J166" s="75"/>
      <c r="K166" s="186"/>
      <c r="L166" s="186"/>
      <c r="M166" s="186"/>
      <c r="N166" s="186"/>
      <c r="O166" s="186"/>
      <c r="P166" s="187"/>
      <c r="Q166" s="187"/>
      <c r="R166" s="187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  <c r="AP166" s="188"/>
      <c r="AQ166" s="186"/>
      <c r="AR166" s="189"/>
      <c r="AS166" s="186"/>
      <c r="AT166" s="186"/>
      <c r="AU166" s="187"/>
      <c r="AV166" s="186"/>
      <c r="AW166" s="219"/>
      <c r="AX166" s="219"/>
      <c r="AY166" s="257"/>
      <c r="AZ166" s="258"/>
      <c r="BA166" s="258"/>
      <c r="BB166" s="258"/>
      <c r="BC166" s="258"/>
      <c r="BD166" s="260"/>
      <c r="BE166" s="260"/>
      <c r="BF166" s="164" t="e">
        <v>#N/A</v>
      </c>
      <c r="BG166" s="203">
        <f t="shared" si="4"/>
        <v>0</v>
      </c>
      <c r="BH166" s="255" t="str">
        <f t="shared" si="5"/>
        <v>#REF!</v>
      </c>
      <c r="BI166" s="75"/>
      <c r="BJ166" s="75"/>
      <c r="BK166" s="75"/>
      <c r="BL166" s="75"/>
      <c r="BM166" s="75"/>
      <c r="BN166" s="75"/>
      <c r="BO166" s="75"/>
      <c r="BP166" s="75"/>
      <c r="BQ166" s="75"/>
      <c r="BR166" s="75"/>
    </row>
    <row r="167">
      <c r="A167" s="6"/>
      <c r="B167" s="183"/>
      <c r="C167" s="184"/>
      <c r="D167" s="75"/>
      <c r="E167" s="256"/>
      <c r="F167" s="219"/>
      <c r="G167" s="253"/>
      <c r="H167" s="253"/>
      <c r="I167" s="75"/>
      <c r="J167" s="75"/>
      <c r="K167" s="186"/>
      <c r="L167" s="186"/>
      <c r="M167" s="186"/>
      <c r="N167" s="186"/>
      <c r="O167" s="186"/>
      <c r="P167" s="187"/>
      <c r="Q167" s="187"/>
      <c r="R167" s="187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  <c r="AP167" s="188"/>
      <c r="AQ167" s="186"/>
      <c r="AR167" s="189"/>
      <c r="AS167" s="186"/>
      <c r="AT167" s="186"/>
      <c r="AU167" s="187"/>
      <c r="AV167" s="186"/>
      <c r="AW167" s="219"/>
      <c r="AX167" s="219"/>
      <c r="AY167" s="257"/>
      <c r="AZ167" s="258"/>
      <c r="BA167" s="258"/>
      <c r="BB167" s="258"/>
      <c r="BC167" s="258"/>
      <c r="BD167" s="260"/>
      <c r="BE167" s="260"/>
      <c r="BF167" s="164" t="e">
        <v>#N/A</v>
      </c>
      <c r="BG167" s="203">
        <f t="shared" si="4"/>
        <v>0</v>
      </c>
      <c r="BH167" s="255" t="str">
        <f t="shared" si="5"/>
        <v>#REF!</v>
      </c>
      <c r="BI167" s="75"/>
      <c r="BJ167" s="75"/>
      <c r="BK167" s="75"/>
      <c r="BL167" s="75"/>
      <c r="BM167" s="75"/>
      <c r="BN167" s="75"/>
      <c r="BO167" s="75"/>
      <c r="BP167" s="75"/>
      <c r="BQ167" s="75"/>
      <c r="BR167" s="75"/>
    </row>
    <row r="168">
      <c r="A168" s="6"/>
      <c r="B168" s="183"/>
      <c r="C168" s="184"/>
      <c r="D168" s="75"/>
      <c r="E168" s="256"/>
      <c r="F168" s="219"/>
      <c r="G168" s="253"/>
      <c r="H168" s="253"/>
      <c r="I168" s="75"/>
      <c r="J168" s="75"/>
      <c r="K168" s="186"/>
      <c r="L168" s="186"/>
      <c r="M168" s="186"/>
      <c r="N168" s="186"/>
      <c r="O168" s="186"/>
      <c r="P168" s="187"/>
      <c r="Q168" s="187"/>
      <c r="R168" s="187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  <c r="AP168" s="188"/>
      <c r="AQ168" s="186"/>
      <c r="AR168" s="189"/>
      <c r="AS168" s="186"/>
      <c r="AT168" s="186"/>
      <c r="AU168" s="187"/>
      <c r="AV168" s="186"/>
      <c r="AW168" s="219"/>
      <c r="AX168" s="219"/>
      <c r="AY168" s="257"/>
      <c r="AZ168" s="258"/>
      <c r="BA168" s="258"/>
      <c r="BB168" s="258"/>
      <c r="BC168" s="258"/>
      <c r="BD168" s="260"/>
      <c r="BE168" s="260"/>
      <c r="BF168" s="164" t="e">
        <v>#N/A</v>
      </c>
      <c r="BG168" s="203">
        <f t="shared" si="4"/>
        <v>0</v>
      </c>
      <c r="BH168" s="255" t="str">
        <f t="shared" si="5"/>
        <v>#REF!</v>
      </c>
      <c r="BI168" s="75"/>
      <c r="BJ168" s="75"/>
      <c r="BK168" s="75"/>
      <c r="BL168" s="75"/>
      <c r="BM168" s="75"/>
      <c r="BN168" s="75"/>
      <c r="BO168" s="75"/>
      <c r="BP168" s="75"/>
      <c r="BQ168" s="75"/>
      <c r="BR168" s="75"/>
    </row>
    <row r="169">
      <c r="A169" s="6"/>
      <c r="B169" s="183"/>
      <c r="C169" s="184"/>
      <c r="D169" s="75"/>
      <c r="E169" s="256"/>
      <c r="F169" s="219"/>
      <c r="G169" s="253"/>
      <c r="H169" s="253"/>
      <c r="I169" s="75"/>
      <c r="J169" s="75"/>
      <c r="K169" s="186"/>
      <c r="L169" s="186"/>
      <c r="M169" s="186"/>
      <c r="N169" s="186"/>
      <c r="O169" s="186"/>
      <c r="P169" s="187"/>
      <c r="Q169" s="187"/>
      <c r="R169" s="187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  <c r="AP169" s="188"/>
      <c r="AQ169" s="186"/>
      <c r="AR169" s="189"/>
      <c r="AS169" s="186"/>
      <c r="AT169" s="186"/>
      <c r="AU169" s="187"/>
      <c r="AV169" s="186"/>
      <c r="AW169" s="219"/>
      <c r="AX169" s="219"/>
      <c r="AY169" s="257"/>
      <c r="AZ169" s="258"/>
      <c r="BA169" s="258"/>
      <c r="BB169" s="258"/>
      <c r="BC169" s="258"/>
      <c r="BD169" s="260"/>
      <c r="BE169" s="260"/>
      <c r="BF169" s="164" t="e">
        <v>#N/A</v>
      </c>
      <c r="BG169" s="203">
        <f t="shared" si="4"/>
        <v>0</v>
      </c>
      <c r="BH169" s="255" t="str">
        <f t="shared" si="5"/>
        <v>#REF!</v>
      </c>
      <c r="BI169" s="75"/>
      <c r="BJ169" s="75"/>
      <c r="BK169" s="75"/>
      <c r="BL169" s="75"/>
      <c r="BM169" s="75"/>
      <c r="BN169" s="75"/>
      <c r="BO169" s="75"/>
      <c r="BP169" s="75"/>
      <c r="BQ169" s="75"/>
      <c r="BR169" s="75"/>
    </row>
    <row r="170">
      <c r="A170" s="6"/>
      <c r="B170" s="183"/>
      <c r="C170" s="184"/>
      <c r="D170" s="75"/>
      <c r="E170" s="256"/>
      <c r="F170" s="219"/>
      <c r="G170" s="253"/>
      <c r="H170" s="253"/>
      <c r="I170" s="75"/>
      <c r="J170" s="75"/>
      <c r="K170" s="186"/>
      <c r="L170" s="186"/>
      <c r="M170" s="186"/>
      <c r="N170" s="186"/>
      <c r="O170" s="186"/>
      <c r="P170" s="187"/>
      <c r="Q170" s="187"/>
      <c r="R170" s="187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  <c r="AP170" s="188"/>
      <c r="AQ170" s="186"/>
      <c r="AR170" s="189"/>
      <c r="AS170" s="186"/>
      <c r="AT170" s="186"/>
      <c r="AU170" s="187"/>
      <c r="AV170" s="186"/>
      <c r="AW170" s="219"/>
      <c r="AX170" s="219"/>
      <c r="AY170" s="257"/>
      <c r="AZ170" s="258"/>
      <c r="BA170" s="258"/>
      <c r="BB170" s="258"/>
      <c r="BC170" s="258"/>
      <c r="BD170" s="260"/>
      <c r="BE170" s="260"/>
      <c r="BF170" s="164" t="e">
        <v>#N/A</v>
      </c>
      <c r="BG170" s="203">
        <f t="shared" si="4"/>
        <v>0</v>
      </c>
      <c r="BH170" s="255" t="str">
        <f t="shared" si="5"/>
        <v>#REF!</v>
      </c>
      <c r="BI170" s="75"/>
      <c r="BJ170" s="75"/>
      <c r="BK170" s="75"/>
      <c r="BL170" s="75"/>
      <c r="BM170" s="75"/>
      <c r="BN170" s="75"/>
      <c r="BO170" s="75"/>
      <c r="BP170" s="75"/>
      <c r="BQ170" s="75"/>
      <c r="BR170" s="75"/>
    </row>
    <row r="171">
      <c r="A171" s="6"/>
      <c r="B171" s="183"/>
      <c r="C171" s="184"/>
      <c r="D171" s="75"/>
      <c r="E171" s="256"/>
      <c r="F171" s="219"/>
      <c r="G171" s="253"/>
      <c r="H171" s="253"/>
      <c r="I171" s="75"/>
      <c r="J171" s="75"/>
      <c r="K171" s="186"/>
      <c r="L171" s="186"/>
      <c r="M171" s="186"/>
      <c r="N171" s="186"/>
      <c r="O171" s="186"/>
      <c r="P171" s="187"/>
      <c r="Q171" s="187"/>
      <c r="R171" s="187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6"/>
      <c r="AR171" s="189"/>
      <c r="AS171" s="186"/>
      <c r="AT171" s="186"/>
      <c r="AU171" s="187"/>
      <c r="AV171" s="186"/>
      <c r="AW171" s="219"/>
      <c r="AX171" s="219"/>
      <c r="AY171" s="257"/>
      <c r="AZ171" s="258"/>
      <c r="BA171" s="258"/>
      <c r="BB171" s="258"/>
      <c r="BC171" s="258"/>
      <c r="BD171" s="260"/>
      <c r="BE171" s="260"/>
      <c r="BF171" s="164" t="e">
        <v>#N/A</v>
      </c>
      <c r="BG171" s="203">
        <f t="shared" si="4"/>
        <v>0</v>
      </c>
      <c r="BH171" s="255" t="str">
        <f t="shared" si="5"/>
        <v>#REF!</v>
      </c>
      <c r="BI171" s="75"/>
      <c r="BJ171" s="75"/>
      <c r="BK171" s="75"/>
      <c r="BL171" s="75"/>
      <c r="BM171" s="75"/>
      <c r="BN171" s="75"/>
      <c r="BO171" s="75"/>
      <c r="BP171" s="75"/>
      <c r="BQ171" s="75"/>
      <c r="BR171" s="75"/>
    </row>
    <row r="172">
      <c r="A172" s="6"/>
      <c r="B172" s="183"/>
      <c r="C172" s="184"/>
      <c r="D172" s="75"/>
      <c r="E172" s="256"/>
      <c r="F172" s="219"/>
      <c r="G172" s="253"/>
      <c r="H172" s="253"/>
      <c r="I172" s="75"/>
      <c r="J172" s="75"/>
      <c r="K172" s="186"/>
      <c r="L172" s="186"/>
      <c r="M172" s="186"/>
      <c r="N172" s="186"/>
      <c r="O172" s="186"/>
      <c r="P172" s="187"/>
      <c r="Q172" s="187"/>
      <c r="R172" s="187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  <c r="AP172" s="188"/>
      <c r="AQ172" s="186"/>
      <c r="AR172" s="189"/>
      <c r="AS172" s="186"/>
      <c r="AT172" s="186"/>
      <c r="AU172" s="187"/>
      <c r="AV172" s="186"/>
      <c r="AW172" s="219"/>
      <c r="AX172" s="219"/>
      <c r="AY172" s="257"/>
      <c r="AZ172" s="258"/>
      <c r="BA172" s="258"/>
      <c r="BB172" s="258"/>
      <c r="BC172" s="258"/>
      <c r="BD172" s="260"/>
      <c r="BE172" s="260"/>
      <c r="BF172" s="164" t="e">
        <v>#N/A</v>
      </c>
      <c r="BG172" s="203">
        <f t="shared" si="4"/>
        <v>0</v>
      </c>
      <c r="BH172" s="255" t="str">
        <f t="shared" si="5"/>
        <v>#REF!</v>
      </c>
      <c r="BI172" s="75"/>
      <c r="BJ172" s="75"/>
      <c r="BK172" s="75"/>
      <c r="BL172" s="75"/>
      <c r="BM172" s="75"/>
      <c r="BN172" s="75"/>
      <c r="BO172" s="75"/>
      <c r="BP172" s="75"/>
      <c r="BQ172" s="75"/>
      <c r="BR172" s="75"/>
    </row>
    <row r="173">
      <c r="A173" s="6"/>
      <c r="B173" s="183"/>
      <c r="C173" s="184"/>
      <c r="D173" s="75"/>
      <c r="E173" s="256"/>
      <c r="F173" s="219"/>
      <c r="G173" s="253"/>
      <c r="H173" s="253"/>
      <c r="I173" s="75"/>
      <c r="J173" s="75"/>
      <c r="K173" s="186"/>
      <c r="L173" s="186"/>
      <c r="M173" s="186"/>
      <c r="N173" s="186"/>
      <c r="O173" s="186"/>
      <c r="P173" s="187"/>
      <c r="Q173" s="187"/>
      <c r="R173" s="187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  <c r="AP173" s="188"/>
      <c r="AQ173" s="186"/>
      <c r="AR173" s="189"/>
      <c r="AS173" s="186"/>
      <c r="AT173" s="186"/>
      <c r="AU173" s="187"/>
      <c r="AV173" s="186"/>
      <c r="AW173" s="219"/>
      <c r="AX173" s="219"/>
      <c r="AY173" s="257"/>
      <c r="AZ173" s="258"/>
      <c r="BA173" s="258"/>
      <c r="BB173" s="258"/>
      <c r="BC173" s="258"/>
      <c r="BD173" s="260"/>
      <c r="BE173" s="260"/>
      <c r="BF173" s="164" t="e">
        <v>#N/A</v>
      </c>
      <c r="BG173" s="203">
        <f t="shared" si="4"/>
        <v>0</v>
      </c>
      <c r="BH173" s="255" t="str">
        <f t="shared" si="5"/>
        <v>#REF!</v>
      </c>
      <c r="BI173" s="75"/>
      <c r="BJ173" s="75"/>
      <c r="BK173" s="75"/>
      <c r="BL173" s="75"/>
      <c r="BM173" s="75"/>
      <c r="BN173" s="75"/>
      <c r="BO173" s="75"/>
      <c r="BP173" s="75"/>
      <c r="BQ173" s="75"/>
      <c r="BR173" s="75"/>
    </row>
    <row r="174">
      <c r="A174" s="6"/>
      <c r="B174" s="183"/>
      <c r="C174" s="184"/>
      <c r="D174" s="75"/>
      <c r="E174" s="256"/>
      <c r="F174" s="219"/>
      <c r="G174" s="253"/>
      <c r="H174" s="253"/>
      <c r="I174" s="75"/>
      <c r="J174" s="75"/>
      <c r="K174" s="186"/>
      <c r="L174" s="186"/>
      <c r="M174" s="186"/>
      <c r="N174" s="186"/>
      <c r="O174" s="186"/>
      <c r="P174" s="187"/>
      <c r="Q174" s="187"/>
      <c r="R174" s="187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  <c r="AP174" s="188"/>
      <c r="AQ174" s="186"/>
      <c r="AR174" s="189"/>
      <c r="AS174" s="186"/>
      <c r="AT174" s="186"/>
      <c r="AU174" s="187"/>
      <c r="AV174" s="186"/>
      <c r="AW174" s="219"/>
      <c r="AX174" s="219"/>
      <c r="AY174" s="257"/>
      <c r="AZ174" s="258"/>
      <c r="BA174" s="258"/>
      <c r="BB174" s="258"/>
      <c r="BC174" s="258"/>
      <c r="BD174" s="260"/>
      <c r="BE174" s="260"/>
      <c r="BF174" s="164" t="e">
        <v>#N/A</v>
      </c>
      <c r="BG174" s="203">
        <f t="shared" si="4"/>
        <v>0</v>
      </c>
      <c r="BH174" s="255" t="str">
        <f t="shared" si="5"/>
        <v>#REF!</v>
      </c>
      <c r="BI174" s="75"/>
      <c r="BJ174" s="75"/>
      <c r="BK174" s="75"/>
      <c r="BL174" s="75"/>
      <c r="BM174" s="75"/>
      <c r="BN174" s="75"/>
      <c r="BO174" s="75"/>
      <c r="BP174" s="75"/>
      <c r="BQ174" s="75"/>
      <c r="BR174" s="75"/>
    </row>
    <row r="175">
      <c r="A175" s="6"/>
      <c r="B175" s="183"/>
      <c r="C175" s="184"/>
      <c r="D175" s="75"/>
      <c r="E175" s="256"/>
      <c r="F175" s="219"/>
      <c r="G175" s="253"/>
      <c r="H175" s="253"/>
      <c r="I175" s="75"/>
      <c r="J175" s="75"/>
      <c r="K175" s="186"/>
      <c r="L175" s="186"/>
      <c r="M175" s="186"/>
      <c r="N175" s="186"/>
      <c r="O175" s="186"/>
      <c r="P175" s="187"/>
      <c r="Q175" s="187"/>
      <c r="R175" s="187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  <c r="AP175" s="188"/>
      <c r="AQ175" s="186"/>
      <c r="AR175" s="189"/>
      <c r="AS175" s="186"/>
      <c r="AT175" s="186"/>
      <c r="AU175" s="187"/>
      <c r="AV175" s="186"/>
      <c r="AW175" s="219"/>
      <c r="AX175" s="219"/>
      <c r="AY175" s="257"/>
      <c r="AZ175" s="258"/>
      <c r="BA175" s="258"/>
      <c r="BB175" s="258"/>
      <c r="BC175" s="258"/>
      <c r="BD175" s="260"/>
      <c r="BE175" s="260"/>
      <c r="BF175" s="164" t="e">
        <v>#N/A</v>
      </c>
      <c r="BG175" s="203">
        <f t="shared" si="4"/>
        <v>0</v>
      </c>
      <c r="BH175" s="255" t="str">
        <f t="shared" si="5"/>
        <v>#REF!</v>
      </c>
      <c r="BI175" s="75"/>
      <c r="BJ175" s="75"/>
      <c r="BK175" s="75"/>
      <c r="BL175" s="75"/>
      <c r="BM175" s="75"/>
      <c r="BN175" s="75"/>
      <c r="BO175" s="75"/>
      <c r="BP175" s="75"/>
      <c r="BQ175" s="75"/>
      <c r="BR175" s="75"/>
    </row>
    <row r="176">
      <c r="A176" s="6"/>
      <c r="B176" s="183"/>
      <c r="C176" s="184"/>
      <c r="D176" s="75"/>
      <c r="E176" s="256"/>
      <c r="F176" s="219"/>
      <c r="G176" s="253"/>
      <c r="H176" s="253"/>
      <c r="I176" s="75"/>
      <c r="J176" s="75"/>
      <c r="K176" s="186"/>
      <c r="L176" s="186"/>
      <c r="M176" s="186"/>
      <c r="N176" s="186"/>
      <c r="O176" s="186"/>
      <c r="P176" s="187"/>
      <c r="Q176" s="187"/>
      <c r="R176" s="187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  <c r="AP176" s="188"/>
      <c r="AQ176" s="186"/>
      <c r="AR176" s="189"/>
      <c r="AS176" s="186"/>
      <c r="AT176" s="186"/>
      <c r="AU176" s="187"/>
      <c r="AV176" s="186"/>
      <c r="AW176" s="219"/>
      <c r="AX176" s="219"/>
      <c r="AY176" s="257"/>
      <c r="AZ176" s="258"/>
      <c r="BA176" s="258"/>
      <c r="BB176" s="258"/>
      <c r="BC176" s="258"/>
      <c r="BD176" s="260"/>
      <c r="BE176" s="260"/>
      <c r="BF176" s="164" t="e">
        <v>#N/A</v>
      </c>
      <c r="BG176" s="203">
        <f t="shared" si="4"/>
        <v>0</v>
      </c>
      <c r="BH176" s="255" t="str">
        <f t="shared" si="5"/>
        <v>#REF!</v>
      </c>
      <c r="BI176" s="75"/>
      <c r="BJ176" s="75"/>
      <c r="BK176" s="75"/>
      <c r="BL176" s="75"/>
      <c r="BM176" s="75"/>
      <c r="BN176" s="75"/>
      <c r="BO176" s="75"/>
      <c r="BP176" s="75"/>
      <c r="BQ176" s="75"/>
      <c r="BR176" s="75"/>
    </row>
    <row r="177">
      <c r="A177" s="6"/>
      <c r="B177" s="183"/>
      <c r="C177" s="184"/>
      <c r="D177" s="75"/>
      <c r="E177" s="256"/>
      <c r="F177" s="219"/>
      <c r="G177" s="253"/>
      <c r="H177" s="253"/>
      <c r="I177" s="75"/>
      <c r="J177" s="75"/>
      <c r="K177" s="186"/>
      <c r="L177" s="186"/>
      <c r="M177" s="186"/>
      <c r="N177" s="186"/>
      <c r="O177" s="186"/>
      <c r="P177" s="187"/>
      <c r="Q177" s="187"/>
      <c r="R177" s="187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  <c r="AP177" s="188"/>
      <c r="AQ177" s="186"/>
      <c r="AR177" s="189"/>
      <c r="AS177" s="186"/>
      <c r="AT177" s="186"/>
      <c r="AU177" s="187"/>
      <c r="AV177" s="186"/>
      <c r="AW177" s="219"/>
      <c r="AX177" s="219"/>
      <c r="AY177" s="257"/>
      <c r="AZ177" s="258"/>
      <c r="BA177" s="258"/>
      <c r="BB177" s="258"/>
      <c r="BC177" s="258"/>
      <c r="BD177" s="260"/>
      <c r="BE177" s="260"/>
      <c r="BF177" s="164" t="e">
        <v>#N/A</v>
      </c>
      <c r="BG177" s="203">
        <f t="shared" si="4"/>
        <v>0</v>
      </c>
      <c r="BH177" s="255" t="str">
        <f t="shared" si="5"/>
        <v>#REF!</v>
      </c>
      <c r="BI177" s="75"/>
      <c r="BJ177" s="75"/>
      <c r="BK177" s="75"/>
      <c r="BL177" s="75"/>
      <c r="BM177" s="75"/>
      <c r="BN177" s="75"/>
      <c r="BO177" s="75"/>
      <c r="BP177" s="75"/>
      <c r="BQ177" s="75"/>
      <c r="BR177" s="75"/>
    </row>
    <row r="178">
      <c r="A178" s="6"/>
      <c r="B178" s="183"/>
      <c r="C178" s="184"/>
      <c r="D178" s="75"/>
      <c r="E178" s="256"/>
      <c r="F178" s="219"/>
      <c r="G178" s="253"/>
      <c r="H178" s="253"/>
      <c r="I178" s="75"/>
      <c r="J178" s="75"/>
      <c r="K178" s="186"/>
      <c r="L178" s="186"/>
      <c r="M178" s="186"/>
      <c r="N178" s="186"/>
      <c r="O178" s="186"/>
      <c r="P178" s="187"/>
      <c r="Q178" s="187"/>
      <c r="R178" s="187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  <c r="AP178" s="188"/>
      <c r="AQ178" s="186"/>
      <c r="AR178" s="189"/>
      <c r="AS178" s="186"/>
      <c r="AT178" s="186"/>
      <c r="AU178" s="187"/>
      <c r="AV178" s="186"/>
      <c r="AW178" s="219"/>
      <c r="AX178" s="219"/>
      <c r="AY178" s="257"/>
      <c r="AZ178" s="258"/>
      <c r="BA178" s="258"/>
      <c r="BB178" s="258"/>
      <c r="BC178" s="258"/>
      <c r="BD178" s="260"/>
      <c r="BE178" s="260"/>
      <c r="BF178" s="164" t="e">
        <v>#N/A</v>
      </c>
      <c r="BG178" s="203">
        <f t="shared" si="4"/>
        <v>0</v>
      </c>
      <c r="BH178" s="255" t="str">
        <f t="shared" si="5"/>
        <v>#REF!</v>
      </c>
      <c r="BI178" s="75"/>
      <c r="BJ178" s="75"/>
      <c r="BK178" s="75"/>
      <c r="BL178" s="75"/>
      <c r="BM178" s="75"/>
      <c r="BN178" s="75"/>
      <c r="BO178" s="75"/>
      <c r="BP178" s="75"/>
      <c r="BQ178" s="75"/>
      <c r="BR178" s="75"/>
    </row>
    <row r="179">
      <c r="A179" s="6"/>
      <c r="B179" s="183"/>
      <c r="C179" s="184"/>
      <c r="D179" s="75"/>
      <c r="E179" s="256"/>
      <c r="F179" s="219"/>
      <c r="G179" s="253"/>
      <c r="H179" s="253"/>
      <c r="I179" s="75"/>
      <c r="J179" s="75"/>
      <c r="K179" s="186"/>
      <c r="L179" s="186"/>
      <c r="M179" s="186"/>
      <c r="N179" s="186"/>
      <c r="O179" s="186"/>
      <c r="P179" s="187"/>
      <c r="Q179" s="187"/>
      <c r="R179" s="187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  <c r="AP179" s="188"/>
      <c r="AQ179" s="186"/>
      <c r="AR179" s="189"/>
      <c r="AS179" s="186"/>
      <c r="AT179" s="186"/>
      <c r="AU179" s="187"/>
      <c r="AV179" s="186"/>
      <c r="AW179" s="219"/>
      <c r="AX179" s="219"/>
      <c r="AY179" s="257"/>
      <c r="AZ179" s="258"/>
      <c r="BA179" s="258"/>
      <c r="BB179" s="258"/>
      <c r="BC179" s="258"/>
      <c r="BD179" s="260"/>
      <c r="BE179" s="260"/>
      <c r="BF179" s="164" t="e">
        <v>#N/A</v>
      </c>
      <c r="BG179" s="203">
        <f t="shared" si="4"/>
        <v>0</v>
      </c>
      <c r="BH179" s="255" t="str">
        <f t="shared" si="5"/>
        <v>#REF!</v>
      </c>
      <c r="BI179" s="75"/>
      <c r="BJ179" s="75"/>
      <c r="BK179" s="75"/>
      <c r="BL179" s="75"/>
      <c r="BM179" s="75"/>
      <c r="BN179" s="75"/>
      <c r="BO179" s="75"/>
      <c r="BP179" s="75"/>
      <c r="BQ179" s="75"/>
      <c r="BR179" s="75"/>
    </row>
    <row r="180">
      <c r="A180" s="6"/>
      <c r="B180" s="183"/>
      <c r="C180" s="184"/>
      <c r="D180" s="75"/>
      <c r="E180" s="256"/>
      <c r="F180" s="219"/>
      <c r="G180" s="253"/>
      <c r="H180" s="253"/>
      <c r="I180" s="75"/>
      <c r="J180" s="75"/>
      <c r="K180" s="186"/>
      <c r="L180" s="186"/>
      <c r="M180" s="186"/>
      <c r="N180" s="186"/>
      <c r="O180" s="186"/>
      <c r="P180" s="187"/>
      <c r="Q180" s="187"/>
      <c r="R180" s="187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6"/>
      <c r="AR180" s="189"/>
      <c r="AS180" s="186"/>
      <c r="AT180" s="186"/>
      <c r="AU180" s="187"/>
      <c r="AV180" s="186"/>
      <c r="AW180" s="219"/>
      <c r="AX180" s="219"/>
      <c r="AY180" s="257"/>
      <c r="AZ180" s="258"/>
      <c r="BA180" s="258"/>
      <c r="BB180" s="258"/>
      <c r="BC180" s="258"/>
      <c r="BD180" s="260"/>
      <c r="BE180" s="260"/>
      <c r="BF180" s="164" t="e">
        <v>#N/A</v>
      </c>
      <c r="BG180" s="203">
        <f t="shared" si="4"/>
        <v>0</v>
      </c>
      <c r="BH180" s="255" t="str">
        <f t="shared" si="5"/>
        <v>#REF!</v>
      </c>
      <c r="BI180" s="75"/>
      <c r="BJ180" s="75"/>
      <c r="BK180" s="75"/>
      <c r="BL180" s="75"/>
      <c r="BM180" s="75"/>
      <c r="BN180" s="75"/>
      <c r="BO180" s="75"/>
      <c r="BP180" s="75"/>
      <c r="BQ180" s="75"/>
      <c r="BR180" s="75"/>
    </row>
    <row r="181">
      <c r="A181" s="6"/>
      <c r="B181" s="183"/>
      <c r="C181" s="184"/>
      <c r="D181" s="75"/>
      <c r="E181" s="256"/>
      <c r="F181" s="219"/>
      <c r="G181" s="253"/>
      <c r="H181" s="253"/>
      <c r="I181" s="75"/>
      <c r="J181" s="75"/>
      <c r="K181" s="186"/>
      <c r="L181" s="186"/>
      <c r="M181" s="186"/>
      <c r="N181" s="186"/>
      <c r="O181" s="186"/>
      <c r="P181" s="187"/>
      <c r="Q181" s="187"/>
      <c r="R181" s="187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  <c r="AP181" s="188"/>
      <c r="AQ181" s="186"/>
      <c r="AR181" s="189"/>
      <c r="AS181" s="186"/>
      <c r="AT181" s="186"/>
      <c r="AU181" s="187"/>
      <c r="AV181" s="186"/>
      <c r="AW181" s="219"/>
      <c r="AX181" s="219"/>
      <c r="AY181" s="257"/>
      <c r="AZ181" s="258"/>
      <c r="BA181" s="258"/>
      <c r="BB181" s="258"/>
      <c r="BC181" s="258"/>
      <c r="BD181" s="260"/>
      <c r="BE181" s="260"/>
      <c r="BF181" s="164" t="e">
        <v>#N/A</v>
      </c>
      <c r="BG181" s="203">
        <f t="shared" si="4"/>
        <v>0</v>
      </c>
      <c r="BH181" s="255" t="str">
        <f t="shared" si="5"/>
        <v>#REF!</v>
      </c>
      <c r="BI181" s="75"/>
      <c r="BJ181" s="75"/>
      <c r="BK181" s="75"/>
      <c r="BL181" s="75"/>
      <c r="BM181" s="75"/>
      <c r="BN181" s="75"/>
      <c r="BO181" s="75"/>
      <c r="BP181" s="75"/>
      <c r="BQ181" s="75"/>
      <c r="BR181" s="75"/>
    </row>
    <row r="182">
      <c r="A182" s="6"/>
      <c r="B182" s="183"/>
      <c r="C182" s="184"/>
      <c r="D182" s="75"/>
      <c r="E182" s="256"/>
      <c r="F182" s="219"/>
      <c r="G182" s="253"/>
      <c r="H182" s="253"/>
      <c r="I182" s="75"/>
      <c r="J182" s="75"/>
      <c r="K182" s="186"/>
      <c r="L182" s="186"/>
      <c r="M182" s="186"/>
      <c r="N182" s="186"/>
      <c r="O182" s="186"/>
      <c r="P182" s="187"/>
      <c r="Q182" s="187"/>
      <c r="R182" s="187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  <c r="AP182" s="188"/>
      <c r="AQ182" s="186"/>
      <c r="AR182" s="189"/>
      <c r="AS182" s="186"/>
      <c r="AT182" s="186"/>
      <c r="AU182" s="187"/>
      <c r="AV182" s="186"/>
      <c r="AW182" s="219"/>
      <c r="AX182" s="219"/>
      <c r="AY182" s="257"/>
      <c r="AZ182" s="258"/>
      <c r="BA182" s="258"/>
      <c r="BB182" s="258"/>
      <c r="BC182" s="258"/>
      <c r="BD182" s="260"/>
      <c r="BE182" s="260"/>
      <c r="BF182" s="164" t="e">
        <v>#N/A</v>
      </c>
      <c r="BG182" s="203">
        <f t="shared" si="4"/>
        <v>0</v>
      </c>
      <c r="BH182" s="255" t="str">
        <f t="shared" si="5"/>
        <v>#REF!</v>
      </c>
      <c r="BI182" s="75"/>
      <c r="BJ182" s="75"/>
      <c r="BK182" s="75"/>
      <c r="BL182" s="75"/>
      <c r="BM182" s="75"/>
      <c r="BN182" s="75"/>
      <c r="BO182" s="75"/>
      <c r="BP182" s="75"/>
      <c r="BQ182" s="75"/>
      <c r="BR182" s="75"/>
    </row>
    <row r="183">
      <c r="A183" s="6"/>
      <c r="B183" s="183"/>
      <c r="C183" s="184"/>
      <c r="D183" s="75"/>
      <c r="E183" s="256"/>
      <c r="F183" s="219"/>
      <c r="G183" s="253"/>
      <c r="H183" s="253"/>
      <c r="I183" s="75"/>
      <c r="J183" s="75"/>
      <c r="K183" s="186"/>
      <c r="L183" s="186"/>
      <c r="M183" s="186"/>
      <c r="N183" s="186"/>
      <c r="O183" s="186"/>
      <c r="P183" s="187"/>
      <c r="Q183" s="187"/>
      <c r="R183" s="187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  <c r="AP183" s="188"/>
      <c r="AQ183" s="186"/>
      <c r="AR183" s="189"/>
      <c r="AS183" s="186"/>
      <c r="AT183" s="186"/>
      <c r="AU183" s="187"/>
      <c r="AV183" s="186"/>
      <c r="AW183" s="219"/>
      <c r="AX183" s="219"/>
      <c r="AY183" s="257"/>
      <c r="AZ183" s="258"/>
      <c r="BA183" s="258"/>
      <c r="BB183" s="258"/>
      <c r="BC183" s="258"/>
      <c r="BD183" s="260"/>
      <c r="BE183" s="260"/>
      <c r="BF183" s="164" t="e">
        <v>#N/A</v>
      </c>
      <c r="BG183" s="203">
        <f t="shared" si="4"/>
        <v>0</v>
      </c>
      <c r="BH183" s="255" t="str">
        <f t="shared" si="5"/>
        <v>#REF!</v>
      </c>
      <c r="BI183" s="75"/>
      <c r="BJ183" s="75"/>
      <c r="BK183" s="75"/>
      <c r="BL183" s="75"/>
      <c r="BM183" s="75"/>
      <c r="BN183" s="75"/>
      <c r="BO183" s="75"/>
      <c r="BP183" s="75"/>
      <c r="BQ183" s="75"/>
      <c r="BR183" s="75"/>
    </row>
    <row r="184">
      <c r="A184" s="6"/>
      <c r="B184" s="183"/>
      <c r="C184" s="184"/>
      <c r="D184" s="75"/>
      <c r="E184" s="256"/>
      <c r="F184" s="219"/>
      <c r="G184" s="253"/>
      <c r="H184" s="253"/>
      <c r="I184" s="75"/>
      <c r="J184" s="75"/>
      <c r="K184" s="186"/>
      <c r="L184" s="186"/>
      <c r="M184" s="186"/>
      <c r="N184" s="186"/>
      <c r="O184" s="186"/>
      <c r="P184" s="187"/>
      <c r="Q184" s="187"/>
      <c r="R184" s="187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  <c r="AP184" s="188"/>
      <c r="AQ184" s="186"/>
      <c r="AR184" s="189"/>
      <c r="AS184" s="186"/>
      <c r="AT184" s="186"/>
      <c r="AU184" s="187"/>
      <c r="AV184" s="186"/>
      <c r="AW184" s="219"/>
      <c r="AX184" s="219"/>
      <c r="AY184" s="257"/>
      <c r="AZ184" s="258"/>
      <c r="BA184" s="258"/>
      <c r="BB184" s="258"/>
      <c r="BC184" s="258"/>
      <c r="BD184" s="260"/>
      <c r="BE184" s="260"/>
      <c r="BF184" s="164" t="e">
        <v>#N/A</v>
      </c>
      <c r="BG184" s="203">
        <f t="shared" si="4"/>
        <v>0</v>
      </c>
      <c r="BH184" s="255" t="str">
        <f t="shared" si="5"/>
        <v>#REF!</v>
      </c>
      <c r="BI184" s="75"/>
      <c r="BJ184" s="75"/>
      <c r="BK184" s="75"/>
      <c r="BL184" s="75"/>
      <c r="BM184" s="75"/>
      <c r="BN184" s="75"/>
      <c r="BO184" s="75"/>
      <c r="BP184" s="75"/>
      <c r="BQ184" s="75"/>
      <c r="BR184" s="75"/>
    </row>
    <row r="185">
      <c r="A185" s="6"/>
      <c r="B185" s="183"/>
      <c r="C185" s="184"/>
      <c r="D185" s="75"/>
      <c r="E185" s="256"/>
      <c r="F185" s="219"/>
      <c r="G185" s="253"/>
      <c r="H185" s="253"/>
      <c r="I185" s="75"/>
      <c r="J185" s="75"/>
      <c r="K185" s="186"/>
      <c r="L185" s="186"/>
      <c r="M185" s="186"/>
      <c r="N185" s="186"/>
      <c r="O185" s="186"/>
      <c r="P185" s="187"/>
      <c r="Q185" s="187"/>
      <c r="R185" s="187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  <c r="AP185" s="188"/>
      <c r="AQ185" s="186"/>
      <c r="AR185" s="189"/>
      <c r="AS185" s="186"/>
      <c r="AT185" s="186"/>
      <c r="AU185" s="187"/>
      <c r="AV185" s="186"/>
      <c r="AW185" s="219"/>
      <c r="AX185" s="219"/>
      <c r="AY185" s="257"/>
      <c r="AZ185" s="258"/>
      <c r="BA185" s="258"/>
      <c r="BB185" s="258"/>
      <c r="BC185" s="258"/>
      <c r="BD185" s="260"/>
      <c r="BE185" s="260"/>
      <c r="BF185" s="164" t="e">
        <v>#N/A</v>
      </c>
      <c r="BG185" s="203">
        <f t="shared" si="4"/>
        <v>0</v>
      </c>
      <c r="BH185" s="255" t="str">
        <f t="shared" si="5"/>
        <v>#REF!</v>
      </c>
      <c r="BI185" s="75"/>
      <c r="BJ185" s="75"/>
      <c r="BK185" s="75"/>
      <c r="BL185" s="75"/>
      <c r="BM185" s="75"/>
      <c r="BN185" s="75"/>
      <c r="BO185" s="75"/>
      <c r="BP185" s="75"/>
      <c r="BQ185" s="75"/>
      <c r="BR185" s="75"/>
    </row>
    <row r="186">
      <c r="A186" s="6"/>
      <c r="B186" s="183"/>
      <c r="C186" s="184"/>
      <c r="D186" s="75"/>
      <c r="E186" s="256"/>
      <c r="F186" s="219"/>
      <c r="G186" s="253"/>
      <c r="H186" s="253"/>
      <c r="I186" s="75"/>
      <c r="J186" s="75"/>
      <c r="K186" s="186"/>
      <c r="L186" s="186"/>
      <c r="M186" s="186"/>
      <c r="N186" s="186"/>
      <c r="O186" s="186"/>
      <c r="P186" s="187"/>
      <c r="Q186" s="187"/>
      <c r="R186" s="187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  <c r="AP186" s="188"/>
      <c r="AQ186" s="186"/>
      <c r="AR186" s="189"/>
      <c r="AS186" s="186"/>
      <c r="AT186" s="186"/>
      <c r="AU186" s="187"/>
      <c r="AV186" s="186"/>
      <c r="AW186" s="219"/>
      <c r="AX186" s="219"/>
      <c r="AY186" s="257"/>
      <c r="AZ186" s="258"/>
      <c r="BA186" s="258"/>
      <c r="BB186" s="258"/>
      <c r="BC186" s="258"/>
      <c r="BD186" s="260"/>
      <c r="BE186" s="260"/>
      <c r="BF186" s="164" t="e">
        <v>#N/A</v>
      </c>
      <c r="BG186" s="203">
        <f t="shared" si="4"/>
        <v>0</v>
      </c>
      <c r="BH186" s="255" t="str">
        <f t="shared" si="5"/>
        <v>#REF!</v>
      </c>
      <c r="BI186" s="75"/>
      <c r="BJ186" s="75"/>
      <c r="BK186" s="75"/>
      <c r="BL186" s="75"/>
      <c r="BM186" s="75"/>
      <c r="BN186" s="75"/>
      <c r="BO186" s="75"/>
      <c r="BP186" s="75"/>
      <c r="BQ186" s="75"/>
      <c r="BR186" s="75"/>
    </row>
    <row r="187">
      <c r="A187" s="6"/>
      <c r="B187" s="183"/>
      <c r="C187" s="184"/>
      <c r="D187" s="75"/>
      <c r="E187" s="256"/>
      <c r="F187" s="219"/>
      <c r="G187" s="253"/>
      <c r="H187" s="253"/>
      <c r="I187" s="75"/>
      <c r="J187" s="75"/>
      <c r="K187" s="186"/>
      <c r="L187" s="186"/>
      <c r="M187" s="186"/>
      <c r="N187" s="186"/>
      <c r="O187" s="186"/>
      <c r="P187" s="187"/>
      <c r="Q187" s="187"/>
      <c r="R187" s="187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  <c r="AP187" s="188"/>
      <c r="AQ187" s="186"/>
      <c r="AR187" s="189"/>
      <c r="AS187" s="186"/>
      <c r="AT187" s="186"/>
      <c r="AU187" s="187"/>
      <c r="AV187" s="186"/>
      <c r="AW187" s="219"/>
      <c r="AX187" s="219"/>
      <c r="AY187" s="257"/>
      <c r="AZ187" s="258"/>
      <c r="BA187" s="258"/>
      <c r="BB187" s="258"/>
      <c r="BC187" s="258"/>
      <c r="BD187" s="260"/>
      <c r="BE187" s="260"/>
      <c r="BF187" s="164" t="e">
        <v>#N/A</v>
      </c>
      <c r="BG187" s="203">
        <f t="shared" si="4"/>
        <v>0</v>
      </c>
      <c r="BH187" s="255" t="str">
        <f t="shared" si="5"/>
        <v>#REF!</v>
      </c>
      <c r="BI187" s="75"/>
      <c r="BJ187" s="75"/>
      <c r="BK187" s="75"/>
      <c r="BL187" s="75"/>
      <c r="BM187" s="75"/>
      <c r="BN187" s="75"/>
      <c r="BO187" s="75"/>
      <c r="BP187" s="75"/>
      <c r="BQ187" s="75"/>
      <c r="BR187" s="75"/>
    </row>
    <row r="188">
      <c r="A188" s="6"/>
      <c r="B188" s="183"/>
      <c r="C188" s="184"/>
      <c r="D188" s="75"/>
      <c r="E188" s="256"/>
      <c r="F188" s="219"/>
      <c r="G188" s="253"/>
      <c r="H188" s="253"/>
      <c r="I188" s="75"/>
      <c r="J188" s="75"/>
      <c r="K188" s="186"/>
      <c r="L188" s="186"/>
      <c r="M188" s="186"/>
      <c r="N188" s="186"/>
      <c r="O188" s="186"/>
      <c r="P188" s="187"/>
      <c r="Q188" s="187"/>
      <c r="R188" s="187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  <c r="AP188" s="188"/>
      <c r="AQ188" s="186"/>
      <c r="AR188" s="189"/>
      <c r="AS188" s="186"/>
      <c r="AT188" s="186"/>
      <c r="AU188" s="187"/>
      <c r="AV188" s="186"/>
      <c r="AW188" s="219"/>
      <c r="AX188" s="219"/>
      <c r="AY188" s="257"/>
      <c r="AZ188" s="258"/>
      <c r="BA188" s="258"/>
      <c r="BB188" s="258"/>
      <c r="BC188" s="258"/>
      <c r="BD188" s="260"/>
      <c r="BE188" s="260"/>
      <c r="BF188" s="164" t="e">
        <v>#N/A</v>
      </c>
      <c r="BG188" s="203">
        <f t="shared" si="4"/>
        <v>0</v>
      </c>
      <c r="BH188" s="255" t="str">
        <f t="shared" si="5"/>
        <v>#REF!</v>
      </c>
      <c r="BI188" s="75"/>
      <c r="BJ188" s="75"/>
      <c r="BK188" s="75"/>
      <c r="BL188" s="75"/>
      <c r="BM188" s="75"/>
      <c r="BN188" s="75"/>
      <c r="BO188" s="75"/>
      <c r="BP188" s="75"/>
      <c r="BQ188" s="75"/>
      <c r="BR188" s="75"/>
    </row>
    <row r="189">
      <c r="A189" s="6"/>
      <c r="B189" s="183"/>
      <c r="C189" s="184"/>
      <c r="D189" s="75"/>
      <c r="E189" s="256"/>
      <c r="F189" s="219"/>
      <c r="G189" s="253"/>
      <c r="H189" s="253"/>
      <c r="I189" s="75"/>
      <c r="J189" s="75"/>
      <c r="K189" s="186"/>
      <c r="L189" s="186"/>
      <c r="M189" s="186"/>
      <c r="N189" s="186"/>
      <c r="O189" s="186"/>
      <c r="P189" s="187"/>
      <c r="Q189" s="187"/>
      <c r="R189" s="187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  <c r="AP189" s="188"/>
      <c r="AQ189" s="186"/>
      <c r="AR189" s="189"/>
      <c r="AS189" s="186"/>
      <c r="AT189" s="186"/>
      <c r="AU189" s="187"/>
      <c r="AV189" s="186"/>
      <c r="AW189" s="219"/>
      <c r="AX189" s="219"/>
      <c r="AY189" s="257"/>
      <c r="AZ189" s="258"/>
      <c r="BA189" s="258"/>
      <c r="BB189" s="258"/>
      <c r="BC189" s="258"/>
      <c r="BD189" s="260"/>
      <c r="BE189" s="260"/>
      <c r="BF189" s="164" t="e">
        <v>#N/A</v>
      </c>
      <c r="BG189" s="203">
        <f t="shared" si="4"/>
        <v>0</v>
      </c>
      <c r="BH189" s="255" t="str">
        <f t="shared" si="5"/>
        <v>#REF!</v>
      </c>
      <c r="BI189" s="75"/>
      <c r="BJ189" s="75"/>
      <c r="BK189" s="75"/>
      <c r="BL189" s="75"/>
      <c r="BM189" s="75"/>
      <c r="BN189" s="75"/>
      <c r="BO189" s="75"/>
      <c r="BP189" s="75"/>
      <c r="BQ189" s="75"/>
      <c r="BR189" s="75"/>
    </row>
    <row r="190">
      <c r="A190" s="6"/>
      <c r="B190" s="183"/>
      <c r="C190" s="184"/>
      <c r="D190" s="75"/>
      <c r="E190" s="256"/>
      <c r="F190" s="219"/>
      <c r="G190" s="253"/>
      <c r="H190" s="253"/>
      <c r="I190" s="75"/>
      <c r="J190" s="75"/>
      <c r="K190" s="186"/>
      <c r="L190" s="186"/>
      <c r="M190" s="186"/>
      <c r="N190" s="186"/>
      <c r="O190" s="186"/>
      <c r="P190" s="187"/>
      <c r="Q190" s="187"/>
      <c r="R190" s="187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  <c r="AP190" s="188"/>
      <c r="AQ190" s="186"/>
      <c r="AR190" s="189"/>
      <c r="AS190" s="186"/>
      <c r="AT190" s="186"/>
      <c r="AU190" s="187"/>
      <c r="AV190" s="186"/>
      <c r="AW190" s="219"/>
      <c r="AX190" s="219"/>
      <c r="AY190" s="257"/>
      <c r="AZ190" s="258"/>
      <c r="BA190" s="258"/>
      <c r="BB190" s="258"/>
      <c r="BC190" s="258"/>
      <c r="BD190" s="260"/>
      <c r="BE190" s="260"/>
      <c r="BF190" s="164" t="e">
        <v>#N/A</v>
      </c>
      <c r="BG190" s="203">
        <f t="shared" si="4"/>
        <v>0</v>
      </c>
      <c r="BH190" s="255" t="str">
        <f t="shared" si="5"/>
        <v>#REF!</v>
      </c>
      <c r="BI190" s="75"/>
      <c r="BJ190" s="75"/>
      <c r="BK190" s="75"/>
      <c r="BL190" s="75"/>
      <c r="BM190" s="75"/>
      <c r="BN190" s="75"/>
      <c r="BO190" s="75"/>
      <c r="BP190" s="75"/>
      <c r="BQ190" s="75"/>
      <c r="BR190" s="75"/>
    </row>
    <row r="191">
      <c r="A191" s="6"/>
      <c r="B191" s="183"/>
      <c r="C191" s="184"/>
      <c r="D191" s="75"/>
      <c r="E191" s="256"/>
      <c r="F191" s="219"/>
      <c r="G191" s="253"/>
      <c r="H191" s="253"/>
      <c r="I191" s="75"/>
      <c r="J191" s="75"/>
      <c r="K191" s="186"/>
      <c r="L191" s="186"/>
      <c r="M191" s="186"/>
      <c r="N191" s="186"/>
      <c r="O191" s="186"/>
      <c r="P191" s="187"/>
      <c r="Q191" s="187"/>
      <c r="R191" s="187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  <c r="AP191" s="188"/>
      <c r="AQ191" s="186"/>
      <c r="AR191" s="189"/>
      <c r="AS191" s="186"/>
      <c r="AT191" s="186"/>
      <c r="AU191" s="187"/>
      <c r="AV191" s="186"/>
      <c r="AW191" s="219"/>
      <c r="AX191" s="219"/>
      <c r="AY191" s="257"/>
      <c r="AZ191" s="258"/>
      <c r="BA191" s="258"/>
      <c r="BB191" s="258"/>
      <c r="BC191" s="258"/>
      <c r="BD191" s="260"/>
      <c r="BE191" s="260"/>
      <c r="BF191" s="164" t="e">
        <v>#N/A</v>
      </c>
      <c r="BG191" s="203">
        <f t="shared" si="4"/>
        <v>0</v>
      </c>
      <c r="BH191" s="255" t="str">
        <f t="shared" si="5"/>
        <v>#REF!</v>
      </c>
      <c r="BI191" s="75"/>
      <c r="BJ191" s="75"/>
      <c r="BK191" s="75"/>
      <c r="BL191" s="75"/>
      <c r="BM191" s="75"/>
      <c r="BN191" s="75"/>
      <c r="BO191" s="75"/>
      <c r="BP191" s="75"/>
      <c r="BQ191" s="75"/>
      <c r="BR191" s="75"/>
    </row>
    <row r="192">
      <c r="A192" s="6"/>
      <c r="B192" s="183"/>
      <c r="C192" s="184"/>
      <c r="D192" s="75"/>
      <c r="E192" s="256"/>
      <c r="F192" s="219"/>
      <c r="G192" s="253"/>
      <c r="H192" s="253"/>
      <c r="I192" s="75"/>
      <c r="J192" s="75"/>
      <c r="K192" s="186"/>
      <c r="L192" s="186"/>
      <c r="M192" s="186"/>
      <c r="N192" s="186"/>
      <c r="O192" s="186"/>
      <c r="P192" s="187"/>
      <c r="Q192" s="187"/>
      <c r="R192" s="187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  <c r="AP192" s="188"/>
      <c r="AQ192" s="186"/>
      <c r="AR192" s="189"/>
      <c r="AS192" s="186"/>
      <c r="AT192" s="186"/>
      <c r="AU192" s="187"/>
      <c r="AV192" s="186"/>
      <c r="AW192" s="219"/>
      <c r="AX192" s="219"/>
      <c r="AY192" s="257"/>
      <c r="AZ192" s="258"/>
      <c r="BA192" s="258"/>
      <c r="BB192" s="258"/>
      <c r="BC192" s="258"/>
      <c r="BD192" s="260"/>
      <c r="BE192" s="260"/>
      <c r="BF192" s="164" t="e">
        <v>#N/A</v>
      </c>
      <c r="BG192" s="203">
        <f t="shared" si="4"/>
        <v>0</v>
      </c>
      <c r="BH192" s="255" t="str">
        <f t="shared" si="5"/>
        <v>#REF!</v>
      </c>
      <c r="BI192" s="75"/>
      <c r="BJ192" s="75"/>
      <c r="BK192" s="75"/>
      <c r="BL192" s="75"/>
      <c r="BM192" s="75"/>
      <c r="BN192" s="75"/>
      <c r="BO192" s="75"/>
      <c r="BP192" s="75"/>
      <c r="BQ192" s="75"/>
      <c r="BR192" s="75"/>
    </row>
    <row r="193">
      <c r="A193" s="6"/>
      <c r="B193" s="183"/>
      <c r="C193" s="184"/>
      <c r="D193" s="75"/>
      <c r="E193" s="256"/>
      <c r="F193" s="219"/>
      <c r="G193" s="253"/>
      <c r="H193" s="253"/>
      <c r="I193" s="75"/>
      <c r="J193" s="75"/>
      <c r="K193" s="186"/>
      <c r="L193" s="186"/>
      <c r="M193" s="186"/>
      <c r="N193" s="186"/>
      <c r="O193" s="186"/>
      <c r="P193" s="187"/>
      <c r="Q193" s="187"/>
      <c r="R193" s="187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  <c r="AP193" s="188"/>
      <c r="AQ193" s="186"/>
      <c r="AR193" s="189"/>
      <c r="AS193" s="186"/>
      <c r="AT193" s="186"/>
      <c r="AU193" s="187"/>
      <c r="AV193" s="186"/>
      <c r="AW193" s="219"/>
      <c r="AX193" s="219"/>
      <c r="AY193" s="257"/>
      <c r="AZ193" s="258"/>
      <c r="BA193" s="258"/>
      <c r="BB193" s="258"/>
      <c r="BC193" s="258"/>
      <c r="BD193" s="260"/>
      <c r="BE193" s="260"/>
      <c r="BF193" s="164" t="e">
        <v>#N/A</v>
      </c>
      <c r="BG193" s="203">
        <f t="shared" si="4"/>
        <v>0</v>
      </c>
      <c r="BH193" s="255" t="str">
        <f t="shared" si="5"/>
        <v>#REF!</v>
      </c>
      <c r="BI193" s="75"/>
      <c r="BJ193" s="75"/>
      <c r="BK193" s="75"/>
      <c r="BL193" s="75"/>
      <c r="BM193" s="75"/>
      <c r="BN193" s="75"/>
      <c r="BO193" s="75"/>
      <c r="BP193" s="75"/>
      <c r="BQ193" s="75"/>
      <c r="BR193" s="75"/>
    </row>
    <row r="194">
      <c r="A194" s="6"/>
      <c r="B194" s="183"/>
      <c r="C194" s="183"/>
      <c r="D194" s="75"/>
      <c r="E194" s="75"/>
      <c r="F194" s="219"/>
      <c r="G194" s="219"/>
      <c r="H194" s="219"/>
      <c r="I194" s="75"/>
      <c r="J194" s="75"/>
      <c r="K194" s="75"/>
      <c r="L194" s="75"/>
      <c r="M194" s="75"/>
      <c r="N194" s="75"/>
      <c r="O194" s="75"/>
      <c r="P194" s="187"/>
      <c r="Q194" s="187"/>
      <c r="R194" s="187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75"/>
      <c r="AK194" s="75"/>
      <c r="AL194" s="75"/>
      <c r="AM194" s="75"/>
      <c r="AN194" s="75"/>
      <c r="AO194" s="75"/>
      <c r="AP194" s="75"/>
      <c r="AQ194" s="75"/>
      <c r="AR194" s="75"/>
      <c r="AS194" s="75"/>
      <c r="AT194" s="75"/>
      <c r="AU194" s="75"/>
      <c r="AV194" s="75"/>
      <c r="AW194" s="219"/>
      <c r="AX194" s="219"/>
      <c r="AY194" s="254"/>
      <c r="AZ194" s="219"/>
      <c r="BA194" s="219"/>
      <c r="BB194" s="219"/>
      <c r="BC194" s="219"/>
      <c r="BD194" s="75"/>
      <c r="BE194" s="75"/>
      <c r="BF194" s="164" t="e">
        <v>#N/A</v>
      </c>
      <c r="BG194" s="124">
        <f t="shared" si="4"/>
        <v>0</v>
      </c>
      <c r="BH194" s="255" t="str">
        <f t="shared" si="5"/>
        <v>#REF!</v>
      </c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</row>
    <row r="195">
      <c r="A195" s="6"/>
      <c r="B195" s="183"/>
      <c r="C195" s="184"/>
      <c r="D195" s="75"/>
      <c r="E195" s="75"/>
      <c r="F195" s="219"/>
      <c r="G195" s="219"/>
      <c r="H195" s="219"/>
      <c r="I195" s="75"/>
      <c r="J195" s="75"/>
      <c r="K195" s="75"/>
      <c r="L195" s="75"/>
      <c r="M195" s="75"/>
      <c r="N195" s="75"/>
      <c r="O195" s="75"/>
      <c r="P195" s="187"/>
      <c r="Q195" s="187"/>
      <c r="R195" s="187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75"/>
      <c r="AM195" s="75"/>
      <c r="AN195" s="75"/>
      <c r="AO195" s="75"/>
      <c r="AP195" s="75"/>
      <c r="AQ195" s="75"/>
      <c r="AR195" s="75"/>
      <c r="AS195" s="75"/>
      <c r="AT195" s="75"/>
      <c r="AU195" s="75"/>
      <c r="AV195" s="75"/>
      <c r="AW195" s="219"/>
      <c r="AX195" s="219"/>
      <c r="AY195" s="254"/>
      <c r="AZ195" s="219"/>
      <c r="BA195" s="219"/>
      <c r="BB195" s="219"/>
      <c r="BC195" s="219"/>
      <c r="BD195" s="75"/>
      <c r="BE195" s="75"/>
      <c r="BF195" s="164" t="e">
        <v>#N/A</v>
      </c>
      <c r="BG195" s="124">
        <f t="shared" si="4"/>
        <v>0</v>
      </c>
      <c r="BH195" s="255" t="str">
        <f t="shared" si="5"/>
        <v>#REF!</v>
      </c>
      <c r="BI195" s="75"/>
      <c r="BJ195" s="75"/>
      <c r="BK195" s="75"/>
      <c r="BL195" s="75"/>
      <c r="BM195" s="75"/>
      <c r="BN195" s="75"/>
      <c r="BO195" s="75"/>
      <c r="BP195" s="75"/>
      <c r="BQ195" s="75"/>
      <c r="BR195" s="75"/>
    </row>
    <row r="196">
      <c r="A196" s="6"/>
      <c r="B196" s="183"/>
      <c r="C196" s="261"/>
      <c r="D196" s="75"/>
      <c r="E196" s="75"/>
      <c r="F196" s="219"/>
      <c r="G196" s="219"/>
      <c r="H196" s="219"/>
      <c r="I196" s="75"/>
      <c r="J196" s="75"/>
      <c r="K196" s="75"/>
      <c r="L196" s="75"/>
      <c r="M196" s="75"/>
      <c r="N196" s="75"/>
      <c r="O196" s="75"/>
      <c r="P196" s="187"/>
      <c r="Q196" s="187"/>
      <c r="R196" s="187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5"/>
      <c r="AS196" s="75"/>
      <c r="AT196" s="75"/>
      <c r="AU196" s="75"/>
      <c r="AV196" s="75"/>
      <c r="AW196" s="219"/>
      <c r="AX196" s="219"/>
      <c r="AY196" s="254"/>
      <c r="AZ196" s="219"/>
      <c r="BA196" s="219"/>
      <c r="BB196" s="219"/>
      <c r="BC196" s="219"/>
      <c r="BD196" s="75"/>
      <c r="BE196" s="75"/>
      <c r="BF196" s="164" t="e">
        <v>#N/A</v>
      </c>
      <c r="BG196" s="124">
        <f t="shared" si="4"/>
        <v>0</v>
      </c>
      <c r="BH196" s="255" t="str">
        <f t="shared" si="5"/>
        <v>#REF!</v>
      </c>
      <c r="BI196" s="75"/>
      <c r="BJ196" s="75"/>
      <c r="BK196" s="75"/>
      <c r="BL196" s="75"/>
      <c r="BM196" s="75"/>
      <c r="BN196" s="75"/>
      <c r="BO196" s="75"/>
      <c r="BP196" s="75"/>
      <c r="BQ196" s="75"/>
      <c r="BR196" s="75"/>
    </row>
    <row r="197">
      <c r="A197" s="6"/>
      <c r="B197" s="183"/>
      <c r="C197" s="184"/>
      <c r="D197" s="75"/>
      <c r="E197" s="75"/>
      <c r="F197" s="219"/>
      <c r="G197" s="219"/>
      <c r="H197" s="219"/>
      <c r="I197" s="75"/>
      <c r="J197" s="75"/>
      <c r="K197" s="75"/>
      <c r="L197" s="75"/>
      <c r="M197" s="75"/>
      <c r="N197" s="75"/>
      <c r="O197" s="75"/>
      <c r="P197" s="187"/>
      <c r="Q197" s="187"/>
      <c r="R197" s="187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75"/>
      <c r="AK197" s="75"/>
      <c r="AL197" s="75"/>
      <c r="AM197" s="75"/>
      <c r="AN197" s="75"/>
      <c r="AO197" s="75"/>
      <c r="AP197" s="75"/>
      <c r="AQ197" s="75"/>
      <c r="AR197" s="75"/>
      <c r="AS197" s="75"/>
      <c r="AT197" s="75"/>
      <c r="AU197" s="75"/>
      <c r="AV197" s="75"/>
      <c r="AW197" s="219"/>
      <c r="AX197" s="219"/>
      <c r="AY197" s="254"/>
      <c r="AZ197" s="219"/>
      <c r="BA197" s="219"/>
      <c r="BB197" s="219"/>
      <c r="BC197" s="219"/>
      <c r="BD197" s="75"/>
      <c r="BE197" s="75"/>
      <c r="BF197" s="164" t="e">
        <v>#N/A</v>
      </c>
      <c r="BG197" s="124">
        <f t="shared" si="4"/>
        <v>0</v>
      </c>
      <c r="BH197" s="255" t="str">
        <f t="shared" si="5"/>
        <v>#REF!</v>
      </c>
      <c r="BI197" s="75"/>
      <c r="BJ197" s="75"/>
      <c r="BK197" s="75"/>
      <c r="BL197" s="75"/>
      <c r="BM197" s="75"/>
      <c r="BN197" s="75"/>
      <c r="BO197" s="75"/>
      <c r="BP197" s="75"/>
      <c r="BQ197" s="75"/>
      <c r="BR197" s="75"/>
    </row>
    <row r="198">
      <c r="A198" s="6"/>
      <c r="B198" s="183"/>
      <c r="C198" s="184"/>
      <c r="D198" s="75"/>
      <c r="E198" s="75"/>
      <c r="F198" s="219"/>
      <c r="G198" s="219"/>
      <c r="H198" s="219"/>
      <c r="I198" s="75"/>
      <c r="J198" s="75"/>
      <c r="K198" s="75"/>
      <c r="L198" s="75"/>
      <c r="M198" s="75"/>
      <c r="N198" s="75"/>
      <c r="O198" s="75"/>
      <c r="P198" s="187"/>
      <c r="Q198" s="187"/>
      <c r="R198" s="187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75"/>
      <c r="AM198" s="75"/>
      <c r="AN198" s="75"/>
      <c r="AO198" s="75"/>
      <c r="AP198" s="75"/>
      <c r="AQ198" s="75"/>
      <c r="AR198" s="75"/>
      <c r="AS198" s="75"/>
      <c r="AT198" s="75"/>
      <c r="AU198" s="75"/>
      <c r="AV198" s="75"/>
      <c r="AW198" s="219"/>
      <c r="AX198" s="219"/>
      <c r="AY198" s="254"/>
      <c r="AZ198" s="219"/>
      <c r="BA198" s="219"/>
      <c r="BB198" s="219"/>
      <c r="BC198" s="219"/>
      <c r="BD198" s="75"/>
      <c r="BE198" s="75"/>
      <c r="BF198" s="164" t="e">
        <v>#N/A</v>
      </c>
      <c r="BG198" s="124">
        <f t="shared" si="4"/>
        <v>0</v>
      </c>
      <c r="BH198" s="255" t="str">
        <f t="shared" si="5"/>
        <v>#REF!</v>
      </c>
      <c r="BI198" s="75"/>
      <c r="BJ198" s="75"/>
      <c r="BK198" s="75"/>
      <c r="BL198" s="75"/>
      <c r="BM198" s="75"/>
      <c r="BN198" s="75"/>
      <c r="BO198" s="75"/>
      <c r="BP198" s="75"/>
      <c r="BQ198" s="75"/>
      <c r="BR198" s="75"/>
    </row>
    <row r="199">
      <c r="A199" s="6"/>
      <c r="B199" s="183"/>
      <c r="C199" s="184"/>
      <c r="D199" s="75"/>
      <c r="E199" s="75"/>
      <c r="F199" s="219"/>
      <c r="G199" s="219"/>
      <c r="H199" s="219"/>
      <c r="I199" s="75"/>
      <c r="J199" s="75"/>
      <c r="K199" s="75"/>
      <c r="L199" s="75"/>
      <c r="M199" s="75"/>
      <c r="N199" s="75"/>
      <c r="O199" s="75"/>
      <c r="P199" s="187"/>
      <c r="Q199" s="187"/>
      <c r="R199" s="187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75"/>
      <c r="AK199" s="75"/>
      <c r="AL199" s="75"/>
      <c r="AM199" s="75"/>
      <c r="AN199" s="75"/>
      <c r="AO199" s="75"/>
      <c r="AP199" s="75"/>
      <c r="AQ199" s="75"/>
      <c r="AR199" s="75"/>
      <c r="AS199" s="75"/>
      <c r="AT199" s="75"/>
      <c r="AU199" s="75"/>
      <c r="AV199" s="75"/>
      <c r="AW199" s="219"/>
      <c r="AX199" s="219"/>
      <c r="AY199" s="254"/>
      <c r="AZ199" s="219"/>
      <c r="BA199" s="219"/>
      <c r="BB199" s="219"/>
      <c r="BC199" s="219"/>
      <c r="BD199" s="75"/>
      <c r="BE199" s="75"/>
      <c r="BF199" s="164" t="e">
        <v>#N/A</v>
      </c>
      <c r="BG199" s="124">
        <f t="shared" si="4"/>
        <v>0</v>
      </c>
      <c r="BH199" s="255" t="str">
        <f t="shared" si="5"/>
        <v>#REF!</v>
      </c>
      <c r="BI199" s="75"/>
      <c r="BJ199" s="75"/>
      <c r="BK199" s="75"/>
      <c r="BL199" s="75"/>
      <c r="BM199" s="75"/>
      <c r="BN199" s="75"/>
      <c r="BO199" s="75"/>
      <c r="BP199" s="75"/>
      <c r="BQ199" s="75"/>
      <c r="BR199" s="75"/>
    </row>
    <row r="200">
      <c r="A200" s="6"/>
      <c r="B200" s="183"/>
      <c r="C200" s="183"/>
      <c r="D200" s="75"/>
      <c r="E200" s="75"/>
      <c r="F200" s="219"/>
      <c r="G200" s="219"/>
      <c r="H200" s="219"/>
      <c r="I200" s="75"/>
      <c r="J200" s="75"/>
      <c r="K200" s="75"/>
      <c r="L200" s="75"/>
      <c r="M200" s="75"/>
      <c r="N200" s="75"/>
      <c r="O200" s="75"/>
      <c r="P200" s="187"/>
      <c r="Q200" s="187"/>
      <c r="R200" s="187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/>
      <c r="AT200" s="75"/>
      <c r="AU200" s="75"/>
      <c r="AV200" s="75"/>
      <c r="AW200" s="219"/>
      <c r="AX200" s="219"/>
      <c r="AY200" s="254"/>
      <c r="AZ200" s="219"/>
      <c r="BA200" s="219"/>
      <c r="BB200" s="219"/>
      <c r="BC200" s="219"/>
      <c r="BD200" s="75"/>
      <c r="BE200" s="75"/>
      <c r="BF200" s="164" t="e">
        <v>#N/A</v>
      </c>
      <c r="BG200" s="124">
        <f t="shared" si="4"/>
        <v>0</v>
      </c>
      <c r="BH200" s="255" t="str">
        <f t="shared" si="5"/>
        <v>#REF!</v>
      </c>
      <c r="BI200" s="75"/>
      <c r="BJ200" s="75"/>
      <c r="BK200" s="75"/>
      <c r="BL200" s="75"/>
      <c r="BM200" s="75"/>
      <c r="BN200" s="75"/>
      <c r="BO200" s="75"/>
      <c r="BP200" s="75"/>
      <c r="BQ200" s="75"/>
      <c r="BR200" s="75"/>
    </row>
    <row r="201">
      <c r="A201" s="6"/>
      <c r="B201" s="183"/>
      <c r="C201" s="183"/>
      <c r="D201" s="75"/>
      <c r="E201" s="75"/>
      <c r="F201" s="219"/>
      <c r="G201" s="219"/>
      <c r="H201" s="219"/>
      <c r="I201" s="75"/>
      <c r="J201" s="75"/>
      <c r="K201" s="75"/>
      <c r="L201" s="75"/>
      <c r="M201" s="75"/>
      <c r="N201" s="75"/>
      <c r="O201" s="75"/>
      <c r="P201" s="187"/>
      <c r="Q201" s="187"/>
      <c r="R201" s="187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5"/>
      <c r="AL201" s="75"/>
      <c r="AM201" s="75"/>
      <c r="AN201" s="75"/>
      <c r="AO201" s="75"/>
      <c r="AP201" s="75"/>
      <c r="AQ201" s="75"/>
      <c r="AR201" s="75"/>
      <c r="AS201" s="75"/>
      <c r="AT201" s="75"/>
      <c r="AU201" s="75"/>
      <c r="AV201" s="75"/>
      <c r="AW201" s="219"/>
      <c r="AX201" s="219"/>
      <c r="AY201" s="254"/>
      <c r="AZ201" s="219"/>
      <c r="BA201" s="219"/>
      <c r="BB201" s="219"/>
      <c r="BC201" s="219"/>
      <c r="BD201" s="75"/>
      <c r="BE201" s="75"/>
      <c r="BF201" s="164" t="e">
        <v>#N/A</v>
      </c>
      <c r="BG201" s="124">
        <f t="shared" si="4"/>
        <v>0</v>
      </c>
      <c r="BH201" s="255" t="str">
        <f t="shared" si="5"/>
        <v>#REF!</v>
      </c>
      <c r="BI201" s="75"/>
      <c r="BJ201" s="75"/>
      <c r="BK201" s="75"/>
      <c r="BL201" s="75"/>
      <c r="BM201" s="75"/>
      <c r="BN201" s="75"/>
      <c r="BO201" s="75"/>
      <c r="BP201" s="75"/>
      <c r="BQ201" s="75"/>
      <c r="BR201" s="75"/>
    </row>
    <row r="202">
      <c r="A202" s="6"/>
      <c r="B202" s="183"/>
      <c r="C202" s="184"/>
      <c r="D202" s="75"/>
      <c r="E202" s="75"/>
      <c r="F202" s="219"/>
      <c r="G202" s="219"/>
      <c r="H202" s="219"/>
      <c r="I202" s="75"/>
      <c r="J202" s="75"/>
      <c r="K202" s="75"/>
      <c r="L202" s="75"/>
      <c r="M202" s="75"/>
      <c r="N202" s="75"/>
      <c r="O202" s="75"/>
      <c r="P202" s="187"/>
      <c r="Q202" s="187"/>
      <c r="R202" s="187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75"/>
      <c r="AK202" s="75"/>
      <c r="AL202" s="75"/>
      <c r="AM202" s="75"/>
      <c r="AN202" s="75"/>
      <c r="AO202" s="75"/>
      <c r="AP202" s="75"/>
      <c r="AQ202" s="75"/>
      <c r="AR202" s="75"/>
      <c r="AS202" s="75"/>
      <c r="AT202" s="75"/>
      <c r="AU202" s="75"/>
      <c r="AV202" s="75"/>
      <c r="AW202" s="219"/>
      <c r="AX202" s="219"/>
      <c r="AY202" s="254"/>
      <c r="AZ202" s="219"/>
      <c r="BA202" s="219"/>
      <c r="BB202" s="219"/>
      <c r="BC202" s="219"/>
      <c r="BD202" s="75"/>
      <c r="BE202" s="75"/>
      <c r="BF202" s="164" t="e">
        <v>#N/A</v>
      </c>
      <c r="BG202" s="124">
        <f t="shared" si="4"/>
        <v>0</v>
      </c>
      <c r="BH202" s="255" t="str">
        <f t="shared" si="5"/>
        <v>#REF!</v>
      </c>
      <c r="BI202" s="75"/>
      <c r="BJ202" s="75"/>
      <c r="BK202" s="75"/>
      <c r="BL202" s="75"/>
      <c r="BM202" s="75"/>
      <c r="BN202" s="75"/>
      <c r="BO202" s="75"/>
      <c r="BP202" s="75"/>
      <c r="BQ202" s="75"/>
      <c r="BR202" s="75"/>
    </row>
    <row r="203">
      <c r="A203" s="6"/>
      <c r="B203" s="183"/>
      <c r="C203" s="184"/>
      <c r="D203" s="75"/>
      <c r="E203" s="75"/>
      <c r="F203" s="219"/>
      <c r="G203" s="219"/>
      <c r="H203" s="219"/>
      <c r="I203" s="75"/>
      <c r="J203" s="75"/>
      <c r="K203" s="75"/>
      <c r="L203" s="75"/>
      <c r="M203" s="75"/>
      <c r="N203" s="75"/>
      <c r="O203" s="75"/>
      <c r="P203" s="187"/>
      <c r="Q203" s="187"/>
      <c r="R203" s="187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75"/>
      <c r="AK203" s="75"/>
      <c r="AL203" s="75"/>
      <c r="AM203" s="75"/>
      <c r="AN203" s="75"/>
      <c r="AO203" s="75"/>
      <c r="AP203" s="75"/>
      <c r="AQ203" s="75"/>
      <c r="AR203" s="75"/>
      <c r="AS203" s="75"/>
      <c r="AT203" s="75"/>
      <c r="AU203" s="75"/>
      <c r="AV203" s="75"/>
      <c r="AW203" s="219"/>
      <c r="AX203" s="219"/>
      <c r="AY203" s="254"/>
      <c r="AZ203" s="219"/>
      <c r="BA203" s="219"/>
      <c r="BB203" s="219"/>
      <c r="BC203" s="219"/>
      <c r="BD203" s="75"/>
      <c r="BE203" s="75"/>
      <c r="BF203" s="164" t="e">
        <v>#N/A</v>
      </c>
      <c r="BG203" s="124">
        <f t="shared" si="4"/>
        <v>0</v>
      </c>
      <c r="BH203" s="255"/>
      <c r="BI203" s="75"/>
      <c r="BJ203" s="75"/>
      <c r="BK203" s="75"/>
      <c r="BL203" s="75"/>
      <c r="BM203" s="75"/>
      <c r="BN203" s="75"/>
      <c r="BO203" s="75"/>
      <c r="BP203" s="75"/>
      <c r="BQ203" s="75"/>
      <c r="BR203" s="75"/>
    </row>
    <row r="204">
      <c r="A204" s="6"/>
      <c r="B204" s="183"/>
      <c r="C204" s="184"/>
      <c r="D204" s="75"/>
      <c r="E204" s="75"/>
      <c r="F204" s="219"/>
      <c r="G204" s="219"/>
      <c r="H204" s="219"/>
      <c r="I204" s="75"/>
      <c r="J204" s="75"/>
      <c r="K204" s="75"/>
      <c r="L204" s="75"/>
      <c r="M204" s="75"/>
      <c r="N204" s="75"/>
      <c r="O204" s="75"/>
      <c r="P204" s="187"/>
      <c r="Q204" s="187"/>
      <c r="R204" s="187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75"/>
      <c r="AK204" s="75"/>
      <c r="AL204" s="75"/>
      <c r="AM204" s="75"/>
      <c r="AN204" s="75"/>
      <c r="AO204" s="75"/>
      <c r="AP204" s="75"/>
      <c r="AQ204" s="75"/>
      <c r="AR204" s="75"/>
      <c r="AS204" s="75"/>
      <c r="AT204" s="75"/>
      <c r="AU204" s="75"/>
      <c r="AV204" s="75"/>
      <c r="AW204" s="219"/>
      <c r="AX204" s="219"/>
      <c r="AY204" s="254"/>
      <c r="AZ204" s="219"/>
      <c r="BA204" s="219"/>
      <c r="BB204" s="219"/>
      <c r="BC204" s="219"/>
      <c r="BD204" s="75"/>
      <c r="BE204" s="75"/>
      <c r="BF204" s="164" t="e">
        <v>#N/A</v>
      </c>
      <c r="BG204" s="124">
        <f t="shared" si="4"/>
        <v>0</v>
      </c>
      <c r="BH204" s="255"/>
      <c r="BI204" s="75"/>
      <c r="BJ204" s="75"/>
      <c r="BK204" s="75"/>
      <c r="BL204" s="75"/>
      <c r="BM204" s="75"/>
      <c r="BN204" s="75"/>
      <c r="BO204" s="75"/>
      <c r="BP204" s="75"/>
      <c r="BQ204" s="75"/>
      <c r="BR204" s="75"/>
    </row>
    <row r="205">
      <c r="A205" s="6"/>
      <c r="B205" s="183"/>
      <c r="C205" s="184"/>
      <c r="D205" s="75"/>
      <c r="E205" s="75"/>
      <c r="F205" s="219"/>
      <c r="G205" s="219"/>
      <c r="H205" s="219"/>
      <c r="I205" s="75"/>
      <c r="J205" s="75"/>
      <c r="K205" s="75"/>
      <c r="L205" s="75"/>
      <c r="M205" s="75"/>
      <c r="N205" s="75"/>
      <c r="O205" s="75"/>
      <c r="P205" s="187"/>
      <c r="Q205" s="187"/>
      <c r="R205" s="187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75"/>
      <c r="AK205" s="75"/>
      <c r="AL205" s="75"/>
      <c r="AM205" s="75"/>
      <c r="AN205" s="75"/>
      <c r="AO205" s="75"/>
      <c r="AP205" s="75"/>
      <c r="AQ205" s="75"/>
      <c r="AR205" s="75"/>
      <c r="AS205" s="75"/>
      <c r="AT205" s="75"/>
      <c r="AU205" s="75"/>
      <c r="AV205" s="75"/>
      <c r="AW205" s="219"/>
      <c r="AX205" s="219"/>
      <c r="AY205" s="254"/>
      <c r="AZ205" s="219"/>
      <c r="BA205" s="219"/>
      <c r="BB205" s="219"/>
      <c r="BC205" s="219"/>
      <c r="BD205" s="75"/>
      <c r="BE205" s="75"/>
      <c r="BF205" s="164" t="e">
        <v>#N/A</v>
      </c>
      <c r="BG205" s="124">
        <f t="shared" si="4"/>
        <v>0</v>
      </c>
      <c r="BH205" s="255"/>
      <c r="BI205" s="75"/>
      <c r="BJ205" s="75"/>
      <c r="BK205" s="75"/>
      <c r="BL205" s="75"/>
      <c r="BM205" s="75"/>
      <c r="BN205" s="75"/>
      <c r="BO205" s="75"/>
      <c r="BP205" s="75"/>
      <c r="BQ205" s="75"/>
      <c r="BR205" s="75"/>
    </row>
    <row r="206">
      <c r="A206" s="6"/>
      <c r="B206" s="183"/>
      <c r="C206" s="184"/>
      <c r="D206" s="75"/>
      <c r="E206" s="75"/>
      <c r="F206" s="219"/>
      <c r="G206" s="219"/>
      <c r="H206" s="219"/>
      <c r="I206" s="75"/>
      <c r="J206" s="75"/>
      <c r="K206" s="75"/>
      <c r="L206" s="75"/>
      <c r="M206" s="75"/>
      <c r="N206" s="75"/>
      <c r="O206" s="75"/>
      <c r="P206" s="187"/>
      <c r="Q206" s="187"/>
      <c r="R206" s="187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75"/>
      <c r="AK206" s="75"/>
      <c r="AL206" s="75"/>
      <c r="AM206" s="75"/>
      <c r="AN206" s="75"/>
      <c r="AO206" s="75"/>
      <c r="AP206" s="75"/>
      <c r="AQ206" s="75"/>
      <c r="AR206" s="75"/>
      <c r="AS206" s="75"/>
      <c r="AT206" s="75"/>
      <c r="AU206" s="75"/>
      <c r="AV206" s="75"/>
      <c r="AW206" s="219"/>
      <c r="AX206" s="219"/>
      <c r="AY206" s="254"/>
      <c r="AZ206" s="219"/>
      <c r="BA206" s="219"/>
      <c r="BB206" s="219"/>
      <c r="BC206" s="219"/>
      <c r="BD206" s="75"/>
      <c r="BE206" s="75"/>
      <c r="BF206" s="164" t="e">
        <v>#N/A</v>
      </c>
      <c r="BG206" s="124">
        <f t="shared" si="4"/>
        <v>0</v>
      </c>
      <c r="BH206" s="255"/>
      <c r="BI206" s="75"/>
      <c r="BJ206" s="75"/>
      <c r="BK206" s="75"/>
      <c r="BL206" s="75"/>
      <c r="BM206" s="75"/>
      <c r="BN206" s="75"/>
      <c r="BO206" s="75"/>
      <c r="BP206" s="75"/>
      <c r="BQ206" s="75"/>
      <c r="BR206" s="75"/>
    </row>
    <row r="207">
      <c r="A207" s="6"/>
      <c r="B207" s="183"/>
      <c r="C207" s="184"/>
      <c r="D207" s="75"/>
      <c r="E207" s="75"/>
      <c r="F207" s="219"/>
      <c r="G207" s="219"/>
      <c r="H207" s="219"/>
      <c r="I207" s="75"/>
      <c r="J207" s="75"/>
      <c r="K207" s="75"/>
      <c r="L207" s="75"/>
      <c r="M207" s="75"/>
      <c r="N207" s="75"/>
      <c r="O207" s="75"/>
      <c r="P207" s="187"/>
      <c r="Q207" s="187"/>
      <c r="R207" s="187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/>
      <c r="AL207" s="75"/>
      <c r="AM207" s="75"/>
      <c r="AN207" s="75"/>
      <c r="AO207" s="75"/>
      <c r="AP207" s="75"/>
      <c r="AQ207" s="75"/>
      <c r="AR207" s="75"/>
      <c r="AS207" s="75"/>
      <c r="AT207" s="75"/>
      <c r="AU207" s="75"/>
      <c r="AV207" s="75"/>
      <c r="AW207" s="219"/>
      <c r="AX207" s="219"/>
      <c r="AY207" s="254"/>
      <c r="AZ207" s="219"/>
      <c r="BA207" s="219"/>
      <c r="BB207" s="219"/>
      <c r="BC207" s="219"/>
      <c r="BD207" s="75"/>
      <c r="BE207" s="75"/>
      <c r="BF207" s="164" t="e">
        <v>#N/A</v>
      </c>
      <c r="BG207" s="124">
        <f t="shared" si="4"/>
        <v>0</v>
      </c>
      <c r="BH207" s="255"/>
      <c r="BI207" s="75"/>
      <c r="BJ207" s="75"/>
      <c r="BK207" s="75"/>
      <c r="BL207" s="75"/>
      <c r="BM207" s="75"/>
      <c r="BN207" s="75"/>
      <c r="BO207" s="75"/>
      <c r="BP207" s="75"/>
      <c r="BQ207" s="75"/>
      <c r="BR207" s="75"/>
    </row>
    <row r="208">
      <c r="A208" s="6"/>
      <c r="B208" s="183"/>
      <c r="C208" s="184"/>
      <c r="D208" s="75"/>
      <c r="E208" s="75"/>
      <c r="F208" s="219"/>
      <c r="G208" s="219"/>
      <c r="H208" s="219"/>
      <c r="I208" s="75"/>
      <c r="J208" s="75"/>
      <c r="K208" s="75"/>
      <c r="L208" s="75"/>
      <c r="M208" s="75"/>
      <c r="N208" s="75"/>
      <c r="O208" s="75"/>
      <c r="P208" s="187"/>
      <c r="Q208" s="187"/>
      <c r="R208" s="187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75"/>
      <c r="AK208" s="75"/>
      <c r="AL208" s="75"/>
      <c r="AM208" s="75"/>
      <c r="AN208" s="75"/>
      <c r="AO208" s="75"/>
      <c r="AP208" s="75"/>
      <c r="AQ208" s="75"/>
      <c r="AR208" s="75"/>
      <c r="AS208" s="75"/>
      <c r="AT208" s="75"/>
      <c r="AU208" s="75"/>
      <c r="AV208" s="75"/>
      <c r="AW208" s="219"/>
      <c r="AX208" s="219"/>
      <c r="AY208" s="254"/>
      <c r="AZ208" s="219"/>
      <c r="BA208" s="219"/>
      <c r="BB208" s="219"/>
      <c r="BC208" s="219"/>
      <c r="BD208" s="75"/>
      <c r="BE208" s="75"/>
      <c r="BF208" s="164" t="e">
        <v>#N/A</v>
      </c>
      <c r="BG208" s="124">
        <f t="shared" si="4"/>
        <v>0</v>
      </c>
      <c r="BH208" s="255"/>
      <c r="BI208" s="75"/>
      <c r="BJ208" s="75"/>
      <c r="BK208" s="75"/>
      <c r="BL208" s="75"/>
      <c r="BM208" s="75"/>
      <c r="BN208" s="75"/>
      <c r="BO208" s="75"/>
      <c r="BP208" s="75"/>
      <c r="BQ208" s="75"/>
      <c r="BR208" s="75"/>
    </row>
    <row r="209">
      <c r="A209" s="6"/>
      <c r="B209" s="183"/>
      <c r="C209" s="184"/>
      <c r="D209" s="75"/>
      <c r="E209" s="75"/>
      <c r="F209" s="219"/>
      <c r="G209" s="219"/>
      <c r="H209" s="219"/>
      <c r="I209" s="75"/>
      <c r="J209" s="75"/>
      <c r="K209" s="75"/>
      <c r="L209" s="75"/>
      <c r="M209" s="75"/>
      <c r="N209" s="75"/>
      <c r="O209" s="75"/>
      <c r="P209" s="187"/>
      <c r="Q209" s="187"/>
      <c r="R209" s="187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219"/>
      <c r="AX209" s="219"/>
      <c r="AY209" s="254"/>
      <c r="AZ209" s="219"/>
      <c r="BA209" s="219"/>
      <c r="BB209" s="219"/>
      <c r="BC209" s="219"/>
      <c r="BD209" s="75"/>
      <c r="BE209" s="75"/>
      <c r="BF209" s="164" t="e">
        <v>#N/A</v>
      </c>
      <c r="BG209" s="124">
        <f t="shared" si="4"/>
        <v>0</v>
      </c>
      <c r="BH209" s="25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</row>
    <row r="210">
      <c r="A210" s="6"/>
      <c r="B210" s="183"/>
      <c r="C210" s="184"/>
      <c r="D210" s="75"/>
      <c r="E210" s="75"/>
      <c r="F210" s="219"/>
      <c r="G210" s="219"/>
      <c r="H210" s="219"/>
      <c r="I210" s="75"/>
      <c r="J210" s="75"/>
      <c r="K210" s="75"/>
      <c r="L210" s="75"/>
      <c r="M210" s="75"/>
      <c r="N210" s="75"/>
      <c r="O210" s="75"/>
      <c r="P210" s="187"/>
      <c r="Q210" s="187"/>
      <c r="R210" s="187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75"/>
      <c r="AK210" s="75"/>
      <c r="AL210" s="75"/>
      <c r="AM210" s="75"/>
      <c r="AN210" s="75"/>
      <c r="AO210" s="75"/>
      <c r="AP210" s="75"/>
      <c r="AQ210" s="75"/>
      <c r="AR210" s="75"/>
      <c r="AS210" s="75"/>
      <c r="AT210" s="75"/>
      <c r="AU210" s="75"/>
      <c r="AV210" s="75"/>
      <c r="AW210" s="219"/>
      <c r="AX210" s="219"/>
      <c r="AY210" s="254"/>
      <c r="AZ210" s="219"/>
      <c r="BA210" s="219"/>
      <c r="BB210" s="219"/>
      <c r="BC210" s="219"/>
      <c r="BD210" s="75"/>
      <c r="BE210" s="75"/>
      <c r="BF210" s="164" t="e">
        <v>#N/A</v>
      </c>
      <c r="BG210" s="124">
        <f t="shared" si="4"/>
        <v>0</v>
      </c>
      <c r="BH210" s="255"/>
      <c r="BI210" s="75"/>
      <c r="BJ210" s="75"/>
      <c r="BK210" s="75"/>
      <c r="BL210" s="75"/>
      <c r="BM210" s="75"/>
      <c r="BN210" s="75"/>
      <c r="BO210" s="75"/>
      <c r="BP210" s="75"/>
      <c r="BQ210" s="75"/>
      <c r="BR210" s="75"/>
    </row>
    <row r="211">
      <c r="A211" s="6"/>
      <c r="B211" s="183"/>
      <c r="C211" s="184"/>
      <c r="D211" s="75"/>
      <c r="E211" s="75"/>
      <c r="F211" s="219"/>
      <c r="G211" s="219"/>
      <c r="H211" s="219"/>
      <c r="I211" s="75"/>
      <c r="J211" s="75"/>
      <c r="K211" s="75"/>
      <c r="L211" s="75"/>
      <c r="M211" s="75"/>
      <c r="N211" s="75"/>
      <c r="O211" s="75"/>
      <c r="P211" s="187"/>
      <c r="Q211" s="187"/>
      <c r="R211" s="187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75"/>
      <c r="AK211" s="75"/>
      <c r="AL211" s="75"/>
      <c r="AM211" s="75"/>
      <c r="AN211" s="75"/>
      <c r="AO211" s="75"/>
      <c r="AP211" s="75"/>
      <c r="AQ211" s="75"/>
      <c r="AR211" s="75"/>
      <c r="AS211" s="75"/>
      <c r="AT211" s="75"/>
      <c r="AU211" s="75"/>
      <c r="AV211" s="75"/>
      <c r="AW211" s="219"/>
      <c r="AX211" s="219"/>
      <c r="AY211" s="254"/>
      <c r="AZ211" s="219"/>
      <c r="BA211" s="219"/>
      <c r="BB211" s="219"/>
      <c r="BC211" s="219"/>
      <c r="BD211" s="75"/>
      <c r="BE211" s="75"/>
      <c r="BF211" s="164" t="e">
        <v>#N/A</v>
      </c>
      <c r="BG211" s="124">
        <f t="shared" si="4"/>
        <v>0</v>
      </c>
      <c r="BH211" s="255"/>
      <c r="BI211" s="75"/>
      <c r="BJ211" s="75"/>
      <c r="BK211" s="75"/>
      <c r="BL211" s="75"/>
      <c r="BM211" s="75"/>
      <c r="BN211" s="75"/>
      <c r="BO211" s="75"/>
      <c r="BP211" s="75"/>
      <c r="BQ211" s="75"/>
      <c r="BR211" s="75"/>
    </row>
    <row r="212">
      <c r="A212" s="6"/>
      <c r="B212" s="183"/>
      <c r="C212" s="184"/>
      <c r="D212" s="75"/>
      <c r="E212" s="75"/>
      <c r="F212" s="219"/>
      <c r="G212" s="219"/>
      <c r="H212" s="219"/>
      <c r="I212" s="75"/>
      <c r="J212" s="75"/>
      <c r="K212" s="75"/>
      <c r="L212" s="75"/>
      <c r="M212" s="75"/>
      <c r="N212" s="75"/>
      <c r="O212" s="75"/>
      <c r="P212" s="187"/>
      <c r="Q212" s="187"/>
      <c r="R212" s="187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75"/>
      <c r="AK212" s="75"/>
      <c r="AL212" s="75"/>
      <c r="AM212" s="75"/>
      <c r="AN212" s="75"/>
      <c r="AO212" s="75"/>
      <c r="AP212" s="75"/>
      <c r="AQ212" s="75"/>
      <c r="AR212" s="75"/>
      <c r="AS212" s="75"/>
      <c r="AT212" s="75"/>
      <c r="AU212" s="75"/>
      <c r="AV212" s="75"/>
      <c r="AW212" s="219"/>
      <c r="AX212" s="219"/>
      <c r="AY212" s="254"/>
      <c r="AZ212" s="219"/>
      <c r="BA212" s="219"/>
      <c r="BB212" s="219"/>
      <c r="BC212" s="219"/>
      <c r="BD212" s="75"/>
      <c r="BE212" s="75"/>
      <c r="BF212" s="164" t="e">
        <v>#N/A</v>
      </c>
      <c r="BG212" s="124">
        <f t="shared" si="4"/>
        <v>0</v>
      </c>
      <c r="BH212" s="255"/>
      <c r="BI212" s="75"/>
      <c r="BJ212" s="75"/>
      <c r="BK212" s="75"/>
      <c r="BL212" s="75"/>
      <c r="BM212" s="75"/>
      <c r="BN212" s="75"/>
      <c r="BO212" s="75"/>
      <c r="BP212" s="75"/>
      <c r="BQ212" s="75"/>
      <c r="BR212" s="75"/>
    </row>
    <row r="213">
      <c r="A213" s="6"/>
      <c r="B213" s="183"/>
      <c r="C213" s="184"/>
      <c r="D213" s="75"/>
      <c r="E213" s="75"/>
      <c r="F213" s="219"/>
      <c r="G213" s="219"/>
      <c r="H213" s="219"/>
      <c r="I213" s="75"/>
      <c r="J213" s="75"/>
      <c r="K213" s="75"/>
      <c r="L213" s="75"/>
      <c r="M213" s="75"/>
      <c r="N213" s="75"/>
      <c r="O213" s="75"/>
      <c r="P213" s="187"/>
      <c r="Q213" s="187"/>
      <c r="R213" s="187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75"/>
      <c r="AK213" s="75"/>
      <c r="AL213" s="75"/>
      <c r="AM213" s="75"/>
      <c r="AN213" s="75"/>
      <c r="AO213" s="75"/>
      <c r="AP213" s="75"/>
      <c r="AQ213" s="75"/>
      <c r="AR213" s="75"/>
      <c r="AS213" s="75"/>
      <c r="AT213" s="75"/>
      <c r="AU213" s="75"/>
      <c r="AV213" s="75"/>
      <c r="AW213" s="219"/>
      <c r="AX213" s="219"/>
      <c r="AY213" s="254"/>
      <c r="AZ213" s="219"/>
      <c r="BA213" s="219"/>
      <c r="BB213" s="219"/>
      <c r="BC213" s="219"/>
      <c r="BD213" s="75"/>
      <c r="BE213" s="75"/>
      <c r="BF213" s="164" t="e">
        <v>#N/A</v>
      </c>
      <c r="BG213" s="124">
        <f t="shared" si="4"/>
        <v>0</v>
      </c>
      <c r="BH213" s="255"/>
      <c r="BI213" s="75"/>
      <c r="BJ213" s="75"/>
      <c r="BK213" s="75"/>
      <c r="BL213" s="75"/>
      <c r="BM213" s="75"/>
      <c r="BN213" s="75"/>
      <c r="BO213" s="75"/>
      <c r="BP213" s="75"/>
      <c r="BQ213" s="75"/>
      <c r="BR213" s="75"/>
    </row>
    <row r="214">
      <c r="A214" s="6"/>
      <c r="B214" s="183"/>
      <c r="C214" s="184"/>
      <c r="D214" s="75"/>
      <c r="E214" s="75"/>
      <c r="F214" s="219"/>
      <c r="G214" s="219"/>
      <c r="H214" s="219"/>
      <c r="I214" s="75"/>
      <c r="J214" s="75"/>
      <c r="K214" s="75"/>
      <c r="L214" s="75"/>
      <c r="M214" s="75"/>
      <c r="N214" s="75"/>
      <c r="O214" s="75"/>
      <c r="P214" s="187"/>
      <c r="Q214" s="187"/>
      <c r="R214" s="187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5"/>
      <c r="AS214" s="75"/>
      <c r="AT214" s="75"/>
      <c r="AU214" s="75"/>
      <c r="AV214" s="75"/>
      <c r="AW214" s="219"/>
      <c r="AX214" s="219"/>
      <c r="AY214" s="254"/>
      <c r="AZ214" s="219"/>
      <c r="BA214" s="219"/>
      <c r="BB214" s="219"/>
      <c r="BC214" s="219"/>
      <c r="BD214" s="75"/>
      <c r="BE214" s="75"/>
      <c r="BF214" s="164" t="e">
        <v>#N/A</v>
      </c>
      <c r="BG214" s="124">
        <f t="shared" si="4"/>
        <v>0</v>
      </c>
      <c r="BH214" s="255"/>
      <c r="BI214" s="75"/>
      <c r="BJ214" s="75"/>
      <c r="BK214" s="75"/>
      <c r="BL214" s="75"/>
      <c r="BM214" s="75"/>
      <c r="BN214" s="75"/>
      <c r="BO214" s="75"/>
      <c r="BP214" s="75"/>
      <c r="BQ214" s="75"/>
      <c r="BR214" s="75"/>
    </row>
    <row r="215">
      <c r="A215" s="6"/>
      <c r="B215" s="183"/>
      <c r="C215" s="184"/>
      <c r="D215" s="75"/>
      <c r="E215" s="75"/>
      <c r="F215" s="219"/>
      <c r="G215" s="219"/>
      <c r="H215" s="219"/>
      <c r="I215" s="75"/>
      <c r="J215" s="75"/>
      <c r="K215" s="75"/>
      <c r="L215" s="75"/>
      <c r="M215" s="75"/>
      <c r="N215" s="75"/>
      <c r="O215" s="75"/>
      <c r="P215" s="187"/>
      <c r="Q215" s="187"/>
      <c r="R215" s="187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75"/>
      <c r="AK215" s="75"/>
      <c r="AL215" s="75"/>
      <c r="AM215" s="75"/>
      <c r="AN215" s="75"/>
      <c r="AO215" s="75"/>
      <c r="AP215" s="75"/>
      <c r="AQ215" s="75"/>
      <c r="AR215" s="75"/>
      <c r="AS215" s="75"/>
      <c r="AT215" s="75"/>
      <c r="AU215" s="75"/>
      <c r="AV215" s="75"/>
      <c r="AW215" s="219"/>
      <c r="AX215" s="219"/>
      <c r="AY215" s="254"/>
      <c r="AZ215" s="219"/>
      <c r="BA215" s="219"/>
      <c r="BB215" s="219"/>
      <c r="BC215" s="219"/>
      <c r="BD215" s="75"/>
      <c r="BE215" s="75"/>
      <c r="BF215" s="164" t="e">
        <v>#N/A</v>
      </c>
      <c r="BG215" s="124">
        <f t="shared" si="4"/>
        <v>0</v>
      </c>
      <c r="BH215" s="255"/>
      <c r="BI215" s="75"/>
      <c r="BJ215" s="75"/>
      <c r="BK215" s="75"/>
      <c r="BL215" s="75"/>
      <c r="BM215" s="75"/>
      <c r="BN215" s="75"/>
      <c r="BO215" s="75"/>
      <c r="BP215" s="75"/>
      <c r="BQ215" s="75"/>
      <c r="BR215" s="75"/>
    </row>
    <row r="216">
      <c r="A216" s="6"/>
      <c r="B216" s="183"/>
      <c r="C216" s="184"/>
      <c r="D216" s="75"/>
      <c r="E216" s="75"/>
      <c r="F216" s="219"/>
      <c r="G216" s="219"/>
      <c r="H216" s="219"/>
      <c r="I216" s="75"/>
      <c r="J216" s="75"/>
      <c r="K216" s="75"/>
      <c r="L216" s="75"/>
      <c r="M216" s="75"/>
      <c r="N216" s="75"/>
      <c r="O216" s="75"/>
      <c r="P216" s="187"/>
      <c r="Q216" s="187"/>
      <c r="R216" s="187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75"/>
      <c r="AK216" s="75"/>
      <c r="AL216" s="75"/>
      <c r="AM216" s="75"/>
      <c r="AN216" s="75"/>
      <c r="AO216" s="75"/>
      <c r="AP216" s="75"/>
      <c r="AQ216" s="75"/>
      <c r="AR216" s="75"/>
      <c r="AS216" s="75"/>
      <c r="AT216" s="75"/>
      <c r="AU216" s="75"/>
      <c r="AV216" s="75"/>
      <c r="AW216" s="219"/>
      <c r="AX216" s="219"/>
      <c r="AY216" s="254"/>
      <c r="AZ216" s="219"/>
      <c r="BA216" s="219"/>
      <c r="BB216" s="219"/>
      <c r="BC216" s="219"/>
      <c r="BD216" s="75"/>
      <c r="BE216" s="75"/>
      <c r="BF216" s="164" t="e">
        <v>#N/A</v>
      </c>
      <c r="BG216" s="124">
        <f t="shared" si="4"/>
        <v>0</v>
      </c>
    </row>
    <row r="217">
      <c r="A217" s="6"/>
      <c r="B217" s="183"/>
      <c r="C217" s="184"/>
      <c r="D217" s="75"/>
      <c r="E217" s="75"/>
      <c r="F217" s="219"/>
      <c r="G217" s="219"/>
      <c r="H217" s="219"/>
      <c r="I217" s="75"/>
      <c r="J217" s="75"/>
      <c r="K217" s="75"/>
      <c r="L217" s="75"/>
      <c r="M217" s="75"/>
      <c r="N217" s="75"/>
      <c r="O217" s="75"/>
      <c r="P217" s="187"/>
      <c r="Q217" s="187"/>
      <c r="R217" s="187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75"/>
      <c r="AK217" s="75"/>
      <c r="AL217" s="75"/>
      <c r="AM217" s="75"/>
      <c r="AN217" s="75"/>
      <c r="AO217" s="75"/>
      <c r="AP217" s="75"/>
      <c r="AQ217" s="75"/>
      <c r="AR217" s="75"/>
      <c r="AS217" s="75"/>
      <c r="AT217" s="75"/>
      <c r="AU217" s="75"/>
      <c r="AV217" s="75"/>
      <c r="AW217" s="219"/>
      <c r="AX217" s="219"/>
      <c r="AY217" s="254"/>
      <c r="AZ217" s="219"/>
      <c r="BA217" s="219"/>
      <c r="BB217" s="219"/>
      <c r="BC217" s="219"/>
      <c r="BD217" s="75"/>
      <c r="BE217" s="75"/>
      <c r="BF217" s="164" t="e">
        <v>#N/A</v>
      </c>
      <c r="BG217" s="124">
        <f t="shared" si="4"/>
        <v>0</v>
      </c>
    </row>
    <row r="218">
      <c r="A218" s="6"/>
      <c r="B218" s="183"/>
      <c r="C218" s="184"/>
      <c r="D218" s="75"/>
      <c r="E218" s="75"/>
      <c r="F218" s="219"/>
      <c r="G218" s="219"/>
      <c r="H218" s="219"/>
      <c r="I218" s="75"/>
      <c r="J218" s="75"/>
      <c r="K218" s="75"/>
      <c r="L218" s="75"/>
      <c r="M218" s="75"/>
      <c r="N218" s="75"/>
      <c r="O218" s="75"/>
      <c r="P218" s="187"/>
      <c r="Q218" s="187"/>
      <c r="R218" s="187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75"/>
      <c r="AK218" s="75"/>
      <c r="AL218" s="75"/>
      <c r="AM218" s="75"/>
      <c r="AN218" s="75"/>
      <c r="AO218" s="75"/>
      <c r="AP218" s="75"/>
      <c r="AQ218" s="75"/>
      <c r="AR218" s="75"/>
      <c r="AS218" s="75"/>
      <c r="AT218" s="75"/>
      <c r="AU218" s="75"/>
      <c r="AV218" s="75"/>
      <c r="AW218" s="219"/>
      <c r="AX218" s="219"/>
      <c r="AY218" s="254"/>
      <c r="AZ218" s="219"/>
      <c r="BA218" s="219"/>
      <c r="BB218" s="219"/>
      <c r="BC218" s="219"/>
      <c r="BD218" s="75"/>
      <c r="BE218" s="75"/>
      <c r="BF218" s="164" t="e">
        <v>#N/A</v>
      </c>
      <c r="BG218" s="124">
        <f t="shared" si="4"/>
        <v>0</v>
      </c>
    </row>
    <row r="219">
      <c r="A219" s="6"/>
      <c r="B219" s="183"/>
      <c r="C219" s="184"/>
      <c r="D219" s="75"/>
      <c r="E219" s="75"/>
      <c r="F219" s="219"/>
      <c r="G219" s="219"/>
      <c r="H219" s="219"/>
      <c r="I219" s="75"/>
      <c r="J219" s="75"/>
      <c r="K219" s="75"/>
      <c r="L219" s="75"/>
      <c r="M219" s="75"/>
      <c r="N219" s="75"/>
      <c r="O219" s="75"/>
      <c r="P219" s="187"/>
      <c r="Q219" s="187"/>
      <c r="R219" s="187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75"/>
      <c r="AM219" s="75"/>
      <c r="AN219" s="75"/>
      <c r="AO219" s="75"/>
      <c r="AP219" s="75"/>
      <c r="AQ219" s="75"/>
      <c r="AR219" s="75"/>
      <c r="AS219" s="75"/>
      <c r="AT219" s="75"/>
      <c r="AU219" s="75"/>
      <c r="AV219" s="75"/>
      <c r="AW219" s="219"/>
      <c r="AX219" s="219"/>
      <c r="AY219" s="254"/>
      <c r="AZ219" s="219"/>
      <c r="BA219" s="219"/>
      <c r="BB219" s="219"/>
      <c r="BC219" s="219"/>
      <c r="BD219" s="75"/>
      <c r="BE219" s="75"/>
      <c r="BF219" s="164" t="e">
        <v>#N/A</v>
      </c>
      <c r="BG219" s="124">
        <f t="shared" si="4"/>
        <v>0</v>
      </c>
    </row>
    <row r="220">
      <c r="A220" s="6"/>
      <c r="B220" s="183"/>
      <c r="C220" s="184"/>
      <c r="D220" s="75"/>
      <c r="E220" s="75"/>
      <c r="F220" s="219"/>
      <c r="G220" s="219"/>
      <c r="H220" s="219"/>
      <c r="I220" s="75"/>
      <c r="J220" s="75"/>
      <c r="K220" s="75"/>
      <c r="L220" s="75"/>
      <c r="M220" s="75"/>
      <c r="N220" s="75"/>
      <c r="O220" s="75"/>
      <c r="P220" s="187"/>
      <c r="Q220" s="187"/>
      <c r="R220" s="187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75"/>
      <c r="AK220" s="75"/>
      <c r="AL220" s="75"/>
      <c r="AM220" s="75"/>
      <c r="AN220" s="75"/>
      <c r="AO220" s="75"/>
      <c r="AP220" s="75"/>
      <c r="AQ220" s="75"/>
      <c r="AR220" s="75"/>
      <c r="AS220" s="75"/>
      <c r="AT220" s="75"/>
      <c r="AU220" s="75"/>
      <c r="AV220" s="75"/>
      <c r="AW220" s="219"/>
      <c r="AX220" s="219"/>
      <c r="AY220" s="254"/>
      <c r="AZ220" s="219"/>
      <c r="BA220" s="219"/>
      <c r="BB220" s="219"/>
      <c r="BC220" s="219"/>
      <c r="BD220" s="75"/>
      <c r="BE220" s="75"/>
      <c r="BF220" s="164" t="e">
        <v>#N/A</v>
      </c>
      <c r="BG220" s="124">
        <f t="shared" si="4"/>
        <v>0</v>
      </c>
    </row>
    <row r="221">
      <c r="A221" s="6"/>
      <c r="B221" s="183"/>
      <c r="C221" s="184"/>
      <c r="D221" s="75"/>
      <c r="E221" s="75"/>
      <c r="F221" s="219"/>
      <c r="G221" s="219"/>
      <c r="H221" s="219"/>
      <c r="I221" s="75"/>
      <c r="J221" s="75"/>
      <c r="K221" s="75"/>
      <c r="L221" s="75"/>
      <c r="M221" s="75"/>
      <c r="N221" s="75"/>
      <c r="O221" s="75"/>
      <c r="P221" s="187"/>
      <c r="Q221" s="187"/>
      <c r="R221" s="187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75"/>
      <c r="AK221" s="75"/>
      <c r="AL221" s="75"/>
      <c r="AM221" s="75"/>
      <c r="AN221" s="75"/>
      <c r="AO221" s="75"/>
      <c r="AP221" s="75"/>
      <c r="AQ221" s="75"/>
      <c r="AR221" s="75"/>
      <c r="AS221" s="75"/>
      <c r="AT221" s="75"/>
      <c r="AU221" s="75"/>
      <c r="AV221" s="75"/>
      <c r="AW221" s="219"/>
      <c r="AX221" s="219"/>
      <c r="AY221" s="254"/>
      <c r="AZ221" s="219"/>
      <c r="BA221" s="219"/>
      <c r="BB221" s="219"/>
      <c r="BC221" s="219"/>
      <c r="BD221" s="75"/>
      <c r="BE221" s="75"/>
      <c r="BF221" s="164" t="e">
        <v>#N/A</v>
      </c>
      <c r="BG221" s="124">
        <f t="shared" si="4"/>
        <v>0</v>
      </c>
    </row>
    <row r="222">
      <c r="A222" s="6"/>
      <c r="B222" s="183"/>
      <c r="C222" s="184"/>
      <c r="D222" s="75"/>
      <c r="E222" s="75"/>
      <c r="F222" s="219"/>
      <c r="G222" s="219"/>
      <c r="H222" s="219"/>
      <c r="I222" s="75"/>
      <c r="J222" s="75"/>
      <c r="K222" s="75"/>
      <c r="L222" s="75"/>
      <c r="M222" s="75"/>
      <c r="N222" s="75"/>
      <c r="O222" s="75"/>
      <c r="P222" s="187"/>
      <c r="Q222" s="187"/>
      <c r="R222" s="187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75"/>
      <c r="AG222" s="75"/>
      <c r="AH222" s="75"/>
      <c r="AI222" s="75"/>
      <c r="AJ222" s="75"/>
      <c r="AK222" s="75"/>
      <c r="AL222" s="75"/>
      <c r="AM222" s="75"/>
      <c r="AN222" s="75"/>
      <c r="AO222" s="75"/>
      <c r="AP222" s="75"/>
      <c r="AQ222" s="75"/>
      <c r="AR222" s="75"/>
      <c r="AS222" s="75"/>
      <c r="AT222" s="75"/>
      <c r="AU222" s="75"/>
      <c r="AV222" s="75"/>
      <c r="AW222" s="219"/>
      <c r="AX222" s="219"/>
      <c r="AY222" s="254"/>
      <c r="AZ222" s="219"/>
      <c r="BA222" s="219"/>
      <c r="BB222" s="219"/>
      <c r="BC222" s="219"/>
      <c r="BD222" s="75"/>
      <c r="BE222" s="75"/>
      <c r="BF222" s="164" t="e">
        <v>#N/A</v>
      </c>
      <c r="BG222" s="124">
        <f t="shared" si="4"/>
        <v>0</v>
      </c>
    </row>
    <row r="223">
      <c r="A223" s="6"/>
      <c r="B223" s="183"/>
      <c r="C223" s="184"/>
      <c r="D223" s="75"/>
      <c r="E223" s="75"/>
      <c r="F223" s="219"/>
      <c r="G223" s="219"/>
      <c r="H223" s="219"/>
      <c r="I223" s="75"/>
      <c r="J223" s="75"/>
      <c r="K223" s="75"/>
      <c r="L223" s="75"/>
      <c r="M223" s="75"/>
      <c r="N223" s="75"/>
      <c r="O223" s="75"/>
      <c r="P223" s="187"/>
      <c r="Q223" s="187"/>
      <c r="R223" s="187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  <c r="AC223" s="75"/>
      <c r="AD223" s="75"/>
      <c r="AE223" s="75"/>
      <c r="AF223" s="75"/>
      <c r="AG223" s="75"/>
      <c r="AH223" s="75"/>
      <c r="AI223" s="75"/>
      <c r="AJ223" s="75"/>
      <c r="AK223" s="75"/>
      <c r="AL223" s="75"/>
      <c r="AM223" s="75"/>
      <c r="AN223" s="75"/>
      <c r="AO223" s="75"/>
      <c r="AP223" s="75"/>
      <c r="AQ223" s="75"/>
      <c r="AR223" s="75"/>
      <c r="AS223" s="75"/>
      <c r="AT223" s="75"/>
      <c r="AU223" s="75"/>
      <c r="AV223" s="75"/>
      <c r="AW223" s="219"/>
      <c r="AX223" s="219"/>
      <c r="AY223" s="254"/>
      <c r="AZ223" s="219"/>
      <c r="BA223" s="219"/>
      <c r="BB223" s="219"/>
      <c r="BC223" s="219"/>
      <c r="BD223" s="75"/>
      <c r="BE223" s="75"/>
      <c r="BF223" s="164" t="e">
        <v>#N/A</v>
      </c>
      <c r="BG223" s="124">
        <f t="shared" si="4"/>
        <v>0</v>
      </c>
    </row>
    <row r="224">
      <c r="A224" s="6"/>
      <c r="B224" s="183"/>
      <c r="C224" s="184"/>
      <c r="D224" s="75"/>
      <c r="E224" s="75"/>
      <c r="F224" s="219"/>
      <c r="G224" s="219"/>
      <c r="H224" s="219"/>
      <c r="I224" s="75"/>
      <c r="J224" s="75"/>
      <c r="K224" s="75"/>
      <c r="L224" s="75"/>
      <c r="M224" s="75"/>
      <c r="N224" s="75"/>
      <c r="O224" s="75"/>
      <c r="P224" s="187"/>
      <c r="Q224" s="187"/>
      <c r="R224" s="187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  <c r="AC224" s="75"/>
      <c r="AD224" s="75"/>
      <c r="AE224" s="75"/>
      <c r="AF224" s="75"/>
      <c r="AG224" s="75"/>
      <c r="AH224" s="75"/>
      <c r="AI224" s="75"/>
      <c r="AJ224" s="75"/>
      <c r="AK224" s="75"/>
      <c r="AL224" s="75"/>
      <c r="AM224" s="75"/>
      <c r="AN224" s="75"/>
      <c r="AO224" s="75"/>
      <c r="AP224" s="75"/>
      <c r="AQ224" s="75"/>
      <c r="AR224" s="75"/>
      <c r="AS224" s="75"/>
      <c r="AT224" s="75"/>
      <c r="AU224" s="75"/>
      <c r="AV224" s="75"/>
      <c r="AW224" s="219"/>
      <c r="AX224" s="219"/>
      <c r="AY224" s="254"/>
      <c r="AZ224" s="219"/>
      <c r="BA224" s="219"/>
      <c r="BB224" s="219"/>
      <c r="BC224" s="219"/>
      <c r="BD224" s="75"/>
      <c r="BE224" s="75"/>
      <c r="BF224" s="164" t="e">
        <v>#N/A</v>
      </c>
      <c r="BG224" s="124">
        <f t="shared" si="4"/>
        <v>0</v>
      </c>
    </row>
    <row r="225">
      <c r="A225" s="6"/>
      <c r="B225" s="183"/>
      <c r="C225" s="184"/>
      <c r="D225" s="75"/>
      <c r="E225" s="256"/>
      <c r="F225" s="219"/>
      <c r="G225" s="254"/>
      <c r="H225" s="254"/>
      <c r="I225" s="190"/>
      <c r="J225" s="190"/>
      <c r="K225" s="190"/>
      <c r="L225" s="190"/>
      <c r="M225" s="190"/>
      <c r="N225" s="190"/>
      <c r="O225" s="75"/>
      <c r="P225" s="187"/>
      <c r="Q225" s="187"/>
      <c r="R225" s="187"/>
      <c r="S225" s="75"/>
      <c r="T225" s="75"/>
      <c r="U225" s="75"/>
      <c r="V225" s="75"/>
      <c r="W225" s="75"/>
      <c r="X225" s="75"/>
      <c r="Y225" s="190"/>
      <c r="Z225" s="190"/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/>
      <c r="AL225" s="75"/>
      <c r="AM225" s="75"/>
      <c r="AN225" s="75"/>
      <c r="AO225" s="75"/>
      <c r="AP225" s="75"/>
      <c r="AQ225" s="190"/>
      <c r="AR225" s="190"/>
      <c r="AS225" s="190"/>
      <c r="AT225" s="75"/>
      <c r="AU225" s="262"/>
      <c r="AV225" s="190"/>
      <c r="AW225" s="219"/>
      <c r="AX225" s="219"/>
      <c r="AY225" s="254"/>
      <c r="AZ225" s="219"/>
      <c r="BA225" s="219"/>
      <c r="BB225" s="219"/>
      <c r="BC225" s="219"/>
      <c r="BD225" s="191"/>
      <c r="BE225" s="75"/>
      <c r="BF225" s="164" t="e">
        <v>#N/A</v>
      </c>
      <c r="BG225" s="164">
        <f t="shared" si="4"/>
        <v>0</v>
      </c>
    </row>
    <row r="226">
      <c r="A226" s="6"/>
      <c r="B226" s="183"/>
      <c r="C226" s="184"/>
      <c r="D226" s="75"/>
      <c r="E226" s="256"/>
      <c r="F226" s="219"/>
      <c r="G226" s="254"/>
      <c r="H226" s="254"/>
      <c r="I226" s="190"/>
      <c r="J226" s="190"/>
      <c r="K226" s="190"/>
      <c r="L226" s="190"/>
      <c r="M226" s="190"/>
      <c r="N226" s="190"/>
      <c r="O226" s="75"/>
      <c r="P226" s="187"/>
      <c r="Q226" s="187"/>
      <c r="R226" s="187"/>
      <c r="S226" s="75"/>
      <c r="T226" s="75"/>
      <c r="U226" s="75"/>
      <c r="V226" s="75"/>
      <c r="W226" s="75"/>
      <c r="X226" s="75"/>
      <c r="Y226" s="190"/>
      <c r="Z226" s="190"/>
      <c r="AA226" s="75"/>
      <c r="AB226" s="75"/>
      <c r="AC226" s="75"/>
      <c r="AD226" s="75"/>
      <c r="AE226" s="75"/>
      <c r="AF226" s="75"/>
      <c r="AG226" s="75"/>
      <c r="AH226" s="75"/>
      <c r="AI226" s="75"/>
      <c r="AJ226" s="75"/>
      <c r="AK226" s="75"/>
      <c r="AL226" s="75"/>
      <c r="AM226" s="75"/>
      <c r="AN226" s="75"/>
      <c r="AO226" s="75"/>
      <c r="AP226" s="75"/>
      <c r="AQ226" s="190"/>
      <c r="AR226" s="190"/>
      <c r="AS226" s="190"/>
      <c r="AT226" s="75"/>
      <c r="AU226" s="262"/>
      <c r="AV226" s="190"/>
      <c r="AW226" s="219"/>
      <c r="AX226" s="219"/>
      <c r="AY226" s="254"/>
      <c r="AZ226" s="219"/>
      <c r="BA226" s="219"/>
      <c r="BB226" s="219"/>
      <c r="BC226" s="219"/>
      <c r="BD226" s="191"/>
      <c r="BE226" s="75"/>
      <c r="BF226" s="164" t="e">
        <v>#N/A</v>
      </c>
      <c r="BG226" s="164">
        <f t="shared" si="4"/>
        <v>0</v>
      </c>
    </row>
    <row r="227">
      <c r="A227" s="6"/>
      <c r="B227" s="183"/>
      <c r="C227" s="184"/>
      <c r="D227" s="75"/>
      <c r="E227" s="256"/>
      <c r="F227" s="219"/>
      <c r="G227" s="254"/>
      <c r="H227" s="254"/>
      <c r="I227" s="190"/>
      <c r="J227" s="190"/>
      <c r="K227" s="190"/>
      <c r="L227" s="190"/>
      <c r="M227" s="190"/>
      <c r="N227" s="190"/>
      <c r="O227" s="75"/>
      <c r="P227" s="187"/>
      <c r="Q227" s="187"/>
      <c r="R227" s="187"/>
      <c r="S227" s="75"/>
      <c r="T227" s="75"/>
      <c r="U227" s="75"/>
      <c r="V227" s="75"/>
      <c r="W227" s="75"/>
      <c r="X227" s="75"/>
      <c r="Y227" s="190"/>
      <c r="Z227" s="190"/>
      <c r="AA227" s="75"/>
      <c r="AB227" s="75"/>
      <c r="AC227" s="75"/>
      <c r="AD227" s="75"/>
      <c r="AE227" s="75"/>
      <c r="AF227" s="75"/>
      <c r="AG227" s="75"/>
      <c r="AH227" s="75"/>
      <c r="AI227" s="75"/>
      <c r="AJ227" s="75"/>
      <c r="AK227" s="75"/>
      <c r="AL227" s="75"/>
      <c r="AM227" s="75"/>
      <c r="AN227" s="75"/>
      <c r="AO227" s="75"/>
      <c r="AP227" s="75"/>
      <c r="AQ227" s="190"/>
      <c r="AR227" s="190"/>
      <c r="AS227" s="190"/>
      <c r="AT227" s="75"/>
      <c r="AU227" s="262"/>
      <c r="AV227" s="190"/>
      <c r="AW227" s="219"/>
      <c r="AX227" s="219"/>
      <c r="AY227" s="254"/>
      <c r="AZ227" s="219"/>
      <c r="BA227" s="219"/>
      <c r="BB227" s="219"/>
      <c r="BC227" s="219"/>
      <c r="BD227" s="191"/>
      <c r="BE227" s="75"/>
      <c r="BF227" s="164" t="e">
        <v>#N/A</v>
      </c>
      <c r="BG227" s="164">
        <f t="shared" si="4"/>
        <v>0</v>
      </c>
    </row>
    <row r="228">
      <c r="A228" s="6"/>
      <c r="B228" s="183"/>
      <c r="C228" s="184"/>
      <c r="D228" s="75"/>
      <c r="E228" s="256"/>
      <c r="F228" s="219"/>
      <c r="G228" s="254"/>
      <c r="H228" s="254"/>
      <c r="I228" s="190"/>
      <c r="J228" s="190"/>
      <c r="K228" s="190"/>
      <c r="L228" s="190"/>
      <c r="M228" s="190"/>
      <c r="N228" s="190"/>
      <c r="O228" s="75"/>
      <c r="P228" s="187"/>
      <c r="Q228" s="187"/>
      <c r="R228" s="187"/>
      <c r="S228" s="75"/>
      <c r="T228" s="75"/>
      <c r="U228" s="75"/>
      <c r="V228" s="75"/>
      <c r="W228" s="75"/>
      <c r="X228" s="75"/>
      <c r="Y228" s="190"/>
      <c r="Z228" s="190"/>
      <c r="AA228" s="75"/>
      <c r="AB228" s="75"/>
      <c r="AC228" s="75"/>
      <c r="AD228" s="75"/>
      <c r="AE228" s="75"/>
      <c r="AF228" s="75"/>
      <c r="AG228" s="75"/>
      <c r="AH228" s="75"/>
      <c r="AI228" s="75"/>
      <c r="AJ228" s="75"/>
      <c r="AK228" s="75"/>
      <c r="AL228" s="75"/>
      <c r="AM228" s="75"/>
      <c r="AN228" s="75"/>
      <c r="AO228" s="75"/>
      <c r="AP228" s="75"/>
      <c r="AQ228" s="190"/>
      <c r="AR228" s="190"/>
      <c r="AS228" s="190"/>
      <c r="AT228" s="75"/>
      <c r="AU228" s="262"/>
      <c r="AV228" s="190"/>
      <c r="AW228" s="219"/>
      <c r="AX228" s="219"/>
      <c r="AY228" s="254"/>
      <c r="AZ228" s="219"/>
      <c r="BA228" s="219"/>
      <c r="BB228" s="219"/>
      <c r="BC228" s="219"/>
      <c r="BD228" s="191"/>
      <c r="BE228" s="75"/>
      <c r="BF228" s="164" t="e">
        <v>#N/A</v>
      </c>
      <c r="BG228" s="164">
        <f t="shared" si="4"/>
        <v>0</v>
      </c>
    </row>
    <row r="229">
      <c r="A229" s="6"/>
      <c r="B229" s="183"/>
      <c r="C229" s="184"/>
      <c r="D229" s="75"/>
      <c r="E229" s="256"/>
      <c r="F229" s="219"/>
      <c r="G229" s="254"/>
      <c r="H229" s="254"/>
      <c r="I229" s="190"/>
      <c r="J229" s="190"/>
      <c r="K229" s="190"/>
      <c r="L229" s="190"/>
      <c r="M229" s="190"/>
      <c r="N229" s="190"/>
      <c r="O229" s="75"/>
      <c r="P229" s="187"/>
      <c r="Q229" s="187"/>
      <c r="R229" s="187"/>
      <c r="S229" s="75"/>
      <c r="T229" s="75"/>
      <c r="U229" s="75"/>
      <c r="V229" s="75"/>
      <c r="W229" s="75"/>
      <c r="X229" s="75"/>
      <c r="Y229" s="190"/>
      <c r="Z229" s="190"/>
      <c r="AA229" s="75"/>
      <c r="AB229" s="75"/>
      <c r="AC229" s="75"/>
      <c r="AD229" s="75"/>
      <c r="AE229" s="75"/>
      <c r="AF229" s="75"/>
      <c r="AG229" s="75"/>
      <c r="AH229" s="75"/>
      <c r="AI229" s="75"/>
      <c r="AJ229" s="75"/>
      <c r="AK229" s="75"/>
      <c r="AL229" s="75"/>
      <c r="AM229" s="75"/>
      <c r="AN229" s="75"/>
      <c r="AO229" s="75"/>
      <c r="AP229" s="75"/>
      <c r="AQ229" s="190"/>
      <c r="AR229" s="190"/>
      <c r="AS229" s="190"/>
      <c r="AT229" s="75"/>
      <c r="AU229" s="262"/>
      <c r="AV229" s="190"/>
      <c r="AW229" s="219"/>
      <c r="AX229" s="219"/>
      <c r="AY229" s="254"/>
      <c r="AZ229" s="219"/>
      <c r="BA229" s="219"/>
      <c r="BB229" s="219"/>
      <c r="BC229" s="219"/>
      <c r="BD229" s="191"/>
      <c r="BE229" s="75"/>
      <c r="BF229" s="164" t="e">
        <v>#N/A</v>
      </c>
      <c r="BG229" s="164">
        <f t="shared" si="4"/>
        <v>0</v>
      </c>
    </row>
    <row r="230">
      <c r="A230" s="6"/>
      <c r="B230" s="183"/>
      <c r="C230" s="184"/>
      <c r="D230" s="75"/>
      <c r="E230" s="256"/>
      <c r="F230" s="219"/>
      <c r="G230" s="254"/>
      <c r="H230" s="254"/>
      <c r="I230" s="190"/>
      <c r="J230" s="190"/>
      <c r="K230" s="190"/>
      <c r="L230" s="190"/>
      <c r="M230" s="190"/>
      <c r="N230" s="190"/>
      <c r="O230" s="75"/>
      <c r="P230" s="187"/>
      <c r="Q230" s="187"/>
      <c r="R230" s="187"/>
      <c r="S230" s="75"/>
      <c r="T230" s="75"/>
      <c r="U230" s="75"/>
      <c r="V230" s="75"/>
      <c r="W230" s="75"/>
      <c r="X230" s="75"/>
      <c r="Y230" s="190"/>
      <c r="Z230" s="190"/>
      <c r="AA230" s="75"/>
      <c r="AB230" s="75"/>
      <c r="AC230" s="75"/>
      <c r="AD230" s="75"/>
      <c r="AE230" s="75"/>
      <c r="AF230" s="75"/>
      <c r="AG230" s="75"/>
      <c r="AH230" s="75"/>
      <c r="AI230" s="75"/>
      <c r="AJ230" s="75"/>
      <c r="AK230" s="75"/>
      <c r="AL230" s="75"/>
      <c r="AM230" s="75"/>
      <c r="AN230" s="75"/>
      <c r="AO230" s="75"/>
      <c r="AP230" s="75"/>
      <c r="AQ230" s="190"/>
      <c r="AR230" s="190"/>
      <c r="AS230" s="190"/>
      <c r="AT230" s="75"/>
      <c r="AU230" s="262"/>
      <c r="AV230" s="190"/>
      <c r="AW230" s="219"/>
      <c r="AX230" s="219"/>
      <c r="AY230" s="254"/>
      <c r="AZ230" s="219"/>
      <c r="BA230" s="219"/>
      <c r="BB230" s="219"/>
      <c r="BC230" s="219"/>
      <c r="BD230" s="191"/>
      <c r="BE230" s="75"/>
      <c r="BF230" s="164" t="e">
        <v>#N/A</v>
      </c>
      <c r="BG230" s="164">
        <f t="shared" si="4"/>
        <v>0</v>
      </c>
    </row>
    <row r="231">
      <c r="A231" s="6"/>
      <c r="B231" s="183"/>
      <c r="C231" s="184"/>
      <c r="D231" s="75"/>
      <c r="E231" s="256"/>
      <c r="F231" s="219"/>
      <c r="G231" s="254"/>
      <c r="H231" s="254"/>
      <c r="I231" s="190"/>
      <c r="J231" s="190"/>
      <c r="K231" s="190"/>
      <c r="L231" s="190"/>
      <c r="M231" s="190"/>
      <c r="N231" s="190"/>
      <c r="O231" s="75"/>
      <c r="P231" s="187"/>
      <c r="Q231" s="187"/>
      <c r="R231" s="187"/>
      <c r="S231" s="75"/>
      <c r="T231" s="75"/>
      <c r="U231" s="75"/>
      <c r="V231" s="75"/>
      <c r="W231" s="75"/>
      <c r="X231" s="75"/>
      <c r="Y231" s="190"/>
      <c r="Z231" s="190"/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75"/>
      <c r="AM231" s="75"/>
      <c r="AN231" s="75"/>
      <c r="AO231" s="75"/>
      <c r="AP231" s="75"/>
      <c r="AQ231" s="190"/>
      <c r="AR231" s="190"/>
      <c r="AS231" s="190"/>
      <c r="AT231" s="75"/>
      <c r="AU231" s="262"/>
      <c r="AV231" s="190"/>
      <c r="AW231" s="219"/>
      <c r="AX231" s="219"/>
      <c r="AY231" s="254"/>
      <c r="AZ231" s="219"/>
      <c r="BA231" s="219"/>
      <c r="BB231" s="219"/>
      <c r="BC231" s="219"/>
      <c r="BD231" s="191"/>
      <c r="BE231" s="75"/>
      <c r="BF231" s="164"/>
      <c r="BG231" s="164"/>
    </row>
    <row r="232">
      <c r="A232" s="6"/>
      <c r="B232" s="183"/>
      <c r="C232" s="184"/>
      <c r="D232" s="75"/>
      <c r="E232" s="256"/>
      <c r="F232" s="219"/>
      <c r="G232" s="254"/>
      <c r="H232" s="254"/>
      <c r="I232" s="190"/>
      <c r="J232" s="190"/>
      <c r="K232" s="190"/>
      <c r="L232" s="190"/>
      <c r="M232" s="190"/>
      <c r="N232" s="190"/>
      <c r="O232" s="75"/>
      <c r="P232" s="187"/>
      <c r="Q232" s="187"/>
      <c r="R232" s="187"/>
      <c r="S232" s="75"/>
      <c r="T232" s="75"/>
      <c r="U232" s="75"/>
      <c r="V232" s="75"/>
      <c r="W232" s="75"/>
      <c r="X232" s="75"/>
      <c r="Y232" s="190"/>
      <c r="Z232" s="190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190"/>
      <c r="AR232" s="190"/>
      <c r="AS232" s="190"/>
      <c r="AT232" s="75"/>
      <c r="AU232" s="262"/>
      <c r="AV232" s="190"/>
      <c r="AW232" s="219"/>
      <c r="AX232" s="219"/>
      <c r="AY232" s="254"/>
      <c r="AZ232" s="219"/>
      <c r="BA232" s="219"/>
      <c r="BB232" s="219"/>
      <c r="BC232" s="219"/>
      <c r="BD232" s="191"/>
      <c r="BE232" s="75"/>
      <c r="BF232" s="164"/>
      <c r="BG232" s="164"/>
    </row>
    <row r="233">
      <c r="A233" s="6"/>
      <c r="B233" s="183"/>
      <c r="C233" s="184"/>
      <c r="D233" s="75"/>
      <c r="E233" s="256"/>
      <c r="F233" s="219"/>
      <c r="G233" s="254"/>
      <c r="H233" s="254"/>
      <c r="I233" s="190"/>
      <c r="J233" s="190"/>
      <c r="K233" s="190"/>
      <c r="L233" s="190"/>
      <c r="M233" s="190"/>
      <c r="N233" s="190"/>
      <c r="O233" s="75"/>
      <c r="P233" s="187"/>
      <c r="Q233" s="187"/>
      <c r="R233" s="187"/>
      <c r="S233" s="75"/>
      <c r="T233" s="75"/>
      <c r="U233" s="75"/>
      <c r="V233" s="75"/>
      <c r="W233" s="75"/>
      <c r="X233" s="75"/>
      <c r="Y233" s="190"/>
      <c r="Z233" s="190"/>
      <c r="AA233" s="75"/>
      <c r="AB233" s="75"/>
      <c r="AC233" s="75"/>
      <c r="AD233" s="75"/>
      <c r="AE233" s="75"/>
      <c r="AF233" s="75"/>
      <c r="AG233" s="75"/>
      <c r="AH233" s="75"/>
      <c r="AI233" s="75"/>
      <c r="AJ233" s="75"/>
      <c r="AK233" s="75"/>
      <c r="AL233" s="75"/>
      <c r="AM233" s="75"/>
      <c r="AN233" s="75"/>
      <c r="AO233" s="75"/>
      <c r="AP233" s="75"/>
      <c r="AQ233" s="190"/>
      <c r="AR233" s="190"/>
      <c r="AS233" s="190"/>
      <c r="AT233" s="75"/>
      <c r="AU233" s="262"/>
      <c r="AV233" s="190"/>
      <c r="AW233" s="219"/>
      <c r="AX233" s="219"/>
      <c r="AY233" s="254"/>
      <c r="AZ233" s="219"/>
      <c r="BA233" s="219"/>
      <c r="BB233" s="219"/>
      <c r="BC233" s="219"/>
      <c r="BD233" s="191"/>
      <c r="BE233" s="75"/>
      <c r="BF233" s="164"/>
      <c r="BG233" s="164"/>
    </row>
    <row r="234">
      <c r="A234" s="6"/>
      <c r="B234" s="183"/>
      <c r="C234" s="184"/>
      <c r="D234" s="75"/>
      <c r="E234" s="256"/>
      <c r="F234" s="219"/>
      <c r="G234" s="254"/>
      <c r="H234" s="254"/>
      <c r="I234" s="190"/>
      <c r="J234" s="190"/>
      <c r="K234" s="190"/>
      <c r="L234" s="190"/>
      <c r="M234" s="190"/>
      <c r="N234" s="190"/>
      <c r="O234" s="75"/>
      <c r="P234" s="187"/>
      <c r="Q234" s="187"/>
      <c r="R234" s="187"/>
      <c r="S234" s="75"/>
      <c r="T234" s="75"/>
      <c r="U234" s="75"/>
      <c r="V234" s="75"/>
      <c r="W234" s="75"/>
      <c r="X234" s="75"/>
      <c r="Y234" s="190"/>
      <c r="Z234" s="190"/>
      <c r="AA234" s="75"/>
      <c r="AB234" s="75"/>
      <c r="AC234" s="75"/>
      <c r="AD234" s="75"/>
      <c r="AE234" s="75"/>
      <c r="AF234" s="75"/>
      <c r="AG234" s="75"/>
      <c r="AH234" s="75"/>
      <c r="AI234" s="75"/>
      <c r="AJ234" s="75"/>
      <c r="AK234" s="75"/>
      <c r="AL234" s="75"/>
      <c r="AM234" s="75"/>
      <c r="AN234" s="75"/>
      <c r="AO234" s="75"/>
      <c r="AP234" s="75"/>
      <c r="AQ234" s="190"/>
      <c r="AR234" s="190"/>
      <c r="AS234" s="190"/>
      <c r="AT234" s="75"/>
      <c r="AU234" s="262"/>
      <c r="AV234" s="190"/>
      <c r="AW234" s="219"/>
      <c r="AX234" s="219"/>
      <c r="AY234" s="254"/>
      <c r="AZ234" s="219"/>
      <c r="BA234" s="219"/>
      <c r="BB234" s="219"/>
      <c r="BC234" s="219"/>
      <c r="BD234" s="191"/>
      <c r="BE234" s="75"/>
      <c r="BF234" s="164"/>
      <c r="BG234" s="164"/>
    </row>
    <row r="235">
      <c r="A235" s="6"/>
      <c r="B235" s="183"/>
      <c r="C235" s="184"/>
      <c r="D235" s="75"/>
      <c r="E235" s="256"/>
      <c r="F235" s="219"/>
      <c r="G235" s="254"/>
      <c r="H235" s="254"/>
      <c r="I235" s="190"/>
      <c r="J235" s="190"/>
      <c r="K235" s="190"/>
      <c r="L235" s="190"/>
      <c r="M235" s="190"/>
      <c r="N235" s="190"/>
      <c r="O235" s="75"/>
      <c r="P235" s="187"/>
      <c r="Q235" s="187"/>
      <c r="R235" s="187"/>
      <c r="S235" s="75"/>
      <c r="T235" s="75"/>
      <c r="U235" s="75"/>
      <c r="V235" s="75"/>
      <c r="W235" s="75"/>
      <c r="X235" s="75"/>
      <c r="Y235" s="190"/>
      <c r="Z235" s="190"/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5"/>
      <c r="AM235" s="75"/>
      <c r="AN235" s="75"/>
      <c r="AO235" s="75"/>
      <c r="AP235" s="75"/>
      <c r="AQ235" s="190"/>
      <c r="AR235" s="190"/>
      <c r="AS235" s="190"/>
      <c r="AT235" s="75"/>
      <c r="AU235" s="262"/>
      <c r="AV235" s="190"/>
      <c r="AW235" s="219"/>
      <c r="AX235" s="219"/>
      <c r="AY235" s="254"/>
      <c r="AZ235" s="219"/>
      <c r="BA235" s="219"/>
      <c r="BB235" s="219"/>
      <c r="BC235" s="219"/>
      <c r="BD235" s="191"/>
      <c r="BE235" s="75"/>
      <c r="BF235" s="164"/>
      <c r="BG235" s="164"/>
    </row>
    <row r="236">
      <c r="A236" s="6"/>
      <c r="B236" s="183"/>
      <c r="C236" s="184"/>
      <c r="D236" s="75"/>
      <c r="E236" s="75"/>
      <c r="F236" s="219"/>
      <c r="G236" s="219"/>
      <c r="H236" s="219"/>
      <c r="I236" s="75"/>
      <c r="J236" s="75"/>
      <c r="K236" s="75"/>
      <c r="L236" s="75"/>
      <c r="M236" s="75"/>
      <c r="N236" s="75"/>
      <c r="O236" s="75"/>
      <c r="P236" s="187"/>
      <c r="Q236" s="187"/>
      <c r="R236" s="187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  <c r="AC236" s="75"/>
      <c r="AD236" s="75"/>
      <c r="AE236" s="75"/>
      <c r="AF236" s="75"/>
      <c r="AG236" s="75"/>
      <c r="AH236" s="75"/>
      <c r="AI236" s="75"/>
      <c r="AJ236" s="75"/>
      <c r="AK236" s="75"/>
      <c r="AL236" s="75"/>
      <c r="AM236" s="75"/>
      <c r="AN236" s="75"/>
      <c r="AO236" s="75"/>
      <c r="AP236" s="75"/>
      <c r="AQ236" s="75"/>
      <c r="AR236" s="75"/>
      <c r="AS236" s="75"/>
      <c r="AT236" s="75"/>
      <c r="AU236" s="75"/>
      <c r="AV236" s="75"/>
      <c r="AW236" s="219"/>
      <c r="AX236" s="219"/>
      <c r="AY236" s="254"/>
      <c r="AZ236" s="219"/>
      <c r="BA236" s="219"/>
      <c r="BB236" s="219"/>
      <c r="BC236" s="219"/>
      <c r="BD236" s="75"/>
      <c r="BE236" s="75"/>
      <c r="BF236" s="164"/>
    </row>
    <row r="237">
      <c r="A237" s="6"/>
      <c r="B237" s="183"/>
      <c r="C237" s="184"/>
      <c r="D237" s="75"/>
      <c r="E237" s="75"/>
      <c r="F237" s="219"/>
      <c r="G237" s="219"/>
      <c r="H237" s="219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  <c r="AC237" s="75"/>
      <c r="AD237" s="75"/>
      <c r="AE237" s="75"/>
      <c r="AF237" s="75"/>
      <c r="AG237" s="75"/>
      <c r="AH237" s="75"/>
      <c r="AI237" s="75"/>
      <c r="AJ237" s="75"/>
      <c r="AK237" s="75"/>
      <c r="AL237" s="75"/>
      <c r="AM237" s="75"/>
      <c r="AN237" s="75"/>
      <c r="AO237" s="75"/>
      <c r="AP237" s="75"/>
      <c r="AQ237" s="75"/>
      <c r="AR237" s="75"/>
      <c r="AS237" s="75"/>
      <c r="AT237" s="75"/>
      <c r="AU237" s="75"/>
      <c r="AV237" s="75"/>
      <c r="AW237" s="219"/>
      <c r="AX237" s="219"/>
      <c r="AY237" s="254"/>
      <c r="AZ237" s="219"/>
      <c r="BA237" s="219"/>
      <c r="BB237" s="219"/>
      <c r="BC237" s="219"/>
      <c r="BD237" s="75"/>
      <c r="BE237" s="75"/>
      <c r="BF237" s="164"/>
    </row>
    <row r="238">
      <c r="A238" s="6"/>
      <c r="B238" s="183"/>
      <c r="C238" s="263"/>
      <c r="D238" s="75"/>
      <c r="E238" s="75"/>
      <c r="F238" s="219"/>
      <c r="G238" s="219"/>
      <c r="H238" s="219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  <c r="AC238" s="75"/>
      <c r="AD238" s="75"/>
      <c r="AE238" s="75"/>
      <c r="AF238" s="75"/>
      <c r="AG238" s="75"/>
      <c r="AH238" s="75"/>
      <c r="AI238" s="75"/>
      <c r="AJ238" s="75"/>
      <c r="AK238" s="75"/>
      <c r="AL238" s="75"/>
      <c r="AM238" s="75"/>
      <c r="AN238" s="75"/>
      <c r="AO238" s="75"/>
      <c r="AP238" s="75"/>
      <c r="AQ238" s="75"/>
      <c r="AR238" s="75"/>
      <c r="AS238" s="75"/>
      <c r="AT238" s="75"/>
      <c r="AU238" s="75"/>
      <c r="AV238" s="75"/>
      <c r="AW238" s="219"/>
      <c r="AX238" s="219"/>
      <c r="AY238" s="254"/>
      <c r="AZ238" s="219"/>
      <c r="BA238" s="219"/>
      <c r="BB238" s="219"/>
      <c r="BC238" s="219"/>
      <c r="BD238" s="75"/>
      <c r="BE238" s="75"/>
      <c r="BF238" s="164"/>
    </row>
    <row r="239">
      <c r="A239" s="6"/>
      <c r="B239" s="183"/>
      <c r="C239" s="263"/>
      <c r="D239" s="75"/>
      <c r="E239" s="75"/>
      <c r="F239" s="219"/>
      <c r="G239" s="219"/>
      <c r="H239" s="219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75"/>
      <c r="AM239" s="75"/>
      <c r="AN239" s="75"/>
      <c r="AO239" s="75"/>
      <c r="AP239" s="75"/>
      <c r="AQ239" s="75"/>
      <c r="AR239" s="75"/>
      <c r="AS239" s="75"/>
      <c r="AT239" s="75"/>
      <c r="AU239" s="75"/>
      <c r="AV239" s="75"/>
      <c r="AW239" s="219"/>
      <c r="AX239" s="219"/>
      <c r="AY239" s="254"/>
      <c r="AZ239" s="219"/>
      <c r="BA239" s="219"/>
      <c r="BB239" s="219"/>
      <c r="BC239" s="219"/>
      <c r="BD239" s="75"/>
      <c r="BE239" s="75"/>
      <c r="BF239" s="164"/>
    </row>
    <row r="240">
      <c r="A240" s="6"/>
      <c r="B240" s="183"/>
      <c r="C240" s="263"/>
      <c r="D240" s="75"/>
      <c r="E240" s="75"/>
      <c r="F240" s="219"/>
      <c r="G240" s="219"/>
      <c r="H240" s="219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5"/>
      <c r="AL240" s="75"/>
      <c r="AM240" s="75"/>
      <c r="AN240" s="75"/>
      <c r="AO240" s="75"/>
      <c r="AP240" s="75"/>
      <c r="AQ240" s="75"/>
      <c r="AR240" s="75"/>
      <c r="AS240" s="75"/>
      <c r="AT240" s="75"/>
      <c r="AU240" s="75"/>
      <c r="AV240" s="75"/>
      <c r="AW240" s="219"/>
      <c r="AX240" s="219"/>
      <c r="AY240" s="254"/>
      <c r="AZ240" s="219"/>
      <c r="BA240" s="219"/>
      <c r="BB240" s="219"/>
      <c r="BC240" s="219"/>
      <c r="BD240" s="75"/>
      <c r="BE240" s="75"/>
      <c r="BF240" s="164"/>
    </row>
    <row r="241">
      <c r="A241" s="6"/>
      <c r="B241" s="183"/>
      <c r="C241" s="263"/>
      <c r="D241" s="75"/>
      <c r="E241" s="75"/>
      <c r="F241" s="219"/>
      <c r="G241" s="219"/>
      <c r="H241" s="219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  <c r="AC241" s="75"/>
      <c r="AD241" s="75"/>
      <c r="AE241" s="75"/>
      <c r="AF241" s="75"/>
      <c r="AG241" s="75"/>
      <c r="AH241" s="75"/>
      <c r="AI241" s="75"/>
      <c r="AJ241" s="75"/>
      <c r="AK241" s="75"/>
      <c r="AL241" s="75"/>
      <c r="AM241" s="75"/>
      <c r="AN241" s="75"/>
      <c r="AO241" s="75"/>
      <c r="AP241" s="75"/>
      <c r="AQ241" s="75"/>
      <c r="AR241" s="75"/>
      <c r="AS241" s="75"/>
      <c r="AT241" s="75"/>
      <c r="AU241" s="75"/>
      <c r="AV241" s="75"/>
      <c r="AW241" s="219"/>
      <c r="AX241" s="219"/>
      <c r="AY241" s="254"/>
      <c r="AZ241" s="219"/>
      <c r="BA241" s="219"/>
      <c r="BB241" s="219"/>
      <c r="BC241" s="219"/>
      <c r="BD241" s="75"/>
      <c r="BE241" s="75"/>
      <c r="BF241" s="164"/>
    </row>
    <row r="242">
      <c r="A242" s="6"/>
      <c r="B242" s="183"/>
      <c r="C242" s="263"/>
      <c r="D242" s="75"/>
      <c r="E242" s="75"/>
      <c r="F242" s="219"/>
      <c r="G242" s="219"/>
      <c r="H242" s="219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  <c r="AC242" s="75"/>
      <c r="AD242" s="75"/>
      <c r="AE242" s="75"/>
      <c r="AF242" s="75"/>
      <c r="AG242" s="75"/>
      <c r="AH242" s="75"/>
      <c r="AI242" s="75"/>
      <c r="AJ242" s="75"/>
      <c r="AK242" s="75"/>
      <c r="AL242" s="75"/>
      <c r="AM242" s="75"/>
      <c r="AN242" s="75"/>
      <c r="AO242" s="75"/>
      <c r="AP242" s="75"/>
      <c r="AQ242" s="75"/>
      <c r="AR242" s="75"/>
      <c r="AS242" s="75"/>
      <c r="AT242" s="75"/>
      <c r="AU242" s="75"/>
      <c r="AV242" s="75"/>
      <c r="AW242" s="219"/>
      <c r="AX242" s="219"/>
      <c r="AY242" s="254"/>
      <c r="AZ242" s="219"/>
      <c r="BA242" s="219"/>
      <c r="BB242" s="219"/>
      <c r="BC242" s="219"/>
      <c r="BD242" s="75"/>
      <c r="BE242" s="75"/>
      <c r="BF242" s="164"/>
    </row>
    <row r="243">
      <c r="A243" s="6"/>
      <c r="B243" s="183"/>
      <c r="C243" s="263"/>
      <c r="D243" s="75"/>
      <c r="E243" s="75"/>
      <c r="F243" s="219"/>
      <c r="G243" s="219"/>
      <c r="H243" s="219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5"/>
      <c r="AL243" s="75"/>
      <c r="AM243" s="75"/>
      <c r="AN243" s="75"/>
      <c r="AO243" s="75"/>
      <c r="AP243" s="75"/>
      <c r="AQ243" s="75"/>
      <c r="AR243" s="75"/>
      <c r="AS243" s="75"/>
      <c r="AT243" s="75"/>
      <c r="AU243" s="75"/>
      <c r="AV243" s="75"/>
      <c r="AW243" s="219"/>
      <c r="AX243" s="219"/>
      <c r="AY243" s="254"/>
      <c r="AZ243" s="219"/>
      <c r="BA243" s="219"/>
      <c r="BB243" s="219"/>
      <c r="BC243" s="219"/>
      <c r="BD243" s="75"/>
      <c r="BE243" s="75"/>
      <c r="BF243" s="164"/>
    </row>
    <row r="244">
      <c r="A244" s="6"/>
      <c r="B244" s="183"/>
      <c r="C244" s="263"/>
      <c r="D244" s="75"/>
      <c r="E244" s="75"/>
      <c r="F244" s="219"/>
      <c r="G244" s="219"/>
      <c r="H244" s="219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  <c r="AH244" s="75"/>
      <c r="AI244" s="75"/>
      <c r="AJ244" s="75"/>
      <c r="AK244" s="75"/>
      <c r="AL244" s="75"/>
      <c r="AM244" s="75"/>
      <c r="AN244" s="75"/>
      <c r="AO244" s="75"/>
      <c r="AP244" s="75"/>
      <c r="AQ244" s="75"/>
      <c r="AR244" s="75"/>
      <c r="AS244" s="75"/>
      <c r="AT244" s="75"/>
      <c r="AU244" s="75"/>
      <c r="AV244" s="75"/>
      <c r="AW244" s="219"/>
      <c r="AX244" s="219"/>
      <c r="AY244" s="254"/>
      <c r="AZ244" s="219"/>
      <c r="BA244" s="219"/>
      <c r="BB244" s="219"/>
      <c r="BC244" s="219"/>
      <c r="BD244" s="75"/>
      <c r="BE244" s="75"/>
      <c r="BF244" s="164"/>
    </row>
    <row r="245">
      <c r="A245" s="6"/>
      <c r="B245" s="183"/>
      <c r="C245" s="263"/>
      <c r="D245" s="75"/>
      <c r="E245" s="75"/>
      <c r="F245" s="219"/>
      <c r="G245" s="219"/>
      <c r="H245" s="219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  <c r="AH245" s="75"/>
      <c r="AI245" s="75"/>
      <c r="AJ245" s="75"/>
      <c r="AK245" s="75"/>
      <c r="AL245" s="75"/>
      <c r="AM245" s="75"/>
      <c r="AN245" s="75"/>
      <c r="AO245" s="75"/>
      <c r="AP245" s="75"/>
      <c r="AQ245" s="75"/>
      <c r="AR245" s="75"/>
      <c r="AS245" s="75"/>
      <c r="AT245" s="75"/>
      <c r="AU245" s="75"/>
      <c r="AV245" s="75"/>
      <c r="AW245" s="219"/>
      <c r="AX245" s="219"/>
      <c r="AY245" s="254"/>
      <c r="AZ245" s="219"/>
      <c r="BA245" s="219"/>
      <c r="BB245" s="219"/>
      <c r="BC245" s="219"/>
      <c r="BD245" s="75"/>
      <c r="BE245" s="75"/>
      <c r="BF245" s="164"/>
    </row>
    <row r="246">
      <c r="A246" s="6"/>
      <c r="B246" s="183"/>
      <c r="C246" s="263"/>
      <c r="D246" s="75"/>
      <c r="E246" s="75"/>
      <c r="F246" s="219"/>
      <c r="G246" s="219"/>
      <c r="H246" s="219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  <c r="AH246" s="75"/>
      <c r="AI246" s="75"/>
      <c r="AJ246" s="75"/>
      <c r="AK246" s="75"/>
      <c r="AL246" s="75"/>
      <c r="AM246" s="75"/>
      <c r="AN246" s="75"/>
      <c r="AO246" s="75"/>
      <c r="AP246" s="75"/>
      <c r="AQ246" s="75"/>
      <c r="AR246" s="75"/>
      <c r="AS246" s="75"/>
      <c r="AT246" s="75"/>
      <c r="AU246" s="75"/>
      <c r="AV246" s="75"/>
      <c r="AW246" s="219"/>
      <c r="AX246" s="219"/>
      <c r="AY246" s="254"/>
      <c r="AZ246" s="219"/>
      <c r="BA246" s="219"/>
      <c r="BB246" s="219"/>
      <c r="BC246" s="219"/>
      <c r="BD246" s="75"/>
      <c r="BE246" s="75"/>
      <c r="BF246" s="164"/>
    </row>
    <row r="247">
      <c r="A247" s="6"/>
      <c r="B247" s="183"/>
      <c r="C247" s="263"/>
      <c r="D247" s="75"/>
      <c r="E247" s="75"/>
      <c r="F247" s="219"/>
      <c r="G247" s="219"/>
      <c r="H247" s="219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  <c r="AH247" s="75"/>
      <c r="AI247" s="75"/>
      <c r="AJ247" s="75"/>
      <c r="AK247" s="75"/>
      <c r="AL247" s="75"/>
      <c r="AM247" s="75"/>
      <c r="AN247" s="75"/>
      <c r="AO247" s="75"/>
      <c r="AP247" s="75"/>
      <c r="AQ247" s="75"/>
      <c r="AR247" s="75"/>
      <c r="AS247" s="75"/>
      <c r="AT247" s="75"/>
      <c r="AU247" s="75"/>
      <c r="AV247" s="75"/>
      <c r="AW247" s="219"/>
      <c r="AX247" s="219"/>
      <c r="AY247" s="254"/>
      <c r="AZ247" s="219"/>
      <c r="BA247" s="219"/>
      <c r="BB247" s="219"/>
      <c r="BC247" s="219"/>
      <c r="BD247" s="75"/>
      <c r="BE247" s="75"/>
      <c r="BF247" s="164"/>
    </row>
    <row r="248">
      <c r="A248" s="6"/>
      <c r="B248" s="6"/>
      <c r="C248" s="264"/>
      <c r="F248" s="167"/>
      <c r="G248" s="167"/>
      <c r="H248" s="167"/>
      <c r="AW248" s="167"/>
      <c r="AX248" s="167"/>
      <c r="AY248" s="210"/>
      <c r="AZ248" s="167"/>
      <c r="BA248" s="167"/>
      <c r="BB248" s="167"/>
      <c r="BC248" s="167"/>
    </row>
    <row r="249">
      <c r="A249" s="6"/>
      <c r="B249" s="6"/>
      <c r="C249" s="264"/>
      <c r="F249" s="167"/>
      <c r="G249" s="167"/>
      <c r="H249" s="167"/>
      <c r="AW249" s="167"/>
      <c r="AX249" s="167"/>
      <c r="AY249" s="210"/>
      <c r="AZ249" s="167"/>
      <c r="BA249" s="167"/>
      <c r="BB249" s="167"/>
      <c r="BC249" s="167"/>
    </row>
    <row r="250">
      <c r="A250" s="6"/>
      <c r="B250" s="6"/>
      <c r="C250" s="264"/>
      <c r="F250" s="167"/>
      <c r="G250" s="167"/>
      <c r="H250" s="167"/>
      <c r="AW250" s="167"/>
      <c r="AX250" s="167"/>
      <c r="AY250" s="210"/>
      <c r="AZ250" s="167"/>
      <c r="BA250" s="167"/>
      <c r="BB250" s="167"/>
      <c r="BC250" s="167"/>
    </row>
    <row r="251">
      <c r="A251" s="6"/>
      <c r="B251" s="6"/>
      <c r="C251" s="264"/>
      <c r="F251" s="167"/>
      <c r="G251" s="167"/>
      <c r="H251" s="167"/>
      <c r="AW251" s="167"/>
      <c r="AX251" s="167"/>
      <c r="AY251" s="210"/>
      <c r="AZ251" s="167"/>
      <c r="BA251" s="167"/>
      <c r="BB251" s="167"/>
      <c r="BC251" s="167"/>
    </row>
    <row r="252">
      <c r="A252" s="6"/>
      <c r="B252" s="6"/>
      <c r="C252" s="264"/>
      <c r="F252" s="167"/>
      <c r="G252" s="167"/>
      <c r="H252" s="167"/>
      <c r="AW252" s="167"/>
      <c r="AX252" s="167"/>
      <c r="AY252" s="210"/>
      <c r="AZ252" s="167"/>
      <c r="BA252" s="167"/>
      <c r="BB252" s="167"/>
      <c r="BC252" s="167"/>
    </row>
    <row r="253">
      <c r="A253" s="6"/>
      <c r="B253" s="6"/>
      <c r="C253" s="264"/>
      <c r="F253" s="167"/>
      <c r="G253" s="167"/>
      <c r="H253" s="167"/>
      <c r="AW253" s="167"/>
      <c r="AX253" s="167"/>
      <c r="AY253" s="210"/>
      <c r="AZ253" s="167"/>
      <c r="BA253" s="167"/>
      <c r="BB253" s="167"/>
      <c r="BC253" s="167"/>
    </row>
    <row r="254">
      <c r="A254" s="6"/>
      <c r="B254" s="6"/>
      <c r="C254" s="264"/>
      <c r="F254" s="167"/>
      <c r="G254" s="167"/>
      <c r="H254" s="167"/>
      <c r="AW254" s="167"/>
      <c r="AX254" s="167"/>
      <c r="AY254" s="210"/>
      <c r="AZ254" s="167"/>
      <c r="BA254" s="167"/>
      <c r="BB254" s="167"/>
      <c r="BC254" s="167"/>
    </row>
    <row r="255">
      <c r="A255" s="6"/>
      <c r="B255" s="6"/>
      <c r="C255" s="264"/>
      <c r="F255" s="167"/>
      <c r="G255" s="167"/>
      <c r="H255" s="167"/>
      <c r="AW255" s="167"/>
      <c r="AX255" s="167"/>
      <c r="AY255" s="210"/>
      <c r="AZ255" s="167"/>
      <c r="BA255" s="167"/>
      <c r="BB255" s="167"/>
      <c r="BC255" s="167"/>
    </row>
    <row r="256">
      <c r="A256" s="6"/>
      <c r="B256" s="6"/>
      <c r="C256" s="264"/>
      <c r="F256" s="167"/>
      <c r="G256" s="167"/>
      <c r="H256" s="167"/>
      <c r="AW256" s="167"/>
      <c r="AX256" s="167"/>
      <c r="AY256" s="210"/>
      <c r="AZ256" s="167"/>
      <c r="BA256" s="167"/>
      <c r="BB256" s="167"/>
      <c r="BC256" s="167"/>
    </row>
    <row r="257">
      <c r="A257" s="6"/>
      <c r="B257" s="6"/>
      <c r="C257" s="264"/>
      <c r="F257" s="167"/>
      <c r="G257" s="167"/>
      <c r="H257" s="167"/>
      <c r="AW257" s="167"/>
      <c r="AX257" s="167"/>
      <c r="AY257" s="210"/>
      <c r="AZ257" s="167"/>
      <c r="BA257" s="167"/>
      <c r="BB257" s="167"/>
      <c r="BC257" s="167"/>
    </row>
    <row r="258">
      <c r="A258" s="6"/>
      <c r="B258" s="6"/>
      <c r="C258" s="264"/>
      <c r="F258" s="167"/>
      <c r="G258" s="167"/>
      <c r="H258" s="167"/>
      <c r="AW258" s="167"/>
      <c r="AX258" s="167"/>
      <c r="AY258" s="210"/>
      <c r="AZ258" s="167"/>
      <c r="BA258" s="167"/>
      <c r="BB258" s="167"/>
      <c r="BC258" s="167"/>
    </row>
    <row r="259">
      <c r="A259" s="6"/>
      <c r="B259" s="6"/>
      <c r="C259" s="264"/>
      <c r="F259" s="167"/>
      <c r="G259" s="167"/>
      <c r="H259" s="167"/>
      <c r="AW259" s="167"/>
      <c r="AX259" s="167"/>
      <c r="AY259" s="210"/>
      <c r="AZ259" s="167"/>
      <c r="BA259" s="167"/>
      <c r="BB259" s="167"/>
      <c r="BC259" s="167"/>
    </row>
    <row r="260">
      <c r="A260" s="6"/>
      <c r="B260" s="6"/>
      <c r="C260" s="264"/>
      <c r="F260" s="167"/>
      <c r="G260" s="167"/>
      <c r="H260" s="167"/>
      <c r="AW260" s="167"/>
      <c r="AX260" s="167"/>
      <c r="AY260" s="210"/>
      <c r="AZ260" s="167"/>
      <c r="BA260" s="167"/>
      <c r="BB260" s="167"/>
      <c r="BC260" s="167"/>
    </row>
    <row r="261">
      <c r="A261" s="6"/>
      <c r="B261" s="6"/>
      <c r="C261" s="264"/>
      <c r="F261" s="167"/>
      <c r="G261" s="167"/>
      <c r="H261" s="167"/>
      <c r="AW261" s="167"/>
      <c r="AX261" s="167"/>
      <c r="AY261" s="210"/>
      <c r="AZ261" s="167"/>
      <c r="BA261" s="167"/>
      <c r="BB261" s="167"/>
      <c r="BC261" s="167"/>
    </row>
    <row r="262">
      <c r="A262" s="6"/>
      <c r="B262" s="6"/>
      <c r="C262" s="264"/>
      <c r="F262" s="167"/>
      <c r="G262" s="167"/>
      <c r="H262" s="167"/>
      <c r="AW262" s="167"/>
      <c r="AX262" s="167"/>
      <c r="AY262" s="210"/>
      <c r="AZ262" s="167"/>
      <c r="BA262" s="167"/>
      <c r="BB262" s="167"/>
      <c r="BC262" s="167"/>
    </row>
    <row r="263">
      <c r="A263" s="6"/>
      <c r="B263" s="6"/>
      <c r="C263" s="264"/>
      <c r="F263" s="167"/>
      <c r="G263" s="167"/>
      <c r="H263" s="167"/>
      <c r="AW263" s="167"/>
      <c r="AX263" s="167"/>
      <c r="AY263" s="210"/>
      <c r="AZ263" s="167"/>
      <c r="BA263" s="167"/>
      <c r="BB263" s="167"/>
      <c r="BC263" s="167"/>
    </row>
    <row r="264">
      <c r="A264" s="6"/>
      <c r="B264" s="6"/>
      <c r="C264" s="264"/>
      <c r="F264" s="167"/>
      <c r="G264" s="167"/>
      <c r="H264" s="167"/>
      <c r="AW264" s="167"/>
      <c r="AX264" s="167"/>
      <c r="AY264" s="210"/>
      <c r="AZ264" s="167"/>
      <c r="BA264" s="167"/>
      <c r="BB264" s="167"/>
      <c r="BC264" s="167"/>
    </row>
    <row r="265">
      <c r="A265" s="6"/>
      <c r="B265" s="6"/>
      <c r="C265" s="264"/>
      <c r="F265" s="167"/>
      <c r="G265" s="167"/>
      <c r="H265" s="167"/>
      <c r="AW265" s="167"/>
      <c r="AX265" s="167"/>
      <c r="AY265" s="210"/>
      <c r="AZ265" s="167"/>
      <c r="BA265" s="167"/>
      <c r="BB265" s="167"/>
      <c r="BC265" s="167"/>
    </row>
    <row r="266">
      <c r="A266" s="6"/>
      <c r="B266" s="6"/>
      <c r="C266" s="264"/>
      <c r="F266" s="167"/>
      <c r="G266" s="167"/>
      <c r="H266" s="167"/>
      <c r="AW266" s="167"/>
      <c r="AX266" s="167"/>
      <c r="AY266" s="210"/>
      <c r="AZ266" s="167"/>
      <c r="BA266" s="167"/>
      <c r="BB266" s="167"/>
      <c r="BC266" s="167"/>
    </row>
    <row r="267">
      <c r="A267" s="6"/>
      <c r="B267" s="6"/>
      <c r="C267" s="264"/>
      <c r="F267" s="167"/>
      <c r="G267" s="167"/>
      <c r="H267" s="167"/>
      <c r="AW267" s="167"/>
      <c r="AX267" s="167"/>
      <c r="AY267" s="210"/>
      <c r="AZ267" s="167"/>
      <c r="BA267" s="167"/>
      <c r="BB267" s="167"/>
      <c r="BC267" s="167"/>
    </row>
    <row r="268">
      <c r="A268" s="6"/>
      <c r="B268" s="6"/>
      <c r="C268" s="264"/>
      <c r="F268" s="167"/>
      <c r="G268" s="167"/>
      <c r="H268" s="167"/>
      <c r="AW268" s="167"/>
      <c r="AX268" s="167"/>
      <c r="AY268" s="210"/>
      <c r="AZ268" s="167"/>
      <c r="BA268" s="167"/>
      <c r="BB268" s="167"/>
      <c r="BC268" s="167"/>
    </row>
    <row r="269">
      <c r="A269" s="6"/>
      <c r="B269" s="6"/>
      <c r="C269" s="264"/>
      <c r="F269" s="167"/>
      <c r="G269" s="167"/>
      <c r="H269" s="167"/>
      <c r="AW269" s="167"/>
      <c r="AX269" s="167"/>
      <c r="AY269" s="210"/>
      <c r="AZ269" s="167"/>
      <c r="BA269" s="167"/>
      <c r="BB269" s="167"/>
      <c r="BC269" s="167"/>
    </row>
    <row r="270">
      <c r="A270" s="6"/>
      <c r="B270" s="6"/>
      <c r="C270" s="264"/>
      <c r="F270" s="167"/>
      <c r="G270" s="167"/>
      <c r="H270" s="167"/>
      <c r="AW270" s="167"/>
      <c r="AX270" s="167"/>
      <c r="AY270" s="210"/>
      <c r="AZ270" s="167"/>
      <c r="BA270" s="167"/>
      <c r="BB270" s="167"/>
      <c r="BC270" s="167"/>
    </row>
  </sheetData>
  <mergeCells count="6">
    <mergeCell ref="B1:E1"/>
    <mergeCell ref="I1:I2"/>
    <mergeCell ref="J1:J2"/>
    <mergeCell ref="K1:K2"/>
    <mergeCell ref="L1:L2"/>
    <mergeCell ref="I4:K4"/>
  </mergeCells>
  <conditionalFormatting sqref="BD1:BD270 BE1:BE5 BE7:BE270 BK7">
    <cfRule type="notContainsBlanks" dxfId="1" priority="1">
      <formula>LEN(TRIM(BD1))&gt;0</formula>
    </cfRule>
  </conditionalFormatting>
  <conditionalFormatting sqref="C7:C270">
    <cfRule type="expression" dxfId="1" priority="2">
      <formula>BD7:BD270</formula>
    </cfRule>
  </conditionalFormatting>
  <conditionalFormatting sqref="P7:P270 Q7:R236">
    <cfRule type="cellIs" dxfId="1" priority="3" operator="lessThan">
      <formula>"50%"</formula>
    </cfRule>
  </conditionalFormatting>
  <conditionalFormatting sqref="E3">
    <cfRule type="notContainsBlanks" dxfId="0" priority="4">
      <formula>LEN(TRIM(E3))&gt;0</formula>
    </cfRule>
  </conditionalFormatting>
  <dataValidations>
    <dataValidation type="list" allowBlank="1" showErrorMessage="1" sqref="I3">
      <formula1>"Old,New"</formula1>
    </dataValidation>
    <dataValidation type="list" allowBlank="1" showErrorMessage="1" sqref="L3">
      <formula1>Data!$CH$3:$CH$226</formula1>
    </dataValidation>
    <dataValidation type="list" allowBlank="1" showErrorMessage="1" sqref="E3">
      <formula1>'Summary 25-26'!$BN$3:$BN$8</formula1>
    </dataValidation>
    <dataValidation type="list" allowBlank="1" showErrorMessage="1" sqref="C3">
      <formula1>'Summary 25-26'!$BJ$3:$BJ$15</formula1>
    </dataValidation>
    <dataValidation type="list" allowBlank="1" showErrorMessage="1" sqref="K3">
      <formula1>Data!$CG$3:$CG$226</formula1>
    </dataValidation>
    <dataValidation type="list" allowBlank="1" showErrorMessage="1" sqref="B3">
      <formula1>'Summary 25-26'!$BM$3:$BM270</formula1>
    </dataValidation>
    <dataValidation type="list" allowBlank="1" showErrorMessage="1" sqref="J3">
      <formula1>"Primary,Secondary"</formula1>
    </dataValidation>
    <dataValidation type="list" allowBlank="1" showErrorMessage="1" sqref="D3">
      <formula1>"Active,LEFT"</formula1>
    </dataValidation>
  </dataValidations>
  <printOptions horizontalCentered="1"/>
  <pageMargins bottom="0.52" footer="0.0" header="0.0" left="0.32" right="0.32" top="0.55"/>
  <pageSetup paperSize="9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1.0" ySplit="608.0" topLeftCell="B609" activePane="bottomRight" state="frozen"/>
      <selection activeCell="B1" sqref="B1" pane="topRight"/>
      <selection activeCell="A609" sqref="A609" pane="bottomLeft"/>
      <selection activeCell="B609" sqref="B609" pane="bottomRight"/>
    </sheetView>
  </sheetViews>
  <sheetFormatPr customHeight="1" defaultColWidth="12.63" defaultRowHeight="15.75"/>
  <cols>
    <col customWidth="1" min="1" max="1" width="27.13"/>
    <col customWidth="1" min="2" max="2" width="15.5"/>
    <col customWidth="1" min="3" max="3" width="20.75"/>
    <col customWidth="1" min="4" max="4" width="10.75"/>
    <col customWidth="1" min="5" max="5" width="11.63"/>
    <col customWidth="1" min="6" max="6" width="13.0"/>
    <col customWidth="1" min="7" max="7" width="10.0"/>
    <col customWidth="1" min="8" max="8" width="13.0"/>
    <col customWidth="1" min="9" max="9" width="10.0"/>
    <col customWidth="1" min="10" max="10" width="13.13"/>
    <col customWidth="1" min="11" max="11" width="8.0"/>
    <col customWidth="1" min="12" max="12" width="9.75"/>
    <col customWidth="1" hidden="1" min="13" max="15" width="20.5"/>
    <col hidden="1" min="16" max="26" width="12.63"/>
  </cols>
  <sheetData>
    <row r="1" hidden="1">
      <c r="D1" s="124">
        <f>SUM(D4:D601)</f>
        <v>2310912893</v>
      </c>
      <c r="E1" s="265"/>
      <c r="F1" s="265"/>
      <c r="G1" s="265"/>
      <c r="H1" s="265"/>
      <c r="I1" s="265"/>
      <c r="J1" s="265"/>
      <c r="K1" s="265"/>
      <c r="L1" s="265"/>
      <c r="M1" s="266"/>
    </row>
    <row r="2" hidden="1">
      <c r="A2" s="157"/>
      <c r="B2" s="157"/>
      <c r="C2" s="157"/>
      <c r="D2" s="267"/>
      <c r="E2" s="267"/>
      <c r="F2" s="268"/>
      <c r="G2" s="268"/>
      <c r="H2" s="268"/>
      <c r="I2" s="268"/>
      <c r="J2" s="268"/>
      <c r="K2" s="268"/>
      <c r="L2" s="268"/>
      <c r="M2" s="268"/>
      <c r="N2" s="268"/>
    </row>
    <row r="3" hidden="1">
      <c r="A3" s="157" t="s">
        <v>3</v>
      </c>
      <c r="B3" s="157" t="s">
        <v>892</v>
      </c>
      <c r="C3" s="157" t="s">
        <v>458</v>
      </c>
      <c r="D3" s="269" t="s">
        <v>963</v>
      </c>
      <c r="E3" s="269" t="str">
        <f>IFERROR(__xludf.DUMMYFUNCTION("transpose(UNIQUE(FLATTEN('Segment RAW Data 25-26'!B1:X1)))"),"Plumbing (SWR+AGRi+ UPVC+CPVC + HDPE+MANHOLE+ COLUMN +PVC Garden)")</f>
        <v>Plumbing (SWR+AGRi+ UPVC+CPVC + HDPE+MANHOLE+ COLUMN +PVC Garden)</v>
      </c>
      <c r="F3" s="158" t="str">
        <f>IFERROR(__xludf.DUMMYFUNCTION("""COMPUTED_VALUE"""),"CP (6000+7000+8000+9000+ 5000+VIGNETTE + assesories)")</f>
        <v>CP (6000+7000+8000+9000+ 5000+VIGNETTE + assesories)</v>
      </c>
      <c r="G3" s="158" t="str">
        <f>IFERROR(__xludf.DUMMYFUNCTION("""COMPUTED_VALUE"""),"PTMT (Cistern seat cover)")</f>
        <v>PTMT (Cistern seat cover)</v>
      </c>
      <c r="H3" s="158" t="str">
        <f>IFERROR(__xludf.DUMMYFUNCTION("""COMPUTED_VALUE"""),"Sink (Cocaroach Traps)")</f>
        <v>Sink (Cocaroach Traps)</v>
      </c>
      <c r="I3" s="158" t="str">
        <f>IFERROR(__xludf.DUMMYFUNCTION("""COMPUTED_VALUE"""),"HARDWARE")</f>
        <v>HARDWARE</v>
      </c>
      <c r="J3" s="158" t="str">
        <f>IFERROR(__xludf.DUMMYFUNCTION("""COMPUTED_VALUE"""),"SANITARYWARE")</f>
        <v>SANITARYWARE</v>
      </c>
      <c r="K3" s="158" t="str">
        <f>IFERROR(__xludf.DUMMYFUNCTION("""COMPUTED_VALUE"""),"Geyser")</f>
        <v>Geyser</v>
      </c>
      <c r="L3" s="158" t="str">
        <f>IFERROR(__xludf.DUMMYFUNCTION("""COMPUTED_VALUE"""),"Water Tank")</f>
        <v>Water Tank</v>
      </c>
      <c r="M3" s="158" t="s">
        <v>973</v>
      </c>
      <c r="N3" s="158" t="s">
        <v>974</v>
      </c>
    </row>
    <row r="4" hidden="1">
      <c r="A4" s="157" t="str">
        <f t="array" ref="A4:B600">IFERROR(VLOOKUP(C4:C600,{Data!C:C,Data!A:B},{2,3},0),"")</f>
        <v>Sandeep Dadheech</v>
      </c>
      <c r="B4" s="157" t="s">
        <v>196</v>
      </c>
      <c r="C4" s="157" t="s">
        <v>413</v>
      </c>
      <c r="D4" s="124">
        <f t="shared" ref="D4:D600" si="1">sum(E4:L4)</f>
        <v>6304004.23</v>
      </c>
      <c r="E4" s="265">
        <f>sumif('Segment RAW Data 25-26'!$B$1:$X$1,$E$3,'Segment RAW Data 25-26'!$B3:$X3)</f>
        <v>0</v>
      </c>
      <c r="F4" s="265">
        <f>sumif('Segment RAW Data 25-26'!$B$1:$X$1,$F$3,'Segment RAW Data 25-26'!$B3:$X3)</f>
        <v>757819.2</v>
      </c>
      <c r="G4" s="265">
        <f>sumif('Segment RAW Data 25-26'!$B$1:$X$1,$G$3,'Segment RAW Data 25-26'!$B3:$X3)</f>
        <v>2479191.68</v>
      </c>
      <c r="H4" s="265">
        <f>sumif('Segment RAW Data 25-26'!$B$1:$X$1,$H$3,'Segment RAW Data 25-26'!$B3:$X3)</f>
        <v>2141586.8</v>
      </c>
      <c r="I4" s="265">
        <f>sumif('Segment RAW Data 25-26'!$B$1:$X$1,$I$3,'Segment RAW Data 25-26'!$B3:$X3)</f>
        <v>0</v>
      </c>
      <c r="J4" s="265">
        <f>sumif('Segment RAW Data 25-26'!$B$1:$X$1,$J$3,'Segment RAW Data 25-26'!$B3:$X3)</f>
        <v>906556.55</v>
      </c>
      <c r="K4" s="265">
        <f>sumif('Segment RAW Data 25-26'!$B$1:$X$1,$K$3,'Segment RAW Data 25-26'!$B3:$X3)</f>
        <v>0</v>
      </c>
      <c r="L4" s="265">
        <f>sumif('Segment RAW Data 25-26'!$B$1:$X$1,$L$3,'Segment RAW Data 25-26'!$B3:$X3)</f>
        <v>18850</v>
      </c>
      <c r="M4" s="270">
        <f t="array" ref="M4:M600">IFERROR(VLOOKUP($C$4:$C$600,Data!$C$2:$AZ$243,50,0),"")</f>
        <v>46053</v>
      </c>
      <c r="N4" s="270" t="str">
        <f t="array" ref="N4:N600">IFERROR(VLOOKUP($C$4:$C$600,Data!$C$2:$BZ$243,51,0),"")</f>
        <v>LEFT</v>
      </c>
      <c r="O4" s="124">
        <f>VLOOKUP(C4:C601,'Segment RAW Data 25-26'!A3:Y600,25,0)-VLOOKUP(C4:C601,C:D,2,0)</f>
        <v>0.0000000009313225746</v>
      </c>
    </row>
    <row r="5" hidden="1">
      <c r="A5" s="157"/>
      <c r="B5" s="157"/>
      <c r="C5" s="157" t="s">
        <v>481</v>
      </c>
      <c r="D5" s="124">
        <f t="shared" si="1"/>
        <v>0</v>
      </c>
      <c r="E5" s="265">
        <f>sumif('Segment RAW Data 25-26'!$B$1:$X$1,$E$3,'Segment RAW Data 25-26'!$B4:$X4)</f>
        <v>0</v>
      </c>
      <c r="F5" s="265">
        <f>sumif('Segment RAW Data 25-26'!$B$1:$X$1,$F$3,'Segment RAW Data 25-26'!$B4:$X4)</f>
        <v>0</v>
      </c>
      <c r="G5" s="265">
        <f>sumif('Segment RAW Data 25-26'!$B$1:$X$1,$G$3,'Segment RAW Data 25-26'!$B4:$X4)</f>
        <v>0</v>
      </c>
      <c r="H5" s="265">
        <f>sumif('Segment RAW Data 25-26'!$B$1:$X$1,$H$3,'Segment RAW Data 25-26'!$B4:$X4)</f>
        <v>0</v>
      </c>
      <c r="I5" s="265">
        <f>sumif('Segment RAW Data 25-26'!$B$1:$X$1,$I$3,'Segment RAW Data 25-26'!$B4:$X4)</f>
        <v>0</v>
      </c>
      <c r="J5" s="265">
        <f>sumif('Segment RAW Data 25-26'!$B$1:$X$1,$J$3,'Segment RAW Data 25-26'!$B4:$X4)</f>
        <v>0</v>
      </c>
      <c r="K5" s="265">
        <f>sumif('Segment RAW Data 25-26'!$B$1:$X$1,$K$3,'Segment RAW Data 25-26'!$B4:$X4)</f>
        <v>0</v>
      </c>
      <c r="L5" s="265">
        <f>sumif('Segment RAW Data 25-26'!$B$1:$X$1,$L$3,'Segment RAW Data 25-26'!$B4:$X4)</f>
        <v>0</v>
      </c>
      <c r="M5" s="270"/>
      <c r="N5" s="124"/>
      <c r="O5" s="124">
        <f>VLOOKUP(C5:C602,'Segment RAW Data 25-26'!A4:Y601,25,0)-VLOOKUP(C5:C602,C:D,2,0)</f>
        <v>0</v>
      </c>
    </row>
    <row r="6" hidden="1">
      <c r="A6" s="157"/>
      <c r="B6" s="157"/>
      <c r="C6" s="157" t="s">
        <v>482</v>
      </c>
      <c r="D6" s="124">
        <f t="shared" si="1"/>
        <v>0</v>
      </c>
      <c r="E6" s="265">
        <f>sumif('Segment RAW Data 25-26'!$B$1:$X$1,$E$3,'Segment RAW Data 25-26'!$B5:$X5)</f>
        <v>0</v>
      </c>
      <c r="F6" s="265">
        <f>sumif('Segment RAW Data 25-26'!$B$1:$X$1,$F$3,'Segment RAW Data 25-26'!$B5:$X5)</f>
        <v>0</v>
      </c>
      <c r="G6" s="265">
        <f>sumif('Segment RAW Data 25-26'!$B$1:$X$1,$G$3,'Segment RAW Data 25-26'!$B5:$X5)</f>
        <v>0</v>
      </c>
      <c r="H6" s="265">
        <f>sumif('Segment RAW Data 25-26'!$B$1:$X$1,$H$3,'Segment RAW Data 25-26'!$B5:$X5)</f>
        <v>0</v>
      </c>
      <c r="I6" s="265">
        <f>sumif('Segment RAW Data 25-26'!$B$1:$X$1,$I$3,'Segment RAW Data 25-26'!$B5:$X5)</f>
        <v>0</v>
      </c>
      <c r="J6" s="265">
        <f>sumif('Segment RAW Data 25-26'!$B$1:$X$1,$J$3,'Segment RAW Data 25-26'!$B5:$X5)</f>
        <v>0</v>
      </c>
      <c r="K6" s="265">
        <f>sumif('Segment RAW Data 25-26'!$B$1:$X$1,$K$3,'Segment RAW Data 25-26'!$B5:$X5)</f>
        <v>0</v>
      </c>
      <c r="L6" s="265">
        <f>sumif('Segment RAW Data 25-26'!$B$1:$X$1,$L$3,'Segment RAW Data 25-26'!$B5:$X5)</f>
        <v>0</v>
      </c>
      <c r="M6" s="270"/>
      <c r="N6" s="124"/>
      <c r="O6" s="124">
        <f>VLOOKUP(C6:C604,'Segment RAW Data 25-26'!A5:Y602,25,0)-VLOOKUP(C6:C604,C:D,2,0)</f>
        <v>0</v>
      </c>
    </row>
    <row r="7" hidden="1">
      <c r="A7" s="157" t="s">
        <v>185</v>
      </c>
      <c r="B7" s="157" t="s">
        <v>189</v>
      </c>
      <c r="C7" s="157" t="s">
        <v>197</v>
      </c>
      <c r="D7" s="124">
        <f t="shared" si="1"/>
        <v>80016577.55</v>
      </c>
      <c r="E7" s="265">
        <f>sumif('Segment RAW Data 25-26'!$B$1:$X$1,$E$3,'Segment RAW Data 25-26'!$B6:$X6)</f>
        <v>744697.8</v>
      </c>
      <c r="F7" s="265">
        <f>sumif('Segment RAW Data 25-26'!$B$1:$X$1,$F$3,'Segment RAW Data 25-26'!$B6:$X6)</f>
        <v>29381346.19</v>
      </c>
      <c r="G7" s="265">
        <f>sumif('Segment RAW Data 25-26'!$B$1:$X$1,$G$3,'Segment RAW Data 25-26'!$B6:$X6)</f>
        <v>47777769.38</v>
      </c>
      <c r="H7" s="265">
        <f>sumif('Segment RAW Data 25-26'!$B$1:$X$1,$H$3,'Segment RAW Data 25-26'!$B6:$X6)</f>
        <v>2112764.18</v>
      </c>
      <c r="I7" s="265">
        <f>sumif('Segment RAW Data 25-26'!$B$1:$X$1,$I$3,'Segment RAW Data 25-26'!$B6:$X6)</f>
        <v>0</v>
      </c>
      <c r="J7" s="265">
        <f>sumif('Segment RAW Data 25-26'!$B$1:$X$1,$J$3,'Segment RAW Data 25-26'!$B6:$X6)</f>
        <v>0</v>
      </c>
      <c r="K7" s="265">
        <f>sumif('Segment RAW Data 25-26'!$B$1:$X$1,$K$3,'Segment RAW Data 25-26'!$B6:$X6)</f>
        <v>0</v>
      </c>
      <c r="L7" s="265">
        <f>sumif('Segment RAW Data 25-26'!$B$1:$X$1,$L$3,'Segment RAW Data 25-26'!$B6:$X6)</f>
        <v>0</v>
      </c>
      <c r="M7" s="270"/>
      <c r="N7" s="124" t="s">
        <v>975</v>
      </c>
      <c r="O7" s="124">
        <f>VLOOKUP(C7:C605,'Segment RAW Data 25-26'!A6:Y603,25,0)-VLOOKUP(C7:C605,C:D,2,0)</f>
        <v>-0.00000001490116119</v>
      </c>
    </row>
    <row r="8" hidden="1">
      <c r="A8" s="157" t="s">
        <v>185</v>
      </c>
      <c r="B8" s="157" t="s">
        <v>196</v>
      </c>
      <c r="C8" s="157" t="s">
        <v>194</v>
      </c>
      <c r="D8" s="124">
        <f t="shared" si="1"/>
        <v>22853663.08</v>
      </c>
      <c r="E8" s="265">
        <f>sumif('Segment RAW Data 25-26'!$B$1:$X$1,$E$3,'Segment RAW Data 25-26'!$B7:$X7)</f>
        <v>26681.52</v>
      </c>
      <c r="F8" s="265">
        <f>sumif('Segment RAW Data 25-26'!$B$1:$X$1,$F$3,'Segment RAW Data 25-26'!$B7:$X7)</f>
        <v>4505166.2</v>
      </c>
      <c r="G8" s="265">
        <f>sumif('Segment RAW Data 25-26'!$B$1:$X$1,$G$3,'Segment RAW Data 25-26'!$B7:$X7)</f>
        <v>12878931.78</v>
      </c>
      <c r="H8" s="265">
        <f>sumif('Segment RAW Data 25-26'!$B$1:$X$1,$H$3,'Segment RAW Data 25-26'!$B7:$X7)</f>
        <v>5436545.98</v>
      </c>
      <c r="I8" s="265">
        <f>sumif('Segment RAW Data 25-26'!$B$1:$X$1,$I$3,'Segment RAW Data 25-26'!$B7:$X7)</f>
        <v>0</v>
      </c>
      <c r="J8" s="265">
        <f>sumif('Segment RAW Data 25-26'!$B$1:$X$1,$J$3,'Segment RAW Data 25-26'!$B7:$X7)</f>
        <v>6337.6</v>
      </c>
      <c r="K8" s="265">
        <f>sumif('Segment RAW Data 25-26'!$B$1:$X$1,$K$3,'Segment RAW Data 25-26'!$B7:$X7)</f>
        <v>0</v>
      </c>
      <c r="L8" s="265">
        <f>sumif('Segment RAW Data 25-26'!$B$1:$X$1,$L$3,'Segment RAW Data 25-26'!$B7:$X7)</f>
        <v>0</v>
      </c>
      <c r="M8" s="270"/>
      <c r="N8" s="124" t="s">
        <v>975</v>
      </c>
      <c r="O8" s="124">
        <f>VLOOKUP(C8:C608,'Segment RAW Data 25-26'!A7:Y604,25,0)-VLOOKUP(C8:C608,C:D,2,0)</f>
        <v>-0.000000003725290298</v>
      </c>
    </row>
    <row r="9" hidden="1">
      <c r="A9" s="157" t="s">
        <v>185</v>
      </c>
      <c r="B9" s="157" t="s">
        <v>189</v>
      </c>
      <c r="C9" s="157" t="s">
        <v>186</v>
      </c>
      <c r="D9" s="124">
        <f t="shared" si="1"/>
        <v>1199546.8</v>
      </c>
      <c r="E9" s="265">
        <f>sumif('Segment RAW Data 25-26'!$B$1:$X$1,$E$3,'Segment RAW Data 25-26'!$B8:$X8)</f>
        <v>0</v>
      </c>
      <c r="F9" s="265">
        <f>sumif('Segment RAW Data 25-26'!$B$1:$X$1,$F$3,'Segment RAW Data 25-26'!$B8:$X8)</f>
        <v>443454.4</v>
      </c>
      <c r="G9" s="265">
        <f>sumif('Segment RAW Data 25-26'!$B$1:$X$1,$G$3,'Segment RAW Data 25-26'!$B8:$X8)</f>
        <v>693213.2</v>
      </c>
      <c r="H9" s="265">
        <f>sumif('Segment RAW Data 25-26'!$B$1:$X$1,$H$3,'Segment RAW Data 25-26'!$B8:$X8)</f>
        <v>62879.2</v>
      </c>
      <c r="I9" s="265">
        <f>sumif('Segment RAW Data 25-26'!$B$1:$X$1,$I$3,'Segment RAW Data 25-26'!$B8:$X8)</f>
        <v>0</v>
      </c>
      <c r="J9" s="265">
        <f>sumif('Segment RAW Data 25-26'!$B$1:$X$1,$J$3,'Segment RAW Data 25-26'!$B8:$X8)</f>
        <v>0</v>
      </c>
      <c r="K9" s="265">
        <f>sumif('Segment RAW Data 25-26'!$B$1:$X$1,$K$3,'Segment RAW Data 25-26'!$B8:$X8)</f>
        <v>0</v>
      </c>
      <c r="L9" s="265">
        <f>sumif('Segment RAW Data 25-26'!$B$1:$X$1,$L$3,'Segment RAW Data 25-26'!$B8:$X8)</f>
        <v>0</v>
      </c>
      <c r="M9" s="270"/>
      <c r="N9" s="124" t="s">
        <v>975</v>
      </c>
      <c r="O9" s="124">
        <f>VLOOKUP(C9:C609,'Segment RAW Data 25-26'!A8:Y605,25,0)-VLOOKUP(C9:C609,C:D,2,0)</f>
        <v>0</v>
      </c>
    </row>
    <row r="10" hidden="1">
      <c r="A10" s="157"/>
      <c r="B10" s="157"/>
      <c r="C10" s="157" t="s">
        <v>483</v>
      </c>
      <c r="D10" s="124">
        <f t="shared" si="1"/>
        <v>0</v>
      </c>
      <c r="E10" s="265">
        <f>sumif('Segment RAW Data 25-26'!$B$1:$X$1,$E$3,'Segment RAW Data 25-26'!$B9:$X9)</f>
        <v>0</v>
      </c>
      <c r="F10" s="265">
        <f>sumif('Segment RAW Data 25-26'!$B$1:$X$1,$F$3,'Segment RAW Data 25-26'!$B9:$X9)</f>
        <v>0</v>
      </c>
      <c r="G10" s="265">
        <f>sumif('Segment RAW Data 25-26'!$B$1:$X$1,$G$3,'Segment RAW Data 25-26'!$B9:$X9)</f>
        <v>0</v>
      </c>
      <c r="H10" s="265">
        <f>sumif('Segment RAW Data 25-26'!$B$1:$X$1,$H$3,'Segment RAW Data 25-26'!$B9:$X9)</f>
        <v>0</v>
      </c>
      <c r="I10" s="265">
        <f>sumif('Segment RAW Data 25-26'!$B$1:$X$1,$I$3,'Segment RAW Data 25-26'!$B9:$X9)</f>
        <v>0</v>
      </c>
      <c r="J10" s="265">
        <f>sumif('Segment RAW Data 25-26'!$B$1:$X$1,$J$3,'Segment RAW Data 25-26'!$B9:$X9)</f>
        <v>0</v>
      </c>
      <c r="K10" s="265">
        <f>sumif('Segment RAW Data 25-26'!$B$1:$X$1,$K$3,'Segment RAW Data 25-26'!$B9:$X9)</f>
        <v>0</v>
      </c>
      <c r="L10" s="265">
        <f>sumif('Segment RAW Data 25-26'!$B$1:$X$1,$L$3,'Segment RAW Data 25-26'!$B9:$X9)</f>
        <v>0</v>
      </c>
      <c r="M10" s="270"/>
      <c r="N10" s="124"/>
      <c r="O10" s="124">
        <f>VLOOKUP(C10:C609,'Segment RAW Data 25-26'!A9:Y606,25,0)-VLOOKUP(C10:C609,C:D,2,0)</f>
        <v>0</v>
      </c>
    </row>
    <row r="11" hidden="1">
      <c r="A11" s="157" t="s">
        <v>185</v>
      </c>
      <c r="B11" s="157" t="s">
        <v>196</v>
      </c>
      <c r="C11" s="157" t="s">
        <v>208</v>
      </c>
      <c r="D11" s="124">
        <f t="shared" si="1"/>
        <v>17570627.09</v>
      </c>
      <c r="E11" s="265">
        <f>sumif('Segment RAW Data 25-26'!$B$1:$X$1,$E$3,'Segment RAW Data 25-26'!$B10:$X10)</f>
        <v>311310.7</v>
      </c>
      <c r="F11" s="265">
        <f>sumif('Segment RAW Data 25-26'!$B$1:$X$1,$F$3,'Segment RAW Data 25-26'!$B10:$X10)</f>
        <v>3524347.47</v>
      </c>
      <c r="G11" s="265">
        <f>sumif('Segment RAW Data 25-26'!$B$1:$X$1,$G$3,'Segment RAW Data 25-26'!$B10:$X10)</f>
        <v>11685272.23</v>
      </c>
      <c r="H11" s="265">
        <f>sumif('Segment RAW Data 25-26'!$B$1:$X$1,$H$3,'Segment RAW Data 25-26'!$B10:$X10)</f>
        <v>1925672.99</v>
      </c>
      <c r="I11" s="265">
        <f>sumif('Segment RAW Data 25-26'!$B$1:$X$1,$I$3,'Segment RAW Data 25-26'!$B10:$X10)</f>
        <v>6697.6</v>
      </c>
      <c r="J11" s="265">
        <f>sumif('Segment RAW Data 25-26'!$B$1:$X$1,$J$3,'Segment RAW Data 25-26'!$B10:$X10)</f>
        <v>117326.1</v>
      </c>
      <c r="K11" s="265">
        <f>sumif('Segment RAW Data 25-26'!$B$1:$X$1,$K$3,'Segment RAW Data 25-26'!$B10:$X10)</f>
        <v>0</v>
      </c>
      <c r="L11" s="265">
        <f>sumif('Segment RAW Data 25-26'!$B$1:$X$1,$L$3,'Segment RAW Data 25-26'!$B10:$X10)</f>
        <v>0</v>
      </c>
      <c r="M11" s="270"/>
      <c r="N11" s="124" t="s">
        <v>975</v>
      </c>
      <c r="O11" s="124">
        <f>VLOOKUP(C11:C610,'Segment RAW Data 25-26'!A10:Y607,25,0)-VLOOKUP(C11:C610,C:D,2,0)</f>
        <v>0.009999997914</v>
      </c>
    </row>
    <row r="12" hidden="1">
      <c r="A12" s="157" t="s">
        <v>185</v>
      </c>
      <c r="B12" s="157" t="s">
        <v>196</v>
      </c>
      <c r="C12" s="157" t="s">
        <v>199</v>
      </c>
      <c r="D12" s="124">
        <f t="shared" si="1"/>
        <v>72128325.14</v>
      </c>
      <c r="E12" s="265">
        <f>sumif('Segment RAW Data 25-26'!$B$1:$X$1,$E$3,'Segment RAW Data 25-26'!$B11:$X11)</f>
        <v>24427.5</v>
      </c>
      <c r="F12" s="265">
        <f>sumif('Segment RAW Data 25-26'!$B$1:$X$1,$F$3,'Segment RAW Data 25-26'!$B11:$X11)</f>
        <v>28322678.36</v>
      </c>
      <c r="G12" s="265">
        <f>sumif('Segment RAW Data 25-26'!$B$1:$X$1,$G$3,'Segment RAW Data 25-26'!$B11:$X11)</f>
        <v>32483590.74</v>
      </c>
      <c r="H12" s="265">
        <f>sumif('Segment RAW Data 25-26'!$B$1:$X$1,$H$3,'Segment RAW Data 25-26'!$B11:$X11)</f>
        <v>11233695.02</v>
      </c>
      <c r="I12" s="265">
        <f>sumif('Segment RAW Data 25-26'!$B$1:$X$1,$I$3,'Segment RAW Data 25-26'!$B11:$X11)</f>
        <v>3093.12</v>
      </c>
      <c r="J12" s="265">
        <f>sumif('Segment RAW Data 25-26'!$B$1:$X$1,$J$3,'Segment RAW Data 25-26'!$B11:$X11)</f>
        <v>24792</v>
      </c>
      <c r="K12" s="265">
        <f>sumif('Segment RAW Data 25-26'!$B$1:$X$1,$K$3,'Segment RAW Data 25-26'!$B11:$X11)</f>
        <v>27301.6</v>
      </c>
      <c r="L12" s="265">
        <f>sumif('Segment RAW Data 25-26'!$B$1:$X$1,$L$3,'Segment RAW Data 25-26'!$B11:$X11)</f>
        <v>8746.8</v>
      </c>
      <c r="M12" s="270"/>
      <c r="N12" s="124" t="s">
        <v>975</v>
      </c>
      <c r="O12" s="124">
        <f>VLOOKUP(C12:C611,'Segment RAW Data 25-26'!A11:Y608,25,0)-VLOOKUP(C12:C611,C:D,2,0)</f>
        <v>0</v>
      </c>
    </row>
    <row r="13" hidden="1">
      <c r="A13" s="157" t="s">
        <v>185</v>
      </c>
      <c r="B13" s="157" t="s">
        <v>189</v>
      </c>
      <c r="C13" s="157" t="s">
        <v>201</v>
      </c>
      <c r="D13" s="124">
        <f t="shared" si="1"/>
        <v>33140269.66</v>
      </c>
      <c r="E13" s="265">
        <f>sumif('Segment RAW Data 25-26'!$B$1:$X$1,$E$3,'Segment RAW Data 25-26'!$B12:$X12)</f>
        <v>5643568.86</v>
      </c>
      <c r="F13" s="265">
        <f>sumif('Segment RAW Data 25-26'!$B$1:$X$1,$F$3,'Segment RAW Data 25-26'!$B12:$X12)</f>
        <v>955181.2</v>
      </c>
      <c r="G13" s="265">
        <f>sumif('Segment RAW Data 25-26'!$B$1:$X$1,$G$3,'Segment RAW Data 25-26'!$B12:$X12)</f>
        <v>24633550.15</v>
      </c>
      <c r="H13" s="265">
        <f>sumif('Segment RAW Data 25-26'!$B$1:$X$1,$H$3,'Segment RAW Data 25-26'!$B12:$X12)</f>
        <v>415631.2</v>
      </c>
      <c r="I13" s="265">
        <f>sumif('Segment RAW Data 25-26'!$B$1:$X$1,$I$3,'Segment RAW Data 25-26'!$B12:$X12)</f>
        <v>0</v>
      </c>
      <c r="J13" s="265">
        <f>sumif('Segment RAW Data 25-26'!$B$1:$X$1,$J$3,'Segment RAW Data 25-26'!$B12:$X12)</f>
        <v>0</v>
      </c>
      <c r="K13" s="265">
        <f>sumif('Segment RAW Data 25-26'!$B$1:$X$1,$K$3,'Segment RAW Data 25-26'!$B12:$X12)</f>
        <v>0</v>
      </c>
      <c r="L13" s="265">
        <f>sumif('Segment RAW Data 25-26'!$B$1:$X$1,$L$3,'Segment RAW Data 25-26'!$B12:$X12)</f>
        <v>1492338.25</v>
      </c>
      <c r="M13" s="270"/>
      <c r="N13" s="124" t="s">
        <v>975</v>
      </c>
      <c r="O13" s="124">
        <f>VLOOKUP(C13:C612,'Segment RAW Data 25-26'!A12:Y609,25,0)-VLOOKUP(C13:C612,C:D,2,0)</f>
        <v>-0.009999997914</v>
      </c>
    </row>
    <row r="14" hidden="1">
      <c r="A14" s="157" t="s">
        <v>185</v>
      </c>
      <c r="B14" s="157" t="s">
        <v>189</v>
      </c>
      <c r="C14" s="157" t="s">
        <v>202</v>
      </c>
      <c r="D14" s="124">
        <f t="shared" si="1"/>
        <v>38462588.98</v>
      </c>
      <c r="E14" s="265">
        <f>sumif('Segment RAW Data 25-26'!$B$1:$X$1,$E$3,'Segment RAW Data 25-26'!$B13:$X13)</f>
        <v>16867162.38</v>
      </c>
      <c r="F14" s="265">
        <f>sumif('Segment RAW Data 25-26'!$B$1:$X$1,$F$3,'Segment RAW Data 25-26'!$B13:$X13)</f>
        <v>7674597</v>
      </c>
      <c r="G14" s="265">
        <f>sumif('Segment RAW Data 25-26'!$B$1:$X$1,$G$3,'Segment RAW Data 25-26'!$B13:$X13)</f>
        <v>8925603</v>
      </c>
      <c r="H14" s="265">
        <f>sumif('Segment RAW Data 25-26'!$B$1:$X$1,$H$3,'Segment RAW Data 25-26'!$B13:$X13)</f>
        <v>258777.6</v>
      </c>
      <c r="I14" s="265">
        <f>sumif('Segment RAW Data 25-26'!$B$1:$X$1,$I$3,'Segment RAW Data 25-26'!$B13:$X13)</f>
        <v>0</v>
      </c>
      <c r="J14" s="265">
        <f>sumif('Segment RAW Data 25-26'!$B$1:$X$1,$J$3,'Segment RAW Data 25-26'!$B13:$X13)</f>
        <v>1546899</v>
      </c>
      <c r="K14" s="265">
        <f>sumif('Segment RAW Data 25-26'!$B$1:$X$1,$K$3,'Segment RAW Data 25-26'!$B13:$X13)</f>
        <v>0</v>
      </c>
      <c r="L14" s="265">
        <f>sumif('Segment RAW Data 25-26'!$B$1:$X$1,$L$3,'Segment RAW Data 25-26'!$B13:$X13)</f>
        <v>3189550</v>
      </c>
      <c r="M14" s="270"/>
      <c r="N14" s="124" t="s">
        <v>975</v>
      </c>
      <c r="O14" s="124">
        <f>VLOOKUP(C14:C613,'Segment RAW Data 25-26'!A13:Y610,25,0)-VLOOKUP(C14:C613,C:D,2,0)</f>
        <v>-0.009999997914</v>
      </c>
    </row>
    <row r="15" hidden="1">
      <c r="A15" s="157"/>
      <c r="B15" s="157"/>
      <c r="C15" s="157" t="s">
        <v>484</v>
      </c>
      <c r="D15" s="124">
        <f t="shared" si="1"/>
        <v>0</v>
      </c>
      <c r="E15" s="265">
        <f>sumif('Segment RAW Data 25-26'!$B$1:$X$1,$E$3,'Segment RAW Data 25-26'!$B14:$X14)</f>
        <v>0</v>
      </c>
      <c r="F15" s="265">
        <f>sumif('Segment RAW Data 25-26'!$B$1:$X$1,$F$3,'Segment RAW Data 25-26'!$B14:$X14)</f>
        <v>0</v>
      </c>
      <c r="G15" s="265">
        <f>sumif('Segment RAW Data 25-26'!$B$1:$X$1,$G$3,'Segment RAW Data 25-26'!$B14:$X14)</f>
        <v>0</v>
      </c>
      <c r="H15" s="265">
        <f>sumif('Segment RAW Data 25-26'!$B$1:$X$1,$H$3,'Segment RAW Data 25-26'!$B14:$X14)</f>
        <v>0</v>
      </c>
      <c r="I15" s="265">
        <f>sumif('Segment RAW Data 25-26'!$B$1:$X$1,$I$3,'Segment RAW Data 25-26'!$B14:$X14)</f>
        <v>0</v>
      </c>
      <c r="J15" s="265">
        <f>sumif('Segment RAW Data 25-26'!$B$1:$X$1,$J$3,'Segment RAW Data 25-26'!$B14:$X14)</f>
        <v>0</v>
      </c>
      <c r="K15" s="265">
        <f>sumif('Segment RAW Data 25-26'!$B$1:$X$1,$K$3,'Segment RAW Data 25-26'!$B14:$X14)</f>
        <v>0</v>
      </c>
      <c r="L15" s="265">
        <f>sumif('Segment RAW Data 25-26'!$B$1:$X$1,$L$3,'Segment RAW Data 25-26'!$B14:$X14)</f>
        <v>0</v>
      </c>
      <c r="M15" s="270"/>
      <c r="N15" s="124"/>
      <c r="O15" s="124">
        <f>VLOOKUP(C15:C614,'Segment RAW Data 25-26'!A14:Y611,25,0)-VLOOKUP(C15:C614,C:D,2,0)</f>
        <v>0</v>
      </c>
    </row>
    <row r="16" hidden="1">
      <c r="A16" s="157" t="s">
        <v>185</v>
      </c>
      <c r="B16" s="157" t="s">
        <v>189</v>
      </c>
      <c r="C16" s="157" t="s">
        <v>203</v>
      </c>
      <c r="D16" s="124">
        <f t="shared" si="1"/>
        <v>1259297.28</v>
      </c>
      <c r="E16" s="265">
        <f>sumif('Segment RAW Data 25-26'!$B$1:$X$1,$E$3,'Segment RAW Data 25-26'!$B15:$X15)</f>
        <v>197158.8</v>
      </c>
      <c r="F16" s="265">
        <f>sumif('Segment RAW Data 25-26'!$B$1:$X$1,$F$3,'Segment RAW Data 25-26'!$B15:$X15)</f>
        <v>45349</v>
      </c>
      <c r="G16" s="265">
        <f>sumif('Segment RAW Data 25-26'!$B$1:$X$1,$G$3,'Segment RAW Data 25-26'!$B15:$X15)</f>
        <v>282265.48</v>
      </c>
      <c r="H16" s="265">
        <f>sumif('Segment RAW Data 25-26'!$B$1:$X$1,$H$3,'Segment RAW Data 25-26'!$B15:$X15)</f>
        <v>0</v>
      </c>
      <c r="I16" s="265">
        <f>sumif('Segment RAW Data 25-26'!$B$1:$X$1,$I$3,'Segment RAW Data 25-26'!$B15:$X15)</f>
        <v>0</v>
      </c>
      <c r="J16" s="265">
        <f>sumif('Segment RAW Data 25-26'!$B$1:$X$1,$J$3,'Segment RAW Data 25-26'!$B15:$X15)</f>
        <v>61824</v>
      </c>
      <c r="K16" s="265">
        <f>sumif('Segment RAW Data 25-26'!$B$1:$X$1,$K$3,'Segment RAW Data 25-26'!$B15:$X15)</f>
        <v>0</v>
      </c>
      <c r="L16" s="265">
        <f>sumif('Segment RAW Data 25-26'!$B$1:$X$1,$L$3,'Segment RAW Data 25-26'!$B15:$X15)</f>
        <v>672700</v>
      </c>
      <c r="M16" s="270"/>
      <c r="N16" s="124" t="s">
        <v>975</v>
      </c>
      <c r="O16" s="124">
        <f>VLOOKUP(C16:C615,'Segment RAW Data 25-26'!A15:Y612,25,0)-VLOOKUP(C16:C615,C:D,2,0)</f>
        <v>0</v>
      </c>
    </row>
    <row r="17" hidden="1">
      <c r="A17" s="157"/>
      <c r="B17" s="157"/>
      <c r="C17" s="157" t="s">
        <v>485</v>
      </c>
      <c r="D17" s="124">
        <f t="shared" si="1"/>
        <v>0</v>
      </c>
      <c r="E17" s="265">
        <f>sumif('Segment RAW Data 25-26'!$B$1:$X$1,$E$3,'Segment RAW Data 25-26'!$B16:$X16)</f>
        <v>0</v>
      </c>
      <c r="F17" s="265">
        <f>sumif('Segment RAW Data 25-26'!$B$1:$X$1,$F$3,'Segment RAW Data 25-26'!$B16:$X16)</f>
        <v>0</v>
      </c>
      <c r="G17" s="265">
        <f>sumif('Segment RAW Data 25-26'!$B$1:$X$1,$G$3,'Segment RAW Data 25-26'!$B16:$X16)</f>
        <v>0</v>
      </c>
      <c r="H17" s="265">
        <f>sumif('Segment RAW Data 25-26'!$B$1:$X$1,$H$3,'Segment RAW Data 25-26'!$B16:$X16)</f>
        <v>0</v>
      </c>
      <c r="I17" s="265">
        <f>sumif('Segment RAW Data 25-26'!$B$1:$X$1,$I$3,'Segment RAW Data 25-26'!$B16:$X16)</f>
        <v>0</v>
      </c>
      <c r="J17" s="265">
        <f>sumif('Segment RAW Data 25-26'!$B$1:$X$1,$J$3,'Segment RAW Data 25-26'!$B16:$X16)</f>
        <v>0</v>
      </c>
      <c r="K17" s="265">
        <f>sumif('Segment RAW Data 25-26'!$B$1:$X$1,$K$3,'Segment RAW Data 25-26'!$B16:$X16)</f>
        <v>0</v>
      </c>
      <c r="L17" s="265">
        <f>sumif('Segment RAW Data 25-26'!$B$1:$X$1,$L$3,'Segment RAW Data 25-26'!$B16:$X16)</f>
        <v>0</v>
      </c>
      <c r="M17" s="270"/>
      <c r="N17" s="124"/>
      <c r="O17" s="124">
        <f>VLOOKUP(C17:C616,'Segment RAW Data 25-26'!A16:Y613,25,0)-VLOOKUP(C17:C616,C:D,2,0)</f>
        <v>0</v>
      </c>
    </row>
    <row r="18" hidden="1">
      <c r="A18" s="157" t="s">
        <v>185</v>
      </c>
      <c r="B18" s="157" t="s">
        <v>189</v>
      </c>
      <c r="C18" s="157" t="s">
        <v>205</v>
      </c>
      <c r="D18" s="124">
        <f t="shared" si="1"/>
        <v>22746837.07</v>
      </c>
      <c r="E18" s="265">
        <f>sumif('Segment RAW Data 25-26'!$B$1:$X$1,$E$3,'Segment RAW Data 25-26'!$B17:$X17)</f>
        <v>11513718.65</v>
      </c>
      <c r="F18" s="265">
        <f>sumif('Segment RAW Data 25-26'!$B$1:$X$1,$F$3,'Segment RAW Data 25-26'!$B17:$X17)</f>
        <v>4838549.5</v>
      </c>
      <c r="G18" s="265">
        <f>sumif('Segment RAW Data 25-26'!$B$1:$X$1,$G$3,'Segment RAW Data 25-26'!$B17:$X17)</f>
        <v>4217228.92</v>
      </c>
      <c r="H18" s="265">
        <f>sumif('Segment RAW Data 25-26'!$B$1:$X$1,$H$3,'Segment RAW Data 25-26'!$B17:$X17)</f>
        <v>273640</v>
      </c>
      <c r="I18" s="265">
        <f>sumif('Segment RAW Data 25-26'!$B$1:$X$1,$I$3,'Segment RAW Data 25-26'!$B17:$X17)</f>
        <v>0</v>
      </c>
      <c r="J18" s="265">
        <f>sumif('Segment RAW Data 25-26'!$B$1:$X$1,$J$3,'Segment RAW Data 25-26'!$B17:$X17)</f>
        <v>372030</v>
      </c>
      <c r="K18" s="265">
        <f>sumif('Segment RAW Data 25-26'!$B$1:$X$1,$K$3,'Segment RAW Data 25-26'!$B17:$X17)</f>
        <v>0</v>
      </c>
      <c r="L18" s="265">
        <f>sumif('Segment RAW Data 25-26'!$B$1:$X$1,$L$3,'Segment RAW Data 25-26'!$B17:$X17)</f>
        <v>1531670</v>
      </c>
      <c r="M18" s="270"/>
      <c r="N18" s="124" t="s">
        <v>975</v>
      </c>
      <c r="O18" s="124">
        <f>VLOOKUP(C18:C617,'Segment RAW Data 25-26'!A17:Y614,25,0)-VLOOKUP(C18:C617,C:D,2,0)</f>
        <v>0</v>
      </c>
    </row>
    <row r="19" hidden="1">
      <c r="A19" s="157" t="s">
        <v>185</v>
      </c>
      <c r="B19" s="157" t="s">
        <v>189</v>
      </c>
      <c r="C19" s="157" t="s">
        <v>190</v>
      </c>
      <c r="D19" s="124">
        <f t="shared" si="1"/>
        <v>41352929.68</v>
      </c>
      <c r="E19" s="265">
        <f>sumif('Segment RAW Data 25-26'!$B$1:$X$1,$E$3,'Segment RAW Data 25-26'!$B18:$X18)</f>
        <v>4633037.49</v>
      </c>
      <c r="F19" s="265">
        <f>sumif('Segment RAW Data 25-26'!$B$1:$X$1,$F$3,'Segment RAW Data 25-26'!$B18:$X18)</f>
        <v>5941882.16</v>
      </c>
      <c r="G19" s="265">
        <f>sumif('Segment RAW Data 25-26'!$B$1:$X$1,$G$3,'Segment RAW Data 25-26'!$B18:$X18)</f>
        <v>29081639.03</v>
      </c>
      <c r="H19" s="265">
        <f>sumif('Segment RAW Data 25-26'!$B$1:$X$1,$H$3,'Segment RAW Data 25-26'!$B18:$X18)</f>
        <v>1608871</v>
      </c>
      <c r="I19" s="265">
        <f>sumif('Segment RAW Data 25-26'!$B$1:$X$1,$I$3,'Segment RAW Data 25-26'!$B18:$X18)</f>
        <v>0</v>
      </c>
      <c r="J19" s="265">
        <f>sumif('Segment RAW Data 25-26'!$B$1:$X$1,$J$3,'Segment RAW Data 25-26'!$B18:$X18)</f>
        <v>0</v>
      </c>
      <c r="K19" s="265">
        <f>sumif('Segment RAW Data 25-26'!$B$1:$X$1,$K$3,'Segment RAW Data 25-26'!$B18:$X18)</f>
        <v>0</v>
      </c>
      <c r="L19" s="265">
        <f>sumif('Segment RAW Data 25-26'!$B$1:$X$1,$L$3,'Segment RAW Data 25-26'!$B18:$X18)</f>
        <v>87500</v>
      </c>
      <c r="M19" s="270"/>
      <c r="N19" s="124" t="s">
        <v>975</v>
      </c>
      <c r="O19" s="124">
        <f>VLOOKUP(C19:C618,'Segment RAW Data 25-26'!A18:Y615,25,0)-VLOOKUP(C19:C618,C:D,2,0)</f>
        <v>-0.009999997914</v>
      </c>
    </row>
    <row r="20" hidden="1">
      <c r="A20" s="157"/>
      <c r="B20" s="157"/>
      <c r="C20" s="157" t="s">
        <v>486</v>
      </c>
      <c r="D20" s="124">
        <f t="shared" si="1"/>
        <v>0</v>
      </c>
      <c r="E20" s="265">
        <f>sumif('Segment RAW Data 25-26'!$B$1:$X$1,$E$3,'Segment RAW Data 25-26'!$B19:$X19)</f>
        <v>0</v>
      </c>
      <c r="F20" s="265">
        <f>sumif('Segment RAW Data 25-26'!$B$1:$X$1,$F$3,'Segment RAW Data 25-26'!$B19:$X19)</f>
        <v>0</v>
      </c>
      <c r="G20" s="265">
        <f>sumif('Segment RAW Data 25-26'!$B$1:$X$1,$G$3,'Segment RAW Data 25-26'!$B19:$X19)</f>
        <v>0</v>
      </c>
      <c r="H20" s="265">
        <f>sumif('Segment RAW Data 25-26'!$B$1:$X$1,$H$3,'Segment RAW Data 25-26'!$B19:$X19)</f>
        <v>0</v>
      </c>
      <c r="I20" s="265">
        <f>sumif('Segment RAW Data 25-26'!$B$1:$X$1,$I$3,'Segment RAW Data 25-26'!$B19:$X19)</f>
        <v>0</v>
      </c>
      <c r="J20" s="265">
        <f>sumif('Segment RAW Data 25-26'!$B$1:$X$1,$J$3,'Segment RAW Data 25-26'!$B19:$X19)</f>
        <v>0</v>
      </c>
      <c r="K20" s="265">
        <f>sumif('Segment RAW Data 25-26'!$B$1:$X$1,$K$3,'Segment RAW Data 25-26'!$B19:$X19)</f>
        <v>0</v>
      </c>
      <c r="L20" s="265">
        <f>sumif('Segment RAW Data 25-26'!$B$1:$X$1,$L$3,'Segment RAW Data 25-26'!$B19:$X19)</f>
        <v>0</v>
      </c>
      <c r="M20" s="270"/>
      <c r="N20" s="124"/>
      <c r="O20" s="124">
        <f>VLOOKUP(C20:C619,'Segment RAW Data 25-26'!A19:Y616,25,0)-VLOOKUP(C20:C619,C:D,2,0)</f>
        <v>0</v>
      </c>
    </row>
    <row r="21" hidden="1">
      <c r="A21" s="157" t="s">
        <v>185</v>
      </c>
      <c r="B21" s="157" t="s">
        <v>189</v>
      </c>
      <c r="C21" s="157" t="s">
        <v>191</v>
      </c>
      <c r="D21" s="124">
        <f t="shared" si="1"/>
        <v>34910047.34</v>
      </c>
      <c r="E21" s="265">
        <f>sumif('Segment RAW Data 25-26'!$B$1:$X$1,$E$3,'Segment RAW Data 25-26'!$B20:$X20)</f>
        <v>14209543.44</v>
      </c>
      <c r="F21" s="265">
        <f>sumif('Segment RAW Data 25-26'!$B$1:$X$1,$F$3,'Segment RAW Data 25-26'!$B20:$X20)</f>
        <v>6760108.81</v>
      </c>
      <c r="G21" s="265">
        <f>sumif('Segment RAW Data 25-26'!$B$1:$X$1,$G$3,'Segment RAW Data 25-26'!$B20:$X20)</f>
        <v>10360980.19</v>
      </c>
      <c r="H21" s="265">
        <f>sumif('Segment RAW Data 25-26'!$B$1:$X$1,$H$3,'Segment RAW Data 25-26'!$B20:$X20)</f>
        <v>308612.2</v>
      </c>
      <c r="I21" s="265">
        <f>sumif('Segment RAW Data 25-26'!$B$1:$X$1,$I$3,'Segment RAW Data 25-26'!$B20:$X20)</f>
        <v>0</v>
      </c>
      <c r="J21" s="265">
        <f>sumif('Segment RAW Data 25-26'!$B$1:$X$1,$J$3,'Segment RAW Data 25-26'!$B20:$X20)</f>
        <v>854160.2</v>
      </c>
      <c r="K21" s="265">
        <f>sumif('Segment RAW Data 25-26'!$B$1:$X$1,$K$3,'Segment RAW Data 25-26'!$B20:$X20)</f>
        <v>0</v>
      </c>
      <c r="L21" s="265">
        <f>sumif('Segment RAW Data 25-26'!$B$1:$X$1,$L$3,'Segment RAW Data 25-26'!$B20:$X20)</f>
        <v>2416642.5</v>
      </c>
      <c r="M21" s="270"/>
      <c r="N21" s="124" t="s">
        <v>975</v>
      </c>
      <c r="O21" s="124">
        <f>VLOOKUP(C21:C620,'Segment RAW Data 25-26'!A20:Y617,25,0)-VLOOKUP(C21:C620,C:D,2,0)</f>
        <v>0.009999997914</v>
      </c>
    </row>
    <row r="22" hidden="1">
      <c r="A22" s="157" t="s">
        <v>185</v>
      </c>
      <c r="B22" s="157" t="s">
        <v>189</v>
      </c>
      <c r="C22" s="157" t="s">
        <v>193</v>
      </c>
      <c r="D22" s="124">
        <f t="shared" si="1"/>
        <v>61300487.8</v>
      </c>
      <c r="E22" s="265">
        <f>sumif('Segment RAW Data 25-26'!$B$1:$X$1,$E$3,'Segment RAW Data 25-26'!$B21:$X21)</f>
        <v>4646268.78</v>
      </c>
      <c r="F22" s="265">
        <f>sumif('Segment RAW Data 25-26'!$B$1:$X$1,$F$3,'Segment RAW Data 25-26'!$B21:$X21)</f>
        <v>6106197.44</v>
      </c>
      <c r="G22" s="265">
        <f>sumif('Segment RAW Data 25-26'!$B$1:$X$1,$G$3,'Segment RAW Data 25-26'!$B21:$X21)</f>
        <v>48553008.69</v>
      </c>
      <c r="H22" s="265">
        <f>sumif('Segment RAW Data 25-26'!$B$1:$X$1,$H$3,'Segment RAW Data 25-26'!$B21:$X21)</f>
        <v>1232884.3</v>
      </c>
      <c r="I22" s="265">
        <f>sumif('Segment RAW Data 25-26'!$B$1:$X$1,$I$3,'Segment RAW Data 25-26'!$B21:$X21)</f>
        <v>0</v>
      </c>
      <c r="J22" s="265">
        <f>sumif('Segment RAW Data 25-26'!$B$1:$X$1,$J$3,'Segment RAW Data 25-26'!$B21:$X21)</f>
        <v>0</v>
      </c>
      <c r="K22" s="265">
        <f>sumif('Segment RAW Data 25-26'!$B$1:$X$1,$K$3,'Segment RAW Data 25-26'!$B21:$X21)</f>
        <v>12350</v>
      </c>
      <c r="L22" s="265">
        <f>sumif('Segment RAW Data 25-26'!$B$1:$X$1,$L$3,'Segment RAW Data 25-26'!$B21:$X21)</f>
        <v>749778.59</v>
      </c>
      <c r="M22" s="270"/>
      <c r="N22" s="124" t="s">
        <v>975</v>
      </c>
      <c r="O22" s="124">
        <f>VLOOKUP(C22:C621,'Segment RAW Data 25-26'!A21:Y618,25,0)-VLOOKUP(C22:C621,C:D,2,0)</f>
        <v>0.01000000536</v>
      </c>
    </row>
    <row r="23" hidden="1">
      <c r="A23" s="157"/>
      <c r="B23" s="157"/>
      <c r="C23" s="157" t="s">
        <v>487</v>
      </c>
      <c r="D23" s="124">
        <f t="shared" si="1"/>
        <v>0</v>
      </c>
      <c r="E23" s="265">
        <f>sumif('Segment RAW Data 25-26'!$B$1:$X$1,$E$3,'Segment RAW Data 25-26'!$B22:$X22)</f>
        <v>0</v>
      </c>
      <c r="F23" s="265">
        <f>sumif('Segment RAW Data 25-26'!$B$1:$X$1,$F$3,'Segment RAW Data 25-26'!$B22:$X22)</f>
        <v>0</v>
      </c>
      <c r="G23" s="265">
        <f>sumif('Segment RAW Data 25-26'!$B$1:$X$1,$G$3,'Segment RAW Data 25-26'!$B22:$X22)</f>
        <v>0</v>
      </c>
      <c r="H23" s="265">
        <f>sumif('Segment RAW Data 25-26'!$B$1:$X$1,$H$3,'Segment RAW Data 25-26'!$B22:$X22)</f>
        <v>0</v>
      </c>
      <c r="I23" s="265">
        <f>sumif('Segment RAW Data 25-26'!$B$1:$X$1,$I$3,'Segment RAW Data 25-26'!$B22:$X22)</f>
        <v>0</v>
      </c>
      <c r="J23" s="265">
        <f>sumif('Segment RAW Data 25-26'!$B$1:$X$1,$J$3,'Segment RAW Data 25-26'!$B22:$X22)</f>
        <v>0</v>
      </c>
      <c r="K23" s="265">
        <f>sumif('Segment RAW Data 25-26'!$B$1:$X$1,$K$3,'Segment RAW Data 25-26'!$B22:$X22)</f>
        <v>0</v>
      </c>
      <c r="L23" s="265">
        <f>sumif('Segment RAW Data 25-26'!$B$1:$X$1,$L$3,'Segment RAW Data 25-26'!$B22:$X22)</f>
        <v>0</v>
      </c>
      <c r="M23" s="270"/>
      <c r="N23" s="124"/>
      <c r="O23" s="124">
        <f>VLOOKUP(C23:C622,'Segment RAW Data 25-26'!A22:Y619,25,0)-VLOOKUP(C23:C622,C:D,2,0)</f>
        <v>0</v>
      </c>
    </row>
    <row r="24" hidden="1">
      <c r="A24" s="157"/>
      <c r="B24" s="157"/>
      <c r="C24" s="157" t="s">
        <v>488</v>
      </c>
      <c r="D24" s="124">
        <f t="shared" si="1"/>
        <v>0</v>
      </c>
      <c r="E24" s="265">
        <f>sumif('Segment RAW Data 25-26'!$B$1:$X$1,$E$3,'Segment RAW Data 25-26'!$B23:$X23)</f>
        <v>0</v>
      </c>
      <c r="F24" s="265">
        <f>sumif('Segment RAW Data 25-26'!$B$1:$X$1,$F$3,'Segment RAW Data 25-26'!$B23:$X23)</f>
        <v>0</v>
      </c>
      <c r="G24" s="265">
        <f>sumif('Segment RAW Data 25-26'!$B$1:$X$1,$G$3,'Segment RAW Data 25-26'!$B23:$X23)</f>
        <v>0</v>
      </c>
      <c r="H24" s="265">
        <f>sumif('Segment RAW Data 25-26'!$B$1:$X$1,$H$3,'Segment RAW Data 25-26'!$B23:$X23)</f>
        <v>0</v>
      </c>
      <c r="I24" s="265">
        <f>sumif('Segment RAW Data 25-26'!$B$1:$X$1,$I$3,'Segment RAW Data 25-26'!$B23:$X23)</f>
        <v>0</v>
      </c>
      <c r="J24" s="265">
        <f>sumif('Segment RAW Data 25-26'!$B$1:$X$1,$J$3,'Segment RAW Data 25-26'!$B23:$X23)</f>
        <v>0</v>
      </c>
      <c r="K24" s="265">
        <f>sumif('Segment RAW Data 25-26'!$B$1:$X$1,$K$3,'Segment RAW Data 25-26'!$B23:$X23)</f>
        <v>0</v>
      </c>
      <c r="L24" s="265">
        <f>sumif('Segment RAW Data 25-26'!$B$1:$X$1,$L$3,'Segment RAW Data 25-26'!$B23:$X23)</f>
        <v>0</v>
      </c>
      <c r="M24" s="270"/>
      <c r="N24" s="124"/>
      <c r="O24" s="124">
        <f>VLOOKUP(C24:C623,'Segment RAW Data 25-26'!A23:Y620,25,0)-VLOOKUP(C24:C623,C:D,2,0)</f>
        <v>0</v>
      </c>
    </row>
    <row r="25" hidden="1">
      <c r="A25" s="157" t="s">
        <v>185</v>
      </c>
      <c r="B25" s="157" t="s">
        <v>212</v>
      </c>
      <c r="C25" s="157" t="s">
        <v>489</v>
      </c>
      <c r="D25" s="124">
        <f t="shared" si="1"/>
        <v>0</v>
      </c>
      <c r="E25" s="265">
        <f>sumif('Segment RAW Data 25-26'!$B$1:$X$1,$E$3,'Segment RAW Data 25-26'!$B24:$X24)</f>
        <v>0</v>
      </c>
      <c r="F25" s="265">
        <f>sumif('Segment RAW Data 25-26'!$B$1:$X$1,$F$3,'Segment RAW Data 25-26'!$B24:$X24)</f>
        <v>0</v>
      </c>
      <c r="G25" s="265">
        <f>sumif('Segment RAW Data 25-26'!$B$1:$X$1,$G$3,'Segment RAW Data 25-26'!$B24:$X24)</f>
        <v>0</v>
      </c>
      <c r="H25" s="265">
        <f>sumif('Segment RAW Data 25-26'!$B$1:$X$1,$H$3,'Segment RAW Data 25-26'!$B24:$X24)</f>
        <v>0</v>
      </c>
      <c r="I25" s="265">
        <f>sumif('Segment RAW Data 25-26'!$B$1:$X$1,$I$3,'Segment RAW Data 25-26'!$B24:$X24)</f>
        <v>0</v>
      </c>
      <c r="J25" s="265">
        <f>sumif('Segment RAW Data 25-26'!$B$1:$X$1,$J$3,'Segment RAW Data 25-26'!$B24:$X24)</f>
        <v>0</v>
      </c>
      <c r="K25" s="265">
        <f>sumif('Segment RAW Data 25-26'!$B$1:$X$1,$K$3,'Segment RAW Data 25-26'!$B24:$X24)</f>
        <v>0</v>
      </c>
      <c r="L25" s="265">
        <f>sumif('Segment RAW Data 25-26'!$B$1:$X$1,$L$3,'Segment RAW Data 25-26'!$B24:$X24)</f>
        <v>0</v>
      </c>
      <c r="M25" s="270"/>
      <c r="N25" s="124" t="s">
        <v>975</v>
      </c>
      <c r="O25" s="124">
        <f>VLOOKUP(C25:C624,'Segment RAW Data 25-26'!A24:Y621,25,0)-VLOOKUP(C25:C624,C:D,2,0)</f>
        <v>0</v>
      </c>
    </row>
    <row r="26" hidden="1">
      <c r="A26" s="157"/>
      <c r="B26" s="157"/>
      <c r="C26" s="157" t="s">
        <v>490</v>
      </c>
      <c r="D26" s="124">
        <f t="shared" si="1"/>
        <v>0</v>
      </c>
      <c r="E26" s="265">
        <f>sumif('Segment RAW Data 25-26'!$B$1:$X$1,$E$3,'Segment RAW Data 25-26'!$B25:$X25)</f>
        <v>0</v>
      </c>
      <c r="F26" s="265">
        <f>sumif('Segment RAW Data 25-26'!$B$1:$X$1,$F$3,'Segment RAW Data 25-26'!$B25:$X25)</f>
        <v>0</v>
      </c>
      <c r="G26" s="265">
        <f>sumif('Segment RAW Data 25-26'!$B$1:$X$1,$G$3,'Segment RAW Data 25-26'!$B25:$X25)</f>
        <v>0</v>
      </c>
      <c r="H26" s="265">
        <f>sumif('Segment RAW Data 25-26'!$B$1:$X$1,$H$3,'Segment RAW Data 25-26'!$B25:$X25)</f>
        <v>0</v>
      </c>
      <c r="I26" s="265">
        <f>sumif('Segment RAW Data 25-26'!$B$1:$X$1,$I$3,'Segment RAW Data 25-26'!$B25:$X25)</f>
        <v>0</v>
      </c>
      <c r="J26" s="265">
        <f>sumif('Segment RAW Data 25-26'!$B$1:$X$1,$J$3,'Segment RAW Data 25-26'!$B25:$X25)</f>
        <v>0</v>
      </c>
      <c r="K26" s="265">
        <f>sumif('Segment RAW Data 25-26'!$B$1:$X$1,$K$3,'Segment RAW Data 25-26'!$B25:$X25)</f>
        <v>0</v>
      </c>
      <c r="L26" s="265">
        <f>sumif('Segment RAW Data 25-26'!$B$1:$X$1,$L$3,'Segment RAW Data 25-26'!$B25:$X25)</f>
        <v>0</v>
      </c>
      <c r="M26" s="270"/>
      <c r="N26" s="124"/>
      <c r="O26" s="124">
        <f>VLOOKUP(C26:C625,'Segment RAW Data 25-26'!A25:Y622,25,0)-VLOOKUP(C26:C625,C:D,2,0)</f>
        <v>0</v>
      </c>
    </row>
    <row r="27" hidden="1">
      <c r="A27" s="157"/>
      <c r="B27" s="157"/>
      <c r="C27" s="157" t="s">
        <v>491</v>
      </c>
      <c r="D27" s="124">
        <f t="shared" si="1"/>
        <v>0</v>
      </c>
      <c r="E27" s="265">
        <f>sumif('Segment RAW Data 25-26'!$B$1:$X$1,$E$3,'Segment RAW Data 25-26'!$B26:$X26)</f>
        <v>0</v>
      </c>
      <c r="F27" s="265">
        <f>sumif('Segment RAW Data 25-26'!$B$1:$X$1,$F$3,'Segment RAW Data 25-26'!$B26:$X26)</f>
        <v>0</v>
      </c>
      <c r="G27" s="265">
        <f>sumif('Segment RAW Data 25-26'!$B$1:$X$1,$G$3,'Segment RAW Data 25-26'!$B26:$X26)</f>
        <v>0</v>
      </c>
      <c r="H27" s="265">
        <f>sumif('Segment RAW Data 25-26'!$B$1:$X$1,$H$3,'Segment RAW Data 25-26'!$B26:$X26)</f>
        <v>0</v>
      </c>
      <c r="I27" s="265">
        <f>sumif('Segment RAW Data 25-26'!$B$1:$X$1,$I$3,'Segment RAW Data 25-26'!$B26:$X26)</f>
        <v>0</v>
      </c>
      <c r="J27" s="265">
        <f>sumif('Segment RAW Data 25-26'!$B$1:$X$1,$J$3,'Segment RAW Data 25-26'!$B26:$X26)</f>
        <v>0</v>
      </c>
      <c r="K27" s="265">
        <f>sumif('Segment RAW Data 25-26'!$B$1:$X$1,$K$3,'Segment RAW Data 25-26'!$B26:$X26)</f>
        <v>0</v>
      </c>
      <c r="L27" s="265">
        <f>sumif('Segment RAW Data 25-26'!$B$1:$X$1,$L$3,'Segment RAW Data 25-26'!$B26:$X26)</f>
        <v>0</v>
      </c>
      <c r="M27" s="270"/>
      <c r="N27" s="124"/>
      <c r="O27" s="124">
        <f>VLOOKUP(C27:C626,'Segment RAW Data 25-26'!A26:Y623,25,0)-VLOOKUP(C27:C626,C:D,2,0)</f>
        <v>0</v>
      </c>
    </row>
    <row r="28" hidden="1">
      <c r="A28" s="157"/>
      <c r="B28" s="157"/>
      <c r="C28" s="157" t="s">
        <v>492</v>
      </c>
      <c r="D28" s="124">
        <f t="shared" si="1"/>
        <v>0</v>
      </c>
      <c r="E28" s="265">
        <f>sumif('Segment RAW Data 25-26'!$B$1:$X$1,$E$3,'Segment RAW Data 25-26'!$B27:$X27)</f>
        <v>0</v>
      </c>
      <c r="F28" s="265">
        <f>sumif('Segment RAW Data 25-26'!$B$1:$X$1,$F$3,'Segment RAW Data 25-26'!$B27:$X27)</f>
        <v>0</v>
      </c>
      <c r="G28" s="265">
        <f>sumif('Segment RAW Data 25-26'!$B$1:$X$1,$G$3,'Segment RAW Data 25-26'!$B27:$X27)</f>
        <v>0</v>
      </c>
      <c r="H28" s="265">
        <f>sumif('Segment RAW Data 25-26'!$B$1:$X$1,$H$3,'Segment RAW Data 25-26'!$B27:$X27)</f>
        <v>0</v>
      </c>
      <c r="I28" s="265">
        <f>sumif('Segment RAW Data 25-26'!$B$1:$X$1,$I$3,'Segment RAW Data 25-26'!$B27:$X27)</f>
        <v>0</v>
      </c>
      <c r="J28" s="265">
        <f>sumif('Segment RAW Data 25-26'!$B$1:$X$1,$J$3,'Segment RAW Data 25-26'!$B27:$X27)</f>
        <v>0</v>
      </c>
      <c r="K28" s="265">
        <f>sumif('Segment RAW Data 25-26'!$B$1:$X$1,$K$3,'Segment RAW Data 25-26'!$B27:$X27)</f>
        <v>0</v>
      </c>
      <c r="L28" s="265">
        <f>sumif('Segment RAW Data 25-26'!$B$1:$X$1,$L$3,'Segment RAW Data 25-26'!$B27:$X27)</f>
        <v>0</v>
      </c>
      <c r="M28" s="270"/>
      <c r="N28" s="124"/>
      <c r="O28" s="124">
        <f>VLOOKUP(C28:C627,'Segment RAW Data 25-26'!A27:Y624,25,0)-VLOOKUP(C28:C627,C:D,2,0)</f>
        <v>0</v>
      </c>
    </row>
    <row r="29" hidden="1">
      <c r="A29" s="157"/>
      <c r="B29" s="157"/>
      <c r="C29" s="157" t="s">
        <v>493</v>
      </c>
      <c r="D29" s="124">
        <f t="shared" si="1"/>
        <v>0</v>
      </c>
      <c r="E29" s="265">
        <f>sumif('Segment RAW Data 25-26'!$B$1:$X$1,$E$3,'Segment RAW Data 25-26'!$B28:$X28)</f>
        <v>0</v>
      </c>
      <c r="F29" s="265">
        <f>sumif('Segment RAW Data 25-26'!$B$1:$X$1,$F$3,'Segment RAW Data 25-26'!$B28:$X28)</f>
        <v>0</v>
      </c>
      <c r="G29" s="265">
        <f>sumif('Segment RAW Data 25-26'!$B$1:$X$1,$G$3,'Segment RAW Data 25-26'!$B28:$X28)</f>
        <v>0</v>
      </c>
      <c r="H29" s="265">
        <f>sumif('Segment RAW Data 25-26'!$B$1:$X$1,$H$3,'Segment RAW Data 25-26'!$B28:$X28)</f>
        <v>0</v>
      </c>
      <c r="I29" s="265">
        <f>sumif('Segment RAW Data 25-26'!$B$1:$X$1,$I$3,'Segment RAW Data 25-26'!$B28:$X28)</f>
        <v>0</v>
      </c>
      <c r="J29" s="265">
        <f>sumif('Segment RAW Data 25-26'!$B$1:$X$1,$J$3,'Segment RAW Data 25-26'!$B28:$X28)</f>
        <v>0</v>
      </c>
      <c r="K29" s="265">
        <f>sumif('Segment RAW Data 25-26'!$B$1:$X$1,$K$3,'Segment RAW Data 25-26'!$B28:$X28)</f>
        <v>0</v>
      </c>
      <c r="L29" s="265">
        <f>sumif('Segment RAW Data 25-26'!$B$1:$X$1,$L$3,'Segment RAW Data 25-26'!$B28:$X28)</f>
        <v>0</v>
      </c>
      <c r="M29" s="270"/>
      <c r="N29" s="124"/>
      <c r="O29" s="124">
        <f>VLOOKUP(C29:C628,'Segment RAW Data 25-26'!A28:Y625,25,0)-VLOOKUP(C29:C628,C:D,2,0)</f>
        <v>0</v>
      </c>
    </row>
    <row r="30" hidden="1">
      <c r="A30" s="157"/>
      <c r="B30" s="157"/>
      <c r="C30" s="157" t="s">
        <v>494</v>
      </c>
      <c r="D30" s="124">
        <f t="shared" si="1"/>
        <v>0</v>
      </c>
      <c r="E30" s="265">
        <f>sumif('Segment RAW Data 25-26'!$B$1:$X$1,$E$3,'Segment RAW Data 25-26'!$B29:$X29)</f>
        <v>0</v>
      </c>
      <c r="F30" s="265">
        <f>sumif('Segment RAW Data 25-26'!$B$1:$X$1,$F$3,'Segment RAW Data 25-26'!$B29:$X29)</f>
        <v>0</v>
      </c>
      <c r="G30" s="265">
        <f>sumif('Segment RAW Data 25-26'!$B$1:$X$1,$G$3,'Segment RAW Data 25-26'!$B29:$X29)</f>
        <v>0</v>
      </c>
      <c r="H30" s="265">
        <f>sumif('Segment RAW Data 25-26'!$B$1:$X$1,$H$3,'Segment RAW Data 25-26'!$B29:$X29)</f>
        <v>0</v>
      </c>
      <c r="I30" s="265">
        <f>sumif('Segment RAW Data 25-26'!$B$1:$X$1,$I$3,'Segment RAW Data 25-26'!$B29:$X29)</f>
        <v>0</v>
      </c>
      <c r="J30" s="265">
        <f>sumif('Segment RAW Data 25-26'!$B$1:$X$1,$J$3,'Segment RAW Data 25-26'!$B29:$X29)</f>
        <v>0</v>
      </c>
      <c r="K30" s="265">
        <f>sumif('Segment RAW Data 25-26'!$B$1:$X$1,$K$3,'Segment RAW Data 25-26'!$B29:$X29)</f>
        <v>0</v>
      </c>
      <c r="L30" s="265">
        <f>sumif('Segment RAW Data 25-26'!$B$1:$X$1,$L$3,'Segment RAW Data 25-26'!$B29:$X29)</f>
        <v>0</v>
      </c>
      <c r="M30" s="270"/>
      <c r="N30" s="124"/>
      <c r="O30" s="124">
        <f>VLOOKUP(C30:C629,'Segment RAW Data 25-26'!A29:Y626,25,0)-VLOOKUP(C30:C629,C:D,2,0)</f>
        <v>0</v>
      </c>
    </row>
    <row r="31" hidden="1">
      <c r="A31" s="157"/>
      <c r="B31" s="157"/>
      <c r="C31" s="157" t="s">
        <v>495</v>
      </c>
      <c r="D31" s="124">
        <f t="shared" si="1"/>
        <v>0</v>
      </c>
      <c r="E31" s="265">
        <f>sumif('Segment RAW Data 25-26'!$B$1:$X$1,$E$3,'Segment RAW Data 25-26'!$B30:$X30)</f>
        <v>0</v>
      </c>
      <c r="F31" s="265">
        <f>sumif('Segment RAW Data 25-26'!$B$1:$X$1,$F$3,'Segment RAW Data 25-26'!$B30:$X30)</f>
        <v>0</v>
      </c>
      <c r="G31" s="265">
        <f>sumif('Segment RAW Data 25-26'!$B$1:$X$1,$G$3,'Segment RAW Data 25-26'!$B30:$X30)</f>
        <v>0</v>
      </c>
      <c r="H31" s="265">
        <f>sumif('Segment RAW Data 25-26'!$B$1:$X$1,$H$3,'Segment RAW Data 25-26'!$B30:$X30)</f>
        <v>0</v>
      </c>
      <c r="I31" s="265">
        <f>sumif('Segment RAW Data 25-26'!$B$1:$X$1,$I$3,'Segment RAW Data 25-26'!$B30:$X30)</f>
        <v>0</v>
      </c>
      <c r="J31" s="265">
        <f>sumif('Segment RAW Data 25-26'!$B$1:$X$1,$J$3,'Segment RAW Data 25-26'!$B30:$X30)</f>
        <v>0</v>
      </c>
      <c r="K31" s="265">
        <f>sumif('Segment RAW Data 25-26'!$B$1:$X$1,$K$3,'Segment RAW Data 25-26'!$B30:$X30)</f>
        <v>0</v>
      </c>
      <c r="L31" s="265">
        <f>sumif('Segment RAW Data 25-26'!$B$1:$X$1,$L$3,'Segment RAW Data 25-26'!$B30:$X30)</f>
        <v>0</v>
      </c>
      <c r="M31" s="270"/>
      <c r="N31" s="124"/>
      <c r="O31" s="124">
        <f>VLOOKUP(C31:C630,'Segment RAW Data 25-26'!A30:Y627,25,0)-VLOOKUP(C31:C630,C:D,2,0)</f>
        <v>0</v>
      </c>
    </row>
    <row r="32" hidden="1">
      <c r="A32" s="157" t="s">
        <v>185</v>
      </c>
      <c r="B32" s="157" t="s">
        <v>117</v>
      </c>
      <c r="C32" s="157" t="s">
        <v>434</v>
      </c>
      <c r="D32" s="124">
        <f t="shared" si="1"/>
        <v>3645541.28</v>
      </c>
      <c r="E32" s="265">
        <f>sumif('Segment RAW Data 25-26'!$B$1:$X$1,$E$3,'Segment RAW Data 25-26'!$B31:$X31)</f>
        <v>394407.6</v>
      </c>
      <c r="F32" s="265">
        <f>sumif('Segment RAW Data 25-26'!$B$1:$X$1,$F$3,'Segment RAW Data 25-26'!$B31:$X31)</f>
        <v>252182.7</v>
      </c>
      <c r="G32" s="265">
        <f>sumif('Segment RAW Data 25-26'!$B$1:$X$1,$G$3,'Segment RAW Data 25-26'!$B31:$X31)</f>
        <v>1763281.28</v>
      </c>
      <c r="H32" s="265">
        <f>sumif('Segment RAW Data 25-26'!$B$1:$X$1,$H$3,'Segment RAW Data 25-26'!$B31:$X31)</f>
        <v>941928.1</v>
      </c>
      <c r="I32" s="265">
        <f>sumif('Segment RAW Data 25-26'!$B$1:$X$1,$I$3,'Segment RAW Data 25-26'!$B31:$X31)</f>
        <v>0</v>
      </c>
      <c r="J32" s="265">
        <f>sumif('Segment RAW Data 25-26'!$B$1:$X$1,$J$3,'Segment RAW Data 25-26'!$B31:$X31)</f>
        <v>293741.6</v>
      </c>
      <c r="K32" s="265">
        <f>sumif('Segment RAW Data 25-26'!$B$1:$X$1,$K$3,'Segment RAW Data 25-26'!$B31:$X31)</f>
        <v>0</v>
      </c>
      <c r="L32" s="265">
        <f>sumif('Segment RAW Data 25-26'!$B$1:$X$1,$L$3,'Segment RAW Data 25-26'!$B31:$X31)</f>
        <v>0</v>
      </c>
      <c r="M32" s="270">
        <v>45991.0</v>
      </c>
      <c r="N32" s="124" t="s">
        <v>973</v>
      </c>
      <c r="O32" s="124">
        <f>VLOOKUP(C32:C631,'Segment RAW Data 25-26'!A31:Y628,25,0)-VLOOKUP(C32:C631,C:D,2,0)</f>
        <v>-0.0000000004656612873</v>
      </c>
    </row>
    <row r="33" hidden="1">
      <c r="A33" s="157"/>
      <c r="B33" s="157"/>
      <c r="C33" s="157" t="s">
        <v>496</v>
      </c>
      <c r="D33" s="124">
        <f t="shared" si="1"/>
        <v>0</v>
      </c>
      <c r="E33" s="265">
        <f>sumif('Segment RAW Data 25-26'!$B$1:$X$1,$E$3,'Segment RAW Data 25-26'!$B32:$X32)</f>
        <v>0</v>
      </c>
      <c r="F33" s="265">
        <f>sumif('Segment RAW Data 25-26'!$B$1:$X$1,$F$3,'Segment RAW Data 25-26'!$B32:$X32)</f>
        <v>0</v>
      </c>
      <c r="G33" s="265">
        <f>sumif('Segment RAW Data 25-26'!$B$1:$X$1,$G$3,'Segment RAW Data 25-26'!$B32:$X32)</f>
        <v>0</v>
      </c>
      <c r="H33" s="265">
        <f>sumif('Segment RAW Data 25-26'!$B$1:$X$1,$H$3,'Segment RAW Data 25-26'!$B32:$X32)</f>
        <v>0</v>
      </c>
      <c r="I33" s="265">
        <f>sumif('Segment RAW Data 25-26'!$B$1:$X$1,$I$3,'Segment RAW Data 25-26'!$B32:$X32)</f>
        <v>0</v>
      </c>
      <c r="J33" s="265">
        <f>sumif('Segment RAW Data 25-26'!$B$1:$X$1,$J$3,'Segment RAW Data 25-26'!$B32:$X32)</f>
        <v>0</v>
      </c>
      <c r="K33" s="265">
        <f>sumif('Segment RAW Data 25-26'!$B$1:$X$1,$K$3,'Segment RAW Data 25-26'!$B32:$X32)</f>
        <v>0</v>
      </c>
      <c r="L33" s="265">
        <f>sumif('Segment RAW Data 25-26'!$B$1:$X$1,$L$3,'Segment RAW Data 25-26'!$B32:$X32)</f>
        <v>0</v>
      </c>
      <c r="M33" s="270"/>
      <c r="N33" s="124"/>
      <c r="O33" s="124">
        <f>VLOOKUP(C33:C632,'Segment RAW Data 25-26'!A32:Y629,25,0)-VLOOKUP(C33:C632,C:D,2,0)</f>
        <v>0</v>
      </c>
    </row>
    <row r="34" hidden="1">
      <c r="A34" s="157"/>
      <c r="B34" s="157"/>
      <c r="C34" s="157" t="s">
        <v>497</v>
      </c>
      <c r="D34" s="124">
        <f t="shared" si="1"/>
        <v>0</v>
      </c>
      <c r="E34" s="265">
        <f>sumif('Segment RAW Data 25-26'!$B$1:$X$1,$E$3,'Segment RAW Data 25-26'!$B33:$X33)</f>
        <v>0</v>
      </c>
      <c r="F34" s="265">
        <f>sumif('Segment RAW Data 25-26'!$B$1:$X$1,$F$3,'Segment RAW Data 25-26'!$B33:$X33)</f>
        <v>0</v>
      </c>
      <c r="G34" s="265">
        <f>sumif('Segment RAW Data 25-26'!$B$1:$X$1,$G$3,'Segment RAW Data 25-26'!$B33:$X33)</f>
        <v>0</v>
      </c>
      <c r="H34" s="265">
        <f>sumif('Segment RAW Data 25-26'!$B$1:$X$1,$H$3,'Segment RAW Data 25-26'!$B33:$X33)</f>
        <v>0</v>
      </c>
      <c r="I34" s="265">
        <f>sumif('Segment RAW Data 25-26'!$B$1:$X$1,$I$3,'Segment RAW Data 25-26'!$B33:$X33)</f>
        <v>0</v>
      </c>
      <c r="J34" s="265">
        <f>sumif('Segment RAW Data 25-26'!$B$1:$X$1,$J$3,'Segment RAW Data 25-26'!$B33:$X33)</f>
        <v>0</v>
      </c>
      <c r="K34" s="265">
        <f>sumif('Segment RAW Data 25-26'!$B$1:$X$1,$K$3,'Segment RAW Data 25-26'!$B33:$X33)</f>
        <v>0</v>
      </c>
      <c r="L34" s="265">
        <f>sumif('Segment RAW Data 25-26'!$B$1:$X$1,$L$3,'Segment RAW Data 25-26'!$B33:$X33)</f>
        <v>0</v>
      </c>
      <c r="M34" s="270"/>
      <c r="N34" s="124"/>
      <c r="O34" s="124">
        <f>VLOOKUP(C34:C633,'Segment RAW Data 25-26'!A33:Y630,25,0)-VLOOKUP(C34:C633,C:D,2,0)</f>
        <v>0</v>
      </c>
    </row>
    <row r="35" hidden="1">
      <c r="A35" s="157"/>
      <c r="B35" s="157"/>
      <c r="C35" s="157" t="s">
        <v>498</v>
      </c>
      <c r="D35" s="124">
        <f t="shared" si="1"/>
        <v>0</v>
      </c>
      <c r="E35" s="265">
        <f>sumif('Segment RAW Data 25-26'!$B$1:$X$1,$E$3,'Segment RAW Data 25-26'!$B34:$X34)</f>
        <v>0</v>
      </c>
      <c r="F35" s="265">
        <f>sumif('Segment RAW Data 25-26'!$B$1:$X$1,$F$3,'Segment RAW Data 25-26'!$B34:$X34)</f>
        <v>0</v>
      </c>
      <c r="G35" s="265">
        <f>sumif('Segment RAW Data 25-26'!$B$1:$X$1,$G$3,'Segment RAW Data 25-26'!$B34:$X34)</f>
        <v>0</v>
      </c>
      <c r="H35" s="265">
        <f>sumif('Segment RAW Data 25-26'!$B$1:$X$1,$H$3,'Segment RAW Data 25-26'!$B34:$X34)</f>
        <v>0</v>
      </c>
      <c r="I35" s="265">
        <f>sumif('Segment RAW Data 25-26'!$B$1:$X$1,$I$3,'Segment RAW Data 25-26'!$B34:$X34)</f>
        <v>0</v>
      </c>
      <c r="J35" s="265">
        <f>sumif('Segment RAW Data 25-26'!$B$1:$X$1,$J$3,'Segment RAW Data 25-26'!$B34:$X34)</f>
        <v>0</v>
      </c>
      <c r="K35" s="265">
        <f>sumif('Segment RAW Data 25-26'!$B$1:$X$1,$K$3,'Segment RAW Data 25-26'!$B34:$X34)</f>
        <v>0</v>
      </c>
      <c r="L35" s="265">
        <f>sumif('Segment RAW Data 25-26'!$B$1:$X$1,$L$3,'Segment RAW Data 25-26'!$B34:$X34)</f>
        <v>0</v>
      </c>
      <c r="M35" s="270"/>
      <c r="N35" s="124"/>
      <c r="O35" s="124">
        <f>VLOOKUP(C35:C634,'Segment RAW Data 25-26'!A34:Y631,25,0)-VLOOKUP(C35:C634,C:D,2,0)</f>
        <v>0</v>
      </c>
    </row>
    <row r="36" hidden="1">
      <c r="A36" s="157"/>
      <c r="B36" s="157"/>
      <c r="C36" s="157" t="s">
        <v>499</v>
      </c>
      <c r="D36" s="124">
        <f t="shared" si="1"/>
        <v>0</v>
      </c>
      <c r="E36" s="265">
        <f>sumif('Segment RAW Data 25-26'!$B$1:$X$1,$E$3,'Segment RAW Data 25-26'!$B35:$X35)</f>
        <v>0</v>
      </c>
      <c r="F36" s="265">
        <f>sumif('Segment RAW Data 25-26'!$B$1:$X$1,$F$3,'Segment RAW Data 25-26'!$B35:$X35)</f>
        <v>0</v>
      </c>
      <c r="G36" s="265">
        <f>sumif('Segment RAW Data 25-26'!$B$1:$X$1,$G$3,'Segment RAW Data 25-26'!$B35:$X35)</f>
        <v>0</v>
      </c>
      <c r="H36" s="265">
        <f>sumif('Segment RAW Data 25-26'!$B$1:$X$1,$H$3,'Segment RAW Data 25-26'!$B35:$X35)</f>
        <v>0</v>
      </c>
      <c r="I36" s="265">
        <f>sumif('Segment RAW Data 25-26'!$B$1:$X$1,$I$3,'Segment RAW Data 25-26'!$B35:$X35)</f>
        <v>0</v>
      </c>
      <c r="J36" s="265">
        <f>sumif('Segment RAW Data 25-26'!$B$1:$X$1,$J$3,'Segment RAW Data 25-26'!$B35:$X35)</f>
        <v>0</v>
      </c>
      <c r="K36" s="265">
        <f>sumif('Segment RAW Data 25-26'!$B$1:$X$1,$K$3,'Segment RAW Data 25-26'!$B35:$X35)</f>
        <v>0</v>
      </c>
      <c r="L36" s="265">
        <f>sumif('Segment RAW Data 25-26'!$B$1:$X$1,$L$3,'Segment RAW Data 25-26'!$B35:$X35)</f>
        <v>0</v>
      </c>
      <c r="M36" s="270"/>
      <c r="N36" s="124"/>
      <c r="O36" s="124">
        <f>VLOOKUP(C36:C635,'Segment RAW Data 25-26'!A35:Y632,25,0)-VLOOKUP(C36:C635,C:D,2,0)</f>
        <v>0</v>
      </c>
    </row>
    <row r="37" hidden="1">
      <c r="A37" s="157" t="s">
        <v>185</v>
      </c>
      <c r="B37" s="157" t="s">
        <v>114</v>
      </c>
      <c r="C37" s="157" t="s">
        <v>112</v>
      </c>
      <c r="D37" s="124">
        <f t="shared" si="1"/>
        <v>4732528.91</v>
      </c>
      <c r="E37" s="265">
        <f>sumif('Segment RAW Data 25-26'!$B$1:$X$1,$E$3,'Segment RAW Data 25-26'!$B36:$X36)</f>
        <v>1219584.29</v>
      </c>
      <c r="F37" s="265">
        <f>sumif('Segment RAW Data 25-26'!$B$1:$X$1,$F$3,'Segment RAW Data 25-26'!$B36:$X36)</f>
        <v>310675</v>
      </c>
      <c r="G37" s="265">
        <f>sumif('Segment RAW Data 25-26'!$B$1:$X$1,$G$3,'Segment RAW Data 25-26'!$B36:$X36)</f>
        <v>2359442.12</v>
      </c>
      <c r="H37" s="265">
        <f>sumif('Segment RAW Data 25-26'!$B$1:$X$1,$H$3,'Segment RAW Data 25-26'!$B36:$X36)</f>
        <v>393977</v>
      </c>
      <c r="I37" s="265">
        <f>sumif('Segment RAW Data 25-26'!$B$1:$X$1,$I$3,'Segment RAW Data 25-26'!$B36:$X36)</f>
        <v>0</v>
      </c>
      <c r="J37" s="265">
        <f>sumif('Segment RAW Data 25-26'!$B$1:$X$1,$J$3,'Segment RAW Data 25-26'!$B36:$X36)</f>
        <v>448850.5</v>
      </c>
      <c r="K37" s="265">
        <f>sumif('Segment RAW Data 25-26'!$B$1:$X$1,$K$3,'Segment RAW Data 25-26'!$B36:$X36)</f>
        <v>0</v>
      </c>
      <c r="L37" s="265">
        <f>sumif('Segment RAW Data 25-26'!$B$1:$X$1,$L$3,'Segment RAW Data 25-26'!$B36:$X36)</f>
        <v>0</v>
      </c>
      <c r="M37" s="270"/>
      <c r="N37" s="124" t="s">
        <v>975</v>
      </c>
      <c r="O37" s="124">
        <f>VLOOKUP(C37:C636,'Segment RAW Data 25-26'!A36:Y633,25,0)-VLOOKUP(C37:C636,C:D,2,0)</f>
        <v>0</v>
      </c>
    </row>
    <row r="38" hidden="1">
      <c r="A38" s="157"/>
      <c r="B38" s="157"/>
      <c r="C38" s="157" t="s">
        <v>500</v>
      </c>
      <c r="D38" s="124">
        <f t="shared" si="1"/>
        <v>0</v>
      </c>
      <c r="E38" s="265">
        <f>sumif('Segment RAW Data 25-26'!$B$1:$X$1,$E$3,'Segment RAW Data 25-26'!$B37:$X37)</f>
        <v>0</v>
      </c>
      <c r="F38" s="265">
        <f>sumif('Segment RAW Data 25-26'!$B$1:$X$1,$F$3,'Segment RAW Data 25-26'!$B37:$X37)</f>
        <v>0</v>
      </c>
      <c r="G38" s="265">
        <f>sumif('Segment RAW Data 25-26'!$B$1:$X$1,$G$3,'Segment RAW Data 25-26'!$B37:$X37)</f>
        <v>0</v>
      </c>
      <c r="H38" s="265">
        <f>sumif('Segment RAW Data 25-26'!$B$1:$X$1,$H$3,'Segment RAW Data 25-26'!$B37:$X37)</f>
        <v>0</v>
      </c>
      <c r="I38" s="265">
        <f>sumif('Segment RAW Data 25-26'!$B$1:$X$1,$I$3,'Segment RAW Data 25-26'!$B37:$X37)</f>
        <v>0</v>
      </c>
      <c r="J38" s="265">
        <f>sumif('Segment RAW Data 25-26'!$B$1:$X$1,$J$3,'Segment RAW Data 25-26'!$B37:$X37)</f>
        <v>0</v>
      </c>
      <c r="K38" s="265">
        <f>sumif('Segment RAW Data 25-26'!$B$1:$X$1,$K$3,'Segment RAW Data 25-26'!$B37:$X37)</f>
        <v>0</v>
      </c>
      <c r="L38" s="265">
        <f>sumif('Segment RAW Data 25-26'!$B$1:$X$1,$L$3,'Segment RAW Data 25-26'!$B37:$X37)</f>
        <v>0</v>
      </c>
      <c r="M38" s="270"/>
      <c r="N38" s="124"/>
      <c r="O38" s="124">
        <f>VLOOKUP(C38:C637,'Segment RAW Data 25-26'!A37:Y634,25,0)-VLOOKUP(C38:C637,C:D,2,0)</f>
        <v>0</v>
      </c>
    </row>
    <row r="39" hidden="1">
      <c r="A39" s="157"/>
      <c r="B39" s="157"/>
      <c r="C39" s="157" t="s">
        <v>501</v>
      </c>
      <c r="D39" s="124">
        <f t="shared" si="1"/>
        <v>0</v>
      </c>
      <c r="E39" s="265">
        <f>sumif('Segment RAW Data 25-26'!$B$1:$X$1,$E$3,'Segment RAW Data 25-26'!$B38:$X38)</f>
        <v>0</v>
      </c>
      <c r="F39" s="265">
        <f>sumif('Segment RAW Data 25-26'!$B$1:$X$1,$F$3,'Segment RAW Data 25-26'!$B38:$X38)</f>
        <v>0</v>
      </c>
      <c r="G39" s="265">
        <f>sumif('Segment RAW Data 25-26'!$B$1:$X$1,$G$3,'Segment RAW Data 25-26'!$B38:$X38)</f>
        <v>0</v>
      </c>
      <c r="H39" s="265">
        <f>sumif('Segment RAW Data 25-26'!$B$1:$X$1,$H$3,'Segment RAW Data 25-26'!$B38:$X38)</f>
        <v>0</v>
      </c>
      <c r="I39" s="265">
        <f>sumif('Segment RAW Data 25-26'!$B$1:$X$1,$I$3,'Segment RAW Data 25-26'!$B38:$X38)</f>
        <v>0</v>
      </c>
      <c r="J39" s="265">
        <f>sumif('Segment RAW Data 25-26'!$B$1:$X$1,$J$3,'Segment RAW Data 25-26'!$B38:$X38)</f>
        <v>0</v>
      </c>
      <c r="K39" s="265">
        <f>sumif('Segment RAW Data 25-26'!$B$1:$X$1,$K$3,'Segment RAW Data 25-26'!$B38:$X38)</f>
        <v>0</v>
      </c>
      <c r="L39" s="265">
        <f>sumif('Segment RAW Data 25-26'!$B$1:$X$1,$L$3,'Segment RAW Data 25-26'!$B38:$X38)</f>
        <v>0</v>
      </c>
      <c r="M39" s="270"/>
      <c r="N39" s="124"/>
      <c r="O39" s="124">
        <f>VLOOKUP(C39:C638,'Segment RAW Data 25-26'!A38:Y635,25,0)-VLOOKUP(C39:C638,C:D,2,0)</f>
        <v>0</v>
      </c>
    </row>
    <row r="40" hidden="1">
      <c r="A40" s="157"/>
      <c r="B40" s="157"/>
      <c r="C40" s="157" t="s">
        <v>502</v>
      </c>
      <c r="D40" s="124">
        <f t="shared" si="1"/>
        <v>0</v>
      </c>
      <c r="E40" s="265">
        <f>sumif('Segment RAW Data 25-26'!$B$1:$X$1,$E$3,'Segment RAW Data 25-26'!$B39:$X39)</f>
        <v>0</v>
      </c>
      <c r="F40" s="265">
        <f>sumif('Segment RAW Data 25-26'!$B$1:$X$1,$F$3,'Segment RAW Data 25-26'!$B39:$X39)</f>
        <v>0</v>
      </c>
      <c r="G40" s="265">
        <f>sumif('Segment RAW Data 25-26'!$B$1:$X$1,$G$3,'Segment RAW Data 25-26'!$B39:$X39)</f>
        <v>0</v>
      </c>
      <c r="H40" s="265">
        <f>sumif('Segment RAW Data 25-26'!$B$1:$X$1,$H$3,'Segment RAW Data 25-26'!$B39:$X39)</f>
        <v>0</v>
      </c>
      <c r="I40" s="265">
        <f>sumif('Segment RAW Data 25-26'!$B$1:$X$1,$I$3,'Segment RAW Data 25-26'!$B39:$X39)</f>
        <v>0</v>
      </c>
      <c r="J40" s="265">
        <f>sumif('Segment RAW Data 25-26'!$B$1:$X$1,$J$3,'Segment RAW Data 25-26'!$B39:$X39)</f>
        <v>0</v>
      </c>
      <c r="K40" s="265">
        <f>sumif('Segment RAW Data 25-26'!$B$1:$X$1,$K$3,'Segment RAW Data 25-26'!$B39:$X39)</f>
        <v>0</v>
      </c>
      <c r="L40" s="265">
        <f>sumif('Segment RAW Data 25-26'!$B$1:$X$1,$L$3,'Segment RAW Data 25-26'!$B39:$X39)</f>
        <v>0</v>
      </c>
      <c r="M40" s="270"/>
      <c r="N40" s="124"/>
      <c r="O40" s="124">
        <f>VLOOKUP(C40:C639,'Segment RAW Data 25-26'!A39:Y636,25,0)-VLOOKUP(C40:C639,C:D,2,0)</f>
        <v>0</v>
      </c>
    </row>
    <row r="41" hidden="1">
      <c r="A41" s="157"/>
      <c r="B41" s="157"/>
      <c r="C41" s="157" t="s">
        <v>503</v>
      </c>
      <c r="D41" s="124">
        <f t="shared" si="1"/>
        <v>0</v>
      </c>
      <c r="E41" s="265">
        <f>sumif('Segment RAW Data 25-26'!$B$1:$X$1,$E$3,'Segment RAW Data 25-26'!$B40:$X40)</f>
        <v>0</v>
      </c>
      <c r="F41" s="265">
        <f>sumif('Segment RAW Data 25-26'!$B$1:$X$1,$F$3,'Segment RAW Data 25-26'!$B40:$X40)</f>
        <v>0</v>
      </c>
      <c r="G41" s="265">
        <f>sumif('Segment RAW Data 25-26'!$B$1:$X$1,$G$3,'Segment RAW Data 25-26'!$B40:$X40)</f>
        <v>0</v>
      </c>
      <c r="H41" s="265">
        <f>sumif('Segment RAW Data 25-26'!$B$1:$X$1,$H$3,'Segment RAW Data 25-26'!$B40:$X40)</f>
        <v>0</v>
      </c>
      <c r="I41" s="265">
        <f>sumif('Segment RAW Data 25-26'!$B$1:$X$1,$I$3,'Segment RAW Data 25-26'!$B40:$X40)</f>
        <v>0</v>
      </c>
      <c r="J41" s="265">
        <f>sumif('Segment RAW Data 25-26'!$B$1:$X$1,$J$3,'Segment RAW Data 25-26'!$B40:$X40)</f>
        <v>0</v>
      </c>
      <c r="K41" s="265">
        <f>sumif('Segment RAW Data 25-26'!$B$1:$X$1,$K$3,'Segment RAW Data 25-26'!$B40:$X40)</f>
        <v>0</v>
      </c>
      <c r="L41" s="265">
        <f>sumif('Segment RAW Data 25-26'!$B$1:$X$1,$L$3,'Segment RAW Data 25-26'!$B40:$X40)</f>
        <v>0</v>
      </c>
      <c r="M41" s="270"/>
      <c r="N41" s="124"/>
      <c r="O41" s="124">
        <f>VLOOKUP(C41:C640,'Segment RAW Data 25-26'!A40:Y637,25,0)-VLOOKUP(C41:C640,C:D,2,0)</f>
        <v>0</v>
      </c>
    </row>
    <row r="42" hidden="1">
      <c r="A42" s="157"/>
      <c r="B42" s="157"/>
      <c r="C42" s="157" t="s">
        <v>504</v>
      </c>
      <c r="D42" s="124">
        <f t="shared" si="1"/>
        <v>0</v>
      </c>
      <c r="E42" s="265">
        <f>sumif('Segment RAW Data 25-26'!$B$1:$X$1,$E$3,'Segment RAW Data 25-26'!$B41:$X41)</f>
        <v>0</v>
      </c>
      <c r="F42" s="265">
        <f>sumif('Segment RAW Data 25-26'!$B$1:$X$1,$F$3,'Segment RAW Data 25-26'!$B41:$X41)</f>
        <v>0</v>
      </c>
      <c r="G42" s="265">
        <f>sumif('Segment RAW Data 25-26'!$B$1:$X$1,$G$3,'Segment RAW Data 25-26'!$B41:$X41)</f>
        <v>0</v>
      </c>
      <c r="H42" s="265">
        <f>sumif('Segment RAW Data 25-26'!$B$1:$X$1,$H$3,'Segment RAW Data 25-26'!$B41:$X41)</f>
        <v>0</v>
      </c>
      <c r="I42" s="265">
        <f>sumif('Segment RAW Data 25-26'!$B$1:$X$1,$I$3,'Segment RAW Data 25-26'!$B41:$X41)</f>
        <v>0</v>
      </c>
      <c r="J42" s="265">
        <f>sumif('Segment RAW Data 25-26'!$B$1:$X$1,$J$3,'Segment RAW Data 25-26'!$B41:$X41)</f>
        <v>0</v>
      </c>
      <c r="K42" s="265">
        <f>sumif('Segment RAW Data 25-26'!$B$1:$X$1,$K$3,'Segment RAW Data 25-26'!$B41:$X41)</f>
        <v>0</v>
      </c>
      <c r="L42" s="265">
        <f>sumif('Segment RAW Data 25-26'!$B$1:$X$1,$L$3,'Segment RAW Data 25-26'!$B41:$X41)</f>
        <v>0</v>
      </c>
      <c r="M42" s="270"/>
      <c r="N42" s="124"/>
      <c r="O42" s="124">
        <f>VLOOKUP(C42:C641,'Segment RAW Data 25-26'!A41:Y638,25,0)-VLOOKUP(C42:C641,C:D,2,0)</f>
        <v>0</v>
      </c>
    </row>
    <row r="43" hidden="1">
      <c r="A43" s="157"/>
      <c r="B43" s="157"/>
      <c r="C43" s="157" t="s">
        <v>505</v>
      </c>
      <c r="D43" s="124">
        <f t="shared" si="1"/>
        <v>0</v>
      </c>
      <c r="E43" s="265">
        <f>sumif('Segment RAW Data 25-26'!$B$1:$X$1,$E$3,'Segment RAW Data 25-26'!$B42:$X42)</f>
        <v>0</v>
      </c>
      <c r="F43" s="265">
        <f>sumif('Segment RAW Data 25-26'!$B$1:$X$1,$F$3,'Segment RAW Data 25-26'!$B42:$X42)</f>
        <v>0</v>
      </c>
      <c r="G43" s="265">
        <f>sumif('Segment RAW Data 25-26'!$B$1:$X$1,$G$3,'Segment RAW Data 25-26'!$B42:$X42)</f>
        <v>0</v>
      </c>
      <c r="H43" s="265">
        <f>sumif('Segment RAW Data 25-26'!$B$1:$X$1,$H$3,'Segment RAW Data 25-26'!$B42:$X42)</f>
        <v>0</v>
      </c>
      <c r="I43" s="265">
        <f>sumif('Segment RAW Data 25-26'!$B$1:$X$1,$I$3,'Segment RAW Data 25-26'!$B42:$X42)</f>
        <v>0</v>
      </c>
      <c r="J43" s="265">
        <f>sumif('Segment RAW Data 25-26'!$B$1:$X$1,$J$3,'Segment RAW Data 25-26'!$B42:$X42)</f>
        <v>0</v>
      </c>
      <c r="K43" s="265">
        <f>sumif('Segment RAW Data 25-26'!$B$1:$X$1,$K$3,'Segment RAW Data 25-26'!$B42:$X42)</f>
        <v>0</v>
      </c>
      <c r="L43" s="265">
        <f>sumif('Segment RAW Data 25-26'!$B$1:$X$1,$L$3,'Segment RAW Data 25-26'!$B42:$X42)</f>
        <v>0</v>
      </c>
      <c r="M43" s="270"/>
      <c r="N43" s="124"/>
      <c r="O43" s="124">
        <f>VLOOKUP(C43:C642,'Segment RAW Data 25-26'!A42:Y639,25,0)-VLOOKUP(C43:C642,C:D,2,0)</f>
        <v>0</v>
      </c>
    </row>
    <row r="44" hidden="1">
      <c r="A44" s="157"/>
      <c r="B44" s="157"/>
      <c r="C44" s="157" t="s">
        <v>506</v>
      </c>
      <c r="D44" s="124">
        <f t="shared" si="1"/>
        <v>0</v>
      </c>
      <c r="E44" s="265">
        <f>sumif('Segment RAW Data 25-26'!$B$1:$X$1,$E$3,'Segment RAW Data 25-26'!$B43:$X43)</f>
        <v>0</v>
      </c>
      <c r="F44" s="265">
        <f>sumif('Segment RAW Data 25-26'!$B$1:$X$1,$F$3,'Segment RAW Data 25-26'!$B43:$X43)</f>
        <v>0</v>
      </c>
      <c r="G44" s="265">
        <f>sumif('Segment RAW Data 25-26'!$B$1:$X$1,$G$3,'Segment RAW Data 25-26'!$B43:$X43)</f>
        <v>0</v>
      </c>
      <c r="H44" s="265">
        <f>sumif('Segment RAW Data 25-26'!$B$1:$X$1,$H$3,'Segment RAW Data 25-26'!$B43:$X43)</f>
        <v>0</v>
      </c>
      <c r="I44" s="265">
        <f>sumif('Segment RAW Data 25-26'!$B$1:$X$1,$I$3,'Segment RAW Data 25-26'!$B43:$X43)</f>
        <v>0</v>
      </c>
      <c r="J44" s="265">
        <f>sumif('Segment RAW Data 25-26'!$B$1:$X$1,$J$3,'Segment RAW Data 25-26'!$B43:$X43)</f>
        <v>0</v>
      </c>
      <c r="K44" s="265">
        <f>sumif('Segment RAW Data 25-26'!$B$1:$X$1,$K$3,'Segment RAW Data 25-26'!$B43:$X43)</f>
        <v>0</v>
      </c>
      <c r="L44" s="265">
        <f>sumif('Segment RAW Data 25-26'!$B$1:$X$1,$L$3,'Segment RAW Data 25-26'!$B43:$X43)</f>
        <v>0</v>
      </c>
      <c r="M44" s="270"/>
      <c r="N44" s="124"/>
      <c r="O44" s="124">
        <f>VLOOKUP(C44:C643,'Segment RAW Data 25-26'!A43:Y640,25,0)-VLOOKUP(C44:C643,C:D,2,0)</f>
        <v>0</v>
      </c>
    </row>
    <row r="45" hidden="1">
      <c r="A45" s="157"/>
      <c r="B45" s="157"/>
      <c r="C45" s="157" t="s">
        <v>507</v>
      </c>
      <c r="D45" s="124">
        <f t="shared" si="1"/>
        <v>0</v>
      </c>
      <c r="E45" s="265">
        <f>sumif('Segment RAW Data 25-26'!$B$1:$X$1,$E$3,'Segment RAW Data 25-26'!$B44:$X44)</f>
        <v>0</v>
      </c>
      <c r="F45" s="265">
        <f>sumif('Segment RAW Data 25-26'!$B$1:$X$1,$F$3,'Segment RAW Data 25-26'!$B44:$X44)</f>
        <v>0</v>
      </c>
      <c r="G45" s="265">
        <f>sumif('Segment RAW Data 25-26'!$B$1:$X$1,$G$3,'Segment RAW Data 25-26'!$B44:$X44)</f>
        <v>0</v>
      </c>
      <c r="H45" s="265">
        <f>sumif('Segment RAW Data 25-26'!$B$1:$X$1,$H$3,'Segment RAW Data 25-26'!$B44:$X44)</f>
        <v>0</v>
      </c>
      <c r="I45" s="265">
        <f>sumif('Segment RAW Data 25-26'!$B$1:$X$1,$I$3,'Segment RAW Data 25-26'!$B44:$X44)</f>
        <v>0</v>
      </c>
      <c r="J45" s="265">
        <f>sumif('Segment RAW Data 25-26'!$B$1:$X$1,$J$3,'Segment RAW Data 25-26'!$B44:$X44)</f>
        <v>0</v>
      </c>
      <c r="K45" s="265">
        <f>sumif('Segment RAW Data 25-26'!$B$1:$X$1,$K$3,'Segment RAW Data 25-26'!$B44:$X44)</f>
        <v>0</v>
      </c>
      <c r="L45" s="265">
        <f>sumif('Segment RAW Data 25-26'!$B$1:$X$1,$L$3,'Segment RAW Data 25-26'!$B44:$X44)</f>
        <v>0</v>
      </c>
      <c r="M45" s="270"/>
      <c r="N45" s="124"/>
      <c r="O45" s="124">
        <f>VLOOKUP(C45:C644,'Segment RAW Data 25-26'!A44:Y641,25,0)-VLOOKUP(C45:C644,C:D,2,0)</f>
        <v>0</v>
      </c>
    </row>
    <row r="46" hidden="1">
      <c r="A46" s="157"/>
      <c r="B46" s="157"/>
      <c r="C46" s="157" t="s">
        <v>508</v>
      </c>
      <c r="D46" s="124">
        <f t="shared" si="1"/>
        <v>0</v>
      </c>
      <c r="E46" s="265">
        <f>sumif('Segment RAW Data 25-26'!$B$1:$X$1,$E$3,'Segment RAW Data 25-26'!$B45:$X45)</f>
        <v>0</v>
      </c>
      <c r="F46" s="265">
        <f>sumif('Segment RAW Data 25-26'!$B$1:$X$1,$F$3,'Segment RAW Data 25-26'!$B45:$X45)</f>
        <v>0</v>
      </c>
      <c r="G46" s="265">
        <f>sumif('Segment RAW Data 25-26'!$B$1:$X$1,$G$3,'Segment RAW Data 25-26'!$B45:$X45)</f>
        <v>0</v>
      </c>
      <c r="H46" s="265">
        <f>sumif('Segment RAW Data 25-26'!$B$1:$X$1,$H$3,'Segment RAW Data 25-26'!$B45:$X45)</f>
        <v>0</v>
      </c>
      <c r="I46" s="265">
        <f>sumif('Segment RAW Data 25-26'!$B$1:$X$1,$I$3,'Segment RAW Data 25-26'!$B45:$X45)</f>
        <v>0</v>
      </c>
      <c r="J46" s="265">
        <f>sumif('Segment RAW Data 25-26'!$B$1:$X$1,$J$3,'Segment RAW Data 25-26'!$B45:$X45)</f>
        <v>0</v>
      </c>
      <c r="K46" s="265">
        <f>sumif('Segment RAW Data 25-26'!$B$1:$X$1,$K$3,'Segment RAW Data 25-26'!$B45:$X45)</f>
        <v>0</v>
      </c>
      <c r="L46" s="265">
        <f>sumif('Segment RAW Data 25-26'!$B$1:$X$1,$L$3,'Segment RAW Data 25-26'!$B45:$X45)</f>
        <v>0</v>
      </c>
      <c r="M46" s="270"/>
      <c r="N46" s="124"/>
      <c r="O46" s="124">
        <f>VLOOKUP(C46:C645,'Segment RAW Data 25-26'!A45:Y642,25,0)-VLOOKUP(C46:C645,C:D,2,0)</f>
        <v>0</v>
      </c>
    </row>
    <row r="47" hidden="1">
      <c r="A47" s="157"/>
      <c r="B47" s="157"/>
      <c r="C47" s="157" t="s">
        <v>509</v>
      </c>
      <c r="D47" s="124">
        <f t="shared" si="1"/>
        <v>0</v>
      </c>
      <c r="E47" s="265">
        <f>sumif('Segment RAW Data 25-26'!$B$1:$X$1,$E$3,'Segment RAW Data 25-26'!$B46:$X46)</f>
        <v>0</v>
      </c>
      <c r="F47" s="265">
        <f>sumif('Segment RAW Data 25-26'!$B$1:$X$1,$F$3,'Segment RAW Data 25-26'!$B46:$X46)</f>
        <v>0</v>
      </c>
      <c r="G47" s="265">
        <f>sumif('Segment RAW Data 25-26'!$B$1:$X$1,$G$3,'Segment RAW Data 25-26'!$B46:$X46)</f>
        <v>0</v>
      </c>
      <c r="H47" s="265">
        <f>sumif('Segment RAW Data 25-26'!$B$1:$X$1,$H$3,'Segment RAW Data 25-26'!$B46:$X46)</f>
        <v>0</v>
      </c>
      <c r="I47" s="265">
        <f>sumif('Segment RAW Data 25-26'!$B$1:$X$1,$I$3,'Segment RAW Data 25-26'!$B46:$X46)</f>
        <v>0</v>
      </c>
      <c r="J47" s="265">
        <f>sumif('Segment RAW Data 25-26'!$B$1:$X$1,$J$3,'Segment RAW Data 25-26'!$B46:$X46)</f>
        <v>0</v>
      </c>
      <c r="K47" s="265">
        <f>sumif('Segment RAW Data 25-26'!$B$1:$X$1,$K$3,'Segment RAW Data 25-26'!$B46:$X46)</f>
        <v>0</v>
      </c>
      <c r="L47" s="265">
        <f>sumif('Segment RAW Data 25-26'!$B$1:$X$1,$L$3,'Segment RAW Data 25-26'!$B46:$X46)</f>
        <v>0</v>
      </c>
      <c r="M47" s="270"/>
      <c r="N47" s="124"/>
      <c r="O47" s="124">
        <f>VLOOKUP(C47:C646,'Segment RAW Data 25-26'!A46:Y643,25,0)-VLOOKUP(C47:C646,C:D,2,0)</f>
        <v>0</v>
      </c>
    </row>
    <row r="48" hidden="1">
      <c r="A48" s="157"/>
      <c r="B48" s="157"/>
      <c r="C48" s="157" t="s">
        <v>510</v>
      </c>
      <c r="D48" s="124">
        <f t="shared" si="1"/>
        <v>0</v>
      </c>
      <c r="E48" s="265">
        <f>sumif('Segment RAW Data 25-26'!$B$1:$X$1,$E$3,'Segment RAW Data 25-26'!$B47:$X47)</f>
        <v>0</v>
      </c>
      <c r="F48" s="265">
        <f>sumif('Segment RAW Data 25-26'!$B$1:$X$1,$F$3,'Segment RAW Data 25-26'!$B47:$X47)</f>
        <v>0</v>
      </c>
      <c r="G48" s="265">
        <f>sumif('Segment RAW Data 25-26'!$B$1:$X$1,$G$3,'Segment RAW Data 25-26'!$B47:$X47)</f>
        <v>0</v>
      </c>
      <c r="H48" s="265">
        <f>sumif('Segment RAW Data 25-26'!$B$1:$X$1,$H$3,'Segment RAW Data 25-26'!$B47:$X47)</f>
        <v>0</v>
      </c>
      <c r="I48" s="265">
        <f>sumif('Segment RAW Data 25-26'!$B$1:$X$1,$I$3,'Segment RAW Data 25-26'!$B47:$X47)</f>
        <v>0</v>
      </c>
      <c r="J48" s="265">
        <f>sumif('Segment RAW Data 25-26'!$B$1:$X$1,$J$3,'Segment RAW Data 25-26'!$B47:$X47)</f>
        <v>0</v>
      </c>
      <c r="K48" s="265">
        <f>sumif('Segment RAW Data 25-26'!$B$1:$X$1,$K$3,'Segment RAW Data 25-26'!$B47:$X47)</f>
        <v>0</v>
      </c>
      <c r="L48" s="265">
        <f>sumif('Segment RAW Data 25-26'!$B$1:$X$1,$L$3,'Segment RAW Data 25-26'!$B47:$X47)</f>
        <v>0</v>
      </c>
      <c r="M48" s="270"/>
      <c r="N48" s="124"/>
      <c r="O48" s="124">
        <f>VLOOKUP(C48:C647,'Segment RAW Data 25-26'!A47:Y644,25,0)-VLOOKUP(C48:C647,C:D,2,0)</f>
        <v>0</v>
      </c>
    </row>
    <row r="49" hidden="1">
      <c r="A49" s="157"/>
      <c r="B49" s="157"/>
      <c r="C49" s="157" t="s">
        <v>511</v>
      </c>
      <c r="D49" s="124">
        <f t="shared" si="1"/>
        <v>0</v>
      </c>
      <c r="E49" s="265">
        <f>sumif('Segment RAW Data 25-26'!$B$1:$X$1,$E$3,'Segment RAW Data 25-26'!$B48:$X48)</f>
        <v>0</v>
      </c>
      <c r="F49" s="265">
        <f>sumif('Segment RAW Data 25-26'!$B$1:$X$1,$F$3,'Segment RAW Data 25-26'!$B48:$X48)</f>
        <v>0</v>
      </c>
      <c r="G49" s="265">
        <f>sumif('Segment RAW Data 25-26'!$B$1:$X$1,$G$3,'Segment RAW Data 25-26'!$B48:$X48)</f>
        <v>0</v>
      </c>
      <c r="H49" s="265">
        <f>sumif('Segment RAW Data 25-26'!$B$1:$X$1,$H$3,'Segment RAW Data 25-26'!$B48:$X48)</f>
        <v>0</v>
      </c>
      <c r="I49" s="265">
        <f>sumif('Segment RAW Data 25-26'!$B$1:$X$1,$I$3,'Segment RAW Data 25-26'!$B48:$X48)</f>
        <v>0</v>
      </c>
      <c r="J49" s="265">
        <f>sumif('Segment RAW Data 25-26'!$B$1:$X$1,$J$3,'Segment RAW Data 25-26'!$B48:$X48)</f>
        <v>0</v>
      </c>
      <c r="K49" s="265">
        <f>sumif('Segment RAW Data 25-26'!$B$1:$X$1,$K$3,'Segment RAW Data 25-26'!$B48:$X48)</f>
        <v>0</v>
      </c>
      <c r="L49" s="265">
        <f>sumif('Segment RAW Data 25-26'!$B$1:$X$1,$L$3,'Segment RAW Data 25-26'!$B48:$X48)</f>
        <v>0</v>
      </c>
      <c r="M49" s="270"/>
      <c r="N49" s="124"/>
      <c r="O49" s="124">
        <f>VLOOKUP(C49:C648,'Segment RAW Data 25-26'!A48:Y645,25,0)-VLOOKUP(C49:C648,C:D,2,0)</f>
        <v>0</v>
      </c>
    </row>
    <row r="50" hidden="1">
      <c r="A50" s="157"/>
      <c r="B50" s="157"/>
      <c r="C50" s="157" t="s">
        <v>512</v>
      </c>
      <c r="D50" s="124">
        <f t="shared" si="1"/>
        <v>0</v>
      </c>
      <c r="E50" s="265">
        <f>sumif('Segment RAW Data 25-26'!$B$1:$X$1,$E$3,'Segment RAW Data 25-26'!$B49:$X49)</f>
        <v>0</v>
      </c>
      <c r="F50" s="265">
        <f>sumif('Segment RAW Data 25-26'!$B$1:$X$1,$F$3,'Segment RAW Data 25-26'!$B49:$X49)</f>
        <v>0</v>
      </c>
      <c r="G50" s="265">
        <f>sumif('Segment RAW Data 25-26'!$B$1:$X$1,$G$3,'Segment RAW Data 25-26'!$B49:$X49)</f>
        <v>0</v>
      </c>
      <c r="H50" s="265">
        <f>sumif('Segment RAW Data 25-26'!$B$1:$X$1,$H$3,'Segment RAW Data 25-26'!$B49:$X49)</f>
        <v>0</v>
      </c>
      <c r="I50" s="265">
        <f>sumif('Segment RAW Data 25-26'!$B$1:$X$1,$I$3,'Segment RAW Data 25-26'!$B49:$X49)</f>
        <v>0</v>
      </c>
      <c r="J50" s="265">
        <f>sumif('Segment RAW Data 25-26'!$B$1:$X$1,$J$3,'Segment RAW Data 25-26'!$B49:$X49)</f>
        <v>0</v>
      </c>
      <c r="K50" s="265">
        <f>sumif('Segment RAW Data 25-26'!$B$1:$X$1,$K$3,'Segment RAW Data 25-26'!$B49:$X49)</f>
        <v>0</v>
      </c>
      <c r="L50" s="265">
        <f>sumif('Segment RAW Data 25-26'!$B$1:$X$1,$L$3,'Segment RAW Data 25-26'!$B49:$X49)</f>
        <v>0</v>
      </c>
      <c r="M50" s="270"/>
      <c r="N50" s="124"/>
      <c r="O50" s="124">
        <f>VLOOKUP(C50:C649,'Segment RAW Data 25-26'!A49:Y646,25,0)-VLOOKUP(C50:C649,C:D,2,0)</f>
        <v>0</v>
      </c>
    </row>
    <row r="51" hidden="1">
      <c r="A51" s="157"/>
      <c r="B51" s="157"/>
      <c r="C51" s="157" t="s">
        <v>513</v>
      </c>
      <c r="D51" s="124">
        <f t="shared" si="1"/>
        <v>0</v>
      </c>
      <c r="E51" s="265">
        <f>sumif('Segment RAW Data 25-26'!$B$1:$X$1,$E$3,'Segment RAW Data 25-26'!$B50:$X50)</f>
        <v>0</v>
      </c>
      <c r="F51" s="265">
        <f>sumif('Segment RAW Data 25-26'!$B$1:$X$1,$F$3,'Segment RAW Data 25-26'!$B50:$X50)</f>
        <v>0</v>
      </c>
      <c r="G51" s="265">
        <f>sumif('Segment RAW Data 25-26'!$B$1:$X$1,$G$3,'Segment RAW Data 25-26'!$B50:$X50)</f>
        <v>0</v>
      </c>
      <c r="H51" s="265">
        <f>sumif('Segment RAW Data 25-26'!$B$1:$X$1,$H$3,'Segment RAW Data 25-26'!$B50:$X50)</f>
        <v>0</v>
      </c>
      <c r="I51" s="265">
        <f>sumif('Segment RAW Data 25-26'!$B$1:$X$1,$I$3,'Segment RAW Data 25-26'!$B50:$X50)</f>
        <v>0</v>
      </c>
      <c r="J51" s="265">
        <f>sumif('Segment RAW Data 25-26'!$B$1:$X$1,$J$3,'Segment RAW Data 25-26'!$B50:$X50)</f>
        <v>0</v>
      </c>
      <c r="K51" s="265">
        <f>sumif('Segment RAW Data 25-26'!$B$1:$X$1,$K$3,'Segment RAW Data 25-26'!$B50:$X50)</f>
        <v>0</v>
      </c>
      <c r="L51" s="265">
        <f>sumif('Segment RAW Data 25-26'!$B$1:$X$1,$L$3,'Segment RAW Data 25-26'!$B50:$X50)</f>
        <v>0</v>
      </c>
      <c r="M51" s="270"/>
      <c r="N51" s="124"/>
      <c r="O51" s="124">
        <f>VLOOKUP(C51:C650,'Segment RAW Data 25-26'!A50:Y647,25,0)-VLOOKUP(C51:C650,C:D,2,0)</f>
        <v>0</v>
      </c>
    </row>
    <row r="52" hidden="1">
      <c r="A52" s="157"/>
      <c r="B52" s="157"/>
      <c r="C52" s="157" t="s">
        <v>514</v>
      </c>
      <c r="D52" s="124">
        <f t="shared" si="1"/>
        <v>0</v>
      </c>
      <c r="E52" s="265">
        <f>sumif('Segment RAW Data 25-26'!$B$1:$X$1,$E$3,'Segment RAW Data 25-26'!$B51:$X51)</f>
        <v>0</v>
      </c>
      <c r="F52" s="265">
        <f>sumif('Segment RAW Data 25-26'!$B$1:$X$1,$F$3,'Segment RAW Data 25-26'!$B51:$X51)</f>
        <v>0</v>
      </c>
      <c r="G52" s="265">
        <f>sumif('Segment RAW Data 25-26'!$B$1:$X$1,$G$3,'Segment RAW Data 25-26'!$B51:$X51)</f>
        <v>0</v>
      </c>
      <c r="H52" s="265">
        <f>sumif('Segment RAW Data 25-26'!$B$1:$X$1,$H$3,'Segment RAW Data 25-26'!$B51:$X51)</f>
        <v>0</v>
      </c>
      <c r="I52" s="265">
        <f>sumif('Segment RAW Data 25-26'!$B$1:$X$1,$I$3,'Segment RAW Data 25-26'!$B51:$X51)</f>
        <v>0</v>
      </c>
      <c r="J52" s="265">
        <f>sumif('Segment RAW Data 25-26'!$B$1:$X$1,$J$3,'Segment RAW Data 25-26'!$B51:$X51)</f>
        <v>0</v>
      </c>
      <c r="K52" s="265">
        <f>sumif('Segment RAW Data 25-26'!$B$1:$X$1,$K$3,'Segment RAW Data 25-26'!$B51:$X51)</f>
        <v>0</v>
      </c>
      <c r="L52" s="265">
        <f>sumif('Segment RAW Data 25-26'!$B$1:$X$1,$L$3,'Segment RAW Data 25-26'!$B51:$X51)</f>
        <v>0</v>
      </c>
      <c r="M52" s="270"/>
      <c r="N52" s="124"/>
      <c r="O52" s="124">
        <f>VLOOKUP(C52:C651,'Segment RAW Data 25-26'!A51:Y648,25,0)-VLOOKUP(C52:C651,C:D,2,0)</f>
        <v>0</v>
      </c>
    </row>
    <row r="53" hidden="1">
      <c r="A53" s="157"/>
      <c r="B53" s="157"/>
      <c r="C53" s="157" t="s">
        <v>515</v>
      </c>
      <c r="D53" s="124">
        <f t="shared" si="1"/>
        <v>0</v>
      </c>
      <c r="E53" s="265">
        <f>sumif('Segment RAW Data 25-26'!$B$1:$X$1,$E$3,'Segment RAW Data 25-26'!$B52:$X52)</f>
        <v>0</v>
      </c>
      <c r="F53" s="265">
        <f>sumif('Segment RAW Data 25-26'!$B$1:$X$1,$F$3,'Segment RAW Data 25-26'!$B52:$X52)</f>
        <v>0</v>
      </c>
      <c r="G53" s="265">
        <f>sumif('Segment RAW Data 25-26'!$B$1:$X$1,$G$3,'Segment RAW Data 25-26'!$B52:$X52)</f>
        <v>0</v>
      </c>
      <c r="H53" s="265">
        <f>sumif('Segment RAW Data 25-26'!$B$1:$X$1,$H$3,'Segment RAW Data 25-26'!$B52:$X52)</f>
        <v>0</v>
      </c>
      <c r="I53" s="265">
        <f>sumif('Segment RAW Data 25-26'!$B$1:$X$1,$I$3,'Segment RAW Data 25-26'!$B52:$X52)</f>
        <v>0</v>
      </c>
      <c r="J53" s="265">
        <f>sumif('Segment RAW Data 25-26'!$B$1:$X$1,$J$3,'Segment RAW Data 25-26'!$B52:$X52)</f>
        <v>0</v>
      </c>
      <c r="K53" s="265">
        <f>sumif('Segment RAW Data 25-26'!$B$1:$X$1,$K$3,'Segment RAW Data 25-26'!$B52:$X52)</f>
        <v>0</v>
      </c>
      <c r="L53" s="265">
        <f>sumif('Segment RAW Data 25-26'!$B$1:$X$1,$L$3,'Segment RAW Data 25-26'!$B52:$X52)</f>
        <v>0</v>
      </c>
      <c r="M53" s="270"/>
      <c r="N53" s="124"/>
      <c r="O53" s="124">
        <f>VLOOKUP(C53:C652,'Segment RAW Data 25-26'!A52:Y649,25,0)-VLOOKUP(C53:C652,C:D,2,0)</f>
        <v>0</v>
      </c>
    </row>
    <row r="54" hidden="1">
      <c r="A54" s="157"/>
      <c r="B54" s="157"/>
      <c r="C54" s="157" t="s">
        <v>516</v>
      </c>
      <c r="D54" s="124">
        <f t="shared" si="1"/>
        <v>0</v>
      </c>
      <c r="E54" s="265">
        <f>sumif('Segment RAW Data 25-26'!$B$1:$X$1,$E$3,'Segment RAW Data 25-26'!$B53:$X53)</f>
        <v>0</v>
      </c>
      <c r="F54" s="265">
        <f>sumif('Segment RAW Data 25-26'!$B$1:$X$1,$F$3,'Segment RAW Data 25-26'!$B53:$X53)</f>
        <v>0</v>
      </c>
      <c r="G54" s="265">
        <f>sumif('Segment RAW Data 25-26'!$B$1:$X$1,$G$3,'Segment RAW Data 25-26'!$B53:$X53)</f>
        <v>0</v>
      </c>
      <c r="H54" s="265">
        <f>sumif('Segment RAW Data 25-26'!$B$1:$X$1,$H$3,'Segment RAW Data 25-26'!$B53:$X53)</f>
        <v>0</v>
      </c>
      <c r="I54" s="265">
        <f>sumif('Segment RAW Data 25-26'!$B$1:$X$1,$I$3,'Segment RAW Data 25-26'!$B53:$X53)</f>
        <v>0</v>
      </c>
      <c r="J54" s="265">
        <f>sumif('Segment RAW Data 25-26'!$B$1:$X$1,$J$3,'Segment RAW Data 25-26'!$B53:$X53)</f>
        <v>0</v>
      </c>
      <c r="K54" s="265">
        <f>sumif('Segment RAW Data 25-26'!$B$1:$X$1,$K$3,'Segment RAW Data 25-26'!$B53:$X53)</f>
        <v>0</v>
      </c>
      <c r="L54" s="265">
        <f>sumif('Segment RAW Data 25-26'!$B$1:$X$1,$L$3,'Segment RAW Data 25-26'!$B53:$X53)</f>
        <v>0</v>
      </c>
      <c r="M54" s="270"/>
      <c r="N54" s="124"/>
      <c r="O54" s="124">
        <f>VLOOKUP(C54:C653,'Segment RAW Data 25-26'!A53:Y650,25,0)-VLOOKUP(C54:C653,C:D,2,0)</f>
        <v>0</v>
      </c>
    </row>
    <row r="55" hidden="1">
      <c r="A55" s="157"/>
      <c r="B55" s="157"/>
      <c r="C55" s="157" t="s">
        <v>517</v>
      </c>
      <c r="D55" s="124">
        <f t="shared" si="1"/>
        <v>0</v>
      </c>
      <c r="E55" s="265">
        <f>sumif('Segment RAW Data 25-26'!$B$1:$X$1,$E$3,'Segment RAW Data 25-26'!$B54:$X54)</f>
        <v>0</v>
      </c>
      <c r="F55" s="265">
        <f>sumif('Segment RAW Data 25-26'!$B$1:$X$1,$F$3,'Segment RAW Data 25-26'!$B54:$X54)</f>
        <v>0</v>
      </c>
      <c r="G55" s="265">
        <f>sumif('Segment RAW Data 25-26'!$B$1:$X$1,$G$3,'Segment RAW Data 25-26'!$B54:$X54)</f>
        <v>0</v>
      </c>
      <c r="H55" s="265">
        <f>sumif('Segment RAW Data 25-26'!$B$1:$X$1,$H$3,'Segment RAW Data 25-26'!$B54:$X54)</f>
        <v>0</v>
      </c>
      <c r="I55" s="265">
        <f>sumif('Segment RAW Data 25-26'!$B$1:$X$1,$I$3,'Segment RAW Data 25-26'!$B54:$X54)</f>
        <v>0</v>
      </c>
      <c r="J55" s="265">
        <f>sumif('Segment RAW Data 25-26'!$B$1:$X$1,$J$3,'Segment RAW Data 25-26'!$B54:$X54)</f>
        <v>0</v>
      </c>
      <c r="K55" s="265">
        <f>sumif('Segment RAW Data 25-26'!$B$1:$X$1,$K$3,'Segment RAW Data 25-26'!$B54:$X54)</f>
        <v>0</v>
      </c>
      <c r="L55" s="265">
        <f>sumif('Segment RAW Data 25-26'!$B$1:$X$1,$L$3,'Segment RAW Data 25-26'!$B54:$X54)</f>
        <v>0</v>
      </c>
      <c r="M55" s="270"/>
      <c r="N55" s="124"/>
      <c r="O55" s="124">
        <f>VLOOKUP(C55:C654,'Segment RAW Data 25-26'!A54:Y651,25,0)-VLOOKUP(C55:C654,C:D,2,0)</f>
        <v>0</v>
      </c>
    </row>
    <row r="56" hidden="1">
      <c r="A56" s="157"/>
      <c r="B56" s="157"/>
      <c r="C56" s="157" t="s">
        <v>518</v>
      </c>
      <c r="D56" s="124">
        <f t="shared" si="1"/>
        <v>0</v>
      </c>
      <c r="E56" s="265">
        <f>sumif('Segment RAW Data 25-26'!$B$1:$X$1,$E$3,'Segment RAW Data 25-26'!$B55:$X55)</f>
        <v>0</v>
      </c>
      <c r="F56" s="265">
        <f>sumif('Segment RAW Data 25-26'!$B$1:$X$1,$F$3,'Segment RAW Data 25-26'!$B55:$X55)</f>
        <v>0</v>
      </c>
      <c r="G56" s="265">
        <f>sumif('Segment RAW Data 25-26'!$B$1:$X$1,$G$3,'Segment RAW Data 25-26'!$B55:$X55)</f>
        <v>0</v>
      </c>
      <c r="H56" s="265">
        <f>sumif('Segment RAW Data 25-26'!$B$1:$X$1,$H$3,'Segment RAW Data 25-26'!$B55:$X55)</f>
        <v>0</v>
      </c>
      <c r="I56" s="265">
        <f>sumif('Segment RAW Data 25-26'!$B$1:$X$1,$I$3,'Segment RAW Data 25-26'!$B55:$X55)</f>
        <v>0</v>
      </c>
      <c r="J56" s="265">
        <f>sumif('Segment RAW Data 25-26'!$B$1:$X$1,$J$3,'Segment RAW Data 25-26'!$B55:$X55)</f>
        <v>0</v>
      </c>
      <c r="K56" s="265">
        <f>sumif('Segment RAW Data 25-26'!$B$1:$X$1,$K$3,'Segment RAW Data 25-26'!$B55:$X55)</f>
        <v>0</v>
      </c>
      <c r="L56" s="265">
        <f>sumif('Segment RAW Data 25-26'!$B$1:$X$1,$L$3,'Segment RAW Data 25-26'!$B55:$X55)</f>
        <v>0</v>
      </c>
      <c r="M56" s="270"/>
      <c r="N56" s="124"/>
      <c r="O56" s="124">
        <f>VLOOKUP(C56:C655,'Segment RAW Data 25-26'!A55:Y652,25,0)-VLOOKUP(C56:C655,C:D,2,0)</f>
        <v>0</v>
      </c>
    </row>
    <row r="57" hidden="1">
      <c r="A57" s="157"/>
      <c r="B57" s="157"/>
      <c r="C57" s="157" t="s">
        <v>519</v>
      </c>
      <c r="D57" s="124">
        <f t="shared" si="1"/>
        <v>0</v>
      </c>
      <c r="E57" s="265">
        <f>sumif('Segment RAW Data 25-26'!$B$1:$X$1,$E$3,'Segment RAW Data 25-26'!$B56:$X56)</f>
        <v>0</v>
      </c>
      <c r="F57" s="265">
        <f>sumif('Segment RAW Data 25-26'!$B$1:$X$1,$F$3,'Segment RAW Data 25-26'!$B56:$X56)</f>
        <v>0</v>
      </c>
      <c r="G57" s="265">
        <f>sumif('Segment RAW Data 25-26'!$B$1:$X$1,$G$3,'Segment RAW Data 25-26'!$B56:$X56)</f>
        <v>0</v>
      </c>
      <c r="H57" s="265">
        <f>sumif('Segment RAW Data 25-26'!$B$1:$X$1,$H$3,'Segment RAW Data 25-26'!$B56:$X56)</f>
        <v>0</v>
      </c>
      <c r="I57" s="265">
        <f>sumif('Segment RAW Data 25-26'!$B$1:$X$1,$I$3,'Segment RAW Data 25-26'!$B56:$X56)</f>
        <v>0</v>
      </c>
      <c r="J57" s="265">
        <f>sumif('Segment RAW Data 25-26'!$B$1:$X$1,$J$3,'Segment RAW Data 25-26'!$B56:$X56)</f>
        <v>0</v>
      </c>
      <c r="K57" s="265">
        <f>sumif('Segment RAW Data 25-26'!$B$1:$X$1,$K$3,'Segment RAW Data 25-26'!$B56:$X56)</f>
        <v>0</v>
      </c>
      <c r="L57" s="265">
        <f>sumif('Segment RAW Data 25-26'!$B$1:$X$1,$L$3,'Segment RAW Data 25-26'!$B56:$X56)</f>
        <v>0</v>
      </c>
      <c r="M57" s="270"/>
      <c r="N57" s="124"/>
      <c r="O57" s="124">
        <f>VLOOKUP(C57:C656,'Segment RAW Data 25-26'!A56:Y653,25,0)-VLOOKUP(C57:C656,C:D,2,0)</f>
        <v>0</v>
      </c>
    </row>
    <row r="58" hidden="1">
      <c r="A58" s="157"/>
      <c r="B58" s="157"/>
      <c r="C58" s="157" t="s">
        <v>520</v>
      </c>
      <c r="D58" s="124">
        <f t="shared" si="1"/>
        <v>0</v>
      </c>
      <c r="E58" s="265">
        <f>sumif('Segment RAW Data 25-26'!$B$1:$X$1,$E$3,'Segment RAW Data 25-26'!$B57:$X57)</f>
        <v>0</v>
      </c>
      <c r="F58" s="265">
        <f>sumif('Segment RAW Data 25-26'!$B$1:$X$1,$F$3,'Segment RAW Data 25-26'!$B57:$X57)</f>
        <v>0</v>
      </c>
      <c r="G58" s="265">
        <f>sumif('Segment RAW Data 25-26'!$B$1:$X$1,$G$3,'Segment RAW Data 25-26'!$B57:$X57)</f>
        <v>0</v>
      </c>
      <c r="H58" s="265">
        <f>sumif('Segment RAW Data 25-26'!$B$1:$X$1,$H$3,'Segment RAW Data 25-26'!$B57:$X57)</f>
        <v>0</v>
      </c>
      <c r="I58" s="265">
        <f>sumif('Segment RAW Data 25-26'!$B$1:$X$1,$I$3,'Segment RAW Data 25-26'!$B57:$X57)</f>
        <v>0</v>
      </c>
      <c r="J58" s="265">
        <f>sumif('Segment RAW Data 25-26'!$B$1:$X$1,$J$3,'Segment RAW Data 25-26'!$B57:$X57)</f>
        <v>0</v>
      </c>
      <c r="K58" s="265">
        <f>sumif('Segment RAW Data 25-26'!$B$1:$X$1,$K$3,'Segment RAW Data 25-26'!$B57:$X57)</f>
        <v>0</v>
      </c>
      <c r="L58" s="265">
        <f>sumif('Segment RAW Data 25-26'!$B$1:$X$1,$L$3,'Segment RAW Data 25-26'!$B57:$X57)</f>
        <v>0</v>
      </c>
      <c r="M58" s="270"/>
      <c r="N58" s="124"/>
      <c r="O58" s="124">
        <f>VLOOKUP(C58:C657,'Segment RAW Data 25-26'!A57:Y654,25,0)-VLOOKUP(C58:C657,C:D,2,0)</f>
        <v>0</v>
      </c>
    </row>
    <row r="59" hidden="1">
      <c r="A59" s="157"/>
      <c r="B59" s="157"/>
      <c r="C59" s="157" t="s">
        <v>521</v>
      </c>
      <c r="D59" s="124">
        <f t="shared" si="1"/>
        <v>0</v>
      </c>
      <c r="E59" s="265">
        <f>sumif('Segment RAW Data 25-26'!$B$1:$X$1,$E$3,'Segment RAW Data 25-26'!$B58:$X58)</f>
        <v>0</v>
      </c>
      <c r="F59" s="265">
        <f>sumif('Segment RAW Data 25-26'!$B$1:$X$1,$F$3,'Segment RAW Data 25-26'!$B58:$X58)</f>
        <v>0</v>
      </c>
      <c r="G59" s="265">
        <f>sumif('Segment RAW Data 25-26'!$B$1:$X$1,$G$3,'Segment RAW Data 25-26'!$B58:$X58)</f>
        <v>0</v>
      </c>
      <c r="H59" s="265">
        <f>sumif('Segment RAW Data 25-26'!$B$1:$X$1,$H$3,'Segment RAW Data 25-26'!$B58:$X58)</f>
        <v>0</v>
      </c>
      <c r="I59" s="265">
        <f>sumif('Segment RAW Data 25-26'!$B$1:$X$1,$I$3,'Segment RAW Data 25-26'!$B58:$X58)</f>
        <v>0</v>
      </c>
      <c r="J59" s="265">
        <f>sumif('Segment RAW Data 25-26'!$B$1:$X$1,$J$3,'Segment RAW Data 25-26'!$B58:$X58)</f>
        <v>0</v>
      </c>
      <c r="K59" s="265">
        <f>sumif('Segment RAW Data 25-26'!$B$1:$X$1,$K$3,'Segment RAW Data 25-26'!$B58:$X58)</f>
        <v>0</v>
      </c>
      <c r="L59" s="265">
        <f>sumif('Segment RAW Data 25-26'!$B$1:$X$1,$L$3,'Segment RAW Data 25-26'!$B58:$X58)</f>
        <v>0</v>
      </c>
      <c r="M59" s="270"/>
      <c r="N59" s="124"/>
      <c r="O59" s="124">
        <f>VLOOKUP(C59:C658,'Segment RAW Data 25-26'!A58:Y655,25,0)-VLOOKUP(C59:C658,C:D,2,0)</f>
        <v>0</v>
      </c>
    </row>
    <row r="60" hidden="1">
      <c r="A60" s="157"/>
      <c r="B60" s="157"/>
      <c r="C60" s="157" t="s">
        <v>522</v>
      </c>
      <c r="D60" s="124">
        <f t="shared" si="1"/>
        <v>0</v>
      </c>
      <c r="E60" s="265">
        <f>sumif('Segment RAW Data 25-26'!$B$1:$X$1,$E$3,'Segment RAW Data 25-26'!$B59:$X59)</f>
        <v>0</v>
      </c>
      <c r="F60" s="265">
        <f>sumif('Segment RAW Data 25-26'!$B$1:$X$1,$F$3,'Segment RAW Data 25-26'!$B59:$X59)</f>
        <v>0</v>
      </c>
      <c r="G60" s="265">
        <f>sumif('Segment RAW Data 25-26'!$B$1:$X$1,$G$3,'Segment RAW Data 25-26'!$B59:$X59)</f>
        <v>0</v>
      </c>
      <c r="H60" s="265">
        <f>sumif('Segment RAW Data 25-26'!$B$1:$X$1,$H$3,'Segment RAW Data 25-26'!$B59:$X59)</f>
        <v>0</v>
      </c>
      <c r="I60" s="265">
        <f>sumif('Segment RAW Data 25-26'!$B$1:$X$1,$I$3,'Segment RAW Data 25-26'!$B59:$X59)</f>
        <v>0</v>
      </c>
      <c r="J60" s="265">
        <f>sumif('Segment RAW Data 25-26'!$B$1:$X$1,$J$3,'Segment RAW Data 25-26'!$B59:$X59)</f>
        <v>0</v>
      </c>
      <c r="K60" s="265">
        <f>sumif('Segment RAW Data 25-26'!$B$1:$X$1,$K$3,'Segment RAW Data 25-26'!$B59:$X59)</f>
        <v>0</v>
      </c>
      <c r="L60" s="265">
        <f>sumif('Segment RAW Data 25-26'!$B$1:$X$1,$L$3,'Segment RAW Data 25-26'!$B59:$X59)</f>
        <v>0</v>
      </c>
      <c r="M60" s="270"/>
      <c r="N60" s="124"/>
      <c r="O60" s="124">
        <f>VLOOKUP(C60:C659,'Segment RAW Data 25-26'!A59:Y656,25,0)-VLOOKUP(C60:C659,C:D,2,0)</f>
        <v>0</v>
      </c>
    </row>
    <row r="61" hidden="1">
      <c r="A61" s="157"/>
      <c r="B61" s="157"/>
      <c r="C61" s="157" t="s">
        <v>523</v>
      </c>
      <c r="D61" s="124">
        <f t="shared" si="1"/>
        <v>0</v>
      </c>
      <c r="E61" s="265">
        <f>sumif('Segment RAW Data 25-26'!$B$1:$X$1,$E$3,'Segment RAW Data 25-26'!$B60:$X60)</f>
        <v>0</v>
      </c>
      <c r="F61" s="265">
        <f>sumif('Segment RAW Data 25-26'!$B$1:$X$1,$F$3,'Segment RAW Data 25-26'!$B60:$X60)</f>
        <v>0</v>
      </c>
      <c r="G61" s="265">
        <f>sumif('Segment RAW Data 25-26'!$B$1:$X$1,$G$3,'Segment RAW Data 25-26'!$B60:$X60)</f>
        <v>0</v>
      </c>
      <c r="H61" s="265">
        <f>sumif('Segment RAW Data 25-26'!$B$1:$X$1,$H$3,'Segment RAW Data 25-26'!$B60:$X60)</f>
        <v>0</v>
      </c>
      <c r="I61" s="265">
        <f>sumif('Segment RAW Data 25-26'!$B$1:$X$1,$I$3,'Segment RAW Data 25-26'!$B60:$X60)</f>
        <v>0</v>
      </c>
      <c r="J61" s="265">
        <f>sumif('Segment RAW Data 25-26'!$B$1:$X$1,$J$3,'Segment RAW Data 25-26'!$B60:$X60)</f>
        <v>0</v>
      </c>
      <c r="K61" s="265">
        <f>sumif('Segment RAW Data 25-26'!$B$1:$X$1,$K$3,'Segment RAW Data 25-26'!$B60:$X60)</f>
        <v>0</v>
      </c>
      <c r="L61" s="265">
        <f>sumif('Segment RAW Data 25-26'!$B$1:$X$1,$L$3,'Segment RAW Data 25-26'!$B60:$X60)</f>
        <v>0</v>
      </c>
      <c r="M61" s="270"/>
      <c r="N61" s="124"/>
      <c r="O61" s="124">
        <f>VLOOKUP(C61:C660,'Segment RAW Data 25-26'!A60:Y657,25,0)-VLOOKUP(C61:C660,C:D,2,0)</f>
        <v>0</v>
      </c>
    </row>
    <row r="62" hidden="1">
      <c r="A62" s="157" t="s">
        <v>185</v>
      </c>
      <c r="B62" s="157" t="s">
        <v>117</v>
      </c>
      <c r="C62" s="157" t="s">
        <v>524</v>
      </c>
      <c r="D62" s="124">
        <f t="shared" si="1"/>
        <v>12739177.44</v>
      </c>
      <c r="E62" s="265">
        <f>sumif('Segment RAW Data 25-26'!$B$1:$X$1,$E$3,'Segment RAW Data 25-26'!$B61:$X61)</f>
        <v>642053.74</v>
      </c>
      <c r="F62" s="265">
        <f>sumif('Segment RAW Data 25-26'!$B$1:$X$1,$F$3,'Segment RAW Data 25-26'!$B61:$X61)</f>
        <v>303148.8</v>
      </c>
      <c r="G62" s="265">
        <f>sumif('Segment RAW Data 25-26'!$B$1:$X$1,$G$3,'Segment RAW Data 25-26'!$B61:$X61)</f>
        <v>10109489.7</v>
      </c>
      <c r="H62" s="265">
        <f>sumif('Segment RAW Data 25-26'!$B$1:$X$1,$H$3,'Segment RAW Data 25-26'!$B61:$X61)</f>
        <v>1662958.2</v>
      </c>
      <c r="I62" s="265">
        <f>sumif('Segment RAW Data 25-26'!$B$1:$X$1,$I$3,'Segment RAW Data 25-26'!$B61:$X61)</f>
        <v>0</v>
      </c>
      <c r="J62" s="265">
        <f>sumif('Segment RAW Data 25-26'!$B$1:$X$1,$J$3,'Segment RAW Data 25-26'!$B61:$X61)</f>
        <v>21527</v>
      </c>
      <c r="K62" s="265">
        <f>sumif('Segment RAW Data 25-26'!$B$1:$X$1,$K$3,'Segment RAW Data 25-26'!$B61:$X61)</f>
        <v>0</v>
      </c>
      <c r="L62" s="265">
        <f>sumif('Segment RAW Data 25-26'!$B$1:$X$1,$L$3,'Segment RAW Data 25-26'!$B61:$X61)</f>
        <v>0</v>
      </c>
      <c r="M62" s="270"/>
      <c r="N62" s="124" t="s">
        <v>975</v>
      </c>
      <c r="O62" s="124">
        <f>VLOOKUP(C62:C661,'Segment RAW Data 25-26'!A61:Y658,25,0)-VLOOKUP(C62:C661,C:D,2,0)</f>
        <v>0</v>
      </c>
    </row>
    <row r="63" hidden="1">
      <c r="A63" s="157"/>
      <c r="B63" s="157"/>
      <c r="C63" s="157" t="s">
        <v>525</v>
      </c>
      <c r="D63" s="124">
        <f t="shared" si="1"/>
        <v>0</v>
      </c>
      <c r="E63" s="265">
        <f>sumif('Segment RAW Data 25-26'!$B$1:$X$1,$E$3,'Segment RAW Data 25-26'!$B62:$X62)</f>
        <v>0</v>
      </c>
      <c r="F63" s="265">
        <f>sumif('Segment RAW Data 25-26'!$B$1:$X$1,$F$3,'Segment RAW Data 25-26'!$B62:$X62)</f>
        <v>0</v>
      </c>
      <c r="G63" s="265">
        <f>sumif('Segment RAW Data 25-26'!$B$1:$X$1,$G$3,'Segment RAW Data 25-26'!$B62:$X62)</f>
        <v>0</v>
      </c>
      <c r="H63" s="265">
        <f>sumif('Segment RAW Data 25-26'!$B$1:$X$1,$H$3,'Segment RAW Data 25-26'!$B62:$X62)</f>
        <v>0</v>
      </c>
      <c r="I63" s="265">
        <f>sumif('Segment RAW Data 25-26'!$B$1:$X$1,$I$3,'Segment RAW Data 25-26'!$B62:$X62)</f>
        <v>0</v>
      </c>
      <c r="J63" s="265">
        <f>sumif('Segment RAW Data 25-26'!$B$1:$X$1,$J$3,'Segment RAW Data 25-26'!$B62:$X62)</f>
        <v>0</v>
      </c>
      <c r="K63" s="265">
        <f>sumif('Segment RAW Data 25-26'!$B$1:$X$1,$K$3,'Segment RAW Data 25-26'!$B62:$X62)</f>
        <v>0</v>
      </c>
      <c r="L63" s="265">
        <f>sumif('Segment RAW Data 25-26'!$B$1:$X$1,$L$3,'Segment RAW Data 25-26'!$B62:$X62)</f>
        <v>0</v>
      </c>
      <c r="M63" s="270"/>
      <c r="N63" s="124"/>
      <c r="O63" s="124">
        <f>VLOOKUP(C63:C662,'Segment RAW Data 25-26'!A62:Y659,25,0)-VLOOKUP(C63:C662,C:D,2,0)</f>
        <v>0</v>
      </c>
    </row>
    <row r="64" hidden="1">
      <c r="A64" s="157"/>
      <c r="B64" s="157"/>
      <c r="C64" s="157" t="s">
        <v>526</v>
      </c>
      <c r="D64" s="124">
        <f t="shared" si="1"/>
        <v>0</v>
      </c>
      <c r="E64" s="265">
        <f>sumif('Segment RAW Data 25-26'!$B$1:$X$1,$E$3,'Segment RAW Data 25-26'!$B63:$X63)</f>
        <v>0</v>
      </c>
      <c r="F64" s="265">
        <f>sumif('Segment RAW Data 25-26'!$B$1:$X$1,$F$3,'Segment RAW Data 25-26'!$B63:$X63)</f>
        <v>0</v>
      </c>
      <c r="G64" s="265">
        <f>sumif('Segment RAW Data 25-26'!$B$1:$X$1,$G$3,'Segment RAW Data 25-26'!$B63:$X63)</f>
        <v>0</v>
      </c>
      <c r="H64" s="265">
        <f>sumif('Segment RAW Data 25-26'!$B$1:$X$1,$H$3,'Segment RAW Data 25-26'!$B63:$X63)</f>
        <v>0</v>
      </c>
      <c r="I64" s="265">
        <f>sumif('Segment RAW Data 25-26'!$B$1:$X$1,$I$3,'Segment RAW Data 25-26'!$B63:$X63)</f>
        <v>0</v>
      </c>
      <c r="J64" s="265">
        <f>sumif('Segment RAW Data 25-26'!$B$1:$X$1,$J$3,'Segment RAW Data 25-26'!$B63:$X63)</f>
        <v>0</v>
      </c>
      <c r="K64" s="265">
        <f>sumif('Segment RAW Data 25-26'!$B$1:$X$1,$K$3,'Segment RAW Data 25-26'!$B63:$X63)</f>
        <v>0</v>
      </c>
      <c r="L64" s="265">
        <f>sumif('Segment RAW Data 25-26'!$B$1:$X$1,$L$3,'Segment RAW Data 25-26'!$B63:$X63)</f>
        <v>0</v>
      </c>
      <c r="M64" s="270"/>
      <c r="N64" s="124"/>
      <c r="O64" s="124">
        <f>VLOOKUP(C64:C663,'Segment RAW Data 25-26'!A63:Y660,25,0)-VLOOKUP(C64:C663,C:D,2,0)</f>
        <v>0</v>
      </c>
    </row>
    <row r="65" hidden="1">
      <c r="A65" s="157" t="s">
        <v>298</v>
      </c>
      <c r="B65" s="157" t="s">
        <v>301</v>
      </c>
      <c r="C65" s="157" t="s">
        <v>299</v>
      </c>
      <c r="D65" s="124">
        <f t="shared" si="1"/>
        <v>20796267.11</v>
      </c>
      <c r="E65" s="265">
        <f>sumif('Segment RAW Data 25-26'!$B$1:$X$1,$E$3,'Segment RAW Data 25-26'!$B64:$X64)</f>
        <v>1232990.23</v>
      </c>
      <c r="F65" s="265">
        <f>sumif('Segment RAW Data 25-26'!$B$1:$X$1,$F$3,'Segment RAW Data 25-26'!$B64:$X64)</f>
        <v>8291507.5</v>
      </c>
      <c r="G65" s="265">
        <f>sumif('Segment RAW Data 25-26'!$B$1:$X$1,$G$3,'Segment RAW Data 25-26'!$B64:$X64)</f>
        <v>7713483.43</v>
      </c>
      <c r="H65" s="265">
        <f>sumif('Segment RAW Data 25-26'!$B$1:$X$1,$H$3,'Segment RAW Data 25-26'!$B64:$X64)</f>
        <v>1738049.5</v>
      </c>
      <c r="I65" s="265">
        <f>sumif('Segment RAW Data 25-26'!$B$1:$X$1,$I$3,'Segment RAW Data 25-26'!$B64:$X64)</f>
        <v>0</v>
      </c>
      <c r="J65" s="265">
        <f>sumif('Segment RAW Data 25-26'!$B$1:$X$1,$J$3,'Segment RAW Data 25-26'!$B64:$X64)</f>
        <v>1812696.45</v>
      </c>
      <c r="K65" s="265">
        <f>sumif('Segment RAW Data 25-26'!$B$1:$X$1,$K$3,'Segment RAW Data 25-26'!$B64:$X64)</f>
        <v>0</v>
      </c>
      <c r="L65" s="265">
        <f>sumif('Segment RAW Data 25-26'!$B$1:$X$1,$L$3,'Segment RAW Data 25-26'!$B64:$X64)</f>
        <v>7540</v>
      </c>
      <c r="M65" s="270"/>
      <c r="N65" s="124" t="s">
        <v>975</v>
      </c>
      <c r="O65" s="124">
        <f>VLOOKUP(C65:C664,'Segment RAW Data 25-26'!A64:Y661,25,0)-VLOOKUP(C65:C664,C:D,2,0)</f>
        <v>0</v>
      </c>
    </row>
    <row r="66" hidden="1">
      <c r="A66" s="157"/>
      <c r="B66" s="157"/>
      <c r="C66" s="157" t="s">
        <v>527</v>
      </c>
      <c r="D66" s="124">
        <f t="shared" si="1"/>
        <v>0</v>
      </c>
      <c r="E66" s="265">
        <f>sumif('Segment RAW Data 25-26'!$B$1:$X$1,$E$3,'Segment RAW Data 25-26'!$B65:$X65)</f>
        <v>0</v>
      </c>
      <c r="F66" s="265">
        <f>sumif('Segment RAW Data 25-26'!$B$1:$X$1,$F$3,'Segment RAW Data 25-26'!$B65:$X65)</f>
        <v>0</v>
      </c>
      <c r="G66" s="265">
        <f>sumif('Segment RAW Data 25-26'!$B$1:$X$1,$G$3,'Segment RAW Data 25-26'!$B65:$X65)</f>
        <v>0</v>
      </c>
      <c r="H66" s="265">
        <f>sumif('Segment RAW Data 25-26'!$B$1:$X$1,$H$3,'Segment RAW Data 25-26'!$B65:$X65)</f>
        <v>0</v>
      </c>
      <c r="I66" s="265">
        <f>sumif('Segment RAW Data 25-26'!$B$1:$X$1,$I$3,'Segment RAW Data 25-26'!$B65:$X65)</f>
        <v>0</v>
      </c>
      <c r="J66" s="265">
        <f>sumif('Segment RAW Data 25-26'!$B$1:$X$1,$J$3,'Segment RAW Data 25-26'!$B65:$X65)</f>
        <v>0</v>
      </c>
      <c r="K66" s="265">
        <f>sumif('Segment RAW Data 25-26'!$B$1:$X$1,$K$3,'Segment RAW Data 25-26'!$B65:$X65)</f>
        <v>0</v>
      </c>
      <c r="L66" s="265">
        <f>sumif('Segment RAW Data 25-26'!$B$1:$X$1,$L$3,'Segment RAW Data 25-26'!$B65:$X65)</f>
        <v>0</v>
      </c>
      <c r="M66" s="270"/>
      <c r="N66" s="124"/>
      <c r="O66" s="124">
        <f>VLOOKUP(C66:C665,'Segment RAW Data 25-26'!A65:Y662,25,0)-VLOOKUP(C66:C665,C:D,2,0)</f>
        <v>0</v>
      </c>
    </row>
    <row r="67" hidden="1">
      <c r="A67" s="157" t="s">
        <v>322</v>
      </c>
      <c r="B67" s="157" t="s">
        <v>325</v>
      </c>
      <c r="C67" s="157" t="s">
        <v>323</v>
      </c>
      <c r="D67" s="124">
        <f t="shared" si="1"/>
        <v>10971999.79</v>
      </c>
      <c r="E67" s="265">
        <f>sumif('Segment RAW Data 25-26'!$B$1:$X$1,$E$3,'Segment RAW Data 25-26'!$B66:$X66)</f>
        <v>213442.1</v>
      </c>
      <c r="F67" s="265">
        <f>sumif('Segment RAW Data 25-26'!$B$1:$X$1,$F$3,'Segment RAW Data 25-26'!$B66:$X66)</f>
        <v>48329.6</v>
      </c>
      <c r="G67" s="265">
        <f>sumif('Segment RAW Data 25-26'!$B$1:$X$1,$G$3,'Segment RAW Data 25-26'!$B66:$X66)</f>
        <v>10683725.29</v>
      </c>
      <c r="H67" s="265">
        <f>sumif('Segment RAW Data 25-26'!$B$1:$X$1,$H$3,'Segment RAW Data 25-26'!$B66:$X66)</f>
        <v>26502.8</v>
      </c>
      <c r="I67" s="265">
        <f>sumif('Segment RAW Data 25-26'!$B$1:$X$1,$I$3,'Segment RAW Data 25-26'!$B66:$X66)</f>
        <v>0</v>
      </c>
      <c r="J67" s="265">
        <f>sumif('Segment RAW Data 25-26'!$B$1:$X$1,$J$3,'Segment RAW Data 25-26'!$B66:$X66)</f>
        <v>0</v>
      </c>
      <c r="K67" s="265">
        <f>sumif('Segment RAW Data 25-26'!$B$1:$X$1,$K$3,'Segment RAW Data 25-26'!$B66:$X66)</f>
        <v>0</v>
      </c>
      <c r="L67" s="265">
        <f>sumif('Segment RAW Data 25-26'!$B$1:$X$1,$L$3,'Segment RAW Data 25-26'!$B66:$X66)</f>
        <v>0</v>
      </c>
      <c r="M67" s="270"/>
      <c r="N67" s="124" t="s">
        <v>975</v>
      </c>
      <c r="O67" s="124">
        <f>VLOOKUP(C67:C666,'Segment RAW Data 25-26'!A66:Y663,25,0)-VLOOKUP(C67:C666,C:D,2,0)</f>
        <v>0</v>
      </c>
    </row>
    <row r="68" hidden="1">
      <c r="A68" s="157"/>
      <c r="B68" s="157"/>
      <c r="C68" s="157" t="s">
        <v>528</v>
      </c>
      <c r="D68" s="124">
        <f t="shared" si="1"/>
        <v>0</v>
      </c>
      <c r="E68" s="265">
        <f>sumif('Segment RAW Data 25-26'!$B$1:$X$1,$E$3,'Segment RAW Data 25-26'!$B67:$X67)</f>
        <v>0</v>
      </c>
      <c r="F68" s="265">
        <f>sumif('Segment RAW Data 25-26'!$B$1:$X$1,$F$3,'Segment RAW Data 25-26'!$B67:$X67)</f>
        <v>0</v>
      </c>
      <c r="G68" s="265">
        <f>sumif('Segment RAW Data 25-26'!$B$1:$X$1,$G$3,'Segment RAW Data 25-26'!$B67:$X67)</f>
        <v>0</v>
      </c>
      <c r="H68" s="265">
        <f>sumif('Segment RAW Data 25-26'!$B$1:$X$1,$H$3,'Segment RAW Data 25-26'!$B67:$X67)</f>
        <v>0</v>
      </c>
      <c r="I68" s="265">
        <f>sumif('Segment RAW Data 25-26'!$B$1:$X$1,$I$3,'Segment RAW Data 25-26'!$B67:$X67)</f>
        <v>0</v>
      </c>
      <c r="J68" s="265">
        <f>sumif('Segment RAW Data 25-26'!$B$1:$X$1,$J$3,'Segment RAW Data 25-26'!$B67:$X67)</f>
        <v>0</v>
      </c>
      <c r="K68" s="265">
        <f>sumif('Segment RAW Data 25-26'!$B$1:$X$1,$K$3,'Segment RAW Data 25-26'!$B67:$X67)</f>
        <v>0</v>
      </c>
      <c r="L68" s="265">
        <f>sumif('Segment RAW Data 25-26'!$B$1:$X$1,$L$3,'Segment RAW Data 25-26'!$B67:$X67)</f>
        <v>0</v>
      </c>
      <c r="M68" s="270"/>
      <c r="N68" s="124"/>
      <c r="O68" s="124">
        <f>VLOOKUP(C68:C667,'Segment RAW Data 25-26'!A67:Y664,25,0)-VLOOKUP(C68:C667,C:D,2,0)</f>
        <v>0</v>
      </c>
    </row>
    <row r="69" hidden="1">
      <c r="A69" s="157"/>
      <c r="B69" s="157"/>
      <c r="C69" s="157" t="s">
        <v>529</v>
      </c>
      <c r="D69" s="124">
        <f t="shared" si="1"/>
        <v>0</v>
      </c>
      <c r="E69" s="265">
        <f>sumif('Segment RAW Data 25-26'!$B$1:$X$1,$E$3,'Segment RAW Data 25-26'!$B68:$X68)</f>
        <v>0</v>
      </c>
      <c r="F69" s="265">
        <f>sumif('Segment RAW Data 25-26'!$B$1:$X$1,$F$3,'Segment RAW Data 25-26'!$B68:$X68)</f>
        <v>0</v>
      </c>
      <c r="G69" s="265">
        <f>sumif('Segment RAW Data 25-26'!$B$1:$X$1,$G$3,'Segment RAW Data 25-26'!$B68:$X68)</f>
        <v>0</v>
      </c>
      <c r="H69" s="265">
        <f>sumif('Segment RAW Data 25-26'!$B$1:$X$1,$H$3,'Segment RAW Data 25-26'!$B68:$X68)</f>
        <v>0</v>
      </c>
      <c r="I69" s="265">
        <f>sumif('Segment RAW Data 25-26'!$B$1:$X$1,$I$3,'Segment RAW Data 25-26'!$B68:$X68)</f>
        <v>0</v>
      </c>
      <c r="J69" s="265">
        <f>sumif('Segment RAW Data 25-26'!$B$1:$X$1,$J$3,'Segment RAW Data 25-26'!$B68:$X68)</f>
        <v>0</v>
      </c>
      <c r="K69" s="265">
        <f>sumif('Segment RAW Data 25-26'!$B$1:$X$1,$K$3,'Segment RAW Data 25-26'!$B68:$X68)</f>
        <v>0</v>
      </c>
      <c r="L69" s="265">
        <f>sumif('Segment RAW Data 25-26'!$B$1:$X$1,$L$3,'Segment RAW Data 25-26'!$B68:$X68)</f>
        <v>0</v>
      </c>
      <c r="M69" s="270"/>
      <c r="N69" s="124"/>
      <c r="O69" s="124">
        <f>VLOOKUP(C69:C668,'Segment RAW Data 25-26'!A68:Y665,25,0)-VLOOKUP(C69:C668,C:D,2,0)</f>
        <v>0</v>
      </c>
    </row>
    <row r="70" hidden="1">
      <c r="A70" s="157"/>
      <c r="B70" s="157"/>
      <c r="C70" s="157" t="s">
        <v>530</v>
      </c>
      <c r="D70" s="124">
        <f t="shared" si="1"/>
        <v>0</v>
      </c>
      <c r="E70" s="265">
        <f>sumif('Segment RAW Data 25-26'!$B$1:$X$1,$E$3,'Segment RAW Data 25-26'!$B69:$X69)</f>
        <v>0</v>
      </c>
      <c r="F70" s="265">
        <f>sumif('Segment RAW Data 25-26'!$B$1:$X$1,$F$3,'Segment RAW Data 25-26'!$B69:$X69)</f>
        <v>0</v>
      </c>
      <c r="G70" s="265">
        <f>sumif('Segment RAW Data 25-26'!$B$1:$X$1,$G$3,'Segment RAW Data 25-26'!$B69:$X69)</f>
        <v>0</v>
      </c>
      <c r="H70" s="265">
        <f>sumif('Segment RAW Data 25-26'!$B$1:$X$1,$H$3,'Segment RAW Data 25-26'!$B69:$X69)</f>
        <v>0</v>
      </c>
      <c r="I70" s="265">
        <f>sumif('Segment RAW Data 25-26'!$B$1:$X$1,$I$3,'Segment RAW Data 25-26'!$B69:$X69)</f>
        <v>0</v>
      </c>
      <c r="J70" s="265">
        <f>sumif('Segment RAW Data 25-26'!$B$1:$X$1,$J$3,'Segment RAW Data 25-26'!$B69:$X69)</f>
        <v>0</v>
      </c>
      <c r="K70" s="265">
        <f>sumif('Segment RAW Data 25-26'!$B$1:$X$1,$K$3,'Segment RAW Data 25-26'!$B69:$X69)</f>
        <v>0</v>
      </c>
      <c r="L70" s="265">
        <f>sumif('Segment RAW Data 25-26'!$B$1:$X$1,$L$3,'Segment RAW Data 25-26'!$B69:$X69)</f>
        <v>0</v>
      </c>
      <c r="M70" s="270"/>
      <c r="N70" s="124"/>
      <c r="O70" s="124">
        <f>VLOOKUP(C70:C669,'Segment RAW Data 25-26'!A69:Y666,25,0)-VLOOKUP(C70:C669,C:D,2,0)</f>
        <v>0</v>
      </c>
    </row>
    <row r="71" hidden="1">
      <c r="A71" s="157"/>
      <c r="B71" s="157"/>
      <c r="C71" s="157" t="s">
        <v>531</v>
      </c>
      <c r="D71" s="124">
        <f t="shared" si="1"/>
        <v>0</v>
      </c>
      <c r="E71" s="265">
        <f>sumif('Segment RAW Data 25-26'!$B$1:$X$1,$E$3,'Segment RAW Data 25-26'!$B70:$X70)</f>
        <v>0</v>
      </c>
      <c r="F71" s="265">
        <f>sumif('Segment RAW Data 25-26'!$B$1:$X$1,$F$3,'Segment RAW Data 25-26'!$B70:$X70)</f>
        <v>0</v>
      </c>
      <c r="G71" s="265">
        <f>sumif('Segment RAW Data 25-26'!$B$1:$X$1,$G$3,'Segment RAW Data 25-26'!$B70:$X70)</f>
        <v>0</v>
      </c>
      <c r="H71" s="265">
        <f>sumif('Segment RAW Data 25-26'!$B$1:$X$1,$H$3,'Segment RAW Data 25-26'!$B70:$X70)</f>
        <v>0</v>
      </c>
      <c r="I71" s="265">
        <f>sumif('Segment RAW Data 25-26'!$B$1:$X$1,$I$3,'Segment RAW Data 25-26'!$B70:$X70)</f>
        <v>0</v>
      </c>
      <c r="J71" s="265">
        <f>sumif('Segment RAW Data 25-26'!$B$1:$X$1,$J$3,'Segment RAW Data 25-26'!$B70:$X70)</f>
        <v>0</v>
      </c>
      <c r="K71" s="265">
        <f>sumif('Segment RAW Data 25-26'!$B$1:$X$1,$K$3,'Segment RAW Data 25-26'!$B70:$X70)</f>
        <v>0</v>
      </c>
      <c r="L71" s="265">
        <f>sumif('Segment RAW Data 25-26'!$B$1:$X$1,$L$3,'Segment RAW Data 25-26'!$B70:$X70)</f>
        <v>0</v>
      </c>
      <c r="M71" s="270"/>
      <c r="N71" s="124"/>
      <c r="O71" s="124">
        <f>VLOOKUP(C71:C670,'Segment RAW Data 25-26'!A70:Y667,25,0)-VLOOKUP(C71:C670,C:D,2,0)</f>
        <v>0</v>
      </c>
    </row>
    <row r="72" hidden="1">
      <c r="A72" s="157"/>
      <c r="B72" s="157"/>
      <c r="C72" s="157" t="s">
        <v>532</v>
      </c>
      <c r="D72" s="124">
        <f t="shared" si="1"/>
        <v>0</v>
      </c>
      <c r="E72" s="265">
        <f>sumif('Segment RAW Data 25-26'!$B$1:$X$1,$E$3,'Segment RAW Data 25-26'!$B71:$X71)</f>
        <v>0</v>
      </c>
      <c r="F72" s="265">
        <f>sumif('Segment RAW Data 25-26'!$B$1:$X$1,$F$3,'Segment RAW Data 25-26'!$B71:$X71)</f>
        <v>0</v>
      </c>
      <c r="G72" s="265">
        <f>sumif('Segment RAW Data 25-26'!$B$1:$X$1,$G$3,'Segment RAW Data 25-26'!$B71:$X71)</f>
        <v>0</v>
      </c>
      <c r="H72" s="265">
        <f>sumif('Segment RAW Data 25-26'!$B$1:$X$1,$H$3,'Segment RAW Data 25-26'!$B71:$X71)</f>
        <v>0</v>
      </c>
      <c r="I72" s="265">
        <f>sumif('Segment RAW Data 25-26'!$B$1:$X$1,$I$3,'Segment RAW Data 25-26'!$B71:$X71)</f>
        <v>0</v>
      </c>
      <c r="J72" s="265">
        <f>sumif('Segment RAW Data 25-26'!$B$1:$X$1,$J$3,'Segment RAW Data 25-26'!$B71:$X71)</f>
        <v>0</v>
      </c>
      <c r="K72" s="265">
        <f>sumif('Segment RAW Data 25-26'!$B$1:$X$1,$K$3,'Segment RAW Data 25-26'!$B71:$X71)</f>
        <v>0</v>
      </c>
      <c r="L72" s="265">
        <f>sumif('Segment RAW Data 25-26'!$B$1:$X$1,$L$3,'Segment RAW Data 25-26'!$B71:$X71)</f>
        <v>0</v>
      </c>
      <c r="M72" s="270"/>
      <c r="N72" s="124"/>
      <c r="O72" s="124">
        <f>VLOOKUP(C72:C671,'Segment RAW Data 25-26'!A71:Y668,25,0)-VLOOKUP(C72:C671,C:D,2,0)</f>
        <v>0</v>
      </c>
    </row>
    <row r="73" hidden="1">
      <c r="A73" s="157" t="s">
        <v>185</v>
      </c>
      <c r="B73" s="157" t="s">
        <v>189</v>
      </c>
      <c r="C73" s="157" t="s">
        <v>206</v>
      </c>
      <c r="D73" s="124">
        <f t="shared" si="1"/>
        <v>32017275.88</v>
      </c>
      <c r="E73" s="265">
        <f>sumif('Segment RAW Data 25-26'!$B$1:$X$1,$E$3,'Segment RAW Data 25-26'!$B72:$X72)</f>
        <v>13817025.13</v>
      </c>
      <c r="F73" s="265">
        <f>sumif('Segment RAW Data 25-26'!$B$1:$X$1,$F$3,'Segment RAW Data 25-26'!$B72:$X72)</f>
        <v>5319802.95</v>
      </c>
      <c r="G73" s="265">
        <f>sumif('Segment RAW Data 25-26'!$B$1:$X$1,$G$3,'Segment RAW Data 25-26'!$B72:$X72)</f>
        <v>9234049.55</v>
      </c>
      <c r="H73" s="265">
        <f>sumif('Segment RAW Data 25-26'!$B$1:$X$1,$H$3,'Segment RAW Data 25-26'!$B72:$X72)</f>
        <v>190355</v>
      </c>
      <c r="I73" s="265">
        <f>sumif('Segment RAW Data 25-26'!$B$1:$X$1,$I$3,'Segment RAW Data 25-26'!$B72:$X72)</f>
        <v>0</v>
      </c>
      <c r="J73" s="265">
        <f>sumif('Segment RAW Data 25-26'!$B$1:$X$1,$J$3,'Segment RAW Data 25-26'!$B72:$X72)</f>
        <v>460801</v>
      </c>
      <c r="K73" s="265">
        <f>sumif('Segment RAW Data 25-26'!$B$1:$X$1,$K$3,'Segment RAW Data 25-26'!$B72:$X72)</f>
        <v>29909</v>
      </c>
      <c r="L73" s="265">
        <f>sumif('Segment RAW Data 25-26'!$B$1:$X$1,$L$3,'Segment RAW Data 25-26'!$B72:$X72)</f>
        <v>2965333.25</v>
      </c>
      <c r="M73" s="270"/>
      <c r="N73" s="124" t="s">
        <v>975</v>
      </c>
      <c r="O73" s="124">
        <f>VLOOKUP(C73:C672,'Segment RAW Data 25-26'!A72:Y669,25,0)-VLOOKUP(C73:C672,C:D,2,0)</f>
        <v>-0.02000000328</v>
      </c>
    </row>
    <row r="74" hidden="1">
      <c r="A74" s="157"/>
      <c r="B74" s="157"/>
      <c r="C74" s="157" t="s">
        <v>533</v>
      </c>
      <c r="D74" s="124">
        <f t="shared" si="1"/>
        <v>0</v>
      </c>
      <c r="E74" s="265">
        <f>sumif('Segment RAW Data 25-26'!$B$1:$X$1,$E$3,'Segment RAW Data 25-26'!$B73:$X73)</f>
        <v>0</v>
      </c>
      <c r="F74" s="265">
        <f>sumif('Segment RAW Data 25-26'!$B$1:$X$1,$F$3,'Segment RAW Data 25-26'!$B73:$X73)</f>
        <v>0</v>
      </c>
      <c r="G74" s="265">
        <f>sumif('Segment RAW Data 25-26'!$B$1:$X$1,$G$3,'Segment RAW Data 25-26'!$B73:$X73)</f>
        <v>0</v>
      </c>
      <c r="H74" s="265">
        <f>sumif('Segment RAW Data 25-26'!$B$1:$X$1,$H$3,'Segment RAW Data 25-26'!$B73:$X73)</f>
        <v>0</v>
      </c>
      <c r="I74" s="265">
        <f>sumif('Segment RAW Data 25-26'!$B$1:$X$1,$I$3,'Segment RAW Data 25-26'!$B73:$X73)</f>
        <v>0</v>
      </c>
      <c r="J74" s="265">
        <f>sumif('Segment RAW Data 25-26'!$B$1:$X$1,$J$3,'Segment RAW Data 25-26'!$B73:$X73)</f>
        <v>0</v>
      </c>
      <c r="K74" s="265">
        <f>sumif('Segment RAW Data 25-26'!$B$1:$X$1,$K$3,'Segment RAW Data 25-26'!$B73:$X73)</f>
        <v>0</v>
      </c>
      <c r="L74" s="265">
        <f>sumif('Segment RAW Data 25-26'!$B$1:$X$1,$L$3,'Segment RAW Data 25-26'!$B73:$X73)</f>
        <v>0</v>
      </c>
      <c r="M74" s="270"/>
      <c r="N74" s="124"/>
      <c r="O74" s="124">
        <f>VLOOKUP(C74:C673,'Segment RAW Data 25-26'!A73:Y670,25,0)-VLOOKUP(C74:C673,C:D,2,0)</f>
        <v>0</v>
      </c>
    </row>
    <row r="75" hidden="1">
      <c r="A75" s="157"/>
      <c r="B75" s="157"/>
      <c r="C75" s="157" t="s">
        <v>534</v>
      </c>
      <c r="D75" s="124">
        <f t="shared" si="1"/>
        <v>0</v>
      </c>
      <c r="E75" s="265">
        <f>sumif('Segment RAW Data 25-26'!$B$1:$X$1,$E$3,'Segment RAW Data 25-26'!$B74:$X74)</f>
        <v>0</v>
      </c>
      <c r="F75" s="265">
        <f>sumif('Segment RAW Data 25-26'!$B$1:$X$1,$F$3,'Segment RAW Data 25-26'!$B74:$X74)</f>
        <v>0</v>
      </c>
      <c r="G75" s="265">
        <f>sumif('Segment RAW Data 25-26'!$B$1:$X$1,$G$3,'Segment RAW Data 25-26'!$B74:$X74)</f>
        <v>0</v>
      </c>
      <c r="H75" s="265">
        <f>sumif('Segment RAW Data 25-26'!$B$1:$X$1,$H$3,'Segment RAW Data 25-26'!$B74:$X74)</f>
        <v>0</v>
      </c>
      <c r="I75" s="265">
        <f>sumif('Segment RAW Data 25-26'!$B$1:$X$1,$I$3,'Segment RAW Data 25-26'!$B74:$X74)</f>
        <v>0</v>
      </c>
      <c r="J75" s="265">
        <f>sumif('Segment RAW Data 25-26'!$B$1:$X$1,$J$3,'Segment RAW Data 25-26'!$B74:$X74)</f>
        <v>0</v>
      </c>
      <c r="K75" s="265">
        <f>sumif('Segment RAW Data 25-26'!$B$1:$X$1,$K$3,'Segment RAW Data 25-26'!$B74:$X74)</f>
        <v>0</v>
      </c>
      <c r="L75" s="265">
        <f>sumif('Segment RAW Data 25-26'!$B$1:$X$1,$L$3,'Segment RAW Data 25-26'!$B74:$X74)</f>
        <v>0</v>
      </c>
      <c r="M75" s="270"/>
      <c r="N75" s="124"/>
      <c r="O75" s="124">
        <f>VLOOKUP(C75:C674,'Segment RAW Data 25-26'!A74:Y671,25,0)-VLOOKUP(C75:C674,C:D,2,0)</f>
        <v>0</v>
      </c>
    </row>
    <row r="76" hidden="1">
      <c r="A76" s="157"/>
      <c r="B76" s="157"/>
      <c r="C76" s="157" t="s">
        <v>535</v>
      </c>
      <c r="D76" s="124">
        <f t="shared" si="1"/>
        <v>0</v>
      </c>
      <c r="E76" s="265">
        <f>sumif('Segment RAW Data 25-26'!$B$1:$X$1,$E$3,'Segment RAW Data 25-26'!$B75:$X75)</f>
        <v>0</v>
      </c>
      <c r="F76" s="265">
        <f>sumif('Segment RAW Data 25-26'!$B$1:$X$1,$F$3,'Segment RAW Data 25-26'!$B75:$X75)</f>
        <v>0</v>
      </c>
      <c r="G76" s="265">
        <f>sumif('Segment RAW Data 25-26'!$B$1:$X$1,$G$3,'Segment RAW Data 25-26'!$B75:$X75)</f>
        <v>0</v>
      </c>
      <c r="H76" s="265">
        <f>sumif('Segment RAW Data 25-26'!$B$1:$X$1,$H$3,'Segment RAW Data 25-26'!$B75:$X75)</f>
        <v>0</v>
      </c>
      <c r="I76" s="265">
        <f>sumif('Segment RAW Data 25-26'!$B$1:$X$1,$I$3,'Segment RAW Data 25-26'!$B75:$X75)</f>
        <v>0</v>
      </c>
      <c r="J76" s="265">
        <f>sumif('Segment RAW Data 25-26'!$B$1:$X$1,$J$3,'Segment RAW Data 25-26'!$B75:$X75)</f>
        <v>0</v>
      </c>
      <c r="K76" s="265">
        <f>sumif('Segment RAW Data 25-26'!$B$1:$X$1,$K$3,'Segment RAW Data 25-26'!$B75:$X75)</f>
        <v>0</v>
      </c>
      <c r="L76" s="265">
        <f>sumif('Segment RAW Data 25-26'!$B$1:$X$1,$L$3,'Segment RAW Data 25-26'!$B75:$X75)</f>
        <v>0</v>
      </c>
      <c r="M76" s="270"/>
      <c r="N76" s="124"/>
      <c r="O76" s="124">
        <f>VLOOKUP(C76:C675,'Segment RAW Data 25-26'!A75:Y672,25,0)-VLOOKUP(C76:C675,C:D,2,0)</f>
        <v>0</v>
      </c>
    </row>
    <row r="77" hidden="1">
      <c r="A77" s="157"/>
      <c r="B77" s="157"/>
      <c r="C77" s="157" t="s">
        <v>536</v>
      </c>
      <c r="D77" s="124">
        <f t="shared" si="1"/>
        <v>0</v>
      </c>
      <c r="E77" s="265">
        <f>sumif('Segment RAW Data 25-26'!$B$1:$X$1,$E$3,'Segment RAW Data 25-26'!$B76:$X76)</f>
        <v>0</v>
      </c>
      <c r="F77" s="265">
        <f>sumif('Segment RAW Data 25-26'!$B$1:$X$1,$F$3,'Segment RAW Data 25-26'!$B76:$X76)</f>
        <v>0</v>
      </c>
      <c r="G77" s="265">
        <f>sumif('Segment RAW Data 25-26'!$B$1:$X$1,$G$3,'Segment RAW Data 25-26'!$B76:$X76)</f>
        <v>0</v>
      </c>
      <c r="H77" s="265">
        <f>sumif('Segment RAW Data 25-26'!$B$1:$X$1,$H$3,'Segment RAW Data 25-26'!$B76:$X76)</f>
        <v>0</v>
      </c>
      <c r="I77" s="265">
        <f>sumif('Segment RAW Data 25-26'!$B$1:$X$1,$I$3,'Segment RAW Data 25-26'!$B76:$X76)</f>
        <v>0</v>
      </c>
      <c r="J77" s="265">
        <f>sumif('Segment RAW Data 25-26'!$B$1:$X$1,$J$3,'Segment RAW Data 25-26'!$B76:$X76)</f>
        <v>0</v>
      </c>
      <c r="K77" s="265">
        <f>sumif('Segment RAW Data 25-26'!$B$1:$X$1,$K$3,'Segment RAW Data 25-26'!$B76:$X76)</f>
        <v>0</v>
      </c>
      <c r="L77" s="265">
        <f>sumif('Segment RAW Data 25-26'!$B$1:$X$1,$L$3,'Segment RAW Data 25-26'!$B76:$X76)</f>
        <v>0</v>
      </c>
      <c r="M77" s="270"/>
      <c r="N77" s="124"/>
      <c r="O77" s="124">
        <f>VLOOKUP(C77:C676,'Segment RAW Data 25-26'!A76:Y673,25,0)-VLOOKUP(C77:C676,C:D,2,0)</f>
        <v>0</v>
      </c>
    </row>
    <row r="78" hidden="1">
      <c r="A78" s="157"/>
      <c r="B78" s="157"/>
      <c r="C78" s="157" t="s">
        <v>537</v>
      </c>
      <c r="D78" s="124">
        <f t="shared" si="1"/>
        <v>0</v>
      </c>
      <c r="E78" s="265">
        <f>sumif('Segment RAW Data 25-26'!$B$1:$X$1,$E$3,'Segment RAW Data 25-26'!$B77:$X77)</f>
        <v>0</v>
      </c>
      <c r="F78" s="265">
        <f>sumif('Segment RAW Data 25-26'!$B$1:$X$1,$F$3,'Segment RAW Data 25-26'!$B77:$X77)</f>
        <v>0</v>
      </c>
      <c r="G78" s="265">
        <f>sumif('Segment RAW Data 25-26'!$B$1:$X$1,$G$3,'Segment RAW Data 25-26'!$B77:$X77)</f>
        <v>0</v>
      </c>
      <c r="H78" s="265">
        <f>sumif('Segment RAW Data 25-26'!$B$1:$X$1,$H$3,'Segment RAW Data 25-26'!$B77:$X77)</f>
        <v>0</v>
      </c>
      <c r="I78" s="265">
        <f>sumif('Segment RAW Data 25-26'!$B$1:$X$1,$I$3,'Segment RAW Data 25-26'!$B77:$X77)</f>
        <v>0</v>
      </c>
      <c r="J78" s="265">
        <f>sumif('Segment RAW Data 25-26'!$B$1:$X$1,$J$3,'Segment RAW Data 25-26'!$B77:$X77)</f>
        <v>0</v>
      </c>
      <c r="K78" s="265">
        <f>sumif('Segment RAW Data 25-26'!$B$1:$X$1,$K$3,'Segment RAW Data 25-26'!$B77:$X77)</f>
        <v>0</v>
      </c>
      <c r="L78" s="265">
        <f>sumif('Segment RAW Data 25-26'!$B$1:$X$1,$L$3,'Segment RAW Data 25-26'!$B77:$X77)</f>
        <v>0</v>
      </c>
      <c r="M78" s="270"/>
      <c r="N78" s="124"/>
      <c r="O78" s="124">
        <f>VLOOKUP(C78:C677,'Segment RAW Data 25-26'!A77:Y674,25,0)-VLOOKUP(C78:C677,C:D,2,0)</f>
        <v>0</v>
      </c>
    </row>
    <row r="79" hidden="1">
      <c r="A79" s="157"/>
      <c r="B79" s="157"/>
      <c r="C79" s="157" t="s">
        <v>538</v>
      </c>
      <c r="D79" s="124">
        <f t="shared" si="1"/>
        <v>0</v>
      </c>
      <c r="E79" s="265">
        <f>sumif('Segment RAW Data 25-26'!$B$1:$X$1,$E$3,'Segment RAW Data 25-26'!$B78:$X78)</f>
        <v>0</v>
      </c>
      <c r="F79" s="265">
        <f>sumif('Segment RAW Data 25-26'!$B$1:$X$1,$F$3,'Segment RAW Data 25-26'!$B78:$X78)</f>
        <v>0</v>
      </c>
      <c r="G79" s="265">
        <f>sumif('Segment RAW Data 25-26'!$B$1:$X$1,$G$3,'Segment RAW Data 25-26'!$B78:$X78)</f>
        <v>0</v>
      </c>
      <c r="H79" s="265">
        <f>sumif('Segment RAW Data 25-26'!$B$1:$X$1,$H$3,'Segment RAW Data 25-26'!$B78:$X78)</f>
        <v>0</v>
      </c>
      <c r="I79" s="265">
        <f>sumif('Segment RAW Data 25-26'!$B$1:$X$1,$I$3,'Segment RAW Data 25-26'!$B78:$X78)</f>
        <v>0</v>
      </c>
      <c r="J79" s="265">
        <f>sumif('Segment RAW Data 25-26'!$B$1:$X$1,$J$3,'Segment RAW Data 25-26'!$B78:$X78)</f>
        <v>0</v>
      </c>
      <c r="K79" s="265">
        <f>sumif('Segment RAW Data 25-26'!$B$1:$X$1,$K$3,'Segment RAW Data 25-26'!$B78:$X78)</f>
        <v>0</v>
      </c>
      <c r="L79" s="265">
        <f>sumif('Segment RAW Data 25-26'!$B$1:$X$1,$L$3,'Segment RAW Data 25-26'!$B78:$X78)</f>
        <v>0</v>
      </c>
      <c r="M79" s="270"/>
      <c r="N79" s="124"/>
      <c r="O79" s="124">
        <f>VLOOKUP(C79:C678,'Segment RAW Data 25-26'!A78:Y675,25,0)-VLOOKUP(C79:C678,C:D,2,0)</f>
        <v>0</v>
      </c>
    </row>
    <row r="80" hidden="1">
      <c r="A80" s="157"/>
      <c r="B80" s="157"/>
      <c r="C80" s="157" t="s">
        <v>539</v>
      </c>
      <c r="D80" s="124">
        <f t="shared" si="1"/>
        <v>0</v>
      </c>
      <c r="E80" s="265">
        <f>sumif('Segment RAW Data 25-26'!$B$1:$X$1,$E$3,'Segment RAW Data 25-26'!$B79:$X79)</f>
        <v>0</v>
      </c>
      <c r="F80" s="265">
        <f>sumif('Segment RAW Data 25-26'!$B$1:$X$1,$F$3,'Segment RAW Data 25-26'!$B79:$X79)</f>
        <v>0</v>
      </c>
      <c r="G80" s="265">
        <f>sumif('Segment RAW Data 25-26'!$B$1:$X$1,$G$3,'Segment RAW Data 25-26'!$B79:$X79)</f>
        <v>0</v>
      </c>
      <c r="H80" s="265">
        <f>sumif('Segment RAW Data 25-26'!$B$1:$X$1,$H$3,'Segment RAW Data 25-26'!$B79:$X79)</f>
        <v>0</v>
      </c>
      <c r="I80" s="265">
        <f>sumif('Segment RAW Data 25-26'!$B$1:$X$1,$I$3,'Segment RAW Data 25-26'!$B79:$X79)</f>
        <v>0</v>
      </c>
      <c r="J80" s="265">
        <f>sumif('Segment RAW Data 25-26'!$B$1:$X$1,$J$3,'Segment RAW Data 25-26'!$B79:$X79)</f>
        <v>0</v>
      </c>
      <c r="K80" s="265">
        <f>sumif('Segment RAW Data 25-26'!$B$1:$X$1,$K$3,'Segment RAW Data 25-26'!$B79:$X79)</f>
        <v>0</v>
      </c>
      <c r="L80" s="265">
        <f>sumif('Segment RAW Data 25-26'!$B$1:$X$1,$L$3,'Segment RAW Data 25-26'!$B79:$X79)</f>
        <v>0</v>
      </c>
      <c r="M80" s="270"/>
      <c r="N80" s="124"/>
      <c r="O80" s="124">
        <f>VLOOKUP(C80:C679,'Segment RAW Data 25-26'!A79:Y676,25,0)-VLOOKUP(C80:C679,C:D,2,0)</f>
        <v>0</v>
      </c>
    </row>
    <row r="81" hidden="1">
      <c r="A81" s="157" t="s">
        <v>126</v>
      </c>
      <c r="B81" s="157" t="s">
        <v>130</v>
      </c>
      <c r="C81" s="157" t="s">
        <v>128</v>
      </c>
      <c r="D81" s="124">
        <f t="shared" si="1"/>
        <v>39826983.66</v>
      </c>
      <c r="E81" s="265">
        <f>sumif('Segment RAW Data 25-26'!$B$1:$X$1,$E$3,'Segment RAW Data 25-26'!$B80:$X80)</f>
        <v>12554578.5</v>
      </c>
      <c r="F81" s="265">
        <f>sumif('Segment RAW Data 25-26'!$B$1:$X$1,$F$3,'Segment RAW Data 25-26'!$B80:$X80)</f>
        <v>11148929.52</v>
      </c>
      <c r="G81" s="265">
        <f>sumif('Segment RAW Data 25-26'!$B$1:$X$1,$G$3,'Segment RAW Data 25-26'!$B80:$X80)</f>
        <v>7978877.93</v>
      </c>
      <c r="H81" s="265">
        <f>sumif('Segment RAW Data 25-26'!$B$1:$X$1,$H$3,'Segment RAW Data 25-26'!$B80:$X80)</f>
        <v>2162485.81</v>
      </c>
      <c r="I81" s="265">
        <f>sumif('Segment RAW Data 25-26'!$B$1:$X$1,$I$3,'Segment RAW Data 25-26'!$B80:$X80)</f>
        <v>0</v>
      </c>
      <c r="J81" s="265">
        <f>sumif('Segment RAW Data 25-26'!$B$1:$X$1,$J$3,'Segment RAW Data 25-26'!$B80:$X80)</f>
        <v>2840244.4</v>
      </c>
      <c r="K81" s="265">
        <f>sumif('Segment RAW Data 25-26'!$B$1:$X$1,$K$3,'Segment RAW Data 25-26'!$B80:$X80)</f>
        <v>0</v>
      </c>
      <c r="L81" s="265">
        <f>sumif('Segment RAW Data 25-26'!$B$1:$X$1,$L$3,'Segment RAW Data 25-26'!$B80:$X80)</f>
        <v>3141867.5</v>
      </c>
      <c r="M81" s="270"/>
      <c r="N81" s="124" t="s">
        <v>975</v>
      </c>
      <c r="O81" s="124">
        <f>VLOOKUP(C81:C680,'Segment RAW Data 25-26'!A80:Y677,25,0)-VLOOKUP(C81:C680,C:D,2,0)</f>
        <v>-0.009999997914</v>
      </c>
    </row>
    <row r="82" hidden="1">
      <c r="A82" s="157" t="s">
        <v>126</v>
      </c>
      <c r="B82" s="157" t="s">
        <v>130</v>
      </c>
      <c r="C82" s="157" t="s">
        <v>164</v>
      </c>
      <c r="D82" s="124">
        <f t="shared" si="1"/>
        <v>19192719.68</v>
      </c>
      <c r="E82" s="265">
        <f>sumif('Segment RAW Data 25-26'!$B$1:$X$1,$E$3,'Segment RAW Data 25-26'!$B81:$X81)</f>
        <v>341521.5</v>
      </c>
      <c r="F82" s="265">
        <f>sumif('Segment RAW Data 25-26'!$B$1:$X$1,$F$3,'Segment RAW Data 25-26'!$B81:$X81)</f>
        <v>4218489.4</v>
      </c>
      <c r="G82" s="265">
        <f>sumif('Segment RAW Data 25-26'!$B$1:$X$1,$G$3,'Segment RAW Data 25-26'!$B81:$X81)</f>
        <v>8884835.93</v>
      </c>
      <c r="H82" s="265">
        <f>sumif('Segment RAW Data 25-26'!$B$1:$X$1,$H$3,'Segment RAW Data 25-26'!$B81:$X81)</f>
        <v>690639.3</v>
      </c>
      <c r="I82" s="265">
        <f>sumif('Segment RAW Data 25-26'!$B$1:$X$1,$I$3,'Segment RAW Data 25-26'!$B81:$X81)</f>
        <v>0</v>
      </c>
      <c r="J82" s="265">
        <f>sumif('Segment RAW Data 25-26'!$B$1:$X$1,$J$3,'Segment RAW Data 25-26'!$B81:$X81)</f>
        <v>4908536.05</v>
      </c>
      <c r="K82" s="265">
        <f>sumif('Segment RAW Data 25-26'!$B$1:$X$1,$K$3,'Segment RAW Data 25-26'!$B81:$X81)</f>
        <v>0</v>
      </c>
      <c r="L82" s="265">
        <f>sumif('Segment RAW Data 25-26'!$B$1:$X$1,$L$3,'Segment RAW Data 25-26'!$B81:$X81)</f>
        <v>148697.5</v>
      </c>
      <c r="M82" s="270"/>
      <c r="N82" s="124" t="s">
        <v>975</v>
      </c>
      <c r="O82" s="124">
        <f>VLOOKUP(C82:C681,'Segment RAW Data 25-26'!A81:Y678,25,0)-VLOOKUP(C82:C681,C:D,2,0)</f>
        <v>0</v>
      </c>
    </row>
    <row r="83" hidden="1">
      <c r="A83" s="157"/>
      <c r="B83" s="157"/>
      <c r="C83" s="157" t="s">
        <v>540</v>
      </c>
      <c r="D83" s="124">
        <f t="shared" si="1"/>
        <v>0</v>
      </c>
      <c r="E83" s="265">
        <f>sumif('Segment RAW Data 25-26'!$B$1:$X$1,$E$3,'Segment RAW Data 25-26'!$B82:$X82)</f>
        <v>0</v>
      </c>
      <c r="F83" s="265">
        <f>sumif('Segment RAW Data 25-26'!$B$1:$X$1,$F$3,'Segment RAW Data 25-26'!$B82:$X82)</f>
        <v>0</v>
      </c>
      <c r="G83" s="265">
        <f>sumif('Segment RAW Data 25-26'!$B$1:$X$1,$G$3,'Segment RAW Data 25-26'!$B82:$X82)</f>
        <v>0</v>
      </c>
      <c r="H83" s="265">
        <f>sumif('Segment RAW Data 25-26'!$B$1:$X$1,$H$3,'Segment RAW Data 25-26'!$B82:$X82)</f>
        <v>0</v>
      </c>
      <c r="I83" s="265">
        <f>sumif('Segment RAW Data 25-26'!$B$1:$X$1,$I$3,'Segment RAW Data 25-26'!$B82:$X82)</f>
        <v>0</v>
      </c>
      <c r="J83" s="265">
        <f>sumif('Segment RAW Data 25-26'!$B$1:$X$1,$J$3,'Segment RAW Data 25-26'!$B82:$X82)</f>
        <v>0</v>
      </c>
      <c r="K83" s="265">
        <f>sumif('Segment RAW Data 25-26'!$B$1:$X$1,$K$3,'Segment RAW Data 25-26'!$B82:$X82)</f>
        <v>0</v>
      </c>
      <c r="L83" s="265">
        <f>sumif('Segment RAW Data 25-26'!$B$1:$X$1,$L$3,'Segment RAW Data 25-26'!$B82:$X82)</f>
        <v>0</v>
      </c>
      <c r="M83" s="270"/>
      <c r="N83" s="124"/>
      <c r="O83" s="124">
        <f>VLOOKUP(C83:C682,'Segment RAW Data 25-26'!A82:Y679,25,0)-VLOOKUP(C83:C682,C:D,2,0)</f>
        <v>0</v>
      </c>
    </row>
    <row r="84" hidden="1">
      <c r="A84" s="157" t="s">
        <v>126</v>
      </c>
      <c r="B84" s="157" t="s">
        <v>130</v>
      </c>
      <c r="C84" s="157" t="s">
        <v>131</v>
      </c>
      <c r="D84" s="124">
        <f t="shared" si="1"/>
        <v>20294789.37</v>
      </c>
      <c r="E84" s="265">
        <f>sumif('Segment RAW Data 25-26'!$B$1:$X$1,$E$3,'Segment RAW Data 25-26'!$B83:$X83)</f>
        <v>13759586.67</v>
      </c>
      <c r="F84" s="265">
        <f>sumif('Segment RAW Data 25-26'!$B$1:$X$1,$F$3,'Segment RAW Data 25-26'!$B83:$X83)</f>
        <v>1448947.6</v>
      </c>
      <c r="G84" s="265">
        <f>sumif('Segment RAW Data 25-26'!$B$1:$X$1,$G$3,'Segment RAW Data 25-26'!$B83:$X83)</f>
        <v>477923.2</v>
      </c>
      <c r="H84" s="265">
        <f>sumif('Segment RAW Data 25-26'!$B$1:$X$1,$H$3,'Segment RAW Data 25-26'!$B83:$X83)</f>
        <v>135744.8</v>
      </c>
      <c r="I84" s="265">
        <f>sumif('Segment RAW Data 25-26'!$B$1:$X$1,$I$3,'Segment RAW Data 25-26'!$B83:$X83)</f>
        <v>0</v>
      </c>
      <c r="J84" s="265">
        <f>sumif('Segment RAW Data 25-26'!$B$1:$X$1,$J$3,'Segment RAW Data 25-26'!$B83:$X83)</f>
        <v>1779662.1</v>
      </c>
      <c r="K84" s="265">
        <f>sumif('Segment RAW Data 25-26'!$B$1:$X$1,$K$3,'Segment RAW Data 25-26'!$B83:$X83)</f>
        <v>0</v>
      </c>
      <c r="L84" s="265">
        <f>sumif('Segment RAW Data 25-26'!$B$1:$X$1,$L$3,'Segment RAW Data 25-26'!$B83:$X83)</f>
        <v>2692925</v>
      </c>
      <c r="M84" s="270"/>
      <c r="N84" s="124" t="s">
        <v>975</v>
      </c>
      <c r="O84" s="124">
        <f>VLOOKUP(C84:C683,'Segment RAW Data 25-26'!A83:Y680,25,0)-VLOOKUP(C84:C683,C:D,2,0)</f>
        <v>0.01000000164</v>
      </c>
    </row>
    <row r="85" hidden="1">
      <c r="A85" s="157" t="s">
        <v>126</v>
      </c>
      <c r="B85" s="157" t="s">
        <v>135</v>
      </c>
      <c r="C85" s="157" t="s">
        <v>133</v>
      </c>
      <c r="D85" s="124">
        <f t="shared" si="1"/>
        <v>23497642.86</v>
      </c>
      <c r="E85" s="265">
        <f>sumif('Segment RAW Data 25-26'!$B$1:$X$1,$E$3,'Segment RAW Data 25-26'!$B84:$X84)</f>
        <v>11195497.73</v>
      </c>
      <c r="F85" s="265">
        <f>sumif('Segment RAW Data 25-26'!$B$1:$X$1,$F$3,'Segment RAW Data 25-26'!$B84:$X84)</f>
        <v>7103103.58</v>
      </c>
      <c r="G85" s="265">
        <f>sumif('Segment RAW Data 25-26'!$B$1:$X$1,$G$3,'Segment RAW Data 25-26'!$B84:$X84)</f>
        <v>4374025.75</v>
      </c>
      <c r="H85" s="265">
        <f>sumif('Segment RAW Data 25-26'!$B$1:$X$1,$H$3,'Segment RAW Data 25-26'!$B84:$X84)</f>
        <v>260896.8</v>
      </c>
      <c r="I85" s="265">
        <f>sumif('Segment RAW Data 25-26'!$B$1:$X$1,$I$3,'Segment RAW Data 25-26'!$B84:$X84)</f>
        <v>0</v>
      </c>
      <c r="J85" s="265">
        <f>sumif('Segment RAW Data 25-26'!$B$1:$X$1,$J$3,'Segment RAW Data 25-26'!$B84:$X84)</f>
        <v>393236.5</v>
      </c>
      <c r="K85" s="265">
        <f>sumif('Segment RAW Data 25-26'!$B$1:$X$1,$K$3,'Segment RAW Data 25-26'!$B84:$X84)</f>
        <v>0</v>
      </c>
      <c r="L85" s="265">
        <f>sumif('Segment RAW Data 25-26'!$B$1:$X$1,$L$3,'Segment RAW Data 25-26'!$B84:$X84)</f>
        <v>170882.5</v>
      </c>
      <c r="M85" s="270"/>
      <c r="N85" s="124" t="s">
        <v>975</v>
      </c>
      <c r="O85" s="124">
        <f>VLOOKUP(C85:C684,'Segment RAW Data 25-26'!A84:Y681,25,0)-VLOOKUP(C85:C684,C:D,2,0)</f>
        <v>-0.000000003725290298</v>
      </c>
    </row>
    <row r="86" hidden="1">
      <c r="A86" s="157"/>
      <c r="B86" s="157"/>
      <c r="C86" s="157" t="s">
        <v>541</v>
      </c>
      <c r="D86" s="124">
        <f t="shared" si="1"/>
        <v>0</v>
      </c>
      <c r="E86" s="265">
        <f>sumif('Segment RAW Data 25-26'!$B$1:$X$1,$E$3,'Segment RAW Data 25-26'!$B85:$X85)</f>
        <v>0</v>
      </c>
      <c r="F86" s="265">
        <f>sumif('Segment RAW Data 25-26'!$B$1:$X$1,$F$3,'Segment RAW Data 25-26'!$B85:$X85)</f>
        <v>0</v>
      </c>
      <c r="G86" s="265">
        <f>sumif('Segment RAW Data 25-26'!$B$1:$X$1,$G$3,'Segment RAW Data 25-26'!$B85:$X85)</f>
        <v>0</v>
      </c>
      <c r="H86" s="265">
        <f>sumif('Segment RAW Data 25-26'!$B$1:$X$1,$H$3,'Segment RAW Data 25-26'!$B85:$X85)</f>
        <v>0</v>
      </c>
      <c r="I86" s="265">
        <f>sumif('Segment RAW Data 25-26'!$B$1:$X$1,$I$3,'Segment RAW Data 25-26'!$B85:$X85)</f>
        <v>0</v>
      </c>
      <c r="J86" s="265">
        <f>sumif('Segment RAW Data 25-26'!$B$1:$X$1,$J$3,'Segment RAW Data 25-26'!$B85:$X85)</f>
        <v>0</v>
      </c>
      <c r="K86" s="265">
        <f>sumif('Segment RAW Data 25-26'!$B$1:$X$1,$K$3,'Segment RAW Data 25-26'!$B85:$X85)</f>
        <v>0</v>
      </c>
      <c r="L86" s="265">
        <f>sumif('Segment RAW Data 25-26'!$B$1:$X$1,$L$3,'Segment RAW Data 25-26'!$B85:$X85)</f>
        <v>0</v>
      </c>
      <c r="M86" s="270"/>
      <c r="N86" s="124"/>
      <c r="O86" s="124">
        <f>VLOOKUP(C86:C685,'Segment RAW Data 25-26'!A85:Y682,25,0)-VLOOKUP(C86:C685,C:D,2,0)</f>
        <v>0</v>
      </c>
    </row>
    <row r="87" hidden="1">
      <c r="A87" s="157"/>
      <c r="B87" s="157"/>
      <c r="C87" s="157" t="s">
        <v>542</v>
      </c>
      <c r="D87" s="124">
        <f t="shared" si="1"/>
        <v>0</v>
      </c>
      <c r="E87" s="265">
        <f>sumif('Segment RAW Data 25-26'!$B$1:$X$1,$E$3,'Segment RAW Data 25-26'!$B86:$X86)</f>
        <v>0</v>
      </c>
      <c r="F87" s="265">
        <f>sumif('Segment RAW Data 25-26'!$B$1:$X$1,$F$3,'Segment RAW Data 25-26'!$B86:$X86)</f>
        <v>0</v>
      </c>
      <c r="G87" s="265">
        <f>sumif('Segment RAW Data 25-26'!$B$1:$X$1,$G$3,'Segment RAW Data 25-26'!$B86:$X86)</f>
        <v>0</v>
      </c>
      <c r="H87" s="265">
        <f>sumif('Segment RAW Data 25-26'!$B$1:$X$1,$H$3,'Segment RAW Data 25-26'!$B86:$X86)</f>
        <v>0</v>
      </c>
      <c r="I87" s="265">
        <f>sumif('Segment RAW Data 25-26'!$B$1:$X$1,$I$3,'Segment RAW Data 25-26'!$B86:$X86)</f>
        <v>0</v>
      </c>
      <c r="J87" s="265">
        <f>sumif('Segment RAW Data 25-26'!$B$1:$X$1,$J$3,'Segment RAW Data 25-26'!$B86:$X86)</f>
        <v>0</v>
      </c>
      <c r="K87" s="265">
        <f>sumif('Segment RAW Data 25-26'!$B$1:$X$1,$K$3,'Segment RAW Data 25-26'!$B86:$X86)</f>
        <v>0</v>
      </c>
      <c r="L87" s="265">
        <f>sumif('Segment RAW Data 25-26'!$B$1:$X$1,$L$3,'Segment RAW Data 25-26'!$B86:$X86)</f>
        <v>0</v>
      </c>
      <c r="M87" s="270"/>
      <c r="N87" s="124"/>
      <c r="O87" s="124">
        <f>VLOOKUP(C87:C686,'Segment RAW Data 25-26'!A86:Y683,25,0)-VLOOKUP(C87:C686,C:D,2,0)</f>
        <v>0</v>
      </c>
    </row>
    <row r="88" hidden="1">
      <c r="A88" s="157"/>
      <c r="B88" s="157"/>
      <c r="C88" s="157" t="s">
        <v>543</v>
      </c>
      <c r="D88" s="124">
        <f t="shared" si="1"/>
        <v>0</v>
      </c>
      <c r="E88" s="265">
        <f>sumif('Segment RAW Data 25-26'!$B$1:$X$1,$E$3,'Segment RAW Data 25-26'!$B87:$X87)</f>
        <v>0</v>
      </c>
      <c r="F88" s="265">
        <f>sumif('Segment RAW Data 25-26'!$B$1:$X$1,$F$3,'Segment RAW Data 25-26'!$B87:$X87)</f>
        <v>0</v>
      </c>
      <c r="G88" s="265">
        <f>sumif('Segment RAW Data 25-26'!$B$1:$X$1,$G$3,'Segment RAW Data 25-26'!$B87:$X87)</f>
        <v>0</v>
      </c>
      <c r="H88" s="265">
        <f>sumif('Segment RAW Data 25-26'!$B$1:$X$1,$H$3,'Segment RAW Data 25-26'!$B87:$X87)</f>
        <v>0</v>
      </c>
      <c r="I88" s="265">
        <f>sumif('Segment RAW Data 25-26'!$B$1:$X$1,$I$3,'Segment RAW Data 25-26'!$B87:$X87)</f>
        <v>0</v>
      </c>
      <c r="J88" s="265">
        <f>sumif('Segment RAW Data 25-26'!$B$1:$X$1,$J$3,'Segment RAW Data 25-26'!$B87:$X87)</f>
        <v>0</v>
      </c>
      <c r="K88" s="265">
        <f>sumif('Segment RAW Data 25-26'!$B$1:$X$1,$K$3,'Segment RAW Data 25-26'!$B87:$X87)</f>
        <v>0</v>
      </c>
      <c r="L88" s="265">
        <f>sumif('Segment RAW Data 25-26'!$B$1:$X$1,$L$3,'Segment RAW Data 25-26'!$B87:$X87)</f>
        <v>0</v>
      </c>
      <c r="M88" s="270"/>
      <c r="N88" s="124"/>
      <c r="O88" s="124">
        <f>VLOOKUP(C88:C687,'Segment RAW Data 25-26'!A87:Y684,25,0)-VLOOKUP(C88:C687,C:D,2,0)</f>
        <v>0</v>
      </c>
    </row>
    <row r="89" hidden="1">
      <c r="A89" s="157" t="s">
        <v>126</v>
      </c>
      <c r="B89" s="157" t="s">
        <v>135</v>
      </c>
      <c r="C89" s="157" t="s">
        <v>136</v>
      </c>
      <c r="D89" s="124">
        <f t="shared" si="1"/>
        <v>47014464.56</v>
      </c>
      <c r="E89" s="265">
        <f>sumif('Segment RAW Data 25-26'!$B$1:$X$1,$E$3,'Segment RAW Data 25-26'!$B88:$X88)</f>
        <v>18959308.31</v>
      </c>
      <c r="F89" s="265">
        <f>sumif('Segment RAW Data 25-26'!$B$1:$X$1,$F$3,'Segment RAW Data 25-26'!$B88:$X88)</f>
        <v>10281264.41</v>
      </c>
      <c r="G89" s="265">
        <f>sumif('Segment RAW Data 25-26'!$B$1:$X$1,$G$3,'Segment RAW Data 25-26'!$B88:$X88)</f>
        <v>12653383.64</v>
      </c>
      <c r="H89" s="265">
        <f>sumif('Segment RAW Data 25-26'!$B$1:$X$1,$H$3,'Segment RAW Data 25-26'!$B88:$X88)</f>
        <v>1651035.8</v>
      </c>
      <c r="I89" s="265">
        <f>sumif('Segment RAW Data 25-26'!$B$1:$X$1,$I$3,'Segment RAW Data 25-26'!$B88:$X88)</f>
        <v>0</v>
      </c>
      <c r="J89" s="265">
        <f>sumif('Segment RAW Data 25-26'!$B$1:$X$1,$J$3,'Segment RAW Data 25-26'!$B88:$X88)</f>
        <v>2738147.4</v>
      </c>
      <c r="K89" s="265">
        <f>sumif('Segment RAW Data 25-26'!$B$1:$X$1,$K$3,'Segment RAW Data 25-26'!$B88:$X88)</f>
        <v>0</v>
      </c>
      <c r="L89" s="265">
        <f>sumif('Segment RAW Data 25-26'!$B$1:$X$1,$L$3,'Segment RAW Data 25-26'!$B88:$X88)</f>
        <v>731325</v>
      </c>
      <c r="M89" s="270"/>
      <c r="N89" s="124" t="s">
        <v>975</v>
      </c>
      <c r="O89" s="124">
        <f>VLOOKUP(C89:C688,'Segment RAW Data 25-26'!A88:Y685,25,0)-VLOOKUP(C89:C688,C:D,2,0)</f>
        <v>0.02000000328</v>
      </c>
    </row>
    <row r="90" hidden="1">
      <c r="A90" s="157"/>
      <c r="B90" s="157"/>
      <c r="C90" s="157" t="s">
        <v>544</v>
      </c>
      <c r="D90" s="124">
        <f t="shared" si="1"/>
        <v>0</v>
      </c>
      <c r="E90" s="265">
        <f>sumif('Segment RAW Data 25-26'!$B$1:$X$1,$E$3,'Segment RAW Data 25-26'!$B89:$X89)</f>
        <v>0</v>
      </c>
      <c r="F90" s="265">
        <f>sumif('Segment RAW Data 25-26'!$B$1:$X$1,$F$3,'Segment RAW Data 25-26'!$B89:$X89)</f>
        <v>0</v>
      </c>
      <c r="G90" s="265">
        <f>sumif('Segment RAW Data 25-26'!$B$1:$X$1,$G$3,'Segment RAW Data 25-26'!$B89:$X89)</f>
        <v>0</v>
      </c>
      <c r="H90" s="265">
        <f>sumif('Segment RAW Data 25-26'!$B$1:$X$1,$H$3,'Segment RAW Data 25-26'!$B89:$X89)</f>
        <v>0</v>
      </c>
      <c r="I90" s="265">
        <f>sumif('Segment RAW Data 25-26'!$B$1:$X$1,$I$3,'Segment RAW Data 25-26'!$B89:$X89)</f>
        <v>0</v>
      </c>
      <c r="J90" s="265">
        <f>sumif('Segment RAW Data 25-26'!$B$1:$X$1,$J$3,'Segment RAW Data 25-26'!$B89:$X89)</f>
        <v>0</v>
      </c>
      <c r="K90" s="265">
        <f>sumif('Segment RAW Data 25-26'!$B$1:$X$1,$K$3,'Segment RAW Data 25-26'!$B89:$X89)</f>
        <v>0</v>
      </c>
      <c r="L90" s="265">
        <f>sumif('Segment RAW Data 25-26'!$B$1:$X$1,$L$3,'Segment RAW Data 25-26'!$B89:$X89)</f>
        <v>0</v>
      </c>
      <c r="M90" s="270"/>
      <c r="N90" s="124"/>
      <c r="O90" s="124">
        <f>VLOOKUP(C90:C689,'Segment RAW Data 25-26'!A89:Y686,25,0)-VLOOKUP(C90:C689,C:D,2,0)</f>
        <v>0</v>
      </c>
    </row>
    <row r="91" hidden="1">
      <c r="A91" s="157"/>
      <c r="B91" s="157"/>
      <c r="C91" s="157" t="s">
        <v>545</v>
      </c>
      <c r="D91" s="124">
        <f t="shared" si="1"/>
        <v>0</v>
      </c>
      <c r="E91" s="265">
        <f>sumif('Segment RAW Data 25-26'!$B$1:$X$1,$E$3,'Segment RAW Data 25-26'!$B90:$X90)</f>
        <v>0</v>
      </c>
      <c r="F91" s="265">
        <f>sumif('Segment RAW Data 25-26'!$B$1:$X$1,$F$3,'Segment RAW Data 25-26'!$B90:$X90)</f>
        <v>0</v>
      </c>
      <c r="G91" s="265">
        <f>sumif('Segment RAW Data 25-26'!$B$1:$X$1,$G$3,'Segment RAW Data 25-26'!$B90:$X90)</f>
        <v>0</v>
      </c>
      <c r="H91" s="265">
        <f>sumif('Segment RAW Data 25-26'!$B$1:$X$1,$H$3,'Segment RAW Data 25-26'!$B90:$X90)</f>
        <v>0</v>
      </c>
      <c r="I91" s="265">
        <f>sumif('Segment RAW Data 25-26'!$B$1:$X$1,$I$3,'Segment RAW Data 25-26'!$B90:$X90)</f>
        <v>0</v>
      </c>
      <c r="J91" s="265">
        <f>sumif('Segment RAW Data 25-26'!$B$1:$X$1,$J$3,'Segment RAW Data 25-26'!$B90:$X90)</f>
        <v>0</v>
      </c>
      <c r="K91" s="265">
        <f>sumif('Segment RAW Data 25-26'!$B$1:$X$1,$K$3,'Segment RAW Data 25-26'!$B90:$X90)</f>
        <v>0</v>
      </c>
      <c r="L91" s="265">
        <f>sumif('Segment RAW Data 25-26'!$B$1:$X$1,$L$3,'Segment RAW Data 25-26'!$B90:$X90)</f>
        <v>0</v>
      </c>
      <c r="M91" s="270"/>
      <c r="N91" s="124"/>
      <c r="O91" s="124">
        <f>VLOOKUP(C91:C690,'Segment RAW Data 25-26'!A90:Y687,25,0)-VLOOKUP(C91:C690,C:D,2,0)</f>
        <v>0</v>
      </c>
    </row>
    <row r="92" hidden="1">
      <c r="A92" s="157"/>
      <c r="B92" s="157"/>
      <c r="C92" s="157" t="s">
        <v>546</v>
      </c>
      <c r="D92" s="124">
        <f t="shared" si="1"/>
        <v>0</v>
      </c>
      <c r="E92" s="265">
        <f>sumif('Segment RAW Data 25-26'!$B$1:$X$1,$E$3,'Segment RAW Data 25-26'!$B91:$X91)</f>
        <v>0</v>
      </c>
      <c r="F92" s="265">
        <f>sumif('Segment RAW Data 25-26'!$B$1:$X$1,$F$3,'Segment RAW Data 25-26'!$B91:$X91)</f>
        <v>0</v>
      </c>
      <c r="G92" s="265">
        <f>sumif('Segment RAW Data 25-26'!$B$1:$X$1,$G$3,'Segment RAW Data 25-26'!$B91:$X91)</f>
        <v>0</v>
      </c>
      <c r="H92" s="265">
        <f>sumif('Segment RAW Data 25-26'!$B$1:$X$1,$H$3,'Segment RAW Data 25-26'!$B91:$X91)</f>
        <v>0</v>
      </c>
      <c r="I92" s="265">
        <f>sumif('Segment RAW Data 25-26'!$B$1:$X$1,$I$3,'Segment RAW Data 25-26'!$B91:$X91)</f>
        <v>0</v>
      </c>
      <c r="J92" s="265">
        <f>sumif('Segment RAW Data 25-26'!$B$1:$X$1,$J$3,'Segment RAW Data 25-26'!$B91:$X91)</f>
        <v>0</v>
      </c>
      <c r="K92" s="265">
        <f>sumif('Segment RAW Data 25-26'!$B$1:$X$1,$K$3,'Segment RAW Data 25-26'!$B91:$X91)</f>
        <v>0</v>
      </c>
      <c r="L92" s="265">
        <f>sumif('Segment RAW Data 25-26'!$B$1:$X$1,$L$3,'Segment RAW Data 25-26'!$B91:$X91)</f>
        <v>0</v>
      </c>
      <c r="M92" s="270"/>
      <c r="N92" s="124"/>
      <c r="O92" s="124">
        <f>VLOOKUP(C92:C691,'Segment RAW Data 25-26'!A91:Y688,25,0)-VLOOKUP(C92:C691,C:D,2,0)</f>
        <v>0</v>
      </c>
    </row>
    <row r="93" hidden="1">
      <c r="A93" s="157"/>
      <c r="B93" s="157"/>
      <c r="C93" s="157" t="s">
        <v>547</v>
      </c>
      <c r="D93" s="124">
        <f t="shared" si="1"/>
        <v>0</v>
      </c>
      <c r="E93" s="265">
        <f>sumif('Segment RAW Data 25-26'!$B$1:$X$1,$E$3,'Segment RAW Data 25-26'!$B92:$X92)</f>
        <v>0</v>
      </c>
      <c r="F93" s="265">
        <f>sumif('Segment RAW Data 25-26'!$B$1:$X$1,$F$3,'Segment RAW Data 25-26'!$B92:$X92)</f>
        <v>0</v>
      </c>
      <c r="G93" s="265">
        <f>sumif('Segment RAW Data 25-26'!$B$1:$X$1,$G$3,'Segment RAW Data 25-26'!$B92:$X92)</f>
        <v>0</v>
      </c>
      <c r="H93" s="265">
        <f>sumif('Segment RAW Data 25-26'!$B$1:$X$1,$H$3,'Segment RAW Data 25-26'!$B92:$X92)</f>
        <v>0</v>
      </c>
      <c r="I93" s="265">
        <f>sumif('Segment RAW Data 25-26'!$B$1:$X$1,$I$3,'Segment RAW Data 25-26'!$B92:$X92)</f>
        <v>0</v>
      </c>
      <c r="J93" s="265">
        <f>sumif('Segment RAW Data 25-26'!$B$1:$X$1,$J$3,'Segment RAW Data 25-26'!$B92:$X92)</f>
        <v>0</v>
      </c>
      <c r="K93" s="265">
        <f>sumif('Segment RAW Data 25-26'!$B$1:$X$1,$K$3,'Segment RAW Data 25-26'!$B92:$X92)</f>
        <v>0</v>
      </c>
      <c r="L93" s="265">
        <f>sumif('Segment RAW Data 25-26'!$B$1:$X$1,$L$3,'Segment RAW Data 25-26'!$B92:$X92)</f>
        <v>0</v>
      </c>
      <c r="M93" s="270"/>
      <c r="N93" s="124"/>
      <c r="O93" s="124">
        <f>VLOOKUP(C93:C692,'Segment RAW Data 25-26'!A92:Y689,25,0)-VLOOKUP(C93:C692,C:D,2,0)</f>
        <v>0</v>
      </c>
    </row>
    <row r="94" hidden="1">
      <c r="A94" s="157"/>
      <c r="B94" s="157"/>
      <c r="C94" s="157" t="s">
        <v>548</v>
      </c>
      <c r="D94" s="124">
        <f t="shared" si="1"/>
        <v>0</v>
      </c>
      <c r="E94" s="265">
        <f>sumif('Segment RAW Data 25-26'!$B$1:$X$1,$E$3,'Segment RAW Data 25-26'!$B93:$X93)</f>
        <v>0</v>
      </c>
      <c r="F94" s="265">
        <f>sumif('Segment RAW Data 25-26'!$B$1:$X$1,$F$3,'Segment RAW Data 25-26'!$B93:$X93)</f>
        <v>0</v>
      </c>
      <c r="G94" s="265">
        <f>sumif('Segment RAW Data 25-26'!$B$1:$X$1,$G$3,'Segment RAW Data 25-26'!$B93:$X93)</f>
        <v>0</v>
      </c>
      <c r="H94" s="265">
        <f>sumif('Segment RAW Data 25-26'!$B$1:$X$1,$H$3,'Segment RAW Data 25-26'!$B93:$X93)</f>
        <v>0</v>
      </c>
      <c r="I94" s="265">
        <f>sumif('Segment RAW Data 25-26'!$B$1:$X$1,$I$3,'Segment RAW Data 25-26'!$B93:$X93)</f>
        <v>0</v>
      </c>
      <c r="J94" s="265">
        <f>sumif('Segment RAW Data 25-26'!$B$1:$X$1,$J$3,'Segment RAW Data 25-26'!$B93:$X93)</f>
        <v>0</v>
      </c>
      <c r="K94" s="265">
        <f>sumif('Segment RAW Data 25-26'!$B$1:$X$1,$K$3,'Segment RAW Data 25-26'!$B93:$X93)</f>
        <v>0</v>
      </c>
      <c r="L94" s="265">
        <f>sumif('Segment RAW Data 25-26'!$B$1:$X$1,$L$3,'Segment RAW Data 25-26'!$B93:$X93)</f>
        <v>0</v>
      </c>
      <c r="M94" s="270"/>
      <c r="N94" s="124"/>
      <c r="O94" s="124">
        <f>VLOOKUP(C94:C693,'Segment RAW Data 25-26'!A93:Y690,25,0)-VLOOKUP(C94:C693,C:D,2,0)</f>
        <v>0</v>
      </c>
    </row>
    <row r="95" hidden="1">
      <c r="A95" s="157"/>
      <c r="B95" s="157"/>
      <c r="C95" s="157" t="s">
        <v>549</v>
      </c>
      <c r="D95" s="124">
        <f t="shared" si="1"/>
        <v>0</v>
      </c>
      <c r="E95" s="265">
        <f>sumif('Segment RAW Data 25-26'!$B$1:$X$1,$E$3,'Segment RAW Data 25-26'!$B94:$X94)</f>
        <v>0</v>
      </c>
      <c r="F95" s="265">
        <f>sumif('Segment RAW Data 25-26'!$B$1:$X$1,$F$3,'Segment RAW Data 25-26'!$B94:$X94)</f>
        <v>0</v>
      </c>
      <c r="G95" s="265">
        <f>sumif('Segment RAW Data 25-26'!$B$1:$X$1,$G$3,'Segment RAW Data 25-26'!$B94:$X94)</f>
        <v>0</v>
      </c>
      <c r="H95" s="265">
        <f>sumif('Segment RAW Data 25-26'!$B$1:$X$1,$H$3,'Segment RAW Data 25-26'!$B94:$X94)</f>
        <v>0</v>
      </c>
      <c r="I95" s="265">
        <f>sumif('Segment RAW Data 25-26'!$B$1:$X$1,$I$3,'Segment RAW Data 25-26'!$B94:$X94)</f>
        <v>0</v>
      </c>
      <c r="J95" s="265">
        <f>sumif('Segment RAW Data 25-26'!$B$1:$X$1,$J$3,'Segment RAW Data 25-26'!$B94:$X94)</f>
        <v>0</v>
      </c>
      <c r="K95" s="265">
        <f>sumif('Segment RAW Data 25-26'!$B$1:$X$1,$K$3,'Segment RAW Data 25-26'!$B94:$X94)</f>
        <v>0</v>
      </c>
      <c r="L95" s="265">
        <f>sumif('Segment RAW Data 25-26'!$B$1:$X$1,$L$3,'Segment RAW Data 25-26'!$B94:$X94)</f>
        <v>0</v>
      </c>
      <c r="M95" s="270"/>
      <c r="N95" s="124"/>
      <c r="O95" s="124">
        <f>VLOOKUP(C95:C694,'Segment RAW Data 25-26'!A94:Y691,25,0)-VLOOKUP(C95:C694,C:D,2,0)</f>
        <v>0</v>
      </c>
    </row>
    <row r="96" hidden="1">
      <c r="A96" s="157" t="s">
        <v>185</v>
      </c>
      <c r="B96" s="157" t="s">
        <v>85</v>
      </c>
      <c r="C96" s="157" t="s">
        <v>86</v>
      </c>
      <c r="D96" s="124">
        <f t="shared" si="1"/>
        <v>13110227.3</v>
      </c>
      <c r="E96" s="265">
        <f>sumif('Segment RAW Data 25-26'!$B$1:$X$1,$E$3,'Segment RAW Data 25-26'!$B95:$X95)</f>
        <v>201146.5</v>
      </c>
      <c r="F96" s="265">
        <f>sumif('Segment RAW Data 25-26'!$B$1:$X$1,$F$3,'Segment RAW Data 25-26'!$B95:$X95)</f>
        <v>3582718.4</v>
      </c>
      <c r="G96" s="265">
        <f>sumif('Segment RAW Data 25-26'!$B$1:$X$1,$G$3,'Segment RAW Data 25-26'!$B95:$X95)</f>
        <v>5481991.75</v>
      </c>
      <c r="H96" s="265">
        <f>sumif('Segment RAW Data 25-26'!$B$1:$X$1,$H$3,'Segment RAW Data 25-26'!$B95:$X95)</f>
        <v>1774314.85</v>
      </c>
      <c r="I96" s="265">
        <f>sumif('Segment RAW Data 25-26'!$B$1:$X$1,$I$3,'Segment RAW Data 25-26'!$B95:$X95)</f>
        <v>0</v>
      </c>
      <c r="J96" s="265">
        <f>sumif('Segment RAW Data 25-26'!$B$1:$X$1,$J$3,'Segment RAW Data 25-26'!$B95:$X95)</f>
        <v>2070055.8</v>
      </c>
      <c r="K96" s="265">
        <f>sumif('Segment RAW Data 25-26'!$B$1:$X$1,$K$3,'Segment RAW Data 25-26'!$B95:$X95)</f>
        <v>0</v>
      </c>
      <c r="L96" s="265">
        <f>sumif('Segment RAW Data 25-26'!$B$1:$X$1,$L$3,'Segment RAW Data 25-26'!$B95:$X95)</f>
        <v>0</v>
      </c>
      <c r="M96" s="270"/>
      <c r="N96" s="124" t="s">
        <v>975</v>
      </c>
      <c r="O96" s="124">
        <f>VLOOKUP(C96:C695,'Segment RAW Data 25-26'!A95:Y692,25,0)-VLOOKUP(C96:C695,C:D,2,0)</f>
        <v>0</v>
      </c>
    </row>
    <row r="97" hidden="1">
      <c r="A97" s="157"/>
      <c r="B97" s="157"/>
      <c r="C97" s="157" t="s">
        <v>550</v>
      </c>
      <c r="D97" s="124">
        <f t="shared" si="1"/>
        <v>0</v>
      </c>
      <c r="E97" s="265">
        <f>sumif('Segment RAW Data 25-26'!$B$1:$X$1,$E$3,'Segment RAW Data 25-26'!$B96:$X96)</f>
        <v>0</v>
      </c>
      <c r="F97" s="265">
        <f>sumif('Segment RAW Data 25-26'!$B$1:$X$1,$F$3,'Segment RAW Data 25-26'!$B96:$X96)</f>
        <v>0</v>
      </c>
      <c r="G97" s="265">
        <f>sumif('Segment RAW Data 25-26'!$B$1:$X$1,$G$3,'Segment RAW Data 25-26'!$B96:$X96)</f>
        <v>0</v>
      </c>
      <c r="H97" s="265">
        <f>sumif('Segment RAW Data 25-26'!$B$1:$X$1,$H$3,'Segment RAW Data 25-26'!$B96:$X96)</f>
        <v>0</v>
      </c>
      <c r="I97" s="265">
        <f>sumif('Segment RAW Data 25-26'!$B$1:$X$1,$I$3,'Segment RAW Data 25-26'!$B96:$X96)</f>
        <v>0</v>
      </c>
      <c r="J97" s="265">
        <f>sumif('Segment RAW Data 25-26'!$B$1:$X$1,$J$3,'Segment RAW Data 25-26'!$B96:$X96)</f>
        <v>0</v>
      </c>
      <c r="K97" s="265">
        <f>sumif('Segment RAW Data 25-26'!$B$1:$X$1,$K$3,'Segment RAW Data 25-26'!$B96:$X96)</f>
        <v>0</v>
      </c>
      <c r="L97" s="265">
        <f>sumif('Segment RAW Data 25-26'!$B$1:$X$1,$L$3,'Segment RAW Data 25-26'!$B96:$X96)</f>
        <v>0</v>
      </c>
      <c r="M97" s="270"/>
      <c r="N97" s="124"/>
      <c r="O97" s="124">
        <f>VLOOKUP(C97:C696,'Segment RAW Data 25-26'!A96:Y693,25,0)-VLOOKUP(C97:C696,C:D,2,0)</f>
        <v>0</v>
      </c>
    </row>
    <row r="98" hidden="1">
      <c r="A98" s="157" t="s">
        <v>185</v>
      </c>
      <c r="B98" s="157" t="s">
        <v>196</v>
      </c>
      <c r="C98" s="157" t="s">
        <v>207</v>
      </c>
      <c r="D98" s="124">
        <f t="shared" si="1"/>
        <v>19321509.16</v>
      </c>
      <c r="E98" s="265">
        <f>sumif('Segment RAW Data 25-26'!$B$1:$X$1,$E$3,'Segment RAW Data 25-26'!$B97:$X97)</f>
        <v>10766710.19</v>
      </c>
      <c r="F98" s="265">
        <f>sumif('Segment RAW Data 25-26'!$B$1:$X$1,$F$3,'Segment RAW Data 25-26'!$B97:$X97)</f>
        <v>53976</v>
      </c>
      <c r="G98" s="265">
        <f>sumif('Segment RAW Data 25-26'!$B$1:$X$1,$G$3,'Segment RAW Data 25-26'!$B97:$X97)</f>
        <v>287269.72</v>
      </c>
      <c r="H98" s="265">
        <f>sumif('Segment RAW Data 25-26'!$B$1:$X$1,$H$3,'Segment RAW Data 25-26'!$B97:$X97)</f>
        <v>199886.4</v>
      </c>
      <c r="I98" s="265">
        <f>sumif('Segment RAW Data 25-26'!$B$1:$X$1,$I$3,'Segment RAW Data 25-26'!$B97:$X97)</f>
        <v>0</v>
      </c>
      <c r="J98" s="265">
        <f>sumif('Segment RAW Data 25-26'!$B$1:$X$1,$J$3,'Segment RAW Data 25-26'!$B97:$X97)</f>
        <v>7398510.35</v>
      </c>
      <c r="K98" s="265">
        <f>sumif('Segment RAW Data 25-26'!$B$1:$X$1,$K$3,'Segment RAW Data 25-26'!$B97:$X97)</f>
        <v>0</v>
      </c>
      <c r="L98" s="265">
        <f>sumif('Segment RAW Data 25-26'!$B$1:$X$1,$L$3,'Segment RAW Data 25-26'!$B97:$X97)</f>
        <v>615156.5</v>
      </c>
      <c r="M98" s="270"/>
      <c r="N98" s="124" t="s">
        <v>975</v>
      </c>
      <c r="O98" s="124">
        <f>VLOOKUP(C98:C697,'Segment RAW Data 25-26'!A97:Y694,25,0)-VLOOKUP(C98:C697,C:D,2,0)</f>
        <v>-0.000000003725290298</v>
      </c>
    </row>
    <row r="99" hidden="1">
      <c r="A99" s="157"/>
      <c r="B99" s="157"/>
      <c r="C99" s="157" t="s">
        <v>551</v>
      </c>
      <c r="D99" s="124">
        <f t="shared" si="1"/>
        <v>0</v>
      </c>
      <c r="E99" s="265">
        <f>sumif('Segment RAW Data 25-26'!$B$1:$X$1,$E$3,'Segment RAW Data 25-26'!$B98:$X98)</f>
        <v>0</v>
      </c>
      <c r="F99" s="265">
        <f>sumif('Segment RAW Data 25-26'!$B$1:$X$1,$F$3,'Segment RAW Data 25-26'!$B98:$X98)</f>
        <v>0</v>
      </c>
      <c r="G99" s="265">
        <f>sumif('Segment RAW Data 25-26'!$B$1:$X$1,$G$3,'Segment RAW Data 25-26'!$B98:$X98)</f>
        <v>0</v>
      </c>
      <c r="H99" s="265">
        <f>sumif('Segment RAW Data 25-26'!$B$1:$X$1,$H$3,'Segment RAW Data 25-26'!$B98:$X98)</f>
        <v>0</v>
      </c>
      <c r="I99" s="265">
        <f>sumif('Segment RAW Data 25-26'!$B$1:$X$1,$I$3,'Segment RAW Data 25-26'!$B98:$X98)</f>
        <v>0</v>
      </c>
      <c r="J99" s="265">
        <f>sumif('Segment RAW Data 25-26'!$B$1:$X$1,$J$3,'Segment RAW Data 25-26'!$B98:$X98)</f>
        <v>0</v>
      </c>
      <c r="K99" s="265">
        <f>sumif('Segment RAW Data 25-26'!$B$1:$X$1,$K$3,'Segment RAW Data 25-26'!$B98:$X98)</f>
        <v>0</v>
      </c>
      <c r="L99" s="265">
        <f>sumif('Segment RAW Data 25-26'!$B$1:$X$1,$L$3,'Segment RAW Data 25-26'!$B98:$X98)</f>
        <v>0</v>
      </c>
      <c r="M99" s="270"/>
      <c r="N99" s="124"/>
      <c r="O99" s="124">
        <f>VLOOKUP(C99:C698,'Segment RAW Data 25-26'!A98:Y695,25,0)-VLOOKUP(C99:C698,C:D,2,0)</f>
        <v>0</v>
      </c>
    </row>
    <row r="100" hidden="1">
      <c r="A100" s="157"/>
      <c r="B100" s="157"/>
      <c r="C100" s="157" t="s">
        <v>552</v>
      </c>
      <c r="D100" s="124">
        <f t="shared" si="1"/>
        <v>0</v>
      </c>
      <c r="E100" s="265">
        <f>sumif('Segment RAW Data 25-26'!$B$1:$X$1,$E$3,'Segment RAW Data 25-26'!$B99:$X99)</f>
        <v>0</v>
      </c>
      <c r="F100" s="265">
        <f>sumif('Segment RAW Data 25-26'!$B$1:$X$1,$F$3,'Segment RAW Data 25-26'!$B99:$X99)</f>
        <v>0</v>
      </c>
      <c r="G100" s="265">
        <f>sumif('Segment RAW Data 25-26'!$B$1:$X$1,$G$3,'Segment RAW Data 25-26'!$B99:$X99)</f>
        <v>0</v>
      </c>
      <c r="H100" s="265">
        <f>sumif('Segment RAW Data 25-26'!$B$1:$X$1,$H$3,'Segment RAW Data 25-26'!$B99:$X99)</f>
        <v>0</v>
      </c>
      <c r="I100" s="265">
        <f>sumif('Segment RAW Data 25-26'!$B$1:$X$1,$I$3,'Segment RAW Data 25-26'!$B99:$X99)</f>
        <v>0</v>
      </c>
      <c r="J100" s="265">
        <f>sumif('Segment RAW Data 25-26'!$B$1:$X$1,$J$3,'Segment RAW Data 25-26'!$B99:$X99)</f>
        <v>0</v>
      </c>
      <c r="K100" s="265">
        <f>sumif('Segment RAW Data 25-26'!$B$1:$X$1,$K$3,'Segment RAW Data 25-26'!$B99:$X99)</f>
        <v>0</v>
      </c>
      <c r="L100" s="265">
        <f>sumif('Segment RAW Data 25-26'!$B$1:$X$1,$L$3,'Segment RAW Data 25-26'!$B99:$X99)</f>
        <v>0</v>
      </c>
      <c r="M100" s="270"/>
      <c r="N100" s="124"/>
      <c r="O100" s="124">
        <f>VLOOKUP(C100:C699,'Segment RAW Data 25-26'!A99:Y696,25,0)-VLOOKUP(C100:C699,C:D,2,0)</f>
        <v>0</v>
      </c>
    </row>
    <row r="101" hidden="1">
      <c r="A101" s="157"/>
      <c r="B101" s="157"/>
      <c r="C101" s="157" t="s">
        <v>553</v>
      </c>
      <c r="D101" s="124">
        <f t="shared" si="1"/>
        <v>0</v>
      </c>
      <c r="E101" s="265">
        <f>sumif('Segment RAW Data 25-26'!$B$1:$X$1,$E$3,'Segment RAW Data 25-26'!$B100:$X100)</f>
        <v>0</v>
      </c>
      <c r="F101" s="265">
        <f>sumif('Segment RAW Data 25-26'!$B$1:$X$1,$F$3,'Segment RAW Data 25-26'!$B100:$X100)</f>
        <v>0</v>
      </c>
      <c r="G101" s="265">
        <f>sumif('Segment RAW Data 25-26'!$B$1:$X$1,$G$3,'Segment RAW Data 25-26'!$B100:$X100)</f>
        <v>0</v>
      </c>
      <c r="H101" s="265">
        <f>sumif('Segment RAW Data 25-26'!$B$1:$X$1,$H$3,'Segment RAW Data 25-26'!$B100:$X100)</f>
        <v>0</v>
      </c>
      <c r="I101" s="265">
        <f>sumif('Segment RAW Data 25-26'!$B$1:$X$1,$I$3,'Segment RAW Data 25-26'!$B100:$X100)</f>
        <v>0</v>
      </c>
      <c r="J101" s="265">
        <f>sumif('Segment RAW Data 25-26'!$B$1:$X$1,$J$3,'Segment RAW Data 25-26'!$B100:$X100)</f>
        <v>0</v>
      </c>
      <c r="K101" s="265">
        <f>sumif('Segment RAW Data 25-26'!$B$1:$X$1,$K$3,'Segment RAW Data 25-26'!$B100:$X100)</f>
        <v>0</v>
      </c>
      <c r="L101" s="265">
        <f>sumif('Segment RAW Data 25-26'!$B$1:$X$1,$L$3,'Segment RAW Data 25-26'!$B100:$X100)</f>
        <v>0</v>
      </c>
      <c r="M101" s="270"/>
      <c r="N101" s="124"/>
      <c r="O101" s="124">
        <f>VLOOKUP(C101:C700,'Segment RAW Data 25-26'!A100:Y697,25,0)-VLOOKUP(C101:C700,C:D,2,0)</f>
        <v>0</v>
      </c>
    </row>
    <row r="102" hidden="1">
      <c r="A102" s="157"/>
      <c r="B102" s="157"/>
      <c r="C102" s="157" t="s">
        <v>554</v>
      </c>
      <c r="D102" s="124">
        <f t="shared" si="1"/>
        <v>0</v>
      </c>
      <c r="E102" s="265">
        <f>sumif('Segment RAW Data 25-26'!$B$1:$X$1,$E$3,'Segment RAW Data 25-26'!$B101:$X101)</f>
        <v>0</v>
      </c>
      <c r="F102" s="265">
        <f>sumif('Segment RAW Data 25-26'!$B$1:$X$1,$F$3,'Segment RAW Data 25-26'!$B101:$X101)</f>
        <v>0</v>
      </c>
      <c r="G102" s="265">
        <f>sumif('Segment RAW Data 25-26'!$B$1:$X$1,$G$3,'Segment RAW Data 25-26'!$B101:$X101)</f>
        <v>0</v>
      </c>
      <c r="H102" s="265">
        <f>sumif('Segment RAW Data 25-26'!$B$1:$X$1,$H$3,'Segment RAW Data 25-26'!$B101:$X101)</f>
        <v>0</v>
      </c>
      <c r="I102" s="265">
        <f>sumif('Segment RAW Data 25-26'!$B$1:$X$1,$I$3,'Segment RAW Data 25-26'!$B101:$X101)</f>
        <v>0</v>
      </c>
      <c r="J102" s="265">
        <f>sumif('Segment RAW Data 25-26'!$B$1:$X$1,$J$3,'Segment RAW Data 25-26'!$B101:$X101)</f>
        <v>0</v>
      </c>
      <c r="K102" s="265">
        <f>sumif('Segment RAW Data 25-26'!$B$1:$X$1,$K$3,'Segment RAW Data 25-26'!$B101:$X101)</f>
        <v>0</v>
      </c>
      <c r="L102" s="265">
        <f>sumif('Segment RAW Data 25-26'!$B$1:$X$1,$L$3,'Segment RAW Data 25-26'!$B101:$X101)</f>
        <v>0</v>
      </c>
      <c r="M102" s="270"/>
      <c r="N102" s="124"/>
      <c r="O102" s="124">
        <f>VLOOKUP(C102:C701,'Segment RAW Data 25-26'!A101:Y698,25,0)-VLOOKUP(C102:C701,C:D,2,0)</f>
        <v>0</v>
      </c>
    </row>
    <row r="103" hidden="1">
      <c r="A103" s="157"/>
      <c r="B103" s="157"/>
      <c r="C103" s="157" t="s">
        <v>555</v>
      </c>
      <c r="D103" s="124">
        <f t="shared" si="1"/>
        <v>0</v>
      </c>
      <c r="E103" s="265">
        <f>sumif('Segment RAW Data 25-26'!$B$1:$X$1,$E$3,'Segment RAW Data 25-26'!$B102:$X102)</f>
        <v>0</v>
      </c>
      <c r="F103" s="265">
        <f>sumif('Segment RAW Data 25-26'!$B$1:$X$1,$F$3,'Segment RAW Data 25-26'!$B102:$X102)</f>
        <v>0</v>
      </c>
      <c r="G103" s="265">
        <f>sumif('Segment RAW Data 25-26'!$B$1:$X$1,$G$3,'Segment RAW Data 25-26'!$B102:$X102)</f>
        <v>0</v>
      </c>
      <c r="H103" s="265">
        <f>sumif('Segment RAW Data 25-26'!$B$1:$X$1,$H$3,'Segment RAW Data 25-26'!$B102:$X102)</f>
        <v>0</v>
      </c>
      <c r="I103" s="265">
        <f>sumif('Segment RAW Data 25-26'!$B$1:$X$1,$I$3,'Segment RAW Data 25-26'!$B102:$X102)</f>
        <v>0</v>
      </c>
      <c r="J103" s="265">
        <f>sumif('Segment RAW Data 25-26'!$B$1:$X$1,$J$3,'Segment RAW Data 25-26'!$B102:$X102)</f>
        <v>0</v>
      </c>
      <c r="K103" s="265">
        <f>sumif('Segment RAW Data 25-26'!$B$1:$X$1,$K$3,'Segment RAW Data 25-26'!$B102:$X102)</f>
        <v>0</v>
      </c>
      <c r="L103" s="265">
        <f>sumif('Segment RAW Data 25-26'!$B$1:$X$1,$L$3,'Segment RAW Data 25-26'!$B102:$X102)</f>
        <v>0</v>
      </c>
      <c r="M103" s="270"/>
      <c r="N103" s="124"/>
      <c r="O103" s="124">
        <f>VLOOKUP(C103:C702,'Segment RAW Data 25-26'!A102:Y699,25,0)-VLOOKUP(C103:C702,C:D,2,0)</f>
        <v>0</v>
      </c>
    </row>
    <row r="104" hidden="1">
      <c r="A104" s="157"/>
      <c r="B104" s="157"/>
      <c r="C104" s="157" t="s">
        <v>556</v>
      </c>
      <c r="D104" s="124">
        <f t="shared" si="1"/>
        <v>0</v>
      </c>
      <c r="E104" s="265">
        <f>sumif('Segment RAW Data 25-26'!$B$1:$X$1,$E$3,'Segment RAW Data 25-26'!$B103:$X103)</f>
        <v>0</v>
      </c>
      <c r="F104" s="265">
        <f>sumif('Segment RAW Data 25-26'!$B$1:$X$1,$F$3,'Segment RAW Data 25-26'!$B103:$X103)</f>
        <v>0</v>
      </c>
      <c r="G104" s="265">
        <f>sumif('Segment RAW Data 25-26'!$B$1:$X$1,$G$3,'Segment RAW Data 25-26'!$B103:$X103)</f>
        <v>0</v>
      </c>
      <c r="H104" s="265">
        <f>sumif('Segment RAW Data 25-26'!$B$1:$X$1,$H$3,'Segment RAW Data 25-26'!$B103:$X103)</f>
        <v>0</v>
      </c>
      <c r="I104" s="265">
        <f>sumif('Segment RAW Data 25-26'!$B$1:$X$1,$I$3,'Segment RAW Data 25-26'!$B103:$X103)</f>
        <v>0</v>
      </c>
      <c r="J104" s="265">
        <f>sumif('Segment RAW Data 25-26'!$B$1:$X$1,$J$3,'Segment RAW Data 25-26'!$B103:$X103)</f>
        <v>0</v>
      </c>
      <c r="K104" s="265">
        <f>sumif('Segment RAW Data 25-26'!$B$1:$X$1,$K$3,'Segment RAW Data 25-26'!$B103:$X103)</f>
        <v>0</v>
      </c>
      <c r="L104" s="265">
        <f>sumif('Segment RAW Data 25-26'!$B$1:$X$1,$L$3,'Segment RAW Data 25-26'!$B103:$X103)</f>
        <v>0</v>
      </c>
      <c r="M104" s="270"/>
      <c r="N104" s="124"/>
      <c r="O104" s="124">
        <f>VLOOKUP(C104:C703,'Segment RAW Data 25-26'!A103:Y700,25,0)-VLOOKUP(C104:C703,C:D,2,0)</f>
        <v>0</v>
      </c>
    </row>
    <row r="105" hidden="1">
      <c r="A105" s="157"/>
      <c r="B105" s="157"/>
      <c r="C105" s="157" t="s">
        <v>557</v>
      </c>
      <c r="D105" s="124">
        <f t="shared" si="1"/>
        <v>0</v>
      </c>
      <c r="E105" s="265">
        <f>sumif('Segment RAW Data 25-26'!$B$1:$X$1,$E$3,'Segment RAW Data 25-26'!$B104:$X104)</f>
        <v>0</v>
      </c>
      <c r="F105" s="265">
        <f>sumif('Segment RAW Data 25-26'!$B$1:$X$1,$F$3,'Segment RAW Data 25-26'!$B104:$X104)</f>
        <v>0</v>
      </c>
      <c r="G105" s="265">
        <f>sumif('Segment RAW Data 25-26'!$B$1:$X$1,$G$3,'Segment RAW Data 25-26'!$B104:$X104)</f>
        <v>0</v>
      </c>
      <c r="H105" s="265">
        <f>sumif('Segment RAW Data 25-26'!$B$1:$X$1,$H$3,'Segment RAW Data 25-26'!$B104:$X104)</f>
        <v>0</v>
      </c>
      <c r="I105" s="265">
        <f>sumif('Segment RAW Data 25-26'!$B$1:$X$1,$I$3,'Segment RAW Data 25-26'!$B104:$X104)</f>
        <v>0</v>
      </c>
      <c r="J105" s="265">
        <f>sumif('Segment RAW Data 25-26'!$B$1:$X$1,$J$3,'Segment RAW Data 25-26'!$B104:$X104)</f>
        <v>0</v>
      </c>
      <c r="K105" s="265">
        <f>sumif('Segment RAW Data 25-26'!$B$1:$X$1,$K$3,'Segment RAW Data 25-26'!$B104:$X104)</f>
        <v>0</v>
      </c>
      <c r="L105" s="265">
        <f>sumif('Segment RAW Data 25-26'!$B$1:$X$1,$L$3,'Segment RAW Data 25-26'!$B104:$X104)</f>
        <v>0</v>
      </c>
      <c r="M105" s="270"/>
      <c r="N105" s="124"/>
      <c r="O105" s="124">
        <f>VLOOKUP(C105:C704,'Segment RAW Data 25-26'!A104:Y701,25,0)-VLOOKUP(C105:C704,C:D,2,0)</f>
        <v>0</v>
      </c>
    </row>
    <row r="106" hidden="1">
      <c r="A106" s="157"/>
      <c r="B106" s="157"/>
      <c r="C106" s="157" t="s">
        <v>558</v>
      </c>
      <c r="D106" s="124">
        <f t="shared" si="1"/>
        <v>0</v>
      </c>
      <c r="E106" s="265">
        <f>sumif('Segment RAW Data 25-26'!$B$1:$X$1,$E$3,'Segment RAW Data 25-26'!$B105:$X105)</f>
        <v>0</v>
      </c>
      <c r="F106" s="265">
        <f>sumif('Segment RAW Data 25-26'!$B$1:$X$1,$F$3,'Segment RAW Data 25-26'!$B105:$X105)</f>
        <v>0</v>
      </c>
      <c r="G106" s="265">
        <f>sumif('Segment RAW Data 25-26'!$B$1:$X$1,$G$3,'Segment RAW Data 25-26'!$B105:$X105)</f>
        <v>0</v>
      </c>
      <c r="H106" s="265">
        <f>sumif('Segment RAW Data 25-26'!$B$1:$X$1,$H$3,'Segment RAW Data 25-26'!$B105:$X105)</f>
        <v>0</v>
      </c>
      <c r="I106" s="265">
        <f>sumif('Segment RAW Data 25-26'!$B$1:$X$1,$I$3,'Segment RAW Data 25-26'!$B105:$X105)</f>
        <v>0</v>
      </c>
      <c r="J106" s="265">
        <f>sumif('Segment RAW Data 25-26'!$B$1:$X$1,$J$3,'Segment RAW Data 25-26'!$B105:$X105)</f>
        <v>0</v>
      </c>
      <c r="K106" s="265">
        <f>sumif('Segment RAW Data 25-26'!$B$1:$X$1,$K$3,'Segment RAW Data 25-26'!$B105:$X105)</f>
        <v>0</v>
      </c>
      <c r="L106" s="265">
        <f>sumif('Segment RAW Data 25-26'!$B$1:$X$1,$L$3,'Segment RAW Data 25-26'!$B105:$X105)</f>
        <v>0</v>
      </c>
      <c r="M106" s="270"/>
      <c r="N106" s="124"/>
      <c r="O106" s="124">
        <f>VLOOKUP(C106:C705,'Segment RAW Data 25-26'!A105:Y702,25,0)-VLOOKUP(C106:C705,C:D,2,0)</f>
        <v>0</v>
      </c>
    </row>
    <row r="107" hidden="1">
      <c r="A107" s="157"/>
      <c r="B107" s="157"/>
      <c r="C107" s="157" t="s">
        <v>559</v>
      </c>
      <c r="D107" s="124">
        <f t="shared" si="1"/>
        <v>0</v>
      </c>
      <c r="E107" s="265">
        <f>sumif('Segment RAW Data 25-26'!$B$1:$X$1,$E$3,'Segment RAW Data 25-26'!$B106:$X106)</f>
        <v>0</v>
      </c>
      <c r="F107" s="265">
        <f>sumif('Segment RAW Data 25-26'!$B$1:$X$1,$F$3,'Segment RAW Data 25-26'!$B106:$X106)</f>
        <v>0</v>
      </c>
      <c r="G107" s="265">
        <f>sumif('Segment RAW Data 25-26'!$B$1:$X$1,$G$3,'Segment RAW Data 25-26'!$B106:$X106)</f>
        <v>0</v>
      </c>
      <c r="H107" s="265">
        <f>sumif('Segment RAW Data 25-26'!$B$1:$X$1,$H$3,'Segment RAW Data 25-26'!$B106:$X106)</f>
        <v>0</v>
      </c>
      <c r="I107" s="265">
        <f>sumif('Segment RAW Data 25-26'!$B$1:$X$1,$I$3,'Segment RAW Data 25-26'!$B106:$X106)</f>
        <v>0</v>
      </c>
      <c r="J107" s="265">
        <f>sumif('Segment RAW Data 25-26'!$B$1:$X$1,$J$3,'Segment RAW Data 25-26'!$B106:$X106)</f>
        <v>0</v>
      </c>
      <c r="K107" s="265">
        <f>sumif('Segment RAW Data 25-26'!$B$1:$X$1,$K$3,'Segment RAW Data 25-26'!$B106:$X106)</f>
        <v>0</v>
      </c>
      <c r="L107" s="265">
        <f>sumif('Segment RAW Data 25-26'!$B$1:$X$1,$L$3,'Segment RAW Data 25-26'!$B106:$X106)</f>
        <v>0</v>
      </c>
      <c r="M107" s="270"/>
      <c r="N107" s="124"/>
      <c r="O107" s="124">
        <f>VLOOKUP(C107:C706,'Segment RAW Data 25-26'!A106:Y703,25,0)-VLOOKUP(C107:C706,C:D,2,0)</f>
        <v>0</v>
      </c>
    </row>
    <row r="108" hidden="1">
      <c r="A108" s="157"/>
      <c r="B108" s="157"/>
      <c r="C108" s="157" t="s">
        <v>560</v>
      </c>
      <c r="D108" s="124">
        <f t="shared" si="1"/>
        <v>0</v>
      </c>
      <c r="E108" s="265">
        <f>sumif('Segment RAW Data 25-26'!$B$1:$X$1,$E$3,'Segment RAW Data 25-26'!$B107:$X107)</f>
        <v>0</v>
      </c>
      <c r="F108" s="265">
        <f>sumif('Segment RAW Data 25-26'!$B$1:$X$1,$F$3,'Segment RAW Data 25-26'!$B107:$X107)</f>
        <v>0</v>
      </c>
      <c r="G108" s="265">
        <f>sumif('Segment RAW Data 25-26'!$B$1:$X$1,$G$3,'Segment RAW Data 25-26'!$B107:$X107)</f>
        <v>0</v>
      </c>
      <c r="H108" s="265">
        <f>sumif('Segment RAW Data 25-26'!$B$1:$X$1,$H$3,'Segment RAW Data 25-26'!$B107:$X107)</f>
        <v>0</v>
      </c>
      <c r="I108" s="265">
        <f>sumif('Segment RAW Data 25-26'!$B$1:$X$1,$I$3,'Segment RAW Data 25-26'!$B107:$X107)</f>
        <v>0</v>
      </c>
      <c r="J108" s="265">
        <f>sumif('Segment RAW Data 25-26'!$B$1:$X$1,$J$3,'Segment RAW Data 25-26'!$B107:$X107)</f>
        <v>0</v>
      </c>
      <c r="K108" s="265">
        <f>sumif('Segment RAW Data 25-26'!$B$1:$X$1,$K$3,'Segment RAW Data 25-26'!$B107:$X107)</f>
        <v>0</v>
      </c>
      <c r="L108" s="265">
        <f>sumif('Segment RAW Data 25-26'!$B$1:$X$1,$L$3,'Segment RAW Data 25-26'!$B107:$X107)</f>
        <v>0</v>
      </c>
      <c r="M108" s="270"/>
      <c r="N108" s="124"/>
      <c r="O108" s="124">
        <f>VLOOKUP(C108:C707,'Segment RAW Data 25-26'!A107:Y704,25,0)-VLOOKUP(C108:C707,C:D,2,0)</f>
        <v>0</v>
      </c>
    </row>
    <row r="109" hidden="1">
      <c r="A109" s="157"/>
      <c r="B109" s="157"/>
      <c r="C109" s="157" t="s">
        <v>561</v>
      </c>
      <c r="D109" s="124">
        <f t="shared" si="1"/>
        <v>0</v>
      </c>
      <c r="E109" s="265">
        <f>sumif('Segment RAW Data 25-26'!$B$1:$X$1,$E$3,'Segment RAW Data 25-26'!$B108:$X108)</f>
        <v>0</v>
      </c>
      <c r="F109" s="265">
        <f>sumif('Segment RAW Data 25-26'!$B$1:$X$1,$F$3,'Segment RAW Data 25-26'!$B108:$X108)</f>
        <v>0</v>
      </c>
      <c r="G109" s="265">
        <f>sumif('Segment RAW Data 25-26'!$B$1:$X$1,$G$3,'Segment RAW Data 25-26'!$B108:$X108)</f>
        <v>0</v>
      </c>
      <c r="H109" s="265">
        <f>sumif('Segment RAW Data 25-26'!$B$1:$X$1,$H$3,'Segment RAW Data 25-26'!$B108:$X108)</f>
        <v>0</v>
      </c>
      <c r="I109" s="265">
        <f>sumif('Segment RAW Data 25-26'!$B$1:$X$1,$I$3,'Segment RAW Data 25-26'!$B108:$X108)</f>
        <v>0</v>
      </c>
      <c r="J109" s="265">
        <f>sumif('Segment RAW Data 25-26'!$B$1:$X$1,$J$3,'Segment RAW Data 25-26'!$B108:$X108)</f>
        <v>0</v>
      </c>
      <c r="K109" s="265">
        <f>sumif('Segment RAW Data 25-26'!$B$1:$X$1,$K$3,'Segment RAW Data 25-26'!$B108:$X108)</f>
        <v>0</v>
      </c>
      <c r="L109" s="265">
        <f>sumif('Segment RAW Data 25-26'!$B$1:$X$1,$L$3,'Segment RAW Data 25-26'!$B108:$X108)</f>
        <v>0</v>
      </c>
      <c r="M109" s="270"/>
      <c r="N109" s="124"/>
      <c r="O109" s="124">
        <f>VLOOKUP(C109:C708,'Segment RAW Data 25-26'!A108:Y705,25,0)-VLOOKUP(C109:C708,C:D,2,0)</f>
        <v>0</v>
      </c>
    </row>
    <row r="110" hidden="1">
      <c r="A110" s="157"/>
      <c r="B110" s="157"/>
      <c r="C110" s="157" t="s">
        <v>562</v>
      </c>
      <c r="D110" s="124">
        <f t="shared" si="1"/>
        <v>0</v>
      </c>
      <c r="E110" s="265">
        <f>sumif('Segment RAW Data 25-26'!$B$1:$X$1,$E$3,'Segment RAW Data 25-26'!$B109:$X109)</f>
        <v>0</v>
      </c>
      <c r="F110" s="265">
        <f>sumif('Segment RAW Data 25-26'!$B$1:$X$1,$F$3,'Segment RAW Data 25-26'!$B109:$X109)</f>
        <v>0</v>
      </c>
      <c r="G110" s="265">
        <f>sumif('Segment RAW Data 25-26'!$B$1:$X$1,$G$3,'Segment RAW Data 25-26'!$B109:$X109)</f>
        <v>0</v>
      </c>
      <c r="H110" s="265">
        <f>sumif('Segment RAW Data 25-26'!$B$1:$X$1,$H$3,'Segment RAW Data 25-26'!$B109:$X109)</f>
        <v>0</v>
      </c>
      <c r="I110" s="265">
        <f>sumif('Segment RAW Data 25-26'!$B$1:$X$1,$I$3,'Segment RAW Data 25-26'!$B109:$X109)</f>
        <v>0</v>
      </c>
      <c r="J110" s="265">
        <f>sumif('Segment RAW Data 25-26'!$B$1:$X$1,$J$3,'Segment RAW Data 25-26'!$B109:$X109)</f>
        <v>0</v>
      </c>
      <c r="K110" s="265">
        <f>sumif('Segment RAW Data 25-26'!$B$1:$X$1,$K$3,'Segment RAW Data 25-26'!$B109:$X109)</f>
        <v>0</v>
      </c>
      <c r="L110" s="265">
        <f>sumif('Segment RAW Data 25-26'!$B$1:$X$1,$L$3,'Segment RAW Data 25-26'!$B109:$X109)</f>
        <v>0</v>
      </c>
      <c r="M110" s="270"/>
      <c r="N110" s="124"/>
      <c r="O110" s="124">
        <f>VLOOKUP(C110:C709,'Segment RAW Data 25-26'!A109:Y706,25,0)-VLOOKUP(C110:C709,C:D,2,0)</f>
        <v>0</v>
      </c>
    </row>
    <row r="111" hidden="1">
      <c r="A111" s="157"/>
      <c r="B111" s="157"/>
      <c r="C111" s="157" t="s">
        <v>563</v>
      </c>
      <c r="D111" s="124">
        <f t="shared" si="1"/>
        <v>0</v>
      </c>
      <c r="E111" s="265">
        <f>sumif('Segment RAW Data 25-26'!$B$1:$X$1,$E$3,'Segment RAW Data 25-26'!$B110:$X110)</f>
        <v>0</v>
      </c>
      <c r="F111" s="265">
        <f>sumif('Segment RAW Data 25-26'!$B$1:$X$1,$F$3,'Segment RAW Data 25-26'!$B110:$X110)</f>
        <v>0</v>
      </c>
      <c r="G111" s="265">
        <f>sumif('Segment RAW Data 25-26'!$B$1:$X$1,$G$3,'Segment RAW Data 25-26'!$B110:$X110)</f>
        <v>0</v>
      </c>
      <c r="H111" s="265">
        <f>sumif('Segment RAW Data 25-26'!$B$1:$X$1,$H$3,'Segment RAW Data 25-26'!$B110:$X110)</f>
        <v>0</v>
      </c>
      <c r="I111" s="265">
        <f>sumif('Segment RAW Data 25-26'!$B$1:$X$1,$I$3,'Segment RAW Data 25-26'!$B110:$X110)</f>
        <v>0</v>
      </c>
      <c r="J111" s="265">
        <f>sumif('Segment RAW Data 25-26'!$B$1:$X$1,$J$3,'Segment RAW Data 25-26'!$B110:$X110)</f>
        <v>0</v>
      </c>
      <c r="K111" s="265">
        <f>sumif('Segment RAW Data 25-26'!$B$1:$X$1,$K$3,'Segment RAW Data 25-26'!$B110:$X110)</f>
        <v>0</v>
      </c>
      <c r="L111" s="265">
        <f>sumif('Segment RAW Data 25-26'!$B$1:$X$1,$L$3,'Segment RAW Data 25-26'!$B110:$X110)</f>
        <v>0</v>
      </c>
      <c r="M111" s="270"/>
      <c r="N111" s="124"/>
      <c r="O111" s="124">
        <f>VLOOKUP(C111:C710,'Segment RAW Data 25-26'!A110:Y707,25,0)-VLOOKUP(C111:C710,C:D,2,0)</f>
        <v>0</v>
      </c>
    </row>
    <row r="112" hidden="1">
      <c r="A112" s="157" t="s">
        <v>185</v>
      </c>
      <c r="B112" s="157" t="s">
        <v>212</v>
      </c>
      <c r="C112" s="157" t="s">
        <v>210</v>
      </c>
      <c r="D112" s="124">
        <f t="shared" si="1"/>
        <v>64945603.47</v>
      </c>
      <c r="E112" s="265">
        <f>sumif('Segment RAW Data 25-26'!$B$1:$X$1,$E$3,'Segment RAW Data 25-26'!$B111:$X111)</f>
        <v>37368598.41</v>
      </c>
      <c r="F112" s="265">
        <f>sumif('Segment RAW Data 25-26'!$B$1:$X$1,$F$3,'Segment RAW Data 25-26'!$B111:$X111)</f>
        <v>15016121.34</v>
      </c>
      <c r="G112" s="265">
        <f>sumif('Segment RAW Data 25-26'!$B$1:$X$1,$G$3,'Segment RAW Data 25-26'!$B111:$X111)</f>
        <v>4816053.52</v>
      </c>
      <c r="H112" s="265">
        <f>sumif('Segment RAW Data 25-26'!$B$1:$X$1,$H$3,'Segment RAW Data 25-26'!$B111:$X111)</f>
        <v>963068.3</v>
      </c>
      <c r="I112" s="265">
        <f>sumif('Segment RAW Data 25-26'!$B$1:$X$1,$I$3,'Segment RAW Data 25-26'!$B111:$X111)</f>
        <v>15504</v>
      </c>
      <c r="J112" s="265">
        <f>sumif('Segment RAW Data 25-26'!$B$1:$X$1,$J$3,'Segment RAW Data 25-26'!$B111:$X111)</f>
        <v>3725350.75</v>
      </c>
      <c r="K112" s="265">
        <f>sumif('Segment RAW Data 25-26'!$B$1:$X$1,$K$3,'Segment RAW Data 25-26'!$B111:$X111)</f>
        <v>54138.4</v>
      </c>
      <c r="L112" s="265">
        <f>sumif('Segment RAW Data 25-26'!$B$1:$X$1,$L$3,'Segment RAW Data 25-26'!$B111:$X111)</f>
        <v>2986768.75</v>
      </c>
      <c r="M112" s="270"/>
      <c r="N112" s="124" t="s">
        <v>975</v>
      </c>
      <c r="O112" s="124">
        <f>VLOOKUP(C112:C711,'Segment RAW Data 25-26'!A111:Y708,25,0)-VLOOKUP(C112:C711,C:D,2,0)</f>
        <v>0.01000000536</v>
      </c>
    </row>
    <row r="113" hidden="1">
      <c r="A113" s="157"/>
      <c r="B113" s="157"/>
      <c r="C113" s="157" t="s">
        <v>564</v>
      </c>
      <c r="D113" s="124">
        <f t="shared" si="1"/>
        <v>0</v>
      </c>
      <c r="E113" s="265">
        <f>sumif('Segment RAW Data 25-26'!$B$1:$X$1,$E$3,'Segment RAW Data 25-26'!$B112:$X112)</f>
        <v>0</v>
      </c>
      <c r="F113" s="265">
        <f>sumif('Segment RAW Data 25-26'!$B$1:$X$1,$F$3,'Segment RAW Data 25-26'!$B112:$X112)</f>
        <v>0</v>
      </c>
      <c r="G113" s="265">
        <f>sumif('Segment RAW Data 25-26'!$B$1:$X$1,$G$3,'Segment RAW Data 25-26'!$B112:$X112)</f>
        <v>0</v>
      </c>
      <c r="H113" s="265">
        <f>sumif('Segment RAW Data 25-26'!$B$1:$X$1,$H$3,'Segment RAW Data 25-26'!$B112:$X112)</f>
        <v>0</v>
      </c>
      <c r="I113" s="265">
        <f>sumif('Segment RAW Data 25-26'!$B$1:$X$1,$I$3,'Segment RAW Data 25-26'!$B112:$X112)</f>
        <v>0</v>
      </c>
      <c r="J113" s="265">
        <f>sumif('Segment RAW Data 25-26'!$B$1:$X$1,$J$3,'Segment RAW Data 25-26'!$B112:$X112)</f>
        <v>0</v>
      </c>
      <c r="K113" s="265">
        <f>sumif('Segment RAW Data 25-26'!$B$1:$X$1,$K$3,'Segment RAW Data 25-26'!$B112:$X112)</f>
        <v>0</v>
      </c>
      <c r="L113" s="265">
        <f>sumif('Segment RAW Data 25-26'!$B$1:$X$1,$L$3,'Segment RAW Data 25-26'!$B112:$X112)</f>
        <v>0</v>
      </c>
      <c r="M113" s="270"/>
      <c r="N113" s="124"/>
      <c r="O113" s="124">
        <f>VLOOKUP(C113:C712,'Segment RAW Data 25-26'!A112:Y709,25,0)-VLOOKUP(C113:C712,C:D,2,0)</f>
        <v>0</v>
      </c>
    </row>
    <row r="114" hidden="1">
      <c r="A114" s="157"/>
      <c r="B114" s="157"/>
      <c r="C114" s="157" t="s">
        <v>565</v>
      </c>
      <c r="D114" s="124">
        <f t="shared" si="1"/>
        <v>0</v>
      </c>
      <c r="E114" s="265">
        <f>sumif('Segment RAW Data 25-26'!$B$1:$X$1,$E$3,'Segment RAW Data 25-26'!$B113:$X113)</f>
        <v>0</v>
      </c>
      <c r="F114" s="265">
        <f>sumif('Segment RAW Data 25-26'!$B$1:$X$1,$F$3,'Segment RAW Data 25-26'!$B113:$X113)</f>
        <v>0</v>
      </c>
      <c r="G114" s="265">
        <f>sumif('Segment RAW Data 25-26'!$B$1:$X$1,$G$3,'Segment RAW Data 25-26'!$B113:$X113)</f>
        <v>0</v>
      </c>
      <c r="H114" s="265">
        <f>sumif('Segment RAW Data 25-26'!$B$1:$X$1,$H$3,'Segment RAW Data 25-26'!$B113:$X113)</f>
        <v>0</v>
      </c>
      <c r="I114" s="265">
        <f>sumif('Segment RAW Data 25-26'!$B$1:$X$1,$I$3,'Segment RAW Data 25-26'!$B113:$X113)</f>
        <v>0</v>
      </c>
      <c r="J114" s="265">
        <f>sumif('Segment RAW Data 25-26'!$B$1:$X$1,$J$3,'Segment RAW Data 25-26'!$B113:$X113)</f>
        <v>0</v>
      </c>
      <c r="K114" s="265">
        <f>sumif('Segment RAW Data 25-26'!$B$1:$X$1,$K$3,'Segment RAW Data 25-26'!$B113:$X113)</f>
        <v>0</v>
      </c>
      <c r="L114" s="265">
        <f>sumif('Segment RAW Data 25-26'!$B$1:$X$1,$L$3,'Segment RAW Data 25-26'!$B113:$X113)</f>
        <v>0</v>
      </c>
      <c r="M114" s="270"/>
      <c r="N114" s="124"/>
      <c r="O114" s="124">
        <f>VLOOKUP(C114:C713,'Segment RAW Data 25-26'!A113:Y710,25,0)-VLOOKUP(C114:C713,C:D,2,0)</f>
        <v>0</v>
      </c>
    </row>
    <row r="115" hidden="1">
      <c r="A115" s="157" t="s">
        <v>185</v>
      </c>
      <c r="B115" s="157" t="s">
        <v>222</v>
      </c>
      <c r="C115" s="157" t="s">
        <v>223</v>
      </c>
      <c r="D115" s="124">
        <f t="shared" si="1"/>
        <v>12285579.62</v>
      </c>
      <c r="E115" s="265">
        <f>sumif('Segment RAW Data 25-26'!$B$1:$X$1,$E$3,'Segment RAW Data 25-26'!$B114:$X114)</f>
        <v>4440759.12</v>
      </c>
      <c r="F115" s="265">
        <f>sumif('Segment RAW Data 25-26'!$B$1:$X$1,$F$3,'Segment RAW Data 25-26'!$B114:$X114)</f>
        <v>1519423.9</v>
      </c>
      <c r="G115" s="265">
        <f>sumif('Segment RAW Data 25-26'!$B$1:$X$1,$G$3,'Segment RAW Data 25-26'!$B114:$X114)</f>
        <v>3436526.2</v>
      </c>
      <c r="H115" s="265">
        <f>sumif('Segment RAW Data 25-26'!$B$1:$X$1,$H$3,'Segment RAW Data 25-26'!$B114:$X114)</f>
        <v>2850586.3</v>
      </c>
      <c r="I115" s="265">
        <f>sumif('Segment RAW Data 25-26'!$B$1:$X$1,$I$3,'Segment RAW Data 25-26'!$B114:$X114)</f>
        <v>38284.1</v>
      </c>
      <c r="J115" s="265">
        <f>sumif('Segment RAW Data 25-26'!$B$1:$X$1,$J$3,'Segment RAW Data 25-26'!$B114:$X114)</f>
        <v>0</v>
      </c>
      <c r="K115" s="265">
        <f>sumif('Segment RAW Data 25-26'!$B$1:$X$1,$K$3,'Segment RAW Data 25-26'!$B114:$X114)</f>
        <v>0</v>
      </c>
      <c r="L115" s="265">
        <f>sumif('Segment RAW Data 25-26'!$B$1:$X$1,$L$3,'Segment RAW Data 25-26'!$B114:$X114)</f>
        <v>0</v>
      </c>
      <c r="M115" s="270"/>
      <c r="N115" s="124" t="s">
        <v>975</v>
      </c>
      <c r="O115" s="124">
        <f>VLOOKUP(C115:C714,'Segment RAW Data 25-26'!A114:Y711,25,0)-VLOOKUP(C115:C714,C:D,2,0)</f>
        <v>0</v>
      </c>
    </row>
    <row r="116" hidden="1">
      <c r="A116" s="157"/>
      <c r="B116" s="157"/>
      <c r="C116" s="157" t="s">
        <v>566</v>
      </c>
      <c r="D116" s="124">
        <f t="shared" si="1"/>
        <v>0</v>
      </c>
      <c r="E116" s="265">
        <f>sumif('Segment RAW Data 25-26'!$B$1:$X$1,$E$3,'Segment RAW Data 25-26'!$B115:$X115)</f>
        <v>0</v>
      </c>
      <c r="F116" s="265">
        <f>sumif('Segment RAW Data 25-26'!$B$1:$X$1,$F$3,'Segment RAW Data 25-26'!$B115:$X115)</f>
        <v>0</v>
      </c>
      <c r="G116" s="265">
        <f>sumif('Segment RAW Data 25-26'!$B$1:$X$1,$G$3,'Segment RAW Data 25-26'!$B115:$X115)</f>
        <v>0</v>
      </c>
      <c r="H116" s="265">
        <f>sumif('Segment RAW Data 25-26'!$B$1:$X$1,$H$3,'Segment RAW Data 25-26'!$B115:$X115)</f>
        <v>0</v>
      </c>
      <c r="I116" s="265">
        <f>sumif('Segment RAW Data 25-26'!$B$1:$X$1,$I$3,'Segment RAW Data 25-26'!$B115:$X115)</f>
        <v>0</v>
      </c>
      <c r="J116" s="265">
        <f>sumif('Segment RAW Data 25-26'!$B$1:$X$1,$J$3,'Segment RAW Data 25-26'!$B115:$X115)</f>
        <v>0</v>
      </c>
      <c r="K116" s="265">
        <f>sumif('Segment RAW Data 25-26'!$B$1:$X$1,$K$3,'Segment RAW Data 25-26'!$B115:$X115)</f>
        <v>0</v>
      </c>
      <c r="L116" s="265">
        <f>sumif('Segment RAW Data 25-26'!$B$1:$X$1,$L$3,'Segment RAW Data 25-26'!$B115:$X115)</f>
        <v>0</v>
      </c>
      <c r="M116" s="270"/>
      <c r="N116" s="124"/>
      <c r="O116" s="124">
        <f>VLOOKUP(C116:C715,'Segment RAW Data 25-26'!A115:Y712,25,0)-VLOOKUP(C116:C715,C:D,2,0)</f>
        <v>0</v>
      </c>
    </row>
    <row r="117" hidden="1">
      <c r="A117" s="157"/>
      <c r="B117" s="157"/>
      <c r="C117" s="157" t="s">
        <v>567</v>
      </c>
      <c r="D117" s="124">
        <f t="shared" si="1"/>
        <v>0</v>
      </c>
      <c r="E117" s="265">
        <f>sumif('Segment RAW Data 25-26'!$B$1:$X$1,$E$3,'Segment RAW Data 25-26'!$B116:$X116)</f>
        <v>0</v>
      </c>
      <c r="F117" s="265">
        <f>sumif('Segment RAW Data 25-26'!$B$1:$X$1,$F$3,'Segment RAW Data 25-26'!$B116:$X116)</f>
        <v>0</v>
      </c>
      <c r="G117" s="265">
        <f>sumif('Segment RAW Data 25-26'!$B$1:$X$1,$G$3,'Segment RAW Data 25-26'!$B116:$X116)</f>
        <v>0</v>
      </c>
      <c r="H117" s="265">
        <f>sumif('Segment RAW Data 25-26'!$B$1:$X$1,$H$3,'Segment RAW Data 25-26'!$B116:$X116)</f>
        <v>0</v>
      </c>
      <c r="I117" s="265">
        <f>sumif('Segment RAW Data 25-26'!$B$1:$X$1,$I$3,'Segment RAW Data 25-26'!$B116:$X116)</f>
        <v>0</v>
      </c>
      <c r="J117" s="265">
        <f>sumif('Segment RAW Data 25-26'!$B$1:$X$1,$J$3,'Segment RAW Data 25-26'!$B116:$X116)</f>
        <v>0</v>
      </c>
      <c r="K117" s="265">
        <f>sumif('Segment RAW Data 25-26'!$B$1:$X$1,$K$3,'Segment RAW Data 25-26'!$B116:$X116)</f>
        <v>0</v>
      </c>
      <c r="L117" s="265">
        <f>sumif('Segment RAW Data 25-26'!$B$1:$X$1,$L$3,'Segment RAW Data 25-26'!$B116:$X116)</f>
        <v>0</v>
      </c>
      <c r="M117" s="270"/>
      <c r="N117" s="124"/>
      <c r="O117" s="124">
        <f>VLOOKUP(C117:C716,'Segment RAW Data 25-26'!A116:Y713,25,0)-VLOOKUP(C117:C716,C:D,2,0)</f>
        <v>0</v>
      </c>
    </row>
    <row r="118" hidden="1">
      <c r="A118" s="157"/>
      <c r="B118" s="157"/>
      <c r="C118" s="157" t="s">
        <v>568</v>
      </c>
      <c r="D118" s="124">
        <f t="shared" si="1"/>
        <v>0</v>
      </c>
      <c r="E118" s="265">
        <f>sumif('Segment RAW Data 25-26'!$B$1:$X$1,$E$3,'Segment RAW Data 25-26'!$B117:$X117)</f>
        <v>0</v>
      </c>
      <c r="F118" s="265">
        <f>sumif('Segment RAW Data 25-26'!$B$1:$X$1,$F$3,'Segment RAW Data 25-26'!$B117:$X117)</f>
        <v>0</v>
      </c>
      <c r="G118" s="265">
        <f>sumif('Segment RAW Data 25-26'!$B$1:$X$1,$G$3,'Segment RAW Data 25-26'!$B117:$X117)</f>
        <v>0</v>
      </c>
      <c r="H118" s="265">
        <f>sumif('Segment RAW Data 25-26'!$B$1:$X$1,$H$3,'Segment RAW Data 25-26'!$B117:$X117)</f>
        <v>0</v>
      </c>
      <c r="I118" s="265">
        <f>sumif('Segment RAW Data 25-26'!$B$1:$X$1,$I$3,'Segment RAW Data 25-26'!$B117:$X117)</f>
        <v>0</v>
      </c>
      <c r="J118" s="265">
        <f>sumif('Segment RAW Data 25-26'!$B$1:$X$1,$J$3,'Segment RAW Data 25-26'!$B117:$X117)</f>
        <v>0</v>
      </c>
      <c r="K118" s="265">
        <f>sumif('Segment RAW Data 25-26'!$B$1:$X$1,$K$3,'Segment RAW Data 25-26'!$B117:$X117)</f>
        <v>0</v>
      </c>
      <c r="L118" s="265">
        <f>sumif('Segment RAW Data 25-26'!$B$1:$X$1,$L$3,'Segment RAW Data 25-26'!$B117:$X117)</f>
        <v>0</v>
      </c>
      <c r="M118" s="270"/>
      <c r="N118" s="124"/>
      <c r="O118" s="124">
        <f>VLOOKUP(C118:C717,'Segment RAW Data 25-26'!A117:Y714,25,0)-VLOOKUP(C118:C717,C:D,2,0)</f>
        <v>0</v>
      </c>
    </row>
    <row r="119" hidden="1">
      <c r="A119" s="157"/>
      <c r="B119" s="157"/>
      <c r="C119" s="157" t="s">
        <v>569</v>
      </c>
      <c r="D119" s="124">
        <f t="shared" si="1"/>
        <v>0</v>
      </c>
      <c r="E119" s="265">
        <f>sumif('Segment RAW Data 25-26'!$B$1:$X$1,$E$3,'Segment RAW Data 25-26'!$B118:$X118)</f>
        <v>0</v>
      </c>
      <c r="F119" s="265">
        <f>sumif('Segment RAW Data 25-26'!$B$1:$X$1,$F$3,'Segment RAW Data 25-26'!$B118:$X118)</f>
        <v>0</v>
      </c>
      <c r="G119" s="265">
        <f>sumif('Segment RAW Data 25-26'!$B$1:$X$1,$G$3,'Segment RAW Data 25-26'!$B118:$X118)</f>
        <v>0</v>
      </c>
      <c r="H119" s="265">
        <f>sumif('Segment RAW Data 25-26'!$B$1:$X$1,$H$3,'Segment RAW Data 25-26'!$B118:$X118)</f>
        <v>0</v>
      </c>
      <c r="I119" s="265">
        <f>sumif('Segment RAW Data 25-26'!$B$1:$X$1,$I$3,'Segment RAW Data 25-26'!$B118:$X118)</f>
        <v>0</v>
      </c>
      <c r="J119" s="265">
        <f>sumif('Segment RAW Data 25-26'!$B$1:$X$1,$J$3,'Segment RAW Data 25-26'!$B118:$X118)</f>
        <v>0</v>
      </c>
      <c r="K119" s="265">
        <f>sumif('Segment RAW Data 25-26'!$B$1:$X$1,$K$3,'Segment RAW Data 25-26'!$B118:$X118)</f>
        <v>0</v>
      </c>
      <c r="L119" s="265">
        <f>sumif('Segment RAW Data 25-26'!$B$1:$X$1,$L$3,'Segment RAW Data 25-26'!$B118:$X118)</f>
        <v>0</v>
      </c>
      <c r="M119" s="270"/>
      <c r="N119" s="124"/>
      <c r="O119" s="124">
        <f>VLOOKUP(C119:C718,'Segment RAW Data 25-26'!A118:Y715,25,0)-VLOOKUP(C119:C718,C:D,2,0)</f>
        <v>0</v>
      </c>
    </row>
    <row r="120" hidden="1">
      <c r="A120" s="157"/>
      <c r="B120" s="157"/>
      <c r="C120" s="157" t="s">
        <v>570</v>
      </c>
      <c r="D120" s="124">
        <f t="shared" si="1"/>
        <v>0</v>
      </c>
      <c r="E120" s="265">
        <f>sumif('Segment RAW Data 25-26'!$B$1:$X$1,$E$3,'Segment RAW Data 25-26'!$B119:$X119)</f>
        <v>0</v>
      </c>
      <c r="F120" s="265">
        <f>sumif('Segment RAW Data 25-26'!$B$1:$X$1,$F$3,'Segment RAW Data 25-26'!$B119:$X119)</f>
        <v>0</v>
      </c>
      <c r="G120" s="265">
        <f>sumif('Segment RAW Data 25-26'!$B$1:$X$1,$G$3,'Segment RAW Data 25-26'!$B119:$X119)</f>
        <v>0</v>
      </c>
      <c r="H120" s="265">
        <f>sumif('Segment RAW Data 25-26'!$B$1:$X$1,$H$3,'Segment RAW Data 25-26'!$B119:$X119)</f>
        <v>0</v>
      </c>
      <c r="I120" s="265">
        <f>sumif('Segment RAW Data 25-26'!$B$1:$X$1,$I$3,'Segment RAW Data 25-26'!$B119:$X119)</f>
        <v>0</v>
      </c>
      <c r="J120" s="265">
        <f>sumif('Segment RAW Data 25-26'!$B$1:$X$1,$J$3,'Segment RAW Data 25-26'!$B119:$X119)</f>
        <v>0</v>
      </c>
      <c r="K120" s="265">
        <f>sumif('Segment RAW Data 25-26'!$B$1:$X$1,$K$3,'Segment RAW Data 25-26'!$B119:$X119)</f>
        <v>0</v>
      </c>
      <c r="L120" s="265">
        <f>sumif('Segment RAW Data 25-26'!$B$1:$X$1,$L$3,'Segment RAW Data 25-26'!$B119:$X119)</f>
        <v>0</v>
      </c>
      <c r="M120" s="270"/>
      <c r="N120" s="124"/>
      <c r="O120" s="124">
        <f>VLOOKUP(C120:C719,'Segment RAW Data 25-26'!A119:Y716,25,0)-VLOOKUP(C120:C719,C:D,2,0)</f>
        <v>0</v>
      </c>
    </row>
    <row r="121" hidden="1">
      <c r="A121" s="157"/>
      <c r="B121" s="157"/>
      <c r="C121" s="157" t="s">
        <v>571</v>
      </c>
      <c r="D121" s="124">
        <f t="shared" si="1"/>
        <v>0</v>
      </c>
      <c r="E121" s="265">
        <f>sumif('Segment RAW Data 25-26'!$B$1:$X$1,$E$3,'Segment RAW Data 25-26'!$B120:$X120)</f>
        <v>0</v>
      </c>
      <c r="F121" s="265">
        <f>sumif('Segment RAW Data 25-26'!$B$1:$X$1,$F$3,'Segment RAW Data 25-26'!$B120:$X120)</f>
        <v>0</v>
      </c>
      <c r="G121" s="265">
        <f>sumif('Segment RAW Data 25-26'!$B$1:$X$1,$G$3,'Segment RAW Data 25-26'!$B120:$X120)</f>
        <v>0</v>
      </c>
      <c r="H121" s="265">
        <f>sumif('Segment RAW Data 25-26'!$B$1:$X$1,$H$3,'Segment RAW Data 25-26'!$B120:$X120)</f>
        <v>0</v>
      </c>
      <c r="I121" s="265">
        <f>sumif('Segment RAW Data 25-26'!$B$1:$X$1,$I$3,'Segment RAW Data 25-26'!$B120:$X120)</f>
        <v>0</v>
      </c>
      <c r="J121" s="265">
        <f>sumif('Segment RAW Data 25-26'!$B$1:$X$1,$J$3,'Segment RAW Data 25-26'!$B120:$X120)</f>
        <v>0</v>
      </c>
      <c r="K121" s="265">
        <f>sumif('Segment RAW Data 25-26'!$B$1:$X$1,$K$3,'Segment RAW Data 25-26'!$B120:$X120)</f>
        <v>0</v>
      </c>
      <c r="L121" s="265">
        <f>sumif('Segment RAW Data 25-26'!$B$1:$X$1,$L$3,'Segment RAW Data 25-26'!$B120:$X120)</f>
        <v>0</v>
      </c>
      <c r="M121" s="270"/>
      <c r="N121" s="124"/>
      <c r="O121" s="124">
        <f>VLOOKUP(C121:C720,'Segment RAW Data 25-26'!A120:Y717,25,0)-VLOOKUP(C121:C720,C:D,2,0)</f>
        <v>0</v>
      </c>
    </row>
    <row r="122" hidden="1">
      <c r="A122" s="157"/>
      <c r="B122" s="157"/>
      <c r="C122" s="157" t="s">
        <v>572</v>
      </c>
      <c r="D122" s="124">
        <f t="shared" si="1"/>
        <v>0</v>
      </c>
      <c r="E122" s="265">
        <f>sumif('Segment RAW Data 25-26'!$B$1:$X$1,$E$3,'Segment RAW Data 25-26'!$B121:$X121)</f>
        <v>0</v>
      </c>
      <c r="F122" s="265">
        <f>sumif('Segment RAW Data 25-26'!$B$1:$X$1,$F$3,'Segment RAW Data 25-26'!$B121:$X121)</f>
        <v>0</v>
      </c>
      <c r="G122" s="265">
        <f>sumif('Segment RAW Data 25-26'!$B$1:$X$1,$G$3,'Segment RAW Data 25-26'!$B121:$X121)</f>
        <v>0</v>
      </c>
      <c r="H122" s="265">
        <f>sumif('Segment RAW Data 25-26'!$B$1:$X$1,$H$3,'Segment RAW Data 25-26'!$B121:$X121)</f>
        <v>0</v>
      </c>
      <c r="I122" s="265">
        <f>sumif('Segment RAW Data 25-26'!$B$1:$X$1,$I$3,'Segment RAW Data 25-26'!$B121:$X121)</f>
        <v>0</v>
      </c>
      <c r="J122" s="265">
        <f>sumif('Segment RAW Data 25-26'!$B$1:$X$1,$J$3,'Segment RAW Data 25-26'!$B121:$X121)</f>
        <v>0</v>
      </c>
      <c r="K122" s="265">
        <f>sumif('Segment RAW Data 25-26'!$B$1:$X$1,$K$3,'Segment RAW Data 25-26'!$B121:$X121)</f>
        <v>0</v>
      </c>
      <c r="L122" s="265">
        <f>sumif('Segment RAW Data 25-26'!$B$1:$X$1,$L$3,'Segment RAW Data 25-26'!$B121:$X121)</f>
        <v>0</v>
      </c>
      <c r="M122" s="270"/>
      <c r="N122" s="124"/>
      <c r="O122" s="124">
        <f>VLOOKUP(C122:C721,'Segment RAW Data 25-26'!A121:Y718,25,0)-VLOOKUP(C122:C721,C:D,2,0)</f>
        <v>0</v>
      </c>
    </row>
    <row r="123" hidden="1">
      <c r="A123" s="157"/>
      <c r="B123" s="157"/>
      <c r="C123" s="157" t="s">
        <v>573</v>
      </c>
      <c r="D123" s="124">
        <f t="shared" si="1"/>
        <v>0</v>
      </c>
      <c r="E123" s="265">
        <f>sumif('Segment RAW Data 25-26'!$B$1:$X$1,$E$3,'Segment RAW Data 25-26'!$B122:$X122)</f>
        <v>0</v>
      </c>
      <c r="F123" s="265">
        <f>sumif('Segment RAW Data 25-26'!$B$1:$X$1,$F$3,'Segment RAW Data 25-26'!$B122:$X122)</f>
        <v>0</v>
      </c>
      <c r="G123" s="265">
        <f>sumif('Segment RAW Data 25-26'!$B$1:$X$1,$G$3,'Segment RAW Data 25-26'!$B122:$X122)</f>
        <v>0</v>
      </c>
      <c r="H123" s="265">
        <f>sumif('Segment RAW Data 25-26'!$B$1:$X$1,$H$3,'Segment RAW Data 25-26'!$B122:$X122)</f>
        <v>0</v>
      </c>
      <c r="I123" s="265">
        <f>sumif('Segment RAW Data 25-26'!$B$1:$X$1,$I$3,'Segment RAW Data 25-26'!$B122:$X122)</f>
        <v>0</v>
      </c>
      <c r="J123" s="265">
        <f>sumif('Segment RAW Data 25-26'!$B$1:$X$1,$J$3,'Segment RAW Data 25-26'!$B122:$X122)</f>
        <v>0</v>
      </c>
      <c r="K123" s="265">
        <f>sumif('Segment RAW Data 25-26'!$B$1:$X$1,$K$3,'Segment RAW Data 25-26'!$B122:$X122)</f>
        <v>0</v>
      </c>
      <c r="L123" s="265">
        <f>sumif('Segment RAW Data 25-26'!$B$1:$X$1,$L$3,'Segment RAW Data 25-26'!$B122:$X122)</f>
        <v>0</v>
      </c>
      <c r="M123" s="270"/>
      <c r="N123" s="124"/>
      <c r="O123" s="124">
        <f>VLOOKUP(C123:C722,'Segment RAW Data 25-26'!A122:Y719,25,0)-VLOOKUP(C123:C722,C:D,2,0)</f>
        <v>0</v>
      </c>
    </row>
    <row r="124" hidden="1">
      <c r="A124" s="157"/>
      <c r="B124" s="157"/>
      <c r="C124" s="157" t="s">
        <v>574</v>
      </c>
      <c r="D124" s="124">
        <f t="shared" si="1"/>
        <v>0</v>
      </c>
      <c r="E124" s="265">
        <f>sumif('Segment RAW Data 25-26'!$B$1:$X$1,$E$3,'Segment RAW Data 25-26'!$B123:$X123)</f>
        <v>0</v>
      </c>
      <c r="F124" s="265">
        <f>sumif('Segment RAW Data 25-26'!$B$1:$X$1,$F$3,'Segment RAW Data 25-26'!$B123:$X123)</f>
        <v>0</v>
      </c>
      <c r="G124" s="265">
        <f>sumif('Segment RAW Data 25-26'!$B$1:$X$1,$G$3,'Segment RAW Data 25-26'!$B123:$X123)</f>
        <v>0</v>
      </c>
      <c r="H124" s="265">
        <f>sumif('Segment RAW Data 25-26'!$B$1:$X$1,$H$3,'Segment RAW Data 25-26'!$B123:$X123)</f>
        <v>0</v>
      </c>
      <c r="I124" s="265">
        <f>sumif('Segment RAW Data 25-26'!$B$1:$X$1,$I$3,'Segment RAW Data 25-26'!$B123:$X123)</f>
        <v>0</v>
      </c>
      <c r="J124" s="265">
        <f>sumif('Segment RAW Data 25-26'!$B$1:$X$1,$J$3,'Segment RAW Data 25-26'!$B123:$X123)</f>
        <v>0</v>
      </c>
      <c r="K124" s="265">
        <f>sumif('Segment RAW Data 25-26'!$B$1:$X$1,$K$3,'Segment RAW Data 25-26'!$B123:$X123)</f>
        <v>0</v>
      </c>
      <c r="L124" s="265">
        <f>sumif('Segment RAW Data 25-26'!$B$1:$X$1,$L$3,'Segment RAW Data 25-26'!$B123:$X123)</f>
        <v>0</v>
      </c>
      <c r="M124" s="270"/>
      <c r="N124" s="124"/>
      <c r="O124" s="124">
        <f>VLOOKUP(C124:C723,'Segment RAW Data 25-26'!A123:Y720,25,0)-VLOOKUP(C124:C723,C:D,2,0)</f>
        <v>0</v>
      </c>
    </row>
    <row r="125" hidden="1">
      <c r="A125" s="157"/>
      <c r="B125" s="157"/>
      <c r="C125" s="157" t="s">
        <v>575</v>
      </c>
      <c r="D125" s="124">
        <f t="shared" si="1"/>
        <v>0</v>
      </c>
      <c r="E125" s="265">
        <f>sumif('Segment RAW Data 25-26'!$B$1:$X$1,$E$3,'Segment RAW Data 25-26'!$B124:$X124)</f>
        <v>0</v>
      </c>
      <c r="F125" s="265">
        <f>sumif('Segment RAW Data 25-26'!$B$1:$X$1,$F$3,'Segment RAW Data 25-26'!$B124:$X124)</f>
        <v>0</v>
      </c>
      <c r="G125" s="265">
        <f>sumif('Segment RAW Data 25-26'!$B$1:$X$1,$G$3,'Segment RAW Data 25-26'!$B124:$X124)</f>
        <v>0</v>
      </c>
      <c r="H125" s="265">
        <f>sumif('Segment RAW Data 25-26'!$B$1:$X$1,$H$3,'Segment RAW Data 25-26'!$B124:$X124)</f>
        <v>0</v>
      </c>
      <c r="I125" s="265">
        <f>sumif('Segment RAW Data 25-26'!$B$1:$X$1,$I$3,'Segment RAW Data 25-26'!$B124:$X124)</f>
        <v>0</v>
      </c>
      <c r="J125" s="265">
        <f>sumif('Segment RAW Data 25-26'!$B$1:$X$1,$J$3,'Segment RAW Data 25-26'!$B124:$X124)</f>
        <v>0</v>
      </c>
      <c r="K125" s="265">
        <f>sumif('Segment RAW Data 25-26'!$B$1:$X$1,$K$3,'Segment RAW Data 25-26'!$B124:$X124)</f>
        <v>0</v>
      </c>
      <c r="L125" s="265">
        <f>sumif('Segment RAW Data 25-26'!$B$1:$X$1,$L$3,'Segment RAW Data 25-26'!$B124:$X124)</f>
        <v>0</v>
      </c>
      <c r="M125" s="270"/>
      <c r="N125" s="124"/>
      <c r="O125" s="124">
        <f>VLOOKUP(C125:C724,'Segment RAW Data 25-26'!A124:Y721,25,0)-VLOOKUP(C125:C724,C:D,2,0)</f>
        <v>0</v>
      </c>
    </row>
    <row r="126" hidden="1">
      <c r="A126" s="157"/>
      <c r="B126" s="157"/>
      <c r="C126" s="157" t="s">
        <v>576</v>
      </c>
      <c r="D126" s="124">
        <f t="shared" si="1"/>
        <v>0</v>
      </c>
      <c r="E126" s="265">
        <f>sumif('Segment RAW Data 25-26'!$B$1:$X$1,$E$3,'Segment RAW Data 25-26'!$B125:$X125)</f>
        <v>0</v>
      </c>
      <c r="F126" s="265">
        <f>sumif('Segment RAW Data 25-26'!$B$1:$X$1,$F$3,'Segment RAW Data 25-26'!$B125:$X125)</f>
        <v>0</v>
      </c>
      <c r="G126" s="265">
        <f>sumif('Segment RAW Data 25-26'!$B$1:$X$1,$G$3,'Segment RAW Data 25-26'!$B125:$X125)</f>
        <v>0</v>
      </c>
      <c r="H126" s="265">
        <f>sumif('Segment RAW Data 25-26'!$B$1:$X$1,$H$3,'Segment RAW Data 25-26'!$B125:$X125)</f>
        <v>0</v>
      </c>
      <c r="I126" s="265">
        <f>sumif('Segment RAW Data 25-26'!$B$1:$X$1,$I$3,'Segment RAW Data 25-26'!$B125:$X125)</f>
        <v>0</v>
      </c>
      <c r="J126" s="265">
        <f>sumif('Segment RAW Data 25-26'!$B$1:$X$1,$J$3,'Segment RAW Data 25-26'!$B125:$X125)</f>
        <v>0</v>
      </c>
      <c r="K126" s="265">
        <f>sumif('Segment RAW Data 25-26'!$B$1:$X$1,$K$3,'Segment RAW Data 25-26'!$B125:$X125)</f>
        <v>0</v>
      </c>
      <c r="L126" s="265">
        <f>sumif('Segment RAW Data 25-26'!$B$1:$X$1,$L$3,'Segment RAW Data 25-26'!$B125:$X125)</f>
        <v>0</v>
      </c>
      <c r="M126" s="270"/>
      <c r="N126" s="124"/>
      <c r="O126" s="124">
        <f>VLOOKUP(C126:C725,'Segment RAW Data 25-26'!A125:Y722,25,0)-VLOOKUP(C126:C725,C:D,2,0)</f>
        <v>0</v>
      </c>
    </row>
    <row r="127" hidden="1">
      <c r="A127" s="157"/>
      <c r="B127" s="157"/>
      <c r="C127" s="157" t="s">
        <v>577</v>
      </c>
      <c r="D127" s="124">
        <f t="shared" si="1"/>
        <v>0</v>
      </c>
      <c r="E127" s="265">
        <f>sumif('Segment RAW Data 25-26'!$B$1:$X$1,$E$3,'Segment RAW Data 25-26'!$B126:$X126)</f>
        <v>0</v>
      </c>
      <c r="F127" s="265">
        <f>sumif('Segment RAW Data 25-26'!$B$1:$X$1,$F$3,'Segment RAW Data 25-26'!$B126:$X126)</f>
        <v>0</v>
      </c>
      <c r="G127" s="265">
        <f>sumif('Segment RAW Data 25-26'!$B$1:$X$1,$G$3,'Segment RAW Data 25-26'!$B126:$X126)</f>
        <v>0</v>
      </c>
      <c r="H127" s="265">
        <f>sumif('Segment RAW Data 25-26'!$B$1:$X$1,$H$3,'Segment RAW Data 25-26'!$B126:$X126)</f>
        <v>0</v>
      </c>
      <c r="I127" s="265">
        <f>sumif('Segment RAW Data 25-26'!$B$1:$X$1,$I$3,'Segment RAW Data 25-26'!$B126:$X126)</f>
        <v>0</v>
      </c>
      <c r="J127" s="265">
        <f>sumif('Segment RAW Data 25-26'!$B$1:$X$1,$J$3,'Segment RAW Data 25-26'!$B126:$X126)</f>
        <v>0</v>
      </c>
      <c r="K127" s="265">
        <f>sumif('Segment RAW Data 25-26'!$B$1:$X$1,$K$3,'Segment RAW Data 25-26'!$B126:$X126)</f>
        <v>0</v>
      </c>
      <c r="L127" s="265">
        <f>sumif('Segment RAW Data 25-26'!$B$1:$X$1,$L$3,'Segment RAW Data 25-26'!$B126:$X126)</f>
        <v>0</v>
      </c>
      <c r="M127" s="270"/>
      <c r="N127" s="124"/>
      <c r="O127" s="124">
        <f>VLOOKUP(C127:C726,'Segment RAW Data 25-26'!A126:Y723,25,0)-VLOOKUP(C127:C726,C:D,2,0)</f>
        <v>0</v>
      </c>
    </row>
    <row r="128" hidden="1">
      <c r="A128" s="157" t="s">
        <v>185</v>
      </c>
      <c r="B128" s="157" t="s">
        <v>85</v>
      </c>
      <c r="C128" s="157" t="s">
        <v>88</v>
      </c>
      <c r="D128" s="124">
        <f t="shared" si="1"/>
        <v>16007147.91</v>
      </c>
      <c r="E128" s="265">
        <f>sumif('Segment RAW Data 25-26'!$B$1:$X$1,$E$3,'Segment RAW Data 25-26'!$B127:$X127)</f>
        <v>623826.65</v>
      </c>
      <c r="F128" s="265">
        <f>sumif('Segment RAW Data 25-26'!$B$1:$X$1,$F$3,'Segment RAW Data 25-26'!$B127:$X127)</f>
        <v>2863773.55</v>
      </c>
      <c r="G128" s="265">
        <f>sumif('Segment RAW Data 25-26'!$B$1:$X$1,$G$3,'Segment RAW Data 25-26'!$B127:$X127)</f>
        <v>8218514.71</v>
      </c>
      <c r="H128" s="265">
        <f>sumif('Segment RAW Data 25-26'!$B$1:$X$1,$H$3,'Segment RAW Data 25-26'!$B127:$X127)</f>
        <v>4301033</v>
      </c>
      <c r="I128" s="265">
        <f>sumif('Segment RAW Data 25-26'!$B$1:$X$1,$I$3,'Segment RAW Data 25-26'!$B127:$X127)</f>
        <v>0</v>
      </c>
      <c r="J128" s="265">
        <f>sumif('Segment RAW Data 25-26'!$B$1:$X$1,$J$3,'Segment RAW Data 25-26'!$B127:$X127)</f>
        <v>0</v>
      </c>
      <c r="K128" s="265">
        <f>sumif('Segment RAW Data 25-26'!$B$1:$X$1,$K$3,'Segment RAW Data 25-26'!$B127:$X127)</f>
        <v>0</v>
      </c>
      <c r="L128" s="265">
        <f>sumif('Segment RAW Data 25-26'!$B$1:$X$1,$L$3,'Segment RAW Data 25-26'!$B127:$X127)</f>
        <v>0</v>
      </c>
      <c r="M128" s="270"/>
      <c r="N128" s="124" t="s">
        <v>975</v>
      </c>
      <c r="O128" s="124">
        <f>VLOOKUP(C128:C727,'Segment RAW Data 25-26'!A127:Y724,25,0)-VLOOKUP(C128:C727,C:D,2,0)</f>
        <v>0</v>
      </c>
    </row>
    <row r="129" hidden="1">
      <c r="A129" s="157"/>
      <c r="B129" s="157"/>
      <c r="C129" s="157" t="s">
        <v>578</v>
      </c>
      <c r="D129" s="124">
        <f t="shared" si="1"/>
        <v>0</v>
      </c>
      <c r="E129" s="265">
        <f>sumif('Segment RAW Data 25-26'!$B$1:$X$1,$E$3,'Segment RAW Data 25-26'!$B128:$X128)</f>
        <v>0</v>
      </c>
      <c r="F129" s="265">
        <f>sumif('Segment RAW Data 25-26'!$B$1:$X$1,$F$3,'Segment RAW Data 25-26'!$B128:$X128)</f>
        <v>0</v>
      </c>
      <c r="G129" s="265">
        <f>sumif('Segment RAW Data 25-26'!$B$1:$X$1,$G$3,'Segment RAW Data 25-26'!$B128:$X128)</f>
        <v>0</v>
      </c>
      <c r="H129" s="265">
        <f>sumif('Segment RAW Data 25-26'!$B$1:$X$1,$H$3,'Segment RAW Data 25-26'!$B128:$X128)</f>
        <v>0</v>
      </c>
      <c r="I129" s="265">
        <f>sumif('Segment RAW Data 25-26'!$B$1:$X$1,$I$3,'Segment RAW Data 25-26'!$B128:$X128)</f>
        <v>0</v>
      </c>
      <c r="J129" s="265">
        <f>sumif('Segment RAW Data 25-26'!$B$1:$X$1,$J$3,'Segment RAW Data 25-26'!$B128:$X128)</f>
        <v>0</v>
      </c>
      <c r="K129" s="265">
        <f>sumif('Segment RAW Data 25-26'!$B$1:$X$1,$K$3,'Segment RAW Data 25-26'!$B128:$X128)</f>
        <v>0</v>
      </c>
      <c r="L129" s="265">
        <f>sumif('Segment RAW Data 25-26'!$B$1:$X$1,$L$3,'Segment RAW Data 25-26'!$B128:$X128)</f>
        <v>0</v>
      </c>
      <c r="M129" s="270"/>
      <c r="N129" s="124"/>
      <c r="O129" s="124">
        <f>VLOOKUP(C129:C728,'Segment RAW Data 25-26'!A128:Y725,25,0)-VLOOKUP(C129:C728,C:D,2,0)</f>
        <v>0</v>
      </c>
    </row>
    <row r="130" hidden="1">
      <c r="A130" s="157"/>
      <c r="B130" s="157"/>
      <c r="C130" s="157" t="s">
        <v>579</v>
      </c>
      <c r="D130" s="124">
        <f t="shared" si="1"/>
        <v>0</v>
      </c>
      <c r="E130" s="265">
        <f>sumif('Segment RAW Data 25-26'!$B$1:$X$1,$E$3,'Segment RAW Data 25-26'!$B129:$X129)</f>
        <v>0</v>
      </c>
      <c r="F130" s="265">
        <f>sumif('Segment RAW Data 25-26'!$B$1:$X$1,$F$3,'Segment RAW Data 25-26'!$B129:$X129)</f>
        <v>0</v>
      </c>
      <c r="G130" s="265">
        <f>sumif('Segment RAW Data 25-26'!$B$1:$X$1,$G$3,'Segment RAW Data 25-26'!$B129:$X129)</f>
        <v>0</v>
      </c>
      <c r="H130" s="265">
        <f>sumif('Segment RAW Data 25-26'!$B$1:$X$1,$H$3,'Segment RAW Data 25-26'!$B129:$X129)</f>
        <v>0</v>
      </c>
      <c r="I130" s="265">
        <f>sumif('Segment RAW Data 25-26'!$B$1:$X$1,$I$3,'Segment RAW Data 25-26'!$B129:$X129)</f>
        <v>0</v>
      </c>
      <c r="J130" s="265">
        <f>sumif('Segment RAW Data 25-26'!$B$1:$X$1,$J$3,'Segment RAW Data 25-26'!$B129:$X129)</f>
        <v>0</v>
      </c>
      <c r="K130" s="265">
        <f>sumif('Segment RAW Data 25-26'!$B$1:$X$1,$K$3,'Segment RAW Data 25-26'!$B129:$X129)</f>
        <v>0</v>
      </c>
      <c r="L130" s="265">
        <f>sumif('Segment RAW Data 25-26'!$B$1:$X$1,$L$3,'Segment RAW Data 25-26'!$B129:$X129)</f>
        <v>0</v>
      </c>
      <c r="M130" s="270"/>
      <c r="N130" s="124"/>
      <c r="O130" s="124">
        <f>VLOOKUP(C130:C729,'Segment RAW Data 25-26'!A129:Y726,25,0)-VLOOKUP(C130:C729,C:D,2,0)</f>
        <v>0</v>
      </c>
    </row>
    <row r="131" hidden="1">
      <c r="A131" s="157"/>
      <c r="B131" s="157"/>
      <c r="C131" s="157" t="s">
        <v>322</v>
      </c>
      <c r="D131" s="124">
        <f t="shared" si="1"/>
        <v>0</v>
      </c>
      <c r="E131" s="265">
        <f>sumif('Segment RAW Data 25-26'!$B$1:$X$1,$E$3,'Segment RAW Data 25-26'!$B130:$X130)</f>
        <v>0</v>
      </c>
      <c r="F131" s="265">
        <f>sumif('Segment RAW Data 25-26'!$B$1:$X$1,$F$3,'Segment RAW Data 25-26'!$B130:$X130)</f>
        <v>0</v>
      </c>
      <c r="G131" s="265">
        <f>sumif('Segment RAW Data 25-26'!$B$1:$X$1,$G$3,'Segment RAW Data 25-26'!$B130:$X130)</f>
        <v>0</v>
      </c>
      <c r="H131" s="265">
        <f>sumif('Segment RAW Data 25-26'!$B$1:$X$1,$H$3,'Segment RAW Data 25-26'!$B130:$X130)</f>
        <v>0</v>
      </c>
      <c r="I131" s="265">
        <f>sumif('Segment RAW Data 25-26'!$B$1:$X$1,$I$3,'Segment RAW Data 25-26'!$B130:$X130)</f>
        <v>0</v>
      </c>
      <c r="J131" s="265">
        <f>sumif('Segment RAW Data 25-26'!$B$1:$X$1,$J$3,'Segment RAW Data 25-26'!$B130:$X130)</f>
        <v>0</v>
      </c>
      <c r="K131" s="265">
        <f>sumif('Segment RAW Data 25-26'!$B$1:$X$1,$K$3,'Segment RAW Data 25-26'!$B130:$X130)</f>
        <v>0</v>
      </c>
      <c r="L131" s="265">
        <f>sumif('Segment RAW Data 25-26'!$B$1:$X$1,$L$3,'Segment RAW Data 25-26'!$B130:$X130)</f>
        <v>0</v>
      </c>
      <c r="M131" s="270"/>
      <c r="N131" s="124"/>
      <c r="O131" s="124">
        <f>VLOOKUP(C131:C730,'Segment RAW Data 25-26'!A130:Y727,25,0)-VLOOKUP(C131:C730,C:D,2,0)</f>
        <v>0</v>
      </c>
    </row>
    <row r="132" hidden="1">
      <c r="A132" s="157"/>
      <c r="B132" s="157"/>
      <c r="C132" s="157" t="s">
        <v>84</v>
      </c>
      <c r="D132" s="124">
        <f t="shared" si="1"/>
        <v>0</v>
      </c>
      <c r="E132" s="265">
        <f>sumif('Segment RAW Data 25-26'!$B$1:$X$1,$E$3,'Segment RAW Data 25-26'!$B131:$X131)</f>
        <v>0</v>
      </c>
      <c r="F132" s="265">
        <f>sumif('Segment RAW Data 25-26'!$B$1:$X$1,$F$3,'Segment RAW Data 25-26'!$B131:$X131)</f>
        <v>0</v>
      </c>
      <c r="G132" s="265">
        <f>sumif('Segment RAW Data 25-26'!$B$1:$X$1,$G$3,'Segment RAW Data 25-26'!$B131:$X131)</f>
        <v>0</v>
      </c>
      <c r="H132" s="265">
        <f>sumif('Segment RAW Data 25-26'!$B$1:$X$1,$H$3,'Segment RAW Data 25-26'!$B131:$X131)</f>
        <v>0</v>
      </c>
      <c r="I132" s="265">
        <f>sumif('Segment RAW Data 25-26'!$B$1:$X$1,$I$3,'Segment RAW Data 25-26'!$B131:$X131)</f>
        <v>0</v>
      </c>
      <c r="J132" s="265">
        <f>sumif('Segment RAW Data 25-26'!$B$1:$X$1,$J$3,'Segment RAW Data 25-26'!$B131:$X131)</f>
        <v>0</v>
      </c>
      <c r="K132" s="265">
        <f>sumif('Segment RAW Data 25-26'!$B$1:$X$1,$K$3,'Segment RAW Data 25-26'!$B131:$X131)</f>
        <v>0</v>
      </c>
      <c r="L132" s="265">
        <f>sumif('Segment RAW Data 25-26'!$B$1:$X$1,$L$3,'Segment RAW Data 25-26'!$B131:$X131)</f>
        <v>0</v>
      </c>
      <c r="M132" s="270"/>
      <c r="N132" s="124"/>
      <c r="O132" s="124">
        <f>VLOOKUP(C132:C731,'Segment RAW Data 25-26'!A131:Y728,25,0)-VLOOKUP(C132:C731,C:D,2,0)</f>
        <v>0</v>
      </c>
    </row>
    <row r="133" hidden="1">
      <c r="A133" s="157"/>
      <c r="B133" s="157"/>
      <c r="C133" s="157" t="s">
        <v>97</v>
      </c>
      <c r="D133" s="124">
        <f t="shared" si="1"/>
        <v>0</v>
      </c>
      <c r="E133" s="265">
        <f>sumif('Segment RAW Data 25-26'!$B$1:$X$1,$E$3,'Segment RAW Data 25-26'!$B132:$X132)</f>
        <v>0</v>
      </c>
      <c r="F133" s="265">
        <f>sumif('Segment RAW Data 25-26'!$B$1:$X$1,$F$3,'Segment RAW Data 25-26'!$B132:$X132)</f>
        <v>0</v>
      </c>
      <c r="G133" s="265">
        <f>sumif('Segment RAW Data 25-26'!$B$1:$X$1,$G$3,'Segment RAW Data 25-26'!$B132:$X132)</f>
        <v>0</v>
      </c>
      <c r="H133" s="265">
        <f>sumif('Segment RAW Data 25-26'!$B$1:$X$1,$H$3,'Segment RAW Data 25-26'!$B132:$X132)</f>
        <v>0</v>
      </c>
      <c r="I133" s="265">
        <f>sumif('Segment RAW Data 25-26'!$B$1:$X$1,$I$3,'Segment RAW Data 25-26'!$B132:$X132)</f>
        <v>0</v>
      </c>
      <c r="J133" s="265">
        <f>sumif('Segment RAW Data 25-26'!$B$1:$X$1,$J$3,'Segment RAW Data 25-26'!$B132:$X132)</f>
        <v>0</v>
      </c>
      <c r="K133" s="265">
        <f>sumif('Segment RAW Data 25-26'!$B$1:$X$1,$K$3,'Segment RAW Data 25-26'!$B132:$X132)</f>
        <v>0</v>
      </c>
      <c r="L133" s="265">
        <f>sumif('Segment RAW Data 25-26'!$B$1:$X$1,$L$3,'Segment RAW Data 25-26'!$B132:$X132)</f>
        <v>0</v>
      </c>
      <c r="M133" s="270"/>
      <c r="N133" s="124"/>
      <c r="O133" s="124">
        <f>VLOOKUP(C133:C732,'Segment RAW Data 25-26'!A132:Y729,25,0)-VLOOKUP(C133:C732,C:D,2,0)</f>
        <v>0</v>
      </c>
    </row>
    <row r="134" hidden="1">
      <c r="A134" s="157"/>
      <c r="B134" s="157"/>
      <c r="C134" s="157" t="s">
        <v>185</v>
      </c>
      <c r="D134" s="124">
        <f t="shared" si="1"/>
        <v>0</v>
      </c>
      <c r="E134" s="265">
        <f>sumif('Segment RAW Data 25-26'!$B$1:$X$1,$E$3,'Segment RAW Data 25-26'!$B133:$X133)</f>
        <v>0</v>
      </c>
      <c r="F134" s="265">
        <f>sumif('Segment RAW Data 25-26'!$B$1:$X$1,$F$3,'Segment RAW Data 25-26'!$B133:$X133)</f>
        <v>0</v>
      </c>
      <c r="G134" s="265">
        <f>sumif('Segment RAW Data 25-26'!$B$1:$X$1,$G$3,'Segment RAW Data 25-26'!$B133:$X133)</f>
        <v>0</v>
      </c>
      <c r="H134" s="265">
        <f>sumif('Segment RAW Data 25-26'!$B$1:$X$1,$H$3,'Segment RAW Data 25-26'!$B133:$X133)</f>
        <v>0</v>
      </c>
      <c r="I134" s="265">
        <f>sumif('Segment RAW Data 25-26'!$B$1:$X$1,$I$3,'Segment RAW Data 25-26'!$B133:$X133)</f>
        <v>0</v>
      </c>
      <c r="J134" s="265">
        <f>sumif('Segment RAW Data 25-26'!$B$1:$X$1,$J$3,'Segment RAW Data 25-26'!$B133:$X133)</f>
        <v>0</v>
      </c>
      <c r="K134" s="265">
        <f>sumif('Segment RAW Data 25-26'!$B$1:$X$1,$K$3,'Segment RAW Data 25-26'!$B133:$X133)</f>
        <v>0</v>
      </c>
      <c r="L134" s="265">
        <f>sumif('Segment RAW Data 25-26'!$B$1:$X$1,$L$3,'Segment RAW Data 25-26'!$B133:$X133)</f>
        <v>0</v>
      </c>
      <c r="M134" s="270"/>
      <c r="N134" s="124"/>
      <c r="O134" s="124">
        <f>VLOOKUP(C134:C733,'Segment RAW Data 25-26'!A133:Y730,25,0)-VLOOKUP(C134:C733,C:D,2,0)</f>
        <v>0</v>
      </c>
    </row>
    <row r="135" hidden="1">
      <c r="A135" s="157" t="s">
        <v>185</v>
      </c>
      <c r="B135" s="157" t="s">
        <v>114</v>
      </c>
      <c r="C135" s="157" t="s">
        <v>111</v>
      </c>
      <c r="D135" s="124">
        <f t="shared" si="1"/>
        <v>1925142.65</v>
      </c>
      <c r="E135" s="265">
        <f>sumif('Segment RAW Data 25-26'!$B$1:$X$1,$E$3,'Segment RAW Data 25-26'!$B134:$X134)</f>
        <v>167798</v>
      </c>
      <c r="F135" s="265">
        <f>sumif('Segment RAW Data 25-26'!$B$1:$X$1,$F$3,'Segment RAW Data 25-26'!$B134:$X134)</f>
        <v>23375</v>
      </c>
      <c r="G135" s="265">
        <f>sumif('Segment RAW Data 25-26'!$B$1:$X$1,$G$3,'Segment RAW Data 25-26'!$B134:$X134)</f>
        <v>1459517.15</v>
      </c>
      <c r="H135" s="265">
        <f>sumif('Segment RAW Data 25-26'!$B$1:$X$1,$H$3,'Segment RAW Data 25-26'!$B134:$X134)</f>
        <v>274452.5</v>
      </c>
      <c r="I135" s="265">
        <f>sumif('Segment RAW Data 25-26'!$B$1:$X$1,$I$3,'Segment RAW Data 25-26'!$B134:$X134)</f>
        <v>0</v>
      </c>
      <c r="J135" s="265">
        <f>sumif('Segment RAW Data 25-26'!$B$1:$X$1,$J$3,'Segment RAW Data 25-26'!$B134:$X134)</f>
        <v>0</v>
      </c>
      <c r="K135" s="265">
        <f>sumif('Segment RAW Data 25-26'!$B$1:$X$1,$K$3,'Segment RAW Data 25-26'!$B134:$X134)</f>
        <v>0</v>
      </c>
      <c r="L135" s="265">
        <f>sumif('Segment RAW Data 25-26'!$B$1:$X$1,$L$3,'Segment RAW Data 25-26'!$B134:$X134)</f>
        <v>0</v>
      </c>
      <c r="M135" s="270">
        <v>46091.0</v>
      </c>
      <c r="N135" s="124" t="s">
        <v>973</v>
      </c>
      <c r="O135" s="124">
        <f>VLOOKUP(C135:C734,'Segment RAW Data 25-26'!A134:Y731,25,0)-VLOOKUP(C135:C734,C:D,2,0)</f>
        <v>0</v>
      </c>
    </row>
    <row r="136" hidden="1">
      <c r="A136" s="157"/>
      <c r="B136" s="157"/>
      <c r="C136" s="157" t="s">
        <v>23</v>
      </c>
      <c r="D136" s="124">
        <f t="shared" si="1"/>
        <v>0</v>
      </c>
      <c r="E136" s="265">
        <f>sumif('Segment RAW Data 25-26'!$B$1:$X$1,$E$3,'Segment RAW Data 25-26'!$B135:$X135)</f>
        <v>0</v>
      </c>
      <c r="F136" s="265">
        <f>sumif('Segment RAW Data 25-26'!$B$1:$X$1,$F$3,'Segment RAW Data 25-26'!$B135:$X135)</f>
        <v>0</v>
      </c>
      <c r="G136" s="265">
        <f>sumif('Segment RAW Data 25-26'!$B$1:$X$1,$G$3,'Segment RAW Data 25-26'!$B135:$X135)</f>
        <v>0</v>
      </c>
      <c r="H136" s="265">
        <f>sumif('Segment RAW Data 25-26'!$B$1:$X$1,$H$3,'Segment RAW Data 25-26'!$B135:$X135)</f>
        <v>0</v>
      </c>
      <c r="I136" s="265">
        <f>sumif('Segment RAW Data 25-26'!$B$1:$X$1,$I$3,'Segment RAW Data 25-26'!$B135:$X135)</f>
        <v>0</v>
      </c>
      <c r="J136" s="265">
        <f>sumif('Segment RAW Data 25-26'!$B$1:$X$1,$J$3,'Segment RAW Data 25-26'!$B135:$X135)</f>
        <v>0</v>
      </c>
      <c r="K136" s="265">
        <f>sumif('Segment RAW Data 25-26'!$B$1:$X$1,$K$3,'Segment RAW Data 25-26'!$B135:$X135)</f>
        <v>0</v>
      </c>
      <c r="L136" s="265">
        <f>sumif('Segment RAW Data 25-26'!$B$1:$X$1,$L$3,'Segment RAW Data 25-26'!$B135:$X135)</f>
        <v>0</v>
      </c>
      <c r="M136" s="270"/>
      <c r="N136" s="124"/>
      <c r="O136" s="124">
        <f>VLOOKUP(C136:C735,'Segment RAW Data 25-26'!A135:Y732,25,0)-VLOOKUP(C136:C735,C:D,2,0)</f>
        <v>0</v>
      </c>
    </row>
    <row r="137" hidden="1">
      <c r="A137" s="157"/>
      <c r="B137" s="157"/>
      <c r="C137" s="157" t="s">
        <v>580</v>
      </c>
      <c r="D137" s="124">
        <f t="shared" si="1"/>
        <v>0</v>
      </c>
      <c r="E137" s="265">
        <f>sumif('Segment RAW Data 25-26'!$B$1:$X$1,$E$3,'Segment RAW Data 25-26'!$B136:$X136)</f>
        <v>0</v>
      </c>
      <c r="F137" s="265">
        <f>sumif('Segment RAW Data 25-26'!$B$1:$X$1,$F$3,'Segment RAW Data 25-26'!$B136:$X136)</f>
        <v>0</v>
      </c>
      <c r="G137" s="265">
        <f>sumif('Segment RAW Data 25-26'!$B$1:$X$1,$G$3,'Segment RAW Data 25-26'!$B136:$X136)</f>
        <v>0</v>
      </c>
      <c r="H137" s="265">
        <f>sumif('Segment RAW Data 25-26'!$B$1:$X$1,$H$3,'Segment RAW Data 25-26'!$B136:$X136)</f>
        <v>0</v>
      </c>
      <c r="I137" s="265">
        <f>sumif('Segment RAW Data 25-26'!$B$1:$X$1,$I$3,'Segment RAW Data 25-26'!$B136:$X136)</f>
        <v>0</v>
      </c>
      <c r="J137" s="265">
        <f>sumif('Segment RAW Data 25-26'!$B$1:$X$1,$J$3,'Segment RAW Data 25-26'!$B136:$X136)</f>
        <v>0</v>
      </c>
      <c r="K137" s="265">
        <f>sumif('Segment RAW Data 25-26'!$B$1:$X$1,$K$3,'Segment RAW Data 25-26'!$B136:$X136)</f>
        <v>0</v>
      </c>
      <c r="L137" s="265">
        <f>sumif('Segment RAW Data 25-26'!$B$1:$X$1,$L$3,'Segment RAW Data 25-26'!$B136:$X136)</f>
        <v>0</v>
      </c>
      <c r="M137" s="270"/>
      <c r="N137" s="124"/>
      <c r="O137" s="124">
        <f>VLOOKUP(C137:C736,'Segment RAW Data 25-26'!A136:Y733,25,0)-VLOOKUP(C137:C736,C:D,2,0)</f>
        <v>0</v>
      </c>
    </row>
    <row r="138" hidden="1">
      <c r="A138" s="157"/>
      <c r="B138" s="157"/>
      <c r="C138" s="157" t="s">
        <v>581</v>
      </c>
      <c r="D138" s="124">
        <f t="shared" si="1"/>
        <v>0</v>
      </c>
      <c r="E138" s="265">
        <f>sumif('Segment RAW Data 25-26'!$B$1:$X$1,$E$3,'Segment RAW Data 25-26'!$B137:$X137)</f>
        <v>0</v>
      </c>
      <c r="F138" s="265">
        <f>sumif('Segment RAW Data 25-26'!$B$1:$X$1,$F$3,'Segment RAW Data 25-26'!$B137:$X137)</f>
        <v>0</v>
      </c>
      <c r="G138" s="265">
        <f>sumif('Segment RAW Data 25-26'!$B$1:$X$1,$G$3,'Segment RAW Data 25-26'!$B137:$X137)</f>
        <v>0</v>
      </c>
      <c r="H138" s="265">
        <f>sumif('Segment RAW Data 25-26'!$B$1:$X$1,$H$3,'Segment RAW Data 25-26'!$B137:$X137)</f>
        <v>0</v>
      </c>
      <c r="I138" s="265">
        <f>sumif('Segment RAW Data 25-26'!$B$1:$X$1,$I$3,'Segment RAW Data 25-26'!$B137:$X137)</f>
        <v>0</v>
      </c>
      <c r="J138" s="265">
        <f>sumif('Segment RAW Data 25-26'!$B$1:$X$1,$J$3,'Segment RAW Data 25-26'!$B137:$X137)</f>
        <v>0</v>
      </c>
      <c r="K138" s="265">
        <f>sumif('Segment RAW Data 25-26'!$B$1:$X$1,$K$3,'Segment RAW Data 25-26'!$B137:$X137)</f>
        <v>0</v>
      </c>
      <c r="L138" s="265">
        <f>sumif('Segment RAW Data 25-26'!$B$1:$X$1,$L$3,'Segment RAW Data 25-26'!$B137:$X137)</f>
        <v>0</v>
      </c>
      <c r="M138" s="270"/>
      <c r="N138" s="124"/>
      <c r="O138" s="124">
        <f>VLOOKUP(C138:C737,'Segment RAW Data 25-26'!A137:Y734,25,0)-VLOOKUP(C138:C737,C:D,2,0)</f>
        <v>0</v>
      </c>
    </row>
    <row r="139" hidden="1">
      <c r="A139" s="157"/>
      <c r="B139" s="157"/>
      <c r="C139" s="157" t="s">
        <v>582</v>
      </c>
      <c r="D139" s="124">
        <f t="shared" si="1"/>
        <v>0</v>
      </c>
      <c r="E139" s="265">
        <f>sumif('Segment RAW Data 25-26'!$B$1:$X$1,$E$3,'Segment RAW Data 25-26'!$B138:$X138)</f>
        <v>0</v>
      </c>
      <c r="F139" s="265">
        <f>sumif('Segment RAW Data 25-26'!$B$1:$X$1,$F$3,'Segment RAW Data 25-26'!$B138:$X138)</f>
        <v>0</v>
      </c>
      <c r="G139" s="265">
        <f>sumif('Segment RAW Data 25-26'!$B$1:$X$1,$G$3,'Segment RAW Data 25-26'!$B138:$X138)</f>
        <v>0</v>
      </c>
      <c r="H139" s="265">
        <f>sumif('Segment RAW Data 25-26'!$B$1:$X$1,$H$3,'Segment RAW Data 25-26'!$B138:$X138)</f>
        <v>0</v>
      </c>
      <c r="I139" s="265">
        <f>sumif('Segment RAW Data 25-26'!$B$1:$X$1,$I$3,'Segment RAW Data 25-26'!$B138:$X138)</f>
        <v>0</v>
      </c>
      <c r="J139" s="265">
        <f>sumif('Segment RAW Data 25-26'!$B$1:$X$1,$J$3,'Segment RAW Data 25-26'!$B138:$X138)</f>
        <v>0</v>
      </c>
      <c r="K139" s="265">
        <f>sumif('Segment RAW Data 25-26'!$B$1:$X$1,$K$3,'Segment RAW Data 25-26'!$B138:$X138)</f>
        <v>0</v>
      </c>
      <c r="L139" s="265">
        <f>sumif('Segment RAW Data 25-26'!$B$1:$X$1,$L$3,'Segment RAW Data 25-26'!$B138:$X138)</f>
        <v>0</v>
      </c>
      <c r="M139" s="270"/>
      <c r="N139" s="124"/>
      <c r="O139" s="124">
        <f>VLOOKUP(C139:C738,'Segment RAW Data 25-26'!A138:Y735,25,0)-VLOOKUP(C139:C738,C:D,2,0)</f>
        <v>0</v>
      </c>
    </row>
    <row r="140" hidden="1">
      <c r="A140" s="157"/>
      <c r="B140" s="157"/>
      <c r="C140" s="157" t="s">
        <v>583</v>
      </c>
      <c r="D140" s="124">
        <f t="shared" si="1"/>
        <v>0</v>
      </c>
      <c r="E140" s="265">
        <f>sumif('Segment RAW Data 25-26'!$B$1:$X$1,$E$3,'Segment RAW Data 25-26'!$B139:$X139)</f>
        <v>0</v>
      </c>
      <c r="F140" s="265">
        <f>sumif('Segment RAW Data 25-26'!$B$1:$X$1,$F$3,'Segment RAW Data 25-26'!$B139:$X139)</f>
        <v>0</v>
      </c>
      <c r="G140" s="265">
        <f>sumif('Segment RAW Data 25-26'!$B$1:$X$1,$G$3,'Segment RAW Data 25-26'!$B139:$X139)</f>
        <v>0</v>
      </c>
      <c r="H140" s="265">
        <f>sumif('Segment RAW Data 25-26'!$B$1:$X$1,$H$3,'Segment RAW Data 25-26'!$B139:$X139)</f>
        <v>0</v>
      </c>
      <c r="I140" s="265">
        <f>sumif('Segment RAW Data 25-26'!$B$1:$X$1,$I$3,'Segment RAW Data 25-26'!$B139:$X139)</f>
        <v>0</v>
      </c>
      <c r="J140" s="265">
        <f>sumif('Segment RAW Data 25-26'!$B$1:$X$1,$J$3,'Segment RAW Data 25-26'!$B139:$X139)</f>
        <v>0</v>
      </c>
      <c r="K140" s="265">
        <f>sumif('Segment RAW Data 25-26'!$B$1:$X$1,$K$3,'Segment RAW Data 25-26'!$B139:$X139)</f>
        <v>0</v>
      </c>
      <c r="L140" s="265">
        <f>sumif('Segment RAW Data 25-26'!$B$1:$X$1,$L$3,'Segment RAW Data 25-26'!$B139:$X139)</f>
        <v>0</v>
      </c>
      <c r="M140" s="270"/>
      <c r="N140" s="124"/>
      <c r="O140" s="124">
        <f>VLOOKUP(C140:C739,'Segment RAW Data 25-26'!A139:Y736,25,0)-VLOOKUP(C140:C739,C:D,2,0)</f>
        <v>0</v>
      </c>
    </row>
    <row r="141" hidden="1">
      <c r="A141" s="157"/>
      <c r="B141" s="157"/>
      <c r="C141" s="157" t="s">
        <v>584</v>
      </c>
      <c r="D141" s="124">
        <f t="shared" si="1"/>
        <v>0</v>
      </c>
      <c r="E141" s="265">
        <f>sumif('Segment RAW Data 25-26'!$B$1:$X$1,$E$3,'Segment RAW Data 25-26'!$B140:$X140)</f>
        <v>0</v>
      </c>
      <c r="F141" s="265">
        <f>sumif('Segment RAW Data 25-26'!$B$1:$X$1,$F$3,'Segment RAW Data 25-26'!$B140:$X140)</f>
        <v>0</v>
      </c>
      <c r="G141" s="265">
        <f>sumif('Segment RAW Data 25-26'!$B$1:$X$1,$G$3,'Segment RAW Data 25-26'!$B140:$X140)</f>
        <v>0</v>
      </c>
      <c r="H141" s="265">
        <f>sumif('Segment RAW Data 25-26'!$B$1:$X$1,$H$3,'Segment RAW Data 25-26'!$B140:$X140)</f>
        <v>0</v>
      </c>
      <c r="I141" s="265">
        <f>sumif('Segment RAW Data 25-26'!$B$1:$X$1,$I$3,'Segment RAW Data 25-26'!$B140:$X140)</f>
        <v>0</v>
      </c>
      <c r="J141" s="265">
        <f>sumif('Segment RAW Data 25-26'!$B$1:$X$1,$J$3,'Segment RAW Data 25-26'!$B140:$X140)</f>
        <v>0</v>
      </c>
      <c r="K141" s="265">
        <f>sumif('Segment RAW Data 25-26'!$B$1:$X$1,$K$3,'Segment RAW Data 25-26'!$B140:$X140)</f>
        <v>0</v>
      </c>
      <c r="L141" s="265">
        <f>sumif('Segment RAW Data 25-26'!$B$1:$X$1,$L$3,'Segment RAW Data 25-26'!$B140:$X140)</f>
        <v>0</v>
      </c>
      <c r="M141" s="270"/>
      <c r="N141" s="124"/>
      <c r="O141" s="124">
        <f>VLOOKUP(C141:C740,'Segment RAW Data 25-26'!A140:Y737,25,0)-VLOOKUP(C141:C740,C:D,2,0)</f>
        <v>0</v>
      </c>
    </row>
    <row r="142" hidden="1">
      <c r="A142" s="157" t="s">
        <v>185</v>
      </c>
      <c r="B142" s="157" t="s">
        <v>212</v>
      </c>
      <c r="C142" s="157" t="s">
        <v>225</v>
      </c>
      <c r="D142" s="124">
        <f t="shared" si="1"/>
        <v>9992477.79</v>
      </c>
      <c r="E142" s="265">
        <f>sumif('Segment RAW Data 25-26'!$B$1:$X$1,$E$3,'Segment RAW Data 25-26'!$B141:$X141)</f>
        <v>1056945.73</v>
      </c>
      <c r="F142" s="265">
        <f>sumif('Segment RAW Data 25-26'!$B$1:$X$1,$F$3,'Segment RAW Data 25-26'!$B141:$X141)</f>
        <v>4458424.8</v>
      </c>
      <c r="G142" s="265">
        <f>sumif('Segment RAW Data 25-26'!$B$1:$X$1,$G$3,'Segment RAW Data 25-26'!$B141:$X141)</f>
        <v>3180839.66</v>
      </c>
      <c r="H142" s="265">
        <f>sumif('Segment RAW Data 25-26'!$B$1:$X$1,$H$3,'Segment RAW Data 25-26'!$B141:$X141)</f>
        <v>276911.2</v>
      </c>
      <c r="I142" s="265">
        <f>sumif('Segment RAW Data 25-26'!$B$1:$X$1,$I$3,'Segment RAW Data 25-26'!$B141:$X141)</f>
        <v>0</v>
      </c>
      <c r="J142" s="265">
        <f>sumif('Segment RAW Data 25-26'!$B$1:$X$1,$J$3,'Segment RAW Data 25-26'!$B141:$X141)</f>
        <v>366331.4</v>
      </c>
      <c r="K142" s="265">
        <f>sumif('Segment RAW Data 25-26'!$B$1:$X$1,$K$3,'Segment RAW Data 25-26'!$B141:$X141)</f>
        <v>0</v>
      </c>
      <c r="L142" s="265">
        <f>sumif('Segment RAW Data 25-26'!$B$1:$X$1,$L$3,'Segment RAW Data 25-26'!$B141:$X141)</f>
        <v>653025</v>
      </c>
      <c r="M142" s="270"/>
      <c r="N142" s="124" t="s">
        <v>975</v>
      </c>
      <c r="O142" s="124">
        <f>VLOOKUP(C142:C741,'Segment RAW Data 25-26'!A141:Y738,25,0)-VLOOKUP(C142:C741,C:D,2,0)</f>
        <v>-0.01000000164</v>
      </c>
    </row>
    <row r="143" hidden="1">
      <c r="A143" s="157"/>
      <c r="B143" s="157"/>
      <c r="C143" s="157" t="s">
        <v>585</v>
      </c>
      <c r="D143" s="124">
        <f t="shared" si="1"/>
        <v>0</v>
      </c>
      <c r="E143" s="265">
        <f>sumif('Segment RAW Data 25-26'!$B$1:$X$1,$E$3,'Segment RAW Data 25-26'!$B142:$X142)</f>
        <v>0</v>
      </c>
      <c r="F143" s="265">
        <f>sumif('Segment RAW Data 25-26'!$B$1:$X$1,$F$3,'Segment RAW Data 25-26'!$B142:$X142)</f>
        <v>0</v>
      </c>
      <c r="G143" s="265">
        <f>sumif('Segment RAW Data 25-26'!$B$1:$X$1,$G$3,'Segment RAW Data 25-26'!$B142:$X142)</f>
        <v>0</v>
      </c>
      <c r="H143" s="265">
        <f>sumif('Segment RAW Data 25-26'!$B$1:$X$1,$H$3,'Segment RAW Data 25-26'!$B142:$X142)</f>
        <v>0</v>
      </c>
      <c r="I143" s="265">
        <f>sumif('Segment RAW Data 25-26'!$B$1:$X$1,$I$3,'Segment RAW Data 25-26'!$B142:$X142)</f>
        <v>0</v>
      </c>
      <c r="J143" s="265">
        <f>sumif('Segment RAW Data 25-26'!$B$1:$X$1,$J$3,'Segment RAW Data 25-26'!$B142:$X142)</f>
        <v>0</v>
      </c>
      <c r="K143" s="265">
        <f>sumif('Segment RAW Data 25-26'!$B$1:$X$1,$K$3,'Segment RAW Data 25-26'!$B142:$X142)</f>
        <v>0</v>
      </c>
      <c r="L143" s="265">
        <f>sumif('Segment RAW Data 25-26'!$B$1:$X$1,$L$3,'Segment RAW Data 25-26'!$B142:$X142)</f>
        <v>0</v>
      </c>
      <c r="M143" s="270"/>
      <c r="N143" s="124"/>
      <c r="O143" s="124">
        <f>VLOOKUP(C143:C742,'Segment RAW Data 25-26'!A142:Y739,25,0)-VLOOKUP(C143:C742,C:D,2,0)</f>
        <v>0</v>
      </c>
    </row>
    <row r="144" hidden="1">
      <c r="A144" s="157"/>
      <c r="B144" s="157"/>
      <c r="C144" s="157" t="s">
        <v>586</v>
      </c>
      <c r="D144" s="124">
        <f t="shared" si="1"/>
        <v>0</v>
      </c>
      <c r="E144" s="265">
        <f>sumif('Segment RAW Data 25-26'!$B$1:$X$1,$E$3,'Segment RAW Data 25-26'!$B143:$X143)</f>
        <v>0</v>
      </c>
      <c r="F144" s="265">
        <f>sumif('Segment RAW Data 25-26'!$B$1:$X$1,$F$3,'Segment RAW Data 25-26'!$B143:$X143)</f>
        <v>0</v>
      </c>
      <c r="G144" s="265">
        <f>sumif('Segment RAW Data 25-26'!$B$1:$X$1,$G$3,'Segment RAW Data 25-26'!$B143:$X143)</f>
        <v>0</v>
      </c>
      <c r="H144" s="265">
        <f>sumif('Segment RAW Data 25-26'!$B$1:$X$1,$H$3,'Segment RAW Data 25-26'!$B143:$X143)</f>
        <v>0</v>
      </c>
      <c r="I144" s="265">
        <f>sumif('Segment RAW Data 25-26'!$B$1:$X$1,$I$3,'Segment RAW Data 25-26'!$B143:$X143)</f>
        <v>0</v>
      </c>
      <c r="J144" s="265">
        <f>sumif('Segment RAW Data 25-26'!$B$1:$X$1,$J$3,'Segment RAW Data 25-26'!$B143:$X143)</f>
        <v>0</v>
      </c>
      <c r="K144" s="265">
        <f>sumif('Segment RAW Data 25-26'!$B$1:$X$1,$K$3,'Segment RAW Data 25-26'!$B143:$X143)</f>
        <v>0</v>
      </c>
      <c r="L144" s="265">
        <f>sumif('Segment RAW Data 25-26'!$B$1:$X$1,$L$3,'Segment RAW Data 25-26'!$B143:$X143)</f>
        <v>0</v>
      </c>
      <c r="M144" s="270"/>
      <c r="N144" s="124"/>
      <c r="O144" s="124">
        <f>VLOOKUP(C144:C743,'Segment RAW Data 25-26'!A143:Y740,25,0)-VLOOKUP(C144:C743,C:D,2,0)</f>
        <v>0</v>
      </c>
    </row>
    <row r="145" hidden="1">
      <c r="A145" s="157"/>
      <c r="B145" s="157"/>
      <c r="C145" s="157" t="s">
        <v>587</v>
      </c>
      <c r="D145" s="124">
        <f t="shared" si="1"/>
        <v>0</v>
      </c>
      <c r="E145" s="265">
        <f>sumif('Segment RAW Data 25-26'!$B$1:$X$1,$E$3,'Segment RAW Data 25-26'!$B144:$X144)</f>
        <v>0</v>
      </c>
      <c r="F145" s="265">
        <f>sumif('Segment RAW Data 25-26'!$B$1:$X$1,$F$3,'Segment RAW Data 25-26'!$B144:$X144)</f>
        <v>0</v>
      </c>
      <c r="G145" s="265">
        <f>sumif('Segment RAW Data 25-26'!$B$1:$X$1,$G$3,'Segment RAW Data 25-26'!$B144:$X144)</f>
        <v>0</v>
      </c>
      <c r="H145" s="265">
        <f>sumif('Segment RAW Data 25-26'!$B$1:$X$1,$H$3,'Segment RAW Data 25-26'!$B144:$X144)</f>
        <v>0</v>
      </c>
      <c r="I145" s="265">
        <f>sumif('Segment RAW Data 25-26'!$B$1:$X$1,$I$3,'Segment RAW Data 25-26'!$B144:$X144)</f>
        <v>0</v>
      </c>
      <c r="J145" s="265">
        <f>sumif('Segment RAW Data 25-26'!$B$1:$X$1,$J$3,'Segment RAW Data 25-26'!$B144:$X144)</f>
        <v>0</v>
      </c>
      <c r="K145" s="265">
        <f>sumif('Segment RAW Data 25-26'!$B$1:$X$1,$K$3,'Segment RAW Data 25-26'!$B144:$X144)</f>
        <v>0</v>
      </c>
      <c r="L145" s="265">
        <f>sumif('Segment RAW Data 25-26'!$B$1:$X$1,$L$3,'Segment RAW Data 25-26'!$B144:$X144)</f>
        <v>0</v>
      </c>
      <c r="M145" s="270"/>
      <c r="N145" s="124"/>
      <c r="O145" s="124">
        <f>VLOOKUP(C145:C744,'Segment RAW Data 25-26'!A144:Y741,25,0)-VLOOKUP(C145:C744,C:D,2,0)</f>
        <v>0</v>
      </c>
    </row>
    <row r="146" hidden="1">
      <c r="A146" s="157"/>
      <c r="B146" s="157"/>
      <c r="C146" s="157" t="s">
        <v>588</v>
      </c>
      <c r="D146" s="124">
        <f t="shared" si="1"/>
        <v>0</v>
      </c>
      <c r="E146" s="265">
        <f>sumif('Segment RAW Data 25-26'!$B$1:$X$1,$E$3,'Segment RAW Data 25-26'!$B145:$X145)</f>
        <v>0</v>
      </c>
      <c r="F146" s="265">
        <f>sumif('Segment RAW Data 25-26'!$B$1:$X$1,$F$3,'Segment RAW Data 25-26'!$B145:$X145)</f>
        <v>0</v>
      </c>
      <c r="G146" s="265">
        <f>sumif('Segment RAW Data 25-26'!$B$1:$X$1,$G$3,'Segment RAW Data 25-26'!$B145:$X145)</f>
        <v>0</v>
      </c>
      <c r="H146" s="265">
        <f>sumif('Segment RAW Data 25-26'!$B$1:$X$1,$H$3,'Segment RAW Data 25-26'!$B145:$X145)</f>
        <v>0</v>
      </c>
      <c r="I146" s="265">
        <f>sumif('Segment RAW Data 25-26'!$B$1:$X$1,$I$3,'Segment RAW Data 25-26'!$B145:$X145)</f>
        <v>0</v>
      </c>
      <c r="J146" s="265">
        <f>sumif('Segment RAW Data 25-26'!$B$1:$X$1,$J$3,'Segment RAW Data 25-26'!$B145:$X145)</f>
        <v>0</v>
      </c>
      <c r="K146" s="265">
        <f>sumif('Segment RAW Data 25-26'!$B$1:$X$1,$K$3,'Segment RAW Data 25-26'!$B145:$X145)</f>
        <v>0</v>
      </c>
      <c r="L146" s="265">
        <f>sumif('Segment RAW Data 25-26'!$B$1:$X$1,$L$3,'Segment RAW Data 25-26'!$B145:$X145)</f>
        <v>0</v>
      </c>
      <c r="M146" s="270"/>
      <c r="N146" s="124"/>
      <c r="O146" s="124">
        <f>VLOOKUP(C146:C745,'Segment RAW Data 25-26'!A145:Y742,25,0)-VLOOKUP(C146:C745,C:D,2,0)</f>
        <v>0</v>
      </c>
    </row>
    <row r="147" hidden="1">
      <c r="A147" s="157"/>
      <c r="B147" s="157"/>
      <c r="C147" s="157" t="s">
        <v>589</v>
      </c>
      <c r="D147" s="124">
        <f t="shared" si="1"/>
        <v>0</v>
      </c>
      <c r="E147" s="265">
        <f>sumif('Segment RAW Data 25-26'!$B$1:$X$1,$E$3,'Segment RAW Data 25-26'!$B146:$X146)</f>
        <v>0</v>
      </c>
      <c r="F147" s="265">
        <f>sumif('Segment RAW Data 25-26'!$B$1:$X$1,$F$3,'Segment RAW Data 25-26'!$B146:$X146)</f>
        <v>0</v>
      </c>
      <c r="G147" s="265">
        <f>sumif('Segment RAW Data 25-26'!$B$1:$X$1,$G$3,'Segment RAW Data 25-26'!$B146:$X146)</f>
        <v>0</v>
      </c>
      <c r="H147" s="265">
        <f>sumif('Segment RAW Data 25-26'!$B$1:$X$1,$H$3,'Segment RAW Data 25-26'!$B146:$X146)</f>
        <v>0</v>
      </c>
      <c r="I147" s="265">
        <f>sumif('Segment RAW Data 25-26'!$B$1:$X$1,$I$3,'Segment RAW Data 25-26'!$B146:$X146)</f>
        <v>0</v>
      </c>
      <c r="J147" s="265">
        <f>sumif('Segment RAW Data 25-26'!$B$1:$X$1,$J$3,'Segment RAW Data 25-26'!$B146:$X146)</f>
        <v>0</v>
      </c>
      <c r="K147" s="265">
        <f>sumif('Segment RAW Data 25-26'!$B$1:$X$1,$K$3,'Segment RAW Data 25-26'!$B146:$X146)</f>
        <v>0</v>
      </c>
      <c r="L147" s="265">
        <f>sumif('Segment RAW Data 25-26'!$B$1:$X$1,$L$3,'Segment RAW Data 25-26'!$B146:$X146)</f>
        <v>0</v>
      </c>
      <c r="M147" s="270"/>
      <c r="N147" s="124"/>
      <c r="O147" s="124">
        <f>VLOOKUP(C147:C746,'Segment RAW Data 25-26'!A146:Y743,25,0)-VLOOKUP(C147:C746,C:D,2,0)</f>
        <v>0</v>
      </c>
    </row>
    <row r="148" hidden="1">
      <c r="A148" s="157"/>
      <c r="B148" s="157"/>
      <c r="C148" s="157" t="s">
        <v>590</v>
      </c>
      <c r="D148" s="124">
        <f t="shared" si="1"/>
        <v>0</v>
      </c>
      <c r="E148" s="265">
        <f>sumif('Segment RAW Data 25-26'!$B$1:$X$1,$E$3,'Segment RAW Data 25-26'!$B147:$X147)</f>
        <v>0</v>
      </c>
      <c r="F148" s="265">
        <f>sumif('Segment RAW Data 25-26'!$B$1:$X$1,$F$3,'Segment RAW Data 25-26'!$B147:$X147)</f>
        <v>0</v>
      </c>
      <c r="G148" s="265">
        <f>sumif('Segment RAW Data 25-26'!$B$1:$X$1,$G$3,'Segment RAW Data 25-26'!$B147:$X147)</f>
        <v>0</v>
      </c>
      <c r="H148" s="265">
        <f>sumif('Segment RAW Data 25-26'!$B$1:$X$1,$H$3,'Segment RAW Data 25-26'!$B147:$X147)</f>
        <v>0</v>
      </c>
      <c r="I148" s="265">
        <f>sumif('Segment RAW Data 25-26'!$B$1:$X$1,$I$3,'Segment RAW Data 25-26'!$B147:$X147)</f>
        <v>0</v>
      </c>
      <c r="J148" s="265">
        <f>sumif('Segment RAW Data 25-26'!$B$1:$X$1,$J$3,'Segment RAW Data 25-26'!$B147:$X147)</f>
        <v>0</v>
      </c>
      <c r="K148" s="265">
        <f>sumif('Segment RAW Data 25-26'!$B$1:$X$1,$K$3,'Segment RAW Data 25-26'!$B147:$X147)</f>
        <v>0</v>
      </c>
      <c r="L148" s="265">
        <f>sumif('Segment RAW Data 25-26'!$B$1:$X$1,$L$3,'Segment RAW Data 25-26'!$B147:$X147)</f>
        <v>0</v>
      </c>
      <c r="M148" s="270"/>
      <c r="N148" s="124"/>
      <c r="O148" s="124">
        <f>VLOOKUP(C148:C747,'Segment RAW Data 25-26'!A147:Y744,25,0)-VLOOKUP(C148:C747,C:D,2,0)</f>
        <v>0</v>
      </c>
    </row>
    <row r="149" hidden="1">
      <c r="A149" s="157" t="s">
        <v>126</v>
      </c>
      <c r="B149" s="157" t="s">
        <v>140</v>
      </c>
      <c r="C149" s="157" t="s">
        <v>591</v>
      </c>
      <c r="D149" s="124">
        <f t="shared" si="1"/>
        <v>306632.08</v>
      </c>
      <c r="E149" s="265">
        <f>sumif('Segment RAW Data 25-26'!$B$1:$X$1,$E$3,'Segment RAW Data 25-26'!$B148:$X148)</f>
        <v>130095.96</v>
      </c>
      <c r="F149" s="265">
        <f>sumif('Segment RAW Data 25-26'!$B$1:$X$1,$F$3,'Segment RAW Data 25-26'!$B148:$X148)</f>
        <v>36116.6</v>
      </c>
      <c r="G149" s="265">
        <f>sumif('Segment RAW Data 25-26'!$B$1:$X$1,$G$3,'Segment RAW Data 25-26'!$B148:$X148)</f>
        <v>127927.52</v>
      </c>
      <c r="H149" s="265">
        <f>sumif('Segment RAW Data 25-26'!$B$1:$X$1,$H$3,'Segment RAW Data 25-26'!$B148:$X148)</f>
        <v>12492</v>
      </c>
      <c r="I149" s="265">
        <f>sumif('Segment RAW Data 25-26'!$B$1:$X$1,$I$3,'Segment RAW Data 25-26'!$B148:$X148)</f>
        <v>0</v>
      </c>
      <c r="J149" s="265">
        <f>sumif('Segment RAW Data 25-26'!$B$1:$X$1,$J$3,'Segment RAW Data 25-26'!$B148:$X148)</f>
        <v>0</v>
      </c>
      <c r="K149" s="265">
        <f>sumif('Segment RAW Data 25-26'!$B$1:$X$1,$K$3,'Segment RAW Data 25-26'!$B148:$X148)</f>
        <v>0</v>
      </c>
      <c r="L149" s="265">
        <f>sumif('Segment RAW Data 25-26'!$B$1:$X$1,$L$3,'Segment RAW Data 25-26'!$B148:$X148)</f>
        <v>0</v>
      </c>
      <c r="M149" s="270">
        <v>45777.0</v>
      </c>
      <c r="N149" s="124" t="s">
        <v>973</v>
      </c>
      <c r="O149" s="124">
        <f>VLOOKUP(C149:C748,'Segment RAW Data 25-26'!A148:Y745,25,0)-VLOOKUP(C149:C748,C:D,2,0)</f>
        <v>0</v>
      </c>
    </row>
    <row r="150" hidden="1">
      <c r="A150" s="157"/>
      <c r="B150" s="157"/>
      <c r="C150" s="157" t="s">
        <v>592</v>
      </c>
      <c r="D150" s="124">
        <f t="shared" si="1"/>
        <v>0</v>
      </c>
      <c r="E150" s="265">
        <f>sumif('Segment RAW Data 25-26'!$B$1:$X$1,$E$3,'Segment RAW Data 25-26'!$B149:$X149)</f>
        <v>0</v>
      </c>
      <c r="F150" s="265">
        <f>sumif('Segment RAW Data 25-26'!$B$1:$X$1,$F$3,'Segment RAW Data 25-26'!$B149:$X149)</f>
        <v>0</v>
      </c>
      <c r="G150" s="265">
        <f>sumif('Segment RAW Data 25-26'!$B$1:$X$1,$G$3,'Segment RAW Data 25-26'!$B149:$X149)</f>
        <v>0</v>
      </c>
      <c r="H150" s="265">
        <f>sumif('Segment RAW Data 25-26'!$B$1:$X$1,$H$3,'Segment RAW Data 25-26'!$B149:$X149)</f>
        <v>0</v>
      </c>
      <c r="I150" s="265">
        <f>sumif('Segment RAW Data 25-26'!$B$1:$X$1,$I$3,'Segment RAW Data 25-26'!$B149:$X149)</f>
        <v>0</v>
      </c>
      <c r="J150" s="265">
        <f>sumif('Segment RAW Data 25-26'!$B$1:$X$1,$J$3,'Segment RAW Data 25-26'!$B149:$X149)</f>
        <v>0</v>
      </c>
      <c r="K150" s="265">
        <f>sumif('Segment RAW Data 25-26'!$B$1:$X$1,$K$3,'Segment RAW Data 25-26'!$B149:$X149)</f>
        <v>0</v>
      </c>
      <c r="L150" s="265">
        <f>sumif('Segment RAW Data 25-26'!$B$1:$X$1,$L$3,'Segment RAW Data 25-26'!$B149:$X149)</f>
        <v>0</v>
      </c>
      <c r="M150" s="270"/>
      <c r="N150" s="124"/>
      <c r="O150" s="124">
        <f>VLOOKUP(C150:C749,'Segment RAW Data 25-26'!A149:Y746,25,0)-VLOOKUP(C150:C749,C:D,2,0)</f>
        <v>0</v>
      </c>
    </row>
    <row r="151" hidden="1">
      <c r="A151" s="157"/>
      <c r="B151" s="157"/>
      <c r="C151" s="157" t="s">
        <v>593</v>
      </c>
      <c r="D151" s="124">
        <f t="shared" si="1"/>
        <v>0</v>
      </c>
      <c r="E151" s="265">
        <f>sumif('Segment RAW Data 25-26'!$B$1:$X$1,$E$3,'Segment RAW Data 25-26'!$B150:$X150)</f>
        <v>0</v>
      </c>
      <c r="F151" s="265">
        <f>sumif('Segment RAW Data 25-26'!$B$1:$X$1,$F$3,'Segment RAW Data 25-26'!$B150:$X150)</f>
        <v>0</v>
      </c>
      <c r="G151" s="265">
        <f>sumif('Segment RAW Data 25-26'!$B$1:$X$1,$G$3,'Segment RAW Data 25-26'!$B150:$X150)</f>
        <v>0</v>
      </c>
      <c r="H151" s="265">
        <f>sumif('Segment RAW Data 25-26'!$B$1:$X$1,$H$3,'Segment RAW Data 25-26'!$B150:$X150)</f>
        <v>0</v>
      </c>
      <c r="I151" s="265">
        <f>sumif('Segment RAW Data 25-26'!$B$1:$X$1,$I$3,'Segment RAW Data 25-26'!$B150:$X150)</f>
        <v>0</v>
      </c>
      <c r="J151" s="265">
        <f>sumif('Segment RAW Data 25-26'!$B$1:$X$1,$J$3,'Segment RAW Data 25-26'!$B150:$X150)</f>
        <v>0</v>
      </c>
      <c r="K151" s="265">
        <f>sumif('Segment RAW Data 25-26'!$B$1:$X$1,$K$3,'Segment RAW Data 25-26'!$B150:$X150)</f>
        <v>0</v>
      </c>
      <c r="L151" s="265">
        <f>sumif('Segment RAW Data 25-26'!$B$1:$X$1,$L$3,'Segment RAW Data 25-26'!$B150:$X150)</f>
        <v>0</v>
      </c>
      <c r="M151" s="270"/>
      <c r="N151" s="124"/>
      <c r="O151" s="124">
        <f>VLOOKUP(C151:C750,'Segment RAW Data 25-26'!A150:Y747,25,0)-VLOOKUP(C151:C750,C:D,2,0)</f>
        <v>0</v>
      </c>
    </row>
    <row r="152" hidden="1">
      <c r="A152" s="157"/>
      <c r="B152" s="157"/>
      <c r="C152" s="157" t="s">
        <v>594</v>
      </c>
      <c r="D152" s="124">
        <f t="shared" si="1"/>
        <v>0</v>
      </c>
      <c r="E152" s="265">
        <f>sumif('Segment RAW Data 25-26'!$B$1:$X$1,$E$3,'Segment RAW Data 25-26'!$B151:$X151)</f>
        <v>0</v>
      </c>
      <c r="F152" s="265">
        <f>sumif('Segment RAW Data 25-26'!$B$1:$X$1,$F$3,'Segment RAW Data 25-26'!$B151:$X151)</f>
        <v>0</v>
      </c>
      <c r="G152" s="265">
        <f>sumif('Segment RAW Data 25-26'!$B$1:$X$1,$G$3,'Segment RAW Data 25-26'!$B151:$X151)</f>
        <v>0</v>
      </c>
      <c r="H152" s="265">
        <f>sumif('Segment RAW Data 25-26'!$B$1:$X$1,$H$3,'Segment RAW Data 25-26'!$B151:$X151)</f>
        <v>0</v>
      </c>
      <c r="I152" s="265">
        <f>sumif('Segment RAW Data 25-26'!$B$1:$X$1,$I$3,'Segment RAW Data 25-26'!$B151:$X151)</f>
        <v>0</v>
      </c>
      <c r="J152" s="265">
        <f>sumif('Segment RAW Data 25-26'!$B$1:$X$1,$J$3,'Segment RAW Data 25-26'!$B151:$X151)</f>
        <v>0</v>
      </c>
      <c r="K152" s="265">
        <f>sumif('Segment RAW Data 25-26'!$B$1:$X$1,$K$3,'Segment RAW Data 25-26'!$B151:$X151)</f>
        <v>0</v>
      </c>
      <c r="L152" s="265">
        <f>sumif('Segment RAW Data 25-26'!$B$1:$X$1,$L$3,'Segment RAW Data 25-26'!$B151:$X151)</f>
        <v>0</v>
      </c>
      <c r="M152" s="270"/>
      <c r="N152" s="124"/>
      <c r="O152" s="124">
        <f>VLOOKUP(C152:C751,'Segment RAW Data 25-26'!A151:Y748,25,0)-VLOOKUP(C152:C751,C:D,2,0)</f>
        <v>0</v>
      </c>
    </row>
    <row r="153" hidden="1">
      <c r="A153" s="157"/>
      <c r="B153" s="157"/>
      <c r="C153" s="157" t="s">
        <v>595</v>
      </c>
      <c r="D153" s="124">
        <f t="shared" si="1"/>
        <v>0</v>
      </c>
      <c r="E153" s="265">
        <f>sumif('Segment RAW Data 25-26'!$B$1:$X$1,$E$3,'Segment RAW Data 25-26'!$B152:$X152)</f>
        <v>0</v>
      </c>
      <c r="F153" s="265">
        <f>sumif('Segment RAW Data 25-26'!$B$1:$X$1,$F$3,'Segment RAW Data 25-26'!$B152:$X152)</f>
        <v>0</v>
      </c>
      <c r="G153" s="265">
        <f>sumif('Segment RAW Data 25-26'!$B$1:$X$1,$G$3,'Segment RAW Data 25-26'!$B152:$X152)</f>
        <v>0</v>
      </c>
      <c r="H153" s="265">
        <f>sumif('Segment RAW Data 25-26'!$B$1:$X$1,$H$3,'Segment RAW Data 25-26'!$B152:$X152)</f>
        <v>0</v>
      </c>
      <c r="I153" s="265">
        <f>sumif('Segment RAW Data 25-26'!$B$1:$X$1,$I$3,'Segment RAW Data 25-26'!$B152:$X152)</f>
        <v>0</v>
      </c>
      <c r="J153" s="265">
        <f>sumif('Segment RAW Data 25-26'!$B$1:$X$1,$J$3,'Segment RAW Data 25-26'!$B152:$X152)</f>
        <v>0</v>
      </c>
      <c r="K153" s="265">
        <f>sumif('Segment RAW Data 25-26'!$B$1:$X$1,$K$3,'Segment RAW Data 25-26'!$B152:$X152)</f>
        <v>0</v>
      </c>
      <c r="L153" s="265">
        <f>sumif('Segment RAW Data 25-26'!$B$1:$X$1,$L$3,'Segment RAW Data 25-26'!$B152:$X152)</f>
        <v>0</v>
      </c>
      <c r="M153" s="270"/>
      <c r="N153" s="124"/>
      <c r="O153" s="124">
        <f>VLOOKUP(C153:C752,'Segment RAW Data 25-26'!A152:Y749,25,0)-VLOOKUP(C153:C752,C:D,2,0)</f>
        <v>0</v>
      </c>
    </row>
    <row r="154" hidden="1">
      <c r="A154" s="157"/>
      <c r="B154" s="157"/>
      <c r="C154" s="157" t="s">
        <v>596</v>
      </c>
      <c r="D154" s="124">
        <f t="shared" si="1"/>
        <v>0</v>
      </c>
      <c r="E154" s="265">
        <f>sumif('Segment RAW Data 25-26'!$B$1:$X$1,$E$3,'Segment RAW Data 25-26'!$B153:$X153)</f>
        <v>0</v>
      </c>
      <c r="F154" s="265">
        <f>sumif('Segment RAW Data 25-26'!$B$1:$X$1,$F$3,'Segment RAW Data 25-26'!$B153:$X153)</f>
        <v>0</v>
      </c>
      <c r="G154" s="265">
        <f>sumif('Segment RAW Data 25-26'!$B$1:$X$1,$G$3,'Segment RAW Data 25-26'!$B153:$X153)</f>
        <v>0</v>
      </c>
      <c r="H154" s="265">
        <f>sumif('Segment RAW Data 25-26'!$B$1:$X$1,$H$3,'Segment RAW Data 25-26'!$B153:$X153)</f>
        <v>0</v>
      </c>
      <c r="I154" s="265">
        <f>sumif('Segment RAW Data 25-26'!$B$1:$X$1,$I$3,'Segment RAW Data 25-26'!$B153:$X153)</f>
        <v>0</v>
      </c>
      <c r="J154" s="265">
        <f>sumif('Segment RAW Data 25-26'!$B$1:$X$1,$J$3,'Segment RAW Data 25-26'!$B153:$X153)</f>
        <v>0</v>
      </c>
      <c r="K154" s="265">
        <f>sumif('Segment RAW Data 25-26'!$B$1:$X$1,$K$3,'Segment RAW Data 25-26'!$B153:$X153)</f>
        <v>0</v>
      </c>
      <c r="L154" s="265">
        <f>sumif('Segment RAW Data 25-26'!$B$1:$X$1,$L$3,'Segment RAW Data 25-26'!$B153:$X153)</f>
        <v>0</v>
      </c>
      <c r="M154" s="270"/>
      <c r="N154" s="124"/>
      <c r="O154" s="124">
        <f>VLOOKUP(C154:C753,'Segment RAW Data 25-26'!A153:Y750,25,0)-VLOOKUP(C154:C753,C:D,2,0)</f>
        <v>0</v>
      </c>
    </row>
    <row r="155" hidden="1">
      <c r="A155" s="157" t="s">
        <v>97</v>
      </c>
      <c r="B155" s="157" t="s">
        <v>101</v>
      </c>
      <c r="C155" s="157" t="s">
        <v>346</v>
      </c>
      <c r="D155" s="124">
        <f t="shared" si="1"/>
        <v>7594541.8</v>
      </c>
      <c r="E155" s="265">
        <f>sumif('Segment RAW Data 25-26'!$B$1:$X$1,$E$3,'Segment RAW Data 25-26'!$B154:$X154)</f>
        <v>0</v>
      </c>
      <c r="F155" s="265">
        <f>sumif('Segment RAW Data 25-26'!$B$1:$X$1,$F$3,'Segment RAW Data 25-26'!$B154:$X154)</f>
        <v>6805440.4</v>
      </c>
      <c r="G155" s="265">
        <f>sumif('Segment RAW Data 25-26'!$B$1:$X$1,$G$3,'Segment RAW Data 25-26'!$B154:$X154)</f>
        <v>0</v>
      </c>
      <c r="H155" s="265">
        <f>sumif('Segment RAW Data 25-26'!$B$1:$X$1,$H$3,'Segment RAW Data 25-26'!$B154:$X154)</f>
        <v>789101.4</v>
      </c>
      <c r="I155" s="265">
        <f>sumif('Segment RAW Data 25-26'!$B$1:$X$1,$I$3,'Segment RAW Data 25-26'!$B154:$X154)</f>
        <v>0</v>
      </c>
      <c r="J155" s="265">
        <f>sumif('Segment RAW Data 25-26'!$B$1:$X$1,$J$3,'Segment RAW Data 25-26'!$B154:$X154)</f>
        <v>0</v>
      </c>
      <c r="K155" s="265">
        <f>sumif('Segment RAW Data 25-26'!$B$1:$X$1,$K$3,'Segment RAW Data 25-26'!$B154:$X154)</f>
        <v>0</v>
      </c>
      <c r="L155" s="265">
        <f>sumif('Segment RAW Data 25-26'!$B$1:$X$1,$L$3,'Segment RAW Data 25-26'!$B154:$X154)</f>
        <v>0</v>
      </c>
      <c r="M155" s="270">
        <v>46112.0</v>
      </c>
      <c r="N155" s="124" t="s">
        <v>973</v>
      </c>
      <c r="O155" s="124">
        <f>VLOOKUP(C155:C754,'Segment RAW Data 25-26'!A154:Y751,25,0)-VLOOKUP(C155:C754,C:D,2,0)</f>
        <v>-0.0000000009313225746</v>
      </c>
    </row>
    <row r="156" hidden="1">
      <c r="A156" s="157" t="s">
        <v>97</v>
      </c>
      <c r="B156" s="157" t="s">
        <v>101</v>
      </c>
      <c r="C156" s="157" t="s">
        <v>597</v>
      </c>
      <c r="D156" s="124">
        <f t="shared" si="1"/>
        <v>0</v>
      </c>
      <c r="E156" s="265">
        <f>sumif('Segment RAW Data 25-26'!$B$1:$X$1,$E$3,'Segment RAW Data 25-26'!$B155:$X155)</f>
        <v>0</v>
      </c>
      <c r="F156" s="265">
        <f>sumif('Segment RAW Data 25-26'!$B$1:$X$1,$F$3,'Segment RAW Data 25-26'!$B155:$X155)</f>
        <v>0</v>
      </c>
      <c r="G156" s="265">
        <f>sumif('Segment RAW Data 25-26'!$B$1:$X$1,$G$3,'Segment RAW Data 25-26'!$B155:$X155)</f>
        <v>0</v>
      </c>
      <c r="H156" s="265">
        <f>sumif('Segment RAW Data 25-26'!$B$1:$X$1,$H$3,'Segment RAW Data 25-26'!$B155:$X155)</f>
        <v>0</v>
      </c>
      <c r="I156" s="265">
        <f>sumif('Segment RAW Data 25-26'!$B$1:$X$1,$I$3,'Segment RAW Data 25-26'!$B155:$X155)</f>
        <v>0</v>
      </c>
      <c r="J156" s="265">
        <f>sumif('Segment RAW Data 25-26'!$B$1:$X$1,$J$3,'Segment RAW Data 25-26'!$B155:$X155)</f>
        <v>0</v>
      </c>
      <c r="K156" s="265">
        <f>sumif('Segment RAW Data 25-26'!$B$1:$X$1,$K$3,'Segment RAW Data 25-26'!$B155:$X155)</f>
        <v>0</v>
      </c>
      <c r="L156" s="265">
        <f>sumif('Segment RAW Data 25-26'!$B$1:$X$1,$L$3,'Segment RAW Data 25-26'!$B155:$X155)</f>
        <v>0</v>
      </c>
      <c r="M156" s="270">
        <v>45774.0</v>
      </c>
      <c r="N156" s="124" t="s">
        <v>973</v>
      </c>
      <c r="O156" s="124">
        <f>VLOOKUP(C156:C755,'Segment RAW Data 25-26'!A155:Y752,25,0)-VLOOKUP(C156:C755,C:D,2,0)</f>
        <v>0</v>
      </c>
    </row>
    <row r="157" hidden="1">
      <c r="A157" s="157"/>
      <c r="B157" s="157"/>
      <c r="C157" s="157" t="s">
        <v>598</v>
      </c>
      <c r="D157" s="124">
        <f t="shared" si="1"/>
        <v>0</v>
      </c>
      <c r="E157" s="265">
        <f>sumif('Segment RAW Data 25-26'!$B$1:$X$1,$E$3,'Segment RAW Data 25-26'!$B156:$X156)</f>
        <v>0</v>
      </c>
      <c r="F157" s="265">
        <f>sumif('Segment RAW Data 25-26'!$B$1:$X$1,$F$3,'Segment RAW Data 25-26'!$B156:$X156)</f>
        <v>0</v>
      </c>
      <c r="G157" s="265">
        <f>sumif('Segment RAW Data 25-26'!$B$1:$X$1,$G$3,'Segment RAW Data 25-26'!$B156:$X156)</f>
        <v>0</v>
      </c>
      <c r="H157" s="265">
        <f>sumif('Segment RAW Data 25-26'!$B$1:$X$1,$H$3,'Segment RAW Data 25-26'!$B156:$X156)</f>
        <v>0</v>
      </c>
      <c r="I157" s="265">
        <f>sumif('Segment RAW Data 25-26'!$B$1:$X$1,$I$3,'Segment RAW Data 25-26'!$B156:$X156)</f>
        <v>0</v>
      </c>
      <c r="J157" s="265">
        <f>sumif('Segment RAW Data 25-26'!$B$1:$X$1,$J$3,'Segment RAW Data 25-26'!$B156:$X156)</f>
        <v>0</v>
      </c>
      <c r="K157" s="265">
        <f>sumif('Segment RAW Data 25-26'!$B$1:$X$1,$K$3,'Segment RAW Data 25-26'!$B156:$X156)</f>
        <v>0</v>
      </c>
      <c r="L157" s="265">
        <f>sumif('Segment RAW Data 25-26'!$B$1:$X$1,$L$3,'Segment RAW Data 25-26'!$B156:$X156)</f>
        <v>0</v>
      </c>
      <c r="M157" s="270"/>
      <c r="N157" s="124"/>
      <c r="O157" s="124">
        <f>VLOOKUP(C157:C756,'Segment RAW Data 25-26'!A156:Y753,25,0)-VLOOKUP(C157:C756,C:D,2,0)</f>
        <v>0</v>
      </c>
    </row>
    <row r="158" hidden="1">
      <c r="A158" s="157"/>
      <c r="B158" s="157"/>
      <c r="C158" s="157" t="s">
        <v>599</v>
      </c>
      <c r="D158" s="124">
        <f t="shared" si="1"/>
        <v>0</v>
      </c>
      <c r="E158" s="265">
        <f>sumif('Segment RAW Data 25-26'!$B$1:$X$1,$E$3,'Segment RAW Data 25-26'!$B157:$X157)</f>
        <v>0</v>
      </c>
      <c r="F158" s="265">
        <f>sumif('Segment RAW Data 25-26'!$B$1:$X$1,$F$3,'Segment RAW Data 25-26'!$B157:$X157)</f>
        <v>0</v>
      </c>
      <c r="G158" s="265">
        <f>sumif('Segment RAW Data 25-26'!$B$1:$X$1,$G$3,'Segment RAW Data 25-26'!$B157:$X157)</f>
        <v>0</v>
      </c>
      <c r="H158" s="265">
        <f>sumif('Segment RAW Data 25-26'!$B$1:$X$1,$H$3,'Segment RAW Data 25-26'!$B157:$X157)</f>
        <v>0</v>
      </c>
      <c r="I158" s="265">
        <f>sumif('Segment RAW Data 25-26'!$B$1:$X$1,$I$3,'Segment RAW Data 25-26'!$B157:$X157)</f>
        <v>0</v>
      </c>
      <c r="J158" s="265">
        <f>sumif('Segment RAW Data 25-26'!$B$1:$X$1,$J$3,'Segment RAW Data 25-26'!$B157:$X157)</f>
        <v>0</v>
      </c>
      <c r="K158" s="265">
        <f>sumif('Segment RAW Data 25-26'!$B$1:$X$1,$K$3,'Segment RAW Data 25-26'!$B157:$X157)</f>
        <v>0</v>
      </c>
      <c r="L158" s="265">
        <f>sumif('Segment RAW Data 25-26'!$B$1:$X$1,$L$3,'Segment RAW Data 25-26'!$B157:$X157)</f>
        <v>0</v>
      </c>
      <c r="M158" s="270"/>
      <c r="N158" s="124"/>
      <c r="O158" s="124">
        <f>VLOOKUP(C158:C757,'Segment RAW Data 25-26'!A157:Y754,25,0)-VLOOKUP(C158:C757,C:D,2,0)</f>
        <v>0</v>
      </c>
    </row>
    <row r="159" hidden="1">
      <c r="A159" s="157"/>
      <c r="B159" s="157"/>
      <c r="C159" s="157" t="s">
        <v>600</v>
      </c>
      <c r="D159" s="124">
        <f t="shared" si="1"/>
        <v>0</v>
      </c>
      <c r="E159" s="265">
        <f>sumif('Segment RAW Data 25-26'!$B$1:$X$1,$E$3,'Segment RAW Data 25-26'!$B158:$X158)</f>
        <v>0</v>
      </c>
      <c r="F159" s="265">
        <f>sumif('Segment RAW Data 25-26'!$B$1:$X$1,$F$3,'Segment RAW Data 25-26'!$B158:$X158)</f>
        <v>0</v>
      </c>
      <c r="G159" s="265">
        <f>sumif('Segment RAW Data 25-26'!$B$1:$X$1,$G$3,'Segment RAW Data 25-26'!$B158:$X158)</f>
        <v>0</v>
      </c>
      <c r="H159" s="265">
        <f>sumif('Segment RAW Data 25-26'!$B$1:$X$1,$H$3,'Segment RAW Data 25-26'!$B158:$X158)</f>
        <v>0</v>
      </c>
      <c r="I159" s="265">
        <f>sumif('Segment RAW Data 25-26'!$B$1:$X$1,$I$3,'Segment RAW Data 25-26'!$B158:$X158)</f>
        <v>0</v>
      </c>
      <c r="J159" s="265">
        <f>sumif('Segment RAW Data 25-26'!$B$1:$X$1,$J$3,'Segment RAW Data 25-26'!$B158:$X158)</f>
        <v>0</v>
      </c>
      <c r="K159" s="265">
        <f>sumif('Segment RAW Data 25-26'!$B$1:$X$1,$K$3,'Segment RAW Data 25-26'!$B158:$X158)</f>
        <v>0</v>
      </c>
      <c r="L159" s="265">
        <f>sumif('Segment RAW Data 25-26'!$B$1:$X$1,$L$3,'Segment RAW Data 25-26'!$B158:$X158)</f>
        <v>0</v>
      </c>
      <c r="M159" s="270"/>
      <c r="N159" s="124"/>
      <c r="O159" s="124">
        <f>VLOOKUP(C159:C758,'Segment RAW Data 25-26'!A158:Y755,25,0)-VLOOKUP(C159:C758,C:D,2,0)</f>
        <v>0</v>
      </c>
    </row>
    <row r="160" hidden="1">
      <c r="A160" s="157"/>
      <c r="B160" s="157"/>
      <c r="C160" s="157" t="s">
        <v>601</v>
      </c>
      <c r="D160" s="124">
        <f t="shared" si="1"/>
        <v>0</v>
      </c>
      <c r="E160" s="265">
        <f>sumif('Segment RAW Data 25-26'!$B$1:$X$1,$E$3,'Segment RAW Data 25-26'!$B159:$X159)</f>
        <v>0</v>
      </c>
      <c r="F160" s="265">
        <f>sumif('Segment RAW Data 25-26'!$B$1:$X$1,$F$3,'Segment RAW Data 25-26'!$B159:$X159)</f>
        <v>0</v>
      </c>
      <c r="G160" s="265">
        <f>sumif('Segment RAW Data 25-26'!$B$1:$X$1,$G$3,'Segment RAW Data 25-26'!$B159:$X159)</f>
        <v>0</v>
      </c>
      <c r="H160" s="265">
        <f>sumif('Segment RAW Data 25-26'!$B$1:$X$1,$H$3,'Segment RAW Data 25-26'!$B159:$X159)</f>
        <v>0</v>
      </c>
      <c r="I160" s="265">
        <f>sumif('Segment RAW Data 25-26'!$B$1:$X$1,$I$3,'Segment RAW Data 25-26'!$B159:$X159)</f>
        <v>0</v>
      </c>
      <c r="J160" s="265">
        <f>sumif('Segment RAW Data 25-26'!$B$1:$X$1,$J$3,'Segment RAW Data 25-26'!$B159:$X159)</f>
        <v>0</v>
      </c>
      <c r="K160" s="265">
        <f>sumif('Segment RAW Data 25-26'!$B$1:$X$1,$K$3,'Segment RAW Data 25-26'!$B159:$X159)</f>
        <v>0</v>
      </c>
      <c r="L160" s="265">
        <f>sumif('Segment RAW Data 25-26'!$B$1:$X$1,$L$3,'Segment RAW Data 25-26'!$B159:$X159)</f>
        <v>0</v>
      </c>
      <c r="M160" s="270"/>
      <c r="N160" s="124"/>
      <c r="O160" s="124">
        <f>VLOOKUP(C160:C759,'Segment RAW Data 25-26'!A159:Y756,25,0)-VLOOKUP(C160:C759,C:D,2,0)</f>
        <v>0</v>
      </c>
    </row>
    <row r="161" hidden="1">
      <c r="A161" s="157" t="s">
        <v>185</v>
      </c>
      <c r="B161" s="157" t="s">
        <v>215</v>
      </c>
      <c r="C161" s="157" t="s">
        <v>213</v>
      </c>
      <c r="D161" s="124">
        <f t="shared" si="1"/>
        <v>17398691.17</v>
      </c>
      <c r="E161" s="265">
        <f>sumif('Segment RAW Data 25-26'!$B$1:$X$1,$E$3,'Segment RAW Data 25-26'!$B160:$X160)</f>
        <v>7403182.8</v>
      </c>
      <c r="F161" s="265">
        <f>sumif('Segment RAW Data 25-26'!$B$1:$X$1,$F$3,'Segment RAW Data 25-26'!$B160:$X160)</f>
        <v>3521290.9</v>
      </c>
      <c r="G161" s="265">
        <f>sumif('Segment RAW Data 25-26'!$B$1:$X$1,$G$3,'Segment RAW Data 25-26'!$B160:$X160)</f>
        <v>4542226.77</v>
      </c>
      <c r="H161" s="265">
        <f>sumif('Segment RAW Data 25-26'!$B$1:$X$1,$H$3,'Segment RAW Data 25-26'!$B160:$X160)</f>
        <v>266766.2</v>
      </c>
      <c r="I161" s="265">
        <f>sumif('Segment RAW Data 25-26'!$B$1:$X$1,$I$3,'Segment RAW Data 25-26'!$B160:$X160)</f>
        <v>0</v>
      </c>
      <c r="J161" s="265">
        <f>sumif('Segment RAW Data 25-26'!$B$1:$X$1,$J$3,'Segment RAW Data 25-26'!$B160:$X160)</f>
        <v>751151.75</v>
      </c>
      <c r="K161" s="265">
        <f>sumif('Segment RAW Data 25-26'!$B$1:$X$1,$K$3,'Segment RAW Data 25-26'!$B160:$X160)</f>
        <v>0</v>
      </c>
      <c r="L161" s="265">
        <f>sumif('Segment RAW Data 25-26'!$B$1:$X$1,$L$3,'Segment RAW Data 25-26'!$B160:$X160)</f>
        <v>914072.75</v>
      </c>
      <c r="M161" s="270"/>
      <c r="N161" s="124" t="s">
        <v>975</v>
      </c>
      <c r="O161" s="124">
        <f>VLOOKUP(C161:C760,'Segment RAW Data 25-26'!A160:Y757,25,0)-VLOOKUP(C161:C760,C:D,2,0)</f>
        <v>0.02000000328</v>
      </c>
    </row>
    <row r="162" hidden="1">
      <c r="A162" s="157" t="s">
        <v>185</v>
      </c>
      <c r="B162" s="157" t="s">
        <v>222</v>
      </c>
      <c r="C162" s="157" t="s">
        <v>227</v>
      </c>
      <c r="D162" s="124">
        <f t="shared" si="1"/>
        <v>9855471.14</v>
      </c>
      <c r="E162" s="265">
        <f>sumif('Segment RAW Data 25-26'!$B$1:$X$1,$E$3,'Segment RAW Data 25-26'!$B161:$X161)</f>
        <v>2428381.61</v>
      </c>
      <c r="F162" s="265">
        <f>sumif('Segment RAW Data 25-26'!$B$1:$X$1,$F$3,'Segment RAW Data 25-26'!$B161:$X161)</f>
        <v>4763225.93</v>
      </c>
      <c r="G162" s="265">
        <f>sumif('Segment RAW Data 25-26'!$B$1:$X$1,$G$3,'Segment RAW Data 25-26'!$B161:$X161)</f>
        <v>667509.35</v>
      </c>
      <c r="H162" s="265">
        <f>sumif('Segment RAW Data 25-26'!$B$1:$X$1,$H$3,'Segment RAW Data 25-26'!$B161:$X161)</f>
        <v>617084.7</v>
      </c>
      <c r="I162" s="265">
        <f>sumif('Segment RAW Data 25-26'!$B$1:$X$1,$I$3,'Segment RAW Data 25-26'!$B161:$X161)</f>
        <v>0</v>
      </c>
      <c r="J162" s="265">
        <f>sumif('Segment RAW Data 25-26'!$B$1:$X$1,$J$3,'Segment RAW Data 25-26'!$B161:$X161)</f>
        <v>1379269.55</v>
      </c>
      <c r="K162" s="265">
        <f>sumif('Segment RAW Data 25-26'!$B$1:$X$1,$K$3,'Segment RAW Data 25-26'!$B161:$X161)</f>
        <v>0</v>
      </c>
      <c r="L162" s="265">
        <f>sumif('Segment RAW Data 25-26'!$B$1:$X$1,$L$3,'Segment RAW Data 25-26'!$B161:$X161)</f>
        <v>0</v>
      </c>
      <c r="M162" s="270"/>
      <c r="N162" s="124" t="s">
        <v>975</v>
      </c>
      <c r="O162" s="124">
        <f>VLOOKUP(C162:C761,'Segment RAW Data 25-26'!A161:Y758,25,0)-VLOOKUP(C162:C761,C:D,2,0)</f>
        <v>-0.009999997914</v>
      </c>
    </row>
    <row r="163" hidden="1">
      <c r="A163" s="157"/>
      <c r="B163" s="157"/>
      <c r="C163" s="157" t="s">
        <v>602</v>
      </c>
      <c r="D163" s="124">
        <f t="shared" si="1"/>
        <v>0</v>
      </c>
      <c r="E163" s="265">
        <f>sumif('Segment RAW Data 25-26'!$B$1:$X$1,$E$3,'Segment RAW Data 25-26'!$B162:$X162)</f>
        <v>0</v>
      </c>
      <c r="F163" s="265">
        <f>sumif('Segment RAW Data 25-26'!$B$1:$X$1,$F$3,'Segment RAW Data 25-26'!$B162:$X162)</f>
        <v>0</v>
      </c>
      <c r="G163" s="265">
        <f>sumif('Segment RAW Data 25-26'!$B$1:$X$1,$G$3,'Segment RAW Data 25-26'!$B162:$X162)</f>
        <v>0</v>
      </c>
      <c r="H163" s="265">
        <f>sumif('Segment RAW Data 25-26'!$B$1:$X$1,$H$3,'Segment RAW Data 25-26'!$B162:$X162)</f>
        <v>0</v>
      </c>
      <c r="I163" s="265">
        <f>sumif('Segment RAW Data 25-26'!$B$1:$X$1,$I$3,'Segment RAW Data 25-26'!$B162:$X162)</f>
        <v>0</v>
      </c>
      <c r="J163" s="265">
        <f>sumif('Segment RAW Data 25-26'!$B$1:$X$1,$J$3,'Segment RAW Data 25-26'!$B162:$X162)</f>
        <v>0</v>
      </c>
      <c r="K163" s="265">
        <f>sumif('Segment RAW Data 25-26'!$B$1:$X$1,$K$3,'Segment RAW Data 25-26'!$B162:$X162)</f>
        <v>0</v>
      </c>
      <c r="L163" s="265">
        <f>sumif('Segment RAW Data 25-26'!$B$1:$X$1,$L$3,'Segment RAW Data 25-26'!$B162:$X162)</f>
        <v>0</v>
      </c>
      <c r="M163" s="270"/>
      <c r="N163" s="124"/>
      <c r="O163" s="124">
        <f>VLOOKUP(C163:C762,'Segment RAW Data 25-26'!A162:Y759,25,0)-VLOOKUP(C163:C762,C:D,2,0)</f>
        <v>0</v>
      </c>
    </row>
    <row r="164" hidden="1">
      <c r="A164" s="157"/>
      <c r="B164" s="157"/>
      <c r="C164" s="157" t="s">
        <v>603</v>
      </c>
      <c r="D164" s="124">
        <f t="shared" si="1"/>
        <v>0</v>
      </c>
      <c r="E164" s="265">
        <f>sumif('Segment RAW Data 25-26'!$B$1:$X$1,$E$3,'Segment RAW Data 25-26'!$B163:$X163)</f>
        <v>0</v>
      </c>
      <c r="F164" s="265">
        <f>sumif('Segment RAW Data 25-26'!$B$1:$X$1,$F$3,'Segment RAW Data 25-26'!$B163:$X163)</f>
        <v>0</v>
      </c>
      <c r="G164" s="265">
        <f>sumif('Segment RAW Data 25-26'!$B$1:$X$1,$G$3,'Segment RAW Data 25-26'!$B163:$X163)</f>
        <v>0</v>
      </c>
      <c r="H164" s="265">
        <f>sumif('Segment RAW Data 25-26'!$B$1:$X$1,$H$3,'Segment RAW Data 25-26'!$B163:$X163)</f>
        <v>0</v>
      </c>
      <c r="I164" s="265">
        <f>sumif('Segment RAW Data 25-26'!$B$1:$X$1,$I$3,'Segment RAW Data 25-26'!$B163:$X163)</f>
        <v>0</v>
      </c>
      <c r="J164" s="265">
        <f>sumif('Segment RAW Data 25-26'!$B$1:$X$1,$J$3,'Segment RAW Data 25-26'!$B163:$X163)</f>
        <v>0</v>
      </c>
      <c r="K164" s="265">
        <f>sumif('Segment RAW Data 25-26'!$B$1:$X$1,$K$3,'Segment RAW Data 25-26'!$B163:$X163)</f>
        <v>0</v>
      </c>
      <c r="L164" s="265">
        <f>sumif('Segment RAW Data 25-26'!$B$1:$X$1,$L$3,'Segment RAW Data 25-26'!$B163:$X163)</f>
        <v>0</v>
      </c>
      <c r="M164" s="270"/>
      <c r="N164" s="124"/>
      <c r="O164" s="124">
        <f>VLOOKUP(C164:C763,'Segment RAW Data 25-26'!A163:Y760,25,0)-VLOOKUP(C164:C763,C:D,2,0)</f>
        <v>0</v>
      </c>
    </row>
    <row r="165" hidden="1">
      <c r="A165" s="157" t="s">
        <v>126</v>
      </c>
      <c r="B165" s="157" t="s">
        <v>140</v>
      </c>
      <c r="C165" s="157" t="s">
        <v>604</v>
      </c>
      <c r="D165" s="124">
        <f t="shared" si="1"/>
        <v>14192529.8</v>
      </c>
      <c r="E165" s="265">
        <f>sumif('Segment RAW Data 25-26'!$B$1:$X$1,$E$3,'Segment RAW Data 25-26'!$B164:$X164)</f>
        <v>9432609.32</v>
      </c>
      <c r="F165" s="265">
        <f>sumif('Segment RAW Data 25-26'!$B$1:$X$1,$F$3,'Segment RAW Data 25-26'!$B164:$X164)</f>
        <v>2054896.6</v>
      </c>
      <c r="G165" s="265">
        <f>sumif('Segment RAW Data 25-26'!$B$1:$X$1,$G$3,'Segment RAW Data 25-26'!$B164:$X164)</f>
        <v>1570705.88</v>
      </c>
      <c r="H165" s="265">
        <f>sumif('Segment RAW Data 25-26'!$B$1:$X$1,$H$3,'Segment RAW Data 25-26'!$B164:$X164)</f>
        <v>1134318</v>
      </c>
      <c r="I165" s="265">
        <f>sumif('Segment RAW Data 25-26'!$B$1:$X$1,$I$3,'Segment RAW Data 25-26'!$B164:$X164)</f>
        <v>0</v>
      </c>
      <c r="J165" s="265">
        <f>sumif('Segment RAW Data 25-26'!$B$1:$X$1,$J$3,'Segment RAW Data 25-26'!$B164:$X164)</f>
        <v>0</v>
      </c>
      <c r="K165" s="265">
        <f>sumif('Segment RAW Data 25-26'!$B$1:$X$1,$K$3,'Segment RAW Data 25-26'!$B164:$X164)</f>
        <v>0</v>
      </c>
      <c r="L165" s="265">
        <f>sumif('Segment RAW Data 25-26'!$B$1:$X$1,$L$3,'Segment RAW Data 25-26'!$B164:$X164)</f>
        <v>0</v>
      </c>
      <c r="M165" s="270"/>
      <c r="N165" s="124" t="s">
        <v>975</v>
      </c>
      <c r="O165" s="124">
        <f>VLOOKUP(C165:C764,'Segment RAW Data 25-26'!A164:Y761,25,0)-VLOOKUP(C165:C764,C:D,2,0)</f>
        <v>0</v>
      </c>
    </row>
    <row r="166" hidden="1">
      <c r="A166" s="157" t="s">
        <v>126</v>
      </c>
      <c r="B166" s="157" t="s">
        <v>130</v>
      </c>
      <c r="C166" s="157" t="s">
        <v>141</v>
      </c>
      <c r="D166" s="124">
        <f t="shared" si="1"/>
        <v>28197453.11</v>
      </c>
      <c r="E166" s="265">
        <f>sumif('Segment RAW Data 25-26'!$B$1:$X$1,$E$3,'Segment RAW Data 25-26'!$B165:$X165)</f>
        <v>12146459.12</v>
      </c>
      <c r="F166" s="265">
        <f>sumif('Segment RAW Data 25-26'!$B$1:$X$1,$F$3,'Segment RAW Data 25-26'!$B165:$X165)</f>
        <v>5947075.8</v>
      </c>
      <c r="G166" s="265">
        <f>sumif('Segment RAW Data 25-26'!$B$1:$X$1,$G$3,'Segment RAW Data 25-26'!$B165:$X165)</f>
        <v>5612991.64</v>
      </c>
      <c r="H166" s="265">
        <f>sumif('Segment RAW Data 25-26'!$B$1:$X$1,$H$3,'Segment RAW Data 25-26'!$B165:$X165)</f>
        <v>538577.6</v>
      </c>
      <c r="I166" s="265">
        <f>sumif('Segment RAW Data 25-26'!$B$1:$X$1,$I$3,'Segment RAW Data 25-26'!$B165:$X165)</f>
        <v>0</v>
      </c>
      <c r="J166" s="265">
        <f>sumif('Segment RAW Data 25-26'!$B$1:$X$1,$J$3,'Segment RAW Data 25-26'!$B165:$X165)</f>
        <v>444533.95</v>
      </c>
      <c r="K166" s="265">
        <f>sumif('Segment RAW Data 25-26'!$B$1:$X$1,$K$3,'Segment RAW Data 25-26'!$B165:$X165)</f>
        <v>0</v>
      </c>
      <c r="L166" s="265">
        <f>sumif('Segment RAW Data 25-26'!$B$1:$X$1,$L$3,'Segment RAW Data 25-26'!$B165:$X165)</f>
        <v>3507815</v>
      </c>
      <c r="M166" s="270"/>
      <c r="N166" s="124" t="s">
        <v>975</v>
      </c>
      <c r="O166" s="124">
        <f>VLOOKUP(C166:C765,'Segment RAW Data 25-26'!A165:Y762,25,0)-VLOOKUP(C166:C765,C:D,2,0)</f>
        <v>-0.01000000164</v>
      </c>
    </row>
    <row r="167" hidden="1">
      <c r="A167" s="157"/>
      <c r="B167" s="157"/>
      <c r="C167" s="157" t="s">
        <v>605</v>
      </c>
      <c r="D167" s="124">
        <f t="shared" si="1"/>
        <v>0</v>
      </c>
      <c r="E167" s="265">
        <f>sumif('Segment RAW Data 25-26'!$B$1:$X$1,$E$3,'Segment RAW Data 25-26'!$B166:$X166)</f>
        <v>0</v>
      </c>
      <c r="F167" s="265">
        <f>sumif('Segment RAW Data 25-26'!$B$1:$X$1,$F$3,'Segment RAW Data 25-26'!$B166:$X166)</f>
        <v>0</v>
      </c>
      <c r="G167" s="265">
        <f>sumif('Segment RAW Data 25-26'!$B$1:$X$1,$G$3,'Segment RAW Data 25-26'!$B166:$X166)</f>
        <v>0</v>
      </c>
      <c r="H167" s="265">
        <f>sumif('Segment RAW Data 25-26'!$B$1:$X$1,$H$3,'Segment RAW Data 25-26'!$B166:$X166)</f>
        <v>0</v>
      </c>
      <c r="I167" s="265">
        <f>sumif('Segment RAW Data 25-26'!$B$1:$X$1,$I$3,'Segment RAW Data 25-26'!$B166:$X166)</f>
        <v>0</v>
      </c>
      <c r="J167" s="265">
        <f>sumif('Segment RAW Data 25-26'!$B$1:$X$1,$J$3,'Segment RAW Data 25-26'!$B166:$X166)</f>
        <v>0</v>
      </c>
      <c r="K167" s="265">
        <f>sumif('Segment RAW Data 25-26'!$B$1:$X$1,$K$3,'Segment RAW Data 25-26'!$B166:$X166)</f>
        <v>0</v>
      </c>
      <c r="L167" s="265">
        <f>sumif('Segment RAW Data 25-26'!$B$1:$X$1,$L$3,'Segment RAW Data 25-26'!$B166:$X166)</f>
        <v>0</v>
      </c>
      <c r="M167" s="270"/>
      <c r="N167" s="124"/>
      <c r="O167" s="124">
        <f>VLOOKUP(C167:C766,'Segment RAW Data 25-26'!A166:Y763,25,0)-VLOOKUP(C167:C766,C:D,2,0)</f>
        <v>0</v>
      </c>
    </row>
    <row r="168" hidden="1">
      <c r="A168" s="157"/>
      <c r="B168" s="157"/>
      <c r="C168" s="157" t="s">
        <v>606</v>
      </c>
      <c r="D168" s="124">
        <f t="shared" si="1"/>
        <v>0</v>
      </c>
      <c r="E168" s="265">
        <f>sumif('Segment RAW Data 25-26'!$B$1:$X$1,$E$3,'Segment RAW Data 25-26'!$B167:$X167)</f>
        <v>0</v>
      </c>
      <c r="F168" s="265">
        <f>sumif('Segment RAW Data 25-26'!$B$1:$X$1,$F$3,'Segment RAW Data 25-26'!$B167:$X167)</f>
        <v>0</v>
      </c>
      <c r="G168" s="265">
        <f>sumif('Segment RAW Data 25-26'!$B$1:$X$1,$G$3,'Segment RAW Data 25-26'!$B167:$X167)</f>
        <v>0</v>
      </c>
      <c r="H168" s="265">
        <f>sumif('Segment RAW Data 25-26'!$B$1:$X$1,$H$3,'Segment RAW Data 25-26'!$B167:$X167)</f>
        <v>0</v>
      </c>
      <c r="I168" s="265">
        <f>sumif('Segment RAW Data 25-26'!$B$1:$X$1,$I$3,'Segment RAW Data 25-26'!$B167:$X167)</f>
        <v>0</v>
      </c>
      <c r="J168" s="265">
        <f>sumif('Segment RAW Data 25-26'!$B$1:$X$1,$J$3,'Segment RAW Data 25-26'!$B167:$X167)</f>
        <v>0</v>
      </c>
      <c r="K168" s="265">
        <f>sumif('Segment RAW Data 25-26'!$B$1:$X$1,$K$3,'Segment RAW Data 25-26'!$B167:$X167)</f>
        <v>0</v>
      </c>
      <c r="L168" s="265">
        <f>sumif('Segment RAW Data 25-26'!$B$1:$X$1,$L$3,'Segment RAW Data 25-26'!$B167:$X167)</f>
        <v>0</v>
      </c>
      <c r="M168" s="270"/>
      <c r="N168" s="124"/>
      <c r="O168" s="124">
        <f>VLOOKUP(C168:C767,'Segment RAW Data 25-26'!A167:Y764,25,0)-VLOOKUP(C168:C767,C:D,2,0)</f>
        <v>0</v>
      </c>
    </row>
    <row r="169" hidden="1">
      <c r="A169" s="157"/>
      <c r="B169" s="157"/>
      <c r="C169" s="157" t="s">
        <v>607</v>
      </c>
      <c r="D169" s="124">
        <f t="shared" si="1"/>
        <v>0</v>
      </c>
      <c r="E169" s="265">
        <f>sumif('Segment RAW Data 25-26'!$B$1:$X$1,$E$3,'Segment RAW Data 25-26'!$B168:$X168)</f>
        <v>0</v>
      </c>
      <c r="F169" s="265">
        <f>sumif('Segment RAW Data 25-26'!$B$1:$X$1,$F$3,'Segment RAW Data 25-26'!$B168:$X168)</f>
        <v>0</v>
      </c>
      <c r="G169" s="265">
        <f>sumif('Segment RAW Data 25-26'!$B$1:$X$1,$G$3,'Segment RAW Data 25-26'!$B168:$X168)</f>
        <v>0</v>
      </c>
      <c r="H169" s="265">
        <f>sumif('Segment RAW Data 25-26'!$B$1:$X$1,$H$3,'Segment RAW Data 25-26'!$B168:$X168)</f>
        <v>0</v>
      </c>
      <c r="I169" s="265">
        <f>sumif('Segment RAW Data 25-26'!$B$1:$X$1,$I$3,'Segment RAW Data 25-26'!$B168:$X168)</f>
        <v>0</v>
      </c>
      <c r="J169" s="265">
        <f>sumif('Segment RAW Data 25-26'!$B$1:$X$1,$J$3,'Segment RAW Data 25-26'!$B168:$X168)</f>
        <v>0</v>
      </c>
      <c r="K169" s="265">
        <f>sumif('Segment RAW Data 25-26'!$B$1:$X$1,$K$3,'Segment RAW Data 25-26'!$B168:$X168)</f>
        <v>0</v>
      </c>
      <c r="L169" s="265">
        <f>sumif('Segment RAW Data 25-26'!$B$1:$X$1,$L$3,'Segment RAW Data 25-26'!$B168:$X168)</f>
        <v>0</v>
      </c>
      <c r="M169" s="270"/>
      <c r="N169" s="124"/>
      <c r="O169" s="124">
        <f>VLOOKUP(C169:C768,'Segment RAW Data 25-26'!A168:Y765,25,0)-VLOOKUP(C169:C768,C:D,2,0)</f>
        <v>0</v>
      </c>
    </row>
    <row r="170" hidden="1">
      <c r="A170" s="157"/>
      <c r="B170" s="157"/>
      <c r="C170" s="157" t="s">
        <v>608</v>
      </c>
      <c r="D170" s="124">
        <f t="shared" si="1"/>
        <v>0</v>
      </c>
      <c r="E170" s="265">
        <f>sumif('Segment RAW Data 25-26'!$B$1:$X$1,$E$3,'Segment RAW Data 25-26'!$B169:$X169)</f>
        <v>0</v>
      </c>
      <c r="F170" s="265">
        <f>sumif('Segment RAW Data 25-26'!$B$1:$X$1,$F$3,'Segment RAW Data 25-26'!$B169:$X169)</f>
        <v>0</v>
      </c>
      <c r="G170" s="265">
        <f>sumif('Segment RAW Data 25-26'!$B$1:$X$1,$G$3,'Segment RAW Data 25-26'!$B169:$X169)</f>
        <v>0</v>
      </c>
      <c r="H170" s="265">
        <f>sumif('Segment RAW Data 25-26'!$B$1:$X$1,$H$3,'Segment RAW Data 25-26'!$B169:$X169)</f>
        <v>0</v>
      </c>
      <c r="I170" s="265">
        <f>sumif('Segment RAW Data 25-26'!$B$1:$X$1,$I$3,'Segment RAW Data 25-26'!$B169:$X169)</f>
        <v>0</v>
      </c>
      <c r="J170" s="265">
        <f>sumif('Segment RAW Data 25-26'!$B$1:$X$1,$J$3,'Segment RAW Data 25-26'!$B169:$X169)</f>
        <v>0</v>
      </c>
      <c r="K170" s="265">
        <f>sumif('Segment RAW Data 25-26'!$B$1:$X$1,$K$3,'Segment RAW Data 25-26'!$B169:$X169)</f>
        <v>0</v>
      </c>
      <c r="L170" s="265">
        <f>sumif('Segment RAW Data 25-26'!$B$1:$X$1,$L$3,'Segment RAW Data 25-26'!$B169:$X169)</f>
        <v>0</v>
      </c>
      <c r="M170" s="270"/>
      <c r="N170" s="124"/>
      <c r="O170" s="124">
        <f>VLOOKUP(C170:C769,'Segment RAW Data 25-26'!A169:Y766,25,0)-VLOOKUP(C170:C769,C:D,2,0)</f>
        <v>0</v>
      </c>
    </row>
    <row r="171" hidden="1">
      <c r="A171" s="157"/>
      <c r="B171" s="157"/>
      <c r="C171" s="157" t="s">
        <v>609</v>
      </c>
      <c r="D171" s="124">
        <f t="shared" si="1"/>
        <v>0</v>
      </c>
      <c r="E171" s="265">
        <f>sumif('Segment RAW Data 25-26'!$B$1:$X$1,$E$3,'Segment RAW Data 25-26'!$B170:$X170)</f>
        <v>0</v>
      </c>
      <c r="F171" s="265">
        <f>sumif('Segment RAW Data 25-26'!$B$1:$X$1,$F$3,'Segment RAW Data 25-26'!$B170:$X170)</f>
        <v>0</v>
      </c>
      <c r="G171" s="265">
        <f>sumif('Segment RAW Data 25-26'!$B$1:$X$1,$G$3,'Segment RAW Data 25-26'!$B170:$X170)</f>
        <v>0</v>
      </c>
      <c r="H171" s="265">
        <f>sumif('Segment RAW Data 25-26'!$B$1:$X$1,$H$3,'Segment RAW Data 25-26'!$B170:$X170)</f>
        <v>0</v>
      </c>
      <c r="I171" s="265">
        <f>sumif('Segment RAW Data 25-26'!$B$1:$X$1,$I$3,'Segment RAW Data 25-26'!$B170:$X170)</f>
        <v>0</v>
      </c>
      <c r="J171" s="265">
        <f>sumif('Segment RAW Data 25-26'!$B$1:$X$1,$J$3,'Segment RAW Data 25-26'!$B170:$X170)</f>
        <v>0</v>
      </c>
      <c r="K171" s="265">
        <f>sumif('Segment RAW Data 25-26'!$B$1:$X$1,$K$3,'Segment RAW Data 25-26'!$B170:$X170)</f>
        <v>0</v>
      </c>
      <c r="L171" s="265">
        <f>sumif('Segment RAW Data 25-26'!$B$1:$X$1,$L$3,'Segment RAW Data 25-26'!$B170:$X170)</f>
        <v>0</v>
      </c>
      <c r="M171" s="270"/>
      <c r="N171" s="124"/>
      <c r="O171" s="124">
        <f>VLOOKUP(C171:C770,'Segment RAW Data 25-26'!A170:Y767,25,0)-VLOOKUP(C171:C770,C:D,2,0)</f>
        <v>0</v>
      </c>
    </row>
    <row r="172" hidden="1">
      <c r="A172" s="157"/>
      <c r="B172" s="157"/>
      <c r="C172" s="157" t="s">
        <v>610</v>
      </c>
      <c r="D172" s="124">
        <f t="shared" si="1"/>
        <v>0</v>
      </c>
      <c r="E172" s="265">
        <f>sumif('Segment RAW Data 25-26'!$B$1:$X$1,$E$3,'Segment RAW Data 25-26'!$B171:$X171)</f>
        <v>0</v>
      </c>
      <c r="F172" s="265">
        <f>sumif('Segment RAW Data 25-26'!$B$1:$X$1,$F$3,'Segment RAW Data 25-26'!$B171:$X171)</f>
        <v>0</v>
      </c>
      <c r="G172" s="265">
        <f>sumif('Segment RAW Data 25-26'!$B$1:$X$1,$G$3,'Segment RAW Data 25-26'!$B171:$X171)</f>
        <v>0</v>
      </c>
      <c r="H172" s="265">
        <f>sumif('Segment RAW Data 25-26'!$B$1:$X$1,$H$3,'Segment RAW Data 25-26'!$B171:$X171)</f>
        <v>0</v>
      </c>
      <c r="I172" s="265">
        <f>sumif('Segment RAW Data 25-26'!$B$1:$X$1,$I$3,'Segment RAW Data 25-26'!$B171:$X171)</f>
        <v>0</v>
      </c>
      <c r="J172" s="265">
        <f>sumif('Segment RAW Data 25-26'!$B$1:$X$1,$J$3,'Segment RAW Data 25-26'!$B171:$X171)</f>
        <v>0</v>
      </c>
      <c r="K172" s="265">
        <f>sumif('Segment RAW Data 25-26'!$B$1:$X$1,$K$3,'Segment RAW Data 25-26'!$B171:$X171)</f>
        <v>0</v>
      </c>
      <c r="L172" s="265">
        <f>sumif('Segment RAW Data 25-26'!$B$1:$X$1,$L$3,'Segment RAW Data 25-26'!$B171:$X171)</f>
        <v>0</v>
      </c>
      <c r="M172" s="270"/>
      <c r="N172" s="124"/>
      <c r="O172" s="124">
        <f>VLOOKUP(C172:C771,'Segment RAW Data 25-26'!A171:Y768,25,0)-VLOOKUP(C172:C771,C:D,2,0)</f>
        <v>0</v>
      </c>
    </row>
    <row r="173" hidden="1">
      <c r="A173" s="157"/>
      <c r="B173" s="157"/>
      <c r="C173" s="157" t="s">
        <v>611</v>
      </c>
      <c r="D173" s="124">
        <f t="shared" si="1"/>
        <v>0</v>
      </c>
      <c r="E173" s="265">
        <f>sumif('Segment RAW Data 25-26'!$B$1:$X$1,$E$3,'Segment RAW Data 25-26'!$B172:$X172)</f>
        <v>0</v>
      </c>
      <c r="F173" s="265">
        <f>sumif('Segment RAW Data 25-26'!$B$1:$X$1,$F$3,'Segment RAW Data 25-26'!$B172:$X172)</f>
        <v>0</v>
      </c>
      <c r="G173" s="265">
        <f>sumif('Segment RAW Data 25-26'!$B$1:$X$1,$G$3,'Segment RAW Data 25-26'!$B172:$X172)</f>
        <v>0</v>
      </c>
      <c r="H173" s="265">
        <f>sumif('Segment RAW Data 25-26'!$B$1:$X$1,$H$3,'Segment RAW Data 25-26'!$B172:$X172)</f>
        <v>0</v>
      </c>
      <c r="I173" s="265">
        <f>sumif('Segment RAW Data 25-26'!$B$1:$X$1,$I$3,'Segment RAW Data 25-26'!$B172:$X172)</f>
        <v>0</v>
      </c>
      <c r="J173" s="265">
        <f>sumif('Segment RAW Data 25-26'!$B$1:$X$1,$J$3,'Segment RAW Data 25-26'!$B172:$X172)</f>
        <v>0</v>
      </c>
      <c r="K173" s="265">
        <f>sumif('Segment RAW Data 25-26'!$B$1:$X$1,$K$3,'Segment RAW Data 25-26'!$B172:$X172)</f>
        <v>0</v>
      </c>
      <c r="L173" s="265">
        <f>sumif('Segment RAW Data 25-26'!$B$1:$X$1,$L$3,'Segment RAW Data 25-26'!$B172:$X172)</f>
        <v>0</v>
      </c>
      <c r="M173" s="270"/>
      <c r="N173" s="124"/>
      <c r="O173" s="124">
        <f>VLOOKUP(C173:C772,'Segment RAW Data 25-26'!A172:Y769,25,0)-VLOOKUP(C173:C772,C:D,2,0)</f>
        <v>0</v>
      </c>
    </row>
    <row r="174" hidden="1">
      <c r="A174" s="157" t="s">
        <v>185</v>
      </c>
      <c r="B174" s="157" t="s">
        <v>212</v>
      </c>
      <c r="C174" s="157" t="s">
        <v>218</v>
      </c>
      <c r="D174" s="124">
        <f t="shared" si="1"/>
        <v>34762214.7</v>
      </c>
      <c r="E174" s="265">
        <f>sumif('Segment RAW Data 25-26'!$B$1:$X$1,$E$3,'Segment RAW Data 25-26'!$B173:$X173)</f>
        <v>3662995.12</v>
      </c>
      <c r="F174" s="265">
        <f>sumif('Segment RAW Data 25-26'!$B$1:$X$1,$F$3,'Segment RAW Data 25-26'!$B173:$X173)</f>
        <v>8593047.03</v>
      </c>
      <c r="G174" s="265">
        <f>sumif('Segment RAW Data 25-26'!$B$1:$X$1,$G$3,'Segment RAW Data 25-26'!$B173:$X173)</f>
        <v>20078370.49</v>
      </c>
      <c r="H174" s="265">
        <f>sumif('Segment RAW Data 25-26'!$B$1:$X$1,$H$3,'Segment RAW Data 25-26'!$B173:$X173)</f>
        <v>1339362.9</v>
      </c>
      <c r="I174" s="265">
        <f>sumif('Segment RAW Data 25-26'!$B$1:$X$1,$I$3,'Segment RAW Data 25-26'!$B173:$X173)</f>
        <v>0</v>
      </c>
      <c r="J174" s="265">
        <f>sumif('Segment RAW Data 25-26'!$B$1:$X$1,$J$3,'Segment RAW Data 25-26'!$B173:$X173)</f>
        <v>789995.41</v>
      </c>
      <c r="K174" s="265">
        <f>sumif('Segment RAW Data 25-26'!$B$1:$X$1,$K$3,'Segment RAW Data 25-26'!$B173:$X173)</f>
        <v>0</v>
      </c>
      <c r="L174" s="265">
        <f>sumif('Segment RAW Data 25-26'!$B$1:$X$1,$L$3,'Segment RAW Data 25-26'!$B173:$X173)</f>
        <v>298443.75</v>
      </c>
      <c r="M174" s="270"/>
      <c r="N174" s="124" t="s">
        <v>975</v>
      </c>
      <c r="O174" s="124">
        <f>VLOOKUP(C174:C773,'Segment RAW Data 25-26'!A173:Y770,25,0)-VLOOKUP(C174:C773,C:D,2,0)</f>
        <v>-0.009999997914</v>
      </c>
    </row>
    <row r="175" hidden="1">
      <c r="A175" s="157"/>
      <c r="B175" s="157"/>
      <c r="C175" s="157" t="s">
        <v>612</v>
      </c>
      <c r="D175" s="124">
        <f t="shared" si="1"/>
        <v>0</v>
      </c>
      <c r="E175" s="265">
        <f>sumif('Segment RAW Data 25-26'!$B$1:$X$1,$E$3,'Segment RAW Data 25-26'!$B174:$X174)</f>
        <v>0</v>
      </c>
      <c r="F175" s="265">
        <f>sumif('Segment RAW Data 25-26'!$B$1:$X$1,$F$3,'Segment RAW Data 25-26'!$B174:$X174)</f>
        <v>0</v>
      </c>
      <c r="G175" s="265">
        <f>sumif('Segment RAW Data 25-26'!$B$1:$X$1,$G$3,'Segment RAW Data 25-26'!$B174:$X174)</f>
        <v>0</v>
      </c>
      <c r="H175" s="265">
        <f>sumif('Segment RAW Data 25-26'!$B$1:$X$1,$H$3,'Segment RAW Data 25-26'!$B174:$X174)</f>
        <v>0</v>
      </c>
      <c r="I175" s="265">
        <f>sumif('Segment RAW Data 25-26'!$B$1:$X$1,$I$3,'Segment RAW Data 25-26'!$B174:$X174)</f>
        <v>0</v>
      </c>
      <c r="J175" s="265">
        <f>sumif('Segment RAW Data 25-26'!$B$1:$X$1,$J$3,'Segment RAW Data 25-26'!$B174:$X174)</f>
        <v>0</v>
      </c>
      <c r="K175" s="265">
        <f>sumif('Segment RAW Data 25-26'!$B$1:$X$1,$K$3,'Segment RAW Data 25-26'!$B174:$X174)</f>
        <v>0</v>
      </c>
      <c r="L175" s="265">
        <f>sumif('Segment RAW Data 25-26'!$B$1:$X$1,$L$3,'Segment RAW Data 25-26'!$B174:$X174)</f>
        <v>0</v>
      </c>
      <c r="M175" s="270"/>
      <c r="N175" s="124"/>
      <c r="O175" s="124">
        <f>VLOOKUP(C175:C774,'Segment RAW Data 25-26'!A174:Y771,25,0)-VLOOKUP(C175:C774,C:D,2,0)</f>
        <v>0</v>
      </c>
    </row>
    <row r="176" hidden="1">
      <c r="A176" s="157"/>
      <c r="B176" s="157"/>
      <c r="C176" s="157" t="s">
        <v>298</v>
      </c>
      <c r="D176" s="124">
        <f t="shared" si="1"/>
        <v>0</v>
      </c>
      <c r="E176" s="265">
        <f>sumif('Segment RAW Data 25-26'!$B$1:$X$1,$E$3,'Segment RAW Data 25-26'!$B175:$X175)</f>
        <v>0</v>
      </c>
      <c r="F176" s="265">
        <f>sumif('Segment RAW Data 25-26'!$B$1:$X$1,$F$3,'Segment RAW Data 25-26'!$B175:$X175)</f>
        <v>0</v>
      </c>
      <c r="G176" s="265">
        <f>sumif('Segment RAW Data 25-26'!$B$1:$X$1,$G$3,'Segment RAW Data 25-26'!$B175:$X175)</f>
        <v>0</v>
      </c>
      <c r="H176" s="265">
        <f>sumif('Segment RAW Data 25-26'!$B$1:$X$1,$H$3,'Segment RAW Data 25-26'!$B175:$X175)</f>
        <v>0</v>
      </c>
      <c r="I176" s="265">
        <f>sumif('Segment RAW Data 25-26'!$B$1:$X$1,$I$3,'Segment RAW Data 25-26'!$B175:$X175)</f>
        <v>0</v>
      </c>
      <c r="J176" s="265">
        <f>sumif('Segment RAW Data 25-26'!$B$1:$X$1,$J$3,'Segment RAW Data 25-26'!$B175:$X175)</f>
        <v>0</v>
      </c>
      <c r="K176" s="265">
        <f>sumif('Segment RAW Data 25-26'!$B$1:$X$1,$K$3,'Segment RAW Data 25-26'!$B175:$X175)</f>
        <v>0</v>
      </c>
      <c r="L176" s="265">
        <f>sumif('Segment RAW Data 25-26'!$B$1:$X$1,$L$3,'Segment RAW Data 25-26'!$B175:$X175)</f>
        <v>0</v>
      </c>
      <c r="M176" s="270"/>
      <c r="N176" s="124"/>
      <c r="O176" s="124">
        <f>VLOOKUP(C176:C775,'Segment RAW Data 25-26'!A175:Y772,25,0)-VLOOKUP(C176:C775,C:D,2,0)</f>
        <v>0</v>
      </c>
    </row>
    <row r="177" hidden="1">
      <c r="A177" s="157"/>
      <c r="B177" s="157"/>
      <c r="C177" s="157" t="s">
        <v>613</v>
      </c>
      <c r="D177" s="124">
        <f t="shared" si="1"/>
        <v>0</v>
      </c>
      <c r="E177" s="265">
        <f>sumif('Segment RAW Data 25-26'!$B$1:$X$1,$E$3,'Segment RAW Data 25-26'!$B176:$X176)</f>
        <v>0</v>
      </c>
      <c r="F177" s="265">
        <f>sumif('Segment RAW Data 25-26'!$B$1:$X$1,$F$3,'Segment RAW Data 25-26'!$B176:$X176)</f>
        <v>0</v>
      </c>
      <c r="G177" s="265">
        <f>sumif('Segment RAW Data 25-26'!$B$1:$X$1,$G$3,'Segment RAW Data 25-26'!$B176:$X176)</f>
        <v>0</v>
      </c>
      <c r="H177" s="265">
        <f>sumif('Segment RAW Data 25-26'!$B$1:$X$1,$H$3,'Segment RAW Data 25-26'!$B176:$X176)</f>
        <v>0</v>
      </c>
      <c r="I177" s="265">
        <f>sumif('Segment RAW Data 25-26'!$B$1:$X$1,$I$3,'Segment RAW Data 25-26'!$B176:$X176)</f>
        <v>0</v>
      </c>
      <c r="J177" s="265">
        <f>sumif('Segment RAW Data 25-26'!$B$1:$X$1,$J$3,'Segment RAW Data 25-26'!$B176:$X176)</f>
        <v>0</v>
      </c>
      <c r="K177" s="265">
        <f>sumif('Segment RAW Data 25-26'!$B$1:$X$1,$K$3,'Segment RAW Data 25-26'!$B176:$X176)</f>
        <v>0</v>
      </c>
      <c r="L177" s="265">
        <f>sumif('Segment RAW Data 25-26'!$B$1:$X$1,$L$3,'Segment RAW Data 25-26'!$B176:$X176)</f>
        <v>0</v>
      </c>
      <c r="M177" s="270"/>
      <c r="N177" s="124"/>
      <c r="O177" s="124">
        <f>VLOOKUP(C177:C776,'Segment RAW Data 25-26'!A176:Y773,25,0)-VLOOKUP(C177:C776,C:D,2,0)</f>
        <v>0</v>
      </c>
    </row>
    <row r="178" hidden="1">
      <c r="A178" s="157"/>
      <c r="B178" s="157"/>
      <c r="C178" s="157" t="s">
        <v>614</v>
      </c>
      <c r="D178" s="124">
        <f t="shared" si="1"/>
        <v>0</v>
      </c>
      <c r="E178" s="265">
        <f>sumif('Segment RAW Data 25-26'!$B$1:$X$1,$E$3,'Segment RAW Data 25-26'!$B177:$X177)</f>
        <v>0</v>
      </c>
      <c r="F178" s="265">
        <f>sumif('Segment RAW Data 25-26'!$B$1:$X$1,$F$3,'Segment RAW Data 25-26'!$B177:$X177)</f>
        <v>0</v>
      </c>
      <c r="G178" s="265">
        <f>sumif('Segment RAW Data 25-26'!$B$1:$X$1,$G$3,'Segment RAW Data 25-26'!$B177:$X177)</f>
        <v>0</v>
      </c>
      <c r="H178" s="265">
        <f>sumif('Segment RAW Data 25-26'!$B$1:$X$1,$H$3,'Segment RAW Data 25-26'!$B177:$X177)</f>
        <v>0</v>
      </c>
      <c r="I178" s="265">
        <f>sumif('Segment RAW Data 25-26'!$B$1:$X$1,$I$3,'Segment RAW Data 25-26'!$B177:$X177)</f>
        <v>0</v>
      </c>
      <c r="J178" s="265">
        <f>sumif('Segment RAW Data 25-26'!$B$1:$X$1,$J$3,'Segment RAW Data 25-26'!$B177:$X177)</f>
        <v>0</v>
      </c>
      <c r="K178" s="265">
        <f>sumif('Segment RAW Data 25-26'!$B$1:$X$1,$K$3,'Segment RAW Data 25-26'!$B177:$X177)</f>
        <v>0</v>
      </c>
      <c r="L178" s="265">
        <f>sumif('Segment RAW Data 25-26'!$B$1:$X$1,$L$3,'Segment RAW Data 25-26'!$B177:$X177)</f>
        <v>0</v>
      </c>
      <c r="M178" s="270"/>
      <c r="N178" s="124"/>
      <c r="O178" s="124">
        <f>VLOOKUP(C178:C777,'Segment RAW Data 25-26'!A177:Y774,25,0)-VLOOKUP(C178:C777,C:D,2,0)</f>
        <v>0</v>
      </c>
    </row>
    <row r="179" hidden="1">
      <c r="A179" s="157" t="s">
        <v>185</v>
      </c>
      <c r="B179" s="157" t="s">
        <v>215</v>
      </c>
      <c r="C179" s="157" t="s">
        <v>216</v>
      </c>
      <c r="D179" s="124">
        <f t="shared" si="1"/>
        <v>52611903.57</v>
      </c>
      <c r="E179" s="265">
        <f>sumif('Segment RAW Data 25-26'!$B$1:$X$1,$E$3,'Segment RAW Data 25-26'!$B178:$X178)</f>
        <v>30608361.89</v>
      </c>
      <c r="F179" s="265">
        <f>sumif('Segment RAW Data 25-26'!$B$1:$X$1,$F$3,'Segment RAW Data 25-26'!$B178:$X178)</f>
        <v>10504291.88</v>
      </c>
      <c r="G179" s="265">
        <f>sumif('Segment RAW Data 25-26'!$B$1:$X$1,$G$3,'Segment RAW Data 25-26'!$B178:$X178)</f>
        <v>5058643.05</v>
      </c>
      <c r="H179" s="265">
        <f>sumif('Segment RAW Data 25-26'!$B$1:$X$1,$H$3,'Segment RAW Data 25-26'!$B178:$X178)</f>
        <v>377276.1</v>
      </c>
      <c r="I179" s="265">
        <f>sumif('Segment RAW Data 25-26'!$B$1:$X$1,$I$3,'Segment RAW Data 25-26'!$B178:$X178)</f>
        <v>0</v>
      </c>
      <c r="J179" s="265">
        <f>sumif('Segment RAW Data 25-26'!$B$1:$X$1,$J$3,'Segment RAW Data 25-26'!$B178:$X178)</f>
        <v>3106215.65</v>
      </c>
      <c r="K179" s="265">
        <f>sumif('Segment RAW Data 25-26'!$B$1:$X$1,$K$3,'Segment RAW Data 25-26'!$B178:$X178)</f>
        <v>0</v>
      </c>
      <c r="L179" s="265">
        <f>sumif('Segment RAW Data 25-26'!$B$1:$X$1,$L$3,'Segment RAW Data 25-26'!$B178:$X178)</f>
        <v>2957115</v>
      </c>
      <c r="M179" s="270"/>
      <c r="N179" s="124" t="s">
        <v>975</v>
      </c>
      <c r="O179" s="124">
        <f>VLOOKUP(C179:C778,'Segment RAW Data 25-26'!A178:Y775,25,0)-VLOOKUP(C179:C778,C:D,2,0)</f>
        <v>0.01000000536</v>
      </c>
    </row>
    <row r="180" hidden="1">
      <c r="A180" s="157"/>
      <c r="B180" s="157"/>
      <c r="C180" s="157" t="s">
        <v>615</v>
      </c>
      <c r="D180" s="124">
        <f t="shared" si="1"/>
        <v>0</v>
      </c>
      <c r="E180" s="265">
        <f>sumif('Segment RAW Data 25-26'!$B$1:$X$1,$E$3,'Segment RAW Data 25-26'!$B179:$X179)</f>
        <v>0</v>
      </c>
      <c r="F180" s="265">
        <f>sumif('Segment RAW Data 25-26'!$B$1:$X$1,$F$3,'Segment RAW Data 25-26'!$B179:$X179)</f>
        <v>0</v>
      </c>
      <c r="G180" s="265">
        <f>sumif('Segment RAW Data 25-26'!$B$1:$X$1,$G$3,'Segment RAW Data 25-26'!$B179:$X179)</f>
        <v>0</v>
      </c>
      <c r="H180" s="265">
        <f>sumif('Segment RAW Data 25-26'!$B$1:$X$1,$H$3,'Segment RAW Data 25-26'!$B179:$X179)</f>
        <v>0</v>
      </c>
      <c r="I180" s="265">
        <f>sumif('Segment RAW Data 25-26'!$B$1:$X$1,$I$3,'Segment RAW Data 25-26'!$B179:$X179)</f>
        <v>0</v>
      </c>
      <c r="J180" s="265">
        <f>sumif('Segment RAW Data 25-26'!$B$1:$X$1,$J$3,'Segment RAW Data 25-26'!$B179:$X179)</f>
        <v>0</v>
      </c>
      <c r="K180" s="265">
        <f>sumif('Segment RAW Data 25-26'!$B$1:$X$1,$K$3,'Segment RAW Data 25-26'!$B179:$X179)</f>
        <v>0</v>
      </c>
      <c r="L180" s="265">
        <f>sumif('Segment RAW Data 25-26'!$B$1:$X$1,$L$3,'Segment RAW Data 25-26'!$B179:$X179)</f>
        <v>0</v>
      </c>
      <c r="M180" s="270"/>
      <c r="N180" s="124"/>
      <c r="O180" s="124">
        <f>VLOOKUP(C180:C779,'Segment RAW Data 25-26'!A179:Y776,25,0)-VLOOKUP(C180:C779,C:D,2,0)</f>
        <v>0</v>
      </c>
    </row>
    <row r="181" hidden="1">
      <c r="A181" s="157"/>
      <c r="B181" s="157"/>
      <c r="C181" s="157" t="s">
        <v>616</v>
      </c>
      <c r="D181" s="124">
        <f t="shared" si="1"/>
        <v>0</v>
      </c>
      <c r="E181" s="265">
        <f>sumif('Segment RAW Data 25-26'!$B$1:$X$1,$E$3,'Segment RAW Data 25-26'!$B180:$X180)</f>
        <v>0</v>
      </c>
      <c r="F181" s="265">
        <f>sumif('Segment RAW Data 25-26'!$B$1:$X$1,$F$3,'Segment RAW Data 25-26'!$B180:$X180)</f>
        <v>0</v>
      </c>
      <c r="G181" s="265">
        <f>sumif('Segment RAW Data 25-26'!$B$1:$X$1,$G$3,'Segment RAW Data 25-26'!$B180:$X180)</f>
        <v>0</v>
      </c>
      <c r="H181" s="265">
        <f>sumif('Segment RAW Data 25-26'!$B$1:$X$1,$H$3,'Segment RAW Data 25-26'!$B180:$X180)</f>
        <v>0</v>
      </c>
      <c r="I181" s="265">
        <f>sumif('Segment RAW Data 25-26'!$B$1:$X$1,$I$3,'Segment RAW Data 25-26'!$B180:$X180)</f>
        <v>0</v>
      </c>
      <c r="J181" s="265">
        <f>sumif('Segment RAW Data 25-26'!$B$1:$X$1,$J$3,'Segment RAW Data 25-26'!$B180:$X180)</f>
        <v>0</v>
      </c>
      <c r="K181" s="265">
        <f>sumif('Segment RAW Data 25-26'!$B$1:$X$1,$K$3,'Segment RAW Data 25-26'!$B180:$X180)</f>
        <v>0</v>
      </c>
      <c r="L181" s="265">
        <f>sumif('Segment RAW Data 25-26'!$B$1:$X$1,$L$3,'Segment RAW Data 25-26'!$B180:$X180)</f>
        <v>0</v>
      </c>
      <c r="M181" s="270"/>
      <c r="N181" s="124"/>
      <c r="O181" s="124">
        <f>VLOOKUP(C181:C780,'Segment RAW Data 25-26'!A180:Y777,25,0)-VLOOKUP(C181:C780,C:D,2,0)</f>
        <v>0</v>
      </c>
    </row>
    <row r="182" hidden="1">
      <c r="A182" s="157"/>
      <c r="B182" s="157"/>
      <c r="C182" s="157" t="s">
        <v>617</v>
      </c>
      <c r="D182" s="124">
        <f t="shared" si="1"/>
        <v>0</v>
      </c>
      <c r="E182" s="265">
        <f>sumif('Segment RAW Data 25-26'!$B$1:$X$1,$E$3,'Segment RAW Data 25-26'!$B181:$X181)</f>
        <v>0</v>
      </c>
      <c r="F182" s="265">
        <f>sumif('Segment RAW Data 25-26'!$B$1:$X$1,$F$3,'Segment RAW Data 25-26'!$B181:$X181)</f>
        <v>0</v>
      </c>
      <c r="G182" s="265">
        <f>sumif('Segment RAW Data 25-26'!$B$1:$X$1,$G$3,'Segment RAW Data 25-26'!$B181:$X181)</f>
        <v>0</v>
      </c>
      <c r="H182" s="265">
        <f>sumif('Segment RAW Data 25-26'!$B$1:$X$1,$H$3,'Segment RAW Data 25-26'!$B181:$X181)</f>
        <v>0</v>
      </c>
      <c r="I182" s="265">
        <f>sumif('Segment RAW Data 25-26'!$B$1:$X$1,$I$3,'Segment RAW Data 25-26'!$B181:$X181)</f>
        <v>0</v>
      </c>
      <c r="J182" s="265">
        <f>sumif('Segment RAW Data 25-26'!$B$1:$X$1,$J$3,'Segment RAW Data 25-26'!$B181:$X181)</f>
        <v>0</v>
      </c>
      <c r="K182" s="265">
        <f>sumif('Segment RAW Data 25-26'!$B$1:$X$1,$K$3,'Segment RAW Data 25-26'!$B181:$X181)</f>
        <v>0</v>
      </c>
      <c r="L182" s="265">
        <f>sumif('Segment RAW Data 25-26'!$B$1:$X$1,$L$3,'Segment RAW Data 25-26'!$B181:$X181)</f>
        <v>0</v>
      </c>
      <c r="M182" s="270"/>
      <c r="N182" s="124"/>
      <c r="O182" s="124">
        <f>VLOOKUP(C182:C781,'Segment RAW Data 25-26'!A181:Y778,25,0)-VLOOKUP(C182:C781,C:D,2,0)</f>
        <v>0</v>
      </c>
    </row>
    <row r="183" hidden="1">
      <c r="A183" s="157"/>
      <c r="B183" s="157"/>
      <c r="C183" s="157" t="s">
        <v>618</v>
      </c>
      <c r="D183" s="124">
        <f t="shared" si="1"/>
        <v>0</v>
      </c>
      <c r="E183" s="265">
        <f>sumif('Segment RAW Data 25-26'!$B$1:$X$1,$E$3,'Segment RAW Data 25-26'!$B182:$X182)</f>
        <v>0</v>
      </c>
      <c r="F183" s="265">
        <f>sumif('Segment RAW Data 25-26'!$B$1:$X$1,$F$3,'Segment RAW Data 25-26'!$B182:$X182)</f>
        <v>0</v>
      </c>
      <c r="G183" s="265">
        <f>sumif('Segment RAW Data 25-26'!$B$1:$X$1,$G$3,'Segment RAW Data 25-26'!$B182:$X182)</f>
        <v>0</v>
      </c>
      <c r="H183" s="265">
        <f>sumif('Segment RAW Data 25-26'!$B$1:$X$1,$H$3,'Segment RAW Data 25-26'!$B182:$X182)</f>
        <v>0</v>
      </c>
      <c r="I183" s="265">
        <f>sumif('Segment RAW Data 25-26'!$B$1:$X$1,$I$3,'Segment RAW Data 25-26'!$B182:$X182)</f>
        <v>0</v>
      </c>
      <c r="J183" s="265">
        <f>sumif('Segment RAW Data 25-26'!$B$1:$X$1,$J$3,'Segment RAW Data 25-26'!$B182:$X182)</f>
        <v>0</v>
      </c>
      <c r="K183" s="265">
        <f>sumif('Segment RAW Data 25-26'!$B$1:$X$1,$K$3,'Segment RAW Data 25-26'!$B182:$X182)</f>
        <v>0</v>
      </c>
      <c r="L183" s="265">
        <f>sumif('Segment RAW Data 25-26'!$B$1:$X$1,$L$3,'Segment RAW Data 25-26'!$B182:$X182)</f>
        <v>0</v>
      </c>
      <c r="M183" s="270"/>
      <c r="N183" s="124"/>
      <c r="O183" s="124">
        <f>VLOOKUP(C183:C782,'Segment RAW Data 25-26'!A182:Y779,25,0)-VLOOKUP(C183:C782,C:D,2,0)</f>
        <v>0</v>
      </c>
    </row>
    <row r="184" hidden="1">
      <c r="A184" s="157"/>
      <c r="B184" s="157"/>
      <c r="C184" s="157" t="s">
        <v>619</v>
      </c>
      <c r="D184" s="124">
        <f t="shared" si="1"/>
        <v>0</v>
      </c>
      <c r="E184" s="265">
        <f>sumif('Segment RAW Data 25-26'!$B$1:$X$1,$E$3,'Segment RAW Data 25-26'!$B183:$X183)</f>
        <v>0</v>
      </c>
      <c r="F184" s="265">
        <f>sumif('Segment RAW Data 25-26'!$B$1:$X$1,$F$3,'Segment RAW Data 25-26'!$B183:$X183)</f>
        <v>0</v>
      </c>
      <c r="G184" s="265">
        <f>sumif('Segment RAW Data 25-26'!$B$1:$X$1,$G$3,'Segment RAW Data 25-26'!$B183:$X183)</f>
        <v>0</v>
      </c>
      <c r="H184" s="265">
        <f>sumif('Segment RAW Data 25-26'!$B$1:$X$1,$H$3,'Segment RAW Data 25-26'!$B183:$X183)</f>
        <v>0</v>
      </c>
      <c r="I184" s="265">
        <f>sumif('Segment RAW Data 25-26'!$B$1:$X$1,$I$3,'Segment RAW Data 25-26'!$B183:$X183)</f>
        <v>0</v>
      </c>
      <c r="J184" s="265">
        <f>sumif('Segment RAW Data 25-26'!$B$1:$X$1,$J$3,'Segment RAW Data 25-26'!$B183:$X183)</f>
        <v>0</v>
      </c>
      <c r="K184" s="265">
        <f>sumif('Segment RAW Data 25-26'!$B$1:$X$1,$K$3,'Segment RAW Data 25-26'!$B183:$X183)</f>
        <v>0</v>
      </c>
      <c r="L184" s="265">
        <f>sumif('Segment RAW Data 25-26'!$B$1:$X$1,$L$3,'Segment RAW Data 25-26'!$B183:$X183)</f>
        <v>0</v>
      </c>
      <c r="M184" s="270"/>
      <c r="N184" s="124"/>
      <c r="O184" s="124">
        <f>VLOOKUP(C184:C783,'Segment RAW Data 25-26'!A183:Y780,25,0)-VLOOKUP(C184:C783,C:D,2,0)</f>
        <v>0</v>
      </c>
    </row>
    <row r="185" hidden="1">
      <c r="A185" s="157"/>
      <c r="B185" s="157"/>
      <c r="C185" s="157" t="s">
        <v>620</v>
      </c>
      <c r="D185" s="124">
        <f t="shared" si="1"/>
        <v>0</v>
      </c>
      <c r="E185" s="265">
        <f>sumif('Segment RAW Data 25-26'!$B$1:$X$1,$E$3,'Segment RAW Data 25-26'!$B184:$X184)</f>
        <v>0</v>
      </c>
      <c r="F185" s="265">
        <f>sumif('Segment RAW Data 25-26'!$B$1:$X$1,$F$3,'Segment RAW Data 25-26'!$B184:$X184)</f>
        <v>0</v>
      </c>
      <c r="G185" s="265">
        <f>sumif('Segment RAW Data 25-26'!$B$1:$X$1,$G$3,'Segment RAW Data 25-26'!$B184:$X184)</f>
        <v>0</v>
      </c>
      <c r="H185" s="265">
        <f>sumif('Segment RAW Data 25-26'!$B$1:$X$1,$H$3,'Segment RAW Data 25-26'!$B184:$X184)</f>
        <v>0</v>
      </c>
      <c r="I185" s="265">
        <f>sumif('Segment RAW Data 25-26'!$B$1:$X$1,$I$3,'Segment RAW Data 25-26'!$B184:$X184)</f>
        <v>0</v>
      </c>
      <c r="J185" s="265">
        <f>sumif('Segment RAW Data 25-26'!$B$1:$X$1,$J$3,'Segment RAW Data 25-26'!$B184:$X184)</f>
        <v>0</v>
      </c>
      <c r="K185" s="265">
        <f>sumif('Segment RAW Data 25-26'!$B$1:$X$1,$K$3,'Segment RAW Data 25-26'!$B184:$X184)</f>
        <v>0</v>
      </c>
      <c r="L185" s="265">
        <f>sumif('Segment RAW Data 25-26'!$B$1:$X$1,$L$3,'Segment RAW Data 25-26'!$B184:$X184)</f>
        <v>0</v>
      </c>
      <c r="M185" s="270"/>
      <c r="N185" s="124"/>
      <c r="O185" s="124">
        <f>VLOOKUP(C185:C784,'Segment RAW Data 25-26'!A184:Y781,25,0)-VLOOKUP(C185:C784,C:D,2,0)</f>
        <v>0</v>
      </c>
    </row>
    <row r="186" hidden="1">
      <c r="A186" s="157"/>
      <c r="B186" s="157"/>
      <c r="C186" s="157" t="s">
        <v>621</v>
      </c>
      <c r="D186" s="124">
        <f t="shared" si="1"/>
        <v>0</v>
      </c>
      <c r="E186" s="265">
        <f>sumif('Segment RAW Data 25-26'!$B$1:$X$1,$E$3,'Segment RAW Data 25-26'!$B185:$X185)</f>
        <v>0</v>
      </c>
      <c r="F186" s="265">
        <f>sumif('Segment RAW Data 25-26'!$B$1:$X$1,$F$3,'Segment RAW Data 25-26'!$B185:$X185)</f>
        <v>0</v>
      </c>
      <c r="G186" s="265">
        <f>sumif('Segment RAW Data 25-26'!$B$1:$X$1,$G$3,'Segment RAW Data 25-26'!$B185:$X185)</f>
        <v>0</v>
      </c>
      <c r="H186" s="265">
        <f>sumif('Segment RAW Data 25-26'!$B$1:$X$1,$H$3,'Segment RAW Data 25-26'!$B185:$X185)</f>
        <v>0</v>
      </c>
      <c r="I186" s="265">
        <f>sumif('Segment RAW Data 25-26'!$B$1:$X$1,$I$3,'Segment RAW Data 25-26'!$B185:$X185)</f>
        <v>0</v>
      </c>
      <c r="J186" s="265">
        <f>sumif('Segment RAW Data 25-26'!$B$1:$X$1,$J$3,'Segment RAW Data 25-26'!$B185:$X185)</f>
        <v>0</v>
      </c>
      <c r="K186" s="265">
        <f>sumif('Segment RAW Data 25-26'!$B$1:$X$1,$K$3,'Segment RAW Data 25-26'!$B185:$X185)</f>
        <v>0</v>
      </c>
      <c r="L186" s="265">
        <f>sumif('Segment RAW Data 25-26'!$B$1:$X$1,$L$3,'Segment RAW Data 25-26'!$B185:$X185)</f>
        <v>0</v>
      </c>
      <c r="M186" s="270"/>
      <c r="N186" s="124"/>
      <c r="O186" s="124">
        <f>VLOOKUP(C186:C785,'Segment RAW Data 25-26'!A185:Y782,25,0)-VLOOKUP(C186:C785,C:D,2,0)</f>
        <v>0</v>
      </c>
    </row>
    <row r="187" hidden="1">
      <c r="A187" s="157" t="s">
        <v>298</v>
      </c>
      <c r="B187" s="157" t="s">
        <v>301</v>
      </c>
      <c r="C187" s="157" t="s">
        <v>302</v>
      </c>
      <c r="D187" s="124">
        <f t="shared" si="1"/>
        <v>18278833.73</v>
      </c>
      <c r="E187" s="265">
        <f>sumif('Segment RAW Data 25-26'!$B$1:$X$1,$E$3,'Segment RAW Data 25-26'!$B186:$X186)</f>
        <v>41.34</v>
      </c>
      <c r="F187" s="265">
        <f>sumif('Segment RAW Data 25-26'!$B$1:$X$1,$F$3,'Segment RAW Data 25-26'!$B186:$X186)</f>
        <v>885728.9</v>
      </c>
      <c r="G187" s="265">
        <f>sumif('Segment RAW Data 25-26'!$B$1:$X$1,$G$3,'Segment RAW Data 25-26'!$B186:$X186)</f>
        <v>16726769.59</v>
      </c>
      <c r="H187" s="265">
        <f>sumif('Segment RAW Data 25-26'!$B$1:$X$1,$H$3,'Segment RAW Data 25-26'!$B186:$X186)</f>
        <v>337279.6</v>
      </c>
      <c r="I187" s="265">
        <f>sumif('Segment RAW Data 25-26'!$B$1:$X$1,$I$3,'Segment RAW Data 25-26'!$B186:$X186)</f>
        <v>0</v>
      </c>
      <c r="J187" s="265">
        <f>sumif('Segment RAW Data 25-26'!$B$1:$X$1,$J$3,'Segment RAW Data 25-26'!$B186:$X186)</f>
        <v>329014.3</v>
      </c>
      <c r="K187" s="265">
        <f>sumif('Segment RAW Data 25-26'!$B$1:$X$1,$K$3,'Segment RAW Data 25-26'!$B186:$X186)</f>
        <v>0</v>
      </c>
      <c r="L187" s="265">
        <f>sumif('Segment RAW Data 25-26'!$B$1:$X$1,$L$3,'Segment RAW Data 25-26'!$B186:$X186)</f>
        <v>0</v>
      </c>
      <c r="M187" s="270"/>
      <c r="N187" s="124" t="s">
        <v>975</v>
      </c>
      <c r="O187" s="124">
        <f>VLOOKUP(C187:C786,'Segment RAW Data 25-26'!A186:Y783,25,0)-VLOOKUP(C187:C786,C:D,2,0)</f>
        <v>-0.01000000164</v>
      </c>
    </row>
    <row r="188" hidden="1">
      <c r="A188" s="157"/>
      <c r="B188" s="157"/>
      <c r="C188" s="157" t="s">
        <v>622</v>
      </c>
      <c r="D188" s="124">
        <f t="shared" si="1"/>
        <v>0</v>
      </c>
      <c r="E188" s="265">
        <f>sumif('Segment RAW Data 25-26'!$B$1:$X$1,$E$3,'Segment RAW Data 25-26'!$B187:$X187)</f>
        <v>0</v>
      </c>
      <c r="F188" s="265">
        <f>sumif('Segment RAW Data 25-26'!$B$1:$X$1,$F$3,'Segment RAW Data 25-26'!$B187:$X187)</f>
        <v>0</v>
      </c>
      <c r="G188" s="265">
        <f>sumif('Segment RAW Data 25-26'!$B$1:$X$1,$G$3,'Segment RAW Data 25-26'!$B187:$X187)</f>
        <v>0</v>
      </c>
      <c r="H188" s="265">
        <f>sumif('Segment RAW Data 25-26'!$B$1:$X$1,$H$3,'Segment RAW Data 25-26'!$B187:$X187)</f>
        <v>0</v>
      </c>
      <c r="I188" s="265">
        <f>sumif('Segment RAW Data 25-26'!$B$1:$X$1,$I$3,'Segment RAW Data 25-26'!$B187:$X187)</f>
        <v>0</v>
      </c>
      <c r="J188" s="265">
        <f>sumif('Segment RAW Data 25-26'!$B$1:$X$1,$J$3,'Segment RAW Data 25-26'!$B187:$X187)</f>
        <v>0</v>
      </c>
      <c r="K188" s="265">
        <f>sumif('Segment RAW Data 25-26'!$B$1:$X$1,$K$3,'Segment RAW Data 25-26'!$B187:$X187)</f>
        <v>0</v>
      </c>
      <c r="L188" s="265">
        <f>sumif('Segment RAW Data 25-26'!$B$1:$X$1,$L$3,'Segment RAW Data 25-26'!$B187:$X187)</f>
        <v>0</v>
      </c>
      <c r="M188" s="270"/>
      <c r="N188" s="124"/>
      <c r="O188" s="124">
        <f>VLOOKUP(C188:C787,'Segment RAW Data 25-26'!A187:Y784,25,0)-VLOOKUP(C188:C787,C:D,2,0)</f>
        <v>0</v>
      </c>
    </row>
    <row r="189" hidden="1">
      <c r="A189" s="157"/>
      <c r="B189" s="157"/>
      <c r="C189" s="157" t="s">
        <v>623</v>
      </c>
      <c r="D189" s="124">
        <f t="shared" si="1"/>
        <v>0</v>
      </c>
      <c r="E189" s="265">
        <f>sumif('Segment RAW Data 25-26'!$B$1:$X$1,$E$3,'Segment RAW Data 25-26'!$B188:$X188)</f>
        <v>0</v>
      </c>
      <c r="F189" s="265">
        <f>sumif('Segment RAW Data 25-26'!$B$1:$X$1,$F$3,'Segment RAW Data 25-26'!$B188:$X188)</f>
        <v>0</v>
      </c>
      <c r="G189" s="265">
        <f>sumif('Segment RAW Data 25-26'!$B$1:$X$1,$G$3,'Segment RAW Data 25-26'!$B188:$X188)</f>
        <v>0</v>
      </c>
      <c r="H189" s="265">
        <f>sumif('Segment RAW Data 25-26'!$B$1:$X$1,$H$3,'Segment RAW Data 25-26'!$B188:$X188)</f>
        <v>0</v>
      </c>
      <c r="I189" s="265">
        <f>sumif('Segment RAW Data 25-26'!$B$1:$X$1,$I$3,'Segment RAW Data 25-26'!$B188:$X188)</f>
        <v>0</v>
      </c>
      <c r="J189" s="265">
        <f>sumif('Segment RAW Data 25-26'!$B$1:$X$1,$J$3,'Segment RAW Data 25-26'!$B188:$X188)</f>
        <v>0</v>
      </c>
      <c r="K189" s="265">
        <f>sumif('Segment RAW Data 25-26'!$B$1:$X$1,$K$3,'Segment RAW Data 25-26'!$B188:$X188)</f>
        <v>0</v>
      </c>
      <c r="L189" s="265">
        <f>sumif('Segment RAW Data 25-26'!$B$1:$X$1,$L$3,'Segment RAW Data 25-26'!$B188:$X188)</f>
        <v>0</v>
      </c>
      <c r="M189" s="270"/>
      <c r="N189" s="124"/>
      <c r="O189" s="124">
        <f>VLOOKUP(C189:C788,'Segment RAW Data 25-26'!A188:Y785,25,0)-VLOOKUP(C189:C788,C:D,2,0)</f>
        <v>0</v>
      </c>
    </row>
    <row r="190" hidden="1">
      <c r="A190" s="157"/>
      <c r="B190" s="157"/>
      <c r="C190" s="157" t="s">
        <v>624</v>
      </c>
      <c r="D190" s="124">
        <f t="shared" si="1"/>
        <v>0</v>
      </c>
      <c r="E190" s="265">
        <f>sumif('Segment RAW Data 25-26'!$B$1:$X$1,$E$3,'Segment RAW Data 25-26'!$B189:$X189)</f>
        <v>0</v>
      </c>
      <c r="F190" s="265">
        <f>sumif('Segment RAW Data 25-26'!$B$1:$X$1,$F$3,'Segment RAW Data 25-26'!$B189:$X189)</f>
        <v>0</v>
      </c>
      <c r="G190" s="265">
        <f>sumif('Segment RAW Data 25-26'!$B$1:$X$1,$G$3,'Segment RAW Data 25-26'!$B189:$X189)</f>
        <v>0</v>
      </c>
      <c r="H190" s="265">
        <f>sumif('Segment RAW Data 25-26'!$B$1:$X$1,$H$3,'Segment RAW Data 25-26'!$B189:$X189)</f>
        <v>0</v>
      </c>
      <c r="I190" s="265">
        <f>sumif('Segment RAW Data 25-26'!$B$1:$X$1,$I$3,'Segment RAW Data 25-26'!$B189:$X189)</f>
        <v>0</v>
      </c>
      <c r="J190" s="265">
        <f>sumif('Segment RAW Data 25-26'!$B$1:$X$1,$J$3,'Segment RAW Data 25-26'!$B189:$X189)</f>
        <v>0</v>
      </c>
      <c r="K190" s="265">
        <f>sumif('Segment RAW Data 25-26'!$B$1:$X$1,$K$3,'Segment RAW Data 25-26'!$B189:$X189)</f>
        <v>0</v>
      </c>
      <c r="L190" s="265">
        <f>sumif('Segment RAW Data 25-26'!$B$1:$X$1,$L$3,'Segment RAW Data 25-26'!$B189:$X189)</f>
        <v>0</v>
      </c>
      <c r="M190" s="270"/>
      <c r="N190" s="124"/>
      <c r="O190" s="124">
        <f>VLOOKUP(C190:C789,'Segment RAW Data 25-26'!A189:Y786,25,0)-VLOOKUP(C190:C789,C:D,2,0)</f>
        <v>0</v>
      </c>
    </row>
    <row r="191" hidden="1">
      <c r="A191" s="157" t="s">
        <v>185</v>
      </c>
      <c r="B191" s="157" t="s">
        <v>117</v>
      </c>
      <c r="C191" s="157" t="s">
        <v>432</v>
      </c>
      <c r="D191" s="124">
        <f t="shared" si="1"/>
        <v>560081.52</v>
      </c>
      <c r="E191" s="265">
        <f>sumif('Segment RAW Data 25-26'!$B$1:$X$1,$E$3,'Segment RAW Data 25-26'!$B190:$X190)</f>
        <v>0</v>
      </c>
      <c r="F191" s="265">
        <f>sumif('Segment RAW Data 25-26'!$B$1:$X$1,$F$3,'Segment RAW Data 25-26'!$B190:$X190)</f>
        <v>0</v>
      </c>
      <c r="G191" s="265">
        <f>sumif('Segment RAW Data 25-26'!$B$1:$X$1,$G$3,'Segment RAW Data 25-26'!$B190:$X190)</f>
        <v>462309.12</v>
      </c>
      <c r="H191" s="265">
        <f>sumif('Segment RAW Data 25-26'!$B$1:$X$1,$H$3,'Segment RAW Data 25-26'!$B190:$X190)</f>
        <v>97772.4</v>
      </c>
      <c r="I191" s="265">
        <f>sumif('Segment RAW Data 25-26'!$B$1:$X$1,$I$3,'Segment RAW Data 25-26'!$B190:$X190)</f>
        <v>0</v>
      </c>
      <c r="J191" s="265">
        <f>sumif('Segment RAW Data 25-26'!$B$1:$X$1,$J$3,'Segment RAW Data 25-26'!$B190:$X190)</f>
        <v>0</v>
      </c>
      <c r="K191" s="265">
        <f>sumif('Segment RAW Data 25-26'!$B$1:$X$1,$K$3,'Segment RAW Data 25-26'!$B190:$X190)</f>
        <v>0</v>
      </c>
      <c r="L191" s="265">
        <f>sumif('Segment RAW Data 25-26'!$B$1:$X$1,$L$3,'Segment RAW Data 25-26'!$B190:$X190)</f>
        <v>0</v>
      </c>
      <c r="M191" s="270">
        <v>45853.0</v>
      </c>
      <c r="N191" s="124" t="s">
        <v>973</v>
      </c>
      <c r="O191" s="124">
        <f>VLOOKUP(C191:C790,'Segment RAW Data 25-26'!A190:Y787,25,0)-VLOOKUP(C191:C790,C:D,2,0)</f>
        <v>0</v>
      </c>
    </row>
    <row r="192" hidden="1">
      <c r="A192" s="157"/>
      <c r="B192" s="157"/>
      <c r="C192" s="157" t="s">
        <v>625</v>
      </c>
      <c r="D192" s="124">
        <f t="shared" si="1"/>
        <v>0</v>
      </c>
      <c r="E192" s="265">
        <f>sumif('Segment RAW Data 25-26'!$B$1:$X$1,$E$3,'Segment RAW Data 25-26'!$B191:$X191)</f>
        <v>0</v>
      </c>
      <c r="F192" s="265">
        <f>sumif('Segment RAW Data 25-26'!$B$1:$X$1,$F$3,'Segment RAW Data 25-26'!$B191:$X191)</f>
        <v>0</v>
      </c>
      <c r="G192" s="265">
        <f>sumif('Segment RAW Data 25-26'!$B$1:$X$1,$G$3,'Segment RAW Data 25-26'!$B191:$X191)</f>
        <v>0</v>
      </c>
      <c r="H192" s="265">
        <f>sumif('Segment RAW Data 25-26'!$B$1:$X$1,$H$3,'Segment RAW Data 25-26'!$B191:$X191)</f>
        <v>0</v>
      </c>
      <c r="I192" s="265">
        <f>sumif('Segment RAW Data 25-26'!$B$1:$X$1,$I$3,'Segment RAW Data 25-26'!$B191:$X191)</f>
        <v>0</v>
      </c>
      <c r="J192" s="265">
        <f>sumif('Segment RAW Data 25-26'!$B$1:$X$1,$J$3,'Segment RAW Data 25-26'!$B191:$X191)</f>
        <v>0</v>
      </c>
      <c r="K192" s="265">
        <f>sumif('Segment RAW Data 25-26'!$B$1:$X$1,$K$3,'Segment RAW Data 25-26'!$B191:$X191)</f>
        <v>0</v>
      </c>
      <c r="L192" s="265">
        <f>sumif('Segment RAW Data 25-26'!$B$1:$X$1,$L$3,'Segment RAW Data 25-26'!$B191:$X191)</f>
        <v>0</v>
      </c>
      <c r="M192" s="270"/>
      <c r="N192" s="124"/>
      <c r="O192" s="124">
        <f>VLOOKUP(C192:C791,'Segment RAW Data 25-26'!A191:Y788,25,0)-VLOOKUP(C192:C791,C:D,2,0)</f>
        <v>0</v>
      </c>
    </row>
    <row r="193" hidden="1">
      <c r="A193" s="157"/>
      <c r="B193" s="157"/>
      <c r="C193" s="157" t="s">
        <v>626</v>
      </c>
      <c r="D193" s="124">
        <f t="shared" si="1"/>
        <v>0</v>
      </c>
      <c r="E193" s="265">
        <f>sumif('Segment RAW Data 25-26'!$B$1:$X$1,$E$3,'Segment RAW Data 25-26'!$B192:$X192)</f>
        <v>0</v>
      </c>
      <c r="F193" s="265">
        <f>sumif('Segment RAW Data 25-26'!$B$1:$X$1,$F$3,'Segment RAW Data 25-26'!$B192:$X192)</f>
        <v>0</v>
      </c>
      <c r="G193" s="265">
        <f>sumif('Segment RAW Data 25-26'!$B$1:$X$1,$G$3,'Segment RAW Data 25-26'!$B192:$X192)</f>
        <v>0</v>
      </c>
      <c r="H193" s="265">
        <f>sumif('Segment RAW Data 25-26'!$B$1:$X$1,$H$3,'Segment RAW Data 25-26'!$B192:$X192)</f>
        <v>0</v>
      </c>
      <c r="I193" s="265">
        <f>sumif('Segment RAW Data 25-26'!$B$1:$X$1,$I$3,'Segment RAW Data 25-26'!$B192:$X192)</f>
        <v>0</v>
      </c>
      <c r="J193" s="265">
        <f>sumif('Segment RAW Data 25-26'!$B$1:$X$1,$J$3,'Segment RAW Data 25-26'!$B192:$X192)</f>
        <v>0</v>
      </c>
      <c r="K193" s="265">
        <f>sumif('Segment RAW Data 25-26'!$B$1:$X$1,$K$3,'Segment RAW Data 25-26'!$B192:$X192)</f>
        <v>0</v>
      </c>
      <c r="L193" s="265">
        <f>sumif('Segment RAW Data 25-26'!$B$1:$X$1,$L$3,'Segment RAW Data 25-26'!$B192:$X192)</f>
        <v>0</v>
      </c>
      <c r="M193" s="270"/>
      <c r="N193" s="124"/>
      <c r="O193" s="124">
        <f>VLOOKUP(C193:C792,'Segment RAW Data 25-26'!A192:Y789,25,0)-VLOOKUP(C193:C792,C:D,2,0)</f>
        <v>0</v>
      </c>
    </row>
    <row r="194" hidden="1">
      <c r="A194" s="157"/>
      <c r="B194" s="157"/>
      <c r="C194" s="157" t="s">
        <v>627</v>
      </c>
      <c r="D194" s="124">
        <f t="shared" si="1"/>
        <v>0</v>
      </c>
      <c r="E194" s="265">
        <f>sumif('Segment RAW Data 25-26'!$B$1:$X$1,$E$3,'Segment RAW Data 25-26'!$B193:$X193)</f>
        <v>0</v>
      </c>
      <c r="F194" s="265">
        <f>sumif('Segment RAW Data 25-26'!$B$1:$X$1,$F$3,'Segment RAW Data 25-26'!$B193:$X193)</f>
        <v>0</v>
      </c>
      <c r="G194" s="265">
        <f>sumif('Segment RAW Data 25-26'!$B$1:$X$1,$G$3,'Segment RAW Data 25-26'!$B193:$X193)</f>
        <v>0</v>
      </c>
      <c r="H194" s="265">
        <f>sumif('Segment RAW Data 25-26'!$B$1:$X$1,$H$3,'Segment RAW Data 25-26'!$B193:$X193)</f>
        <v>0</v>
      </c>
      <c r="I194" s="265">
        <f>sumif('Segment RAW Data 25-26'!$B$1:$X$1,$I$3,'Segment RAW Data 25-26'!$B193:$X193)</f>
        <v>0</v>
      </c>
      <c r="J194" s="265">
        <f>sumif('Segment RAW Data 25-26'!$B$1:$X$1,$J$3,'Segment RAW Data 25-26'!$B193:$X193)</f>
        <v>0</v>
      </c>
      <c r="K194" s="265">
        <f>sumif('Segment RAW Data 25-26'!$B$1:$X$1,$K$3,'Segment RAW Data 25-26'!$B193:$X193)</f>
        <v>0</v>
      </c>
      <c r="L194" s="265">
        <f>sumif('Segment RAW Data 25-26'!$B$1:$X$1,$L$3,'Segment RAW Data 25-26'!$B193:$X193)</f>
        <v>0</v>
      </c>
      <c r="M194" s="270"/>
      <c r="N194" s="124"/>
      <c r="O194" s="124">
        <f>VLOOKUP(C194:C793,'Segment RAW Data 25-26'!A193:Y790,25,0)-VLOOKUP(C194:C793,C:D,2,0)</f>
        <v>0</v>
      </c>
    </row>
    <row r="195" hidden="1">
      <c r="A195" s="157"/>
      <c r="B195" s="157"/>
      <c r="C195" s="157" t="s">
        <v>628</v>
      </c>
      <c r="D195" s="124">
        <f t="shared" si="1"/>
        <v>0</v>
      </c>
      <c r="E195" s="265">
        <f>sumif('Segment RAW Data 25-26'!$B$1:$X$1,$E$3,'Segment RAW Data 25-26'!$B194:$X194)</f>
        <v>0</v>
      </c>
      <c r="F195" s="265">
        <f>sumif('Segment RAW Data 25-26'!$B$1:$X$1,$F$3,'Segment RAW Data 25-26'!$B194:$X194)</f>
        <v>0</v>
      </c>
      <c r="G195" s="265">
        <f>sumif('Segment RAW Data 25-26'!$B$1:$X$1,$G$3,'Segment RAW Data 25-26'!$B194:$X194)</f>
        <v>0</v>
      </c>
      <c r="H195" s="265">
        <f>sumif('Segment RAW Data 25-26'!$B$1:$X$1,$H$3,'Segment RAW Data 25-26'!$B194:$X194)</f>
        <v>0</v>
      </c>
      <c r="I195" s="265">
        <f>sumif('Segment RAW Data 25-26'!$B$1:$X$1,$I$3,'Segment RAW Data 25-26'!$B194:$X194)</f>
        <v>0</v>
      </c>
      <c r="J195" s="265">
        <f>sumif('Segment RAW Data 25-26'!$B$1:$X$1,$J$3,'Segment RAW Data 25-26'!$B194:$X194)</f>
        <v>0</v>
      </c>
      <c r="K195" s="265">
        <f>sumif('Segment RAW Data 25-26'!$B$1:$X$1,$K$3,'Segment RAW Data 25-26'!$B194:$X194)</f>
        <v>0</v>
      </c>
      <c r="L195" s="265">
        <f>sumif('Segment RAW Data 25-26'!$B$1:$X$1,$L$3,'Segment RAW Data 25-26'!$B194:$X194)</f>
        <v>0</v>
      </c>
      <c r="M195" s="270"/>
      <c r="N195" s="124"/>
      <c r="O195" s="124">
        <f>VLOOKUP(C195:C794,'Segment RAW Data 25-26'!A194:Y791,25,0)-VLOOKUP(C195:C794,C:D,2,0)</f>
        <v>0</v>
      </c>
    </row>
    <row r="196" hidden="1">
      <c r="A196" s="157"/>
      <c r="B196" s="157"/>
      <c r="C196" s="157" t="s">
        <v>629</v>
      </c>
      <c r="D196" s="124">
        <f t="shared" si="1"/>
        <v>0</v>
      </c>
      <c r="E196" s="265">
        <f>sumif('Segment RAW Data 25-26'!$B$1:$X$1,$E$3,'Segment RAW Data 25-26'!$B195:$X195)</f>
        <v>0</v>
      </c>
      <c r="F196" s="265">
        <f>sumif('Segment RAW Data 25-26'!$B$1:$X$1,$F$3,'Segment RAW Data 25-26'!$B195:$X195)</f>
        <v>0</v>
      </c>
      <c r="G196" s="265">
        <f>sumif('Segment RAW Data 25-26'!$B$1:$X$1,$G$3,'Segment RAW Data 25-26'!$B195:$X195)</f>
        <v>0</v>
      </c>
      <c r="H196" s="265">
        <f>sumif('Segment RAW Data 25-26'!$B$1:$X$1,$H$3,'Segment RAW Data 25-26'!$B195:$X195)</f>
        <v>0</v>
      </c>
      <c r="I196" s="265">
        <f>sumif('Segment RAW Data 25-26'!$B$1:$X$1,$I$3,'Segment RAW Data 25-26'!$B195:$X195)</f>
        <v>0</v>
      </c>
      <c r="J196" s="265">
        <f>sumif('Segment RAW Data 25-26'!$B$1:$X$1,$J$3,'Segment RAW Data 25-26'!$B195:$X195)</f>
        <v>0</v>
      </c>
      <c r="K196" s="265">
        <f>sumif('Segment RAW Data 25-26'!$B$1:$X$1,$K$3,'Segment RAW Data 25-26'!$B195:$X195)</f>
        <v>0</v>
      </c>
      <c r="L196" s="265">
        <f>sumif('Segment RAW Data 25-26'!$B$1:$X$1,$L$3,'Segment RAW Data 25-26'!$B195:$X195)</f>
        <v>0</v>
      </c>
      <c r="M196" s="270"/>
      <c r="N196" s="124"/>
      <c r="O196" s="124">
        <f>VLOOKUP(C196:C795,'Segment RAW Data 25-26'!A195:Y792,25,0)-VLOOKUP(C196:C795,C:D,2,0)</f>
        <v>0</v>
      </c>
    </row>
    <row r="197" hidden="1">
      <c r="A197" s="157" t="s">
        <v>185</v>
      </c>
      <c r="B197" s="157" t="s">
        <v>222</v>
      </c>
      <c r="C197" s="157" t="s">
        <v>220</v>
      </c>
      <c r="D197" s="124">
        <f t="shared" si="1"/>
        <v>40902034.52</v>
      </c>
      <c r="E197" s="265">
        <f>sumif('Segment RAW Data 25-26'!$B$1:$X$1,$E$3,'Segment RAW Data 25-26'!$B196:$X196)</f>
        <v>18734214.48</v>
      </c>
      <c r="F197" s="265">
        <f>sumif('Segment RAW Data 25-26'!$B$1:$X$1,$F$3,'Segment RAW Data 25-26'!$B196:$X196)</f>
        <v>10926097.48</v>
      </c>
      <c r="G197" s="265">
        <f>sumif('Segment RAW Data 25-26'!$B$1:$X$1,$G$3,'Segment RAW Data 25-26'!$B196:$X196)</f>
        <v>6148113.57</v>
      </c>
      <c r="H197" s="265">
        <f>sumif('Segment RAW Data 25-26'!$B$1:$X$1,$H$3,'Segment RAW Data 25-26'!$B196:$X196)</f>
        <v>1958956.59</v>
      </c>
      <c r="I197" s="265">
        <f>sumif('Segment RAW Data 25-26'!$B$1:$X$1,$I$3,'Segment RAW Data 25-26'!$B196:$X196)</f>
        <v>394707.5</v>
      </c>
      <c r="J197" s="265">
        <f>sumif('Segment RAW Data 25-26'!$B$1:$X$1,$J$3,'Segment RAW Data 25-26'!$B196:$X196)</f>
        <v>2739944.9</v>
      </c>
      <c r="K197" s="265">
        <f>sumif('Segment RAW Data 25-26'!$B$1:$X$1,$K$3,'Segment RAW Data 25-26'!$B196:$X196)</f>
        <v>0</v>
      </c>
      <c r="L197" s="265">
        <f>sumif('Segment RAW Data 25-26'!$B$1:$X$1,$L$3,'Segment RAW Data 25-26'!$B196:$X196)</f>
        <v>0</v>
      </c>
      <c r="M197" s="270"/>
      <c r="N197" s="124" t="s">
        <v>975</v>
      </c>
      <c r="O197" s="124">
        <f>VLOOKUP(C197:C796,'Segment RAW Data 25-26'!A196:Y793,25,0)-VLOOKUP(C197:C796,C:D,2,0)</f>
        <v>0</v>
      </c>
    </row>
    <row r="198" hidden="1">
      <c r="A198" s="157" t="s">
        <v>126</v>
      </c>
      <c r="B198" s="157" t="s">
        <v>145</v>
      </c>
      <c r="C198" s="157" t="s">
        <v>143</v>
      </c>
      <c r="D198" s="124">
        <f t="shared" si="1"/>
        <v>9779119.46</v>
      </c>
      <c r="E198" s="265">
        <f>sumif('Segment RAW Data 25-26'!$B$1:$X$1,$E$3,'Segment RAW Data 25-26'!$B197:$X197)</f>
        <v>2570641.47</v>
      </c>
      <c r="F198" s="265">
        <f>sumif('Segment RAW Data 25-26'!$B$1:$X$1,$F$3,'Segment RAW Data 25-26'!$B197:$X197)</f>
        <v>3880113.25</v>
      </c>
      <c r="G198" s="265">
        <f>sumif('Segment RAW Data 25-26'!$B$1:$X$1,$G$3,'Segment RAW Data 25-26'!$B197:$X197)</f>
        <v>2295377.74</v>
      </c>
      <c r="H198" s="265">
        <f>sumif('Segment RAW Data 25-26'!$B$1:$X$1,$H$3,'Segment RAW Data 25-26'!$B197:$X197)</f>
        <v>184396.6</v>
      </c>
      <c r="I198" s="265">
        <f>sumif('Segment RAW Data 25-26'!$B$1:$X$1,$I$3,'Segment RAW Data 25-26'!$B197:$X197)</f>
        <v>0</v>
      </c>
      <c r="J198" s="265">
        <f>sumif('Segment RAW Data 25-26'!$B$1:$X$1,$J$3,'Segment RAW Data 25-26'!$B197:$X197)</f>
        <v>776947.65</v>
      </c>
      <c r="K198" s="265">
        <f>sumif('Segment RAW Data 25-26'!$B$1:$X$1,$K$3,'Segment RAW Data 25-26'!$B197:$X197)</f>
        <v>11330</v>
      </c>
      <c r="L198" s="265">
        <f>sumif('Segment RAW Data 25-26'!$B$1:$X$1,$L$3,'Segment RAW Data 25-26'!$B197:$X197)</f>
        <v>60312.75</v>
      </c>
      <c r="M198" s="270"/>
      <c r="N198" s="124" t="s">
        <v>975</v>
      </c>
      <c r="O198" s="124">
        <f>VLOOKUP(C198:C797,'Segment RAW Data 25-26'!A197:Y794,25,0)-VLOOKUP(C198:C797,C:D,2,0)</f>
        <v>0.009999999776</v>
      </c>
    </row>
    <row r="199" hidden="1">
      <c r="A199" s="157" t="s">
        <v>185</v>
      </c>
      <c r="B199" s="157" t="s">
        <v>85</v>
      </c>
      <c r="C199" s="157" t="s">
        <v>630</v>
      </c>
      <c r="D199" s="124">
        <f t="shared" si="1"/>
        <v>44994.4</v>
      </c>
      <c r="E199" s="265">
        <f>sumif('Segment RAW Data 25-26'!$B$1:$X$1,$E$3,'Segment RAW Data 25-26'!$B198:$X198)</f>
        <v>0</v>
      </c>
      <c r="F199" s="265">
        <f>sumif('Segment RAW Data 25-26'!$B$1:$X$1,$F$3,'Segment RAW Data 25-26'!$B198:$X198)</f>
        <v>8772.5</v>
      </c>
      <c r="G199" s="265">
        <f>sumif('Segment RAW Data 25-26'!$B$1:$X$1,$G$3,'Segment RAW Data 25-26'!$B198:$X198)</f>
        <v>34032.9</v>
      </c>
      <c r="H199" s="265">
        <f>sumif('Segment RAW Data 25-26'!$B$1:$X$1,$H$3,'Segment RAW Data 25-26'!$B198:$X198)</f>
        <v>0</v>
      </c>
      <c r="I199" s="265">
        <f>sumif('Segment RAW Data 25-26'!$B$1:$X$1,$I$3,'Segment RAW Data 25-26'!$B198:$X198)</f>
        <v>0</v>
      </c>
      <c r="J199" s="265">
        <f>sumif('Segment RAW Data 25-26'!$B$1:$X$1,$J$3,'Segment RAW Data 25-26'!$B198:$X198)</f>
        <v>2189</v>
      </c>
      <c r="K199" s="265">
        <f>sumif('Segment RAW Data 25-26'!$B$1:$X$1,$K$3,'Segment RAW Data 25-26'!$B198:$X198)</f>
        <v>0</v>
      </c>
      <c r="L199" s="265">
        <f>sumif('Segment RAW Data 25-26'!$B$1:$X$1,$L$3,'Segment RAW Data 25-26'!$B198:$X198)</f>
        <v>0</v>
      </c>
      <c r="M199" s="270">
        <v>45759.0</v>
      </c>
      <c r="N199" s="124" t="s">
        <v>973</v>
      </c>
      <c r="O199" s="124">
        <f>VLOOKUP(C199:C798,'Segment RAW Data 25-26'!A198:Y795,25,0)-VLOOKUP(C199:C798,C:D,2,0)</f>
        <v>0</v>
      </c>
    </row>
    <row r="200" hidden="1">
      <c r="A200" s="157"/>
      <c r="B200" s="157"/>
      <c r="C200" s="157" t="s">
        <v>631</v>
      </c>
      <c r="D200" s="124">
        <f t="shared" si="1"/>
        <v>0</v>
      </c>
      <c r="E200" s="265">
        <f>sumif('Segment RAW Data 25-26'!$B$1:$X$1,$E$3,'Segment RAW Data 25-26'!$B199:$X199)</f>
        <v>0</v>
      </c>
      <c r="F200" s="265">
        <f>sumif('Segment RAW Data 25-26'!$B$1:$X$1,$F$3,'Segment RAW Data 25-26'!$B199:$X199)</f>
        <v>0</v>
      </c>
      <c r="G200" s="265">
        <f>sumif('Segment RAW Data 25-26'!$B$1:$X$1,$G$3,'Segment RAW Data 25-26'!$B199:$X199)</f>
        <v>0</v>
      </c>
      <c r="H200" s="265">
        <f>sumif('Segment RAW Data 25-26'!$B$1:$X$1,$H$3,'Segment RAW Data 25-26'!$B199:$X199)</f>
        <v>0</v>
      </c>
      <c r="I200" s="265">
        <f>sumif('Segment RAW Data 25-26'!$B$1:$X$1,$I$3,'Segment RAW Data 25-26'!$B199:$X199)</f>
        <v>0</v>
      </c>
      <c r="J200" s="265">
        <f>sumif('Segment RAW Data 25-26'!$B$1:$X$1,$J$3,'Segment RAW Data 25-26'!$B199:$X199)</f>
        <v>0</v>
      </c>
      <c r="K200" s="265">
        <f>sumif('Segment RAW Data 25-26'!$B$1:$X$1,$K$3,'Segment RAW Data 25-26'!$B199:$X199)</f>
        <v>0</v>
      </c>
      <c r="L200" s="265">
        <f>sumif('Segment RAW Data 25-26'!$B$1:$X$1,$L$3,'Segment RAW Data 25-26'!$B199:$X199)</f>
        <v>0</v>
      </c>
      <c r="M200" s="270"/>
      <c r="N200" s="124"/>
      <c r="O200" s="124">
        <f>VLOOKUP(C200:C799,'Segment RAW Data 25-26'!A199:Y796,25,0)-VLOOKUP(C200:C799,C:D,2,0)</f>
        <v>0</v>
      </c>
    </row>
    <row r="201" hidden="1">
      <c r="A201" s="157" t="s">
        <v>126</v>
      </c>
      <c r="B201" s="157" t="s">
        <v>130</v>
      </c>
      <c r="C201" s="157" t="s">
        <v>146</v>
      </c>
      <c r="D201" s="124">
        <f t="shared" si="1"/>
        <v>13066455.75</v>
      </c>
      <c r="E201" s="265">
        <f>sumif('Segment RAW Data 25-26'!$B$1:$X$1,$E$3,'Segment RAW Data 25-26'!$B200:$X200)</f>
        <v>406263.64</v>
      </c>
      <c r="F201" s="265">
        <f>sumif('Segment RAW Data 25-26'!$B$1:$X$1,$F$3,'Segment RAW Data 25-26'!$B200:$X200)</f>
        <v>3329012.48</v>
      </c>
      <c r="G201" s="265">
        <f>sumif('Segment RAW Data 25-26'!$B$1:$X$1,$G$3,'Segment RAW Data 25-26'!$B200:$X200)</f>
        <v>3172815.43</v>
      </c>
      <c r="H201" s="265">
        <f>sumif('Segment RAW Data 25-26'!$B$1:$X$1,$H$3,'Segment RAW Data 25-26'!$B200:$X200)</f>
        <v>830167.39</v>
      </c>
      <c r="I201" s="265">
        <f>sumif('Segment RAW Data 25-26'!$B$1:$X$1,$I$3,'Segment RAW Data 25-26'!$B200:$X200)</f>
        <v>0</v>
      </c>
      <c r="J201" s="265">
        <f>sumif('Segment RAW Data 25-26'!$B$1:$X$1,$J$3,'Segment RAW Data 25-26'!$B200:$X200)</f>
        <v>1027256.8</v>
      </c>
      <c r="K201" s="265">
        <f>sumif('Segment RAW Data 25-26'!$B$1:$X$1,$K$3,'Segment RAW Data 25-26'!$B200:$X200)</f>
        <v>0</v>
      </c>
      <c r="L201" s="265">
        <f>sumif('Segment RAW Data 25-26'!$B$1:$X$1,$L$3,'Segment RAW Data 25-26'!$B200:$X200)</f>
        <v>4300940.01</v>
      </c>
      <c r="M201" s="270"/>
      <c r="N201" s="124" t="s">
        <v>975</v>
      </c>
      <c r="O201" s="124">
        <f>VLOOKUP(C201:C800,'Segment RAW Data 25-26'!A200:Y797,25,0)-VLOOKUP(C201:C800,C:D,2,0)</f>
        <v>0</v>
      </c>
    </row>
    <row r="202" hidden="1">
      <c r="A202" s="157"/>
      <c r="B202" s="157"/>
      <c r="C202" s="157" t="s">
        <v>632</v>
      </c>
      <c r="D202" s="124">
        <f t="shared" si="1"/>
        <v>0</v>
      </c>
      <c r="E202" s="265">
        <f>sumif('Segment RAW Data 25-26'!$B$1:$X$1,$E$3,'Segment RAW Data 25-26'!$B201:$X201)</f>
        <v>0</v>
      </c>
      <c r="F202" s="265">
        <f>sumif('Segment RAW Data 25-26'!$B$1:$X$1,$F$3,'Segment RAW Data 25-26'!$B201:$X201)</f>
        <v>0</v>
      </c>
      <c r="G202" s="265">
        <f>sumif('Segment RAW Data 25-26'!$B$1:$X$1,$G$3,'Segment RAW Data 25-26'!$B201:$X201)</f>
        <v>0</v>
      </c>
      <c r="H202" s="265">
        <f>sumif('Segment RAW Data 25-26'!$B$1:$X$1,$H$3,'Segment RAW Data 25-26'!$B201:$X201)</f>
        <v>0</v>
      </c>
      <c r="I202" s="265">
        <f>sumif('Segment RAW Data 25-26'!$B$1:$X$1,$I$3,'Segment RAW Data 25-26'!$B201:$X201)</f>
        <v>0</v>
      </c>
      <c r="J202" s="265">
        <f>sumif('Segment RAW Data 25-26'!$B$1:$X$1,$J$3,'Segment RAW Data 25-26'!$B201:$X201)</f>
        <v>0</v>
      </c>
      <c r="K202" s="265">
        <f>sumif('Segment RAW Data 25-26'!$B$1:$X$1,$K$3,'Segment RAW Data 25-26'!$B201:$X201)</f>
        <v>0</v>
      </c>
      <c r="L202" s="265">
        <f>sumif('Segment RAW Data 25-26'!$B$1:$X$1,$L$3,'Segment RAW Data 25-26'!$B201:$X201)</f>
        <v>0</v>
      </c>
      <c r="M202" s="270"/>
      <c r="N202" s="124"/>
      <c r="O202" s="124">
        <f>VLOOKUP(C202:C801,'Segment RAW Data 25-26'!A201:Y798,25,0)-VLOOKUP(C202:C801,C:D,2,0)</f>
        <v>0</v>
      </c>
    </row>
    <row r="203" hidden="1">
      <c r="A203" s="157"/>
      <c r="B203" s="157"/>
      <c r="C203" s="157" t="s">
        <v>633</v>
      </c>
      <c r="D203" s="124">
        <f t="shared" si="1"/>
        <v>0</v>
      </c>
      <c r="E203" s="265">
        <f>sumif('Segment RAW Data 25-26'!$B$1:$X$1,$E$3,'Segment RAW Data 25-26'!$B202:$X202)</f>
        <v>0</v>
      </c>
      <c r="F203" s="265">
        <f>sumif('Segment RAW Data 25-26'!$B$1:$X$1,$F$3,'Segment RAW Data 25-26'!$B202:$X202)</f>
        <v>0</v>
      </c>
      <c r="G203" s="265">
        <f>sumif('Segment RAW Data 25-26'!$B$1:$X$1,$G$3,'Segment RAW Data 25-26'!$B202:$X202)</f>
        <v>0</v>
      </c>
      <c r="H203" s="265">
        <f>sumif('Segment RAW Data 25-26'!$B$1:$X$1,$H$3,'Segment RAW Data 25-26'!$B202:$X202)</f>
        <v>0</v>
      </c>
      <c r="I203" s="265">
        <f>sumif('Segment RAW Data 25-26'!$B$1:$X$1,$I$3,'Segment RAW Data 25-26'!$B202:$X202)</f>
        <v>0</v>
      </c>
      <c r="J203" s="265">
        <f>sumif('Segment RAW Data 25-26'!$B$1:$X$1,$J$3,'Segment RAW Data 25-26'!$B202:$X202)</f>
        <v>0</v>
      </c>
      <c r="K203" s="265">
        <f>sumif('Segment RAW Data 25-26'!$B$1:$X$1,$K$3,'Segment RAW Data 25-26'!$B202:$X202)</f>
        <v>0</v>
      </c>
      <c r="L203" s="265">
        <f>sumif('Segment RAW Data 25-26'!$B$1:$X$1,$L$3,'Segment RAW Data 25-26'!$B202:$X202)</f>
        <v>0</v>
      </c>
      <c r="M203" s="270"/>
      <c r="N203" s="124"/>
      <c r="O203" s="124">
        <f>VLOOKUP(C203:C802,'Segment RAW Data 25-26'!A202:Y799,25,0)-VLOOKUP(C203:C802,C:D,2,0)</f>
        <v>0</v>
      </c>
    </row>
    <row r="204" hidden="1">
      <c r="A204" s="157"/>
      <c r="B204" s="157"/>
      <c r="C204" s="157" t="s">
        <v>634</v>
      </c>
      <c r="D204" s="124">
        <f t="shared" si="1"/>
        <v>0</v>
      </c>
      <c r="E204" s="265">
        <f>sumif('Segment RAW Data 25-26'!$B$1:$X$1,$E$3,'Segment RAW Data 25-26'!$B203:$X203)</f>
        <v>0</v>
      </c>
      <c r="F204" s="265">
        <f>sumif('Segment RAW Data 25-26'!$B$1:$X$1,$F$3,'Segment RAW Data 25-26'!$B203:$X203)</f>
        <v>0</v>
      </c>
      <c r="G204" s="265">
        <f>sumif('Segment RAW Data 25-26'!$B$1:$X$1,$G$3,'Segment RAW Data 25-26'!$B203:$X203)</f>
        <v>0</v>
      </c>
      <c r="H204" s="265">
        <f>sumif('Segment RAW Data 25-26'!$B$1:$X$1,$H$3,'Segment RAW Data 25-26'!$B203:$X203)</f>
        <v>0</v>
      </c>
      <c r="I204" s="265">
        <f>sumif('Segment RAW Data 25-26'!$B$1:$X$1,$I$3,'Segment RAW Data 25-26'!$B203:$X203)</f>
        <v>0</v>
      </c>
      <c r="J204" s="265">
        <f>sumif('Segment RAW Data 25-26'!$B$1:$X$1,$J$3,'Segment RAW Data 25-26'!$B203:$X203)</f>
        <v>0</v>
      </c>
      <c r="K204" s="265">
        <f>sumif('Segment RAW Data 25-26'!$B$1:$X$1,$K$3,'Segment RAW Data 25-26'!$B203:$X203)</f>
        <v>0</v>
      </c>
      <c r="L204" s="265">
        <f>sumif('Segment RAW Data 25-26'!$B$1:$X$1,$L$3,'Segment RAW Data 25-26'!$B203:$X203)</f>
        <v>0</v>
      </c>
      <c r="M204" s="270"/>
      <c r="N204" s="124"/>
      <c r="O204" s="124">
        <f>VLOOKUP(C204:C803,'Segment RAW Data 25-26'!A203:Y800,25,0)-VLOOKUP(C204:C803,C:D,2,0)</f>
        <v>0</v>
      </c>
    </row>
    <row r="205" hidden="1">
      <c r="A205" s="157"/>
      <c r="B205" s="157"/>
      <c r="C205" s="157" t="s">
        <v>635</v>
      </c>
      <c r="D205" s="124">
        <f t="shared" si="1"/>
        <v>0</v>
      </c>
      <c r="E205" s="265">
        <f>sumif('Segment RAW Data 25-26'!$B$1:$X$1,$E$3,'Segment RAW Data 25-26'!$B204:$X204)</f>
        <v>0</v>
      </c>
      <c r="F205" s="265">
        <f>sumif('Segment RAW Data 25-26'!$B$1:$X$1,$F$3,'Segment RAW Data 25-26'!$B204:$X204)</f>
        <v>0</v>
      </c>
      <c r="G205" s="265">
        <f>sumif('Segment RAW Data 25-26'!$B$1:$X$1,$G$3,'Segment RAW Data 25-26'!$B204:$X204)</f>
        <v>0</v>
      </c>
      <c r="H205" s="265">
        <f>sumif('Segment RAW Data 25-26'!$B$1:$X$1,$H$3,'Segment RAW Data 25-26'!$B204:$X204)</f>
        <v>0</v>
      </c>
      <c r="I205" s="265">
        <f>sumif('Segment RAW Data 25-26'!$B$1:$X$1,$I$3,'Segment RAW Data 25-26'!$B204:$X204)</f>
        <v>0</v>
      </c>
      <c r="J205" s="265">
        <f>sumif('Segment RAW Data 25-26'!$B$1:$X$1,$J$3,'Segment RAW Data 25-26'!$B204:$X204)</f>
        <v>0</v>
      </c>
      <c r="K205" s="265">
        <f>sumif('Segment RAW Data 25-26'!$B$1:$X$1,$K$3,'Segment RAW Data 25-26'!$B204:$X204)</f>
        <v>0</v>
      </c>
      <c r="L205" s="265">
        <f>sumif('Segment RAW Data 25-26'!$B$1:$X$1,$L$3,'Segment RAW Data 25-26'!$B204:$X204)</f>
        <v>0</v>
      </c>
      <c r="M205" s="270"/>
      <c r="N205" s="124"/>
      <c r="O205" s="124">
        <f>VLOOKUP(C205:C804,'Segment RAW Data 25-26'!A204:Y801,25,0)-VLOOKUP(C205:C804,C:D,2,0)</f>
        <v>0</v>
      </c>
    </row>
    <row r="206" hidden="1">
      <c r="A206" s="157"/>
      <c r="B206" s="157"/>
      <c r="C206" s="157" t="s">
        <v>636</v>
      </c>
      <c r="D206" s="124">
        <f t="shared" si="1"/>
        <v>0</v>
      </c>
      <c r="E206" s="265">
        <f>sumif('Segment RAW Data 25-26'!$B$1:$X$1,$E$3,'Segment RAW Data 25-26'!$B205:$X205)</f>
        <v>0</v>
      </c>
      <c r="F206" s="265">
        <f>sumif('Segment RAW Data 25-26'!$B$1:$X$1,$F$3,'Segment RAW Data 25-26'!$B205:$X205)</f>
        <v>0</v>
      </c>
      <c r="G206" s="265">
        <f>sumif('Segment RAW Data 25-26'!$B$1:$X$1,$G$3,'Segment RAW Data 25-26'!$B205:$X205)</f>
        <v>0</v>
      </c>
      <c r="H206" s="265">
        <f>sumif('Segment RAW Data 25-26'!$B$1:$X$1,$H$3,'Segment RAW Data 25-26'!$B205:$X205)</f>
        <v>0</v>
      </c>
      <c r="I206" s="265">
        <f>sumif('Segment RAW Data 25-26'!$B$1:$X$1,$I$3,'Segment RAW Data 25-26'!$B205:$X205)</f>
        <v>0</v>
      </c>
      <c r="J206" s="265">
        <f>sumif('Segment RAW Data 25-26'!$B$1:$X$1,$J$3,'Segment RAW Data 25-26'!$B205:$X205)</f>
        <v>0</v>
      </c>
      <c r="K206" s="265">
        <f>sumif('Segment RAW Data 25-26'!$B$1:$X$1,$K$3,'Segment RAW Data 25-26'!$B205:$X205)</f>
        <v>0</v>
      </c>
      <c r="L206" s="265">
        <f>sumif('Segment RAW Data 25-26'!$B$1:$X$1,$L$3,'Segment RAW Data 25-26'!$B205:$X205)</f>
        <v>0</v>
      </c>
      <c r="M206" s="270"/>
      <c r="N206" s="124"/>
      <c r="O206" s="124">
        <f>VLOOKUP(C206:C805,'Segment RAW Data 25-26'!A205:Y802,25,0)-VLOOKUP(C206:C805,C:D,2,0)</f>
        <v>0</v>
      </c>
    </row>
    <row r="207" hidden="1">
      <c r="A207" s="157" t="s">
        <v>298</v>
      </c>
      <c r="B207" s="157" t="s">
        <v>301</v>
      </c>
      <c r="C207" s="157" t="s">
        <v>637</v>
      </c>
      <c r="D207" s="124">
        <f t="shared" si="1"/>
        <v>10664561.02</v>
      </c>
      <c r="E207" s="265">
        <f>sumif('Segment RAW Data 25-26'!$B$1:$X$1,$E$3,'Segment RAW Data 25-26'!$B206:$X206)</f>
        <v>241059.07</v>
      </c>
      <c r="F207" s="265">
        <f>sumif('Segment RAW Data 25-26'!$B$1:$X$1,$F$3,'Segment RAW Data 25-26'!$B206:$X206)</f>
        <v>4154361.6</v>
      </c>
      <c r="G207" s="265">
        <f>sumif('Segment RAW Data 25-26'!$B$1:$X$1,$G$3,'Segment RAW Data 25-26'!$B206:$X206)</f>
        <v>5564567.1</v>
      </c>
      <c r="H207" s="265">
        <f>sumif('Segment RAW Data 25-26'!$B$1:$X$1,$H$3,'Segment RAW Data 25-26'!$B206:$X206)</f>
        <v>367331.05</v>
      </c>
      <c r="I207" s="265">
        <f>sumif('Segment RAW Data 25-26'!$B$1:$X$1,$I$3,'Segment RAW Data 25-26'!$B206:$X206)</f>
        <v>24232</v>
      </c>
      <c r="J207" s="265">
        <f>sumif('Segment RAW Data 25-26'!$B$1:$X$1,$J$3,'Segment RAW Data 25-26'!$B206:$X206)</f>
        <v>153510.2</v>
      </c>
      <c r="K207" s="265">
        <f>sumif('Segment RAW Data 25-26'!$B$1:$X$1,$K$3,'Segment RAW Data 25-26'!$B206:$X206)</f>
        <v>0</v>
      </c>
      <c r="L207" s="265">
        <f>sumif('Segment RAW Data 25-26'!$B$1:$X$1,$L$3,'Segment RAW Data 25-26'!$B206:$X206)</f>
        <v>159500</v>
      </c>
      <c r="M207" s="270"/>
      <c r="N207" s="124" t="s">
        <v>975</v>
      </c>
      <c r="O207" s="124">
        <f>VLOOKUP(C207:C806,'Segment RAW Data 25-26'!A206:Y803,25,0)-VLOOKUP(C207:C806,C:D,2,0)</f>
        <v>0</v>
      </c>
    </row>
    <row r="208" hidden="1">
      <c r="A208" s="157"/>
      <c r="B208" s="157"/>
      <c r="C208" s="157" t="s">
        <v>638</v>
      </c>
      <c r="D208" s="124">
        <f t="shared" si="1"/>
        <v>0</v>
      </c>
      <c r="E208" s="265">
        <f>sumif('Segment RAW Data 25-26'!$B$1:$X$1,$E$3,'Segment RAW Data 25-26'!$B207:$X207)</f>
        <v>0</v>
      </c>
      <c r="F208" s="265">
        <f>sumif('Segment RAW Data 25-26'!$B$1:$X$1,$F$3,'Segment RAW Data 25-26'!$B207:$X207)</f>
        <v>0</v>
      </c>
      <c r="G208" s="265">
        <f>sumif('Segment RAW Data 25-26'!$B$1:$X$1,$G$3,'Segment RAW Data 25-26'!$B207:$X207)</f>
        <v>0</v>
      </c>
      <c r="H208" s="265">
        <f>sumif('Segment RAW Data 25-26'!$B$1:$X$1,$H$3,'Segment RAW Data 25-26'!$B207:$X207)</f>
        <v>0</v>
      </c>
      <c r="I208" s="265">
        <f>sumif('Segment RAW Data 25-26'!$B$1:$X$1,$I$3,'Segment RAW Data 25-26'!$B207:$X207)</f>
        <v>0</v>
      </c>
      <c r="J208" s="265">
        <f>sumif('Segment RAW Data 25-26'!$B$1:$X$1,$J$3,'Segment RAW Data 25-26'!$B207:$X207)</f>
        <v>0</v>
      </c>
      <c r="K208" s="265">
        <f>sumif('Segment RAW Data 25-26'!$B$1:$X$1,$K$3,'Segment RAW Data 25-26'!$B207:$X207)</f>
        <v>0</v>
      </c>
      <c r="L208" s="265">
        <f>sumif('Segment RAW Data 25-26'!$B$1:$X$1,$L$3,'Segment RAW Data 25-26'!$B207:$X207)</f>
        <v>0</v>
      </c>
      <c r="M208" s="270"/>
      <c r="N208" s="124"/>
      <c r="O208" s="124">
        <f>VLOOKUP(C208:C807,'Segment RAW Data 25-26'!A207:Y804,25,0)-VLOOKUP(C208:C807,C:D,2,0)</f>
        <v>0</v>
      </c>
    </row>
    <row r="209" hidden="1">
      <c r="A209" s="157"/>
      <c r="B209" s="157"/>
      <c r="C209" s="157" t="s">
        <v>639</v>
      </c>
      <c r="D209" s="124">
        <f t="shared" si="1"/>
        <v>0</v>
      </c>
      <c r="E209" s="265">
        <f>sumif('Segment RAW Data 25-26'!$B$1:$X$1,$E$3,'Segment RAW Data 25-26'!$B208:$X208)</f>
        <v>0</v>
      </c>
      <c r="F209" s="265">
        <f>sumif('Segment RAW Data 25-26'!$B$1:$X$1,$F$3,'Segment RAW Data 25-26'!$B208:$X208)</f>
        <v>0</v>
      </c>
      <c r="G209" s="265">
        <f>sumif('Segment RAW Data 25-26'!$B$1:$X$1,$G$3,'Segment RAW Data 25-26'!$B208:$X208)</f>
        <v>0</v>
      </c>
      <c r="H209" s="265">
        <f>sumif('Segment RAW Data 25-26'!$B$1:$X$1,$H$3,'Segment RAW Data 25-26'!$B208:$X208)</f>
        <v>0</v>
      </c>
      <c r="I209" s="265">
        <f>sumif('Segment RAW Data 25-26'!$B$1:$X$1,$I$3,'Segment RAW Data 25-26'!$B208:$X208)</f>
        <v>0</v>
      </c>
      <c r="J209" s="265">
        <f>sumif('Segment RAW Data 25-26'!$B$1:$X$1,$J$3,'Segment RAW Data 25-26'!$B208:$X208)</f>
        <v>0</v>
      </c>
      <c r="K209" s="265">
        <f>sumif('Segment RAW Data 25-26'!$B$1:$X$1,$K$3,'Segment RAW Data 25-26'!$B208:$X208)</f>
        <v>0</v>
      </c>
      <c r="L209" s="265">
        <f>sumif('Segment RAW Data 25-26'!$B$1:$X$1,$L$3,'Segment RAW Data 25-26'!$B208:$X208)</f>
        <v>0</v>
      </c>
      <c r="M209" s="270"/>
      <c r="N209" s="124"/>
      <c r="O209" s="124">
        <f>VLOOKUP(C209:C808,'Segment RAW Data 25-26'!A208:Y805,25,0)-VLOOKUP(C209:C808,C:D,2,0)</f>
        <v>0</v>
      </c>
    </row>
    <row r="210" hidden="1">
      <c r="A210" s="157"/>
      <c r="B210" s="157"/>
      <c r="C210" s="157" t="s">
        <v>640</v>
      </c>
      <c r="D210" s="124">
        <f t="shared" si="1"/>
        <v>0</v>
      </c>
      <c r="E210" s="265">
        <f>sumif('Segment RAW Data 25-26'!$B$1:$X$1,$E$3,'Segment RAW Data 25-26'!$B209:$X209)</f>
        <v>0</v>
      </c>
      <c r="F210" s="265">
        <f>sumif('Segment RAW Data 25-26'!$B$1:$X$1,$F$3,'Segment RAW Data 25-26'!$B209:$X209)</f>
        <v>0</v>
      </c>
      <c r="G210" s="265">
        <f>sumif('Segment RAW Data 25-26'!$B$1:$X$1,$G$3,'Segment RAW Data 25-26'!$B209:$X209)</f>
        <v>0</v>
      </c>
      <c r="H210" s="265">
        <f>sumif('Segment RAW Data 25-26'!$B$1:$X$1,$H$3,'Segment RAW Data 25-26'!$B209:$X209)</f>
        <v>0</v>
      </c>
      <c r="I210" s="265">
        <f>sumif('Segment RAW Data 25-26'!$B$1:$X$1,$I$3,'Segment RAW Data 25-26'!$B209:$X209)</f>
        <v>0</v>
      </c>
      <c r="J210" s="265">
        <f>sumif('Segment RAW Data 25-26'!$B$1:$X$1,$J$3,'Segment RAW Data 25-26'!$B209:$X209)</f>
        <v>0</v>
      </c>
      <c r="K210" s="265">
        <f>sumif('Segment RAW Data 25-26'!$B$1:$X$1,$K$3,'Segment RAW Data 25-26'!$B209:$X209)</f>
        <v>0</v>
      </c>
      <c r="L210" s="265">
        <f>sumif('Segment RAW Data 25-26'!$B$1:$X$1,$L$3,'Segment RAW Data 25-26'!$B209:$X209)</f>
        <v>0</v>
      </c>
      <c r="M210" s="270"/>
      <c r="N210" s="124"/>
      <c r="O210" s="124">
        <f>VLOOKUP(C210:C809,'Segment RAW Data 25-26'!A209:Y806,25,0)-VLOOKUP(C210:C809,C:D,2,0)</f>
        <v>0</v>
      </c>
    </row>
    <row r="211" hidden="1">
      <c r="A211" s="157"/>
      <c r="B211" s="157"/>
      <c r="C211" s="157" t="s">
        <v>641</v>
      </c>
      <c r="D211" s="124">
        <f t="shared" si="1"/>
        <v>0</v>
      </c>
      <c r="E211" s="265">
        <f>sumif('Segment RAW Data 25-26'!$B$1:$X$1,$E$3,'Segment RAW Data 25-26'!$B210:$X210)</f>
        <v>0</v>
      </c>
      <c r="F211" s="265">
        <f>sumif('Segment RAW Data 25-26'!$B$1:$X$1,$F$3,'Segment RAW Data 25-26'!$B210:$X210)</f>
        <v>0</v>
      </c>
      <c r="G211" s="265">
        <f>sumif('Segment RAW Data 25-26'!$B$1:$X$1,$G$3,'Segment RAW Data 25-26'!$B210:$X210)</f>
        <v>0</v>
      </c>
      <c r="H211" s="265">
        <f>sumif('Segment RAW Data 25-26'!$B$1:$X$1,$H$3,'Segment RAW Data 25-26'!$B210:$X210)</f>
        <v>0</v>
      </c>
      <c r="I211" s="265">
        <f>sumif('Segment RAW Data 25-26'!$B$1:$X$1,$I$3,'Segment RAW Data 25-26'!$B210:$X210)</f>
        <v>0</v>
      </c>
      <c r="J211" s="265">
        <f>sumif('Segment RAW Data 25-26'!$B$1:$X$1,$J$3,'Segment RAW Data 25-26'!$B210:$X210)</f>
        <v>0</v>
      </c>
      <c r="K211" s="265">
        <f>sumif('Segment RAW Data 25-26'!$B$1:$X$1,$K$3,'Segment RAW Data 25-26'!$B210:$X210)</f>
        <v>0</v>
      </c>
      <c r="L211" s="265">
        <f>sumif('Segment RAW Data 25-26'!$B$1:$X$1,$L$3,'Segment RAW Data 25-26'!$B210:$X210)</f>
        <v>0</v>
      </c>
      <c r="M211" s="270"/>
      <c r="N211" s="124"/>
      <c r="O211" s="124">
        <f>VLOOKUP(C211:C810,'Segment RAW Data 25-26'!A210:Y807,25,0)-VLOOKUP(C211:C810,C:D,2,0)</f>
        <v>0</v>
      </c>
    </row>
    <row r="212" hidden="1">
      <c r="A212" s="157"/>
      <c r="B212" s="157"/>
      <c r="C212" s="157" t="s">
        <v>642</v>
      </c>
      <c r="D212" s="124">
        <f t="shared" si="1"/>
        <v>0</v>
      </c>
      <c r="E212" s="265">
        <f>sumif('Segment RAW Data 25-26'!$B$1:$X$1,$E$3,'Segment RAW Data 25-26'!$B211:$X211)</f>
        <v>0</v>
      </c>
      <c r="F212" s="265">
        <f>sumif('Segment RAW Data 25-26'!$B$1:$X$1,$F$3,'Segment RAW Data 25-26'!$B211:$X211)</f>
        <v>0</v>
      </c>
      <c r="G212" s="265">
        <f>sumif('Segment RAW Data 25-26'!$B$1:$X$1,$G$3,'Segment RAW Data 25-26'!$B211:$X211)</f>
        <v>0</v>
      </c>
      <c r="H212" s="265">
        <f>sumif('Segment RAW Data 25-26'!$B$1:$X$1,$H$3,'Segment RAW Data 25-26'!$B211:$X211)</f>
        <v>0</v>
      </c>
      <c r="I212" s="265">
        <f>sumif('Segment RAW Data 25-26'!$B$1:$X$1,$I$3,'Segment RAW Data 25-26'!$B211:$X211)</f>
        <v>0</v>
      </c>
      <c r="J212" s="265">
        <f>sumif('Segment RAW Data 25-26'!$B$1:$X$1,$J$3,'Segment RAW Data 25-26'!$B211:$X211)</f>
        <v>0</v>
      </c>
      <c r="K212" s="265">
        <f>sumif('Segment RAW Data 25-26'!$B$1:$X$1,$K$3,'Segment RAW Data 25-26'!$B211:$X211)</f>
        <v>0</v>
      </c>
      <c r="L212" s="265">
        <f>sumif('Segment RAW Data 25-26'!$B$1:$X$1,$L$3,'Segment RAW Data 25-26'!$B211:$X211)</f>
        <v>0</v>
      </c>
      <c r="M212" s="270"/>
      <c r="N212" s="124"/>
      <c r="O212" s="124">
        <f>VLOOKUP(C212:C811,'Segment RAW Data 25-26'!A211:Y808,25,0)-VLOOKUP(C212:C811,C:D,2,0)</f>
        <v>0</v>
      </c>
    </row>
    <row r="213" hidden="1">
      <c r="A213" s="157"/>
      <c r="B213" s="157"/>
      <c r="C213" s="157" t="s">
        <v>643</v>
      </c>
      <c r="D213" s="124">
        <f t="shared" si="1"/>
        <v>0</v>
      </c>
      <c r="E213" s="265">
        <f>sumif('Segment RAW Data 25-26'!$B$1:$X$1,$E$3,'Segment RAW Data 25-26'!$B212:$X212)</f>
        <v>0</v>
      </c>
      <c r="F213" s="265">
        <f>sumif('Segment RAW Data 25-26'!$B$1:$X$1,$F$3,'Segment RAW Data 25-26'!$B212:$X212)</f>
        <v>0</v>
      </c>
      <c r="G213" s="265">
        <f>sumif('Segment RAW Data 25-26'!$B$1:$X$1,$G$3,'Segment RAW Data 25-26'!$B212:$X212)</f>
        <v>0</v>
      </c>
      <c r="H213" s="265">
        <f>sumif('Segment RAW Data 25-26'!$B$1:$X$1,$H$3,'Segment RAW Data 25-26'!$B212:$X212)</f>
        <v>0</v>
      </c>
      <c r="I213" s="265">
        <f>sumif('Segment RAW Data 25-26'!$B$1:$X$1,$I$3,'Segment RAW Data 25-26'!$B212:$X212)</f>
        <v>0</v>
      </c>
      <c r="J213" s="265">
        <f>sumif('Segment RAW Data 25-26'!$B$1:$X$1,$J$3,'Segment RAW Data 25-26'!$B212:$X212)</f>
        <v>0</v>
      </c>
      <c r="K213" s="265">
        <f>sumif('Segment RAW Data 25-26'!$B$1:$X$1,$K$3,'Segment RAW Data 25-26'!$B212:$X212)</f>
        <v>0</v>
      </c>
      <c r="L213" s="265">
        <f>sumif('Segment RAW Data 25-26'!$B$1:$X$1,$L$3,'Segment RAW Data 25-26'!$B212:$X212)</f>
        <v>0</v>
      </c>
      <c r="M213" s="270"/>
      <c r="N213" s="124"/>
      <c r="O213" s="124">
        <f>VLOOKUP(C213:C812,'Segment RAW Data 25-26'!A212:Y809,25,0)-VLOOKUP(C213:C812,C:D,2,0)</f>
        <v>0</v>
      </c>
    </row>
    <row r="214" hidden="1">
      <c r="A214" s="157"/>
      <c r="B214" s="157"/>
      <c r="C214" s="157" t="s">
        <v>644</v>
      </c>
      <c r="D214" s="124">
        <f t="shared" si="1"/>
        <v>0</v>
      </c>
      <c r="E214" s="265">
        <f>sumif('Segment RAW Data 25-26'!$B$1:$X$1,$E$3,'Segment RAW Data 25-26'!$B213:$X213)</f>
        <v>0</v>
      </c>
      <c r="F214" s="265">
        <f>sumif('Segment RAW Data 25-26'!$B$1:$X$1,$F$3,'Segment RAW Data 25-26'!$B213:$X213)</f>
        <v>0</v>
      </c>
      <c r="G214" s="265">
        <f>sumif('Segment RAW Data 25-26'!$B$1:$X$1,$G$3,'Segment RAW Data 25-26'!$B213:$X213)</f>
        <v>0</v>
      </c>
      <c r="H214" s="265">
        <f>sumif('Segment RAW Data 25-26'!$B$1:$X$1,$H$3,'Segment RAW Data 25-26'!$B213:$X213)</f>
        <v>0</v>
      </c>
      <c r="I214" s="265">
        <f>sumif('Segment RAW Data 25-26'!$B$1:$X$1,$I$3,'Segment RAW Data 25-26'!$B213:$X213)</f>
        <v>0</v>
      </c>
      <c r="J214" s="265">
        <f>sumif('Segment RAW Data 25-26'!$B$1:$X$1,$J$3,'Segment RAW Data 25-26'!$B213:$X213)</f>
        <v>0</v>
      </c>
      <c r="K214" s="265">
        <f>sumif('Segment RAW Data 25-26'!$B$1:$X$1,$K$3,'Segment RAW Data 25-26'!$B213:$X213)</f>
        <v>0</v>
      </c>
      <c r="L214" s="265">
        <f>sumif('Segment RAW Data 25-26'!$B$1:$X$1,$L$3,'Segment RAW Data 25-26'!$B213:$X213)</f>
        <v>0</v>
      </c>
      <c r="M214" s="270"/>
      <c r="N214" s="124"/>
      <c r="O214" s="124">
        <f>VLOOKUP(C214:C813,'Segment RAW Data 25-26'!A213:Y810,25,0)-VLOOKUP(C214:C813,C:D,2,0)</f>
        <v>0</v>
      </c>
    </row>
    <row r="215" hidden="1">
      <c r="A215" s="157"/>
      <c r="B215" s="157"/>
      <c r="C215" s="157" t="s">
        <v>645</v>
      </c>
      <c r="D215" s="124">
        <f t="shared" si="1"/>
        <v>0</v>
      </c>
      <c r="E215" s="265">
        <f>sumif('Segment RAW Data 25-26'!$B$1:$X$1,$E$3,'Segment RAW Data 25-26'!$B214:$X214)</f>
        <v>0</v>
      </c>
      <c r="F215" s="265">
        <f>sumif('Segment RAW Data 25-26'!$B$1:$X$1,$F$3,'Segment RAW Data 25-26'!$B214:$X214)</f>
        <v>0</v>
      </c>
      <c r="G215" s="265">
        <f>sumif('Segment RAW Data 25-26'!$B$1:$X$1,$G$3,'Segment RAW Data 25-26'!$B214:$X214)</f>
        <v>0</v>
      </c>
      <c r="H215" s="265">
        <f>sumif('Segment RAW Data 25-26'!$B$1:$X$1,$H$3,'Segment RAW Data 25-26'!$B214:$X214)</f>
        <v>0</v>
      </c>
      <c r="I215" s="265">
        <f>sumif('Segment RAW Data 25-26'!$B$1:$X$1,$I$3,'Segment RAW Data 25-26'!$B214:$X214)</f>
        <v>0</v>
      </c>
      <c r="J215" s="265">
        <f>sumif('Segment RAW Data 25-26'!$B$1:$X$1,$J$3,'Segment RAW Data 25-26'!$B214:$X214)</f>
        <v>0</v>
      </c>
      <c r="K215" s="265">
        <f>sumif('Segment RAW Data 25-26'!$B$1:$X$1,$K$3,'Segment RAW Data 25-26'!$B214:$X214)</f>
        <v>0</v>
      </c>
      <c r="L215" s="265">
        <f>sumif('Segment RAW Data 25-26'!$B$1:$X$1,$L$3,'Segment RAW Data 25-26'!$B214:$X214)</f>
        <v>0</v>
      </c>
      <c r="M215" s="270"/>
      <c r="N215" s="124"/>
      <c r="O215" s="124">
        <f>VLOOKUP(C215:C814,'Segment RAW Data 25-26'!A214:Y811,25,0)-VLOOKUP(C215:C814,C:D,2,0)</f>
        <v>0</v>
      </c>
    </row>
    <row r="216" hidden="1">
      <c r="A216" s="157"/>
      <c r="B216" s="157"/>
      <c r="C216" s="157" t="s">
        <v>646</v>
      </c>
      <c r="D216" s="124">
        <f t="shared" si="1"/>
        <v>0</v>
      </c>
      <c r="E216" s="265">
        <f>sumif('Segment RAW Data 25-26'!$B$1:$X$1,$E$3,'Segment RAW Data 25-26'!$B215:$X215)</f>
        <v>0</v>
      </c>
      <c r="F216" s="265">
        <f>sumif('Segment RAW Data 25-26'!$B$1:$X$1,$F$3,'Segment RAW Data 25-26'!$B215:$X215)</f>
        <v>0</v>
      </c>
      <c r="G216" s="265">
        <f>sumif('Segment RAW Data 25-26'!$B$1:$X$1,$G$3,'Segment RAW Data 25-26'!$B215:$X215)</f>
        <v>0</v>
      </c>
      <c r="H216" s="265">
        <f>sumif('Segment RAW Data 25-26'!$B$1:$X$1,$H$3,'Segment RAW Data 25-26'!$B215:$X215)</f>
        <v>0</v>
      </c>
      <c r="I216" s="265">
        <f>sumif('Segment RAW Data 25-26'!$B$1:$X$1,$I$3,'Segment RAW Data 25-26'!$B215:$X215)</f>
        <v>0</v>
      </c>
      <c r="J216" s="265">
        <f>sumif('Segment RAW Data 25-26'!$B$1:$X$1,$J$3,'Segment RAW Data 25-26'!$B215:$X215)</f>
        <v>0</v>
      </c>
      <c r="K216" s="265">
        <f>sumif('Segment RAW Data 25-26'!$B$1:$X$1,$K$3,'Segment RAW Data 25-26'!$B215:$X215)</f>
        <v>0</v>
      </c>
      <c r="L216" s="265">
        <f>sumif('Segment RAW Data 25-26'!$B$1:$X$1,$L$3,'Segment RAW Data 25-26'!$B215:$X215)</f>
        <v>0</v>
      </c>
      <c r="M216" s="270"/>
      <c r="N216" s="124"/>
      <c r="O216" s="124">
        <f>VLOOKUP(C216:C815,'Segment RAW Data 25-26'!A215:Y812,25,0)-VLOOKUP(C216:C815,C:D,2,0)</f>
        <v>0</v>
      </c>
    </row>
    <row r="217" hidden="1">
      <c r="A217" s="157"/>
      <c r="B217" s="157"/>
      <c r="C217" s="157" t="s">
        <v>647</v>
      </c>
      <c r="D217" s="124">
        <f t="shared" si="1"/>
        <v>0</v>
      </c>
      <c r="E217" s="265">
        <f>sumif('Segment RAW Data 25-26'!$B$1:$X$1,$E$3,'Segment RAW Data 25-26'!$B216:$X216)</f>
        <v>0</v>
      </c>
      <c r="F217" s="265">
        <f>sumif('Segment RAW Data 25-26'!$B$1:$X$1,$F$3,'Segment RAW Data 25-26'!$B216:$X216)</f>
        <v>0</v>
      </c>
      <c r="G217" s="265">
        <f>sumif('Segment RAW Data 25-26'!$B$1:$X$1,$G$3,'Segment RAW Data 25-26'!$B216:$X216)</f>
        <v>0</v>
      </c>
      <c r="H217" s="265">
        <f>sumif('Segment RAW Data 25-26'!$B$1:$X$1,$H$3,'Segment RAW Data 25-26'!$B216:$X216)</f>
        <v>0</v>
      </c>
      <c r="I217" s="265">
        <f>sumif('Segment RAW Data 25-26'!$B$1:$X$1,$I$3,'Segment RAW Data 25-26'!$B216:$X216)</f>
        <v>0</v>
      </c>
      <c r="J217" s="265">
        <f>sumif('Segment RAW Data 25-26'!$B$1:$X$1,$J$3,'Segment RAW Data 25-26'!$B216:$X216)</f>
        <v>0</v>
      </c>
      <c r="K217" s="265">
        <f>sumif('Segment RAW Data 25-26'!$B$1:$X$1,$K$3,'Segment RAW Data 25-26'!$B216:$X216)</f>
        <v>0</v>
      </c>
      <c r="L217" s="265">
        <f>sumif('Segment RAW Data 25-26'!$B$1:$X$1,$L$3,'Segment RAW Data 25-26'!$B216:$X216)</f>
        <v>0</v>
      </c>
      <c r="M217" s="270"/>
      <c r="N217" s="124"/>
      <c r="O217" s="124">
        <f>VLOOKUP(C217:C816,'Segment RAW Data 25-26'!A216:Y813,25,0)-VLOOKUP(C217:C816,C:D,2,0)</f>
        <v>0</v>
      </c>
    </row>
    <row r="218" hidden="1">
      <c r="A218" s="157"/>
      <c r="B218" s="157"/>
      <c r="C218" s="157" t="s">
        <v>648</v>
      </c>
      <c r="D218" s="124">
        <f t="shared" si="1"/>
        <v>0</v>
      </c>
      <c r="E218" s="265">
        <f>sumif('Segment RAW Data 25-26'!$B$1:$X$1,$E$3,'Segment RAW Data 25-26'!$B217:$X217)</f>
        <v>0</v>
      </c>
      <c r="F218" s="265">
        <f>sumif('Segment RAW Data 25-26'!$B$1:$X$1,$F$3,'Segment RAW Data 25-26'!$B217:$X217)</f>
        <v>0</v>
      </c>
      <c r="G218" s="265">
        <f>sumif('Segment RAW Data 25-26'!$B$1:$X$1,$G$3,'Segment RAW Data 25-26'!$B217:$X217)</f>
        <v>0</v>
      </c>
      <c r="H218" s="265">
        <f>sumif('Segment RAW Data 25-26'!$B$1:$X$1,$H$3,'Segment RAW Data 25-26'!$B217:$X217)</f>
        <v>0</v>
      </c>
      <c r="I218" s="265">
        <f>sumif('Segment RAW Data 25-26'!$B$1:$X$1,$I$3,'Segment RAW Data 25-26'!$B217:$X217)</f>
        <v>0</v>
      </c>
      <c r="J218" s="265">
        <f>sumif('Segment RAW Data 25-26'!$B$1:$X$1,$J$3,'Segment RAW Data 25-26'!$B217:$X217)</f>
        <v>0</v>
      </c>
      <c r="K218" s="265">
        <f>sumif('Segment RAW Data 25-26'!$B$1:$X$1,$K$3,'Segment RAW Data 25-26'!$B217:$X217)</f>
        <v>0</v>
      </c>
      <c r="L218" s="265">
        <f>sumif('Segment RAW Data 25-26'!$B$1:$X$1,$L$3,'Segment RAW Data 25-26'!$B217:$X217)</f>
        <v>0</v>
      </c>
      <c r="M218" s="270"/>
      <c r="N218" s="124"/>
      <c r="O218" s="124">
        <f>VLOOKUP(C218:C817,'Segment RAW Data 25-26'!A217:Y814,25,0)-VLOOKUP(C218:C817,C:D,2,0)</f>
        <v>0</v>
      </c>
    </row>
    <row r="219" hidden="1">
      <c r="A219" s="157"/>
      <c r="B219" s="157"/>
      <c r="C219" s="157" t="s">
        <v>649</v>
      </c>
      <c r="D219" s="124">
        <f t="shared" si="1"/>
        <v>0</v>
      </c>
      <c r="E219" s="265">
        <f>sumif('Segment RAW Data 25-26'!$B$1:$X$1,$E$3,'Segment RAW Data 25-26'!$B218:$X218)</f>
        <v>0</v>
      </c>
      <c r="F219" s="265">
        <f>sumif('Segment RAW Data 25-26'!$B$1:$X$1,$F$3,'Segment RAW Data 25-26'!$B218:$X218)</f>
        <v>0</v>
      </c>
      <c r="G219" s="265">
        <f>sumif('Segment RAW Data 25-26'!$B$1:$X$1,$G$3,'Segment RAW Data 25-26'!$B218:$X218)</f>
        <v>0</v>
      </c>
      <c r="H219" s="265">
        <f>sumif('Segment RAW Data 25-26'!$B$1:$X$1,$H$3,'Segment RAW Data 25-26'!$B218:$X218)</f>
        <v>0</v>
      </c>
      <c r="I219" s="265">
        <f>sumif('Segment RAW Data 25-26'!$B$1:$X$1,$I$3,'Segment RAW Data 25-26'!$B218:$X218)</f>
        <v>0</v>
      </c>
      <c r="J219" s="265">
        <f>sumif('Segment RAW Data 25-26'!$B$1:$X$1,$J$3,'Segment RAW Data 25-26'!$B218:$X218)</f>
        <v>0</v>
      </c>
      <c r="K219" s="265">
        <f>sumif('Segment RAW Data 25-26'!$B$1:$X$1,$K$3,'Segment RAW Data 25-26'!$B218:$X218)</f>
        <v>0</v>
      </c>
      <c r="L219" s="265">
        <f>sumif('Segment RAW Data 25-26'!$B$1:$X$1,$L$3,'Segment RAW Data 25-26'!$B218:$X218)</f>
        <v>0</v>
      </c>
      <c r="M219" s="270"/>
      <c r="N219" s="124"/>
      <c r="O219" s="124">
        <f>VLOOKUP(C219:C818,'Segment RAW Data 25-26'!A218:Y815,25,0)-VLOOKUP(C219:C818,C:D,2,0)</f>
        <v>0</v>
      </c>
    </row>
    <row r="220" hidden="1">
      <c r="A220" s="157"/>
      <c r="B220" s="157"/>
      <c r="C220" s="157" t="s">
        <v>650</v>
      </c>
      <c r="D220" s="124">
        <f t="shared" si="1"/>
        <v>0</v>
      </c>
      <c r="E220" s="265">
        <f>sumif('Segment RAW Data 25-26'!$B$1:$X$1,$E$3,'Segment RAW Data 25-26'!$B219:$X219)</f>
        <v>0</v>
      </c>
      <c r="F220" s="265">
        <f>sumif('Segment RAW Data 25-26'!$B$1:$X$1,$F$3,'Segment RAW Data 25-26'!$B219:$X219)</f>
        <v>0</v>
      </c>
      <c r="G220" s="265">
        <f>sumif('Segment RAW Data 25-26'!$B$1:$X$1,$G$3,'Segment RAW Data 25-26'!$B219:$X219)</f>
        <v>0</v>
      </c>
      <c r="H220" s="265">
        <f>sumif('Segment RAW Data 25-26'!$B$1:$X$1,$H$3,'Segment RAW Data 25-26'!$B219:$X219)</f>
        <v>0</v>
      </c>
      <c r="I220" s="265">
        <f>sumif('Segment RAW Data 25-26'!$B$1:$X$1,$I$3,'Segment RAW Data 25-26'!$B219:$X219)</f>
        <v>0</v>
      </c>
      <c r="J220" s="265">
        <f>sumif('Segment RAW Data 25-26'!$B$1:$X$1,$J$3,'Segment RAW Data 25-26'!$B219:$X219)</f>
        <v>0</v>
      </c>
      <c r="K220" s="265">
        <f>sumif('Segment RAW Data 25-26'!$B$1:$X$1,$K$3,'Segment RAW Data 25-26'!$B219:$X219)</f>
        <v>0</v>
      </c>
      <c r="L220" s="265">
        <f>sumif('Segment RAW Data 25-26'!$B$1:$X$1,$L$3,'Segment RAW Data 25-26'!$B219:$X219)</f>
        <v>0</v>
      </c>
      <c r="M220" s="270"/>
      <c r="N220" s="124"/>
      <c r="O220" s="124">
        <f>VLOOKUP(C220:C819,'Segment RAW Data 25-26'!A219:Y816,25,0)-VLOOKUP(C220:C819,C:D,2,0)</f>
        <v>0</v>
      </c>
    </row>
    <row r="221" hidden="1">
      <c r="A221" s="157"/>
      <c r="B221" s="157"/>
      <c r="C221" s="157" t="s">
        <v>651</v>
      </c>
      <c r="D221" s="124">
        <f t="shared" si="1"/>
        <v>0</v>
      </c>
      <c r="E221" s="265">
        <f>sumif('Segment RAW Data 25-26'!$B$1:$X$1,$E$3,'Segment RAW Data 25-26'!$B220:$X220)</f>
        <v>0</v>
      </c>
      <c r="F221" s="265">
        <f>sumif('Segment RAW Data 25-26'!$B$1:$X$1,$F$3,'Segment RAW Data 25-26'!$B220:$X220)</f>
        <v>0</v>
      </c>
      <c r="G221" s="265">
        <f>sumif('Segment RAW Data 25-26'!$B$1:$X$1,$G$3,'Segment RAW Data 25-26'!$B220:$X220)</f>
        <v>0</v>
      </c>
      <c r="H221" s="265">
        <f>sumif('Segment RAW Data 25-26'!$B$1:$X$1,$H$3,'Segment RAW Data 25-26'!$B220:$X220)</f>
        <v>0</v>
      </c>
      <c r="I221" s="265">
        <f>sumif('Segment RAW Data 25-26'!$B$1:$X$1,$I$3,'Segment RAW Data 25-26'!$B220:$X220)</f>
        <v>0</v>
      </c>
      <c r="J221" s="265">
        <f>sumif('Segment RAW Data 25-26'!$B$1:$X$1,$J$3,'Segment RAW Data 25-26'!$B220:$X220)</f>
        <v>0</v>
      </c>
      <c r="K221" s="265">
        <f>sumif('Segment RAW Data 25-26'!$B$1:$X$1,$K$3,'Segment RAW Data 25-26'!$B220:$X220)</f>
        <v>0</v>
      </c>
      <c r="L221" s="265">
        <f>sumif('Segment RAW Data 25-26'!$B$1:$X$1,$L$3,'Segment RAW Data 25-26'!$B220:$X220)</f>
        <v>0</v>
      </c>
      <c r="M221" s="270"/>
      <c r="N221" s="124"/>
      <c r="O221" s="124">
        <f>VLOOKUP(C221:C820,'Segment RAW Data 25-26'!A220:Y817,25,0)-VLOOKUP(C221:C820,C:D,2,0)</f>
        <v>0</v>
      </c>
    </row>
    <row r="222" hidden="1">
      <c r="A222" s="157" t="s">
        <v>298</v>
      </c>
      <c r="B222" s="157" t="s">
        <v>301</v>
      </c>
      <c r="C222" s="157" t="s">
        <v>355</v>
      </c>
      <c r="D222" s="124">
        <f t="shared" si="1"/>
        <v>0</v>
      </c>
      <c r="E222" s="265">
        <f>sumif('Segment RAW Data 25-26'!$B$1:$X$1,$E$3,'Segment RAW Data 25-26'!$B221:$X221)</f>
        <v>0</v>
      </c>
      <c r="F222" s="265">
        <f>sumif('Segment RAW Data 25-26'!$B$1:$X$1,$F$3,'Segment RAW Data 25-26'!$B221:$X221)</f>
        <v>0</v>
      </c>
      <c r="G222" s="265">
        <f>sumif('Segment RAW Data 25-26'!$B$1:$X$1,$G$3,'Segment RAW Data 25-26'!$B221:$X221)</f>
        <v>0</v>
      </c>
      <c r="H222" s="265">
        <f>sumif('Segment RAW Data 25-26'!$B$1:$X$1,$H$3,'Segment RAW Data 25-26'!$B221:$X221)</f>
        <v>0</v>
      </c>
      <c r="I222" s="265">
        <f>sumif('Segment RAW Data 25-26'!$B$1:$X$1,$I$3,'Segment RAW Data 25-26'!$B221:$X221)</f>
        <v>0</v>
      </c>
      <c r="J222" s="265">
        <f>sumif('Segment RAW Data 25-26'!$B$1:$X$1,$J$3,'Segment RAW Data 25-26'!$B221:$X221)</f>
        <v>0</v>
      </c>
      <c r="K222" s="265">
        <f>sumif('Segment RAW Data 25-26'!$B$1:$X$1,$K$3,'Segment RAW Data 25-26'!$B221:$X221)</f>
        <v>0</v>
      </c>
      <c r="L222" s="265">
        <f>sumif('Segment RAW Data 25-26'!$B$1:$X$1,$L$3,'Segment RAW Data 25-26'!$B221:$X221)</f>
        <v>0</v>
      </c>
      <c r="M222" s="270">
        <v>45754.0</v>
      </c>
      <c r="N222" s="124" t="s">
        <v>973</v>
      </c>
      <c r="O222" s="124">
        <f>VLOOKUP(C222:C821,'Segment RAW Data 25-26'!A221:Y818,25,0)-VLOOKUP(C222:C821,C:D,2,0)</f>
        <v>0</v>
      </c>
    </row>
    <row r="223" hidden="1">
      <c r="A223" s="157"/>
      <c r="B223" s="157"/>
      <c r="C223" s="157" t="s">
        <v>652</v>
      </c>
      <c r="D223" s="124">
        <f t="shared" si="1"/>
        <v>0</v>
      </c>
      <c r="E223" s="265">
        <f>sumif('Segment RAW Data 25-26'!$B$1:$X$1,$E$3,'Segment RAW Data 25-26'!$B222:$X222)</f>
        <v>0</v>
      </c>
      <c r="F223" s="265">
        <f>sumif('Segment RAW Data 25-26'!$B$1:$X$1,$F$3,'Segment RAW Data 25-26'!$B222:$X222)</f>
        <v>0</v>
      </c>
      <c r="G223" s="265">
        <f>sumif('Segment RAW Data 25-26'!$B$1:$X$1,$G$3,'Segment RAW Data 25-26'!$B222:$X222)</f>
        <v>0</v>
      </c>
      <c r="H223" s="265">
        <f>sumif('Segment RAW Data 25-26'!$B$1:$X$1,$H$3,'Segment RAW Data 25-26'!$B222:$X222)</f>
        <v>0</v>
      </c>
      <c r="I223" s="265">
        <f>sumif('Segment RAW Data 25-26'!$B$1:$X$1,$I$3,'Segment RAW Data 25-26'!$B222:$X222)</f>
        <v>0</v>
      </c>
      <c r="J223" s="265">
        <f>sumif('Segment RAW Data 25-26'!$B$1:$X$1,$J$3,'Segment RAW Data 25-26'!$B222:$X222)</f>
        <v>0</v>
      </c>
      <c r="K223" s="265">
        <f>sumif('Segment RAW Data 25-26'!$B$1:$X$1,$K$3,'Segment RAW Data 25-26'!$B222:$X222)</f>
        <v>0</v>
      </c>
      <c r="L223" s="265">
        <f>sumif('Segment RAW Data 25-26'!$B$1:$X$1,$L$3,'Segment RAW Data 25-26'!$B222:$X222)</f>
        <v>0</v>
      </c>
      <c r="M223" s="270"/>
      <c r="N223" s="124"/>
      <c r="O223" s="124">
        <f>VLOOKUP(C223:C822,'Segment RAW Data 25-26'!A222:Y819,25,0)-VLOOKUP(C223:C822,C:D,2,0)</f>
        <v>0</v>
      </c>
    </row>
    <row r="224" hidden="1">
      <c r="A224" s="157"/>
      <c r="B224" s="157"/>
      <c r="C224" s="157" t="s">
        <v>653</v>
      </c>
      <c r="D224" s="124">
        <f t="shared" si="1"/>
        <v>0</v>
      </c>
      <c r="E224" s="265">
        <f>sumif('Segment RAW Data 25-26'!$B$1:$X$1,$E$3,'Segment RAW Data 25-26'!$B223:$X223)</f>
        <v>0</v>
      </c>
      <c r="F224" s="265">
        <f>sumif('Segment RAW Data 25-26'!$B$1:$X$1,$F$3,'Segment RAW Data 25-26'!$B223:$X223)</f>
        <v>0</v>
      </c>
      <c r="G224" s="265">
        <f>sumif('Segment RAW Data 25-26'!$B$1:$X$1,$G$3,'Segment RAW Data 25-26'!$B223:$X223)</f>
        <v>0</v>
      </c>
      <c r="H224" s="265">
        <f>sumif('Segment RAW Data 25-26'!$B$1:$X$1,$H$3,'Segment RAW Data 25-26'!$B223:$X223)</f>
        <v>0</v>
      </c>
      <c r="I224" s="265">
        <f>sumif('Segment RAW Data 25-26'!$B$1:$X$1,$I$3,'Segment RAW Data 25-26'!$B223:$X223)</f>
        <v>0</v>
      </c>
      <c r="J224" s="265">
        <f>sumif('Segment RAW Data 25-26'!$B$1:$X$1,$J$3,'Segment RAW Data 25-26'!$B223:$X223)</f>
        <v>0</v>
      </c>
      <c r="K224" s="265">
        <f>sumif('Segment RAW Data 25-26'!$B$1:$X$1,$K$3,'Segment RAW Data 25-26'!$B223:$X223)</f>
        <v>0</v>
      </c>
      <c r="L224" s="265">
        <f>sumif('Segment RAW Data 25-26'!$B$1:$X$1,$L$3,'Segment RAW Data 25-26'!$B223:$X223)</f>
        <v>0</v>
      </c>
      <c r="M224" s="270"/>
      <c r="N224" s="124"/>
      <c r="O224" s="124">
        <f>VLOOKUP(C224:C823,'Segment RAW Data 25-26'!A223:Y820,25,0)-VLOOKUP(C224:C823,C:D,2,0)</f>
        <v>0</v>
      </c>
    </row>
    <row r="225" hidden="1">
      <c r="A225" s="157" t="s">
        <v>126</v>
      </c>
      <c r="B225" s="157" t="s">
        <v>135</v>
      </c>
      <c r="C225" s="157" t="s">
        <v>148</v>
      </c>
      <c r="D225" s="124">
        <f t="shared" si="1"/>
        <v>10642239.81</v>
      </c>
      <c r="E225" s="265">
        <f>sumif('Segment RAW Data 25-26'!$B$1:$X$1,$E$3,'Segment RAW Data 25-26'!$B224:$X224)</f>
        <v>3170874.88</v>
      </c>
      <c r="F225" s="265">
        <f>sumif('Segment RAW Data 25-26'!$B$1:$X$1,$F$3,'Segment RAW Data 25-26'!$B224:$X224)</f>
        <v>2529784</v>
      </c>
      <c r="G225" s="265">
        <f>sumif('Segment RAW Data 25-26'!$B$1:$X$1,$G$3,'Segment RAW Data 25-26'!$B224:$X224)</f>
        <v>3505064.97</v>
      </c>
      <c r="H225" s="265">
        <f>sumif('Segment RAW Data 25-26'!$B$1:$X$1,$H$3,'Segment RAW Data 25-26'!$B224:$X224)</f>
        <v>390904.4</v>
      </c>
      <c r="I225" s="265">
        <f>sumif('Segment RAW Data 25-26'!$B$1:$X$1,$I$3,'Segment RAW Data 25-26'!$B224:$X224)</f>
        <v>616998.36</v>
      </c>
      <c r="J225" s="265">
        <f>sumif('Segment RAW Data 25-26'!$B$1:$X$1,$J$3,'Segment RAW Data 25-26'!$B224:$X224)</f>
        <v>428613.2</v>
      </c>
      <c r="K225" s="265">
        <f>sumif('Segment RAW Data 25-26'!$B$1:$X$1,$K$3,'Segment RAW Data 25-26'!$B224:$X224)</f>
        <v>0</v>
      </c>
      <c r="L225" s="265">
        <f>sumif('Segment RAW Data 25-26'!$B$1:$X$1,$L$3,'Segment RAW Data 25-26'!$B224:$X224)</f>
        <v>0</v>
      </c>
      <c r="M225" s="270"/>
      <c r="N225" s="124" t="s">
        <v>975</v>
      </c>
      <c r="O225" s="124">
        <f>VLOOKUP(C225:C824,'Segment RAW Data 25-26'!A224:Y821,25,0)-VLOOKUP(C225:C824,C:D,2,0)</f>
        <v>0.000000001862645149</v>
      </c>
    </row>
    <row r="226" hidden="1">
      <c r="A226" s="157" t="s">
        <v>53</v>
      </c>
      <c r="B226" s="157" t="s">
        <v>61</v>
      </c>
      <c r="C226" s="157" t="s">
        <v>654</v>
      </c>
      <c r="D226" s="124">
        <f t="shared" si="1"/>
        <v>0</v>
      </c>
      <c r="E226" s="265">
        <f>sumif('Segment RAW Data 25-26'!$B$1:$X$1,$E$3,'Segment RAW Data 25-26'!$B225:$X225)</f>
        <v>0</v>
      </c>
      <c r="F226" s="265">
        <f>sumif('Segment RAW Data 25-26'!$B$1:$X$1,$F$3,'Segment RAW Data 25-26'!$B225:$X225)</f>
        <v>0</v>
      </c>
      <c r="G226" s="265">
        <f>sumif('Segment RAW Data 25-26'!$B$1:$X$1,$G$3,'Segment RAW Data 25-26'!$B225:$X225)</f>
        <v>0</v>
      </c>
      <c r="H226" s="265">
        <f>sumif('Segment RAW Data 25-26'!$B$1:$X$1,$H$3,'Segment RAW Data 25-26'!$B225:$X225)</f>
        <v>0</v>
      </c>
      <c r="I226" s="265">
        <f>sumif('Segment RAW Data 25-26'!$B$1:$X$1,$I$3,'Segment RAW Data 25-26'!$B225:$X225)</f>
        <v>0</v>
      </c>
      <c r="J226" s="265">
        <f>sumif('Segment RAW Data 25-26'!$B$1:$X$1,$J$3,'Segment RAW Data 25-26'!$B225:$X225)</f>
        <v>0</v>
      </c>
      <c r="K226" s="265">
        <f>sumif('Segment RAW Data 25-26'!$B$1:$X$1,$K$3,'Segment RAW Data 25-26'!$B225:$X225)</f>
        <v>0</v>
      </c>
      <c r="L226" s="265">
        <f>sumif('Segment RAW Data 25-26'!$B$1:$X$1,$L$3,'Segment RAW Data 25-26'!$B225:$X225)</f>
        <v>0</v>
      </c>
      <c r="M226" s="270">
        <v>45899.0</v>
      </c>
      <c r="N226" s="124" t="s">
        <v>973</v>
      </c>
      <c r="O226" s="124">
        <f>VLOOKUP(C226:C825,'Segment RAW Data 25-26'!A225:Y822,25,0)-VLOOKUP(C226:C825,C:D,2,0)</f>
        <v>0</v>
      </c>
    </row>
    <row r="227" hidden="1">
      <c r="A227" s="157"/>
      <c r="B227" s="157"/>
      <c r="C227" s="157" t="s">
        <v>655</v>
      </c>
      <c r="D227" s="124">
        <f t="shared" si="1"/>
        <v>0</v>
      </c>
      <c r="E227" s="265">
        <f>sumif('Segment RAW Data 25-26'!$B$1:$X$1,$E$3,'Segment RAW Data 25-26'!$B226:$X226)</f>
        <v>0</v>
      </c>
      <c r="F227" s="265">
        <f>sumif('Segment RAW Data 25-26'!$B$1:$X$1,$F$3,'Segment RAW Data 25-26'!$B226:$X226)</f>
        <v>0</v>
      </c>
      <c r="G227" s="265">
        <f>sumif('Segment RAW Data 25-26'!$B$1:$X$1,$G$3,'Segment RAW Data 25-26'!$B226:$X226)</f>
        <v>0</v>
      </c>
      <c r="H227" s="265">
        <f>sumif('Segment RAW Data 25-26'!$B$1:$X$1,$H$3,'Segment RAW Data 25-26'!$B226:$X226)</f>
        <v>0</v>
      </c>
      <c r="I227" s="265">
        <f>sumif('Segment RAW Data 25-26'!$B$1:$X$1,$I$3,'Segment RAW Data 25-26'!$B226:$X226)</f>
        <v>0</v>
      </c>
      <c r="J227" s="265">
        <f>sumif('Segment RAW Data 25-26'!$B$1:$X$1,$J$3,'Segment RAW Data 25-26'!$B226:$X226)</f>
        <v>0</v>
      </c>
      <c r="K227" s="265">
        <f>sumif('Segment RAW Data 25-26'!$B$1:$X$1,$K$3,'Segment RAW Data 25-26'!$B226:$X226)</f>
        <v>0</v>
      </c>
      <c r="L227" s="265">
        <f>sumif('Segment RAW Data 25-26'!$B$1:$X$1,$L$3,'Segment RAW Data 25-26'!$B226:$X226)</f>
        <v>0</v>
      </c>
      <c r="M227" s="270"/>
      <c r="N227" s="124"/>
      <c r="O227" s="124">
        <f>VLOOKUP(C227:C826,'Segment RAW Data 25-26'!A226:Y823,25,0)-VLOOKUP(C227:C826,C:D,2,0)</f>
        <v>0</v>
      </c>
    </row>
    <row r="228" hidden="1">
      <c r="A228" s="157"/>
      <c r="B228" s="157"/>
      <c r="C228" s="157" t="s">
        <v>656</v>
      </c>
      <c r="D228" s="124">
        <f t="shared" si="1"/>
        <v>0</v>
      </c>
      <c r="E228" s="265">
        <f>sumif('Segment RAW Data 25-26'!$B$1:$X$1,$E$3,'Segment RAW Data 25-26'!$B227:$X227)</f>
        <v>0</v>
      </c>
      <c r="F228" s="265">
        <f>sumif('Segment RAW Data 25-26'!$B$1:$X$1,$F$3,'Segment RAW Data 25-26'!$B227:$X227)</f>
        <v>0</v>
      </c>
      <c r="G228" s="265">
        <f>sumif('Segment RAW Data 25-26'!$B$1:$X$1,$G$3,'Segment RAW Data 25-26'!$B227:$X227)</f>
        <v>0</v>
      </c>
      <c r="H228" s="265">
        <f>sumif('Segment RAW Data 25-26'!$B$1:$X$1,$H$3,'Segment RAW Data 25-26'!$B227:$X227)</f>
        <v>0</v>
      </c>
      <c r="I228" s="265">
        <f>sumif('Segment RAW Data 25-26'!$B$1:$X$1,$I$3,'Segment RAW Data 25-26'!$B227:$X227)</f>
        <v>0</v>
      </c>
      <c r="J228" s="265">
        <f>sumif('Segment RAW Data 25-26'!$B$1:$X$1,$J$3,'Segment RAW Data 25-26'!$B227:$X227)</f>
        <v>0</v>
      </c>
      <c r="K228" s="265">
        <f>sumif('Segment RAW Data 25-26'!$B$1:$X$1,$K$3,'Segment RAW Data 25-26'!$B227:$X227)</f>
        <v>0</v>
      </c>
      <c r="L228" s="265">
        <f>sumif('Segment RAW Data 25-26'!$B$1:$X$1,$L$3,'Segment RAW Data 25-26'!$B227:$X227)</f>
        <v>0</v>
      </c>
      <c r="M228" s="270"/>
      <c r="N228" s="124"/>
      <c r="O228" s="124">
        <f>VLOOKUP(C228:C827,'Segment RAW Data 25-26'!A227:Y824,25,0)-VLOOKUP(C228:C827,C:D,2,0)</f>
        <v>0</v>
      </c>
    </row>
    <row r="229" hidden="1">
      <c r="A229" s="157" t="s">
        <v>73</v>
      </c>
      <c r="B229" s="157" t="s">
        <v>76</v>
      </c>
      <c r="C229" s="157" t="s">
        <v>74</v>
      </c>
      <c r="D229" s="124">
        <f t="shared" si="1"/>
        <v>12533559.93</v>
      </c>
      <c r="E229" s="265">
        <f>sumif('Segment RAW Data 25-26'!$B$1:$X$1,$E$3,'Segment RAW Data 25-26'!$B228:$X228)</f>
        <v>6033137.86</v>
      </c>
      <c r="F229" s="265">
        <f>sumif('Segment RAW Data 25-26'!$B$1:$X$1,$F$3,'Segment RAW Data 25-26'!$B228:$X228)</f>
        <v>5797490.39</v>
      </c>
      <c r="G229" s="265">
        <f>sumif('Segment RAW Data 25-26'!$B$1:$X$1,$G$3,'Segment RAW Data 25-26'!$B228:$X228)</f>
        <v>702931.68</v>
      </c>
      <c r="H229" s="265">
        <f>sumif('Segment RAW Data 25-26'!$B$1:$X$1,$H$3,'Segment RAW Data 25-26'!$B228:$X228)</f>
        <v>0</v>
      </c>
      <c r="I229" s="265">
        <f>sumif('Segment RAW Data 25-26'!$B$1:$X$1,$I$3,'Segment RAW Data 25-26'!$B228:$X228)</f>
        <v>0</v>
      </c>
      <c r="J229" s="265">
        <f>sumif('Segment RAW Data 25-26'!$B$1:$X$1,$J$3,'Segment RAW Data 25-26'!$B228:$X228)</f>
        <v>0</v>
      </c>
      <c r="K229" s="265">
        <f>sumif('Segment RAW Data 25-26'!$B$1:$X$1,$K$3,'Segment RAW Data 25-26'!$B228:$X228)</f>
        <v>0</v>
      </c>
      <c r="L229" s="265">
        <f>sumif('Segment RAW Data 25-26'!$B$1:$X$1,$L$3,'Segment RAW Data 25-26'!$B228:$X228)</f>
        <v>0</v>
      </c>
      <c r="M229" s="270"/>
      <c r="N229" s="124" t="s">
        <v>975</v>
      </c>
      <c r="O229" s="124">
        <f>VLOOKUP(C229:C828,'Segment RAW Data 25-26'!A228:Y825,25,0)-VLOOKUP(C229:C828,C:D,2,0)</f>
        <v>0.009999999776</v>
      </c>
    </row>
    <row r="230" hidden="1">
      <c r="A230" s="157"/>
      <c r="B230" s="157"/>
      <c r="C230" s="157" t="s">
        <v>657</v>
      </c>
      <c r="D230" s="124">
        <f t="shared" si="1"/>
        <v>0</v>
      </c>
      <c r="E230" s="265">
        <f>sumif('Segment RAW Data 25-26'!$B$1:$X$1,$E$3,'Segment RAW Data 25-26'!$B229:$X229)</f>
        <v>0</v>
      </c>
      <c r="F230" s="265">
        <f>sumif('Segment RAW Data 25-26'!$B$1:$X$1,$F$3,'Segment RAW Data 25-26'!$B229:$X229)</f>
        <v>0</v>
      </c>
      <c r="G230" s="265">
        <f>sumif('Segment RAW Data 25-26'!$B$1:$X$1,$G$3,'Segment RAW Data 25-26'!$B229:$X229)</f>
        <v>0</v>
      </c>
      <c r="H230" s="265">
        <f>sumif('Segment RAW Data 25-26'!$B$1:$X$1,$H$3,'Segment RAW Data 25-26'!$B229:$X229)</f>
        <v>0</v>
      </c>
      <c r="I230" s="265">
        <f>sumif('Segment RAW Data 25-26'!$B$1:$X$1,$I$3,'Segment RAW Data 25-26'!$B229:$X229)</f>
        <v>0</v>
      </c>
      <c r="J230" s="265">
        <f>sumif('Segment RAW Data 25-26'!$B$1:$X$1,$J$3,'Segment RAW Data 25-26'!$B229:$X229)</f>
        <v>0</v>
      </c>
      <c r="K230" s="265">
        <f>sumif('Segment RAW Data 25-26'!$B$1:$X$1,$K$3,'Segment RAW Data 25-26'!$B229:$X229)</f>
        <v>0</v>
      </c>
      <c r="L230" s="265">
        <f>sumif('Segment RAW Data 25-26'!$B$1:$X$1,$L$3,'Segment RAW Data 25-26'!$B229:$X229)</f>
        <v>0</v>
      </c>
      <c r="M230" s="270"/>
      <c r="N230" s="124"/>
      <c r="O230" s="124">
        <f>VLOOKUP(C230:C829,'Segment RAW Data 25-26'!A229:Y826,25,0)-VLOOKUP(C230:C829,C:D,2,0)</f>
        <v>0</v>
      </c>
    </row>
    <row r="231" hidden="1">
      <c r="A231" s="157"/>
      <c r="B231" s="157"/>
      <c r="C231" s="157" t="s">
        <v>658</v>
      </c>
      <c r="D231" s="124">
        <f t="shared" si="1"/>
        <v>0</v>
      </c>
      <c r="E231" s="265">
        <f>sumif('Segment RAW Data 25-26'!$B$1:$X$1,$E$3,'Segment RAW Data 25-26'!$B230:$X230)</f>
        <v>0</v>
      </c>
      <c r="F231" s="265">
        <f>sumif('Segment RAW Data 25-26'!$B$1:$X$1,$F$3,'Segment RAW Data 25-26'!$B230:$X230)</f>
        <v>0</v>
      </c>
      <c r="G231" s="265">
        <f>sumif('Segment RAW Data 25-26'!$B$1:$X$1,$G$3,'Segment RAW Data 25-26'!$B230:$X230)</f>
        <v>0</v>
      </c>
      <c r="H231" s="265">
        <f>sumif('Segment RAW Data 25-26'!$B$1:$X$1,$H$3,'Segment RAW Data 25-26'!$B230:$X230)</f>
        <v>0</v>
      </c>
      <c r="I231" s="265">
        <f>sumif('Segment RAW Data 25-26'!$B$1:$X$1,$I$3,'Segment RAW Data 25-26'!$B230:$X230)</f>
        <v>0</v>
      </c>
      <c r="J231" s="265">
        <f>sumif('Segment RAW Data 25-26'!$B$1:$X$1,$J$3,'Segment RAW Data 25-26'!$B230:$X230)</f>
        <v>0</v>
      </c>
      <c r="K231" s="265">
        <f>sumif('Segment RAW Data 25-26'!$B$1:$X$1,$K$3,'Segment RAW Data 25-26'!$B230:$X230)</f>
        <v>0</v>
      </c>
      <c r="L231" s="265">
        <f>sumif('Segment RAW Data 25-26'!$B$1:$X$1,$L$3,'Segment RAW Data 25-26'!$B230:$X230)</f>
        <v>0</v>
      </c>
      <c r="M231" s="270"/>
      <c r="N231" s="124"/>
      <c r="O231" s="124">
        <f>VLOOKUP(C231:C830,'Segment RAW Data 25-26'!A230:Y827,25,0)-VLOOKUP(C231:C830,C:D,2,0)</f>
        <v>0</v>
      </c>
    </row>
    <row r="232" hidden="1">
      <c r="A232" s="157"/>
      <c r="B232" s="157"/>
      <c r="C232" s="157" t="s">
        <v>659</v>
      </c>
      <c r="D232" s="124">
        <f t="shared" si="1"/>
        <v>0</v>
      </c>
      <c r="E232" s="265">
        <f>sumif('Segment RAW Data 25-26'!$B$1:$X$1,$E$3,'Segment RAW Data 25-26'!$B231:$X231)</f>
        <v>0</v>
      </c>
      <c r="F232" s="265">
        <f>sumif('Segment RAW Data 25-26'!$B$1:$X$1,$F$3,'Segment RAW Data 25-26'!$B231:$X231)</f>
        <v>0</v>
      </c>
      <c r="G232" s="265">
        <f>sumif('Segment RAW Data 25-26'!$B$1:$X$1,$G$3,'Segment RAW Data 25-26'!$B231:$X231)</f>
        <v>0</v>
      </c>
      <c r="H232" s="265">
        <f>sumif('Segment RAW Data 25-26'!$B$1:$X$1,$H$3,'Segment RAW Data 25-26'!$B231:$X231)</f>
        <v>0</v>
      </c>
      <c r="I232" s="265">
        <f>sumif('Segment RAW Data 25-26'!$B$1:$X$1,$I$3,'Segment RAW Data 25-26'!$B231:$X231)</f>
        <v>0</v>
      </c>
      <c r="J232" s="265">
        <f>sumif('Segment RAW Data 25-26'!$B$1:$X$1,$J$3,'Segment RAW Data 25-26'!$B231:$X231)</f>
        <v>0</v>
      </c>
      <c r="K232" s="265">
        <f>sumif('Segment RAW Data 25-26'!$B$1:$X$1,$K$3,'Segment RAW Data 25-26'!$B231:$X231)</f>
        <v>0</v>
      </c>
      <c r="L232" s="265">
        <f>sumif('Segment RAW Data 25-26'!$B$1:$X$1,$L$3,'Segment RAW Data 25-26'!$B231:$X231)</f>
        <v>0</v>
      </c>
      <c r="M232" s="270"/>
      <c r="N232" s="124"/>
      <c r="O232" s="124">
        <f>VLOOKUP(C232:C831,'Segment RAW Data 25-26'!A231:Y828,25,0)-VLOOKUP(C232:C831,C:D,2,0)</f>
        <v>0</v>
      </c>
    </row>
    <row r="233" hidden="1">
      <c r="A233" s="157"/>
      <c r="B233" s="157"/>
      <c r="C233" s="157" t="s">
        <v>73</v>
      </c>
      <c r="D233" s="124">
        <f t="shared" si="1"/>
        <v>0</v>
      </c>
      <c r="E233" s="265">
        <f>sumif('Segment RAW Data 25-26'!$B$1:$X$1,$E$3,'Segment RAW Data 25-26'!$B232:$X232)</f>
        <v>0</v>
      </c>
      <c r="F233" s="265">
        <f>sumif('Segment RAW Data 25-26'!$B$1:$X$1,$F$3,'Segment RAW Data 25-26'!$B232:$X232)</f>
        <v>0</v>
      </c>
      <c r="G233" s="265">
        <f>sumif('Segment RAW Data 25-26'!$B$1:$X$1,$G$3,'Segment RAW Data 25-26'!$B232:$X232)</f>
        <v>0</v>
      </c>
      <c r="H233" s="265">
        <f>sumif('Segment RAW Data 25-26'!$B$1:$X$1,$H$3,'Segment RAW Data 25-26'!$B232:$X232)</f>
        <v>0</v>
      </c>
      <c r="I233" s="265">
        <f>sumif('Segment RAW Data 25-26'!$B$1:$X$1,$I$3,'Segment RAW Data 25-26'!$B232:$X232)</f>
        <v>0</v>
      </c>
      <c r="J233" s="265">
        <f>sumif('Segment RAW Data 25-26'!$B$1:$X$1,$J$3,'Segment RAW Data 25-26'!$B232:$X232)</f>
        <v>0</v>
      </c>
      <c r="K233" s="265">
        <f>sumif('Segment RAW Data 25-26'!$B$1:$X$1,$K$3,'Segment RAW Data 25-26'!$B232:$X232)</f>
        <v>0</v>
      </c>
      <c r="L233" s="265">
        <f>sumif('Segment RAW Data 25-26'!$B$1:$X$1,$L$3,'Segment RAW Data 25-26'!$B232:$X232)</f>
        <v>0</v>
      </c>
      <c r="M233" s="270"/>
      <c r="N233" s="124"/>
      <c r="O233" s="124">
        <f>VLOOKUP(C233:C832,'Segment RAW Data 25-26'!A232:Y829,25,0)-VLOOKUP(C233:C832,C:D,2,0)</f>
        <v>0</v>
      </c>
    </row>
    <row r="234" hidden="1">
      <c r="A234" s="157"/>
      <c r="B234" s="157"/>
      <c r="C234" s="157" t="s">
        <v>660</v>
      </c>
      <c r="D234" s="124">
        <f t="shared" si="1"/>
        <v>0</v>
      </c>
      <c r="E234" s="265">
        <f>sumif('Segment RAW Data 25-26'!$B$1:$X$1,$E$3,'Segment RAW Data 25-26'!$B233:$X233)</f>
        <v>0</v>
      </c>
      <c r="F234" s="265">
        <f>sumif('Segment RAW Data 25-26'!$B$1:$X$1,$F$3,'Segment RAW Data 25-26'!$B233:$X233)</f>
        <v>0</v>
      </c>
      <c r="G234" s="265">
        <f>sumif('Segment RAW Data 25-26'!$B$1:$X$1,$G$3,'Segment RAW Data 25-26'!$B233:$X233)</f>
        <v>0</v>
      </c>
      <c r="H234" s="265">
        <f>sumif('Segment RAW Data 25-26'!$B$1:$X$1,$H$3,'Segment RAW Data 25-26'!$B233:$X233)</f>
        <v>0</v>
      </c>
      <c r="I234" s="265">
        <f>sumif('Segment RAW Data 25-26'!$B$1:$X$1,$I$3,'Segment RAW Data 25-26'!$B233:$X233)</f>
        <v>0</v>
      </c>
      <c r="J234" s="265">
        <f>sumif('Segment RAW Data 25-26'!$B$1:$X$1,$J$3,'Segment RAW Data 25-26'!$B233:$X233)</f>
        <v>0</v>
      </c>
      <c r="K234" s="265">
        <f>sumif('Segment RAW Data 25-26'!$B$1:$X$1,$K$3,'Segment RAW Data 25-26'!$B233:$X233)</f>
        <v>0</v>
      </c>
      <c r="L234" s="265">
        <f>sumif('Segment RAW Data 25-26'!$B$1:$X$1,$L$3,'Segment RAW Data 25-26'!$B233:$X233)</f>
        <v>0</v>
      </c>
      <c r="M234" s="270"/>
      <c r="N234" s="124"/>
      <c r="O234" s="124">
        <f>VLOOKUP(C234:C833,'Segment RAW Data 25-26'!A233:Y830,25,0)-VLOOKUP(C234:C833,C:D,2,0)</f>
        <v>0</v>
      </c>
    </row>
    <row r="235" hidden="1">
      <c r="A235" s="157" t="s">
        <v>298</v>
      </c>
      <c r="B235" s="157" t="s">
        <v>301</v>
      </c>
      <c r="C235" s="157" t="s">
        <v>304</v>
      </c>
      <c r="D235" s="124">
        <f t="shared" si="1"/>
        <v>9167160.23</v>
      </c>
      <c r="E235" s="265">
        <f>sumif('Segment RAW Data 25-26'!$B$1:$X$1,$E$3,'Segment RAW Data 25-26'!$B234:$X234)</f>
        <v>465752.75</v>
      </c>
      <c r="F235" s="265">
        <f>sumif('Segment RAW Data 25-26'!$B$1:$X$1,$F$3,'Segment RAW Data 25-26'!$B234:$X234)</f>
        <v>3394623.76</v>
      </c>
      <c r="G235" s="265">
        <f>sumif('Segment RAW Data 25-26'!$B$1:$X$1,$G$3,'Segment RAW Data 25-26'!$B234:$X234)</f>
        <v>4327842.12</v>
      </c>
      <c r="H235" s="265">
        <f>sumif('Segment RAW Data 25-26'!$B$1:$X$1,$H$3,'Segment RAW Data 25-26'!$B234:$X234)</f>
        <v>167923.9</v>
      </c>
      <c r="I235" s="265">
        <f>sumif('Segment RAW Data 25-26'!$B$1:$X$1,$I$3,'Segment RAW Data 25-26'!$B234:$X234)</f>
        <v>0</v>
      </c>
      <c r="J235" s="265">
        <f>sumif('Segment RAW Data 25-26'!$B$1:$X$1,$J$3,'Segment RAW Data 25-26'!$B234:$X234)</f>
        <v>798837.7</v>
      </c>
      <c r="K235" s="265">
        <f>sumif('Segment RAW Data 25-26'!$B$1:$X$1,$K$3,'Segment RAW Data 25-26'!$B234:$X234)</f>
        <v>0</v>
      </c>
      <c r="L235" s="265">
        <f>sumif('Segment RAW Data 25-26'!$B$1:$X$1,$L$3,'Segment RAW Data 25-26'!$B234:$X234)</f>
        <v>12180</v>
      </c>
      <c r="M235" s="270"/>
      <c r="N235" s="124" t="s">
        <v>975</v>
      </c>
      <c r="O235" s="124">
        <f>VLOOKUP(C235:C834,'Segment RAW Data 25-26'!A234:Y831,25,0)-VLOOKUP(C235:C834,C:D,2,0)</f>
        <v>0.009999999776</v>
      </c>
    </row>
    <row r="236" hidden="1">
      <c r="A236" s="157"/>
      <c r="B236" s="157"/>
      <c r="C236" s="157" t="s">
        <v>661</v>
      </c>
      <c r="D236" s="124">
        <f t="shared" si="1"/>
        <v>0</v>
      </c>
      <c r="E236" s="265">
        <f>sumif('Segment RAW Data 25-26'!$B$1:$X$1,$E$3,'Segment RAW Data 25-26'!$B235:$X235)</f>
        <v>0</v>
      </c>
      <c r="F236" s="265">
        <f>sumif('Segment RAW Data 25-26'!$B$1:$X$1,$F$3,'Segment RAW Data 25-26'!$B235:$X235)</f>
        <v>0</v>
      </c>
      <c r="G236" s="265">
        <f>sumif('Segment RAW Data 25-26'!$B$1:$X$1,$G$3,'Segment RAW Data 25-26'!$B235:$X235)</f>
        <v>0</v>
      </c>
      <c r="H236" s="265">
        <f>sumif('Segment RAW Data 25-26'!$B$1:$X$1,$H$3,'Segment RAW Data 25-26'!$B235:$X235)</f>
        <v>0</v>
      </c>
      <c r="I236" s="265">
        <f>sumif('Segment RAW Data 25-26'!$B$1:$X$1,$I$3,'Segment RAW Data 25-26'!$B235:$X235)</f>
        <v>0</v>
      </c>
      <c r="J236" s="265">
        <f>sumif('Segment RAW Data 25-26'!$B$1:$X$1,$J$3,'Segment RAW Data 25-26'!$B235:$X235)</f>
        <v>0</v>
      </c>
      <c r="K236" s="265">
        <f>sumif('Segment RAW Data 25-26'!$B$1:$X$1,$K$3,'Segment RAW Data 25-26'!$B235:$X235)</f>
        <v>0</v>
      </c>
      <c r="L236" s="265">
        <f>sumif('Segment RAW Data 25-26'!$B$1:$X$1,$L$3,'Segment RAW Data 25-26'!$B235:$X235)</f>
        <v>0</v>
      </c>
      <c r="M236" s="270"/>
      <c r="N236" s="124"/>
      <c r="O236" s="124">
        <f>VLOOKUP(C236:C835,'Segment RAW Data 25-26'!A235:Y832,25,0)-VLOOKUP(C236:C835,C:D,2,0)</f>
        <v>0</v>
      </c>
    </row>
    <row r="237" hidden="1">
      <c r="A237" s="157"/>
      <c r="B237" s="157"/>
      <c r="C237" s="157" t="s">
        <v>662</v>
      </c>
      <c r="D237" s="124">
        <f t="shared" si="1"/>
        <v>0</v>
      </c>
      <c r="E237" s="265">
        <f>sumif('Segment RAW Data 25-26'!$B$1:$X$1,$E$3,'Segment RAW Data 25-26'!$B236:$X236)</f>
        <v>0</v>
      </c>
      <c r="F237" s="265">
        <f>sumif('Segment RAW Data 25-26'!$B$1:$X$1,$F$3,'Segment RAW Data 25-26'!$B236:$X236)</f>
        <v>0</v>
      </c>
      <c r="G237" s="265">
        <f>sumif('Segment RAW Data 25-26'!$B$1:$X$1,$G$3,'Segment RAW Data 25-26'!$B236:$X236)</f>
        <v>0</v>
      </c>
      <c r="H237" s="265">
        <f>sumif('Segment RAW Data 25-26'!$B$1:$X$1,$H$3,'Segment RAW Data 25-26'!$B236:$X236)</f>
        <v>0</v>
      </c>
      <c r="I237" s="265">
        <f>sumif('Segment RAW Data 25-26'!$B$1:$X$1,$I$3,'Segment RAW Data 25-26'!$B236:$X236)</f>
        <v>0</v>
      </c>
      <c r="J237" s="265">
        <f>sumif('Segment RAW Data 25-26'!$B$1:$X$1,$J$3,'Segment RAW Data 25-26'!$B236:$X236)</f>
        <v>0</v>
      </c>
      <c r="K237" s="265">
        <f>sumif('Segment RAW Data 25-26'!$B$1:$X$1,$K$3,'Segment RAW Data 25-26'!$B236:$X236)</f>
        <v>0</v>
      </c>
      <c r="L237" s="265">
        <f>sumif('Segment RAW Data 25-26'!$B$1:$X$1,$L$3,'Segment RAW Data 25-26'!$B236:$X236)</f>
        <v>0</v>
      </c>
      <c r="M237" s="270"/>
      <c r="N237" s="124"/>
      <c r="O237" s="124">
        <f>VLOOKUP(C237:C836,'Segment RAW Data 25-26'!A236:Y833,25,0)-VLOOKUP(C237:C836,C:D,2,0)</f>
        <v>0</v>
      </c>
    </row>
    <row r="238" hidden="1">
      <c r="A238" s="157"/>
      <c r="B238" s="157"/>
      <c r="C238" s="157" t="s">
        <v>663</v>
      </c>
      <c r="D238" s="124">
        <f t="shared" si="1"/>
        <v>0</v>
      </c>
      <c r="E238" s="265">
        <f>sumif('Segment RAW Data 25-26'!$B$1:$X$1,$E$3,'Segment RAW Data 25-26'!$B237:$X237)</f>
        <v>0</v>
      </c>
      <c r="F238" s="265">
        <f>sumif('Segment RAW Data 25-26'!$B$1:$X$1,$F$3,'Segment RAW Data 25-26'!$B237:$X237)</f>
        <v>0</v>
      </c>
      <c r="G238" s="265">
        <f>sumif('Segment RAW Data 25-26'!$B$1:$X$1,$G$3,'Segment RAW Data 25-26'!$B237:$X237)</f>
        <v>0</v>
      </c>
      <c r="H238" s="265">
        <f>sumif('Segment RAW Data 25-26'!$B$1:$X$1,$H$3,'Segment RAW Data 25-26'!$B237:$X237)</f>
        <v>0</v>
      </c>
      <c r="I238" s="265">
        <f>sumif('Segment RAW Data 25-26'!$B$1:$X$1,$I$3,'Segment RAW Data 25-26'!$B237:$X237)</f>
        <v>0</v>
      </c>
      <c r="J238" s="265">
        <f>sumif('Segment RAW Data 25-26'!$B$1:$X$1,$J$3,'Segment RAW Data 25-26'!$B237:$X237)</f>
        <v>0</v>
      </c>
      <c r="K238" s="265">
        <f>sumif('Segment RAW Data 25-26'!$B$1:$X$1,$K$3,'Segment RAW Data 25-26'!$B237:$X237)</f>
        <v>0</v>
      </c>
      <c r="L238" s="265">
        <f>sumif('Segment RAW Data 25-26'!$B$1:$X$1,$L$3,'Segment RAW Data 25-26'!$B237:$X237)</f>
        <v>0</v>
      </c>
      <c r="M238" s="270"/>
      <c r="N238" s="124"/>
      <c r="O238" s="124">
        <f>VLOOKUP(C238:C837,'Segment RAW Data 25-26'!A237:Y834,25,0)-VLOOKUP(C238:C837,C:D,2,0)</f>
        <v>0</v>
      </c>
    </row>
    <row r="239" hidden="1">
      <c r="A239" s="157"/>
      <c r="B239" s="157"/>
      <c r="C239" s="157" t="s">
        <v>664</v>
      </c>
      <c r="D239" s="124">
        <f t="shared" si="1"/>
        <v>0</v>
      </c>
      <c r="E239" s="265">
        <f>sumif('Segment RAW Data 25-26'!$B$1:$X$1,$E$3,'Segment RAW Data 25-26'!$B238:$X238)</f>
        <v>0</v>
      </c>
      <c r="F239" s="265">
        <f>sumif('Segment RAW Data 25-26'!$B$1:$X$1,$F$3,'Segment RAW Data 25-26'!$B238:$X238)</f>
        <v>0</v>
      </c>
      <c r="G239" s="265">
        <f>sumif('Segment RAW Data 25-26'!$B$1:$X$1,$G$3,'Segment RAW Data 25-26'!$B238:$X238)</f>
        <v>0</v>
      </c>
      <c r="H239" s="265">
        <f>sumif('Segment RAW Data 25-26'!$B$1:$X$1,$H$3,'Segment RAW Data 25-26'!$B238:$X238)</f>
        <v>0</v>
      </c>
      <c r="I239" s="265">
        <f>sumif('Segment RAW Data 25-26'!$B$1:$X$1,$I$3,'Segment RAW Data 25-26'!$B238:$X238)</f>
        <v>0</v>
      </c>
      <c r="J239" s="265">
        <f>sumif('Segment RAW Data 25-26'!$B$1:$X$1,$J$3,'Segment RAW Data 25-26'!$B238:$X238)</f>
        <v>0</v>
      </c>
      <c r="K239" s="265">
        <f>sumif('Segment RAW Data 25-26'!$B$1:$X$1,$K$3,'Segment RAW Data 25-26'!$B238:$X238)</f>
        <v>0</v>
      </c>
      <c r="L239" s="265">
        <f>sumif('Segment RAW Data 25-26'!$B$1:$X$1,$L$3,'Segment RAW Data 25-26'!$B238:$X238)</f>
        <v>0</v>
      </c>
      <c r="M239" s="270"/>
      <c r="N239" s="124"/>
      <c r="O239" s="124">
        <f>VLOOKUP(C239:C838,'Segment RAW Data 25-26'!A238:Y835,25,0)-VLOOKUP(C239:C838,C:D,2,0)</f>
        <v>0</v>
      </c>
    </row>
    <row r="240" hidden="1">
      <c r="A240" s="157"/>
      <c r="B240" s="157"/>
      <c r="C240" s="157" t="s">
        <v>665</v>
      </c>
      <c r="D240" s="124">
        <f t="shared" si="1"/>
        <v>0</v>
      </c>
      <c r="E240" s="265">
        <f>sumif('Segment RAW Data 25-26'!$B$1:$X$1,$E$3,'Segment RAW Data 25-26'!$B239:$X239)</f>
        <v>0</v>
      </c>
      <c r="F240" s="265">
        <f>sumif('Segment RAW Data 25-26'!$B$1:$X$1,$F$3,'Segment RAW Data 25-26'!$B239:$X239)</f>
        <v>0</v>
      </c>
      <c r="G240" s="265">
        <f>sumif('Segment RAW Data 25-26'!$B$1:$X$1,$G$3,'Segment RAW Data 25-26'!$B239:$X239)</f>
        <v>0</v>
      </c>
      <c r="H240" s="265">
        <f>sumif('Segment RAW Data 25-26'!$B$1:$X$1,$H$3,'Segment RAW Data 25-26'!$B239:$X239)</f>
        <v>0</v>
      </c>
      <c r="I240" s="265">
        <f>sumif('Segment RAW Data 25-26'!$B$1:$X$1,$I$3,'Segment RAW Data 25-26'!$B239:$X239)</f>
        <v>0</v>
      </c>
      <c r="J240" s="265">
        <f>sumif('Segment RAW Data 25-26'!$B$1:$X$1,$J$3,'Segment RAW Data 25-26'!$B239:$X239)</f>
        <v>0</v>
      </c>
      <c r="K240" s="265">
        <f>sumif('Segment RAW Data 25-26'!$B$1:$X$1,$K$3,'Segment RAW Data 25-26'!$B239:$X239)</f>
        <v>0</v>
      </c>
      <c r="L240" s="265">
        <f>sumif('Segment RAW Data 25-26'!$B$1:$X$1,$L$3,'Segment RAW Data 25-26'!$B239:$X239)</f>
        <v>0</v>
      </c>
      <c r="M240" s="270"/>
      <c r="N240" s="124"/>
      <c r="O240" s="124">
        <f>VLOOKUP(C240:C839,'Segment RAW Data 25-26'!A239:Y836,25,0)-VLOOKUP(C240:C839,C:D,2,0)</f>
        <v>0</v>
      </c>
    </row>
    <row r="241" hidden="1">
      <c r="A241" s="157" t="s">
        <v>97</v>
      </c>
      <c r="B241" s="157" t="s">
        <v>101</v>
      </c>
      <c r="C241" s="157" t="s">
        <v>99</v>
      </c>
      <c r="D241" s="124">
        <f t="shared" si="1"/>
        <v>11934783.41</v>
      </c>
      <c r="E241" s="265">
        <f>sumif('Segment RAW Data 25-26'!$B$1:$X$1,$E$3,'Segment RAW Data 25-26'!$B240:$X240)</f>
        <v>5064</v>
      </c>
      <c r="F241" s="265">
        <f>sumif('Segment RAW Data 25-26'!$B$1:$X$1,$F$3,'Segment RAW Data 25-26'!$B240:$X240)</f>
        <v>6142641</v>
      </c>
      <c r="G241" s="265">
        <f>sumif('Segment RAW Data 25-26'!$B$1:$X$1,$G$3,'Segment RAW Data 25-26'!$B240:$X240)</f>
        <v>4719264.41</v>
      </c>
      <c r="H241" s="265">
        <f>sumif('Segment RAW Data 25-26'!$B$1:$X$1,$H$3,'Segment RAW Data 25-26'!$B240:$X240)</f>
        <v>1067814</v>
      </c>
      <c r="I241" s="265">
        <f>sumif('Segment RAW Data 25-26'!$B$1:$X$1,$I$3,'Segment RAW Data 25-26'!$B240:$X240)</f>
        <v>0</v>
      </c>
      <c r="J241" s="265">
        <f>sumif('Segment RAW Data 25-26'!$B$1:$X$1,$J$3,'Segment RAW Data 25-26'!$B240:$X240)</f>
        <v>0</v>
      </c>
      <c r="K241" s="265">
        <f>sumif('Segment RAW Data 25-26'!$B$1:$X$1,$K$3,'Segment RAW Data 25-26'!$B240:$X240)</f>
        <v>0</v>
      </c>
      <c r="L241" s="265">
        <f>sumif('Segment RAW Data 25-26'!$B$1:$X$1,$L$3,'Segment RAW Data 25-26'!$B240:$X240)</f>
        <v>0</v>
      </c>
      <c r="M241" s="270"/>
      <c r="N241" s="124" t="s">
        <v>975</v>
      </c>
      <c r="O241" s="124">
        <f>VLOOKUP(C241:C840,'Segment RAW Data 25-26'!A240:Y837,25,0)-VLOOKUP(C241:C840,C:D,2,0)</f>
        <v>0</v>
      </c>
    </row>
    <row r="242" hidden="1">
      <c r="A242" s="157"/>
      <c r="B242" s="157"/>
      <c r="C242" s="157" t="s">
        <v>666</v>
      </c>
      <c r="D242" s="124">
        <f t="shared" si="1"/>
        <v>0</v>
      </c>
      <c r="E242" s="265">
        <f>sumif('Segment RAW Data 25-26'!$B$1:$X$1,$E$3,'Segment RAW Data 25-26'!$B241:$X241)</f>
        <v>0</v>
      </c>
      <c r="F242" s="265">
        <f>sumif('Segment RAW Data 25-26'!$B$1:$X$1,$F$3,'Segment RAW Data 25-26'!$B241:$X241)</f>
        <v>0</v>
      </c>
      <c r="G242" s="265">
        <f>sumif('Segment RAW Data 25-26'!$B$1:$X$1,$G$3,'Segment RAW Data 25-26'!$B241:$X241)</f>
        <v>0</v>
      </c>
      <c r="H242" s="265">
        <f>sumif('Segment RAW Data 25-26'!$B$1:$X$1,$H$3,'Segment RAW Data 25-26'!$B241:$X241)</f>
        <v>0</v>
      </c>
      <c r="I242" s="265">
        <f>sumif('Segment RAW Data 25-26'!$B$1:$X$1,$I$3,'Segment RAW Data 25-26'!$B241:$X241)</f>
        <v>0</v>
      </c>
      <c r="J242" s="265">
        <f>sumif('Segment RAW Data 25-26'!$B$1:$X$1,$J$3,'Segment RAW Data 25-26'!$B241:$X241)</f>
        <v>0</v>
      </c>
      <c r="K242" s="265">
        <f>sumif('Segment RAW Data 25-26'!$B$1:$X$1,$K$3,'Segment RAW Data 25-26'!$B241:$X241)</f>
        <v>0</v>
      </c>
      <c r="L242" s="265">
        <f>sumif('Segment RAW Data 25-26'!$B$1:$X$1,$L$3,'Segment RAW Data 25-26'!$B241:$X241)</f>
        <v>0</v>
      </c>
      <c r="M242" s="270"/>
      <c r="N242" s="124"/>
      <c r="O242" s="124">
        <f>VLOOKUP(C242:C841,'Segment RAW Data 25-26'!A241:Y838,25,0)-VLOOKUP(C242:C841,C:D,2,0)</f>
        <v>0</v>
      </c>
    </row>
    <row r="243" hidden="1">
      <c r="A243" s="157"/>
      <c r="B243" s="157"/>
      <c r="C243" s="157" t="s">
        <v>667</v>
      </c>
      <c r="D243" s="124">
        <f t="shared" si="1"/>
        <v>0</v>
      </c>
      <c r="E243" s="265">
        <f>sumif('Segment RAW Data 25-26'!$B$1:$X$1,$E$3,'Segment RAW Data 25-26'!$B242:$X242)</f>
        <v>0</v>
      </c>
      <c r="F243" s="265">
        <f>sumif('Segment RAW Data 25-26'!$B$1:$X$1,$F$3,'Segment RAW Data 25-26'!$B242:$X242)</f>
        <v>0</v>
      </c>
      <c r="G243" s="265">
        <f>sumif('Segment RAW Data 25-26'!$B$1:$X$1,$G$3,'Segment RAW Data 25-26'!$B242:$X242)</f>
        <v>0</v>
      </c>
      <c r="H243" s="265">
        <f>sumif('Segment RAW Data 25-26'!$B$1:$X$1,$H$3,'Segment RAW Data 25-26'!$B242:$X242)</f>
        <v>0</v>
      </c>
      <c r="I243" s="265">
        <f>sumif('Segment RAW Data 25-26'!$B$1:$X$1,$I$3,'Segment RAW Data 25-26'!$B242:$X242)</f>
        <v>0</v>
      </c>
      <c r="J243" s="265">
        <f>sumif('Segment RAW Data 25-26'!$B$1:$X$1,$J$3,'Segment RAW Data 25-26'!$B242:$X242)</f>
        <v>0</v>
      </c>
      <c r="K243" s="265">
        <f>sumif('Segment RAW Data 25-26'!$B$1:$X$1,$K$3,'Segment RAW Data 25-26'!$B242:$X242)</f>
        <v>0</v>
      </c>
      <c r="L243" s="265">
        <f>sumif('Segment RAW Data 25-26'!$B$1:$X$1,$L$3,'Segment RAW Data 25-26'!$B242:$X242)</f>
        <v>0</v>
      </c>
      <c r="M243" s="270"/>
      <c r="N243" s="124"/>
      <c r="O243" s="124">
        <f>VLOOKUP(C243:C842,'Segment RAW Data 25-26'!A242:Y839,25,0)-VLOOKUP(C243:C842,C:D,2,0)</f>
        <v>0</v>
      </c>
    </row>
    <row r="244" hidden="1">
      <c r="A244" s="157"/>
      <c r="B244" s="157"/>
      <c r="C244" s="157" t="s">
        <v>668</v>
      </c>
      <c r="D244" s="124">
        <f t="shared" si="1"/>
        <v>0</v>
      </c>
      <c r="E244" s="265">
        <f>sumif('Segment RAW Data 25-26'!$B$1:$X$1,$E$3,'Segment RAW Data 25-26'!$B243:$X243)</f>
        <v>0</v>
      </c>
      <c r="F244" s="265">
        <f>sumif('Segment RAW Data 25-26'!$B$1:$X$1,$F$3,'Segment RAW Data 25-26'!$B243:$X243)</f>
        <v>0</v>
      </c>
      <c r="G244" s="265">
        <f>sumif('Segment RAW Data 25-26'!$B$1:$X$1,$G$3,'Segment RAW Data 25-26'!$B243:$X243)</f>
        <v>0</v>
      </c>
      <c r="H244" s="265">
        <f>sumif('Segment RAW Data 25-26'!$B$1:$X$1,$H$3,'Segment RAW Data 25-26'!$B243:$X243)</f>
        <v>0</v>
      </c>
      <c r="I244" s="265">
        <f>sumif('Segment RAW Data 25-26'!$B$1:$X$1,$I$3,'Segment RAW Data 25-26'!$B243:$X243)</f>
        <v>0</v>
      </c>
      <c r="J244" s="265">
        <f>sumif('Segment RAW Data 25-26'!$B$1:$X$1,$J$3,'Segment RAW Data 25-26'!$B243:$X243)</f>
        <v>0</v>
      </c>
      <c r="K244" s="265">
        <f>sumif('Segment RAW Data 25-26'!$B$1:$X$1,$K$3,'Segment RAW Data 25-26'!$B243:$X243)</f>
        <v>0</v>
      </c>
      <c r="L244" s="265">
        <f>sumif('Segment RAW Data 25-26'!$B$1:$X$1,$L$3,'Segment RAW Data 25-26'!$B243:$X243)</f>
        <v>0</v>
      </c>
      <c r="M244" s="270"/>
      <c r="N244" s="124"/>
      <c r="O244" s="124">
        <f>VLOOKUP(C244:C843,'Segment RAW Data 25-26'!A243:Y840,25,0)-VLOOKUP(C244:C843,C:D,2,0)</f>
        <v>0</v>
      </c>
    </row>
    <row r="245" hidden="1">
      <c r="A245" s="157"/>
      <c r="B245" s="157"/>
      <c r="C245" s="157" t="s">
        <v>669</v>
      </c>
      <c r="D245" s="124">
        <f t="shared" si="1"/>
        <v>0</v>
      </c>
      <c r="E245" s="265">
        <f>sumif('Segment RAW Data 25-26'!$B$1:$X$1,$E$3,'Segment RAW Data 25-26'!$B244:$X244)</f>
        <v>0</v>
      </c>
      <c r="F245" s="265">
        <f>sumif('Segment RAW Data 25-26'!$B$1:$X$1,$F$3,'Segment RAW Data 25-26'!$B244:$X244)</f>
        <v>0</v>
      </c>
      <c r="G245" s="265">
        <f>sumif('Segment RAW Data 25-26'!$B$1:$X$1,$G$3,'Segment RAW Data 25-26'!$B244:$X244)</f>
        <v>0</v>
      </c>
      <c r="H245" s="265">
        <f>sumif('Segment RAW Data 25-26'!$B$1:$X$1,$H$3,'Segment RAW Data 25-26'!$B244:$X244)</f>
        <v>0</v>
      </c>
      <c r="I245" s="265">
        <f>sumif('Segment RAW Data 25-26'!$B$1:$X$1,$I$3,'Segment RAW Data 25-26'!$B244:$X244)</f>
        <v>0</v>
      </c>
      <c r="J245" s="265">
        <f>sumif('Segment RAW Data 25-26'!$B$1:$X$1,$J$3,'Segment RAW Data 25-26'!$B244:$X244)</f>
        <v>0</v>
      </c>
      <c r="K245" s="265">
        <f>sumif('Segment RAW Data 25-26'!$B$1:$X$1,$K$3,'Segment RAW Data 25-26'!$B244:$X244)</f>
        <v>0</v>
      </c>
      <c r="L245" s="265">
        <f>sumif('Segment RAW Data 25-26'!$B$1:$X$1,$L$3,'Segment RAW Data 25-26'!$B244:$X244)</f>
        <v>0</v>
      </c>
      <c r="M245" s="270"/>
      <c r="N245" s="124"/>
      <c r="O245" s="124">
        <f>VLOOKUP(C245:C844,'Segment RAW Data 25-26'!A244:Y841,25,0)-VLOOKUP(C245:C844,C:D,2,0)</f>
        <v>0</v>
      </c>
    </row>
    <row r="246" hidden="1">
      <c r="A246" s="157" t="s">
        <v>185</v>
      </c>
      <c r="B246" s="157" t="s">
        <v>117</v>
      </c>
      <c r="C246" s="157" t="s">
        <v>118</v>
      </c>
      <c r="D246" s="124">
        <f t="shared" si="1"/>
        <v>3864459.96</v>
      </c>
      <c r="E246" s="265">
        <f>sumif('Segment RAW Data 25-26'!$B$1:$X$1,$E$3,'Segment RAW Data 25-26'!$B245:$X245)</f>
        <v>237431.2</v>
      </c>
      <c r="F246" s="265">
        <f>sumif('Segment RAW Data 25-26'!$B$1:$X$1,$F$3,'Segment RAW Data 25-26'!$B245:$X245)</f>
        <v>9350</v>
      </c>
      <c r="G246" s="265">
        <f>sumif('Segment RAW Data 25-26'!$B$1:$X$1,$G$3,'Segment RAW Data 25-26'!$B245:$X245)</f>
        <v>2553271.96</v>
      </c>
      <c r="H246" s="265">
        <f>sumif('Segment RAW Data 25-26'!$B$1:$X$1,$H$3,'Segment RAW Data 25-26'!$B245:$X245)</f>
        <v>1064406.8</v>
      </c>
      <c r="I246" s="265">
        <f>sumif('Segment RAW Data 25-26'!$B$1:$X$1,$I$3,'Segment RAW Data 25-26'!$B245:$X245)</f>
        <v>0</v>
      </c>
      <c r="J246" s="265">
        <f>sumif('Segment RAW Data 25-26'!$B$1:$X$1,$J$3,'Segment RAW Data 25-26'!$B245:$X245)</f>
        <v>0</v>
      </c>
      <c r="K246" s="265">
        <f>sumif('Segment RAW Data 25-26'!$B$1:$X$1,$K$3,'Segment RAW Data 25-26'!$B245:$X245)</f>
        <v>0</v>
      </c>
      <c r="L246" s="265">
        <f>sumif('Segment RAW Data 25-26'!$B$1:$X$1,$L$3,'Segment RAW Data 25-26'!$B245:$X245)</f>
        <v>0</v>
      </c>
      <c r="M246" s="270"/>
      <c r="N246" s="124" t="s">
        <v>975</v>
      </c>
      <c r="O246" s="124">
        <f>VLOOKUP(C246:C845,'Segment RAW Data 25-26'!A245:Y842,25,0)-VLOOKUP(C246:C845,C:D,2,0)</f>
        <v>0</v>
      </c>
    </row>
    <row r="247" hidden="1">
      <c r="A247" s="157"/>
      <c r="B247" s="157"/>
      <c r="C247" s="157" t="s">
        <v>670</v>
      </c>
      <c r="D247" s="124">
        <f t="shared" si="1"/>
        <v>0</v>
      </c>
      <c r="E247" s="265">
        <f>sumif('Segment RAW Data 25-26'!$B$1:$X$1,$E$3,'Segment RAW Data 25-26'!$B246:$X246)</f>
        <v>0</v>
      </c>
      <c r="F247" s="265">
        <f>sumif('Segment RAW Data 25-26'!$B$1:$X$1,$F$3,'Segment RAW Data 25-26'!$B246:$X246)</f>
        <v>0</v>
      </c>
      <c r="G247" s="265">
        <f>sumif('Segment RAW Data 25-26'!$B$1:$X$1,$G$3,'Segment RAW Data 25-26'!$B246:$X246)</f>
        <v>0</v>
      </c>
      <c r="H247" s="265">
        <f>sumif('Segment RAW Data 25-26'!$B$1:$X$1,$H$3,'Segment RAW Data 25-26'!$B246:$X246)</f>
        <v>0</v>
      </c>
      <c r="I247" s="265">
        <f>sumif('Segment RAW Data 25-26'!$B$1:$X$1,$I$3,'Segment RAW Data 25-26'!$B246:$X246)</f>
        <v>0</v>
      </c>
      <c r="J247" s="265">
        <f>sumif('Segment RAW Data 25-26'!$B$1:$X$1,$J$3,'Segment RAW Data 25-26'!$B246:$X246)</f>
        <v>0</v>
      </c>
      <c r="K247" s="265">
        <f>sumif('Segment RAW Data 25-26'!$B$1:$X$1,$K$3,'Segment RAW Data 25-26'!$B246:$X246)</f>
        <v>0</v>
      </c>
      <c r="L247" s="265">
        <f>sumif('Segment RAW Data 25-26'!$B$1:$X$1,$L$3,'Segment RAW Data 25-26'!$B246:$X246)</f>
        <v>0</v>
      </c>
      <c r="M247" s="270"/>
      <c r="N247" s="124"/>
      <c r="O247" s="124">
        <f>VLOOKUP(C247:C846,'Segment RAW Data 25-26'!A246:Y843,25,0)-VLOOKUP(C247:C846,C:D,2,0)</f>
        <v>0</v>
      </c>
    </row>
    <row r="248" hidden="1">
      <c r="A248" s="157"/>
      <c r="B248" s="157"/>
      <c r="C248" s="157" t="s">
        <v>671</v>
      </c>
      <c r="D248" s="124">
        <f t="shared" si="1"/>
        <v>0</v>
      </c>
      <c r="E248" s="265">
        <f>sumif('Segment RAW Data 25-26'!$B$1:$X$1,$E$3,'Segment RAW Data 25-26'!$B247:$X247)</f>
        <v>0</v>
      </c>
      <c r="F248" s="265">
        <f>sumif('Segment RAW Data 25-26'!$B$1:$X$1,$F$3,'Segment RAW Data 25-26'!$B247:$X247)</f>
        <v>0</v>
      </c>
      <c r="G248" s="265">
        <f>sumif('Segment RAW Data 25-26'!$B$1:$X$1,$G$3,'Segment RAW Data 25-26'!$B247:$X247)</f>
        <v>0</v>
      </c>
      <c r="H248" s="265">
        <f>sumif('Segment RAW Data 25-26'!$B$1:$X$1,$H$3,'Segment RAW Data 25-26'!$B247:$X247)</f>
        <v>0</v>
      </c>
      <c r="I248" s="265">
        <f>sumif('Segment RAW Data 25-26'!$B$1:$X$1,$I$3,'Segment RAW Data 25-26'!$B247:$X247)</f>
        <v>0</v>
      </c>
      <c r="J248" s="265">
        <f>sumif('Segment RAW Data 25-26'!$B$1:$X$1,$J$3,'Segment RAW Data 25-26'!$B247:$X247)</f>
        <v>0</v>
      </c>
      <c r="K248" s="265">
        <f>sumif('Segment RAW Data 25-26'!$B$1:$X$1,$K$3,'Segment RAW Data 25-26'!$B247:$X247)</f>
        <v>0</v>
      </c>
      <c r="L248" s="265">
        <f>sumif('Segment RAW Data 25-26'!$B$1:$X$1,$L$3,'Segment RAW Data 25-26'!$B247:$X247)</f>
        <v>0</v>
      </c>
      <c r="M248" s="270"/>
      <c r="N248" s="124"/>
      <c r="O248" s="124">
        <f>VLOOKUP(C248:C847,'Segment RAW Data 25-26'!A247:Y844,25,0)-VLOOKUP(C248:C847,C:D,2,0)</f>
        <v>0</v>
      </c>
    </row>
    <row r="249" hidden="1">
      <c r="A249" s="157"/>
      <c r="B249" s="157"/>
      <c r="C249" s="157" t="s">
        <v>672</v>
      </c>
      <c r="D249" s="124">
        <f t="shared" si="1"/>
        <v>0</v>
      </c>
      <c r="E249" s="265">
        <f>sumif('Segment RAW Data 25-26'!$B$1:$X$1,$E$3,'Segment RAW Data 25-26'!$B248:$X248)</f>
        <v>0</v>
      </c>
      <c r="F249" s="265">
        <f>sumif('Segment RAW Data 25-26'!$B$1:$X$1,$F$3,'Segment RAW Data 25-26'!$B248:$X248)</f>
        <v>0</v>
      </c>
      <c r="G249" s="265">
        <f>sumif('Segment RAW Data 25-26'!$B$1:$X$1,$G$3,'Segment RAW Data 25-26'!$B248:$X248)</f>
        <v>0</v>
      </c>
      <c r="H249" s="265">
        <f>sumif('Segment RAW Data 25-26'!$B$1:$X$1,$H$3,'Segment RAW Data 25-26'!$B248:$X248)</f>
        <v>0</v>
      </c>
      <c r="I249" s="265">
        <f>sumif('Segment RAW Data 25-26'!$B$1:$X$1,$I$3,'Segment RAW Data 25-26'!$B248:$X248)</f>
        <v>0</v>
      </c>
      <c r="J249" s="265">
        <f>sumif('Segment RAW Data 25-26'!$B$1:$X$1,$J$3,'Segment RAW Data 25-26'!$B248:$X248)</f>
        <v>0</v>
      </c>
      <c r="K249" s="265">
        <f>sumif('Segment RAW Data 25-26'!$B$1:$X$1,$K$3,'Segment RAW Data 25-26'!$B248:$X248)</f>
        <v>0</v>
      </c>
      <c r="L249" s="265">
        <f>sumif('Segment RAW Data 25-26'!$B$1:$X$1,$L$3,'Segment RAW Data 25-26'!$B248:$X248)</f>
        <v>0</v>
      </c>
      <c r="M249" s="270"/>
      <c r="N249" s="124"/>
      <c r="O249" s="124">
        <f>VLOOKUP(C249:C848,'Segment RAW Data 25-26'!A248:Y845,25,0)-VLOOKUP(C249:C848,C:D,2,0)</f>
        <v>0</v>
      </c>
    </row>
    <row r="250" hidden="1">
      <c r="A250" s="157"/>
      <c r="B250" s="157"/>
      <c r="C250" s="157" t="s">
        <v>673</v>
      </c>
      <c r="D250" s="124">
        <f t="shared" si="1"/>
        <v>0</v>
      </c>
      <c r="E250" s="265">
        <f>sumif('Segment RAW Data 25-26'!$B$1:$X$1,$E$3,'Segment RAW Data 25-26'!$B249:$X249)</f>
        <v>0</v>
      </c>
      <c r="F250" s="265">
        <f>sumif('Segment RAW Data 25-26'!$B$1:$X$1,$F$3,'Segment RAW Data 25-26'!$B249:$X249)</f>
        <v>0</v>
      </c>
      <c r="G250" s="265">
        <f>sumif('Segment RAW Data 25-26'!$B$1:$X$1,$G$3,'Segment RAW Data 25-26'!$B249:$X249)</f>
        <v>0</v>
      </c>
      <c r="H250" s="265">
        <f>sumif('Segment RAW Data 25-26'!$B$1:$X$1,$H$3,'Segment RAW Data 25-26'!$B249:$X249)</f>
        <v>0</v>
      </c>
      <c r="I250" s="265">
        <f>sumif('Segment RAW Data 25-26'!$B$1:$X$1,$I$3,'Segment RAW Data 25-26'!$B249:$X249)</f>
        <v>0</v>
      </c>
      <c r="J250" s="265">
        <f>sumif('Segment RAW Data 25-26'!$B$1:$X$1,$J$3,'Segment RAW Data 25-26'!$B249:$X249)</f>
        <v>0</v>
      </c>
      <c r="K250" s="265">
        <f>sumif('Segment RAW Data 25-26'!$B$1:$X$1,$K$3,'Segment RAW Data 25-26'!$B249:$X249)</f>
        <v>0</v>
      </c>
      <c r="L250" s="265">
        <f>sumif('Segment RAW Data 25-26'!$B$1:$X$1,$L$3,'Segment RAW Data 25-26'!$B249:$X249)</f>
        <v>0</v>
      </c>
      <c r="M250" s="270"/>
      <c r="N250" s="124"/>
      <c r="O250" s="124">
        <f>VLOOKUP(C250:C849,'Segment RAW Data 25-26'!A249:Y846,25,0)-VLOOKUP(C250:C849,C:D,2,0)</f>
        <v>0</v>
      </c>
    </row>
    <row r="251" hidden="1">
      <c r="A251" s="157" t="s">
        <v>322</v>
      </c>
      <c r="B251" s="157" t="s">
        <v>325</v>
      </c>
      <c r="C251" s="157" t="s">
        <v>326</v>
      </c>
      <c r="D251" s="124">
        <f t="shared" si="1"/>
        <v>244183.86</v>
      </c>
      <c r="E251" s="265">
        <f>sumif('Segment RAW Data 25-26'!$B$1:$X$1,$E$3,'Segment RAW Data 25-26'!$B250:$X250)</f>
        <v>12420</v>
      </c>
      <c r="F251" s="265">
        <f>sumif('Segment RAW Data 25-26'!$B$1:$X$1,$F$3,'Segment RAW Data 25-26'!$B250:$X250)</f>
        <v>0</v>
      </c>
      <c r="G251" s="265">
        <f>sumif('Segment RAW Data 25-26'!$B$1:$X$1,$G$3,'Segment RAW Data 25-26'!$B250:$X250)</f>
        <v>223884.66</v>
      </c>
      <c r="H251" s="265">
        <f>sumif('Segment RAW Data 25-26'!$B$1:$X$1,$H$3,'Segment RAW Data 25-26'!$B250:$X250)</f>
        <v>7879.2</v>
      </c>
      <c r="I251" s="265">
        <f>sumif('Segment RAW Data 25-26'!$B$1:$X$1,$I$3,'Segment RAW Data 25-26'!$B250:$X250)</f>
        <v>0</v>
      </c>
      <c r="J251" s="265">
        <f>sumif('Segment RAW Data 25-26'!$B$1:$X$1,$J$3,'Segment RAW Data 25-26'!$B250:$X250)</f>
        <v>0</v>
      </c>
      <c r="K251" s="265">
        <f>sumif('Segment RAW Data 25-26'!$B$1:$X$1,$K$3,'Segment RAW Data 25-26'!$B250:$X250)</f>
        <v>0</v>
      </c>
      <c r="L251" s="265">
        <f>sumif('Segment RAW Data 25-26'!$B$1:$X$1,$L$3,'Segment RAW Data 25-26'!$B250:$X250)</f>
        <v>0</v>
      </c>
      <c r="M251" s="270"/>
      <c r="N251" s="124" t="s">
        <v>975</v>
      </c>
      <c r="O251" s="124">
        <f>VLOOKUP(C251:C850,'Segment RAW Data 25-26'!A250:Y847,25,0)-VLOOKUP(C251:C850,C:D,2,0)</f>
        <v>0</v>
      </c>
    </row>
    <row r="252" hidden="1">
      <c r="A252" s="157"/>
      <c r="B252" s="157"/>
      <c r="C252" s="157" t="s">
        <v>674</v>
      </c>
      <c r="D252" s="124">
        <f t="shared" si="1"/>
        <v>0</v>
      </c>
      <c r="E252" s="265">
        <f>sumif('Segment RAW Data 25-26'!$B$1:$X$1,$E$3,'Segment RAW Data 25-26'!$B251:$X251)</f>
        <v>0</v>
      </c>
      <c r="F252" s="265">
        <f>sumif('Segment RAW Data 25-26'!$B$1:$X$1,$F$3,'Segment RAW Data 25-26'!$B251:$X251)</f>
        <v>0</v>
      </c>
      <c r="G252" s="265">
        <f>sumif('Segment RAW Data 25-26'!$B$1:$X$1,$G$3,'Segment RAW Data 25-26'!$B251:$X251)</f>
        <v>0</v>
      </c>
      <c r="H252" s="265">
        <f>sumif('Segment RAW Data 25-26'!$B$1:$X$1,$H$3,'Segment RAW Data 25-26'!$B251:$X251)</f>
        <v>0</v>
      </c>
      <c r="I252" s="265">
        <f>sumif('Segment RAW Data 25-26'!$B$1:$X$1,$I$3,'Segment RAW Data 25-26'!$B251:$X251)</f>
        <v>0</v>
      </c>
      <c r="J252" s="265">
        <f>sumif('Segment RAW Data 25-26'!$B$1:$X$1,$J$3,'Segment RAW Data 25-26'!$B251:$X251)</f>
        <v>0</v>
      </c>
      <c r="K252" s="265">
        <f>sumif('Segment RAW Data 25-26'!$B$1:$X$1,$K$3,'Segment RAW Data 25-26'!$B251:$X251)</f>
        <v>0</v>
      </c>
      <c r="L252" s="265">
        <f>sumif('Segment RAW Data 25-26'!$B$1:$X$1,$L$3,'Segment RAW Data 25-26'!$B251:$X251)</f>
        <v>0</v>
      </c>
      <c r="M252" s="270"/>
      <c r="N252" s="124"/>
      <c r="O252" s="124">
        <f>VLOOKUP(C252:C851,'Segment RAW Data 25-26'!A251:Y848,25,0)-VLOOKUP(C252:C851,C:D,2,0)</f>
        <v>0</v>
      </c>
    </row>
    <row r="253" hidden="1">
      <c r="A253" s="157"/>
      <c r="B253" s="157"/>
      <c r="C253" s="157" t="s">
        <v>675</v>
      </c>
      <c r="D253" s="124">
        <f t="shared" si="1"/>
        <v>0</v>
      </c>
      <c r="E253" s="265">
        <f>sumif('Segment RAW Data 25-26'!$B$1:$X$1,$E$3,'Segment RAW Data 25-26'!$B252:$X252)</f>
        <v>0</v>
      </c>
      <c r="F253" s="265">
        <f>sumif('Segment RAW Data 25-26'!$B$1:$X$1,$F$3,'Segment RAW Data 25-26'!$B252:$X252)</f>
        <v>0</v>
      </c>
      <c r="G253" s="265">
        <f>sumif('Segment RAW Data 25-26'!$B$1:$X$1,$G$3,'Segment RAW Data 25-26'!$B252:$X252)</f>
        <v>0</v>
      </c>
      <c r="H253" s="265">
        <f>sumif('Segment RAW Data 25-26'!$B$1:$X$1,$H$3,'Segment RAW Data 25-26'!$B252:$X252)</f>
        <v>0</v>
      </c>
      <c r="I253" s="265">
        <f>sumif('Segment RAW Data 25-26'!$B$1:$X$1,$I$3,'Segment RAW Data 25-26'!$B252:$X252)</f>
        <v>0</v>
      </c>
      <c r="J253" s="265">
        <f>sumif('Segment RAW Data 25-26'!$B$1:$X$1,$J$3,'Segment RAW Data 25-26'!$B252:$X252)</f>
        <v>0</v>
      </c>
      <c r="K253" s="265">
        <f>sumif('Segment RAW Data 25-26'!$B$1:$X$1,$K$3,'Segment RAW Data 25-26'!$B252:$X252)</f>
        <v>0</v>
      </c>
      <c r="L253" s="265">
        <f>sumif('Segment RAW Data 25-26'!$B$1:$X$1,$L$3,'Segment RAW Data 25-26'!$B252:$X252)</f>
        <v>0</v>
      </c>
      <c r="M253" s="270"/>
      <c r="N253" s="124"/>
      <c r="O253" s="124">
        <f>VLOOKUP(C253:C852,'Segment RAW Data 25-26'!A252:Y849,25,0)-VLOOKUP(C253:C852,C:D,2,0)</f>
        <v>0</v>
      </c>
    </row>
    <row r="254" hidden="1">
      <c r="A254" s="157"/>
      <c r="B254" s="157"/>
      <c r="C254" s="157" t="s">
        <v>676</v>
      </c>
      <c r="D254" s="124">
        <f t="shared" si="1"/>
        <v>0</v>
      </c>
      <c r="E254" s="265">
        <f>sumif('Segment RAW Data 25-26'!$B$1:$X$1,$E$3,'Segment RAW Data 25-26'!$B253:$X253)</f>
        <v>0</v>
      </c>
      <c r="F254" s="265">
        <f>sumif('Segment RAW Data 25-26'!$B$1:$X$1,$F$3,'Segment RAW Data 25-26'!$B253:$X253)</f>
        <v>0</v>
      </c>
      <c r="G254" s="265">
        <f>sumif('Segment RAW Data 25-26'!$B$1:$X$1,$G$3,'Segment RAW Data 25-26'!$B253:$X253)</f>
        <v>0</v>
      </c>
      <c r="H254" s="265">
        <f>sumif('Segment RAW Data 25-26'!$B$1:$X$1,$H$3,'Segment RAW Data 25-26'!$B253:$X253)</f>
        <v>0</v>
      </c>
      <c r="I254" s="265">
        <f>sumif('Segment RAW Data 25-26'!$B$1:$X$1,$I$3,'Segment RAW Data 25-26'!$B253:$X253)</f>
        <v>0</v>
      </c>
      <c r="J254" s="265">
        <f>sumif('Segment RAW Data 25-26'!$B$1:$X$1,$J$3,'Segment RAW Data 25-26'!$B253:$X253)</f>
        <v>0</v>
      </c>
      <c r="K254" s="265">
        <f>sumif('Segment RAW Data 25-26'!$B$1:$X$1,$K$3,'Segment RAW Data 25-26'!$B253:$X253)</f>
        <v>0</v>
      </c>
      <c r="L254" s="265">
        <f>sumif('Segment RAW Data 25-26'!$B$1:$X$1,$L$3,'Segment RAW Data 25-26'!$B253:$X253)</f>
        <v>0</v>
      </c>
      <c r="M254" s="270"/>
      <c r="N254" s="124"/>
      <c r="O254" s="124">
        <f>VLOOKUP(C254:C853,'Segment RAW Data 25-26'!A253:Y850,25,0)-VLOOKUP(C254:C853,C:D,2,0)</f>
        <v>0</v>
      </c>
    </row>
    <row r="255" hidden="1">
      <c r="A255" s="157" t="s">
        <v>126</v>
      </c>
      <c r="B255" s="157" t="s">
        <v>135</v>
      </c>
      <c r="C255" s="157" t="s">
        <v>437</v>
      </c>
      <c r="D255" s="124">
        <f t="shared" si="1"/>
        <v>1115217.75</v>
      </c>
      <c r="E255" s="265">
        <f>sumif('Segment RAW Data 25-26'!$B$1:$X$1,$E$3,'Segment RAW Data 25-26'!$B254:$X254)</f>
        <v>0</v>
      </c>
      <c r="F255" s="265">
        <f>sumif('Segment RAW Data 25-26'!$B$1:$X$1,$F$3,'Segment RAW Data 25-26'!$B254:$X254)</f>
        <v>242594</v>
      </c>
      <c r="G255" s="265">
        <f>sumif('Segment RAW Data 25-26'!$B$1:$X$1,$G$3,'Segment RAW Data 25-26'!$B254:$X254)</f>
        <v>609599.75</v>
      </c>
      <c r="H255" s="265">
        <f>sumif('Segment RAW Data 25-26'!$B$1:$X$1,$H$3,'Segment RAW Data 25-26'!$B254:$X254)</f>
        <v>50259.6</v>
      </c>
      <c r="I255" s="265">
        <f>sumif('Segment RAW Data 25-26'!$B$1:$X$1,$I$3,'Segment RAW Data 25-26'!$B254:$X254)</f>
        <v>0</v>
      </c>
      <c r="J255" s="265">
        <f>sumif('Segment RAW Data 25-26'!$B$1:$X$1,$J$3,'Segment RAW Data 25-26'!$B254:$X254)</f>
        <v>212764.4</v>
      </c>
      <c r="K255" s="265">
        <f>sumif('Segment RAW Data 25-26'!$B$1:$X$1,$K$3,'Segment RAW Data 25-26'!$B254:$X254)</f>
        <v>0</v>
      </c>
      <c r="L255" s="265">
        <f>sumif('Segment RAW Data 25-26'!$B$1:$X$1,$L$3,'Segment RAW Data 25-26'!$B254:$X254)</f>
        <v>0</v>
      </c>
      <c r="M255" s="270">
        <v>45913.0</v>
      </c>
      <c r="N255" s="124" t="s">
        <v>973</v>
      </c>
      <c r="O255" s="124">
        <f>VLOOKUP(C255:C854,'Segment RAW Data 25-26'!A254:Y851,25,0)-VLOOKUP(C255:C854,C:D,2,0)</f>
        <v>0</v>
      </c>
    </row>
    <row r="256" hidden="1">
      <c r="A256" s="157"/>
      <c r="B256" s="157"/>
      <c r="C256" s="157" t="s">
        <v>677</v>
      </c>
      <c r="D256" s="124">
        <f t="shared" si="1"/>
        <v>0</v>
      </c>
      <c r="E256" s="265">
        <f>sumif('Segment RAW Data 25-26'!$B$1:$X$1,$E$3,'Segment RAW Data 25-26'!$B255:$X255)</f>
        <v>0</v>
      </c>
      <c r="F256" s="265">
        <f>sumif('Segment RAW Data 25-26'!$B$1:$X$1,$F$3,'Segment RAW Data 25-26'!$B255:$X255)</f>
        <v>0</v>
      </c>
      <c r="G256" s="265">
        <f>sumif('Segment RAW Data 25-26'!$B$1:$X$1,$G$3,'Segment RAW Data 25-26'!$B255:$X255)</f>
        <v>0</v>
      </c>
      <c r="H256" s="265">
        <f>sumif('Segment RAW Data 25-26'!$B$1:$X$1,$H$3,'Segment RAW Data 25-26'!$B255:$X255)</f>
        <v>0</v>
      </c>
      <c r="I256" s="265">
        <f>sumif('Segment RAW Data 25-26'!$B$1:$X$1,$I$3,'Segment RAW Data 25-26'!$B255:$X255)</f>
        <v>0</v>
      </c>
      <c r="J256" s="265">
        <f>sumif('Segment RAW Data 25-26'!$B$1:$X$1,$J$3,'Segment RAW Data 25-26'!$B255:$X255)</f>
        <v>0</v>
      </c>
      <c r="K256" s="265">
        <f>sumif('Segment RAW Data 25-26'!$B$1:$X$1,$K$3,'Segment RAW Data 25-26'!$B255:$X255)</f>
        <v>0</v>
      </c>
      <c r="L256" s="265">
        <f>sumif('Segment RAW Data 25-26'!$B$1:$X$1,$L$3,'Segment RAW Data 25-26'!$B255:$X255)</f>
        <v>0</v>
      </c>
      <c r="M256" s="270"/>
      <c r="N256" s="124"/>
      <c r="O256" s="124">
        <f>VLOOKUP(C256:C855,'Segment RAW Data 25-26'!A255:Y852,25,0)-VLOOKUP(C256:C855,C:D,2,0)</f>
        <v>0</v>
      </c>
    </row>
    <row r="257" hidden="1">
      <c r="A257" s="157" t="s">
        <v>23</v>
      </c>
      <c r="B257" s="157" t="s">
        <v>30</v>
      </c>
      <c r="C257" s="157" t="s">
        <v>24</v>
      </c>
      <c r="D257" s="124">
        <f t="shared" si="1"/>
        <v>20551332.87</v>
      </c>
      <c r="E257" s="265">
        <f>sumif('Segment RAW Data 25-26'!$B$1:$X$1,$E$3,'Segment RAW Data 25-26'!$B256:$X256)</f>
        <v>6372540.64</v>
      </c>
      <c r="F257" s="265">
        <f>sumif('Segment RAW Data 25-26'!$B$1:$X$1,$F$3,'Segment RAW Data 25-26'!$B256:$X256)</f>
        <v>1147740.1</v>
      </c>
      <c r="G257" s="265">
        <f>sumif('Segment RAW Data 25-26'!$B$1:$X$1,$G$3,'Segment RAW Data 25-26'!$B256:$X256)</f>
        <v>10425127.23</v>
      </c>
      <c r="H257" s="265">
        <f>sumif('Segment RAW Data 25-26'!$B$1:$X$1,$H$3,'Segment RAW Data 25-26'!$B256:$X256)</f>
        <v>1014146</v>
      </c>
      <c r="I257" s="265">
        <f>sumif('Segment RAW Data 25-26'!$B$1:$X$1,$I$3,'Segment RAW Data 25-26'!$B256:$X256)</f>
        <v>0</v>
      </c>
      <c r="J257" s="265">
        <f>sumif('Segment RAW Data 25-26'!$B$1:$X$1,$J$3,'Segment RAW Data 25-26'!$B256:$X256)</f>
        <v>691938.9</v>
      </c>
      <c r="K257" s="265">
        <f>sumif('Segment RAW Data 25-26'!$B$1:$X$1,$K$3,'Segment RAW Data 25-26'!$B256:$X256)</f>
        <v>0</v>
      </c>
      <c r="L257" s="265">
        <f>sumif('Segment RAW Data 25-26'!$B$1:$X$1,$L$3,'Segment RAW Data 25-26'!$B256:$X256)</f>
        <v>899840</v>
      </c>
      <c r="M257" s="270"/>
      <c r="N257" s="124" t="s">
        <v>975</v>
      </c>
      <c r="O257" s="124">
        <f>VLOOKUP(C257:C856,'Segment RAW Data 25-26'!A256:Y853,25,0)-VLOOKUP(C257:C856,C:D,2,0)</f>
        <v>0.01000000164</v>
      </c>
    </row>
    <row r="258" hidden="1">
      <c r="A258" s="157"/>
      <c r="B258" s="157"/>
      <c r="C258" s="157" t="s">
        <v>678</v>
      </c>
      <c r="D258" s="124">
        <f t="shared" si="1"/>
        <v>0</v>
      </c>
      <c r="E258" s="265">
        <f>sumif('Segment RAW Data 25-26'!$B$1:$X$1,$E$3,'Segment RAW Data 25-26'!$B257:$X257)</f>
        <v>0</v>
      </c>
      <c r="F258" s="265">
        <f>sumif('Segment RAW Data 25-26'!$B$1:$X$1,$F$3,'Segment RAW Data 25-26'!$B257:$X257)</f>
        <v>0</v>
      </c>
      <c r="G258" s="265">
        <f>sumif('Segment RAW Data 25-26'!$B$1:$X$1,$G$3,'Segment RAW Data 25-26'!$B257:$X257)</f>
        <v>0</v>
      </c>
      <c r="H258" s="265">
        <f>sumif('Segment RAW Data 25-26'!$B$1:$X$1,$H$3,'Segment RAW Data 25-26'!$B257:$X257)</f>
        <v>0</v>
      </c>
      <c r="I258" s="265">
        <f>sumif('Segment RAW Data 25-26'!$B$1:$X$1,$I$3,'Segment RAW Data 25-26'!$B257:$X257)</f>
        <v>0</v>
      </c>
      <c r="J258" s="265">
        <f>sumif('Segment RAW Data 25-26'!$B$1:$X$1,$J$3,'Segment RAW Data 25-26'!$B257:$X257)</f>
        <v>0</v>
      </c>
      <c r="K258" s="265">
        <f>sumif('Segment RAW Data 25-26'!$B$1:$X$1,$K$3,'Segment RAW Data 25-26'!$B257:$X257)</f>
        <v>0</v>
      </c>
      <c r="L258" s="265">
        <f>sumif('Segment RAW Data 25-26'!$B$1:$X$1,$L$3,'Segment RAW Data 25-26'!$B257:$X257)</f>
        <v>0</v>
      </c>
      <c r="M258" s="270"/>
      <c r="N258" s="124"/>
      <c r="O258" s="124">
        <f>VLOOKUP(C258:C857,'Segment RAW Data 25-26'!A257:Y854,25,0)-VLOOKUP(C258:C857,C:D,2,0)</f>
        <v>0</v>
      </c>
    </row>
    <row r="259" hidden="1">
      <c r="A259" s="157" t="s">
        <v>298</v>
      </c>
      <c r="B259" s="157" t="s">
        <v>301</v>
      </c>
      <c r="C259" s="157" t="s">
        <v>306</v>
      </c>
      <c r="D259" s="124">
        <f t="shared" si="1"/>
        <v>12341859.35</v>
      </c>
      <c r="E259" s="265">
        <f>sumif('Segment RAW Data 25-26'!$B$1:$X$1,$E$3,'Segment RAW Data 25-26'!$B258:$X258)</f>
        <v>1145663.6</v>
      </c>
      <c r="F259" s="265">
        <f>sumif('Segment RAW Data 25-26'!$B$1:$X$1,$F$3,'Segment RAW Data 25-26'!$B258:$X258)</f>
        <v>3018440.24</v>
      </c>
      <c r="G259" s="265">
        <f>sumif('Segment RAW Data 25-26'!$B$1:$X$1,$G$3,'Segment RAW Data 25-26'!$B258:$X258)</f>
        <v>7927787.91</v>
      </c>
      <c r="H259" s="265">
        <f>sumif('Segment RAW Data 25-26'!$B$1:$X$1,$H$3,'Segment RAW Data 25-26'!$B258:$X258)</f>
        <v>238825.6</v>
      </c>
      <c r="I259" s="265">
        <f>sumif('Segment RAW Data 25-26'!$B$1:$X$1,$I$3,'Segment RAW Data 25-26'!$B258:$X258)</f>
        <v>0</v>
      </c>
      <c r="J259" s="265">
        <f>sumif('Segment RAW Data 25-26'!$B$1:$X$1,$J$3,'Segment RAW Data 25-26'!$B258:$X258)</f>
        <v>11142</v>
      </c>
      <c r="K259" s="265">
        <f>sumif('Segment RAW Data 25-26'!$B$1:$X$1,$K$3,'Segment RAW Data 25-26'!$B258:$X258)</f>
        <v>0</v>
      </c>
      <c r="L259" s="265">
        <f>sumif('Segment RAW Data 25-26'!$B$1:$X$1,$L$3,'Segment RAW Data 25-26'!$B258:$X258)</f>
        <v>0</v>
      </c>
      <c r="M259" s="270"/>
      <c r="N259" s="124" t="s">
        <v>975</v>
      </c>
      <c r="O259" s="124">
        <f>VLOOKUP(C259:C858,'Segment RAW Data 25-26'!A258:Y855,25,0)-VLOOKUP(C259:C858,C:D,2,0)</f>
        <v>0</v>
      </c>
    </row>
    <row r="260" hidden="1">
      <c r="A260" s="157"/>
      <c r="B260" s="157"/>
      <c r="C260" s="157" t="s">
        <v>679</v>
      </c>
      <c r="D260" s="124">
        <f t="shared" si="1"/>
        <v>0</v>
      </c>
      <c r="E260" s="265">
        <f>sumif('Segment RAW Data 25-26'!$B$1:$X$1,$E$3,'Segment RAW Data 25-26'!$B259:$X259)</f>
        <v>0</v>
      </c>
      <c r="F260" s="265">
        <f>sumif('Segment RAW Data 25-26'!$B$1:$X$1,$F$3,'Segment RAW Data 25-26'!$B259:$X259)</f>
        <v>0</v>
      </c>
      <c r="G260" s="265">
        <f>sumif('Segment RAW Data 25-26'!$B$1:$X$1,$G$3,'Segment RAW Data 25-26'!$B259:$X259)</f>
        <v>0</v>
      </c>
      <c r="H260" s="265">
        <f>sumif('Segment RAW Data 25-26'!$B$1:$X$1,$H$3,'Segment RAW Data 25-26'!$B259:$X259)</f>
        <v>0</v>
      </c>
      <c r="I260" s="265">
        <f>sumif('Segment RAW Data 25-26'!$B$1:$X$1,$I$3,'Segment RAW Data 25-26'!$B259:$X259)</f>
        <v>0</v>
      </c>
      <c r="J260" s="265">
        <f>sumif('Segment RAW Data 25-26'!$B$1:$X$1,$J$3,'Segment RAW Data 25-26'!$B259:$X259)</f>
        <v>0</v>
      </c>
      <c r="K260" s="265">
        <f>sumif('Segment RAW Data 25-26'!$B$1:$X$1,$K$3,'Segment RAW Data 25-26'!$B259:$X259)</f>
        <v>0</v>
      </c>
      <c r="L260" s="265">
        <f>sumif('Segment RAW Data 25-26'!$B$1:$X$1,$L$3,'Segment RAW Data 25-26'!$B259:$X259)</f>
        <v>0</v>
      </c>
      <c r="M260" s="270"/>
      <c r="N260" s="124"/>
      <c r="O260" s="124">
        <f>VLOOKUP(C260:C859,'Segment RAW Data 25-26'!A259:Y856,25,0)-VLOOKUP(C260:C859,C:D,2,0)</f>
        <v>0</v>
      </c>
    </row>
    <row r="261" hidden="1">
      <c r="A261" s="157"/>
      <c r="B261" s="157"/>
      <c r="C261" s="157" t="s">
        <v>680</v>
      </c>
      <c r="D261" s="124">
        <f t="shared" si="1"/>
        <v>0</v>
      </c>
      <c r="E261" s="265">
        <f>sumif('Segment RAW Data 25-26'!$B$1:$X$1,$E$3,'Segment RAW Data 25-26'!$B260:$X260)</f>
        <v>0</v>
      </c>
      <c r="F261" s="265">
        <f>sumif('Segment RAW Data 25-26'!$B$1:$X$1,$F$3,'Segment RAW Data 25-26'!$B260:$X260)</f>
        <v>0</v>
      </c>
      <c r="G261" s="265">
        <f>sumif('Segment RAW Data 25-26'!$B$1:$X$1,$G$3,'Segment RAW Data 25-26'!$B260:$X260)</f>
        <v>0</v>
      </c>
      <c r="H261" s="265">
        <f>sumif('Segment RAW Data 25-26'!$B$1:$X$1,$H$3,'Segment RAW Data 25-26'!$B260:$X260)</f>
        <v>0</v>
      </c>
      <c r="I261" s="265">
        <f>sumif('Segment RAW Data 25-26'!$B$1:$X$1,$I$3,'Segment RAW Data 25-26'!$B260:$X260)</f>
        <v>0</v>
      </c>
      <c r="J261" s="265">
        <f>sumif('Segment RAW Data 25-26'!$B$1:$X$1,$J$3,'Segment RAW Data 25-26'!$B260:$X260)</f>
        <v>0</v>
      </c>
      <c r="K261" s="265">
        <f>sumif('Segment RAW Data 25-26'!$B$1:$X$1,$K$3,'Segment RAW Data 25-26'!$B260:$X260)</f>
        <v>0</v>
      </c>
      <c r="L261" s="265">
        <f>sumif('Segment RAW Data 25-26'!$B$1:$X$1,$L$3,'Segment RAW Data 25-26'!$B260:$X260)</f>
        <v>0</v>
      </c>
      <c r="M261" s="270"/>
      <c r="N261" s="124"/>
      <c r="O261" s="124">
        <f>VLOOKUP(C261:C860,'Segment RAW Data 25-26'!A260:Y857,25,0)-VLOOKUP(C261:C860,C:D,2,0)</f>
        <v>0</v>
      </c>
    </row>
    <row r="262" hidden="1">
      <c r="A262" s="157"/>
      <c r="B262" s="157"/>
      <c r="C262" s="157" t="s">
        <v>681</v>
      </c>
      <c r="D262" s="124">
        <f t="shared" si="1"/>
        <v>0</v>
      </c>
      <c r="E262" s="265">
        <f>sumif('Segment RAW Data 25-26'!$B$1:$X$1,$E$3,'Segment RAW Data 25-26'!$B261:$X261)</f>
        <v>0</v>
      </c>
      <c r="F262" s="265">
        <f>sumif('Segment RAW Data 25-26'!$B$1:$X$1,$F$3,'Segment RAW Data 25-26'!$B261:$X261)</f>
        <v>0</v>
      </c>
      <c r="G262" s="265">
        <f>sumif('Segment RAW Data 25-26'!$B$1:$X$1,$G$3,'Segment RAW Data 25-26'!$B261:$X261)</f>
        <v>0</v>
      </c>
      <c r="H262" s="265">
        <f>sumif('Segment RAW Data 25-26'!$B$1:$X$1,$H$3,'Segment RAW Data 25-26'!$B261:$X261)</f>
        <v>0</v>
      </c>
      <c r="I262" s="265">
        <f>sumif('Segment RAW Data 25-26'!$B$1:$X$1,$I$3,'Segment RAW Data 25-26'!$B261:$X261)</f>
        <v>0</v>
      </c>
      <c r="J262" s="265">
        <f>sumif('Segment RAW Data 25-26'!$B$1:$X$1,$J$3,'Segment RAW Data 25-26'!$B261:$X261)</f>
        <v>0</v>
      </c>
      <c r="K262" s="265">
        <f>sumif('Segment RAW Data 25-26'!$B$1:$X$1,$K$3,'Segment RAW Data 25-26'!$B261:$X261)</f>
        <v>0</v>
      </c>
      <c r="L262" s="265">
        <f>sumif('Segment RAW Data 25-26'!$B$1:$X$1,$L$3,'Segment RAW Data 25-26'!$B261:$X261)</f>
        <v>0</v>
      </c>
      <c r="M262" s="270"/>
      <c r="N262" s="124"/>
      <c r="O262" s="124">
        <f>VLOOKUP(C262:C861,'Segment RAW Data 25-26'!A261:Y858,25,0)-VLOOKUP(C262:C861,C:D,2,0)</f>
        <v>0</v>
      </c>
    </row>
    <row r="263" hidden="1">
      <c r="A263" s="157"/>
      <c r="B263" s="157"/>
      <c r="C263" s="157" t="s">
        <v>682</v>
      </c>
      <c r="D263" s="124">
        <f t="shared" si="1"/>
        <v>0</v>
      </c>
      <c r="E263" s="265">
        <f>sumif('Segment RAW Data 25-26'!$B$1:$X$1,$E$3,'Segment RAW Data 25-26'!$B262:$X262)</f>
        <v>0</v>
      </c>
      <c r="F263" s="265">
        <f>sumif('Segment RAW Data 25-26'!$B$1:$X$1,$F$3,'Segment RAW Data 25-26'!$B262:$X262)</f>
        <v>0</v>
      </c>
      <c r="G263" s="265">
        <f>sumif('Segment RAW Data 25-26'!$B$1:$X$1,$G$3,'Segment RAW Data 25-26'!$B262:$X262)</f>
        <v>0</v>
      </c>
      <c r="H263" s="265">
        <f>sumif('Segment RAW Data 25-26'!$B$1:$X$1,$H$3,'Segment RAW Data 25-26'!$B262:$X262)</f>
        <v>0</v>
      </c>
      <c r="I263" s="265">
        <f>sumif('Segment RAW Data 25-26'!$B$1:$X$1,$I$3,'Segment RAW Data 25-26'!$B262:$X262)</f>
        <v>0</v>
      </c>
      <c r="J263" s="265">
        <f>sumif('Segment RAW Data 25-26'!$B$1:$X$1,$J$3,'Segment RAW Data 25-26'!$B262:$X262)</f>
        <v>0</v>
      </c>
      <c r="K263" s="265">
        <f>sumif('Segment RAW Data 25-26'!$B$1:$X$1,$K$3,'Segment RAW Data 25-26'!$B262:$X262)</f>
        <v>0</v>
      </c>
      <c r="L263" s="265">
        <f>sumif('Segment RAW Data 25-26'!$B$1:$X$1,$L$3,'Segment RAW Data 25-26'!$B262:$X262)</f>
        <v>0</v>
      </c>
      <c r="M263" s="270"/>
      <c r="N263" s="124"/>
      <c r="O263" s="124">
        <f>VLOOKUP(C263:C862,'Segment RAW Data 25-26'!A262:Y859,25,0)-VLOOKUP(C263:C862,C:D,2,0)</f>
        <v>0</v>
      </c>
    </row>
    <row r="264" hidden="1">
      <c r="A264" s="157"/>
      <c r="B264" s="157"/>
      <c r="C264" s="157" t="s">
        <v>683</v>
      </c>
      <c r="D264" s="124">
        <f t="shared" si="1"/>
        <v>0</v>
      </c>
      <c r="E264" s="265">
        <f>sumif('Segment RAW Data 25-26'!$B$1:$X$1,$E$3,'Segment RAW Data 25-26'!$B263:$X263)</f>
        <v>0</v>
      </c>
      <c r="F264" s="265">
        <f>sumif('Segment RAW Data 25-26'!$B$1:$X$1,$F$3,'Segment RAW Data 25-26'!$B263:$X263)</f>
        <v>0</v>
      </c>
      <c r="G264" s="265">
        <f>sumif('Segment RAW Data 25-26'!$B$1:$X$1,$G$3,'Segment RAW Data 25-26'!$B263:$X263)</f>
        <v>0</v>
      </c>
      <c r="H264" s="265">
        <f>sumif('Segment RAW Data 25-26'!$B$1:$X$1,$H$3,'Segment RAW Data 25-26'!$B263:$X263)</f>
        <v>0</v>
      </c>
      <c r="I264" s="265">
        <f>sumif('Segment RAW Data 25-26'!$B$1:$X$1,$I$3,'Segment RAW Data 25-26'!$B263:$X263)</f>
        <v>0</v>
      </c>
      <c r="J264" s="265">
        <f>sumif('Segment RAW Data 25-26'!$B$1:$X$1,$J$3,'Segment RAW Data 25-26'!$B263:$X263)</f>
        <v>0</v>
      </c>
      <c r="K264" s="265">
        <f>sumif('Segment RAW Data 25-26'!$B$1:$X$1,$K$3,'Segment RAW Data 25-26'!$B263:$X263)</f>
        <v>0</v>
      </c>
      <c r="L264" s="265">
        <f>sumif('Segment RAW Data 25-26'!$B$1:$X$1,$L$3,'Segment RAW Data 25-26'!$B263:$X263)</f>
        <v>0</v>
      </c>
      <c r="M264" s="270"/>
      <c r="N264" s="124"/>
      <c r="O264" s="124">
        <f>VLOOKUP(C264:C863,'Segment RAW Data 25-26'!A263:Y860,25,0)-VLOOKUP(C264:C863,C:D,2,0)</f>
        <v>0</v>
      </c>
    </row>
    <row r="265" hidden="1">
      <c r="A265" s="157"/>
      <c r="B265" s="157"/>
      <c r="C265" s="157" t="s">
        <v>684</v>
      </c>
      <c r="D265" s="124">
        <f t="shared" si="1"/>
        <v>0</v>
      </c>
      <c r="E265" s="265">
        <f>sumif('Segment RAW Data 25-26'!$B$1:$X$1,$E$3,'Segment RAW Data 25-26'!$B264:$X264)</f>
        <v>0</v>
      </c>
      <c r="F265" s="265">
        <f>sumif('Segment RAW Data 25-26'!$B$1:$X$1,$F$3,'Segment RAW Data 25-26'!$B264:$X264)</f>
        <v>0</v>
      </c>
      <c r="G265" s="265">
        <f>sumif('Segment RAW Data 25-26'!$B$1:$X$1,$G$3,'Segment RAW Data 25-26'!$B264:$X264)</f>
        <v>0</v>
      </c>
      <c r="H265" s="265">
        <f>sumif('Segment RAW Data 25-26'!$B$1:$X$1,$H$3,'Segment RAW Data 25-26'!$B264:$X264)</f>
        <v>0</v>
      </c>
      <c r="I265" s="265">
        <f>sumif('Segment RAW Data 25-26'!$B$1:$X$1,$I$3,'Segment RAW Data 25-26'!$B264:$X264)</f>
        <v>0</v>
      </c>
      <c r="J265" s="265">
        <f>sumif('Segment RAW Data 25-26'!$B$1:$X$1,$J$3,'Segment RAW Data 25-26'!$B264:$X264)</f>
        <v>0</v>
      </c>
      <c r="K265" s="265">
        <f>sumif('Segment RAW Data 25-26'!$B$1:$X$1,$K$3,'Segment RAW Data 25-26'!$B264:$X264)</f>
        <v>0</v>
      </c>
      <c r="L265" s="265">
        <f>sumif('Segment RAW Data 25-26'!$B$1:$X$1,$L$3,'Segment RAW Data 25-26'!$B264:$X264)</f>
        <v>0</v>
      </c>
      <c r="M265" s="270"/>
      <c r="N265" s="124"/>
      <c r="O265" s="124">
        <f>VLOOKUP(C265:C864,'Segment RAW Data 25-26'!A264:Y861,25,0)-VLOOKUP(C265:C864,C:D,2,0)</f>
        <v>0</v>
      </c>
    </row>
    <row r="266" hidden="1">
      <c r="A266" s="157"/>
      <c r="B266" s="157"/>
      <c r="C266" s="157" t="s">
        <v>685</v>
      </c>
      <c r="D266" s="124">
        <f t="shared" si="1"/>
        <v>0</v>
      </c>
      <c r="E266" s="265">
        <f>sumif('Segment RAW Data 25-26'!$B$1:$X$1,$E$3,'Segment RAW Data 25-26'!$B265:$X265)</f>
        <v>0</v>
      </c>
      <c r="F266" s="265">
        <f>sumif('Segment RAW Data 25-26'!$B$1:$X$1,$F$3,'Segment RAW Data 25-26'!$B265:$X265)</f>
        <v>0</v>
      </c>
      <c r="G266" s="265">
        <f>sumif('Segment RAW Data 25-26'!$B$1:$X$1,$G$3,'Segment RAW Data 25-26'!$B265:$X265)</f>
        <v>0</v>
      </c>
      <c r="H266" s="265">
        <f>sumif('Segment RAW Data 25-26'!$B$1:$X$1,$H$3,'Segment RAW Data 25-26'!$B265:$X265)</f>
        <v>0</v>
      </c>
      <c r="I266" s="265">
        <f>sumif('Segment RAW Data 25-26'!$B$1:$X$1,$I$3,'Segment RAW Data 25-26'!$B265:$X265)</f>
        <v>0</v>
      </c>
      <c r="J266" s="265">
        <f>sumif('Segment RAW Data 25-26'!$B$1:$X$1,$J$3,'Segment RAW Data 25-26'!$B265:$X265)</f>
        <v>0</v>
      </c>
      <c r="K266" s="265">
        <f>sumif('Segment RAW Data 25-26'!$B$1:$X$1,$K$3,'Segment RAW Data 25-26'!$B265:$X265)</f>
        <v>0</v>
      </c>
      <c r="L266" s="265">
        <f>sumif('Segment RAW Data 25-26'!$B$1:$X$1,$L$3,'Segment RAW Data 25-26'!$B265:$X265)</f>
        <v>0</v>
      </c>
      <c r="M266" s="270"/>
      <c r="N266" s="124"/>
      <c r="O266" s="124">
        <f>VLOOKUP(C266:C865,'Segment RAW Data 25-26'!A265:Y862,25,0)-VLOOKUP(C266:C865,C:D,2,0)</f>
        <v>0</v>
      </c>
    </row>
    <row r="267" hidden="1">
      <c r="A267" s="157"/>
      <c r="B267" s="157"/>
      <c r="C267" s="157" t="s">
        <v>686</v>
      </c>
      <c r="D267" s="124">
        <f t="shared" si="1"/>
        <v>0</v>
      </c>
      <c r="E267" s="265">
        <f>sumif('Segment RAW Data 25-26'!$B$1:$X$1,$E$3,'Segment RAW Data 25-26'!$B266:$X266)</f>
        <v>0</v>
      </c>
      <c r="F267" s="265">
        <f>sumif('Segment RAW Data 25-26'!$B$1:$X$1,$F$3,'Segment RAW Data 25-26'!$B266:$X266)</f>
        <v>0</v>
      </c>
      <c r="G267" s="265">
        <f>sumif('Segment RAW Data 25-26'!$B$1:$X$1,$G$3,'Segment RAW Data 25-26'!$B266:$X266)</f>
        <v>0</v>
      </c>
      <c r="H267" s="265">
        <f>sumif('Segment RAW Data 25-26'!$B$1:$X$1,$H$3,'Segment RAW Data 25-26'!$B266:$X266)</f>
        <v>0</v>
      </c>
      <c r="I267" s="265">
        <f>sumif('Segment RAW Data 25-26'!$B$1:$X$1,$I$3,'Segment RAW Data 25-26'!$B266:$X266)</f>
        <v>0</v>
      </c>
      <c r="J267" s="265">
        <f>sumif('Segment RAW Data 25-26'!$B$1:$X$1,$J$3,'Segment RAW Data 25-26'!$B266:$X266)</f>
        <v>0</v>
      </c>
      <c r="K267" s="265">
        <f>sumif('Segment RAW Data 25-26'!$B$1:$X$1,$K$3,'Segment RAW Data 25-26'!$B266:$X266)</f>
        <v>0</v>
      </c>
      <c r="L267" s="265">
        <f>sumif('Segment RAW Data 25-26'!$B$1:$X$1,$L$3,'Segment RAW Data 25-26'!$B266:$X266)</f>
        <v>0</v>
      </c>
      <c r="M267" s="270"/>
      <c r="N267" s="124"/>
      <c r="O267" s="124">
        <f>VLOOKUP(C267:C866,'Segment RAW Data 25-26'!A266:Y863,25,0)-VLOOKUP(C267:C866,C:D,2,0)</f>
        <v>0</v>
      </c>
    </row>
    <row r="268" hidden="1">
      <c r="A268" s="157"/>
      <c r="B268" s="157"/>
      <c r="C268" s="157" t="s">
        <v>687</v>
      </c>
      <c r="D268" s="124">
        <f t="shared" si="1"/>
        <v>0</v>
      </c>
      <c r="E268" s="265">
        <f>sumif('Segment RAW Data 25-26'!$B$1:$X$1,$E$3,'Segment RAW Data 25-26'!$B267:$X267)</f>
        <v>0</v>
      </c>
      <c r="F268" s="265">
        <f>sumif('Segment RAW Data 25-26'!$B$1:$X$1,$F$3,'Segment RAW Data 25-26'!$B267:$X267)</f>
        <v>0</v>
      </c>
      <c r="G268" s="265">
        <f>sumif('Segment RAW Data 25-26'!$B$1:$X$1,$G$3,'Segment RAW Data 25-26'!$B267:$X267)</f>
        <v>0</v>
      </c>
      <c r="H268" s="265">
        <f>sumif('Segment RAW Data 25-26'!$B$1:$X$1,$H$3,'Segment RAW Data 25-26'!$B267:$X267)</f>
        <v>0</v>
      </c>
      <c r="I268" s="265">
        <f>sumif('Segment RAW Data 25-26'!$B$1:$X$1,$I$3,'Segment RAW Data 25-26'!$B267:$X267)</f>
        <v>0</v>
      </c>
      <c r="J268" s="265">
        <f>sumif('Segment RAW Data 25-26'!$B$1:$X$1,$J$3,'Segment RAW Data 25-26'!$B267:$X267)</f>
        <v>0</v>
      </c>
      <c r="K268" s="265">
        <f>sumif('Segment RAW Data 25-26'!$B$1:$X$1,$K$3,'Segment RAW Data 25-26'!$B267:$X267)</f>
        <v>0</v>
      </c>
      <c r="L268" s="265">
        <f>sumif('Segment RAW Data 25-26'!$B$1:$X$1,$L$3,'Segment RAW Data 25-26'!$B267:$X267)</f>
        <v>0</v>
      </c>
      <c r="M268" s="270"/>
      <c r="N268" s="124"/>
      <c r="O268" s="124">
        <f>VLOOKUP(C268:C867,'Segment RAW Data 25-26'!A267:Y864,25,0)-VLOOKUP(C268:C867,C:D,2,0)</f>
        <v>0</v>
      </c>
    </row>
    <row r="269" hidden="1">
      <c r="A269" s="157" t="s">
        <v>126</v>
      </c>
      <c r="B269" s="157" t="s">
        <v>130</v>
      </c>
      <c r="C269" s="157" t="s">
        <v>150</v>
      </c>
      <c r="D269" s="124">
        <f t="shared" si="1"/>
        <v>20833737.72</v>
      </c>
      <c r="E269" s="265">
        <f>sumif('Segment RAW Data 25-26'!$B$1:$X$1,$E$3,'Segment RAW Data 25-26'!$B268:$X268)</f>
        <v>1939527.3</v>
      </c>
      <c r="F269" s="265">
        <f>sumif('Segment RAW Data 25-26'!$B$1:$X$1,$F$3,'Segment RAW Data 25-26'!$B268:$X268)</f>
        <v>2939386.24</v>
      </c>
      <c r="G269" s="265">
        <f>sumif('Segment RAW Data 25-26'!$B$1:$X$1,$G$3,'Segment RAW Data 25-26'!$B268:$X268)</f>
        <v>12613203.03</v>
      </c>
      <c r="H269" s="265">
        <f>sumif('Segment RAW Data 25-26'!$B$1:$X$1,$H$3,'Segment RAW Data 25-26'!$B268:$X268)</f>
        <v>919817.4</v>
      </c>
      <c r="I269" s="265">
        <f>sumif('Segment RAW Data 25-26'!$B$1:$X$1,$I$3,'Segment RAW Data 25-26'!$B268:$X268)</f>
        <v>0</v>
      </c>
      <c r="J269" s="265">
        <f>sumif('Segment RAW Data 25-26'!$B$1:$X$1,$J$3,'Segment RAW Data 25-26'!$B268:$X268)</f>
        <v>0</v>
      </c>
      <c r="K269" s="265">
        <f>sumif('Segment RAW Data 25-26'!$B$1:$X$1,$K$3,'Segment RAW Data 25-26'!$B268:$X268)</f>
        <v>0</v>
      </c>
      <c r="L269" s="265">
        <f>sumif('Segment RAW Data 25-26'!$B$1:$X$1,$L$3,'Segment RAW Data 25-26'!$B268:$X268)</f>
        <v>2421803.75</v>
      </c>
      <c r="M269" s="270"/>
      <c r="N269" s="124" t="s">
        <v>975</v>
      </c>
      <c r="O269" s="124">
        <f>VLOOKUP(C269:C868,'Segment RAW Data 25-26'!A268:Y865,25,0)-VLOOKUP(C269:C868,C:D,2,0)</f>
        <v>-0.009999997914</v>
      </c>
    </row>
    <row r="270" hidden="1">
      <c r="A270" s="157"/>
      <c r="B270" s="157"/>
      <c r="C270" s="157" t="s">
        <v>688</v>
      </c>
      <c r="D270" s="124">
        <f t="shared" si="1"/>
        <v>0</v>
      </c>
      <c r="E270" s="265">
        <f>sumif('Segment RAW Data 25-26'!$B$1:$X$1,$E$3,'Segment RAW Data 25-26'!$B269:$X269)</f>
        <v>0</v>
      </c>
      <c r="F270" s="265">
        <f>sumif('Segment RAW Data 25-26'!$B$1:$X$1,$F$3,'Segment RAW Data 25-26'!$B269:$X269)</f>
        <v>0</v>
      </c>
      <c r="G270" s="265">
        <f>sumif('Segment RAW Data 25-26'!$B$1:$X$1,$G$3,'Segment RAW Data 25-26'!$B269:$X269)</f>
        <v>0</v>
      </c>
      <c r="H270" s="265">
        <f>sumif('Segment RAW Data 25-26'!$B$1:$X$1,$H$3,'Segment RAW Data 25-26'!$B269:$X269)</f>
        <v>0</v>
      </c>
      <c r="I270" s="265">
        <f>sumif('Segment RAW Data 25-26'!$B$1:$X$1,$I$3,'Segment RAW Data 25-26'!$B269:$X269)</f>
        <v>0</v>
      </c>
      <c r="J270" s="265">
        <f>sumif('Segment RAW Data 25-26'!$B$1:$X$1,$J$3,'Segment RAW Data 25-26'!$B269:$X269)</f>
        <v>0</v>
      </c>
      <c r="K270" s="265">
        <f>sumif('Segment RAW Data 25-26'!$B$1:$X$1,$K$3,'Segment RAW Data 25-26'!$B269:$X269)</f>
        <v>0</v>
      </c>
      <c r="L270" s="265">
        <f>sumif('Segment RAW Data 25-26'!$B$1:$X$1,$L$3,'Segment RAW Data 25-26'!$B269:$X269)</f>
        <v>0</v>
      </c>
      <c r="M270" s="270"/>
      <c r="N270" s="124"/>
      <c r="O270" s="124">
        <f>VLOOKUP(C270:C869,'Segment RAW Data 25-26'!A269:Y866,25,0)-VLOOKUP(C270:C869,C:D,2,0)</f>
        <v>0</v>
      </c>
    </row>
    <row r="271" hidden="1">
      <c r="A271" s="157" t="s">
        <v>322</v>
      </c>
      <c r="B271" s="157" t="s">
        <v>325</v>
      </c>
      <c r="C271" s="157" t="s">
        <v>689</v>
      </c>
      <c r="D271" s="124">
        <f t="shared" si="1"/>
        <v>1788891.24</v>
      </c>
      <c r="E271" s="265">
        <f>sumif('Segment RAW Data 25-26'!$B$1:$X$1,$E$3,'Segment RAW Data 25-26'!$B270:$X270)</f>
        <v>382096.85</v>
      </c>
      <c r="F271" s="265">
        <f>sumif('Segment RAW Data 25-26'!$B$1:$X$1,$F$3,'Segment RAW Data 25-26'!$B270:$X270)</f>
        <v>0</v>
      </c>
      <c r="G271" s="265">
        <f>sumif('Segment RAW Data 25-26'!$B$1:$X$1,$G$3,'Segment RAW Data 25-26'!$B270:$X270)</f>
        <v>497370.64</v>
      </c>
      <c r="H271" s="265">
        <f>sumif('Segment RAW Data 25-26'!$B$1:$X$1,$H$3,'Segment RAW Data 25-26'!$B270:$X270)</f>
        <v>0</v>
      </c>
      <c r="I271" s="265">
        <f>sumif('Segment RAW Data 25-26'!$B$1:$X$1,$I$3,'Segment RAW Data 25-26'!$B270:$X270)</f>
        <v>0</v>
      </c>
      <c r="J271" s="265">
        <f>sumif('Segment RAW Data 25-26'!$B$1:$X$1,$J$3,'Segment RAW Data 25-26'!$B270:$X270)</f>
        <v>0</v>
      </c>
      <c r="K271" s="265">
        <f>sumif('Segment RAW Data 25-26'!$B$1:$X$1,$K$3,'Segment RAW Data 25-26'!$B270:$X270)</f>
        <v>0</v>
      </c>
      <c r="L271" s="265">
        <f>sumif('Segment RAW Data 25-26'!$B$1:$X$1,$L$3,'Segment RAW Data 25-26'!$B270:$X270)</f>
        <v>909423.75</v>
      </c>
      <c r="M271" s="270">
        <v>45971.0</v>
      </c>
      <c r="N271" s="124" t="s">
        <v>973</v>
      </c>
      <c r="O271" s="124">
        <f>VLOOKUP(C271:C870,'Segment RAW Data 25-26'!A270:Y867,25,0)-VLOOKUP(C271:C870,C:D,2,0)</f>
        <v>0</v>
      </c>
    </row>
    <row r="272" hidden="1">
      <c r="A272" s="157"/>
      <c r="B272" s="157"/>
      <c r="C272" s="157" t="s">
        <v>690</v>
      </c>
      <c r="D272" s="124">
        <f t="shared" si="1"/>
        <v>0</v>
      </c>
      <c r="E272" s="265">
        <f>sumif('Segment RAW Data 25-26'!$B$1:$X$1,$E$3,'Segment RAW Data 25-26'!$B271:$X271)</f>
        <v>0</v>
      </c>
      <c r="F272" s="265">
        <f>sumif('Segment RAW Data 25-26'!$B$1:$X$1,$F$3,'Segment RAW Data 25-26'!$B271:$X271)</f>
        <v>0</v>
      </c>
      <c r="G272" s="265">
        <f>sumif('Segment RAW Data 25-26'!$B$1:$X$1,$G$3,'Segment RAW Data 25-26'!$B271:$X271)</f>
        <v>0</v>
      </c>
      <c r="H272" s="265">
        <f>sumif('Segment RAW Data 25-26'!$B$1:$X$1,$H$3,'Segment RAW Data 25-26'!$B271:$X271)</f>
        <v>0</v>
      </c>
      <c r="I272" s="265">
        <f>sumif('Segment RAW Data 25-26'!$B$1:$X$1,$I$3,'Segment RAW Data 25-26'!$B271:$X271)</f>
        <v>0</v>
      </c>
      <c r="J272" s="265">
        <f>sumif('Segment RAW Data 25-26'!$B$1:$X$1,$J$3,'Segment RAW Data 25-26'!$B271:$X271)</f>
        <v>0</v>
      </c>
      <c r="K272" s="265">
        <f>sumif('Segment RAW Data 25-26'!$B$1:$X$1,$K$3,'Segment RAW Data 25-26'!$B271:$X271)</f>
        <v>0</v>
      </c>
      <c r="L272" s="265">
        <f>sumif('Segment RAW Data 25-26'!$B$1:$X$1,$L$3,'Segment RAW Data 25-26'!$B271:$X271)</f>
        <v>0</v>
      </c>
      <c r="M272" s="270"/>
      <c r="N272" s="124"/>
      <c r="O272" s="124">
        <f>VLOOKUP(C272:C871,'Segment RAW Data 25-26'!A271:Y868,25,0)-VLOOKUP(C272:C871,C:D,2,0)</f>
        <v>0</v>
      </c>
    </row>
    <row r="273" hidden="1">
      <c r="A273" s="157"/>
      <c r="B273" s="157"/>
      <c r="C273" s="157" t="s">
        <v>691</v>
      </c>
      <c r="D273" s="124">
        <f t="shared" si="1"/>
        <v>0</v>
      </c>
      <c r="E273" s="265">
        <f>sumif('Segment RAW Data 25-26'!$B$1:$X$1,$E$3,'Segment RAW Data 25-26'!$B272:$X272)</f>
        <v>0</v>
      </c>
      <c r="F273" s="265">
        <f>sumif('Segment RAW Data 25-26'!$B$1:$X$1,$F$3,'Segment RAW Data 25-26'!$B272:$X272)</f>
        <v>0</v>
      </c>
      <c r="G273" s="265">
        <f>sumif('Segment RAW Data 25-26'!$B$1:$X$1,$G$3,'Segment RAW Data 25-26'!$B272:$X272)</f>
        <v>0</v>
      </c>
      <c r="H273" s="265">
        <f>sumif('Segment RAW Data 25-26'!$B$1:$X$1,$H$3,'Segment RAW Data 25-26'!$B272:$X272)</f>
        <v>0</v>
      </c>
      <c r="I273" s="265">
        <f>sumif('Segment RAW Data 25-26'!$B$1:$X$1,$I$3,'Segment RAW Data 25-26'!$B272:$X272)</f>
        <v>0</v>
      </c>
      <c r="J273" s="265">
        <f>sumif('Segment RAW Data 25-26'!$B$1:$X$1,$J$3,'Segment RAW Data 25-26'!$B272:$X272)</f>
        <v>0</v>
      </c>
      <c r="K273" s="265">
        <f>sumif('Segment RAW Data 25-26'!$B$1:$X$1,$K$3,'Segment RAW Data 25-26'!$B272:$X272)</f>
        <v>0</v>
      </c>
      <c r="L273" s="265">
        <f>sumif('Segment RAW Data 25-26'!$B$1:$X$1,$L$3,'Segment RAW Data 25-26'!$B272:$X272)</f>
        <v>0</v>
      </c>
      <c r="M273" s="270"/>
      <c r="N273" s="124"/>
      <c r="O273" s="124">
        <f>VLOOKUP(C273:C872,'Segment RAW Data 25-26'!A272:Y869,25,0)-VLOOKUP(C273:C872,C:D,2,0)</f>
        <v>0</v>
      </c>
    </row>
    <row r="274" hidden="1">
      <c r="A274" s="157"/>
      <c r="B274" s="157"/>
      <c r="C274" s="157" t="s">
        <v>692</v>
      </c>
      <c r="D274" s="124">
        <f t="shared" si="1"/>
        <v>0</v>
      </c>
      <c r="E274" s="265">
        <f>sumif('Segment RAW Data 25-26'!$B$1:$X$1,$E$3,'Segment RAW Data 25-26'!$B273:$X273)</f>
        <v>0</v>
      </c>
      <c r="F274" s="265">
        <f>sumif('Segment RAW Data 25-26'!$B$1:$X$1,$F$3,'Segment RAW Data 25-26'!$B273:$X273)</f>
        <v>0</v>
      </c>
      <c r="G274" s="265">
        <f>sumif('Segment RAW Data 25-26'!$B$1:$X$1,$G$3,'Segment RAW Data 25-26'!$B273:$X273)</f>
        <v>0</v>
      </c>
      <c r="H274" s="265">
        <f>sumif('Segment RAW Data 25-26'!$B$1:$X$1,$H$3,'Segment RAW Data 25-26'!$B273:$X273)</f>
        <v>0</v>
      </c>
      <c r="I274" s="265">
        <f>sumif('Segment RAW Data 25-26'!$B$1:$X$1,$I$3,'Segment RAW Data 25-26'!$B273:$X273)</f>
        <v>0</v>
      </c>
      <c r="J274" s="265">
        <f>sumif('Segment RAW Data 25-26'!$B$1:$X$1,$J$3,'Segment RAW Data 25-26'!$B273:$X273)</f>
        <v>0</v>
      </c>
      <c r="K274" s="265">
        <f>sumif('Segment RAW Data 25-26'!$B$1:$X$1,$K$3,'Segment RAW Data 25-26'!$B273:$X273)</f>
        <v>0</v>
      </c>
      <c r="L274" s="265">
        <f>sumif('Segment RAW Data 25-26'!$B$1:$X$1,$L$3,'Segment RAW Data 25-26'!$B273:$X273)</f>
        <v>0</v>
      </c>
      <c r="M274" s="270"/>
      <c r="N274" s="124"/>
      <c r="O274" s="124">
        <f>VLOOKUP(C274:C873,'Segment RAW Data 25-26'!A273:Y870,25,0)-VLOOKUP(C274:C873,C:D,2,0)</f>
        <v>0</v>
      </c>
    </row>
    <row r="275" hidden="1">
      <c r="A275" s="157"/>
      <c r="B275" s="157"/>
      <c r="C275" s="157" t="s">
        <v>693</v>
      </c>
      <c r="D275" s="124">
        <f t="shared" si="1"/>
        <v>0</v>
      </c>
      <c r="E275" s="265">
        <f>sumif('Segment RAW Data 25-26'!$B$1:$X$1,$E$3,'Segment RAW Data 25-26'!$B274:$X274)</f>
        <v>0</v>
      </c>
      <c r="F275" s="265">
        <f>sumif('Segment RAW Data 25-26'!$B$1:$X$1,$F$3,'Segment RAW Data 25-26'!$B274:$X274)</f>
        <v>0</v>
      </c>
      <c r="G275" s="265">
        <f>sumif('Segment RAW Data 25-26'!$B$1:$X$1,$G$3,'Segment RAW Data 25-26'!$B274:$X274)</f>
        <v>0</v>
      </c>
      <c r="H275" s="265">
        <f>sumif('Segment RAW Data 25-26'!$B$1:$X$1,$H$3,'Segment RAW Data 25-26'!$B274:$X274)</f>
        <v>0</v>
      </c>
      <c r="I275" s="265">
        <f>sumif('Segment RAW Data 25-26'!$B$1:$X$1,$I$3,'Segment RAW Data 25-26'!$B274:$X274)</f>
        <v>0</v>
      </c>
      <c r="J275" s="265">
        <f>sumif('Segment RAW Data 25-26'!$B$1:$X$1,$J$3,'Segment RAW Data 25-26'!$B274:$X274)</f>
        <v>0</v>
      </c>
      <c r="K275" s="265">
        <f>sumif('Segment RAW Data 25-26'!$B$1:$X$1,$K$3,'Segment RAW Data 25-26'!$B274:$X274)</f>
        <v>0</v>
      </c>
      <c r="L275" s="265">
        <f>sumif('Segment RAW Data 25-26'!$B$1:$X$1,$L$3,'Segment RAW Data 25-26'!$B274:$X274)</f>
        <v>0</v>
      </c>
      <c r="M275" s="270"/>
      <c r="N275" s="124"/>
      <c r="O275" s="124">
        <f>VLOOKUP(C275:C874,'Segment RAW Data 25-26'!A274:Y871,25,0)-VLOOKUP(C275:C874,C:D,2,0)</f>
        <v>0</v>
      </c>
    </row>
    <row r="276" hidden="1">
      <c r="A276" s="157"/>
      <c r="B276" s="157"/>
      <c r="C276" s="157" t="s">
        <v>694</v>
      </c>
      <c r="D276" s="124">
        <f t="shared" si="1"/>
        <v>0</v>
      </c>
      <c r="E276" s="265">
        <f>sumif('Segment RAW Data 25-26'!$B$1:$X$1,$E$3,'Segment RAW Data 25-26'!$B275:$X275)</f>
        <v>0</v>
      </c>
      <c r="F276" s="265">
        <f>sumif('Segment RAW Data 25-26'!$B$1:$X$1,$F$3,'Segment RAW Data 25-26'!$B275:$X275)</f>
        <v>0</v>
      </c>
      <c r="G276" s="265">
        <f>sumif('Segment RAW Data 25-26'!$B$1:$X$1,$G$3,'Segment RAW Data 25-26'!$B275:$X275)</f>
        <v>0</v>
      </c>
      <c r="H276" s="265">
        <f>sumif('Segment RAW Data 25-26'!$B$1:$X$1,$H$3,'Segment RAW Data 25-26'!$B275:$X275)</f>
        <v>0</v>
      </c>
      <c r="I276" s="265">
        <f>sumif('Segment RAW Data 25-26'!$B$1:$X$1,$I$3,'Segment RAW Data 25-26'!$B275:$X275)</f>
        <v>0</v>
      </c>
      <c r="J276" s="265">
        <f>sumif('Segment RAW Data 25-26'!$B$1:$X$1,$J$3,'Segment RAW Data 25-26'!$B275:$X275)</f>
        <v>0</v>
      </c>
      <c r="K276" s="265">
        <f>sumif('Segment RAW Data 25-26'!$B$1:$X$1,$K$3,'Segment RAW Data 25-26'!$B275:$X275)</f>
        <v>0</v>
      </c>
      <c r="L276" s="265">
        <f>sumif('Segment RAW Data 25-26'!$B$1:$X$1,$L$3,'Segment RAW Data 25-26'!$B275:$X275)</f>
        <v>0</v>
      </c>
      <c r="M276" s="270"/>
      <c r="N276" s="124"/>
      <c r="O276" s="124">
        <f>VLOOKUP(C276:C875,'Segment RAW Data 25-26'!A275:Y872,25,0)-VLOOKUP(C276:C875,C:D,2,0)</f>
        <v>0</v>
      </c>
    </row>
    <row r="277" hidden="1">
      <c r="A277" s="157"/>
      <c r="B277" s="157"/>
      <c r="C277" s="157" t="s">
        <v>695</v>
      </c>
      <c r="D277" s="124">
        <f t="shared" si="1"/>
        <v>0</v>
      </c>
      <c r="E277" s="265">
        <f>sumif('Segment RAW Data 25-26'!$B$1:$X$1,$E$3,'Segment RAW Data 25-26'!$B276:$X276)</f>
        <v>0</v>
      </c>
      <c r="F277" s="265">
        <f>sumif('Segment RAW Data 25-26'!$B$1:$X$1,$F$3,'Segment RAW Data 25-26'!$B276:$X276)</f>
        <v>0</v>
      </c>
      <c r="G277" s="265">
        <f>sumif('Segment RAW Data 25-26'!$B$1:$X$1,$G$3,'Segment RAW Data 25-26'!$B276:$X276)</f>
        <v>0</v>
      </c>
      <c r="H277" s="265">
        <f>sumif('Segment RAW Data 25-26'!$B$1:$X$1,$H$3,'Segment RAW Data 25-26'!$B276:$X276)</f>
        <v>0</v>
      </c>
      <c r="I277" s="265">
        <f>sumif('Segment RAW Data 25-26'!$B$1:$X$1,$I$3,'Segment RAW Data 25-26'!$B276:$X276)</f>
        <v>0</v>
      </c>
      <c r="J277" s="265">
        <f>sumif('Segment RAW Data 25-26'!$B$1:$X$1,$J$3,'Segment RAW Data 25-26'!$B276:$X276)</f>
        <v>0</v>
      </c>
      <c r="K277" s="265">
        <f>sumif('Segment RAW Data 25-26'!$B$1:$X$1,$K$3,'Segment RAW Data 25-26'!$B276:$X276)</f>
        <v>0</v>
      </c>
      <c r="L277" s="265">
        <f>sumif('Segment RAW Data 25-26'!$B$1:$X$1,$L$3,'Segment RAW Data 25-26'!$B276:$X276)</f>
        <v>0</v>
      </c>
      <c r="M277" s="270"/>
      <c r="N277" s="124"/>
      <c r="O277" s="124">
        <f>VLOOKUP(C277:C876,'Segment RAW Data 25-26'!A276:Y873,25,0)-VLOOKUP(C277:C876,C:D,2,0)</f>
        <v>0</v>
      </c>
    </row>
    <row r="278" hidden="1">
      <c r="A278" s="157"/>
      <c r="B278" s="157"/>
      <c r="C278" s="157" t="s">
        <v>696</v>
      </c>
      <c r="D278" s="124">
        <f t="shared" si="1"/>
        <v>0</v>
      </c>
      <c r="E278" s="265">
        <f>sumif('Segment RAW Data 25-26'!$B$1:$X$1,$E$3,'Segment RAW Data 25-26'!$B277:$X277)</f>
        <v>0</v>
      </c>
      <c r="F278" s="265">
        <f>sumif('Segment RAW Data 25-26'!$B$1:$X$1,$F$3,'Segment RAW Data 25-26'!$B277:$X277)</f>
        <v>0</v>
      </c>
      <c r="G278" s="265">
        <f>sumif('Segment RAW Data 25-26'!$B$1:$X$1,$G$3,'Segment RAW Data 25-26'!$B277:$X277)</f>
        <v>0</v>
      </c>
      <c r="H278" s="265">
        <f>sumif('Segment RAW Data 25-26'!$B$1:$X$1,$H$3,'Segment RAW Data 25-26'!$B277:$X277)</f>
        <v>0</v>
      </c>
      <c r="I278" s="265">
        <f>sumif('Segment RAW Data 25-26'!$B$1:$X$1,$I$3,'Segment RAW Data 25-26'!$B277:$X277)</f>
        <v>0</v>
      </c>
      <c r="J278" s="265">
        <f>sumif('Segment RAW Data 25-26'!$B$1:$X$1,$J$3,'Segment RAW Data 25-26'!$B277:$X277)</f>
        <v>0</v>
      </c>
      <c r="K278" s="265">
        <f>sumif('Segment RAW Data 25-26'!$B$1:$X$1,$K$3,'Segment RAW Data 25-26'!$B277:$X277)</f>
        <v>0</v>
      </c>
      <c r="L278" s="265">
        <f>sumif('Segment RAW Data 25-26'!$B$1:$X$1,$L$3,'Segment RAW Data 25-26'!$B277:$X277)</f>
        <v>0</v>
      </c>
      <c r="M278" s="270"/>
      <c r="N278" s="124"/>
      <c r="O278" s="124">
        <f>VLOOKUP(C278:C877,'Segment RAW Data 25-26'!A277:Y874,25,0)-VLOOKUP(C278:C877,C:D,2,0)</f>
        <v>0</v>
      </c>
    </row>
    <row r="279" hidden="1">
      <c r="A279" s="157" t="s">
        <v>185</v>
      </c>
      <c r="B279" s="157" t="s">
        <v>117</v>
      </c>
      <c r="C279" s="157" t="s">
        <v>120</v>
      </c>
      <c r="D279" s="124">
        <f t="shared" si="1"/>
        <v>7713644.75</v>
      </c>
      <c r="E279" s="265">
        <f>sumif('Segment RAW Data 25-26'!$B$1:$X$1,$E$3,'Segment RAW Data 25-26'!$B278:$X278)</f>
        <v>1087076.73</v>
      </c>
      <c r="F279" s="265">
        <f>sumif('Segment RAW Data 25-26'!$B$1:$X$1,$F$3,'Segment RAW Data 25-26'!$B278:$X278)</f>
        <v>802408.19</v>
      </c>
      <c r="G279" s="265">
        <f>sumif('Segment RAW Data 25-26'!$B$1:$X$1,$G$3,'Segment RAW Data 25-26'!$B278:$X278)</f>
        <v>5153077.16</v>
      </c>
      <c r="H279" s="265">
        <f>sumif('Segment RAW Data 25-26'!$B$1:$X$1,$H$3,'Segment RAW Data 25-26'!$B278:$X278)</f>
        <v>671082.67</v>
      </c>
      <c r="I279" s="265">
        <f>sumif('Segment RAW Data 25-26'!$B$1:$X$1,$I$3,'Segment RAW Data 25-26'!$B278:$X278)</f>
        <v>0</v>
      </c>
      <c r="J279" s="265">
        <f>sumif('Segment RAW Data 25-26'!$B$1:$X$1,$J$3,'Segment RAW Data 25-26'!$B278:$X278)</f>
        <v>0</v>
      </c>
      <c r="K279" s="265">
        <f>sumif('Segment RAW Data 25-26'!$B$1:$X$1,$K$3,'Segment RAW Data 25-26'!$B278:$X278)</f>
        <v>0</v>
      </c>
      <c r="L279" s="265">
        <f>sumif('Segment RAW Data 25-26'!$B$1:$X$1,$L$3,'Segment RAW Data 25-26'!$B278:$X278)</f>
        <v>0</v>
      </c>
      <c r="M279" s="270"/>
      <c r="N279" s="124" t="s">
        <v>975</v>
      </c>
      <c r="O279" s="124">
        <f>VLOOKUP(C279:C878,'Segment RAW Data 25-26'!A278:Y875,25,0)-VLOOKUP(C279:C878,C:D,2,0)</f>
        <v>0</v>
      </c>
    </row>
    <row r="280" hidden="1">
      <c r="A280" s="157" t="s">
        <v>185</v>
      </c>
      <c r="B280" s="157" t="s">
        <v>189</v>
      </c>
      <c r="C280" s="157" t="s">
        <v>697</v>
      </c>
      <c r="D280" s="124">
        <f t="shared" si="1"/>
        <v>46129853.37</v>
      </c>
      <c r="E280" s="265">
        <f>sumif('Segment RAW Data 25-26'!$B$1:$X$1,$E$3,'Segment RAW Data 25-26'!$B279:$X279)</f>
        <v>8528916.1</v>
      </c>
      <c r="F280" s="265">
        <f>sumif('Segment RAW Data 25-26'!$B$1:$X$1,$F$3,'Segment RAW Data 25-26'!$B279:$X279)</f>
        <v>18731645.5</v>
      </c>
      <c r="G280" s="265">
        <f>sumif('Segment RAW Data 25-26'!$B$1:$X$1,$G$3,'Segment RAW Data 25-26'!$B279:$X279)</f>
        <v>11636339.67</v>
      </c>
      <c r="H280" s="265">
        <f>sumif('Segment RAW Data 25-26'!$B$1:$X$1,$H$3,'Segment RAW Data 25-26'!$B279:$X279)</f>
        <v>1476228</v>
      </c>
      <c r="I280" s="265">
        <f>sumif('Segment RAW Data 25-26'!$B$1:$X$1,$I$3,'Segment RAW Data 25-26'!$B279:$X279)</f>
        <v>0</v>
      </c>
      <c r="J280" s="265">
        <f>sumif('Segment RAW Data 25-26'!$B$1:$X$1,$J$3,'Segment RAW Data 25-26'!$B279:$X279)</f>
        <v>3488934.1</v>
      </c>
      <c r="K280" s="265">
        <f>sumif('Segment RAW Data 25-26'!$B$1:$X$1,$K$3,'Segment RAW Data 25-26'!$B279:$X279)</f>
        <v>0</v>
      </c>
      <c r="L280" s="265">
        <f>sumif('Segment RAW Data 25-26'!$B$1:$X$1,$L$3,'Segment RAW Data 25-26'!$B279:$X279)</f>
        <v>2267790</v>
      </c>
      <c r="M280" s="270"/>
      <c r="N280" s="124" t="s">
        <v>975</v>
      </c>
      <c r="O280" s="124">
        <f>VLOOKUP(C280:C879,'Segment RAW Data 25-26'!A279:Y876,25,0)-VLOOKUP(C280:C879,C:D,2,0)</f>
        <v>-0.000000007450580597</v>
      </c>
    </row>
    <row r="281" hidden="1">
      <c r="A281" s="157"/>
      <c r="B281" s="157"/>
      <c r="C281" s="157" t="s">
        <v>698</v>
      </c>
      <c r="D281" s="124">
        <f t="shared" si="1"/>
        <v>0</v>
      </c>
      <c r="E281" s="265">
        <f>sumif('Segment RAW Data 25-26'!$B$1:$X$1,$E$3,'Segment RAW Data 25-26'!$B280:$X280)</f>
        <v>0</v>
      </c>
      <c r="F281" s="265">
        <f>sumif('Segment RAW Data 25-26'!$B$1:$X$1,$F$3,'Segment RAW Data 25-26'!$B280:$X280)</f>
        <v>0</v>
      </c>
      <c r="G281" s="265">
        <f>sumif('Segment RAW Data 25-26'!$B$1:$X$1,$G$3,'Segment RAW Data 25-26'!$B280:$X280)</f>
        <v>0</v>
      </c>
      <c r="H281" s="265">
        <f>sumif('Segment RAW Data 25-26'!$B$1:$X$1,$H$3,'Segment RAW Data 25-26'!$B280:$X280)</f>
        <v>0</v>
      </c>
      <c r="I281" s="265">
        <f>sumif('Segment RAW Data 25-26'!$B$1:$X$1,$I$3,'Segment RAW Data 25-26'!$B280:$X280)</f>
        <v>0</v>
      </c>
      <c r="J281" s="265">
        <f>sumif('Segment RAW Data 25-26'!$B$1:$X$1,$J$3,'Segment RAW Data 25-26'!$B280:$X280)</f>
        <v>0</v>
      </c>
      <c r="K281" s="265">
        <f>sumif('Segment RAW Data 25-26'!$B$1:$X$1,$K$3,'Segment RAW Data 25-26'!$B280:$X280)</f>
        <v>0</v>
      </c>
      <c r="L281" s="265">
        <f>sumif('Segment RAW Data 25-26'!$B$1:$X$1,$L$3,'Segment RAW Data 25-26'!$B280:$X280)</f>
        <v>0</v>
      </c>
      <c r="M281" s="270"/>
      <c r="N281" s="124"/>
      <c r="O281" s="124">
        <f>VLOOKUP(C281:C880,'Segment RAW Data 25-26'!A280:Y877,25,0)-VLOOKUP(C281:C880,C:D,2,0)</f>
        <v>0</v>
      </c>
    </row>
    <row r="282" hidden="1">
      <c r="A282" s="157"/>
      <c r="B282" s="157"/>
      <c r="C282" s="157" t="s">
        <v>699</v>
      </c>
      <c r="D282" s="124">
        <f t="shared" si="1"/>
        <v>0</v>
      </c>
      <c r="E282" s="265">
        <f>sumif('Segment RAW Data 25-26'!$B$1:$X$1,$E$3,'Segment RAW Data 25-26'!$B281:$X281)</f>
        <v>0</v>
      </c>
      <c r="F282" s="265">
        <f>sumif('Segment RAW Data 25-26'!$B$1:$X$1,$F$3,'Segment RAW Data 25-26'!$B281:$X281)</f>
        <v>0</v>
      </c>
      <c r="G282" s="265">
        <f>sumif('Segment RAW Data 25-26'!$B$1:$X$1,$G$3,'Segment RAW Data 25-26'!$B281:$X281)</f>
        <v>0</v>
      </c>
      <c r="H282" s="265">
        <f>sumif('Segment RAW Data 25-26'!$B$1:$X$1,$H$3,'Segment RAW Data 25-26'!$B281:$X281)</f>
        <v>0</v>
      </c>
      <c r="I282" s="265">
        <f>sumif('Segment RAW Data 25-26'!$B$1:$X$1,$I$3,'Segment RAW Data 25-26'!$B281:$X281)</f>
        <v>0</v>
      </c>
      <c r="J282" s="265">
        <f>sumif('Segment RAW Data 25-26'!$B$1:$X$1,$J$3,'Segment RAW Data 25-26'!$B281:$X281)</f>
        <v>0</v>
      </c>
      <c r="K282" s="265">
        <f>sumif('Segment RAW Data 25-26'!$B$1:$X$1,$K$3,'Segment RAW Data 25-26'!$B281:$X281)</f>
        <v>0</v>
      </c>
      <c r="L282" s="265">
        <f>sumif('Segment RAW Data 25-26'!$B$1:$X$1,$L$3,'Segment RAW Data 25-26'!$B281:$X281)</f>
        <v>0</v>
      </c>
      <c r="M282" s="270"/>
      <c r="N282" s="124"/>
      <c r="O282" s="124">
        <f>VLOOKUP(C282:C881,'Segment RAW Data 25-26'!A281:Y878,25,0)-VLOOKUP(C282:C881,C:D,2,0)</f>
        <v>0</v>
      </c>
    </row>
    <row r="283" hidden="1">
      <c r="A283" s="157"/>
      <c r="B283" s="157"/>
      <c r="C283" s="157" t="s">
        <v>700</v>
      </c>
      <c r="D283" s="124">
        <f t="shared" si="1"/>
        <v>0</v>
      </c>
      <c r="E283" s="265">
        <f>sumif('Segment RAW Data 25-26'!$B$1:$X$1,$E$3,'Segment RAW Data 25-26'!$B282:$X282)</f>
        <v>0</v>
      </c>
      <c r="F283" s="265">
        <f>sumif('Segment RAW Data 25-26'!$B$1:$X$1,$F$3,'Segment RAW Data 25-26'!$B282:$X282)</f>
        <v>0</v>
      </c>
      <c r="G283" s="265">
        <f>sumif('Segment RAW Data 25-26'!$B$1:$X$1,$G$3,'Segment RAW Data 25-26'!$B282:$X282)</f>
        <v>0</v>
      </c>
      <c r="H283" s="265">
        <f>sumif('Segment RAW Data 25-26'!$B$1:$X$1,$H$3,'Segment RAW Data 25-26'!$B282:$X282)</f>
        <v>0</v>
      </c>
      <c r="I283" s="265">
        <f>sumif('Segment RAW Data 25-26'!$B$1:$X$1,$I$3,'Segment RAW Data 25-26'!$B282:$X282)</f>
        <v>0</v>
      </c>
      <c r="J283" s="265">
        <f>sumif('Segment RAW Data 25-26'!$B$1:$X$1,$J$3,'Segment RAW Data 25-26'!$B282:$X282)</f>
        <v>0</v>
      </c>
      <c r="K283" s="265">
        <f>sumif('Segment RAW Data 25-26'!$B$1:$X$1,$K$3,'Segment RAW Data 25-26'!$B282:$X282)</f>
        <v>0</v>
      </c>
      <c r="L283" s="265">
        <f>sumif('Segment RAW Data 25-26'!$B$1:$X$1,$L$3,'Segment RAW Data 25-26'!$B282:$X282)</f>
        <v>0</v>
      </c>
      <c r="M283" s="270"/>
      <c r="N283" s="124"/>
      <c r="O283" s="124">
        <f>VLOOKUP(C283:C882,'Segment RAW Data 25-26'!A282:Y879,25,0)-VLOOKUP(C283:C882,C:D,2,0)</f>
        <v>0</v>
      </c>
    </row>
    <row r="284" hidden="1">
      <c r="A284" s="157"/>
      <c r="B284" s="157"/>
      <c r="C284" s="157" t="s">
        <v>701</v>
      </c>
      <c r="D284" s="124">
        <f t="shared" si="1"/>
        <v>0</v>
      </c>
      <c r="E284" s="265">
        <f>sumif('Segment RAW Data 25-26'!$B$1:$X$1,$E$3,'Segment RAW Data 25-26'!$B283:$X283)</f>
        <v>0</v>
      </c>
      <c r="F284" s="265">
        <f>sumif('Segment RAW Data 25-26'!$B$1:$X$1,$F$3,'Segment RAW Data 25-26'!$B283:$X283)</f>
        <v>0</v>
      </c>
      <c r="G284" s="265">
        <f>sumif('Segment RAW Data 25-26'!$B$1:$X$1,$G$3,'Segment RAW Data 25-26'!$B283:$X283)</f>
        <v>0</v>
      </c>
      <c r="H284" s="265">
        <f>sumif('Segment RAW Data 25-26'!$B$1:$X$1,$H$3,'Segment RAW Data 25-26'!$B283:$X283)</f>
        <v>0</v>
      </c>
      <c r="I284" s="265">
        <f>sumif('Segment RAW Data 25-26'!$B$1:$X$1,$I$3,'Segment RAW Data 25-26'!$B283:$X283)</f>
        <v>0</v>
      </c>
      <c r="J284" s="265">
        <f>sumif('Segment RAW Data 25-26'!$B$1:$X$1,$J$3,'Segment RAW Data 25-26'!$B283:$X283)</f>
        <v>0</v>
      </c>
      <c r="K284" s="265">
        <f>sumif('Segment RAW Data 25-26'!$B$1:$X$1,$K$3,'Segment RAW Data 25-26'!$B283:$X283)</f>
        <v>0</v>
      </c>
      <c r="L284" s="265">
        <f>sumif('Segment RAW Data 25-26'!$B$1:$X$1,$L$3,'Segment RAW Data 25-26'!$B283:$X283)</f>
        <v>0</v>
      </c>
      <c r="M284" s="270"/>
      <c r="N284" s="124"/>
      <c r="O284" s="124">
        <f>VLOOKUP(C284:C883,'Segment RAW Data 25-26'!A283:Y880,25,0)-VLOOKUP(C284:C883,C:D,2,0)</f>
        <v>0</v>
      </c>
    </row>
    <row r="285" hidden="1">
      <c r="A285" s="157" t="s">
        <v>53</v>
      </c>
      <c r="B285" s="157" t="s">
        <v>61</v>
      </c>
      <c r="C285" s="157" t="s">
        <v>373</v>
      </c>
      <c r="D285" s="124">
        <f t="shared" si="1"/>
        <v>477497.83</v>
      </c>
      <c r="E285" s="265">
        <f>sumif('Segment RAW Data 25-26'!$B$1:$X$1,$E$3,'Segment RAW Data 25-26'!$B284:$X284)</f>
        <v>240788.1</v>
      </c>
      <c r="F285" s="265">
        <f>sumif('Segment RAW Data 25-26'!$B$1:$X$1,$F$3,'Segment RAW Data 25-26'!$B284:$X284)</f>
        <v>4316.85</v>
      </c>
      <c r="G285" s="265">
        <f>sumif('Segment RAW Data 25-26'!$B$1:$X$1,$G$3,'Segment RAW Data 25-26'!$B284:$X284)</f>
        <v>181089.78</v>
      </c>
      <c r="H285" s="265">
        <f>sumif('Segment RAW Data 25-26'!$B$1:$X$1,$H$3,'Segment RAW Data 25-26'!$B284:$X284)</f>
        <v>6353.1</v>
      </c>
      <c r="I285" s="265">
        <f>sumif('Segment RAW Data 25-26'!$B$1:$X$1,$I$3,'Segment RAW Data 25-26'!$B284:$X284)</f>
        <v>0</v>
      </c>
      <c r="J285" s="265">
        <f>sumif('Segment RAW Data 25-26'!$B$1:$X$1,$J$3,'Segment RAW Data 25-26'!$B284:$X284)</f>
        <v>0</v>
      </c>
      <c r="K285" s="265">
        <f>sumif('Segment RAW Data 25-26'!$B$1:$X$1,$K$3,'Segment RAW Data 25-26'!$B284:$X284)</f>
        <v>0</v>
      </c>
      <c r="L285" s="265">
        <f>sumif('Segment RAW Data 25-26'!$B$1:$X$1,$L$3,'Segment RAW Data 25-26'!$B284:$X284)</f>
        <v>44950</v>
      </c>
      <c r="M285" s="270">
        <v>45875.0</v>
      </c>
      <c r="N285" s="124" t="s">
        <v>973</v>
      </c>
      <c r="O285" s="124">
        <f>VLOOKUP(C285:C884,'Segment RAW Data 25-26'!A284:Y881,25,0)-VLOOKUP(C285:C884,C:D,2,0)</f>
        <v>0</v>
      </c>
    </row>
    <row r="286" hidden="1">
      <c r="A286" s="157" t="s">
        <v>53</v>
      </c>
      <c r="B286" s="157" t="s">
        <v>61</v>
      </c>
      <c r="C286" s="157" t="s">
        <v>375</v>
      </c>
      <c r="D286" s="124">
        <f t="shared" si="1"/>
        <v>1043511.67</v>
      </c>
      <c r="E286" s="265">
        <f>sumif('Segment RAW Data 25-26'!$B$1:$X$1,$E$3,'Segment RAW Data 25-26'!$B285:$X285)</f>
        <v>109712.75</v>
      </c>
      <c r="F286" s="265">
        <f>sumif('Segment RAW Data 25-26'!$B$1:$X$1,$F$3,'Segment RAW Data 25-26'!$B285:$X285)</f>
        <v>0</v>
      </c>
      <c r="G286" s="265">
        <f>sumif('Segment RAW Data 25-26'!$B$1:$X$1,$G$3,'Segment RAW Data 25-26'!$B285:$X285)</f>
        <v>727136.92</v>
      </c>
      <c r="H286" s="265">
        <f>sumif('Segment RAW Data 25-26'!$B$1:$X$1,$H$3,'Segment RAW Data 25-26'!$B285:$X285)</f>
        <v>26862</v>
      </c>
      <c r="I286" s="265">
        <f>sumif('Segment RAW Data 25-26'!$B$1:$X$1,$I$3,'Segment RAW Data 25-26'!$B285:$X285)</f>
        <v>0</v>
      </c>
      <c r="J286" s="265">
        <f>sumif('Segment RAW Data 25-26'!$B$1:$X$1,$J$3,'Segment RAW Data 25-26'!$B285:$X285)</f>
        <v>0</v>
      </c>
      <c r="K286" s="265">
        <f>sumif('Segment RAW Data 25-26'!$B$1:$X$1,$K$3,'Segment RAW Data 25-26'!$B285:$X285)</f>
        <v>0</v>
      </c>
      <c r="L286" s="265">
        <f>sumif('Segment RAW Data 25-26'!$B$1:$X$1,$L$3,'Segment RAW Data 25-26'!$B285:$X285)</f>
        <v>179800</v>
      </c>
      <c r="M286" s="270">
        <v>45930.0</v>
      </c>
      <c r="N286" s="124" t="s">
        <v>973</v>
      </c>
      <c r="O286" s="124">
        <f>VLOOKUP(C286:C885,'Segment RAW Data 25-26'!A285:Y882,25,0)-VLOOKUP(C286:C885,C:D,2,0)</f>
        <v>0</v>
      </c>
    </row>
    <row r="287" hidden="1">
      <c r="A287" s="157" t="s">
        <v>23</v>
      </c>
      <c r="B287" s="157" t="s">
        <v>27</v>
      </c>
      <c r="C287" s="157" t="s">
        <v>702</v>
      </c>
      <c r="D287" s="124">
        <f t="shared" si="1"/>
        <v>8148002.99</v>
      </c>
      <c r="E287" s="265">
        <f>sumif('Segment RAW Data 25-26'!$B$1:$X$1,$E$3,'Segment RAW Data 25-26'!$B286:$X286)</f>
        <v>961863.98</v>
      </c>
      <c r="F287" s="265">
        <f>sumif('Segment RAW Data 25-26'!$B$1:$X$1,$F$3,'Segment RAW Data 25-26'!$B286:$X286)</f>
        <v>108141</v>
      </c>
      <c r="G287" s="265">
        <f>sumif('Segment RAW Data 25-26'!$B$1:$X$1,$G$3,'Segment RAW Data 25-26'!$B286:$X286)</f>
        <v>4929715.51</v>
      </c>
      <c r="H287" s="265">
        <f>sumif('Segment RAW Data 25-26'!$B$1:$X$1,$H$3,'Segment RAW Data 25-26'!$B286:$X286)</f>
        <v>54120</v>
      </c>
      <c r="I287" s="265">
        <f>sumif('Segment RAW Data 25-26'!$B$1:$X$1,$I$3,'Segment RAW Data 25-26'!$B286:$X286)</f>
        <v>0</v>
      </c>
      <c r="J287" s="265">
        <f>sumif('Segment RAW Data 25-26'!$B$1:$X$1,$J$3,'Segment RAW Data 25-26'!$B286:$X286)</f>
        <v>0</v>
      </c>
      <c r="K287" s="265">
        <f>sumif('Segment RAW Data 25-26'!$B$1:$X$1,$K$3,'Segment RAW Data 25-26'!$B286:$X286)</f>
        <v>0</v>
      </c>
      <c r="L287" s="265">
        <f>sumif('Segment RAW Data 25-26'!$B$1:$X$1,$L$3,'Segment RAW Data 25-26'!$B286:$X286)</f>
        <v>2094162.5</v>
      </c>
      <c r="M287" s="270"/>
      <c r="N287" s="124" t="s">
        <v>975</v>
      </c>
      <c r="O287" s="124">
        <f>VLOOKUP(C287:C886,'Segment RAW Data 25-26'!A286:Y883,25,0)-VLOOKUP(C287:C886,C:D,2,0)</f>
        <v>-0.009999999776</v>
      </c>
    </row>
    <row r="288" hidden="1">
      <c r="A288" s="157"/>
      <c r="B288" s="157"/>
      <c r="C288" s="157" t="s">
        <v>703</v>
      </c>
      <c r="D288" s="124">
        <f t="shared" si="1"/>
        <v>0</v>
      </c>
      <c r="E288" s="265">
        <f>sumif('Segment RAW Data 25-26'!$B$1:$X$1,$E$3,'Segment RAW Data 25-26'!$B287:$X287)</f>
        <v>0</v>
      </c>
      <c r="F288" s="265">
        <f>sumif('Segment RAW Data 25-26'!$B$1:$X$1,$F$3,'Segment RAW Data 25-26'!$B287:$X287)</f>
        <v>0</v>
      </c>
      <c r="G288" s="265">
        <f>sumif('Segment RAW Data 25-26'!$B$1:$X$1,$G$3,'Segment RAW Data 25-26'!$B287:$X287)</f>
        <v>0</v>
      </c>
      <c r="H288" s="265">
        <f>sumif('Segment RAW Data 25-26'!$B$1:$X$1,$H$3,'Segment RAW Data 25-26'!$B287:$X287)</f>
        <v>0</v>
      </c>
      <c r="I288" s="265">
        <f>sumif('Segment RAW Data 25-26'!$B$1:$X$1,$I$3,'Segment RAW Data 25-26'!$B287:$X287)</f>
        <v>0</v>
      </c>
      <c r="J288" s="265">
        <f>sumif('Segment RAW Data 25-26'!$B$1:$X$1,$J$3,'Segment RAW Data 25-26'!$B287:$X287)</f>
        <v>0</v>
      </c>
      <c r="K288" s="265">
        <f>sumif('Segment RAW Data 25-26'!$B$1:$X$1,$K$3,'Segment RAW Data 25-26'!$B287:$X287)</f>
        <v>0</v>
      </c>
      <c r="L288" s="265">
        <f>sumif('Segment RAW Data 25-26'!$B$1:$X$1,$L$3,'Segment RAW Data 25-26'!$B287:$X287)</f>
        <v>0</v>
      </c>
      <c r="M288" s="270"/>
      <c r="N288" s="124"/>
      <c r="O288" s="124">
        <f>VLOOKUP(C288:C887,'Segment RAW Data 25-26'!A287:Y884,25,0)-VLOOKUP(C288:C887,C:D,2,0)</f>
        <v>0</v>
      </c>
    </row>
    <row r="289" hidden="1">
      <c r="A289" s="157" t="s">
        <v>126</v>
      </c>
      <c r="B289" s="157" t="s">
        <v>130</v>
      </c>
      <c r="C289" s="157" t="s">
        <v>704</v>
      </c>
      <c r="D289" s="124">
        <f t="shared" si="1"/>
        <v>1970484.11</v>
      </c>
      <c r="E289" s="265">
        <f>sumif('Segment RAW Data 25-26'!$B$1:$X$1,$E$3,'Segment RAW Data 25-26'!$B288:$X288)</f>
        <v>1040719.01</v>
      </c>
      <c r="F289" s="265">
        <f>sumif('Segment RAW Data 25-26'!$B$1:$X$1,$F$3,'Segment RAW Data 25-26'!$B288:$X288)</f>
        <v>11094</v>
      </c>
      <c r="G289" s="265">
        <f>sumif('Segment RAW Data 25-26'!$B$1:$X$1,$G$3,'Segment RAW Data 25-26'!$B288:$X288)</f>
        <v>563495.1</v>
      </c>
      <c r="H289" s="265">
        <f>sumif('Segment RAW Data 25-26'!$B$1:$X$1,$H$3,'Segment RAW Data 25-26'!$B288:$X288)</f>
        <v>0</v>
      </c>
      <c r="I289" s="265">
        <f>sumif('Segment RAW Data 25-26'!$B$1:$X$1,$I$3,'Segment RAW Data 25-26'!$B288:$X288)</f>
        <v>0</v>
      </c>
      <c r="J289" s="265">
        <f>sumif('Segment RAW Data 25-26'!$B$1:$X$1,$J$3,'Segment RAW Data 25-26'!$B288:$X288)</f>
        <v>0</v>
      </c>
      <c r="K289" s="265">
        <f>sumif('Segment RAW Data 25-26'!$B$1:$X$1,$K$3,'Segment RAW Data 25-26'!$B288:$X288)</f>
        <v>0</v>
      </c>
      <c r="L289" s="265">
        <f>sumif('Segment RAW Data 25-26'!$B$1:$X$1,$L$3,'Segment RAW Data 25-26'!$B288:$X288)</f>
        <v>355176</v>
      </c>
      <c r="M289" s="270">
        <v>45900.0</v>
      </c>
      <c r="N289" s="124" t="s">
        <v>973</v>
      </c>
      <c r="O289" s="124">
        <f>VLOOKUP(C289:C888,'Segment RAW Data 25-26'!A288:Y885,25,0)-VLOOKUP(C289:C888,C:D,2,0)</f>
        <v>0.0000000002328306437</v>
      </c>
    </row>
    <row r="290" hidden="1">
      <c r="A290" s="157"/>
      <c r="B290" s="157"/>
      <c r="C290" s="157" t="s">
        <v>705</v>
      </c>
      <c r="D290" s="124">
        <f t="shared" si="1"/>
        <v>0</v>
      </c>
      <c r="E290" s="265">
        <f>sumif('Segment RAW Data 25-26'!$B$1:$X$1,$E$3,'Segment RAW Data 25-26'!$B289:$X289)</f>
        <v>0</v>
      </c>
      <c r="F290" s="265">
        <f>sumif('Segment RAW Data 25-26'!$B$1:$X$1,$F$3,'Segment RAW Data 25-26'!$B289:$X289)</f>
        <v>0</v>
      </c>
      <c r="G290" s="265">
        <f>sumif('Segment RAW Data 25-26'!$B$1:$X$1,$G$3,'Segment RAW Data 25-26'!$B289:$X289)</f>
        <v>0</v>
      </c>
      <c r="H290" s="265">
        <f>sumif('Segment RAW Data 25-26'!$B$1:$X$1,$H$3,'Segment RAW Data 25-26'!$B289:$X289)</f>
        <v>0</v>
      </c>
      <c r="I290" s="265">
        <f>sumif('Segment RAW Data 25-26'!$B$1:$X$1,$I$3,'Segment RAW Data 25-26'!$B289:$X289)</f>
        <v>0</v>
      </c>
      <c r="J290" s="265">
        <f>sumif('Segment RAW Data 25-26'!$B$1:$X$1,$J$3,'Segment RAW Data 25-26'!$B289:$X289)</f>
        <v>0</v>
      </c>
      <c r="K290" s="265">
        <f>sumif('Segment RAW Data 25-26'!$B$1:$X$1,$K$3,'Segment RAW Data 25-26'!$B289:$X289)</f>
        <v>0</v>
      </c>
      <c r="L290" s="265">
        <f>sumif('Segment RAW Data 25-26'!$B$1:$X$1,$L$3,'Segment RAW Data 25-26'!$B289:$X289)</f>
        <v>0</v>
      </c>
      <c r="M290" s="270"/>
      <c r="N290" s="124"/>
      <c r="O290" s="124">
        <f>VLOOKUP(C290:C889,'Segment RAW Data 25-26'!A289:Y886,25,0)-VLOOKUP(C290:C889,C:D,2,0)</f>
        <v>0</v>
      </c>
    </row>
    <row r="291" hidden="1">
      <c r="A291" s="157"/>
      <c r="B291" s="157"/>
      <c r="C291" s="157" t="s">
        <v>706</v>
      </c>
      <c r="D291" s="124">
        <f t="shared" si="1"/>
        <v>0</v>
      </c>
      <c r="E291" s="265">
        <f>sumif('Segment RAW Data 25-26'!$B$1:$X$1,$E$3,'Segment RAW Data 25-26'!$B290:$X290)</f>
        <v>0</v>
      </c>
      <c r="F291" s="265">
        <f>sumif('Segment RAW Data 25-26'!$B$1:$X$1,$F$3,'Segment RAW Data 25-26'!$B290:$X290)</f>
        <v>0</v>
      </c>
      <c r="G291" s="265">
        <f>sumif('Segment RAW Data 25-26'!$B$1:$X$1,$G$3,'Segment RAW Data 25-26'!$B290:$X290)</f>
        <v>0</v>
      </c>
      <c r="H291" s="265">
        <f>sumif('Segment RAW Data 25-26'!$B$1:$X$1,$H$3,'Segment RAW Data 25-26'!$B290:$X290)</f>
        <v>0</v>
      </c>
      <c r="I291" s="265">
        <f>sumif('Segment RAW Data 25-26'!$B$1:$X$1,$I$3,'Segment RAW Data 25-26'!$B290:$X290)</f>
        <v>0</v>
      </c>
      <c r="J291" s="265">
        <f>sumif('Segment RAW Data 25-26'!$B$1:$X$1,$J$3,'Segment RAW Data 25-26'!$B290:$X290)</f>
        <v>0</v>
      </c>
      <c r="K291" s="265">
        <f>sumif('Segment RAW Data 25-26'!$B$1:$X$1,$K$3,'Segment RAW Data 25-26'!$B290:$X290)</f>
        <v>0</v>
      </c>
      <c r="L291" s="265">
        <f>sumif('Segment RAW Data 25-26'!$B$1:$X$1,$L$3,'Segment RAW Data 25-26'!$B290:$X290)</f>
        <v>0</v>
      </c>
      <c r="M291" s="270"/>
      <c r="N291" s="124"/>
      <c r="O291" s="124">
        <f>VLOOKUP(C291:C890,'Segment RAW Data 25-26'!A290:Y887,25,0)-VLOOKUP(C291:C890,C:D,2,0)</f>
        <v>0</v>
      </c>
    </row>
    <row r="292" hidden="1">
      <c r="A292" s="157"/>
      <c r="B292" s="157"/>
      <c r="C292" s="157" t="s">
        <v>707</v>
      </c>
      <c r="D292" s="124">
        <f t="shared" si="1"/>
        <v>0</v>
      </c>
      <c r="E292" s="265">
        <f>sumif('Segment RAW Data 25-26'!$B$1:$X$1,$E$3,'Segment RAW Data 25-26'!$B291:$X291)</f>
        <v>0</v>
      </c>
      <c r="F292" s="265">
        <f>sumif('Segment RAW Data 25-26'!$B$1:$X$1,$F$3,'Segment RAW Data 25-26'!$B291:$X291)</f>
        <v>0</v>
      </c>
      <c r="G292" s="265">
        <f>sumif('Segment RAW Data 25-26'!$B$1:$X$1,$G$3,'Segment RAW Data 25-26'!$B291:$X291)</f>
        <v>0</v>
      </c>
      <c r="H292" s="265">
        <f>sumif('Segment RAW Data 25-26'!$B$1:$X$1,$H$3,'Segment RAW Data 25-26'!$B291:$X291)</f>
        <v>0</v>
      </c>
      <c r="I292" s="265">
        <f>sumif('Segment RAW Data 25-26'!$B$1:$X$1,$I$3,'Segment RAW Data 25-26'!$B291:$X291)</f>
        <v>0</v>
      </c>
      <c r="J292" s="265">
        <f>sumif('Segment RAW Data 25-26'!$B$1:$X$1,$J$3,'Segment RAW Data 25-26'!$B291:$X291)</f>
        <v>0</v>
      </c>
      <c r="K292" s="265">
        <f>sumif('Segment RAW Data 25-26'!$B$1:$X$1,$K$3,'Segment RAW Data 25-26'!$B291:$X291)</f>
        <v>0</v>
      </c>
      <c r="L292" s="265">
        <f>sumif('Segment RAW Data 25-26'!$B$1:$X$1,$L$3,'Segment RAW Data 25-26'!$B291:$X291)</f>
        <v>0</v>
      </c>
      <c r="M292" s="270"/>
      <c r="N292" s="124"/>
      <c r="O292" s="124">
        <f>VLOOKUP(C292:C891,'Segment RAW Data 25-26'!A291:Y888,25,0)-VLOOKUP(C292:C891,C:D,2,0)</f>
        <v>0</v>
      </c>
    </row>
    <row r="293" hidden="1">
      <c r="A293" s="157"/>
      <c r="B293" s="157"/>
      <c r="C293" s="157" t="s">
        <v>708</v>
      </c>
      <c r="D293" s="124">
        <f t="shared" si="1"/>
        <v>0</v>
      </c>
      <c r="E293" s="265">
        <f>sumif('Segment RAW Data 25-26'!$B$1:$X$1,$E$3,'Segment RAW Data 25-26'!$B292:$X292)</f>
        <v>0</v>
      </c>
      <c r="F293" s="265">
        <f>sumif('Segment RAW Data 25-26'!$B$1:$X$1,$F$3,'Segment RAW Data 25-26'!$B292:$X292)</f>
        <v>0</v>
      </c>
      <c r="G293" s="265">
        <f>sumif('Segment RAW Data 25-26'!$B$1:$X$1,$G$3,'Segment RAW Data 25-26'!$B292:$X292)</f>
        <v>0</v>
      </c>
      <c r="H293" s="265">
        <f>sumif('Segment RAW Data 25-26'!$B$1:$X$1,$H$3,'Segment RAW Data 25-26'!$B292:$X292)</f>
        <v>0</v>
      </c>
      <c r="I293" s="265">
        <f>sumif('Segment RAW Data 25-26'!$B$1:$X$1,$I$3,'Segment RAW Data 25-26'!$B292:$X292)</f>
        <v>0</v>
      </c>
      <c r="J293" s="265">
        <f>sumif('Segment RAW Data 25-26'!$B$1:$X$1,$J$3,'Segment RAW Data 25-26'!$B292:$X292)</f>
        <v>0</v>
      </c>
      <c r="K293" s="265">
        <f>sumif('Segment RAW Data 25-26'!$B$1:$X$1,$K$3,'Segment RAW Data 25-26'!$B292:$X292)</f>
        <v>0</v>
      </c>
      <c r="L293" s="265">
        <f>sumif('Segment RAW Data 25-26'!$B$1:$X$1,$L$3,'Segment RAW Data 25-26'!$B292:$X292)</f>
        <v>0</v>
      </c>
      <c r="M293" s="270"/>
      <c r="N293" s="124"/>
      <c r="O293" s="124">
        <f>VLOOKUP(C293:C892,'Segment RAW Data 25-26'!A292:Y889,25,0)-VLOOKUP(C293:C892,C:D,2,0)</f>
        <v>0</v>
      </c>
    </row>
    <row r="294" hidden="1">
      <c r="A294" s="157"/>
      <c r="B294" s="157"/>
      <c r="C294" s="157" t="s">
        <v>709</v>
      </c>
      <c r="D294" s="124">
        <f t="shared" si="1"/>
        <v>0</v>
      </c>
      <c r="E294" s="265">
        <f>sumif('Segment RAW Data 25-26'!$B$1:$X$1,$E$3,'Segment RAW Data 25-26'!$B293:$X293)</f>
        <v>0</v>
      </c>
      <c r="F294" s="265">
        <f>sumif('Segment RAW Data 25-26'!$B$1:$X$1,$F$3,'Segment RAW Data 25-26'!$B293:$X293)</f>
        <v>0</v>
      </c>
      <c r="G294" s="265">
        <f>sumif('Segment RAW Data 25-26'!$B$1:$X$1,$G$3,'Segment RAW Data 25-26'!$B293:$X293)</f>
        <v>0</v>
      </c>
      <c r="H294" s="265">
        <f>sumif('Segment RAW Data 25-26'!$B$1:$X$1,$H$3,'Segment RAW Data 25-26'!$B293:$X293)</f>
        <v>0</v>
      </c>
      <c r="I294" s="265">
        <f>sumif('Segment RAW Data 25-26'!$B$1:$X$1,$I$3,'Segment RAW Data 25-26'!$B293:$X293)</f>
        <v>0</v>
      </c>
      <c r="J294" s="265">
        <f>sumif('Segment RAW Data 25-26'!$B$1:$X$1,$J$3,'Segment RAW Data 25-26'!$B293:$X293)</f>
        <v>0</v>
      </c>
      <c r="K294" s="265">
        <f>sumif('Segment RAW Data 25-26'!$B$1:$X$1,$K$3,'Segment RAW Data 25-26'!$B293:$X293)</f>
        <v>0</v>
      </c>
      <c r="L294" s="265">
        <f>sumif('Segment RAW Data 25-26'!$B$1:$X$1,$L$3,'Segment RAW Data 25-26'!$B293:$X293)</f>
        <v>0</v>
      </c>
      <c r="M294" s="270"/>
      <c r="N294" s="124"/>
      <c r="O294" s="124">
        <f>VLOOKUP(C294:C893,'Segment RAW Data 25-26'!A293:Y890,25,0)-VLOOKUP(C294:C893,C:D,2,0)</f>
        <v>0</v>
      </c>
    </row>
    <row r="295" hidden="1">
      <c r="A295" s="157"/>
      <c r="B295" s="157"/>
      <c r="C295" s="157" t="s">
        <v>710</v>
      </c>
      <c r="D295" s="124">
        <f t="shared" si="1"/>
        <v>0</v>
      </c>
      <c r="E295" s="265">
        <f>sumif('Segment RAW Data 25-26'!$B$1:$X$1,$E$3,'Segment RAW Data 25-26'!$B294:$X294)</f>
        <v>0</v>
      </c>
      <c r="F295" s="265">
        <f>sumif('Segment RAW Data 25-26'!$B$1:$X$1,$F$3,'Segment RAW Data 25-26'!$B294:$X294)</f>
        <v>0</v>
      </c>
      <c r="G295" s="265">
        <f>sumif('Segment RAW Data 25-26'!$B$1:$X$1,$G$3,'Segment RAW Data 25-26'!$B294:$X294)</f>
        <v>0</v>
      </c>
      <c r="H295" s="265">
        <f>sumif('Segment RAW Data 25-26'!$B$1:$X$1,$H$3,'Segment RAW Data 25-26'!$B294:$X294)</f>
        <v>0</v>
      </c>
      <c r="I295" s="265">
        <f>sumif('Segment RAW Data 25-26'!$B$1:$X$1,$I$3,'Segment RAW Data 25-26'!$B294:$X294)</f>
        <v>0</v>
      </c>
      <c r="J295" s="265">
        <f>sumif('Segment RAW Data 25-26'!$B$1:$X$1,$J$3,'Segment RAW Data 25-26'!$B294:$X294)</f>
        <v>0</v>
      </c>
      <c r="K295" s="265">
        <f>sumif('Segment RAW Data 25-26'!$B$1:$X$1,$K$3,'Segment RAW Data 25-26'!$B294:$X294)</f>
        <v>0</v>
      </c>
      <c r="L295" s="265">
        <f>sumif('Segment RAW Data 25-26'!$B$1:$X$1,$L$3,'Segment RAW Data 25-26'!$B294:$X294)</f>
        <v>0</v>
      </c>
      <c r="M295" s="270"/>
      <c r="N295" s="124"/>
      <c r="O295" s="124">
        <f>VLOOKUP(C295:C894,'Segment RAW Data 25-26'!A294:Y891,25,0)-VLOOKUP(C295:C894,C:D,2,0)</f>
        <v>0</v>
      </c>
    </row>
    <row r="296" hidden="1">
      <c r="A296" s="157" t="s">
        <v>53</v>
      </c>
      <c r="B296" s="157" t="s">
        <v>56</v>
      </c>
      <c r="C296" s="157" t="s">
        <v>364</v>
      </c>
      <c r="D296" s="124">
        <f t="shared" si="1"/>
        <v>19908</v>
      </c>
      <c r="E296" s="265">
        <f>sumif('Segment RAW Data 25-26'!$B$1:$X$1,$E$3,'Segment RAW Data 25-26'!$B295:$X295)</f>
        <v>0</v>
      </c>
      <c r="F296" s="265">
        <f>sumif('Segment RAW Data 25-26'!$B$1:$X$1,$F$3,'Segment RAW Data 25-26'!$B295:$X295)</f>
        <v>0</v>
      </c>
      <c r="G296" s="265">
        <f>sumif('Segment RAW Data 25-26'!$B$1:$X$1,$G$3,'Segment RAW Data 25-26'!$B295:$X295)</f>
        <v>19908</v>
      </c>
      <c r="H296" s="265">
        <f>sumif('Segment RAW Data 25-26'!$B$1:$X$1,$H$3,'Segment RAW Data 25-26'!$B295:$X295)</f>
        <v>0</v>
      </c>
      <c r="I296" s="265">
        <f>sumif('Segment RAW Data 25-26'!$B$1:$X$1,$I$3,'Segment RAW Data 25-26'!$B295:$X295)</f>
        <v>0</v>
      </c>
      <c r="J296" s="265">
        <f>sumif('Segment RAW Data 25-26'!$B$1:$X$1,$J$3,'Segment RAW Data 25-26'!$B295:$X295)</f>
        <v>0</v>
      </c>
      <c r="K296" s="265">
        <f>sumif('Segment RAW Data 25-26'!$B$1:$X$1,$K$3,'Segment RAW Data 25-26'!$B295:$X295)</f>
        <v>0</v>
      </c>
      <c r="L296" s="265">
        <f>sumif('Segment RAW Data 25-26'!$B$1:$X$1,$L$3,'Segment RAW Data 25-26'!$B295:$X295)</f>
        <v>0</v>
      </c>
      <c r="M296" s="270">
        <v>45853.0</v>
      </c>
      <c r="N296" s="124" t="s">
        <v>973</v>
      </c>
      <c r="O296" s="124">
        <f>VLOOKUP(C296:C895,'Segment RAW Data 25-26'!A295:Y892,25,0)-VLOOKUP(C296:C895,C:D,2,0)</f>
        <v>0</v>
      </c>
    </row>
    <row r="297" hidden="1">
      <c r="A297" s="157"/>
      <c r="B297" s="157"/>
      <c r="C297" s="157" t="s">
        <v>711</v>
      </c>
      <c r="D297" s="124">
        <f t="shared" si="1"/>
        <v>0</v>
      </c>
      <c r="E297" s="265">
        <f>sumif('Segment RAW Data 25-26'!$B$1:$X$1,$E$3,'Segment RAW Data 25-26'!$B296:$X296)</f>
        <v>0</v>
      </c>
      <c r="F297" s="265">
        <f>sumif('Segment RAW Data 25-26'!$B$1:$X$1,$F$3,'Segment RAW Data 25-26'!$B296:$X296)</f>
        <v>0</v>
      </c>
      <c r="G297" s="265">
        <f>sumif('Segment RAW Data 25-26'!$B$1:$X$1,$G$3,'Segment RAW Data 25-26'!$B296:$X296)</f>
        <v>0</v>
      </c>
      <c r="H297" s="265">
        <f>sumif('Segment RAW Data 25-26'!$B$1:$X$1,$H$3,'Segment RAW Data 25-26'!$B296:$X296)</f>
        <v>0</v>
      </c>
      <c r="I297" s="265">
        <f>sumif('Segment RAW Data 25-26'!$B$1:$X$1,$I$3,'Segment RAW Data 25-26'!$B296:$X296)</f>
        <v>0</v>
      </c>
      <c r="J297" s="265">
        <f>sumif('Segment RAW Data 25-26'!$B$1:$X$1,$J$3,'Segment RAW Data 25-26'!$B296:$X296)</f>
        <v>0</v>
      </c>
      <c r="K297" s="265">
        <f>sumif('Segment RAW Data 25-26'!$B$1:$X$1,$K$3,'Segment RAW Data 25-26'!$B296:$X296)</f>
        <v>0</v>
      </c>
      <c r="L297" s="265">
        <f>sumif('Segment RAW Data 25-26'!$B$1:$X$1,$L$3,'Segment RAW Data 25-26'!$B296:$X296)</f>
        <v>0</v>
      </c>
      <c r="M297" s="270"/>
      <c r="N297" s="124"/>
      <c r="O297" s="124">
        <f>VLOOKUP(C297:C896,'Segment RAW Data 25-26'!A296:Y893,25,0)-VLOOKUP(C297:C896,C:D,2,0)</f>
        <v>0</v>
      </c>
    </row>
    <row r="298" hidden="1">
      <c r="A298" s="157"/>
      <c r="B298" s="157"/>
      <c r="C298" s="157" t="s">
        <v>712</v>
      </c>
      <c r="D298" s="124">
        <f t="shared" si="1"/>
        <v>0</v>
      </c>
      <c r="E298" s="265">
        <f>sumif('Segment RAW Data 25-26'!$B$1:$X$1,$E$3,'Segment RAW Data 25-26'!$B297:$X297)</f>
        <v>0</v>
      </c>
      <c r="F298" s="265">
        <f>sumif('Segment RAW Data 25-26'!$B$1:$X$1,$F$3,'Segment RAW Data 25-26'!$B297:$X297)</f>
        <v>0</v>
      </c>
      <c r="G298" s="265">
        <f>sumif('Segment RAW Data 25-26'!$B$1:$X$1,$G$3,'Segment RAW Data 25-26'!$B297:$X297)</f>
        <v>0</v>
      </c>
      <c r="H298" s="265">
        <f>sumif('Segment RAW Data 25-26'!$B$1:$X$1,$H$3,'Segment RAW Data 25-26'!$B297:$X297)</f>
        <v>0</v>
      </c>
      <c r="I298" s="265">
        <f>sumif('Segment RAW Data 25-26'!$B$1:$X$1,$I$3,'Segment RAW Data 25-26'!$B297:$X297)</f>
        <v>0</v>
      </c>
      <c r="J298" s="265">
        <f>sumif('Segment RAW Data 25-26'!$B$1:$X$1,$J$3,'Segment RAW Data 25-26'!$B297:$X297)</f>
        <v>0</v>
      </c>
      <c r="K298" s="265">
        <f>sumif('Segment RAW Data 25-26'!$B$1:$X$1,$K$3,'Segment RAW Data 25-26'!$B297:$X297)</f>
        <v>0</v>
      </c>
      <c r="L298" s="265">
        <f>sumif('Segment RAW Data 25-26'!$B$1:$X$1,$L$3,'Segment RAW Data 25-26'!$B297:$X297)</f>
        <v>0</v>
      </c>
      <c r="M298" s="270"/>
      <c r="N298" s="124"/>
      <c r="O298" s="124">
        <f>VLOOKUP(C298:C897,'Segment RAW Data 25-26'!A297:Y894,25,0)-VLOOKUP(C298:C897,C:D,2,0)</f>
        <v>0</v>
      </c>
    </row>
    <row r="299" hidden="1">
      <c r="A299" s="157" t="s">
        <v>185</v>
      </c>
      <c r="B299" s="157" t="s">
        <v>215</v>
      </c>
      <c r="C299" s="157" t="s">
        <v>713</v>
      </c>
      <c r="D299" s="124">
        <f t="shared" si="1"/>
        <v>13289263.13</v>
      </c>
      <c r="E299" s="265">
        <f>sumif('Segment RAW Data 25-26'!$B$1:$X$1,$E$3,'Segment RAW Data 25-26'!$B298:$X298)</f>
        <v>5091166.02</v>
      </c>
      <c r="F299" s="265">
        <f>sumif('Segment RAW Data 25-26'!$B$1:$X$1,$F$3,'Segment RAW Data 25-26'!$B298:$X298)</f>
        <v>3108170.17</v>
      </c>
      <c r="G299" s="265">
        <f>sumif('Segment RAW Data 25-26'!$B$1:$X$1,$G$3,'Segment RAW Data 25-26'!$B298:$X298)</f>
        <v>2898037.19</v>
      </c>
      <c r="H299" s="265">
        <f>sumif('Segment RAW Data 25-26'!$B$1:$X$1,$H$3,'Segment RAW Data 25-26'!$B298:$X298)</f>
        <v>685479.16</v>
      </c>
      <c r="I299" s="265">
        <f>sumif('Segment RAW Data 25-26'!$B$1:$X$1,$I$3,'Segment RAW Data 25-26'!$B298:$X298)</f>
        <v>0</v>
      </c>
      <c r="J299" s="265">
        <f>sumif('Segment RAW Data 25-26'!$B$1:$X$1,$J$3,'Segment RAW Data 25-26'!$B298:$X298)</f>
        <v>1258994.59</v>
      </c>
      <c r="K299" s="265">
        <f>sumif('Segment RAW Data 25-26'!$B$1:$X$1,$K$3,'Segment RAW Data 25-26'!$B298:$X298)</f>
        <v>0</v>
      </c>
      <c r="L299" s="265">
        <f>sumif('Segment RAW Data 25-26'!$B$1:$X$1,$L$3,'Segment RAW Data 25-26'!$B298:$X298)</f>
        <v>247416</v>
      </c>
      <c r="M299" s="270"/>
      <c r="N299" s="124" t="s">
        <v>975</v>
      </c>
      <c r="O299" s="124">
        <f>VLOOKUP(C299:C898,'Segment RAW Data 25-26'!A298:Y895,25,0)-VLOOKUP(C299:C898,C:D,2,0)</f>
        <v>0</v>
      </c>
    </row>
    <row r="300" hidden="1">
      <c r="A300" s="157" t="s">
        <v>185</v>
      </c>
      <c r="B300" s="157" t="s">
        <v>189</v>
      </c>
      <c r="C300" s="157" t="s">
        <v>402</v>
      </c>
      <c r="D300" s="124">
        <f t="shared" si="1"/>
        <v>4573013.78</v>
      </c>
      <c r="E300" s="265">
        <f>sumif('Segment RAW Data 25-26'!$B$1:$X$1,$E$3,'Segment RAW Data 25-26'!$B299:$X299)</f>
        <v>1731746.78</v>
      </c>
      <c r="F300" s="265">
        <f>sumif('Segment RAW Data 25-26'!$B$1:$X$1,$F$3,'Segment RAW Data 25-26'!$B299:$X299)</f>
        <v>698838.8</v>
      </c>
      <c r="G300" s="265">
        <f>sumif('Segment RAW Data 25-26'!$B$1:$X$1,$G$3,'Segment RAW Data 25-26'!$B299:$X299)</f>
        <v>1264870.2</v>
      </c>
      <c r="H300" s="265">
        <f>sumif('Segment RAW Data 25-26'!$B$1:$X$1,$H$3,'Segment RAW Data 25-26'!$B299:$X299)</f>
        <v>11605</v>
      </c>
      <c r="I300" s="265">
        <f>sumif('Segment RAW Data 25-26'!$B$1:$X$1,$I$3,'Segment RAW Data 25-26'!$B299:$X299)</f>
        <v>0</v>
      </c>
      <c r="J300" s="265">
        <f>sumif('Segment RAW Data 25-26'!$B$1:$X$1,$J$3,'Segment RAW Data 25-26'!$B299:$X299)</f>
        <v>147859.25</v>
      </c>
      <c r="K300" s="265">
        <f>sumif('Segment RAW Data 25-26'!$B$1:$X$1,$K$3,'Segment RAW Data 25-26'!$B299:$X299)</f>
        <v>0</v>
      </c>
      <c r="L300" s="265">
        <f>sumif('Segment RAW Data 25-26'!$B$1:$X$1,$L$3,'Segment RAW Data 25-26'!$B299:$X299)</f>
        <v>718093.75</v>
      </c>
      <c r="M300" s="270">
        <v>45961.0</v>
      </c>
      <c r="N300" s="124" t="s">
        <v>973</v>
      </c>
      <c r="O300" s="124">
        <f>VLOOKUP(C300:C899,'Segment RAW Data 25-26'!A299:Y896,25,0)-VLOOKUP(C300:C899,C:D,2,0)</f>
        <v>-0.01000000071</v>
      </c>
    </row>
    <row r="301" hidden="1">
      <c r="A301" s="157"/>
      <c r="B301" s="157"/>
      <c r="C301" s="157" t="s">
        <v>714</v>
      </c>
      <c r="D301" s="124">
        <f t="shared" si="1"/>
        <v>0</v>
      </c>
      <c r="E301" s="265">
        <f>sumif('Segment RAW Data 25-26'!$B$1:$X$1,$E$3,'Segment RAW Data 25-26'!$B300:$X300)</f>
        <v>0</v>
      </c>
      <c r="F301" s="265">
        <f>sumif('Segment RAW Data 25-26'!$B$1:$X$1,$F$3,'Segment RAW Data 25-26'!$B300:$X300)</f>
        <v>0</v>
      </c>
      <c r="G301" s="265">
        <f>sumif('Segment RAW Data 25-26'!$B$1:$X$1,$G$3,'Segment RAW Data 25-26'!$B300:$X300)</f>
        <v>0</v>
      </c>
      <c r="H301" s="265">
        <f>sumif('Segment RAW Data 25-26'!$B$1:$X$1,$H$3,'Segment RAW Data 25-26'!$B300:$X300)</f>
        <v>0</v>
      </c>
      <c r="I301" s="265">
        <f>sumif('Segment RAW Data 25-26'!$B$1:$X$1,$I$3,'Segment RAW Data 25-26'!$B300:$X300)</f>
        <v>0</v>
      </c>
      <c r="J301" s="265">
        <f>sumif('Segment RAW Data 25-26'!$B$1:$X$1,$J$3,'Segment RAW Data 25-26'!$B300:$X300)</f>
        <v>0</v>
      </c>
      <c r="K301" s="265">
        <f>sumif('Segment RAW Data 25-26'!$B$1:$X$1,$K$3,'Segment RAW Data 25-26'!$B300:$X300)</f>
        <v>0</v>
      </c>
      <c r="L301" s="265">
        <f>sumif('Segment RAW Data 25-26'!$B$1:$X$1,$L$3,'Segment RAW Data 25-26'!$B300:$X300)</f>
        <v>0</v>
      </c>
      <c r="M301" s="270"/>
      <c r="N301" s="124"/>
      <c r="O301" s="124">
        <f>VLOOKUP(C301:C900,'Segment RAW Data 25-26'!A300:Y897,25,0)-VLOOKUP(C301:C900,C:D,2,0)</f>
        <v>0</v>
      </c>
    </row>
    <row r="302" hidden="1">
      <c r="A302" s="157" t="s">
        <v>298</v>
      </c>
      <c r="B302" s="157" t="s">
        <v>301</v>
      </c>
      <c r="C302" s="157" t="s">
        <v>715</v>
      </c>
      <c r="D302" s="124">
        <f t="shared" si="1"/>
        <v>7163532.4</v>
      </c>
      <c r="E302" s="265">
        <f>sumif('Segment RAW Data 25-26'!$B$1:$X$1,$E$3,'Segment RAW Data 25-26'!$B301:$X301)</f>
        <v>2022915.84</v>
      </c>
      <c r="F302" s="265">
        <f>sumif('Segment RAW Data 25-26'!$B$1:$X$1,$F$3,'Segment RAW Data 25-26'!$B301:$X301)</f>
        <v>652116</v>
      </c>
      <c r="G302" s="265">
        <f>sumif('Segment RAW Data 25-26'!$B$1:$X$1,$G$3,'Segment RAW Data 25-26'!$B301:$X301)</f>
        <v>4254191.86</v>
      </c>
      <c r="H302" s="265">
        <f>sumif('Segment RAW Data 25-26'!$B$1:$X$1,$H$3,'Segment RAW Data 25-26'!$B301:$X301)</f>
        <v>100740.5</v>
      </c>
      <c r="I302" s="265">
        <f>sumif('Segment RAW Data 25-26'!$B$1:$X$1,$I$3,'Segment RAW Data 25-26'!$B301:$X301)</f>
        <v>0</v>
      </c>
      <c r="J302" s="265">
        <f>sumif('Segment RAW Data 25-26'!$B$1:$X$1,$J$3,'Segment RAW Data 25-26'!$B301:$X301)</f>
        <v>133568.2</v>
      </c>
      <c r="K302" s="265">
        <f>sumif('Segment RAW Data 25-26'!$B$1:$X$1,$K$3,'Segment RAW Data 25-26'!$B301:$X301)</f>
        <v>0</v>
      </c>
      <c r="L302" s="265">
        <f>sumif('Segment RAW Data 25-26'!$B$1:$X$1,$L$3,'Segment RAW Data 25-26'!$B301:$X301)</f>
        <v>0</v>
      </c>
      <c r="M302" s="270"/>
      <c r="N302" s="124" t="s">
        <v>975</v>
      </c>
      <c r="O302" s="124">
        <f>VLOOKUP(C302:C901,'Segment RAW Data 25-26'!A301:Y898,25,0)-VLOOKUP(C302:C901,C:D,2,0)</f>
        <v>0.009999999776</v>
      </c>
    </row>
    <row r="303" hidden="1">
      <c r="A303" s="157" t="s">
        <v>298</v>
      </c>
      <c r="B303" s="157" t="s">
        <v>301</v>
      </c>
      <c r="C303" s="157" t="s">
        <v>716</v>
      </c>
      <c r="D303" s="124">
        <f t="shared" si="1"/>
        <v>0</v>
      </c>
      <c r="E303" s="265">
        <f>sumif('Segment RAW Data 25-26'!$B$1:$X$1,$E$3,'Segment RAW Data 25-26'!$B302:$X302)</f>
        <v>0</v>
      </c>
      <c r="F303" s="265">
        <f>sumif('Segment RAW Data 25-26'!$B$1:$X$1,$F$3,'Segment RAW Data 25-26'!$B302:$X302)</f>
        <v>0</v>
      </c>
      <c r="G303" s="265">
        <f>sumif('Segment RAW Data 25-26'!$B$1:$X$1,$G$3,'Segment RAW Data 25-26'!$B302:$X302)</f>
        <v>0</v>
      </c>
      <c r="H303" s="265">
        <f>sumif('Segment RAW Data 25-26'!$B$1:$X$1,$H$3,'Segment RAW Data 25-26'!$B302:$X302)</f>
        <v>0</v>
      </c>
      <c r="I303" s="265">
        <f>sumif('Segment RAW Data 25-26'!$B$1:$X$1,$I$3,'Segment RAW Data 25-26'!$B302:$X302)</f>
        <v>0</v>
      </c>
      <c r="J303" s="265">
        <f>sumif('Segment RAW Data 25-26'!$B$1:$X$1,$J$3,'Segment RAW Data 25-26'!$B302:$X302)</f>
        <v>0</v>
      </c>
      <c r="K303" s="265">
        <f>sumif('Segment RAW Data 25-26'!$B$1:$X$1,$K$3,'Segment RAW Data 25-26'!$B302:$X302)</f>
        <v>0</v>
      </c>
      <c r="L303" s="265">
        <f>sumif('Segment RAW Data 25-26'!$B$1:$X$1,$L$3,'Segment RAW Data 25-26'!$B302:$X302)</f>
        <v>0</v>
      </c>
      <c r="M303" s="270">
        <v>45785.0</v>
      </c>
      <c r="N303" s="124" t="s">
        <v>973</v>
      </c>
      <c r="O303" s="124">
        <f>VLOOKUP(C303:C902,'Segment RAW Data 25-26'!A302:Y899,25,0)-VLOOKUP(C303:C902,C:D,2,0)</f>
        <v>0</v>
      </c>
    </row>
    <row r="304" hidden="1">
      <c r="A304" s="157"/>
      <c r="B304" s="157"/>
      <c r="C304" s="157" t="s">
        <v>717</v>
      </c>
      <c r="D304" s="124">
        <f t="shared" si="1"/>
        <v>0</v>
      </c>
      <c r="E304" s="265">
        <f>sumif('Segment RAW Data 25-26'!$B$1:$X$1,$E$3,'Segment RAW Data 25-26'!$B303:$X303)</f>
        <v>0</v>
      </c>
      <c r="F304" s="265">
        <f>sumif('Segment RAW Data 25-26'!$B$1:$X$1,$F$3,'Segment RAW Data 25-26'!$B303:$X303)</f>
        <v>0</v>
      </c>
      <c r="G304" s="265">
        <f>sumif('Segment RAW Data 25-26'!$B$1:$X$1,$G$3,'Segment RAW Data 25-26'!$B303:$X303)</f>
        <v>0</v>
      </c>
      <c r="H304" s="265">
        <f>sumif('Segment RAW Data 25-26'!$B$1:$X$1,$H$3,'Segment RAW Data 25-26'!$B303:$X303)</f>
        <v>0</v>
      </c>
      <c r="I304" s="265">
        <f>sumif('Segment RAW Data 25-26'!$B$1:$X$1,$I$3,'Segment RAW Data 25-26'!$B303:$X303)</f>
        <v>0</v>
      </c>
      <c r="J304" s="265">
        <f>sumif('Segment RAW Data 25-26'!$B$1:$X$1,$J$3,'Segment RAW Data 25-26'!$B303:$X303)</f>
        <v>0</v>
      </c>
      <c r="K304" s="265">
        <f>sumif('Segment RAW Data 25-26'!$B$1:$X$1,$K$3,'Segment RAW Data 25-26'!$B303:$X303)</f>
        <v>0</v>
      </c>
      <c r="L304" s="265">
        <f>sumif('Segment RAW Data 25-26'!$B$1:$X$1,$L$3,'Segment RAW Data 25-26'!$B303:$X303)</f>
        <v>0</v>
      </c>
      <c r="M304" s="270"/>
      <c r="N304" s="124"/>
      <c r="O304" s="124">
        <f>VLOOKUP(C304:C903,'Segment RAW Data 25-26'!A303:Y900,25,0)-VLOOKUP(C304:C903,C:D,2,0)</f>
        <v>0</v>
      </c>
    </row>
    <row r="305" hidden="1">
      <c r="A305" s="157"/>
      <c r="B305" s="157"/>
      <c r="C305" s="157" t="s">
        <v>718</v>
      </c>
      <c r="D305" s="124">
        <f t="shared" si="1"/>
        <v>0</v>
      </c>
      <c r="E305" s="265">
        <f>sumif('Segment RAW Data 25-26'!$B$1:$X$1,$E$3,'Segment RAW Data 25-26'!$B304:$X304)</f>
        <v>0</v>
      </c>
      <c r="F305" s="265">
        <f>sumif('Segment RAW Data 25-26'!$B$1:$X$1,$F$3,'Segment RAW Data 25-26'!$B304:$X304)</f>
        <v>0</v>
      </c>
      <c r="G305" s="265">
        <f>sumif('Segment RAW Data 25-26'!$B$1:$X$1,$G$3,'Segment RAW Data 25-26'!$B304:$X304)</f>
        <v>0</v>
      </c>
      <c r="H305" s="265">
        <f>sumif('Segment RAW Data 25-26'!$B$1:$X$1,$H$3,'Segment RAW Data 25-26'!$B304:$X304)</f>
        <v>0</v>
      </c>
      <c r="I305" s="265">
        <f>sumif('Segment RAW Data 25-26'!$B$1:$X$1,$I$3,'Segment RAW Data 25-26'!$B304:$X304)</f>
        <v>0</v>
      </c>
      <c r="J305" s="265">
        <f>sumif('Segment RAW Data 25-26'!$B$1:$X$1,$J$3,'Segment RAW Data 25-26'!$B304:$X304)</f>
        <v>0</v>
      </c>
      <c r="K305" s="265">
        <f>sumif('Segment RAW Data 25-26'!$B$1:$X$1,$K$3,'Segment RAW Data 25-26'!$B304:$X304)</f>
        <v>0</v>
      </c>
      <c r="L305" s="265">
        <f>sumif('Segment RAW Data 25-26'!$B$1:$X$1,$L$3,'Segment RAW Data 25-26'!$B304:$X304)</f>
        <v>0</v>
      </c>
      <c r="M305" s="270"/>
      <c r="N305" s="124"/>
      <c r="O305" s="124">
        <f>VLOOKUP(C305:C904,'Segment RAW Data 25-26'!A304:Y901,25,0)-VLOOKUP(C305:C904,C:D,2,0)</f>
        <v>0</v>
      </c>
    </row>
    <row r="306" hidden="1">
      <c r="A306" s="157"/>
      <c r="B306" s="157"/>
      <c r="C306" s="157" t="s">
        <v>719</v>
      </c>
      <c r="D306" s="124">
        <f t="shared" si="1"/>
        <v>0</v>
      </c>
      <c r="E306" s="265">
        <f>sumif('Segment RAW Data 25-26'!$B$1:$X$1,$E$3,'Segment RAW Data 25-26'!$B305:$X305)</f>
        <v>0</v>
      </c>
      <c r="F306" s="265">
        <f>sumif('Segment RAW Data 25-26'!$B$1:$X$1,$F$3,'Segment RAW Data 25-26'!$B305:$X305)</f>
        <v>0</v>
      </c>
      <c r="G306" s="265">
        <f>sumif('Segment RAW Data 25-26'!$B$1:$X$1,$G$3,'Segment RAW Data 25-26'!$B305:$X305)</f>
        <v>0</v>
      </c>
      <c r="H306" s="265">
        <f>sumif('Segment RAW Data 25-26'!$B$1:$X$1,$H$3,'Segment RAW Data 25-26'!$B305:$X305)</f>
        <v>0</v>
      </c>
      <c r="I306" s="265">
        <f>sumif('Segment RAW Data 25-26'!$B$1:$X$1,$I$3,'Segment RAW Data 25-26'!$B305:$X305)</f>
        <v>0</v>
      </c>
      <c r="J306" s="265">
        <f>sumif('Segment RAW Data 25-26'!$B$1:$X$1,$J$3,'Segment RAW Data 25-26'!$B305:$X305)</f>
        <v>0</v>
      </c>
      <c r="K306" s="265">
        <f>sumif('Segment RAW Data 25-26'!$B$1:$X$1,$K$3,'Segment RAW Data 25-26'!$B305:$X305)</f>
        <v>0</v>
      </c>
      <c r="L306" s="265">
        <f>sumif('Segment RAW Data 25-26'!$B$1:$X$1,$L$3,'Segment RAW Data 25-26'!$B305:$X305)</f>
        <v>0</v>
      </c>
      <c r="M306" s="270"/>
      <c r="N306" s="124"/>
      <c r="O306" s="124">
        <f>VLOOKUP(C306:C905,'Segment RAW Data 25-26'!A305:Y902,25,0)-VLOOKUP(C306:C905,C:D,2,0)</f>
        <v>0</v>
      </c>
    </row>
    <row r="307" hidden="1">
      <c r="A307" s="157"/>
      <c r="B307" s="157"/>
      <c r="C307" s="157" t="s">
        <v>720</v>
      </c>
      <c r="D307" s="124">
        <f t="shared" si="1"/>
        <v>0</v>
      </c>
      <c r="E307" s="265">
        <f>sumif('Segment RAW Data 25-26'!$B$1:$X$1,$E$3,'Segment RAW Data 25-26'!$B306:$X306)</f>
        <v>0</v>
      </c>
      <c r="F307" s="265">
        <f>sumif('Segment RAW Data 25-26'!$B$1:$X$1,$F$3,'Segment RAW Data 25-26'!$B306:$X306)</f>
        <v>0</v>
      </c>
      <c r="G307" s="265">
        <f>sumif('Segment RAW Data 25-26'!$B$1:$X$1,$G$3,'Segment RAW Data 25-26'!$B306:$X306)</f>
        <v>0</v>
      </c>
      <c r="H307" s="265">
        <f>sumif('Segment RAW Data 25-26'!$B$1:$X$1,$H$3,'Segment RAW Data 25-26'!$B306:$X306)</f>
        <v>0</v>
      </c>
      <c r="I307" s="265">
        <f>sumif('Segment RAW Data 25-26'!$B$1:$X$1,$I$3,'Segment RAW Data 25-26'!$B306:$X306)</f>
        <v>0</v>
      </c>
      <c r="J307" s="265">
        <f>sumif('Segment RAW Data 25-26'!$B$1:$X$1,$J$3,'Segment RAW Data 25-26'!$B306:$X306)</f>
        <v>0</v>
      </c>
      <c r="K307" s="265">
        <f>sumif('Segment RAW Data 25-26'!$B$1:$X$1,$K$3,'Segment RAW Data 25-26'!$B306:$X306)</f>
        <v>0</v>
      </c>
      <c r="L307" s="265">
        <f>sumif('Segment RAW Data 25-26'!$B$1:$X$1,$L$3,'Segment RAW Data 25-26'!$B306:$X306)</f>
        <v>0</v>
      </c>
      <c r="M307" s="270"/>
      <c r="N307" s="124"/>
      <c r="O307" s="124">
        <f>VLOOKUP(C307:C906,'Segment RAW Data 25-26'!A306:Y903,25,0)-VLOOKUP(C307:C906,C:D,2,0)</f>
        <v>0</v>
      </c>
    </row>
    <row r="308" hidden="1">
      <c r="A308" s="157" t="s">
        <v>185</v>
      </c>
      <c r="B308" s="157" t="s">
        <v>85</v>
      </c>
      <c r="C308" s="157" t="s">
        <v>387</v>
      </c>
      <c r="D308" s="124">
        <f t="shared" si="1"/>
        <v>490239.24</v>
      </c>
      <c r="E308" s="265">
        <f>sumif('Segment RAW Data 25-26'!$B$1:$X$1,$E$3,'Segment RAW Data 25-26'!$B307:$X307)</f>
        <v>244745.58</v>
      </c>
      <c r="F308" s="265">
        <f>sumif('Segment RAW Data 25-26'!$B$1:$X$1,$F$3,'Segment RAW Data 25-26'!$B307:$X307)</f>
        <v>95558.18</v>
      </c>
      <c r="G308" s="265">
        <f>sumif('Segment RAW Data 25-26'!$B$1:$X$1,$G$3,'Segment RAW Data 25-26'!$B307:$X307)</f>
        <v>22757</v>
      </c>
      <c r="H308" s="265">
        <f>sumif('Segment RAW Data 25-26'!$B$1:$X$1,$H$3,'Segment RAW Data 25-26'!$B307:$X307)</f>
        <v>66084.48</v>
      </c>
      <c r="I308" s="265">
        <f>sumif('Segment RAW Data 25-26'!$B$1:$X$1,$I$3,'Segment RAW Data 25-26'!$B307:$X307)</f>
        <v>0</v>
      </c>
      <c r="J308" s="265">
        <f>sumif('Segment RAW Data 25-26'!$B$1:$X$1,$J$3,'Segment RAW Data 25-26'!$B307:$X307)</f>
        <v>61094</v>
      </c>
      <c r="K308" s="265">
        <f>sumif('Segment RAW Data 25-26'!$B$1:$X$1,$K$3,'Segment RAW Data 25-26'!$B307:$X307)</f>
        <v>0</v>
      </c>
      <c r="L308" s="265">
        <f>sumif('Segment RAW Data 25-26'!$B$1:$X$1,$L$3,'Segment RAW Data 25-26'!$B307:$X307)</f>
        <v>0</v>
      </c>
      <c r="M308" s="270">
        <v>45801.0</v>
      </c>
      <c r="N308" s="124" t="s">
        <v>973</v>
      </c>
      <c r="O308" s="124">
        <f>VLOOKUP(C308:C907,'Segment RAW Data 25-26'!A307:Y904,25,0)-VLOOKUP(C308:C907,C:D,2,0)</f>
        <v>0</v>
      </c>
    </row>
    <row r="309" hidden="1">
      <c r="A309" s="157"/>
      <c r="B309" s="157"/>
      <c r="C309" s="157" t="s">
        <v>721</v>
      </c>
      <c r="D309" s="124">
        <f t="shared" si="1"/>
        <v>0</v>
      </c>
      <c r="E309" s="265">
        <f>sumif('Segment RAW Data 25-26'!$B$1:$X$1,$E$3,'Segment RAW Data 25-26'!$B308:$X308)</f>
        <v>0</v>
      </c>
      <c r="F309" s="265">
        <f>sumif('Segment RAW Data 25-26'!$B$1:$X$1,$F$3,'Segment RAW Data 25-26'!$B308:$X308)</f>
        <v>0</v>
      </c>
      <c r="G309" s="265">
        <f>sumif('Segment RAW Data 25-26'!$B$1:$X$1,$G$3,'Segment RAW Data 25-26'!$B308:$X308)</f>
        <v>0</v>
      </c>
      <c r="H309" s="265">
        <f>sumif('Segment RAW Data 25-26'!$B$1:$X$1,$H$3,'Segment RAW Data 25-26'!$B308:$X308)</f>
        <v>0</v>
      </c>
      <c r="I309" s="265">
        <f>sumif('Segment RAW Data 25-26'!$B$1:$X$1,$I$3,'Segment RAW Data 25-26'!$B308:$X308)</f>
        <v>0</v>
      </c>
      <c r="J309" s="265">
        <f>sumif('Segment RAW Data 25-26'!$B$1:$X$1,$J$3,'Segment RAW Data 25-26'!$B308:$X308)</f>
        <v>0</v>
      </c>
      <c r="K309" s="265">
        <f>sumif('Segment RAW Data 25-26'!$B$1:$X$1,$K$3,'Segment RAW Data 25-26'!$B308:$X308)</f>
        <v>0</v>
      </c>
      <c r="L309" s="265">
        <f>sumif('Segment RAW Data 25-26'!$B$1:$X$1,$L$3,'Segment RAW Data 25-26'!$B308:$X308)</f>
        <v>0</v>
      </c>
      <c r="M309" s="270"/>
      <c r="N309" s="124"/>
      <c r="O309" s="124">
        <f>VLOOKUP(C309:C908,'Segment RAW Data 25-26'!A308:Y905,25,0)-VLOOKUP(C309:C908,C:D,2,0)</f>
        <v>0</v>
      </c>
    </row>
    <row r="310" hidden="1">
      <c r="A310" s="157"/>
      <c r="B310" s="157"/>
      <c r="C310" s="157" t="s">
        <v>722</v>
      </c>
      <c r="D310" s="124">
        <f t="shared" si="1"/>
        <v>0</v>
      </c>
      <c r="E310" s="265">
        <f>sumif('Segment RAW Data 25-26'!$B$1:$X$1,$E$3,'Segment RAW Data 25-26'!$B309:$X309)</f>
        <v>0</v>
      </c>
      <c r="F310" s="265">
        <f>sumif('Segment RAW Data 25-26'!$B$1:$X$1,$F$3,'Segment RAW Data 25-26'!$B309:$X309)</f>
        <v>0</v>
      </c>
      <c r="G310" s="265">
        <f>sumif('Segment RAW Data 25-26'!$B$1:$X$1,$G$3,'Segment RAW Data 25-26'!$B309:$X309)</f>
        <v>0</v>
      </c>
      <c r="H310" s="265">
        <f>sumif('Segment RAW Data 25-26'!$B$1:$X$1,$H$3,'Segment RAW Data 25-26'!$B309:$X309)</f>
        <v>0</v>
      </c>
      <c r="I310" s="265">
        <f>sumif('Segment RAW Data 25-26'!$B$1:$X$1,$I$3,'Segment RAW Data 25-26'!$B309:$X309)</f>
        <v>0</v>
      </c>
      <c r="J310" s="265">
        <f>sumif('Segment RAW Data 25-26'!$B$1:$X$1,$J$3,'Segment RAW Data 25-26'!$B309:$X309)</f>
        <v>0</v>
      </c>
      <c r="K310" s="265">
        <f>sumif('Segment RAW Data 25-26'!$B$1:$X$1,$K$3,'Segment RAW Data 25-26'!$B309:$X309)</f>
        <v>0</v>
      </c>
      <c r="L310" s="265">
        <f>sumif('Segment RAW Data 25-26'!$B$1:$X$1,$L$3,'Segment RAW Data 25-26'!$B309:$X309)</f>
        <v>0</v>
      </c>
      <c r="M310" s="270"/>
      <c r="N310" s="124"/>
      <c r="O310" s="124">
        <f>VLOOKUP(C310:C909,'Segment RAW Data 25-26'!A309:Y906,25,0)-VLOOKUP(C310:C909,C:D,2,0)</f>
        <v>0</v>
      </c>
    </row>
    <row r="311" hidden="1">
      <c r="A311" s="157"/>
      <c r="B311" s="157"/>
      <c r="C311" s="157" t="s">
        <v>723</v>
      </c>
      <c r="D311" s="124">
        <f t="shared" si="1"/>
        <v>0</v>
      </c>
      <c r="E311" s="265">
        <f>sumif('Segment RAW Data 25-26'!$B$1:$X$1,$E$3,'Segment RAW Data 25-26'!$B310:$X310)</f>
        <v>0</v>
      </c>
      <c r="F311" s="265">
        <f>sumif('Segment RAW Data 25-26'!$B$1:$X$1,$F$3,'Segment RAW Data 25-26'!$B310:$X310)</f>
        <v>0</v>
      </c>
      <c r="G311" s="265">
        <f>sumif('Segment RAW Data 25-26'!$B$1:$X$1,$G$3,'Segment RAW Data 25-26'!$B310:$X310)</f>
        <v>0</v>
      </c>
      <c r="H311" s="265">
        <f>sumif('Segment RAW Data 25-26'!$B$1:$X$1,$H$3,'Segment RAW Data 25-26'!$B310:$X310)</f>
        <v>0</v>
      </c>
      <c r="I311" s="265">
        <f>sumif('Segment RAW Data 25-26'!$B$1:$X$1,$I$3,'Segment RAW Data 25-26'!$B310:$X310)</f>
        <v>0</v>
      </c>
      <c r="J311" s="265">
        <f>sumif('Segment RAW Data 25-26'!$B$1:$X$1,$J$3,'Segment RAW Data 25-26'!$B310:$X310)</f>
        <v>0</v>
      </c>
      <c r="K311" s="265">
        <f>sumif('Segment RAW Data 25-26'!$B$1:$X$1,$K$3,'Segment RAW Data 25-26'!$B310:$X310)</f>
        <v>0</v>
      </c>
      <c r="L311" s="265">
        <f>sumif('Segment RAW Data 25-26'!$B$1:$X$1,$L$3,'Segment RAW Data 25-26'!$B310:$X310)</f>
        <v>0</v>
      </c>
      <c r="M311" s="270"/>
      <c r="N311" s="124"/>
      <c r="O311" s="124">
        <f>VLOOKUP(C311:C910,'Segment RAW Data 25-26'!A310:Y907,25,0)-VLOOKUP(C311:C910,C:D,2,0)</f>
        <v>0</v>
      </c>
    </row>
    <row r="312" hidden="1">
      <c r="A312" s="157"/>
      <c r="B312" s="157"/>
      <c r="C312" s="157" t="s">
        <v>724</v>
      </c>
      <c r="D312" s="124">
        <f t="shared" si="1"/>
        <v>0</v>
      </c>
      <c r="E312" s="265">
        <f>sumif('Segment RAW Data 25-26'!$B$1:$X$1,$E$3,'Segment RAW Data 25-26'!$B311:$X311)</f>
        <v>0</v>
      </c>
      <c r="F312" s="265">
        <f>sumif('Segment RAW Data 25-26'!$B$1:$X$1,$F$3,'Segment RAW Data 25-26'!$B311:$X311)</f>
        <v>0</v>
      </c>
      <c r="G312" s="265">
        <f>sumif('Segment RAW Data 25-26'!$B$1:$X$1,$G$3,'Segment RAW Data 25-26'!$B311:$X311)</f>
        <v>0</v>
      </c>
      <c r="H312" s="265">
        <f>sumif('Segment RAW Data 25-26'!$B$1:$X$1,$H$3,'Segment RAW Data 25-26'!$B311:$X311)</f>
        <v>0</v>
      </c>
      <c r="I312" s="265">
        <f>sumif('Segment RAW Data 25-26'!$B$1:$X$1,$I$3,'Segment RAW Data 25-26'!$B311:$X311)</f>
        <v>0</v>
      </c>
      <c r="J312" s="265">
        <f>sumif('Segment RAW Data 25-26'!$B$1:$X$1,$J$3,'Segment RAW Data 25-26'!$B311:$X311)</f>
        <v>0</v>
      </c>
      <c r="K312" s="265">
        <f>sumif('Segment RAW Data 25-26'!$B$1:$X$1,$K$3,'Segment RAW Data 25-26'!$B311:$X311)</f>
        <v>0</v>
      </c>
      <c r="L312" s="265">
        <f>sumif('Segment RAW Data 25-26'!$B$1:$X$1,$L$3,'Segment RAW Data 25-26'!$B311:$X311)</f>
        <v>0</v>
      </c>
      <c r="M312" s="270"/>
      <c r="N312" s="124"/>
      <c r="O312" s="124">
        <f>VLOOKUP(C312:C911,'Segment RAW Data 25-26'!A311:Y908,25,0)-VLOOKUP(C312:C911,C:D,2,0)</f>
        <v>0</v>
      </c>
    </row>
    <row r="313" hidden="1">
      <c r="A313" s="157"/>
      <c r="B313" s="157"/>
      <c r="C313" s="157" t="s">
        <v>725</v>
      </c>
      <c r="D313" s="124">
        <f t="shared" si="1"/>
        <v>0</v>
      </c>
      <c r="E313" s="265">
        <f>sumif('Segment RAW Data 25-26'!$B$1:$X$1,$E$3,'Segment RAW Data 25-26'!$B312:$X312)</f>
        <v>0</v>
      </c>
      <c r="F313" s="265">
        <f>sumif('Segment RAW Data 25-26'!$B$1:$X$1,$F$3,'Segment RAW Data 25-26'!$B312:$X312)</f>
        <v>0</v>
      </c>
      <c r="G313" s="265">
        <f>sumif('Segment RAW Data 25-26'!$B$1:$X$1,$G$3,'Segment RAW Data 25-26'!$B312:$X312)</f>
        <v>0</v>
      </c>
      <c r="H313" s="265">
        <f>sumif('Segment RAW Data 25-26'!$B$1:$X$1,$H$3,'Segment RAW Data 25-26'!$B312:$X312)</f>
        <v>0</v>
      </c>
      <c r="I313" s="265">
        <f>sumif('Segment RAW Data 25-26'!$B$1:$X$1,$I$3,'Segment RAW Data 25-26'!$B312:$X312)</f>
        <v>0</v>
      </c>
      <c r="J313" s="265">
        <f>sumif('Segment RAW Data 25-26'!$B$1:$X$1,$J$3,'Segment RAW Data 25-26'!$B312:$X312)</f>
        <v>0</v>
      </c>
      <c r="K313" s="265">
        <f>sumif('Segment RAW Data 25-26'!$B$1:$X$1,$K$3,'Segment RAW Data 25-26'!$B312:$X312)</f>
        <v>0</v>
      </c>
      <c r="L313" s="265">
        <f>sumif('Segment RAW Data 25-26'!$B$1:$X$1,$L$3,'Segment RAW Data 25-26'!$B312:$X312)</f>
        <v>0</v>
      </c>
      <c r="M313" s="270"/>
      <c r="N313" s="124"/>
      <c r="O313" s="124">
        <f>VLOOKUP(C313:C912,'Segment RAW Data 25-26'!A312:Y909,25,0)-VLOOKUP(C313:C912,C:D,2,0)</f>
        <v>0</v>
      </c>
    </row>
    <row r="314" hidden="1">
      <c r="A314" s="157" t="s">
        <v>185</v>
      </c>
      <c r="B314" s="157" t="s">
        <v>189</v>
      </c>
      <c r="C314" s="157" t="s">
        <v>726</v>
      </c>
      <c r="D314" s="124">
        <f t="shared" si="1"/>
        <v>14450866.65</v>
      </c>
      <c r="E314" s="265">
        <f>sumif('Segment RAW Data 25-26'!$B$1:$X$1,$E$3,'Segment RAW Data 25-26'!$B313:$X313)</f>
        <v>6450490.68</v>
      </c>
      <c r="F314" s="265">
        <f>sumif('Segment RAW Data 25-26'!$B$1:$X$1,$F$3,'Segment RAW Data 25-26'!$B313:$X313)</f>
        <v>552545.84</v>
      </c>
      <c r="G314" s="265">
        <f>sumif('Segment RAW Data 25-26'!$B$1:$X$1,$G$3,'Segment RAW Data 25-26'!$B313:$X313)</f>
        <v>4911353.13</v>
      </c>
      <c r="H314" s="265">
        <f>sumif('Segment RAW Data 25-26'!$B$1:$X$1,$H$3,'Segment RAW Data 25-26'!$B313:$X313)</f>
        <v>112584</v>
      </c>
      <c r="I314" s="265">
        <f>sumif('Segment RAW Data 25-26'!$B$1:$X$1,$I$3,'Segment RAW Data 25-26'!$B313:$X313)</f>
        <v>0</v>
      </c>
      <c r="J314" s="265">
        <f>sumif('Segment RAW Data 25-26'!$B$1:$X$1,$J$3,'Segment RAW Data 25-26'!$B313:$X313)</f>
        <v>672628</v>
      </c>
      <c r="K314" s="265">
        <f>sumif('Segment RAW Data 25-26'!$B$1:$X$1,$K$3,'Segment RAW Data 25-26'!$B313:$X313)</f>
        <v>0</v>
      </c>
      <c r="L314" s="265">
        <f>sumif('Segment RAW Data 25-26'!$B$1:$X$1,$L$3,'Segment RAW Data 25-26'!$B313:$X313)</f>
        <v>1751265</v>
      </c>
      <c r="M314" s="270"/>
      <c r="N314" s="124" t="s">
        <v>975</v>
      </c>
      <c r="O314" s="124">
        <f>VLOOKUP(C314:C913,'Segment RAW Data 25-26'!A313:Y910,25,0)-VLOOKUP(C314:C913,C:D,2,0)</f>
        <v>0.000000001862645149</v>
      </c>
    </row>
    <row r="315" hidden="1">
      <c r="A315" s="157"/>
      <c r="B315" s="157"/>
      <c r="C315" s="157" t="s">
        <v>727</v>
      </c>
      <c r="D315" s="124">
        <f t="shared" si="1"/>
        <v>0</v>
      </c>
      <c r="E315" s="265">
        <f>sumif('Segment RAW Data 25-26'!$B$1:$X$1,$E$3,'Segment RAW Data 25-26'!$B314:$X314)</f>
        <v>0</v>
      </c>
      <c r="F315" s="265">
        <f>sumif('Segment RAW Data 25-26'!$B$1:$X$1,$F$3,'Segment RAW Data 25-26'!$B314:$X314)</f>
        <v>0</v>
      </c>
      <c r="G315" s="265">
        <f>sumif('Segment RAW Data 25-26'!$B$1:$X$1,$G$3,'Segment RAW Data 25-26'!$B314:$X314)</f>
        <v>0</v>
      </c>
      <c r="H315" s="265">
        <f>sumif('Segment RAW Data 25-26'!$B$1:$X$1,$H$3,'Segment RAW Data 25-26'!$B314:$X314)</f>
        <v>0</v>
      </c>
      <c r="I315" s="265">
        <f>sumif('Segment RAW Data 25-26'!$B$1:$X$1,$I$3,'Segment RAW Data 25-26'!$B314:$X314)</f>
        <v>0</v>
      </c>
      <c r="J315" s="265">
        <f>sumif('Segment RAW Data 25-26'!$B$1:$X$1,$J$3,'Segment RAW Data 25-26'!$B314:$X314)</f>
        <v>0</v>
      </c>
      <c r="K315" s="265">
        <f>sumif('Segment RAW Data 25-26'!$B$1:$X$1,$K$3,'Segment RAW Data 25-26'!$B314:$X314)</f>
        <v>0</v>
      </c>
      <c r="L315" s="265">
        <f>sumif('Segment RAW Data 25-26'!$B$1:$X$1,$L$3,'Segment RAW Data 25-26'!$B314:$X314)</f>
        <v>0</v>
      </c>
      <c r="M315" s="270"/>
      <c r="N315" s="124"/>
      <c r="O315" s="124">
        <f>VLOOKUP(C315:C914,'Segment RAW Data 25-26'!A314:Y911,25,0)-VLOOKUP(C315:C914,C:D,2,0)</f>
        <v>0</v>
      </c>
    </row>
    <row r="316" hidden="1">
      <c r="A316" s="157" t="s">
        <v>185</v>
      </c>
      <c r="B316" s="157" t="s">
        <v>189</v>
      </c>
      <c r="C316" s="157" t="s">
        <v>728</v>
      </c>
      <c r="D316" s="124">
        <f t="shared" si="1"/>
        <v>15161492.78</v>
      </c>
      <c r="E316" s="265">
        <f>sumif('Segment RAW Data 25-26'!$B$1:$X$1,$E$3,'Segment RAW Data 25-26'!$B315:$X315)</f>
        <v>2720397.88</v>
      </c>
      <c r="F316" s="265">
        <f>sumif('Segment RAW Data 25-26'!$B$1:$X$1,$F$3,'Segment RAW Data 25-26'!$B315:$X315)</f>
        <v>1552811.36</v>
      </c>
      <c r="G316" s="265">
        <f>sumif('Segment RAW Data 25-26'!$B$1:$X$1,$G$3,'Segment RAW Data 25-26'!$B315:$X315)</f>
        <v>9376153.81</v>
      </c>
      <c r="H316" s="265">
        <f>sumif('Segment RAW Data 25-26'!$B$1:$X$1,$H$3,'Segment RAW Data 25-26'!$B315:$X315)</f>
        <v>30158.8</v>
      </c>
      <c r="I316" s="265">
        <f>sumif('Segment RAW Data 25-26'!$B$1:$X$1,$I$3,'Segment RAW Data 25-26'!$B315:$X315)</f>
        <v>0</v>
      </c>
      <c r="J316" s="265">
        <f>sumif('Segment RAW Data 25-26'!$B$1:$X$1,$J$3,'Segment RAW Data 25-26'!$B315:$X315)</f>
        <v>587941.68</v>
      </c>
      <c r="K316" s="265">
        <f>sumif('Segment RAW Data 25-26'!$B$1:$X$1,$K$3,'Segment RAW Data 25-26'!$B315:$X315)</f>
        <v>0</v>
      </c>
      <c r="L316" s="265">
        <f>sumif('Segment RAW Data 25-26'!$B$1:$X$1,$L$3,'Segment RAW Data 25-26'!$B315:$X315)</f>
        <v>894029.25</v>
      </c>
      <c r="M316" s="270"/>
      <c r="N316" s="124" t="s">
        <v>975</v>
      </c>
      <c r="O316" s="124">
        <f>VLOOKUP(C316:C915,'Segment RAW Data 25-26'!A315:Y912,25,0)-VLOOKUP(C316:C915,C:D,2,0)</f>
        <v>-0.000000001862645149</v>
      </c>
    </row>
    <row r="317" hidden="1">
      <c r="A317" s="157"/>
      <c r="B317" s="157"/>
      <c r="C317" s="157" t="s">
        <v>729</v>
      </c>
      <c r="D317" s="124">
        <f t="shared" si="1"/>
        <v>0</v>
      </c>
      <c r="E317" s="265">
        <f>sumif('Segment RAW Data 25-26'!$B$1:$X$1,$E$3,'Segment RAW Data 25-26'!$B316:$X316)</f>
        <v>0</v>
      </c>
      <c r="F317" s="265">
        <f>sumif('Segment RAW Data 25-26'!$B$1:$X$1,$F$3,'Segment RAW Data 25-26'!$B316:$X316)</f>
        <v>0</v>
      </c>
      <c r="G317" s="265">
        <f>sumif('Segment RAW Data 25-26'!$B$1:$X$1,$G$3,'Segment RAW Data 25-26'!$B316:$X316)</f>
        <v>0</v>
      </c>
      <c r="H317" s="265">
        <f>sumif('Segment RAW Data 25-26'!$B$1:$X$1,$H$3,'Segment RAW Data 25-26'!$B316:$X316)</f>
        <v>0</v>
      </c>
      <c r="I317" s="265">
        <f>sumif('Segment RAW Data 25-26'!$B$1:$X$1,$I$3,'Segment RAW Data 25-26'!$B316:$X316)</f>
        <v>0</v>
      </c>
      <c r="J317" s="265">
        <f>sumif('Segment RAW Data 25-26'!$B$1:$X$1,$J$3,'Segment RAW Data 25-26'!$B316:$X316)</f>
        <v>0</v>
      </c>
      <c r="K317" s="265">
        <f>sumif('Segment RAW Data 25-26'!$B$1:$X$1,$K$3,'Segment RAW Data 25-26'!$B316:$X316)</f>
        <v>0</v>
      </c>
      <c r="L317" s="265">
        <f>sumif('Segment RAW Data 25-26'!$B$1:$X$1,$L$3,'Segment RAW Data 25-26'!$B316:$X316)</f>
        <v>0</v>
      </c>
      <c r="M317" s="270"/>
      <c r="N317" s="124"/>
      <c r="O317" s="124">
        <f>VLOOKUP(C317:C916,'Segment RAW Data 25-26'!A316:Y913,25,0)-VLOOKUP(C317:C916,C:D,2,0)</f>
        <v>0</v>
      </c>
    </row>
    <row r="318" hidden="1">
      <c r="A318" s="157"/>
      <c r="B318" s="157"/>
      <c r="C318" s="157" t="s">
        <v>730</v>
      </c>
      <c r="D318" s="124">
        <f t="shared" si="1"/>
        <v>0</v>
      </c>
      <c r="E318" s="265">
        <f>sumif('Segment RAW Data 25-26'!$B$1:$X$1,$E$3,'Segment RAW Data 25-26'!$B317:$X317)</f>
        <v>0</v>
      </c>
      <c r="F318" s="265">
        <f>sumif('Segment RAW Data 25-26'!$B$1:$X$1,$F$3,'Segment RAW Data 25-26'!$B317:$X317)</f>
        <v>0</v>
      </c>
      <c r="G318" s="265">
        <f>sumif('Segment RAW Data 25-26'!$B$1:$X$1,$G$3,'Segment RAW Data 25-26'!$B317:$X317)</f>
        <v>0</v>
      </c>
      <c r="H318" s="265">
        <f>sumif('Segment RAW Data 25-26'!$B$1:$X$1,$H$3,'Segment RAW Data 25-26'!$B317:$X317)</f>
        <v>0</v>
      </c>
      <c r="I318" s="265">
        <f>sumif('Segment RAW Data 25-26'!$B$1:$X$1,$I$3,'Segment RAW Data 25-26'!$B317:$X317)</f>
        <v>0</v>
      </c>
      <c r="J318" s="265">
        <f>sumif('Segment RAW Data 25-26'!$B$1:$X$1,$J$3,'Segment RAW Data 25-26'!$B317:$X317)</f>
        <v>0</v>
      </c>
      <c r="K318" s="265">
        <f>sumif('Segment RAW Data 25-26'!$B$1:$X$1,$K$3,'Segment RAW Data 25-26'!$B317:$X317)</f>
        <v>0</v>
      </c>
      <c r="L318" s="265">
        <f>sumif('Segment RAW Data 25-26'!$B$1:$X$1,$L$3,'Segment RAW Data 25-26'!$B317:$X317)</f>
        <v>0</v>
      </c>
      <c r="M318" s="270"/>
      <c r="N318" s="124"/>
      <c r="O318" s="124">
        <f>VLOOKUP(C318:C917,'Segment RAW Data 25-26'!A317:Y914,25,0)-VLOOKUP(C318:C917,C:D,2,0)</f>
        <v>0</v>
      </c>
    </row>
    <row r="319" hidden="1">
      <c r="A319" s="157" t="s">
        <v>185</v>
      </c>
      <c r="B319" s="157" t="s">
        <v>189</v>
      </c>
      <c r="C319" s="157" t="s">
        <v>237</v>
      </c>
      <c r="D319" s="124">
        <f t="shared" si="1"/>
        <v>14058907.73</v>
      </c>
      <c r="E319" s="265">
        <f>sumif('Segment RAW Data 25-26'!$B$1:$X$1,$E$3,'Segment RAW Data 25-26'!$B318:$X318)</f>
        <v>3391685.23</v>
      </c>
      <c r="F319" s="265">
        <f>sumif('Segment RAW Data 25-26'!$B$1:$X$1,$F$3,'Segment RAW Data 25-26'!$B318:$X318)</f>
        <v>1514091.1</v>
      </c>
      <c r="G319" s="265">
        <f>sumif('Segment RAW Data 25-26'!$B$1:$X$1,$G$3,'Segment RAW Data 25-26'!$B318:$X318)</f>
        <v>7468765.8</v>
      </c>
      <c r="H319" s="265">
        <f>sumif('Segment RAW Data 25-26'!$B$1:$X$1,$H$3,'Segment RAW Data 25-26'!$B318:$X318)</f>
        <v>305635.6</v>
      </c>
      <c r="I319" s="265">
        <f>sumif('Segment RAW Data 25-26'!$B$1:$X$1,$I$3,'Segment RAW Data 25-26'!$B318:$X318)</f>
        <v>0</v>
      </c>
      <c r="J319" s="265">
        <f>sumif('Segment RAW Data 25-26'!$B$1:$X$1,$J$3,'Segment RAW Data 25-26'!$B318:$X318)</f>
        <v>0</v>
      </c>
      <c r="K319" s="265">
        <f>sumif('Segment RAW Data 25-26'!$B$1:$X$1,$K$3,'Segment RAW Data 25-26'!$B318:$X318)</f>
        <v>0</v>
      </c>
      <c r="L319" s="265">
        <f>sumif('Segment RAW Data 25-26'!$B$1:$X$1,$L$3,'Segment RAW Data 25-26'!$B318:$X318)</f>
        <v>1378730</v>
      </c>
      <c r="M319" s="270"/>
      <c r="N319" s="124" t="s">
        <v>975</v>
      </c>
      <c r="O319" s="124">
        <f>VLOOKUP(C319:C918,'Segment RAW Data 25-26'!A318:Y915,25,0)-VLOOKUP(C319:C918,C:D,2,0)</f>
        <v>0.000000001862645149</v>
      </c>
    </row>
    <row r="320" hidden="1">
      <c r="A320" s="157"/>
      <c r="B320" s="157"/>
      <c r="C320" s="157" t="s">
        <v>731</v>
      </c>
      <c r="D320" s="124">
        <f t="shared" si="1"/>
        <v>0</v>
      </c>
      <c r="E320" s="265">
        <f>sumif('Segment RAW Data 25-26'!$B$1:$X$1,$E$3,'Segment RAW Data 25-26'!$B319:$X319)</f>
        <v>0</v>
      </c>
      <c r="F320" s="265">
        <f>sumif('Segment RAW Data 25-26'!$B$1:$X$1,$F$3,'Segment RAW Data 25-26'!$B319:$X319)</f>
        <v>0</v>
      </c>
      <c r="G320" s="265">
        <f>sumif('Segment RAW Data 25-26'!$B$1:$X$1,$G$3,'Segment RAW Data 25-26'!$B319:$X319)</f>
        <v>0</v>
      </c>
      <c r="H320" s="265">
        <f>sumif('Segment RAW Data 25-26'!$B$1:$X$1,$H$3,'Segment RAW Data 25-26'!$B319:$X319)</f>
        <v>0</v>
      </c>
      <c r="I320" s="265">
        <f>sumif('Segment RAW Data 25-26'!$B$1:$X$1,$I$3,'Segment RAW Data 25-26'!$B319:$X319)</f>
        <v>0</v>
      </c>
      <c r="J320" s="265">
        <f>sumif('Segment RAW Data 25-26'!$B$1:$X$1,$J$3,'Segment RAW Data 25-26'!$B319:$X319)</f>
        <v>0</v>
      </c>
      <c r="K320" s="265">
        <f>sumif('Segment RAW Data 25-26'!$B$1:$X$1,$K$3,'Segment RAW Data 25-26'!$B319:$X319)</f>
        <v>0</v>
      </c>
      <c r="L320" s="265">
        <f>sumif('Segment RAW Data 25-26'!$B$1:$X$1,$L$3,'Segment RAW Data 25-26'!$B319:$X319)</f>
        <v>0</v>
      </c>
      <c r="M320" s="270"/>
      <c r="N320" s="124"/>
      <c r="O320" s="124">
        <f>VLOOKUP(C320:C919,'Segment RAW Data 25-26'!A319:Y916,25,0)-VLOOKUP(C320:C919,C:D,2,0)</f>
        <v>0</v>
      </c>
    </row>
    <row r="321" hidden="1">
      <c r="A321" s="157" t="s">
        <v>185</v>
      </c>
      <c r="B321" s="157" t="s">
        <v>189</v>
      </c>
      <c r="C321" s="157" t="s">
        <v>732</v>
      </c>
      <c r="D321" s="124">
        <f t="shared" si="1"/>
        <v>6097041.88</v>
      </c>
      <c r="E321" s="265">
        <f>sumif('Segment RAW Data 25-26'!$B$1:$X$1,$E$3,'Segment RAW Data 25-26'!$B320:$X320)</f>
        <v>5573830.2</v>
      </c>
      <c r="F321" s="265">
        <f>sumif('Segment RAW Data 25-26'!$B$1:$X$1,$F$3,'Segment RAW Data 25-26'!$B320:$X320)</f>
        <v>0</v>
      </c>
      <c r="G321" s="265">
        <f>sumif('Segment RAW Data 25-26'!$B$1:$X$1,$G$3,'Segment RAW Data 25-26'!$B320:$X320)</f>
        <v>41226.68</v>
      </c>
      <c r="H321" s="265">
        <f>sumif('Segment RAW Data 25-26'!$B$1:$X$1,$H$3,'Segment RAW Data 25-26'!$B320:$X320)</f>
        <v>0</v>
      </c>
      <c r="I321" s="265">
        <f>sumif('Segment RAW Data 25-26'!$B$1:$X$1,$I$3,'Segment RAW Data 25-26'!$B320:$X320)</f>
        <v>0</v>
      </c>
      <c r="J321" s="265">
        <f>sumif('Segment RAW Data 25-26'!$B$1:$X$1,$J$3,'Segment RAW Data 25-26'!$B320:$X320)</f>
        <v>0</v>
      </c>
      <c r="K321" s="265">
        <f>sumif('Segment RAW Data 25-26'!$B$1:$X$1,$K$3,'Segment RAW Data 25-26'!$B320:$X320)</f>
        <v>0</v>
      </c>
      <c r="L321" s="265">
        <f>sumif('Segment RAW Data 25-26'!$B$1:$X$1,$L$3,'Segment RAW Data 25-26'!$B320:$X320)</f>
        <v>481985</v>
      </c>
      <c r="M321" s="270">
        <v>45869.0</v>
      </c>
      <c r="N321" s="124" t="s">
        <v>973</v>
      </c>
      <c r="O321" s="124">
        <f>VLOOKUP(C321:C920,'Segment RAW Data 25-26'!A320:Y917,25,0)-VLOOKUP(C321:C920,C:D,2,0)</f>
        <v>-0.009999999776</v>
      </c>
    </row>
    <row r="322" hidden="1">
      <c r="A322" s="157" t="s">
        <v>53</v>
      </c>
      <c r="B322" s="157" t="s">
        <v>56</v>
      </c>
      <c r="C322" s="157" t="s">
        <v>733</v>
      </c>
      <c r="D322" s="124">
        <f t="shared" si="1"/>
        <v>0</v>
      </c>
      <c r="E322" s="265">
        <f>sumif('Segment RAW Data 25-26'!$B$1:$X$1,$E$3,'Segment RAW Data 25-26'!$B321:$X321)</f>
        <v>0</v>
      </c>
      <c r="F322" s="265">
        <f>sumif('Segment RAW Data 25-26'!$B$1:$X$1,$F$3,'Segment RAW Data 25-26'!$B321:$X321)</f>
        <v>0</v>
      </c>
      <c r="G322" s="265">
        <f>sumif('Segment RAW Data 25-26'!$B$1:$X$1,$G$3,'Segment RAW Data 25-26'!$B321:$X321)</f>
        <v>0</v>
      </c>
      <c r="H322" s="265">
        <f>sumif('Segment RAW Data 25-26'!$B$1:$X$1,$H$3,'Segment RAW Data 25-26'!$B321:$X321)</f>
        <v>0</v>
      </c>
      <c r="I322" s="265">
        <f>sumif('Segment RAW Data 25-26'!$B$1:$X$1,$I$3,'Segment RAW Data 25-26'!$B321:$X321)</f>
        <v>0</v>
      </c>
      <c r="J322" s="265">
        <f>sumif('Segment RAW Data 25-26'!$B$1:$X$1,$J$3,'Segment RAW Data 25-26'!$B321:$X321)</f>
        <v>0</v>
      </c>
      <c r="K322" s="265">
        <f>sumif('Segment RAW Data 25-26'!$B$1:$X$1,$K$3,'Segment RAW Data 25-26'!$B321:$X321)</f>
        <v>0</v>
      </c>
      <c r="L322" s="265">
        <f>sumif('Segment RAW Data 25-26'!$B$1:$X$1,$L$3,'Segment RAW Data 25-26'!$B321:$X321)</f>
        <v>0</v>
      </c>
      <c r="M322" s="270"/>
      <c r="N322" s="124" t="s">
        <v>975</v>
      </c>
      <c r="O322" s="124">
        <f>VLOOKUP(C322:C921,'Segment RAW Data 25-26'!A321:Y918,25,0)-VLOOKUP(C322:C921,C:D,2,0)</f>
        <v>0</v>
      </c>
    </row>
    <row r="323" hidden="1">
      <c r="A323" s="157"/>
      <c r="B323" s="157"/>
      <c r="C323" s="157" t="s">
        <v>734</v>
      </c>
      <c r="D323" s="124">
        <f t="shared" si="1"/>
        <v>0</v>
      </c>
      <c r="E323" s="265">
        <f>sumif('Segment RAW Data 25-26'!$B$1:$X$1,$E$3,'Segment RAW Data 25-26'!$B322:$X322)</f>
        <v>0</v>
      </c>
      <c r="F323" s="265">
        <f>sumif('Segment RAW Data 25-26'!$B$1:$X$1,$F$3,'Segment RAW Data 25-26'!$B322:$X322)</f>
        <v>0</v>
      </c>
      <c r="G323" s="265">
        <f>sumif('Segment RAW Data 25-26'!$B$1:$X$1,$G$3,'Segment RAW Data 25-26'!$B322:$X322)</f>
        <v>0</v>
      </c>
      <c r="H323" s="265">
        <f>sumif('Segment RAW Data 25-26'!$B$1:$X$1,$H$3,'Segment RAW Data 25-26'!$B322:$X322)</f>
        <v>0</v>
      </c>
      <c r="I323" s="265">
        <f>sumif('Segment RAW Data 25-26'!$B$1:$X$1,$I$3,'Segment RAW Data 25-26'!$B322:$X322)</f>
        <v>0</v>
      </c>
      <c r="J323" s="265">
        <f>sumif('Segment RAW Data 25-26'!$B$1:$X$1,$J$3,'Segment RAW Data 25-26'!$B322:$X322)</f>
        <v>0</v>
      </c>
      <c r="K323" s="265">
        <f>sumif('Segment RAW Data 25-26'!$B$1:$X$1,$K$3,'Segment RAW Data 25-26'!$B322:$X322)</f>
        <v>0</v>
      </c>
      <c r="L323" s="265">
        <f>sumif('Segment RAW Data 25-26'!$B$1:$X$1,$L$3,'Segment RAW Data 25-26'!$B322:$X322)</f>
        <v>0</v>
      </c>
      <c r="M323" s="270"/>
      <c r="N323" s="124"/>
      <c r="O323" s="124">
        <f>VLOOKUP(C323:C922,'Segment RAW Data 25-26'!A322:Y919,25,0)-VLOOKUP(C323:C922,C:D,2,0)</f>
        <v>0</v>
      </c>
    </row>
    <row r="324" hidden="1">
      <c r="A324" s="157"/>
      <c r="B324" s="157"/>
      <c r="C324" s="157" t="s">
        <v>735</v>
      </c>
      <c r="D324" s="124">
        <f t="shared" si="1"/>
        <v>0</v>
      </c>
      <c r="E324" s="265">
        <f>sumif('Segment RAW Data 25-26'!$B$1:$X$1,$E$3,'Segment RAW Data 25-26'!$B323:$X323)</f>
        <v>0</v>
      </c>
      <c r="F324" s="265">
        <f>sumif('Segment RAW Data 25-26'!$B$1:$X$1,$F$3,'Segment RAW Data 25-26'!$B323:$X323)</f>
        <v>0</v>
      </c>
      <c r="G324" s="265">
        <f>sumif('Segment RAW Data 25-26'!$B$1:$X$1,$G$3,'Segment RAW Data 25-26'!$B323:$X323)</f>
        <v>0</v>
      </c>
      <c r="H324" s="265">
        <f>sumif('Segment RAW Data 25-26'!$B$1:$X$1,$H$3,'Segment RAW Data 25-26'!$B323:$X323)</f>
        <v>0</v>
      </c>
      <c r="I324" s="265">
        <f>sumif('Segment RAW Data 25-26'!$B$1:$X$1,$I$3,'Segment RAW Data 25-26'!$B323:$X323)</f>
        <v>0</v>
      </c>
      <c r="J324" s="265">
        <f>sumif('Segment RAW Data 25-26'!$B$1:$X$1,$J$3,'Segment RAW Data 25-26'!$B323:$X323)</f>
        <v>0</v>
      </c>
      <c r="K324" s="265">
        <f>sumif('Segment RAW Data 25-26'!$B$1:$X$1,$K$3,'Segment RAW Data 25-26'!$B323:$X323)</f>
        <v>0</v>
      </c>
      <c r="L324" s="265">
        <f>sumif('Segment RAW Data 25-26'!$B$1:$X$1,$L$3,'Segment RAW Data 25-26'!$B323:$X323)</f>
        <v>0</v>
      </c>
      <c r="M324" s="270"/>
      <c r="N324" s="124"/>
      <c r="O324" s="124">
        <f>VLOOKUP(C324:C923,'Segment RAW Data 25-26'!A323:Y920,25,0)-VLOOKUP(C324:C923,C:D,2,0)</f>
        <v>0</v>
      </c>
    </row>
    <row r="325" hidden="1">
      <c r="A325" s="157"/>
      <c r="B325" s="157"/>
      <c r="C325" s="157" t="s">
        <v>736</v>
      </c>
      <c r="D325" s="124">
        <f t="shared" si="1"/>
        <v>0</v>
      </c>
      <c r="E325" s="265">
        <f>sumif('Segment RAW Data 25-26'!$B$1:$X$1,$E$3,'Segment RAW Data 25-26'!$B324:$X324)</f>
        <v>0</v>
      </c>
      <c r="F325" s="265">
        <f>sumif('Segment RAW Data 25-26'!$B$1:$X$1,$F$3,'Segment RAW Data 25-26'!$B324:$X324)</f>
        <v>0</v>
      </c>
      <c r="G325" s="265">
        <f>sumif('Segment RAW Data 25-26'!$B$1:$X$1,$G$3,'Segment RAW Data 25-26'!$B324:$X324)</f>
        <v>0</v>
      </c>
      <c r="H325" s="265">
        <f>sumif('Segment RAW Data 25-26'!$B$1:$X$1,$H$3,'Segment RAW Data 25-26'!$B324:$X324)</f>
        <v>0</v>
      </c>
      <c r="I325" s="265">
        <f>sumif('Segment RAW Data 25-26'!$B$1:$X$1,$I$3,'Segment RAW Data 25-26'!$B324:$X324)</f>
        <v>0</v>
      </c>
      <c r="J325" s="265">
        <f>sumif('Segment RAW Data 25-26'!$B$1:$X$1,$J$3,'Segment RAW Data 25-26'!$B324:$X324)</f>
        <v>0</v>
      </c>
      <c r="K325" s="265">
        <f>sumif('Segment RAW Data 25-26'!$B$1:$X$1,$K$3,'Segment RAW Data 25-26'!$B324:$X324)</f>
        <v>0</v>
      </c>
      <c r="L325" s="265">
        <f>sumif('Segment RAW Data 25-26'!$B$1:$X$1,$L$3,'Segment RAW Data 25-26'!$B324:$X324)</f>
        <v>0</v>
      </c>
      <c r="M325" s="270"/>
      <c r="N325" s="124"/>
      <c r="O325" s="124">
        <f>VLOOKUP(C325:C924,'Segment RAW Data 25-26'!A324:Y921,25,0)-VLOOKUP(C325:C924,C:D,2,0)</f>
        <v>0</v>
      </c>
    </row>
    <row r="326" hidden="1">
      <c r="A326" s="157"/>
      <c r="B326" s="157"/>
      <c r="C326" s="157" t="s">
        <v>737</v>
      </c>
      <c r="D326" s="124">
        <f t="shared" si="1"/>
        <v>0</v>
      </c>
      <c r="E326" s="265">
        <f>sumif('Segment RAW Data 25-26'!$B$1:$X$1,$E$3,'Segment RAW Data 25-26'!$B325:$X325)</f>
        <v>0</v>
      </c>
      <c r="F326" s="265">
        <f>sumif('Segment RAW Data 25-26'!$B$1:$X$1,$F$3,'Segment RAW Data 25-26'!$B325:$X325)</f>
        <v>0</v>
      </c>
      <c r="G326" s="265">
        <f>sumif('Segment RAW Data 25-26'!$B$1:$X$1,$G$3,'Segment RAW Data 25-26'!$B325:$X325)</f>
        <v>0</v>
      </c>
      <c r="H326" s="265">
        <f>sumif('Segment RAW Data 25-26'!$B$1:$X$1,$H$3,'Segment RAW Data 25-26'!$B325:$X325)</f>
        <v>0</v>
      </c>
      <c r="I326" s="265">
        <f>sumif('Segment RAW Data 25-26'!$B$1:$X$1,$I$3,'Segment RAW Data 25-26'!$B325:$X325)</f>
        <v>0</v>
      </c>
      <c r="J326" s="265">
        <f>sumif('Segment RAW Data 25-26'!$B$1:$X$1,$J$3,'Segment RAW Data 25-26'!$B325:$X325)</f>
        <v>0</v>
      </c>
      <c r="K326" s="265">
        <f>sumif('Segment RAW Data 25-26'!$B$1:$X$1,$K$3,'Segment RAW Data 25-26'!$B325:$X325)</f>
        <v>0</v>
      </c>
      <c r="L326" s="265">
        <f>sumif('Segment RAW Data 25-26'!$B$1:$X$1,$L$3,'Segment RAW Data 25-26'!$B325:$X325)</f>
        <v>0</v>
      </c>
      <c r="M326" s="270"/>
      <c r="N326" s="124"/>
      <c r="O326" s="124">
        <f>VLOOKUP(C326:C925,'Segment RAW Data 25-26'!A325:Y922,25,0)-VLOOKUP(C326:C925,C:D,2,0)</f>
        <v>0</v>
      </c>
    </row>
    <row r="327" hidden="1">
      <c r="A327" s="157" t="s">
        <v>185</v>
      </c>
      <c r="B327" s="157" t="s">
        <v>189</v>
      </c>
      <c r="C327" s="157" t="s">
        <v>738</v>
      </c>
      <c r="D327" s="124">
        <f t="shared" si="1"/>
        <v>17661120.89</v>
      </c>
      <c r="E327" s="265">
        <f>sumif('Segment RAW Data 25-26'!$B$1:$X$1,$E$3,'Segment RAW Data 25-26'!$B326:$X326)</f>
        <v>8632962.3</v>
      </c>
      <c r="F327" s="265">
        <f>sumif('Segment RAW Data 25-26'!$B$1:$X$1,$F$3,'Segment RAW Data 25-26'!$B326:$X326)</f>
        <v>1699061.1</v>
      </c>
      <c r="G327" s="265">
        <f>sumif('Segment RAW Data 25-26'!$B$1:$X$1,$G$3,'Segment RAW Data 25-26'!$B326:$X326)</f>
        <v>5276751.24</v>
      </c>
      <c r="H327" s="265">
        <f>sumif('Segment RAW Data 25-26'!$B$1:$X$1,$H$3,'Segment RAW Data 25-26'!$B326:$X326)</f>
        <v>8151</v>
      </c>
      <c r="I327" s="265">
        <f>sumif('Segment RAW Data 25-26'!$B$1:$X$1,$I$3,'Segment RAW Data 25-26'!$B326:$X326)</f>
        <v>1380</v>
      </c>
      <c r="J327" s="265">
        <f>sumif('Segment RAW Data 25-26'!$B$1:$X$1,$J$3,'Segment RAW Data 25-26'!$B326:$X326)</f>
        <v>737871.5</v>
      </c>
      <c r="K327" s="265">
        <f>sumif('Segment RAW Data 25-26'!$B$1:$X$1,$K$3,'Segment RAW Data 25-26'!$B326:$X326)</f>
        <v>0</v>
      </c>
      <c r="L327" s="265">
        <f>sumif('Segment RAW Data 25-26'!$B$1:$X$1,$L$3,'Segment RAW Data 25-26'!$B326:$X326)</f>
        <v>1304943.75</v>
      </c>
      <c r="M327" s="270"/>
      <c r="N327" s="124" t="s">
        <v>975</v>
      </c>
      <c r="O327" s="124">
        <f>VLOOKUP(C327:C926,'Segment RAW Data 25-26'!A326:Y923,25,0)-VLOOKUP(C327:C926,C:D,2,0)</f>
        <v>-0.01000000164</v>
      </c>
    </row>
    <row r="328" hidden="1">
      <c r="A328" s="157"/>
      <c r="B328" s="157"/>
      <c r="C328" s="157" t="s">
        <v>739</v>
      </c>
      <c r="D328" s="124">
        <f t="shared" si="1"/>
        <v>0</v>
      </c>
      <c r="E328" s="265">
        <f>sumif('Segment RAW Data 25-26'!$B$1:$X$1,$E$3,'Segment RAW Data 25-26'!$B327:$X327)</f>
        <v>0</v>
      </c>
      <c r="F328" s="265">
        <f>sumif('Segment RAW Data 25-26'!$B$1:$X$1,$F$3,'Segment RAW Data 25-26'!$B327:$X327)</f>
        <v>0</v>
      </c>
      <c r="G328" s="265">
        <f>sumif('Segment RAW Data 25-26'!$B$1:$X$1,$G$3,'Segment RAW Data 25-26'!$B327:$X327)</f>
        <v>0</v>
      </c>
      <c r="H328" s="265">
        <f>sumif('Segment RAW Data 25-26'!$B$1:$X$1,$H$3,'Segment RAW Data 25-26'!$B327:$X327)</f>
        <v>0</v>
      </c>
      <c r="I328" s="265">
        <f>sumif('Segment RAW Data 25-26'!$B$1:$X$1,$I$3,'Segment RAW Data 25-26'!$B327:$X327)</f>
        <v>0</v>
      </c>
      <c r="J328" s="265">
        <f>sumif('Segment RAW Data 25-26'!$B$1:$X$1,$J$3,'Segment RAW Data 25-26'!$B327:$X327)</f>
        <v>0</v>
      </c>
      <c r="K328" s="265">
        <f>sumif('Segment RAW Data 25-26'!$B$1:$X$1,$K$3,'Segment RAW Data 25-26'!$B327:$X327)</f>
        <v>0</v>
      </c>
      <c r="L328" s="265">
        <f>sumif('Segment RAW Data 25-26'!$B$1:$X$1,$L$3,'Segment RAW Data 25-26'!$B327:$X327)</f>
        <v>0</v>
      </c>
      <c r="M328" s="270"/>
      <c r="N328" s="124"/>
      <c r="O328" s="124">
        <f>VLOOKUP(C328:C927,'Segment RAW Data 25-26'!A327:Y924,25,0)-VLOOKUP(C328:C927,C:D,2,0)</f>
        <v>0</v>
      </c>
    </row>
    <row r="329" hidden="1">
      <c r="A329" s="157"/>
      <c r="B329" s="157"/>
      <c r="C329" s="157" t="s">
        <v>740</v>
      </c>
      <c r="D329" s="124">
        <f t="shared" si="1"/>
        <v>0</v>
      </c>
      <c r="E329" s="265">
        <f>sumif('Segment RAW Data 25-26'!$B$1:$X$1,$E$3,'Segment RAW Data 25-26'!$B328:$X328)</f>
        <v>0</v>
      </c>
      <c r="F329" s="265">
        <f>sumif('Segment RAW Data 25-26'!$B$1:$X$1,$F$3,'Segment RAW Data 25-26'!$B328:$X328)</f>
        <v>0</v>
      </c>
      <c r="G329" s="265">
        <f>sumif('Segment RAW Data 25-26'!$B$1:$X$1,$G$3,'Segment RAW Data 25-26'!$B328:$X328)</f>
        <v>0</v>
      </c>
      <c r="H329" s="265">
        <f>sumif('Segment RAW Data 25-26'!$B$1:$X$1,$H$3,'Segment RAW Data 25-26'!$B328:$X328)</f>
        <v>0</v>
      </c>
      <c r="I329" s="265">
        <f>sumif('Segment RAW Data 25-26'!$B$1:$X$1,$I$3,'Segment RAW Data 25-26'!$B328:$X328)</f>
        <v>0</v>
      </c>
      <c r="J329" s="265">
        <f>sumif('Segment RAW Data 25-26'!$B$1:$X$1,$J$3,'Segment RAW Data 25-26'!$B328:$X328)</f>
        <v>0</v>
      </c>
      <c r="K329" s="265">
        <f>sumif('Segment RAW Data 25-26'!$B$1:$X$1,$K$3,'Segment RAW Data 25-26'!$B328:$X328)</f>
        <v>0</v>
      </c>
      <c r="L329" s="265">
        <f>sumif('Segment RAW Data 25-26'!$B$1:$X$1,$L$3,'Segment RAW Data 25-26'!$B328:$X328)</f>
        <v>0</v>
      </c>
      <c r="M329" s="270"/>
      <c r="N329" s="124"/>
      <c r="O329" s="124">
        <f>VLOOKUP(C329:C928,'Segment RAW Data 25-26'!A328:Y925,25,0)-VLOOKUP(C329:C928,C:D,2,0)</f>
        <v>0</v>
      </c>
    </row>
    <row r="330" hidden="1">
      <c r="A330" s="157"/>
      <c r="B330" s="157"/>
      <c r="C330" s="157" t="s">
        <v>741</v>
      </c>
      <c r="D330" s="124">
        <f t="shared" si="1"/>
        <v>0</v>
      </c>
      <c r="E330" s="265">
        <f>sumif('Segment RAW Data 25-26'!$B$1:$X$1,$E$3,'Segment RAW Data 25-26'!$B329:$X329)</f>
        <v>0</v>
      </c>
      <c r="F330" s="265">
        <f>sumif('Segment RAW Data 25-26'!$B$1:$X$1,$F$3,'Segment RAW Data 25-26'!$B329:$X329)</f>
        <v>0</v>
      </c>
      <c r="G330" s="265">
        <f>sumif('Segment RAW Data 25-26'!$B$1:$X$1,$G$3,'Segment RAW Data 25-26'!$B329:$X329)</f>
        <v>0</v>
      </c>
      <c r="H330" s="265">
        <f>sumif('Segment RAW Data 25-26'!$B$1:$X$1,$H$3,'Segment RAW Data 25-26'!$B329:$X329)</f>
        <v>0</v>
      </c>
      <c r="I330" s="265">
        <f>sumif('Segment RAW Data 25-26'!$B$1:$X$1,$I$3,'Segment RAW Data 25-26'!$B329:$X329)</f>
        <v>0</v>
      </c>
      <c r="J330" s="265">
        <f>sumif('Segment RAW Data 25-26'!$B$1:$X$1,$J$3,'Segment RAW Data 25-26'!$B329:$X329)</f>
        <v>0</v>
      </c>
      <c r="K330" s="265">
        <f>sumif('Segment RAW Data 25-26'!$B$1:$X$1,$K$3,'Segment RAW Data 25-26'!$B329:$X329)</f>
        <v>0</v>
      </c>
      <c r="L330" s="265">
        <f>sumif('Segment RAW Data 25-26'!$B$1:$X$1,$L$3,'Segment RAW Data 25-26'!$B329:$X329)</f>
        <v>0</v>
      </c>
      <c r="M330" s="270"/>
      <c r="N330" s="124"/>
      <c r="O330" s="124">
        <f>VLOOKUP(C330:C929,'Segment RAW Data 25-26'!A329:Y926,25,0)-VLOOKUP(C330:C929,C:D,2,0)</f>
        <v>0</v>
      </c>
    </row>
    <row r="331" hidden="1">
      <c r="A331" s="157"/>
      <c r="B331" s="157"/>
      <c r="C331" s="157" t="s">
        <v>742</v>
      </c>
      <c r="D331" s="124">
        <f t="shared" si="1"/>
        <v>0</v>
      </c>
      <c r="E331" s="265">
        <f>sumif('Segment RAW Data 25-26'!$B$1:$X$1,$E$3,'Segment RAW Data 25-26'!$B330:$X330)</f>
        <v>0</v>
      </c>
      <c r="F331" s="265">
        <f>sumif('Segment RAW Data 25-26'!$B$1:$X$1,$F$3,'Segment RAW Data 25-26'!$B330:$X330)</f>
        <v>0</v>
      </c>
      <c r="G331" s="265">
        <f>sumif('Segment RAW Data 25-26'!$B$1:$X$1,$G$3,'Segment RAW Data 25-26'!$B330:$X330)</f>
        <v>0</v>
      </c>
      <c r="H331" s="265">
        <f>sumif('Segment RAW Data 25-26'!$B$1:$X$1,$H$3,'Segment RAW Data 25-26'!$B330:$X330)</f>
        <v>0</v>
      </c>
      <c r="I331" s="265">
        <f>sumif('Segment RAW Data 25-26'!$B$1:$X$1,$I$3,'Segment RAW Data 25-26'!$B330:$X330)</f>
        <v>0</v>
      </c>
      <c r="J331" s="265">
        <f>sumif('Segment RAW Data 25-26'!$B$1:$X$1,$J$3,'Segment RAW Data 25-26'!$B330:$X330)</f>
        <v>0</v>
      </c>
      <c r="K331" s="265">
        <f>sumif('Segment RAW Data 25-26'!$B$1:$X$1,$K$3,'Segment RAW Data 25-26'!$B330:$X330)</f>
        <v>0</v>
      </c>
      <c r="L331" s="265">
        <f>sumif('Segment RAW Data 25-26'!$B$1:$X$1,$L$3,'Segment RAW Data 25-26'!$B330:$X330)</f>
        <v>0</v>
      </c>
      <c r="M331" s="270"/>
      <c r="N331" s="124"/>
      <c r="O331" s="124">
        <f>VLOOKUP(C331:C930,'Segment RAW Data 25-26'!A330:Y927,25,0)-VLOOKUP(C331:C930,C:D,2,0)</f>
        <v>0</v>
      </c>
    </row>
    <row r="332" hidden="1">
      <c r="A332" s="157"/>
      <c r="B332" s="157"/>
      <c r="C332" s="157" t="s">
        <v>743</v>
      </c>
      <c r="D332" s="124">
        <f t="shared" si="1"/>
        <v>0</v>
      </c>
      <c r="E332" s="265">
        <f>sumif('Segment RAW Data 25-26'!$B$1:$X$1,$E$3,'Segment RAW Data 25-26'!$B331:$X331)</f>
        <v>0</v>
      </c>
      <c r="F332" s="265">
        <f>sumif('Segment RAW Data 25-26'!$B$1:$X$1,$F$3,'Segment RAW Data 25-26'!$B331:$X331)</f>
        <v>0</v>
      </c>
      <c r="G332" s="265">
        <f>sumif('Segment RAW Data 25-26'!$B$1:$X$1,$G$3,'Segment RAW Data 25-26'!$B331:$X331)</f>
        <v>0</v>
      </c>
      <c r="H332" s="265">
        <f>sumif('Segment RAW Data 25-26'!$B$1:$X$1,$H$3,'Segment RAW Data 25-26'!$B331:$X331)</f>
        <v>0</v>
      </c>
      <c r="I332" s="265">
        <f>sumif('Segment RAW Data 25-26'!$B$1:$X$1,$I$3,'Segment RAW Data 25-26'!$B331:$X331)</f>
        <v>0</v>
      </c>
      <c r="J332" s="265">
        <f>sumif('Segment RAW Data 25-26'!$B$1:$X$1,$J$3,'Segment RAW Data 25-26'!$B331:$X331)</f>
        <v>0</v>
      </c>
      <c r="K332" s="265">
        <f>sumif('Segment RAW Data 25-26'!$B$1:$X$1,$K$3,'Segment RAW Data 25-26'!$B331:$X331)</f>
        <v>0</v>
      </c>
      <c r="L332" s="265">
        <f>sumif('Segment RAW Data 25-26'!$B$1:$X$1,$L$3,'Segment RAW Data 25-26'!$B331:$X331)</f>
        <v>0</v>
      </c>
      <c r="M332" s="270"/>
      <c r="N332" s="124"/>
      <c r="O332" s="124">
        <f>VLOOKUP(C332:C931,'Segment RAW Data 25-26'!A331:Y928,25,0)-VLOOKUP(C332:C931,C:D,2,0)</f>
        <v>0</v>
      </c>
    </row>
    <row r="333" hidden="1">
      <c r="A333" s="157" t="s">
        <v>185</v>
      </c>
      <c r="B333" s="157" t="s">
        <v>212</v>
      </c>
      <c r="C333" s="157" t="s">
        <v>744</v>
      </c>
      <c r="D333" s="124">
        <f t="shared" si="1"/>
        <v>5399095.88</v>
      </c>
      <c r="E333" s="265">
        <f>sumif('Segment RAW Data 25-26'!$B$1:$X$1,$E$3,'Segment RAW Data 25-26'!$B332:$X332)</f>
        <v>437100.21</v>
      </c>
      <c r="F333" s="265">
        <f>sumif('Segment RAW Data 25-26'!$B$1:$X$1,$F$3,'Segment RAW Data 25-26'!$B332:$X332)</f>
        <v>1781647.72</v>
      </c>
      <c r="G333" s="265">
        <f>sumif('Segment RAW Data 25-26'!$B$1:$X$1,$G$3,'Segment RAW Data 25-26'!$B332:$X332)</f>
        <v>2781710.39</v>
      </c>
      <c r="H333" s="265">
        <f>sumif('Segment RAW Data 25-26'!$B$1:$X$1,$H$3,'Segment RAW Data 25-26'!$B332:$X332)</f>
        <v>116176.45</v>
      </c>
      <c r="I333" s="265">
        <f>sumif('Segment RAW Data 25-26'!$B$1:$X$1,$I$3,'Segment RAW Data 25-26'!$B332:$X332)</f>
        <v>0</v>
      </c>
      <c r="J333" s="265">
        <f>sumif('Segment RAW Data 25-26'!$B$1:$X$1,$J$3,'Segment RAW Data 25-26'!$B332:$X332)</f>
        <v>282461.11</v>
      </c>
      <c r="K333" s="265">
        <f>sumif('Segment RAW Data 25-26'!$B$1:$X$1,$K$3,'Segment RAW Data 25-26'!$B332:$X332)</f>
        <v>0</v>
      </c>
      <c r="L333" s="265">
        <f>sumif('Segment RAW Data 25-26'!$B$1:$X$1,$L$3,'Segment RAW Data 25-26'!$B332:$X332)</f>
        <v>0</v>
      </c>
      <c r="M333" s="270">
        <v>45981.0</v>
      </c>
      <c r="N333" s="124" t="s">
        <v>973</v>
      </c>
      <c r="O333" s="124">
        <f>VLOOKUP(C333:C932,'Segment RAW Data 25-26'!A332:Y929,25,0)-VLOOKUP(C333:C932,C:D,2,0)</f>
        <v>-0.01000000071</v>
      </c>
    </row>
    <row r="334" hidden="1">
      <c r="A334" s="157"/>
      <c r="B334" s="157"/>
      <c r="C334" s="157" t="s">
        <v>745</v>
      </c>
      <c r="D334" s="124">
        <f t="shared" si="1"/>
        <v>0</v>
      </c>
      <c r="E334" s="265">
        <f>sumif('Segment RAW Data 25-26'!$B$1:$X$1,$E$3,'Segment RAW Data 25-26'!$B333:$X333)</f>
        <v>0</v>
      </c>
      <c r="F334" s="265">
        <f>sumif('Segment RAW Data 25-26'!$B$1:$X$1,$F$3,'Segment RAW Data 25-26'!$B333:$X333)</f>
        <v>0</v>
      </c>
      <c r="G334" s="265">
        <f>sumif('Segment RAW Data 25-26'!$B$1:$X$1,$G$3,'Segment RAW Data 25-26'!$B333:$X333)</f>
        <v>0</v>
      </c>
      <c r="H334" s="265">
        <f>sumif('Segment RAW Data 25-26'!$B$1:$X$1,$H$3,'Segment RAW Data 25-26'!$B333:$X333)</f>
        <v>0</v>
      </c>
      <c r="I334" s="265">
        <f>sumif('Segment RAW Data 25-26'!$B$1:$X$1,$I$3,'Segment RAW Data 25-26'!$B333:$X333)</f>
        <v>0</v>
      </c>
      <c r="J334" s="265">
        <f>sumif('Segment RAW Data 25-26'!$B$1:$X$1,$J$3,'Segment RAW Data 25-26'!$B333:$X333)</f>
        <v>0</v>
      </c>
      <c r="K334" s="265">
        <f>sumif('Segment RAW Data 25-26'!$B$1:$X$1,$K$3,'Segment RAW Data 25-26'!$B333:$X333)</f>
        <v>0</v>
      </c>
      <c r="L334" s="265">
        <f>sumif('Segment RAW Data 25-26'!$B$1:$X$1,$L$3,'Segment RAW Data 25-26'!$B333:$X333)</f>
        <v>0</v>
      </c>
      <c r="M334" s="270"/>
      <c r="N334" s="124"/>
      <c r="O334" s="124">
        <f>VLOOKUP(C334:C933,'Segment RAW Data 25-26'!A333:Y930,25,0)-VLOOKUP(C334:C933,C:D,2,0)</f>
        <v>0</v>
      </c>
    </row>
    <row r="335" hidden="1">
      <c r="A335" s="157" t="s">
        <v>53</v>
      </c>
      <c r="B335" s="157" t="s">
        <v>61</v>
      </c>
      <c r="C335" s="157" t="s">
        <v>746</v>
      </c>
      <c r="D335" s="124">
        <f t="shared" si="1"/>
        <v>12354768.66</v>
      </c>
      <c r="E335" s="265">
        <f>sumif('Segment RAW Data 25-26'!$B$1:$X$1,$E$3,'Segment RAW Data 25-26'!$B334:$X334)</f>
        <v>5319081.72</v>
      </c>
      <c r="F335" s="265">
        <f>sumif('Segment RAW Data 25-26'!$B$1:$X$1,$F$3,'Segment RAW Data 25-26'!$B334:$X334)</f>
        <v>2295742.8</v>
      </c>
      <c r="G335" s="265">
        <f>sumif('Segment RAW Data 25-26'!$B$1:$X$1,$G$3,'Segment RAW Data 25-26'!$B334:$X334)</f>
        <v>2100251.84</v>
      </c>
      <c r="H335" s="265">
        <f>sumif('Segment RAW Data 25-26'!$B$1:$X$1,$H$3,'Segment RAW Data 25-26'!$B334:$X334)</f>
        <v>303486</v>
      </c>
      <c r="I335" s="265">
        <f>sumif('Segment RAW Data 25-26'!$B$1:$X$1,$I$3,'Segment RAW Data 25-26'!$B334:$X334)</f>
        <v>0</v>
      </c>
      <c r="J335" s="265">
        <f>sumif('Segment RAW Data 25-26'!$B$1:$X$1,$J$3,'Segment RAW Data 25-26'!$B334:$X334)</f>
        <v>591221.2</v>
      </c>
      <c r="K335" s="265">
        <f>sumif('Segment RAW Data 25-26'!$B$1:$X$1,$K$3,'Segment RAW Data 25-26'!$B334:$X334)</f>
        <v>0</v>
      </c>
      <c r="L335" s="265">
        <f>sumif('Segment RAW Data 25-26'!$B$1:$X$1,$L$3,'Segment RAW Data 25-26'!$B334:$X334)</f>
        <v>1744985.1</v>
      </c>
      <c r="M335" s="270"/>
      <c r="N335" s="124" t="s">
        <v>975</v>
      </c>
      <c r="O335" s="124">
        <f>VLOOKUP(C335:C934,'Segment RAW Data 25-26'!A334:Y931,25,0)-VLOOKUP(C335:C934,C:D,2,0)</f>
        <v>0.000000001862645149</v>
      </c>
    </row>
    <row r="336" hidden="1">
      <c r="A336" s="157" t="s">
        <v>185</v>
      </c>
      <c r="B336" s="157" t="s">
        <v>189</v>
      </c>
      <c r="C336" s="157" t="s">
        <v>747</v>
      </c>
      <c r="D336" s="124">
        <f t="shared" si="1"/>
        <v>9637244</v>
      </c>
      <c r="E336" s="265">
        <f>sumif('Segment RAW Data 25-26'!$B$1:$X$1,$E$3,'Segment RAW Data 25-26'!$B335:$X335)</f>
        <v>4758040.79</v>
      </c>
      <c r="F336" s="265">
        <f>sumif('Segment RAW Data 25-26'!$B$1:$X$1,$F$3,'Segment RAW Data 25-26'!$B335:$X335)</f>
        <v>1589866.72</v>
      </c>
      <c r="G336" s="265">
        <f>sumif('Segment RAW Data 25-26'!$B$1:$X$1,$G$3,'Segment RAW Data 25-26'!$B335:$X335)</f>
        <v>2337687.34</v>
      </c>
      <c r="H336" s="265">
        <f>sumif('Segment RAW Data 25-26'!$B$1:$X$1,$H$3,'Segment RAW Data 25-26'!$B335:$X335)</f>
        <v>65327.6</v>
      </c>
      <c r="I336" s="265">
        <f>sumif('Segment RAW Data 25-26'!$B$1:$X$1,$I$3,'Segment RAW Data 25-26'!$B335:$X335)</f>
        <v>0</v>
      </c>
      <c r="J336" s="265">
        <f>sumif('Segment RAW Data 25-26'!$B$1:$X$1,$J$3,'Segment RAW Data 25-26'!$B335:$X335)</f>
        <v>541897.8</v>
      </c>
      <c r="K336" s="265">
        <f>sumif('Segment RAW Data 25-26'!$B$1:$X$1,$K$3,'Segment RAW Data 25-26'!$B335:$X335)</f>
        <v>0</v>
      </c>
      <c r="L336" s="265">
        <f>sumif('Segment RAW Data 25-26'!$B$1:$X$1,$L$3,'Segment RAW Data 25-26'!$B335:$X335)</f>
        <v>344423.75</v>
      </c>
      <c r="M336" s="270"/>
      <c r="N336" s="124" t="s">
        <v>975</v>
      </c>
      <c r="O336" s="124">
        <f>VLOOKUP(C336:C935,'Segment RAW Data 25-26'!A335:Y932,25,0)-VLOOKUP(C336:C935,C:D,2,0)</f>
        <v>0.009999999776</v>
      </c>
    </row>
    <row r="337" hidden="1">
      <c r="A337" s="157" t="s">
        <v>185</v>
      </c>
      <c r="B337" s="157" t="s">
        <v>189</v>
      </c>
      <c r="C337" s="157" t="s">
        <v>240</v>
      </c>
      <c r="D337" s="124">
        <f t="shared" si="1"/>
        <v>16285524.82</v>
      </c>
      <c r="E337" s="265">
        <f>sumif('Segment RAW Data 25-26'!$B$1:$X$1,$E$3,'Segment RAW Data 25-26'!$B336:$X336)</f>
        <v>0</v>
      </c>
      <c r="F337" s="265">
        <f>sumif('Segment RAW Data 25-26'!$B$1:$X$1,$F$3,'Segment RAW Data 25-26'!$B336:$X336)</f>
        <v>5080678.9</v>
      </c>
      <c r="G337" s="265">
        <f>sumif('Segment RAW Data 25-26'!$B$1:$X$1,$G$3,'Segment RAW Data 25-26'!$B336:$X336)</f>
        <v>11078945.92</v>
      </c>
      <c r="H337" s="265">
        <f>sumif('Segment RAW Data 25-26'!$B$1:$X$1,$H$3,'Segment RAW Data 25-26'!$B336:$X336)</f>
        <v>125900</v>
      </c>
      <c r="I337" s="265">
        <f>sumif('Segment RAW Data 25-26'!$B$1:$X$1,$I$3,'Segment RAW Data 25-26'!$B336:$X336)</f>
        <v>0</v>
      </c>
      <c r="J337" s="265">
        <f>sumif('Segment RAW Data 25-26'!$B$1:$X$1,$J$3,'Segment RAW Data 25-26'!$B336:$X336)</f>
        <v>0</v>
      </c>
      <c r="K337" s="265">
        <f>sumif('Segment RAW Data 25-26'!$B$1:$X$1,$K$3,'Segment RAW Data 25-26'!$B336:$X336)</f>
        <v>0</v>
      </c>
      <c r="L337" s="265">
        <f>sumif('Segment RAW Data 25-26'!$B$1:$X$1,$L$3,'Segment RAW Data 25-26'!$B336:$X336)</f>
        <v>0</v>
      </c>
      <c r="M337" s="270"/>
      <c r="N337" s="124" t="s">
        <v>975</v>
      </c>
      <c r="O337" s="124">
        <f>VLOOKUP(C337:C936,'Segment RAW Data 25-26'!A336:Y933,25,0)-VLOOKUP(C337:C936,C:D,2,0)</f>
        <v>0</v>
      </c>
    </row>
    <row r="338" hidden="1">
      <c r="A338" s="157"/>
      <c r="B338" s="157"/>
      <c r="C338" s="157" t="s">
        <v>748</v>
      </c>
      <c r="D338" s="124">
        <f t="shared" si="1"/>
        <v>0</v>
      </c>
      <c r="E338" s="265">
        <f>sumif('Segment RAW Data 25-26'!$B$1:$X$1,$E$3,'Segment RAW Data 25-26'!$B337:$X337)</f>
        <v>0</v>
      </c>
      <c r="F338" s="265">
        <f>sumif('Segment RAW Data 25-26'!$B$1:$X$1,$F$3,'Segment RAW Data 25-26'!$B337:$X337)</f>
        <v>0</v>
      </c>
      <c r="G338" s="265">
        <f>sumif('Segment RAW Data 25-26'!$B$1:$X$1,$G$3,'Segment RAW Data 25-26'!$B337:$X337)</f>
        <v>0</v>
      </c>
      <c r="H338" s="265">
        <f>sumif('Segment RAW Data 25-26'!$B$1:$X$1,$H$3,'Segment RAW Data 25-26'!$B337:$X337)</f>
        <v>0</v>
      </c>
      <c r="I338" s="265">
        <f>sumif('Segment RAW Data 25-26'!$B$1:$X$1,$I$3,'Segment RAW Data 25-26'!$B337:$X337)</f>
        <v>0</v>
      </c>
      <c r="J338" s="265">
        <f>sumif('Segment RAW Data 25-26'!$B$1:$X$1,$J$3,'Segment RAW Data 25-26'!$B337:$X337)</f>
        <v>0</v>
      </c>
      <c r="K338" s="265">
        <f>sumif('Segment RAW Data 25-26'!$B$1:$X$1,$K$3,'Segment RAW Data 25-26'!$B337:$X337)</f>
        <v>0</v>
      </c>
      <c r="L338" s="265">
        <f>sumif('Segment RAW Data 25-26'!$B$1:$X$1,$L$3,'Segment RAW Data 25-26'!$B337:$X337)</f>
        <v>0</v>
      </c>
      <c r="M338" s="270"/>
      <c r="N338" s="124"/>
      <c r="O338" s="124">
        <f>VLOOKUP(C338:C937,'Segment RAW Data 25-26'!A337:Y934,25,0)-VLOOKUP(C338:C937,C:D,2,0)</f>
        <v>0</v>
      </c>
    </row>
    <row r="339" hidden="1">
      <c r="A339" s="157"/>
      <c r="B339" s="157"/>
      <c r="C339" s="157" t="s">
        <v>749</v>
      </c>
      <c r="D339" s="124">
        <f t="shared" si="1"/>
        <v>0</v>
      </c>
      <c r="E339" s="265">
        <f>sumif('Segment RAW Data 25-26'!$B$1:$X$1,$E$3,'Segment RAW Data 25-26'!$B338:$X338)</f>
        <v>0</v>
      </c>
      <c r="F339" s="265">
        <f>sumif('Segment RAW Data 25-26'!$B$1:$X$1,$F$3,'Segment RAW Data 25-26'!$B338:$X338)</f>
        <v>0</v>
      </c>
      <c r="G339" s="265">
        <f>sumif('Segment RAW Data 25-26'!$B$1:$X$1,$G$3,'Segment RAW Data 25-26'!$B338:$X338)</f>
        <v>0</v>
      </c>
      <c r="H339" s="265">
        <f>sumif('Segment RAW Data 25-26'!$B$1:$X$1,$H$3,'Segment RAW Data 25-26'!$B338:$X338)</f>
        <v>0</v>
      </c>
      <c r="I339" s="265">
        <f>sumif('Segment RAW Data 25-26'!$B$1:$X$1,$I$3,'Segment RAW Data 25-26'!$B338:$X338)</f>
        <v>0</v>
      </c>
      <c r="J339" s="265">
        <f>sumif('Segment RAW Data 25-26'!$B$1:$X$1,$J$3,'Segment RAW Data 25-26'!$B338:$X338)</f>
        <v>0</v>
      </c>
      <c r="K339" s="265">
        <f>sumif('Segment RAW Data 25-26'!$B$1:$X$1,$K$3,'Segment RAW Data 25-26'!$B338:$X338)</f>
        <v>0</v>
      </c>
      <c r="L339" s="265">
        <f>sumif('Segment RAW Data 25-26'!$B$1:$X$1,$L$3,'Segment RAW Data 25-26'!$B338:$X338)</f>
        <v>0</v>
      </c>
      <c r="M339" s="270"/>
      <c r="N339" s="124"/>
      <c r="O339" s="124">
        <f>VLOOKUP(C339:C938,'Segment RAW Data 25-26'!A338:Y935,25,0)-VLOOKUP(C339:C938,C:D,2,0)</f>
        <v>0</v>
      </c>
    </row>
    <row r="340" hidden="1">
      <c r="A340" s="157" t="s">
        <v>185</v>
      </c>
      <c r="B340" s="157" t="s">
        <v>117</v>
      </c>
      <c r="C340" s="157" t="s">
        <v>428</v>
      </c>
      <c r="D340" s="124">
        <f t="shared" si="1"/>
        <v>606786.61</v>
      </c>
      <c r="E340" s="265">
        <f>sumif('Segment RAW Data 25-26'!$B$1:$X$1,$E$3,'Segment RAW Data 25-26'!$B339:$X339)</f>
        <v>0</v>
      </c>
      <c r="F340" s="265">
        <f>sumif('Segment RAW Data 25-26'!$B$1:$X$1,$F$3,'Segment RAW Data 25-26'!$B339:$X339)</f>
        <v>0</v>
      </c>
      <c r="G340" s="265">
        <f>sumif('Segment RAW Data 25-26'!$B$1:$X$1,$G$3,'Segment RAW Data 25-26'!$B339:$X339)</f>
        <v>530309.11</v>
      </c>
      <c r="H340" s="265">
        <f>sumif('Segment RAW Data 25-26'!$B$1:$X$1,$H$3,'Segment RAW Data 25-26'!$B339:$X339)</f>
        <v>76477.5</v>
      </c>
      <c r="I340" s="265">
        <f>sumif('Segment RAW Data 25-26'!$B$1:$X$1,$I$3,'Segment RAW Data 25-26'!$B339:$X339)</f>
        <v>0</v>
      </c>
      <c r="J340" s="265">
        <f>sumif('Segment RAW Data 25-26'!$B$1:$X$1,$J$3,'Segment RAW Data 25-26'!$B339:$X339)</f>
        <v>0</v>
      </c>
      <c r="K340" s="265">
        <f>sumif('Segment RAW Data 25-26'!$B$1:$X$1,$K$3,'Segment RAW Data 25-26'!$B339:$X339)</f>
        <v>0</v>
      </c>
      <c r="L340" s="265">
        <f>sumif('Segment RAW Data 25-26'!$B$1:$X$1,$L$3,'Segment RAW Data 25-26'!$B339:$X339)</f>
        <v>0</v>
      </c>
      <c r="M340" s="270">
        <v>45808.0</v>
      </c>
      <c r="N340" s="124" t="s">
        <v>973</v>
      </c>
      <c r="O340" s="124">
        <f>VLOOKUP(C340:C939,'Segment RAW Data 25-26'!A339:Y936,25,0)-VLOOKUP(C340:C939,C:D,2,0)</f>
        <v>0</v>
      </c>
    </row>
    <row r="341" hidden="1">
      <c r="A341" s="157" t="s">
        <v>73</v>
      </c>
      <c r="B341" s="157" t="s">
        <v>76</v>
      </c>
      <c r="C341" s="157" t="s">
        <v>77</v>
      </c>
      <c r="D341" s="124">
        <f t="shared" si="1"/>
        <v>5245728.85</v>
      </c>
      <c r="E341" s="265">
        <f>sumif('Segment RAW Data 25-26'!$B$1:$X$1,$E$3,'Segment RAW Data 25-26'!$B340:$X340)</f>
        <v>908455.8</v>
      </c>
      <c r="F341" s="265">
        <f>sumif('Segment RAW Data 25-26'!$B$1:$X$1,$F$3,'Segment RAW Data 25-26'!$B340:$X340)</f>
        <v>1113213.2</v>
      </c>
      <c r="G341" s="265">
        <f>sumif('Segment RAW Data 25-26'!$B$1:$X$1,$G$3,'Segment RAW Data 25-26'!$B340:$X340)</f>
        <v>2940972.1</v>
      </c>
      <c r="H341" s="265">
        <f>sumif('Segment RAW Data 25-26'!$B$1:$X$1,$H$3,'Segment RAW Data 25-26'!$B340:$X340)</f>
        <v>143126.5</v>
      </c>
      <c r="I341" s="265">
        <f>sumif('Segment RAW Data 25-26'!$B$1:$X$1,$I$3,'Segment RAW Data 25-26'!$B340:$X340)</f>
        <v>0</v>
      </c>
      <c r="J341" s="265">
        <f>sumif('Segment RAW Data 25-26'!$B$1:$X$1,$J$3,'Segment RAW Data 25-26'!$B340:$X340)</f>
        <v>139961.25</v>
      </c>
      <c r="K341" s="265">
        <f>sumif('Segment RAW Data 25-26'!$B$1:$X$1,$K$3,'Segment RAW Data 25-26'!$B340:$X340)</f>
        <v>0</v>
      </c>
      <c r="L341" s="265">
        <f>sumif('Segment RAW Data 25-26'!$B$1:$X$1,$L$3,'Segment RAW Data 25-26'!$B340:$X340)</f>
        <v>0</v>
      </c>
      <c r="M341" s="270"/>
      <c r="N341" s="124" t="s">
        <v>975</v>
      </c>
      <c r="O341" s="124">
        <f>VLOOKUP(C341:C940,'Segment RAW Data 25-26'!A340:Y937,25,0)-VLOOKUP(C341:C940,C:D,2,0)</f>
        <v>0</v>
      </c>
    </row>
    <row r="342" hidden="1">
      <c r="A342" s="157"/>
      <c r="B342" s="157"/>
      <c r="C342" s="157" t="s">
        <v>750</v>
      </c>
      <c r="D342" s="124">
        <f t="shared" si="1"/>
        <v>0</v>
      </c>
      <c r="E342" s="265">
        <f>sumif('Segment RAW Data 25-26'!$B$1:$X$1,$E$3,'Segment RAW Data 25-26'!$B341:$X341)</f>
        <v>0</v>
      </c>
      <c r="F342" s="265">
        <f>sumif('Segment RAW Data 25-26'!$B$1:$X$1,$F$3,'Segment RAW Data 25-26'!$B341:$X341)</f>
        <v>0</v>
      </c>
      <c r="G342" s="265">
        <f>sumif('Segment RAW Data 25-26'!$B$1:$X$1,$G$3,'Segment RAW Data 25-26'!$B341:$X341)</f>
        <v>0</v>
      </c>
      <c r="H342" s="265">
        <f>sumif('Segment RAW Data 25-26'!$B$1:$X$1,$H$3,'Segment RAW Data 25-26'!$B341:$X341)</f>
        <v>0</v>
      </c>
      <c r="I342" s="265">
        <f>sumif('Segment RAW Data 25-26'!$B$1:$X$1,$I$3,'Segment RAW Data 25-26'!$B341:$X341)</f>
        <v>0</v>
      </c>
      <c r="J342" s="265">
        <f>sumif('Segment RAW Data 25-26'!$B$1:$X$1,$J$3,'Segment RAW Data 25-26'!$B341:$X341)</f>
        <v>0</v>
      </c>
      <c r="K342" s="265">
        <f>sumif('Segment RAW Data 25-26'!$B$1:$X$1,$K$3,'Segment RAW Data 25-26'!$B341:$X341)</f>
        <v>0</v>
      </c>
      <c r="L342" s="265">
        <f>sumif('Segment RAW Data 25-26'!$B$1:$X$1,$L$3,'Segment RAW Data 25-26'!$B341:$X341)</f>
        <v>0</v>
      </c>
      <c r="M342" s="270"/>
      <c r="N342" s="124"/>
      <c r="O342" s="124">
        <f>VLOOKUP(C342:C941,'Segment RAW Data 25-26'!A341:Y938,25,0)-VLOOKUP(C342:C941,C:D,2,0)</f>
        <v>0</v>
      </c>
    </row>
    <row r="343" hidden="1">
      <c r="A343" s="157"/>
      <c r="B343" s="157"/>
      <c r="C343" s="157" t="s">
        <v>751</v>
      </c>
      <c r="D343" s="124">
        <f t="shared" si="1"/>
        <v>0</v>
      </c>
      <c r="E343" s="265">
        <f>sumif('Segment RAW Data 25-26'!$B$1:$X$1,$E$3,'Segment RAW Data 25-26'!$B342:$X342)</f>
        <v>0</v>
      </c>
      <c r="F343" s="265">
        <f>sumif('Segment RAW Data 25-26'!$B$1:$X$1,$F$3,'Segment RAW Data 25-26'!$B342:$X342)</f>
        <v>0</v>
      </c>
      <c r="G343" s="265">
        <f>sumif('Segment RAW Data 25-26'!$B$1:$X$1,$G$3,'Segment RAW Data 25-26'!$B342:$X342)</f>
        <v>0</v>
      </c>
      <c r="H343" s="265">
        <f>sumif('Segment RAW Data 25-26'!$B$1:$X$1,$H$3,'Segment RAW Data 25-26'!$B342:$X342)</f>
        <v>0</v>
      </c>
      <c r="I343" s="265">
        <f>sumif('Segment RAW Data 25-26'!$B$1:$X$1,$I$3,'Segment RAW Data 25-26'!$B342:$X342)</f>
        <v>0</v>
      </c>
      <c r="J343" s="265">
        <f>sumif('Segment RAW Data 25-26'!$B$1:$X$1,$J$3,'Segment RAW Data 25-26'!$B342:$X342)</f>
        <v>0</v>
      </c>
      <c r="K343" s="265">
        <f>sumif('Segment RAW Data 25-26'!$B$1:$X$1,$K$3,'Segment RAW Data 25-26'!$B342:$X342)</f>
        <v>0</v>
      </c>
      <c r="L343" s="265">
        <f>sumif('Segment RAW Data 25-26'!$B$1:$X$1,$L$3,'Segment RAW Data 25-26'!$B342:$X342)</f>
        <v>0</v>
      </c>
      <c r="M343" s="270"/>
      <c r="N343" s="124"/>
      <c r="O343" s="124">
        <f>VLOOKUP(C343:C942,'Segment RAW Data 25-26'!A342:Y939,25,0)-VLOOKUP(C343:C942,C:D,2,0)</f>
        <v>0</v>
      </c>
    </row>
    <row r="344" hidden="1">
      <c r="A344" s="157"/>
      <c r="B344" s="157"/>
      <c r="C344" s="157" t="s">
        <v>752</v>
      </c>
      <c r="D344" s="124">
        <f t="shared" si="1"/>
        <v>0</v>
      </c>
      <c r="E344" s="265">
        <f>sumif('Segment RAW Data 25-26'!$B$1:$X$1,$E$3,'Segment RAW Data 25-26'!$B343:$X343)</f>
        <v>0</v>
      </c>
      <c r="F344" s="265">
        <f>sumif('Segment RAW Data 25-26'!$B$1:$X$1,$F$3,'Segment RAW Data 25-26'!$B343:$X343)</f>
        <v>0</v>
      </c>
      <c r="G344" s="265">
        <f>sumif('Segment RAW Data 25-26'!$B$1:$X$1,$G$3,'Segment RAW Data 25-26'!$B343:$X343)</f>
        <v>0</v>
      </c>
      <c r="H344" s="265">
        <f>sumif('Segment RAW Data 25-26'!$B$1:$X$1,$H$3,'Segment RAW Data 25-26'!$B343:$X343)</f>
        <v>0</v>
      </c>
      <c r="I344" s="265">
        <f>sumif('Segment RAW Data 25-26'!$B$1:$X$1,$I$3,'Segment RAW Data 25-26'!$B343:$X343)</f>
        <v>0</v>
      </c>
      <c r="J344" s="265">
        <f>sumif('Segment RAW Data 25-26'!$B$1:$X$1,$J$3,'Segment RAW Data 25-26'!$B343:$X343)</f>
        <v>0</v>
      </c>
      <c r="K344" s="265">
        <f>sumif('Segment RAW Data 25-26'!$B$1:$X$1,$K$3,'Segment RAW Data 25-26'!$B343:$X343)</f>
        <v>0</v>
      </c>
      <c r="L344" s="265">
        <f>sumif('Segment RAW Data 25-26'!$B$1:$X$1,$L$3,'Segment RAW Data 25-26'!$B343:$X343)</f>
        <v>0</v>
      </c>
      <c r="M344" s="270"/>
      <c r="N344" s="124"/>
      <c r="O344" s="124">
        <f>VLOOKUP(C344:C943,'Segment RAW Data 25-26'!A343:Y940,25,0)-VLOOKUP(C344:C943,C:D,2,0)</f>
        <v>0</v>
      </c>
    </row>
    <row r="345" hidden="1">
      <c r="A345" s="157" t="s">
        <v>53</v>
      </c>
      <c r="B345" s="157" t="s">
        <v>61</v>
      </c>
      <c r="C345" s="157" t="s">
        <v>363</v>
      </c>
      <c r="D345" s="124">
        <f t="shared" si="1"/>
        <v>301773.35</v>
      </c>
      <c r="E345" s="265">
        <f>sumif('Segment RAW Data 25-26'!$B$1:$X$1,$E$3,'Segment RAW Data 25-26'!$B344:$X344)</f>
        <v>68041.25</v>
      </c>
      <c r="F345" s="265">
        <f>sumif('Segment RAW Data 25-26'!$B$1:$X$1,$F$3,'Segment RAW Data 25-26'!$B344:$X344)</f>
        <v>46159.2</v>
      </c>
      <c r="G345" s="265">
        <f>sumif('Segment RAW Data 25-26'!$B$1:$X$1,$G$3,'Segment RAW Data 25-26'!$B344:$X344)</f>
        <v>187572.9</v>
      </c>
      <c r="H345" s="265">
        <f>sumif('Segment RAW Data 25-26'!$B$1:$X$1,$H$3,'Segment RAW Data 25-26'!$B344:$X344)</f>
        <v>0</v>
      </c>
      <c r="I345" s="265">
        <f>sumif('Segment RAW Data 25-26'!$B$1:$X$1,$I$3,'Segment RAW Data 25-26'!$B344:$X344)</f>
        <v>0</v>
      </c>
      <c r="J345" s="265">
        <f>sumif('Segment RAW Data 25-26'!$B$1:$X$1,$J$3,'Segment RAW Data 25-26'!$B344:$X344)</f>
        <v>0</v>
      </c>
      <c r="K345" s="265">
        <f>sumif('Segment RAW Data 25-26'!$B$1:$X$1,$K$3,'Segment RAW Data 25-26'!$B344:$X344)</f>
        <v>0</v>
      </c>
      <c r="L345" s="265">
        <f>sumif('Segment RAW Data 25-26'!$B$1:$X$1,$L$3,'Segment RAW Data 25-26'!$B344:$X344)</f>
        <v>0</v>
      </c>
      <c r="M345" s="270">
        <v>45794.0</v>
      </c>
      <c r="N345" s="124" t="s">
        <v>973</v>
      </c>
      <c r="O345" s="124">
        <f>VLOOKUP(C345:C944,'Segment RAW Data 25-26'!A344:Y941,25,0)-VLOOKUP(C345:C944,C:D,2,0)</f>
        <v>0</v>
      </c>
    </row>
    <row r="346" hidden="1">
      <c r="A346" s="157" t="s">
        <v>53</v>
      </c>
      <c r="B346" s="157" t="s">
        <v>56</v>
      </c>
      <c r="C346" s="157" t="s">
        <v>54</v>
      </c>
      <c r="D346" s="124">
        <f t="shared" si="1"/>
        <v>5898219.89</v>
      </c>
      <c r="E346" s="265">
        <f>sumif('Segment RAW Data 25-26'!$B$1:$X$1,$E$3,'Segment RAW Data 25-26'!$B345:$X345)</f>
        <v>1474343.82</v>
      </c>
      <c r="F346" s="265">
        <f>sumif('Segment RAW Data 25-26'!$B$1:$X$1,$F$3,'Segment RAW Data 25-26'!$B345:$X345)</f>
        <v>216824.04</v>
      </c>
      <c r="G346" s="265">
        <f>sumif('Segment RAW Data 25-26'!$B$1:$X$1,$G$3,'Segment RAW Data 25-26'!$B345:$X345)</f>
        <v>2627477.43</v>
      </c>
      <c r="H346" s="265">
        <f>sumif('Segment RAW Data 25-26'!$B$1:$X$1,$H$3,'Segment RAW Data 25-26'!$B345:$X345)</f>
        <v>91962</v>
      </c>
      <c r="I346" s="265">
        <f>sumif('Segment RAW Data 25-26'!$B$1:$X$1,$I$3,'Segment RAW Data 25-26'!$B345:$X345)</f>
        <v>0</v>
      </c>
      <c r="J346" s="265">
        <f>sumif('Segment RAW Data 25-26'!$B$1:$X$1,$J$3,'Segment RAW Data 25-26'!$B345:$X345)</f>
        <v>0</v>
      </c>
      <c r="K346" s="265">
        <f>sumif('Segment RAW Data 25-26'!$B$1:$X$1,$K$3,'Segment RAW Data 25-26'!$B345:$X345)</f>
        <v>0</v>
      </c>
      <c r="L346" s="265">
        <f>sumif('Segment RAW Data 25-26'!$B$1:$X$1,$L$3,'Segment RAW Data 25-26'!$B345:$X345)</f>
        <v>1487612.6</v>
      </c>
      <c r="M346" s="270"/>
      <c r="N346" s="124" t="s">
        <v>975</v>
      </c>
      <c r="O346" s="124">
        <f>VLOOKUP(C346:C945,'Segment RAW Data 25-26'!A345:Y942,25,0)-VLOOKUP(C346:C945,C:D,2,0)</f>
        <v>0.0000000009313225746</v>
      </c>
    </row>
    <row r="347" hidden="1">
      <c r="A347" s="157" t="s">
        <v>126</v>
      </c>
      <c r="B347" s="157" t="s">
        <v>130</v>
      </c>
      <c r="C347" s="157" t="s">
        <v>152</v>
      </c>
      <c r="D347" s="124">
        <f t="shared" si="1"/>
        <v>16832670.33</v>
      </c>
      <c r="E347" s="265">
        <f>sumif('Segment RAW Data 25-26'!$B$1:$X$1,$E$3,'Segment RAW Data 25-26'!$B346:$X346)</f>
        <v>13271501.87</v>
      </c>
      <c r="F347" s="265">
        <f>sumif('Segment RAW Data 25-26'!$B$1:$X$1,$F$3,'Segment RAW Data 25-26'!$B346:$X346)</f>
        <v>0</v>
      </c>
      <c r="G347" s="265">
        <f>sumif('Segment RAW Data 25-26'!$B$1:$X$1,$G$3,'Segment RAW Data 25-26'!$B346:$X346)</f>
        <v>75372.96</v>
      </c>
      <c r="H347" s="265">
        <f>sumif('Segment RAW Data 25-26'!$B$1:$X$1,$H$3,'Segment RAW Data 25-26'!$B346:$X346)</f>
        <v>0</v>
      </c>
      <c r="I347" s="265">
        <f>sumif('Segment RAW Data 25-26'!$B$1:$X$1,$I$3,'Segment RAW Data 25-26'!$B346:$X346)</f>
        <v>0</v>
      </c>
      <c r="J347" s="265">
        <f>sumif('Segment RAW Data 25-26'!$B$1:$X$1,$J$3,'Segment RAW Data 25-26'!$B346:$X346)</f>
        <v>0</v>
      </c>
      <c r="K347" s="265">
        <f>sumif('Segment RAW Data 25-26'!$B$1:$X$1,$K$3,'Segment RAW Data 25-26'!$B346:$X346)</f>
        <v>0</v>
      </c>
      <c r="L347" s="265">
        <f>sumif('Segment RAW Data 25-26'!$B$1:$X$1,$L$3,'Segment RAW Data 25-26'!$B346:$X346)</f>
        <v>3485795.5</v>
      </c>
      <c r="M347" s="270"/>
      <c r="N347" s="124" t="s">
        <v>975</v>
      </c>
      <c r="O347" s="124">
        <f>VLOOKUP(C347:C946,'Segment RAW Data 25-26'!A346:Y943,25,0)-VLOOKUP(C347:C946,C:D,2,0)</f>
        <v>0</v>
      </c>
    </row>
    <row r="348" hidden="1">
      <c r="A348" s="157"/>
      <c r="B348" s="157"/>
      <c r="C348" s="157" t="s">
        <v>753</v>
      </c>
      <c r="D348" s="124">
        <f t="shared" si="1"/>
        <v>0</v>
      </c>
      <c r="E348" s="265">
        <f>sumif('Segment RAW Data 25-26'!$B$1:$X$1,$E$3,'Segment RAW Data 25-26'!$B347:$X347)</f>
        <v>0</v>
      </c>
      <c r="F348" s="265">
        <f>sumif('Segment RAW Data 25-26'!$B$1:$X$1,$F$3,'Segment RAW Data 25-26'!$B347:$X347)</f>
        <v>0</v>
      </c>
      <c r="G348" s="265">
        <f>sumif('Segment RAW Data 25-26'!$B$1:$X$1,$G$3,'Segment RAW Data 25-26'!$B347:$X347)</f>
        <v>0</v>
      </c>
      <c r="H348" s="265">
        <f>sumif('Segment RAW Data 25-26'!$B$1:$X$1,$H$3,'Segment RAW Data 25-26'!$B347:$X347)</f>
        <v>0</v>
      </c>
      <c r="I348" s="265">
        <f>sumif('Segment RAW Data 25-26'!$B$1:$X$1,$I$3,'Segment RAW Data 25-26'!$B347:$X347)</f>
        <v>0</v>
      </c>
      <c r="J348" s="265">
        <f>sumif('Segment RAW Data 25-26'!$B$1:$X$1,$J$3,'Segment RAW Data 25-26'!$B347:$X347)</f>
        <v>0</v>
      </c>
      <c r="K348" s="265">
        <f>sumif('Segment RAW Data 25-26'!$B$1:$X$1,$K$3,'Segment RAW Data 25-26'!$B347:$X347)</f>
        <v>0</v>
      </c>
      <c r="L348" s="265">
        <f>sumif('Segment RAW Data 25-26'!$B$1:$X$1,$L$3,'Segment RAW Data 25-26'!$B347:$X347)</f>
        <v>0</v>
      </c>
      <c r="M348" s="270"/>
      <c r="N348" s="124"/>
      <c r="O348" s="124">
        <f>VLOOKUP(C348:C947,'Segment RAW Data 25-26'!A347:Y944,25,0)-VLOOKUP(C348:C947,C:D,2,0)</f>
        <v>0</v>
      </c>
    </row>
    <row r="349" hidden="1">
      <c r="A349" s="157"/>
      <c r="B349" s="157"/>
      <c r="C349" s="157" t="s">
        <v>754</v>
      </c>
      <c r="D349" s="124">
        <f t="shared" si="1"/>
        <v>0</v>
      </c>
      <c r="E349" s="265">
        <f>sumif('Segment RAW Data 25-26'!$B$1:$X$1,$E$3,'Segment RAW Data 25-26'!$B348:$X348)</f>
        <v>0</v>
      </c>
      <c r="F349" s="265">
        <f>sumif('Segment RAW Data 25-26'!$B$1:$X$1,$F$3,'Segment RAW Data 25-26'!$B348:$X348)</f>
        <v>0</v>
      </c>
      <c r="G349" s="265">
        <f>sumif('Segment RAW Data 25-26'!$B$1:$X$1,$G$3,'Segment RAW Data 25-26'!$B348:$X348)</f>
        <v>0</v>
      </c>
      <c r="H349" s="265">
        <f>sumif('Segment RAW Data 25-26'!$B$1:$X$1,$H$3,'Segment RAW Data 25-26'!$B348:$X348)</f>
        <v>0</v>
      </c>
      <c r="I349" s="265">
        <f>sumif('Segment RAW Data 25-26'!$B$1:$X$1,$I$3,'Segment RAW Data 25-26'!$B348:$X348)</f>
        <v>0</v>
      </c>
      <c r="J349" s="265">
        <f>sumif('Segment RAW Data 25-26'!$B$1:$X$1,$J$3,'Segment RAW Data 25-26'!$B348:$X348)</f>
        <v>0</v>
      </c>
      <c r="K349" s="265">
        <f>sumif('Segment RAW Data 25-26'!$B$1:$X$1,$K$3,'Segment RAW Data 25-26'!$B348:$X348)</f>
        <v>0</v>
      </c>
      <c r="L349" s="265">
        <f>sumif('Segment RAW Data 25-26'!$B$1:$X$1,$L$3,'Segment RAW Data 25-26'!$B348:$X348)</f>
        <v>0</v>
      </c>
      <c r="M349" s="270"/>
      <c r="N349" s="124"/>
      <c r="O349" s="124">
        <f>VLOOKUP(C349:C948,'Segment RAW Data 25-26'!A348:Y945,25,0)-VLOOKUP(C349:C948,C:D,2,0)</f>
        <v>0</v>
      </c>
    </row>
    <row r="350" hidden="1">
      <c r="A350" s="157" t="s">
        <v>185</v>
      </c>
      <c r="B350" s="157" t="s">
        <v>189</v>
      </c>
      <c r="C350" s="157" t="s">
        <v>755</v>
      </c>
      <c r="D350" s="124">
        <f t="shared" si="1"/>
        <v>2069428.86</v>
      </c>
      <c r="E350" s="265">
        <f>sumif('Segment RAW Data 25-26'!$B$1:$X$1,$E$3,'Segment RAW Data 25-26'!$B349:$X349)</f>
        <v>1414721.24</v>
      </c>
      <c r="F350" s="265">
        <f>sumif('Segment RAW Data 25-26'!$B$1:$X$1,$F$3,'Segment RAW Data 25-26'!$B349:$X349)</f>
        <v>45902.6</v>
      </c>
      <c r="G350" s="265">
        <f>sumif('Segment RAW Data 25-26'!$B$1:$X$1,$G$3,'Segment RAW Data 25-26'!$B349:$X349)</f>
        <v>410326.52</v>
      </c>
      <c r="H350" s="265">
        <f>sumif('Segment RAW Data 25-26'!$B$1:$X$1,$H$3,'Segment RAW Data 25-26'!$B349:$X349)</f>
        <v>13328</v>
      </c>
      <c r="I350" s="265">
        <f>sumif('Segment RAW Data 25-26'!$B$1:$X$1,$I$3,'Segment RAW Data 25-26'!$B349:$X349)</f>
        <v>0</v>
      </c>
      <c r="J350" s="265">
        <f>sumif('Segment RAW Data 25-26'!$B$1:$X$1,$J$3,'Segment RAW Data 25-26'!$B349:$X349)</f>
        <v>0</v>
      </c>
      <c r="K350" s="265">
        <f>sumif('Segment RAW Data 25-26'!$B$1:$X$1,$K$3,'Segment RAW Data 25-26'!$B349:$X349)</f>
        <v>0</v>
      </c>
      <c r="L350" s="265">
        <f>sumif('Segment RAW Data 25-26'!$B$1:$X$1,$L$3,'Segment RAW Data 25-26'!$B349:$X349)</f>
        <v>185150.5</v>
      </c>
      <c r="M350" s="270">
        <v>45869.0</v>
      </c>
      <c r="N350" s="124" t="s">
        <v>973</v>
      </c>
      <c r="O350" s="124">
        <f>VLOOKUP(C350:C949,'Segment RAW Data 25-26'!A349:Y946,25,0)-VLOOKUP(C350:C949,C:D,2,0)</f>
        <v>0</v>
      </c>
    </row>
    <row r="351" hidden="1">
      <c r="A351" s="157" t="s">
        <v>53</v>
      </c>
      <c r="B351" s="157" t="s">
        <v>61</v>
      </c>
      <c r="C351" s="157" t="s">
        <v>383</v>
      </c>
      <c r="D351" s="124">
        <f t="shared" si="1"/>
        <v>0</v>
      </c>
      <c r="E351" s="265">
        <f>sumif('Segment RAW Data 25-26'!$B$1:$X$1,$E$3,'Segment RAW Data 25-26'!$B350:$X350)</f>
        <v>0</v>
      </c>
      <c r="F351" s="265">
        <f>sumif('Segment RAW Data 25-26'!$B$1:$X$1,$F$3,'Segment RAW Data 25-26'!$B350:$X350)</f>
        <v>0</v>
      </c>
      <c r="G351" s="265">
        <f>sumif('Segment RAW Data 25-26'!$B$1:$X$1,$G$3,'Segment RAW Data 25-26'!$B350:$X350)</f>
        <v>0</v>
      </c>
      <c r="H351" s="265">
        <f>sumif('Segment RAW Data 25-26'!$B$1:$X$1,$H$3,'Segment RAW Data 25-26'!$B350:$X350)</f>
        <v>0</v>
      </c>
      <c r="I351" s="265">
        <f>sumif('Segment RAW Data 25-26'!$B$1:$X$1,$I$3,'Segment RAW Data 25-26'!$B350:$X350)</f>
        <v>0</v>
      </c>
      <c r="J351" s="265">
        <f>sumif('Segment RAW Data 25-26'!$B$1:$X$1,$J$3,'Segment RAW Data 25-26'!$B350:$X350)</f>
        <v>0</v>
      </c>
      <c r="K351" s="265">
        <f>sumif('Segment RAW Data 25-26'!$B$1:$X$1,$K$3,'Segment RAW Data 25-26'!$B350:$X350)</f>
        <v>0</v>
      </c>
      <c r="L351" s="265">
        <f>sumif('Segment RAW Data 25-26'!$B$1:$X$1,$L$3,'Segment RAW Data 25-26'!$B350:$X350)</f>
        <v>0</v>
      </c>
      <c r="M351" s="270">
        <v>46112.0</v>
      </c>
      <c r="N351" s="124" t="s">
        <v>973</v>
      </c>
      <c r="O351" s="124">
        <f>VLOOKUP(C351:C950,'Segment RAW Data 25-26'!A350:Y947,25,0)-VLOOKUP(C351:C950,C:D,2,0)</f>
        <v>0</v>
      </c>
    </row>
    <row r="352" hidden="1">
      <c r="A352" s="157"/>
      <c r="B352" s="157"/>
      <c r="C352" s="157" t="s">
        <v>756</v>
      </c>
      <c r="D352" s="124">
        <f t="shared" si="1"/>
        <v>0</v>
      </c>
      <c r="E352" s="265">
        <f>sumif('Segment RAW Data 25-26'!$B$1:$X$1,$E$3,'Segment RAW Data 25-26'!$B351:$X351)</f>
        <v>0</v>
      </c>
      <c r="F352" s="265">
        <f>sumif('Segment RAW Data 25-26'!$B$1:$X$1,$F$3,'Segment RAW Data 25-26'!$B351:$X351)</f>
        <v>0</v>
      </c>
      <c r="G352" s="265">
        <f>sumif('Segment RAW Data 25-26'!$B$1:$X$1,$G$3,'Segment RAW Data 25-26'!$B351:$X351)</f>
        <v>0</v>
      </c>
      <c r="H352" s="265">
        <f>sumif('Segment RAW Data 25-26'!$B$1:$X$1,$H$3,'Segment RAW Data 25-26'!$B351:$X351)</f>
        <v>0</v>
      </c>
      <c r="I352" s="265">
        <f>sumif('Segment RAW Data 25-26'!$B$1:$X$1,$I$3,'Segment RAW Data 25-26'!$B351:$X351)</f>
        <v>0</v>
      </c>
      <c r="J352" s="265">
        <f>sumif('Segment RAW Data 25-26'!$B$1:$X$1,$J$3,'Segment RAW Data 25-26'!$B351:$X351)</f>
        <v>0</v>
      </c>
      <c r="K352" s="265">
        <f>sumif('Segment RAW Data 25-26'!$B$1:$X$1,$K$3,'Segment RAW Data 25-26'!$B351:$X351)</f>
        <v>0</v>
      </c>
      <c r="L352" s="265">
        <f>sumif('Segment RAW Data 25-26'!$B$1:$X$1,$L$3,'Segment RAW Data 25-26'!$B351:$X351)</f>
        <v>0</v>
      </c>
      <c r="M352" s="270"/>
      <c r="N352" s="124"/>
      <c r="O352" s="124">
        <f>VLOOKUP(C352:C951,'Segment RAW Data 25-26'!A351:Y948,25,0)-VLOOKUP(C352:C951,C:D,2,0)</f>
        <v>0</v>
      </c>
    </row>
    <row r="353" hidden="1">
      <c r="A353" s="157"/>
      <c r="B353" s="157"/>
      <c r="C353" s="157" t="s">
        <v>757</v>
      </c>
      <c r="D353" s="124">
        <f t="shared" si="1"/>
        <v>0</v>
      </c>
      <c r="E353" s="265">
        <f>sumif('Segment RAW Data 25-26'!$B$1:$X$1,$E$3,'Segment RAW Data 25-26'!$B352:$X352)</f>
        <v>0</v>
      </c>
      <c r="F353" s="265">
        <f>sumif('Segment RAW Data 25-26'!$B$1:$X$1,$F$3,'Segment RAW Data 25-26'!$B352:$X352)</f>
        <v>0</v>
      </c>
      <c r="G353" s="265">
        <f>sumif('Segment RAW Data 25-26'!$B$1:$X$1,$G$3,'Segment RAW Data 25-26'!$B352:$X352)</f>
        <v>0</v>
      </c>
      <c r="H353" s="265">
        <f>sumif('Segment RAW Data 25-26'!$B$1:$X$1,$H$3,'Segment RAW Data 25-26'!$B352:$X352)</f>
        <v>0</v>
      </c>
      <c r="I353" s="265">
        <f>sumif('Segment RAW Data 25-26'!$B$1:$X$1,$I$3,'Segment RAW Data 25-26'!$B352:$X352)</f>
        <v>0</v>
      </c>
      <c r="J353" s="265">
        <f>sumif('Segment RAW Data 25-26'!$B$1:$X$1,$J$3,'Segment RAW Data 25-26'!$B352:$X352)</f>
        <v>0</v>
      </c>
      <c r="K353" s="265">
        <f>sumif('Segment RAW Data 25-26'!$B$1:$X$1,$K$3,'Segment RAW Data 25-26'!$B352:$X352)</f>
        <v>0</v>
      </c>
      <c r="L353" s="265">
        <f>sumif('Segment RAW Data 25-26'!$B$1:$X$1,$L$3,'Segment RAW Data 25-26'!$B352:$X352)</f>
        <v>0</v>
      </c>
      <c r="M353" s="270"/>
      <c r="N353" s="124"/>
      <c r="O353" s="124">
        <f>VLOOKUP(C353:C952,'Segment RAW Data 25-26'!A352:Y949,25,0)-VLOOKUP(C353:C952,C:D,2,0)</f>
        <v>0</v>
      </c>
    </row>
    <row r="354" hidden="1">
      <c r="A354" s="157"/>
      <c r="B354" s="157"/>
      <c r="C354" s="157" t="s">
        <v>758</v>
      </c>
      <c r="D354" s="124">
        <f t="shared" si="1"/>
        <v>0</v>
      </c>
      <c r="E354" s="265">
        <f>sumif('Segment RAW Data 25-26'!$B$1:$X$1,$E$3,'Segment RAW Data 25-26'!$B353:$X353)</f>
        <v>0</v>
      </c>
      <c r="F354" s="265">
        <f>sumif('Segment RAW Data 25-26'!$B$1:$X$1,$F$3,'Segment RAW Data 25-26'!$B353:$X353)</f>
        <v>0</v>
      </c>
      <c r="G354" s="265">
        <f>sumif('Segment RAW Data 25-26'!$B$1:$X$1,$G$3,'Segment RAW Data 25-26'!$B353:$X353)</f>
        <v>0</v>
      </c>
      <c r="H354" s="265">
        <f>sumif('Segment RAW Data 25-26'!$B$1:$X$1,$H$3,'Segment RAW Data 25-26'!$B353:$X353)</f>
        <v>0</v>
      </c>
      <c r="I354" s="265">
        <f>sumif('Segment RAW Data 25-26'!$B$1:$X$1,$I$3,'Segment RAW Data 25-26'!$B353:$X353)</f>
        <v>0</v>
      </c>
      <c r="J354" s="265">
        <f>sumif('Segment RAW Data 25-26'!$B$1:$X$1,$J$3,'Segment RAW Data 25-26'!$B353:$X353)</f>
        <v>0</v>
      </c>
      <c r="K354" s="265">
        <f>sumif('Segment RAW Data 25-26'!$B$1:$X$1,$K$3,'Segment RAW Data 25-26'!$B353:$X353)</f>
        <v>0</v>
      </c>
      <c r="L354" s="265">
        <f>sumif('Segment RAW Data 25-26'!$B$1:$X$1,$L$3,'Segment RAW Data 25-26'!$B353:$X353)</f>
        <v>0</v>
      </c>
      <c r="M354" s="270"/>
      <c r="N354" s="124"/>
      <c r="O354" s="124">
        <f>VLOOKUP(C354:C953,'Segment RAW Data 25-26'!A353:Y950,25,0)-VLOOKUP(C354:C953,C:D,2,0)</f>
        <v>0</v>
      </c>
    </row>
    <row r="355" hidden="1">
      <c r="A355" s="157" t="s">
        <v>185</v>
      </c>
      <c r="B355" s="157" t="s">
        <v>222</v>
      </c>
      <c r="C355" s="157" t="s">
        <v>244</v>
      </c>
      <c r="D355" s="124">
        <f t="shared" si="1"/>
        <v>14860334.73</v>
      </c>
      <c r="E355" s="265">
        <f>sumif('Segment RAW Data 25-26'!$B$1:$X$1,$E$3,'Segment RAW Data 25-26'!$B354:$X354)</f>
        <v>5716197.09</v>
      </c>
      <c r="F355" s="265">
        <f>sumif('Segment RAW Data 25-26'!$B$1:$X$1,$F$3,'Segment RAW Data 25-26'!$B354:$X354)</f>
        <v>3774972.18</v>
      </c>
      <c r="G355" s="265">
        <f>sumif('Segment RAW Data 25-26'!$B$1:$X$1,$G$3,'Segment RAW Data 25-26'!$B354:$X354)</f>
        <v>1385701.84</v>
      </c>
      <c r="H355" s="265">
        <f>sumif('Segment RAW Data 25-26'!$B$1:$X$1,$H$3,'Segment RAW Data 25-26'!$B354:$X354)</f>
        <v>944246</v>
      </c>
      <c r="I355" s="265">
        <f>sumif('Segment RAW Data 25-26'!$B$1:$X$1,$I$3,'Segment RAW Data 25-26'!$B354:$X354)</f>
        <v>369609.42</v>
      </c>
      <c r="J355" s="265">
        <f>sumif('Segment RAW Data 25-26'!$B$1:$X$1,$J$3,'Segment RAW Data 25-26'!$B354:$X354)</f>
        <v>2641470.2</v>
      </c>
      <c r="K355" s="265">
        <f>sumif('Segment RAW Data 25-26'!$B$1:$X$1,$K$3,'Segment RAW Data 25-26'!$B354:$X354)</f>
        <v>28138</v>
      </c>
      <c r="L355" s="265">
        <f>sumif('Segment RAW Data 25-26'!$B$1:$X$1,$L$3,'Segment RAW Data 25-26'!$B354:$X354)</f>
        <v>0</v>
      </c>
      <c r="M355" s="270"/>
      <c r="N355" s="124" t="s">
        <v>975</v>
      </c>
      <c r="O355" s="124">
        <f>VLOOKUP(C355:C954,'Segment RAW Data 25-26'!A354:Y951,25,0)-VLOOKUP(C355:C954,C:D,2,0)</f>
        <v>0.009999999776</v>
      </c>
    </row>
    <row r="356" hidden="1">
      <c r="A356" s="157" t="s">
        <v>185</v>
      </c>
      <c r="B356" s="157" t="s">
        <v>189</v>
      </c>
      <c r="C356" s="157" t="s">
        <v>246</v>
      </c>
      <c r="D356" s="124">
        <f t="shared" si="1"/>
        <v>42261961</v>
      </c>
      <c r="E356" s="265">
        <f>sumif('Segment RAW Data 25-26'!$B$1:$X$1,$E$3,'Segment RAW Data 25-26'!$B355:$X355)</f>
        <v>13059819.59</v>
      </c>
      <c r="F356" s="265">
        <f>sumif('Segment RAW Data 25-26'!$B$1:$X$1,$F$3,'Segment RAW Data 25-26'!$B355:$X355)</f>
        <v>13502061.39</v>
      </c>
      <c r="G356" s="265">
        <f>sumif('Segment RAW Data 25-26'!$B$1:$X$1,$G$3,'Segment RAW Data 25-26'!$B355:$X355)</f>
        <v>10912543.77</v>
      </c>
      <c r="H356" s="265">
        <f>sumif('Segment RAW Data 25-26'!$B$1:$X$1,$H$3,'Segment RAW Data 25-26'!$B355:$X355)</f>
        <v>930508.7</v>
      </c>
      <c r="I356" s="265">
        <f>sumif('Segment RAW Data 25-26'!$B$1:$X$1,$I$3,'Segment RAW Data 25-26'!$B355:$X355)</f>
        <v>0</v>
      </c>
      <c r="J356" s="265">
        <f>sumif('Segment RAW Data 25-26'!$B$1:$X$1,$J$3,'Segment RAW Data 25-26'!$B355:$X355)</f>
        <v>1736377.55</v>
      </c>
      <c r="K356" s="265">
        <f>sumif('Segment RAW Data 25-26'!$B$1:$X$1,$K$3,'Segment RAW Data 25-26'!$B355:$X355)</f>
        <v>0</v>
      </c>
      <c r="L356" s="265">
        <f>sumif('Segment RAW Data 25-26'!$B$1:$X$1,$L$3,'Segment RAW Data 25-26'!$B355:$X355)</f>
        <v>2120650</v>
      </c>
      <c r="M356" s="270"/>
      <c r="N356" s="124" t="s">
        <v>975</v>
      </c>
      <c r="O356" s="124">
        <f>VLOOKUP(C356:C955,'Segment RAW Data 25-26'!A355:Y952,25,0)-VLOOKUP(C356:C955,C:D,2,0)</f>
        <v>0</v>
      </c>
    </row>
    <row r="357" hidden="1">
      <c r="A357" s="157"/>
      <c r="B357" s="157"/>
      <c r="C357" s="157" t="s">
        <v>759</v>
      </c>
      <c r="D357" s="124">
        <f t="shared" si="1"/>
        <v>0</v>
      </c>
      <c r="E357" s="265">
        <f>sumif('Segment RAW Data 25-26'!$B$1:$X$1,$E$3,'Segment RAW Data 25-26'!$B356:$X356)</f>
        <v>0</v>
      </c>
      <c r="F357" s="265">
        <f>sumif('Segment RAW Data 25-26'!$B$1:$X$1,$F$3,'Segment RAW Data 25-26'!$B356:$X356)</f>
        <v>0</v>
      </c>
      <c r="G357" s="265">
        <f>sumif('Segment RAW Data 25-26'!$B$1:$X$1,$G$3,'Segment RAW Data 25-26'!$B356:$X356)</f>
        <v>0</v>
      </c>
      <c r="H357" s="265">
        <f>sumif('Segment RAW Data 25-26'!$B$1:$X$1,$H$3,'Segment RAW Data 25-26'!$B356:$X356)</f>
        <v>0</v>
      </c>
      <c r="I357" s="265">
        <f>sumif('Segment RAW Data 25-26'!$B$1:$X$1,$I$3,'Segment RAW Data 25-26'!$B356:$X356)</f>
        <v>0</v>
      </c>
      <c r="J357" s="265">
        <f>sumif('Segment RAW Data 25-26'!$B$1:$X$1,$J$3,'Segment RAW Data 25-26'!$B356:$X356)</f>
        <v>0</v>
      </c>
      <c r="K357" s="265">
        <f>sumif('Segment RAW Data 25-26'!$B$1:$X$1,$K$3,'Segment RAW Data 25-26'!$B356:$X356)</f>
        <v>0</v>
      </c>
      <c r="L357" s="265">
        <f>sumif('Segment RAW Data 25-26'!$B$1:$X$1,$L$3,'Segment RAW Data 25-26'!$B356:$X356)</f>
        <v>0</v>
      </c>
      <c r="M357" s="270"/>
      <c r="N357" s="124"/>
      <c r="O357" s="124">
        <f>VLOOKUP(C357:C956,'Segment RAW Data 25-26'!A356:Y953,25,0)-VLOOKUP(C357:C956,C:D,2,0)</f>
        <v>0</v>
      </c>
    </row>
    <row r="358" hidden="1">
      <c r="A358" s="157"/>
      <c r="B358" s="157"/>
      <c r="C358" s="157" t="s">
        <v>760</v>
      </c>
      <c r="D358" s="124">
        <f t="shared" si="1"/>
        <v>0</v>
      </c>
      <c r="E358" s="265">
        <f>sumif('Segment RAW Data 25-26'!$B$1:$X$1,$E$3,'Segment RAW Data 25-26'!$B357:$X357)</f>
        <v>0</v>
      </c>
      <c r="F358" s="265">
        <f>sumif('Segment RAW Data 25-26'!$B$1:$X$1,$F$3,'Segment RAW Data 25-26'!$B357:$X357)</f>
        <v>0</v>
      </c>
      <c r="G358" s="265">
        <f>sumif('Segment RAW Data 25-26'!$B$1:$X$1,$G$3,'Segment RAW Data 25-26'!$B357:$X357)</f>
        <v>0</v>
      </c>
      <c r="H358" s="265">
        <f>sumif('Segment RAW Data 25-26'!$B$1:$X$1,$H$3,'Segment RAW Data 25-26'!$B357:$X357)</f>
        <v>0</v>
      </c>
      <c r="I358" s="265">
        <f>sumif('Segment RAW Data 25-26'!$B$1:$X$1,$I$3,'Segment RAW Data 25-26'!$B357:$X357)</f>
        <v>0</v>
      </c>
      <c r="J358" s="265">
        <f>sumif('Segment RAW Data 25-26'!$B$1:$X$1,$J$3,'Segment RAW Data 25-26'!$B357:$X357)</f>
        <v>0</v>
      </c>
      <c r="K358" s="265">
        <f>sumif('Segment RAW Data 25-26'!$B$1:$X$1,$K$3,'Segment RAW Data 25-26'!$B357:$X357)</f>
        <v>0</v>
      </c>
      <c r="L358" s="265">
        <f>sumif('Segment RAW Data 25-26'!$B$1:$X$1,$L$3,'Segment RAW Data 25-26'!$B357:$X357)</f>
        <v>0</v>
      </c>
      <c r="M358" s="270"/>
      <c r="N358" s="124"/>
      <c r="O358" s="124">
        <f>VLOOKUP(C358:C957,'Segment RAW Data 25-26'!A357:Y954,25,0)-VLOOKUP(C358:C957,C:D,2,0)</f>
        <v>0</v>
      </c>
    </row>
    <row r="359" hidden="1">
      <c r="A359" s="157"/>
      <c r="B359" s="157"/>
      <c r="C359" s="157" t="s">
        <v>761</v>
      </c>
      <c r="D359" s="124">
        <f t="shared" si="1"/>
        <v>0</v>
      </c>
      <c r="E359" s="265">
        <f>sumif('Segment RAW Data 25-26'!$B$1:$X$1,$E$3,'Segment RAW Data 25-26'!$B358:$X358)</f>
        <v>0</v>
      </c>
      <c r="F359" s="265">
        <f>sumif('Segment RAW Data 25-26'!$B$1:$X$1,$F$3,'Segment RAW Data 25-26'!$B358:$X358)</f>
        <v>0</v>
      </c>
      <c r="G359" s="265">
        <f>sumif('Segment RAW Data 25-26'!$B$1:$X$1,$G$3,'Segment RAW Data 25-26'!$B358:$X358)</f>
        <v>0</v>
      </c>
      <c r="H359" s="265">
        <f>sumif('Segment RAW Data 25-26'!$B$1:$X$1,$H$3,'Segment RAW Data 25-26'!$B358:$X358)</f>
        <v>0</v>
      </c>
      <c r="I359" s="265">
        <f>sumif('Segment RAW Data 25-26'!$B$1:$X$1,$I$3,'Segment RAW Data 25-26'!$B358:$X358)</f>
        <v>0</v>
      </c>
      <c r="J359" s="265">
        <f>sumif('Segment RAW Data 25-26'!$B$1:$X$1,$J$3,'Segment RAW Data 25-26'!$B358:$X358)</f>
        <v>0</v>
      </c>
      <c r="K359" s="265">
        <f>sumif('Segment RAW Data 25-26'!$B$1:$X$1,$K$3,'Segment RAW Data 25-26'!$B358:$X358)</f>
        <v>0</v>
      </c>
      <c r="L359" s="265">
        <f>sumif('Segment RAW Data 25-26'!$B$1:$X$1,$L$3,'Segment RAW Data 25-26'!$B358:$X358)</f>
        <v>0</v>
      </c>
      <c r="M359" s="270"/>
      <c r="N359" s="124"/>
      <c r="O359" s="124">
        <f>VLOOKUP(C359:C958,'Segment RAW Data 25-26'!A358:Y955,25,0)-VLOOKUP(C359:C958,C:D,2,0)</f>
        <v>0</v>
      </c>
    </row>
    <row r="360" hidden="1">
      <c r="A360" s="157" t="s">
        <v>185</v>
      </c>
      <c r="B360" s="157" t="s">
        <v>189</v>
      </c>
      <c r="C360" s="157" t="s">
        <v>248</v>
      </c>
      <c r="D360" s="124">
        <f t="shared" si="1"/>
        <v>15955951.14</v>
      </c>
      <c r="E360" s="265">
        <f>sumif('Segment RAW Data 25-26'!$B$1:$X$1,$E$3,'Segment RAW Data 25-26'!$B359:$X359)</f>
        <v>8624268.31</v>
      </c>
      <c r="F360" s="265">
        <f>sumif('Segment RAW Data 25-26'!$B$1:$X$1,$F$3,'Segment RAW Data 25-26'!$B359:$X359)</f>
        <v>1888029.68</v>
      </c>
      <c r="G360" s="265">
        <f>sumif('Segment RAW Data 25-26'!$B$1:$X$1,$G$3,'Segment RAW Data 25-26'!$B359:$X359)</f>
        <v>3834700.05</v>
      </c>
      <c r="H360" s="265">
        <f>sumif('Segment RAW Data 25-26'!$B$1:$X$1,$H$3,'Segment RAW Data 25-26'!$B359:$X359)</f>
        <v>56040.8</v>
      </c>
      <c r="I360" s="265">
        <f>sumif('Segment RAW Data 25-26'!$B$1:$X$1,$I$3,'Segment RAW Data 25-26'!$B359:$X359)</f>
        <v>0</v>
      </c>
      <c r="J360" s="265">
        <f>sumif('Segment RAW Data 25-26'!$B$1:$X$1,$J$3,'Segment RAW Data 25-26'!$B359:$X359)</f>
        <v>734687.3</v>
      </c>
      <c r="K360" s="265">
        <f>sumif('Segment RAW Data 25-26'!$B$1:$X$1,$K$3,'Segment RAW Data 25-26'!$B359:$X359)</f>
        <v>0</v>
      </c>
      <c r="L360" s="265">
        <f>sumif('Segment RAW Data 25-26'!$B$1:$X$1,$L$3,'Segment RAW Data 25-26'!$B359:$X359)</f>
        <v>818225</v>
      </c>
      <c r="M360" s="270"/>
      <c r="N360" s="124" t="s">
        <v>975</v>
      </c>
      <c r="O360" s="124">
        <f>VLOOKUP(C360:C959,'Segment RAW Data 25-26'!A359:Y956,25,0)-VLOOKUP(C360:C959,C:D,2,0)</f>
        <v>0</v>
      </c>
    </row>
    <row r="361" hidden="1">
      <c r="A361" s="157"/>
      <c r="B361" s="157"/>
      <c r="C361" s="157" t="s">
        <v>762</v>
      </c>
      <c r="D361" s="124">
        <f t="shared" si="1"/>
        <v>0</v>
      </c>
      <c r="E361" s="265">
        <f>sumif('Segment RAW Data 25-26'!$B$1:$X$1,$E$3,'Segment RAW Data 25-26'!$B360:$X360)</f>
        <v>0</v>
      </c>
      <c r="F361" s="265">
        <f>sumif('Segment RAW Data 25-26'!$B$1:$X$1,$F$3,'Segment RAW Data 25-26'!$B360:$X360)</f>
        <v>0</v>
      </c>
      <c r="G361" s="265">
        <f>sumif('Segment RAW Data 25-26'!$B$1:$X$1,$G$3,'Segment RAW Data 25-26'!$B360:$X360)</f>
        <v>0</v>
      </c>
      <c r="H361" s="265">
        <f>sumif('Segment RAW Data 25-26'!$B$1:$X$1,$H$3,'Segment RAW Data 25-26'!$B360:$X360)</f>
        <v>0</v>
      </c>
      <c r="I361" s="265">
        <f>sumif('Segment RAW Data 25-26'!$B$1:$X$1,$I$3,'Segment RAW Data 25-26'!$B360:$X360)</f>
        <v>0</v>
      </c>
      <c r="J361" s="265">
        <f>sumif('Segment RAW Data 25-26'!$B$1:$X$1,$J$3,'Segment RAW Data 25-26'!$B360:$X360)</f>
        <v>0</v>
      </c>
      <c r="K361" s="265">
        <f>sumif('Segment RAW Data 25-26'!$B$1:$X$1,$K$3,'Segment RAW Data 25-26'!$B360:$X360)</f>
        <v>0</v>
      </c>
      <c r="L361" s="265">
        <f>sumif('Segment RAW Data 25-26'!$B$1:$X$1,$L$3,'Segment RAW Data 25-26'!$B360:$X360)</f>
        <v>0</v>
      </c>
      <c r="M361" s="270"/>
      <c r="N361" s="124"/>
      <c r="O361" s="124">
        <f>VLOOKUP(C361:C960,'Segment RAW Data 25-26'!A360:Y957,25,0)-VLOOKUP(C361:C960,C:D,2,0)</f>
        <v>0</v>
      </c>
    </row>
    <row r="362" hidden="1">
      <c r="A362" s="157"/>
      <c r="B362" s="157"/>
      <c r="C362" s="157" t="s">
        <v>763</v>
      </c>
      <c r="D362" s="124">
        <f t="shared" si="1"/>
        <v>0</v>
      </c>
      <c r="E362" s="265">
        <f>sumif('Segment RAW Data 25-26'!$B$1:$X$1,$E$3,'Segment RAW Data 25-26'!$B361:$X361)</f>
        <v>0</v>
      </c>
      <c r="F362" s="265">
        <f>sumif('Segment RAW Data 25-26'!$B$1:$X$1,$F$3,'Segment RAW Data 25-26'!$B361:$X361)</f>
        <v>0</v>
      </c>
      <c r="G362" s="265">
        <f>sumif('Segment RAW Data 25-26'!$B$1:$X$1,$G$3,'Segment RAW Data 25-26'!$B361:$X361)</f>
        <v>0</v>
      </c>
      <c r="H362" s="265">
        <f>sumif('Segment RAW Data 25-26'!$B$1:$X$1,$H$3,'Segment RAW Data 25-26'!$B361:$X361)</f>
        <v>0</v>
      </c>
      <c r="I362" s="265">
        <f>sumif('Segment RAW Data 25-26'!$B$1:$X$1,$I$3,'Segment RAW Data 25-26'!$B361:$X361)</f>
        <v>0</v>
      </c>
      <c r="J362" s="265">
        <f>sumif('Segment RAW Data 25-26'!$B$1:$X$1,$J$3,'Segment RAW Data 25-26'!$B361:$X361)</f>
        <v>0</v>
      </c>
      <c r="K362" s="265">
        <f>sumif('Segment RAW Data 25-26'!$B$1:$X$1,$K$3,'Segment RAW Data 25-26'!$B361:$X361)</f>
        <v>0</v>
      </c>
      <c r="L362" s="265">
        <f>sumif('Segment RAW Data 25-26'!$B$1:$X$1,$L$3,'Segment RAW Data 25-26'!$B361:$X361)</f>
        <v>0</v>
      </c>
      <c r="M362" s="270"/>
      <c r="N362" s="124"/>
      <c r="O362" s="124">
        <f>VLOOKUP(C362:C961,'Segment RAW Data 25-26'!A361:Y958,25,0)-VLOOKUP(C362:C961,C:D,2,0)</f>
        <v>0</v>
      </c>
    </row>
    <row r="363" hidden="1">
      <c r="A363" s="157" t="s">
        <v>126</v>
      </c>
      <c r="B363" s="157" t="s">
        <v>145</v>
      </c>
      <c r="C363" s="157" t="s">
        <v>158</v>
      </c>
      <c r="D363" s="124">
        <f t="shared" si="1"/>
        <v>9911745.49</v>
      </c>
      <c r="E363" s="265">
        <f>sumif('Segment RAW Data 25-26'!$B$1:$X$1,$E$3,'Segment RAW Data 25-26'!$B362:$X362)</f>
        <v>143682.91</v>
      </c>
      <c r="F363" s="265">
        <f>sumif('Segment RAW Data 25-26'!$B$1:$X$1,$F$3,'Segment RAW Data 25-26'!$B362:$X362)</f>
        <v>4650826.06</v>
      </c>
      <c r="G363" s="265">
        <f>sumif('Segment RAW Data 25-26'!$B$1:$X$1,$G$3,'Segment RAW Data 25-26'!$B362:$X362)</f>
        <v>4825934.58</v>
      </c>
      <c r="H363" s="265">
        <f>sumif('Segment RAW Data 25-26'!$B$1:$X$1,$H$3,'Segment RAW Data 25-26'!$B362:$X362)</f>
        <v>49182.2</v>
      </c>
      <c r="I363" s="265">
        <f>sumif('Segment RAW Data 25-26'!$B$1:$X$1,$I$3,'Segment RAW Data 25-26'!$B362:$X362)</f>
        <v>224.64</v>
      </c>
      <c r="J363" s="265">
        <f>sumif('Segment RAW Data 25-26'!$B$1:$X$1,$J$3,'Segment RAW Data 25-26'!$B362:$X362)</f>
        <v>241895.1</v>
      </c>
      <c r="K363" s="265">
        <f>sumif('Segment RAW Data 25-26'!$B$1:$X$1,$K$3,'Segment RAW Data 25-26'!$B362:$X362)</f>
        <v>0</v>
      </c>
      <c r="L363" s="265">
        <f>sumif('Segment RAW Data 25-26'!$B$1:$X$1,$L$3,'Segment RAW Data 25-26'!$B362:$X362)</f>
        <v>0</v>
      </c>
      <c r="M363" s="270"/>
      <c r="N363" s="124" t="s">
        <v>975</v>
      </c>
      <c r="O363" s="124">
        <f>VLOOKUP(C363:C962,'Segment RAW Data 25-26'!A362:Y959,25,0)-VLOOKUP(C363:C962,C:D,2,0)</f>
        <v>0</v>
      </c>
    </row>
    <row r="364" hidden="1">
      <c r="A364" s="157" t="s">
        <v>126</v>
      </c>
      <c r="B364" s="157" t="s">
        <v>130</v>
      </c>
      <c r="C364" s="157" t="s">
        <v>154</v>
      </c>
      <c r="D364" s="124">
        <f t="shared" si="1"/>
        <v>27448810.16</v>
      </c>
      <c r="E364" s="265">
        <f>sumif('Segment RAW Data 25-26'!$B$1:$X$1,$E$3,'Segment RAW Data 25-26'!$B363:$X363)</f>
        <v>12773422.01</v>
      </c>
      <c r="F364" s="265">
        <f>sumif('Segment RAW Data 25-26'!$B$1:$X$1,$F$3,'Segment RAW Data 25-26'!$B363:$X363)</f>
        <v>3313499.04</v>
      </c>
      <c r="G364" s="265">
        <f>sumif('Segment RAW Data 25-26'!$B$1:$X$1,$G$3,'Segment RAW Data 25-26'!$B363:$X363)</f>
        <v>2910130.51</v>
      </c>
      <c r="H364" s="265">
        <f>sumif('Segment RAW Data 25-26'!$B$1:$X$1,$H$3,'Segment RAW Data 25-26'!$B363:$X363)</f>
        <v>477521.4</v>
      </c>
      <c r="I364" s="265">
        <f>sumif('Segment RAW Data 25-26'!$B$1:$X$1,$I$3,'Segment RAW Data 25-26'!$B363:$X363)</f>
        <v>0</v>
      </c>
      <c r="J364" s="265">
        <f>sumif('Segment RAW Data 25-26'!$B$1:$X$1,$J$3,'Segment RAW Data 25-26'!$B363:$X363)</f>
        <v>3918977.2</v>
      </c>
      <c r="K364" s="265">
        <f>sumif('Segment RAW Data 25-26'!$B$1:$X$1,$K$3,'Segment RAW Data 25-26'!$B363:$X363)</f>
        <v>0</v>
      </c>
      <c r="L364" s="265">
        <f>sumif('Segment RAW Data 25-26'!$B$1:$X$1,$L$3,'Segment RAW Data 25-26'!$B363:$X363)</f>
        <v>4055260</v>
      </c>
      <c r="M364" s="270"/>
      <c r="N364" s="124" t="s">
        <v>975</v>
      </c>
      <c r="O364" s="124">
        <f>VLOOKUP(C364:C963,'Segment RAW Data 25-26'!A363:Y960,25,0)-VLOOKUP(C364:C963,C:D,2,0)</f>
        <v>0.01000000164</v>
      </c>
    </row>
    <row r="365" hidden="1">
      <c r="A365" s="157"/>
      <c r="B365" s="157"/>
      <c r="C365" s="157" t="s">
        <v>764</v>
      </c>
      <c r="D365" s="124">
        <f t="shared" si="1"/>
        <v>0</v>
      </c>
      <c r="E365" s="265">
        <f>sumif('Segment RAW Data 25-26'!$B$1:$X$1,$E$3,'Segment RAW Data 25-26'!$B364:$X364)</f>
        <v>0</v>
      </c>
      <c r="F365" s="265">
        <f>sumif('Segment RAW Data 25-26'!$B$1:$X$1,$F$3,'Segment RAW Data 25-26'!$B364:$X364)</f>
        <v>0</v>
      </c>
      <c r="G365" s="265">
        <f>sumif('Segment RAW Data 25-26'!$B$1:$X$1,$G$3,'Segment RAW Data 25-26'!$B364:$X364)</f>
        <v>0</v>
      </c>
      <c r="H365" s="265">
        <f>sumif('Segment RAW Data 25-26'!$B$1:$X$1,$H$3,'Segment RAW Data 25-26'!$B364:$X364)</f>
        <v>0</v>
      </c>
      <c r="I365" s="265">
        <f>sumif('Segment RAW Data 25-26'!$B$1:$X$1,$I$3,'Segment RAW Data 25-26'!$B364:$X364)</f>
        <v>0</v>
      </c>
      <c r="J365" s="265">
        <f>sumif('Segment RAW Data 25-26'!$B$1:$X$1,$J$3,'Segment RAW Data 25-26'!$B364:$X364)</f>
        <v>0</v>
      </c>
      <c r="K365" s="265">
        <f>sumif('Segment RAW Data 25-26'!$B$1:$X$1,$K$3,'Segment RAW Data 25-26'!$B364:$X364)</f>
        <v>0</v>
      </c>
      <c r="L365" s="265">
        <f>sumif('Segment RAW Data 25-26'!$B$1:$X$1,$L$3,'Segment RAW Data 25-26'!$B364:$X364)</f>
        <v>0</v>
      </c>
      <c r="M365" s="270"/>
      <c r="N365" s="124"/>
      <c r="O365" s="124">
        <f>VLOOKUP(C365:C964,'Segment RAW Data 25-26'!A364:Y961,25,0)-VLOOKUP(C365:C964,C:D,2,0)</f>
        <v>0</v>
      </c>
    </row>
    <row r="366" hidden="1">
      <c r="A366" s="157" t="s">
        <v>126</v>
      </c>
      <c r="B366" s="157" t="s">
        <v>130</v>
      </c>
      <c r="C366" s="157" t="s">
        <v>156</v>
      </c>
      <c r="D366" s="124">
        <f t="shared" si="1"/>
        <v>12834541.98</v>
      </c>
      <c r="E366" s="265">
        <f>sumif('Segment RAW Data 25-26'!$B$1:$X$1,$E$3,'Segment RAW Data 25-26'!$B365:$X365)</f>
        <v>8610174.05</v>
      </c>
      <c r="F366" s="265">
        <f>sumif('Segment RAW Data 25-26'!$B$1:$X$1,$F$3,'Segment RAW Data 25-26'!$B365:$X365)</f>
        <v>430117.2</v>
      </c>
      <c r="G366" s="265">
        <f>sumif('Segment RAW Data 25-26'!$B$1:$X$1,$G$3,'Segment RAW Data 25-26'!$B365:$X365)</f>
        <v>1103794.11</v>
      </c>
      <c r="H366" s="265">
        <f>sumif('Segment RAW Data 25-26'!$B$1:$X$1,$H$3,'Segment RAW Data 25-26'!$B365:$X365)</f>
        <v>195871.8</v>
      </c>
      <c r="I366" s="265">
        <f>sumif('Segment RAW Data 25-26'!$B$1:$X$1,$I$3,'Segment RAW Data 25-26'!$B365:$X365)</f>
        <v>0</v>
      </c>
      <c r="J366" s="265">
        <f>sumif('Segment RAW Data 25-26'!$B$1:$X$1,$J$3,'Segment RAW Data 25-26'!$B365:$X365)</f>
        <v>855901.07</v>
      </c>
      <c r="K366" s="265">
        <f>sumif('Segment RAW Data 25-26'!$B$1:$X$1,$K$3,'Segment RAW Data 25-26'!$B365:$X365)</f>
        <v>0</v>
      </c>
      <c r="L366" s="265">
        <f>sumif('Segment RAW Data 25-26'!$B$1:$X$1,$L$3,'Segment RAW Data 25-26'!$B365:$X365)</f>
        <v>1638683.75</v>
      </c>
      <c r="M366" s="270"/>
      <c r="N366" s="124" t="s">
        <v>975</v>
      </c>
      <c r="O366" s="124">
        <f>VLOOKUP(C366:C965,'Segment RAW Data 25-26'!A365:Y962,25,0)-VLOOKUP(C366:C965,C:D,2,0)</f>
        <v>0</v>
      </c>
    </row>
    <row r="367" hidden="1">
      <c r="A367" s="157"/>
      <c r="B367" s="157"/>
      <c r="C367" s="157" t="s">
        <v>765</v>
      </c>
      <c r="D367" s="124">
        <f t="shared" si="1"/>
        <v>0</v>
      </c>
      <c r="E367" s="265">
        <f>sumif('Segment RAW Data 25-26'!$B$1:$X$1,$E$3,'Segment RAW Data 25-26'!$B366:$X366)</f>
        <v>0</v>
      </c>
      <c r="F367" s="265">
        <f>sumif('Segment RAW Data 25-26'!$B$1:$X$1,$F$3,'Segment RAW Data 25-26'!$B366:$X366)</f>
        <v>0</v>
      </c>
      <c r="G367" s="265">
        <f>sumif('Segment RAW Data 25-26'!$B$1:$X$1,$G$3,'Segment RAW Data 25-26'!$B366:$X366)</f>
        <v>0</v>
      </c>
      <c r="H367" s="265">
        <f>sumif('Segment RAW Data 25-26'!$B$1:$X$1,$H$3,'Segment RAW Data 25-26'!$B366:$X366)</f>
        <v>0</v>
      </c>
      <c r="I367" s="265">
        <f>sumif('Segment RAW Data 25-26'!$B$1:$X$1,$I$3,'Segment RAW Data 25-26'!$B366:$X366)</f>
        <v>0</v>
      </c>
      <c r="J367" s="265">
        <f>sumif('Segment RAW Data 25-26'!$B$1:$X$1,$J$3,'Segment RAW Data 25-26'!$B366:$X366)</f>
        <v>0</v>
      </c>
      <c r="K367" s="265">
        <f>sumif('Segment RAW Data 25-26'!$B$1:$X$1,$K$3,'Segment RAW Data 25-26'!$B366:$X366)</f>
        <v>0</v>
      </c>
      <c r="L367" s="265">
        <f>sumif('Segment RAW Data 25-26'!$B$1:$X$1,$L$3,'Segment RAW Data 25-26'!$B366:$X366)</f>
        <v>0</v>
      </c>
      <c r="M367" s="270"/>
      <c r="N367" s="124"/>
      <c r="O367" s="124">
        <f>VLOOKUP(C367:C966,'Segment RAW Data 25-26'!A366:Y963,25,0)-VLOOKUP(C367:C966,C:D,2,0)</f>
        <v>0</v>
      </c>
    </row>
    <row r="368" hidden="1">
      <c r="A368" s="157"/>
      <c r="B368" s="157"/>
      <c r="C368" s="157" t="s">
        <v>766</v>
      </c>
      <c r="D368" s="124">
        <f t="shared" si="1"/>
        <v>0</v>
      </c>
      <c r="E368" s="265">
        <f>sumif('Segment RAW Data 25-26'!$B$1:$X$1,$E$3,'Segment RAW Data 25-26'!$B367:$X367)</f>
        <v>0</v>
      </c>
      <c r="F368" s="265">
        <f>sumif('Segment RAW Data 25-26'!$B$1:$X$1,$F$3,'Segment RAW Data 25-26'!$B367:$X367)</f>
        <v>0</v>
      </c>
      <c r="G368" s="265">
        <f>sumif('Segment RAW Data 25-26'!$B$1:$X$1,$G$3,'Segment RAW Data 25-26'!$B367:$X367)</f>
        <v>0</v>
      </c>
      <c r="H368" s="265">
        <f>sumif('Segment RAW Data 25-26'!$B$1:$X$1,$H$3,'Segment RAW Data 25-26'!$B367:$X367)</f>
        <v>0</v>
      </c>
      <c r="I368" s="265">
        <f>sumif('Segment RAW Data 25-26'!$B$1:$X$1,$I$3,'Segment RAW Data 25-26'!$B367:$X367)</f>
        <v>0</v>
      </c>
      <c r="J368" s="265">
        <f>sumif('Segment RAW Data 25-26'!$B$1:$X$1,$J$3,'Segment RAW Data 25-26'!$B367:$X367)</f>
        <v>0</v>
      </c>
      <c r="K368" s="265">
        <f>sumif('Segment RAW Data 25-26'!$B$1:$X$1,$K$3,'Segment RAW Data 25-26'!$B367:$X367)</f>
        <v>0</v>
      </c>
      <c r="L368" s="265">
        <f>sumif('Segment RAW Data 25-26'!$B$1:$X$1,$L$3,'Segment RAW Data 25-26'!$B367:$X367)</f>
        <v>0</v>
      </c>
      <c r="M368" s="270"/>
      <c r="N368" s="124"/>
      <c r="O368" s="124">
        <f>VLOOKUP(C368:C967,'Segment RAW Data 25-26'!A367:Y964,25,0)-VLOOKUP(C368:C967,C:D,2,0)</f>
        <v>0</v>
      </c>
    </row>
    <row r="369" hidden="1">
      <c r="A369" s="157"/>
      <c r="B369" s="157"/>
      <c r="C369" s="157" t="s">
        <v>767</v>
      </c>
      <c r="D369" s="124">
        <f t="shared" si="1"/>
        <v>0</v>
      </c>
      <c r="E369" s="265">
        <f>sumif('Segment RAW Data 25-26'!$B$1:$X$1,$E$3,'Segment RAW Data 25-26'!$B368:$X368)</f>
        <v>0</v>
      </c>
      <c r="F369" s="265">
        <f>sumif('Segment RAW Data 25-26'!$B$1:$X$1,$F$3,'Segment RAW Data 25-26'!$B368:$X368)</f>
        <v>0</v>
      </c>
      <c r="G369" s="265">
        <f>sumif('Segment RAW Data 25-26'!$B$1:$X$1,$G$3,'Segment RAW Data 25-26'!$B368:$X368)</f>
        <v>0</v>
      </c>
      <c r="H369" s="265">
        <f>sumif('Segment RAW Data 25-26'!$B$1:$X$1,$H$3,'Segment RAW Data 25-26'!$B368:$X368)</f>
        <v>0</v>
      </c>
      <c r="I369" s="265">
        <f>sumif('Segment RAW Data 25-26'!$B$1:$X$1,$I$3,'Segment RAW Data 25-26'!$B368:$X368)</f>
        <v>0</v>
      </c>
      <c r="J369" s="265">
        <f>sumif('Segment RAW Data 25-26'!$B$1:$X$1,$J$3,'Segment RAW Data 25-26'!$B368:$X368)</f>
        <v>0</v>
      </c>
      <c r="K369" s="265">
        <f>sumif('Segment RAW Data 25-26'!$B$1:$X$1,$K$3,'Segment RAW Data 25-26'!$B368:$X368)</f>
        <v>0</v>
      </c>
      <c r="L369" s="265">
        <f>sumif('Segment RAW Data 25-26'!$B$1:$X$1,$L$3,'Segment RAW Data 25-26'!$B368:$X368)</f>
        <v>0</v>
      </c>
      <c r="M369" s="270"/>
      <c r="N369" s="124"/>
      <c r="O369" s="124">
        <f>VLOOKUP(C369:C968,'Segment RAW Data 25-26'!A368:Y965,25,0)-VLOOKUP(C369:C968,C:D,2,0)</f>
        <v>0</v>
      </c>
    </row>
    <row r="370" hidden="1">
      <c r="A370" s="157"/>
      <c r="B370" s="157"/>
      <c r="C370" s="157" t="s">
        <v>768</v>
      </c>
      <c r="D370" s="124">
        <f t="shared" si="1"/>
        <v>0</v>
      </c>
      <c r="E370" s="265">
        <f>sumif('Segment RAW Data 25-26'!$B$1:$X$1,$E$3,'Segment RAW Data 25-26'!$B369:$X369)</f>
        <v>0</v>
      </c>
      <c r="F370" s="265">
        <f>sumif('Segment RAW Data 25-26'!$B$1:$X$1,$F$3,'Segment RAW Data 25-26'!$B369:$X369)</f>
        <v>0</v>
      </c>
      <c r="G370" s="265">
        <f>sumif('Segment RAW Data 25-26'!$B$1:$X$1,$G$3,'Segment RAW Data 25-26'!$B369:$X369)</f>
        <v>0</v>
      </c>
      <c r="H370" s="265">
        <f>sumif('Segment RAW Data 25-26'!$B$1:$X$1,$H$3,'Segment RAW Data 25-26'!$B369:$X369)</f>
        <v>0</v>
      </c>
      <c r="I370" s="265">
        <f>sumif('Segment RAW Data 25-26'!$B$1:$X$1,$I$3,'Segment RAW Data 25-26'!$B369:$X369)</f>
        <v>0</v>
      </c>
      <c r="J370" s="265">
        <f>sumif('Segment RAW Data 25-26'!$B$1:$X$1,$J$3,'Segment RAW Data 25-26'!$B369:$X369)</f>
        <v>0</v>
      </c>
      <c r="K370" s="265">
        <f>sumif('Segment RAW Data 25-26'!$B$1:$X$1,$K$3,'Segment RAW Data 25-26'!$B369:$X369)</f>
        <v>0</v>
      </c>
      <c r="L370" s="265">
        <f>sumif('Segment RAW Data 25-26'!$B$1:$X$1,$L$3,'Segment RAW Data 25-26'!$B369:$X369)</f>
        <v>0</v>
      </c>
      <c r="M370" s="270"/>
      <c r="N370" s="124"/>
      <c r="O370" s="124">
        <f>VLOOKUP(C370:C969,'Segment RAW Data 25-26'!A369:Y966,25,0)-VLOOKUP(C370:C969,C:D,2,0)</f>
        <v>0</v>
      </c>
    </row>
    <row r="371" hidden="1">
      <c r="A371" s="157"/>
      <c r="B371" s="157"/>
      <c r="C371" s="157" t="s">
        <v>769</v>
      </c>
      <c r="D371" s="124">
        <f t="shared" si="1"/>
        <v>0</v>
      </c>
      <c r="E371" s="265">
        <f>sumif('Segment RAW Data 25-26'!$B$1:$X$1,$E$3,'Segment RAW Data 25-26'!$B370:$X370)</f>
        <v>0</v>
      </c>
      <c r="F371" s="265">
        <f>sumif('Segment RAW Data 25-26'!$B$1:$X$1,$F$3,'Segment RAW Data 25-26'!$B370:$X370)</f>
        <v>0</v>
      </c>
      <c r="G371" s="265">
        <f>sumif('Segment RAW Data 25-26'!$B$1:$X$1,$G$3,'Segment RAW Data 25-26'!$B370:$X370)</f>
        <v>0</v>
      </c>
      <c r="H371" s="265">
        <f>sumif('Segment RAW Data 25-26'!$B$1:$X$1,$H$3,'Segment RAW Data 25-26'!$B370:$X370)</f>
        <v>0</v>
      </c>
      <c r="I371" s="265">
        <f>sumif('Segment RAW Data 25-26'!$B$1:$X$1,$I$3,'Segment RAW Data 25-26'!$B370:$X370)</f>
        <v>0</v>
      </c>
      <c r="J371" s="265">
        <f>sumif('Segment RAW Data 25-26'!$B$1:$X$1,$J$3,'Segment RAW Data 25-26'!$B370:$X370)</f>
        <v>0</v>
      </c>
      <c r="K371" s="265">
        <f>sumif('Segment RAW Data 25-26'!$B$1:$X$1,$K$3,'Segment RAW Data 25-26'!$B370:$X370)</f>
        <v>0</v>
      </c>
      <c r="L371" s="265">
        <f>sumif('Segment RAW Data 25-26'!$B$1:$X$1,$L$3,'Segment RAW Data 25-26'!$B370:$X370)</f>
        <v>0</v>
      </c>
      <c r="M371" s="270"/>
      <c r="N371" s="124"/>
      <c r="O371" s="124">
        <f>VLOOKUP(C371:C970,'Segment RAW Data 25-26'!A370:Y967,25,0)-VLOOKUP(C371:C970,C:D,2,0)</f>
        <v>0</v>
      </c>
    </row>
    <row r="372" hidden="1">
      <c r="A372" s="157" t="s">
        <v>126</v>
      </c>
      <c r="B372" s="157" t="s">
        <v>135</v>
      </c>
      <c r="C372" s="157" t="s">
        <v>770</v>
      </c>
      <c r="D372" s="124">
        <f t="shared" si="1"/>
        <v>12697967.44</v>
      </c>
      <c r="E372" s="265">
        <f>sumif('Segment RAW Data 25-26'!$B$1:$X$1,$E$3,'Segment RAW Data 25-26'!$B371:$X371)</f>
        <v>6830154.06</v>
      </c>
      <c r="F372" s="265">
        <f>sumif('Segment RAW Data 25-26'!$B$1:$X$1,$F$3,'Segment RAW Data 25-26'!$B371:$X371)</f>
        <v>1683890.82</v>
      </c>
      <c r="G372" s="265">
        <f>sumif('Segment RAW Data 25-26'!$B$1:$X$1,$G$3,'Segment RAW Data 25-26'!$B371:$X371)</f>
        <v>3417852.91</v>
      </c>
      <c r="H372" s="265">
        <f>sumif('Segment RAW Data 25-26'!$B$1:$X$1,$H$3,'Segment RAW Data 25-26'!$B371:$X371)</f>
        <v>26775.63</v>
      </c>
      <c r="I372" s="265">
        <f>sumif('Segment RAW Data 25-26'!$B$1:$X$1,$I$3,'Segment RAW Data 25-26'!$B371:$X371)</f>
        <v>0</v>
      </c>
      <c r="J372" s="265">
        <f>sumif('Segment RAW Data 25-26'!$B$1:$X$1,$J$3,'Segment RAW Data 25-26'!$B371:$X371)</f>
        <v>651354.2</v>
      </c>
      <c r="K372" s="265">
        <f>sumif('Segment RAW Data 25-26'!$B$1:$X$1,$K$3,'Segment RAW Data 25-26'!$B371:$X371)</f>
        <v>0</v>
      </c>
      <c r="L372" s="265">
        <f>sumif('Segment RAW Data 25-26'!$B$1:$X$1,$L$3,'Segment RAW Data 25-26'!$B371:$X371)</f>
        <v>87939.82</v>
      </c>
      <c r="M372" s="270"/>
      <c r="N372" s="124" t="s">
        <v>975</v>
      </c>
      <c r="O372" s="124">
        <f>VLOOKUP(C372:C971,'Segment RAW Data 25-26'!A371:Y968,25,0)-VLOOKUP(C372:C971,C:D,2,0)</f>
        <v>0.009999997914</v>
      </c>
    </row>
    <row r="373" hidden="1">
      <c r="A373" s="157"/>
      <c r="B373" s="157"/>
      <c r="C373" s="157" t="s">
        <v>771</v>
      </c>
      <c r="D373" s="124">
        <f t="shared" si="1"/>
        <v>0</v>
      </c>
      <c r="E373" s="265">
        <f>sumif('Segment RAW Data 25-26'!$B$1:$X$1,$E$3,'Segment RAW Data 25-26'!$B372:$X372)</f>
        <v>0</v>
      </c>
      <c r="F373" s="265">
        <f>sumif('Segment RAW Data 25-26'!$B$1:$X$1,$F$3,'Segment RAW Data 25-26'!$B372:$X372)</f>
        <v>0</v>
      </c>
      <c r="G373" s="265">
        <f>sumif('Segment RAW Data 25-26'!$B$1:$X$1,$G$3,'Segment RAW Data 25-26'!$B372:$X372)</f>
        <v>0</v>
      </c>
      <c r="H373" s="265">
        <f>sumif('Segment RAW Data 25-26'!$B$1:$X$1,$H$3,'Segment RAW Data 25-26'!$B372:$X372)</f>
        <v>0</v>
      </c>
      <c r="I373" s="265">
        <f>sumif('Segment RAW Data 25-26'!$B$1:$X$1,$I$3,'Segment RAW Data 25-26'!$B372:$X372)</f>
        <v>0</v>
      </c>
      <c r="J373" s="265">
        <f>sumif('Segment RAW Data 25-26'!$B$1:$X$1,$J$3,'Segment RAW Data 25-26'!$B372:$X372)</f>
        <v>0</v>
      </c>
      <c r="K373" s="265">
        <f>sumif('Segment RAW Data 25-26'!$B$1:$X$1,$K$3,'Segment RAW Data 25-26'!$B372:$X372)</f>
        <v>0</v>
      </c>
      <c r="L373" s="265">
        <f>sumif('Segment RAW Data 25-26'!$B$1:$X$1,$L$3,'Segment RAW Data 25-26'!$B372:$X372)</f>
        <v>0</v>
      </c>
      <c r="M373" s="270"/>
      <c r="N373" s="124"/>
      <c r="O373" s="124">
        <f>VLOOKUP(C373:C972,'Segment RAW Data 25-26'!A372:Y969,25,0)-VLOOKUP(C373:C972,C:D,2,0)</f>
        <v>0</v>
      </c>
    </row>
    <row r="374" hidden="1">
      <c r="A374" s="157" t="s">
        <v>185</v>
      </c>
      <c r="B374" s="157" t="s">
        <v>189</v>
      </c>
      <c r="C374" s="157" t="s">
        <v>414</v>
      </c>
      <c r="D374" s="124">
        <f t="shared" si="1"/>
        <v>9834471.95</v>
      </c>
      <c r="E374" s="265">
        <f>sumif('Segment RAW Data 25-26'!$B$1:$X$1,$E$3,'Segment RAW Data 25-26'!$B373:$X373)</f>
        <v>0</v>
      </c>
      <c r="F374" s="265">
        <f>sumif('Segment RAW Data 25-26'!$B$1:$X$1,$F$3,'Segment RAW Data 25-26'!$B373:$X373)</f>
        <v>2872810.99</v>
      </c>
      <c r="G374" s="265">
        <f>sumif('Segment RAW Data 25-26'!$B$1:$X$1,$G$3,'Segment RAW Data 25-26'!$B373:$X373)</f>
        <v>5388786.86</v>
      </c>
      <c r="H374" s="265">
        <f>sumif('Segment RAW Data 25-26'!$B$1:$X$1,$H$3,'Segment RAW Data 25-26'!$B373:$X373)</f>
        <v>25908.75</v>
      </c>
      <c r="I374" s="265">
        <f>sumif('Segment RAW Data 25-26'!$B$1:$X$1,$I$3,'Segment RAW Data 25-26'!$B373:$X373)</f>
        <v>0</v>
      </c>
      <c r="J374" s="265">
        <f>sumif('Segment RAW Data 25-26'!$B$1:$X$1,$J$3,'Segment RAW Data 25-26'!$B373:$X373)</f>
        <v>83459.1</v>
      </c>
      <c r="K374" s="265">
        <f>sumif('Segment RAW Data 25-26'!$B$1:$X$1,$K$3,'Segment RAW Data 25-26'!$B373:$X373)</f>
        <v>0</v>
      </c>
      <c r="L374" s="265">
        <f>sumif('Segment RAW Data 25-26'!$B$1:$X$1,$L$3,'Segment RAW Data 25-26'!$B373:$X373)</f>
        <v>1463506.25</v>
      </c>
      <c r="M374" s="270">
        <v>46022.0</v>
      </c>
      <c r="N374" s="124" t="s">
        <v>973</v>
      </c>
      <c r="O374" s="124">
        <f>VLOOKUP(C374:C973,'Segment RAW Data 25-26'!A373:Y970,25,0)-VLOOKUP(C374:C973,C:D,2,0)</f>
        <v>0</v>
      </c>
    </row>
    <row r="375" hidden="1">
      <c r="A375" s="157" t="s">
        <v>126</v>
      </c>
      <c r="B375" s="157" t="s">
        <v>135</v>
      </c>
      <c r="C375" s="157" t="s">
        <v>772</v>
      </c>
      <c r="D375" s="124">
        <f t="shared" si="1"/>
        <v>23083016.4</v>
      </c>
      <c r="E375" s="265">
        <f>sumif('Segment RAW Data 25-26'!$B$1:$X$1,$E$3,'Segment RAW Data 25-26'!$B374:$X374)</f>
        <v>15515746.51</v>
      </c>
      <c r="F375" s="265">
        <f>sumif('Segment RAW Data 25-26'!$B$1:$X$1,$F$3,'Segment RAW Data 25-26'!$B374:$X374)</f>
        <v>3871289.15</v>
      </c>
      <c r="G375" s="265">
        <f>sumif('Segment RAW Data 25-26'!$B$1:$X$1,$G$3,'Segment RAW Data 25-26'!$B374:$X374)</f>
        <v>3019843.74</v>
      </c>
      <c r="H375" s="265">
        <f>sumif('Segment RAW Data 25-26'!$B$1:$X$1,$H$3,'Segment RAW Data 25-26'!$B374:$X374)</f>
        <v>96033.6</v>
      </c>
      <c r="I375" s="265">
        <f>sumif('Segment RAW Data 25-26'!$B$1:$X$1,$I$3,'Segment RAW Data 25-26'!$B374:$X374)</f>
        <v>0</v>
      </c>
      <c r="J375" s="265">
        <f>sumif('Segment RAW Data 25-26'!$B$1:$X$1,$J$3,'Segment RAW Data 25-26'!$B374:$X374)</f>
        <v>390711.65</v>
      </c>
      <c r="K375" s="265">
        <f>sumif('Segment RAW Data 25-26'!$B$1:$X$1,$K$3,'Segment RAW Data 25-26'!$B374:$X374)</f>
        <v>0</v>
      </c>
      <c r="L375" s="265">
        <f>sumif('Segment RAW Data 25-26'!$B$1:$X$1,$L$3,'Segment RAW Data 25-26'!$B374:$X374)</f>
        <v>189391.75</v>
      </c>
      <c r="M375" s="270"/>
      <c r="N375" s="124" t="s">
        <v>975</v>
      </c>
      <c r="O375" s="124">
        <f>VLOOKUP(C375:C974,'Segment RAW Data 25-26'!A374:Y971,25,0)-VLOOKUP(C375:C974,C:D,2,0)</f>
        <v>0.01000000164</v>
      </c>
    </row>
    <row r="376" hidden="1">
      <c r="A376" s="157" t="s">
        <v>298</v>
      </c>
      <c r="B376" s="157" t="s">
        <v>301</v>
      </c>
      <c r="C376" s="157" t="s">
        <v>773</v>
      </c>
      <c r="D376" s="124">
        <f t="shared" si="1"/>
        <v>11028358.96</v>
      </c>
      <c r="E376" s="265">
        <f>sumif('Segment RAW Data 25-26'!$B$1:$X$1,$E$3,'Segment RAW Data 25-26'!$B375:$X375)</f>
        <v>295670.83</v>
      </c>
      <c r="F376" s="265">
        <f>sumif('Segment RAW Data 25-26'!$B$1:$X$1,$F$3,'Segment RAW Data 25-26'!$B375:$X375)</f>
        <v>6736974.55</v>
      </c>
      <c r="G376" s="265">
        <f>sumif('Segment RAW Data 25-26'!$B$1:$X$1,$G$3,'Segment RAW Data 25-26'!$B375:$X375)</f>
        <v>3681310.14</v>
      </c>
      <c r="H376" s="265">
        <f>sumif('Segment RAW Data 25-26'!$B$1:$X$1,$H$3,'Segment RAW Data 25-26'!$B375:$X375)</f>
        <v>91309.44</v>
      </c>
      <c r="I376" s="265">
        <f>sumif('Segment RAW Data 25-26'!$B$1:$X$1,$I$3,'Segment RAW Data 25-26'!$B375:$X375)</f>
        <v>1382.4</v>
      </c>
      <c r="J376" s="265">
        <f>sumif('Segment RAW Data 25-26'!$B$1:$X$1,$J$3,'Segment RAW Data 25-26'!$B375:$X375)</f>
        <v>221711.6</v>
      </c>
      <c r="K376" s="265">
        <f>sumif('Segment RAW Data 25-26'!$B$1:$X$1,$K$3,'Segment RAW Data 25-26'!$B375:$X375)</f>
        <v>0</v>
      </c>
      <c r="L376" s="265">
        <f>sumif('Segment RAW Data 25-26'!$B$1:$X$1,$L$3,'Segment RAW Data 25-26'!$B375:$X375)</f>
        <v>0</v>
      </c>
      <c r="M376" s="270"/>
      <c r="N376" s="124" t="s">
        <v>975</v>
      </c>
      <c r="O376" s="124">
        <f>VLOOKUP(C376:C975,'Segment RAW Data 25-26'!A375:Y972,25,0)-VLOOKUP(C376:C975,C:D,2,0)</f>
        <v>0.000000001862645149</v>
      </c>
    </row>
    <row r="377" hidden="1">
      <c r="A377" s="157"/>
      <c r="B377" s="157"/>
      <c r="C377" s="157" t="s">
        <v>774</v>
      </c>
      <c r="D377" s="124">
        <f t="shared" si="1"/>
        <v>0</v>
      </c>
      <c r="E377" s="265">
        <f>sumif('Segment RAW Data 25-26'!$B$1:$X$1,$E$3,'Segment RAW Data 25-26'!$B376:$X376)</f>
        <v>0</v>
      </c>
      <c r="F377" s="265">
        <f>sumif('Segment RAW Data 25-26'!$B$1:$X$1,$F$3,'Segment RAW Data 25-26'!$B376:$X376)</f>
        <v>0</v>
      </c>
      <c r="G377" s="265">
        <f>sumif('Segment RAW Data 25-26'!$B$1:$X$1,$G$3,'Segment RAW Data 25-26'!$B376:$X376)</f>
        <v>0</v>
      </c>
      <c r="H377" s="265">
        <f>sumif('Segment RAW Data 25-26'!$B$1:$X$1,$H$3,'Segment RAW Data 25-26'!$B376:$X376)</f>
        <v>0</v>
      </c>
      <c r="I377" s="265">
        <f>sumif('Segment RAW Data 25-26'!$B$1:$X$1,$I$3,'Segment RAW Data 25-26'!$B376:$X376)</f>
        <v>0</v>
      </c>
      <c r="J377" s="265">
        <f>sumif('Segment RAW Data 25-26'!$B$1:$X$1,$J$3,'Segment RAW Data 25-26'!$B376:$X376)</f>
        <v>0</v>
      </c>
      <c r="K377" s="265">
        <f>sumif('Segment RAW Data 25-26'!$B$1:$X$1,$K$3,'Segment RAW Data 25-26'!$B376:$X376)</f>
        <v>0</v>
      </c>
      <c r="L377" s="265">
        <f>sumif('Segment RAW Data 25-26'!$B$1:$X$1,$L$3,'Segment RAW Data 25-26'!$B376:$X376)</f>
        <v>0</v>
      </c>
      <c r="M377" s="270"/>
      <c r="N377" s="124"/>
      <c r="O377" s="124">
        <f>VLOOKUP(C377:C976,'Segment RAW Data 25-26'!A376:Y973,25,0)-VLOOKUP(C377:C976,C:D,2,0)</f>
        <v>0</v>
      </c>
    </row>
    <row r="378" hidden="1">
      <c r="A378" s="157"/>
      <c r="B378" s="157"/>
      <c r="C378" s="157" t="s">
        <v>775</v>
      </c>
      <c r="D378" s="124">
        <f t="shared" si="1"/>
        <v>0</v>
      </c>
      <c r="E378" s="265">
        <f>sumif('Segment RAW Data 25-26'!$B$1:$X$1,$E$3,'Segment RAW Data 25-26'!$B377:$X377)</f>
        <v>0</v>
      </c>
      <c r="F378" s="265">
        <f>sumif('Segment RAW Data 25-26'!$B$1:$X$1,$F$3,'Segment RAW Data 25-26'!$B377:$X377)</f>
        <v>0</v>
      </c>
      <c r="G378" s="265">
        <f>sumif('Segment RAW Data 25-26'!$B$1:$X$1,$G$3,'Segment RAW Data 25-26'!$B377:$X377)</f>
        <v>0</v>
      </c>
      <c r="H378" s="265">
        <f>sumif('Segment RAW Data 25-26'!$B$1:$X$1,$H$3,'Segment RAW Data 25-26'!$B377:$X377)</f>
        <v>0</v>
      </c>
      <c r="I378" s="265">
        <f>sumif('Segment RAW Data 25-26'!$B$1:$X$1,$I$3,'Segment RAW Data 25-26'!$B377:$X377)</f>
        <v>0</v>
      </c>
      <c r="J378" s="265">
        <f>sumif('Segment RAW Data 25-26'!$B$1:$X$1,$J$3,'Segment RAW Data 25-26'!$B377:$X377)</f>
        <v>0</v>
      </c>
      <c r="K378" s="265">
        <f>sumif('Segment RAW Data 25-26'!$B$1:$X$1,$K$3,'Segment RAW Data 25-26'!$B377:$X377)</f>
        <v>0</v>
      </c>
      <c r="L378" s="265">
        <f>sumif('Segment RAW Data 25-26'!$B$1:$X$1,$L$3,'Segment RAW Data 25-26'!$B377:$X377)</f>
        <v>0</v>
      </c>
      <c r="M378" s="270"/>
      <c r="N378" s="124"/>
      <c r="O378" s="124">
        <f>VLOOKUP(C378:C977,'Segment RAW Data 25-26'!A377:Y974,25,0)-VLOOKUP(C378:C977,C:D,2,0)</f>
        <v>0</v>
      </c>
    </row>
    <row r="379" hidden="1">
      <c r="A379" s="157" t="s">
        <v>185</v>
      </c>
      <c r="B379" s="157" t="s">
        <v>215</v>
      </c>
      <c r="C379" s="157" t="s">
        <v>776</v>
      </c>
      <c r="D379" s="124">
        <f t="shared" si="1"/>
        <v>0</v>
      </c>
      <c r="E379" s="265">
        <f>sumif('Segment RAW Data 25-26'!$B$1:$X$1,$E$3,'Segment RAW Data 25-26'!$B378:$X378)</f>
        <v>0</v>
      </c>
      <c r="F379" s="265">
        <f>sumif('Segment RAW Data 25-26'!$B$1:$X$1,$F$3,'Segment RAW Data 25-26'!$B378:$X378)</f>
        <v>0</v>
      </c>
      <c r="G379" s="265">
        <f>sumif('Segment RAW Data 25-26'!$B$1:$X$1,$G$3,'Segment RAW Data 25-26'!$B378:$X378)</f>
        <v>0</v>
      </c>
      <c r="H379" s="265">
        <f>sumif('Segment RAW Data 25-26'!$B$1:$X$1,$H$3,'Segment RAW Data 25-26'!$B378:$X378)</f>
        <v>0</v>
      </c>
      <c r="I379" s="265">
        <f>sumif('Segment RAW Data 25-26'!$B$1:$X$1,$I$3,'Segment RAW Data 25-26'!$B378:$X378)</f>
        <v>0</v>
      </c>
      <c r="J379" s="265">
        <f>sumif('Segment RAW Data 25-26'!$B$1:$X$1,$J$3,'Segment RAW Data 25-26'!$B378:$X378)</f>
        <v>0</v>
      </c>
      <c r="K379" s="265">
        <f>sumif('Segment RAW Data 25-26'!$B$1:$X$1,$K$3,'Segment RAW Data 25-26'!$B378:$X378)</f>
        <v>0</v>
      </c>
      <c r="L379" s="265">
        <f>sumif('Segment RAW Data 25-26'!$B$1:$X$1,$L$3,'Segment RAW Data 25-26'!$B378:$X378)</f>
        <v>0</v>
      </c>
      <c r="M379" s="270"/>
      <c r="N379" s="124" t="s">
        <v>975</v>
      </c>
      <c r="O379" s="124">
        <f>VLOOKUP(C379:C978,'Segment RAW Data 25-26'!A378:Y975,25,0)-VLOOKUP(C379:C978,C:D,2,0)</f>
        <v>0</v>
      </c>
    </row>
    <row r="380" hidden="1">
      <c r="A380" s="157"/>
      <c r="B380" s="157"/>
      <c r="C380" s="157" t="s">
        <v>777</v>
      </c>
      <c r="D380" s="124">
        <f t="shared" si="1"/>
        <v>0</v>
      </c>
      <c r="E380" s="265">
        <f>sumif('Segment RAW Data 25-26'!$B$1:$X$1,$E$3,'Segment RAW Data 25-26'!$B379:$X379)</f>
        <v>0</v>
      </c>
      <c r="F380" s="265">
        <f>sumif('Segment RAW Data 25-26'!$B$1:$X$1,$F$3,'Segment RAW Data 25-26'!$B379:$X379)</f>
        <v>0</v>
      </c>
      <c r="G380" s="265">
        <f>sumif('Segment RAW Data 25-26'!$B$1:$X$1,$G$3,'Segment RAW Data 25-26'!$B379:$X379)</f>
        <v>0</v>
      </c>
      <c r="H380" s="265">
        <f>sumif('Segment RAW Data 25-26'!$B$1:$X$1,$H$3,'Segment RAW Data 25-26'!$B379:$X379)</f>
        <v>0</v>
      </c>
      <c r="I380" s="265">
        <f>sumif('Segment RAW Data 25-26'!$B$1:$X$1,$I$3,'Segment RAW Data 25-26'!$B379:$X379)</f>
        <v>0</v>
      </c>
      <c r="J380" s="265">
        <f>sumif('Segment RAW Data 25-26'!$B$1:$X$1,$J$3,'Segment RAW Data 25-26'!$B379:$X379)</f>
        <v>0</v>
      </c>
      <c r="K380" s="265">
        <f>sumif('Segment RAW Data 25-26'!$B$1:$X$1,$K$3,'Segment RAW Data 25-26'!$B379:$X379)</f>
        <v>0</v>
      </c>
      <c r="L380" s="265">
        <f>sumif('Segment RAW Data 25-26'!$B$1:$X$1,$L$3,'Segment RAW Data 25-26'!$B379:$X379)</f>
        <v>0</v>
      </c>
      <c r="M380" s="270"/>
      <c r="N380" s="124"/>
      <c r="O380" s="124">
        <f>VLOOKUP(C380:C979,'Segment RAW Data 25-26'!A379:Y976,25,0)-VLOOKUP(C380:C979,C:D,2,0)</f>
        <v>0</v>
      </c>
    </row>
    <row r="381" hidden="1">
      <c r="A381" s="157"/>
      <c r="B381" s="157"/>
      <c r="C381" s="157" t="s">
        <v>778</v>
      </c>
      <c r="D381" s="124">
        <f t="shared" si="1"/>
        <v>0</v>
      </c>
      <c r="E381" s="265">
        <f>sumif('Segment RAW Data 25-26'!$B$1:$X$1,$E$3,'Segment RAW Data 25-26'!$B380:$X380)</f>
        <v>0</v>
      </c>
      <c r="F381" s="265">
        <f>sumif('Segment RAW Data 25-26'!$B$1:$X$1,$F$3,'Segment RAW Data 25-26'!$B380:$X380)</f>
        <v>0</v>
      </c>
      <c r="G381" s="265">
        <f>sumif('Segment RAW Data 25-26'!$B$1:$X$1,$G$3,'Segment RAW Data 25-26'!$B380:$X380)</f>
        <v>0</v>
      </c>
      <c r="H381" s="265">
        <f>sumif('Segment RAW Data 25-26'!$B$1:$X$1,$H$3,'Segment RAW Data 25-26'!$B380:$X380)</f>
        <v>0</v>
      </c>
      <c r="I381" s="265">
        <f>sumif('Segment RAW Data 25-26'!$B$1:$X$1,$I$3,'Segment RAW Data 25-26'!$B380:$X380)</f>
        <v>0</v>
      </c>
      <c r="J381" s="265">
        <f>sumif('Segment RAW Data 25-26'!$B$1:$X$1,$J$3,'Segment RAW Data 25-26'!$B380:$X380)</f>
        <v>0</v>
      </c>
      <c r="K381" s="265">
        <f>sumif('Segment RAW Data 25-26'!$B$1:$X$1,$K$3,'Segment RAW Data 25-26'!$B380:$X380)</f>
        <v>0</v>
      </c>
      <c r="L381" s="265">
        <f>sumif('Segment RAW Data 25-26'!$B$1:$X$1,$L$3,'Segment RAW Data 25-26'!$B380:$X380)</f>
        <v>0</v>
      </c>
      <c r="M381" s="270"/>
      <c r="N381" s="124"/>
      <c r="O381" s="124">
        <f>VLOOKUP(C381:C980,'Segment RAW Data 25-26'!A380:Y977,25,0)-VLOOKUP(C381:C980,C:D,2,0)</f>
        <v>0</v>
      </c>
    </row>
    <row r="382" hidden="1">
      <c r="A382" s="157"/>
      <c r="B382" s="157"/>
      <c r="C382" s="157" t="s">
        <v>779</v>
      </c>
      <c r="D382" s="124">
        <f t="shared" si="1"/>
        <v>0</v>
      </c>
      <c r="E382" s="265">
        <f>sumif('Segment RAW Data 25-26'!$B$1:$X$1,$E$3,'Segment RAW Data 25-26'!$B381:$X381)</f>
        <v>0</v>
      </c>
      <c r="F382" s="265">
        <f>sumif('Segment RAW Data 25-26'!$B$1:$X$1,$F$3,'Segment RAW Data 25-26'!$B381:$X381)</f>
        <v>0</v>
      </c>
      <c r="G382" s="265">
        <f>sumif('Segment RAW Data 25-26'!$B$1:$X$1,$G$3,'Segment RAW Data 25-26'!$B381:$X381)</f>
        <v>0</v>
      </c>
      <c r="H382" s="265">
        <f>sumif('Segment RAW Data 25-26'!$B$1:$X$1,$H$3,'Segment RAW Data 25-26'!$B381:$X381)</f>
        <v>0</v>
      </c>
      <c r="I382" s="265">
        <f>sumif('Segment RAW Data 25-26'!$B$1:$X$1,$I$3,'Segment RAW Data 25-26'!$B381:$X381)</f>
        <v>0</v>
      </c>
      <c r="J382" s="265">
        <f>sumif('Segment RAW Data 25-26'!$B$1:$X$1,$J$3,'Segment RAW Data 25-26'!$B381:$X381)</f>
        <v>0</v>
      </c>
      <c r="K382" s="265">
        <f>sumif('Segment RAW Data 25-26'!$B$1:$X$1,$K$3,'Segment RAW Data 25-26'!$B381:$X381)</f>
        <v>0</v>
      </c>
      <c r="L382" s="265">
        <f>sumif('Segment RAW Data 25-26'!$B$1:$X$1,$L$3,'Segment RAW Data 25-26'!$B381:$X381)</f>
        <v>0</v>
      </c>
      <c r="M382" s="270"/>
      <c r="N382" s="124"/>
      <c r="O382" s="124">
        <f>VLOOKUP(C382:C981,'Segment RAW Data 25-26'!A381:Y978,25,0)-VLOOKUP(C382:C981,C:D,2,0)</f>
        <v>0</v>
      </c>
    </row>
    <row r="383" hidden="1">
      <c r="A383" s="157"/>
      <c r="B383" s="157"/>
      <c r="C383" s="157" t="s">
        <v>780</v>
      </c>
      <c r="D383" s="124">
        <f t="shared" si="1"/>
        <v>0</v>
      </c>
      <c r="E383" s="265">
        <f>sumif('Segment RAW Data 25-26'!$B$1:$X$1,$E$3,'Segment RAW Data 25-26'!$B382:$X382)</f>
        <v>0</v>
      </c>
      <c r="F383" s="265">
        <f>sumif('Segment RAW Data 25-26'!$B$1:$X$1,$F$3,'Segment RAW Data 25-26'!$B382:$X382)</f>
        <v>0</v>
      </c>
      <c r="G383" s="265">
        <f>sumif('Segment RAW Data 25-26'!$B$1:$X$1,$G$3,'Segment RAW Data 25-26'!$B382:$X382)</f>
        <v>0</v>
      </c>
      <c r="H383" s="265">
        <f>sumif('Segment RAW Data 25-26'!$B$1:$X$1,$H$3,'Segment RAW Data 25-26'!$B382:$X382)</f>
        <v>0</v>
      </c>
      <c r="I383" s="265">
        <f>sumif('Segment RAW Data 25-26'!$B$1:$X$1,$I$3,'Segment RAW Data 25-26'!$B382:$X382)</f>
        <v>0</v>
      </c>
      <c r="J383" s="265">
        <f>sumif('Segment RAW Data 25-26'!$B$1:$X$1,$J$3,'Segment RAW Data 25-26'!$B382:$X382)</f>
        <v>0</v>
      </c>
      <c r="K383" s="265">
        <f>sumif('Segment RAW Data 25-26'!$B$1:$X$1,$K$3,'Segment RAW Data 25-26'!$B382:$X382)</f>
        <v>0</v>
      </c>
      <c r="L383" s="265">
        <f>sumif('Segment RAW Data 25-26'!$B$1:$X$1,$L$3,'Segment RAW Data 25-26'!$B382:$X382)</f>
        <v>0</v>
      </c>
      <c r="M383" s="270"/>
      <c r="N383" s="124"/>
      <c r="O383" s="124">
        <f>VLOOKUP(C383:C982,'Segment RAW Data 25-26'!A382:Y979,25,0)-VLOOKUP(C383:C982,C:D,2,0)</f>
        <v>0</v>
      </c>
    </row>
    <row r="384" hidden="1">
      <c r="A384" s="157" t="s">
        <v>126</v>
      </c>
      <c r="B384" s="157" t="s">
        <v>130</v>
      </c>
      <c r="C384" s="157" t="s">
        <v>781</v>
      </c>
      <c r="D384" s="124">
        <f t="shared" si="1"/>
        <v>1056088.06</v>
      </c>
      <c r="E384" s="265">
        <f>sumif('Segment RAW Data 25-26'!$B$1:$X$1,$E$3,'Segment RAW Data 25-26'!$B383:$X383)</f>
        <v>119993.89</v>
      </c>
      <c r="F384" s="265">
        <f>sumif('Segment RAW Data 25-26'!$B$1:$X$1,$F$3,'Segment RAW Data 25-26'!$B383:$X383)</f>
        <v>113228.35</v>
      </c>
      <c r="G384" s="265">
        <f>sumif('Segment RAW Data 25-26'!$B$1:$X$1,$G$3,'Segment RAW Data 25-26'!$B383:$X383)</f>
        <v>806747.03</v>
      </c>
      <c r="H384" s="265">
        <f>sumif('Segment RAW Data 25-26'!$B$1:$X$1,$H$3,'Segment RAW Data 25-26'!$B383:$X383)</f>
        <v>16118.79</v>
      </c>
      <c r="I384" s="265">
        <f>sumif('Segment RAW Data 25-26'!$B$1:$X$1,$I$3,'Segment RAW Data 25-26'!$B383:$X383)</f>
        <v>0</v>
      </c>
      <c r="J384" s="265">
        <f>sumif('Segment RAW Data 25-26'!$B$1:$X$1,$J$3,'Segment RAW Data 25-26'!$B383:$X383)</f>
        <v>0</v>
      </c>
      <c r="K384" s="265">
        <f>sumif('Segment RAW Data 25-26'!$B$1:$X$1,$K$3,'Segment RAW Data 25-26'!$B383:$X383)</f>
        <v>0</v>
      </c>
      <c r="L384" s="265">
        <f>sumif('Segment RAW Data 25-26'!$B$1:$X$1,$L$3,'Segment RAW Data 25-26'!$B383:$X383)</f>
        <v>0</v>
      </c>
      <c r="M384" s="270">
        <v>45991.0</v>
      </c>
      <c r="N384" s="124" t="s">
        <v>973</v>
      </c>
      <c r="O384" s="124">
        <f>VLOOKUP(C384:C983,'Segment RAW Data 25-26'!A383:Y980,25,0)-VLOOKUP(C384:C983,C:D,2,0)</f>
        <v>0</v>
      </c>
    </row>
    <row r="385" hidden="1">
      <c r="A385" s="157"/>
      <c r="B385" s="157"/>
      <c r="C385" s="157" t="s">
        <v>782</v>
      </c>
      <c r="D385" s="124">
        <f t="shared" si="1"/>
        <v>0</v>
      </c>
      <c r="E385" s="265">
        <f>sumif('Segment RAW Data 25-26'!$B$1:$X$1,$E$3,'Segment RAW Data 25-26'!$B384:$X384)</f>
        <v>0</v>
      </c>
      <c r="F385" s="265">
        <f>sumif('Segment RAW Data 25-26'!$B$1:$X$1,$F$3,'Segment RAW Data 25-26'!$B384:$X384)</f>
        <v>0</v>
      </c>
      <c r="G385" s="265">
        <f>sumif('Segment RAW Data 25-26'!$B$1:$X$1,$G$3,'Segment RAW Data 25-26'!$B384:$X384)</f>
        <v>0</v>
      </c>
      <c r="H385" s="265">
        <f>sumif('Segment RAW Data 25-26'!$B$1:$X$1,$H$3,'Segment RAW Data 25-26'!$B384:$X384)</f>
        <v>0</v>
      </c>
      <c r="I385" s="265">
        <f>sumif('Segment RAW Data 25-26'!$B$1:$X$1,$I$3,'Segment RAW Data 25-26'!$B384:$X384)</f>
        <v>0</v>
      </c>
      <c r="J385" s="265">
        <f>sumif('Segment RAW Data 25-26'!$B$1:$X$1,$J$3,'Segment RAW Data 25-26'!$B384:$X384)</f>
        <v>0</v>
      </c>
      <c r="K385" s="265">
        <f>sumif('Segment RAW Data 25-26'!$B$1:$X$1,$K$3,'Segment RAW Data 25-26'!$B384:$X384)</f>
        <v>0</v>
      </c>
      <c r="L385" s="265">
        <f>sumif('Segment RAW Data 25-26'!$B$1:$X$1,$L$3,'Segment RAW Data 25-26'!$B384:$X384)</f>
        <v>0</v>
      </c>
      <c r="M385" s="270"/>
      <c r="N385" s="124"/>
      <c r="O385" s="124">
        <f>VLOOKUP(C385:C984,'Segment RAW Data 25-26'!A384:Y981,25,0)-VLOOKUP(C385:C984,C:D,2,0)</f>
        <v>0</v>
      </c>
    </row>
    <row r="386" hidden="1">
      <c r="A386" s="157" t="s">
        <v>185</v>
      </c>
      <c r="B386" s="157" t="s">
        <v>215</v>
      </c>
      <c r="C386" s="157" t="s">
        <v>783</v>
      </c>
      <c r="D386" s="124">
        <f t="shared" si="1"/>
        <v>18771691.8</v>
      </c>
      <c r="E386" s="265">
        <f>sumif('Segment RAW Data 25-26'!$B$1:$X$1,$E$3,'Segment RAW Data 25-26'!$B385:$X385)</f>
        <v>10447679.59</v>
      </c>
      <c r="F386" s="265">
        <f>sumif('Segment RAW Data 25-26'!$B$1:$X$1,$F$3,'Segment RAW Data 25-26'!$B385:$X385)</f>
        <v>3296868.87</v>
      </c>
      <c r="G386" s="265">
        <f>sumif('Segment RAW Data 25-26'!$B$1:$X$1,$G$3,'Segment RAW Data 25-26'!$B385:$X385)</f>
        <v>2377655.63</v>
      </c>
      <c r="H386" s="265">
        <f>sumif('Segment RAW Data 25-26'!$B$1:$X$1,$H$3,'Segment RAW Data 25-26'!$B385:$X385)</f>
        <v>850384.5</v>
      </c>
      <c r="I386" s="265">
        <f>sumif('Segment RAW Data 25-26'!$B$1:$X$1,$I$3,'Segment RAW Data 25-26'!$B385:$X385)</f>
        <v>0</v>
      </c>
      <c r="J386" s="265">
        <f>sumif('Segment RAW Data 25-26'!$B$1:$X$1,$J$3,'Segment RAW Data 25-26'!$B385:$X385)</f>
        <v>1048716.41</v>
      </c>
      <c r="K386" s="265">
        <f>sumif('Segment RAW Data 25-26'!$B$1:$X$1,$K$3,'Segment RAW Data 25-26'!$B385:$X385)</f>
        <v>10796.8</v>
      </c>
      <c r="L386" s="265">
        <f>sumif('Segment RAW Data 25-26'!$B$1:$X$1,$L$3,'Segment RAW Data 25-26'!$B385:$X385)</f>
        <v>739590</v>
      </c>
      <c r="M386" s="270"/>
      <c r="N386" s="124" t="s">
        <v>975</v>
      </c>
      <c r="O386" s="124">
        <f>VLOOKUP(C386:C985,'Segment RAW Data 25-26'!A385:Y982,25,0)-VLOOKUP(C386:C985,C:D,2,0)</f>
        <v>0.009999997914</v>
      </c>
    </row>
    <row r="387" hidden="1">
      <c r="A387" s="157"/>
      <c r="B387" s="157"/>
      <c r="C387" s="157" t="s">
        <v>784</v>
      </c>
      <c r="D387" s="124">
        <f t="shared" si="1"/>
        <v>0</v>
      </c>
      <c r="E387" s="265">
        <f>sumif('Segment RAW Data 25-26'!$B$1:$X$1,$E$3,'Segment RAW Data 25-26'!$B386:$X386)</f>
        <v>0</v>
      </c>
      <c r="F387" s="265">
        <f>sumif('Segment RAW Data 25-26'!$B$1:$X$1,$F$3,'Segment RAW Data 25-26'!$B386:$X386)</f>
        <v>0</v>
      </c>
      <c r="G387" s="265">
        <f>sumif('Segment RAW Data 25-26'!$B$1:$X$1,$G$3,'Segment RAW Data 25-26'!$B386:$X386)</f>
        <v>0</v>
      </c>
      <c r="H387" s="265">
        <f>sumif('Segment RAW Data 25-26'!$B$1:$X$1,$H$3,'Segment RAW Data 25-26'!$B386:$X386)</f>
        <v>0</v>
      </c>
      <c r="I387" s="265">
        <f>sumif('Segment RAW Data 25-26'!$B$1:$X$1,$I$3,'Segment RAW Data 25-26'!$B386:$X386)</f>
        <v>0</v>
      </c>
      <c r="J387" s="265">
        <f>sumif('Segment RAW Data 25-26'!$B$1:$X$1,$J$3,'Segment RAW Data 25-26'!$B386:$X386)</f>
        <v>0</v>
      </c>
      <c r="K387" s="265">
        <f>sumif('Segment RAW Data 25-26'!$B$1:$X$1,$K$3,'Segment RAW Data 25-26'!$B386:$X386)</f>
        <v>0</v>
      </c>
      <c r="L387" s="265">
        <f>sumif('Segment RAW Data 25-26'!$B$1:$X$1,$L$3,'Segment RAW Data 25-26'!$B386:$X386)</f>
        <v>0</v>
      </c>
      <c r="M387" s="270"/>
      <c r="N387" s="124"/>
      <c r="O387" s="124">
        <f>VLOOKUP(C387:C986,'Segment RAW Data 25-26'!A386:Y983,25,0)-VLOOKUP(C387:C986,C:D,2,0)</f>
        <v>0</v>
      </c>
    </row>
    <row r="388" hidden="1">
      <c r="A388" s="157" t="s">
        <v>126</v>
      </c>
      <c r="B388" s="157" t="s">
        <v>130</v>
      </c>
      <c r="C388" s="157" t="s">
        <v>163</v>
      </c>
      <c r="D388" s="124">
        <f t="shared" si="1"/>
        <v>11589685.5</v>
      </c>
      <c r="E388" s="265">
        <f>sumif('Segment RAW Data 25-26'!$B$1:$X$1,$E$3,'Segment RAW Data 25-26'!$B387:$X387)</f>
        <v>211656.18</v>
      </c>
      <c r="F388" s="265">
        <f>sumif('Segment RAW Data 25-26'!$B$1:$X$1,$F$3,'Segment RAW Data 25-26'!$B387:$X387)</f>
        <v>9713137.75</v>
      </c>
      <c r="G388" s="265">
        <f>sumif('Segment RAW Data 25-26'!$B$1:$X$1,$G$3,'Segment RAW Data 25-26'!$B387:$X387)</f>
        <v>340753.5</v>
      </c>
      <c r="H388" s="265">
        <f>sumif('Segment RAW Data 25-26'!$B$1:$X$1,$H$3,'Segment RAW Data 25-26'!$B387:$X387)</f>
        <v>1091072.32</v>
      </c>
      <c r="I388" s="265">
        <f>sumif('Segment RAW Data 25-26'!$B$1:$X$1,$I$3,'Segment RAW Data 25-26'!$B387:$X387)</f>
        <v>0</v>
      </c>
      <c r="J388" s="265">
        <f>sumif('Segment RAW Data 25-26'!$B$1:$X$1,$J$3,'Segment RAW Data 25-26'!$B387:$X387)</f>
        <v>0</v>
      </c>
      <c r="K388" s="265">
        <f>sumif('Segment RAW Data 25-26'!$B$1:$X$1,$K$3,'Segment RAW Data 25-26'!$B387:$X387)</f>
        <v>0</v>
      </c>
      <c r="L388" s="265">
        <f>sumif('Segment RAW Data 25-26'!$B$1:$X$1,$L$3,'Segment RAW Data 25-26'!$B387:$X387)</f>
        <v>233065.75</v>
      </c>
      <c r="M388" s="270"/>
      <c r="N388" s="124" t="s">
        <v>975</v>
      </c>
      <c r="O388" s="124">
        <f>VLOOKUP(C388:C987,'Segment RAW Data 25-26'!A387:Y984,25,0)-VLOOKUP(C388:C987,C:D,2,0)</f>
        <v>0</v>
      </c>
    </row>
    <row r="389" hidden="1">
      <c r="A389" s="157" t="s">
        <v>185</v>
      </c>
      <c r="B389" s="157" t="s">
        <v>189</v>
      </c>
      <c r="C389" s="157" t="s">
        <v>405</v>
      </c>
      <c r="D389" s="124">
        <f t="shared" si="1"/>
        <v>6836552.16</v>
      </c>
      <c r="E389" s="265">
        <f>sumif('Segment RAW Data 25-26'!$B$1:$X$1,$E$3,'Segment RAW Data 25-26'!$B388:$X388)</f>
        <v>3713108.41</v>
      </c>
      <c r="F389" s="265">
        <f>sumif('Segment RAW Data 25-26'!$B$1:$X$1,$F$3,'Segment RAW Data 25-26'!$B388:$X388)</f>
        <v>924658.08</v>
      </c>
      <c r="G389" s="265">
        <f>sumif('Segment RAW Data 25-26'!$B$1:$X$1,$G$3,'Segment RAW Data 25-26'!$B388:$X388)</f>
        <v>1271487.37</v>
      </c>
      <c r="H389" s="265">
        <f>sumif('Segment RAW Data 25-26'!$B$1:$X$1,$H$3,'Segment RAW Data 25-26'!$B388:$X388)</f>
        <v>24185.89</v>
      </c>
      <c r="I389" s="265">
        <f>sumif('Segment RAW Data 25-26'!$B$1:$X$1,$I$3,'Segment RAW Data 25-26'!$B388:$X388)</f>
        <v>0</v>
      </c>
      <c r="J389" s="265">
        <f>sumif('Segment RAW Data 25-26'!$B$1:$X$1,$J$3,'Segment RAW Data 25-26'!$B388:$X388)</f>
        <v>271189.6</v>
      </c>
      <c r="K389" s="265">
        <f>sumif('Segment RAW Data 25-26'!$B$1:$X$1,$K$3,'Segment RAW Data 25-26'!$B388:$X388)</f>
        <v>0</v>
      </c>
      <c r="L389" s="265">
        <f>sumif('Segment RAW Data 25-26'!$B$1:$X$1,$L$3,'Segment RAW Data 25-26'!$B388:$X388)</f>
        <v>631922.81</v>
      </c>
      <c r="M389" s="270">
        <v>45943.0</v>
      </c>
      <c r="N389" s="124" t="s">
        <v>973</v>
      </c>
      <c r="O389" s="124">
        <f>VLOOKUP(C389:C988,'Segment RAW Data 25-26'!A388:Y985,25,0)-VLOOKUP(C389:C988,C:D,2,0)</f>
        <v>-0.009999999776</v>
      </c>
    </row>
    <row r="390" hidden="1">
      <c r="A390" s="157"/>
      <c r="B390" s="157"/>
      <c r="C390" s="157" t="s">
        <v>785</v>
      </c>
      <c r="D390" s="124">
        <f t="shared" si="1"/>
        <v>0</v>
      </c>
      <c r="E390" s="265">
        <f>sumif('Segment RAW Data 25-26'!$B$1:$X$1,$E$3,'Segment RAW Data 25-26'!$B389:$X389)</f>
        <v>0</v>
      </c>
      <c r="F390" s="265">
        <f>sumif('Segment RAW Data 25-26'!$B$1:$X$1,$F$3,'Segment RAW Data 25-26'!$B389:$X389)</f>
        <v>0</v>
      </c>
      <c r="G390" s="265">
        <f>sumif('Segment RAW Data 25-26'!$B$1:$X$1,$G$3,'Segment RAW Data 25-26'!$B389:$X389)</f>
        <v>0</v>
      </c>
      <c r="H390" s="265">
        <f>sumif('Segment RAW Data 25-26'!$B$1:$X$1,$H$3,'Segment RAW Data 25-26'!$B389:$X389)</f>
        <v>0</v>
      </c>
      <c r="I390" s="265">
        <f>sumif('Segment RAW Data 25-26'!$B$1:$X$1,$I$3,'Segment RAW Data 25-26'!$B389:$X389)</f>
        <v>0</v>
      </c>
      <c r="J390" s="265">
        <f>sumif('Segment RAW Data 25-26'!$B$1:$X$1,$J$3,'Segment RAW Data 25-26'!$B389:$X389)</f>
        <v>0</v>
      </c>
      <c r="K390" s="265">
        <f>sumif('Segment RAW Data 25-26'!$B$1:$X$1,$K$3,'Segment RAW Data 25-26'!$B389:$X389)</f>
        <v>0</v>
      </c>
      <c r="L390" s="265">
        <f>sumif('Segment RAW Data 25-26'!$B$1:$X$1,$L$3,'Segment RAW Data 25-26'!$B389:$X389)</f>
        <v>0</v>
      </c>
      <c r="M390" s="270"/>
      <c r="N390" s="124"/>
      <c r="O390" s="124">
        <f>VLOOKUP(C390:C989,'Segment RAW Data 25-26'!A389:Y986,25,0)-VLOOKUP(C390:C989,C:D,2,0)</f>
        <v>0</v>
      </c>
    </row>
    <row r="391" hidden="1">
      <c r="A391" s="157"/>
      <c r="B391" s="157"/>
      <c r="C391" s="157" t="s">
        <v>786</v>
      </c>
      <c r="D391" s="124">
        <f t="shared" si="1"/>
        <v>0</v>
      </c>
      <c r="E391" s="265">
        <f>sumif('Segment RAW Data 25-26'!$B$1:$X$1,$E$3,'Segment RAW Data 25-26'!$B390:$X390)</f>
        <v>0</v>
      </c>
      <c r="F391" s="265">
        <f>sumif('Segment RAW Data 25-26'!$B$1:$X$1,$F$3,'Segment RAW Data 25-26'!$B390:$X390)</f>
        <v>0</v>
      </c>
      <c r="G391" s="265">
        <f>sumif('Segment RAW Data 25-26'!$B$1:$X$1,$G$3,'Segment RAW Data 25-26'!$B390:$X390)</f>
        <v>0</v>
      </c>
      <c r="H391" s="265">
        <f>sumif('Segment RAW Data 25-26'!$B$1:$X$1,$H$3,'Segment RAW Data 25-26'!$B390:$X390)</f>
        <v>0</v>
      </c>
      <c r="I391" s="265">
        <f>sumif('Segment RAW Data 25-26'!$B$1:$X$1,$I$3,'Segment RAW Data 25-26'!$B390:$X390)</f>
        <v>0</v>
      </c>
      <c r="J391" s="265">
        <f>sumif('Segment RAW Data 25-26'!$B$1:$X$1,$J$3,'Segment RAW Data 25-26'!$B390:$X390)</f>
        <v>0</v>
      </c>
      <c r="K391" s="265">
        <f>sumif('Segment RAW Data 25-26'!$B$1:$X$1,$K$3,'Segment RAW Data 25-26'!$B390:$X390)</f>
        <v>0</v>
      </c>
      <c r="L391" s="265">
        <f>sumif('Segment RAW Data 25-26'!$B$1:$X$1,$L$3,'Segment RAW Data 25-26'!$B390:$X390)</f>
        <v>0</v>
      </c>
      <c r="M391" s="270"/>
      <c r="N391" s="124"/>
      <c r="O391" s="124">
        <f>VLOOKUP(C391:C990,'Segment RAW Data 25-26'!A390:Y987,25,0)-VLOOKUP(C391:C990,C:D,2,0)</f>
        <v>0</v>
      </c>
    </row>
    <row r="392" hidden="1">
      <c r="A392" s="157" t="s">
        <v>185</v>
      </c>
      <c r="B392" s="157" t="s">
        <v>189</v>
      </c>
      <c r="C392" s="157" t="s">
        <v>787</v>
      </c>
      <c r="D392" s="124">
        <f t="shared" si="1"/>
        <v>0</v>
      </c>
      <c r="E392" s="265">
        <f>sumif('Segment RAW Data 25-26'!$B$1:$X$1,$E$3,'Segment RAW Data 25-26'!$B391:$X391)</f>
        <v>0</v>
      </c>
      <c r="F392" s="265">
        <f>sumif('Segment RAW Data 25-26'!$B$1:$X$1,$F$3,'Segment RAW Data 25-26'!$B391:$X391)</f>
        <v>0</v>
      </c>
      <c r="G392" s="265">
        <f>sumif('Segment RAW Data 25-26'!$B$1:$X$1,$G$3,'Segment RAW Data 25-26'!$B391:$X391)</f>
        <v>0</v>
      </c>
      <c r="H392" s="265">
        <f>sumif('Segment RAW Data 25-26'!$B$1:$X$1,$H$3,'Segment RAW Data 25-26'!$B391:$X391)</f>
        <v>0</v>
      </c>
      <c r="I392" s="265">
        <f>sumif('Segment RAW Data 25-26'!$B$1:$X$1,$I$3,'Segment RAW Data 25-26'!$B391:$X391)</f>
        <v>0</v>
      </c>
      <c r="J392" s="265">
        <f>sumif('Segment RAW Data 25-26'!$B$1:$X$1,$J$3,'Segment RAW Data 25-26'!$B391:$X391)</f>
        <v>0</v>
      </c>
      <c r="K392" s="265">
        <f>sumif('Segment RAW Data 25-26'!$B$1:$X$1,$K$3,'Segment RAW Data 25-26'!$B391:$X391)</f>
        <v>0</v>
      </c>
      <c r="L392" s="265">
        <f>sumif('Segment RAW Data 25-26'!$B$1:$X$1,$L$3,'Segment RAW Data 25-26'!$B391:$X391)</f>
        <v>0</v>
      </c>
      <c r="M392" s="270"/>
      <c r="N392" s="124" t="s">
        <v>975</v>
      </c>
      <c r="O392" s="124">
        <f>VLOOKUP(C392:C991,'Segment RAW Data 25-26'!A391:Y988,25,0)-VLOOKUP(C392:C991,C:D,2,0)</f>
        <v>0</v>
      </c>
    </row>
    <row r="393" hidden="1">
      <c r="A393" s="157" t="s">
        <v>73</v>
      </c>
      <c r="B393" s="157" t="s">
        <v>76</v>
      </c>
      <c r="C393" s="157" t="s">
        <v>79</v>
      </c>
      <c r="D393" s="124">
        <f t="shared" si="1"/>
        <v>2616075.47</v>
      </c>
      <c r="E393" s="265">
        <f>sumif('Segment RAW Data 25-26'!$B$1:$X$1,$E$3,'Segment RAW Data 25-26'!$B392:$X392)</f>
        <v>900204.35</v>
      </c>
      <c r="F393" s="265">
        <f>sumif('Segment RAW Data 25-26'!$B$1:$X$1,$F$3,'Segment RAW Data 25-26'!$B392:$X392)</f>
        <v>1275733.6</v>
      </c>
      <c r="G393" s="265">
        <f>sumif('Segment RAW Data 25-26'!$B$1:$X$1,$G$3,'Segment RAW Data 25-26'!$B392:$X392)</f>
        <v>175592.22</v>
      </c>
      <c r="H393" s="265">
        <f>sumif('Segment RAW Data 25-26'!$B$1:$X$1,$H$3,'Segment RAW Data 25-26'!$B392:$X392)</f>
        <v>0</v>
      </c>
      <c r="I393" s="265">
        <f>sumif('Segment RAW Data 25-26'!$B$1:$X$1,$I$3,'Segment RAW Data 25-26'!$B392:$X392)</f>
        <v>0</v>
      </c>
      <c r="J393" s="265">
        <f>sumif('Segment RAW Data 25-26'!$B$1:$X$1,$J$3,'Segment RAW Data 25-26'!$B392:$X392)</f>
        <v>264545.3</v>
      </c>
      <c r="K393" s="265">
        <f>sumif('Segment RAW Data 25-26'!$B$1:$X$1,$K$3,'Segment RAW Data 25-26'!$B392:$X392)</f>
        <v>0</v>
      </c>
      <c r="L393" s="265">
        <f>sumif('Segment RAW Data 25-26'!$B$1:$X$1,$L$3,'Segment RAW Data 25-26'!$B392:$X392)</f>
        <v>0</v>
      </c>
      <c r="M393" s="270"/>
      <c r="N393" s="124" t="s">
        <v>975</v>
      </c>
      <c r="O393" s="124">
        <f>VLOOKUP(C393:C992,'Segment RAW Data 25-26'!A392:Y989,25,0)-VLOOKUP(C393:C992,C:D,2,0)</f>
        <v>0</v>
      </c>
    </row>
    <row r="394" hidden="1">
      <c r="A394" s="157"/>
      <c r="B394" s="157"/>
      <c r="C394" s="157" t="s">
        <v>788</v>
      </c>
      <c r="D394" s="124">
        <f t="shared" si="1"/>
        <v>0</v>
      </c>
      <c r="E394" s="265">
        <f>sumif('Segment RAW Data 25-26'!$B$1:$X$1,$E$3,'Segment RAW Data 25-26'!$B393:$X393)</f>
        <v>0</v>
      </c>
      <c r="F394" s="265">
        <f>sumif('Segment RAW Data 25-26'!$B$1:$X$1,$F$3,'Segment RAW Data 25-26'!$B393:$X393)</f>
        <v>0</v>
      </c>
      <c r="G394" s="265">
        <f>sumif('Segment RAW Data 25-26'!$B$1:$X$1,$G$3,'Segment RAW Data 25-26'!$B393:$X393)</f>
        <v>0</v>
      </c>
      <c r="H394" s="265">
        <f>sumif('Segment RAW Data 25-26'!$B$1:$X$1,$H$3,'Segment RAW Data 25-26'!$B393:$X393)</f>
        <v>0</v>
      </c>
      <c r="I394" s="265">
        <f>sumif('Segment RAW Data 25-26'!$B$1:$X$1,$I$3,'Segment RAW Data 25-26'!$B393:$X393)</f>
        <v>0</v>
      </c>
      <c r="J394" s="265">
        <f>sumif('Segment RAW Data 25-26'!$B$1:$X$1,$J$3,'Segment RAW Data 25-26'!$B393:$X393)</f>
        <v>0</v>
      </c>
      <c r="K394" s="265">
        <f>sumif('Segment RAW Data 25-26'!$B$1:$X$1,$K$3,'Segment RAW Data 25-26'!$B393:$X393)</f>
        <v>0</v>
      </c>
      <c r="L394" s="265">
        <f>sumif('Segment RAW Data 25-26'!$B$1:$X$1,$L$3,'Segment RAW Data 25-26'!$B393:$X393)</f>
        <v>0</v>
      </c>
      <c r="M394" s="270"/>
      <c r="N394" s="124"/>
      <c r="O394" s="124">
        <f>VLOOKUP(C394:C993,'Segment RAW Data 25-26'!A393:Y990,25,0)-VLOOKUP(C394:C993,C:D,2,0)</f>
        <v>0</v>
      </c>
    </row>
    <row r="395" hidden="1">
      <c r="A395" s="157"/>
      <c r="B395" s="157"/>
      <c r="C395" s="157" t="s">
        <v>789</v>
      </c>
      <c r="D395" s="124">
        <f t="shared" si="1"/>
        <v>0</v>
      </c>
      <c r="E395" s="265">
        <f>sumif('Segment RAW Data 25-26'!$B$1:$X$1,$E$3,'Segment RAW Data 25-26'!$B394:$X394)</f>
        <v>0</v>
      </c>
      <c r="F395" s="265">
        <f>sumif('Segment RAW Data 25-26'!$B$1:$X$1,$F$3,'Segment RAW Data 25-26'!$B394:$X394)</f>
        <v>0</v>
      </c>
      <c r="G395" s="265">
        <f>sumif('Segment RAW Data 25-26'!$B$1:$X$1,$G$3,'Segment RAW Data 25-26'!$B394:$X394)</f>
        <v>0</v>
      </c>
      <c r="H395" s="265">
        <f>sumif('Segment RAW Data 25-26'!$B$1:$X$1,$H$3,'Segment RAW Data 25-26'!$B394:$X394)</f>
        <v>0</v>
      </c>
      <c r="I395" s="265">
        <f>sumif('Segment RAW Data 25-26'!$B$1:$X$1,$I$3,'Segment RAW Data 25-26'!$B394:$X394)</f>
        <v>0</v>
      </c>
      <c r="J395" s="265">
        <f>sumif('Segment RAW Data 25-26'!$B$1:$X$1,$J$3,'Segment RAW Data 25-26'!$B394:$X394)</f>
        <v>0</v>
      </c>
      <c r="K395" s="265">
        <f>sumif('Segment RAW Data 25-26'!$B$1:$X$1,$K$3,'Segment RAW Data 25-26'!$B394:$X394)</f>
        <v>0</v>
      </c>
      <c r="L395" s="265">
        <f>sumif('Segment RAW Data 25-26'!$B$1:$X$1,$L$3,'Segment RAW Data 25-26'!$B394:$X394)</f>
        <v>0</v>
      </c>
      <c r="M395" s="270"/>
      <c r="N395" s="124"/>
      <c r="O395" s="124">
        <f>VLOOKUP(C395:C994,'Segment RAW Data 25-26'!A394:Y991,25,0)-VLOOKUP(C395:C994,C:D,2,0)</f>
        <v>0</v>
      </c>
    </row>
    <row r="396" hidden="1">
      <c r="A396" s="157"/>
      <c r="B396" s="157"/>
      <c r="C396" s="157" t="s">
        <v>790</v>
      </c>
      <c r="D396" s="124">
        <f t="shared" si="1"/>
        <v>0</v>
      </c>
      <c r="E396" s="265">
        <f>sumif('Segment RAW Data 25-26'!$B$1:$X$1,$E$3,'Segment RAW Data 25-26'!$B395:$X395)</f>
        <v>0</v>
      </c>
      <c r="F396" s="265">
        <f>sumif('Segment RAW Data 25-26'!$B$1:$X$1,$F$3,'Segment RAW Data 25-26'!$B395:$X395)</f>
        <v>0</v>
      </c>
      <c r="G396" s="265">
        <f>sumif('Segment RAW Data 25-26'!$B$1:$X$1,$G$3,'Segment RAW Data 25-26'!$B395:$X395)</f>
        <v>0</v>
      </c>
      <c r="H396" s="265">
        <f>sumif('Segment RAW Data 25-26'!$B$1:$X$1,$H$3,'Segment RAW Data 25-26'!$B395:$X395)</f>
        <v>0</v>
      </c>
      <c r="I396" s="265">
        <f>sumif('Segment RAW Data 25-26'!$B$1:$X$1,$I$3,'Segment RAW Data 25-26'!$B395:$X395)</f>
        <v>0</v>
      </c>
      <c r="J396" s="265">
        <f>sumif('Segment RAW Data 25-26'!$B$1:$X$1,$J$3,'Segment RAW Data 25-26'!$B395:$X395)</f>
        <v>0</v>
      </c>
      <c r="K396" s="265">
        <f>sumif('Segment RAW Data 25-26'!$B$1:$X$1,$K$3,'Segment RAW Data 25-26'!$B395:$X395)</f>
        <v>0</v>
      </c>
      <c r="L396" s="265">
        <f>sumif('Segment RAW Data 25-26'!$B$1:$X$1,$L$3,'Segment RAW Data 25-26'!$B395:$X395)</f>
        <v>0</v>
      </c>
      <c r="M396" s="270"/>
      <c r="N396" s="124"/>
      <c r="O396" s="124">
        <f>VLOOKUP(C396:C995,'Segment RAW Data 25-26'!A395:Y992,25,0)-VLOOKUP(C396:C995,C:D,2,0)</f>
        <v>0</v>
      </c>
    </row>
    <row r="397" hidden="1">
      <c r="A397" s="157"/>
      <c r="B397" s="157"/>
      <c r="C397" s="157" t="s">
        <v>791</v>
      </c>
      <c r="D397" s="124">
        <f t="shared" si="1"/>
        <v>0</v>
      </c>
      <c r="E397" s="265">
        <f>sumif('Segment RAW Data 25-26'!$B$1:$X$1,$E$3,'Segment RAW Data 25-26'!$B396:$X396)</f>
        <v>0</v>
      </c>
      <c r="F397" s="265">
        <f>sumif('Segment RAW Data 25-26'!$B$1:$X$1,$F$3,'Segment RAW Data 25-26'!$B396:$X396)</f>
        <v>0</v>
      </c>
      <c r="G397" s="265">
        <f>sumif('Segment RAW Data 25-26'!$B$1:$X$1,$G$3,'Segment RAW Data 25-26'!$B396:$X396)</f>
        <v>0</v>
      </c>
      <c r="H397" s="265">
        <f>sumif('Segment RAW Data 25-26'!$B$1:$X$1,$H$3,'Segment RAW Data 25-26'!$B396:$X396)</f>
        <v>0</v>
      </c>
      <c r="I397" s="265">
        <f>sumif('Segment RAW Data 25-26'!$B$1:$X$1,$I$3,'Segment RAW Data 25-26'!$B396:$X396)</f>
        <v>0</v>
      </c>
      <c r="J397" s="265">
        <f>sumif('Segment RAW Data 25-26'!$B$1:$X$1,$J$3,'Segment RAW Data 25-26'!$B396:$X396)</f>
        <v>0</v>
      </c>
      <c r="K397" s="265">
        <f>sumif('Segment RAW Data 25-26'!$B$1:$X$1,$K$3,'Segment RAW Data 25-26'!$B396:$X396)</f>
        <v>0</v>
      </c>
      <c r="L397" s="265">
        <f>sumif('Segment RAW Data 25-26'!$B$1:$X$1,$L$3,'Segment RAW Data 25-26'!$B396:$X396)</f>
        <v>0</v>
      </c>
      <c r="M397" s="270"/>
      <c r="N397" s="124"/>
      <c r="O397" s="124">
        <f>VLOOKUP(C397:C996,'Segment RAW Data 25-26'!A396:Y993,25,0)-VLOOKUP(C397:C996,C:D,2,0)</f>
        <v>0</v>
      </c>
    </row>
    <row r="398" hidden="1">
      <c r="A398" s="157"/>
      <c r="B398" s="157"/>
      <c r="C398" s="157" t="s">
        <v>792</v>
      </c>
      <c r="D398" s="124">
        <f t="shared" si="1"/>
        <v>0</v>
      </c>
      <c r="E398" s="265">
        <f>sumif('Segment RAW Data 25-26'!$B$1:$X$1,$E$3,'Segment RAW Data 25-26'!$B397:$X397)</f>
        <v>0</v>
      </c>
      <c r="F398" s="265">
        <f>sumif('Segment RAW Data 25-26'!$B$1:$X$1,$F$3,'Segment RAW Data 25-26'!$B397:$X397)</f>
        <v>0</v>
      </c>
      <c r="G398" s="265">
        <f>sumif('Segment RAW Data 25-26'!$B$1:$X$1,$G$3,'Segment RAW Data 25-26'!$B397:$X397)</f>
        <v>0</v>
      </c>
      <c r="H398" s="265">
        <f>sumif('Segment RAW Data 25-26'!$B$1:$X$1,$H$3,'Segment RAW Data 25-26'!$B397:$X397)</f>
        <v>0</v>
      </c>
      <c r="I398" s="265">
        <f>sumif('Segment RAW Data 25-26'!$B$1:$X$1,$I$3,'Segment RAW Data 25-26'!$B397:$X397)</f>
        <v>0</v>
      </c>
      <c r="J398" s="265">
        <f>sumif('Segment RAW Data 25-26'!$B$1:$X$1,$J$3,'Segment RAW Data 25-26'!$B397:$X397)</f>
        <v>0</v>
      </c>
      <c r="K398" s="265">
        <f>sumif('Segment RAW Data 25-26'!$B$1:$X$1,$K$3,'Segment RAW Data 25-26'!$B397:$X397)</f>
        <v>0</v>
      </c>
      <c r="L398" s="265">
        <f>sumif('Segment RAW Data 25-26'!$B$1:$X$1,$L$3,'Segment RAW Data 25-26'!$B397:$X397)</f>
        <v>0</v>
      </c>
      <c r="M398" s="270"/>
      <c r="N398" s="124"/>
      <c r="O398" s="124">
        <f>VLOOKUP(C398:C997,'Segment RAW Data 25-26'!A397:Y994,25,0)-VLOOKUP(C398:C997,C:D,2,0)</f>
        <v>0</v>
      </c>
    </row>
    <row r="399" hidden="1">
      <c r="A399" s="157" t="s">
        <v>185</v>
      </c>
      <c r="B399" s="157" t="s">
        <v>212</v>
      </c>
      <c r="C399" s="157" t="s">
        <v>251</v>
      </c>
      <c r="D399" s="124">
        <f t="shared" si="1"/>
        <v>6585381.65</v>
      </c>
      <c r="E399" s="265">
        <f>sumif('Segment RAW Data 25-26'!$B$1:$X$1,$E$3,'Segment RAW Data 25-26'!$B398:$X398)</f>
        <v>4986121.18</v>
      </c>
      <c r="F399" s="265">
        <f>sumif('Segment RAW Data 25-26'!$B$1:$X$1,$F$3,'Segment RAW Data 25-26'!$B398:$X398)</f>
        <v>500530.16</v>
      </c>
      <c r="G399" s="265">
        <f>sumif('Segment RAW Data 25-26'!$B$1:$X$1,$G$3,'Segment RAW Data 25-26'!$B398:$X398)</f>
        <v>542856.73</v>
      </c>
      <c r="H399" s="265">
        <f>sumif('Segment RAW Data 25-26'!$B$1:$X$1,$H$3,'Segment RAW Data 25-26'!$B398:$X398)</f>
        <v>344859.93</v>
      </c>
      <c r="I399" s="265">
        <f>sumif('Segment RAW Data 25-26'!$B$1:$X$1,$I$3,'Segment RAW Data 25-26'!$B398:$X398)</f>
        <v>0</v>
      </c>
      <c r="J399" s="265">
        <f>sumif('Segment RAW Data 25-26'!$B$1:$X$1,$J$3,'Segment RAW Data 25-26'!$B398:$X398)</f>
        <v>0</v>
      </c>
      <c r="K399" s="265">
        <f>sumif('Segment RAW Data 25-26'!$B$1:$X$1,$K$3,'Segment RAW Data 25-26'!$B398:$X398)</f>
        <v>0</v>
      </c>
      <c r="L399" s="265">
        <f>sumif('Segment RAW Data 25-26'!$B$1:$X$1,$L$3,'Segment RAW Data 25-26'!$B398:$X398)</f>
        <v>211013.65</v>
      </c>
      <c r="M399" s="270"/>
      <c r="N399" s="124" t="s">
        <v>975</v>
      </c>
      <c r="O399" s="124">
        <f>VLOOKUP(C399:C998,'Segment RAW Data 25-26'!A398:Y995,25,0)-VLOOKUP(C399:C998,C:D,2,0)</f>
        <v>-0.01000000071</v>
      </c>
    </row>
    <row r="400" hidden="1">
      <c r="A400" s="157"/>
      <c r="B400" s="157"/>
      <c r="C400" s="157" t="s">
        <v>793</v>
      </c>
      <c r="D400" s="124">
        <f t="shared" si="1"/>
        <v>0</v>
      </c>
      <c r="E400" s="265">
        <f>sumif('Segment RAW Data 25-26'!$B$1:$X$1,$E$3,'Segment RAW Data 25-26'!$B399:$X399)</f>
        <v>0</v>
      </c>
      <c r="F400" s="265">
        <f>sumif('Segment RAW Data 25-26'!$B$1:$X$1,$F$3,'Segment RAW Data 25-26'!$B399:$X399)</f>
        <v>0</v>
      </c>
      <c r="G400" s="265">
        <f>sumif('Segment RAW Data 25-26'!$B$1:$X$1,$G$3,'Segment RAW Data 25-26'!$B399:$X399)</f>
        <v>0</v>
      </c>
      <c r="H400" s="265">
        <f>sumif('Segment RAW Data 25-26'!$B$1:$X$1,$H$3,'Segment RAW Data 25-26'!$B399:$X399)</f>
        <v>0</v>
      </c>
      <c r="I400" s="265">
        <f>sumif('Segment RAW Data 25-26'!$B$1:$X$1,$I$3,'Segment RAW Data 25-26'!$B399:$X399)</f>
        <v>0</v>
      </c>
      <c r="J400" s="265">
        <f>sumif('Segment RAW Data 25-26'!$B$1:$X$1,$J$3,'Segment RAW Data 25-26'!$B399:$X399)</f>
        <v>0</v>
      </c>
      <c r="K400" s="265">
        <f>sumif('Segment RAW Data 25-26'!$B$1:$X$1,$K$3,'Segment RAW Data 25-26'!$B399:$X399)</f>
        <v>0</v>
      </c>
      <c r="L400" s="265">
        <f>sumif('Segment RAW Data 25-26'!$B$1:$X$1,$L$3,'Segment RAW Data 25-26'!$B399:$X399)</f>
        <v>0</v>
      </c>
      <c r="M400" s="270"/>
      <c r="N400" s="124"/>
      <c r="O400" s="124">
        <f>VLOOKUP(C400:C999,'Segment RAW Data 25-26'!A399:Y996,25,0)-VLOOKUP(C400:C999,C:D,2,0)</f>
        <v>0</v>
      </c>
    </row>
    <row r="401" hidden="1">
      <c r="A401" s="157"/>
      <c r="B401" s="157"/>
      <c r="C401" s="157" t="s">
        <v>794</v>
      </c>
      <c r="D401" s="124">
        <f t="shared" si="1"/>
        <v>0</v>
      </c>
      <c r="E401" s="265">
        <f>sumif('Segment RAW Data 25-26'!$B$1:$X$1,$E$3,'Segment RAW Data 25-26'!$B400:$X400)</f>
        <v>0</v>
      </c>
      <c r="F401" s="265">
        <f>sumif('Segment RAW Data 25-26'!$B$1:$X$1,$F$3,'Segment RAW Data 25-26'!$B400:$X400)</f>
        <v>0</v>
      </c>
      <c r="G401" s="265">
        <f>sumif('Segment RAW Data 25-26'!$B$1:$X$1,$G$3,'Segment RAW Data 25-26'!$B400:$X400)</f>
        <v>0</v>
      </c>
      <c r="H401" s="265">
        <f>sumif('Segment RAW Data 25-26'!$B$1:$X$1,$H$3,'Segment RAW Data 25-26'!$B400:$X400)</f>
        <v>0</v>
      </c>
      <c r="I401" s="265">
        <f>sumif('Segment RAW Data 25-26'!$B$1:$X$1,$I$3,'Segment RAW Data 25-26'!$B400:$X400)</f>
        <v>0</v>
      </c>
      <c r="J401" s="265">
        <f>sumif('Segment RAW Data 25-26'!$B$1:$X$1,$J$3,'Segment RAW Data 25-26'!$B400:$X400)</f>
        <v>0</v>
      </c>
      <c r="K401" s="265">
        <f>sumif('Segment RAW Data 25-26'!$B$1:$X$1,$K$3,'Segment RAW Data 25-26'!$B400:$X400)</f>
        <v>0</v>
      </c>
      <c r="L401" s="265">
        <f>sumif('Segment RAW Data 25-26'!$B$1:$X$1,$L$3,'Segment RAW Data 25-26'!$B400:$X400)</f>
        <v>0</v>
      </c>
      <c r="M401" s="270"/>
      <c r="N401" s="124"/>
      <c r="O401" s="124">
        <f>VLOOKUP(C401:C1000,'Segment RAW Data 25-26'!A400:Y997,25,0)-VLOOKUP(C401:C1000,C:D,2,0)</f>
        <v>0</v>
      </c>
    </row>
    <row r="402" hidden="1">
      <c r="A402" s="157" t="s">
        <v>185</v>
      </c>
      <c r="B402" s="157" t="s">
        <v>212</v>
      </c>
      <c r="C402" s="157" t="s">
        <v>253</v>
      </c>
      <c r="D402" s="124">
        <f t="shared" si="1"/>
        <v>12270026.97</v>
      </c>
      <c r="E402" s="265">
        <f>sumif('Segment RAW Data 25-26'!$B$1:$X$1,$E$3,'Segment RAW Data 25-26'!$B401:$X401)</f>
        <v>4111278.86</v>
      </c>
      <c r="F402" s="265">
        <f>sumif('Segment RAW Data 25-26'!$B$1:$X$1,$F$3,'Segment RAW Data 25-26'!$B401:$X401)</f>
        <v>3933071.64</v>
      </c>
      <c r="G402" s="265">
        <f>sumif('Segment RAW Data 25-26'!$B$1:$X$1,$G$3,'Segment RAW Data 25-26'!$B401:$X401)</f>
        <v>2841034.37</v>
      </c>
      <c r="H402" s="265">
        <f>sumif('Segment RAW Data 25-26'!$B$1:$X$1,$H$3,'Segment RAW Data 25-26'!$B401:$X401)</f>
        <v>264153.79</v>
      </c>
      <c r="I402" s="265">
        <f>sumif('Segment RAW Data 25-26'!$B$1:$X$1,$I$3,'Segment RAW Data 25-26'!$B401:$X401)</f>
        <v>0</v>
      </c>
      <c r="J402" s="265">
        <f>sumif('Segment RAW Data 25-26'!$B$1:$X$1,$J$3,'Segment RAW Data 25-26'!$B401:$X401)</f>
        <v>564306.06</v>
      </c>
      <c r="K402" s="265">
        <f>sumif('Segment RAW Data 25-26'!$B$1:$X$1,$K$3,'Segment RAW Data 25-26'!$B401:$X401)</f>
        <v>0</v>
      </c>
      <c r="L402" s="265">
        <f>sumif('Segment RAW Data 25-26'!$B$1:$X$1,$L$3,'Segment RAW Data 25-26'!$B401:$X401)</f>
        <v>556182.25</v>
      </c>
      <c r="M402" s="270"/>
      <c r="N402" s="124" t="s">
        <v>975</v>
      </c>
      <c r="O402" s="124">
        <f>VLOOKUP(C402:C1001,'Segment RAW Data 25-26'!A401:Y998,25,0)-VLOOKUP(C402:C1001,C:D,2,0)</f>
        <v>0.000000001862645149</v>
      </c>
    </row>
    <row r="403" hidden="1">
      <c r="A403" s="157"/>
      <c r="B403" s="157"/>
      <c r="C403" s="157" t="s">
        <v>795</v>
      </c>
      <c r="D403" s="124">
        <f t="shared" si="1"/>
        <v>0</v>
      </c>
      <c r="E403" s="265">
        <f>sumif('Segment RAW Data 25-26'!$B$1:$X$1,$E$3,'Segment RAW Data 25-26'!$B402:$X402)</f>
        <v>0</v>
      </c>
      <c r="F403" s="265">
        <f>sumif('Segment RAW Data 25-26'!$B$1:$X$1,$F$3,'Segment RAW Data 25-26'!$B402:$X402)</f>
        <v>0</v>
      </c>
      <c r="G403" s="265">
        <f>sumif('Segment RAW Data 25-26'!$B$1:$X$1,$G$3,'Segment RAW Data 25-26'!$B402:$X402)</f>
        <v>0</v>
      </c>
      <c r="H403" s="265">
        <f>sumif('Segment RAW Data 25-26'!$B$1:$X$1,$H$3,'Segment RAW Data 25-26'!$B402:$X402)</f>
        <v>0</v>
      </c>
      <c r="I403" s="265">
        <f>sumif('Segment RAW Data 25-26'!$B$1:$X$1,$I$3,'Segment RAW Data 25-26'!$B402:$X402)</f>
        <v>0</v>
      </c>
      <c r="J403" s="265">
        <f>sumif('Segment RAW Data 25-26'!$B$1:$X$1,$J$3,'Segment RAW Data 25-26'!$B402:$X402)</f>
        <v>0</v>
      </c>
      <c r="K403" s="265">
        <f>sumif('Segment RAW Data 25-26'!$B$1:$X$1,$K$3,'Segment RAW Data 25-26'!$B402:$X402)</f>
        <v>0</v>
      </c>
      <c r="L403" s="265">
        <f>sumif('Segment RAW Data 25-26'!$B$1:$X$1,$L$3,'Segment RAW Data 25-26'!$B402:$X402)</f>
        <v>0</v>
      </c>
      <c r="M403" s="270"/>
      <c r="N403" s="124"/>
      <c r="O403" s="124">
        <f>VLOOKUP(C403:C1002,'Segment RAW Data 25-26'!A402:Y999,25,0)-VLOOKUP(C403:C1002,C:D,2,0)</f>
        <v>0</v>
      </c>
    </row>
    <row r="404" hidden="1">
      <c r="A404" s="157"/>
      <c r="B404" s="157"/>
      <c r="C404" s="157" t="s">
        <v>796</v>
      </c>
      <c r="D404" s="124">
        <f t="shared" si="1"/>
        <v>0</v>
      </c>
      <c r="E404" s="265">
        <f>sumif('Segment RAW Data 25-26'!$B$1:$X$1,$E$3,'Segment RAW Data 25-26'!$B403:$X403)</f>
        <v>0</v>
      </c>
      <c r="F404" s="265">
        <f>sumif('Segment RAW Data 25-26'!$B$1:$X$1,$F$3,'Segment RAW Data 25-26'!$B403:$X403)</f>
        <v>0</v>
      </c>
      <c r="G404" s="265">
        <f>sumif('Segment RAW Data 25-26'!$B$1:$X$1,$G$3,'Segment RAW Data 25-26'!$B403:$X403)</f>
        <v>0</v>
      </c>
      <c r="H404" s="265">
        <f>sumif('Segment RAW Data 25-26'!$B$1:$X$1,$H$3,'Segment RAW Data 25-26'!$B403:$X403)</f>
        <v>0</v>
      </c>
      <c r="I404" s="265">
        <f>sumif('Segment RAW Data 25-26'!$B$1:$X$1,$I$3,'Segment RAW Data 25-26'!$B403:$X403)</f>
        <v>0</v>
      </c>
      <c r="J404" s="265">
        <f>sumif('Segment RAW Data 25-26'!$B$1:$X$1,$J$3,'Segment RAW Data 25-26'!$B403:$X403)</f>
        <v>0</v>
      </c>
      <c r="K404" s="265">
        <f>sumif('Segment RAW Data 25-26'!$B$1:$X$1,$K$3,'Segment RAW Data 25-26'!$B403:$X403)</f>
        <v>0</v>
      </c>
      <c r="L404" s="265">
        <f>sumif('Segment RAW Data 25-26'!$B$1:$X$1,$L$3,'Segment RAW Data 25-26'!$B403:$X403)</f>
        <v>0</v>
      </c>
      <c r="M404" s="270"/>
      <c r="N404" s="124"/>
      <c r="O404" s="124">
        <f>VLOOKUP(C404:C1003,'Segment RAW Data 25-26'!A403:Y1000,25,0)-VLOOKUP(C404:C1003,C:D,2,0)</f>
        <v>0</v>
      </c>
    </row>
    <row r="405" hidden="1">
      <c r="A405" s="157" t="s">
        <v>185</v>
      </c>
      <c r="B405" s="157" t="s">
        <v>212</v>
      </c>
      <c r="C405" s="157" t="s">
        <v>255</v>
      </c>
      <c r="D405" s="124">
        <f t="shared" si="1"/>
        <v>18137542.59</v>
      </c>
      <c r="E405" s="265">
        <f>sumif('Segment RAW Data 25-26'!$B$1:$X$1,$E$3,'Segment RAW Data 25-26'!$B404:$X404)</f>
        <v>8001155.43</v>
      </c>
      <c r="F405" s="265">
        <f>sumif('Segment RAW Data 25-26'!$B$1:$X$1,$F$3,'Segment RAW Data 25-26'!$B404:$X404)</f>
        <v>1962609.9</v>
      </c>
      <c r="G405" s="265">
        <f>sumif('Segment RAW Data 25-26'!$B$1:$X$1,$G$3,'Segment RAW Data 25-26'!$B404:$X404)</f>
        <v>1318547</v>
      </c>
      <c r="H405" s="265">
        <f>sumif('Segment RAW Data 25-26'!$B$1:$X$1,$H$3,'Segment RAW Data 25-26'!$B404:$X404)</f>
        <v>372303.35</v>
      </c>
      <c r="I405" s="265">
        <f>sumif('Segment RAW Data 25-26'!$B$1:$X$1,$I$3,'Segment RAW Data 25-26'!$B404:$X404)</f>
        <v>0</v>
      </c>
      <c r="J405" s="265">
        <f>sumif('Segment RAW Data 25-26'!$B$1:$X$1,$J$3,'Segment RAW Data 25-26'!$B404:$X404)</f>
        <v>1974309.41</v>
      </c>
      <c r="K405" s="265">
        <f>sumif('Segment RAW Data 25-26'!$B$1:$X$1,$K$3,'Segment RAW Data 25-26'!$B404:$X404)</f>
        <v>0</v>
      </c>
      <c r="L405" s="265">
        <f>sumif('Segment RAW Data 25-26'!$B$1:$X$1,$L$3,'Segment RAW Data 25-26'!$B404:$X404)</f>
        <v>4508617.5</v>
      </c>
      <c r="M405" s="270"/>
      <c r="N405" s="124" t="s">
        <v>975</v>
      </c>
      <c r="O405" s="124">
        <f>VLOOKUP(C405:C1206,'Segment RAW Data 25-26'!A404:Y1001,25,0)-VLOOKUP(C405:C1206,C:D,2,0)</f>
        <v>0</v>
      </c>
    </row>
    <row r="406" hidden="1">
      <c r="A406" s="157" t="s">
        <v>185</v>
      </c>
      <c r="B406" s="157" t="s">
        <v>215</v>
      </c>
      <c r="C406" s="157" t="s">
        <v>257</v>
      </c>
      <c r="D406" s="124">
        <f t="shared" si="1"/>
        <v>16164942.19</v>
      </c>
      <c r="E406" s="265">
        <f>sumif('Segment RAW Data 25-26'!$B$1:$X$1,$E$3,'Segment RAW Data 25-26'!$B405:$X405)</f>
        <v>8177063.49</v>
      </c>
      <c r="F406" s="265">
        <f>sumif('Segment RAW Data 25-26'!$B$1:$X$1,$F$3,'Segment RAW Data 25-26'!$B405:$X405)</f>
        <v>3941400.06</v>
      </c>
      <c r="G406" s="265">
        <f>sumif('Segment RAW Data 25-26'!$B$1:$X$1,$G$3,'Segment RAW Data 25-26'!$B405:$X405)</f>
        <v>2062791.54</v>
      </c>
      <c r="H406" s="265">
        <f>sumif('Segment RAW Data 25-26'!$B$1:$X$1,$H$3,'Segment RAW Data 25-26'!$B405:$X405)</f>
        <v>478996.8</v>
      </c>
      <c r="I406" s="265">
        <f>sumif('Segment RAW Data 25-26'!$B$1:$X$1,$I$3,'Segment RAW Data 25-26'!$B405:$X405)</f>
        <v>0</v>
      </c>
      <c r="J406" s="265">
        <f>sumif('Segment RAW Data 25-26'!$B$1:$X$1,$J$3,'Segment RAW Data 25-26'!$B405:$X405)</f>
        <v>1151430.3</v>
      </c>
      <c r="K406" s="265">
        <f>sumif('Segment RAW Data 25-26'!$B$1:$X$1,$K$3,'Segment RAW Data 25-26'!$B405:$X405)</f>
        <v>0</v>
      </c>
      <c r="L406" s="265">
        <f>sumif('Segment RAW Data 25-26'!$B$1:$X$1,$L$3,'Segment RAW Data 25-26'!$B405:$X405)</f>
        <v>353260</v>
      </c>
      <c r="M406" s="270"/>
      <c r="N406" s="124" t="s">
        <v>975</v>
      </c>
      <c r="O406" s="124">
        <f>VLOOKUP(C406:C1207,'Segment RAW Data 25-26'!A405:Y1002,25,0)-VLOOKUP(C406:C1207,C:D,2,0)</f>
        <v>-0.000000001862645149</v>
      </c>
    </row>
    <row r="407" hidden="1">
      <c r="A407" s="157"/>
      <c r="B407" s="157"/>
      <c r="C407" s="157" t="s">
        <v>797</v>
      </c>
      <c r="D407" s="124">
        <f t="shared" si="1"/>
        <v>0</v>
      </c>
      <c r="E407" s="265">
        <f>sumif('Segment RAW Data 25-26'!$B$1:$X$1,$E$3,'Segment RAW Data 25-26'!$B406:$X406)</f>
        <v>0</v>
      </c>
      <c r="F407" s="265">
        <f>sumif('Segment RAW Data 25-26'!$B$1:$X$1,$F$3,'Segment RAW Data 25-26'!$B406:$X406)</f>
        <v>0</v>
      </c>
      <c r="G407" s="265">
        <f>sumif('Segment RAW Data 25-26'!$B$1:$X$1,$G$3,'Segment RAW Data 25-26'!$B406:$X406)</f>
        <v>0</v>
      </c>
      <c r="H407" s="265">
        <f>sumif('Segment RAW Data 25-26'!$B$1:$X$1,$H$3,'Segment RAW Data 25-26'!$B406:$X406)</f>
        <v>0</v>
      </c>
      <c r="I407" s="265">
        <f>sumif('Segment RAW Data 25-26'!$B$1:$X$1,$I$3,'Segment RAW Data 25-26'!$B406:$X406)</f>
        <v>0</v>
      </c>
      <c r="J407" s="265">
        <f>sumif('Segment RAW Data 25-26'!$B$1:$X$1,$J$3,'Segment RAW Data 25-26'!$B406:$X406)</f>
        <v>0</v>
      </c>
      <c r="K407" s="265">
        <f>sumif('Segment RAW Data 25-26'!$B$1:$X$1,$K$3,'Segment RAW Data 25-26'!$B406:$X406)</f>
        <v>0</v>
      </c>
      <c r="L407" s="265">
        <f>sumif('Segment RAW Data 25-26'!$B$1:$X$1,$L$3,'Segment RAW Data 25-26'!$B406:$X406)</f>
        <v>0</v>
      </c>
      <c r="M407" s="270"/>
      <c r="N407" s="124"/>
      <c r="O407" s="124">
        <f>VLOOKUP(C407:C1208,'Segment RAW Data 25-26'!A406:Y1003,25,0)-VLOOKUP(C407:C1208,C:D,2,0)</f>
        <v>0</v>
      </c>
    </row>
    <row r="408" hidden="1">
      <c r="A408" s="157"/>
      <c r="B408" s="157"/>
      <c r="C408" s="157" t="s">
        <v>798</v>
      </c>
      <c r="D408" s="124">
        <f t="shared" si="1"/>
        <v>0</v>
      </c>
      <c r="E408" s="265">
        <f>sumif('Segment RAW Data 25-26'!$B$1:$X$1,$E$3,'Segment RAW Data 25-26'!$B407:$X407)</f>
        <v>0</v>
      </c>
      <c r="F408" s="265">
        <f>sumif('Segment RAW Data 25-26'!$B$1:$X$1,$F$3,'Segment RAW Data 25-26'!$B407:$X407)</f>
        <v>0</v>
      </c>
      <c r="G408" s="265">
        <f>sumif('Segment RAW Data 25-26'!$B$1:$X$1,$G$3,'Segment RAW Data 25-26'!$B407:$X407)</f>
        <v>0</v>
      </c>
      <c r="H408" s="265">
        <f>sumif('Segment RAW Data 25-26'!$B$1:$X$1,$H$3,'Segment RAW Data 25-26'!$B407:$X407)</f>
        <v>0</v>
      </c>
      <c r="I408" s="265">
        <f>sumif('Segment RAW Data 25-26'!$B$1:$X$1,$I$3,'Segment RAW Data 25-26'!$B407:$X407)</f>
        <v>0</v>
      </c>
      <c r="J408" s="265">
        <f>sumif('Segment RAW Data 25-26'!$B$1:$X$1,$J$3,'Segment RAW Data 25-26'!$B407:$X407)</f>
        <v>0</v>
      </c>
      <c r="K408" s="265">
        <f>sumif('Segment RAW Data 25-26'!$B$1:$X$1,$K$3,'Segment RAW Data 25-26'!$B407:$X407)</f>
        <v>0</v>
      </c>
      <c r="L408" s="265">
        <f>sumif('Segment RAW Data 25-26'!$B$1:$X$1,$L$3,'Segment RAW Data 25-26'!$B407:$X407)</f>
        <v>0</v>
      </c>
      <c r="M408" s="270"/>
      <c r="N408" s="124"/>
      <c r="O408" s="124">
        <f>VLOOKUP(C408:C1209,'Segment RAW Data 25-26'!A407:Y1004,25,0)-VLOOKUP(C408:C1209,C:D,2,0)</f>
        <v>0</v>
      </c>
    </row>
    <row r="409" hidden="1">
      <c r="A409" s="157" t="s">
        <v>23</v>
      </c>
      <c r="B409" s="157" t="s">
        <v>30</v>
      </c>
      <c r="C409" s="157" t="s">
        <v>28</v>
      </c>
      <c r="D409" s="124">
        <f t="shared" si="1"/>
        <v>11332344.61</v>
      </c>
      <c r="E409" s="265">
        <f>sumif('Segment RAW Data 25-26'!$B$1:$X$1,$E$3,'Segment RAW Data 25-26'!$B408:$X408)</f>
        <v>8684806.84</v>
      </c>
      <c r="F409" s="265">
        <f>sumif('Segment RAW Data 25-26'!$B$1:$X$1,$F$3,'Segment RAW Data 25-26'!$B408:$X408)</f>
        <v>0</v>
      </c>
      <c r="G409" s="265">
        <f>sumif('Segment RAW Data 25-26'!$B$1:$X$1,$G$3,'Segment RAW Data 25-26'!$B408:$X408)</f>
        <v>1370087.77</v>
      </c>
      <c r="H409" s="265">
        <f>sumif('Segment RAW Data 25-26'!$B$1:$X$1,$H$3,'Segment RAW Data 25-26'!$B408:$X408)</f>
        <v>0</v>
      </c>
      <c r="I409" s="265">
        <f>sumif('Segment RAW Data 25-26'!$B$1:$X$1,$I$3,'Segment RAW Data 25-26'!$B408:$X408)</f>
        <v>0</v>
      </c>
      <c r="J409" s="265">
        <f>sumif('Segment RAW Data 25-26'!$B$1:$X$1,$J$3,'Segment RAW Data 25-26'!$B408:$X408)</f>
        <v>0</v>
      </c>
      <c r="K409" s="265">
        <f>sumif('Segment RAW Data 25-26'!$B$1:$X$1,$K$3,'Segment RAW Data 25-26'!$B408:$X408)</f>
        <v>0</v>
      </c>
      <c r="L409" s="265">
        <f>sumif('Segment RAW Data 25-26'!$B$1:$X$1,$L$3,'Segment RAW Data 25-26'!$B408:$X408)</f>
        <v>1277450</v>
      </c>
      <c r="M409" s="270"/>
      <c r="N409" s="124" t="s">
        <v>975</v>
      </c>
      <c r="O409" s="124">
        <f>VLOOKUP(C409:C1210,'Segment RAW Data 25-26'!A408:Y1005,25,0)-VLOOKUP(C409:C1210,C:D,2,0)</f>
        <v>0.009999999776</v>
      </c>
    </row>
    <row r="410" hidden="1">
      <c r="A410" s="157"/>
      <c r="B410" s="157"/>
      <c r="C410" s="157" t="s">
        <v>799</v>
      </c>
      <c r="D410" s="124">
        <f t="shared" si="1"/>
        <v>0</v>
      </c>
      <c r="E410" s="265">
        <f>sumif('Segment RAW Data 25-26'!$B$1:$X$1,$E$3,'Segment RAW Data 25-26'!$B409:$X409)</f>
        <v>0</v>
      </c>
      <c r="F410" s="265">
        <f>sumif('Segment RAW Data 25-26'!$B$1:$X$1,$F$3,'Segment RAW Data 25-26'!$B409:$X409)</f>
        <v>0</v>
      </c>
      <c r="G410" s="265">
        <f>sumif('Segment RAW Data 25-26'!$B$1:$X$1,$G$3,'Segment RAW Data 25-26'!$B409:$X409)</f>
        <v>0</v>
      </c>
      <c r="H410" s="265">
        <f>sumif('Segment RAW Data 25-26'!$B$1:$X$1,$H$3,'Segment RAW Data 25-26'!$B409:$X409)</f>
        <v>0</v>
      </c>
      <c r="I410" s="265">
        <f>sumif('Segment RAW Data 25-26'!$B$1:$X$1,$I$3,'Segment RAW Data 25-26'!$B409:$X409)</f>
        <v>0</v>
      </c>
      <c r="J410" s="265">
        <f>sumif('Segment RAW Data 25-26'!$B$1:$X$1,$J$3,'Segment RAW Data 25-26'!$B409:$X409)</f>
        <v>0</v>
      </c>
      <c r="K410" s="265">
        <f>sumif('Segment RAW Data 25-26'!$B$1:$X$1,$K$3,'Segment RAW Data 25-26'!$B409:$X409)</f>
        <v>0</v>
      </c>
      <c r="L410" s="265">
        <f>sumif('Segment RAW Data 25-26'!$B$1:$X$1,$L$3,'Segment RAW Data 25-26'!$B409:$X409)</f>
        <v>0</v>
      </c>
      <c r="M410" s="270"/>
      <c r="N410" s="124"/>
      <c r="O410" s="124">
        <f>VLOOKUP(C410:C1211,'Segment RAW Data 25-26'!A409:Y1006,25,0)-VLOOKUP(C410:C1211,C:D,2,0)</f>
        <v>0</v>
      </c>
    </row>
    <row r="411" hidden="1">
      <c r="A411" s="157"/>
      <c r="B411" s="157"/>
      <c r="C411" s="157" t="s">
        <v>800</v>
      </c>
      <c r="D411" s="124">
        <f t="shared" si="1"/>
        <v>0</v>
      </c>
      <c r="E411" s="265">
        <f>sumif('Segment RAW Data 25-26'!$B$1:$X$1,$E$3,'Segment RAW Data 25-26'!$B410:$X410)</f>
        <v>0</v>
      </c>
      <c r="F411" s="265">
        <f>sumif('Segment RAW Data 25-26'!$B$1:$X$1,$F$3,'Segment RAW Data 25-26'!$B410:$X410)</f>
        <v>0</v>
      </c>
      <c r="G411" s="265">
        <f>sumif('Segment RAW Data 25-26'!$B$1:$X$1,$G$3,'Segment RAW Data 25-26'!$B410:$X410)</f>
        <v>0</v>
      </c>
      <c r="H411" s="265">
        <f>sumif('Segment RAW Data 25-26'!$B$1:$X$1,$H$3,'Segment RAW Data 25-26'!$B410:$X410)</f>
        <v>0</v>
      </c>
      <c r="I411" s="265">
        <f>sumif('Segment RAW Data 25-26'!$B$1:$X$1,$I$3,'Segment RAW Data 25-26'!$B410:$X410)</f>
        <v>0</v>
      </c>
      <c r="J411" s="265">
        <f>sumif('Segment RAW Data 25-26'!$B$1:$X$1,$J$3,'Segment RAW Data 25-26'!$B410:$X410)</f>
        <v>0</v>
      </c>
      <c r="K411" s="265">
        <f>sumif('Segment RAW Data 25-26'!$B$1:$X$1,$K$3,'Segment RAW Data 25-26'!$B410:$X410)</f>
        <v>0</v>
      </c>
      <c r="L411" s="265">
        <f>sumif('Segment RAW Data 25-26'!$B$1:$X$1,$L$3,'Segment RAW Data 25-26'!$B410:$X410)</f>
        <v>0</v>
      </c>
      <c r="M411" s="270"/>
      <c r="N411" s="124"/>
      <c r="O411" s="124">
        <f>VLOOKUP(C411:C1212,'Segment RAW Data 25-26'!A410:Y1007,25,0)-VLOOKUP(C411:C1212,C:D,2,0)</f>
        <v>0</v>
      </c>
    </row>
    <row r="412" hidden="1">
      <c r="A412" s="157" t="s">
        <v>47</v>
      </c>
      <c r="B412" s="157" t="s">
        <v>50</v>
      </c>
      <c r="C412" s="157" t="s">
        <v>801</v>
      </c>
      <c r="D412" s="124">
        <f t="shared" si="1"/>
        <v>0</v>
      </c>
      <c r="E412" s="265">
        <f>sumif('Segment RAW Data 25-26'!$B$1:$X$1,$E$3,'Segment RAW Data 25-26'!$B411:$X411)</f>
        <v>0</v>
      </c>
      <c r="F412" s="265">
        <f>sumif('Segment RAW Data 25-26'!$B$1:$X$1,$F$3,'Segment RAW Data 25-26'!$B411:$X411)</f>
        <v>0</v>
      </c>
      <c r="G412" s="265">
        <f>sumif('Segment RAW Data 25-26'!$B$1:$X$1,$G$3,'Segment RAW Data 25-26'!$B411:$X411)</f>
        <v>0</v>
      </c>
      <c r="H412" s="265">
        <f>sumif('Segment RAW Data 25-26'!$B$1:$X$1,$H$3,'Segment RAW Data 25-26'!$B411:$X411)</f>
        <v>0</v>
      </c>
      <c r="I412" s="265">
        <f>sumif('Segment RAW Data 25-26'!$B$1:$X$1,$I$3,'Segment RAW Data 25-26'!$B411:$X411)</f>
        <v>0</v>
      </c>
      <c r="J412" s="265">
        <f>sumif('Segment RAW Data 25-26'!$B$1:$X$1,$J$3,'Segment RAW Data 25-26'!$B411:$X411)</f>
        <v>0</v>
      </c>
      <c r="K412" s="265">
        <f>sumif('Segment RAW Data 25-26'!$B$1:$X$1,$K$3,'Segment RAW Data 25-26'!$B411:$X411)</f>
        <v>0</v>
      </c>
      <c r="L412" s="265">
        <f>sumif('Segment RAW Data 25-26'!$B$1:$X$1,$L$3,'Segment RAW Data 25-26'!$B411:$X411)</f>
        <v>0</v>
      </c>
      <c r="M412" s="270">
        <v>45930.0</v>
      </c>
      <c r="N412" s="124" t="s">
        <v>973</v>
      </c>
      <c r="O412" s="124">
        <f>VLOOKUP(C412:C1213,'Segment RAW Data 25-26'!A411:Y1008,25,0)-VLOOKUP(C412:C1213,C:D,2,0)</f>
        <v>0</v>
      </c>
    </row>
    <row r="413" hidden="1">
      <c r="A413" s="157"/>
      <c r="B413" s="157"/>
      <c r="C413" s="157" t="s">
        <v>802</v>
      </c>
      <c r="D413" s="124">
        <f t="shared" si="1"/>
        <v>0</v>
      </c>
      <c r="E413" s="265">
        <f>sumif('Segment RAW Data 25-26'!$B$1:$X$1,$E$3,'Segment RAW Data 25-26'!$B412:$X412)</f>
        <v>0</v>
      </c>
      <c r="F413" s="265">
        <f>sumif('Segment RAW Data 25-26'!$B$1:$X$1,$F$3,'Segment RAW Data 25-26'!$B412:$X412)</f>
        <v>0</v>
      </c>
      <c r="G413" s="265">
        <f>sumif('Segment RAW Data 25-26'!$B$1:$X$1,$G$3,'Segment RAW Data 25-26'!$B412:$X412)</f>
        <v>0</v>
      </c>
      <c r="H413" s="265">
        <f>sumif('Segment RAW Data 25-26'!$B$1:$X$1,$H$3,'Segment RAW Data 25-26'!$B412:$X412)</f>
        <v>0</v>
      </c>
      <c r="I413" s="265">
        <f>sumif('Segment RAW Data 25-26'!$B$1:$X$1,$I$3,'Segment RAW Data 25-26'!$B412:$X412)</f>
        <v>0</v>
      </c>
      <c r="J413" s="265">
        <f>sumif('Segment RAW Data 25-26'!$B$1:$X$1,$J$3,'Segment RAW Data 25-26'!$B412:$X412)</f>
        <v>0</v>
      </c>
      <c r="K413" s="265">
        <f>sumif('Segment RAW Data 25-26'!$B$1:$X$1,$K$3,'Segment RAW Data 25-26'!$B412:$X412)</f>
        <v>0</v>
      </c>
      <c r="L413" s="265">
        <f>sumif('Segment RAW Data 25-26'!$B$1:$X$1,$L$3,'Segment RAW Data 25-26'!$B412:$X412)</f>
        <v>0</v>
      </c>
      <c r="M413" s="270"/>
      <c r="N413" s="124"/>
      <c r="O413" s="124">
        <f>VLOOKUP(C413:C1214,'Segment RAW Data 25-26'!A412:Y1009,25,0)-VLOOKUP(C413:C1214,C:D,2,0)</f>
        <v>0</v>
      </c>
    </row>
    <row r="414" hidden="1">
      <c r="A414" s="157" t="s">
        <v>185</v>
      </c>
      <c r="B414" s="157" t="s">
        <v>196</v>
      </c>
      <c r="C414" s="157" t="s">
        <v>259</v>
      </c>
      <c r="D414" s="124">
        <f t="shared" si="1"/>
        <v>14196239.74</v>
      </c>
      <c r="E414" s="265">
        <f>sumif('Segment RAW Data 25-26'!$B$1:$X$1,$E$3,'Segment RAW Data 25-26'!$B413:$X413)</f>
        <v>2664613.03</v>
      </c>
      <c r="F414" s="265">
        <f>sumif('Segment RAW Data 25-26'!$B$1:$X$1,$F$3,'Segment RAW Data 25-26'!$B413:$X413)</f>
        <v>4422058.79</v>
      </c>
      <c r="G414" s="265">
        <f>sumif('Segment RAW Data 25-26'!$B$1:$X$1,$G$3,'Segment RAW Data 25-26'!$B413:$X413)</f>
        <v>4336794.15</v>
      </c>
      <c r="H414" s="265">
        <f>sumif('Segment RAW Data 25-26'!$B$1:$X$1,$H$3,'Segment RAW Data 25-26'!$B413:$X413)</f>
        <v>1989823.42</v>
      </c>
      <c r="I414" s="265">
        <f>sumif('Segment RAW Data 25-26'!$B$1:$X$1,$I$3,'Segment RAW Data 25-26'!$B413:$X413)</f>
        <v>0</v>
      </c>
      <c r="J414" s="265">
        <f>sumif('Segment RAW Data 25-26'!$B$1:$X$1,$J$3,'Segment RAW Data 25-26'!$B413:$X413)</f>
        <v>730198.35</v>
      </c>
      <c r="K414" s="265">
        <f>sumif('Segment RAW Data 25-26'!$B$1:$X$1,$K$3,'Segment RAW Data 25-26'!$B413:$X413)</f>
        <v>52752</v>
      </c>
      <c r="L414" s="265">
        <f>sumif('Segment RAW Data 25-26'!$B$1:$X$1,$L$3,'Segment RAW Data 25-26'!$B413:$X413)</f>
        <v>0</v>
      </c>
      <c r="M414" s="270"/>
      <c r="N414" s="124" t="s">
        <v>975</v>
      </c>
      <c r="O414" s="124">
        <f>VLOOKUP(C414:C1215,'Segment RAW Data 25-26'!A413:Y1010,25,0)-VLOOKUP(C414:C1215,C:D,2,0)</f>
        <v>-0.01000000164</v>
      </c>
    </row>
    <row r="415" hidden="1">
      <c r="A415" s="157"/>
      <c r="B415" s="157"/>
      <c r="C415" s="157" t="s">
        <v>53</v>
      </c>
      <c r="D415" s="124">
        <f t="shared" si="1"/>
        <v>0</v>
      </c>
      <c r="E415" s="265">
        <f>sumif('Segment RAW Data 25-26'!$B$1:$X$1,$E$3,'Segment RAW Data 25-26'!$B414:$X414)</f>
        <v>0</v>
      </c>
      <c r="F415" s="265">
        <f>sumif('Segment RAW Data 25-26'!$B$1:$X$1,$F$3,'Segment RAW Data 25-26'!$B414:$X414)</f>
        <v>0</v>
      </c>
      <c r="G415" s="265">
        <f>sumif('Segment RAW Data 25-26'!$B$1:$X$1,$G$3,'Segment RAW Data 25-26'!$B414:$X414)</f>
        <v>0</v>
      </c>
      <c r="H415" s="265">
        <f>sumif('Segment RAW Data 25-26'!$B$1:$X$1,$H$3,'Segment RAW Data 25-26'!$B414:$X414)</f>
        <v>0</v>
      </c>
      <c r="I415" s="265">
        <f>sumif('Segment RAW Data 25-26'!$B$1:$X$1,$I$3,'Segment RAW Data 25-26'!$B414:$X414)</f>
        <v>0</v>
      </c>
      <c r="J415" s="265">
        <f>sumif('Segment RAW Data 25-26'!$B$1:$X$1,$J$3,'Segment RAW Data 25-26'!$B414:$X414)</f>
        <v>0</v>
      </c>
      <c r="K415" s="265">
        <f>sumif('Segment RAW Data 25-26'!$B$1:$X$1,$K$3,'Segment RAW Data 25-26'!$B414:$X414)</f>
        <v>0</v>
      </c>
      <c r="L415" s="265">
        <f>sumif('Segment RAW Data 25-26'!$B$1:$X$1,$L$3,'Segment RAW Data 25-26'!$B414:$X414)</f>
        <v>0</v>
      </c>
      <c r="M415" s="270"/>
      <c r="N415" s="124"/>
      <c r="O415" s="124">
        <f>VLOOKUP(C415:C1216,'Segment RAW Data 25-26'!A414:Y1011,25,0)-VLOOKUP(C415:C1216,C:D,2,0)</f>
        <v>0</v>
      </c>
    </row>
    <row r="416" hidden="1">
      <c r="A416" s="157"/>
      <c r="B416" s="157"/>
      <c r="C416" s="157" t="s">
        <v>803</v>
      </c>
      <c r="D416" s="124">
        <f t="shared" si="1"/>
        <v>0</v>
      </c>
      <c r="E416" s="265">
        <f>sumif('Segment RAW Data 25-26'!$B$1:$X$1,$E$3,'Segment RAW Data 25-26'!$B415:$X415)</f>
        <v>0</v>
      </c>
      <c r="F416" s="265">
        <f>sumif('Segment RAW Data 25-26'!$B$1:$X$1,$F$3,'Segment RAW Data 25-26'!$B415:$X415)</f>
        <v>0</v>
      </c>
      <c r="G416" s="265">
        <f>sumif('Segment RAW Data 25-26'!$B$1:$X$1,$G$3,'Segment RAW Data 25-26'!$B415:$X415)</f>
        <v>0</v>
      </c>
      <c r="H416" s="265">
        <f>sumif('Segment RAW Data 25-26'!$B$1:$X$1,$H$3,'Segment RAW Data 25-26'!$B415:$X415)</f>
        <v>0</v>
      </c>
      <c r="I416" s="265">
        <f>sumif('Segment RAW Data 25-26'!$B$1:$X$1,$I$3,'Segment RAW Data 25-26'!$B415:$X415)</f>
        <v>0</v>
      </c>
      <c r="J416" s="265">
        <f>sumif('Segment RAW Data 25-26'!$B$1:$X$1,$J$3,'Segment RAW Data 25-26'!$B415:$X415)</f>
        <v>0</v>
      </c>
      <c r="K416" s="265">
        <f>sumif('Segment RAW Data 25-26'!$B$1:$X$1,$K$3,'Segment RAW Data 25-26'!$B415:$X415)</f>
        <v>0</v>
      </c>
      <c r="L416" s="265">
        <f>sumif('Segment RAW Data 25-26'!$B$1:$X$1,$L$3,'Segment RAW Data 25-26'!$B415:$X415)</f>
        <v>0</v>
      </c>
      <c r="M416" s="270"/>
      <c r="N416" s="124"/>
      <c r="O416" s="124">
        <f>VLOOKUP(C416:C1217,'Segment RAW Data 25-26'!A415:Y1012,25,0)-VLOOKUP(C416:C1217,C:D,2,0)</f>
        <v>0</v>
      </c>
    </row>
    <row r="417" hidden="1">
      <c r="A417" s="157" t="s">
        <v>185</v>
      </c>
      <c r="B417" s="157" t="s">
        <v>222</v>
      </c>
      <c r="C417" s="157" t="s">
        <v>261</v>
      </c>
      <c r="D417" s="124">
        <f t="shared" si="1"/>
        <v>10771683.56</v>
      </c>
      <c r="E417" s="265">
        <f>sumif('Segment RAW Data 25-26'!$B$1:$X$1,$E$3,'Segment RAW Data 25-26'!$B416:$X416)</f>
        <v>5184556.26</v>
      </c>
      <c r="F417" s="265">
        <f>sumif('Segment RAW Data 25-26'!$B$1:$X$1,$F$3,'Segment RAW Data 25-26'!$B416:$X416)</f>
        <v>2404591</v>
      </c>
      <c r="G417" s="265">
        <f>sumif('Segment RAW Data 25-26'!$B$1:$X$1,$G$3,'Segment RAW Data 25-26'!$B416:$X416)</f>
        <v>1413961.32</v>
      </c>
      <c r="H417" s="265">
        <f>sumif('Segment RAW Data 25-26'!$B$1:$X$1,$H$3,'Segment RAW Data 25-26'!$B416:$X416)</f>
        <v>1100986</v>
      </c>
      <c r="I417" s="265">
        <f>sumif('Segment RAW Data 25-26'!$B$1:$X$1,$I$3,'Segment RAW Data 25-26'!$B416:$X416)</f>
        <v>128139.13</v>
      </c>
      <c r="J417" s="265">
        <f>sumif('Segment RAW Data 25-26'!$B$1:$X$1,$J$3,'Segment RAW Data 25-26'!$B416:$X416)</f>
        <v>418039.45</v>
      </c>
      <c r="K417" s="265">
        <f>sumif('Segment RAW Data 25-26'!$B$1:$X$1,$K$3,'Segment RAW Data 25-26'!$B416:$X416)</f>
        <v>121410.4</v>
      </c>
      <c r="L417" s="265">
        <f>sumif('Segment RAW Data 25-26'!$B$1:$X$1,$L$3,'Segment RAW Data 25-26'!$B416:$X416)</f>
        <v>0</v>
      </c>
      <c r="M417" s="270"/>
      <c r="N417" s="124" t="s">
        <v>975</v>
      </c>
      <c r="O417" s="124">
        <f>VLOOKUP(C417:C1218,'Segment RAW Data 25-26'!A416:Y1013,25,0)-VLOOKUP(C417:C1218,C:D,2,0)</f>
        <v>-0.009999999776</v>
      </c>
    </row>
    <row r="418" hidden="1">
      <c r="A418" s="157" t="s">
        <v>185</v>
      </c>
      <c r="B418" s="157" t="s">
        <v>85</v>
      </c>
      <c r="C418" s="157" t="s">
        <v>394</v>
      </c>
      <c r="D418" s="124">
        <f t="shared" si="1"/>
        <v>9331955.65</v>
      </c>
      <c r="E418" s="265">
        <f>sumif('Segment RAW Data 25-26'!$B$1:$X$1,$E$3,'Segment RAW Data 25-26'!$B417:$X417)</f>
        <v>0</v>
      </c>
      <c r="F418" s="265">
        <f>sumif('Segment RAW Data 25-26'!$B$1:$X$1,$F$3,'Segment RAW Data 25-26'!$B417:$X417)</f>
        <v>4700041.45</v>
      </c>
      <c r="G418" s="265">
        <f>sumif('Segment RAW Data 25-26'!$B$1:$X$1,$G$3,'Segment RAW Data 25-26'!$B417:$X417)</f>
        <v>1644503.7</v>
      </c>
      <c r="H418" s="265">
        <f>sumif('Segment RAW Data 25-26'!$B$1:$X$1,$H$3,'Segment RAW Data 25-26'!$B417:$X417)</f>
        <v>1772768.5</v>
      </c>
      <c r="I418" s="265">
        <f>sumif('Segment RAW Data 25-26'!$B$1:$X$1,$I$3,'Segment RAW Data 25-26'!$B417:$X417)</f>
        <v>0</v>
      </c>
      <c r="J418" s="265">
        <f>sumif('Segment RAW Data 25-26'!$B$1:$X$1,$J$3,'Segment RAW Data 25-26'!$B417:$X417)</f>
        <v>1214642</v>
      </c>
      <c r="K418" s="265">
        <f>sumif('Segment RAW Data 25-26'!$B$1:$X$1,$K$3,'Segment RAW Data 25-26'!$B417:$X417)</f>
        <v>0</v>
      </c>
      <c r="L418" s="265">
        <f>sumif('Segment RAW Data 25-26'!$B$1:$X$1,$L$3,'Segment RAW Data 25-26'!$B417:$X417)</f>
        <v>0</v>
      </c>
      <c r="M418" s="270">
        <v>46022.0</v>
      </c>
      <c r="N418" s="124" t="s">
        <v>973</v>
      </c>
      <c r="O418" s="124">
        <f>VLOOKUP(C418:C1219,'Segment RAW Data 25-26'!A417:Y1014,25,0)-VLOOKUP(C418:C1219,C:D,2,0)</f>
        <v>0</v>
      </c>
    </row>
    <row r="419" hidden="1">
      <c r="A419" s="157" t="s">
        <v>185</v>
      </c>
      <c r="B419" s="157" t="s">
        <v>189</v>
      </c>
      <c r="C419" s="157" t="s">
        <v>804</v>
      </c>
      <c r="D419" s="124">
        <f t="shared" si="1"/>
        <v>0</v>
      </c>
      <c r="E419" s="265">
        <f>sumif('Segment RAW Data 25-26'!$B$1:$X$1,$E$3,'Segment RAW Data 25-26'!$B418:$X418)</f>
        <v>0</v>
      </c>
      <c r="F419" s="265">
        <f>sumif('Segment RAW Data 25-26'!$B$1:$X$1,$F$3,'Segment RAW Data 25-26'!$B418:$X418)</f>
        <v>0</v>
      </c>
      <c r="G419" s="265">
        <f>sumif('Segment RAW Data 25-26'!$B$1:$X$1,$G$3,'Segment RAW Data 25-26'!$B418:$X418)</f>
        <v>0</v>
      </c>
      <c r="H419" s="265">
        <f>sumif('Segment RAW Data 25-26'!$B$1:$X$1,$H$3,'Segment RAW Data 25-26'!$B418:$X418)</f>
        <v>0</v>
      </c>
      <c r="I419" s="265">
        <f>sumif('Segment RAW Data 25-26'!$B$1:$X$1,$I$3,'Segment RAW Data 25-26'!$B418:$X418)</f>
        <v>0</v>
      </c>
      <c r="J419" s="265">
        <f>sumif('Segment RAW Data 25-26'!$B$1:$X$1,$J$3,'Segment RAW Data 25-26'!$B418:$X418)</f>
        <v>0</v>
      </c>
      <c r="K419" s="265">
        <f>sumif('Segment RAW Data 25-26'!$B$1:$X$1,$K$3,'Segment RAW Data 25-26'!$B418:$X418)</f>
        <v>0</v>
      </c>
      <c r="L419" s="265">
        <f>sumif('Segment RAW Data 25-26'!$B$1:$X$1,$L$3,'Segment RAW Data 25-26'!$B418:$X418)</f>
        <v>0</v>
      </c>
      <c r="M419" s="270"/>
      <c r="N419" s="124" t="s">
        <v>975</v>
      </c>
      <c r="O419" s="124">
        <f>VLOOKUP(C419:C1220,'Segment RAW Data 25-26'!A418:Y1015,25,0)-VLOOKUP(C419:C1220,C:D,2,0)</f>
        <v>0</v>
      </c>
    </row>
    <row r="420" hidden="1">
      <c r="A420" s="157"/>
      <c r="B420" s="157"/>
      <c r="C420" s="157" t="s">
        <v>805</v>
      </c>
      <c r="D420" s="124">
        <f t="shared" si="1"/>
        <v>0</v>
      </c>
      <c r="E420" s="265">
        <f>sumif('Segment RAW Data 25-26'!$B$1:$X$1,$E$3,'Segment RAW Data 25-26'!$B419:$X419)</f>
        <v>0</v>
      </c>
      <c r="F420" s="265">
        <f>sumif('Segment RAW Data 25-26'!$B$1:$X$1,$F$3,'Segment RAW Data 25-26'!$B419:$X419)</f>
        <v>0</v>
      </c>
      <c r="G420" s="265">
        <f>sumif('Segment RAW Data 25-26'!$B$1:$X$1,$G$3,'Segment RAW Data 25-26'!$B419:$X419)</f>
        <v>0</v>
      </c>
      <c r="H420" s="265">
        <f>sumif('Segment RAW Data 25-26'!$B$1:$X$1,$H$3,'Segment RAW Data 25-26'!$B419:$X419)</f>
        <v>0</v>
      </c>
      <c r="I420" s="265">
        <f>sumif('Segment RAW Data 25-26'!$B$1:$X$1,$I$3,'Segment RAW Data 25-26'!$B419:$X419)</f>
        <v>0</v>
      </c>
      <c r="J420" s="265">
        <f>sumif('Segment RAW Data 25-26'!$B$1:$X$1,$J$3,'Segment RAW Data 25-26'!$B419:$X419)</f>
        <v>0</v>
      </c>
      <c r="K420" s="265">
        <f>sumif('Segment RAW Data 25-26'!$B$1:$X$1,$K$3,'Segment RAW Data 25-26'!$B419:$X419)</f>
        <v>0</v>
      </c>
      <c r="L420" s="265">
        <f>sumif('Segment RAW Data 25-26'!$B$1:$X$1,$L$3,'Segment RAW Data 25-26'!$B419:$X419)</f>
        <v>0</v>
      </c>
      <c r="M420" s="270"/>
      <c r="N420" s="124"/>
      <c r="O420" s="124">
        <f>VLOOKUP(C420:C1221,'Segment RAW Data 25-26'!A419:Y1016,25,0)-VLOOKUP(C420:C1221,C:D,2,0)</f>
        <v>0</v>
      </c>
    </row>
    <row r="421" hidden="1">
      <c r="A421" s="157"/>
      <c r="B421" s="157"/>
      <c r="C421" s="157" t="s">
        <v>806</v>
      </c>
      <c r="D421" s="124">
        <f t="shared" si="1"/>
        <v>0</v>
      </c>
      <c r="E421" s="265">
        <f>sumif('Segment RAW Data 25-26'!$B$1:$X$1,$E$3,'Segment RAW Data 25-26'!$B420:$X420)</f>
        <v>0</v>
      </c>
      <c r="F421" s="265">
        <f>sumif('Segment RAW Data 25-26'!$B$1:$X$1,$F$3,'Segment RAW Data 25-26'!$B420:$X420)</f>
        <v>0</v>
      </c>
      <c r="G421" s="265">
        <f>sumif('Segment RAW Data 25-26'!$B$1:$X$1,$G$3,'Segment RAW Data 25-26'!$B420:$X420)</f>
        <v>0</v>
      </c>
      <c r="H421" s="265">
        <f>sumif('Segment RAW Data 25-26'!$B$1:$X$1,$H$3,'Segment RAW Data 25-26'!$B420:$X420)</f>
        <v>0</v>
      </c>
      <c r="I421" s="265">
        <f>sumif('Segment RAW Data 25-26'!$B$1:$X$1,$I$3,'Segment RAW Data 25-26'!$B420:$X420)</f>
        <v>0</v>
      </c>
      <c r="J421" s="265">
        <f>sumif('Segment RAW Data 25-26'!$B$1:$X$1,$J$3,'Segment RAW Data 25-26'!$B420:$X420)</f>
        <v>0</v>
      </c>
      <c r="K421" s="265">
        <f>sumif('Segment RAW Data 25-26'!$B$1:$X$1,$K$3,'Segment RAW Data 25-26'!$B420:$X420)</f>
        <v>0</v>
      </c>
      <c r="L421" s="265">
        <f>sumif('Segment RAW Data 25-26'!$B$1:$X$1,$L$3,'Segment RAW Data 25-26'!$B420:$X420)</f>
        <v>0</v>
      </c>
      <c r="M421" s="270"/>
      <c r="N421" s="124"/>
      <c r="O421" s="124">
        <f>VLOOKUP(C421:C1222,'Segment RAW Data 25-26'!A420:Y1017,25,0)-VLOOKUP(C421:C1222,C:D,2,0)</f>
        <v>0</v>
      </c>
    </row>
    <row r="422" hidden="1">
      <c r="A422" s="157"/>
      <c r="B422" s="157"/>
      <c r="C422" s="157" t="s">
        <v>807</v>
      </c>
      <c r="D422" s="124">
        <f t="shared" si="1"/>
        <v>0</v>
      </c>
      <c r="E422" s="265">
        <f>sumif('Segment RAW Data 25-26'!$B$1:$X$1,$E$3,'Segment RAW Data 25-26'!$B421:$X421)</f>
        <v>0</v>
      </c>
      <c r="F422" s="265">
        <f>sumif('Segment RAW Data 25-26'!$B$1:$X$1,$F$3,'Segment RAW Data 25-26'!$B421:$X421)</f>
        <v>0</v>
      </c>
      <c r="G422" s="265">
        <f>sumif('Segment RAW Data 25-26'!$B$1:$X$1,$G$3,'Segment RAW Data 25-26'!$B421:$X421)</f>
        <v>0</v>
      </c>
      <c r="H422" s="265">
        <f>sumif('Segment RAW Data 25-26'!$B$1:$X$1,$H$3,'Segment RAW Data 25-26'!$B421:$X421)</f>
        <v>0</v>
      </c>
      <c r="I422" s="265">
        <f>sumif('Segment RAW Data 25-26'!$B$1:$X$1,$I$3,'Segment RAW Data 25-26'!$B421:$X421)</f>
        <v>0</v>
      </c>
      <c r="J422" s="265">
        <f>sumif('Segment RAW Data 25-26'!$B$1:$X$1,$J$3,'Segment RAW Data 25-26'!$B421:$X421)</f>
        <v>0</v>
      </c>
      <c r="K422" s="265">
        <f>sumif('Segment RAW Data 25-26'!$B$1:$X$1,$K$3,'Segment RAW Data 25-26'!$B421:$X421)</f>
        <v>0</v>
      </c>
      <c r="L422" s="265">
        <f>sumif('Segment RAW Data 25-26'!$B$1:$X$1,$L$3,'Segment RAW Data 25-26'!$B421:$X421)</f>
        <v>0</v>
      </c>
      <c r="M422" s="270"/>
      <c r="N422" s="124"/>
      <c r="O422" s="124">
        <f>VLOOKUP(C422:C1223,'Segment RAW Data 25-26'!A421:Y1018,25,0)-VLOOKUP(C422:C1223,C:D,2,0)</f>
        <v>0</v>
      </c>
    </row>
    <row r="423" hidden="1">
      <c r="A423" s="157" t="s">
        <v>47</v>
      </c>
      <c r="B423" s="157" t="s">
        <v>50</v>
      </c>
      <c r="C423" s="157" t="s">
        <v>48</v>
      </c>
      <c r="D423" s="124">
        <f t="shared" si="1"/>
        <v>6639185.49</v>
      </c>
      <c r="E423" s="265">
        <f>sumif('Segment RAW Data 25-26'!$B$1:$X$1,$E$3,'Segment RAW Data 25-26'!$B422:$X422)</f>
        <v>2831574.18</v>
      </c>
      <c r="F423" s="265">
        <f>sumif('Segment RAW Data 25-26'!$B$1:$X$1,$F$3,'Segment RAW Data 25-26'!$B422:$X422)</f>
        <v>0</v>
      </c>
      <c r="G423" s="265">
        <f>sumif('Segment RAW Data 25-26'!$B$1:$X$1,$G$3,'Segment RAW Data 25-26'!$B422:$X422)</f>
        <v>3640664.41</v>
      </c>
      <c r="H423" s="265">
        <f>sumif('Segment RAW Data 25-26'!$B$1:$X$1,$H$3,'Segment RAW Data 25-26'!$B422:$X422)</f>
        <v>166946.9</v>
      </c>
      <c r="I423" s="265">
        <f>sumif('Segment RAW Data 25-26'!$B$1:$X$1,$I$3,'Segment RAW Data 25-26'!$B422:$X422)</f>
        <v>0</v>
      </c>
      <c r="J423" s="265">
        <f>sumif('Segment RAW Data 25-26'!$B$1:$X$1,$J$3,'Segment RAW Data 25-26'!$B422:$X422)</f>
        <v>0</v>
      </c>
      <c r="K423" s="265">
        <f>sumif('Segment RAW Data 25-26'!$B$1:$X$1,$K$3,'Segment RAW Data 25-26'!$B422:$X422)</f>
        <v>0</v>
      </c>
      <c r="L423" s="265">
        <f>sumif('Segment RAW Data 25-26'!$B$1:$X$1,$L$3,'Segment RAW Data 25-26'!$B422:$X422)</f>
        <v>0</v>
      </c>
      <c r="M423" s="270"/>
      <c r="N423" s="124" t="s">
        <v>975</v>
      </c>
      <c r="O423" s="124">
        <f>VLOOKUP(C423:C1224,'Segment RAW Data 25-26'!A422:Y1019,25,0)-VLOOKUP(C423:C1224,C:D,2,0)</f>
        <v>0</v>
      </c>
    </row>
    <row r="424" hidden="1">
      <c r="A424" s="157"/>
      <c r="B424" s="157"/>
      <c r="C424" s="157" t="s">
        <v>808</v>
      </c>
      <c r="D424" s="124">
        <f t="shared" si="1"/>
        <v>0</v>
      </c>
      <c r="E424" s="265">
        <f>sumif('Segment RAW Data 25-26'!$B$1:$X$1,$E$3,'Segment RAW Data 25-26'!$B423:$X423)</f>
        <v>0</v>
      </c>
      <c r="F424" s="265">
        <f>sumif('Segment RAW Data 25-26'!$B$1:$X$1,$F$3,'Segment RAW Data 25-26'!$B423:$X423)</f>
        <v>0</v>
      </c>
      <c r="G424" s="265">
        <f>sumif('Segment RAW Data 25-26'!$B$1:$X$1,$G$3,'Segment RAW Data 25-26'!$B423:$X423)</f>
        <v>0</v>
      </c>
      <c r="H424" s="265">
        <f>sumif('Segment RAW Data 25-26'!$B$1:$X$1,$H$3,'Segment RAW Data 25-26'!$B423:$X423)</f>
        <v>0</v>
      </c>
      <c r="I424" s="265">
        <f>sumif('Segment RAW Data 25-26'!$B$1:$X$1,$I$3,'Segment RAW Data 25-26'!$B423:$X423)</f>
        <v>0</v>
      </c>
      <c r="J424" s="265">
        <f>sumif('Segment RAW Data 25-26'!$B$1:$X$1,$J$3,'Segment RAW Data 25-26'!$B423:$X423)</f>
        <v>0</v>
      </c>
      <c r="K424" s="265">
        <f>sumif('Segment RAW Data 25-26'!$B$1:$X$1,$K$3,'Segment RAW Data 25-26'!$B423:$X423)</f>
        <v>0</v>
      </c>
      <c r="L424" s="265">
        <f>sumif('Segment RAW Data 25-26'!$B$1:$X$1,$L$3,'Segment RAW Data 25-26'!$B423:$X423)</f>
        <v>0</v>
      </c>
      <c r="M424" s="270"/>
      <c r="N424" s="124"/>
      <c r="O424" s="124">
        <f>VLOOKUP(C424:C1225,'Segment RAW Data 25-26'!A423:Y1020,25,0)-VLOOKUP(C424:C1225,C:D,2,0)</f>
        <v>0</v>
      </c>
    </row>
    <row r="425" hidden="1">
      <c r="A425" s="157" t="s">
        <v>185</v>
      </c>
      <c r="B425" s="157" t="s">
        <v>222</v>
      </c>
      <c r="C425" s="157" t="s">
        <v>809</v>
      </c>
      <c r="D425" s="124">
        <f t="shared" si="1"/>
        <v>17071034.89</v>
      </c>
      <c r="E425" s="265">
        <f>sumif('Segment RAW Data 25-26'!$B$1:$X$1,$E$3,'Segment RAW Data 25-26'!$B424:$X424)</f>
        <v>3695666.9</v>
      </c>
      <c r="F425" s="265">
        <f>sumif('Segment RAW Data 25-26'!$B$1:$X$1,$F$3,'Segment RAW Data 25-26'!$B424:$X424)</f>
        <v>4757318.95</v>
      </c>
      <c r="G425" s="265">
        <f>sumif('Segment RAW Data 25-26'!$B$1:$X$1,$G$3,'Segment RAW Data 25-26'!$B424:$X424)</f>
        <v>4457955.92</v>
      </c>
      <c r="H425" s="265">
        <f>sumif('Segment RAW Data 25-26'!$B$1:$X$1,$H$3,'Segment RAW Data 25-26'!$B424:$X424)</f>
        <v>1824935</v>
      </c>
      <c r="I425" s="265">
        <f>sumif('Segment RAW Data 25-26'!$B$1:$X$1,$I$3,'Segment RAW Data 25-26'!$B424:$X424)</f>
        <v>493345.11</v>
      </c>
      <c r="J425" s="265">
        <f>sumif('Segment RAW Data 25-26'!$B$1:$X$1,$J$3,'Segment RAW Data 25-26'!$B424:$X424)</f>
        <v>1841813.01</v>
      </c>
      <c r="K425" s="265">
        <f>sumif('Segment RAW Data 25-26'!$B$1:$X$1,$K$3,'Segment RAW Data 25-26'!$B424:$X424)</f>
        <v>0</v>
      </c>
      <c r="L425" s="265">
        <f>sumif('Segment RAW Data 25-26'!$B$1:$X$1,$L$3,'Segment RAW Data 25-26'!$B424:$X424)</f>
        <v>0</v>
      </c>
      <c r="M425" s="270"/>
      <c r="N425" s="124" t="s">
        <v>975</v>
      </c>
      <c r="O425" s="124">
        <f>VLOOKUP(C425:C1226,'Segment RAW Data 25-26'!A424:Y1021,25,0)-VLOOKUP(C425:C1226,C:D,2,0)</f>
        <v>0</v>
      </c>
    </row>
    <row r="426" hidden="1">
      <c r="A426" s="157"/>
      <c r="B426" s="157"/>
      <c r="C426" s="157" t="s">
        <v>810</v>
      </c>
      <c r="D426" s="124">
        <f t="shared" si="1"/>
        <v>0</v>
      </c>
      <c r="E426" s="265">
        <f>sumif('Segment RAW Data 25-26'!$B$1:$X$1,$E$3,'Segment RAW Data 25-26'!$B425:$X425)</f>
        <v>0</v>
      </c>
      <c r="F426" s="265">
        <f>sumif('Segment RAW Data 25-26'!$B$1:$X$1,$F$3,'Segment RAW Data 25-26'!$B425:$X425)</f>
        <v>0</v>
      </c>
      <c r="G426" s="265">
        <f>sumif('Segment RAW Data 25-26'!$B$1:$X$1,$G$3,'Segment RAW Data 25-26'!$B425:$X425)</f>
        <v>0</v>
      </c>
      <c r="H426" s="265">
        <f>sumif('Segment RAW Data 25-26'!$B$1:$X$1,$H$3,'Segment RAW Data 25-26'!$B425:$X425)</f>
        <v>0</v>
      </c>
      <c r="I426" s="265">
        <f>sumif('Segment RAW Data 25-26'!$B$1:$X$1,$I$3,'Segment RAW Data 25-26'!$B425:$X425)</f>
        <v>0</v>
      </c>
      <c r="J426" s="265">
        <f>sumif('Segment RAW Data 25-26'!$B$1:$X$1,$J$3,'Segment RAW Data 25-26'!$B425:$X425)</f>
        <v>0</v>
      </c>
      <c r="K426" s="265">
        <f>sumif('Segment RAW Data 25-26'!$B$1:$X$1,$K$3,'Segment RAW Data 25-26'!$B425:$X425)</f>
        <v>0</v>
      </c>
      <c r="L426" s="265">
        <f>sumif('Segment RAW Data 25-26'!$B$1:$X$1,$L$3,'Segment RAW Data 25-26'!$B425:$X425)</f>
        <v>0</v>
      </c>
      <c r="M426" s="270"/>
      <c r="N426" s="124"/>
      <c r="O426" s="124">
        <f>VLOOKUP(C426:C1227,'Segment RAW Data 25-26'!A425:Y1022,25,0)-VLOOKUP(C426:C1227,C:D,2,0)</f>
        <v>0</v>
      </c>
    </row>
    <row r="427" hidden="1">
      <c r="A427" s="157" t="s">
        <v>53</v>
      </c>
      <c r="B427" s="157" t="s">
        <v>56</v>
      </c>
      <c r="C427" s="157" t="s">
        <v>361</v>
      </c>
      <c r="D427" s="124">
        <f t="shared" si="1"/>
        <v>0</v>
      </c>
      <c r="E427" s="265">
        <f>sumif('Segment RAW Data 25-26'!$B$1:$X$1,$E$3,'Segment RAW Data 25-26'!$B426:$X426)</f>
        <v>0</v>
      </c>
      <c r="F427" s="265">
        <f>sumif('Segment RAW Data 25-26'!$B$1:$X$1,$F$3,'Segment RAW Data 25-26'!$B426:$X426)</f>
        <v>0</v>
      </c>
      <c r="G427" s="265">
        <f>sumif('Segment RAW Data 25-26'!$B$1:$X$1,$G$3,'Segment RAW Data 25-26'!$B426:$X426)</f>
        <v>0</v>
      </c>
      <c r="H427" s="265">
        <f>sumif('Segment RAW Data 25-26'!$B$1:$X$1,$H$3,'Segment RAW Data 25-26'!$B426:$X426)</f>
        <v>0</v>
      </c>
      <c r="I427" s="265">
        <f>sumif('Segment RAW Data 25-26'!$B$1:$X$1,$I$3,'Segment RAW Data 25-26'!$B426:$X426)</f>
        <v>0</v>
      </c>
      <c r="J427" s="265">
        <f>sumif('Segment RAW Data 25-26'!$B$1:$X$1,$J$3,'Segment RAW Data 25-26'!$B426:$X426)</f>
        <v>0</v>
      </c>
      <c r="K427" s="265">
        <f>sumif('Segment RAW Data 25-26'!$B$1:$X$1,$K$3,'Segment RAW Data 25-26'!$B426:$X426)</f>
        <v>0</v>
      </c>
      <c r="L427" s="265">
        <f>sumif('Segment RAW Data 25-26'!$B$1:$X$1,$L$3,'Segment RAW Data 25-26'!$B426:$X426)</f>
        <v>0</v>
      </c>
      <c r="M427" s="270">
        <v>45768.0</v>
      </c>
      <c r="N427" s="124" t="s">
        <v>973</v>
      </c>
      <c r="O427" s="124">
        <f>VLOOKUP(C427:C1228,'Segment RAW Data 25-26'!A426:Y1023,25,0)-VLOOKUP(C427:C1228,C:D,2,0)</f>
        <v>0</v>
      </c>
    </row>
    <row r="428" hidden="1">
      <c r="A428" s="157" t="s">
        <v>185</v>
      </c>
      <c r="B428" s="157" t="s">
        <v>189</v>
      </c>
      <c r="C428" s="157" t="s">
        <v>265</v>
      </c>
      <c r="D428" s="124">
        <f t="shared" si="1"/>
        <v>15418357.17</v>
      </c>
      <c r="E428" s="265">
        <f>sumif('Segment RAW Data 25-26'!$B$1:$X$1,$E$3,'Segment RAW Data 25-26'!$B427:$X427)</f>
        <v>2964922.64</v>
      </c>
      <c r="F428" s="265">
        <f>sumif('Segment RAW Data 25-26'!$B$1:$X$1,$F$3,'Segment RAW Data 25-26'!$B427:$X427)</f>
        <v>4410834.15</v>
      </c>
      <c r="G428" s="265">
        <f>sumif('Segment RAW Data 25-26'!$B$1:$X$1,$G$3,'Segment RAW Data 25-26'!$B427:$X427)</f>
        <v>4452485.29</v>
      </c>
      <c r="H428" s="265">
        <f>sumif('Segment RAW Data 25-26'!$B$1:$X$1,$H$3,'Segment RAW Data 25-26'!$B427:$X427)</f>
        <v>796092.59</v>
      </c>
      <c r="I428" s="265">
        <f>sumif('Segment RAW Data 25-26'!$B$1:$X$1,$I$3,'Segment RAW Data 25-26'!$B427:$X427)</f>
        <v>0</v>
      </c>
      <c r="J428" s="265">
        <f>sumif('Segment RAW Data 25-26'!$B$1:$X$1,$J$3,'Segment RAW Data 25-26'!$B427:$X427)</f>
        <v>2231022.5</v>
      </c>
      <c r="K428" s="265">
        <f>sumif('Segment RAW Data 25-26'!$B$1:$X$1,$K$3,'Segment RAW Data 25-26'!$B427:$X427)</f>
        <v>0</v>
      </c>
      <c r="L428" s="265">
        <f>sumif('Segment RAW Data 25-26'!$B$1:$X$1,$L$3,'Segment RAW Data 25-26'!$B427:$X427)</f>
        <v>563000</v>
      </c>
      <c r="M428" s="270"/>
      <c r="N428" s="124" t="s">
        <v>975</v>
      </c>
      <c r="O428" s="124">
        <f>VLOOKUP(C428:C1229,'Segment RAW Data 25-26'!A427:Y1024,25,0)-VLOOKUP(C428:C1229,C:D,2,0)</f>
        <v>-0.009999997914</v>
      </c>
    </row>
    <row r="429" hidden="1">
      <c r="A429" s="157"/>
      <c r="B429" s="157"/>
      <c r="C429" s="157" t="s">
        <v>811</v>
      </c>
      <c r="D429" s="124">
        <f t="shared" si="1"/>
        <v>0</v>
      </c>
      <c r="E429" s="265">
        <f>sumif('Segment RAW Data 25-26'!$B$1:$X$1,$E$3,'Segment RAW Data 25-26'!$B428:$X428)</f>
        <v>0</v>
      </c>
      <c r="F429" s="265">
        <f>sumif('Segment RAW Data 25-26'!$B$1:$X$1,$F$3,'Segment RAW Data 25-26'!$B428:$X428)</f>
        <v>0</v>
      </c>
      <c r="G429" s="265">
        <f>sumif('Segment RAW Data 25-26'!$B$1:$X$1,$G$3,'Segment RAW Data 25-26'!$B428:$X428)</f>
        <v>0</v>
      </c>
      <c r="H429" s="265">
        <f>sumif('Segment RAW Data 25-26'!$B$1:$X$1,$H$3,'Segment RAW Data 25-26'!$B428:$X428)</f>
        <v>0</v>
      </c>
      <c r="I429" s="265">
        <f>sumif('Segment RAW Data 25-26'!$B$1:$X$1,$I$3,'Segment RAW Data 25-26'!$B428:$X428)</f>
        <v>0</v>
      </c>
      <c r="J429" s="265">
        <f>sumif('Segment RAW Data 25-26'!$B$1:$X$1,$J$3,'Segment RAW Data 25-26'!$B428:$X428)</f>
        <v>0</v>
      </c>
      <c r="K429" s="265">
        <f>sumif('Segment RAW Data 25-26'!$B$1:$X$1,$K$3,'Segment RAW Data 25-26'!$B428:$X428)</f>
        <v>0</v>
      </c>
      <c r="L429" s="265">
        <f>sumif('Segment RAW Data 25-26'!$B$1:$X$1,$L$3,'Segment RAW Data 25-26'!$B428:$X428)</f>
        <v>0</v>
      </c>
      <c r="M429" s="270"/>
      <c r="N429" s="124"/>
      <c r="O429" s="124">
        <f>VLOOKUP(C429:C1230,'Segment RAW Data 25-26'!A428:Y1025,25,0)-VLOOKUP(C429:C1230,C:D,2,0)</f>
        <v>0</v>
      </c>
    </row>
    <row r="430" hidden="1">
      <c r="A430" s="157" t="s">
        <v>126</v>
      </c>
      <c r="B430" s="157" t="s">
        <v>145</v>
      </c>
      <c r="C430" s="157" t="s">
        <v>167</v>
      </c>
      <c r="D430" s="124">
        <f t="shared" si="1"/>
        <v>7966662.28</v>
      </c>
      <c r="E430" s="265">
        <f>sumif('Segment RAW Data 25-26'!$B$1:$X$1,$E$3,'Segment RAW Data 25-26'!$B429:$X429)</f>
        <v>2731890.24</v>
      </c>
      <c r="F430" s="265">
        <f>sumif('Segment RAW Data 25-26'!$B$1:$X$1,$F$3,'Segment RAW Data 25-26'!$B429:$X429)</f>
        <v>2541489.85</v>
      </c>
      <c r="G430" s="265">
        <f>sumif('Segment RAW Data 25-26'!$B$1:$X$1,$G$3,'Segment RAW Data 25-26'!$B429:$X429)</f>
        <v>1549416.58</v>
      </c>
      <c r="H430" s="265">
        <f>sumif('Segment RAW Data 25-26'!$B$1:$X$1,$H$3,'Segment RAW Data 25-26'!$B429:$X429)</f>
        <v>306931</v>
      </c>
      <c r="I430" s="265">
        <f>sumif('Segment RAW Data 25-26'!$B$1:$X$1,$I$3,'Segment RAW Data 25-26'!$B429:$X429)</f>
        <v>31010.66</v>
      </c>
      <c r="J430" s="265">
        <f>sumif('Segment RAW Data 25-26'!$B$1:$X$1,$J$3,'Segment RAW Data 25-26'!$B429:$X429)</f>
        <v>805923.95</v>
      </c>
      <c r="K430" s="265">
        <f>sumif('Segment RAW Data 25-26'!$B$1:$X$1,$K$3,'Segment RAW Data 25-26'!$B429:$X429)</f>
        <v>0</v>
      </c>
      <c r="L430" s="265">
        <f>sumif('Segment RAW Data 25-26'!$B$1:$X$1,$L$3,'Segment RAW Data 25-26'!$B429:$X429)</f>
        <v>0</v>
      </c>
      <c r="M430" s="270"/>
      <c r="N430" s="124" t="s">
        <v>975</v>
      </c>
      <c r="O430" s="124">
        <f>VLOOKUP(C430:C1231,'Segment RAW Data 25-26'!A429:Y1026,25,0)-VLOOKUP(C430:C1231,C:D,2,0)</f>
        <v>0</v>
      </c>
    </row>
    <row r="431" hidden="1">
      <c r="A431" s="157"/>
      <c r="B431" s="157"/>
      <c r="C431" s="157" t="s">
        <v>812</v>
      </c>
      <c r="D431" s="124">
        <f t="shared" si="1"/>
        <v>0</v>
      </c>
      <c r="E431" s="265">
        <f>sumif('Segment RAW Data 25-26'!$B$1:$X$1,$E$3,'Segment RAW Data 25-26'!$B430:$X430)</f>
        <v>0</v>
      </c>
      <c r="F431" s="265">
        <f>sumif('Segment RAW Data 25-26'!$B$1:$X$1,$F$3,'Segment RAW Data 25-26'!$B430:$X430)</f>
        <v>0</v>
      </c>
      <c r="G431" s="265">
        <f>sumif('Segment RAW Data 25-26'!$B$1:$X$1,$G$3,'Segment RAW Data 25-26'!$B430:$X430)</f>
        <v>0</v>
      </c>
      <c r="H431" s="265">
        <f>sumif('Segment RAW Data 25-26'!$B$1:$X$1,$H$3,'Segment RAW Data 25-26'!$B430:$X430)</f>
        <v>0</v>
      </c>
      <c r="I431" s="265">
        <f>sumif('Segment RAW Data 25-26'!$B$1:$X$1,$I$3,'Segment RAW Data 25-26'!$B430:$X430)</f>
        <v>0</v>
      </c>
      <c r="J431" s="265">
        <f>sumif('Segment RAW Data 25-26'!$B$1:$X$1,$J$3,'Segment RAW Data 25-26'!$B430:$X430)</f>
        <v>0</v>
      </c>
      <c r="K431" s="265">
        <f>sumif('Segment RAW Data 25-26'!$B$1:$X$1,$K$3,'Segment RAW Data 25-26'!$B430:$X430)</f>
        <v>0</v>
      </c>
      <c r="L431" s="265">
        <f>sumif('Segment RAW Data 25-26'!$B$1:$X$1,$L$3,'Segment RAW Data 25-26'!$B430:$X430)</f>
        <v>0</v>
      </c>
      <c r="M431" s="270"/>
      <c r="N431" s="124"/>
      <c r="O431" s="124">
        <f>VLOOKUP(C431:C1232,'Segment RAW Data 25-26'!A430:Y1027,25,0)-VLOOKUP(C431:C1232,C:D,2,0)</f>
        <v>0</v>
      </c>
    </row>
    <row r="432" hidden="1">
      <c r="A432" s="157"/>
      <c r="B432" s="157"/>
      <c r="C432" s="157" t="s">
        <v>813</v>
      </c>
      <c r="D432" s="124">
        <f t="shared" si="1"/>
        <v>0</v>
      </c>
      <c r="E432" s="265">
        <f>sumif('Segment RAW Data 25-26'!$B$1:$X$1,$E$3,'Segment RAW Data 25-26'!$B431:$X431)</f>
        <v>0</v>
      </c>
      <c r="F432" s="265">
        <f>sumif('Segment RAW Data 25-26'!$B$1:$X$1,$F$3,'Segment RAW Data 25-26'!$B431:$X431)</f>
        <v>0</v>
      </c>
      <c r="G432" s="265">
        <f>sumif('Segment RAW Data 25-26'!$B$1:$X$1,$G$3,'Segment RAW Data 25-26'!$B431:$X431)</f>
        <v>0</v>
      </c>
      <c r="H432" s="265">
        <f>sumif('Segment RAW Data 25-26'!$B$1:$X$1,$H$3,'Segment RAW Data 25-26'!$B431:$X431)</f>
        <v>0</v>
      </c>
      <c r="I432" s="265">
        <f>sumif('Segment RAW Data 25-26'!$B$1:$X$1,$I$3,'Segment RAW Data 25-26'!$B431:$X431)</f>
        <v>0</v>
      </c>
      <c r="J432" s="265">
        <f>sumif('Segment RAW Data 25-26'!$B$1:$X$1,$J$3,'Segment RAW Data 25-26'!$B431:$X431)</f>
        <v>0</v>
      </c>
      <c r="K432" s="265">
        <f>sumif('Segment RAW Data 25-26'!$B$1:$X$1,$K$3,'Segment RAW Data 25-26'!$B431:$X431)</f>
        <v>0</v>
      </c>
      <c r="L432" s="265">
        <f>sumif('Segment RAW Data 25-26'!$B$1:$X$1,$L$3,'Segment RAW Data 25-26'!$B431:$X431)</f>
        <v>0</v>
      </c>
      <c r="M432" s="270"/>
      <c r="N432" s="124"/>
      <c r="O432" s="124">
        <f>VLOOKUP(C432:C1233,'Segment RAW Data 25-26'!A431:Y1028,25,0)-VLOOKUP(C432:C1233,C:D,2,0)</f>
        <v>0</v>
      </c>
    </row>
    <row r="433" hidden="1">
      <c r="A433" s="157"/>
      <c r="B433" s="157"/>
      <c r="C433" s="157" t="s">
        <v>814</v>
      </c>
      <c r="D433" s="124">
        <f t="shared" si="1"/>
        <v>0</v>
      </c>
      <c r="E433" s="265">
        <f>sumif('Segment RAW Data 25-26'!$B$1:$X$1,$E$3,'Segment RAW Data 25-26'!$B432:$X432)</f>
        <v>0</v>
      </c>
      <c r="F433" s="265">
        <f>sumif('Segment RAW Data 25-26'!$B$1:$X$1,$F$3,'Segment RAW Data 25-26'!$B432:$X432)</f>
        <v>0</v>
      </c>
      <c r="G433" s="265">
        <f>sumif('Segment RAW Data 25-26'!$B$1:$X$1,$G$3,'Segment RAW Data 25-26'!$B432:$X432)</f>
        <v>0</v>
      </c>
      <c r="H433" s="265">
        <f>sumif('Segment RAW Data 25-26'!$B$1:$X$1,$H$3,'Segment RAW Data 25-26'!$B432:$X432)</f>
        <v>0</v>
      </c>
      <c r="I433" s="265">
        <f>sumif('Segment RAW Data 25-26'!$B$1:$X$1,$I$3,'Segment RAW Data 25-26'!$B432:$X432)</f>
        <v>0</v>
      </c>
      <c r="J433" s="265">
        <f>sumif('Segment RAW Data 25-26'!$B$1:$X$1,$J$3,'Segment RAW Data 25-26'!$B432:$X432)</f>
        <v>0</v>
      </c>
      <c r="K433" s="265">
        <f>sumif('Segment RAW Data 25-26'!$B$1:$X$1,$K$3,'Segment RAW Data 25-26'!$B432:$X432)</f>
        <v>0</v>
      </c>
      <c r="L433" s="265">
        <f>sumif('Segment RAW Data 25-26'!$B$1:$X$1,$L$3,'Segment RAW Data 25-26'!$B432:$X432)</f>
        <v>0</v>
      </c>
      <c r="M433" s="270"/>
      <c r="N433" s="124"/>
      <c r="O433" s="124">
        <f>VLOOKUP(C433:C1234,'Segment RAW Data 25-26'!A432:Y1029,25,0)-VLOOKUP(C433:C1234,C:D,2,0)</f>
        <v>0</v>
      </c>
    </row>
    <row r="434" hidden="1">
      <c r="A434" s="157"/>
      <c r="B434" s="157"/>
      <c r="C434" s="157" t="s">
        <v>815</v>
      </c>
      <c r="D434" s="124">
        <f t="shared" si="1"/>
        <v>0</v>
      </c>
      <c r="E434" s="265">
        <f>sumif('Segment RAW Data 25-26'!$B$1:$X$1,$E$3,'Segment RAW Data 25-26'!$B433:$X433)</f>
        <v>0</v>
      </c>
      <c r="F434" s="265">
        <f>sumif('Segment RAW Data 25-26'!$B$1:$X$1,$F$3,'Segment RAW Data 25-26'!$B433:$X433)</f>
        <v>0</v>
      </c>
      <c r="G434" s="265">
        <f>sumif('Segment RAW Data 25-26'!$B$1:$X$1,$G$3,'Segment RAW Data 25-26'!$B433:$X433)</f>
        <v>0</v>
      </c>
      <c r="H434" s="265">
        <f>sumif('Segment RAW Data 25-26'!$B$1:$X$1,$H$3,'Segment RAW Data 25-26'!$B433:$X433)</f>
        <v>0</v>
      </c>
      <c r="I434" s="265">
        <f>sumif('Segment RAW Data 25-26'!$B$1:$X$1,$I$3,'Segment RAW Data 25-26'!$B433:$X433)</f>
        <v>0</v>
      </c>
      <c r="J434" s="265">
        <f>sumif('Segment RAW Data 25-26'!$B$1:$X$1,$J$3,'Segment RAW Data 25-26'!$B433:$X433)</f>
        <v>0</v>
      </c>
      <c r="K434" s="265">
        <f>sumif('Segment RAW Data 25-26'!$B$1:$X$1,$K$3,'Segment RAW Data 25-26'!$B433:$X433)</f>
        <v>0</v>
      </c>
      <c r="L434" s="265">
        <f>sumif('Segment RAW Data 25-26'!$B$1:$X$1,$L$3,'Segment RAW Data 25-26'!$B433:$X433)</f>
        <v>0</v>
      </c>
      <c r="M434" s="270"/>
      <c r="N434" s="124"/>
      <c r="O434" s="124">
        <f>VLOOKUP(C434:C1235,'Segment RAW Data 25-26'!A433:Y1030,25,0)-VLOOKUP(C434:C1235,C:D,2,0)</f>
        <v>0</v>
      </c>
    </row>
    <row r="435" hidden="1">
      <c r="A435" s="157"/>
      <c r="B435" s="157"/>
      <c r="C435" s="157" t="s">
        <v>816</v>
      </c>
      <c r="D435" s="124">
        <f t="shared" si="1"/>
        <v>0</v>
      </c>
      <c r="E435" s="265">
        <f>sumif('Segment RAW Data 25-26'!$B$1:$X$1,$E$3,'Segment RAW Data 25-26'!$B434:$X434)</f>
        <v>0</v>
      </c>
      <c r="F435" s="265">
        <f>sumif('Segment RAW Data 25-26'!$B$1:$X$1,$F$3,'Segment RAW Data 25-26'!$B434:$X434)</f>
        <v>0</v>
      </c>
      <c r="G435" s="265">
        <f>sumif('Segment RAW Data 25-26'!$B$1:$X$1,$G$3,'Segment RAW Data 25-26'!$B434:$X434)</f>
        <v>0</v>
      </c>
      <c r="H435" s="265">
        <f>sumif('Segment RAW Data 25-26'!$B$1:$X$1,$H$3,'Segment RAW Data 25-26'!$B434:$X434)</f>
        <v>0</v>
      </c>
      <c r="I435" s="265">
        <f>sumif('Segment RAW Data 25-26'!$B$1:$X$1,$I$3,'Segment RAW Data 25-26'!$B434:$X434)</f>
        <v>0</v>
      </c>
      <c r="J435" s="265">
        <f>sumif('Segment RAW Data 25-26'!$B$1:$X$1,$J$3,'Segment RAW Data 25-26'!$B434:$X434)</f>
        <v>0</v>
      </c>
      <c r="K435" s="265">
        <f>sumif('Segment RAW Data 25-26'!$B$1:$X$1,$K$3,'Segment RAW Data 25-26'!$B434:$X434)</f>
        <v>0</v>
      </c>
      <c r="L435" s="265">
        <f>sumif('Segment RAW Data 25-26'!$B$1:$X$1,$L$3,'Segment RAW Data 25-26'!$B434:$X434)</f>
        <v>0</v>
      </c>
      <c r="M435" s="270"/>
      <c r="N435" s="124"/>
      <c r="O435" s="124">
        <f>VLOOKUP(C435:C1236,'Segment RAW Data 25-26'!A434:Y1031,25,0)-VLOOKUP(C435:C1236,C:D,2,0)</f>
        <v>0</v>
      </c>
    </row>
    <row r="436" hidden="1">
      <c r="A436" s="157"/>
      <c r="B436" s="157"/>
      <c r="C436" s="157" t="s">
        <v>817</v>
      </c>
      <c r="D436" s="124">
        <f t="shared" si="1"/>
        <v>0</v>
      </c>
      <c r="E436" s="265">
        <f>sumif('Segment RAW Data 25-26'!$B$1:$X$1,$E$3,'Segment RAW Data 25-26'!$B435:$X435)</f>
        <v>0</v>
      </c>
      <c r="F436" s="265">
        <f>sumif('Segment RAW Data 25-26'!$B$1:$X$1,$F$3,'Segment RAW Data 25-26'!$B435:$X435)</f>
        <v>0</v>
      </c>
      <c r="G436" s="265">
        <f>sumif('Segment RAW Data 25-26'!$B$1:$X$1,$G$3,'Segment RAW Data 25-26'!$B435:$X435)</f>
        <v>0</v>
      </c>
      <c r="H436" s="265">
        <f>sumif('Segment RAW Data 25-26'!$B$1:$X$1,$H$3,'Segment RAW Data 25-26'!$B435:$X435)</f>
        <v>0</v>
      </c>
      <c r="I436" s="265">
        <f>sumif('Segment RAW Data 25-26'!$B$1:$X$1,$I$3,'Segment RAW Data 25-26'!$B435:$X435)</f>
        <v>0</v>
      </c>
      <c r="J436" s="265">
        <f>sumif('Segment RAW Data 25-26'!$B$1:$X$1,$J$3,'Segment RAW Data 25-26'!$B435:$X435)</f>
        <v>0</v>
      </c>
      <c r="K436" s="265">
        <f>sumif('Segment RAW Data 25-26'!$B$1:$X$1,$K$3,'Segment RAW Data 25-26'!$B435:$X435)</f>
        <v>0</v>
      </c>
      <c r="L436" s="265">
        <f>sumif('Segment RAW Data 25-26'!$B$1:$X$1,$L$3,'Segment RAW Data 25-26'!$B435:$X435)</f>
        <v>0</v>
      </c>
      <c r="M436" s="270"/>
      <c r="N436" s="124"/>
      <c r="O436" s="124">
        <f>VLOOKUP(C436:C1237,'Segment RAW Data 25-26'!A435:Y1032,25,0)-VLOOKUP(C436:C1237,C:D,2,0)</f>
        <v>0</v>
      </c>
    </row>
    <row r="437" hidden="1">
      <c r="A437" s="157"/>
      <c r="B437" s="157"/>
      <c r="C437" s="157" t="s">
        <v>818</v>
      </c>
      <c r="D437" s="124">
        <f t="shared" si="1"/>
        <v>0</v>
      </c>
      <c r="E437" s="265">
        <f>sumif('Segment RAW Data 25-26'!$B$1:$X$1,$E$3,'Segment RAW Data 25-26'!$B436:$X436)</f>
        <v>0</v>
      </c>
      <c r="F437" s="265">
        <f>sumif('Segment RAW Data 25-26'!$B$1:$X$1,$F$3,'Segment RAW Data 25-26'!$B436:$X436)</f>
        <v>0</v>
      </c>
      <c r="G437" s="265">
        <f>sumif('Segment RAW Data 25-26'!$B$1:$X$1,$G$3,'Segment RAW Data 25-26'!$B436:$X436)</f>
        <v>0</v>
      </c>
      <c r="H437" s="265">
        <f>sumif('Segment RAW Data 25-26'!$B$1:$X$1,$H$3,'Segment RAW Data 25-26'!$B436:$X436)</f>
        <v>0</v>
      </c>
      <c r="I437" s="265">
        <f>sumif('Segment RAW Data 25-26'!$B$1:$X$1,$I$3,'Segment RAW Data 25-26'!$B436:$X436)</f>
        <v>0</v>
      </c>
      <c r="J437" s="265">
        <f>sumif('Segment RAW Data 25-26'!$B$1:$X$1,$J$3,'Segment RAW Data 25-26'!$B436:$X436)</f>
        <v>0</v>
      </c>
      <c r="K437" s="265">
        <f>sumif('Segment RAW Data 25-26'!$B$1:$X$1,$K$3,'Segment RAW Data 25-26'!$B436:$X436)</f>
        <v>0</v>
      </c>
      <c r="L437" s="265">
        <f>sumif('Segment RAW Data 25-26'!$B$1:$X$1,$L$3,'Segment RAW Data 25-26'!$B436:$X436)</f>
        <v>0</v>
      </c>
      <c r="M437" s="270"/>
      <c r="N437" s="124"/>
      <c r="O437" s="124">
        <f>VLOOKUP(C437:C1238,'Segment RAW Data 25-26'!A436:Y1033,25,0)-VLOOKUP(C437:C1238,C:D,2,0)</f>
        <v>0</v>
      </c>
    </row>
    <row r="438" hidden="1">
      <c r="A438" s="157"/>
      <c r="B438" s="157"/>
      <c r="C438" s="157" t="s">
        <v>819</v>
      </c>
      <c r="D438" s="124">
        <f t="shared" si="1"/>
        <v>0</v>
      </c>
      <c r="E438" s="265">
        <f>sumif('Segment RAW Data 25-26'!$B$1:$X$1,$E$3,'Segment RAW Data 25-26'!$B437:$X437)</f>
        <v>0</v>
      </c>
      <c r="F438" s="265">
        <f>sumif('Segment RAW Data 25-26'!$B$1:$X$1,$F$3,'Segment RAW Data 25-26'!$B437:$X437)</f>
        <v>0</v>
      </c>
      <c r="G438" s="265">
        <f>sumif('Segment RAW Data 25-26'!$B$1:$X$1,$G$3,'Segment RAW Data 25-26'!$B437:$X437)</f>
        <v>0</v>
      </c>
      <c r="H438" s="265">
        <f>sumif('Segment RAW Data 25-26'!$B$1:$X$1,$H$3,'Segment RAW Data 25-26'!$B437:$X437)</f>
        <v>0</v>
      </c>
      <c r="I438" s="265">
        <f>sumif('Segment RAW Data 25-26'!$B$1:$X$1,$I$3,'Segment RAW Data 25-26'!$B437:$X437)</f>
        <v>0</v>
      </c>
      <c r="J438" s="265">
        <f>sumif('Segment RAW Data 25-26'!$B$1:$X$1,$J$3,'Segment RAW Data 25-26'!$B437:$X437)</f>
        <v>0</v>
      </c>
      <c r="K438" s="265">
        <f>sumif('Segment RAW Data 25-26'!$B$1:$X$1,$K$3,'Segment RAW Data 25-26'!$B437:$X437)</f>
        <v>0</v>
      </c>
      <c r="L438" s="265">
        <f>sumif('Segment RAW Data 25-26'!$B$1:$X$1,$L$3,'Segment RAW Data 25-26'!$B437:$X437)</f>
        <v>0</v>
      </c>
      <c r="M438" s="270"/>
      <c r="N438" s="124"/>
      <c r="O438" s="124">
        <f>VLOOKUP(C438:C1239,'Segment RAW Data 25-26'!A437:Y1034,25,0)-VLOOKUP(C438:C1239,C:D,2,0)</f>
        <v>0</v>
      </c>
    </row>
    <row r="439" hidden="1">
      <c r="A439" s="157"/>
      <c r="B439" s="157"/>
      <c r="C439" s="157" t="s">
        <v>820</v>
      </c>
      <c r="D439" s="124">
        <f t="shared" si="1"/>
        <v>0</v>
      </c>
      <c r="E439" s="265">
        <f>sumif('Segment RAW Data 25-26'!$B$1:$X$1,$E$3,'Segment RAW Data 25-26'!$B438:$X438)</f>
        <v>0</v>
      </c>
      <c r="F439" s="265">
        <f>sumif('Segment RAW Data 25-26'!$B$1:$X$1,$F$3,'Segment RAW Data 25-26'!$B438:$X438)</f>
        <v>0</v>
      </c>
      <c r="G439" s="265">
        <f>sumif('Segment RAW Data 25-26'!$B$1:$X$1,$G$3,'Segment RAW Data 25-26'!$B438:$X438)</f>
        <v>0</v>
      </c>
      <c r="H439" s="265">
        <f>sumif('Segment RAW Data 25-26'!$B$1:$X$1,$H$3,'Segment RAW Data 25-26'!$B438:$X438)</f>
        <v>0</v>
      </c>
      <c r="I439" s="265">
        <f>sumif('Segment RAW Data 25-26'!$B$1:$X$1,$I$3,'Segment RAW Data 25-26'!$B438:$X438)</f>
        <v>0</v>
      </c>
      <c r="J439" s="265">
        <f>sumif('Segment RAW Data 25-26'!$B$1:$X$1,$J$3,'Segment RAW Data 25-26'!$B438:$X438)</f>
        <v>0</v>
      </c>
      <c r="K439" s="265">
        <f>sumif('Segment RAW Data 25-26'!$B$1:$X$1,$K$3,'Segment RAW Data 25-26'!$B438:$X438)</f>
        <v>0</v>
      </c>
      <c r="L439" s="265">
        <f>sumif('Segment RAW Data 25-26'!$B$1:$X$1,$L$3,'Segment RAW Data 25-26'!$B438:$X438)</f>
        <v>0</v>
      </c>
      <c r="M439" s="270"/>
      <c r="N439" s="124"/>
      <c r="O439" s="124">
        <f>VLOOKUP(C439:C1240,'Segment RAW Data 25-26'!A438:Y1035,25,0)-VLOOKUP(C439:C1240,C:D,2,0)</f>
        <v>0</v>
      </c>
    </row>
    <row r="440" hidden="1">
      <c r="A440" s="157" t="s">
        <v>47</v>
      </c>
      <c r="B440" s="157" t="s">
        <v>50</v>
      </c>
      <c r="C440" s="157" t="s">
        <v>51</v>
      </c>
      <c r="D440" s="124">
        <f t="shared" si="1"/>
        <v>6963246.36</v>
      </c>
      <c r="E440" s="265">
        <f>sumif('Segment RAW Data 25-26'!$B$1:$X$1,$E$3,'Segment RAW Data 25-26'!$B439:$X439)</f>
        <v>4934321.62</v>
      </c>
      <c r="F440" s="265">
        <f>sumif('Segment RAW Data 25-26'!$B$1:$X$1,$F$3,'Segment RAW Data 25-26'!$B439:$X439)</f>
        <v>132160.8</v>
      </c>
      <c r="G440" s="265">
        <f>sumif('Segment RAW Data 25-26'!$B$1:$X$1,$G$3,'Segment RAW Data 25-26'!$B439:$X439)</f>
        <v>1215216.76</v>
      </c>
      <c r="H440" s="265">
        <f>sumif('Segment RAW Data 25-26'!$B$1:$X$1,$H$3,'Segment RAW Data 25-26'!$B439:$X439)</f>
        <v>46369.3</v>
      </c>
      <c r="I440" s="265">
        <f>sumif('Segment RAW Data 25-26'!$B$1:$X$1,$I$3,'Segment RAW Data 25-26'!$B439:$X439)</f>
        <v>0</v>
      </c>
      <c r="J440" s="265">
        <f>sumif('Segment RAW Data 25-26'!$B$1:$X$1,$J$3,'Segment RAW Data 25-26'!$B439:$X439)</f>
        <v>0</v>
      </c>
      <c r="K440" s="265">
        <f>sumif('Segment RAW Data 25-26'!$B$1:$X$1,$K$3,'Segment RAW Data 25-26'!$B439:$X439)</f>
        <v>0</v>
      </c>
      <c r="L440" s="265">
        <f>sumif('Segment RAW Data 25-26'!$B$1:$X$1,$L$3,'Segment RAW Data 25-26'!$B439:$X439)</f>
        <v>635177.88</v>
      </c>
      <c r="M440" s="270"/>
      <c r="N440" s="124" t="s">
        <v>975</v>
      </c>
      <c r="O440" s="124">
        <f>VLOOKUP(C440:C1241,'Segment RAW Data 25-26'!A439:Y1036,25,0)-VLOOKUP(C440:C1241,C:D,2,0)</f>
        <v>-0.009999999776</v>
      </c>
    </row>
    <row r="441" hidden="1">
      <c r="A441" s="157" t="s">
        <v>23</v>
      </c>
      <c r="B441" s="157" t="s">
        <v>30</v>
      </c>
      <c r="C441" s="157" t="s">
        <v>335</v>
      </c>
      <c r="D441" s="124">
        <f t="shared" si="1"/>
        <v>6905756.68</v>
      </c>
      <c r="E441" s="265">
        <f>sumif('Segment RAW Data 25-26'!$B$1:$X$1,$E$3,'Segment RAW Data 25-26'!$B440:$X440)</f>
        <v>3060016.53</v>
      </c>
      <c r="F441" s="265">
        <f>sumif('Segment RAW Data 25-26'!$B$1:$X$1,$F$3,'Segment RAW Data 25-26'!$B440:$X440)</f>
        <v>480935.9</v>
      </c>
      <c r="G441" s="265">
        <f>sumif('Segment RAW Data 25-26'!$B$1:$X$1,$G$3,'Segment RAW Data 25-26'!$B440:$X440)</f>
        <v>2315967.05</v>
      </c>
      <c r="H441" s="265">
        <f>sumif('Segment RAW Data 25-26'!$B$1:$X$1,$H$3,'Segment RAW Data 25-26'!$B440:$X440)</f>
        <v>286612.2</v>
      </c>
      <c r="I441" s="265">
        <f>sumif('Segment RAW Data 25-26'!$B$1:$X$1,$I$3,'Segment RAW Data 25-26'!$B440:$X440)</f>
        <v>0</v>
      </c>
      <c r="J441" s="265">
        <f>sumif('Segment RAW Data 25-26'!$B$1:$X$1,$J$3,'Segment RAW Data 25-26'!$B440:$X440)</f>
        <v>0</v>
      </c>
      <c r="K441" s="265">
        <f>sumif('Segment RAW Data 25-26'!$B$1:$X$1,$K$3,'Segment RAW Data 25-26'!$B440:$X440)</f>
        <v>0</v>
      </c>
      <c r="L441" s="265">
        <f>sumif('Segment RAW Data 25-26'!$B$1:$X$1,$L$3,'Segment RAW Data 25-26'!$B440:$X440)</f>
        <v>762225</v>
      </c>
      <c r="M441" s="270">
        <v>46053.0</v>
      </c>
      <c r="N441" s="124" t="s">
        <v>973</v>
      </c>
      <c r="O441" s="124">
        <f>VLOOKUP(C441:C1242,'Segment RAW Data 25-26'!A440:Y1037,25,0)-VLOOKUP(C441:C1242,C:D,2,0)</f>
        <v>0.009999999776</v>
      </c>
    </row>
    <row r="442" hidden="1">
      <c r="A442" s="157"/>
      <c r="B442" s="157"/>
      <c r="C442" s="157" t="s">
        <v>821</v>
      </c>
      <c r="D442" s="124">
        <f t="shared" si="1"/>
        <v>0</v>
      </c>
      <c r="E442" s="265">
        <f>sumif('Segment RAW Data 25-26'!$B$1:$X$1,$E$3,'Segment RAW Data 25-26'!$B441:$X441)</f>
        <v>0</v>
      </c>
      <c r="F442" s="265">
        <f>sumif('Segment RAW Data 25-26'!$B$1:$X$1,$F$3,'Segment RAW Data 25-26'!$B441:$X441)</f>
        <v>0</v>
      </c>
      <c r="G442" s="265">
        <f>sumif('Segment RAW Data 25-26'!$B$1:$X$1,$G$3,'Segment RAW Data 25-26'!$B441:$X441)</f>
        <v>0</v>
      </c>
      <c r="H442" s="265">
        <f>sumif('Segment RAW Data 25-26'!$B$1:$X$1,$H$3,'Segment RAW Data 25-26'!$B441:$X441)</f>
        <v>0</v>
      </c>
      <c r="I442" s="265">
        <f>sumif('Segment RAW Data 25-26'!$B$1:$X$1,$I$3,'Segment RAW Data 25-26'!$B441:$X441)</f>
        <v>0</v>
      </c>
      <c r="J442" s="265">
        <f>sumif('Segment RAW Data 25-26'!$B$1:$X$1,$J$3,'Segment RAW Data 25-26'!$B441:$X441)</f>
        <v>0</v>
      </c>
      <c r="K442" s="265">
        <f>sumif('Segment RAW Data 25-26'!$B$1:$X$1,$K$3,'Segment RAW Data 25-26'!$B441:$X441)</f>
        <v>0</v>
      </c>
      <c r="L442" s="265">
        <f>sumif('Segment RAW Data 25-26'!$B$1:$X$1,$L$3,'Segment RAW Data 25-26'!$B441:$X441)</f>
        <v>0</v>
      </c>
      <c r="M442" s="270"/>
      <c r="N442" s="124"/>
      <c r="O442" s="124">
        <f>VLOOKUP(C442:C1243,'Segment RAW Data 25-26'!A441:Y1038,25,0)-VLOOKUP(C442:C1243,C:D,2,0)</f>
        <v>0</v>
      </c>
    </row>
    <row r="443" hidden="1">
      <c r="A443" s="157"/>
      <c r="B443" s="157"/>
      <c r="C443" s="157" t="s">
        <v>822</v>
      </c>
      <c r="D443" s="124">
        <f t="shared" si="1"/>
        <v>0</v>
      </c>
      <c r="E443" s="265">
        <f>sumif('Segment RAW Data 25-26'!$B$1:$X$1,$E$3,'Segment RAW Data 25-26'!$B442:$X442)</f>
        <v>0</v>
      </c>
      <c r="F443" s="265">
        <f>sumif('Segment RAW Data 25-26'!$B$1:$X$1,$F$3,'Segment RAW Data 25-26'!$B442:$X442)</f>
        <v>0</v>
      </c>
      <c r="G443" s="265">
        <f>sumif('Segment RAW Data 25-26'!$B$1:$X$1,$G$3,'Segment RAW Data 25-26'!$B442:$X442)</f>
        <v>0</v>
      </c>
      <c r="H443" s="265">
        <f>sumif('Segment RAW Data 25-26'!$B$1:$X$1,$H$3,'Segment RAW Data 25-26'!$B442:$X442)</f>
        <v>0</v>
      </c>
      <c r="I443" s="265">
        <f>sumif('Segment RAW Data 25-26'!$B$1:$X$1,$I$3,'Segment RAW Data 25-26'!$B442:$X442)</f>
        <v>0</v>
      </c>
      <c r="J443" s="265">
        <f>sumif('Segment RAW Data 25-26'!$B$1:$X$1,$J$3,'Segment RAW Data 25-26'!$B442:$X442)</f>
        <v>0</v>
      </c>
      <c r="K443" s="265">
        <f>sumif('Segment RAW Data 25-26'!$B$1:$X$1,$K$3,'Segment RAW Data 25-26'!$B442:$X442)</f>
        <v>0</v>
      </c>
      <c r="L443" s="265">
        <f>sumif('Segment RAW Data 25-26'!$B$1:$X$1,$L$3,'Segment RAW Data 25-26'!$B442:$X442)</f>
        <v>0</v>
      </c>
      <c r="M443" s="270"/>
      <c r="N443" s="124"/>
      <c r="O443" s="124">
        <f>VLOOKUP(C443:C1244,'Segment RAW Data 25-26'!A442:Y1039,25,0)-VLOOKUP(C443:C1244,C:D,2,0)</f>
        <v>0</v>
      </c>
    </row>
    <row r="444" hidden="1">
      <c r="A444" s="157"/>
      <c r="B444" s="157"/>
      <c r="C444" s="157" t="s">
        <v>823</v>
      </c>
      <c r="D444" s="124">
        <f t="shared" si="1"/>
        <v>0</v>
      </c>
      <c r="E444" s="265">
        <f>sumif('Segment RAW Data 25-26'!$B$1:$X$1,$E$3,'Segment RAW Data 25-26'!$B443:$X443)</f>
        <v>0</v>
      </c>
      <c r="F444" s="265">
        <f>sumif('Segment RAW Data 25-26'!$B$1:$X$1,$F$3,'Segment RAW Data 25-26'!$B443:$X443)</f>
        <v>0</v>
      </c>
      <c r="G444" s="265">
        <f>sumif('Segment RAW Data 25-26'!$B$1:$X$1,$G$3,'Segment RAW Data 25-26'!$B443:$X443)</f>
        <v>0</v>
      </c>
      <c r="H444" s="265">
        <f>sumif('Segment RAW Data 25-26'!$B$1:$X$1,$H$3,'Segment RAW Data 25-26'!$B443:$X443)</f>
        <v>0</v>
      </c>
      <c r="I444" s="265">
        <f>sumif('Segment RAW Data 25-26'!$B$1:$X$1,$I$3,'Segment RAW Data 25-26'!$B443:$X443)</f>
        <v>0</v>
      </c>
      <c r="J444" s="265">
        <f>sumif('Segment RAW Data 25-26'!$B$1:$X$1,$J$3,'Segment RAW Data 25-26'!$B443:$X443)</f>
        <v>0</v>
      </c>
      <c r="K444" s="265">
        <f>sumif('Segment RAW Data 25-26'!$B$1:$X$1,$K$3,'Segment RAW Data 25-26'!$B443:$X443)</f>
        <v>0</v>
      </c>
      <c r="L444" s="265">
        <f>sumif('Segment RAW Data 25-26'!$B$1:$X$1,$L$3,'Segment RAW Data 25-26'!$B443:$X443)</f>
        <v>0</v>
      </c>
      <c r="M444" s="270"/>
      <c r="N444" s="124"/>
      <c r="O444" s="124">
        <f>VLOOKUP(C444:C1245,'Segment RAW Data 25-26'!A443:Y1040,25,0)-VLOOKUP(C444:C1245,C:D,2,0)</f>
        <v>0</v>
      </c>
    </row>
    <row r="445" hidden="1">
      <c r="A445" s="157" t="s">
        <v>47</v>
      </c>
      <c r="B445" s="157" t="s">
        <v>422</v>
      </c>
      <c r="C445" s="157" t="s">
        <v>420</v>
      </c>
      <c r="D445" s="124">
        <f t="shared" si="1"/>
        <v>1467822.95</v>
      </c>
      <c r="E445" s="265">
        <f>sumif('Segment RAW Data 25-26'!$B$1:$X$1,$E$3,'Segment RAW Data 25-26'!$B444:$X444)</f>
        <v>227790.75</v>
      </c>
      <c r="F445" s="265">
        <f>sumif('Segment RAW Data 25-26'!$B$1:$X$1,$F$3,'Segment RAW Data 25-26'!$B444:$X444)</f>
        <v>0</v>
      </c>
      <c r="G445" s="265">
        <f>sumif('Segment RAW Data 25-26'!$B$1:$X$1,$G$3,'Segment RAW Data 25-26'!$B444:$X444)</f>
        <v>873308.7</v>
      </c>
      <c r="H445" s="265">
        <f>sumif('Segment RAW Data 25-26'!$B$1:$X$1,$H$3,'Segment RAW Data 25-26'!$B444:$X444)</f>
        <v>366723.5</v>
      </c>
      <c r="I445" s="265">
        <f>sumif('Segment RAW Data 25-26'!$B$1:$X$1,$I$3,'Segment RAW Data 25-26'!$B444:$X444)</f>
        <v>0</v>
      </c>
      <c r="J445" s="265">
        <f>sumif('Segment RAW Data 25-26'!$B$1:$X$1,$J$3,'Segment RAW Data 25-26'!$B444:$X444)</f>
        <v>0</v>
      </c>
      <c r="K445" s="265">
        <f>sumif('Segment RAW Data 25-26'!$B$1:$X$1,$K$3,'Segment RAW Data 25-26'!$B444:$X444)</f>
        <v>0</v>
      </c>
      <c r="L445" s="265">
        <f>sumif('Segment RAW Data 25-26'!$B$1:$X$1,$L$3,'Segment RAW Data 25-26'!$B444:$X444)</f>
        <v>0</v>
      </c>
      <c r="M445" s="270">
        <v>45887.0</v>
      </c>
      <c r="N445" s="124" t="s">
        <v>973</v>
      </c>
      <c r="O445" s="124">
        <f>VLOOKUP(C445:C1246,'Segment RAW Data 25-26'!A444:Y1041,25,0)-VLOOKUP(C445:C1246,C:D,2,0)</f>
        <v>-0.0000000002328306437</v>
      </c>
    </row>
    <row r="446" hidden="1">
      <c r="A446" s="157" t="s">
        <v>185</v>
      </c>
      <c r="B446" s="157" t="s">
        <v>215</v>
      </c>
      <c r="C446" s="157" t="s">
        <v>267</v>
      </c>
      <c r="D446" s="124">
        <f t="shared" si="1"/>
        <v>31816137.52</v>
      </c>
      <c r="E446" s="265">
        <f>sumif('Segment RAW Data 25-26'!$B$1:$X$1,$E$3,'Segment RAW Data 25-26'!$B445:$X445)</f>
        <v>12914506.31</v>
      </c>
      <c r="F446" s="265">
        <f>sumif('Segment RAW Data 25-26'!$B$1:$X$1,$F$3,'Segment RAW Data 25-26'!$B445:$X445)</f>
        <v>5204544.8</v>
      </c>
      <c r="G446" s="265">
        <f>sumif('Segment RAW Data 25-26'!$B$1:$X$1,$G$3,'Segment RAW Data 25-26'!$B445:$X445)</f>
        <v>8592671.99</v>
      </c>
      <c r="H446" s="265">
        <f>sumif('Segment RAW Data 25-26'!$B$1:$X$1,$H$3,'Segment RAW Data 25-26'!$B445:$X445)</f>
        <v>1428716.81</v>
      </c>
      <c r="I446" s="265">
        <f>sumif('Segment RAW Data 25-26'!$B$1:$X$1,$I$3,'Segment RAW Data 25-26'!$B445:$X445)</f>
        <v>0</v>
      </c>
      <c r="J446" s="265">
        <f>sumif('Segment RAW Data 25-26'!$B$1:$X$1,$J$3,'Segment RAW Data 25-26'!$B445:$X445)</f>
        <v>2515582.61</v>
      </c>
      <c r="K446" s="265">
        <f>sumif('Segment RAW Data 25-26'!$B$1:$X$1,$K$3,'Segment RAW Data 25-26'!$B445:$X445)</f>
        <v>0</v>
      </c>
      <c r="L446" s="265">
        <f>sumif('Segment RAW Data 25-26'!$B$1:$X$1,$L$3,'Segment RAW Data 25-26'!$B445:$X445)</f>
        <v>1160115</v>
      </c>
      <c r="M446" s="270"/>
      <c r="N446" s="124" t="s">
        <v>975</v>
      </c>
      <c r="O446" s="124">
        <f>VLOOKUP(C446:C1247,'Segment RAW Data 25-26'!A445:Y1042,25,0)-VLOOKUP(C446:C1247,C:D,2,0)</f>
        <v>0</v>
      </c>
    </row>
    <row r="447" hidden="1">
      <c r="A447" s="157"/>
      <c r="B447" s="157"/>
      <c r="C447" s="157" t="s">
        <v>824</v>
      </c>
      <c r="D447" s="124">
        <f t="shared" si="1"/>
        <v>0</v>
      </c>
      <c r="E447" s="265">
        <f>sumif('Segment RAW Data 25-26'!$B$1:$X$1,$E$3,'Segment RAW Data 25-26'!$B446:$X446)</f>
        <v>0</v>
      </c>
      <c r="F447" s="265">
        <f>sumif('Segment RAW Data 25-26'!$B$1:$X$1,$F$3,'Segment RAW Data 25-26'!$B446:$X446)</f>
        <v>0</v>
      </c>
      <c r="G447" s="265">
        <f>sumif('Segment RAW Data 25-26'!$B$1:$X$1,$G$3,'Segment RAW Data 25-26'!$B446:$X446)</f>
        <v>0</v>
      </c>
      <c r="H447" s="265">
        <f>sumif('Segment RAW Data 25-26'!$B$1:$X$1,$H$3,'Segment RAW Data 25-26'!$B446:$X446)</f>
        <v>0</v>
      </c>
      <c r="I447" s="265">
        <f>sumif('Segment RAW Data 25-26'!$B$1:$X$1,$I$3,'Segment RAW Data 25-26'!$B446:$X446)</f>
        <v>0</v>
      </c>
      <c r="J447" s="265">
        <f>sumif('Segment RAW Data 25-26'!$B$1:$X$1,$J$3,'Segment RAW Data 25-26'!$B446:$X446)</f>
        <v>0</v>
      </c>
      <c r="K447" s="265">
        <f>sumif('Segment RAW Data 25-26'!$B$1:$X$1,$K$3,'Segment RAW Data 25-26'!$B446:$X446)</f>
        <v>0</v>
      </c>
      <c r="L447" s="265">
        <f>sumif('Segment RAW Data 25-26'!$B$1:$X$1,$L$3,'Segment RAW Data 25-26'!$B446:$X446)</f>
        <v>0</v>
      </c>
      <c r="M447" s="270"/>
      <c r="N447" s="124"/>
      <c r="O447" s="124">
        <f>VLOOKUP(C447:C1248,'Segment RAW Data 25-26'!A446:Y1043,25,0)-VLOOKUP(C447:C1248,C:D,2,0)</f>
        <v>0</v>
      </c>
    </row>
    <row r="448" hidden="1">
      <c r="A448" s="157" t="s">
        <v>185</v>
      </c>
      <c r="B448" s="157" t="s">
        <v>196</v>
      </c>
      <c r="C448" s="157" t="s">
        <v>269</v>
      </c>
      <c r="D448" s="124">
        <f t="shared" si="1"/>
        <v>12403017.34</v>
      </c>
      <c r="E448" s="265">
        <f>sumif('Segment RAW Data 25-26'!$B$1:$X$1,$E$3,'Segment RAW Data 25-26'!$B447:$X447)</f>
        <v>89272.5</v>
      </c>
      <c r="F448" s="265">
        <f>sumif('Segment RAW Data 25-26'!$B$1:$X$1,$F$3,'Segment RAW Data 25-26'!$B447:$X447)</f>
        <v>2462160.35</v>
      </c>
      <c r="G448" s="265">
        <f>sumif('Segment RAW Data 25-26'!$B$1:$X$1,$G$3,'Segment RAW Data 25-26'!$B447:$X447)</f>
        <v>5432812.12</v>
      </c>
      <c r="H448" s="265">
        <f>sumif('Segment RAW Data 25-26'!$B$1:$X$1,$H$3,'Segment RAW Data 25-26'!$B447:$X447)</f>
        <v>4394668.37</v>
      </c>
      <c r="I448" s="265">
        <f>sumif('Segment RAW Data 25-26'!$B$1:$X$1,$I$3,'Segment RAW Data 25-26'!$B447:$X447)</f>
        <v>0</v>
      </c>
      <c r="J448" s="265">
        <f>sumif('Segment RAW Data 25-26'!$B$1:$X$1,$J$3,'Segment RAW Data 25-26'!$B447:$X447)</f>
        <v>19444.8</v>
      </c>
      <c r="K448" s="265">
        <f>sumif('Segment RAW Data 25-26'!$B$1:$X$1,$K$3,'Segment RAW Data 25-26'!$B447:$X447)</f>
        <v>4659.2</v>
      </c>
      <c r="L448" s="265">
        <f>sumif('Segment RAW Data 25-26'!$B$1:$X$1,$L$3,'Segment RAW Data 25-26'!$B447:$X447)</f>
        <v>0</v>
      </c>
      <c r="M448" s="270"/>
      <c r="N448" s="124" t="s">
        <v>975</v>
      </c>
      <c r="O448" s="124">
        <f>VLOOKUP(C448:C1249,'Segment RAW Data 25-26'!A447:Y1044,25,0)-VLOOKUP(C448:C1249,C:D,2,0)</f>
        <v>0.009999999776</v>
      </c>
    </row>
    <row r="449" hidden="1">
      <c r="A449" s="157"/>
      <c r="B449" s="157"/>
      <c r="C449" s="157" t="s">
        <v>825</v>
      </c>
      <c r="D449" s="124">
        <f t="shared" si="1"/>
        <v>0</v>
      </c>
      <c r="E449" s="265">
        <f>sumif('Segment RAW Data 25-26'!$B$1:$X$1,$E$3,'Segment RAW Data 25-26'!$B448:$X448)</f>
        <v>0</v>
      </c>
      <c r="F449" s="265">
        <f>sumif('Segment RAW Data 25-26'!$B$1:$X$1,$F$3,'Segment RAW Data 25-26'!$B448:$X448)</f>
        <v>0</v>
      </c>
      <c r="G449" s="265">
        <f>sumif('Segment RAW Data 25-26'!$B$1:$X$1,$G$3,'Segment RAW Data 25-26'!$B448:$X448)</f>
        <v>0</v>
      </c>
      <c r="H449" s="265">
        <f>sumif('Segment RAW Data 25-26'!$B$1:$X$1,$H$3,'Segment RAW Data 25-26'!$B448:$X448)</f>
        <v>0</v>
      </c>
      <c r="I449" s="265">
        <f>sumif('Segment RAW Data 25-26'!$B$1:$X$1,$I$3,'Segment RAW Data 25-26'!$B448:$X448)</f>
        <v>0</v>
      </c>
      <c r="J449" s="265">
        <f>sumif('Segment RAW Data 25-26'!$B$1:$X$1,$J$3,'Segment RAW Data 25-26'!$B448:$X448)</f>
        <v>0</v>
      </c>
      <c r="K449" s="265">
        <f>sumif('Segment RAW Data 25-26'!$B$1:$X$1,$K$3,'Segment RAW Data 25-26'!$B448:$X448)</f>
        <v>0</v>
      </c>
      <c r="L449" s="265">
        <f>sumif('Segment RAW Data 25-26'!$B$1:$X$1,$L$3,'Segment RAW Data 25-26'!$B448:$X448)</f>
        <v>0</v>
      </c>
      <c r="M449" s="270"/>
      <c r="N449" s="124"/>
      <c r="O449" s="124">
        <f>VLOOKUP(C449:C1250,'Segment RAW Data 25-26'!A448:Y1045,25,0)-VLOOKUP(C449:C1250,C:D,2,0)</f>
        <v>0</v>
      </c>
    </row>
    <row r="450" hidden="1">
      <c r="A450" s="157" t="s">
        <v>298</v>
      </c>
      <c r="B450" s="157" t="s">
        <v>301</v>
      </c>
      <c r="C450" s="157" t="s">
        <v>311</v>
      </c>
      <c r="D450" s="124">
        <f t="shared" si="1"/>
        <v>9948476.72</v>
      </c>
      <c r="E450" s="265">
        <f>sumif('Segment RAW Data 25-26'!$B$1:$X$1,$E$3,'Segment RAW Data 25-26'!$B449:$X449)</f>
        <v>2821680.46</v>
      </c>
      <c r="F450" s="265">
        <f>sumif('Segment RAW Data 25-26'!$B$1:$X$1,$F$3,'Segment RAW Data 25-26'!$B449:$X449)</f>
        <v>4148253.38</v>
      </c>
      <c r="G450" s="265">
        <f>sumif('Segment RAW Data 25-26'!$B$1:$X$1,$G$3,'Segment RAW Data 25-26'!$B449:$X449)</f>
        <v>2001108.08</v>
      </c>
      <c r="H450" s="265">
        <f>sumif('Segment RAW Data 25-26'!$B$1:$X$1,$H$3,'Segment RAW Data 25-26'!$B449:$X449)</f>
        <v>111972.7</v>
      </c>
      <c r="I450" s="265">
        <f>sumif('Segment RAW Data 25-26'!$B$1:$X$1,$I$3,'Segment RAW Data 25-26'!$B449:$X449)</f>
        <v>158200</v>
      </c>
      <c r="J450" s="265">
        <f>sumif('Segment RAW Data 25-26'!$B$1:$X$1,$J$3,'Segment RAW Data 25-26'!$B449:$X449)</f>
        <v>567337.1</v>
      </c>
      <c r="K450" s="265">
        <f>sumif('Segment RAW Data 25-26'!$B$1:$X$1,$K$3,'Segment RAW Data 25-26'!$B449:$X449)</f>
        <v>0</v>
      </c>
      <c r="L450" s="265">
        <f>sumif('Segment RAW Data 25-26'!$B$1:$X$1,$L$3,'Segment RAW Data 25-26'!$B449:$X449)</f>
        <v>139925</v>
      </c>
      <c r="M450" s="270"/>
      <c r="N450" s="124" t="s">
        <v>975</v>
      </c>
      <c r="O450" s="124">
        <f>VLOOKUP(C450:C1251,'Segment RAW Data 25-26'!A449:Y1046,25,0)-VLOOKUP(C450:C1251,C:D,2,0)</f>
        <v>0.01000000164</v>
      </c>
    </row>
    <row r="451" hidden="1">
      <c r="A451" s="157"/>
      <c r="B451" s="157"/>
      <c r="C451" s="157" t="s">
        <v>826</v>
      </c>
      <c r="D451" s="124">
        <f t="shared" si="1"/>
        <v>0</v>
      </c>
      <c r="E451" s="265">
        <f>sumif('Segment RAW Data 25-26'!$B$1:$X$1,$E$3,'Segment RAW Data 25-26'!$B450:$X450)</f>
        <v>0</v>
      </c>
      <c r="F451" s="265">
        <f>sumif('Segment RAW Data 25-26'!$B$1:$X$1,$F$3,'Segment RAW Data 25-26'!$B450:$X450)</f>
        <v>0</v>
      </c>
      <c r="G451" s="265">
        <f>sumif('Segment RAW Data 25-26'!$B$1:$X$1,$G$3,'Segment RAW Data 25-26'!$B450:$X450)</f>
        <v>0</v>
      </c>
      <c r="H451" s="265">
        <f>sumif('Segment RAW Data 25-26'!$B$1:$X$1,$H$3,'Segment RAW Data 25-26'!$B450:$X450)</f>
        <v>0</v>
      </c>
      <c r="I451" s="265">
        <f>sumif('Segment RAW Data 25-26'!$B$1:$X$1,$I$3,'Segment RAW Data 25-26'!$B450:$X450)</f>
        <v>0</v>
      </c>
      <c r="J451" s="265">
        <f>sumif('Segment RAW Data 25-26'!$B$1:$X$1,$J$3,'Segment RAW Data 25-26'!$B450:$X450)</f>
        <v>0</v>
      </c>
      <c r="K451" s="265">
        <f>sumif('Segment RAW Data 25-26'!$B$1:$X$1,$K$3,'Segment RAW Data 25-26'!$B450:$X450)</f>
        <v>0</v>
      </c>
      <c r="L451" s="265">
        <f>sumif('Segment RAW Data 25-26'!$B$1:$X$1,$L$3,'Segment RAW Data 25-26'!$B450:$X450)</f>
        <v>0</v>
      </c>
      <c r="M451" s="270"/>
      <c r="N451" s="124"/>
      <c r="O451" s="124">
        <f>VLOOKUP(C451:C1252,'Segment RAW Data 25-26'!A450:Y1047,25,0)-VLOOKUP(C451:C1252,C:D,2,0)</f>
        <v>0</v>
      </c>
    </row>
    <row r="452" hidden="1">
      <c r="A452" s="157" t="s">
        <v>185</v>
      </c>
      <c r="B452" s="157" t="s">
        <v>114</v>
      </c>
      <c r="C452" s="157" t="s">
        <v>122</v>
      </c>
      <c r="D452" s="124">
        <f t="shared" si="1"/>
        <v>9775546.11</v>
      </c>
      <c r="E452" s="265">
        <f>sumif('Segment RAW Data 25-26'!$B$1:$X$1,$E$3,'Segment RAW Data 25-26'!$B451:$X451)</f>
        <v>1601314.9</v>
      </c>
      <c r="F452" s="265">
        <f>sumif('Segment RAW Data 25-26'!$B$1:$X$1,$F$3,'Segment RAW Data 25-26'!$B451:$X451)</f>
        <v>259591.2</v>
      </c>
      <c r="G452" s="265">
        <f>sumif('Segment RAW Data 25-26'!$B$1:$X$1,$G$3,'Segment RAW Data 25-26'!$B451:$X451)</f>
        <v>7582110.01</v>
      </c>
      <c r="H452" s="265">
        <f>sumif('Segment RAW Data 25-26'!$B$1:$X$1,$H$3,'Segment RAW Data 25-26'!$B451:$X451)</f>
        <v>332530</v>
      </c>
      <c r="I452" s="265">
        <f>sumif('Segment RAW Data 25-26'!$B$1:$X$1,$I$3,'Segment RAW Data 25-26'!$B451:$X451)</f>
        <v>0</v>
      </c>
      <c r="J452" s="265">
        <f>sumif('Segment RAW Data 25-26'!$B$1:$X$1,$J$3,'Segment RAW Data 25-26'!$B451:$X451)</f>
        <v>0</v>
      </c>
      <c r="K452" s="265">
        <f>sumif('Segment RAW Data 25-26'!$B$1:$X$1,$K$3,'Segment RAW Data 25-26'!$B451:$X451)</f>
        <v>0</v>
      </c>
      <c r="L452" s="265">
        <f>sumif('Segment RAW Data 25-26'!$B$1:$X$1,$L$3,'Segment RAW Data 25-26'!$B451:$X451)</f>
        <v>0</v>
      </c>
      <c r="M452" s="270"/>
      <c r="N452" s="124" t="s">
        <v>975</v>
      </c>
      <c r="O452" s="124">
        <f>VLOOKUP(C452:C1253,'Segment RAW Data 25-26'!A451:Y1048,25,0)-VLOOKUP(C452:C1253,C:D,2,0)</f>
        <v>0</v>
      </c>
    </row>
    <row r="453" hidden="1">
      <c r="A453" s="157" t="s">
        <v>73</v>
      </c>
      <c r="B453" s="157" t="s">
        <v>76</v>
      </c>
      <c r="C453" s="157" t="s">
        <v>81</v>
      </c>
      <c r="D453" s="124">
        <f t="shared" si="1"/>
        <v>813537.4</v>
      </c>
      <c r="E453" s="265">
        <f>sumif('Segment RAW Data 25-26'!$B$1:$X$1,$E$3,'Segment RAW Data 25-26'!$B452:$X452)</f>
        <v>10560</v>
      </c>
      <c r="F453" s="265">
        <f>sumif('Segment RAW Data 25-26'!$B$1:$X$1,$F$3,'Segment RAW Data 25-26'!$B452:$X452)</f>
        <v>265419</v>
      </c>
      <c r="G453" s="265">
        <f>sumif('Segment RAW Data 25-26'!$B$1:$X$1,$G$3,'Segment RAW Data 25-26'!$B452:$X452)</f>
        <v>527839.9</v>
      </c>
      <c r="H453" s="265">
        <f>sumif('Segment RAW Data 25-26'!$B$1:$X$1,$H$3,'Segment RAW Data 25-26'!$B452:$X452)</f>
        <v>9718.5</v>
      </c>
      <c r="I453" s="265">
        <f>sumif('Segment RAW Data 25-26'!$B$1:$X$1,$I$3,'Segment RAW Data 25-26'!$B452:$X452)</f>
        <v>0</v>
      </c>
      <c r="J453" s="265">
        <f>sumif('Segment RAW Data 25-26'!$B$1:$X$1,$J$3,'Segment RAW Data 25-26'!$B452:$X452)</f>
        <v>0</v>
      </c>
      <c r="K453" s="265">
        <f>sumif('Segment RAW Data 25-26'!$B$1:$X$1,$K$3,'Segment RAW Data 25-26'!$B452:$X452)</f>
        <v>0</v>
      </c>
      <c r="L453" s="265">
        <f>sumif('Segment RAW Data 25-26'!$B$1:$X$1,$L$3,'Segment RAW Data 25-26'!$B452:$X452)</f>
        <v>0</v>
      </c>
      <c r="M453" s="270"/>
      <c r="N453" s="124" t="s">
        <v>975</v>
      </c>
      <c r="O453" s="124">
        <f>VLOOKUP(C453:C1254,'Segment RAW Data 25-26'!A452:Y1049,25,0)-VLOOKUP(C453:C1254,C:D,2,0)</f>
        <v>0</v>
      </c>
    </row>
    <row r="454" hidden="1">
      <c r="A454" s="157"/>
      <c r="B454" s="157"/>
      <c r="C454" s="157" t="s">
        <v>827</v>
      </c>
      <c r="D454" s="124">
        <f t="shared" si="1"/>
        <v>0</v>
      </c>
      <c r="E454" s="265">
        <f>sumif('Segment RAW Data 25-26'!$B$1:$X$1,$E$3,'Segment RAW Data 25-26'!$B453:$X453)</f>
        <v>0</v>
      </c>
      <c r="F454" s="265">
        <f>sumif('Segment RAW Data 25-26'!$B$1:$X$1,$F$3,'Segment RAW Data 25-26'!$B453:$X453)</f>
        <v>0</v>
      </c>
      <c r="G454" s="265">
        <f>sumif('Segment RAW Data 25-26'!$B$1:$X$1,$G$3,'Segment RAW Data 25-26'!$B453:$X453)</f>
        <v>0</v>
      </c>
      <c r="H454" s="265">
        <f>sumif('Segment RAW Data 25-26'!$B$1:$X$1,$H$3,'Segment RAW Data 25-26'!$B453:$X453)</f>
        <v>0</v>
      </c>
      <c r="I454" s="265">
        <f>sumif('Segment RAW Data 25-26'!$B$1:$X$1,$I$3,'Segment RAW Data 25-26'!$B453:$X453)</f>
        <v>0</v>
      </c>
      <c r="J454" s="265">
        <f>sumif('Segment RAW Data 25-26'!$B$1:$X$1,$J$3,'Segment RAW Data 25-26'!$B453:$X453)</f>
        <v>0</v>
      </c>
      <c r="K454" s="265">
        <f>sumif('Segment RAW Data 25-26'!$B$1:$X$1,$K$3,'Segment RAW Data 25-26'!$B453:$X453)</f>
        <v>0</v>
      </c>
      <c r="L454" s="265">
        <f>sumif('Segment RAW Data 25-26'!$B$1:$X$1,$L$3,'Segment RAW Data 25-26'!$B453:$X453)</f>
        <v>0</v>
      </c>
      <c r="M454" s="270"/>
      <c r="N454" s="124"/>
      <c r="O454" s="124">
        <f>VLOOKUP(C454:C1255,'Segment RAW Data 25-26'!A453:Y1050,25,0)-VLOOKUP(C454:C1255,C:D,2,0)</f>
        <v>0</v>
      </c>
    </row>
    <row r="455" hidden="1">
      <c r="A455" s="157" t="s">
        <v>185</v>
      </c>
      <c r="B455" s="157" t="s">
        <v>189</v>
      </c>
      <c r="C455" s="157" t="s">
        <v>271</v>
      </c>
      <c r="D455" s="124">
        <f t="shared" si="1"/>
        <v>18000673.84</v>
      </c>
      <c r="E455" s="265">
        <f>sumif('Segment RAW Data 25-26'!$B$1:$X$1,$E$3,'Segment RAW Data 25-26'!$B454:$X454)</f>
        <v>7575369.29</v>
      </c>
      <c r="F455" s="265">
        <f>sumif('Segment RAW Data 25-26'!$B$1:$X$1,$F$3,'Segment RAW Data 25-26'!$B454:$X454)</f>
        <v>2914225.48</v>
      </c>
      <c r="G455" s="265">
        <f>sumif('Segment RAW Data 25-26'!$B$1:$X$1,$G$3,'Segment RAW Data 25-26'!$B454:$X454)</f>
        <v>5092931.2</v>
      </c>
      <c r="H455" s="265">
        <f>sumif('Segment RAW Data 25-26'!$B$1:$X$1,$H$3,'Segment RAW Data 25-26'!$B454:$X454)</f>
        <v>47559.2</v>
      </c>
      <c r="I455" s="265">
        <f>sumif('Segment RAW Data 25-26'!$B$1:$X$1,$I$3,'Segment RAW Data 25-26'!$B454:$X454)</f>
        <v>12730.64</v>
      </c>
      <c r="J455" s="265">
        <f>sumif('Segment RAW Data 25-26'!$B$1:$X$1,$J$3,'Segment RAW Data 25-26'!$B454:$X454)</f>
        <v>905560.03</v>
      </c>
      <c r="K455" s="265">
        <f>sumif('Segment RAW Data 25-26'!$B$1:$X$1,$K$3,'Segment RAW Data 25-26'!$B454:$X454)</f>
        <v>0</v>
      </c>
      <c r="L455" s="265">
        <f>sumif('Segment RAW Data 25-26'!$B$1:$X$1,$L$3,'Segment RAW Data 25-26'!$B454:$X454)</f>
        <v>1452298</v>
      </c>
      <c r="M455" s="270"/>
      <c r="N455" s="124" t="s">
        <v>975</v>
      </c>
      <c r="O455" s="124">
        <f>VLOOKUP(C455:C1256,'Segment RAW Data 25-26'!A454:Y1051,25,0)-VLOOKUP(C455:C1256,C:D,2,0)</f>
        <v>-0.01000000164</v>
      </c>
    </row>
    <row r="456" hidden="1">
      <c r="A456" s="157" t="s">
        <v>185</v>
      </c>
      <c r="B456" s="157" t="s">
        <v>117</v>
      </c>
      <c r="C456" s="157" t="s">
        <v>430</v>
      </c>
      <c r="D456" s="124">
        <f t="shared" si="1"/>
        <v>812156.52</v>
      </c>
      <c r="E456" s="265">
        <f>sumif('Segment RAW Data 25-26'!$B$1:$X$1,$E$3,'Segment RAW Data 25-26'!$B455:$X455)</f>
        <v>41094.15</v>
      </c>
      <c r="F456" s="265">
        <f>sumif('Segment RAW Data 25-26'!$B$1:$X$1,$F$3,'Segment RAW Data 25-26'!$B455:$X455)</f>
        <v>69312</v>
      </c>
      <c r="G456" s="265">
        <f>sumif('Segment RAW Data 25-26'!$B$1:$X$1,$G$3,'Segment RAW Data 25-26'!$B455:$X455)</f>
        <v>527273.37</v>
      </c>
      <c r="H456" s="265">
        <f>sumif('Segment RAW Data 25-26'!$B$1:$X$1,$H$3,'Segment RAW Data 25-26'!$B455:$X455)</f>
        <v>142807.8</v>
      </c>
      <c r="I456" s="265">
        <f>sumif('Segment RAW Data 25-26'!$B$1:$X$1,$I$3,'Segment RAW Data 25-26'!$B455:$X455)</f>
        <v>0</v>
      </c>
      <c r="J456" s="265">
        <f>sumif('Segment RAW Data 25-26'!$B$1:$X$1,$J$3,'Segment RAW Data 25-26'!$B455:$X455)</f>
        <v>31669.2</v>
      </c>
      <c r="K456" s="265">
        <f>sumif('Segment RAW Data 25-26'!$B$1:$X$1,$K$3,'Segment RAW Data 25-26'!$B455:$X455)</f>
        <v>0</v>
      </c>
      <c r="L456" s="265">
        <f>sumif('Segment RAW Data 25-26'!$B$1:$X$1,$L$3,'Segment RAW Data 25-26'!$B455:$X455)</f>
        <v>0</v>
      </c>
      <c r="M456" s="270">
        <v>45838.0</v>
      </c>
      <c r="N456" s="124" t="s">
        <v>973</v>
      </c>
      <c r="O456" s="124">
        <f>VLOOKUP(C456:C1257,'Segment RAW Data 25-26'!A455:Y1052,25,0)-VLOOKUP(C456:C1257,C:D,2,0)</f>
        <v>0</v>
      </c>
    </row>
    <row r="457" hidden="1">
      <c r="A457" s="157"/>
      <c r="B457" s="157"/>
      <c r="C457" s="157" t="s">
        <v>828</v>
      </c>
      <c r="D457" s="124">
        <f t="shared" si="1"/>
        <v>0</v>
      </c>
      <c r="E457" s="265">
        <f>sumif('Segment RAW Data 25-26'!$B$1:$X$1,$E$3,'Segment RAW Data 25-26'!$B456:$X456)</f>
        <v>0</v>
      </c>
      <c r="F457" s="265">
        <f>sumif('Segment RAW Data 25-26'!$B$1:$X$1,$F$3,'Segment RAW Data 25-26'!$B456:$X456)</f>
        <v>0</v>
      </c>
      <c r="G457" s="265">
        <f>sumif('Segment RAW Data 25-26'!$B$1:$X$1,$G$3,'Segment RAW Data 25-26'!$B456:$X456)</f>
        <v>0</v>
      </c>
      <c r="H457" s="265">
        <f>sumif('Segment RAW Data 25-26'!$B$1:$X$1,$H$3,'Segment RAW Data 25-26'!$B456:$X456)</f>
        <v>0</v>
      </c>
      <c r="I457" s="265">
        <f>sumif('Segment RAW Data 25-26'!$B$1:$X$1,$I$3,'Segment RAW Data 25-26'!$B456:$X456)</f>
        <v>0</v>
      </c>
      <c r="J457" s="265">
        <f>sumif('Segment RAW Data 25-26'!$B$1:$X$1,$J$3,'Segment RAW Data 25-26'!$B456:$X456)</f>
        <v>0</v>
      </c>
      <c r="K457" s="265">
        <f>sumif('Segment RAW Data 25-26'!$B$1:$X$1,$K$3,'Segment RAW Data 25-26'!$B456:$X456)</f>
        <v>0</v>
      </c>
      <c r="L457" s="265">
        <f>sumif('Segment RAW Data 25-26'!$B$1:$X$1,$L$3,'Segment RAW Data 25-26'!$B456:$X456)</f>
        <v>0</v>
      </c>
      <c r="M457" s="270"/>
      <c r="N457" s="124"/>
      <c r="O457" s="124">
        <f>VLOOKUP(C457:C1258,'Segment RAW Data 25-26'!A456:Y1053,25,0)-VLOOKUP(C457:C1258,C:D,2,0)</f>
        <v>0</v>
      </c>
    </row>
    <row r="458" hidden="1">
      <c r="A458" s="157"/>
      <c r="B458" s="157"/>
      <c r="C458" s="157" t="s">
        <v>829</v>
      </c>
      <c r="D458" s="124">
        <f t="shared" si="1"/>
        <v>0</v>
      </c>
      <c r="E458" s="265">
        <f>sumif('Segment RAW Data 25-26'!$B$1:$X$1,$E$3,'Segment RAW Data 25-26'!$B457:$X457)</f>
        <v>0</v>
      </c>
      <c r="F458" s="265">
        <f>sumif('Segment RAW Data 25-26'!$B$1:$X$1,$F$3,'Segment RAW Data 25-26'!$B457:$X457)</f>
        <v>0</v>
      </c>
      <c r="G458" s="265">
        <f>sumif('Segment RAW Data 25-26'!$B$1:$X$1,$G$3,'Segment RAW Data 25-26'!$B457:$X457)</f>
        <v>0</v>
      </c>
      <c r="H458" s="265">
        <f>sumif('Segment RAW Data 25-26'!$B$1:$X$1,$H$3,'Segment RAW Data 25-26'!$B457:$X457)</f>
        <v>0</v>
      </c>
      <c r="I458" s="265">
        <f>sumif('Segment RAW Data 25-26'!$B$1:$X$1,$I$3,'Segment RAW Data 25-26'!$B457:$X457)</f>
        <v>0</v>
      </c>
      <c r="J458" s="265">
        <f>sumif('Segment RAW Data 25-26'!$B$1:$X$1,$J$3,'Segment RAW Data 25-26'!$B457:$X457)</f>
        <v>0</v>
      </c>
      <c r="K458" s="265">
        <f>sumif('Segment RAW Data 25-26'!$B$1:$X$1,$K$3,'Segment RAW Data 25-26'!$B457:$X457)</f>
        <v>0</v>
      </c>
      <c r="L458" s="265">
        <f>sumif('Segment RAW Data 25-26'!$B$1:$X$1,$L$3,'Segment RAW Data 25-26'!$B457:$X457)</f>
        <v>0</v>
      </c>
      <c r="M458" s="270"/>
      <c r="N458" s="124"/>
      <c r="O458" s="124">
        <f>VLOOKUP(C458:C1259,'Segment RAW Data 25-26'!A457:Y1054,25,0)-VLOOKUP(C458:C1259,C:D,2,0)</f>
        <v>0</v>
      </c>
    </row>
    <row r="459" hidden="1">
      <c r="A459" s="157"/>
      <c r="B459" s="157"/>
      <c r="C459" s="157" t="s">
        <v>830</v>
      </c>
      <c r="D459" s="124">
        <f t="shared" si="1"/>
        <v>0</v>
      </c>
      <c r="E459" s="265">
        <f>sumif('Segment RAW Data 25-26'!$B$1:$X$1,$E$3,'Segment RAW Data 25-26'!$B458:$X458)</f>
        <v>0</v>
      </c>
      <c r="F459" s="265">
        <f>sumif('Segment RAW Data 25-26'!$B$1:$X$1,$F$3,'Segment RAW Data 25-26'!$B458:$X458)</f>
        <v>0</v>
      </c>
      <c r="G459" s="265">
        <f>sumif('Segment RAW Data 25-26'!$B$1:$X$1,$G$3,'Segment RAW Data 25-26'!$B458:$X458)</f>
        <v>0</v>
      </c>
      <c r="H459" s="265">
        <f>sumif('Segment RAW Data 25-26'!$B$1:$X$1,$H$3,'Segment RAW Data 25-26'!$B458:$X458)</f>
        <v>0</v>
      </c>
      <c r="I459" s="265">
        <f>sumif('Segment RAW Data 25-26'!$B$1:$X$1,$I$3,'Segment RAW Data 25-26'!$B458:$X458)</f>
        <v>0</v>
      </c>
      <c r="J459" s="265">
        <f>sumif('Segment RAW Data 25-26'!$B$1:$X$1,$J$3,'Segment RAW Data 25-26'!$B458:$X458)</f>
        <v>0</v>
      </c>
      <c r="K459" s="265">
        <f>sumif('Segment RAW Data 25-26'!$B$1:$X$1,$K$3,'Segment RAW Data 25-26'!$B458:$X458)</f>
        <v>0</v>
      </c>
      <c r="L459" s="265">
        <f>sumif('Segment RAW Data 25-26'!$B$1:$X$1,$L$3,'Segment RAW Data 25-26'!$B458:$X458)</f>
        <v>0</v>
      </c>
      <c r="M459" s="270"/>
      <c r="N459" s="124"/>
      <c r="O459" s="124">
        <f>VLOOKUP(C459:C1260,'Segment RAW Data 25-26'!A458:Y1055,25,0)-VLOOKUP(C459:C1260,C:D,2,0)</f>
        <v>0</v>
      </c>
    </row>
    <row r="460" hidden="1">
      <c r="A460" s="157" t="s">
        <v>53</v>
      </c>
      <c r="B460" s="157" t="s">
        <v>56</v>
      </c>
      <c r="C460" s="157" t="s">
        <v>831</v>
      </c>
      <c r="D460" s="124">
        <f t="shared" si="1"/>
        <v>462446.74</v>
      </c>
      <c r="E460" s="265">
        <f>sumif('Segment RAW Data 25-26'!$B$1:$X$1,$E$3,'Segment RAW Data 25-26'!$B459:$X459)</f>
        <v>145486.54</v>
      </c>
      <c r="F460" s="265">
        <f>sumif('Segment RAW Data 25-26'!$B$1:$X$1,$F$3,'Segment RAW Data 25-26'!$B459:$X459)</f>
        <v>0</v>
      </c>
      <c r="G460" s="265">
        <f>sumif('Segment RAW Data 25-26'!$B$1:$X$1,$G$3,'Segment RAW Data 25-26'!$B459:$X459)</f>
        <v>94371.45</v>
      </c>
      <c r="H460" s="265">
        <f>sumif('Segment RAW Data 25-26'!$B$1:$X$1,$H$3,'Segment RAW Data 25-26'!$B459:$X459)</f>
        <v>0</v>
      </c>
      <c r="I460" s="265">
        <f>sumif('Segment RAW Data 25-26'!$B$1:$X$1,$I$3,'Segment RAW Data 25-26'!$B459:$X459)</f>
        <v>0</v>
      </c>
      <c r="J460" s="265">
        <f>sumif('Segment RAW Data 25-26'!$B$1:$X$1,$J$3,'Segment RAW Data 25-26'!$B459:$X459)</f>
        <v>0</v>
      </c>
      <c r="K460" s="265">
        <f>sumif('Segment RAW Data 25-26'!$B$1:$X$1,$K$3,'Segment RAW Data 25-26'!$B459:$X459)</f>
        <v>0</v>
      </c>
      <c r="L460" s="265">
        <f>sumif('Segment RAW Data 25-26'!$B$1:$X$1,$L$3,'Segment RAW Data 25-26'!$B459:$X459)</f>
        <v>222588.75</v>
      </c>
      <c r="M460" s="270">
        <v>45838.0</v>
      </c>
      <c r="N460" s="124" t="s">
        <v>973</v>
      </c>
      <c r="O460" s="124">
        <f>VLOOKUP(C460:C1261,'Segment RAW Data 25-26'!A459:Y1056,25,0)-VLOOKUP(C460:C1261,C:D,2,0)</f>
        <v>0</v>
      </c>
    </row>
    <row r="461" hidden="1">
      <c r="A461" s="157" t="s">
        <v>126</v>
      </c>
      <c r="B461" s="157" t="s">
        <v>140</v>
      </c>
      <c r="C461" s="157" t="s">
        <v>442</v>
      </c>
      <c r="D461" s="124">
        <f t="shared" si="1"/>
        <v>4918934.83</v>
      </c>
      <c r="E461" s="265">
        <f>sumif('Segment RAW Data 25-26'!$B$1:$X$1,$E$3,'Segment RAW Data 25-26'!$B460:$X460)</f>
        <v>2653628.79</v>
      </c>
      <c r="F461" s="265">
        <f>sumif('Segment RAW Data 25-26'!$B$1:$X$1,$F$3,'Segment RAW Data 25-26'!$B460:$X460)</f>
        <v>1446027.8</v>
      </c>
      <c r="G461" s="265">
        <f>sumif('Segment RAW Data 25-26'!$B$1:$X$1,$G$3,'Segment RAW Data 25-26'!$B460:$X460)</f>
        <v>436668.64</v>
      </c>
      <c r="H461" s="265">
        <f>sumif('Segment RAW Data 25-26'!$B$1:$X$1,$H$3,'Segment RAW Data 25-26'!$B460:$X460)</f>
        <v>128836</v>
      </c>
      <c r="I461" s="265">
        <f>sumif('Segment RAW Data 25-26'!$B$1:$X$1,$I$3,'Segment RAW Data 25-26'!$B460:$X460)</f>
        <v>0</v>
      </c>
      <c r="J461" s="265">
        <f>sumif('Segment RAW Data 25-26'!$B$1:$X$1,$J$3,'Segment RAW Data 25-26'!$B460:$X460)</f>
        <v>145603.6</v>
      </c>
      <c r="K461" s="265">
        <f>sumif('Segment RAW Data 25-26'!$B$1:$X$1,$K$3,'Segment RAW Data 25-26'!$B460:$X460)</f>
        <v>0</v>
      </c>
      <c r="L461" s="265">
        <f>sumif('Segment RAW Data 25-26'!$B$1:$X$1,$L$3,'Segment RAW Data 25-26'!$B460:$X460)</f>
        <v>108170</v>
      </c>
      <c r="M461" s="270">
        <v>46053.0</v>
      </c>
      <c r="N461" s="124" t="s">
        <v>973</v>
      </c>
      <c r="O461" s="124">
        <f>VLOOKUP(C461:C1262,'Segment RAW Data 25-26'!A460:Y1057,25,0)-VLOOKUP(C461:C1262,C:D,2,0)</f>
        <v>0.0000000009313225746</v>
      </c>
    </row>
    <row r="462" hidden="1">
      <c r="A462" s="157" t="s">
        <v>185</v>
      </c>
      <c r="B462" s="157" t="s">
        <v>85</v>
      </c>
      <c r="C462" s="157" t="s">
        <v>832</v>
      </c>
      <c r="D462" s="124">
        <f t="shared" si="1"/>
        <v>546972.1</v>
      </c>
      <c r="E462" s="265">
        <f>sumif('Segment RAW Data 25-26'!$B$1:$X$1,$E$3,'Segment RAW Data 25-26'!$B461:$X461)</f>
        <v>0</v>
      </c>
      <c r="F462" s="265">
        <f>sumif('Segment RAW Data 25-26'!$B$1:$X$1,$F$3,'Segment RAW Data 25-26'!$B461:$X461)</f>
        <v>374660</v>
      </c>
      <c r="G462" s="265">
        <f>sumif('Segment RAW Data 25-26'!$B$1:$X$1,$G$3,'Segment RAW Data 25-26'!$B461:$X461)</f>
        <v>38901.2</v>
      </c>
      <c r="H462" s="265">
        <f>sumif('Segment RAW Data 25-26'!$B$1:$X$1,$H$3,'Segment RAW Data 25-26'!$B461:$X461)</f>
        <v>80683.2</v>
      </c>
      <c r="I462" s="265">
        <f>sumif('Segment RAW Data 25-26'!$B$1:$X$1,$I$3,'Segment RAW Data 25-26'!$B461:$X461)</f>
        <v>0</v>
      </c>
      <c r="J462" s="265">
        <f>sumif('Segment RAW Data 25-26'!$B$1:$X$1,$J$3,'Segment RAW Data 25-26'!$B461:$X461)</f>
        <v>52727.7</v>
      </c>
      <c r="K462" s="265">
        <f>sumif('Segment RAW Data 25-26'!$B$1:$X$1,$K$3,'Segment RAW Data 25-26'!$B461:$X461)</f>
        <v>0</v>
      </c>
      <c r="L462" s="265">
        <f>sumif('Segment RAW Data 25-26'!$B$1:$X$1,$L$3,'Segment RAW Data 25-26'!$B461:$X461)</f>
        <v>0</v>
      </c>
      <c r="M462" s="270">
        <v>45877.0</v>
      </c>
      <c r="N462" s="124" t="s">
        <v>973</v>
      </c>
      <c r="O462" s="124">
        <f>VLOOKUP(C462:C1263,'Segment RAW Data 25-26'!A461:Y1058,25,0)-VLOOKUP(C462:C1263,C:D,2,0)</f>
        <v>0</v>
      </c>
    </row>
    <row r="463" hidden="1">
      <c r="A463" s="157" t="s">
        <v>126</v>
      </c>
      <c r="B463" s="157" t="s">
        <v>130</v>
      </c>
      <c r="C463" s="157" t="s">
        <v>165</v>
      </c>
      <c r="D463" s="124">
        <f t="shared" si="1"/>
        <v>13646291.61</v>
      </c>
      <c r="E463" s="265">
        <f>sumif('Segment RAW Data 25-26'!$B$1:$X$1,$E$3,'Segment RAW Data 25-26'!$B462:$X462)</f>
        <v>7176561.98</v>
      </c>
      <c r="F463" s="265">
        <f>sumif('Segment RAW Data 25-26'!$B$1:$X$1,$F$3,'Segment RAW Data 25-26'!$B462:$X462)</f>
        <v>1148182.4</v>
      </c>
      <c r="G463" s="265">
        <f>sumif('Segment RAW Data 25-26'!$B$1:$X$1,$G$3,'Segment RAW Data 25-26'!$B462:$X462)</f>
        <v>1420222.48</v>
      </c>
      <c r="H463" s="265">
        <f>sumif('Segment RAW Data 25-26'!$B$1:$X$1,$H$3,'Segment RAW Data 25-26'!$B462:$X462)</f>
        <v>252810.4</v>
      </c>
      <c r="I463" s="265">
        <f>sumif('Segment RAW Data 25-26'!$B$1:$X$1,$I$3,'Segment RAW Data 25-26'!$B462:$X462)</f>
        <v>41010</v>
      </c>
      <c r="J463" s="265">
        <f>sumif('Segment RAW Data 25-26'!$B$1:$X$1,$J$3,'Segment RAW Data 25-26'!$B462:$X462)</f>
        <v>1319271.6</v>
      </c>
      <c r="K463" s="265">
        <f>sumif('Segment RAW Data 25-26'!$B$1:$X$1,$K$3,'Segment RAW Data 25-26'!$B462:$X462)</f>
        <v>11214</v>
      </c>
      <c r="L463" s="265">
        <f>sumif('Segment RAW Data 25-26'!$B$1:$X$1,$L$3,'Segment RAW Data 25-26'!$B462:$X462)</f>
        <v>2277018.75</v>
      </c>
      <c r="M463" s="270"/>
      <c r="N463" s="124" t="s">
        <v>975</v>
      </c>
      <c r="O463" s="124">
        <f>VLOOKUP(C463:C1264,'Segment RAW Data 25-26'!A462:Y1059,25,0)-VLOOKUP(C463:C1264,C:D,2,0)</f>
        <v>0</v>
      </c>
    </row>
    <row r="464" hidden="1">
      <c r="A464" s="157" t="s">
        <v>298</v>
      </c>
      <c r="B464" s="157" t="s">
        <v>301</v>
      </c>
      <c r="C464" s="157" t="s">
        <v>312</v>
      </c>
      <c r="D464" s="124">
        <f t="shared" si="1"/>
        <v>7287331.78</v>
      </c>
      <c r="E464" s="265">
        <f>sumif('Segment RAW Data 25-26'!$B$1:$X$1,$E$3,'Segment RAW Data 25-26'!$B463:$X463)</f>
        <v>0</v>
      </c>
      <c r="F464" s="265">
        <f>sumif('Segment RAW Data 25-26'!$B$1:$X$1,$F$3,'Segment RAW Data 25-26'!$B463:$X463)</f>
        <v>3732726.95</v>
      </c>
      <c r="G464" s="265">
        <f>sumif('Segment RAW Data 25-26'!$B$1:$X$1,$G$3,'Segment RAW Data 25-26'!$B463:$X463)</f>
        <v>2680698.54</v>
      </c>
      <c r="H464" s="265">
        <f>sumif('Segment RAW Data 25-26'!$B$1:$X$1,$H$3,'Segment RAW Data 25-26'!$B463:$X463)</f>
        <v>738571.99</v>
      </c>
      <c r="I464" s="265">
        <f>sumif('Segment RAW Data 25-26'!$B$1:$X$1,$I$3,'Segment RAW Data 25-26'!$B463:$X463)</f>
        <v>0</v>
      </c>
      <c r="J464" s="265">
        <f>sumif('Segment RAW Data 25-26'!$B$1:$X$1,$J$3,'Segment RAW Data 25-26'!$B463:$X463)</f>
        <v>135334.3</v>
      </c>
      <c r="K464" s="265">
        <f>sumif('Segment RAW Data 25-26'!$B$1:$X$1,$K$3,'Segment RAW Data 25-26'!$B463:$X463)</f>
        <v>0</v>
      </c>
      <c r="L464" s="265">
        <f>sumif('Segment RAW Data 25-26'!$B$1:$X$1,$L$3,'Segment RAW Data 25-26'!$B463:$X463)</f>
        <v>0</v>
      </c>
      <c r="M464" s="270"/>
      <c r="N464" s="124" t="s">
        <v>975</v>
      </c>
      <c r="O464" s="124">
        <f>VLOOKUP(C464:C1265,'Segment RAW Data 25-26'!A463:Y1060,25,0)-VLOOKUP(C464:C1265,C:D,2,0)</f>
        <v>0</v>
      </c>
    </row>
    <row r="465" hidden="1">
      <c r="A465" s="157"/>
      <c r="B465" s="157"/>
      <c r="C465" s="157" t="s">
        <v>833</v>
      </c>
      <c r="D465" s="124">
        <f t="shared" si="1"/>
        <v>0</v>
      </c>
      <c r="E465" s="265">
        <f>sumif('Segment RAW Data 25-26'!$B$1:$X$1,$E$3,'Segment RAW Data 25-26'!$B464:$X464)</f>
        <v>0</v>
      </c>
      <c r="F465" s="265">
        <f>sumif('Segment RAW Data 25-26'!$B$1:$X$1,$F$3,'Segment RAW Data 25-26'!$B464:$X464)</f>
        <v>0</v>
      </c>
      <c r="G465" s="265">
        <f>sumif('Segment RAW Data 25-26'!$B$1:$X$1,$G$3,'Segment RAW Data 25-26'!$B464:$X464)</f>
        <v>0</v>
      </c>
      <c r="H465" s="265">
        <f>sumif('Segment RAW Data 25-26'!$B$1:$X$1,$H$3,'Segment RAW Data 25-26'!$B464:$X464)</f>
        <v>0</v>
      </c>
      <c r="I465" s="265">
        <f>sumif('Segment RAW Data 25-26'!$B$1:$X$1,$I$3,'Segment RAW Data 25-26'!$B464:$X464)</f>
        <v>0</v>
      </c>
      <c r="J465" s="265">
        <f>sumif('Segment RAW Data 25-26'!$B$1:$X$1,$J$3,'Segment RAW Data 25-26'!$B464:$X464)</f>
        <v>0</v>
      </c>
      <c r="K465" s="265">
        <f>sumif('Segment RAW Data 25-26'!$B$1:$X$1,$K$3,'Segment RAW Data 25-26'!$B464:$X464)</f>
        <v>0</v>
      </c>
      <c r="L465" s="265">
        <f>sumif('Segment RAW Data 25-26'!$B$1:$X$1,$L$3,'Segment RAW Data 25-26'!$B464:$X464)</f>
        <v>0</v>
      </c>
      <c r="M465" s="270"/>
      <c r="N465" s="124"/>
      <c r="O465" s="124">
        <f>VLOOKUP(C465:C1266,'Segment RAW Data 25-26'!A464:Y1061,25,0)-VLOOKUP(C465:C1266,C:D,2,0)</f>
        <v>0</v>
      </c>
    </row>
    <row r="466" hidden="1">
      <c r="A466" s="157"/>
      <c r="B466" s="157"/>
      <c r="C466" s="157" t="s">
        <v>834</v>
      </c>
      <c r="D466" s="124">
        <f t="shared" si="1"/>
        <v>0</v>
      </c>
      <c r="E466" s="265">
        <f>sumif('Segment RAW Data 25-26'!$B$1:$X$1,$E$3,'Segment RAW Data 25-26'!$B465:$X465)</f>
        <v>0</v>
      </c>
      <c r="F466" s="265">
        <f>sumif('Segment RAW Data 25-26'!$B$1:$X$1,$F$3,'Segment RAW Data 25-26'!$B465:$X465)</f>
        <v>0</v>
      </c>
      <c r="G466" s="265">
        <f>sumif('Segment RAW Data 25-26'!$B$1:$X$1,$G$3,'Segment RAW Data 25-26'!$B465:$X465)</f>
        <v>0</v>
      </c>
      <c r="H466" s="265">
        <f>sumif('Segment RAW Data 25-26'!$B$1:$X$1,$H$3,'Segment RAW Data 25-26'!$B465:$X465)</f>
        <v>0</v>
      </c>
      <c r="I466" s="265">
        <f>sumif('Segment RAW Data 25-26'!$B$1:$X$1,$I$3,'Segment RAW Data 25-26'!$B465:$X465)</f>
        <v>0</v>
      </c>
      <c r="J466" s="265">
        <f>sumif('Segment RAW Data 25-26'!$B$1:$X$1,$J$3,'Segment RAW Data 25-26'!$B465:$X465)</f>
        <v>0</v>
      </c>
      <c r="K466" s="265">
        <f>sumif('Segment RAW Data 25-26'!$B$1:$X$1,$K$3,'Segment RAW Data 25-26'!$B465:$X465)</f>
        <v>0</v>
      </c>
      <c r="L466" s="265">
        <f>sumif('Segment RAW Data 25-26'!$B$1:$X$1,$L$3,'Segment RAW Data 25-26'!$B465:$X465)</f>
        <v>0</v>
      </c>
      <c r="M466" s="270"/>
      <c r="N466" s="124"/>
      <c r="O466" s="124">
        <f>VLOOKUP(C466:C1267,'Segment RAW Data 25-26'!A465:Y1062,25,0)-VLOOKUP(C466:C1267,C:D,2,0)</f>
        <v>0</v>
      </c>
    </row>
    <row r="467" hidden="1">
      <c r="A467" s="157"/>
      <c r="B467" s="157"/>
      <c r="C467" s="157" t="s">
        <v>835</v>
      </c>
      <c r="D467" s="124">
        <f t="shared" si="1"/>
        <v>0</v>
      </c>
      <c r="E467" s="265">
        <f>sumif('Segment RAW Data 25-26'!$B$1:$X$1,$E$3,'Segment RAW Data 25-26'!$B466:$X466)</f>
        <v>0</v>
      </c>
      <c r="F467" s="265">
        <f>sumif('Segment RAW Data 25-26'!$B$1:$X$1,$F$3,'Segment RAW Data 25-26'!$B466:$X466)</f>
        <v>0</v>
      </c>
      <c r="G467" s="265">
        <f>sumif('Segment RAW Data 25-26'!$B$1:$X$1,$G$3,'Segment RAW Data 25-26'!$B466:$X466)</f>
        <v>0</v>
      </c>
      <c r="H467" s="265">
        <f>sumif('Segment RAW Data 25-26'!$B$1:$X$1,$H$3,'Segment RAW Data 25-26'!$B466:$X466)</f>
        <v>0</v>
      </c>
      <c r="I467" s="265">
        <f>sumif('Segment RAW Data 25-26'!$B$1:$X$1,$I$3,'Segment RAW Data 25-26'!$B466:$X466)</f>
        <v>0</v>
      </c>
      <c r="J467" s="265">
        <f>sumif('Segment RAW Data 25-26'!$B$1:$X$1,$J$3,'Segment RAW Data 25-26'!$B466:$X466)</f>
        <v>0</v>
      </c>
      <c r="K467" s="265">
        <f>sumif('Segment RAW Data 25-26'!$B$1:$X$1,$K$3,'Segment RAW Data 25-26'!$B466:$X466)</f>
        <v>0</v>
      </c>
      <c r="L467" s="265">
        <f>sumif('Segment RAW Data 25-26'!$B$1:$X$1,$L$3,'Segment RAW Data 25-26'!$B466:$X466)</f>
        <v>0</v>
      </c>
      <c r="M467" s="270"/>
      <c r="N467" s="124"/>
      <c r="O467" s="124">
        <f>VLOOKUP(C467:C1268,'Segment RAW Data 25-26'!A466:Y1063,25,0)-VLOOKUP(C467:C1268,C:D,2,0)</f>
        <v>0</v>
      </c>
    </row>
    <row r="468" hidden="1">
      <c r="A468" s="157"/>
      <c r="B468" s="157"/>
      <c r="C468" s="157" t="s">
        <v>836</v>
      </c>
      <c r="D468" s="124">
        <f t="shared" si="1"/>
        <v>0</v>
      </c>
      <c r="E468" s="265">
        <f>sumif('Segment RAW Data 25-26'!$B$1:$X$1,$E$3,'Segment RAW Data 25-26'!$B467:$X467)</f>
        <v>0</v>
      </c>
      <c r="F468" s="265">
        <f>sumif('Segment RAW Data 25-26'!$B$1:$X$1,$F$3,'Segment RAW Data 25-26'!$B467:$X467)</f>
        <v>0</v>
      </c>
      <c r="G468" s="265">
        <f>sumif('Segment RAW Data 25-26'!$B$1:$X$1,$G$3,'Segment RAW Data 25-26'!$B467:$X467)</f>
        <v>0</v>
      </c>
      <c r="H468" s="265">
        <f>sumif('Segment RAW Data 25-26'!$B$1:$X$1,$H$3,'Segment RAW Data 25-26'!$B467:$X467)</f>
        <v>0</v>
      </c>
      <c r="I468" s="265">
        <f>sumif('Segment RAW Data 25-26'!$B$1:$X$1,$I$3,'Segment RAW Data 25-26'!$B467:$X467)</f>
        <v>0</v>
      </c>
      <c r="J468" s="265">
        <f>sumif('Segment RAW Data 25-26'!$B$1:$X$1,$J$3,'Segment RAW Data 25-26'!$B467:$X467)</f>
        <v>0</v>
      </c>
      <c r="K468" s="265">
        <f>sumif('Segment RAW Data 25-26'!$B$1:$X$1,$K$3,'Segment RAW Data 25-26'!$B467:$X467)</f>
        <v>0</v>
      </c>
      <c r="L468" s="265">
        <f>sumif('Segment RAW Data 25-26'!$B$1:$X$1,$L$3,'Segment RAW Data 25-26'!$B467:$X467)</f>
        <v>0</v>
      </c>
      <c r="M468" s="270"/>
      <c r="N468" s="124"/>
      <c r="O468" s="124">
        <f>VLOOKUP(C468:C1269,'Segment RAW Data 25-26'!A467:Y1064,25,0)-VLOOKUP(C468:C1269,C:D,2,0)</f>
        <v>0</v>
      </c>
    </row>
    <row r="469" hidden="1">
      <c r="A469" s="157" t="s">
        <v>97</v>
      </c>
      <c r="B469" s="157" t="s">
        <v>101</v>
      </c>
      <c r="C469" s="157" t="s">
        <v>348</v>
      </c>
      <c r="D469" s="124">
        <f t="shared" si="1"/>
        <v>4551251.64</v>
      </c>
      <c r="E469" s="265">
        <f>sumif('Segment RAW Data 25-26'!$B$1:$X$1,$E$3,'Segment RAW Data 25-26'!$B468:$X468)</f>
        <v>0</v>
      </c>
      <c r="F469" s="265">
        <f>sumif('Segment RAW Data 25-26'!$B$1:$X$1,$F$3,'Segment RAW Data 25-26'!$B468:$X468)</f>
        <v>3856826.64</v>
      </c>
      <c r="G469" s="265">
        <f>sumif('Segment RAW Data 25-26'!$B$1:$X$1,$G$3,'Segment RAW Data 25-26'!$B468:$X468)</f>
        <v>510411</v>
      </c>
      <c r="H469" s="265">
        <f>sumif('Segment RAW Data 25-26'!$B$1:$X$1,$H$3,'Segment RAW Data 25-26'!$B468:$X468)</f>
        <v>184014</v>
      </c>
      <c r="I469" s="265">
        <f>sumif('Segment RAW Data 25-26'!$B$1:$X$1,$I$3,'Segment RAW Data 25-26'!$B468:$X468)</f>
        <v>0</v>
      </c>
      <c r="J469" s="265">
        <f>sumif('Segment RAW Data 25-26'!$B$1:$X$1,$J$3,'Segment RAW Data 25-26'!$B468:$X468)</f>
        <v>0</v>
      </c>
      <c r="K469" s="265">
        <f>sumif('Segment RAW Data 25-26'!$B$1:$X$1,$K$3,'Segment RAW Data 25-26'!$B468:$X468)</f>
        <v>0</v>
      </c>
      <c r="L469" s="265">
        <f>sumif('Segment RAW Data 25-26'!$B$1:$X$1,$L$3,'Segment RAW Data 25-26'!$B468:$X468)</f>
        <v>0</v>
      </c>
      <c r="M469" s="270">
        <v>46027.0</v>
      </c>
      <c r="N469" s="124" t="s">
        <v>973</v>
      </c>
      <c r="O469" s="124">
        <f>VLOOKUP(C469:C1270,'Segment RAW Data 25-26'!A468:Y1065,25,0)-VLOOKUP(C469:C1270,C:D,2,0)</f>
        <v>0</v>
      </c>
    </row>
    <row r="470" hidden="1">
      <c r="A470" s="157" t="s">
        <v>97</v>
      </c>
      <c r="B470" s="157" t="s">
        <v>101</v>
      </c>
      <c r="C470" s="157" t="s">
        <v>102</v>
      </c>
      <c r="D470" s="124">
        <f t="shared" si="1"/>
        <v>6662120.4</v>
      </c>
      <c r="E470" s="265">
        <f>sumif('Segment RAW Data 25-26'!$B$1:$X$1,$E$3,'Segment RAW Data 25-26'!$B469:$X469)</f>
        <v>0</v>
      </c>
      <c r="F470" s="265">
        <f>sumif('Segment RAW Data 25-26'!$B$1:$X$1,$F$3,'Segment RAW Data 25-26'!$B469:$X469)</f>
        <v>4873238.8</v>
      </c>
      <c r="G470" s="265">
        <f>sumif('Segment RAW Data 25-26'!$B$1:$X$1,$G$3,'Segment RAW Data 25-26'!$B469:$X469)</f>
        <v>1521456</v>
      </c>
      <c r="H470" s="265">
        <f>sumif('Segment RAW Data 25-26'!$B$1:$X$1,$H$3,'Segment RAW Data 25-26'!$B469:$X469)</f>
        <v>267425.6</v>
      </c>
      <c r="I470" s="265">
        <f>sumif('Segment RAW Data 25-26'!$B$1:$X$1,$I$3,'Segment RAW Data 25-26'!$B469:$X469)</f>
        <v>0</v>
      </c>
      <c r="J470" s="265">
        <f>sumif('Segment RAW Data 25-26'!$B$1:$X$1,$J$3,'Segment RAW Data 25-26'!$B469:$X469)</f>
        <v>0</v>
      </c>
      <c r="K470" s="265">
        <f>sumif('Segment RAW Data 25-26'!$B$1:$X$1,$K$3,'Segment RAW Data 25-26'!$B469:$X469)</f>
        <v>0</v>
      </c>
      <c r="L470" s="265">
        <f>sumif('Segment RAW Data 25-26'!$B$1:$X$1,$L$3,'Segment RAW Data 25-26'!$B469:$X469)</f>
        <v>0</v>
      </c>
      <c r="M470" s="270"/>
      <c r="N470" s="124" t="s">
        <v>975</v>
      </c>
      <c r="O470" s="124">
        <f>VLOOKUP(C470:C1271,'Segment RAW Data 25-26'!A469:Y1066,25,0)-VLOOKUP(C470:C1271,C:D,2,0)</f>
        <v>0</v>
      </c>
    </row>
    <row r="471" hidden="1">
      <c r="A471" s="157"/>
      <c r="B471" s="157"/>
      <c r="C471" s="157" t="s">
        <v>837</v>
      </c>
      <c r="D471" s="124">
        <f t="shared" si="1"/>
        <v>0</v>
      </c>
      <c r="E471" s="265">
        <f>sumif('Segment RAW Data 25-26'!$B$1:$X$1,$E$3,'Segment RAW Data 25-26'!$B470:$X470)</f>
        <v>0</v>
      </c>
      <c r="F471" s="265">
        <f>sumif('Segment RAW Data 25-26'!$B$1:$X$1,$F$3,'Segment RAW Data 25-26'!$B470:$X470)</f>
        <v>0</v>
      </c>
      <c r="G471" s="265">
        <f>sumif('Segment RAW Data 25-26'!$B$1:$X$1,$G$3,'Segment RAW Data 25-26'!$B470:$X470)</f>
        <v>0</v>
      </c>
      <c r="H471" s="265">
        <f>sumif('Segment RAW Data 25-26'!$B$1:$X$1,$H$3,'Segment RAW Data 25-26'!$B470:$X470)</f>
        <v>0</v>
      </c>
      <c r="I471" s="265">
        <f>sumif('Segment RAW Data 25-26'!$B$1:$X$1,$I$3,'Segment RAW Data 25-26'!$B470:$X470)</f>
        <v>0</v>
      </c>
      <c r="J471" s="265">
        <f>sumif('Segment RAW Data 25-26'!$B$1:$X$1,$J$3,'Segment RAW Data 25-26'!$B470:$X470)</f>
        <v>0</v>
      </c>
      <c r="K471" s="265">
        <f>sumif('Segment RAW Data 25-26'!$B$1:$X$1,$K$3,'Segment RAW Data 25-26'!$B470:$X470)</f>
        <v>0</v>
      </c>
      <c r="L471" s="265">
        <f>sumif('Segment RAW Data 25-26'!$B$1:$X$1,$L$3,'Segment RAW Data 25-26'!$B470:$X470)</f>
        <v>0</v>
      </c>
      <c r="M471" s="270"/>
      <c r="N471" s="124"/>
      <c r="O471" s="124">
        <f>VLOOKUP(C471:C1272,'Segment RAW Data 25-26'!A470:Y1067,25,0)-VLOOKUP(C471:C1272,C:D,2,0)</f>
        <v>0</v>
      </c>
    </row>
    <row r="472" hidden="1">
      <c r="A472" s="157"/>
      <c r="B472" s="157"/>
      <c r="C472" s="157" t="s">
        <v>838</v>
      </c>
      <c r="D472" s="124">
        <f t="shared" si="1"/>
        <v>0</v>
      </c>
      <c r="E472" s="265">
        <f>sumif('Segment RAW Data 25-26'!$B$1:$X$1,$E$3,'Segment RAW Data 25-26'!$B471:$X471)</f>
        <v>0</v>
      </c>
      <c r="F472" s="265">
        <f>sumif('Segment RAW Data 25-26'!$B$1:$X$1,$F$3,'Segment RAW Data 25-26'!$B471:$X471)</f>
        <v>0</v>
      </c>
      <c r="G472" s="265">
        <f>sumif('Segment RAW Data 25-26'!$B$1:$X$1,$G$3,'Segment RAW Data 25-26'!$B471:$X471)</f>
        <v>0</v>
      </c>
      <c r="H472" s="265">
        <f>sumif('Segment RAW Data 25-26'!$B$1:$X$1,$H$3,'Segment RAW Data 25-26'!$B471:$X471)</f>
        <v>0</v>
      </c>
      <c r="I472" s="265">
        <f>sumif('Segment RAW Data 25-26'!$B$1:$X$1,$I$3,'Segment RAW Data 25-26'!$B471:$X471)</f>
        <v>0</v>
      </c>
      <c r="J472" s="265">
        <f>sumif('Segment RAW Data 25-26'!$B$1:$X$1,$J$3,'Segment RAW Data 25-26'!$B471:$X471)</f>
        <v>0</v>
      </c>
      <c r="K472" s="265">
        <f>sumif('Segment RAW Data 25-26'!$B$1:$X$1,$K$3,'Segment RAW Data 25-26'!$B471:$X471)</f>
        <v>0</v>
      </c>
      <c r="L472" s="265">
        <f>sumif('Segment RAW Data 25-26'!$B$1:$X$1,$L$3,'Segment RAW Data 25-26'!$B471:$X471)</f>
        <v>0</v>
      </c>
      <c r="M472" s="270"/>
      <c r="N472" s="124"/>
      <c r="O472" s="124">
        <f>VLOOKUP(C472:C1273,'Segment RAW Data 25-26'!A471:Y1068,25,0)-VLOOKUP(C472:C1273,C:D,2,0)</f>
        <v>0</v>
      </c>
    </row>
    <row r="473" hidden="1">
      <c r="A473" s="157" t="s">
        <v>185</v>
      </c>
      <c r="B473" s="157" t="s">
        <v>212</v>
      </c>
      <c r="C473" s="157" t="s">
        <v>839</v>
      </c>
      <c r="D473" s="124">
        <f t="shared" si="1"/>
        <v>4884663.67</v>
      </c>
      <c r="E473" s="265">
        <f>sumif('Segment RAW Data 25-26'!$B$1:$X$1,$E$3,'Segment RAW Data 25-26'!$B472:$X472)</f>
        <v>1487993.38</v>
      </c>
      <c r="F473" s="265">
        <f>sumif('Segment RAW Data 25-26'!$B$1:$X$1,$F$3,'Segment RAW Data 25-26'!$B472:$X472)</f>
        <v>1482598.82</v>
      </c>
      <c r="G473" s="265">
        <f>sumif('Segment RAW Data 25-26'!$B$1:$X$1,$G$3,'Segment RAW Data 25-26'!$B472:$X472)</f>
        <v>1138558.18</v>
      </c>
      <c r="H473" s="265">
        <f>sumif('Segment RAW Data 25-26'!$B$1:$X$1,$H$3,'Segment RAW Data 25-26'!$B472:$X472)</f>
        <v>153837.11</v>
      </c>
      <c r="I473" s="265">
        <f>sumif('Segment RAW Data 25-26'!$B$1:$X$1,$I$3,'Segment RAW Data 25-26'!$B472:$X472)</f>
        <v>0</v>
      </c>
      <c r="J473" s="265">
        <f>sumif('Segment RAW Data 25-26'!$B$1:$X$1,$J$3,'Segment RAW Data 25-26'!$B472:$X472)</f>
        <v>476947.58</v>
      </c>
      <c r="K473" s="265">
        <f>sumif('Segment RAW Data 25-26'!$B$1:$X$1,$K$3,'Segment RAW Data 25-26'!$B472:$X472)</f>
        <v>0</v>
      </c>
      <c r="L473" s="265">
        <f>sumif('Segment RAW Data 25-26'!$B$1:$X$1,$L$3,'Segment RAW Data 25-26'!$B472:$X472)</f>
        <v>144728.6</v>
      </c>
      <c r="M473" s="270">
        <v>46030.0</v>
      </c>
      <c r="N473" s="124" t="s">
        <v>973</v>
      </c>
      <c r="O473" s="124">
        <f>VLOOKUP(C473:C1274,'Segment RAW Data 25-26'!A472:Y1069,25,0)-VLOOKUP(C473:C1274,C:D,2,0)</f>
        <v>0.02000000048</v>
      </c>
    </row>
    <row r="474" hidden="1">
      <c r="A474" s="157"/>
      <c r="B474" s="157"/>
      <c r="C474" s="157" t="s">
        <v>840</v>
      </c>
      <c r="D474" s="124">
        <f t="shared" si="1"/>
        <v>0</v>
      </c>
      <c r="E474" s="265">
        <f>sumif('Segment RAW Data 25-26'!$B$1:$X$1,$E$3,'Segment RAW Data 25-26'!$B473:$X473)</f>
        <v>0</v>
      </c>
      <c r="F474" s="265">
        <f>sumif('Segment RAW Data 25-26'!$B$1:$X$1,$F$3,'Segment RAW Data 25-26'!$B473:$X473)</f>
        <v>0</v>
      </c>
      <c r="G474" s="265">
        <f>sumif('Segment RAW Data 25-26'!$B$1:$X$1,$G$3,'Segment RAW Data 25-26'!$B473:$X473)</f>
        <v>0</v>
      </c>
      <c r="H474" s="265">
        <f>sumif('Segment RAW Data 25-26'!$B$1:$X$1,$H$3,'Segment RAW Data 25-26'!$B473:$X473)</f>
        <v>0</v>
      </c>
      <c r="I474" s="265">
        <f>sumif('Segment RAW Data 25-26'!$B$1:$X$1,$I$3,'Segment RAW Data 25-26'!$B473:$X473)</f>
        <v>0</v>
      </c>
      <c r="J474" s="265">
        <f>sumif('Segment RAW Data 25-26'!$B$1:$X$1,$J$3,'Segment RAW Data 25-26'!$B473:$X473)</f>
        <v>0</v>
      </c>
      <c r="K474" s="265">
        <f>sumif('Segment RAW Data 25-26'!$B$1:$X$1,$K$3,'Segment RAW Data 25-26'!$B473:$X473)</f>
        <v>0</v>
      </c>
      <c r="L474" s="265">
        <f>sumif('Segment RAW Data 25-26'!$B$1:$X$1,$L$3,'Segment RAW Data 25-26'!$B473:$X473)</f>
        <v>0</v>
      </c>
      <c r="M474" s="270"/>
      <c r="N474" s="124"/>
      <c r="O474" s="124">
        <f>VLOOKUP(C474:C1275,'Segment RAW Data 25-26'!A473:Y1070,25,0)-VLOOKUP(C474:C1275,C:D,2,0)</f>
        <v>0</v>
      </c>
    </row>
    <row r="475" hidden="1">
      <c r="A475" s="157"/>
      <c r="B475" s="157"/>
      <c r="C475" s="157" t="s">
        <v>841</v>
      </c>
      <c r="D475" s="124">
        <f t="shared" si="1"/>
        <v>0</v>
      </c>
      <c r="E475" s="265">
        <f>sumif('Segment RAW Data 25-26'!$B$1:$X$1,$E$3,'Segment RAW Data 25-26'!$B474:$X474)</f>
        <v>0</v>
      </c>
      <c r="F475" s="265">
        <f>sumif('Segment RAW Data 25-26'!$B$1:$X$1,$F$3,'Segment RAW Data 25-26'!$B474:$X474)</f>
        <v>0</v>
      </c>
      <c r="G475" s="265">
        <f>sumif('Segment RAW Data 25-26'!$B$1:$X$1,$G$3,'Segment RAW Data 25-26'!$B474:$X474)</f>
        <v>0</v>
      </c>
      <c r="H475" s="265">
        <f>sumif('Segment RAW Data 25-26'!$B$1:$X$1,$H$3,'Segment RAW Data 25-26'!$B474:$X474)</f>
        <v>0</v>
      </c>
      <c r="I475" s="265">
        <f>sumif('Segment RAW Data 25-26'!$B$1:$X$1,$I$3,'Segment RAW Data 25-26'!$B474:$X474)</f>
        <v>0</v>
      </c>
      <c r="J475" s="265">
        <f>sumif('Segment RAW Data 25-26'!$B$1:$X$1,$J$3,'Segment RAW Data 25-26'!$B474:$X474)</f>
        <v>0</v>
      </c>
      <c r="K475" s="265">
        <f>sumif('Segment RAW Data 25-26'!$B$1:$X$1,$K$3,'Segment RAW Data 25-26'!$B474:$X474)</f>
        <v>0</v>
      </c>
      <c r="L475" s="265">
        <f>sumif('Segment RAW Data 25-26'!$B$1:$X$1,$L$3,'Segment RAW Data 25-26'!$B474:$X474)</f>
        <v>0</v>
      </c>
      <c r="M475" s="270"/>
      <c r="N475" s="124"/>
      <c r="O475" s="124">
        <f>VLOOKUP(C475:C1276,'Segment RAW Data 25-26'!A474:Y1071,25,0)-VLOOKUP(C475:C1276,C:D,2,0)</f>
        <v>0</v>
      </c>
    </row>
    <row r="476" hidden="1">
      <c r="A476" s="157"/>
      <c r="B476" s="157"/>
      <c r="C476" s="157" t="s">
        <v>842</v>
      </c>
      <c r="D476" s="124">
        <f t="shared" si="1"/>
        <v>0</v>
      </c>
      <c r="E476" s="265">
        <f>sumif('Segment RAW Data 25-26'!$B$1:$X$1,$E$3,'Segment RAW Data 25-26'!$B475:$X475)</f>
        <v>0</v>
      </c>
      <c r="F476" s="265">
        <f>sumif('Segment RAW Data 25-26'!$B$1:$X$1,$F$3,'Segment RAW Data 25-26'!$B475:$X475)</f>
        <v>0</v>
      </c>
      <c r="G476" s="265">
        <f>sumif('Segment RAW Data 25-26'!$B$1:$X$1,$G$3,'Segment RAW Data 25-26'!$B475:$X475)</f>
        <v>0</v>
      </c>
      <c r="H476" s="265">
        <f>sumif('Segment RAW Data 25-26'!$B$1:$X$1,$H$3,'Segment RAW Data 25-26'!$B475:$X475)</f>
        <v>0</v>
      </c>
      <c r="I476" s="265">
        <f>sumif('Segment RAW Data 25-26'!$B$1:$X$1,$I$3,'Segment RAW Data 25-26'!$B475:$X475)</f>
        <v>0</v>
      </c>
      <c r="J476" s="265">
        <f>sumif('Segment RAW Data 25-26'!$B$1:$X$1,$J$3,'Segment RAW Data 25-26'!$B475:$X475)</f>
        <v>0</v>
      </c>
      <c r="K476" s="265">
        <f>sumif('Segment RAW Data 25-26'!$B$1:$X$1,$K$3,'Segment RAW Data 25-26'!$B475:$X475)</f>
        <v>0</v>
      </c>
      <c r="L476" s="265">
        <f>sumif('Segment RAW Data 25-26'!$B$1:$X$1,$L$3,'Segment RAW Data 25-26'!$B475:$X475)</f>
        <v>0</v>
      </c>
      <c r="M476" s="270"/>
      <c r="N476" s="124"/>
      <c r="O476" s="124">
        <f>VLOOKUP(C476:C1277,'Segment RAW Data 25-26'!A475:Y1072,25,0)-VLOOKUP(C476:C1277,C:D,2,0)</f>
        <v>0</v>
      </c>
    </row>
    <row r="477" hidden="1">
      <c r="A477" s="157"/>
      <c r="B477" s="157"/>
      <c r="C477" s="157" t="s">
        <v>843</v>
      </c>
      <c r="D477" s="124">
        <f t="shared" si="1"/>
        <v>0</v>
      </c>
      <c r="E477" s="265">
        <f>sumif('Segment RAW Data 25-26'!$B$1:$X$1,$E$3,'Segment RAW Data 25-26'!$B476:$X476)</f>
        <v>0</v>
      </c>
      <c r="F477" s="265">
        <f>sumif('Segment RAW Data 25-26'!$B$1:$X$1,$F$3,'Segment RAW Data 25-26'!$B476:$X476)</f>
        <v>0</v>
      </c>
      <c r="G477" s="265">
        <f>sumif('Segment RAW Data 25-26'!$B$1:$X$1,$G$3,'Segment RAW Data 25-26'!$B476:$X476)</f>
        <v>0</v>
      </c>
      <c r="H477" s="265">
        <f>sumif('Segment RAW Data 25-26'!$B$1:$X$1,$H$3,'Segment RAW Data 25-26'!$B476:$X476)</f>
        <v>0</v>
      </c>
      <c r="I477" s="265">
        <f>sumif('Segment RAW Data 25-26'!$B$1:$X$1,$I$3,'Segment RAW Data 25-26'!$B476:$X476)</f>
        <v>0</v>
      </c>
      <c r="J477" s="265">
        <f>sumif('Segment RAW Data 25-26'!$B$1:$X$1,$J$3,'Segment RAW Data 25-26'!$B476:$X476)</f>
        <v>0</v>
      </c>
      <c r="K477" s="265">
        <f>sumif('Segment RAW Data 25-26'!$B$1:$X$1,$K$3,'Segment RAW Data 25-26'!$B476:$X476)</f>
        <v>0</v>
      </c>
      <c r="L477" s="265">
        <f>sumif('Segment RAW Data 25-26'!$B$1:$X$1,$L$3,'Segment RAW Data 25-26'!$B476:$X476)</f>
        <v>0</v>
      </c>
      <c r="M477" s="270"/>
      <c r="N477" s="124"/>
      <c r="O477" s="124">
        <f>VLOOKUP(C477:C1278,'Segment RAW Data 25-26'!A476:Y1073,25,0)-VLOOKUP(C477:C1278,C:D,2,0)</f>
        <v>0</v>
      </c>
    </row>
    <row r="478" hidden="1">
      <c r="A478" s="157"/>
      <c r="B478" s="157"/>
      <c r="C478" s="157" t="s">
        <v>844</v>
      </c>
      <c r="D478" s="124">
        <f t="shared" si="1"/>
        <v>0</v>
      </c>
      <c r="E478" s="265">
        <f>sumif('Segment RAW Data 25-26'!$B$1:$X$1,$E$3,'Segment RAW Data 25-26'!$B477:$X477)</f>
        <v>0</v>
      </c>
      <c r="F478" s="265">
        <f>sumif('Segment RAW Data 25-26'!$B$1:$X$1,$F$3,'Segment RAW Data 25-26'!$B477:$X477)</f>
        <v>0</v>
      </c>
      <c r="G478" s="265">
        <f>sumif('Segment RAW Data 25-26'!$B$1:$X$1,$G$3,'Segment RAW Data 25-26'!$B477:$X477)</f>
        <v>0</v>
      </c>
      <c r="H478" s="265">
        <f>sumif('Segment RAW Data 25-26'!$B$1:$X$1,$H$3,'Segment RAW Data 25-26'!$B477:$X477)</f>
        <v>0</v>
      </c>
      <c r="I478" s="265">
        <f>sumif('Segment RAW Data 25-26'!$B$1:$X$1,$I$3,'Segment RAW Data 25-26'!$B477:$X477)</f>
        <v>0</v>
      </c>
      <c r="J478" s="265">
        <f>sumif('Segment RAW Data 25-26'!$B$1:$X$1,$J$3,'Segment RAW Data 25-26'!$B477:$X477)</f>
        <v>0</v>
      </c>
      <c r="K478" s="265">
        <f>sumif('Segment RAW Data 25-26'!$B$1:$X$1,$K$3,'Segment RAW Data 25-26'!$B477:$X477)</f>
        <v>0</v>
      </c>
      <c r="L478" s="265">
        <f>sumif('Segment RAW Data 25-26'!$B$1:$X$1,$L$3,'Segment RAW Data 25-26'!$B477:$X477)</f>
        <v>0</v>
      </c>
      <c r="M478" s="270"/>
      <c r="N478" s="124"/>
      <c r="O478" s="124">
        <f>VLOOKUP(C478:C1279,'Segment RAW Data 25-26'!A477:Y1074,25,0)-VLOOKUP(C478:C1279,C:D,2,0)</f>
        <v>0</v>
      </c>
    </row>
    <row r="479" hidden="1">
      <c r="A479" s="157" t="s">
        <v>126</v>
      </c>
      <c r="B479" s="157" t="s">
        <v>130</v>
      </c>
      <c r="C479" s="157" t="s">
        <v>444</v>
      </c>
      <c r="D479" s="124">
        <f t="shared" si="1"/>
        <v>1915700.18</v>
      </c>
      <c r="E479" s="265">
        <f>sumif('Segment RAW Data 25-26'!$B$1:$X$1,$E$3,'Segment RAW Data 25-26'!$B478:$X478)</f>
        <v>684677.9</v>
      </c>
      <c r="F479" s="265">
        <f>sumif('Segment RAW Data 25-26'!$B$1:$X$1,$F$3,'Segment RAW Data 25-26'!$B478:$X478)</f>
        <v>133016.8</v>
      </c>
      <c r="G479" s="265">
        <f>sumif('Segment RAW Data 25-26'!$B$1:$X$1,$G$3,'Segment RAW Data 25-26'!$B478:$X478)</f>
        <v>891524.08</v>
      </c>
      <c r="H479" s="265">
        <f>sumif('Segment RAW Data 25-26'!$B$1:$X$1,$H$3,'Segment RAW Data 25-26'!$B478:$X478)</f>
        <v>110006.4</v>
      </c>
      <c r="I479" s="265">
        <f>sumif('Segment RAW Data 25-26'!$B$1:$X$1,$I$3,'Segment RAW Data 25-26'!$B478:$X478)</f>
        <v>0</v>
      </c>
      <c r="J479" s="265">
        <f>sumif('Segment RAW Data 25-26'!$B$1:$X$1,$J$3,'Segment RAW Data 25-26'!$B478:$X478)</f>
        <v>0</v>
      </c>
      <c r="K479" s="265">
        <f>sumif('Segment RAW Data 25-26'!$B$1:$X$1,$K$3,'Segment RAW Data 25-26'!$B478:$X478)</f>
        <v>0</v>
      </c>
      <c r="L479" s="265">
        <f>sumif('Segment RAW Data 25-26'!$B$1:$X$1,$L$3,'Segment RAW Data 25-26'!$B478:$X478)</f>
        <v>96475</v>
      </c>
      <c r="M479" s="270">
        <v>46081.0</v>
      </c>
      <c r="N479" s="124" t="s">
        <v>973</v>
      </c>
      <c r="O479" s="124">
        <f>VLOOKUP(C479:C1280,'Segment RAW Data 25-26'!A478:Y1075,25,0)-VLOOKUP(C479:C1280,C:D,2,0)</f>
        <v>0.0000000002328306437</v>
      </c>
    </row>
    <row r="480" hidden="1">
      <c r="A480" s="157"/>
      <c r="B480" s="157"/>
      <c r="C480" s="157" t="s">
        <v>845</v>
      </c>
      <c r="D480" s="124">
        <f t="shared" si="1"/>
        <v>0</v>
      </c>
      <c r="E480" s="265">
        <f>sumif('Segment RAW Data 25-26'!$B$1:$X$1,$E$3,'Segment RAW Data 25-26'!$B479:$X479)</f>
        <v>0</v>
      </c>
      <c r="F480" s="265">
        <f>sumif('Segment RAW Data 25-26'!$B$1:$X$1,$F$3,'Segment RAW Data 25-26'!$B479:$X479)</f>
        <v>0</v>
      </c>
      <c r="G480" s="265">
        <f>sumif('Segment RAW Data 25-26'!$B$1:$X$1,$G$3,'Segment RAW Data 25-26'!$B479:$X479)</f>
        <v>0</v>
      </c>
      <c r="H480" s="265">
        <f>sumif('Segment RAW Data 25-26'!$B$1:$X$1,$H$3,'Segment RAW Data 25-26'!$B479:$X479)</f>
        <v>0</v>
      </c>
      <c r="I480" s="265">
        <f>sumif('Segment RAW Data 25-26'!$B$1:$X$1,$I$3,'Segment RAW Data 25-26'!$B479:$X479)</f>
        <v>0</v>
      </c>
      <c r="J480" s="265">
        <f>sumif('Segment RAW Data 25-26'!$B$1:$X$1,$J$3,'Segment RAW Data 25-26'!$B479:$X479)</f>
        <v>0</v>
      </c>
      <c r="K480" s="265">
        <f>sumif('Segment RAW Data 25-26'!$B$1:$X$1,$K$3,'Segment RAW Data 25-26'!$B479:$X479)</f>
        <v>0</v>
      </c>
      <c r="L480" s="265">
        <f>sumif('Segment RAW Data 25-26'!$B$1:$X$1,$L$3,'Segment RAW Data 25-26'!$B479:$X479)</f>
        <v>0</v>
      </c>
      <c r="M480" s="270"/>
      <c r="N480" s="124"/>
      <c r="O480" s="124">
        <f>VLOOKUP(C480:C1281,'Segment RAW Data 25-26'!A479:Y1076,25,0)-VLOOKUP(C480:C1281,C:D,2,0)</f>
        <v>0</v>
      </c>
    </row>
    <row r="481" hidden="1">
      <c r="A481" s="157"/>
      <c r="B481" s="157"/>
      <c r="C481" s="157" t="s">
        <v>846</v>
      </c>
      <c r="D481" s="124">
        <f t="shared" si="1"/>
        <v>0</v>
      </c>
      <c r="E481" s="265">
        <f>sumif('Segment RAW Data 25-26'!$B$1:$X$1,$E$3,'Segment RAW Data 25-26'!$B480:$X480)</f>
        <v>0</v>
      </c>
      <c r="F481" s="265">
        <f>sumif('Segment RAW Data 25-26'!$B$1:$X$1,$F$3,'Segment RAW Data 25-26'!$B480:$X480)</f>
        <v>0</v>
      </c>
      <c r="G481" s="265">
        <f>sumif('Segment RAW Data 25-26'!$B$1:$X$1,$G$3,'Segment RAW Data 25-26'!$B480:$X480)</f>
        <v>0</v>
      </c>
      <c r="H481" s="265">
        <f>sumif('Segment RAW Data 25-26'!$B$1:$X$1,$H$3,'Segment RAW Data 25-26'!$B480:$X480)</f>
        <v>0</v>
      </c>
      <c r="I481" s="265">
        <f>sumif('Segment RAW Data 25-26'!$B$1:$X$1,$I$3,'Segment RAW Data 25-26'!$B480:$X480)</f>
        <v>0</v>
      </c>
      <c r="J481" s="265">
        <f>sumif('Segment RAW Data 25-26'!$B$1:$X$1,$J$3,'Segment RAW Data 25-26'!$B480:$X480)</f>
        <v>0</v>
      </c>
      <c r="K481" s="265">
        <f>sumif('Segment RAW Data 25-26'!$B$1:$X$1,$K$3,'Segment RAW Data 25-26'!$B480:$X480)</f>
        <v>0</v>
      </c>
      <c r="L481" s="265">
        <f>sumif('Segment RAW Data 25-26'!$B$1:$X$1,$L$3,'Segment RAW Data 25-26'!$B480:$X480)</f>
        <v>0</v>
      </c>
      <c r="M481" s="270"/>
      <c r="N481" s="124"/>
      <c r="O481" s="124">
        <f>VLOOKUP(C481:C1282,'Segment RAW Data 25-26'!A480:Y1077,25,0)-VLOOKUP(C481:C1282,C:D,2,0)</f>
        <v>0</v>
      </c>
    </row>
    <row r="482" hidden="1">
      <c r="A482" s="157" t="s">
        <v>53</v>
      </c>
      <c r="B482" s="157" t="s">
        <v>56</v>
      </c>
      <c r="C482" s="157" t="s">
        <v>847</v>
      </c>
      <c r="D482" s="124">
        <f t="shared" si="1"/>
        <v>454619.96</v>
      </c>
      <c r="E482" s="265">
        <f>sumif('Segment RAW Data 25-26'!$B$1:$X$1,$E$3,'Segment RAW Data 25-26'!$B481:$X481)</f>
        <v>325369.56</v>
      </c>
      <c r="F482" s="265">
        <f>sumif('Segment RAW Data 25-26'!$B$1:$X$1,$F$3,'Segment RAW Data 25-26'!$B481:$X481)</f>
        <v>0</v>
      </c>
      <c r="G482" s="265">
        <f>sumif('Segment RAW Data 25-26'!$B$1:$X$1,$G$3,'Segment RAW Data 25-26'!$B481:$X481)</f>
        <v>11750.4</v>
      </c>
      <c r="H482" s="265">
        <f>sumif('Segment RAW Data 25-26'!$B$1:$X$1,$H$3,'Segment RAW Data 25-26'!$B481:$X481)</f>
        <v>0</v>
      </c>
      <c r="I482" s="265">
        <f>sumif('Segment RAW Data 25-26'!$B$1:$X$1,$I$3,'Segment RAW Data 25-26'!$B481:$X481)</f>
        <v>0</v>
      </c>
      <c r="J482" s="265">
        <f>sumif('Segment RAW Data 25-26'!$B$1:$X$1,$J$3,'Segment RAW Data 25-26'!$B481:$X481)</f>
        <v>0</v>
      </c>
      <c r="K482" s="265">
        <f>sumif('Segment RAW Data 25-26'!$B$1:$X$1,$K$3,'Segment RAW Data 25-26'!$B481:$X481)</f>
        <v>0</v>
      </c>
      <c r="L482" s="265">
        <f>sumif('Segment RAW Data 25-26'!$B$1:$X$1,$L$3,'Segment RAW Data 25-26'!$B481:$X481)</f>
        <v>117500</v>
      </c>
      <c r="M482" s="270">
        <v>45882.0</v>
      </c>
      <c r="N482" s="124" t="s">
        <v>973</v>
      </c>
      <c r="O482" s="124">
        <f>VLOOKUP(C482:C1283,'Segment RAW Data 25-26'!A481:Y1078,25,0)-VLOOKUP(C482:C1283,C:D,2,0)</f>
        <v>0.009999999951</v>
      </c>
    </row>
    <row r="483" hidden="1">
      <c r="A483" s="157"/>
      <c r="B483" s="157"/>
      <c r="C483" s="157" t="s">
        <v>848</v>
      </c>
      <c r="D483" s="124">
        <f t="shared" si="1"/>
        <v>0</v>
      </c>
      <c r="E483" s="265">
        <f>sumif('Segment RAW Data 25-26'!$B$1:$X$1,$E$3,'Segment RAW Data 25-26'!$B482:$X482)</f>
        <v>0</v>
      </c>
      <c r="F483" s="265">
        <f>sumif('Segment RAW Data 25-26'!$B$1:$X$1,$F$3,'Segment RAW Data 25-26'!$B482:$X482)</f>
        <v>0</v>
      </c>
      <c r="G483" s="265">
        <f>sumif('Segment RAW Data 25-26'!$B$1:$X$1,$G$3,'Segment RAW Data 25-26'!$B482:$X482)</f>
        <v>0</v>
      </c>
      <c r="H483" s="265">
        <f>sumif('Segment RAW Data 25-26'!$B$1:$X$1,$H$3,'Segment RAW Data 25-26'!$B482:$X482)</f>
        <v>0</v>
      </c>
      <c r="I483" s="265">
        <f>sumif('Segment RAW Data 25-26'!$B$1:$X$1,$I$3,'Segment RAW Data 25-26'!$B482:$X482)</f>
        <v>0</v>
      </c>
      <c r="J483" s="265">
        <f>sumif('Segment RAW Data 25-26'!$B$1:$X$1,$J$3,'Segment RAW Data 25-26'!$B482:$X482)</f>
        <v>0</v>
      </c>
      <c r="K483" s="265">
        <f>sumif('Segment RAW Data 25-26'!$B$1:$X$1,$K$3,'Segment RAW Data 25-26'!$B482:$X482)</f>
        <v>0</v>
      </c>
      <c r="L483" s="265">
        <f>sumif('Segment RAW Data 25-26'!$B$1:$X$1,$L$3,'Segment RAW Data 25-26'!$B482:$X482)</f>
        <v>0</v>
      </c>
      <c r="M483" s="270"/>
      <c r="N483" s="124"/>
      <c r="O483" s="124">
        <f>VLOOKUP(C483:C1284,'Segment RAW Data 25-26'!A482:Y1079,25,0)-VLOOKUP(C483:C1284,C:D,2,0)</f>
        <v>0</v>
      </c>
    </row>
    <row r="484" hidden="1">
      <c r="A484" s="157" t="s">
        <v>185</v>
      </c>
      <c r="B484" s="157" t="s">
        <v>212</v>
      </c>
      <c r="C484" s="157" t="s">
        <v>273</v>
      </c>
      <c r="D484" s="124">
        <f t="shared" si="1"/>
        <v>16104219.56</v>
      </c>
      <c r="E484" s="265">
        <f>sumif('Segment RAW Data 25-26'!$B$1:$X$1,$E$3,'Segment RAW Data 25-26'!$B483:$X483)</f>
        <v>2325268.03</v>
      </c>
      <c r="F484" s="265">
        <f>sumif('Segment RAW Data 25-26'!$B$1:$X$1,$F$3,'Segment RAW Data 25-26'!$B483:$X483)</f>
        <v>4345322.44</v>
      </c>
      <c r="G484" s="265">
        <f>sumif('Segment RAW Data 25-26'!$B$1:$X$1,$G$3,'Segment RAW Data 25-26'!$B483:$X483)</f>
        <v>7912421.39</v>
      </c>
      <c r="H484" s="265">
        <f>sumif('Segment RAW Data 25-26'!$B$1:$X$1,$H$3,'Segment RAW Data 25-26'!$B483:$X483)</f>
        <v>235308.8</v>
      </c>
      <c r="I484" s="265">
        <f>sumif('Segment RAW Data 25-26'!$B$1:$X$1,$I$3,'Segment RAW Data 25-26'!$B483:$X483)</f>
        <v>0</v>
      </c>
      <c r="J484" s="265">
        <f>sumif('Segment RAW Data 25-26'!$B$1:$X$1,$J$3,'Segment RAW Data 25-26'!$B483:$X483)</f>
        <v>604261.4</v>
      </c>
      <c r="K484" s="265">
        <f>sumif('Segment RAW Data 25-26'!$B$1:$X$1,$K$3,'Segment RAW Data 25-26'!$B483:$X483)</f>
        <v>0</v>
      </c>
      <c r="L484" s="265">
        <f>sumif('Segment RAW Data 25-26'!$B$1:$X$1,$L$3,'Segment RAW Data 25-26'!$B483:$X483)</f>
        <v>681637.5</v>
      </c>
      <c r="M484" s="270"/>
      <c r="N484" s="124" t="s">
        <v>975</v>
      </c>
      <c r="O484" s="124">
        <f>VLOOKUP(C484:C1285,'Segment RAW Data 25-26'!A483:Y1080,25,0)-VLOOKUP(C484:C1285,C:D,2,0)</f>
        <v>0.009999999776</v>
      </c>
    </row>
    <row r="485" hidden="1">
      <c r="A485" s="157"/>
      <c r="B485" s="157"/>
      <c r="C485" s="157" t="s">
        <v>849</v>
      </c>
      <c r="D485" s="124">
        <f t="shared" si="1"/>
        <v>0</v>
      </c>
      <c r="E485" s="265">
        <f>sumif('Segment RAW Data 25-26'!$B$1:$X$1,$E$3,'Segment RAW Data 25-26'!$B484:$X484)</f>
        <v>0</v>
      </c>
      <c r="F485" s="265">
        <f>sumif('Segment RAW Data 25-26'!$B$1:$X$1,$F$3,'Segment RAW Data 25-26'!$B484:$X484)</f>
        <v>0</v>
      </c>
      <c r="G485" s="265">
        <f>sumif('Segment RAW Data 25-26'!$B$1:$X$1,$G$3,'Segment RAW Data 25-26'!$B484:$X484)</f>
        <v>0</v>
      </c>
      <c r="H485" s="265">
        <f>sumif('Segment RAW Data 25-26'!$B$1:$X$1,$H$3,'Segment RAW Data 25-26'!$B484:$X484)</f>
        <v>0</v>
      </c>
      <c r="I485" s="265">
        <f>sumif('Segment RAW Data 25-26'!$B$1:$X$1,$I$3,'Segment RAW Data 25-26'!$B484:$X484)</f>
        <v>0</v>
      </c>
      <c r="J485" s="265">
        <f>sumif('Segment RAW Data 25-26'!$B$1:$X$1,$J$3,'Segment RAW Data 25-26'!$B484:$X484)</f>
        <v>0</v>
      </c>
      <c r="K485" s="265">
        <f>sumif('Segment RAW Data 25-26'!$B$1:$X$1,$K$3,'Segment RAW Data 25-26'!$B484:$X484)</f>
        <v>0</v>
      </c>
      <c r="L485" s="265">
        <f>sumif('Segment RAW Data 25-26'!$B$1:$X$1,$L$3,'Segment RAW Data 25-26'!$B484:$X484)</f>
        <v>0</v>
      </c>
      <c r="M485" s="270"/>
      <c r="N485" s="124"/>
      <c r="O485" s="124">
        <f>VLOOKUP(C485:C1286,'Segment RAW Data 25-26'!A484:Y1081,25,0)-VLOOKUP(C485:C1286,C:D,2,0)</f>
        <v>0</v>
      </c>
    </row>
    <row r="486" hidden="1">
      <c r="A486" s="157" t="s">
        <v>185</v>
      </c>
      <c r="B486" s="157" t="s">
        <v>196</v>
      </c>
      <c r="C486" s="157" t="s">
        <v>412</v>
      </c>
      <c r="D486" s="124">
        <f t="shared" si="1"/>
        <v>0</v>
      </c>
      <c r="E486" s="265">
        <f>sumif('Segment RAW Data 25-26'!$B$1:$X$1,$E$3,'Segment RAW Data 25-26'!$B485:$X485)</f>
        <v>0</v>
      </c>
      <c r="F486" s="265">
        <f>sumif('Segment RAW Data 25-26'!$B$1:$X$1,$F$3,'Segment RAW Data 25-26'!$B485:$X485)</f>
        <v>0</v>
      </c>
      <c r="G486" s="265">
        <f>sumif('Segment RAW Data 25-26'!$B$1:$X$1,$G$3,'Segment RAW Data 25-26'!$B485:$X485)</f>
        <v>0</v>
      </c>
      <c r="H486" s="265">
        <f>sumif('Segment RAW Data 25-26'!$B$1:$X$1,$H$3,'Segment RAW Data 25-26'!$B485:$X485)</f>
        <v>0</v>
      </c>
      <c r="I486" s="265">
        <f>sumif('Segment RAW Data 25-26'!$B$1:$X$1,$I$3,'Segment RAW Data 25-26'!$B485:$X485)</f>
        <v>0</v>
      </c>
      <c r="J486" s="265">
        <f>sumif('Segment RAW Data 25-26'!$B$1:$X$1,$J$3,'Segment RAW Data 25-26'!$B485:$X485)</f>
        <v>0</v>
      </c>
      <c r="K486" s="265">
        <f>sumif('Segment RAW Data 25-26'!$B$1:$X$1,$K$3,'Segment RAW Data 25-26'!$B485:$X485)</f>
        <v>0</v>
      </c>
      <c r="L486" s="265">
        <f>sumif('Segment RAW Data 25-26'!$B$1:$X$1,$L$3,'Segment RAW Data 25-26'!$B485:$X485)</f>
        <v>0</v>
      </c>
      <c r="M486" s="270">
        <v>45899.0</v>
      </c>
      <c r="N486" s="124" t="s">
        <v>973</v>
      </c>
      <c r="O486" s="124">
        <f>VLOOKUP(C486:C1287,'Segment RAW Data 25-26'!A485:Y1082,25,0)-VLOOKUP(C486:C1287,C:D,2,0)</f>
        <v>0</v>
      </c>
    </row>
    <row r="487" hidden="1">
      <c r="A487" s="157" t="s">
        <v>298</v>
      </c>
      <c r="B487" s="157" t="s">
        <v>301</v>
      </c>
      <c r="C487" s="157" t="s">
        <v>314</v>
      </c>
      <c r="D487" s="124">
        <f t="shared" si="1"/>
        <v>6205273.34</v>
      </c>
      <c r="E487" s="265">
        <f>sumif('Segment RAW Data 25-26'!$B$1:$X$1,$E$3,'Segment RAW Data 25-26'!$B486:$X486)</f>
        <v>1263469.7</v>
      </c>
      <c r="F487" s="265">
        <f>sumif('Segment RAW Data 25-26'!$B$1:$X$1,$F$3,'Segment RAW Data 25-26'!$B486:$X486)</f>
        <v>1446947.5</v>
      </c>
      <c r="G487" s="265">
        <f>sumif('Segment RAW Data 25-26'!$B$1:$X$1,$G$3,'Segment RAW Data 25-26'!$B486:$X486)</f>
        <v>2409931.44</v>
      </c>
      <c r="H487" s="265">
        <f>sumif('Segment RAW Data 25-26'!$B$1:$X$1,$H$3,'Segment RAW Data 25-26'!$B486:$X486)</f>
        <v>474701.7</v>
      </c>
      <c r="I487" s="265">
        <f>sumif('Segment RAW Data 25-26'!$B$1:$X$1,$I$3,'Segment RAW Data 25-26'!$B486:$X486)</f>
        <v>0</v>
      </c>
      <c r="J487" s="265">
        <f>sumif('Segment RAW Data 25-26'!$B$1:$X$1,$J$3,'Segment RAW Data 25-26'!$B486:$X486)</f>
        <v>552223</v>
      </c>
      <c r="K487" s="265">
        <f>sumif('Segment RAW Data 25-26'!$B$1:$X$1,$K$3,'Segment RAW Data 25-26'!$B486:$X486)</f>
        <v>0</v>
      </c>
      <c r="L487" s="265">
        <f>sumif('Segment RAW Data 25-26'!$B$1:$X$1,$L$3,'Segment RAW Data 25-26'!$B486:$X486)</f>
        <v>58000</v>
      </c>
      <c r="M487" s="270"/>
      <c r="N487" s="124" t="s">
        <v>975</v>
      </c>
      <c r="O487" s="124">
        <f>VLOOKUP(C487:C1288,'Segment RAW Data 25-26'!A486:Y1083,25,0)-VLOOKUP(C487:C1288,C:D,2,0)</f>
        <v>-0.0000000009313225746</v>
      </c>
    </row>
    <row r="488" hidden="1">
      <c r="A488" s="157" t="s">
        <v>185</v>
      </c>
      <c r="B488" s="157" t="s">
        <v>96</v>
      </c>
      <c r="C488" s="157" t="s">
        <v>850</v>
      </c>
      <c r="D488" s="124">
        <f t="shared" si="1"/>
        <v>0</v>
      </c>
      <c r="E488" s="265">
        <f>sumif('Segment RAW Data 25-26'!$B$1:$X$1,$E$3,'Segment RAW Data 25-26'!$B487:$X487)</f>
        <v>0</v>
      </c>
      <c r="F488" s="265">
        <f>sumif('Segment RAW Data 25-26'!$B$1:$X$1,$F$3,'Segment RAW Data 25-26'!$B487:$X487)</f>
        <v>0</v>
      </c>
      <c r="G488" s="265">
        <f>sumif('Segment RAW Data 25-26'!$B$1:$X$1,$G$3,'Segment RAW Data 25-26'!$B487:$X487)</f>
        <v>0</v>
      </c>
      <c r="H488" s="265">
        <f>sumif('Segment RAW Data 25-26'!$B$1:$X$1,$H$3,'Segment RAW Data 25-26'!$B487:$X487)</f>
        <v>0</v>
      </c>
      <c r="I488" s="265">
        <f>sumif('Segment RAW Data 25-26'!$B$1:$X$1,$I$3,'Segment RAW Data 25-26'!$B487:$X487)</f>
        <v>0</v>
      </c>
      <c r="J488" s="265">
        <f>sumif('Segment RAW Data 25-26'!$B$1:$X$1,$J$3,'Segment RAW Data 25-26'!$B487:$X487)</f>
        <v>0</v>
      </c>
      <c r="K488" s="265">
        <f>sumif('Segment RAW Data 25-26'!$B$1:$X$1,$K$3,'Segment RAW Data 25-26'!$B487:$X487)</f>
        <v>0</v>
      </c>
      <c r="L488" s="265">
        <f>sumif('Segment RAW Data 25-26'!$B$1:$X$1,$L$3,'Segment RAW Data 25-26'!$B487:$X487)</f>
        <v>0</v>
      </c>
      <c r="M488" s="270">
        <v>45869.0</v>
      </c>
      <c r="N488" s="124" t="s">
        <v>973</v>
      </c>
      <c r="O488" s="124">
        <f>VLOOKUP(C488:C1289,'Segment RAW Data 25-26'!A487:Y1084,25,0)-VLOOKUP(C488:C1289,C:D,2,0)</f>
        <v>0</v>
      </c>
    </row>
    <row r="489" hidden="1">
      <c r="A489" s="157" t="s">
        <v>53</v>
      </c>
      <c r="B489" s="157" t="s">
        <v>56</v>
      </c>
      <c r="C489" s="157" t="s">
        <v>57</v>
      </c>
      <c r="D489" s="124">
        <f t="shared" si="1"/>
        <v>2887869.97</v>
      </c>
      <c r="E489" s="265">
        <f>sumif('Segment RAW Data 25-26'!$B$1:$X$1,$E$3,'Segment RAW Data 25-26'!$B488:$X488)</f>
        <v>0</v>
      </c>
      <c r="F489" s="265">
        <f>sumif('Segment RAW Data 25-26'!$B$1:$X$1,$F$3,'Segment RAW Data 25-26'!$B488:$X488)</f>
        <v>43264</v>
      </c>
      <c r="G489" s="265">
        <f>sumif('Segment RAW Data 25-26'!$B$1:$X$1,$G$3,'Segment RAW Data 25-26'!$B488:$X488)</f>
        <v>2844605.97</v>
      </c>
      <c r="H489" s="265">
        <f>sumif('Segment RAW Data 25-26'!$B$1:$X$1,$H$3,'Segment RAW Data 25-26'!$B488:$X488)</f>
        <v>0</v>
      </c>
      <c r="I489" s="265">
        <f>sumif('Segment RAW Data 25-26'!$B$1:$X$1,$I$3,'Segment RAW Data 25-26'!$B488:$X488)</f>
        <v>0</v>
      </c>
      <c r="J489" s="265">
        <f>sumif('Segment RAW Data 25-26'!$B$1:$X$1,$J$3,'Segment RAW Data 25-26'!$B488:$X488)</f>
        <v>0</v>
      </c>
      <c r="K489" s="265">
        <f>sumif('Segment RAW Data 25-26'!$B$1:$X$1,$K$3,'Segment RAW Data 25-26'!$B488:$X488)</f>
        <v>0</v>
      </c>
      <c r="L489" s="265">
        <f>sumif('Segment RAW Data 25-26'!$B$1:$X$1,$L$3,'Segment RAW Data 25-26'!$B488:$X488)</f>
        <v>0</v>
      </c>
      <c r="M489" s="270"/>
      <c r="N489" s="124" t="s">
        <v>975</v>
      </c>
      <c r="O489" s="124">
        <f>VLOOKUP(C489:C1290,'Segment RAW Data 25-26'!A488:Y1085,25,0)-VLOOKUP(C489:C1290,C:D,2,0)</f>
        <v>0</v>
      </c>
    </row>
    <row r="490" hidden="1">
      <c r="A490" s="157"/>
      <c r="B490" s="157"/>
      <c r="C490" s="157" t="s">
        <v>851</v>
      </c>
      <c r="D490" s="124">
        <f t="shared" si="1"/>
        <v>0</v>
      </c>
      <c r="E490" s="265">
        <f>sumif('Segment RAW Data 25-26'!$B$1:$X$1,$E$3,'Segment RAW Data 25-26'!$B489:$X489)</f>
        <v>0</v>
      </c>
      <c r="F490" s="265">
        <f>sumif('Segment RAW Data 25-26'!$B$1:$X$1,$F$3,'Segment RAW Data 25-26'!$B489:$X489)</f>
        <v>0</v>
      </c>
      <c r="G490" s="265">
        <f>sumif('Segment RAW Data 25-26'!$B$1:$X$1,$G$3,'Segment RAW Data 25-26'!$B489:$X489)</f>
        <v>0</v>
      </c>
      <c r="H490" s="265">
        <f>sumif('Segment RAW Data 25-26'!$B$1:$X$1,$H$3,'Segment RAW Data 25-26'!$B489:$X489)</f>
        <v>0</v>
      </c>
      <c r="I490" s="265">
        <f>sumif('Segment RAW Data 25-26'!$B$1:$X$1,$I$3,'Segment RAW Data 25-26'!$B489:$X489)</f>
        <v>0</v>
      </c>
      <c r="J490" s="265">
        <f>sumif('Segment RAW Data 25-26'!$B$1:$X$1,$J$3,'Segment RAW Data 25-26'!$B489:$X489)</f>
        <v>0</v>
      </c>
      <c r="K490" s="265">
        <f>sumif('Segment RAW Data 25-26'!$B$1:$X$1,$K$3,'Segment RAW Data 25-26'!$B489:$X489)</f>
        <v>0</v>
      </c>
      <c r="L490" s="265">
        <f>sumif('Segment RAW Data 25-26'!$B$1:$X$1,$L$3,'Segment RAW Data 25-26'!$B489:$X489)</f>
        <v>0</v>
      </c>
      <c r="M490" s="270"/>
      <c r="N490" s="124"/>
      <c r="O490" s="124">
        <f>VLOOKUP(C490:C1291,'Segment RAW Data 25-26'!A489:Y1086,25,0)-VLOOKUP(C490:C1291,C:D,2,0)</f>
        <v>0</v>
      </c>
    </row>
    <row r="491" hidden="1">
      <c r="A491" s="157"/>
      <c r="B491" s="157"/>
      <c r="C491" s="157" t="s">
        <v>852</v>
      </c>
      <c r="D491" s="124">
        <f t="shared" si="1"/>
        <v>0</v>
      </c>
      <c r="E491" s="265">
        <f>sumif('Segment RAW Data 25-26'!$B$1:$X$1,$E$3,'Segment RAW Data 25-26'!$B490:$X490)</f>
        <v>0</v>
      </c>
      <c r="F491" s="265">
        <f>sumif('Segment RAW Data 25-26'!$B$1:$X$1,$F$3,'Segment RAW Data 25-26'!$B490:$X490)</f>
        <v>0</v>
      </c>
      <c r="G491" s="265">
        <f>sumif('Segment RAW Data 25-26'!$B$1:$X$1,$G$3,'Segment RAW Data 25-26'!$B490:$X490)</f>
        <v>0</v>
      </c>
      <c r="H491" s="265">
        <f>sumif('Segment RAW Data 25-26'!$B$1:$X$1,$H$3,'Segment RAW Data 25-26'!$B490:$X490)</f>
        <v>0</v>
      </c>
      <c r="I491" s="265">
        <f>sumif('Segment RAW Data 25-26'!$B$1:$X$1,$I$3,'Segment RAW Data 25-26'!$B490:$X490)</f>
        <v>0</v>
      </c>
      <c r="J491" s="265">
        <f>sumif('Segment RAW Data 25-26'!$B$1:$X$1,$J$3,'Segment RAW Data 25-26'!$B490:$X490)</f>
        <v>0</v>
      </c>
      <c r="K491" s="265">
        <f>sumif('Segment RAW Data 25-26'!$B$1:$X$1,$K$3,'Segment RAW Data 25-26'!$B490:$X490)</f>
        <v>0</v>
      </c>
      <c r="L491" s="265">
        <f>sumif('Segment RAW Data 25-26'!$B$1:$X$1,$L$3,'Segment RAW Data 25-26'!$B490:$X490)</f>
        <v>0</v>
      </c>
      <c r="M491" s="270"/>
      <c r="N491" s="124"/>
      <c r="O491" s="124">
        <f>VLOOKUP(C491:C1292,'Segment RAW Data 25-26'!A490:Y1087,25,0)-VLOOKUP(C491:C1292,C:D,2,0)</f>
        <v>0</v>
      </c>
    </row>
    <row r="492" hidden="1">
      <c r="A492" s="157" t="s">
        <v>23</v>
      </c>
      <c r="B492" s="157" t="s">
        <v>27</v>
      </c>
      <c r="C492" s="157" t="s">
        <v>31</v>
      </c>
      <c r="D492" s="124">
        <f t="shared" si="1"/>
        <v>11338113.17</v>
      </c>
      <c r="E492" s="265">
        <f>sumif('Segment RAW Data 25-26'!$B$1:$X$1,$E$3,'Segment RAW Data 25-26'!$B491:$X491)</f>
        <v>1464124.24</v>
      </c>
      <c r="F492" s="265">
        <f>sumif('Segment RAW Data 25-26'!$B$1:$X$1,$F$3,'Segment RAW Data 25-26'!$B491:$X491)</f>
        <v>466380</v>
      </c>
      <c r="G492" s="265">
        <f>sumif('Segment RAW Data 25-26'!$B$1:$X$1,$G$3,'Segment RAW Data 25-26'!$B491:$X491)</f>
        <v>8673782.33</v>
      </c>
      <c r="H492" s="265">
        <f>sumif('Segment RAW Data 25-26'!$B$1:$X$1,$H$3,'Segment RAW Data 25-26'!$B491:$X491)</f>
        <v>527129.1</v>
      </c>
      <c r="I492" s="265">
        <f>sumif('Segment RAW Data 25-26'!$B$1:$X$1,$I$3,'Segment RAW Data 25-26'!$B491:$X491)</f>
        <v>0</v>
      </c>
      <c r="J492" s="265">
        <f>sumif('Segment RAW Data 25-26'!$B$1:$X$1,$J$3,'Segment RAW Data 25-26'!$B491:$X491)</f>
        <v>0</v>
      </c>
      <c r="K492" s="265">
        <f>sumif('Segment RAW Data 25-26'!$B$1:$X$1,$K$3,'Segment RAW Data 25-26'!$B491:$X491)</f>
        <v>0</v>
      </c>
      <c r="L492" s="265">
        <f>sumif('Segment RAW Data 25-26'!$B$1:$X$1,$L$3,'Segment RAW Data 25-26'!$B491:$X491)</f>
        <v>206697.5</v>
      </c>
      <c r="M492" s="270"/>
      <c r="N492" s="124" t="s">
        <v>975</v>
      </c>
      <c r="O492" s="124">
        <f>VLOOKUP(C492:C1293,'Segment RAW Data 25-26'!A491:Y1088,25,0)-VLOOKUP(C492:C1293,C:D,2,0)</f>
        <v>0</v>
      </c>
    </row>
    <row r="493" hidden="1">
      <c r="A493" s="157"/>
      <c r="B493" s="157"/>
      <c r="C493" s="157" t="s">
        <v>827</v>
      </c>
      <c r="D493" s="124">
        <f t="shared" si="1"/>
        <v>0</v>
      </c>
      <c r="E493" s="265">
        <f>sumif('Segment RAW Data 25-26'!$B$1:$X$1,$E$3,'Segment RAW Data 25-26'!$B492:$X492)</f>
        <v>0</v>
      </c>
      <c r="F493" s="265">
        <f>sumif('Segment RAW Data 25-26'!$B$1:$X$1,$F$3,'Segment RAW Data 25-26'!$B492:$X492)</f>
        <v>0</v>
      </c>
      <c r="G493" s="265">
        <f>sumif('Segment RAW Data 25-26'!$B$1:$X$1,$G$3,'Segment RAW Data 25-26'!$B492:$X492)</f>
        <v>0</v>
      </c>
      <c r="H493" s="265">
        <f>sumif('Segment RAW Data 25-26'!$B$1:$X$1,$H$3,'Segment RAW Data 25-26'!$B492:$X492)</f>
        <v>0</v>
      </c>
      <c r="I493" s="265">
        <f>sumif('Segment RAW Data 25-26'!$B$1:$X$1,$I$3,'Segment RAW Data 25-26'!$B492:$X492)</f>
        <v>0</v>
      </c>
      <c r="J493" s="265">
        <f>sumif('Segment RAW Data 25-26'!$B$1:$X$1,$J$3,'Segment RAW Data 25-26'!$B492:$X492)</f>
        <v>0</v>
      </c>
      <c r="K493" s="265">
        <f>sumif('Segment RAW Data 25-26'!$B$1:$X$1,$K$3,'Segment RAW Data 25-26'!$B492:$X492)</f>
        <v>0</v>
      </c>
      <c r="L493" s="265">
        <f>sumif('Segment RAW Data 25-26'!$B$1:$X$1,$L$3,'Segment RAW Data 25-26'!$B492:$X492)</f>
        <v>0</v>
      </c>
      <c r="M493" s="270"/>
      <c r="N493" s="124"/>
      <c r="O493" s="124">
        <f>VLOOKUP(C493:C1294,'Segment RAW Data 25-26'!A492:Y1089,25,0)-VLOOKUP(C493:C1294,C:D,2,0)</f>
        <v>0</v>
      </c>
    </row>
    <row r="494" hidden="1">
      <c r="A494" s="157"/>
      <c r="B494" s="157"/>
      <c r="C494" s="157" t="s">
        <v>853</v>
      </c>
      <c r="D494" s="124">
        <f t="shared" si="1"/>
        <v>0</v>
      </c>
      <c r="E494" s="265">
        <f>sumif('Segment RAW Data 25-26'!$B$1:$X$1,$E$3,'Segment RAW Data 25-26'!$B493:$X493)</f>
        <v>0</v>
      </c>
      <c r="F494" s="265">
        <f>sumif('Segment RAW Data 25-26'!$B$1:$X$1,$F$3,'Segment RAW Data 25-26'!$B493:$X493)</f>
        <v>0</v>
      </c>
      <c r="G494" s="265">
        <f>sumif('Segment RAW Data 25-26'!$B$1:$X$1,$G$3,'Segment RAW Data 25-26'!$B493:$X493)</f>
        <v>0</v>
      </c>
      <c r="H494" s="265">
        <f>sumif('Segment RAW Data 25-26'!$B$1:$X$1,$H$3,'Segment RAW Data 25-26'!$B493:$X493)</f>
        <v>0</v>
      </c>
      <c r="I494" s="265">
        <f>sumif('Segment RAW Data 25-26'!$B$1:$X$1,$I$3,'Segment RAW Data 25-26'!$B493:$X493)</f>
        <v>0</v>
      </c>
      <c r="J494" s="265">
        <f>sumif('Segment RAW Data 25-26'!$B$1:$X$1,$J$3,'Segment RAW Data 25-26'!$B493:$X493)</f>
        <v>0</v>
      </c>
      <c r="K494" s="265">
        <f>sumif('Segment RAW Data 25-26'!$B$1:$X$1,$K$3,'Segment RAW Data 25-26'!$B493:$X493)</f>
        <v>0</v>
      </c>
      <c r="L494" s="265">
        <f>sumif('Segment RAW Data 25-26'!$B$1:$X$1,$L$3,'Segment RAW Data 25-26'!$B493:$X493)</f>
        <v>0</v>
      </c>
      <c r="M494" s="270"/>
      <c r="N494" s="124"/>
      <c r="O494" s="124">
        <f>VLOOKUP(C494:C1295,'Segment RAW Data 25-26'!A493:Y1090,25,0)-VLOOKUP(C494:C1295,C:D,2,0)</f>
        <v>0</v>
      </c>
    </row>
    <row r="495" hidden="1">
      <c r="A495" s="157"/>
      <c r="B495" s="157"/>
      <c r="C495" s="157" t="s">
        <v>854</v>
      </c>
      <c r="D495" s="124">
        <f t="shared" si="1"/>
        <v>0</v>
      </c>
      <c r="E495" s="265">
        <f>sumif('Segment RAW Data 25-26'!$B$1:$X$1,$E$3,'Segment RAW Data 25-26'!$B494:$X494)</f>
        <v>0</v>
      </c>
      <c r="F495" s="265">
        <f>sumif('Segment RAW Data 25-26'!$B$1:$X$1,$F$3,'Segment RAW Data 25-26'!$B494:$X494)</f>
        <v>0</v>
      </c>
      <c r="G495" s="265">
        <f>sumif('Segment RAW Data 25-26'!$B$1:$X$1,$G$3,'Segment RAW Data 25-26'!$B494:$X494)</f>
        <v>0</v>
      </c>
      <c r="H495" s="265">
        <f>sumif('Segment RAW Data 25-26'!$B$1:$X$1,$H$3,'Segment RAW Data 25-26'!$B494:$X494)</f>
        <v>0</v>
      </c>
      <c r="I495" s="265">
        <f>sumif('Segment RAW Data 25-26'!$B$1:$X$1,$I$3,'Segment RAW Data 25-26'!$B494:$X494)</f>
        <v>0</v>
      </c>
      <c r="J495" s="265">
        <f>sumif('Segment RAW Data 25-26'!$B$1:$X$1,$J$3,'Segment RAW Data 25-26'!$B494:$X494)</f>
        <v>0</v>
      </c>
      <c r="K495" s="265">
        <f>sumif('Segment RAW Data 25-26'!$B$1:$X$1,$K$3,'Segment RAW Data 25-26'!$B494:$X494)</f>
        <v>0</v>
      </c>
      <c r="L495" s="265">
        <f>sumif('Segment RAW Data 25-26'!$B$1:$X$1,$L$3,'Segment RAW Data 25-26'!$B494:$X494)</f>
        <v>0</v>
      </c>
      <c r="M495" s="270"/>
      <c r="N495" s="124"/>
      <c r="O495" s="124">
        <f>VLOOKUP(C495:C1296,'Segment RAW Data 25-26'!A494:Y1091,25,0)-VLOOKUP(C495:C1296,C:D,2,0)</f>
        <v>0</v>
      </c>
    </row>
    <row r="496" hidden="1">
      <c r="A496" s="157"/>
      <c r="B496" s="157"/>
      <c r="C496" s="157" t="s">
        <v>855</v>
      </c>
      <c r="D496" s="124">
        <f t="shared" si="1"/>
        <v>0</v>
      </c>
      <c r="E496" s="265">
        <f>sumif('Segment RAW Data 25-26'!$B$1:$X$1,$E$3,'Segment RAW Data 25-26'!$B495:$X495)</f>
        <v>0</v>
      </c>
      <c r="F496" s="265">
        <f>sumif('Segment RAW Data 25-26'!$B$1:$X$1,$F$3,'Segment RAW Data 25-26'!$B495:$X495)</f>
        <v>0</v>
      </c>
      <c r="G496" s="265">
        <f>sumif('Segment RAW Data 25-26'!$B$1:$X$1,$G$3,'Segment RAW Data 25-26'!$B495:$X495)</f>
        <v>0</v>
      </c>
      <c r="H496" s="265">
        <f>sumif('Segment RAW Data 25-26'!$B$1:$X$1,$H$3,'Segment RAW Data 25-26'!$B495:$X495)</f>
        <v>0</v>
      </c>
      <c r="I496" s="265">
        <f>sumif('Segment RAW Data 25-26'!$B$1:$X$1,$I$3,'Segment RAW Data 25-26'!$B495:$X495)</f>
        <v>0</v>
      </c>
      <c r="J496" s="265">
        <f>sumif('Segment RAW Data 25-26'!$B$1:$X$1,$J$3,'Segment RAW Data 25-26'!$B495:$X495)</f>
        <v>0</v>
      </c>
      <c r="K496" s="265">
        <f>sumif('Segment RAW Data 25-26'!$B$1:$X$1,$K$3,'Segment RAW Data 25-26'!$B495:$X495)</f>
        <v>0</v>
      </c>
      <c r="L496" s="265">
        <f>sumif('Segment RAW Data 25-26'!$B$1:$X$1,$L$3,'Segment RAW Data 25-26'!$B495:$X495)</f>
        <v>0</v>
      </c>
      <c r="M496" s="270"/>
      <c r="N496" s="124"/>
      <c r="O496" s="124">
        <f>VLOOKUP(C496:C1297,'Segment RAW Data 25-26'!A495:Y1092,25,0)-VLOOKUP(C496:C1297,C:D,2,0)</f>
        <v>0</v>
      </c>
    </row>
    <row r="497" hidden="1">
      <c r="A497" s="157" t="s">
        <v>23</v>
      </c>
      <c r="B497" s="157" t="s">
        <v>30</v>
      </c>
      <c r="C497" s="157" t="s">
        <v>33</v>
      </c>
      <c r="D497" s="124">
        <f t="shared" si="1"/>
        <v>10588023.04</v>
      </c>
      <c r="E497" s="265">
        <f>sumif('Segment RAW Data 25-26'!$B$1:$X$1,$E$3,'Segment RAW Data 25-26'!$B496:$X496)</f>
        <v>10278334.76</v>
      </c>
      <c r="F497" s="265">
        <f>sumif('Segment RAW Data 25-26'!$B$1:$X$1,$F$3,'Segment RAW Data 25-26'!$B496:$X496)</f>
        <v>0</v>
      </c>
      <c r="G497" s="265">
        <f>sumif('Segment RAW Data 25-26'!$B$1:$X$1,$G$3,'Segment RAW Data 25-26'!$B496:$X496)</f>
        <v>84213.28</v>
      </c>
      <c r="H497" s="265">
        <f>sumif('Segment RAW Data 25-26'!$B$1:$X$1,$H$3,'Segment RAW Data 25-26'!$B496:$X496)</f>
        <v>0</v>
      </c>
      <c r="I497" s="265">
        <f>sumif('Segment RAW Data 25-26'!$B$1:$X$1,$I$3,'Segment RAW Data 25-26'!$B496:$X496)</f>
        <v>0</v>
      </c>
      <c r="J497" s="265">
        <f>sumif('Segment RAW Data 25-26'!$B$1:$X$1,$J$3,'Segment RAW Data 25-26'!$B496:$X496)</f>
        <v>0</v>
      </c>
      <c r="K497" s="265">
        <f>sumif('Segment RAW Data 25-26'!$B$1:$X$1,$K$3,'Segment RAW Data 25-26'!$B496:$X496)</f>
        <v>0</v>
      </c>
      <c r="L497" s="265">
        <f>sumif('Segment RAW Data 25-26'!$B$1:$X$1,$L$3,'Segment RAW Data 25-26'!$B496:$X496)</f>
        <v>225475</v>
      </c>
      <c r="M497" s="270"/>
      <c r="N497" s="124" t="s">
        <v>975</v>
      </c>
      <c r="O497" s="124">
        <f>VLOOKUP(C497:C1298,'Segment RAW Data 25-26'!A496:Y1093,25,0)-VLOOKUP(C497:C1298,C:D,2,0)</f>
        <v>-0.009999999776</v>
      </c>
    </row>
    <row r="498" hidden="1">
      <c r="A498" s="157"/>
      <c r="B498" s="157"/>
      <c r="C498" s="157" t="s">
        <v>856</v>
      </c>
      <c r="D498" s="124">
        <f t="shared" si="1"/>
        <v>0</v>
      </c>
      <c r="E498" s="265">
        <f>sumif('Segment RAW Data 25-26'!$B$1:$X$1,$E$3,'Segment RAW Data 25-26'!$B497:$X497)</f>
        <v>0</v>
      </c>
      <c r="F498" s="265">
        <f>sumif('Segment RAW Data 25-26'!$B$1:$X$1,$F$3,'Segment RAW Data 25-26'!$B497:$X497)</f>
        <v>0</v>
      </c>
      <c r="G498" s="265">
        <f>sumif('Segment RAW Data 25-26'!$B$1:$X$1,$G$3,'Segment RAW Data 25-26'!$B497:$X497)</f>
        <v>0</v>
      </c>
      <c r="H498" s="265">
        <f>sumif('Segment RAW Data 25-26'!$B$1:$X$1,$H$3,'Segment RAW Data 25-26'!$B497:$X497)</f>
        <v>0</v>
      </c>
      <c r="I498" s="265">
        <f>sumif('Segment RAW Data 25-26'!$B$1:$X$1,$I$3,'Segment RAW Data 25-26'!$B497:$X497)</f>
        <v>0</v>
      </c>
      <c r="J498" s="265">
        <f>sumif('Segment RAW Data 25-26'!$B$1:$X$1,$J$3,'Segment RAW Data 25-26'!$B497:$X497)</f>
        <v>0</v>
      </c>
      <c r="K498" s="265">
        <f>sumif('Segment RAW Data 25-26'!$B$1:$X$1,$K$3,'Segment RAW Data 25-26'!$B497:$X497)</f>
        <v>0</v>
      </c>
      <c r="L498" s="265">
        <f>sumif('Segment RAW Data 25-26'!$B$1:$X$1,$L$3,'Segment RAW Data 25-26'!$B497:$X497)</f>
        <v>0</v>
      </c>
      <c r="M498" s="270"/>
      <c r="N498" s="124"/>
      <c r="O498" s="124">
        <f>VLOOKUP(C498:C1299,'Segment RAW Data 25-26'!A497:Y1094,25,0)-VLOOKUP(C498:C1299,C:D,2,0)</f>
        <v>0</v>
      </c>
    </row>
    <row r="499" hidden="1">
      <c r="A499" s="157" t="s">
        <v>185</v>
      </c>
      <c r="B499" s="157" t="s">
        <v>96</v>
      </c>
      <c r="C499" s="157" t="s">
        <v>857</v>
      </c>
      <c r="D499" s="124">
        <f t="shared" si="1"/>
        <v>0</v>
      </c>
      <c r="E499" s="265">
        <f>sumif('Segment RAW Data 25-26'!$B$1:$X$1,$E$3,'Segment RAW Data 25-26'!$B498:$X498)</f>
        <v>0</v>
      </c>
      <c r="F499" s="265">
        <f>sumif('Segment RAW Data 25-26'!$B$1:$X$1,$F$3,'Segment RAW Data 25-26'!$B498:$X498)</f>
        <v>0</v>
      </c>
      <c r="G499" s="265">
        <f>sumif('Segment RAW Data 25-26'!$B$1:$X$1,$G$3,'Segment RAW Data 25-26'!$B498:$X498)</f>
        <v>0</v>
      </c>
      <c r="H499" s="265">
        <f>sumif('Segment RAW Data 25-26'!$B$1:$X$1,$H$3,'Segment RAW Data 25-26'!$B498:$X498)</f>
        <v>0</v>
      </c>
      <c r="I499" s="265">
        <f>sumif('Segment RAW Data 25-26'!$B$1:$X$1,$I$3,'Segment RAW Data 25-26'!$B498:$X498)</f>
        <v>0</v>
      </c>
      <c r="J499" s="265">
        <f>sumif('Segment RAW Data 25-26'!$B$1:$X$1,$J$3,'Segment RAW Data 25-26'!$B498:$X498)</f>
        <v>0</v>
      </c>
      <c r="K499" s="265">
        <f>sumif('Segment RAW Data 25-26'!$B$1:$X$1,$K$3,'Segment RAW Data 25-26'!$B498:$X498)</f>
        <v>0</v>
      </c>
      <c r="L499" s="265">
        <f>sumif('Segment RAW Data 25-26'!$B$1:$X$1,$L$3,'Segment RAW Data 25-26'!$B498:$X498)</f>
        <v>0</v>
      </c>
      <c r="M499" s="270"/>
      <c r="N499" s="124" t="s">
        <v>975</v>
      </c>
      <c r="O499" s="124">
        <f>VLOOKUP(C499:C1300,'Segment RAW Data 25-26'!A498:Y1095,25,0)-VLOOKUP(C499:C1300,C:D,2,0)</f>
        <v>0</v>
      </c>
    </row>
    <row r="500" hidden="1">
      <c r="A500" s="157" t="s">
        <v>185</v>
      </c>
      <c r="B500" s="157" t="s">
        <v>96</v>
      </c>
      <c r="C500" s="157" t="s">
        <v>858</v>
      </c>
      <c r="D500" s="124">
        <f t="shared" si="1"/>
        <v>0</v>
      </c>
      <c r="E500" s="265">
        <f>sumif('Segment RAW Data 25-26'!$B$1:$X$1,$E$3,'Segment RAW Data 25-26'!$B499:$X499)</f>
        <v>0</v>
      </c>
      <c r="F500" s="265">
        <f>sumif('Segment RAW Data 25-26'!$B$1:$X$1,$F$3,'Segment RAW Data 25-26'!$B499:$X499)</f>
        <v>0</v>
      </c>
      <c r="G500" s="265">
        <f>sumif('Segment RAW Data 25-26'!$B$1:$X$1,$G$3,'Segment RAW Data 25-26'!$B499:$X499)</f>
        <v>0</v>
      </c>
      <c r="H500" s="265">
        <f>sumif('Segment RAW Data 25-26'!$B$1:$X$1,$H$3,'Segment RAW Data 25-26'!$B499:$X499)</f>
        <v>0</v>
      </c>
      <c r="I500" s="265">
        <f>sumif('Segment RAW Data 25-26'!$B$1:$X$1,$I$3,'Segment RAW Data 25-26'!$B499:$X499)</f>
        <v>0</v>
      </c>
      <c r="J500" s="265">
        <f>sumif('Segment RAW Data 25-26'!$B$1:$X$1,$J$3,'Segment RAW Data 25-26'!$B499:$X499)</f>
        <v>0</v>
      </c>
      <c r="K500" s="265">
        <f>sumif('Segment RAW Data 25-26'!$B$1:$X$1,$K$3,'Segment RAW Data 25-26'!$B499:$X499)</f>
        <v>0</v>
      </c>
      <c r="L500" s="265">
        <f>sumif('Segment RAW Data 25-26'!$B$1:$X$1,$L$3,'Segment RAW Data 25-26'!$B499:$X499)</f>
        <v>0</v>
      </c>
      <c r="M500" s="270">
        <v>45856.0</v>
      </c>
      <c r="N500" s="124" t="s">
        <v>973</v>
      </c>
      <c r="O500" s="124">
        <f>VLOOKUP(C500:C1301,'Segment RAW Data 25-26'!A499:Y1096,25,0)-VLOOKUP(C500:C1301,C:D,2,0)</f>
        <v>0</v>
      </c>
    </row>
    <row r="501" hidden="1">
      <c r="A501" s="157"/>
      <c r="B501" s="157"/>
      <c r="C501" s="157" t="s">
        <v>859</v>
      </c>
      <c r="D501" s="124">
        <f t="shared" si="1"/>
        <v>0</v>
      </c>
      <c r="E501" s="265">
        <f>sumif('Segment RAW Data 25-26'!$B$1:$X$1,$E$3,'Segment RAW Data 25-26'!$B500:$X500)</f>
        <v>0</v>
      </c>
      <c r="F501" s="265">
        <f>sumif('Segment RAW Data 25-26'!$B$1:$X$1,$F$3,'Segment RAW Data 25-26'!$B500:$X500)</f>
        <v>0</v>
      </c>
      <c r="G501" s="265">
        <f>sumif('Segment RAW Data 25-26'!$B$1:$X$1,$G$3,'Segment RAW Data 25-26'!$B500:$X500)</f>
        <v>0</v>
      </c>
      <c r="H501" s="265">
        <f>sumif('Segment RAW Data 25-26'!$B$1:$X$1,$H$3,'Segment RAW Data 25-26'!$B500:$X500)</f>
        <v>0</v>
      </c>
      <c r="I501" s="265">
        <f>sumif('Segment RAW Data 25-26'!$B$1:$X$1,$I$3,'Segment RAW Data 25-26'!$B500:$X500)</f>
        <v>0</v>
      </c>
      <c r="J501" s="265">
        <f>sumif('Segment RAW Data 25-26'!$B$1:$X$1,$J$3,'Segment RAW Data 25-26'!$B500:$X500)</f>
        <v>0</v>
      </c>
      <c r="K501" s="265">
        <f>sumif('Segment RAW Data 25-26'!$B$1:$X$1,$K$3,'Segment RAW Data 25-26'!$B500:$X500)</f>
        <v>0</v>
      </c>
      <c r="L501" s="265">
        <f>sumif('Segment RAW Data 25-26'!$B$1:$X$1,$L$3,'Segment RAW Data 25-26'!$B500:$X500)</f>
        <v>0</v>
      </c>
      <c r="M501" s="270"/>
      <c r="N501" s="124"/>
      <c r="O501" s="124">
        <f>VLOOKUP(C501:C1302,'Segment RAW Data 25-26'!A500:Y1097,25,0)-VLOOKUP(C501:C1302,C:D,2,0)</f>
        <v>0</v>
      </c>
    </row>
    <row r="502" hidden="1">
      <c r="A502" s="157"/>
      <c r="B502" s="157"/>
      <c r="C502" s="157" t="s">
        <v>860</v>
      </c>
      <c r="D502" s="124">
        <f t="shared" si="1"/>
        <v>0</v>
      </c>
      <c r="E502" s="265">
        <f>sumif('Segment RAW Data 25-26'!$B$1:$X$1,$E$3,'Segment RAW Data 25-26'!$B501:$X501)</f>
        <v>0</v>
      </c>
      <c r="F502" s="265">
        <f>sumif('Segment RAW Data 25-26'!$B$1:$X$1,$F$3,'Segment RAW Data 25-26'!$B501:$X501)</f>
        <v>0</v>
      </c>
      <c r="G502" s="265">
        <f>sumif('Segment RAW Data 25-26'!$B$1:$X$1,$G$3,'Segment RAW Data 25-26'!$B501:$X501)</f>
        <v>0</v>
      </c>
      <c r="H502" s="265">
        <f>sumif('Segment RAW Data 25-26'!$B$1:$X$1,$H$3,'Segment RAW Data 25-26'!$B501:$X501)</f>
        <v>0</v>
      </c>
      <c r="I502" s="265">
        <f>sumif('Segment RAW Data 25-26'!$B$1:$X$1,$I$3,'Segment RAW Data 25-26'!$B501:$X501)</f>
        <v>0</v>
      </c>
      <c r="J502" s="265">
        <f>sumif('Segment RAW Data 25-26'!$B$1:$X$1,$J$3,'Segment RAW Data 25-26'!$B501:$X501)</f>
        <v>0</v>
      </c>
      <c r="K502" s="265">
        <f>sumif('Segment RAW Data 25-26'!$B$1:$X$1,$K$3,'Segment RAW Data 25-26'!$B501:$X501)</f>
        <v>0</v>
      </c>
      <c r="L502" s="265">
        <f>sumif('Segment RAW Data 25-26'!$B$1:$X$1,$L$3,'Segment RAW Data 25-26'!$B501:$X501)</f>
        <v>0</v>
      </c>
      <c r="M502" s="270"/>
      <c r="N502" s="124"/>
      <c r="O502" s="124">
        <f>VLOOKUP(C502:C1303,'Segment RAW Data 25-26'!A501:Y1098,25,0)-VLOOKUP(C502:C1303,C:D,2,0)</f>
        <v>0</v>
      </c>
    </row>
    <row r="503" hidden="1">
      <c r="A503" s="157"/>
      <c r="B503" s="157"/>
      <c r="C503" s="157" t="s">
        <v>861</v>
      </c>
      <c r="D503" s="124">
        <f t="shared" si="1"/>
        <v>0</v>
      </c>
      <c r="E503" s="265">
        <f>sumif('Segment RAW Data 25-26'!$B$1:$X$1,$E$3,'Segment RAW Data 25-26'!$B502:$X502)</f>
        <v>0</v>
      </c>
      <c r="F503" s="265">
        <f>sumif('Segment RAW Data 25-26'!$B$1:$X$1,$F$3,'Segment RAW Data 25-26'!$B502:$X502)</f>
        <v>0</v>
      </c>
      <c r="G503" s="265">
        <f>sumif('Segment RAW Data 25-26'!$B$1:$X$1,$G$3,'Segment RAW Data 25-26'!$B502:$X502)</f>
        <v>0</v>
      </c>
      <c r="H503" s="265">
        <f>sumif('Segment RAW Data 25-26'!$B$1:$X$1,$H$3,'Segment RAW Data 25-26'!$B502:$X502)</f>
        <v>0</v>
      </c>
      <c r="I503" s="265">
        <f>sumif('Segment RAW Data 25-26'!$B$1:$X$1,$I$3,'Segment RAW Data 25-26'!$B502:$X502)</f>
        <v>0</v>
      </c>
      <c r="J503" s="265">
        <f>sumif('Segment RAW Data 25-26'!$B$1:$X$1,$J$3,'Segment RAW Data 25-26'!$B502:$X502)</f>
        <v>0</v>
      </c>
      <c r="K503" s="265">
        <f>sumif('Segment RAW Data 25-26'!$B$1:$X$1,$K$3,'Segment RAW Data 25-26'!$B502:$X502)</f>
        <v>0</v>
      </c>
      <c r="L503" s="265">
        <f>sumif('Segment RAW Data 25-26'!$B$1:$X$1,$L$3,'Segment RAW Data 25-26'!$B502:$X502)</f>
        <v>0</v>
      </c>
      <c r="M503" s="270"/>
      <c r="N503" s="124"/>
      <c r="O503" s="124">
        <f>VLOOKUP(C503:C1304,'Segment RAW Data 25-26'!A502:Y1099,25,0)-VLOOKUP(C503:C1304,C:D,2,0)</f>
        <v>0</v>
      </c>
    </row>
    <row r="504" hidden="1">
      <c r="A504" s="157" t="s">
        <v>126</v>
      </c>
      <c r="B504" s="157" t="s">
        <v>130</v>
      </c>
      <c r="C504" s="157" t="s">
        <v>169</v>
      </c>
      <c r="D504" s="124">
        <f t="shared" si="1"/>
        <v>20009611.57</v>
      </c>
      <c r="E504" s="265">
        <f>sumif('Segment RAW Data 25-26'!$B$1:$X$1,$E$3,'Segment RAW Data 25-26'!$B503:$X503)</f>
        <v>17383356.07</v>
      </c>
      <c r="F504" s="265">
        <f>sumif('Segment RAW Data 25-26'!$B$1:$X$1,$F$3,'Segment RAW Data 25-26'!$B503:$X503)</f>
        <v>0</v>
      </c>
      <c r="G504" s="265">
        <f>sumif('Segment RAW Data 25-26'!$B$1:$X$1,$G$3,'Segment RAW Data 25-26'!$B503:$X503)</f>
        <v>557318</v>
      </c>
      <c r="H504" s="265">
        <f>sumif('Segment RAW Data 25-26'!$B$1:$X$1,$H$3,'Segment RAW Data 25-26'!$B503:$X503)</f>
        <v>0</v>
      </c>
      <c r="I504" s="265">
        <f>sumif('Segment RAW Data 25-26'!$B$1:$X$1,$I$3,'Segment RAW Data 25-26'!$B503:$X503)</f>
        <v>0</v>
      </c>
      <c r="J504" s="265">
        <f>sumif('Segment RAW Data 25-26'!$B$1:$X$1,$J$3,'Segment RAW Data 25-26'!$B503:$X503)</f>
        <v>0</v>
      </c>
      <c r="K504" s="265">
        <f>sumif('Segment RAW Data 25-26'!$B$1:$X$1,$K$3,'Segment RAW Data 25-26'!$B503:$X503)</f>
        <v>0</v>
      </c>
      <c r="L504" s="265">
        <f>sumif('Segment RAW Data 25-26'!$B$1:$X$1,$L$3,'Segment RAW Data 25-26'!$B503:$X503)</f>
        <v>2068937.5</v>
      </c>
      <c r="M504" s="270"/>
      <c r="N504" s="124" t="s">
        <v>975</v>
      </c>
      <c r="O504" s="124">
        <f>VLOOKUP(C504:C1305,'Segment RAW Data 25-26'!A503:Y1100,25,0)-VLOOKUP(C504:C1305,C:D,2,0)</f>
        <v>0</v>
      </c>
    </row>
    <row r="505" hidden="1">
      <c r="A505" s="157" t="s">
        <v>126</v>
      </c>
      <c r="B505" s="157" t="s">
        <v>130</v>
      </c>
      <c r="C505" s="157" t="s">
        <v>170</v>
      </c>
      <c r="D505" s="124">
        <f t="shared" si="1"/>
        <v>10214660.36</v>
      </c>
      <c r="E505" s="265">
        <f>sumif('Segment RAW Data 25-26'!$B$1:$X$1,$E$3,'Segment RAW Data 25-26'!$B504:$X504)</f>
        <v>268743.9</v>
      </c>
      <c r="F505" s="265">
        <f>sumif('Segment RAW Data 25-26'!$B$1:$X$1,$F$3,'Segment RAW Data 25-26'!$B504:$X504)</f>
        <v>5779701.75</v>
      </c>
      <c r="G505" s="265">
        <f>sumif('Segment RAW Data 25-26'!$B$1:$X$1,$G$3,'Segment RAW Data 25-26'!$B504:$X504)</f>
        <v>3116824.68</v>
      </c>
      <c r="H505" s="265">
        <f>sumif('Segment RAW Data 25-26'!$B$1:$X$1,$H$3,'Segment RAW Data 25-26'!$B504:$X504)</f>
        <v>521177.53</v>
      </c>
      <c r="I505" s="265">
        <f>sumif('Segment RAW Data 25-26'!$B$1:$X$1,$I$3,'Segment RAW Data 25-26'!$B504:$X504)</f>
        <v>0</v>
      </c>
      <c r="J505" s="265">
        <f>sumif('Segment RAW Data 25-26'!$B$1:$X$1,$J$3,'Segment RAW Data 25-26'!$B504:$X504)</f>
        <v>2565</v>
      </c>
      <c r="K505" s="265">
        <f>sumif('Segment RAW Data 25-26'!$B$1:$X$1,$K$3,'Segment RAW Data 25-26'!$B504:$X504)</f>
        <v>0</v>
      </c>
      <c r="L505" s="265">
        <f>sumif('Segment RAW Data 25-26'!$B$1:$X$1,$L$3,'Segment RAW Data 25-26'!$B504:$X504)</f>
        <v>525647.5</v>
      </c>
      <c r="M505" s="270"/>
      <c r="N505" s="124" t="s">
        <v>975</v>
      </c>
      <c r="O505" s="124">
        <f>VLOOKUP(C505:C1306,'Segment RAW Data 25-26'!A504:Y1101,25,0)-VLOOKUP(C505:C1306,C:D,2,0)</f>
        <v>0</v>
      </c>
    </row>
    <row r="506" hidden="1">
      <c r="A506" s="157"/>
      <c r="B506" s="157"/>
      <c r="C506" s="157" t="s">
        <v>862</v>
      </c>
      <c r="D506" s="124">
        <f t="shared" si="1"/>
        <v>0</v>
      </c>
      <c r="E506" s="265">
        <f>sumif('Segment RAW Data 25-26'!$B$1:$X$1,$E$3,'Segment RAW Data 25-26'!$B505:$X505)</f>
        <v>0</v>
      </c>
      <c r="F506" s="265">
        <f>sumif('Segment RAW Data 25-26'!$B$1:$X$1,$F$3,'Segment RAW Data 25-26'!$B505:$X505)</f>
        <v>0</v>
      </c>
      <c r="G506" s="265">
        <f>sumif('Segment RAW Data 25-26'!$B$1:$X$1,$G$3,'Segment RAW Data 25-26'!$B505:$X505)</f>
        <v>0</v>
      </c>
      <c r="H506" s="265">
        <f>sumif('Segment RAW Data 25-26'!$B$1:$X$1,$H$3,'Segment RAW Data 25-26'!$B505:$X505)</f>
        <v>0</v>
      </c>
      <c r="I506" s="265">
        <f>sumif('Segment RAW Data 25-26'!$B$1:$X$1,$I$3,'Segment RAW Data 25-26'!$B505:$X505)</f>
        <v>0</v>
      </c>
      <c r="J506" s="265">
        <f>sumif('Segment RAW Data 25-26'!$B$1:$X$1,$J$3,'Segment RAW Data 25-26'!$B505:$X505)</f>
        <v>0</v>
      </c>
      <c r="K506" s="265">
        <f>sumif('Segment RAW Data 25-26'!$B$1:$X$1,$K$3,'Segment RAW Data 25-26'!$B505:$X505)</f>
        <v>0</v>
      </c>
      <c r="L506" s="265">
        <f>sumif('Segment RAW Data 25-26'!$B$1:$X$1,$L$3,'Segment RAW Data 25-26'!$B505:$X505)</f>
        <v>0</v>
      </c>
      <c r="M506" s="270"/>
      <c r="N506" s="124"/>
      <c r="O506" s="124">
        <f>VLOOKUP(C506:C1307,'Segment RAW Data 25-26'!A505:Y1102,25,0)-VLOOKUP(C506:C1307,C:D,2,0)</f>
        <v>0</v>
      </c>
    </row>
    <row r="507" hidden="1">
      <c r="A507" s="157" t="s">
        <v>185</v>
      </c>
      <c r="B507" s="157" t="s">
        <v>189</v>
      </c>
      <c r="C507" s="157" t="s">
        <v>418</v>
      </c>
      <c r="D507" s="124">
        <f t="shared" si="1"/>
        <v>2236523.52</v>
      </c>
      <c r="E507" s="265">
        <f>sumif('Segment RAW Data 25-26'!$B$1:$X$1,$E$3,'Segment RAW Data 25-26'!$B506:$X506)</f>
        <v>0</v>
      </c>
      <c r="F507" s="265">
        <f>sumif('Segment RAW Data 25-26'!$B$1:$X$1,$F$3,'Segment RAW Data 25-26'!$B506:$X506)</f>
        <v>211747.94</v>
      </c>
      <c r="G507" s="265">
        <f>sumif('Segment RAW Data 25-26'!$B$1:$X$1,$G$3,'Segment RAW Data 25-26'!$B506:$X506)</f>
        <v>1998952.51</v>
      </c>
      <c r="H507" s="265">
        <f>sumif('Segment RAW Data 25-26'!$B$1:$X$1,$H$3,'Segment RAW Data 25-26'!$B506:$X506)</f>
        <v>25823.07</v>
      </c>
      <c r="I507" s="265">
        <f>sumif('Segment RAW Data 25-26'!$B$1:$X$1,$I$3,'Segment RAW Data 25-26'!$B506:$X506)</f>
        <v>0</v>
      </c>
      <c r="J507" s="265">
        <f>sumif('Segment RAW Data 25-26'!$B$1:$X$1,$J$3,'Segment RAW Data 25-26'!$B506:$X506)</f>
        <v>0</v>
      </c>
      <c r="K507" s="265">
        <f>sumif('Segment RAW Data 25-26'!$B$1:$X$1,$K$3,'Segment RAW Data 25-26'!$B506:$X506)</f>
        <v>0</v>
      </c>
      <c r="L507" s="265">
        <f>sumif('Segment RAW Data 25-26'!$B$1:$X$1,$L$3,'Segment RAW Data 25-26'!$B506:$X506)</f>
        <v>0</v>
      </c>
      <c r="M507" s="270">
        <v>45991.0</v>
      </c>
      <c r="N507" s="124" t="s">
        <v>973</v>
      </c>
      <c r="O507" s="124">
        <f>VLOOKUP(C507:C1308,'Segment RAW Data 25-26'!A506:Y1103,25,0)-VLOOKUP(C507:C1308,C:D,2,0)</f>
        <v>0</v>
      </c>
    </row>
    <row r="508" hidden="1">
      <c r="A508" s="157"/>
      <c r="B508" s="157"/>
      <c r="C508" s="157" t="s">
        <v>863</v>
      </c>
      <c r="D508" s="124">
        <f t="shared" si="1"/>
        <v>0</v>
      </c>
      <c r="E508" s="265">
        <f>sumif('Segment RAW Data 25-26'!$B$1:$X$1,$E$3,'Segment RAW Data 25-26'!$B507:$X507)</f>
        <v>0</v>
      </c>
      <c r="F508" s="265">
        <f>sumif('Segment RAW Data 25-26'!$B$1:$X$1,$F$3,'Segment RAW Data 25-26'!$B507:$X507)</f>
        <v>0</v>
      </c>
      <c r="G508" s="265">
        <f>sumif('Segment RAW Data 25-26'!$B$1:$X$1,$G$3,'Segment RAW Data 25-26'!$B507:$X507)</f>
        <v>0</v>
      </c>
      <c r="H508" s="265">
        <f>sumif('Segment RAW Data 25-26'!$B$1:$X$1,$H$3,'Segment RAW Data 25-26'!$B507:$X507)</f>
        <v>0</v>
      </c>
      <c r="I508" s="265">
        <f>sumif('Segment RAW Data 25-26'!$B$1:$X$1,$I$3,'Segment RAW Data 25-26'!$B507:$X507)</f>
        <v>0</v>
      </c>
      <c r="J508" s="265">
        <f>sumif('Segment RAW Data 25-26'!$B$1:$X$1,$J$3,'Segment RAW Data 25-26'!$B507:$X507)</f>
        <v>0</v>
      </c>
      <c r="K508" s="265">
        <f>sumif('Segment RAW Data 25-26'!$B$1:$X$1,$K$3,'Segment RAW Data 25-26'!$B507:$X507)</f>
        <v>0</v>
      </c>
      <c r="L508" s="265">
        <f>sumif('Segment RAW Data 25-26'!$B$1:$X$1,$L$3,'Segment RAW Data 25-26'!$B507:$X507)</f>
        <v>0</v>
      </c>
      <c r="M508" s="270"/>
      <c r="N508" s="124"/>
      <c r="O508" s="124">
        <f>VLOOKUP(C508:C1309,'Segment RAW Data 25-26'!A507:Y1104,25,0)-VLOOKUP(C508:C1309,C:D,2,0)</f>
        <v>0</v>
      </c>
    </row>
    <row r="509" hidden="1">
      <c r="A509" s="157" t="s">
        <v>185</v>
      </c>
      <c r="B509" s="157" t="s">
        <v>114</v>
      </c>
      <c r="C509" s="157" t="s">
        <v>124</v>
      </c>
      <c r="D509" s="124">
        <f t="shared" si="1"/>
        <v>20718919.35</v>
      </c>
      <c r="E509" s="265">
        <f>sumif('Segment RAW Data 25-26'!$B$1:$X$1,$E$3,'Segment RAW Data 25-26'!$B508:$X508)</f>
        <v>7368656.5</v>
      </c>
      <c r="F509" s="265">
        <f>sumif('Segment RAW Data 25-26'!$B$1:$X$1,$F$3,'Segment RAW Data 25-26'!$B508:$X508)</f>
        <v>2035918.5</v>
      </c>
      <c r="G509" s="265">
        <f>sumif('Segment RAW Data 25-26'!$B$1:$X$1,$G$3,'Segment RAW Data 25-26'!$B508:$X508)</f>
        <v>9457296.85</v>
      </c>
      <c r="H509" s="265">
        <f>sumif('Segment RAW Data 25-26'!$B$1:$X$1,$H$3,'Segment RAW Data 25-26'!$B508:$X508)</f>
        <v>1288732.5</v>
      </c>
      <c r="I509" s="265">
        <f>sumif('Segment RAW Data 25-26'!$B$1:$X$1,$I$3,'Segment RAW Data 25-26'!$B508:$X508)</f>
        <v>0</v>
      </c>
      <c r="J509" s="265">
        <f>sumif('Segment RAW Data 25-26'!$B$1:$X$1,$J$3,'Segment RAW Data 25-26'!$B508:$X508)</f>
        <v>568315</v>
      </c>
      <c r="K509" s="265">
        <f>sumif('Segment RAW Data 25-26'!$B$1:$X$1,$K$3,'Segment RAW Data 25-26'!$B508:$X508)</f>
        <v>0</v>
      </c>
      <c r="L509" s="265">
        <f>sumif('Segment RAW Data 25-26'!$B$1:$X$1,$L$3,'Segment RAW Data 25-26'!$B508:$X508)</f>
        <v>0</v>
      </c>
      <c r="M509" s="270"/>
      <c r="N509" s="124" t="s">
        <v>975</v>
      </c>
      <c r="O509" s="124">
        <f>VLOOKUP(C509:C1310,'Segment RAW Data 25-26'!A508:Y1105,25,0)-VLOOKUP(C509:C1310,C:D,2,0)</f>
        <v>0.009999997914</v>
      </c>
    </row>
    <row r="510" hidden="1">
      <c r="A510" s="157" t="s">
        <v>185</v>
      </c>
      <c r="B510" s="157" t="s">
        <v>85</v>
      </c>
      <c r="C510" s="157" t="s">
        <v>90</v>
      </c>
      <c r="D510" s="124">
        <f t="shared" si="1"/>
        <v>10609300.15</v>
      </c>
      <c r="E510" s="265">
        <f>sumif('Segment RAW Data 25-26'!$B$1:$X$1,$E$3,'Segment RAW Data 25-26'!$B509:$X509)</f>
        <v>0</v>
      </c>
      <c r="F510" s="265">
        <f>sumif('Segment RAW Data 25-26'!$B$1:$X$1,$F$3,'Segment RAW Data 25-26'!$B509:$X509)</f>
        <v>4254929</v>
      </c>
      <c r="G510" s="265">
        <f>sumif('Segment RAW Data 25-26'!$B$1:$X$1,$G$3,'Segment RAW Data 25-26'!$B509:$X509)</f>
        <v>3266375.25</v>
      </c>
      <c r="H510" s="265">
        <f>sumif('Segment RAW Data 25-26'!$B$1:$X$1,$H$3,'Segment RAW Data 25-26'!$B509:$X509)</f>
        <v>1388520.65</v>
      </c>
      <c r="I510" s="265">
        <f>sumif('Segment RAW Data 25-26'!$B$1:$X$1,$I$3,'Segment RAW Data 25-26'!$B509:$X509)</f>
        <v>0</v>
      </c>
      <c r="J510" s="265">
        <f>sumif('Segment RAW Data 25-26'!$B$1:$X$1,$J$3,'Segment RAW Data 25-26'!$B509:$X509)</f>
        <v>1699475.25</v>
      </c>
      <c r="K510" s="265">
        <f>sumif('Segment RAW Data 25-26'!$B$1:$X$1,$K$3,'Segment RAW Data 25-26'!$B509:$X509)</f>
        <v>0</v>
      </c>
      <c r="L510" s="265">
        <f>sumif('Segment RAW Data 25-26'!$B$1:$X$1,$L$3,'Segment RAW Data 25-26'!$B509:$X509)</f>
        <v>0</v>
      </c>
      <c r="M510" s="270"/>
      <c r="N510" s="124" t="s">
        <v>975</v>
      </c>
      <c r="O510" s="124">
        <f>VLOOKUP(C510:C1311,'Segment RAW Data 25-26'!A509:Y1106,25,0)-VLOOKUP(C510:C1311,C:D,2,0)</f>
        <v>0</v>
      </c>
    </row>
    <row r="511" hidden="1">
      <c r="A511" s="157" t="s">
        <v>126</v>
      </c>
      <c r="B511" s="157" t="s">
        <v>130</v>
      </c>
      <c r="C511" s="157" t="s">
        <v>446</v>
      </c>
      <c r="D511" s="124">
        <f t="shared" si="1"/>
        <v>4367670.12</v>
      </c>
      <c r="E511" s="265">
        <f>sumif('Segment RAW Data 25-26'!$B$1:$X$1,$E$3,'Segment RAW Data 25-26'!$B510:$X510)</f>
        <v>2326998.9</v>
      </c>
      <c r="F511" s="265">
        <f>sumif('Segment RAW Data 25-26'!$B$1:$X$1,$F$3,'Segment RAW Data 25-26'!$B510:$X510)</f>
        <v>335657.7</v>
      </c>
      <c r="G511" s="265">
        <f>sumif('Segment RAW Data 25-26'!$B$1:$X$1,$G$3,'Segment RAW Data 25-26'!$B510:$X510)</f>
        <v>800447.37</v>
      </c>
      <c r="H511" s="265">
        <f>sumif('Segment RAW Data 25-26'!$B$1:$X$1,$H$3,'Segment RAW Data 25-26'!$B510:$X510)</f>
        <v>185662.4</v>
      </c>
      <c r="I511" s="265">
        <f>sumif('Segment RAW Data 25-26'!$B$1:$X$1,$I$3,'Segment RAW Data 25-26'!$B510:$X510)</f>
        <v>0</v>
      </c>
      <c r="J511" s="265">
        <f>sumif('Segment RAW Data 25-26'!$B$1:$X$1,$J$3,'Segment RAW Data 25-26'!$B510:$X510)</f>
        <v>138663.75</v>
      </c>
      <c r="K511" s="265">
        <f>sumif('Segment RAW Data 25-26'!$B$1:$X$1,$K$3,'Segment RAW Data 25-26'!$B510:$X510)</f>
        <v>0</v>
      </c>
      <c r="L511" s="265">
        <f>sumif('Segment RAW Data 25-26'!$B$1:$X$1,$L$3,'Segment RAW Data 25-26'!$B510:$X510)</f>
        <v>580240</v>
      </c>
      <c r="M511" s="270">
        <v>45913.0</v>
      </c>
      <c r="N511" s="124" t="s">
        <v>973</v>
      </c>
      <c r="O511" s="124">
        <f>VLOOKUP(C511:C1312,'Segment RAW Data 25-26'!A510:Y1107,25,0)-VLOOKUP(C511:C1312,C:D,2,0)</f>
        <v>0.0000000009313225746</v>
      </c>
    </row>
    <row r="512" hidden="1">
      <c r="A512" s="157" t="s">
        <v>185</v>
      </c>
      <c r="B512" s="157" t="s">
        <v>189</v>
      </c>
      <c r="C512" s="157" t="s">
        <v>275</v>
      </c>
      <c r="D512" s="124">
        <f t="shared" si="1"/>
        <v>39724716.31</v>
      </c>
      <c r="E512" s="265">
        <f>sumif('Segment RAW Data 25-26'!$B$1:$X$1,$E$3,'Segment RAW Data 25-26'!$B511:$X511)</f>
        <v>13665725.35</v>
      </c>
      <c r="F512" s="265">
        <f>sumif('Segment RAW Data 25-26'!$B$1:$X$1,$F$3,'Segment RAW Data 25-26'!$B511:$X511)</f>
        <v>6547296.15</v>
      </c>
      <c r="G512" s="265">
        <f>sumif('Segment RAW Data 25-26'!$B$1:$X$1,$G$3,'Segment RAW Data 25-26'!$B511:$X511)</f>
        <v>13552919.11</v>
      </c>
      <c r="H512" s="265">
        <f>sumif('Segment RAW Data 25-26'!$B$1:$X$1,$H$3,'Segment RAW Data 25-26'!$B511:$X511)</f>
        <v>833421.1</v>
      </c>
      <c r="I512" s="265">
        <f>sumif('Segment RAW Data 25-26'!$B$1:$X$1,$I$3,'Segment RAW Data 25-26'!$B511:$X511)</f>
        <v>0</v>
      </c>
      <c r="J512" s="265">
        <f>sumif('Segment RAW Data 25-26'!$B$1:$X$1,$J$3,'Segment RAW Data 25-26'!$B511:$X511)</f>
        <v>2130594.2</v>
      </c>
      <c r="K512" s="265">
        <f>sumif('Segment RAW Data 25-26'!$B$1:$X$1,$K$3,'Segment RAW Data 25-26'!$B511:$X511)</f>
        <v>241264.4</v>
      </c>
      <c r="L512" s="265">
        <f>sumif('Segment RAW Data 25-26'!$B$1:$X$1,$L$3,'Segment RAW Data 25-26'!$B511:$X511)</f>
        <v>2753496</v>
      </c>
      <c r="M512" s="270"/>
      <c r="N512" s="124" t="s">
        <v>975</v>
      </c>
      <c r="O512" s="124">
        <f>VLOOKUP(C512:C1313,'Segment RAW Data 25-26'!A511:Y1108,25,0)-VLOOKUP(C512:C1313,C:D,2,0)</f>
        <v>-0.01000000536</v>
      </c>
    </row>
    <row r="513" hidden="1">
      <c r="A513" s="157" t="s">
        <v>185</v>
      </c>
      <c r="B513" s="157" t="s">
        <v>215</v>
      </c>
      <c r="C513" s="157" t="s">
        <v>277</v>
      </c>
      <c r="D513" s="124">
        <f t="shared" si="1"/>
        <v>20736406.72</v>
      </c>
      <c r="E513" s="265">
        <f>sumif('Segment RAW Data 25-26'!$B$1:$X$1,$E$3,'Segment RAW Data 25-26'!$B512:$X512)</f>
        <v>11659256.73</v>
      </c>
      <c r="F513" s="265">
        <f>sumif('Segment RAW Data 25-26'!$B$1:$X$1,$F$3,'Segment RAW Data 25-26'!$B512:$X512)</f>
        <v>4909266.79</v>
      </c>
      <c r="G513" s="265">
        <f>sumif('Segment RAW Data 25-26'!$B$1:$X$1,$G$3,'Segment RAW Data 25-26'!$B512:$X512)</f>
        <v>1864458.99</v>
      </c>
      <c r="H513" s="265">
        <f>sumif('Segment RAW Data 25-26'!$B$1:$X$1,$H$3,'Segment RAW Data 25-26'!$B512:$X512)</f>
        <v>739489.81</v>
      </c>
      <c r="I513" s="265">
        <f>sumif('Segment RAW Data 25-26'!$B$1:$X$1,$I$3,'Segment RAW Data 25-26'!$B512:$X512)</f>
        <v>0</v>
      </c>
      <c r="J513" s="265">
        <f>sumif('Segment RAW Data 25-26'!$B$1:$X$1,$J$3,'Segment RAW Data 25-26'!$B512:$X512)</f>
        <v>846539.4</v>
      </c>
      <c r="K513" s="265">
        <f>sumif('Segment RAW Data 25-26'!$B$1:$X$1,$K$3,'Segment RAW Data 25-26'!$B512:$X512)</f>
        <v>17050</v>
      </c>
      <c r="L513" s="265">
        <f>sumif('Segment RAW Data 25-26'!$B$1:$X$1,$L$3,'Segment RAW Data 25-26'!$B512:$X512)</f>
        <v>700345</v>
      </c>
      <c r="M513" s="270"/>
      <c r="N513" s="124" t="s">
        <v>975</v>
      </c>
      <c r="O513" s="124">
        <f>VLOOKUP(C513:C1314,'Segment RAW Data 25-26'!A512:Y1109,25,0)-VLOOKUP(C513:C1314,C:D,2,0)</f>
        <v>-0.009999994189</v>
      </c>
    </row>
    <row r="514" hidden="1">
      <c r="A514" s="157"/>
      <c r="B514" s="157"/>
      <c r="C514" s="157" t="s">
        <v>864</v>
      </c>
      <c r="D514" s="124">
        <f t="shared" si="1"/>
        <v>0</v>
      </c>
      <c r="E514" s="265">
        <f>sumif('Segment RAW Data 25-26'!$B$1:$X$1,$E$3,'Segment RAW Data 25-26'!$B513:$X513)</f>
        <v>0</v>
      </c>
      <c r="F514" s="265">
        <f>sumif('Segment RAW Data 25-26'!$B$1:$X$1,$F$3,'Segment RAW Data 25-26'!$B513:$X513)</f>
        <v>0</v>
      </c>
      <c r="G514" s="265">
        <f>sumif('Segment RAW Data 25-26'!$B$1:$X$1,$G$3,'Segment RAW Data 25-26'!$B513:$X513)</f>
        <v>0</v>
      </c>
      <c r="H514" s="265">
        <f>sumif('Segment RAW Data 25-26'!$B$1:$X$1,$H$3,'Segment RAW Data 25-26'!$B513:$X513)</f>
        <v>0</v>
      </c>
      <c r="I514" s="265">
        <f>sumif('Segment RAW Data 25-26'!$B$1:$X$1,$I$3,'Segment RAW Data 25-26'!$B513:$X513)</f>
        <v>0</v>
      </c>
      <c r="J514" s="265">
        <f>sumif('Segment RAW Data 25-26'!$B$1:$X$1,$J$3,'Segment RAW Data 25-26'!$B513:$X513)</f>
        <v>0</v>
      </c>
      <c r="K514" s="265">
        <f>sumif('Segment RAW Data 25-26'!$B$1:$X$1,$K$3,'Segment RAW Data 25-26'!$B513:$X513)</f>
        <v>0</v>
      </c>
      <c r="L514" s="265">
        <f>sumif('Segment RAW Data 25-26'!$B$1:$X$1,$L$3,'Segment RAW Data 25-26'!$B513:$X513)</f>
        <v>0</v>
      </c>
      <c r="M514" s="270"/>
      <c r="N514" s="124"/>
      <c r="O514" s="124">
        <f>VLOOKUP(C514:C1315,'Segment RAW Data 25-26'!A513:Y1110,25,0)-VLOOKUP(C514:C1315,C:D,2,0)</f>
        <v>0</v>
      </c>
    </row>
    <row r="515" hidden="1">
      <c r="A515" s="157" t="s">
        <v>185</v>
      </c>
      <c r="B515" s="157" t="s">
        <v>212</v>
      </c>
      <c r="C515" s="157" t="s">
        <v>279</v>
      </c>
      <c r="D515" s="124">
        <f t="shared" si="1"/>
        <v>18142053.72</v>
      </c>
      <c r="E515" s="265">
        <f>sumif('Segment RAW Data 25-26'!$B$1:$X$1,$E$3,'Segment RAW Data 25-26'!$B514:$X514)</f>
        <v>10461848.53</v>
      </c>
      <c r="F515" s="265">
        <f>sumif('Segment RAW Data 25-26'!$B$1:$X$1,$F$3,'Segment RAW Data 25-26'!$B514:$X514)</f>
        <v>3982768.75</v>
      </c>
      <c r="G515" s="265">
        <f>sumif('Segment RAW Data 25-26'!$B$1:$X$1,$G$3,'Segment RAW Data 25-26'!$B514:$X514)</f>
        <v>1671831.97</v>
      </c>
      <c r="H515" s="265">
        <f>sumif('Segment RAW Data 25-26'!$B$1:$X$1,$H$3,'Segment RAW Data 25-26'!$B514:$X514)</f>
        <v>90538.42</v>
      </c>
      <c r="I515" s="265">
        <f>sumif('Segment RAW Data 25-26'!$B$1:$X$1,$I$3,'Segment RAW Data 25-26'!$B514:$X514)</f>
        <v>0</v>
      </c>
      <c r="J515" s="265">
        <f>sumif('Segment RAW Data 25-26'!$B$1:$X$1,$J$3,'Segment RAW Data 25-26'!$B514:$X514)</f>
        <v>818641.94</v>
      </c>
      <c r="K515" s="265">
        <f>sumif('Segment RAW Data 25-26'!$B$1:$X$1,$K$3,'Segment RAW Data 25-26'!$B514:$X514)</f>
        <v>12529.44</v>
      </c>
      <c r="L515" s="265">
        <f>sumif('Segment RAW Data 25-26'!$B$1:$X$1,$L$3,'Segment RAW Data 25-26'!$B514:$X514)</f>
        <v>1103894.67</v>
      </c>
      <c r="M515" s="270"/>
      <c r="N515" s="124" t="s">
        <v>975</v>
      </c>
      <c r="O515" s="124">
        <f>VLOOKUP(C515:C1316,'Segment RAW Data 25-26'!A514:Y1111,25,0)-VLOOKUP(C515:C1316,C:D,2,0)</f>
        <v>0.009999994189</v>
      </c>
    </row>
    <row r="516" hidden="1">
      <c r="A516" s="157"/>
      <c r="B516" s="157"/>
      <c r="C516" s="157" t="s">
        <v>865</v>
      </c>
      <c r="D516" s="124">
        <f t="shared" si="1"/>
        <v>0</v>
      </c>
      <c r="E516" s="265">
        <f>sumif('Segment RAW Data 25-26'!$B$1:$X$1,$E$3,'Segment RAW Data 25-26'!$B515:$X515)</f>
        <v>0</v>
      </c>
      <c r="F516" s="265">
        <f>sumif('Segment RAW Data 25-26'!$B$1:$X$1,$F$3,'Segment RAW Data 25-26'!$B515:$X515)</f>
        <v>0</v>
      </c>
      <c r="G516" s="265">
        <f>sumif('Segment RAW Data 25-26'!$B$1:$X$1,$G$3,'Segment RAW Data 25-26'!$B515:$X515)</f>
        <v>0</v>
      </c>
      <c r="H516" s="265">
        <f>sumif('Segment RAW Data 25-26'!$B$1:$X$1,$H$3,'Segment RAW Data 25-26'!$B515:$X515)</f>
        <v>0</v>
      </c>
      <c r="I516" s="265">
        <f>sumif('Segment RAW Data 25-26'!$B$1:$X$1,$I$3,'Segment RAW Data 25-26'!$B515:$X515)</f>
        <v>0</v>
      </c>
      <c r="J516" s="265">
        <f>sumif('Segment RAW Data 25-26'!$B$1:$X$1,$J$3,'Segment RAW Data 25-26'!$B515:$X515)</f>
        <v>0</v>
      </c>
      <c r="K516" s="265">
        <f>sumif('Segment RAW Data 25-26'!$B$1:$X$1,$K$3,'Segment RAW Data 25-26'!$B515:$X515)</f>
        <v>0</v>
      </c>
      <c r="L516" s="265">
        <f>sumif('Segment RAW Data 25-26'!$B$1:$X$1,$L$3,'Segment RAW Data 25-26'!$B515:$X515)</f>
        <v>0</v>
      </c>
      <c r="M516" s="270"/>
      <c r="N516" s="124"/>
      <c r="O516" s="124">
        <f>VLOOKUP(C516:C1317,'Segment RAW Data 25-26'!A515:Y1112,25,0)-VLOOKUP(C516:C1317,C:D,2,0)</f>
        <v>0</v>
      </c>
    </row>
    <row r="517" hidden="1">
      <c r="A517" s="157" t="s">
        <v>185</v>
      </c>
      <c r="B517" s="157" t="s">
        <v>85</v>
      </c>
      <c r="C517" s="157" t="s">
        <v>388</v>
      </c>
      <c r="D517" s="124">
        <f t="shared" si="1"/>
        <v>47630</v>
      </c>
      <c r="E517" s="265">
        <f>sumif('Segment RAW Data 25-26'!$B$1:$X$1,$E$3,'Segment RAW Data 25-26'!$B516:$X516)</f>
        <v>0</v>
      </c>
      <c r="F517" s="265">
        <f>sumif('Segment RAW Data 25-26'!$B$1:$X$1,$F$3,'Segment RAW Data 25-26'!$B516:$X516)</f>
        <v>26048</v>
      </c>
      <c r="G517" s="265">
        <f>sumif('Segment RAW Data 25-26'!$B$1:$X$1,$G$3,'Segment RAW Data 25-26'!$B516:$X516)</f>
        <v>10109</v>
      </c>
      <c r="H517" s="265">
        <f>sumif('Segment RAW Data 25-26'!$B$1:$X$1,$H$3,'Segment RAW Data 25-26'!$B516:$X516)</f>
        <v>11473</v>
      </c>
      <c r="I517" s="265">
        <f>sumif('Segment RAW Data 25-26'!$B$1:$X$1,$I$3,'Segment RAW Data 25-26'!$B516:$X516)</f>
        <v>0</v>
      </c>
      <c r="J517" s="265">
        <f>sumif('Segment RAW Data 25-26'!$B$1:$X$1,$J$3,'Segment RAW Data 25-26'!$B516:$X516)</f>
        <v>0</v>
      </c>
      <c r="K517" s="265">
        <f>sumif('Segment RAW Data 25-26'!$B$1:$X$1,$K$3,'Segment RAW Data 25-26'!$B516:$X516)</f>
        <v>0</v>
      </c>
      <c r="L517" s="265">
        <f>sumif('Segment RAW Data 25-26'!$B$1:$X$1,$L$3,'Segment RAW Data 25-26'!$B516:$X516)</f>
        <v>0</v>
      </c>
      <c r="M517" s="270">
        <v>45762.0</v>
      </c>
      <c r="N517" s="124" t="s">
        <v>973</v>
      </c>
      <c r="O517" s="124">
        <f>VLOOKUP(C517:C1318,'Segment RAW Data 25-26'!A516:Y1113,25,0)-VLOOKUP(C517:C1318,C:D,2,0)</f>
        <v>0</v>
      </c>
    </row>
    <row r="518" hidden="1">
      <c r="A518" s="157" t="s">
        <v>298</v>
      </c>
      <c r="B518" s="157" t="s">
        <v>301</v>
      </c>
      <c r="C518" s="157" t="s">
        <v>356</v>
      </c>
      <c r="D518" s="124">
        <f t="shared" si="1"/>
        <v>1792672.44</v>
      </c>
      <c r="E518" s="265">
        <f>sumif('Segment RAW Data 25-26'!$B$1:$X$1,$E$3,'Segment RAW Data 25-26'!$B517:$X517)</f>
        <v>57659.5</v>
      </c>
      <c r="F518" s="265">
        <f>sumif('Segment RAW Data 25-26'!$B$1:$X$1,$F$3,'Segment RAW Data 25-26'!$B517:$X517)</f>
        <v>1349341.5</v>
      </c>
      <c r="G518" s="265">
        <f>sumif('Segment RAW Data 25-26'!$B$1:$X$1,$G$3,'Segment RAW Data 25-26'!$B517:$X517)</f>
        <v>254726.64</v>
      </c>
      <c r="H518" s="265">
        <f>sumif('Segment RAW Data 25-26'!$B$1:$X$1,$H$3,'Segment RAW Data 25-26'!$B517:$X517)</f>
        <v>130944.8</v>
      </c>
      <c r="I518" s="265">
        <f>sumif('Segment RAW Data 25-26'!$B$1:$X$1,$I$3,'Segment RAW Data 25-26'!$B517:$X517)</f>
        <v>0</v>
      </c>
      <c r="J518" s="265">
        <f>sumif('Segment RAW Data 25-26'!$B$1:$X$1,$J$3,'Segment RAW Data 25-26'!$B517:$X517)</f>
        <v>0</v>
      </c>
      <c r="K518" s="265">
        <f>sumif('Segment RAW Data 25-26'!$B$1:$X$1,$K$3,'Segment RAW Data 25-26'!$B517:$X517)</f>
        <v>0</v>
      </c>
      <c r="L518" s="265">
        <f>sumif('Segment RAW Data 25-26'!$B$1:$X$1,$L$3,'Segment RAW Data 25-26'!$B517:$X517)</f>
        <v>0</v>
      </c>
      <c r="M518" s="270">
        <v>45899.0</v>
      </c>
      <c r="N518" s="124" t="s">
        <v>973</v>
      </c>
      <c r="O518" s="124">
        <f>VLOOKUP(C518:C1319,'Segment RAW Data 25-26'!A517:Y1114,25,0)-VLOOKUP(C518:C1319,C:D,2,0)</f>
        <v>-0.0000000002328306437</v>
      </c>
    </row>
    <row r="519" hidden="1">
      <c r="A519" s="157" t="s">
        <v>23</v>
      </c>
      <c r="B519" s="157" t="s">
        <v>37</v>
      </c>
      <c r="C519" s="157" t="s">
        <v>35</v>
      </c>
      <c r="D519" s="124">
        <f t="shared" si="1"/>
        <v>7218770.48</v>
      </c>
      <c r="E519" s="265">
        <f>sumif('Segment RAW Data 25-26'!$B$1:$X$1,$E$3,'Segment RAW Data 25-26'!$B518:$X518)</f>
        <v>1234492.8</v>
      </c>
      <c r="F519" s="265">
        <f>sumif('Segment RAW Data 25-26'!$B$1:$X$1,$F$3,'Segment RAW Data 25-26'!$B518:$X518)</f>
        <v>1104240.2</v>
      </c>
      <c r="G519" s="265">
        <f>sumif('Segment RAW Data 25-26'!$B$1:$X$1,$G$3,'Segment RAW Data 25-26'!$B518:$X518)</f>
        <v>1746465.23</v>
      </c>
      <c r="H519" s="265">
        <f>sumif('Segment RAW Data 25-26'!$B$1:$X$1,$H$3,'Segment RAW Data 25-26'!$B518:$X518)</f>
        <v>55739.7</v>
      </c>
      <c r="I519" s="265">
        <f>sumif('Segment RAW Data 25-26'!$B$1:$X$1,$I$3,'Segment RAW Data 25-26'!$B518:$X518)</f>
        <v>0</v>
      </c>
      <c r="J519" s="265">
        <f>sumif('Segment RAW Data 25-26'!$B$1:$X$1,$J$3,'Segment RAW Data 25-26'!$B518:$X518)</f>
        <v>1744328.3</v>
      </c>
      <c r="K519" s="265">
        <f>sumif('Segment RAW Data 25-26'!$B$1:$X$1,$K$3,'Segment RAW Data 25-26'!$B518:$X518)</f>
        <v>33318</v>
      </c>
      <c r="L519" s="265">
        <f>sumif('Segment RAW Data 25-26'!$B$1:$X$1,$L$3,'Segment RAW Data 25-26'!$B518:$X518)</f>
        <v>1300186.25</v>
      </c>
      <c r="M519" s="270"/>
      <c r="N519" s="124" t="s">
        <v>975</v>
      </c>
      <c r="O519" s="124">
        <f>VLOOKUP(C519:C1320,'Segment RAW Data 25-26'!A518:Y1115,25,0)-VLOOKUP(C519:C1320,C:D,2,0)</f>
        <v>0</v>
      </c>
    </row>
    <row r="520" hidden="1">
      <c r="A520" s="157" t="s">
        <v>126</v>
      </c>
      <c r="B520" s="157" t="s">
        <v>135</v>
      </c>
      <c r="C520" s="157" t="s">
        <v>171</v>
      </c>
      <c r="D520" s="124">
        <f t="shared" si="1"/>
        <v>6786619.7</v>
      </c>
      <c r="E520" s="265">
        <f>sumif('Segment RAW Data 25-26'!$B$1:$X$1,$E$3,'Segment RAW Data 25-26'!$B519:$X519)</f>
        <v>3859632.32</v>
      </c>
      <c r="F520" s="265">
        <f>sumif('Segment RAW Data 25-26'!$B$1:$X$1,$F$3,'Segment RAW Data 25-26'!$B519:$X519)</f>
        <v>1469603.78</v>
      </c>
      <c r="G520" s="265">
        <f>sumif('Segment RAW Data 25-26'!$B$1:$X$1,$G$3,'Segment RAW Data 25-26'!$B519:$X519)</f>
        <v>992155.4</v>
      </c>
      <c r="H520" s="265">
        <f>sumif('Segment RAW Data 25-26'!$B$1:$X$1,$H$3,'Segment RAW Data 25-26'!$B519:$X519)</f>
        <v>100130.8</v>
      </c>
      <c r="I520" s="265">
        <f>sumif('Segment RAW Data 25-26'!$B$1:$X$1,$I$3,'Segment RAW Data 25-26'!$B519:$X519)</f>
        <v>0</v>
      </c>
      <c r="J520" s="265">
        <f>sumif('Segment RAW Data 25-26'!$B$1:$X$1,$J$3,'Segment RAW Data 25-26'!$B519:$X519)</f>
        <v>365097.4</v>
      </c>
      <c r="K520" s="265">
        <f>sumif('Segment RAW Data 25-26'!$B$1:$X$1,$K$3,'Segment RAW Data 25-26'!$B519:$X519)</f>
        <v>0</v>
      </c>
      <c r="L520" s="265">
        <f>sumif('Segment RAW Data 25-26'!$B$1:$X$1,$L$3,'Segment RAW Data 25-26'!$B519:$X519)</f>
        <v>0</v>
      </c>
      <c r="M520" s="270"/>
      <c r="N520" s="124" t="s">
        <v>975</v>
      </c>
      <c r="O520" s="124">
        <f>VLOOKUP(C520:C1321,'Segment RAW Data 25-26'!A519:Y1116,25,0)-VLOOKUP(C520:C1321,C:D,2,0)</f>
        <v>-0.01000000071</v>
      </c>
    </row>
    <row r="521" hidden="1">
      <c r="A521" s="157" t="s">
        <v>185</v>
      </c>
      <c r="B521" s="157" t="s">
        <v>85</v>
      </c>
      <c r="C521" s="157" t="s">
        <v>390</v>
      </c>
      <c r="D521" s="124">
        <f t="shared" si="1"/>
        <v>818223.7</v>
      </c>
      <c r="E521" s="265">
        <f>sumif('Segment RAW Data 25-26'!$B$1:$X$1,$E$3,'Segment RAW Data 25-26'!$B520:$X520)</f>
        <v>0</v>
      </c>
      <c r="F521" s="265">
        <f>sumif('Segment RAW Data 25-26'!$B$1:$X$1,$F$3,'Segment RAW Data 25-26'!$B520:$X520)</f>
        <v>72730.7</v>
      </c>
      <c r="G521" s="265">
        <f>sumif('Segment RAW Data 25-26'!$B$1:$X$1,$G$3,'Segment RAW Data 25-26'!$B520:$X520)</f>
        <v>335758.4</v>
      </c>
      <c r="H521" s="265">
        <f>sumif('Segment RAW Data 25-26'!$B$1:$X$1,$H$3,'Segment RAW Data 25-26'!$B520:$X520)</f>
        <v>14322</v>
      </c>
      <c r="I521" s="265">
        <f>sumif('Segment RAW Data 25-26'!$B$1:$X$1,$I$3,'Segment RAW Data 25-26'!$B520:$X520)</f>
        <v>0</v>
      </c>
      <c r="J521" s="265">
        <f>sumif('Segment RAW Data 25-26'!$B$1:$X$1,$J$3,'Segment RAW Data 25-26'!$B520:$X520)</f>
        <v>395412.6</v>
      </c>
      <c r="K521" s="265">
        <f>sumif('Segment RAW Data 25-26'!$B$1:$X$1,$K$3,'Segment RAW Data 25-26'!$B520:$X520)</f>
        <v>0</v>
      </c>
      <c r="L521" s="265">
        <f>sumif('Segment RAW Data 25-26'!$B$1:$X$1,$L$3,'Segment RAW Data 25-26'!$B520:$X520)</f>
        <v>0</v>
      </c>
      <c r="M521" s="270">
        <v>45819.0</v>
      </c>
      <c r="N521" s="124" t="s">
        <v>973</v>
      </c>
      <c r="O521" s="124">
        <f>VLOOKUP(C521:C1322,'Segment RAW Data 25-26'!A520:Y1117,25,0)-VLOOKUP(C521:C1322,C:D,2,0)</f>
        <v>0</v>
      </c>
    </row>
    <row r="522" hidden="1">
      <c r="A522" s="157" t="s">
        <v>47</v>
      </c>
      <c r="B522" s="157" t="s">
        <v>422</v>
      </c>
      <c r="C522" s="157" t="s">
        <v>866</v>
      </c>
      <c r="D522" s="124">
        <f t="shared" si="1"/>
        <v>0</v>
      </c>
      <c r="E522" s="265">
        <f>sumif('Segment RAW Data 25-26'!$B$1:$X$1,$E$3,'Segment RAW Data 25-26'!$B521:$X521)</f>
        <v>0</v>
      </c>
      <c r="F522" s="265">
        <f>sumif('Segment RAW Data 25-26'!$B$1:$X$1,$F$3,'Segment RAW Data 25-26'!$B521:$X521)</f>
        <v>0</v>
      </c>
      <c r="G522" s="265">
        <f>sumif('Segment RAW Data 25-26'!$B$1:$X$1,$G$3,'Segment RAW Data 25-26'!$B521:$X521)</f>
        <v>0</v>
      </c>
      <c r="H522" s="265">
        <f>sumif('Segment RAW Data 25-26'!$B$1:$X$1,$H$3,'Segment RAW Data 25-26'!$B521:$X521)</f>
        <v>0</v>
      </c>
      <c r="I522" s="265">
        <f>sumif('Segment RAW Data 25-26'!$B$1:$X$1,$I$3,'Segment RAW Data 25-26'!$B521:$X521)</f>
        <v>0</v>
      </c>
      <c r="J522" s="265">
        <f>sumif('Segment RAW Data 25-26'!$B$1:$X$1,$J$3,'Segment RAW Data 25-26'!$B521:$X521)</f>
        <v>0</v>
      </c>
      <c r="K522" s="265">
        <f>sumif('Segment RAW Data 25-26'!$B$1:$X$1,$K$3,'Segment RAW Data 25-26'!$B521:$X521)</f>
        <v>0</v>
      </c>
      <c r="L522" s="265">
        <f>sumif('Segment RAW Data 25-26'!$B$1:$X$1,$L$3,'Segment RAW Data 25-26'!$B521:$X521)</f>
        <v>0</v>
      </c>
      <c r="M522" s="270"/>
      <c r="N522" s="124" t="s">
        <v>975</v>
      </c>
      <c r="O522" s="124">
        <f>VLOOKUP(C522:C1323,'Segment RAW Data 25-26'!A521:Y1118,25,0)-VLOOKUP(C522:C1323,C:D,2,0)</f>
        <v>0</v>
      </c>
    </row>
    <row r="523" hidden="1">
      <c r="A523" s="157" t="s">
        <v>47</v>
      </c>
      <c r="B523" s="157" t="s">
        <v>422</v>
      </c>
      <c r="C523" s="157" t="s">
        <v>867</v>
      </c>
      <c r="D523" s="124">
        <f t="shared" si="1"/>
        <v>809880.26</v>
      </c>
      <c r="E523" s="265">
        <f>sumif('Segment RAW Data 25-26'!$B$1:$X$1,$E$3,'Segment RAW Data 25-26'!$B522:$X522)</f>
        <v>802169.3</v>
      </c>
      <c r="F523" s="265">
        <f>sumif('Segment RAW Data 25-26'!$B$1:$X$1,$F$3,'Segment RAW Data 25-26'!$B522:$X522)</f>
        <v>0</v>
      </c>
      <c r="G523" s="265">
        <f>sumif('Segment RAW Data 25-26'!$B$1:$X$1,$G$3,'Segment RAW Data 25-26'!$B522:$X522)</f>
        <v>7710.96</v>
      </c>
      <c r="H523" s="265">
        <f>sumif('Segment RAW Data 25-26'!$B$1:$X$1,$H$3,'Segment RAW Data 25-26'!$B522:$X522)</f>
        <v>0</v>
      </c>
      <c r="I523" s="265">
        <f>sumif('Segment RAW Data 25-26'!$B$1:$X$1,$I$3,'Segment RAW Data 25-26'!$B522:$X522)</f>
        <v>0</v>
      </c>
      <c r="J523" s="265">
        <f>sumif('Segment RAW Data 25-26'!$B$1:$X$1,$J$3,'Segment RAW Data 25-26'!$B522:$X522)</f>
        <v>0</v>
      </c>
      <c r="K523" s="265">
        <f>sumif('Segment RAW Data 25-26'!$B$1:$X$1,$K$3,'Segment RAW Data 25-26'!$B522:$X522)</f>
        <v>0</v>
      </c>
      <c r="L523" s="265">
        <f>sumif('Segment RAW Data 25-26'!$B$1:$X$1,$L$3,'Segment RAW Data 25-26'!$B522:$X522)</f>
        <v>0</v>
      </c>
      <c r="M523" s="270"/>
      <c r="N523" s="124" t="s">
        <v>975</v>
      </c>
      <c r="O523" s="124">
        <f>VLOOKUP(C523:C1324,'Segment RAW Data 25-26'!A522:Y1119,25,0)-VLOOKUP(C523:C1324,C:D,2,0)</f>
        <v>0.01000000001</v>
      </c>
    </row>
    <row r="524" hidden="1">
      <c r="A524" s="157" t="s">
        <v>185</v>
      </c>
      <c r="B524" s="157" t="s">
        <v>189</v>
      </c>
      <c r="C524" s="157" t="s">
        <v>281</v>
      </c>
      <c r="D524" s="124">
        <f t="shared" si="1"/>
        <v>12918972.28</v>
      </c>
      <c r="E524" s="265">
        <f>sumif('Segment RAW Data 25-26'!$B$1:$X$1,$E$3,'Segment RAW Data 25-26'!$B523:$X523)</f>
        <v>4502.4</v>
      </c>
      <c r="F524" s="265">
        <f>sumif('Segment RAW Data 25-26'!$B$1:$X$1,$F$3,'Segment RAW Data 25-26'!$B523:$X523)</f>
        <v>1244687.6</v>
      </c>
      <c r="G524" s="265">
        <f>sumif('Segment RAW Data 25-26'!$B$1:$X$1,$G$3,'Segment RAW Data 25-26'!$B523:$X523)</f>
        <v>10389209.98</v>
      </c>
      <c r="H524" s="265">
        <f>sumif('Segment RAW Data 25-26'!$B$1:$X$1,$H$3,'Segment RAW Data 25-26'!$B523:$X523)</f>
        <v>672528.3</v>
      </c>
      <c r="I524" s="265">
        <f>sumif('Segment RAW Data 25-26'!$B$1:$X$1,$I$3,'Segment RAW Data 25-26'!$B523:$X523)</f>
        <v>0</v>
      </c>
      <c r="J524" s="265">
        <f>sumif('Segment RAW Data 25-26'!$B$1:$X$1,$J$3,'Segment RAW Data 25-26'!$B523:$X523)</f>
        <v>608044</v>
      </c>
      <c r="K524" s="265">
        <f>sumif('Segment RAW Data 25-26'!$B$1:$X$1,$K$3,'Segment RAW Data 25-26'!$B523:$X523)</f>
        <v>0</v>
      </c>
      <c r="L524" s="265">
        <f>sumif('Segment RAW Data 25-26'!$B$1:$X$1,$L$3,'Segment RAW Data 25-26'!$B523:$X523)</f>
        <v>0</v>
      </c>
      <c r="M524" s="270"/>
      <c r="N524" s="124" t="s">
        <v>975</v>
      </c>
      <c r="O524" s="124">
        <f>VLOOKUP(C524:C1325,'Segment RAW Data 25-26'!A523:Y1120,25,0)-VLOOKUP(C524:C1325,C:D,2,0)</f>
        <v>-0.000000001862645149</v>
      </c>
    </row>
    <row r="525" hidden="1">
      <c r="A525" s="157" t="s">
        <v>97</v>
      </c>
      <c r="B525" s="157" t="s">
        <v>101</v>
      </c>
      <c r="C525" s="157" t="s">
        <v>341</v>
      </c>
      <c r="D525" s="124">
        <f t="shared" si="1"/>
        <v>3321347.13</v>
      </c>
      <c r="E525" s="265">
        <f>sumif('Segment RAW Data 25-26'!$B$1:$X$1,$E$3,'Segment RAW Data 25-26'!$B524:$X524)</f>
        <v>0</v>
      </c>
      <c r="F525" s="265">
        <f>sumif('Segment RAW Data 25-26'!$B$1:$X$1,$F$3,'Segment RAW Data 25-26'!$B524:$X524)</f>
        <v>1701703.52</v>
      </c>
      <c r="G525" s="265">
        <f>sumif('Segment RAW Data 25-26'!$B$1:$X$1,$G$3,'Segment RAW Data 25-26'!$B524:$X524)</f>
        <v>1570617.61</v>
      </c>
      <c r="H525" s="265">
        <f>sumif('Segment RAW Data 25-26'!$B$1:$X$1,$H$3,'Segment RAW Data 25-26'!$B524:$X524)</f>
        <v>49026</v>
      </c>
      <c r="I525" s="265">
        <f>sumif('Segment RAW Data 25-26'!$B$1:$X$1,$I$3,'Segment RAW Data 25-26'!$B524:$X524)</f>
        <v>0</v>
      </c>
      <c r="J525" s="265">
        <f>sumif('Segment RAW Data 25-26'!$B$1:$X$1,$J$3,'Segment RAW Data 25-26'!$B524:$X524)</f>
        <v>0</v>
      </c>
      <c r="K525" s="265">
        <f>sumif('Segment RAW Data 25-26'!$B$1:$X$1,$K$3,'Segment RAW Data 25-26'!$B524:$X524)</f>
        <v>0</v>
      </c>
      <c r="L525" s="265">
        <f>sumif('Segment RAW Data 25-26'!$B$1:$X$1,$L$3,'Segment RAW Data 25-26'!$B524:$X524)</f>
        <v>0</v>
      </c>
      <c r="M525" s="270">
        <v>45899.0</v>
      </c>
      <c r="N525" s="124" t="s">
        <v>973</v>
      </c>
      <c r="O525" s="124">
        <f>VLOOKUP(C525:C1326,'Segment RAW Data 25-26'!A524:Y1121,25,0)-VLOOKUP(C525:C1326,C:D,2,0)</f>
        <v>0</v>
      </c>
    </row>
    <row r="526" hidden="1">
      <c r="A526" s="157"/>
      <c r="B526" s="157"/>
      <c r="C526" s="157" t="s">
        <v>868</v>
      </c>
      <c r="D526" s="124">
        <f t="shared" si="1"/>
        <v>0</v>
      </c>
      <c r="E526" s="265">
        <f>sumif('Segment RAW Data 25-26'!$B$1:$X$1,$E$3,'Segment RAW Data 25-26'!$B525:$X525)</f>
        <v>0</v>
      </c>
      <c r="F526" s="265">
        <f>sumif('Segment RAW Data 25-26'!$B$1:$X$1,$F$3,'Segment RAW Data 25-26'!$B525:$X525)</f>
        <v>0</v>
      </c>
      <c r="G526" s="265">
        <f>sumif('Segment RAW Data 25-26'!$B$1:$X$1,$G$3,'Segment RAW Data 25-26'!$B525:$X525)</f>
        <v>0</v>
      </c>
      <c r="H526" s="265">
        <f>sumif('Segment RAW Data 25-26'!$B$1:$X$1,$H$3,'Segment RAW Data 25-26'!$B525:$X525)</f>
        <v>0</v>
      </c>
      <c r="I526" s="265">
        <f>sumif('Segment RAW Data 25-26'!$B$1:$X$1,$I$3,'Segment RAW Data 25-26'!$B525:$X525)</f>
        <v>0</v>
      </c>
      <c r="J526" s="265">
        <f>sumif('Segment RAW Data 25-26'!$B$1:$X$1,$J$3,'Segment RAW Data 25-26'!$B525:$X525)</f>
        <v>0</v>
      </c>
      <c r="K526" s="265">
        <f>sumif('Segment RAW Data 25-26'!$B$1:$X$1,$K$3,'Segment RAW Data 25-26'!$B525:$X525)</f>
        <v>0</v>
      </c>
      <c r="L526" s="265">
        <f>sumif('Segment RAW Data 25-26'!$B$1:$X$1,$L$3,'Segment RAW Data 25-26'!$B525:$X525)</f>
        <v>0</v>
      </c>
      <c r="M526" s="270"/>
      <c r="N526" s="124"/>
      <c r="O526" s="124">
        <f>VLOOKUP(C526:C1327,'Segment RAW Data 25-26'!A525:Y1122,25,0)-VLOOKUP(C526:C1327,C:D,2,0)</f>
        <v>0</v>
      </c>
    </row>
    <row r="527" hidden="1">
      <c r="A527" s="157" t="s">
        <v>97</v>
      </c>
      <c r="B527" s="157" t="s">
        <v>101</v>
      </c>
      <c r="C527" s="157" t="s">
        <v>104</v>
      </c>
      <c r="D527" s="124">
        <f t="shared" si="1"/>
        <v>14154974.2</v>
      </c>
      <c r="E527" s="265">
        <f>sumif('Segment RAW Data 25-26'!$B$1:$X$1,$E$3,'Segment RAW Data 25-26'!$B526:$X526)</f>
        <v>0</v>
      </c>
      <c r="F527" s="265">
        <f>sumif('Segment RAW Data 25-26'!$B$1:$X$1,$F$3,'Segment RAW Data 25-26'!$B526:$X526)</f>
        <v>8634614.8</v>
      </c>
      <c r="G527" s="265">
        <f>sumif('Segment RAW Data 25-26'!$B$1:$X$1,$G$3,'Segment RAW Data 25-26'!$B526:$X526)</f>
        <v>5378417.4</v>
      </c>
      <c r="H527" s="265">
        <f>sumif('Segment RAW Data 25-26'!$B$1:$X$1,$H$3,'Segment RAW Data 25-26'!$B526:$X526)</f>
        <v>141942</v>
      </c>
      <c r="I527" s="265">
        <f>sumif('Segment RAW Data 25-26'!$B$1:$X$1,$I$3,'Segment RAW Data 25-26'!$B526:$X526)</f>
        <v>0</v>
      </c>
      <c r="J527" s="265">
        <f>sumif('Segment RAW Data 25-26'!$B$1:$X$1,$J$3,'Segment RAW Data 25-26'!$B526:$X526)</f>
        <v>0</v>
      </c>
      <c r="K527" s="265">
        <f>sumif('Segment RAW Data 25-26'!$B$1:$X$1,$K$3,'Segment RAW Data 25-26'!$B526:$X526)</f>
        <v>0</v>
      </c>
      <c r="L527" s="265">
        <f>sumif('Segment RAW Data 25-26'!$B$1:$X$1,$L$3,'Segment RAW Data 25-26'!$B526:$X526)</f>
        <v>0</v>
      </c>
      <c r="M527" s="270"/>
      <c r="N527" s="124" t="s">
        <v>975</v>
      </c>
      <c r="O527" s="124">
        <f>VLOOKUP(C527:C1328,'Segment RAW Data 25-26'!A526:Y1123,25,0)-VLOOKUP(C527:C1328,C:D,2,0)</f>
        <v>-0.000000001862645149</v>
      </c>
    </row>
    <row r="528" hidden="1">
      <c r="A528" s="157" t="s">
        <v>23</v>
      </c>
      <c r="B528" s="157" t="s">
        <v>30</v>
      </c>
      <c r="C528" s="157" t="s">
        <v>336</v>
      </c>
      <c r="D528" s="124">
        <f t="shared" si="1"/>
        <v>3758218.79</v>
      </c>
      <c r="E528" s="265">
        <f>sumif('Segment RAW Data 25-26'!$B$1:$X$1,$E$3,'Segment RAW Data 25-26'!$B527:$X527)</f>
        <v>2551449.32</v>
      </c>
      <c r="F528" s="265">
        <f>sumif('Segment RAW Data 25-26'!$B$1:$X$1,$F$3,'Segment RAW Data 25-26'!$B527:$X527)</f>
        <v>261482.36</v>
      </c>
      <c r="G528" s="265">
        <f>sumif('Segment RAW Data 25-26'!$B$1:$X$1,$G$3,'Segment RAW Data 25-26'!$B527:$X527)</f>
        <v>657859.41</v>
      </c>
      <c r="H528" s="265">
        <f>sumif('Segment RAW Data 25-26'!$B$1:$X$1,$H$3,'Segment RAW Data 25-26'!$B527:$X527)</f>
        <v>0</v>
      </c>
      <c r="I528" s="265">
        <f>sumif('Segment RAW Data 25-26'!$B$1:$X$1,$I$3,'Segment RAW Data 25-26'!$B527:$X527)</f>
        <v>0</v>
      </c>
      <c r="J528" s="265">
        <f>sumif('Segment RAW Data 25-26'!$B$1:$X$1,$J$3,'Segment RAW Data 25-26'!$B527:$X527)</f>
        <v>0</v>
      </c>
      <c r="K528" s="265">
        <f>sumif('Segment RAW Data 25-26'!$B$1:$X$1,$K$3,'Segment RAW Data 25-26'!$B527:$X527)</f>
        <v>0</v>
      </c>
      <c r="L528" s="265">
        <f>sumif('Segment RAW Data 25-26'!$B$1:$X$1,$L$3,'Segment RAW Data 25-26'!$B527:$X527)</f>
        <v>287427.7</v>
      </c>
      <c r="M528" s="270">
        <v>45961.0</v>
      </c>
      <c r="N528" s="124" t="s">
        <v>973</v>
      </c>
      <c r="O528" s="124">
        <f>VLOOKUP(C528:C1329,'Segment RAW Data 25-26'!A527:Y1124,25,0)-VLOOKUP(C528:C1329,C:D,2,0)</f>
        <v>0.009999999311</v>
      </c>
    </row>
    <row r="529" hidden="1">
      <c r="A529" s="157"/>
      <c r="B529" s="157"/>
      <c r="C529" s="157" t="s">
        <v>47</v>
      </c>
      <c r="D529" s="124">
        <f t="shared" si="1"/>
        <v>0</v>
      </c>
      <c r="E529" s="265">
        <f>sumif('Segment RAW Data 25-26'!$B$1:$X$1,$E$3,'Segment RAW Data 25-26'!$B528:$X528)</f>
        <v>0</v>
      </c>
      <c r="F529" s="265">
        <f>sumif('Segment RAW Data 25-26'!$B$1:$X$1,$F$3,'Segment RAW Data 25-26'!$B528:$X528)</f>
        <v>0</v>
      </c>
      <c r="G529" s="265">
        <f>sumif('Segment RAW Data 25-26'!$B$1:$X$1,$G$3,'Segment RAW Data 25-26'!$B528:$X528)</f>
        <v>0</v>
      </c>
      <c r="H529" s="265">
        <f>sumif('Segment RAW Data 25-26'!$B$1:$X$1,$H$3,'Segment RAW Data 25-26'!$B528:$X528)</f>
        <v>0</v>
      </c>
      <c r="I529" s="265">
        <f>sumif('Segment RAW Data 25-26'!$B$1:$X$1,$I$3,'Segment RAW Data 25-26'!$B528:$X528)</f>
        <v>0</v>
      </c>
      <c r="J529" s="265">
        <f>sumif('Segment RAW Data 25-26'!$B$1:$X$1,$J$3,'Segment RAW Data 25-26'!$B528:$X528)</f>
        <v>0</v>
      </c>
      <c r="K529" s="265">
        <f>sumif('Segment RAW Data 25-26'!$B$1:$X$1,$K$3,'Segment RAW Data 25-26'!$B528:$X528)</f>
        <v>0</v>
      </c>
      <c r="L529" s="265">
        <f>sumif('Segment RAW Data 25-26'!$B$1:$X$1,$L$3,'Segment RAW Data 25-26'!$B528:$X528)</f>
        <v>0</v>
      </c>
      <c r="M529" s="270"/>
      <c r="N529" s="124"/>
      <c r="O529" s="124">
        <f>VLOOKUP(C529:C1330,'Segment RAW Data 25-26'!A528:Y1125,25,0)-VLOOKUP(C529:C1330,C:D,2,0)</f>
        <v>0</v>
      </c>
    </row>
    <row r="530" hidden="1">
      <c r="A530" s="157" t="s">
        <v>23</v>
      </c>
      <c r="B530" s="157" t="s">
        <v>40</v>
      </c>
      <c r="C530" s="157" t="s">
        <v>38</v>
      </c>
      <c r="D530" s="124">
        <f t="shared" si="1"/>
        <v>4368641.58</v>
      </c>
      <c r="E530" s="265">
        <f>sumif('Segment RAW Data 25-26'!$B$1:$X$1,$E$3,'Segment RAW Data 25-26'!$B529:$X529)</f>
        <v>2038511.33</v>
      </c>
      <c r="F530" s="265">
        <f>sumif('Segment RAW Data 25-26'!$B$1:$X$1,$F$3,'Segment RAW Data 25-26'!$B529:$X529)</f>
        <v>0</v>
      </c>
      <c r="G530" s="265">
        <f>sumif('Segment RAW Data 25-26'!$B$1:$X$1,$G$3,'Segment RAW Data 25-26'!$B529:$X529)</f>
        <v>1745413.4</v>
      </c>
      <c r="H530" s="265">
        <f>sumif('Segment RAW Data 25-26'!$B$1:$X$1,$H$3,'Segment RAW Data 25-26'!$B529:$X529)</f>
        <v>94265.6</v>
      </c>
      <c r="I530" s="265">
        <f>sumif('Segment RAW Data 25-26'!$B$1:$X$1,$I$3,'Segment RAW Data 25-26'!$B529:$X529)</f>
        <v>0</v>
      </c>
      <c r="J530" s="265">
        <f>sumif('Segment RAW Data 25-26'!$B$1:$X$1,$J$3,'Segment RAW Data 25-26'!$B529:$X529)</f>
        <v>13350</v>
      </c>
      <c r="K530" s="265">
        <f>sumif('Segment RAW Data 25-26'!$B$1:$X$1,$K$3,'Segment RAW Data 25-26'!$B529:$X529)</f>
        <v>0</v>
      </c>
      <c r="L530" s="265">
        <f>sumif('Segment RAW Data 25-26'!$B$1:$X$1,$L$3,'Segment RAW Data 25-26'!$B529:$X529)</f>
        <v>477101.25</v>
      </c>
      <c r="M530" s="270"/>
      <c r="N530" s="124" t="s">
        <v>975</v>
      </c>
      <c r="O530" s="124">
        <f>VLOOKUP(C530:C1331,'Segment RAW Data 25-26'!A529:Y1126,25,0)-VLOOKUP(C530:C1331,C:D,2,0)</f>
        <v>0</v>
      </c>
    </row>
    <row r="531" hidden="1">
      <c r="A531" s="157" t="s">
        <v>53</v>
      </c>
      <c r="B531" s="157" t="s">
        <v>56</v>
      </c>
      <c r="C531" s="157" t="s">
        <v>62</v>
      </c>
      <c r="D531" s="124">
        <f t="shared" si="1"/>
        <v>8305428.76</v>
      </c>
      <c r="E531" s="265">
        <f>sumif('Segment RAW Data 25-26'!$B$1:$X$1,$E$3,'Segment RAW Data 25-26'!$B530:$X530)</f>
        <v>4240503.06</v>
      </c>
      <c r="F531" s="265">
        <f>sumif('Segment RAW Data 25-26'!$B$1:$X$1,$F$3,'Segment RAW Data 25-26'!$B530:$X530)</f>
        <v>244.8</v>
      </c>
      <c r="G531" s="265">
        <f>sumif('Segment RAW Data 25-26'!$B$1:$X$1,$G$3,'Segment RAW Data 25-26'!$B530:$X530)</f>
        <v>2968995.15</v>
      </c>
      <c r="H531" s="265">
        <f>sumif('Segment RAW Data 25-26'!$B$1:$X$1,$H$3,'Segment RAW Data 25-26'!$B530:$X530)</f>
        <v>13676</v>
      </c>
      <c r="I531" s="265">
        <f>sumif('Segment RAW Data 25-26'!$B$1:$X$1,$I$3,'Segment RAW Data 25-26'!$B530:$X530)</f>
        <v>0</v>
      </c>
      <c r="J531" s="265">
        <f>sumif('Segment RAW Data 25-26'!$B$1:$X$1,$J$3,'Segment RAW Data 25-26'!$B530:$X530)</f>
        <v>0</v>
      </c>
      <c r="K531" s="265">
        <f>sumif('Segment RAW Data 25-26'!$B$1:$X$1,$K$3,'Segment RAW Data 25-26'!$B530:$X530)</f>
        <v>0</v>
      </c>
      <c r="L531" s="265">
        <f>sumif('Segment RAW Data 25-26'!$B$1:$X$1,$L$3,'Segment RAW Data 25-26'!$B530:$X530)</f>
        <v>1082009.75</v>
      </c>
      <c r="M531" s="270"/>
      <c r="N531" s="124" t="s">
        <v>975</v>
      </c>
      <c r="O531" s="124">
        <f>VLOOKUP(C531:C1332,'Segment RAW Data 25-26'!A530:Y1127,25,0)-VLOOKUP(C531:C1332,C:D,2,0)</f>
        <v>0</v>
      </c>
    </row>
    <row r="532" hidden="1">
      <c r="A532" s="157" t="s">
        <v>53</v>
      </c>
      <c r="B532" s="157" t="s">
        <v>56</v>
      </c>
      <c r="C532" s="157" t="s">
        <v>377</v>
      </c>
      <c r="D532" s="124">
        <f t="shared" si="1"/>
        <v>967341.43</v>
      </c>
      <c r="E532" s="265">
        <f>sumif('Segment RAW Data 25-26'!$B$1:$X$1,$E$3,'Segment RAW Data 25-26'!$B531:$X531)</f>
        <v>449521.44</v>
      </c>
      <c r="F532" s="265">
        <f>sumif('Segment RAW Data 25-26'!$B$1:$X$1,$F$3,'Segment RAW Data 25-26'!$B531:$X531)</f>
        <v>0</v>
      </c>
      <c r="G532" s="265">
        <f>sumif('Segment RAW Data 25-26'!$B$1:$X$1,$G$3,'Segment RAW Data 25-26'!$B531:$X531)</f>
        <v>517819.99</v>
      </c>
      <c r="H532" s="265">
        <f>sumif('Segment RAW Data 25-26'!$B$1:$X$1,$H$3,'Segment RAW Data 25-26'!$B531:$X531)</f>
        <v>0</v>
      </c>
      <c r="I532" s="265">
        <f>sumif('Segment RAW Data 25-26'!$B$1:$X$1,$I$3,'Segment RAW Data 25-26'!$B531:$X531)</f>
        <v>0</v>
      </c>
      <c r="J532" s="265">
        <f>sumif('Segment RAW Data 25-26'!$B$1:$X$1,$J$3,'Segment RAW Data 25-26'!$B531:$X531)</f>
        <v>0</v>
      </c>
      <c r="K532" s="265">
        <f>sumif('Segment RAW Data 25-26'!$B$1:$X$1,$K$3,'Segment RAW Data 25-26'!$B531:$X531)</f>
        <v>0</v>
      </c>
      <c r="L532" s="265">
        <f>sumif('Segment RAW Data 25-26'!$B$1:$X$1,$L$3,'Segment RAW Data 25-26'!$B531:$X531)</f>
        <v>0</v>
      </c>
      <c r="M532" s="270">
        <v>45938.0</v>
      </c>
      <c r="N532" s="124" t="s">
        <v>973</v>
      </c>
      <c r="O532" s="124">
        <f>VLOOKUP(C532:C1333,'Segment RAW Data 25-26'!A531:Y1128,25,0)-VLOOKUP(C532:C1333,C:D,2,0)</f>
        <v>0.01000000001</v>
      </c>
    </row>
    <row r="533" hidden="1">
      <c r="A533" s="157" t="s">
        <v>53</v>
      </c>
      <c r="B533" s="157" t="s">
        <v>56</v>
      </c>
      <c r="C533" s="157" t="s">
        <v>869</v>
      </c>
      <c r="D533" s="124">
        <f t="shared" si="1"/>
        <v>0</v>
      </c>
      <c r="E533" s="265">
        <f>sumif('Segment RAW Data 25-26'!$B$1:$X$1,$E$3,'Segment RAW Data 25-26'!$B532:$X532)</f>
        <v>0</v>
      </c>
      <c r="F533" s="265">
        <f>sumif('Segment RAW Data 25-26'!$B$1:$X$1,$F$3,'Segment RAW Data 25-26'!$B532:$X532)</f>
        <v>0</v>
      </c>
      <c r="G533" s="265">
        <f>sumif('Segment RAW Data 25-26'!$B$1:$X$1,$G$3,'Segment RAW Data 25-26'!$B532:$X532)</f>
        <v>0</v>
      </c>
      <c r="H533" s="265">
        <f>sumif('Segment RAW Data 25-26'!$B$1:$X$1,$H$3,'Segment RAW Data 25-26'!$B532:$X532)</f>
        <v>0</v>
      </c>
      <c r="I533" s="265">
        <f>sumif('Segment RAW Data 25-26'!$B$1:$X$1,$I$3,'Segment RAW Data 25-26'!$B532:$X532)</f>
        <v>0</v>
      </c>
      <c r="J533" s="265">
        <f>sumif('Segment RAW Data 25-26'!$B$1:$X$1,$J$3,'Segment RAW Data 25-26'!$B532:$X532)</f>
        <v>0</v>
      </c>
      <c r="K533" s="265">
        <f>sumif('Segment RAW Data 25-26'!$B$1:$X$1,$K$3,'Segment RAW Data 25-26'!$B532:$X532)</f>
        <v>0</v>
      </c>
      <c r="L533" s="265">
        <f>sumif('Segment RAW Data 25-26'!$B$1:$X$1,$L$3,'Segment RAW Data 25-26'!$B532:$X532)</f>
        <v>0</v>
      </c>
      <c r="M533" s="270">
        <v>45919.0</v>
      </c>
      <c r="N533" s="124" t="s">
        <v>973</v>
      </c>
      <c r="O533" s="124">
        <f>VLOOKUP(C533:C1334,'Segment RAW Data 25-26'!A532:Y1129,25,0)-VLOOKUP(C533:C1334,C:D,2,0)</f>
        <v>0</v>
      </c>
    </row>
    <row r="534" hidden="1">
      <c r="A534" s="157" t="s">
        <v>97</v>
      </c>
      <c r="B534" s="157" t="s">
        <v>101</v>
      </c>
      <c r="C534" s="157" t="s">
        <v>342</v>
      </c>
      <c r="D534" s="124">
        <f t="shared" si="1"/>
        <v>2797611</v>
      </c>
      <c r="E534" s="265">
        <f>sumif('Segment RAW Data 25-26'!$B$1:$X$1,$E$3,'Segment RAW Data 25-26'!$B533:$X533)</f>
        <v>0</v>
      </c>
      <c r="F534" s="265">
        <f>sumif('Segment RAW Data 25-26'!$B$1:$X$1,$F$3,'Segment RAW Data 25-26'!$B533:$X533)</f>
        <v>2409996.7</v>
      </c>
      <c r="G534" s="265">
        <f>sumif('Segment RAW Data 25-26'!$B$1:$X$1,$G$3,'Segment RAW Data 25-26'!$B533:$X533)</f>
        <v>0</v>
      </c>
      <c r="H534" s="265">
        <f>sumif('Segment RAW Data 25-26'!$B$1:$X$1,$H$3,'Segment RAW Data 25-26'!$B533:$X533)</f>
        <v>387614.3</v>
      </c>
      <c r="I534" s="265">
        <f>sumif('Segment RAW Data 25-26'!$B$1:$X$1,$I$3,'Segment RAW Data 25-26'!$B533:$X533)</f>
        <v>0</v>
      </c>
      <c r="J534" s="265">
        <f>sumif('Segment RAW Data 25-26'!$B$1:$X$1,$J$3,'Segment RAW Data 25-26'!$B533:$X533)</f>
        <v>0</v>
      </c>
      <c r="K534" s="265">
        <f>sumif('Segment RAW Data 25-26'!$B$1:$X$1,$K$3,'Segment RAW Data 25-26'!$B533:$X533)</f>
        <v>0</v>
      </c>
      <c r="L534" s="265">
        <f>sumif('Segment RAW Data 25-26'!$B$1:$X$1,$L$3,'Segment RAW Data 25-26'!$B533:$X533)</f>
        <v>0</v>
      </c>
      <c r="M534" s="270">
        <v>45881.0</v>
      </c>
      <c r="N534" s="124" t="s">
        <v>973</v>
      </c>
      <c r="O534" s="124">
        <f>VLOOKUP(C534:C1335,'Segment RAW Data 25-26'!A533:Y1130,25,0)-VLOOKUP(C534:C1335,C:D,2,0)</f>
        <v>0</v>
      </c>
    </row>
    <row r="535" hidden="1">
      <c r="A535" s="157" t="s">
        <v>53</v>
      </c>
      <c r="B535" s="157" t="s">
        <v>56</v>
      </c>
      <c r="C535" s="157" t="s">
        <v>870</v>
      </c>
      <c r="D535" s="124">
        <f t="shared" si="1"/>
        <v>0</v>
      </c>
      <c r="E535" s="265">
        <f>sumif('Segment RAW Data 25-26'!$B$1:$X$1,$E$3,'Segment RAW Data 25-26'!$B534:$X534)</f>
        <v>0</v>
      </c>
      <c r="F535" s="265">
        <f>sumif('Segment RAW Data 25-26'!$B$1:$X$1,$F$3,'Segment RAW Data 25-26'!$B534:$X534)</f>
        <v>0</v>
      </c>
      <c r="G535" s="265">
        <f>sumif('Segment RAW Data 25-26'!$B$1:$X$1,$G$3,'Segment RAW Data 25-26'!$B534:$X534)</f>
        <v>0</v>
      </c>
      <c r="H535" s="265">
        <f>sumif('Segment RAW Data 25-26'!$B$1:$X$1,$H$3,'Segment RAW Data 25-26'!$B534:$X534)</f>
        <v>0</v>
      </c>
      <c r="I535" s="265">
        <f>sumif('Segment RAW Data 25-26'!$B$1:$X$1,$I$3,'Segment RAW Data 25-26'!$B534:$X534)</f>
        <v>0</v>
      </c>
      <c r="J535" s="265">
        <f>sumif('Segment RAW Data 25-26'!$B$1:$X$1,$J$3,'Segment RAW Data 25-26'!$B534:$X534)</f>
        <v>0</v>
      </c>
      <c r="K535" s="265">
        <f>sumif('Segment RAW Data 25-26'!$B$1:$X$1,$K$3,'Segment RAW Data 25-26'!$B534:$X534)</f>
        <v>0</v>
      </c>
      <c r="L535" s="265">
        <f>sumif('Segment RAW Data 25-26'!$B$1:$X$1,$L$3,'Segment RAW Data 25-26'!$B534:$X534)</f>
        <v>0</v>
      </c>
      <c r="M535" s="270">
        <v>45771.0</v>
      </c>
      <c r="N535" s="124" t="s">
        <v>973</v>
      </c>
      <c r="O535" s="124">
        <f>VLOOKUP(C535:C1336,'Segment RAW Data 25-26'!A534:Y1131,25,0)-VLOOKUP(C535:C1336,C:D,2,0)</f>
        <v>0</v>
      </c>
    </row>
    <row r="536" hidden="1">
      <c r="A536" s="157" t="s">
        <v>47</v>
      </c>
      <c r="B536" s="157" t="s">
        <v>422</v>
      </c>
      <c r="C536" s="157" t="s">
        <v>871</v>
      </c>
      <c r="D536" s="124">
        <f t="shared" si="1"/>
        <v>2034331.37</v>
      </c>
      <c r="E536" s="265">
        <f>sumif('Segment RAW Data 25-26'!$B$1:$X$1,$E$3,'Segment RAW Data 25-26'!$B535:$X535)</f>
        <v>2010157.95</v>
      </c>
      <c r="F536" s="265">
        <f>sumif('Segment RAW Data 25-26'!$B$1:$X$1,$F$3,'Segment RAW Data 25-26'!$B535:$X535)</f>
        <v>0</v>
      </c>
      <c r="G536" s="265">
        <f>sumif('Segment RAW Data 25-26'!$B$1:$X$1,$G$3,'Segment RAW Data 25-26'!$B535:$X535)</f>
        <v>24173.42</v>
      </c>
      <c r="H536" s="265">
        <f>sumif('Segment RAW Data 25-26'!$B$1:$X$1,$H$3,'Segment RAW Data 25-26'!$B535:$X535)</f>
        <v>0</v>
      </c>
      <c r="I536" s="265">
        <f>sumif('Segment RAW Data 25-26'!$B$1:$X$1,$I$3,'Segment RAW Data 25-26'!$B535:$X535)</f>
        <v>0</v>
      </c>
      <c r="J536" s="265">
        <f>sumif('Segment RAW Data 25-26'!$B$1:$X$1,$J$3,'Segment RAW Data 25-26'!$B535:$X535)</f>
        <v>0</v>
      </c>
      <c r="K536" s="265">
        <f>sumif('Segment RAW Data 25-26'!$B$1:$X$1,$K$3,'Segment RAW Data 25-26'!$B535:$X535)</f>
        <v>0</v>
      </c>
      <c r="L536" s="265">
        <f>sumif('Segment RAW Data 25-26'!$B$1:$X$1,$L$3,'Segment RAW Data 25-26'!$B535:$X535)</f>
        <v>0</v>
      </c>
      <c r="M536" s="270">
        <v>45938.0</v>
      </c>
      <c r="N536" s="124" t="s">
        <v>973</v>
      </c>
      <c r="O536" s="124">
        <f>VLOOKUP(C536:C1337,'Segment RAW Data 25-26'!A535:Y1132,25,0)-VLOOKUP(C536:C1337,C:D,2,0)</f>
        <v>0.01000000001</v>
      </c>
    </row>
    <row r="537" hidden="1">
      <c r="A537" s="157" t="s">
        <v>73</v>
      </c>
      <c r="B537" s="157" t="s">
        <v>76</v>
      </c>
      <c r="C537" s="157" t="s">
        <v>360</v>
      </c>
      <c r="D537" s="124">
        <f t="shared" si="1"/>
        <v>2278492.45</v>
      </c>
      <c r="E537" s="265">
        <f>sumif('Segment RAW Data 25-26'!$B$1:$X$1,$E$3,'Segment RAW Data 25-26'!$B536:$X536)</f>
        <v>1042453.8</v>
      </c>
      <c r="F537" s="265">
        <f>sumif('Segment RAW Data 25-26'!$B$1:$X$1,$F$3,'Segment RAW Data 25-26'!$B536:$X536)</f>
        <v>216067.5</v>
      </c>
      <c r="G537" s="265">
        <f>sumif('Segment RAW Data 25-26'!$B$1:$X$1,$G$3,'Segment RAW Data 25-26'!$B536:$X536)</f>
        <v>1019971.15</v>
      </c>
      <c r="H537" s="265">
        <f>sumif('Segment RAW Data 25-26'!$B$1:$X$1,$H$3,'Segment RAW Data 25-26'!$B536:$X536)</f>
        <v>0</v>
      </c>
      <c r="I537" s="265">
        <f>sumif('Segment RAW Data 25-26'!$B$1:$X$1,$I$3,'Segment RAW Data 25-26'!$B536:$X536)</f>
        <v>0</v>
      </c>
      <c r="J537" s="265">
        <f>sumif('Segment RAW Data 25-26'!$B$1:$X$1,$J$3,'Segment RAW Data 25-26'!$B536:$X536)</f>
        <v>0</v>
      </c>
      <c r="K537" s="265">
        <f>sumif('Segment RAW Data 25-26'!$B$1:$X$1,$K$3,'Segment RAW Data 25-26'!$B536:$X536)</f>
        <v>0</v>
      </c>
      <c r="L537" s="265">
        <f>sumif('Segment RAW Data 25-26'!$B$1:$X$1,$L$3,'Segment RAW Data 25-26'!$B536:$X536)</f>
        <v>0</v>
      </c>
      <c r="M537" s="270">
        <v>45944.0</v>
      </c>
      <c r="N537" s="124" t="s">
        <v>973</v>
      </c>
      <c r="O537" s="124">
        <f>VLOOKUP(C537:C1338,'Segment RAW Data 25-26'!A536:Y1133,25,0)-VLOOKUP(C537:C1338,C:D,2,0)</f>
        <v>0</v>
      </c>
    </row>
    <row r="538" hidden="1">
      <c r="A538" s="157" t="s">
        <v>185</v>
      </c>
      <c r="B538" s="157" t="s">
        <v>189</v>
      </c>
      <c r="C538" s="157" t="s">
        <v>283</v>
      </c>
      <c r="D538" s="124">
        <f t="shared" si="1"/>
        <v>27266099.79</v>
      </c>
      <c r="E538" s="265">
        <f>sumif('Segment RAW Data 25-26'!$B$1:$X$1,$E$3,'Segment RAW Data 25-26'!$B537:$X537)</f>
        <v>6974043.23</v>
      </c>
      <c r="F538" s="265">
        <f>sumif('Segment RAW Data 25-26'!$B$1:$X$1,$F$3,'Segment RAW Data 25-26'!$B537:$X537)</f>
        <v>5893591.89</v>
      </c>
      <c r="G538" s="265">
        <f>sumif('Segment RAW Data 25-26'!$B$1:$X$1,$G$3,'Segment RAW Data 25-26'!$B537:$X537)</f>
        <v>11106522.12</v>
      </c>
      <c r="H538" s="265">
        <f>sumif('Segment RAW Data 25-26'!$B$1:$X$1,$H$3,'Segment RAW Data 25-26'!$B537:$X537)</f>
        <v>631030</v>
      </c>
      <c r="I538" s="265">
        <f>sumif('Segment RAW Data 25-26'!$B$1:$X$1,$I$3,'Segment RAW Data 25-26'!$B537:$X537)</f>
        <v>0</v>
      </c>
      <c r="J538" s="265">
        <f>sumif('Segment RAW Data 25-26'!$B$1:$X$1,$J$3,'Segment RAW Data 25-26'!$B537:$X537)</f>
        <v>1501890.96</v>
      </c>
      <c r="K538" s="265">
        <f>sumif('Segment RAW Data 25-26'!$B$1:$X$1,$K$3,'Segment RAW Data 25-26'!$B537:$X537)</f>
        <v>5196.8</v>
      </c>
      <c r="L538" s="265">
        <f>sumif('Segment RAW Data 25-26'!$B$1:$X$1,$L$3,'Segment RAW Data 25-26'!$B537:$X537)</f>
        <v>1153824.79</v>
      </c>
      <c r="M538" s="270"/>
      <c r="N538" s="124" t="s">
        <v>975</v>
      </c>
      <c r="O538" s="124">
        <f>VLOOKUP(C538:C1339,'Segment RAW Data 25-26'!A537:Y1134,25,0)-VLOOKUP(C538:C1339,C:D,2,0)</f>
        <v>-0.02000000328</v>
      </c>
    </row>
    <row r="539" hidden="1">
      <c r="A539" s="157" t="s">
        <v>47</v>
      </c>
      <c r="B539" s="157" t="s">
        <v>50</v>
      </c>
      <c r="C539" s="157" t="s">
        <v>872</v>
      </c>
      <c r="D539" s="124">
        <f t="shared" si="1"/>
        <v>0</v>
      </c>
      <c r="E539" s="265">
        <f>sumif('Segment RAW Data 25-26'!$B$1:$X$1,$E$3,'Segment RAW Data 25-26'!$B538:$X538)</f>
        <v>0</v>
      </c>
      <c r="F539" s="265">
        <f>sumif('Segment RAW Data 25-26'!$B$1:$X$1,$F$3,'Segment RAW Data 25-26'!$B538:$X538)</f>
        <v>0</v>
      </c>
      <c r="G539" s="265">
        <f>sumif('Segment RAW Data 25-26'!$B$1:$X$1,$G$3,'Segment RAW Data 25-26'!$B538:$X538)</f>
        <v>0</v>
      </c>
      <c r="H539" s="265">
        <f>sumif('Segment RAW Data 25-26'!$B$1:$X$1,$H$3,'Segment RAW Data 25-26'!$B538:$X538)</f>
        <v>0</v>
      </c>
      <c r="I539" s="265">
        <f>sumif('Segment RAW Data 25-26'!$B$1:$X$1,$I$3,'Segment RAW Data 25-26'!$B538:$X538)</f>
        <v>0</v>
      </c>
      <c r="J539" s="265">
        <f>sumif('Segment RAW Data 25-26'!$B$1:$X$1,$J$3,'Segment RAW Data 25-26'!$B538:$X538)</f>
        <v>0</v>
      </c>
      <c r="K539" s="265">
        <f>sumif('Segment RAW Data 25-26'!$B$1:$X$1,$K$3,'Segment RAW Data 25-26'!$B538:$X538)</f>
        <v>0</v>
      </c>
      <c r="L539" s="265">
        <f>sumif('Segment RAW Data 25-26'!$B$1:$X$1,$L$3,'Segment RAW Data 25-26'!$B538:$X538)</f>
        <v>0</v>
      </c>
      <c r="M539" s="270"/>
      <c r="N539" s="124" t="s">
        <v>975</v>
      </c>
      <c r="O539" s="124">
        <f>VLOOKUP(C539:C1340,'Segment RAW Data 25-26'!A538:Y1135,25,0)-VLOOKUP(C539:C1340,C:D,2,0)</f>
        <v>0</v>
      </c>
    </row>
    <row r="540" hidden="1">
      <c r="A540" s="157" t="s">
        <v>97</v>
      </c>
      <c r="B540" s="157" t="s">
        <v>101</v>
      </c>
      <c r="C540" s="157" t="s">
        <v>106</v>
      </c>
      <c r="D540" s="124">
        <f t="shared" si="1"/>
        <v>10690030.21</v>
      </c>
      <c r="E540" s="265">
        <f>sumif('Segment RAW Data 25-26'!$B$1:$X$1,$E$3,'Segment RAW Data 25-26'!$B539:$X539)</f>
        <v>0</v>
      </c>
      <c r="F540" s="265">
        <f>sumif('Segment RAW Data 25-26'!$B$1:$X$1,$F$3,'Segment RAW Data 25-26'!$B539:$X539)</f>
        <v>5412723</v>
      </c>
      <c r="G540" s="265">
        <f>sumif('Segment RAW Data 25-26'!$B$1:$X$1,$G$3,'Segment RAW Data 25-26'!$B539:$X539)</f>
        <v>5180443.21</v>
      </c>
      <c r="H540" s="265">
        <f>sumif('Segment RAW Data 25-26'!$B$1:$X$1,$H$3,'Segment RAW Data 25-26'!$B539:$X539)</f>
        <v>96864</v>
      </c>
      <c r="I540" s="265">
        <f>sumif('Segment RAW Data 25-26'!$B$1:$X$1,$I$3,'Segment RAW Data 25-26'!$B539:$X539)</f>
        <v>0</v>
      </c>
      <c r="J540" s="265">
        <f>sumif('Segment RAW Data 25-26'!$B$1:$X$1,$J$3,'Segment RAW Data 25-26'!$B539:$X539)</f>
        <v>0</v>
      </c>
      <c r="K540" s="265">
        <f>sumif('Segment RAW Data 25-26'!$B$1:$X$1,$K$3,'Segment RAW Data 25-26'!$B539:$X539)</f>
        <v>0</v>
      </c>
      <c r="L540" s="265">
        <f>sumif('Segment RAW Data 25-26'!$B$1:$X$1,$L$3,'Segment RAW Data 25-26'!$B539:$X539)</f>
        <v>0</v>
      </c>
      <c r="M540" s="270"/>
      <c r="N540" s="124" t="s">
        <v>975</v>
      </c>
      <c r="O540" s="124">
        <f>VLOOKUP(C540:C1341,'Segment RAW Data 25-26'!A539:Y1136,25,0)-VLOOKUP(C540:C1341,C:D,2,0)</f>
        <v>0</v>
      </c>
    </row>
    <row r="541" hidden="1">
      <c r="A541" s="157" t="s">
        <v>185</v>
      </c>
      <c r="B541" s="157" t="s">
        <v>212</v>
      </c>
      <c r="C541" s="157" t="s">
        <v>873</v>
      </c>
      <c r="D541" s="124">
        <f t="shared" si="1"/>
        <v>0</v>
      </c>
      <c r="E541" s="265">
        <f>sumif('Segment RAW Data 25-26'!$B$1:$X$1,$E$3,'Segment RAW Data 25-26'!$B540:$X540)</f>
        <v>0</v>
      </c>
      <c r="F541" s="265">
        <f>sumif('Segment RAW Data 25-26'!$B$1:$X$1,$F$3,'Segment RAW Data 25-26'!$B540:$X540)</f>
        <v>0</v>
      </c>
      <c r="G541" s="265">
        <f>sumif('Segment RAW Data 25-26'!$B$1:$X$1,$G$3,'Segment RAW Data 25-26'!$B540:$X540)</f>
        <v>0</v>
      </c>
      <c r="H541" s="265">
        <f>sumif('Segment RAW Data 25-26'!$B$1:$X$1,$H$3,'Segment RAW Data 25-26'!$B540:$X540)</f>
        <v>0</v>
      </c>
      <c r="I541" s="265">
        <f>sumif('Segment RAW Data 25-26'!$B$1:$X$1,$I$3,'Segment RAW Data 25-26'!$B540:$X540)</f>
        <v>0</v>
      </c>
      <c r="J541" s="265">
        <f>sumif('Segment RAW Data 25-26'!$B$1:$X$1,$J$3,'Segment RAW Data 25-26'!$B540:$X540)</f>
        <v>0</v>
      </c>
      <c r="K541" s="265">
        <f>sumif('Segment RAW Data 25-26'!$B$1:$X$1,$K$3,'Segment RAW Data 25-26'!$B540:$X540)</f>
        <v>0</v>
      </c>
      <c r="L541" s="265">
        <f>sumif('Segment RAW Data 25-26'!$B$1:$X$1,$L$3,'Segment RAW Data 25-26'!$B540:$X540)</f>
        <v>0</v>
      </c>
      <c r="M541" s="270">
        <v>45899.0</v>
      </c>
      <c r="N541" s="124" t="s">
        <v>973</v>
      </c>
      <c r="O541" s="124">
        <f>VLOOKUP(C541:C1342,'Segment RAW Data 25-26'!A540:Y1137,25,0)-VLOOKUP(C541:C1342,C:D,2,0)</f>
        <v>0</v>
      </c>
    </row>
    <row r="542" hidden="1">
      <c r="A542" s="157" t="s">
        <v>185</v>
      </c>
      <c r="B542" s="157" t="s">
        <v>189</v>
      </c>
      <c r="C542" s="157" t="s">
        <v>874</v>
      </c>
      <c r="D542" s="124">
        <f t="shared" si="1"/>
        <v>0</v>
      </c>
      <c r="E542" s="265">
        <f>sumif('Segment RAW Data 25-26'!$B$1:$X$1,$E$3,'Segment RAW Data 25-26'!$B541:$X541)</f>
        <v>0</v>
      </c>
      <c r="F542" s="265">
        <f>sumif('Segment RAW Data 25-26'!$B$1:$X$1,$F$3,'Segment RAW Data 25-26'!$B541:$X541)</f>
        <v>0</v>
      </c>
      <c r="G542" s="265">
        <f>sumif('Segment RAW Data 25-26'!$B$1:$X$1,$G$3,'Segment RAW Data 25-26'!$B541:$X541)</f>
        <v>0</v>
      </c>
      <c r="H542" s="265">
        <f>sumif('Segment RAW Data 25-26'!$B$1:$X$1,$H$3,'Segment RAW Data 25-26'!$B541:$X541)</f>
        <v>0</v>
      </c>
      <c r="I542" s="265">
        <f>sumif('Segment RAW Data 25-26'!$B$1:$X$1,$I$3,'Segment RAW Data 25-26'!$B541:$X541)</f>
        <v>0</v>
      </c>
      <c r="J542" s="265">
        <f>sumif('Segment RAW Data 25-26'!$B$1:$X$1,$J$3,'Segment RAW Data 25-26'!$B541:$X541)</f>
        <v>0</v>
      </c>
      <c r="K542" s="265">
        <f>sumif('Segment RAW Data 25-26'!$B$1:$X$1,$K$3,'Segment RAW Data 25-26'!$B541:$X541)</f>
        <v>0</v>
      </c>
      <c r="L542" s="265">
        <f>sumif('Segment RAW Data 25-26'!$B$1:$X$1,$L$3,'Segment RAW Data 25-26'!$B541:$X541)</f>
        <v>0</v>
      </c>
      <c r="M542" s="270">
        <v>45804.0</v>
      </c>
      <c r="N542" s="124" t="s">
        <v>973</v>
      </c>
      <c r="O542" s="124">
        <f>VLOOKUP(C542:C1343,'Segment RAW Data 25-26'!A541:Y1138,25,0)-VLOOKUP(C542:C1343,C:D,2,0)</f>
        <v>0</v>
      </c>
    </row>
    <row r="543" hidden="1">
      <c r="A543" s="157" t="s">
        <v>126</v>
      </c>
      <c r="B543" s="157" t="s">
        <v>130</v>
      </c>
      <c r="C543" s="157" t="s">
        <v>447</v>
      </c>
      <c r="D543" s="124">
        <f t="shared" si="1"/>
        <v>2029047.23</v>
      </c>
      <c r="E543" s="265">
        <f>sumif('Segment RAW Data 25-26'!$B$1:$X$1,$E$3,'Segment RAW Data 25-26'!$B542:$X542)</f>
        <v>826101.86</v>
      </c>
      <c r="F543" s="265">
        <f>sumif('Segment RAW Data 25-26'!$B$1:$X$1,$F$3,'Segment RAW Data 25-26'!$B542:$X542)</f>
        <v>49437.7</v>
      </c>
      <c r="G543" s="265">
        <f>sumif('Segment RAW Data 25-26'!$B$1:$X$1,$G$3,'Segment RAW Data 25-26'!$B542:$X542)</f>
        <v>114337.12</v>
      </c>
      <c r="H543" s="265">
        <f>sumif('Segment RAW Data 25-26'!$B$1:$X$1,$H$3,'Segment RAW Data 25-26'!$B542:$X542)</f>
        <v>3218.4</v>
      </c>
      <c r="I543" s="265">
        <f>sumif('Segment RAW Data 25-26'!$B$1:$X$1,$I$3,'Segment RAW Data 25-26'!$B542:$X542)</f>
        <v>0</v>
      </c>
      <c r="J543" s="265">
        <f>sumif('Segment RAW Data 25-26'!$B$1:$X$1,$J$3,'Segment RAW Data 25-26'!$B542:$X542)</f>
        <v>242528.4</v>
      </c>
      <c r="K543" s="265">
        <f>sumif('Segment RAW Data 25-26'!$B$1:$X$1,$K$3,'Segment RAW Data 25-26'!$B542:$X542)</f>
        <v>0</v>
      </c>
      <c r="L543" s="265">
        <f>sumif('Segment RAW Data 25-26'!$B$1:$X$1,$L$3,'Segment RAW Data 25-26'!$B542:$X542)</f>
        <v>793423.75</v>
      </c>
      <c r="M543" s="270">
        <v>46022.0</v>
      </c>
      <c r="N543" s="124" t="s">
        <v>973</v>
      </c>
      <c r="O543" s="124">
        <f>VLOOKUP(C543:C1344,'Segment RAW Data 25-26'!A542:Y1139,25,0)-VLOOKUP(C543:C1344,C:D,2,0)</f>
        <v>-0.01000000001</v>
      </c>
    </row>
    <row r="544" hidden="1">
      <c r="A544" s="157" t="s">
        <v>185</v>
      </c>
      <c r="B544" s="157" t="s">
        <v>85</v>
      </c>
      <c r="C544" s="157" t="s">
        <v>395</v>
      </c>
      <c r="D544" s="124">
        <f t="shared" si="1"/>
        <v>463452.7</v>
      </c>
      <c r="E544" s="265">
        <f>sumif('Segment RAW Data 25-26'!$B$1:$X$1,$E$3,'Segment RAW Data 25-26'!$B543:$X543)</f>
        <v>0</v>
      </c>
      <c r="F544" s="265">
        <f>sumif('Segment RAW Data 25-26'!$B$1:$X$1,$F$3,'Segment RAW Data 25-26'!$B543:$X543)</f>
        <v>107965</v>
      </c>
      <c r="G544" s="265">
        <f>sumif('Segment RAW Data 25-26'!$B$1:$X$1,$G$3,'Segment RAW Data 25-26'!$B543:$X543)</f>
        <v>36999.2</v>
      </c>
      <c r="H544" s="265">
        <f>sumif('Segment RAW Data 25-26'!$B$1:$X$1,$H$3,'Segment RAW Data 25-26'!$B543:$X543)</f>
        <v>143368.5</v>
      </c>
      <c r="I544" s="265">
        <f>sumif('Segment RAW Data 25-26'!$B$1:$X$1,$I$3,'Segment RAW Data 25-26'!$B543:$X543)</f>
        <v>0</v>
      </c>
      <c r="J544" s="265">
        <f>sumif('Segment RAW Data 25-26'!$B$1:$X$1,$J$3,'Segment RAW Data 25-26'!$B543:$X543)</f>
        <v>175120</v>
      </c>
      <c r="K544" s="265">
        <f>sumif('Segment RAW Data 25-26'!$B$1:$X$1,$K$3,'Segment RAW Data 25-26'!$B543:$X543)</f>
        <v>0</v>
      </c>
      <c r="L544" s="265">
        <f>sumif('Segment RAW Data 25-26'!$B$1:$X$1,$L$3,'Segment RAW Data 25-26'!$B543:$X543)</f>
        <v>0</v>
      </c>
      <c r="M544" s="270">
        <v>46008.0</v>
      </c>
      <c r="N544" s="124" t="s">
        <v>973</v>
      </c>
      <c r="O544" s="124">
        <f>VLOOKUP(C544:C1345,'Segment RAW Data 25-26'!A543:Y1140,25,0)-VLOOKUP(C544:C1345,C:D,2,0)</f>
        <v>0</v>
      </c>
    </row>
    <row r="545" hidden="1">
      <c r="A545" s="157" t="s">
        <v>53</v>
      </c>
      <c r="B545" s="157" t="s">
        <v>56</v>
      </c>
      <c r="C545" s="157" t="s">
        <v>366</v>
      </c>
      <c r="D545" s="124">
        <f t="shared" si="1"/>
        <v>50738.2</v>
      </c>
      <c r="E545" s="265">
        <f>sumif('Segment RAW Data 25-26'!$B$1:$X$1,$E$3,'Segment RAW Data 25-26'!$B544:$X544)</f>
        <v>22051.4</v>
      </c>
      <c r="F545" s="265">
        <f>sumif('Segment RAW Data 25-26'!$B$1:$X$1,$F$3,'Segment RAW Data 25-26'!$B544:$X544)</f>
        <v>0</v>
      </c>
      <c r="G545" s="265">
        <f>sumif('Segment RAW Data 25-26'!$B$1:$X$1,$G$3,'Segment RAW Data 25-26'!$B544:$X544)</f>
        <v>28686.8</v>
      </c>
      <c r="H545" s="265">
        <f>sumif('Segment RAW Data 25-26'!$B$1:$X$1,$H$3,'Segment RAW Data 25-26'!$B544:$X544)</f>
        <v>0</v>
      </c>
      <c r="I545" s="265">
        <f>sumif('Segment RAW Data 25-26'!$B$1:$X$1,$I$3,'Segment RAW Data 25-26'!$B544:$X544)</f>
        <v>0</v>
      </c>
      <c r="J545" s="265">
        <f>sumif('Segment RAW Data 25-26'!$B$1:$X$1,$J$3,'Segment RAW Data 25-26'!$B544:$X544)</f>
        <v>0</v>
      </c>
      <c r="K545" s="265">
        <f>sumif('Segment RAW Data 25-26'!$B$1:$X$1,$K$3,'Segment RAW Data 25-26'!$B544:$X544)</f>
        <v>0</v>
      </c>
      <c r="L545" s="265">
        <f>sumif('Segment RAW Data 25-26'!$B$1:$X$1,$L$3,'Segment RAW Data 25-26'!$B544:$X544)</f>
        <v>0</v>
      </c>
      <c r="M545" s="270">
        <v>45849.0</v>
      </c>
      <c r="N545" s="124" t="s">
        <v>973</v>
      </c>
      <c r="O545" s="124">
        <f>VLOOKUP(C545:C1346,'Segment RAW Data 25-26'!A544:Y1141,25,0)-VLOOKUP(C545:C1346,C:D,2,0)</f>
        <v>0</v>
      </c>
    </row>
    <row r="546" hidden="1">
      <c r="A546" s="157" t="s">
        <v>322</v>
      </c>
      <c r="B546" s="157" t="s">
        <v>325</v>
      </c>
      <c r="C546" s="157" t="s">
        <v>328</v>
      </c>
      <c r="D546" s="124">
        <f t="shared" si="1"/>
        <v>2939713.63</v>
      </c>
      <c r="E546" s="265">
        <f>sumif('Segment RAW Data 25-26'!$B$1:$X$1,$E$3,'Segment RAW Data 25-26'!$B545:$X545)</f>
        <v>12843</v>
      </c>
      <c r="F546" s="265">
        <f>sumif('Segment RAW Data 25-26'!$B$1:$X$1,$F$3,'Segment RAW Data 25-26'!$B545:$X545)</f>
        <v>1103173.19</v>
      </c>
      <c r="G546" s="265">
        <f>sumif('Segment RAW Data 25-26'!$B$1:$X$1,$G$3,'Segment RAW Data 25-26'!$B545:$X545)</f>
        <v>874731.42</v>
      </c>
      <c r="H546" s="265">
        <f>sumif('Segment RAW Data 25-26'!$B$1:$X$1,$H$3,'Segment RAW Data 25-26'!$B545:$X545)</f>
        <v>756534.82</v>
      </c>
      <c r="I546" s="265">
        <f>sumif('Segment RAW Data 25-26'!$B$1:$X$1,$I$3,'Segment RAW Data 25-26'!$B545:$X545)</f>
        <v>0</v>
      </c>
      <c r="J546" s="265">
        <f>sumif('Segment RAW Data 25-26'!$B$1:$X$1,$J$3,'Segment RAW Data 25-26'!$B545:$X545)</f>
        <v>192431.2</v>
      </c>
      <c r="K546" s="265">
        <f>sumif('Segment RAW Data 25-26'!$B$1:$X$1,$K$3,'Segment RAW Data 25-26'!$B545:$X545)</f>
        <v>0</v>
      </c>
      <c r="L546" s="265">
        <f>sumif('Segment RAW Data 25-26'!$B$1:$X$1,$L$3,'Segment RAW Data 25-26'!$B545:$X545)</f>
        <v>0</v>
      </c>
      <c r="M546" s="270"/>
      <c r="N546" s="124" t="s">
        <v>975</v>
      </c>
      <c r="O546" s="124">
        <f>VLOOKUP(C546:C1347,'Segment RAW Data 25-26'!A545:Y1142,25,0)-VLOOKUP(C546:C1347,C:D,2,0)</f>
        <v>0</v>
      </c>
    </row>
    <row r="547" hidden="1">
      <c r="A547" s="157" t="s">
        <v>185</v>
      </c>
      <c r="B547" s="157" t="s">
        <v>189</v>
      </c>
      <c r="C547" s="157" t="s">
        <v>285</v>
      </c>
      <c r="D547" s="124">
        <f t="shared" si="1"/>
        <v>4564361.23</v>
      </c>
      <c r="E547" s="265">
        <f>sumif('Segment RAW Data 25-26'!$B$1:$X$1,$E$3,'Segment RAW Data 25-26'!$B546:$X546)</f>
        <v>3907570.55</v>
      </c>
      <c r="F547" s="265">
        <f>sumif('Segment RAW Data 25-26'!$B$1:$X$1,$F$3,'Segment RAW Data 25-26'!$B546:$X546)</f>
        <v>0</v>
      </c>
      <c r="G547" s="265">
        <f>sumif('Segment RAW Data 25-26'!$B$1:$X$1,$G$3,'Segment RAW Data 25-26'!$B546:$X546)</f>
        <v>379605.05</v>
      </c>
      <c r="H547" s="265">
        <f>sumif('Segment RAW Data 25-26'!$B$1:$X$1,$H$3,'Segment RAW Data 25-26'!$B546:$X546)</f>
        <v>0</v>
      </c>
      <c r="I547" s="265">
        <f>sumif('Segment RAW Data 25-26'!$B$1:$X$1,$I$3,'Segment RAW Data 25-26'!$B546:$X546)</f>
        <v>0</v>
      </c>
      <c r="J547" s="265">
        <f>sumif('Segment RAW Data 25-26'!$B$1:$X$1,$J$3,'Segment RAW Data 25-26'!$B546:$X546)</f>
        <v>0</v>
      </c>
      <c r="K547" s="265">
        <f>sumif('Segment RAW Data 25-26'!$B$1:$X$1,$K$3,'Segment RAW Data 25-26'!$B546:$X546)</f>
        <v>0</v>
      </c>
      <c r="L547" s="265">
        <f>sumif('Segment RAW Data 25-26'!$B$1:$X$1,$L$3,'Segment RAW Data 25-26'!$B546:$X546)</f>
        <v>277185.63</v>
      </c>
      <c r="M547" s="270"/>
      <c r="N547" s="124" t="s">
        <v>975</v>
      </c>
      <c r="O547" s="124">
        <f>VLOOKUP(C547:C1348,'Segment RAW Data 25-26'!A546:Y1143,25,0)-VLOOKUP(C547:C1348,C:D,2,0)</f>
        <v>-0.009999999776</v>
      </c>
    </row>
    <row r="548" hidden="1">
      <c r="A548" s="157" t="s">
        <v>185</v>
      </c>
      <c r="B548" s="157" t="s">
        <v>189</v>
      </c>
      <c r="C548" s="157" t="s">
        <v>408</v>
      </c>
      <c r="D548" s="124">
        <f t="shared" si="1"/>
        <v>1333155.72</v>
      </c>
      <c r="E548" s="265">
        <f>sumif('Segment RAW Data 25-26'!$B$1:$X$1,$E$3,'Segment RAW Data 25-26'!$B547:$X547)</f>
        <v>0</v>
      </c>
      <c r="F548" s="265">
        <f>sumif('Segment RAW Data 25-26'!$B$1:$X$1,$F$3,'Segment RAW Data 25-26'!$B547:$X547)</f>
        <v>129210.4</v>
      </c>
      <c r="G548" s="265">
        <f>sumif('Segment RAW Data 25-26'!$B$1:$X$1,$G$3,'Segment RAW Data 25-26'!$B547:$X547)</f>
        <v>1183762.92</v>
      </c>
      <c r="H548" s="265">
        <f>sumif('Segment RAW Data 25-26'!$B$1:$X$1,$H$3,'Segment RAW Data 25-26'!$B547:$X547)</f>
        <v>20182.4</v>
      </c>
      <c r="I548" s="265">
        <f>sumif('Segment RAW Data 25-26'!$B$1:$X$1,$I$3,'Segment RAW Data 25-26'!$B547:$X547)</f>
        <v>0</v>
      </c>
      <c r="J548" s="265">
        <f>sumif('Segment RAW Data 25-26'!$B$1:$X$1,$J$3,'Segment RAW Data 25-26'!$B547:$X547)</f>
        <v>0</v>
      </c>
      <c r="K548" s="265">
        <f>sumif('Segment RAW Data 25-26'!$B$1:$X$1,$K$3,'Segment RAW Data 25-26'!$B547:$X547)</f>
        <v>0</v>
      </c>
      <c r="L548" s="265">
        <f>sumif('Segment RAW Data 25-26'!$B$1:$X$1,$L$3,'Segment RAW Data 25-26'!$B547:$X547)</f>
        <v>0</v>
      </c>
      <c r="M548" s="270">
        <v>45852.0</v>
      </c>
      <c r="N548" s="124" t="s">
        <v>973</v>
      </c>
      <c r="O548" s="124">
        <f>VLOOKUP(C548:C1349,'Segment RAW Data 25-26'!A547:Y1144,25,0)-VLOOKUP(C548:C1349,C:D,2,0)</f>
        <v>0.0000000002328306437</v>
      </c>
    </row>
    <row r="549" hidden="1">
      <c r="A549" s="157" t="s">
        <v>185</v>
      </c>
      <c r="B549" s="157" t="s">
        <v>85</v>
      </c>
      <c r="C549" s="157" t="s">
        <v>397</v>
      </c>
      <c r="D549" s="124">
        <f t="shared" si="1"/>
        <v>523145.87</v>
      </c>
      <c r="E549" s="265">
        <f>sumif('Segment RAW Data 25-26'!$B$1:$X$1,$E$3,'Segment RAW Data 25-26'!$B548:$X548)</f>
        <v>13598</v>
      </c>
      <c r="F549" s="265">
        <f>sumif('Segment RAW Data 25-26'!$B$1:$X$1,$F$3,'Segment RAW Data 25-26'!$B548:$X548)</f>
        <v>65862.5</v>
      </c>
      <c r="G549" s="265">
        <f>sumif('Segment RAW Data 25-26'!$B$1:$X$1,$G$3,'Segment RAW Data 25-26'!$B548:$X548)</f>
        <v>112479.62</v>
      </c>
      <c r="H549" s="265">
        <f>sumif('Segment RAW Data 25-26'!$B$1:$X$1,$H$3,'Segment RAW Data 25-26'!$B548:$X548)</f>
        <v>331205.75</v>
      </c>
      <c r="I549" s="265">
        <f>sumif('Segment RAW Data 25-26'!$B$1:$X$1,$I$3,'Segment RAW Data 25-26'!$B548:$X548)</f>
        <v>0</v>
      </c>
      <c r="J549" s="265">
        <f>sumif('Segment RAW Data 25-26'!$B$1:$X$1,$J$3,'Segment RAW Data 25-26'!$B548:$X548)</f>
        <v>0</v>
      </c>
      <c r="K549" s="265">
        <f>sumif('Segment RAW Data 25-26'!$B$1:$X$1,$K$3,'Segment RAW Data 25-26'!$B548:$X548)</f>
        <v>0</v>
      </c>
      <c r="L549" s="265">
        <f>sumif('Segment RAW Data 25-26'!$B$1:$X$1,$L$3,'Segment RAW Data 25-26'!$B548:$X548)</f>
        <v>0</v>
      </c>
      <c r="M549" s="270">
        <v>46009.0</v>
      </c>
      <c r="N549" s="124" t="s">
        <v>973</v>
      </c>
      <c r="O549" s="124">
        <f>VLOOKUP(C549:C1350,'Segment RAW Data 25-26'!A548:Y1145,25,0)-VLOOKUP(C549:C1350,C:D,2,0)</f>
        <v>0</v>
      </c>
    </row>
    <row r="550" hidden="1">
      <c r="A550" s="157" t="s">
        <v>23</v>
      </c>
      <c r="B550" s="157" t="s">
        <v>37</v>
      </c>
      <c r="C550" s="157" t="s">
        <v>875</v>
      </c>
      <c r="D550" s="124">
        <f t="shared" si="1"/>
        <v>0</v>
      </c>
      <c r="E550" s="265">
        <f>sumif('Segment RAW Data 25-26'!$B$1:$X$1,$E$3,'Segment RAW Data 25-26'!$B549:$X549)</f>
        <v>0</v>
      </c>
      <c r="F550" s="265">
        <f>sumif('Segment RAW Data 25-26'!$B$1:$X$1,$F$3,'Segment RAW Data 25-26'!$B549:$X549)</f>
        <v>0</v>
      </c>
      <c r="G550" s="265">
        <f>sumif('Segment RAW Data 25-26'!$B$1:$X$1,$G$3,'Segment RAW Data 25-26'!$B549:$X549)</f>
        <v>0</v>
      </c>
      <c r="H550" s="265">
        <f>sumif('Segment RAW Data 25-26'!$B$1:$X$1,$H$3,'Segment RAW Data 25-26'!$B549:$X549)</f>
        <v>0</v>
      </c>
      <c r="I550" s="265">
        <f>sumif('Segment RAW Data 25-26'!$B$1:$X$1,$I$3,'Segment RAW Data 25-26'!$B549:$X549)</f>
        <v>0</v>
      </c>
      <c r="J550" s="265">
        <f>sumif('Segment RAW Data 25-26'!$B$1:$X$1,$J$3,'Segment RAW Data 25-26'!$B549:$X549)</f>
        <v>0</v>
      </c>
      <c r="K550" s="265">
        <f>sumif('Segment RAW Data 25-26'!$B$1:$X$1,$K$3,'Segment RAW Data 25-26'!$B549:$X549)</f>
        <v>0</v>
      </c>
      <c r="L550" s="265">
        <f>sumif('Segment RAW Data 25-26'!$B$1:$X$1,$L$3,'Segment RAW Data 25-26'!$B549:$X549)</f>
        <v>0</v>
      </c>
      <c r="M550" s="270">
        <v>45831.0</v>
      </c>
      <c r="N550" s="124" t="s">
        <v>973</v>
      </c>
      <c r="O550" s="124">
        <f>VLOOKUP(C550:C1351,'Segment RAW Data 25-26'!A549:Y1146,25,0)-VLOOKUP(C550:C1351,C:D,2,0)</f>
        <v>0</v>
      </c>
    </row>
    <row r="551" hidden="1">
      <c r="A551" s="157" t="s">
        <v>23</v>
      </c>
      <c r="B551" s="157" t="s">
        <v>27</v>
      </c>
      <c r="C551" s="157" t="s">
        <v>337</v>
      </c>
      <c r="D551" s="124">
        <f t="shared" si="1"/>
        <v>225872.96</v>
      </c>
      <c r="E551" s="265">
        <f>sumif('Segment RAW Data 25-26'!$B$1:$X$1,$E$3,'Segment RAW Data 25-26'!$B550:$X550)</f>
        <v>0</v>
      </c>
      <c r="F551" s="265">
        <f>sumif('Segment RAW Data 25-26'!$B$1:$X$1,$F$3,'Segment RAW Data 25-26'!$B550:$X550)</f>
        <v>0</v>
      </c>
      <c r="G551" s="265">
        <f>sumif('Segment RAW Data 25-26'!$B$1:$X$1,$G$3,'Segment RAW Data 25-26'!$B550:$X550)</f>
        <v>225872.96</v>
      </c>
      <c r="H551" s="265">
        <f>sumif('Segment RAW Data 25-26'!$B$1:$X$1,$H$3,'Segment RAW Data 25-26'!$B550:$X550)</f>
        <v>0</v>
      </c>
      <c r="I551" s="265">
        <f>sumif('Segment RAW Data 25-26'!$B$1:$X$1,$I$3,'Segment RAW Data 25-26'!$B550:$X550)</f>
        <v>0</v>
      </c>
      <c r="J551" s="265">
        <f>sumif('Segment RAW Data 25-26'!$B$1:$X$1,$J$3,'Segment RAW Data 25-26'!$B550:$X550)</f>
        <v>0</v>
      </c>
      <c r="K551" s="265">
        <f>sumif('Segment RAW Data 25-26'!$B$1:$X$1,$K$3,'Segment RAW Data 25-26'!$B550:$X550)</f>
        <v>0</v>
      </c>
      <c r="L551" s="265">
        <f>sumif('Segment RAW Data 25-26'!$B$1:$X$1,$L$3,'Segment RAW Data 25-26'!$B550:$X550)</f>
        <v>0</v>
      </c>
      <c r="M551" s="270">
        <v>45930.0</v>
      </c>
      <c r="N551" s="124" t="s">
        <v>973</v>
      </c>
      <c r="O551" s="124">
        <f>VLOOKUP(C551:C1352,'Segment RAW Data 25-26'!A550:Y1147,25,0)-VLOOKUP(C551:C1352,C:D,2,0)</f>
        <v>0</v>
      </c>
    </row>
    <row r="552" hidden="1">
      <c r="A552" s="157" t="s">
        <v>185</v>
      </c>
      <c r="B552" s="157" t="s">
        <v>85</v>
      </c>
      <c r="C552" s="157" t="s">
        <v>399</v>
      </c>
      <c r="D552" s="124">
        <f t="shared" si="1"/>
        <v>1405374.08</v>
      </c>
      <c r="E552" s="265">
        <f>sumif('Segment RAW Data 25-26'!$B$1:$X$1,$E$3,'Segment RAW Data 25-26'!$B551:$X551)</f>
        <v>0</v>
      </c>
      <c r="F552" s="265">
        <f>sumif('Segment RAW Data 25-26'!$B$1:$X$1,$F$3,'Segment RAW Data 25-26'!$B551:$X551)</f>
        <v>238482.2</v>
      </c>
      <c r="G552" s="265">
        <f>sumif('Segment RAW Data 25-26'!$B$1:$X$1,$G$3,'Segment RAW Data 25-26'!$B551:$X551)</f>
        <v>471671.08</v>
      </c>
      <c r="H552" s="265">
        <f>sumif('Segment RAW Data 25-26'!$B$1:$X$1,$H$3,'Segment RAW Data 25-26'!$B551:$X551)</f>
        <v>575009.55</v>
      </c>
      <c r="I552" s="265">
        <f>sumif('Segment RAW Data 25-26'!$B$1:$X$1,$I$3,'Segment RAW Data 25-26'!$B551:$X551)</f>
        <v>0</v>
      </c>
      <c r="J552" s="265">
        <f>sumif('Segment RAW Data 25-26'!$B$1:$X$1,$J$3,'Segment RAW Data 25-26'!$B551:$X551)</f>
        <v>120211.25</v>
      </c>
      <c r="K552" s="265">
        <f>sumif('Segment RAW Data 25-26'!$B$1:$X$1,$K$3,'Segment RAW Data 25-26'!$B551:$X551)</f>
        <v>0</v>
      </c>
      <c r="L552" s="265">
        <f>sumif('Segment RAW Data 25-26'!$B$1:$X$1,$L$3,'Segment RAW Data 25-26'!$B551:$X551)</f>
        <v>0</v>
      </c>
      <c r="M552" s="270">
        <v>46035.0</v>
      </c>
      <c r="N552" s="124" t="s">
        <v>973</v>
      </c>
      <c r="O552" s="124">
        <f>VLOOKUP(C552:C1353,'Segment RAW Data 25-26'!A551:Y1148,25,0)-VLOOKUP(C552:C1353,C:D,2,0)</f>
        <v>0</v>
      </c>
    </row>
    <row r="553" hidden="1">
      <c r="A553" s="157" t="s">
        <v>126</v>
      </c>
      <c r="B553" s="157" t="s">
        <v>130</v>
      </c>
      <c r="C553" s="157" t="s">
        <v>449</v>
      </c>
      <c r="D553" s="124">
        <f t="shared" si="1"/>
        <v>256329.44</v>
      </c>
      <c r="E553" s="265">
        <f>sumif('Segment RAW Data 25-26'!$B$1:$X$1,$E$3,'Segment RAW Data 25-26'!$B552:$X552)</f>
        <v>45344.44</v>
      </c>
      <c r="F553" s="265">
        <f>sumif('Segment RAW Data 25-26'!$B$1:$X$1,$F$3,'Segment RAW Data 25-26'!$B552:$X552)</f>
        <v>36485</v>
      </c>
      <c r="G553" s="265">
        <f>sumif('Segment RAW Data 25-26'!$B$1:$X$1,$G$3,'Segment RAW Data 25-26'!$B552:$X552)</f>
        <v>0</v>
      </c>
      <c r="H553" s="265">
        <f>sumif('Segment RAW Data 25-26'!$B$1:$X$1,$H$3,'Segment RAW Data 25-26'!$B552:$X552)</f>
        <v>0</v>
      </c>
      <c r="I553" s="265">
        <f>sumif('Segment RAW Data 25-26'!$B$1:$X$1,$I$3,'Segment RAW Data 25-26'!$B552:$X552)</f>
        <v>0</v>
      </c>
      <c r="J553" s="265">
        <f>sumif('Segment RAW Data 25-26'!$B$1:$X$1,$J$3,'Segment RAW Data 25-26'!$B552:$X552)</f>
        <v>0</v>
      </c>
      <c r="K553" s="265">
        <f>sumif('Segment RAW Data 25-26'!$B$1:$X$1,$K$3,'Segment RAW Data 25-26'!$B552:$X552)</f>
        <v>0</v>
      </c>
      <c r="L553" s="265">
        <f>sumif('Segment RAW Data 25-26'!$B$1:$X$1,$L$3,'Segment RAW Data 25-26'!$B552:$X552)</f>
        <v>174500</v>
      </c>
      <c r="M553" s="270">
        <v>45985.0</v>
      </c>
      <c r="N553" s="124" t="s">
        <v>973</v>
      </c>
      <c r="O553" s="124">
        <f>VLOOKUP(C553:C1354,'Segment RAW Data 25-26'!A552:Y1149,25,0)-VLOOKUP(C553:C1354,C:D,2,0)</f>
        <v>0</v>
      </c>
    </row>
    <row r="554" hidden="1">
      <c r="A554" s="157" t="s">
        <v>126</v>
      </c>
      <c r="B554" s="157" t="s">
        <v>140</v>
      </c>
      <c r="C554" s="157" t="s">
        <v>173</v>
      </c>
      <c r="D554" s="124">
        <f t="shared" si="1"/>
        <v>6654740.51</v>
      </c>
      <c r="E554" s="265">
        <f>sumif('Segment RAW Data 25-26'!$B$1:$X$1,$E$3,'Segment RAW Data 25-26'!$B553:$X553)</f>
        <v>2663119.1</v>
      </c>
      <c r="F554" s="265">
        <f>sumif('Segment RAW Data 25-26'!$B$1:$X$1,$F$3,'Segment RAW Data 25-26'!$B553:$X553)</f>
        <v>858772.22</v>
      </c>
      <c r="G554" s="265">
        <f>sumif('Segment RAW Data 25-26'!$B$1:$X$1,$G$3,'Segment RAW Data 25-26'!$B553:$X553)</f>
        <v>3023232.69</v>
      </c>
      <c r="H554" s="265">
        <f>sumif('Segment RAW Data 25-26'!$B$1:$X$1,$H$3,'Segment RAW Data 25-26'!$B553:$X553)</f>
        <v>107078.5</v>
      </c>
      <c r="I554" s="265">
        <f>sumif('Segment RAW Data 25-26'!$B$1:$X$1,$I$3,'Segment RAW Data 25-26'!$B553:$X553)</f>
        <v>0</v>
      </c>
      <c r="J554" s="265">
        <f>sumif('Segment RAW Data 25-26'!$B$1:$X$1,$J$3,'Segment RAW Data 25-26'!$B553:$X553)</f>
        <v>2538</v>
      </c>
      <c r="K554" s="265">
        <f>sumif('Segment RAW Data 25-26'!$B$1:$X$1,$K$3,'Segment RAW Data 25-26'!$B553:$X553)</f>
        <v>0</v>
      </c>
      <c r="L554" s="265">
        <f>sumif('Segment RAW Data 25-26'!$B$1:$X$1,$L$3,'Segment RAW Data 25-26'!$B553:$X553)</f>
        <v>0</v>
      </c>
      <c r="M554" s="270"/>
      <c r="N554" s="124" t="s">
        <v>975</v>
      </c>
      <c r="O554" s="124">
        <f>VLOOKUP(C554:C1355,'Segment RAW Data 25-26'!A553:Y1150,25,0)-VLOOKUP(C554:C1355,C:D,2,0)</f>
        <v>0.009999999776</v>
      </c>
    </row>
    <row r="555" hidden="1">
      <c r="A555" s="157" t="s">
        <v>97</v>
      </c>
      <c r="B555" s="157" t="s">
        <v>101</v>
      </c>
      <c r="C555" s="157" t="s">
        <v>344</v>
      </c>
      <c r="D555" s="124">
        <f t="shared" si="1"/>
        <v>0</v>
      </c>
      <c r="E555" s="265">
        <f>sumif('Segment RAW Data 25-26'!$B$1:$X$1,$E$3,'Segment RAW Data 25-26'!$B554:$X554)</f>
        <v>0</v>
      </c>
      <c r="F555" s="265">
        <f>sumif('Segment RAW Data 25-26'!$B$1:$X$1,$F$3,'Segment RAW Data 25-26'!$B554:$X554)</f>
        <v>0</v>
      </c>
      <c r="G555" s="265">
        <f>sumif('Segment RAW Data 25-26'!$B$1:$X$1,$G$3,'Segment RAW Data 25-26'!$B554:$X554)</f>
        <v>0</v>
      </c>
      <c r="H555" s="265">
        <f>sumif('Segment RAW Data 25-26'!$B$1:$X$1,$H$3,'Segment RAW Data 25-26'!$B554:$X554)</f>
        <v>0</v>
      </c>
      <c r="I555" s="265">
        <f>sumif('Segment RAW Data 25-26'!$B$1:$X$1,$I$3,'Segment RAW Data 25-26'!$B554:$X554)</f>
        <v>0</v>
      </c>
      <c r="J555" s="265">
        <f>sumif('Segment RAW Data 25-26'!$B$1:$X$1,$J$3,'Segment RAW Data 25-26'!$B554:$X554)</f>
        <v>0</v>
      </c>
      <c r="K555" s="265">
        <f>sumif('Segment RAW Data 25-26'!$B$1:$X$1,$K$3,'Segment RAW Data 25-26'!$B554:$X554)</f>
        <v>0</v>
      </c>
      <c r="L555" s="265">
        <f>sumif('Segment RAW Data 25-26'!$B$1:$X$1,$L$3,'Segment RAW Data 25-26'!$B554:$X554)</f>
        <v>0</v>
      </c>
      <c r="M555" s="270">
        <v>45911.0</v>
      </c>
      <c r="N555" s="124" t="s">
        <v>973</v>
      </c>
      <c r="O555" s="124">
        <f>VLOOKUP(C555:C1356,'Segment RAW Data 25-26'!A554:Y1151,25,0)-VLOOKUP(C555:C1356,C:D,2,0)</f>
        <v>0</v>
      </c>
    </row>
    <row r="556" hidden="1">
      <c r="A556" s="157" t="s">
        <v>97</v>
      </c>
      <c r="B556" s="157" t="s">
        <v>101</v>
      </c>
      <c r="C556" s="157" t="s">
        <v>108</v>
      </c>
      <c r="D556" s="124">
        <f t="shared" si="1"/>
        <v>9683539.1</v>
      </c>
      <c r="E556" s="265">
        <f>sumif('Segment RAW Data 25-26'!$B$1:$X$1,$E$3,'Segment RAW Data 25-26'!$B555:$X555)</f>
        <v>0</v>
      </c>
      <c r="F556" s="265">
        <f>sumif('Segment RAW Data 25-26'!$B$1:$X$1,$F$3,'Segment RAW Data 25-26'!$B555:$X555)</f>
        <v>9241429.1</v>
      </c>
      <c r="G556" s="265">
        <f>sumif('Segment RAW Data 25-26'!$B$1:$X$1,$G$3,'Segment RAW Data 25-26'!$B555:$X555)</f>
        <v>0</v>
      </c>
      <c r="H556" s="265">
        <f>sumif('Segment RAW Data 25-26'!$B$1:$X$1,$H$3,'Segment RAW Data 25-26'!$B555:$X555)</f>
        <v>442110</v>
      </c>
      <c r="I556" s="265">
        <f>sumif('Segment RAW Data 25-26'!$B$1:$X$1,$I$3,'Segment RAW Data 25-26'!$B555:$X555)</f>
        <v>0</v>
      </c>
      <c r="J556" s="265">
        <f>sumif('Segment RAW Data 25-26'!$B$1:$X$1,$J$3,'Segment RAW Data 25-26'!$B555:$X555)</f>
        <v>0</v>
      </c>
      <c r="K556" s="265">
        <f>sumif('Segment RAW Data 25-26'!$B$1:$X$1,$K$3,'Segment RAW Data 25-26'!$B555:$X555)</f>
        <v>0</v>
      </c>
      <c r="L556" s="265">
        <f>sumif('Segment RAW Data 25-26'!$B$1:$X$1,$L$3,'Segment RAW Data 25-26'!$B555:$X555)</f>
        <v>0</v>
      </c>
      <c r="M556" s="270"/>
      <c r="N556" s="124" t="s">
        <v>975</v>
      </c>
      <c r="O556" s="124">
        <f>VLOOKUP(C556:C1357,'Segment RAW Data 25-26'!A555:Y1152,25,0)-VLOOKUP(C556:C1357,C:D,2,0)</f>
        <v>0</v>
      </c>
    </row>
    <row r="557" hidden="1">
      <c r="A557" s="157" t="s">
        <v>53</v>
      </c>
      <c r="B557" s="157" t="s">
        <v>61</v>
      </c>
      <c r="C557" s="157" t="s">
        <v>367</v>
      </c>
      <c r="D557" s="124">
        <f t="shared" si="1"/>
        <v>0</v>
      </c>
      <c r="E557" s="265">
        <f>sumif('Segment RAW Data 25-26'!$B$1:$X$1,$E$3,'Segment RAW Data 25-26'!$B556:$X556)</f>
        <v>0</v>
      </c>
      <c r="F557" s="265">
        <f>sumif('Segment RAW Data 25-26'!$B$1:$X$1,$F$3,'Segment RAW Data 25-26'!$B556:$X556)</f>
        <v>0</v>
      </c>
      <c r="G557" s="265">
        <f>sumif('Segment RAW Data 25-26'!$B$1:$X$1,$G$3,'Segment RAW Data 25-26'!$B556:$X556)</f>
        <v>0</v>
      </c>
      <c r="H557" s="265">
        <f>sumif('Segment RAW Data 25-26'!$B$1:$X$1,$H$3,'Segment RAW Data 25-26'!$B556:$X556)</f>
        <v>0</v>
      </c>
      <c r="I557" s="265">
        <f>sumif('Segment RAW Data 25-26'!$B$1:$X$1,$I$3,'Segment RAW Data 25-26'!$B556:$X556)</f>
        <v>0</v>
      </c>
      <c r="J557" s="265">
        <f>sumif('Segment RAW Data 25-26'!$B$1:$X$1,$J$3,'Segment RAW Data 25-26'!$B556:$X556)</f>
        <v>0</v>
      </c>
      <c r="K557" s="265">
        <f>sumif('Segment RAW Data 25-26'!$B$1:$X$1,$K$3,'Segment RAW Data 25-26'!$B556:$X556)</f>
        <v>0</v>
      </c>
      <c r="L557" s="265">
        <f>sumif('Segment RAW Data 25-26'!$B$1:$X$1,$L$3,'Segment RAW Data 25-26'!$B556:$X556)</f>
        <v>0</v>
      </c>
      <c r="M557" s="270">
        <v>45869.0</v>
      </c>
      <c r="N557" s="124" t="s">
        <v>973</v>
      </c>
      <c r="O557" s="124">
        <f>VLOOKUP(C557:C1358,'Segment RAW Data 25-26'!A556:Y1153,25,0)-VLOOKUP(C557:C1358,C:D,2,0)</f>
        <v>0</v>
      </c>
    </row>
    <row r="558" hidden="1">
      <c r="A558" s="157" t="s">
        <v>185</v>
      </c>
      <c r="B558" s="157" t="s">
        <v>189</v>
      </c>
      <c r="C558" s="157" t="s">
        <v>286</v>
      </c>
      <c r="D558" s="124">
        <f t="shared" si="1"/>
        <v>14689717.75</v>
      </c>
      <c r="E558" s="265">
        <f>sumif('Segment RAW Data 25-26'!$B$1:$X$1,$E$3,'Segment RAW Data 25-26'!$B557:$X557)</f>
        <v>7145013.72</v>
      </c>
      <c r="F558" s="265">
        <f>sumif('Segment RAW Data 25-26'!$B$1:$X$1,$F$3,'Segment RAW Data 25-26'!$B557:$X557)</f>
        <v>1824619.59</v>
      </c>
      <c r="G558" s="265">
        <f>sumif('Segment RAW Data 25-26'!$B$1:$X$1,$G$3,'Segment RAW Data 25-26'!$B557:$X557)</f>
        <v>2927890.85</v>
      </c>
      <c r="H558" s="265">
        <f>sumif('Segment RAW Data 25-26'!$B$1:$X$1,$H$3,'Segment RAW Data 25-26'!$B557:$X557)</f>
        <v>76124.22</v>
      </c>
      <c r="I558" s="265">
        <f>sumif('Segment RAW Data 25-26'!$B$1:$X$1,$I$3,'Segment RAW Data 25-26'!$B557:$X557)</f>
        <v>0</v>
      </c>
      <c r="J558" s="265">
        <f>sumif('Segment RAW Data 25-26'!$B$1:$X$1,$J$3,'Segment RAW Data 25-26'!$B557:$X557)</f>
        <v>586484.35</v>
      </c>
      <c r="K558" s="265">
        <f>sumif('Segment RAW Data 25-26'!$B$1:$X$1,$K$3,'Segment RAW Data 25-26'!$B557:$X557)</f>
        <v>29941.8</v>
      </c>
      <c r="L558" s="265">
        <f>sumif('Segment RAW Data 25-26'!$B$1:$X$1,$L$3,'Segment RAW Data 25-26'!$B557:$X557)</f>
        <v>2099643.22</v>
      </c>
      <c r="M558" s="270"/>
      <c r="N558" s="124" t="s">
        <v>975</v>
      </c>
      <c r="O558" s="124">
        <f>VLOOKUP(C558:C1359,'Segment RAW Data 25-26'!A557:Y1154,25,0)-VLOOKUP(C558:C1359,C:D,2,0)</f>
        <v>-0.000000001862645149</v>
      </c>
    </row>
    <row r="559" hidden="1">
      <c r="A559" s="157" t="s">
        <v>126</v>
      </c>
      <c r="B559" s="157" t="s">
        <v>130</v>
      </c>
      <c r="C559" s="157" t="s">
        <v>172</v>
      </c>
      <c r="D559" s="124">
        <f t="shared" si="1"/>
        <v>6669494.84</v>
      </c>
      <c r="E559" s="265">
        <f>sumif('Segment RAW Data 25-26'!$B$1:$X$1,$E$3,'Segment RAW Data 25-26'!$B558:$X558)</f>
        <v>0</v>
      </c>
      <c r="F559" s="265">
        <f>sumif('Segment RAW Data 25-26'!$B$1:$X$1,$F$3,'Segment RAW Data 25-26'!$B558:$X558)</f>
        <v>4771148.94</v>
      </c>
      <c r="G559" s="265">
        <f>sumif('Segment RAW Data 25-26'!$B$1:$X$1,$G$3,'Segment RAW Data 25-26'!$B558:$X558)</f>
        <v>0</v>
      </c>
      <c r="H559" s="265">
        <f>sumif('Segment RAW Data 25-26'!$B$1:$X$1,$H$3,'Segment RAW Data 25-26'!$B558:$X558)</f>
        <v>682496.6</v>
      </c>
      <c r="I559" s="265">
        <f>sumif('Segment RAW Data 25-26'!$B$1:$X$1,$I$3,'Segment RAW Data 25-26'!$B558:$X558)</f>
        <v>0</v>
      </c>
      <c r="J559" s="265">
        <f>sumif('Segment RAW Data 25-26'!$B$1:$X$1,$J$3,'Segment RAW Data 25-26'!$B558:$X558)</f>
        <v>1215849.3</v>
      </c>
      <c r="K559" s="265">
        <f>sumif('Segment RAW Data 25-26'!$B$1:$X$1,$K$3,'Segment RAW Data 25-26'!$B558:$X558)</f>
        <v>0</v>
      </c>
      <c r="L559" s="265">
        <f>sumif('Segment RAW Data 25-26'!$B$1:$X$1,$L$3,'Segment RAW Data 25-26'!$B558:$X558)</f>
        <v>0</v>
      </c>
      <c r="M559" s="270"/>
      <c r="N559" s="124" t="s">
        <v>975</v>
      </c>
      <c r="O559" s="124">
        <f>VLOOKUP(C559:C1360,'Segment RAW Data 25-26'!A558:Y1155,25,0)-VLOOKUP(C559:C1360,C:D,2,0)</f>
        <v>0.01000000071</v>
      </c>
    </row>
    <row r="560" hidden="1">
      <c r="A560" s="157" t="s">
        <v>97</v>
      </c>
      <c r="B560" s="157" t="s">
        <v>101</v>
      </c>
      <c r="C560" s="157" t="s">
        <v>876</v>
      </c>
      <c r="D560" s="124">
        <f t="shared" si="1"/>
        <v>0</v>
      </c>
      <c r="E560" s="265">
        <f>sumif('Segment RAW Data 25-26'!$B$1:$X$1,$E$3,'Segment RAW Data 25-26'!$B559:$X559)</f>
        <v>0</v>
      </c>
      <c r="F560" s="265">
        <f>sumif('Segment RAW Data 25-26'!$B$1:$X$1,$F$3,'Segment RAW Data 25-26'!$B559:$X559)</f>
        <v>0</v>
      </c>
      <c r="G560" s="265">
        <f>sumif('Segment RAW Data 25-26'!$B$1:$X$1,$G$3,'Segment RAW Data 25-26'!$B559:$X559)</f>
        <v>0</v>
      </c>
      <c r="H560" s="265">
        <f>sumif('Segment RAW Data 25-26'!$B$1:$X$1,$H$3,'Segment RAW Data 25-26'!$B559:$X559)</f>
        <v>0</v>
      </c>
      <c r="I560" s="265">
        <f>sumif('Segment RAW Data 25-26'!$B$1:$X$1,$I$3,'Segment RAW Data 25-26'!$B559:$X559)</f>
        <v>0</v>
      </c>
      <c r="J560" s="265">
        <f>sumif('Segment RAW Data 25-26'!$B$1:$X$1,$J$3,'Segment RAW Data 25-26'!$B559:$X559)</f>
        <v>0</v>
      </c>
      <c r="K560" s="265">
        <f>sumif('Segment RAW Data 25-26'!$B$1:$X$1,$K$3,'Segment RAW Data 25-26'!$B559:$X559)</f>
        <v>0</v>
      </c>
      <c r="L560" s="265">
        <f>sumif('Segment RAW Data 25-26'!$B$1:$X$1,$L$3,'Segment RAW Data 25-26'!$B559:$X559)</f>
        <v>0</v>
      </c>
      <c r="M560" s="270"/>
      <c r="N560" s="124" t="s">
        <v>975</v>
      </c>
      <c r="O560" s="124">
        <f>VLOOKUP(C560:C1361,'Segment RAW Data 25-26'!A559:Y1156,25,0)-VLOOKUP(C560:C1361,C:D,2,0)</f>
        <v>0</v>
      </c>
    </row>
    <row r="561" hidden="1">
      <c r="A561" s="157" t="s">
        <v>298</v>
      </c>
      <c r="B561" s="157" t="s">
        <v>301</v>
      </c>
      <c r="C561" s="157" t="s">
        <v>877</v>
      </c>
      <c r="D561" s="124">
        <f t="shared" si="1"/>
        <v>542431.2</v>
      </c>
      <c r="E561" s="265">
        <f>sumif('Segment RAW Data 25-26'!$B$1:$X$1,$E$3,'Segment RAW Data 25-26'!$B560:$X560)</f>
        <v>41164.75</v>
      </c>
      <c r="F561" s="265">
        <f>sumif('Segment RAW Data 25-26'!$B$1:$X$1,$F$3,'Segment RAW Data 25-26'!$B560:$X560)</f>
        <v>85794.5</v>
      </c>
      <c r="G561" s="265">
        <f>sumif('Segment RAW Data 25-26'!$B$1:$X$1,$G$3,'Segment RAW Data 25-26'!$B560:$X560)</f>
        <v>360997.65</v>
      </c>
      <c r="H561" s="265">
        <f>sumif('Segment RAW Data 25-26'!$B$1:$X$1,$H$3,'Segment RAW Data 25-26'!$B560:$X560)</f>
        <v>14696</v>
      </c>
      <c r="I561" s="265">
        <f>sumif('Segment RAW Data 25-26'!$B$1:$X$1,$I$3,'Segment RAW Data 25-26'!$B560:$X560)</f>
        <v>0</v>
      </c>
      <c r="J561" s="265">
        <f>sumif('Segment RAW Data 25-26'!$B$1:$X$1,$J$3,'Segment RAW Data 25-26'!$B560:$X560)</f>
        <v>39778.3</v>
      </c>
      <c r="K561" s="265">
        <f>sumif('Segment RAW Data 25-26'!$B$1:$X$1,$K$3,'Segment RAW Data 25-26'!$B560:$X560)</f>
        <v>0</v>
      </c>
      <c r="L561" s="265">
        <f>sumif('Segment RAW Data 25-26'!$B$1:$X$1,$L$3,'Segment RAW Data 25-26'!$B560:$X560)</f>
        <v>0</v>
      </c>
      <c r="M561" s="270">
        <v>46053.0</v>
      </c>
      <c r="N561" s="124" t="s">
        <v>973</v>
      </c>
      <c r="O561" s="124">
        <f>VLOOKUP(C561:C1362,'Segment RAW Data 25-26'!A560:Y1157,25,0)-VLOOKUP(C561:C1362,C:D,2,0)</f>
        <v>-0.0000000001164153218</v>
      </c>
    </row>
    <row r="562" hidden="1">
      <c r="A562" s="157" t="s">
        <v>53</v>
      </c>
      <c r="B562" s="157" t="s">
        <v>56</v>
      </c>
      <c r="C562" s="157" t="s">
        <v>878</v>
      </c>
      <c r="D562" s="124">
        <f t="shared" si="1"/>
        <v>281491.7</v>
      </c>
      <c r="E562" s="265">
        <f>sumif('Segment RAW Data 25-26'!$B$1:$X$1,$E$3,'Segment RAW Data 25-26'!$B561:$X561)</f>
        <v>0</v>
      </c>
      <c r="F562" s="265">
        <f>sumif('Segment RAW Data 25-26'!$B$1:$X$1,$F$3,'Segment RAW Data 25-26'!$B561:$X561)</f>
        <v>0</v>
      </c>
      <c r="G562" s="265">
        <f>sumif('Segment RAW Data 25-26'!$B$1:$X$1,$G$3,'Segment RAW Data 25-26'!$B561:$X561)</f>
        <v>281491.7</v>
      </c>
      <c r="H562" s="265">
        <f>sumif('Segment RAW Data 25-26'!$B$1:$X$1,$H$3,'Segment RAW Data 25-26'!$B561:$X561)</f>
        <v>0</v>
      </c>
      <c r="I562" s="265">
        <f>sumif('Segment RAW Data 25-26'!$B$1:$X$1,$I$3,'Segment RAW Data 25-26'!$B561:$X561)</f>
        <v>0</v>
      </c>
      <c r="J562" s="265">
        <f>sumif('Segment RAW Data 25-26'!$B$1:$X$1,$J$3,'Segment RAW Data 25-26'!$B561:$X561)</f>
        <v>0</v>
      </c>
      <c r="K562" s="265">
        <f>sumif('Segment RAW Data 25-26'!$B$1:$X$1,$K$3,'Segment RAW Data 25-26'!$B561:$X561)</f>
        <v>0</v>
      </c>
      <c r="L562" s="265">
        <f>sumif('Segment RAW Data 25-26'!$B$1:$X$1,$L$3,'Segment RAW Data 25-26'!$B561:$X561)</f>
        <v>0</v>
      </c>
      <c r="M562" s="270">
        <v>46007.0</v>
      </c>
      <c r="N562" s="124" t="s">
        <v>973</v>
      </c>
      <c r="O562" s="124">
        <f>VLOOKUP(C562:C1363,'Segment RAW Data 25-26'!A561:Y1158,25,0)-VLOOKUP(C562:C1363,C:D,2,0)</f>
        <v>0</v>
      </c>
    </row>
    <row r="563" hidden="1">
      <c r="A563" s="157" t="s">
        <v>53</v>
      </c>
      <c r="B563" s="157" t="s">
        <v>56</v>
      </c>
      <c r="C563" s="157" t="s">
        <v>879</v>
      </c>
      <c r="D563" s="124">
        <f t="shared" si="1"/>
        <v>2995134.14</v>
      </c>
      <c r="E563" s="265">
        <f>sumif('Segment RAW Data 25-26'!$B$1:$X$1,$E$3,'Segment RAW Data 25-26'!$B562:$X562)</f>
        <v>2292010.02</v>
      </c>
      <c r="F563" s="265">
        <f>sumif('Segment RAW Data 25-26'!$B$1:$X$1,$F$3,'Segment RAW Data 25-26'!$B562:$X562)</f>
        <v>0</v>
      </c>
      <c r="G563" s="265">
        <f>sumif('Segment RAW Data 25-26'!$B$1:$X$1,$G$3,'Segment RAW Data 25-26'!$B562:$X562)</f>
        <v>703124.12</v>
      </c>
      <c r="H563" s="265">
        <f>sumif('Segment RAW Data 25-26'!$B$1:$X$1,$H$3,'Segment RAW Data 25-26'!$B562:$X562)</f>
        <v>0</v>
      </c>
      <c r="I563" s="265">
        <f>sumif('Segment RAW Data 25-26'!$B$1:$X$1,$I$3,'Segment RAW Data 25-26'!$B562:$X562)</f>
        <v>0</v>
      </c>
      <c r="J563" s="265">
        <f>sumif('Segment RAW Data 25-26'!$B$1:$X$1,$J$3,'Segment RAW Data 25-26'!$B562:$X562)</f>
        <v>0</v>
      </c>
      <c r="K563" s="265">
        <f>sumif('Segment RAW Data 25-26'!$B$1:$X$1,$K$3,'Segment RAW Data 25-26'!$B562:$X562)</f>
        <v>0</v>
      </c>
      <c r="L563" s="265">
        <f>sumif('Segment RAW Data 25-26'!$B$1:$X$1,$L$3,'Segment RAW Data 25-26'!$B562:$X562)</f>
        <v>0</v>
      </c>
      <c r="M563" s="270"/>
      <c r="N563" s="124" t="s">
        <v>975</v>
      </c>
      <c r="O563" s="124">
        <f>VLOOKUP(C563:C1364,'Segment RAW Data 25-26'!A562:Y1159,25,0)-VLOOKUP(C563:C1364,C:D,2,0)</f>
        <v>0.009999999776</v>
      </c>
    </row>
    <row r="564" hidden="1">
      <c r="A564" s="157" t="s">
        <v>23</v>
      </c>
      <c r="B564" s="157" t="s">
        <v>30</v>
      </c>
      <c r="C564" s="157" t="s">
        <v>880</v>
      </c>
      <c r="D564" s="124">
        <f t="shared" si="1"/>
        <v>0</v>
      </c>
      <c r="E564" s="265">
        <f>sumif('Segment RAW Data 25-26'!$B$1:$X$1,$E$3,'Segment RAW Data 25-26'!$B563:$X563)</f>
        <v>0</v>
      </c>
      <c r="F564" s="265">
        <f>sumif('Segment RAW Data 25-26'!$B$1:$X$1,$F$3,'Segment RAW Data 25-26'!$B563:$X563)</f>
        <v>0</v>
      </c>
      <c r="G564" s="265">
        <f>sumif('Segment RAW Data 25-26'!$B$1:$X$1,$G$3,'Segment RAW Data 25-26'!$B563:$X563)</f>
        <v>0</v>
      </c>
      <c r="H564" s="265">
        <f>sumif('Segment RAW Data 25-26'!$B$1:$X$1,$H$3,'Segment RAW Data 25-26'!$B563:$X563)</f>
        <v>0</v>
      </c>
      <c r="I564" s="265">
        <f>sumif('Segment RAW Data 25-26'!$B$1:$X$1,$I$3,'Segment RAW Data 25-26'!$B563:$X563)</f>
        <v>0</v>
      </c>
      <c r="J564" s="265">
        <f>sumif('Segment RAW Data 25-26'!$B$1:$X$1,$J$3,'Segment RAW Data 25-26'!$B563:$X563)</f>
        <v>0</v>
      </c>
      <c r="K564" s="265">
        <f>sumif('Segment RAW Data 25-26'!$B$1:$X$1,$K$3,'Segment RAW Data 25-26'!$B563:$X563)</f>
        <v>0</v>
      </c>
      <c r="L564" s="265">
        <f>sumif('Segment RAW Data 25-26'!$B$1:$X$1,$L$3,'Segment RAW Data 25-26'!$B563:$X563)</f>
        <v>0</v>
      </c>
      <c r="M564" s="270">
        <v>45890.0</v>
      </c>
      <c r="N564" s="124" t="s">
        <v>973</v>
      </c>
      <c r="O564" s="124">
        <f>VLOOKUP(C564:C1365,'Segment RAW Data 25-26'!A563:Y1160,25,0)-VLOOKUP(C564:C1365,C:D,2,0)</f>
        <v>0</v>
      </c>
    </row>
    <row r="565" hidden="1">
      <c r="A565" s="157" t="s">
        <v>185</v>
      </c>
      <c r="B565" s="157" t="s">
        <v>189</v>
      </c>
      <c r="C565" s="157" t="s">
        <v>407</v>
      </c>
      <c r="D565" s="124">
        <f t="shared" si="1"/>
        <v>3410282.73</v>
      </c>
      <c r="E565" s="265">
        <f>sumif('Segment RAW Data 25-26'!$B$1:$X$1,$E$3,'Segment RAW Data 25-26'!$B564:$X564)</f>
        <v>19808.32</v>
      </c>
      <c r="F565" s="265">
        <f>sumif('Segment RAW Data 25-26'!$B$1:$X$1,$F$3,'Segment RAW Data 25-26'!$B564:$X564)</f>
        <v>449325.6</v>
      </c>
      <c r="G565" s="265">
        <f>sumif('Segment RAW Data 25-26'!$B$1:$X$1,$G$3,'Segment RAW Data 25-26'!$B564:$X564)</f>
        <v>2840046.01</v>
      </c>
      <c r="H565" s="265">
        <f>sumif('Segment RAW Data 25-26'!$B$1:$X$1,$H$3,'Segment RAW Data 25-26'!$B564:$X564)</f>
        <v>101102.8</v>
      </c>
      <c r="I565" s="265">
        <f>sumif('Segment RAW Data 25-26'!$B$1:$X$1,$I$3,'Segment RAW Data 25-26'!$B564:$X564)</f>
        <v>0</v>
      </c>
      <c r="J565" s="265">
        <f>sumif('Segment RAW Data 25-26'!$B$1:$X$1,$J$3,'Segment RAW Data 25-26'!$B564:$X564)</f>
        <v>0</v>
      </c>
      <c r="K565" s="265">
        <f>sumif('Segment RAW Data 25-26'!$B$1:$X$1,$K$3,'Segment RAW Data 25-26'!$B564:$X564)</f>
        <v>0</v>
      </c>
      <c r="L565" s="265">
        <f>sumif('Segment RAW Data 25-26'!$B$1:$X$1,$L$3,'Segment RAW Data 25-26'!$B564:$X564)</f>
        <v>0</v>
      </c>
      <c r="M565" s="270">
        <v>45971.0</v>
      </c>
      <c r="N565" s="124" t="s">
        <v>973</v>
      </c>
      <c r="O565" s="124">
        <f>VLOOKUP(C565:C1366,'Segment RAW Data 25-26'!A564:Y1161,25,0)-VLOOKUP(C565:C1366,C:D,2,0)</f>
        <v>0</v>
      </c>
    </row>
    <row r="566" hidden="1">
      <c r="A566" s="157" t="s">
        <v>23</v>
      </c>
      <c r="B566" s="157" t="s">
        <v>37</v>
      </c>
      <c r="C566" s="157" t="s">
        <v>41</v>
      </c>
      <c r="D566" s="124">
        <f t="shared" si="1"/>
        <v>6525450.81</v>
      </c>
      <c r="E566" s="265">
        <f>sumif('Segment RAW Data 25-26'!$B$1:$X$1,$E$3,'Segment RAW Data 25-26'!$B565:$X565)</f>
        <v>1181992.51</v>
      </c>
      <c r="F566" s="265">
        <f>sumif('Segment RAW Data 25-26'!$B$1:$X$1,$F$3,'Segment RAW Data 25-26'!$B565:$X565)</f>
        <v>933642.45</v>
      </c>
      <c r="G566" s="265">
        <f>sumif('Segment RAW Data 25-26'!$B$1:$X$1,$G$3,'Segment RAW Data 25-26'!$B565:$X565)</f>
        <v>4404749.35</v>
      </c>
      <c r="H566" s="265">
        <f>sumif('Segment RAW Data 25-26'!$B$1:$X$1,$H$3,'Segment RAW Data 25-26'!$B565:$X565)</f>
        <v>1804</v>
      </c>
      <c r="I566" s="265">
        <f>sumif('Segment RAW Data 25-26'!$B$1:$X$1,$I$3,'Segment RAW Data 25-26'!$B565:$X565)</f>
        <v>0</v>
      </c>
      <c r="J566" s="265">
        <f>sumif('Segment RAW Data 25-26'!$B$1:$X$1,$J$3,'Segment RAW Data 25-26'!$B565:$X565)</f>
        <v>0</v>
      </c>
      <c r="K566" s="265">
        <f>sumif('Segment RAW Data 25-26'!$B$1:$X$1,$K$3,'Segment RAW Data 25-26'!$B565:$X565)</f>
        <v>0</v>
      </c>
      <c r="L566" s="265">
        <f>sumif('Segment RAW Data 25-26'!$B$1:$X$1,$L$3,'Segment RAW Data 25-26'!$B565:$X565)</f>
        <v>3262.5</v>
      </c>
      <c r="M566" s="270"/>
      <c r="N566" s="124" t="s">
        <v>975</v>
      </c>
      <c r="O566" s="124">
        <f>VLOOKUP(C566:C1367,'Segment RAW Data 25-26'!A565:Y1162,25,0)-VLOOKUP(C566:C1367,C:D,2,0)</f>
        <v>0.01000000071</v>
      </c>
    </row>
    <row r="567" hidden="1">
      <c r="A567" s="157" t="s">
        <v>298</v>
      </c>
      <c r="B567" s="157" t="s">
        <v>301</v>
      </c>
      <c r="C567" s="157" t="s">
        <v>318</v>
      </c>
      <c r="D567" s="124">
        <f t="shared" si="1"/>
        <v>3134786.22</v>
      </c>
      <c r="E567" s="265">
        <f>sumif('Segment RAW Data 25-26'!$B$1:$X$1,$E$3,'Segment RAW Data 25-26'!$B566:$X566)</f>
        <v>34039</v>
      </c>
      <c r="F567" s="265">
        <f>sumif('Segment RAW Data 25-26'!$B$1:$X$1,$F$3,'Segment RAW Data 25-26'!$B566:$X566)</f>
        <v>2688827.2</v>
      </c>
      <c r="G567" s="265">
        <f>sumif('Segment RAW Data 25-26'!$B$1:$X$1,$G$3,'Segment RAW Data 25-26'!$B566:$X566)</f>
        <v>274548.92</v>
      </c>
      <c r="H567" s="265">
        <f>sumif('Segment RAW Data 25-26'!$B$1:$X$1,$H$3,'Segment RAW Data 25-26'!$B566:$X566)</f>
        <v>137371.1</v>
      </c>
      <c r="I567" s="265">
        <f>sumif('Segment RAW Data 25-26'!$B$1:$X$1,$I$3,'Segment RAW Data 25-26'!$B566:$X566)</f>
        <v>0</v>
      </c>
      <c r="J567" s="265">
        <f>sumif('Segment RAW Data 25-26'!$B$1:$X$1,$J$3,'Segment RAW Data 25-26'!$B566:$X566)</f>
        <v>0</v>
      </c>
      <c r="K567" s="265">
        <f>sumif('Segment RAW Data 25-26'!$B$1:$X$1,$K$3,'Segment RAW Data 25-26'!$B566:$X566)</f>
        <v>0</v>
      </c>
      <c r="L567" s="265">
        <f>sumif('Segment RAW Data 25-26'!$B$1:$X$1,$L$3,'Segment RAW Data 25-26'!$B566:$X566)</f>
        <v>0</v>
      </c>
      <c r="M567" s="270"/>
      <c r="N567" s="124" t="s">
        <v>975</v>
      </c>
      <c r="O567" s="124">
        <f>VLOOKUP(C567:C1368,'Segment RAW Data 25-26'!A566:Y1163,25,0)-VLOOKUP(C567:C1368,C:D,2,0)</f>
        <v>0</v>
      </c>
    </row>
    <row r="568" hidden="1">
      <c r="A568" s="157" t="s">
        <v>97</v>
      </c>
      <c r="B568" s="157" t="s">
        <v>101</v>
      </c>
      <c r="C568" s="157" t="s">
        <v>351</v>
      </c>
      <c r="D568" s="124">
        <f t="shared" si="1"/>
        <v>1341417</v>
      </c>
      <c r="E568" s="265">
        <f>sumif('Segment RAW Data 25-26'!$B$1:$X$1,$E$3,'Segment RAW Data 25-26'!$B567:$X567)</f>
        <v>0</v>
      </c>
      <c r="F568" s="265">
        <f>sumif('Segment RAW Data 25-26'!$B$1:$X$1,$F$3,'Segment RAW Data 25-26'!$B567:$X567)</f>
        <v>885603</v>
      </c>
      <c r="G568" s="265">
        <f>sumif('Segment RAW Data 25-26'!$B$1:$X$1,$G$3,'Segment RAW Data 25-26'!$B567:$X567)</f>
        <v>0</v>
      </c>
      <c r="H568" s="265">
        <f>sumif('Segment RAW Data 25-26'!$B$1:$X$1,$H$3,'Segment RAW Data 25-26'!$B567:$X567)</f>
        <v>455814</v>
      </c>
      <c r="I568" s="265">
        <f>sumif('Segment RAW Data 25-26'!$B$1:$X$1,$I$3,'Segment RAW Data 25-26'!$B567:$X567)</f>
        <v>0</v>
      </c>
      <c r="J568" s="265">
        <f>sumif('Segment RAW Data 25-26'!$B$1:$X$1,$J$3,'Segment RAW Data 25-26'!$B567:$X567)</f>
        <v>0</v>
      </c>
      <c r="K568" s="265">
        <f>sumif('Segment RAW Data 25-26'!$B$1:$X$1,$K$3,'Segment RAW Data 25-26'!$B567:$X567)</f>
        <v>0</v>
      </c>
      <c r="L568" s="265">
        <f>sumif('Segment RAW Data 25-26'!$B$1:$X$1,$L$3,'Segment RAW Data 25-26'!$B567:$X567)</f>
        <v>0</v>
      </c>
      <c r="M568" s="270">
        <v>46112.0</v>
      </c>
      <c r="N568" s="124" t="s">
        <v>973</v>
      </c>
      <c r="O568" s="124">
        <f>VLOOKUP(C568:C1369,'Segment RAW Data 25-26'!A567:Y1164,25,0)-VLOOKUP(C568:C1369,C:D,2,0)</f>
        <v>0</v>
      </c>
    </row>
    <row r="569" hidden="1">
      <c r="A569" s="157" t="s">
        <v>185</v>
      </c>
      <c r="B569" s="157" t="s">
        <v>189</v>
      </c>
      <c r="C569" s="157" t="s">
        <v>881</v>
      </c>
      <c r="D569" s="124">
        <f t="shared" si="1"/>
        <v>1885263.77</v>
      </c>
      <c r="E569" s="265">
        <f>sumif('Segment RAW Data 25-26'!$B$1:$X$1,$E$3,'Segment RAW Data 25-26'!$B568:$X568)</f>
        <v>1586364.07</v>
      </c>
      <c r="F569" s="265">
        <f>sumif('Segment RAW Data 25-26'!$B$1:$X$1,$F$3,'Segment RAW Data 25-26'!$B568:$X568)</f>
        <v>25248</v>
      </c>
      <c r="G569" s="265">
        <f>sumif('Segment RAW Data 25-26'!$B$1:$X$1,$G$3,'Segment RAW Data 25-26'!$B568:$X568)</f>
        <v>10714.2</v>
      </c>
      <c r="H569" s="265">
        <f>sumif('Segment RAW Data 25-26'!$B$1:$X$1,$H$3,'Segment RAW Data 25-26'!$B568:$X568)</f>
        <v>0</v>
      </c>
      <c r="I569" s="265">
        <f>sumif('Segment RAW Data 25-26'!$B$1:$X$1,$I$3,'Segment RAW Data 25-26'!$B568:$X568)</f>
        <v>0</v>
      </c>
      <c r="J569" s="265">
        <f>sumif('Segment RAW Data 25-26'!$B$1:$X$1,$J$3,'Segment RAW Data 25-26'!$B568:$X568)</f>
        <v>0</v>
      </c>
      <c r="K569" s="265">
        <f>sumif('Segment RAW Data 25-26'!$B$1:$X$1,$K$3,'Segment RAW Data 25-26'!$B568:$X568)</f>
        <v>0</v>
      </c>
      <c r="L569" s="265">
        <f>sumif('Segment RAW Data 25-26'!$B$1:$X$1,$L$3,'Segment RAW Data 25-26'!$B568:$X568)</f>
        <v>262937.5</v>
      </c>
      <c r="M569" s="270"/>
      <c r="N569" s="124" t="s">
        <v>975</v>
      </c>
      <c r="O569" s="124">
        <f>VLOOKUP(C569:C1370,'Segment RAW Data 25-26'!A568:Y1165,25,0)-VLOOKUP(C569:C1370,C:D,2,0)</f>
        <v>0</v>
      </c>
    </row>
    <row r="570" hidden="1">
      <c r="A570" s="157" t="s">
        <v>298</v>
      </c>
      <c r="B570" s="157" t="s">
        <v>301</v>
      </c>
      <c r="C570" s="157" t="s">
        <v>359</v>
      </c>
      <c r="D570" s="124">
        <f t="shared" si="1"/>
        <v>2538296</v>
      </c>
      <c r="E570" s="265">
        <f>sumif('Segment RAW Data 25-26'!$B$1:$X$1,$E$3,'Segment RAW Data 25-26'!$B569:$X569)</f>
        <v>745404.1</v>
      </c>
      <c r="F570" s="265">
        <f>sumif('Segment RAW Data 25-26'!$B$1:$X$1,$F$3,'Segment RAW Data 25-26'!$B569:$X569)</f>
        <v>424685.88</v>
      </c>
      <c r="G570" s="265">
        <f>sumif('Segment RAW Data 25-26'!$B$1:$X$1,$G$3,'Segment RAW Data 25-26'!$B569:$X569)</f>
        <v>1311894.42</v>
      </c>
      <c r="H570" s="265">
        <f>sumif('Segment RAW Data 25-26'!$B$1:$X$1,$H$3,'Segment RAW Data 25-26'!$B569:$X569)</f>
        <v>27794.1</v>
      </c>
      <c r="I570" s="265">
        <f>sumif('Segment RAW Data 25-26'!$B$1:$X$1,$I$3,'Segment RAW Data 25-26'!$B569:$X569)</f>
        <v>0</v>
      </c>
      <c r="J570" s="265">
        <f>sumif('Segment RAW Data 25-26'!$B$1:$X$1,$J$3,'Segment RAW Data 25-26'!$B569:$X569)</f>
        <v>28517.5</v>
      </c>
      <c r="K570" s="265">
        <f>sumif('Segment RAW Data 25-26'!$B$1:$X$1,$K$3,'Segment RAW Data 25-26'!$B569:$X569)</f>
        <v>0</v>
      </c>
      <c r="L570" s="265">
        <f>sumif('Segment RAW Data 25-26'!$B$1:$X$1,$L$3,'Segment RAW Data 25-26'!$B569:$X569)</f>
        <v>0</v>
      </c>
      <c r="M570" s="270">
        <v>46104.0</v>
      </c>
      <c r="N570" s="124" t="s">
        <v>973</v>
      </c>
      <c r="O570" s="124">
        <f>VLOOKUP(C570:C1371,'Segment RAW Data 25-26'!A569:Y1166,25,0)-VLOOKUP(C570:C1371,C:D,2,0)</f>
        <v>0</v>
      </c>
    </row>
    <row r="571" hidden="1">
      <c r="A571" s="157" t="s">
        <v>23</v>
      </c>
      <c r="B571" s="157" t="s">
        <v>30</v>
      </c>
      <c r="C571" s="157" t="s">
        <v>882</v>
      </c>
      <c r="D571" s="124">
        <f t="shared" si="1"/>
        <v>219410.08</v>
      </c>
      <c r="E571" s="265">
        <f>sumif('Segment RAW Data 25-26'!$B$1:$X$1,$E$3,'Segment RAW Data 25-26'!$B570:$X570)</f>
        <v>1435.6</v>
      </c>
      <c r="F571" s="265">
        <f>sumif('Segment RAW Data 25-26'!$B$1:$X$1,$F$3,'Segment RAW Data 25-26'!$B570:$X570)</f>
        <v>25057.1</v>
      </c>
      <c r="G571" s="265">
        <f>sumif('Segment RAW Data 25-26'!$B$1:$X$1,$G$3,'Segment RAW Data 25-26'!$B570:$X570)</f>
        <v>188105.38</v>
      </c>
      <c r="H571" s="265">
        <f>sumif('Segment RAW Data 25-26'!$B$1:$X$1,$H$3,'Segment RAW Data 25-26'!$B570:$X570)</f>
        <v>4812</v>
      </c>
      <c r="I571" s="265">
        <f>sumif('Segment RAW Data 25-26'!$B$1:$X$1,$I$3,'Segment RAW Data 25-26'!$B570:$X570)</f>
        <v>0</v>
      </c>
      <c r="J571" s="265">
        <f>sumif('Segment RAW Data 25-26'!$B$1:$X$1,$J$3,'Segment RAW Data 25-26'!$B570:$X570)</f>
        <v>0</v>
      </c>
      <c r="K571" s="265">
        <f>sumif('Segment RAW Data 25-26'!$B$1:$X$1,$K$3,'Segment RAW Data 25-26'!$B570:$X570)</f>
        <v>0</v>
      </c>
      <c r="L571" s="265">
        <f>sumif('Segment RAW Data 25-26'!$B$1:$X$1,$L$3,'Segment RAW Data 25-26'!$B570:$X570)</f>
        <v>0</v>
      </c>
      <c r="M571" s="270">
        <v>46081.0</v>
      </c>
      <c r="N571" s="124" t="s">
        <v>973</v>
      </c>
      <c r="O571" s="124">
        <f>VLOOKUP(C571:C1372,'Segment RAW Data 25-26'!A570:Y1167,25,0)-VLOOKUP(C571:C1372,C:D,2,0)</f>
        <v>0</v>
      </c>
    </row>
    <row r="572" hidden="1">
      <c r="A572" s="157" t="s">
        <v>53</v>
      </c>
      <c r="B572" s="157" t="s">
        <v>61</v>
      </c>
      <c r="C572" s="157" t="s">
        <v>381</v>
      </c>
      <c r="D572" s="124">
        <f t="shared" si="1"/>
        <v>357731.04</v>
      </c>
      <c r="E572" s="265">
        <f>sumif('Segment RAW Data 25-26'!$B$1:$X$1,$E$3,'Segment RAW Data 25-26'!$B571:$X571)</f>
        <v>323231.04</v>
      </c>
      <c r="F572" s="265">
        <f>sumif('Segment RAW Data 25-26'!$B$1:$X$1,$F$3,'Segment RAW Data 25-26'!$B571:$X571)</f>
        <v>0</v>
      </c>
      <c r="G572" s="265">
        <f>sumif('Segment RAW Data 25-26'!$B$1:$X$1,$G$3,'Segment RAW Data 25-26'!$B571:$X571)</f>
        <v>34500</v>
      </c>
      <c r="H572" s="265">
        <f>sumif('Segment RAW Data 25-26'!$B$1:$X$1,$H$3,'Segment RAW Data 25-26'!$B571:$X571)</f>
        <v>0</v>
      </c>
      <c r="I572" s="265">
        <f>sumif('Segment RAW Data 25-26'!$B$1:$X$1,$I$3,'Segment RAW Data 25-26'!$B571:$X571)</f>
        <v>0</v>
      </c>
      <c r="J572" s="265">
        <f>sumif('Segment RAW Data 25-26'!$B$1:$X$1,$J$3,'Segment RAW Data 25-26'!$B571:$X571)</f>
        <v>0</v>
      </c>
      <c r="K572" s="265">
        <f>sumif('Segment RAW Data 25-26'!$B$1:$X$1,$K$3,'Segment RAW Data 25-26'!$B571:$X571)</f>
        <v>0</v>
      </c>
      <c r="L572" s="265">
        <f>sumif('Segment RAW Data 25-26'!$B$1:$X$1,$L$3,'Segment RAW Data 25-26'!$B571:$X571)</f>
        <v>0</v>
      </c>
      <c r="M572" s="270">
        <v>46077.0</v>
      </c>
      <c r="N572" s="124" t="s">
        <v>973</v>
      </c>
      <c r="O572" s="124">
        <f>VLOOKUP(C572:C1373,'Segment RAW Data 25-26'!A571:Y1168,25,0)-VLOOKUP(C572:C1373,C:D,2,0)</f>
        <v>0</v>
      </c>
    </row>
    <row r="573" hidden="1">
      <c r="A573" s="157" t="s">
        <v>298</v>
      </c>
      <c r="B573" s="157" t="s">
        <v>301</v>
      </c>
      <c r="C573" s="157" t="s">
        <v>320</v>
      </c>
      <c r="D573" s="124">
        <f t="shared" si="1"/>
        <v>431144.24</v>
      </c>
      <c r="E573" s="265">
        <f>sumif('Segment RAW Data 25-26'!$B$1:$X$1,$E$3,'Segment RAW Data 25-26'!$B572:$X572)</f>
        <v>0</v>
      </c>
      <c r="F573" s="265">
        <f>sumif('Segment RAW Data 25-26'!$B$1:$X$1,$F$3,'Segment RAW Data 25-26'!$B572:$X572)</f>
        <v>4212</v>
      </c>
      <c r="G573" s="265">
        <f>sumif('Segment RAW Data 25-26'!$B$1:$X$1,$G$3,'Segment RAW Data 25-26'!$B572:$X572)</f>
        <v>407869.04</v>
      </c>
      <c r="H573" s="265">
        <f>sumif('Segment RAW Data 25-26'!$B$1:$X$1,$H$3,'Segment RAW Data 25-26'!$B572:$X572)</f>
        <v>19063.2</v>
      </c>
      <c r="I573" s="265">
        <f>sumif('Segment RAW Data 25-26'!$B$1:$X$1,$I$3,'Segment RAW Data 25-26'!$B572:$X572)</f>
        <v>0</v>
      </c>
      <c r="J573" s="265">
        <f>sumif('Segment RAW Data 25-26'!$B$1:$X$1,$J$3,'Segment RAW Data 25-26'!$B572:$X572)</f>
        <v>0</v>
      </c>
      <c r="K573" s="265">
        <f>sumif('Segment RAW Data 25-26'!$B$1:$X$1,$K$3,'Segment RAW Data 25-26'!$B572:$X572)</f>
        <v>0</v>
      </c>
      <c r="L573" s="265">
        <f>sumif('Segment RAW Data 25-26'!$B$1:$X$1,$L$3,'Segment RAW Data 25-26'!$B572:$X572)</f>
        <v>0</v>
      </c>
      <c r="M573" s="270"/>
      <c r="N573" s="124" t="s">
        <v>975</v>
      </c>
      <c r="O573" s="124">
        <f>VLOOKUP(C573:C1374,'Segment RAW Data 25-26'!A572:Y1169,25,0)-VLOOKUP(C573:C1374,C:D,2,0)</f>
        <v>0</v>
      </c>
    </row>
    <row r="574" hidden="1">
      <c r="A574" s="157" t="s">
        <v>97</v>
      </c>
      <c r="B574" s="157" t="s">
        <v>101</v>
      </c>
      <c r="C574" s="157" t="s">
        <v>109</v>
      </c>
      <c r="D574" s="124">
        <f t="shared" si="1"/>
        <v>3681893.4</v>
      </c>
      <c r="E574" s="265">
        <f>sumif('Segment RAW Data 25-26'!$B$1:$X$1,$E$3,'Segment RAW Data 25-26'!$B573:$X573)</f>
        <v>0</v>
      </c>
      <c r="F574" s="265">
        <f>sumif('Segment RAW Data 25-26'!$B$1:$X$1,$F$3,'Segment RAW Data 25-26'!$B573:$X573)</f>
        <v>1674996</v>
      </c>
      <c r="G574" s="265">
        <f>sumif('Segment RAW Data 25-26'!$B$1:$X$1,$G$3,'Segment RAW Data 25-26'!$B573:$X573)</f>
        <v>1997237.4</v>
      </c>
      <c r="H574" s="265">
        <f>sumif('Segment RAW Data 25-26'!$B$1:$X$1,$H$3,'Segment RAW Data 25-26'!$B573:$X573)</f>
        <v>9660</v>
      </c>
      <c r="I574" s="265">
        <f>sumif('Segment RAW Data 25-26'!$B$1:$X$1,$I$3,'Segment RAW Data 25-26'!$B573:$X573)</f>
        <v>0</v>
      </c>
      <c r="J574" s="265">
        <f>sumif('Segment RAW Data 25-26'!$B$1:$X$1,$J$3,'Segment RAW Data 25-26'!$B573:$X573)</f>
        <v>0</v>
      </c>
      <c r="K574" s="265">
        <f>sumif('Segment RAW Data 25-26'!$B$1:$X$1,$K$3,'Segment RAW Data 25-26'!$B573:$X573)</f>
        <v>0</v>
      </c>
      <c r="L574" s="265">
        <f>sumif('Segment RAW Data 25-26'!$B$1:$X$1,$L$3,'Segment RAW Data 25-26'!$B573:$X573)</f>
        <v>0</v>
      </c>
      <c r="M574" s="270"/>
      <c r="N574" s="124" t="s">
        <v>975</v>
      </c>
      <c r="O574" s="124">
        <f>VLOOKUP(C574:C1375,'Segment RAW Data 25-26'!A573:Y1170,25,0)-VLOOKUP(C574:C1375,C:D,2,0)</f>
        <v>0</v>
      </c>
    </row>
    <row r="575" hidden="1">
      <c r="A575" s="157" t="s">
        <v>47</v>
      </c>
      <c r="B575" s="157" t="s">
        <v>422</v>
      </c>
      <c r="C575" s="157" t="s">
        <v>424</v>
      </c>
      <c r="D575" s="124">
        <f t="shared" si="1"/>
        <v>0</v>
      </c>
      <c r="E575" s="265">
        <f>sumif('Segment RAW Data 25-26'!$B$1:$X$1,$E$3,'Segment RAW Data 25-26'!$B574:$X574)</f>
        <v>0</v>
      </c>
      <c r="F575" s="265">
        <f>sumif('Segment RAW Data 25-26'!$B$1:$X$1,$F$3,'Segment RAW Data 25-26'!$B574:$X574)</f>
        <v>0</v>
      </c>
      <c r="G575" s="265">
        <f>sumif('Segment RAW Data 25-26'!$B$1:$X$1,$G$3,'Segment RAW Data 25-26'!$B574:$X574)</f>
        <v>0</v>
      </c>
      <c r="H575" s="265">
        <f>sumif('Segment RAW Data 25-26'!$B$1:$X$1,$H$3,'Segment RAW Data 25-26'!$B574:$X574)</f>
        <v>0</v>
      </c>
      <c r="I575" s="265">
        <f>sumif('Segment RAW Data 25-26'!$B$1:$X$1,$I$3,'Segment RAW Data 25-26'!$B574:$X574)</f>
        <v>0</v>
      </c>
      <c r="J575" s="265">
        <f>sumif('Segment RAW Data 25-26'!$B$1:$X$1,$J$3,'Segment RAW Data 25-26'!$B574:$X574)</f>
        <v>0</v>
      </c>
      <c r="K575" s="265">
        <f>sumif('Segment RAW Data 25-26'!$B$1:$X$1,$K$3,'Segment RAW Data 25-26'!$B574:$X574)</f>
        <v>0</v>
      </c>
      <c r="L575" s="265">
        <f>sumif('Segment RAW Data 25-26'!$B$1:$X$1,$L$3,'Segment RAW Data 25-26'!$B574:$X574)</f>
        <v>0</v>
      </c>
      <c r="M575" s="270">
        <v>45961.0</v>
      </c>
      <c r="N575" s="124" t="s">
        <v>973</v>
      </c>
      <c r="O575" s="124">
        <f>VLOOKUP(C575:C1376,'Segment RAW Data 25-26'!A574:Y1171,25,0)-VLOOKUP(C575:C1376,C:D,2,0)</f>
        <v>0</v>
      </c>
    </row>
    <row r="576" hidden="1">
      <c r="A576" s="157" t="s">
        <v>126</v>
      </c>
      <c r="B576" s="157" t="s">
        <v>135</v>
      </c>
      <c r="C576" s="157" t="s">
        <v>175</v>
      </c>
      <c r="D576" s="124">
        <f t="shared" si="1"/>
        <v>1490819.6</v>
      </c>
      <c r="E576" s="265">
        <f>sumif('Segment RAW Data 25-26'!$B$1:$X$1,$E$3,'Segment RAW Data 25-26'!$B575:$X575)</f>
        <v>0</v>
      </c>
      <c r="F576" s="265">
        <f>sumif('Segment RAW Data 25-26'!$B$1:$X$1,$F$3,'Segment RAW Data 25-26'!$B575:$X575)</f>
        <v>420792</v>
      </c>
      <c r="G576" s="265">
        <f>sumif('Segment RAW Data 25-26'!$B$1:$X$1,$G$3,'Segment RAW Data 25-26'!$B575:$X575)</f>
        <v>727015.1</v>
      </c>
      <c r="H576" s="265">
        <f>sumif('Segment RAW Data 25-26'!$B$1:$X$1,$H$3,'Segment RAW Data 25-26'!$B575:$X575)</f>
        <v>39170</v>
      </c>
      <c r="I576" s="265">
        <f>sumif('Segment RAW Data 25-26'!$B$1:$X$1,$I$3,'Segment RAW Data 25-26'!$B575:$X575)</f>
        <v>0</v>
      </c>
      <c r="J576" s="265">
        <f>sumif('Segment RAW Data 25-26'!$B$1:$X$1,$J$3,'Segment RAW Data 25-26'!$B575:$X575)</f>
        <v>303842.5</v>
      </c>
      <c r="K576" s="265">
        <f>sumif('Segment RAW Data 25-26'!$B$1:$X$1,$K$3,'Segment RAW Data 25-26'!$B575:$X575)</f>
        <v>0</v>
      </c>
      <c r="L576" s="265">
        <f>sumif('Segment RAW Data 25-26'!$B$1:$X$1,$L$3,'Segment RAW Data 25-26'!$B575:$X575)</f>
        <v>0</v>
      </c>
      <c r="M576" s="270"/>
      <c r="N576" s="124" t="s">
        <v>975</v>
      </c>
      <c r="O576" s="124">
        <f>VLOOKUP(C576:C1377,'Segment RAW Data 25-26'!A575:Y1172,25,0)-VLOOKUP(C576:C1377,C:D,2,0)</f>
        <v>0</v>
      </c>
    </row>
    <row r="577" hidden="1">
      <c r="A577" s="157"/>
      <c r="B577" s="157"/>
      <c r="C577" s="157" t="s">
        <v>883</v>
      </c>
      <c r="D577" s="124">
        <f t="shared" si="1"/>
        <v>0</v>
      </c>
      <c r="E577" s="265">
        <f>sumif('Segment RAW Data 25-26'!$B$1:$X$1,$E$3,'Segment RAW Data 25-26'!$B576:$X576)</f>
        <v>0</v>
      </c>
      <c r="F577" s="265">
        <f>sumif('Segment RAW Data 25-26'!$B$1:$X$1,$F$3,'Segment RAW Data 25-26'!$B576:$X576)</f>
        <v>0</v>
      </c>
      <c r="G577" s="265">
        <f>sumif('Segment RAW Data 25-26'!$B$1:$X$1,$G$3,'Segment RAW Data 25-26'!$B576:$X576)</f>
        <v>0</v>
      </c>
      <c r="H577" s="265">
        <f>sumif('Segment RAW Data 25-26'!$B$1:$X$1,$H$3,'Segment RAW Data 25-26'!$B576:$X576)</f>
        <v>0</v>
      </c>
      <c r="I577" s="265">
        <f>sumif('Segment RAW Data 25-26'!$B$1:$X$1,$I$3,'Segment RAW Data 25-26'!$B576:$X576)</f>
        <v>0</v>
      </c>
      <c r="J577" s="265">
        <f>sumif('Segment RAW Data 25-26'!$B$1:$X$1,$J$3,'Segment RAW Data 25-26'!$B576:$X576)</f>
        <v>0</v>
      </c>
      <c r="K577" s="265">
        <f>sumif('Segment RAW Data 25-26'!$B$1:$X$1,$K$3,'Segment RAW Data 25-26'!$B576:$X576)</f>
        <v>0</v>
      </c>
      <c r="L577" s="265">
        <f>sumif('Segment RAW Data 25-26'!$B$1:$X$1,$L$3,'Segment RAW Data 25-26'!$B576:$X576)</f>
        <v>0</v>
      </c>
      <c r="M577" s="270"/>
      <c r="N577" s="124"/>
      <c r="O577" s="124">
        <f>VLOOKUP(C577:C1378,'Segment RAW Data 25-26'!A576:Y1173,25,0)-VLOOKUP(C577:C1378,C:D,2,0)</f>
        <v>0</v>
      </c>
    </row>
    <row r="578" hidden="1">
      <c r="A578" s="157" t="s">
        <v>126</v>
      </c>
      <c r="B578" s="157" t="s">
        <v>130</v>
      </c>
      <c r="C578" s="157" t="s">
        <v>177</v>
      </c>
      <c r="D578" s="124">
        <f t="shared" si="1"/>
        <v>1256855.88</v>
      </c>
      <c r="E578" s="265">
        <f>sumif('Segment RAW Data 25-26'!$B$1:$X$1,$E$3,'Segment RAW Data 25-26'!$B577:$X577)</f>
        <v>968071.9</v>
      </c>
      <c r="F578" s="265">
        <f>sumif('Segment RAW Data 25-26'!$B$1:$X$1,$F$3,'Segment RAW Data 25-26'!$B577:$X577)</f>
        <v>12104.28</v>
      </c>
      <c r="G578" s="265">
        <f>sumif('Segment RAW Data 25-26'!$B$1:$X$1,$G$3,'Segment RAW Data 25-26'!$B577:$X577)</f>
        <v>165042.06</v>
      </c>
      <c r="H578" s="265">
        <f>sumif('Segment RAW Data 25-26'!$B$1:$X$1,$H$3,'Segment RAW Data 25-26'!$B577:$X577)</f>
        <v>88510.14</v>
      </c>
      <c r="I578" s="265">
        <f>sumif('Segment RAW Data 25-26'!$B$1:$X$1,$I$3,'Segment RAW Data 25-26'!$B577:$X577)</f>
        <v>0</v>
      </c>
      <c r="J578" s="265">
        <f>sumif('Segment RAW Data 25-26'!$B$1:$X$1,$J$3,'Segment RAW Data 25-26'!$B577:$X577)</f>
        <v>0</v>
      </c>
      <c r="K578" s="265">
        <f>sumif('Segment RAW Data 25-26'!$B$1:$X$1,$K$3,'Segment RAW Data 25-26'!$B577:$X577)</f>
        <v>0</v>
      </c>
      <c r="L578" s="265">
        <f>sumif('Segment RAW Data 25-26'!$B$1:$X$1,$L$3,'Segment RAW Data 25-26'!$B577:$X577)</f>
        <v>23127.5</v>
      </c>
      <c r="M578" s="270"/>
      <c r="N578" s="124" t="s">
        <v>975</v>
      </c>
      <c r="O578" s="124">
        <f>VLOOKUP(C578:C1379,'Segment RAW Data 25-26'!A577:Y1174,25,0)-VLOOKUP(C578:C1379,C:D,2,0)</f>
        <v>-0.0000000002328306437</v>
      </c>
    </row>
    <row r="579" hidden="1">
      <c r="A579" s="157" t="s">
        <v>53</v>
      </c>
      <c r="B579" s="157" t="s">
        <v>61</v>
      </c>
      <c r="C579" s="157" t="s">
        <v>884</v>
      </c>
      <c r="D579" s="124">
        <f t="shared" si="1"/>
        <v>0</v>
      </c>
      <c r="E579" s="265">
        <f>sumif('Segment RAW Data 25-26'!$B$1:$X$1,$E$3,'Segment RAW Data 25-26'!$B578:$X578)</f>
        <v>0</v>
      </c>
      <c r="F579" s="265">
        <f>sumif('Segment RAW Data 25-26'!$B$1:$X$1,$F$3,'Segment RAW Data 25-26'!$B578:$X578)</f>
        <v>0</v>
      </c>
      <c r="G579" s="265">
        <f>sumif('Segment RAW Data 25-26'!$B$1:$X$1,$G$3,'Segment RAW Data 25-26'!$B578:$X578)</f>
        <v>0</v>
      </c>
      <c r="H579" s="265">
        <f>sumif('Segment RAW Data 25-26'!$B$1:$X$1,$H$3,'Segment RAW Data 25-26'!$B578:$X578)</f>
        <v>0</v>
      </c>
      <c r="I579" s="265">
        <f>sumif('Segment RAW Data 25-26'!$B$1:$X$1,$I$3,'Segment RAW Data 25-26'!$B578:$X578)</f>
        <v>0</v>
      </c>
      <c r="J579" s="265">
        <f>sumif('Segment RAW Data 25-26'!$B$1:$X$1,$J$3,'Segment RAW Data 25-26'!$B578:$X578)</f>
        <v>0</v>
      </c>
      <c r="K579" s="265">
        <f>sumif('Segment RAW Data 25-26'!$B$1:$X$1,$K$3,'Segment RAW Data 25-26'!$B578:$X578)</f>
        <v>0</v>
      </c>
      <c r="L579" s="265">
        <f>sumif('Segment RAW Data 25-26'!$B$1:$X$1,$L$3,'Segment RAW Data 25-26'!$B578:$X578)</f>
        <v>0</v>
      </c>
      <c r="M579" s="270">
        <v>45972.0</v>
      </c>
      <c r="N579" s="124" t="s">
        <v>973</v>
      </c>
      <c r="O579" s="124">
        <f>VLOOKUP(C579:C1380,'Segment RAW Data 25-26'!A578:Y1175,25,0)-VLOOKUP(C579:C1380,C:D,2,0)</f>
        <v>0</v>
      </c>
    </row>
    <row r="580" hidden="1">
      <c r="A580" s="157" t="s">
        <v>126</v>
      </c>
      <c r="B580" s="157" t="s">
        <v>135</v>
      </c>
      <c r="C580" s="157" t="s">
        <v>179</v>
      </c>
      <c r="D580" s="124">
        <f t="shared" si="1"/>
        <v>1311479.66</v>
      </c>
      <c r="E580" s="265">
        <f>sumif('Segment RAW Data 25-26'!$B$1:$X$1,$E$3,'Segment RAW Data 25-26'!$B579:$X579)</f>
        <v>883137.8</v>
      </c>
      <c r="F580" s="265">
        <f>sumif('Segment RAW Data 25-26'!$B$1:$X$1,$F$3,'Segment RAW Data 25-26'!$B579:$X579)</f>
        <v>199664.48</v>
      </c>
      <c r="G580" s="265">
        <f>sumif('Segment RAW Data 25-26'!$B$1:$X$1,$G$3,'Segment RAW Data 25-26'!$B579:$X579)</f>
        <v>228677.38</v>
      </c>
      <c r="H580" s="265">
        <f>sumif('Segment RAW Data 25-26'!$B$1:$X$1,$H$3,'Segment RAW Data 25-26'!$B579:$X579)</f>
        <v>0</v>
      </c>
      <c r="I580" s="265">
        <f>sumif('Segment RAW Data 25-26'!$B$1:$X$1,$I$3,'Segment RAW Data 25-26'!$B579:$X579)</f>
        <v>0</v>
      </c>
      <c r="J580" s="265">
        <f>sumif('Segment RAW Data 25-26'!$B$1:$X$1,$J$3,'Segment RAW Data 25-26'!$B579:$X579)</f>
        <v>0</v>
      </c>
      <c r="K580" s="265">
        <f>sumif('Segment RAW Data 25-26'!$B$1:$X$1,$K$3,'Segment RAW Data 25-26'!$B579:$X579)</f>
        <v>0</v>
      </c>
      <c r="L580" s="265">
        <f>sumif('Segment RAW Data 25-26'!$B$1:$X$1,$L$3,'Segment RAW Data 25-26'!$B579:$X579)</f>
        <v>0</v>
      </c>
      <c r="M580" s="270"/>
      <c r="N580" s="124" t="s">
        <v>975</v>
      </c>
      <c r="O580" s="124">
        <f>VLOOKUP(C580:C1381,'Segment RAW Data 25-26'!A579:Y1176,25,0)-VLOOKUP(C580:C1381,C:D,2,0)</f>
        <v>-0.0000000002328306437</v>
      </c>
    </row>
    <row r="581" hidden="1">
      <c r="A581" s="157" t="s">
        <v>185</v>
      </c>
      <c r="B581" s="157" t="s">
        <v>85</v>
      </c>
      <c r="C581" s="157" t="s">
        <v>400</v>
      </c>
      <c r="D581" s="124">
        <f t="shared" si="1"/>
        <v>0</v>
      </c>
      <c r="E581" s="265">
        <f>sumif('Segment RAW Data 25-26'!$B$1:$X$1,$E$3,'Segment RAW Data 25-26'!$B580:$X580)</f>
        <v>0</v>
      </c>
      <c r="F581" s="265">
        <f>sumif('Segment RAW Data 25-26'!$B$1:$X$1,$F$3,'Segment RAW Data 25-26'!$B580:$X580)</f>
        <v>0</v>
      </c>
      <c r="G581" s="265">
        <f>sumif('Segment RAW Data 25-26'!$B$1:$X$1,$G$3,'Segment RAW Data 25-26'!$B580:$X580)</f>
        <v>0</v>
      </c>
      <c r="H581" s="265">
        <f>sumif('Segment RAW Data 25-26'!$B$1:$X$1,$H$3,'Segment RAW Data 25-26'!$B580:$X580)</f>
        <v>0</v>
      </c>
      <c r="I581" s="265">
        <f>sumif('Segment RAW Data 25-26'!$B$1:$X$1,$I$3,'Segment RAW Data 25-26'!$B580:$X580)</f>
        <v>0</v>
      </c>
      <c r="J581" s="265">
        <f>sumif('Segment RAW Data 25-26'!$B$1:$X$1,$J$3,'Segment RAW Data 25-26'!$B580:$X580)</f>
        <v>0</v>
      </c>
      <c r="K581" s="265">
        <f>sumif('Segment RAW Data 25-26'!$B$1:$X$1,$K$3,'Segment RAW Data 25-26'!$B580:$X580)</f>
        <v>0</v>
      </c>
      <c r="L581" s="265">
        <f>sumif('Segment RAW Data 25-26'!$B$1:$X$1,$L$3,'Segment RAW Data 25-26'!$B580:$X580)</f>
        <v>0</v>
      </c>
      <c r="M581" s="270">
        <v>46010.0</v>
      </c>
      <c r="N581" s="124" t="s">
        <v>973</v>
      </c>
      <c r="O581" s="124">
        <f>VLOOKUP(C581:C1382,'Segment RAW Data 25-26'!A580:Y1177,25,0)-VLOOKUP(C581:C1382,C:D,2,0)</f>
        <v>0</v>
      </c>
    </row>
    <row r="582" hidden="1">
      <c r="A582" s="157" t="s">
        <v>53</v>
      </c>
      <c r="B582" s="157" t="s">
        <v>61</v>
      </c>
      <c r="C582" s="157" t="s">
        <v>66</v>
      </c>
      <c r="D582" s="124">
        <f t="shared" si="1"/>
        <v>471673.53</v>
      </c>
      <c r="E582" s="265">
        <f>sumif('Segment RAW Data 25-26'!$B$1:$X$1,$E$3,'Segment RAW Data 25-26'!$B581:$X581)</f>
        <v>61881.87</v>
      </c>
      <c r="F582" s="265">
        <f>sumif('Segment RAW Data 25-26'!$B$1:$X$1,$F$3,'Segment RAW Data 25-26'!$B581:$X581)</f>
        <v>0</v>
      </c>
      <c r="G582" s="265">
        <f>sumif('Segment RAW Data 25-26'!$B$1:$X$1,$G$3,'Segment RAW Data 25-26'!$B581:$X581)</f>
        <v>409791.66</v>
      </c>
      <c r="H582" s="265">
        <f>sumif('Segment RAW Data 25-26'!$B$1:$X$1,$H$3,'Segment RAW Data 25-26'!$B581:$X581)</f>
        <v>0</v>
      </c>
      <c r="I582" s="265">
        <f>sumif('Segment RAW Data 25-26'!$B$1:$X$1,$I$3,'Segment RAW Data 25-26'!$B581:$X581)</f>
        <v>0</v>
      </c>
      <c r="J582" s="265">
        <f>sumif('Segment RAW Data 25-26'!$B$1:$X$1,$J$3,'Segment RAW Data 25-26'!$B581:$X581)</f>
        <v>0</v>
      </c>
      <c r="K582" s="265">
        <f>sumif('Segment RAW Data 25-26'!$B$1:$X$1,$K$3,'Segment RAW Data 25-26'!$B581:$X581)</f>
        <v>0</v>
      </c>
      <c r="L582" s="265">
        <f>sumif('Segment RAW Data 25-26'!$B$1:$X$1,$L$3,'Segment RAW Data 25-26'!$B581:$X581)</f>
        <v>0</v>
      </c>
      <c r="M582" s="270"/>
      <c r="N582" s="124" t="s">
        <v>975</v>
      </c>
      <c r="O582" s="124">
        <f>VLOOKUP(C582:C1383,'Segment RAW Data 25-26'!A581:Y1178,25,0)-VLOOKUP(C582:C1383,C:D,2,0)</f>
        <v>0</v>
      </c>
    </row>
    <row r="583" hidden="1">
      <c r="A583" s="157" t="s">
        <v>53</v>
      </c>
      <c r="B583" s="157" t="s">
        <v>56</v>
      </c>
      <c r="C583" s="157" t="s">
        <v>70</v>
      </c>
      <c r="D583" s="124">
        <f t="shared" si="1"/>
        <v>634214.71</v>
      </c>
      <c r="E583" s="265">
        <f>sumif('Segment RAW Data 25-26'!$B$1:$X$1,$E$3,'Segment RAW Data 25-26'!$B582:$X582)</f>
        <v>543777.58</v>
      </c>
      <c r="F583" s="265">
        <f>sumif('Segment RAW Data 25-26'!$B$1:$X$1,$F$3,'Segment RAW Data 25-26'!$B582:$X582)</f>
        <v>0</v>
      </c>
      <c r="G583" s="265">
        <f>sumif('Segment RAW Data 25-26'!$B$1:$X$1,$G$3,'Segment RAW Data 25-26'!$B582:$X582)</f>
        <v>47814.38</v>
      </c>
      <c r="H583" s="265">
        <f>sumif('Segment RAW Data 25-26'!$B$1:$X$1,$H$3,'Segment RAW Data 25-26'!$B582:$X582)</f>
        <v>0</v>
      </c>
      <c r="I583" s="265">
        <f>sumif('Segment RAW Data 25-26'!$B$1:$X$1,$I$3,'Segment RAW Data 25-26'!$B582:$X582)</f>
        <v>0</v>
      </c>
      <c r="J583" s="265">
        <f>sumif('Segment RAW Data 25-26'!$B$1:$X$1,$J$3,'Segment RAW Data 25-26'!$B582:$X582)</f>
        <v>0</v>
      </c>
      <c r="K583" s="265">
        <f>sumif('Segment RAW Data 25-26'!$B$1:$X$1,$K$3,'Segment RAW Data 25-26'!$B582:$X582)</f>
        <v>0</v>
      </c>
      <c r="L583" s="265">
        <f>sumif('Segment RAW Data 25-26'!$B$1:$X$1,$L$3,'Segment RAW Data 25-26'!$B582:$X582)</f>
        <v>42622.75</v>
      </c>
      <c r="M583" s="270"/>
      <c r="N583" s="124" t="s">
        <v>975</v>
      </c>
      <c r="O583" s="124">
        <f>VLOOKUP(C583:C1384,'Segment RAW Data 25-26'!A582:Y1179,25,0)-VLOOKUP(C583:C1384,C:D,2,0)</f>
        <v>0</v>
      </c>
    </row>
    <row r="584" hidden="1">
      <c r="A584" s="157" t="s">
        <v>53</v>
      </c>
      <c r="B584" s="157" t="s">
        <v>61</v>
      </c>
      <c r="C584" s="157" t="s">
        <v>68</v>
      </c>
      <c r="D584" s="124">
        <f t="shared" si="1"/>
        <v>0</v>
      </c>
      <c r="E584" s="265">
        <f>sumif('Segment RAW Data 25-26'!$B$1:$X$1,$E$3,'Segment RAW Data 25-26'!$B583:$X583)</f>
        <v>0</v>
      </c>
      <c r="F584" s="265">
        <f>sumif('Segment RAW Data 25-26'!$B$1:$X$1,$F$3,'Segment RAW Data 25-26'!$B583:$X583)</f>
        <v>0</v>
      </c>
      <c r="G584" s="265">
        <f>sumif('Segment RAW Data 25-26'!$B$1:$X$1,$G$3,'Segment RAW Data 25-26'!$B583:$X583)</f>
        <v>0</v>
      </c>
      <c r="H584" s="265">
        <f>sumif('Segment RAW Data 25-26'!$B$1:$X$1,$H$3,'Segment RAW Data 25-26'!$B583:$X583)</f>
        <v>0</v>
      </c>
      <c r="I584" s="265">
        <f>sumif('Segment RAW Data 25-26'!$B$1:$X$1,$I$3,'Segment RAW Data 25-26'!$B583:$X583)</f>
        <v>0</v>
      </c>
      <c r="J584" s="265">
        <f>sumif('Segment RAW Data 25-26'!$B$1:$X$1,$J$3,'Segment RAW Data 25-26'!$B583:$X583)</f>
        <v>0</v>
      </c>
      <c r="K584" s="265">
        <f>sumif('Segment RAW Data 25-26'!$B$1:$X$1,$K$3,'Segment RAW Data 25-26'!$B583:$X583)</f>
        <v>0</v>
      </c>
      <c r="L584" s="265">
        <f>sumif('Segment RAW Data 25-26'!$B$1:$X$1,$L$3,'Segment RAW Data 25-26'!$B583:$X583)</f>
        <v>0</v>
      </c>
      <c r="M584" s="270"/>
      <c r="N584" s="124" t="s">
        <v>975</v>
      </c>
      <c r="O584" s="124">
        <f>VLOOKUP(C584:C1385,'Segment RAW Data 25-26'!A583:Y1180,25,0)-VLOOKUP(C584:C1385,C:D,2,0)</f>
        <v>0</v>
      </c>
    </row>
    <row r="585" hidden="1">
      <c r="A585" s="157" t="s">
        <v>126</v>
      </c>
      <c r="B585" s="157" t="s">
        <v>135</v>
      </c>
      <c r="C585" s="157" t="s">
        <v>181</v>
      </c>
      <c r="D585" s="124">
        <f t="shared" si="1"/>
        <v>1356219.94</v>
      </c>
      <c r="E585" s="265">
        <f>sumif('Segment RAW Data 25-26'!$B$1:$X$1,$E$3,'Segment RAW Data 25-26'!$B584:$X584)</f>
        <v>145621.74</v>
      </c>
      <c r="F585" s="265">
        <f>sumif('Segment RAW Data 25-26'!$B$1:$X$1,$F$3,'Segment RAW Data 25-26'!$B584:$X584)</f>
        <v>696631.4</v>
      </c>
      <c r="G585" s="265">
        <f>sumif('Segment RAW Data 25-26'!$B$1:$X$1,$G$3,'Segment RAW Data 25-26'!$B584:$X584)</f>
        <v>513966.8</v>
      </c>
      <c r="H585" s="265">
        <f>sumif('Segment RAW Data 25-26'!$B$1:$X$1,$H$3,'Segment RAW Data 25-26'!$B584:$X584)</f>
        <v>0</v>
      </c>
      <c r="I585" s="265">
        <f>sumif('Segment RAW Data 25-26'!$B$1:$X$1,$I$3,'Segment RAW Data 25-26'!$B584:$X584)</f>
        <v>0</v>
      </c>
      <c r="J585" s="265">
        <f>sumif('Segment RAW Data 25-26'!$B$1:$X$1,$J$3,'Segment RAW Data 25-26'!$B584:$X584)</f>
        <v>0</v>
      </c>
      <c r="K585" s="265">
        <f>sumif('Segment RAW Data 25-26'!$B$1:$X$1,$K$3,'Segment RAW Data 25-26'!$B584:$X584)</f>
        <v>0</v>
      </c>
      <c r="L585" s="265">
        <f>sumif('Segment RAW Data 25-26'!$B$1:$X$1,$L$3,'Segment RAW Data 25-26'!$B584:$X584)</f>
        <v>0</v>
      </c>
      <c r="M585" s="270"/>
      <c r="N585" s="124" t="s">
        <v>975</v>
      </c>
      <c r="O585" s="124">
        <f>VLOOKUP(C585:C1386,'Segment RAW Data 25-26'!A584:Y1181,25,0)-VLOOKUP(C585:C1386,C:D,2,0)</f>
        <v>0</v>
      </c>
    </row>
    <row r="586" hidden="1">
      <c r="A586" s="157" t="s">
        <v>23</v>
      </c>
      <c r="B586" s="157" t="s">
        <v>30</v>
      </c>
      <c r="C586" s="157" t="s">
        <v>43</v>
      </c>
      <c r="D586" s="124">
        <f t="shared" si="1"/>
        <v>2874423.28</v>
      </c>
      <c r="E586" s="265">
        <f>sumif('Segment RAW Data 25-26'!$B$1:$X$1,$E$3,'Segment RAW Data 25-26'!$B585:$X585)</f>
        <v>1776001.82</v>
      </c>
      <c r="F586" s="265">
        <f>sumif('Segment RAW Data 25-26'!$B$1:$X$1,$F$3,'Segment RAW Data 25-26'!$B585:$X585)</f>
        <v>207326.72</v>
      </c>
      <c r="G586" s="265">
        <f>sumif('Segment RAW Data 25-26'!$B$1:$X$1,$G$3,'Segment RAW Data 25-26'!$B585:$X585)</f>
        <v>413849.49</v>
      </c>
      <c r="H586" s="265">
        <f>sumif('Segment RAW Data 25-26'!$B$1:$X$1,$H$3,'Segment RAW Data 25-26'!$B585:$X585)</f>
        <v>9380</v>
      </c>
      <c r="I586" s="265">
        <f>sumif('Segment RAW Data 25-26'!$B$1:$X$1,$I$3,'Segment RAW Data 25-26'!$B585:$X585)</f>
        <v>0</v>
      </c>
      <c r="J586" s="265">
        <f>sumif('Segment RAW Data 25-26'!$B$1:$X$1,$J$3,'Segment RAW Data 25-26'!$B585:$X585)</f>
        <v>358318.5</v>
      </c>
      <c r="K586" s="265">
        <f>sumif('Segment RAW Data 25-26'!$B$1:$X$1,$K$3,'Segment RAW Data 25-26'!$B585:$X585)</f>
        <v>0</v>
      </c>
      <c r="L586" s="265">
        <f>sumif('Segment RAW Data 25-26'!$B$1:$X$1,$L$3,'Segment RAW Data 25-26'!$B585:$X585)</f>
        <v>109546.75</v>
      </c>
      <c r="M586" s="270"/>
      <c r="N586" s="124" t="s">
        <v>975</v>
      </c>
      <c r="O586" s="124">
        <f>VLOOKUP(C586:C1387,'Segment RAW Data 25-26'!A585:Y1182,25,0)-VLOOKUP(C586:C1387,C:D,2,0)</f>
        <v>0.009999999776</v>
      </c>
    </row>
    <row r="587" hidden="1">
      <c r="A587" s="157" t="s">
        <v>126</v>
      </c>
      <c r="B587" s="157" t="s">
        <v>135</v>
      </c>
      <c r="C587" s="157" t="s">
        <v>183</v>
      </c>
      <c r="D587" s="124">
        <f t="shared" si="1"/>
        <v>823085.15</v>
      </c>
      <c r="E587" s="265">
        <f>sumif('Segment RAW Data 25-26'!$B$1:$X$1,$E$3,'Segment RAW Data 25-26'!$B586:$X586)</f>
        <v>193554.34</v>
      </c>
      <c r="F587" s="265">
        <f>sumif('Segment RAW Data 25-26'!$B$1:$X$1,$F$3,'Segment RAW Data 25-26'!$B586:$X586)</f>
        <v>229378.4</v>
      </c>
      <c r="G587" s="265">
        <f>sumif('Segment RAW Data 25-26'!$B$1:$X$1,$G$3,'Segment RAW Data 25-26'!$B586:$X586)</f>
        <v>203392.61</v>
      </c>
      <c r="H587" s="265">
        <f>sumif('Segment RAW Data 25-26'!$B$1:$X$1,$H$3,'Segment RAW Data 25-26'!$B586:$X586)</f>
        <v>196759.8</v>
      </c>
      <c r="I587" s="265">
        <f>sumif('Segment RAW Data 25-26'!$B$1:$X$1,$I$3,'Segment RAW Data 25-26'!$B586:$X586)</f>
        <v>0</v>
      </c>
      <c r="J587" s="265">
        <f>sumif('Segment RAW Data 25-26'!$B$1:$X$1,$J$3,'Segment RAW Data 25-26'!$B586:$X586)</f>
        <v>0</v>
      </c>
      <c r="K587" s="265">
        <f>sumif('Segment RAW Data 25-26'!$B$1:$X$1,$K$3,'Segment RAW Data 25-26'!$B586:$X586)</f>
        <v>0</v>
      </c>
      <c r="L587" s="265">
        <f>sumif('Segment RAW Data 25-26'!$B$1:$X$1,$L$3,'Segment RAW Data 25-26'!$B586:$X586)</f>
        <v>0</v>
      </c>
      <c r="M587" s="270"/>
      <c r="N587" s="124" t="s">
        <v>975</v>
      </c>
      <c r="O587" s="124">
        <f>VLOOKUP(C587:C1388,'Segment RAW Data 25-26'!A586:Y1183,25,0)-VLOOKUP(C587:C1388,C:D,2,0)</f>
        <v>0.0000000001164153218</v>
      </c>
    </row>
    <row r="588" hidden="1">
      <c r="A588" s="157" t="s">
        <v>322</v>
      </c>
      <c r="B588" s="157" t="s">
        <v>325</v>
      </c>
      <c r="C588" s="157" t="s">
        <v>332</v>
      </c>
      <c r="D588" s="124">
        <f t="shared" si="1"/>
        <v>604841.31</v>
      </c>
      <c r="E588" s="265">
        <f>sumif('Segment RAW Data 25-26'!$B$1:$X$1,$E$3,'Segment RAW Data 25-26'!$B587:$X587)</f>
        <v>155097.72</v>
      </c>
      <c r="F588" s="265">
        <f>sumif('Segment RAW Data 25-26'!$B$1:$X$1,$F$3,'Segment RAW Data 25-26'!$B587:$X587)</f>
        <v>0</v>
      </c>
      <c r="G588" s="265">
        <f>sumif('Segment RAW Data 25-26'!$B$1:$X$1,$G$3,'Segment RAW Data 25-26'!$B587:$X587)</f>
        <v>394483.36</v>
      </c>
      <c r="H588" s="265">
        <f>sumif('Segment RAW Data 25-26'!$B$1:$X$1,$H$3,'Segment RAW Data 25-26'!$B587:$X587)</f>
        <v>0</v>
      </c>
      <c r="I588" s="265">
        <f>sumif('Segment RAW Data 25-26'!$B$1:$X$1,$I$3,'Segment RAW Data 25-26'!$B587:$X587)</f>
        <v>0</v>
      </c>
      <c r="J588" s="265">
        <f>sumif('Segment RAW Data 25-26'!$B$1:$X$1,$J$3,'Segment RAW Data 25-26'!$B587:$X587)</f>
        <v>0</v>
      </c>
      <c r="K588" s="265">
        <f>sumif('Segment RAW Data 25-26'!$B$1:$X$1,$K$3,'Segment RAW Data 25-26'!$B587:$X587)</f>
        <v>0</v>
      </c>
      <c r="L588" s="265">
        <f>sumif('Segment RAW Data 25-26'!$B$1:$X$1,$L$3,'Segment RAW Data 25-26'!$B587:$X587)</f>
        <v>55260.23</v>
      </c>
      <c r="M588" s="270"/>
      <c r="N588" s="124" t="s">
        <v>975</v>
      </c>
      <c r="O588" s="124">
        <f>VLOOKUP(C588:C1389,'Segment RAW Data 25-26'!A587:Y1184,25,0)-VLOOKUP(C588:C1389,C:D,2,0)</f>
        <v>0.0000000001164153218</v>
      </c>
    </row>
    <row r="589" hidden="1">
      <c r="A589" s="157" t="s">
        <v>322</v>
      </c>
      <c r="B589" s="157" t="s">
        <v>325</v>
      </c>
      <c r="C589" s="157" t="s">
        <v>330</v>
      </c>
      <c r="D589" s="124">
        <f t="shared" si="1"/>
        <v>0</v>
      </c>
      <c r="E589" s="265">
        <f>sumif('Segment RAW Data 25-26'!$B$1:$X$1,$E$3,'Segment RAW Data 25-26'!$B588:$X588)</f>
        <v>0</v>
      </c>
      <c r="F589" s="265">
        <f>sumif('Segment RAW Data 25-26'!$B$1:$X$1,$F$3,'Segment RAW Data 25-26'!$B588:$X588)</f>
        <v>0</v>
      </c>
      <c r="G589" s="265">
        <f>sumif('Segment RAW Data 25-26'!$B$1:$X$1,$G$3,'Segment RAW Data 25-26'!$B588:$X588)</f>
        <v>0</v>
      </c>
      <c r="H589" s="265">
        <f>sumif('Segment RAW Data 25-26'!$B$1:$X$1,$H$3,'Segment RAW Data 25-26'!$B588:$X588)</f>
        <v>0</v>
      </c>
      <c r="I589" s="265">
        <f>sumif('Segment RAW Data 25-26'!$B$1:$X$1,$I$3,'Segment RAW Data 25-26'!$B588:$X588)</f>
        <v>0</v>
      </c>
      <c r="J589" s="265">
        <f>sumif('Segment RAW Data 25-26'!$B$1:$X$1,$J$3,'Segment RAW Data 25-26'!$B588:$X588)</f>
        <v>0</v>
      </c>
      <c r="K589" s="265">
        <f>sumif('Segment RAW Data 25-26'!$B$1:$X$1,$K$3,'Segment RAW Data 25-26'!$B588:$X588)</f>
        <v>0</v>
      </c>
      <c r="L589" s="265">
        <f>sumif('Segment RAW Data 25-26'!$B$1:$X$1,$L$3,'Segment RAW Data 25-26'!$B588:$X588)</f>
        <v>0</v>
      </c>
      <c r="M589" s="270"/>
      <c r="N589" s="124" t="s">
        <v>975</v>
      </c>
      <c r="O589" s="124">
        <f>VLOOKUP(C589:C1390,'Segment RAW Data 25-26'!A588:Y1185,25,0)-VLOOKUP(C589:C1390,C:D,2,0)</f>
        <v>0</v>
      </c>
    </row>
    <row r="590" hidden="1">
      <c r="A590" s="157"/>
      <c r="B590" s="157" t="s">
        <v>96</v>
      </c>
      <c r="C590" s="157" t="s">
        <v>885</v>
      </c>
      <c r="D590" s="124">
        <f t="shared" si="1"/>
        <v>0</v>
      </c>
      <c r="E590" s="265">
        <f>sumif('Segment RAW Data 25-26'!$B$1:$X$1,$E$3,'Segment RAW Data 25-26'!$B589:$X589)</f>
        <v>0</v>
      </c>
      <c r="F590" s="265">
        <f>sumif('Segment RAW Data 25-26'!$B$1:$X$1,$F$3,'Segment RAW Data 25-26'!$B589:$X589)</f>
        <v>0</v>
      </c>
      <c r="G590" s="265">
        <f>sumif('Segment RAW Data 25-26'!$B$1:$X$1,$G$3,'Segment RAW Data 25-26'!$B589:$X589)</f>
        <v>0</v>
      </c>
      <c r="H590" s="265">
        <f>sumif('Segment RAW Data 25-26'!$B$1:$X$1,$H$3,'Segment RAW Data 25-26'!$B589:$X589)</f>
        <v>0</v>
      </c>
      <c r="I590" s="265">
        <f>sumif('Segment RAW Data 25-26'!$B$1:$X$1,$I$3,'Segment RAW Data 25-26'!$B589:$X589)</f>
        <v>0</v>
      </c>
      <c r="J590" s="265">
        <f>sumif('Segment RAW Data 25-26'!$B$1:$X$1,$J$3,'Segment RAW Data 25-26'!$B589:$X589)</f>
        <v>0</v>
      </c>
      <c r="K590" s="265">
        <f>sumif('Segment RAW Data 25-26'!$B$1:$X$1,$K$3,'Segment RAW Data 25-26'!$B589:$X589)</f>
        <v>0</v>
      </c>
      <c r="L590" s="265">
        <f>sumif('Segment RAW Data 25-26'!$B$1:$X$1,$L$3,'Segment RAW Data 25-26'!$B589:$X589)</f>
        <v>0</v>
      </c>
      <c r="M590" s="270"/>
      <c r="N590" s="124" t="s">
        <v>975</v>
      </c>
      <c r="O590" s="124">
        <f>VLOOKUP(C590:C1391,'Segment RAW Data 25-26'!A589:Y1186,25,0)-VLOOKUP(C590:C1391,C:D,2,0)</f>
        <v>0</v>
      </c>
    </row>
    <row r="591" hidden="1">
      <c r="A591" s="157" t="s">
        <v>885</v>
      </c>
      <c r="B591" s="157" t="s">
        <v>96</v>
      </c>
      <c r="C591" s="157" t="s">
        <v>94</v>
      </c>
      <c r="D591" s="124">
        <f t="shared" si="1"/>
        <v>0</v>
      </c>
      <c r="E591" s="265">
        <f>sumif('Segment RAW Data 25-26'!$B$1:$X$1,$E$3,'Segment RAW Data 25-26'!$B590:$X590)</f>
        <v>0</v>
      </c>
      <c r="F591" s="265">
        <f>sumif('Segment RAW Data 25-26'!$B$1:$X$1,$F$3,'Segment RAW Data 25-26'!$B590:$X590)</f>
        <v>0</v>
      </c>
      <c r="G591" s="265">
        <f>sumif('Segment RAW Data 25-26'!$B$1:$X$1,$G$3,'Segment RAW Data 25-26'!$B590:$X590)</f>
        <v>0</v>
      </c>
      <c r="H591" s="265">
        <f>sumif('Segment RAW Data 25-26'!$B$1:$X$1,$H$3,'Segment RAW Data 25-26'!$B590:$X590)</f>
        <v>0</v>
      </c>
      <c r="I591" s="265">
        <f>sumif('Segment RAW Data 25-26'!$B$1:$X$1,$I$3,'Segment RAW Data 25-26'!$B590:$X590)</f>
        <v>0</v>
      </c>
      <c r="J591" s="265">
        <f>sumif('Segment RAW Data 25-26'!$B$1:$X$1,$J$3,'Segment RAW Data 25-26'!$B590:$X590)</f>
        <v>0</v>
      </c>
      <c r="K591" s="265">
        <f>sumif('Segment RAW Data 25-26'!$B$1:$X$1,$K$3,'Segment RAW Data 25-26'!$B590:$X590)</f>
        <v>0</v>
      </c>
      <c r="L591" s="265">
        <f>sumif('Segment RAW Data 25-26'!$B$1:$X$1,$L$3,'Segment RAW Data 25-26'!$B590:$X590)</f>
        <v>0</v>
      </c>
      <c r="M591" s="270"/>
      <c r="N591" s="124" t="s">
        <v>975</v>
      </c>
      <c r="O591" s="124">
        <f>VLOOKUP(C591:C1392,'Segment RAW Data 25-26'!A590:Y1187,25,0)-VLOOKUP(C591:C1392,C:D,2,0)</f>
        <v>0</v>
      </c>
    </row>
    <row r="592" hidden="1">
      <c r="A592" s="157" t="s">
        <v>185</v>
      </c>
      <c r="B592" s="157" t="s">
        <v>189</v>
      </c>
      <c r="C592" s="157" t="s">
        <v>886</v>
      </c>
      <c r="D592" s="124">
        <f t="shared" si="1"/>
        <v>3270193.24</v>
      </c>
      <c r="E592" s="265">
        <f>sumif('Segment RAW Data 25-26'!$B$1:$X$1,$E$3,'Segment RAW Data 25-26'!$B591:$X591)</f>
        <v>0</v>
      </c>
      <c r="F592" s="265">
        <f>sumif('Segment RAW Data 25-26'!$B$1:$X$1,$F$3,'Segment RAW Data 25-26'!$B591:$X591)</f>
        <v>956444.8</v>
      </c>
      <c r="G592" s="265">
        <f>sumif('Segment RAW Data 25-26'!$B$1:$X$1,$G$3,'Segment RAW Data 25-26'!$B591:$X591)</f>
        <v>2246087.94</v>
      </c>
      <c r="H592" s="265">
        <f>sumif('Segment RAW Data 25-26'!$B$1:$X$1,$H$3,'Segment RAW Data 25-26'!$B591:$X591)</f>
        <v>67660.5</v>
      </c>
      <c r="I592" s="265">
        <f>sumif('Segment RAW Data 25-26'!$B$1:$X$1,$I$3,'Segment RAW Data 25-26'!$B591:$X591)</f>
        <v>0</v>
      </c>
      <c r="J592" s="265">
        <f>sumif('Segment RAW Data 25-26'!$B$1:$X$1,$J$3,'Segment RAW Data 25-26'!$B591:$X591)</f>
        <v>0</v>
      </c>
      <c r="K592" s="265">
        <f>sumif('Segment RAW Data 25-26'!$B$1:$X$1,$K$3,'Segment RAW Data 25-26'!$B591:$X591)</f>
        <v>0</v>
      </c>
      <c r="L592" s="265">
        <f>sumif('Segment RAW Data 25-26'!$B$1:$X$1,$L$3,'Segment RAW Data 25-26'!$B591:$X591)</f>
        <v>0</v>
      </c>
      <c r="M592" s="270"/>
      <c r="N592" s="124" t="s">
        <v>975</v>
      </c>
      <c r="O592" s="124">
        <f>VLOOKUP(C592:C1393,'Segment RAW Data 25-26'!A591:Y1188,25,0)-VLOOKUP(C592:C1393,C:D,2,0)</f>
        <v>0</v>
      </c>
    </row>
    <row r="593" hidden="1">
      <c r="A593" s="157" t="s">
        <v>23</v>
      </c>
      <c r="B593" s="157" t="s">
        <v>30</v>
      </c>
      <c r="C593" s="157" t="s">
        <v>45</v>
      </c>
      <c r="D593" s="124">
        <f t="shared" si="1"/>
        <v>835665.65</v>
      </c>
      <c r="E593" s="265">
        <f>sumif('Segment RAW Data 25-26'!$B$1:$X$1,$E$3,'Segment RAW Data 25-26'!$B592:$X592)</f>
        <v>121882.37</v>
      </c>
      <c r="F593" s="265">
        <f>sumif('Segment RAW Data 25-26'!$B$1:$X$1,$F$3,'Segment RAW Data 25-26'!$B592:$X592)</f>
        <v>16767</v>
      </c>
      <c r="G593" s="265">
        <f>sumif('Segment RAW Data 25-26'!$B$1:$X$1,$G$3,'Segment RAW Data 25-26'!$B592:$X592)</f>
        <v>376190.78</v>
      </c>
      <c r="H593" s="265">
        <f>sumif('Segment RAW Data 25-26'!$B$1:$X$1,$H$3,'Segment RAW Data 25-26'!$B592:$X592)</f>
        <v>79375</v>
      </c>
      <c r="I593" s="265">
        <f>sumif('Segment RAW Data 25-26'!$B$1:$X$1,$I$3,'Segment RAW Data 25-26'!$B592:$X592)</f>
        <v>0</v>
      </c>
      <c r="J593" s="265">
        <f>sumif('Segment RAW Data 25-26'!$B$1:$X$1,$J$3,'Segment RAW Data 25-26'!$B592:$X592)</f>
        <v>145795.5</v>
      </c>
      <c r="K593" s="265">
        <f>sumif('Segment RAW Data 25-26'!$B$1:$X$1,$K$3,'Segment RAW Data 25-26'!$B592:$X592)</f>
        <v>0</v>
      </c>
      <c r="L593" s="265">
        <f>sumif('Segment RAW Data 25-26'!$B$1:$X$1,$L$3,'Segment RAW Data 25-26'!$B592:$X592)</f>
        <v>95655</v>
      </c>
      <c r="M593" s="270"/>
      <c r="N593" s="124" t="s">
        <v>975</v>
      </c>
      <c r="O593" s="124">
        <f>VLOOKUP(C593:C1394,'Segment RAW Data 25-26'!A592:Y1189,25,0)-VLOOKUP(C593:C1394,C:D,2,0)</f>
        <v>0</v>
      </c>
    </row>
    <row r="594" hidden="1">
      <c r="A594" s="157" t="s">
        <v>185</v>
      </c>
      <c r="B594" s="157" t="s">
        <v>85</v>
      </c>
      <c r="C594" s="157" t="s">
        <v>92</v>
      </c>
      <c r="D594" s="124">
        <f t="shared" si="1"/>
        <v>96357.7</v>
      </c>
      <c r="E594" s="265">
        <f>sumif('Segment RAW Data 25-26'!$B$1:$X$1,$E$3,'Segment RAW Data 25-26'!$B593:$X593)</f>
        <v>0</v>
      </c>
      <c r="F594" s="265">
        <f>sumif('Segment RAW Data 25-26'!$B$1:$X$1,$F$3,'Segment RAW Data 25-26'!$B593:$X593)</f>
        <v>1897.5</v>
      </c>
      <c r="G594" s="265">
        <f>sumif('Segment RAW Data 25-26'!$B$1:$X$1,$G$3,'Segment RAW Data 25-26'!$B593:$X593)</f>
        <v>25539.7</v>
      </c>
      <c r="H594" s="265">
        <f>sumif('Segment RAW Data 25-26'!$B$1:$X$1,$H$3,'Segment RAW Data 25-26'!$B593:$X593)</f>
        <v>34798.5</v>
      </c>
      <c r="I594" s="265">
        <f>sumif('Segment RAW Data 25-26'!$B$1:$X$1,$I$3,'Segment RAW Data 25-26'!$B593:$X593)</f>
        <v>0</v>
      </c>
      <c r="J594" s="265">
        <f>sumif('Segment RAW Data 25-26'!$B$1:$X$1,$J$3,'Segment RAW Data 25-26'!$B593:$X593)</f>
        <v>34122</v>
      </c>
      <c r="K594" s="265">
        <f>sumif('Segment RAW Data 25-26'!$B$1:$X$1,$K$3,'Segment RAW Data 25-26'!$B593:$X593)</f>
        <v>0</v>
      </c>
      <c r="L594" s="265">
        <f>sumif('Segment RAW Data 25-26'!$B$1:$X$1,$L$3,'Segment RAW Data 25-26'!$B593:$X593)</f>
        <v>0</v>
      </c>
      <c r="M594" s="270"/>
      <c r="N594" s="124" t="s">
        <v>975</v>
      </c>
      <c r="O594" s="124">
        <f>VLOOKUP(C594:C1395,'Segment RAW Data 25-26'!A593:Y1190,25,0)-VLOOKUP(C594:C1395,C:D,2,0)</f>
        <v>0</v>
      </c>
    </row>
    <row r="595" hidden="1">
      <c r="A595" s="157" t="s">
        <v>73</v>
      </c>
      <c r="B595" s="157" t="s">
        <v>76</v>
      </c>
      <c r="C595" s="157" t="s">
        <v>83</v>
      </c>
      <c r="D595" s="124">
        <f t="shared" si="1"/>
        <v>50841.5</v>
      </c>
      <c r="E595" s="265">
        <f>sumif('Segment RAW Data 25-26'!$B$1:$X$1,$E$3,'Segment RAW Data 25-26'!$B594:$X594)</f>
        <v>0</v>
      </c>
      <c r="F595" s="265">
        <f>sumif('Segment RAW Data 25-26'!$B$1:$X$1,$F$3,'Segment RAW Data 25-26'!$B594:$X594)</f>
        <v>0</v>
      </c>
      <c r="G595" s="265">
        <f>sumif('Segment RAW Data 25-26'!$B$1:$X$1,$G$3,'Segment RAW Data 25-26'!$B594:$X594)</f>
        <v>0</v>
      </c>
      <c r="H595" s="265">
        <f>sumif('Segment RAW Data 25-26'!$B$1:$X$1,$H$3,'Segment RAW Data 25-26'!$B594:$X594)</f>
        <v>0</v>
      </c>
      <c r="I595" s="265">
        <f>sumif('Segment RAW Data 25-26'!$B$1:$X$1,$I$3,'Segment RAW Data 25-26'!$B594:$X594)</f>
        <v>0</v>
      </c>
      <c r="J595" s="265">
        <f>sumif('Segment RAW Data 25-26'!$B$1:$X$1,$J$3,'Segment RAW Data 25-26'!$B594:$X594)</f>
        <v>50841.5</v>
      </c>
      <c r="K595" s="265">
        <f>sumif('Segment RAW Data 25-26'!$B$1:$X$1,$K$3,'Segment RAW Data 25-26'!$B594:$X594)</f>
        <v>0</v>
      </c>
      <c r="L595" s="265">
        <f>sumif('Segment RAW Data 25-26'!$B$1:$X$1,$L$3,'Segment RAW Data 25-26'!$B594:$X594)</f>
        <v>0</v>
      </c>
      <c r="M595" s="270"/>
      <c r="N595" s="124" t="s">
        <v>975</v>
      </c>
      <c r="O595" s="124">
        <f>VLOOKUP(C595:C1396,'Segment RAW Data 25-26'!A594:Y1191,25,0)-VLOOKUP(C595:C1396,C:D,2,0)</f>
        <v>0</v>
      </c>
    </row>
    <row r="596" hidden="1">
      <c r="A596" s="157" t="s">
        <v>185</v>
      </c>
      <c r="B596" s="157" t="s">
        <v>189</v>
      </c>
      <c r="C596" s="157" t="s">
        <v>292</v>
      </c>
      <c r="D596" s="124">
        <f t="shared" si="1"/>
        <v>0</v>
      </c>
      <c r="E596" s="265">
        <f>sumif('Segment RAW Data 25-26'!$B$1:$X$1,$E$3,'Segment RAW Data 25-26'!$B595:$X595)</f>
        <v>0</v>
      </c>
      <c r="F596" s="265">
        <f>sumif('Segment RAW Data 25-26'!$B$1:$X$1,$F$3,'Segment RAW Data 25-26'!$B595:$X595)</f>
        <v>0</v>
      </c>
      <c r="G596" s="265">
        <f>sumif('Segment RAW Data 25-26'!$B$1:$X$1,$G$3,'Segment RAW Data 25-26'!$B595:$X595)</f>
        <v>0</v>
      </c>
      <c r="H596" s="265">
        <f>sumif('Segment RAW Data 25-26'!$B$1:$X$1,$H$3,'Segment RAW Data 25-26'!$B595:$X595)</f>
        <v>0</v>
      </c>
      <c r="I596" s="265">
        <f>sumif('Segment RAW Data 25-26'!$B$1:$X$1,$I$3,'Segment RAW Data 25-26'!$B595:$X595)</f>
        <v>0</v>
      </c>
      <c r="J596" s="265">
        <f>sumif('Segment RAW Data 25-26'!$B$1:$X$1,$J$3,'Segment RAW Data 25-26'!$B595:$X595)</f>
        <v>0</v>
      </c>
      <c r="K596" s="265">
        <f>sumif('Segment RAW Data 25-26'!$B$1:$X$1,$K$3,'Segment RAW Data 25-26'!$B595:$X595)</f>
        <v>0</v>
      </c>
      <c r="L596" s="265">
        <f>sumif('Segment RAW Data 25-26'!$B$1:$X$1,$L$3,'Segment RAW Data 25-26'!$B595:$X595)</f>
        <v>0</v>
      </c>
      <c r="M596" s="270"/>
      <c r="N596" s="124" t="s">
        <v>975</v>
      </c>
      <c r="O596" s="124">
        <f>VLOOKUP(C596:C1397,'Segment RAW Data 25-26'!A595:Y1192,25,0)-VLOOKUP(C596:C1397,C:D,2,0)</f>
        <v>0</v>
      </c>
    </row>
    <row r="597" hidden="1">
      <c r="A597" s="157" t="s">
        <v>185</v>
      </c>
      <c r="B597" s="157" t="s">
        <v>222</v>
      </c>
      <c r="C597" s="157" t="s">
        <v>294</v>
      </c>
      <c r="D597" s="124">
        <f t="shared" si="1"/>
        <v>0</v>
      </c>
      <c r="E597" s="265">
        <f>sumif('Segment RAW Data 25-26'!$B$1:$X$1,$E$3,'Segment RAW Data 25-26'!$B596:$X596)</f>
        <v>0</v>
      </c>
      <c r="F597" s="265">
        <f>sumif('Segment RAW Data 25-26'!$B$1:$X$1,$F$3,'Segment RAW Data 25-26'!$B596:$X596)</f>
        <v>0</v>
      </c>
      <c r="G597" s="265">
        <f>sumif('Segment RAW Data 25-26'!$B$1:$X$1,$G$3,'Segment RAW Data 25-26'!$B596:$X596)</f>
        <v>0</v>
      </c>
      <c r="H597" s="265">
        <f>sumif('Segment RAW Data 25-26'!$B$1:$X$1,$H$3,'Segment RAW Data 25-26'!$B596:$X596)</f>
        <v>0</v>
      </c>
      <c r="I597" s="265">
        <f>sumif('Segment RAW Data 25-26'!$B$1:$X$1,$I$3,'Segment RAW Data 25-26'!$B596:$X596)</f>
        <v>0</v>
      </c>
      <c r="J597" s="265">
        <f>sumif('Segment RAW Data 25-26'!$B$1:$X$1,$J$3,'Segment RAW Data 25-26'!$B596:$X596)</f>
        <v>0</v>
      </c>
      <c r="K597" s="265">
        <f>sumif('Segment RAW Data 25-26'!$B$1:$X$1,$K$3,'Segment RAW Data 25-26'!$B596:$X596)</f>
        <v>0</v>
      </c>
      <c r="L597" s="265">
        <f>sumif('Segment RAW Data 25-26'!$B$1:$X$1,$L$3,'Segment RAW Data 25-26'!$B596:$X596)</f>
        <v>0</v>
      </c>
      <c r="M597" s="270"/>
      <c r="N597" s="124" t="s">
        <v>975</v>
      </c>
      <c r="O597" s="124">
        <f>VLOOKUP(C597:C1398,'Segment RAW Data 25-26'!A596:Y1193,25,0)-VLOOKUP(C597:C1398,C:D,2,0)</f>
        <v>0</v>
      </c>
    </row>
    <row r="598" hidden="1">
      <c r="A598" s="157" t="s">
        <v>885</v>
      </c>
      <c r="B598" s="157" t="s">
        <v>96</v>
      </c>
      <c r="C598" s="157" t="s">
        <v>887</v>
      </c>
      <c r="D598" s="124">
        <f t="shared" si="1"/>
        <v>0</v>
      </c>
      <c r="E598" s="265">
        <f>sumif('Segment RAW Data 25-26'!$B$1:$X$1,$E$3,'Segment RAW Data 25-26'!$B597:$X597)</f>
        <v>0</v>
      </c>
      <c r="F598" s="265">
        <f>sumif('Segment RAW Data 25-26'!$B$1:$X$1,$F$3,'Segment RAW Data 25-26'!$B597:$X597)</f>
        <v>0</v>
      </c>
      <c r="G598" s="265">
        <f>sumif('Segment RAW Data 25-26'!$B$1:$X$1,$G$3,'Segment RAW Data 25-26'!$B597:$X597)</f>
        <v>0</v>
      </c>
      <c r="H598" s="265">
        <f>sumif('Segment RAW Data 25-26'!$B$1:$X$1,$H$3,'Segment RAW Data 25-26'!$B597:$X597)</f>
        <v>0</v>
      </c>
      <c r="I598" s="265">
        <f>sumif('Segment RAW Data 25-26'!$B$1:$X$1,$I$3,'Segment RAW Data 25-26'!$B597:$X597)</f>
        <v>0</v>
      </c>
      <c r="J598" s="265">
        <f>sumif('Segment RAW Data 25-26'!$B$1:$X$1,$J$3,'Segment RAW Data 25-26'!$B597:$X597)</f>
        <v>0</v>
      </c>
      <c r="K598" s="265">
        <f>sumif('Segment RAW Data 25-26'!$B$1:$X$1,$K$3,'Segment RAW Data 25-26'!$B597:$X597)</f>
        <v>0</v>
      </c>
      <c r="L598" s="265">
        <f>sumif('Segment RAW Data 25-26'!$B$1:$X$1,$L$3,'Segment RAW Data 25-26'!$B597:$X597)</f>
        <v>0</v>
      </c>
      <c r="M598" s="270"/>
      <c r="N598" s="124" t="s">
        <v>975</v>
      </c>
      <c r="O598" s="124">
        <f>VLOOKUP(C598:C1399,'Segment RAW Data 25-26'!A597:Y1194,25,0)-VLOOKUP(C598:C1399,C:D,2,0)</f>
        <v>0</v>
      </c>
    </row>
    <row r="599" hidden="1">
      <c r="A599" s="157" t="s">
        <v>53</v>
      </c>
      <c r="B599" s="157" t="s">
        <v>61</v>
      </c>
      <c r="C599" s="157" t="s">
        <v>72</v>
      </c>
      <c r="D599" s="124">
        <f t="shared" si="1"/>
        <v>0</v>
      </c>
      <c r="E599" s="265">
        <f>sumif('Segment RAW Data 25-26'!$B$1:$X$1,$E$3,'Segment RAW Data 25-26'!$B598:$X598)</f>
        <v>0</v>
      </c>
      <c r="F599" s="265">
        <f>sumif('Segment RAW Data 25-26'!$B$1:$X$1,$F$3,'Segment RAW Data 25-26'!$B598:$X598)</f>
        <v>0</v>
      </c>
      <c r="G599" s="265">
        <f>sumif('Segment RAW Data 25-26'!$B$1:$X$1,$G$3,'Segment RAW Data 25-26'!$B598:$X598)</f>
        <v>0</v>
      </c>
      <c r="H599" s="265">
        <f>sumif('Segment RAW Data 25-26'!$B$1:$X$1,$H$3,'Segment RAW Data 25-26'!$B598:$X598)</f>
        <v>0</v>
      </c>
      <c r="I599" s="265">
        <f>sumif('Segment RAW Data 25-26'!$B$1:$X$1,$I$3,'Segment RAW Data 25-26'!$B598:$X598)</f>
        <v>0</v>
      </c>
      <c r="J599" s="265">
        <f>sumif('Segment RAW Data 25-26'!$B$1:$X$1,$J$3,'Segment RAW Data 25-26'!$B598:$X598)</f>
        <v>0</v>
      </c>
      <c r="K599" s="265">
        <f>sumif('Segment RAW Data 25-26'!$B$1:$X$1,$K$3,'Segment RAW Data 25-26'!$B598:$X598)</f>
        <v>0</v>
      </c>
      <c r="L599" s="265">
        <f>sumif('Segment RAW Data 25-26'!$B$1:$X$1,$L$3,'Segment RAW Data 25-26'!$B598:$X598)</f>
        <v>0</v>
      </c>
      <c r="M599" s="270"/>
      <c r="N599" s="124" t="s">
        <v>975</v>
      </c>
      <c r="O599" s="124">
        <f>VLOOKUP(C599:C1400,'Segment RAW Data 25-26'!A598:Y1195,25,0)-VLOOKUP(C599:C1400,C:D,2,0)</f>
        <v>0</v>
      </c>
    </row>
    <row r="600" hidden="1">
      <c r="A600" s="157" t="s">
        <v>185</v>
      </c>
      <c r="B600" s="157" t="s">
        <v>189</v>
      </c>
      <c r="C600" s="157" t="s">
        <v>296</v>
      </c>
      <c r="D600" s="124">
        <f t="shared" si="1"/>
        <v>0</v>
      </c>
      <c r="E600" s="265">
        <f>sumif('Segment RAW Data 25-26'!$B$1:$X$1,$E$3,'Segment RAW Data 25-26'!$B599:$X599)</f>
        <v>0</v>
      </c>
      <c r="F600" s="265">
        <f>sumif('Segment RAW Data 25-26'!$B$1:$X$1,$F$3,'Segment RAW Data 25-26'!$B599:$X599)</f>
        <v>0</v>
      </c>
      <c r="G600" s="265">
        <f>sumif('Segment RAW Data 25-26'!$B$1:$X$1,$G$3,'Segment RAW Data 25-26'!$B599:$X599)</f>
        <v>0</v>
      </c>
      <c r="H600" s="265">
        <f>sumif('Segment RAW Data 25-26'!$B$1:$X$1,$H$3,'Segment RAW Data 25-26'!$B599:$X599)</f>
        <v>0</v>
      </c>
      <c r="I600" s="265">
        <f>sumif('Segment RAW Data 25-26'!$B$1:$X$1,$I$3,'Segment RAW Data 25-26'!$B599:$X599)</f>
        <v>0</v>
      </c>
      <c r="J600" s="265">
        <f>sumif('Segment RAW Data 25-26'!$B$1:$X$1,$J$3,'Segment RAW Data 25-26'!$B599:$X599)</f>
        <v>0</v>
      </c>
      <c r="K600" s="265">
        <f>sumif('Segment RAW Data 25-26'!$B$1:$X$1,$K$3,'Segment RAW Data 25-26'!$B599:$X599)</f>
        <v>0</v>
      </c>
      <c r="L600" s="265">
        <f>sumif('Segment RAW Data 25-26'!$B$1:$X$1,$L$3,'Segment RAW Data 25-26'!$B599:$X599)</f>
        <v>0</v>
      </c>
      <c r="M600" s="270"/>
      <c r="N600" s="124" t="s">
        <v>975</v>
      </c>
      <c r="O600" s="124">
        <f>VLOOKUP(C600:C1401,'Segment RAW Data 25-26'!A599:Y1196,25,0)-VLOOKUP(C600:C1401,C:D,2,0)</f>
        <v>0</v>
      </c>
    </row>
    <row r="601" hidden="1">
      <c r="A601" s="157"/>
      <c r="B601" s="157"/>
      <c r="C601" s="157"/>
      <c r="E601" s="265"/>
      <c r="F601" s="265"/>
      <c r="G601" s="265"/>
      <c r="H601" s="265"/>
      <c r="I601" s="265"/>
      <c r="J601" s="265"/>
      <c r="K601" s="265"/>
      <c r="L601" s="265"/>
      <c r="M601" s="266"/>
    </row>
    <row r="602" hidden="1">
      <c r="E602" s="265"/>
      <c r="F602" s="265"/>
      <c r="G602" s="265"/>
      <c r="H602" s="265"/>
      <c r="I602" s="265"/>
      <c r="J602" s="265"/>
      <c r="K602" s="265"/>
      <c r="L602" s="265"/>
      <c r="M602" s="266"/>
    </row>
    <row r="603">
      <c r="A603" s="271"/>
      <c r="B603" s="271"/>
      <c r="C603" s="271"/>
      <c r="D603" s="271"/>
      <c r="E603" s="271"/>
      <c r="F603" s="271"/>
      <c r="G603" s="271"/>
      <c r="H603" s="271"/>
      <c r="I603" s="271"/>
      <c r="J603" s="271"/>
      <c r="K603" s="265"/>
      <c r="L603" s="265"/>
      <c r="M603" s="266"/>
    </row>
    <row r="604">
      <c r="B604" s="272" t="s">
        <v>976</v>
      </c>
      <c r="C604" s="34"/>
      <c r="D604" s="34"/>
      <c r="E604" s="34"/>
      <c r="F604" s="34"/>
      <c r="G604" s="34"/>
      <c r="H604" s="34"/>
      <c r="I604" s="34"/>
      <c r="J604" s="35"/>
      <c r="K604" s="273"/>
      <c r="L604" s="265"/>
      <c r="M604" s="266"/>
    </row>
    <row r="605">
      <c r="A605" s="274" t="s">
        <v>3</v>
      </c>
      <c r="B605" s="274" t="s">
        <v>892</v>
      </c>
      <c r="C605" s="274" t="s">
        <v>977</v>
      </c>
      <c r="H605" s="265"/>
      <c r="I605" s="265"/>
      <c r="J605" s="265"/>
      <c r="K605" s="265"/>
      <c r="L605" s="265"/>
      <c r="M605" s="266"/>
    </row>
    <row r="606">
      <c r="A606" s="275" t="s">
        <v>185</v>
      </c>
      <c r="B606" s="275" t="s">
        <v>189</v>
      </c>
      <c r="C606" s="275" t="s">
        <v>975</v>
      </c>
      <c r="M606" s="266"/>
    </row>
    <row r="607">
      <c r="A607" s="276" t="s">
        <v>963</v>
      </c>
      <c r="B607" s="276">
        <f t="shared" ref="B607:J607" si="2">sum(B609:B1205)</f>
        <v>675747135.8</v>
      </c>
      <c r="C607" s="276">
        <f t="shared" si="2"/>
        <v>172262273.5</v>
      </c>
      <c r="D607" s="276">
        <f t="shared" si="2"/>
        <v>137394207.9</v>
      </c>
      <c r="E607" s="276">
        <f t="shared" si="2"/>
        <v>300750914.1</v>
      </c>
      <c r="F607" s="276">
        <f t="shared" si="2"/>
        <v>12699365.09</v>
      </c>
      <c r="G607" s="276">
        <f t="shared" si="2"/>
        <v>14110.64</v>
      </c>
      <c r="H607" s="276">
        <f t="shared" si="2"/>
        <v>19759648.17</v>
      </c>
      <c r="I607" s="276">
        <f t="shared" si="2"/>
        <v>318662</v>
      </c>
      <c r="J607" s="276">
        <f t="shared" si="2"/>
        <v>32547954.48</v>
      </c>
      <c r="K607" s="277"/>
      <c r="M607" s="266"/>
    </row>
    <row r="608">
      <c r="A608" s="269" t="s">
        <v>458</v>
      </c>
      <c r="B608" s="269" t="s">
        <v>963</v>
      </c>
      <c r="C608" s="278" t="s">
        <v>450</v>
      </c>
      <c r="D608" s="278" t="s">
        <v>451</v>
      </c>
      <c r="E608" s="269" t="s">
        <v>452</v>
      </c>
      <c r="F608" s="269" t="s">
        <v>453</v>
      </c>
      <c r="G608" s="269" t="s">
        <v>454</v>
      </c>
      <c r="H608" s="269" t="s">
        <v>455</v>
      </c>
      <c r="I608" s="269" t="s">
        <v>456</v>
      </c>
      <c r="J608" s="269" t="s">
        <v>457</v>
      </c>
      <c r="K608" s="158" t="s">
        <v>973</v>
      </c>
      <c r="M608" s="266"/>
      <c r="O608" s="124" t="str">
        <f>IFERROR(__xludf.DUMMYFUNCTION("UNIQUE(QUERY($A$3:$N$601,"" SELECT A,B,N WHERE A= '""&amp;A606&amp;""'""))"),"State Head")</f>
        <v>State Head</v>
      </c>
      <c r="P608" s="124" t="str">
        <f>IFERROR(__xludf.DUMMYFUNCTION("""COMPUTED_VALUE"""),"State")</f>
        <v>State</v>
      </c>
      <c r="Q608" s="124" t="str">
        <f>IFERROR(__xludf.DUMMYFUNCTION("""COMPUTED_VALUE"""),"Ac tive Left")</f>
        <v>Ac tive Left</v>
      </c>
    </row>
    <row r="609" hidden="1">
      <c r="A609" s="279" t="str">
        <f>IFERROR(__xludf.DUMMYFUNCTION("QUERY($A$4:$N$601,""SELECT C,D,E,F,G,H,I,J,K,L,M WHERE A CONTAINS '""&amp;A606&amp;""' AND B CONTAINS '""&amp;B606&amp;""' AND N CONTAINS '""&amp;C606&amp;""'"")"),"Debasish Adhikary")</f>
        <v>Debasish Adhikary</v>
      </c>
      <c r="B609" s="280">
        <f>IFERROR(__xludf.DUMMYFUNCTION("""COMPUTED_VALUE"""),8.001657755000001E7)</f>
        <v>80016577.55</v>
      </c>
      <c r="C609" s="280">
        <f>IFERROR(__xludf.DUMMYFUNCTION("""COMPUTED_VALUE"""),744697.8)</f>
        <v>744697.8</v>
      </c>
      <c r="D609" s="280">
        <f>IFERROR(__xludf.DUMMYFUNCTION("""COMPUTED_VALUE"""),2.9381346189999998E7)</f>
        <v>29381346.19</v>
      </c>
      <c r="E609" s="281">
        <f>IFERROR(__xludf.DUMMYFUNCTION("""COMPUTED_VALUE"""),4.777776938E7)</f>
        <v>47777769.38</v>
      </c>
      <c r="F609" s="281">
        <f>IFERROR(__xludf.DUMMYFUNCTION("""COMPUTED_VALUE"""),2112764.18)</f>
        <v>2112764.18</v>
      </c>
      <c r="G609" s="281">
        <f>IFERROR(__xludf.DUMMYFUNCTION("""COMPUTED_VALUE"""),0.0)</f>
        <v>0</v>
      </c>
      <c r="H609" s="281">
        <f>IFERROR(__xludf.DUMMYFUNCTION("""COMPUTED_VALUE"""),0.0)</f>
        <v>0</v>
      </c>
      <c r="I609" s="281">
        <f>IFERROR(__xludf.DUMMYFUNCTION("""COMPUTED_VALUE"""),0.0)</f>
        <v>0</v>
      </c>
      <c r="J609" s="281">
        <f>IFERROR(__xludf.DUMMYFUNCTION("""COMPUTED_VALUE"""),0.0)</f>
        <v>0</v>
      </c>
      <c r="K609" s="282"/>
      <c r="L609" s="265"/>
      <c r="M609" s="266"/>
      <c r="O609" s="124" t="str">
        <f>IFERROR(__xludf.DUMMYFUNCTION("""COMPUTED_VALUE"""),"Sandeep Dadheech")</f>
        <v>Sandeep Dadheech</v>
      </c>
      <c r="P609" s="124" t="str">
        <f>IFERROR(__xludf.DUMMYFUNCTION("""COMPUTED_VALUE"""),"Odisha")</f>
        <v>Odisha</v>
      </c>
      <c r="Q609" s="124" t="str">
        <f>IFERROR(__xludf.DUMMYFUNCTION("""COMPUTED_VALUE"""),"LEFT")</f>
        <v>LEFT</v>
      </c>
    </row>
    <row r="610" hidden="1">
      <c r="A610" s="279" t="str">
        <f>IFERROR(__xludf.DUMMYFUNCTION("""COMPUTED_VALUE"""),"Monmon Paul")</f>
        <v>Monmon Paul</v>
      </c>
      <c r="B610" s="280">
        <f>IFERROR(__xludf.DUMMYFUNCTION("""COMPUTED_VALUE"""),1199546.8)</f>
        <v>1199546.8</v>
      </c>
      <c r="C610" s="280">
        <f>IFERROR(__xludf.DUMMYFUNCTION("""COMPUTED_VALUE"""),0.0)</f>
        <v>0</v>
      </c>
      <c r="D610" s="280">
        <f>IFERROR(__xludf.DUMMYFUNCTION("""COMPUTED_VALUE"""),443454.4)</f>
        <v>443454.4</v>
      </c>
      <c r="E610" s="281">
        <f>IFERROR(__xludf.DUMMYFUNCTION("""COMPUTED_VALUE"""),693213.2)</f>
        <v>693213.2</v>
      </c>
      <c r="F610" s="281">
        <f>IFERROR(__xludf.DUMMYFUNCTION("""COMPUTED_VALUE"""),62879.2)</f>
        <v>62879.2</v>
      </c>
      <c r="G610" s="281">
        <f>IFERROR(__xludf.DUMMYFUNCTION("""COMPUTED_VALUE"""),0.0)</f>
        <v>0</v>
      </c>
      <c r="H610" s="281">
        <f>IFERROR(__xludf.DUMMYFUNCTION("""COMPUTED_VALUE"""),0.0)</f>
        <v>0</v>
      </c>
      <c r="I610" s="281">
        <f>IFERROR(__xludf.DUMMYFUNCTION("""COMPUTED_VALUE"""),0.0)</f>
        <v>0</v>
      </c>
      <c r="J610" s="281">
        <f>IFERROR(__xludf.DUMMYFUNCTION("""COMPUTED_VALUE"""),0.0)</f>
        <v>0</v>
      </c>
      <c r="K610" s="282"/>
      <c r="L610" s="265"/>
      <c r="M610" s="266"/>
      <c r="O610" s="124" t="str">
        <f>IFERROR(__xludf.DUMMYFUNCTION("""COMPUTED_VALUE"""),"Sandeep Dadheech")</f>
        <v>Sandeep Dadheech</v>
      </c>
      <c r="P610" s="124" t="str">
        <f>IFERROR(__xludf.DUMMYFUNCTION("""COMPUTED_VALUE"""),"West Bengal")</f>
        <v>West Bengal</v>
      </c>
      <c r="Q610" s="124" t="str">
        <f>IFERROR(__xludf.DUMMYFUNCTION("""COMPUTED_VALUE"""),"Active")</f>
        <v>Active</v>
      </c>
    </row>
    <row r="611" hidden="1">
      <c r="A611" s="279" t="str">
        <f>IFERROR(__xludf.DUMMYFUNCTION("""COMPUTED_VALUE"""),"Priyabrata Biswas")</f>
        <v>Priyabrata Biswas</v>
      </c>
      <c r="B611" s="280">
        <f>IFERROR(__xludf.DUMMYFUNCTION("""COMPUTED_VALUE"""),3.3140269659999996E7)</f>
        <v>33140269.66</v>
      </c>
      <c r="C611" s="280">
        <f>IFERROR(__xludf.DUMMYFUNCTION("""COMPUTED_VALUE"""),5643568.859999999)</f>
        <v>5643568.86</v>
      </c>
      <c r="D611" s="280">
        <f>IFERROR(__xludf.DUMMYFUNCTION("""COMPUTED_VALUE"""),955181.2000000001)</f>
        <v>955181.2</v>
      </c>
      <c r="E611" s="281">
        <f>IFERROR(__xludf.DUMMYFUNCTION("""COMPUTED_VALUE"""),2.463355015E7)</f>
        <v>24633550.15</v>
      </c>
      <c r="F611" s="281">
        <f>IFERROR(__xludf.DUMMYFUNCTION("""COMPUTED_VALUE"""),415631.2)</f>
        <v>415631.2</v>
      </c>
      <c r="G611" s="281">
        <f>IFERROR(__xludf.DUMMYFUNCTION("""COMPUTED_VALUE"""),0.0)</f>
        <v>0</v>
      </c>
      <c r="H611" s="281">
        <f>IFERROR(__xludf.DUMMYFUNCTION("""COMPUTED_VALUE"""),0.0)</f>
        <v>0</v>
      </c>
      <c r="I611" s="281">
        <f>IFERROR(__xludf.DUMMYFUNCTION("""COMPUTED_VALUE"""),0.0)</f>
        <v>0</v>
      </c>
      <c r="J611" s="281">
        <f>IFERROR(__xludf.DUMMYFUNCTION("""COMPUTED_VALUE"""),1492338.25)</f>
        <v>1492338.25</v>
      </c>
      <c r="K611" s="282"/>
      <c r="L611" s="265"/>
      <c r="M611" s="266"/>
      <c r="O611" s="124" t="str">
        <f>IFERROR(__xludf.DUMMYFUNCTION("""COMPUTED_VALUE"""),"Sandeep Dadheech")</f>
        <v>Sandeep Dadheech</v>
      </c>
      <c r="P611" s="124" t="str">
        <f>IFERROR(__xludf.DUMMYFUNCTION("""COMPUTED_VALUE"""),"Odisha")</f>
        <v>Odisha</v>
      </c>
      <c r="Q611" s="124" t="str">
        <f>IFERROR(__xludf.DUMMYFUNCTION("""COMPUTED_VALUE"""),"Active")</f>
        <v>Active</v>
      </c>
    </row>
    <row r="612">
      <c r="A612" s="75" t="str">
        <f>IFERROR(__xludf.DUMMYFUNCTION("""COMPUTED_VALUE"""),"Sarbjit Singh Chawla")</f>
        <v>Sarbjit Singh Chawla</v>
      </c>
      <c r="B612" s="280">
        <f>IFERROR(__xludf.DUMMYFUNCTION("""COMPUTED_VALUE"""),3.846258898E7)</f>
        <v>38462588.98</v>
      </c>
      <c r="C612" s="280">
        <f>IFERROR(__xludf.DUMMYFUNCTION("""COMPUTED_VALUE"""),1.686716238E7)</f>
        <v>16867162.38</v>
      </c>
      <c r="D612" s="280">
        <f>IFERROR(__xludf.DUMMYFUNCTION("""COMPUTED_VALUE"""),7674597.0)</f>
        <v>7674597</v>
      </c>
      <c r="E612" s="281">
        <f>IFERROR(__xludf.DUMMYFUNCTION("""COMPUTED_VALUE"""),8925603.0)</f>
        <v>8925603</v>
      </c>
      <c r="F612" s="281">
        <f>IFERROR(__xludf.DUMMYFUNCTION("""COMPUTED_VALUE"""),258777.6)</f>
        <v>258777.6</v>
      </c>
      <c r="G612" s="281">
        <f>IFERROR(__xludf.DUMMYFUNCTION("""COMPUTED_VALUE"""),0.0)</f>
        <v>0</v>
      </c>
      <c r="H612" s="281">
        <f>IFERROR(__xludf.DUMMYFUNCTION("""COMPUTED_VALUE"""),1546899.0)</f>
        <v>1546899</v>
      </c>
      <c r="I612" s="281">
        <f>IFERROR(__xludf.DUMMYFUNCTION("""COMPUTED_VALUE"""),0.0)</f>
        <v>0</v>
      </c>
      <c r="J612" s="281">
        <f>IFERROR(__xludf.DUMMYFUNCTION("""COMPUTED_VALUE"""),3189550.0)</f>
        <v>3189550</v>
      </c>
      <c r="K612" s="282"/>
      <c r="L612" s="265"/>
      <c r="M612" s="266"/>
      <c r="O612" s="124" t="str">
        <f>IFERROR(__xludf.DUMMYFUNCTION("""COMPUTED_VALUE"""),"Sandeep Dadheech")</f>
        <v>Sandeep Dadheech</v>
      </c>
      <c r="P612" s="124" t="str">
        <f>IFERROR(__xludf.DUMMYFUNCTION("""COMPUTED_VALUE"""),"Bihar")</f>
        <v>Bihar</v>
      </c>
      <c r="Q612" s="124" t="str">
        <f>IFERROR(__xludf.DUMMYFUNCTION("""COMPUTED_VALUE"""),"Active")</f>
        <v>Active</v>
      </c>
    </row>
    <row r="613" hidden="1">
      <c r="A613" s="75" t="str">
        <f>IFERROR(__xludf.DUMMYFUNCTION("""COMPUTED_VALUE"""),"Soumen Ghosh")</f>
        <v>Soumen Ghosh</v>
      </c>
      <c r="B613" s="280">
        <f>IFERROR(__xludf.DUMMYFUNCTION("""COMPUTED_VALUE"""),1259297.28)</f>
        <v>1259297.28</v>
      </c>
      <c r="C613" s="280">
        <f>IFERROR(__xludf.DUMMYFUNCTION("""COMPUTED_VALUE"""),197158.8)</f>
        <v>197158.8</v>
      </c>
      <c r="D613" s="280">
        <f>IFERROR(__xludf.DUMMYFUNCTION("""COMPUTED_VALUE"""),45349.0)</f>
        <v>45349</v>
      </c>
      <c r="E613" s="281">
        <f>IFERROR(__xludf.DUMMYFUNCTION("""COMPUTED_VALUE"""),282265.48)</f>
        <v>282265.48</v>
      </c>
      <c r="F613" s="281">
        <f>IFERROR(__xludf.DUMMYFUNCTION("""COMPUTED_VALUE"""),0.0)</f>
        <v>0</v>
      </c>
      <c r="G613" s="281">
        <f>IFERROR(__xludf.DUMMYFUNCTION("""COMPUTED_VALUE"""),0.0)</f>
        <v>0</v>
      </c>
      <c r="H613" s="281">
        <f>IFERROR(__xludf.DUMMYFUNCTION("""COMPUTED_VALUE"""),61824.0)</f>
        <v>61824</v>
      </c>
      <c r="I613" s="281">
        <f>IFERROR(__xludf.DUMMYFUNCTION("""COMPUTED_VALUE"""),0.0)</f>
        <v>0</v>
      </c>
      <c r="J613" s="281">
        <f>IFERROR(__xludf.DUMMYFUNCTION("""COMPUTED_VALUE"""),672700.0)</f>
        <v>672700</v>
      </c>
      <c r="K613" s="282"/>
      <c r="L613" s="265"/>
      <c r="M613" s="266"/>
      <c r="O613" s="124" t="str">
        <f>IFERROR(__xludf.DUMMYFUNCTION("""COMPUTED_VALUE"""),"Sandeep Dadheech")</f>
        <v>Sandeep Dadheech</v>
      </c>
      <c r="P613" s="124" t="str">
        <f>IFERROR(__xludf.DUMMYFUNCTION("""COMPUTED_VALUE"""),"Andhra Pradesh")</f>
        <v>Andhra Pradesh</v>
      </c>
      <c r="Q613" s="124" t="str">
        <f>IFERROR(__xludf.DUMMYFUNCTION("""COMPUTED_VALUE"""),"LEFT")</f>
        <v>LEFT</v>
      </c>
    </row>
    <row r="614" hidden="1">
      <c r="A614" s="75" t="str">
        <f>IFERROR(__xludf.DUMMYFUNCTION("""COMPUTED_VALUE"""),"Sudipta Thom")</f>
        <v>Sudipta Thom</v>
      </c>
      <c r="B614" s="280">
        <f>IFERROR(__xludf.DUMMYFUNCTION("""COMPUTED_VALUE"""),2.274683707E7)</f>
        <v>22746837.07</v>
      </c>
      <c r="C614" s="280">
        <f>IFERROR(__xludf.DUMMYFUNCTION("""COMPUTED_VALUE"""),1.151371865E7)</f>
        <v>11513718.65</v>
      </c>
      <c r="D614" s="280">
        <f>IFERROR(__xludf.DUMMYFUNCTION("""COMPUTED_VALUE"""),4838549.5)</f>
        <v>4838549.5</v>
      </c>
      <c r="E614" s="281">
        <f>IFERROR(__xludf.DUMMYFUNCTION("""COMPUTED_VALUE"""),4217228.92)</f>
        <v>4217228.92</v>
      </c>
      <c r="F614" s="281">
        <f>IFERROR(__xludf.DUMMYFUNCTION("""COMPUTED_VALUE"""),273640.0)</f>
        <v>273640</v>
      </c>
      <c r="G614" s="281">
        <f>IFERROR(__xludf.DUMMYFUNCTION("""COMPUTED_VALUE"""),0.0)</f>
        <v>0</v>
      </c>
      <c r="H614" s="281">
        <f>IFERROR(__xludf.DUMMYFUNCTION("""COMPUTED_VALUE"""),372030.0)</f>
        <v>372030</v>
      </c>
      <c r="I614" s="281">
        <f>IFERROR(__xludf.DUMMYFUNCTION("""COMPUTED_VALUE"""),0.0)</f>
        <v>0</v>
      </c>
      <c r="J614" s="281">
        <f>IFERROR(__xludf.DUMMYFUNCTION("""COMPUTED_VALUE"""),1531670.0)</f>
        <v>1531670</v>
      </c>
      <c r="K614" s="282"/>
      <c r="L614" s="265"/>
      <c r="M614" s="266"/>
      <c r="O614" s="124" t="str">
        <f>IFERROR(__xludf.DUMMYFUNCTION("""COMPUTED_VALUE"""),"Sandeep Dadheech")</f>
        <v>Sandeep Dadheech</v>
      </c>
      <c r="P614" s="124" t="str">
        <f>IFERROR(__xludf.DUMMYFUNCTION("""COMPUTED_VALUE"""),"Telangana")</f>
        <v>Telangana</v>
      </c>
      <c r="Q614" s="124" t="str">
        <f>IFERROR(__xludf.DUMMYFUNCTION("""COMPUTED_VALUE"""),"Active")</f>
        <v>Active</v>
      </c>
    </row>
    <row r="615" hidden="1">
      <c r="A615" s="75" t="str">
        <f>IFERROR(__xludf.DUMMYFUNCTION("""COMPUTED_VALUE"""),"Sujan Ghata")</f>
        <v>Sujan Ghata</v>
      </c>
      <c r="B615" s="280">
        <f>IFERROR(__xludf.DUMMYFUNCTION("""COMPUTED_VALUE"""),4.135292968E7)</f>
        <v>41352929.68</v>
      </c>
      <c r="C615" s="280">
        <f>IFERROR(__xludf.DUMMYFUNCTION("""COMPUTED_VALUE"""),4633037.49)</f>
        <v>4633037.49</v>
      </c>
      <c r="D615" s="280">
        <f>IFERROR(__xludf.DUMMYFUNCTION("""COMPUTED_VALUE"""),5941882.16)</f>
        <v>5941882.16</v>
      </c>
      <c r="E615" s="281">
        <f>IFERROR(__xludf.DUMMYFUNCTION("""COMPUTED_VALUE"""),2.908163903E7)</f>
        <v>29081639.03</v>
      </c>
      <c r="F615" s="281">
        <f>IFERROR(__xludf.DUMMYFUNCTION("""COMPUTED_VALUE"""),1608871.0)</f>
        <v>1608871</v>
      </c>
      <c r="G615" s="281">
        <f>IFERROR(__xludf.DUMMYFUNCTION("""COMPUTED_VALUE"""),0.0)</f>
        <v>0</v>
      </c>
      <c r="H615" s="281">
        <f>IFERROR(__xludf.DUMMYFUNCTION("""COMPUTED_VALUE"""),0.0)</f>
        <v>0</v>
      </c>
      <c r="I615" s="281">
        <f>IFERROR(__xludf.DUMMYFUNCTION("""COMPUTED_VALUE"""),0.0)</f>
        <v>0</v>
      </c>
      <c r="J615" s="281">
        <f>IFERROR(__xludf.DUMMYFUNCTION("""COMPUTED_VALUE"""),87500.0)</f>
        <v>87500</v>
      </c>
      <c r="K615" s="282"/>
      <c r="L615" s="265"/>
      <c r="M615" s="266"/>
      <c r="O615" s="124" t="str">
        <f>IFERROR(__xludf.DUMMYFUNCTION("""COMPUTED_VALUE"""),"Sandeep Dadheech")</f>
        <v>Sandeep Dadheech</v>
      </c>
      <c r="P615" s="124" t="str">
        <f>IFERROR(__xludf.DUMMYFUNCTION("""COMPUTED_VALUE"""),"Andhra Pradesh")</f>
        <v>Andhra Pradesh</v>
      </c>
      <c r="Q615" s="124" t="str">
        <f>IFERROR(__xludf.DUMMYFUNCTION("""COMPUTED_VALUE"""),"Active")</f>
        <v>Active</v>
      </c>
    </row>
    <row r="616" hidden="1">
      <c r="A616" s="75" t="str">
        <f>IFERROR(__xludf.DUMMYFUNCTION("""COMPUTED_VALUE"""),"Surojit Mondal")</f>
        <v>Surojit Mondal</v>
      </c>
      <c r="B616" s="280">
        <f>IFERROR(__xludf.DUMMYFUNCTION("""COMPUTED_VALUE"""),3.491004734E7)</f>
        <v>34910047.34</v>
      </c>
      <c r="C616" s="280">
        <f>IFERROR(__xludf.DUMMYFUNCTION("""COMPUTED_VALUE"""),1.420954344E7)</f>
        <v>14209543.44</v>
      </c>
      <c r="D616" s="280">
        <f>IFERROR(__xludf.DUMMYFUNCTION("""COMPUTED_VALUE"""),6760108.8100000005)</f>
        <v>6760108.81</v>
      </c>
      <c r="E616" s="281">
        <f>IFERROR(__xludf.DUMMYFUNCTION("""COMPUTED_VALUE"""),1.0360980190000001E7)</f>
        <v>10360980.19</v>
      </c>
      <c r="F616" s="281">
        <f>IFERROR(__xludf.DUMMYFUNCTION("""COMPUTED_VALUE"""),308612.2)</f>
        <v>308612.2</v>
      </c>
      <c r="G616" s="281">
        <f>IFERROR(__xludf.DUMMYFUNCTION("""COMPUTED_VALUE"""),0.0)</f>
        <v>0</v>
      </c>
      <c r="H616" s="281">
        <f>IFERROR(__xludf.DUMMYFUNCTION("""COMPUTED_VALUE"""),854160.2)</f>
        <v>854160.2</v>
      </c>
      <c r="I616" s="281">
        <f>IFERROR(__xludf.DUMMYFUNCTION("""COMPUTED_VALUE"""),0.0)</f>
        <v>0</v>
      </c>
      <c r="J616" s="281">
        <f>IFERROR(__xludf.DUMMYFUNCTION("""COMPUTED_VALUE"""),2416642.5)</f>
        <v>2416642.5</v>
      </c>
      <c r="K616" s="282"/>
      <c r="L616" s="265"/>
      <c r="M616" s="266"/>
      <c r="O616" s="124" t="str">
        <f>IFERROR(__xludf.DUMMYFUNCTION("""COMPUTED_VALUE"""),"Sandeep Dadheech")</f>
        <v>Sandeep Dadheech</v>
      </c>
      <c r="P616" s="124" t="str">
        <f>IFERROR(__xludf.DUMMYFUNCTION("""COMPUTED_VALUE"""),"Tamil Nadu")</f>
        <v>Tamil Nadu</v>
      </c>
      <c r="Q616" s="124" t="str">
        <f>IFERROR(__xludf.DUMMYFUNCTION("""COMPUTED_VALUE"""),"Active")</f>
        <v>Active</v>
      </c>
    </row>
    <row r="617" hidden="1">
      <c r="A617" s="75" t="str">
        <f>IFERROR(__xludf.DUMMYFUNCTION("""COMPUTED_VALUE"""),"Suven Sengupta")</f>
        <v>Suven Sengupta</v>
      </c>
      <c r="B617" s="280">
        <f>IFERROR(__xludf.DUMMYFUNCTION("""COMPUTED_VALUE"""),6.13004878E7)</f>
        <v>61300487.8</v>
      </c>
      <c r="C617" s="280">
        <f>IFERROR(__xludf.DUMMYFUNCTION("""COMPUTED_VALUE"""),4646268.779999999)</f>
        <v>4646268.78</v>
      </c>
      <c r="D617" s="280">
        <f>IFERROR(__xludf.DUMMYFUNCTION("""COMPUTED_VALUE"""),6106197.44)</f>
        <v>6106197.44</v>
      </c>
      <c r="E617" s="281">
        <f>IFERROR(__xludf.DUMMYFUNCTION("""COMPUTED_VALUE"""),4.855300869E7)</f>
        <v>48553008.69</v>
      </c>
      <c r="F617" s="281">
        <f>IFERROR(__xludf.DUMMYFUNCTION("""COMPUTED_VALUE"""),1232884.3)</f>
        <v>1232884.3</v>
      </c>
      <c r="G617" s="281">
        <f>IFERROR(__xludf.DUMMYFUNCTION("""COMPUTED_VALUE"""),0.0)</f>
        <v>0</v>
      </c>
      <c r="H617" s="281">
        <f>IFERROR(__xludf.DUMMYFUNCTION("""COMPUTED_VALUE"""),0.0)</f>
        <v>0</v>
      </c>
      <c r="I617" s="281">
        <f>IFERROR(__xludf.DUMMYFUNCTION("""COMPUTED_VALUE"""),12350.0)</f>
        <v>12350</v>
      </c>
      <c r="J617" s="281">
        <f>IFERROR(__xludf.DUMMYFUNCTION("""COMPUTED_VALUE"""),749778.59)</f>
        <v>749778.59</v>
      </c>
      <c r="K617" s="282"/>
      <c r="L617" s="265"/>
      <c r="M617" s="266"/>
      <c r="O617" s="124" t="str">
        <f>IFERROR(__xludf.DUMMYFUNCTION("""COMPUTED_VALUE"""),"Sandeep Dadheech")</f>
        <v>Sandeep Dadheech</v>
      </c>
      <c r="P617" s="124" t="str">
        <f>IFERROR(__xludf.DUMMYFUNCTION("""COMPUTED_VALUE"""),"North East")</f>
        <v>North East</v>
      </c>
      <c r="Q617" s="124" t="str">
        <f>IFERROR(__xludf.DUMMYFUNCTION("""COMPUTED_VALUE"""),"Active")</f>
        <v>Active</v>
      </c>
    </row>
    <row r="618" hidden="1">
      <c r="A618" s="75" t="str">
        <f>IFERROR(__xludf.DUMMYFUNCTION("""COMPUTED_VALUE"""),"Sudip Guha Roy")</f>
        <v>Sudip Guha Roy</v>
      </c>
      <c r="B618" s="280">
        <f>IFERROR(__xludf.DUMMYFUNCTION("""COMPUTED_VALUE"""),3.2017275880000003E7)</f>
        <v>32017275.88</v>
      </c>
      <c r="C618" s="280">
        <f>IFERROR(__xludf.DUMMYFUNCTION("""COMPUTED_VALUE"""),1.381702513E7)</f>
        <v>13817025.13</v>
      </c>
      <c r="D618" s="280">
        <f>IFERROR(__xludf.DUMMYFUNCTION("""COMPUTED_VALUE"""),5319802.95)</f>
        <v>5319802.95</v>
      </c>
      <c r="E618" s="281">
        <f>IFERROR(__xludf.DUMMYFUNCTION("""COMPUTED_VALUE"""),9234049.55)</f>
        <v>9234049.55</v>
      </c>
      <c r="F618" s="281">
        <f>IFERROR(__xludf.DUMMYFUNCTION("""COMPUTED_VALUE"""),190355.0)</f>
        <v>190355</v>
      </c>
      <c r="G618" s="281">
        <f>IFERROR(__xludf.DUMMYFUNCTION("""COMPUTED_VALUE"""),0.0)</f>
        <v>0</v>
      </c>
      <c r="H618" s="281">
        <f>IFERROR(__xludf.DUMMYFUNCTION("""COMPUTED_VALUE"""),460801.0)</f>
        <v>460801</v>
      </c>
      <c r="I618" s="281">
        <f>IFERROR(__xludf.DUMMYFUNCTION("""COMPUTED_VALUE"""),29909.0)</f>
        <v>29909</v>
      </c>
      <c r="J618" s="281">
        <f>IFERROR(__xludf.DUMMYFUNCTION("""COMPUTED_VALUE"""),2965333.25)</f>
        <v>2965333.25</v>
      </c>
      <c r="K618" s="282"/>
      <c r="L618" s="265"/>
      <c r="M618" s="266"/>
      <c r="O618" s="124" t="str">
        <f>IFERROR(__xludf.DUMMYFUNCTION("""COMPUTED_VALUE"""),"Sandeep Dadheech")</f>
        <v>Sandeep Dadheech</v>
      </c>
      <c r="P618" s="124" t="str">
        <f>IFERROR(__xludf.DUMMYFUNCTION("""COMPUTED_VALUE"""),"Telangana")</f>
        <v>Telangana</v>
      </c>
      <c r="Q618" s="124" t="str">
        <f>IFERROR(__xludf.DUMMYFUNCTION("""COMPUTED_VALUE"""),"LEFT")</f>
        <v>LEFT</v>
      </c>
    </row>
    <row r="619" hidden="1">
      <c r="A619" s="75" t="str">
        <f>IFERROR(__xludf.DUMMYFUNCTION("""COMPUTED_VALUE"""),"Subhajit Koley")</f>
        <v>Subhajit Koley</v>
      </c>
      <c r="B619" s="280">
        <f>IFERROR(__xludf.DUMMYFUNCTION("""COMPUTED_VALUE"""),4.6129853370000005E7)</f>
        <v>46129853.37</v>
      </c>
      <c r="C619" s="280">
        <f>IFERROR(__xludf.DUMMYFUNCTION("""COMPUTED_VALUE"""),8528916.100000001)</f>
        <v>8528916.1</v>
      </c>
      <c r="D619" s="280">
        <f>IFERROR(__xludf.DUMMYFUNCTION("""COMPUTED_VALUE"""),1.87316455E7)</f>
        <v>18731645.5</v>
      </c>
      <c r="E619" s="281">
        <f>IFERROR(__xludf.DUMMYFUNCTION("""COMPUTED_VALUE"""),1.163633967E7)</f>
        <v>11636339.67</v>
      </c>
      <c r="F619" s="281">
        <f>IFERROR(__xludf.DUMMYFUNCTION("""COMPUTED_VALUE"""),1476228.0)</f>
        <v>1476228</v>
      </c>
      <c r="G619" s="281">
        <f>IFERROR(__xludf.DUMMYFUNCTION("""COMPUTED_VALUE"""),0.0)</f>
        <v>0</v>
      </c>
      <c r="H619" s="281">
        <f>IFERROR(__xludf.DUMMYFUNCTION("""COMPUTED_VALUE"""),3488934.1)</f>
        <v>3488934.1</v>
      </c>
      <c r="I619" s="281">
        <f>IFERROR(__xludf.DUMMYFUNCTION("""COMPUTED_VALUE"""),0.0)</f>
        <v>0</v>
      </c>
      <c r="J619" s="281">
        <f>IFERROR(__xludf.DUMMYFUNCTION("""COMPUTED_VALUE"""),2267790.0)</f>
        <v>2267790</v>
      </c>
      <c r="K619" s="282"/>
      <c r="L619" s="265"/>
      <c r="M619" s="266"/>
      <c r="O619" s="124" t="str">
        <f>IFERROR(__xludf.DUMMYFUNCTION("""COMPUTED_VALUE"""),"Sandeep Dadheech")</f>
        <v>Sandeep Dadheech</v>
      </c>
      <c r="P619" s="124" t="str">
        <f>IFERROR(__xludf.DUMMYFUNCTION("""COMPUTED_VALUE"""),"Jharkhand")</f>
        <v>Jharkhand</v>
      </c>
      <c r="Q619" s="124" t="str">
        <f>IFERROR(__xludf.DUMMYFUNCTION("""COMPUTED_VALUE"""),"Active")</f>
        <v>Active</v>
      </c>
    </row>
    <row r="620" hidden="1">
      <c r="A620" s="75" t="str">
        <f>IFERROR(__xludf.DUMMYFUNCTION("""COMPUTED_VALUE"""),"Gonesh Dey")</f>
        <v>Gonesh Dey</v>
      </c>
      <c r="B620" s="280">
        <f>IFERROR(__xludf.DUMMYFUNCTION("""COMPUTED_VALUE"""),1.4450866649999999E7)</f>
        <v>14450866.65</v>
      </c>
      <c r="C620" s="280">
        <f>IFERROR(__xludf.DUMMYFUNCTION("""COMPUTED_VALUE"""),6450490.68)</f>
        <v>6450490.68</v>
      </c>
      <c r="D620" s="280">
        <f>IFERROR(__xludf.DUMMYFUNCTION("""COMPUTED_VALUE"""),552545.8400000001)</f>
        <v>552545.84</v>
      </c>
      <c r="E620" s="281">
        <f>IFERROR(__xludf.DUMMYFUNCTION("""COMPUTED_VALUE"""),4911353.13)</f>
        <v>4911353.13</v>
      </c>
      <c r="F620" s="281">
        <f>IFERROR(__xludf.DUMMYFUNCTION("""COMPUTED_VALUE"""),112584.0)</f>
        <v>112584</v>
      </c>
      <c r="G620" s="281">
        <f>IFERROR(__xludf.DUMMYFUNCTION("""COMPUTED_VALUE"""),0.0)</f>
        <v>0</v>
      </c>
      <c r="H620" s="281">
        <f>IFERROR(__xludf.DUMMYFUNCTION("""COMPUTED_VALUE"""),672628.0)</f>
        <v>672628</v>
      </c>
      <c r="I620" s="281">
        <f>IFERROR(__xludf.DUMMYFUNCTION("""COMPUTED_VALUE"""),0.0)</f>
        <v>0</v>
      </c>
      <c r="J620" s="281">
        <f>IFERROR(__xludf.DUMMYFUNCTION("""COMPUTED_VALUE"""),1751265.0)</f>
        <v>1751265</v>
      </c>
      <c r="K620" s="282"/>
      <c r="L620" s="265"/>
      <c r="M620" s="266"/>
      <c r="O620" s="124" t="str">
        <f>IFERROR(__xludf.DUMMYFUNCTION("""COMPUTED_VALUE"""),"Sandeep Dadheech")</f>
        <v>Sandeep Dadheech</v>
      </c>
      <c r="P620" s="124" t="str">
        <f>IFERROR(__xludf.DUMMYFUNCTION("""COMPUTED_VALUE"""),"Tamil Nadu")</f>
        <v>Tamil Nadu</v>
      </c>
      <c r="Q620" s="124" t="str">
        <f>IFERROR(__xludf.DUMMYFUNCTION("""COMPUTED_VALUE"""),"LEFT")</f>
        <v>LEFT</v>
      </c>
    </row>
    <row r="621" hidden="1">
      <c r="A621" s="75" t="str">
        <f>IFERROR(__xludf.DUMMYFUNCTION("""COMPUTED_VALUE"""),"Roni Gupta")</f>
        <v>Roni Gupta</v>
      </c>
      <c r="B621" s="280">
        <f>IFERROR(__xludf.DUMMYFUNCTION("""COMPUTED_VALUE"""),1.5161492780000001E7)</f>
        <v>15161492.78</v>
      </c>
      <c r="C621" s="280">
        <f>IFERROR(__xludf.DUMMYFUNCTION("""COMPUTED_VALUE"""),2720397.88)</f>
        <v>2720397.88</v>
      </c>
      <c r="D621" s="280">
        <f>IFERROR(__xludf.DUMMYFUNCTION("""COMPUTED_VALUE"""),1552811.3599999999)</f>
        <v>1552811.36</v>
      </c>
      <c r="E621" s="281">
        <f>IFERROR(__xludf.DUMMYFUNCTION("""COMPUTED_VALUE"""),9376153.81)</f>
        <v>9376153.81</v>
      </c>
      <c r="F621" s="281">
        <f>IFERROR(__xludf.DUMMYFUNCTION("""COMPUTED_VALUE"""),30158.8)</f>
        <v>30158.8</v>
      </c>
      <c r="G621" s="281">
        <f>IFERROR(__xludf.DUMMYFUNCTION("""COMPUTED_VALUE"""),0.0)</f>
        <v>0</v>
      </c>
      <c r="H621" s="281">
        <f>IFERROR(__xludf.DUMMYFUNCTION("""COMPUTED_VALUE"""),587941.68)</f>
        <v>587941.68</v>
      </c>
      <c r="I621" s="281">
        <f>IFERROR(__xludf.DUMMYFUNCTION("""COMPUTED_VALUE"""),0.0)</f>
        <v>0</v>
      </c>
      <c r="J621" s="281">
        <f>IFERROR(__xludf.DUMMYFUNCTION("""COMPUTED_VALUE"""),894029.25)</f>
        <v>894029.25</v>
      </c>
      <c r="K621" s="282"/>
      <c r="L621" s="265"/>
      <c r="M621" s="266"/>
      <c r="O621" s="124" t="str">
        <f>IFERROR(__xludf.DUMMYFUNCTION("""COMPUTED_VALUE"""),"Sandeep Dadheech")</f>
        <v>Sandeep Dadheech</v>
      </c>
      <c r="P621" s="124" t="str">
        <f>IFERROR(__xludf.DUMMYFUNCTION("""COMPUTED_VALUE"""),"West Bengal")</f>
        <v>West Bengal</v>
      </c>
      <c r="Q621" s="124" t="str">
        <f>IFERROR(__xludf.DUMMYFUNCTION("""COMPUTED_VALUE"""),"LEFT")</f>
        <v>LEFT</v>
      </c>
    </row>
    <row r="622">
      <c r="A622" s="75" t="str">
        <f>IFERROR(__xludf.DUMMYFUNCTION("""COMPUTED_VALUE"""),"SUMANTA SINGHA")</f>
        <v>SUMANTA SINGHA</v>
      </c>
      <c r="B622" s="280">
        <f>IFERROR(__xludf.DUMMYFUNCTION("""COMPUTED_VALUE"""),1.4058907729999999E7)</f>
        <v>14058907.73</v>
      </c>
      <c r="C622" s="280">
        <f>IFERROR(__xludf.DUMMYFUNCTION("""COMPUTED_VALUE"""),3391685.23)</f>
        <v>3391685.23</v>
      </c>
      <c r="D622" s="280">
        <f>IFERROR(__xludf.DUMMYFUNCTION("""COMPUTED_VALUE"""),1514091.1)</f>
        <v>1514091.1</v>
      </c>
      <c r="E622" s="281">
        <f>IFERROR(__xludf.DUMMYFUNCTION("""COMPUTED_VALUE"""),7468765.8)</f>
        <v>7468765.8</v>
      </c>
      <c r="F622" s="281">
        <f>IFERROR(__xludf.DUMMYFUNCTION("""COMPUTED_VALUE"""),305635.6)</f>
        <v>305635.6</v>
      </c>
      <c r="G622" s="281">
        <f>IFERROR(__xludf.DUMMYFUNCTION("""COMPUTED_VALUE"""),0.0)</f>
        <v>0</v>
      </c>
      <c r="H622" s="281">
        <f>IFERROR(__xludf.DUMMYFUNCTION("""COMPUTED_VALUE"""),0.0)</f>
        <v>0</v>
      </c>
      <c r="I622" s="281">
        <f>IFERROR(__xludf.DUMMYFUNCTION("""COMPUTED_VALUE"""),0.0)</f>
        <v>0</v>
      </c>
      <c r="J622" s="281">
        <f>IFERROR(__xludf.DUMMYFUNCTION("""COMPUTED_VALUE"""),1378730.0)</f>
        <v>1378730</v>
      </c>
      <c r="K622" s="282"/>
      <c r="L622" s="265"/>
      <c r="M622" s="266"/>
      <c r="O622" s="124" t="str">
        <f>IFERROR(__xludf.DUMMYFUNCTION("""COMPUTED_VALUE"""),"Sandeep Dadheech")</f>
        <v>Sandeep Dadheech</v>
      </c>
      <c r="P622" s="124" t="str">
        <f>IFERROR(__xludf.DUMMYFUNCTION("""COMPUTED_VALUE"""),"Bihar")</f>
        <v>Bihar</v>
      </c>
      <c r="Q622" s="124" t="str">
        <f>IFERROR(__xludf.DUMMYFUNCTION("""COMPUTED_VALUE"""),"LEFT")</f>
        <v>LEFT</v>
      </c>
    </row>
    <row r="623">
      <c r="A623" s="75" t="str">
        <f>IFERROR(__xludf.DUMMYFUNCTION("""COMPUTED_VALUE"""),"Rajesh Chakraborty")</f>
        <v>Rajesh Chakraborty</v>
      </c>
      <c r="B623" s="280">
        <f>IFERROR(__xludf.DUMMYFUNCTION("""COMPUTED_VALUE"""),1.766112089E7)</f>
        <v>17661120.89</v>
      </c>
      <c r="C623" s="280">
        <f>IFERROR(__xludf.DUMMYFUNCTION("""COMPUTED_VALUE"""),8632962.3)</f>
        <v>8632962.3</v>
      </c>
      <c r="D623" s="280">
        <f>IFERROR(__xludf.DUMMYFUNCTION("""COMPUTED_VALUE"""),1699061.1)</f>
        <v>1699061.1</v>
      </c>
      <c r="E623" s="281">
        <f>IFERROR(__xludf.DUMMYFUNCTION("""COMPUTED_VALUE"""),5276751.24)</f>
        <v>5276751.24</v>
      </c>
      <c r="F623" s="281">
        <f>IFERROR(__xludf.DUMMYFUNCTION("""COMPUTED_VALUE"""),8151.0)</f>
        <v>8151</v>
      </c>
      <c r="G623" s="281">
        <f>IFERROR(__xludf.DUMMYFUNCTION("""COMPUTED_VALUE"""),1380.0)</f>
        <v>1380</v>
      </c>
      <c r="H623" s="281">
        <f>IFERROR(__xludf.DUMMYFUNCTION("""COMPUTED_VALUE"""),737871.5)</f>
        <v>737871.5</v>
      </c>
      <c r="I623" s="281">
        <f>IFERROR(__xludf.DUMMYFUNCTION("""COMPUTED_VALUE"""),0.0)</f>
        <v>0</v>
      </c>
      <c r="J623" s="281">
        <f>IFERROR(__xludf.DUMMYFUNCTION("""COMPUTED_VALUE"""),1304943.75)</f>
        <v>1304943.75</v>
      </c>
      <c r="K623" s="282"/>
      <c r="L623" s="265"/>
      <c r="M623" s="266"/>
      <c r="O623" s="124" t="str">
        <f>IFERROR(__xludf.DUMMYFUNCTION("""COMPUTED_VALUE"""),"Sandeep Dadheech")</f>
        <v>Sandeep Dadheech</v>
      </c>
      <c r="P623" s="124" t="str">
        <f>IFERROR(__xludf.DUMMYFUNCTION("""COMPUTED_VALUE"""),"Karnataka")</f>
        <v>Karnataka</v>
      </c>
      <c r="Q623" s="124" t="str">
        <f>IFERROR(__xludf.DUMMYFUNCTION("""COMPUTED_VALUE"""),"LEFT")</f>
        <v>LEFT</v>
      </c>
    </row>
    <row r="624">
      <c r="A624" s="75" t="str">
        <f>IFERROR(__xludf.DUMMYFUNCTION("""COMPUTED_VALUE"""),"Sujit Das")</f>
        <v>Sujit Das</v>
      </c>
      <c r="B624" s="280">
        <f>IFERROR(__xludf.DUMMYFUNCTION("""COMPUTED_VALUE"""),9637244.0)</f>
        <v>9637244</v>
      </c>
      <c r="C624" s="280">
        <f>IFERROR(__xludf.DUMMYFUNCTION("""COMPUTED_VALUE"""),4758040.79)</f>
        <v>4758040.79</v>
      </c>
      <c r="D624" s="280">
        <f>IFERROR(__xludf.DUMMYFUNCTION("""COMPUTED_VALUE"""),1589866.72)</f>
        <v>1589866.72</v>
      </c>
      <c r="E624" s="281">
        <f>IFERROR(__xludf.DUMMYFUNCTION("""COMPUTED_VALUE"""),2337687.34)</f>
        <v>2337687.34</v>
      </c>
      <c r="F624" s="281">
        <f>IFERROR(__xludf.DUMMYFUNCTION("""COMPUTED_VALUE"""),65327.6)</f>
        <v>65327.6</v>
      </c>
      <c r="G624" s="281">
        <f>IFERROR(__xludf.DUMMYFUNCTION("""COMPUTED_VALUE"""),0.0)</f>
        <v>0</v>
      </c>
      <c r="H624" s="281">
        <f>IFERROR(__xludf.DUMMYFUNCTION("""COMPUTED_VALUE"""),541897.8)</f>
        <v>541897.8</v>
      </c>
      <c r="I624" s="281">
        <f>IFERROR(__xludf.DUMMYFUNCTION("""COMPUTED_VALUE"""),0.0)</f>
        <v>0</v>
      </c>
      <c r="J624" s="281">
        <f>IFERROR(__xludf.DUMMYFUNCTION("""COMPUTED_VALUE"""),344423.75)</f>
        <v>344423.75</v>
      </c>
      <c r="K624" s="282"/>
      <c r="L624" s="265"/>
      <c r="M624" s="266"/>
      <c r="O624" s="124" t="str">
        <f>IFERROR(__xludf.DUMMYFUNCTION("""COMPUTED_VALUE"""),"Sandeep Dadheech")</f>
        <v>Sandeep Dadheech</v>
      </c>
      <c r="P624" s="124" t="str">
        <f>IFERROR(__xludf.DUMMYFUNCTION("""COMPUTED_VALUE"""),"Karnataka")</f>
        <v>Karnataka</v>
      </c>
      <c r="Q624" s="124" t="str">
        <f>IFERROR(__xludf.DUMMYFUNCTION("""COMPUTED_VALUE"""),"Active")</f>
        <v>Active</v>
      </c>
    </row>
    <row r="625">
      <c r="A625" s="75" t="str">
        <f>IFERROR(__xludf.DUMMYFUNCTION("""COMPUTED_VALUE"""),"ARUPANANDA MANDAL")</f>
        <v>ARUPANANDA MANDAL</v>
      </c>
      <c r="B625" s="280">
        <f>IFERROR(__xludf.DUMMYFUNCTION("""COMPUTED_VALUE"""),1.628552482E7)</f>
        <v>16285524.82</v>
      </c>
      <c r="C625" s="280">
        <f>IFERROR(__xludf.DUMMYFUNCTION("""COMPUTED_VALUE"""),0.0)</f>
        <v>0</v>
      </c>
      <c r="D625" s="280">
        <f>IFERROR(__xludf.DUMMYFUNCTION("""COMPUTED_VALUE"""),5080678.9)</f>
        <v>5080678.9</v>
      </c>
      <c r="E625" s="281">
        <f>IFERROR(__xludf.DUMMYFUNCTION("""COMPUTED_VALUE"""),1.107894592E7)</f>
        <v>11078945.92</v>
      </c>
      <c r="F625" s="281">
        <f>IFERROR(__xludf.DUMMYFUNCTION("""COMPUTED_VALUE"""),125900.0)</f>
        <v>125900</v>
      </c>
      <c r="G625" s="281">
        <f>IFERROR(__xludf.DUMMYFUNCTION("""COMPUTED_VALUE"""),0.0)</f>
        <v>0</v>
      </c>
      <c r="H625" s="281">
        <f>IFERROR(__xludf.DUMMYFUNCTION("""COMPUTED_VALUE"""),0.0)</f>
        <v>0</v>
      </c>
      <c r="I625" s="281">
        <f>IFERROR(__xludf.DUMMYFUNCTION("""COMPUTED_VALUE"""),0.0)</f>
        <v>0</v>
      </c>
      <c r="J625" s="281">
        <f>IFERROR(__xludf.DUMMYFUNCTION("""COMPUTED_VALUE"""),0.0)</f>
        <v>0</v>
      </c>
      <c r="K625" s="282"/>
      <c r="L625" s="265"/>
      <c r="M625" s="266"/>
    </row>
    <row r="626">
      <c r="A626" s="75" t="str">
        <f>IFERROR(__xludf.DUMMYFUNCTION("""COMPUTED_VALUE"""),"Sourav Samanta")</f>
        <v>Sourav Samanta</v>
      </c>
      <c r="B626" s="280">
        <f>IFERROR(__xludf.DUMMYFUNCTION("""COMPUTED_VALUE"""),4.2261961E7)</f>
        <v>42261961</v>
      </c>
      <c r="C626" s="280">
        <f>IFERROR(__xludf.DUMMYFUNCTION("""COMPUTED_VALUE"""),1.305981959E7)</f>
        <v>13059819.59</v>
      </c>
      <c r="D626" s="280">
        <f>IFERROR(__xludf.DUMMYFUNCTION("""COMPUTED_VALUE"""),1.350206139E7)</f>
        <v>13502061.39</v>
      </c>
      <c r="E626" s="281">
        <f>IFERROR(__xludf.DUMMYFUNCTION("""COMPUTED_VALUE"""),1.091254377E7)</f>
        <v>10912543.77</v>
      </c>
      <c r="F626" s="281">
        <f>IFERROR(__xludf.DUMMYFUNCTION("""COMPUTED_VALUE"""),930508.7)</f>
        <v>930508.7</v>
      </c>
      <c r="G626" s="281">
        <f>IFERROR(__xludf.DUMMYFUNCTION("""COMPUTED_VALUE"""),0.0)</f>
        <v>0</v>
      </c>
      <c r="H626" s="281">
        <f>IFERROR(__xludf.DUMMYFUNCTION("""COMPUTED_VALUE"""),1736377.55)</f>
        <v>1736377.55</v>
      </c>
      <c r="I626" s="281">
        <f>IFERROR(__xludf.DUMMYFUNCTION("""COMPUTED_VALUE"""),0.0)</f>
        <v>0</v>
      </c>
      <c r="J626" s="281">
        <f>IFERROR(__xludf.DUMMYFUNCTION("""COMPUTED_VALUE"""),2120650.0)</f>
        <v>2120650</v>
      </c>
      <c r="K626" s="282"/>
      <c r="L626" s="265"/>
      <c r="M626" s="266"/>
    </row>
    <row r="627">
      <c r="A627" s="75" t="str">
        <f>IFERROR(__xludf.DUMMYFUNCTION("""COMPUTED_VALUE"""),"Biswajit Roy")</f>
        <v>Biswajit Roy</v>
      </c>
      <c r="B627" s="280">
        <f>IFERROR(__xludf.DUMMYFUNCTION("""COMPUTED_VALUE"""),1.595595114E7)</f>
        <v>15955951.14</v>
      </c>
      <c r="C627" s="280">
        <f>IFERROR(__xludf.DUMMYFUNCTION("""COMPUTED_VALUE"""),8624268.31)</f>
        <v>8624268.31</v>
      </c>
      <c r="D627" s="280">
        <f>IFERROR(__xludf.DUMMYFUNCTION("""COMPUTED_VALUE"""),1888029.68)</f>
        <v>1888029.68</v>
      </c>
      <c r="E627" s="281">
        <f>IFERROR(__xludf.DUMMYFUNCTION("""COMPUTED_VALUE"""),3834700.05)</f>
        <v>3834700.05</v>
      </c>
      <c r="F627" s="281">
        <f>IFERROR(__xludf.DUMMYFUNCTION("""COMPUTED_VALUE"""),56040.8)</f>
        <v>56040.8</v>
      </c>
      <c r="G627" s="281">
        <f>IFERROR(__xludf.DUMMYFUNCTION("""COMPUTED_VALUE"""),0.0)</f>
        <v>0</v>
      </c>
      <c r="H627" s="281">
        <f>IFERROR(__xludf.DUMMYFUNCTION("""COMPUTED_VALUE"""),734687.3)</f>
        <v>734687.3</v>
      </c>
      <c r="I627" s="281">
        <f>IFERROR(__xludf.DUMMYFUNCTION("""COMPUTED_VALUE"""),0.0)</f>
        <v>0</v>
      </c>
      <c r="J627" s="281">
        <f>IFERROR(__xludf.DUMMYFUNCTION("""COMPUTED_VALUE"""),818225.0)</f>
        <v>818225</v>
      </c>
      <c r="K627" s="282"/>
      <c r="L627" s="265"/>
      <c r="M627" s="266"/>
    </row>
    <row r="628">
      <c r="A628" s="75" t="str">
        <f>IFERROR(__xludf.DUMMYFUNCTION("""COMPUTED_VALUE"""),"DIBYENDU SAHA")</f>
        <v>DIBYENDU SAHA</v>
      </c>
      <c r="B628" s="280">
        <f>IFERROR(__xludf.DUMMYFUNCTION("""COMPUTED_VALUE"""),0.0)</f>
        <v>0</v>
      </c>
      <c r="C628" s="280">
        <f>IFERROR(__xludf.DUMMYFUNCTION("""COMPUTED_VALUE"""),0.0)</f>
        <v>0</v>
      </c>
      <c r="D628" s="280">
        <f>IFERROR(__xludf.DUMMYFUNCTION("""COMPUTED_VALUE"""),0.0)</f>
        <v>0</v>
      </c>
      <c r="E628" s="281">
        <f>IFERROR(__xludf.DUMMYFUNCTION("""COMPUTED_VALUE"""),0.0)</f>
        <v>0</v>
      </c>
      <c r="F628" s="281">
        <f>IFERROR(__xludf.DUMMYFUNCTION("""COMPUTED_VALUE"""),0.0)</f>
        <v>0</v>
      </c>
      <c r="G628" s="281">
        <f>IFERROR(__xludf.DUMMYFUNCTION("""COMPUTED_VALUE"""),0.0)</f>
        <v>0</v>
      </c>
      <c r="H628" s="281">
        <f>IFERROR(__xludf.DUMMYFUNCTION("""COMPUTED_VALUE"""),0.0)</f>
        <v>0</v>
      </c>
      <c r="I628" s="281">
        <f>IFERROR(__xludf.DUMMYFUNCTION("""COMPUTED_VALUE"""),0.0)</f>
        <v>0</v>
      </c>
      <c r="J628" s="281">
        <f>IFERROR(__xludf.DUMMYFUNCTION("""COMPUTED_VALUE"""),0.0)</f>
        <v>0</v>
      </c>
      <c r="K628" s="282"/>
      <c r="L628" s="265"/>
      <c r="M628" s="266"/>
    </row>
    <row r="629">
      <c r="A629" s="75" t="str">
        <f>IFERROR(__xludf.DUMMYFUNCTION("""COMPUTED_VALUE"""),"Ashok Das")</f>
        <v>Ashok Das</v>
      </c>
      <c r="B629" s="280">
        <f>IFERROR(__xludf.DUMMYFUNCTION("""COMPUTED_VALUE"""),0.0)</f>
        <v>0</v>
      </c>
      <c r="C629" s="280">
        <f>IFERROR(__xludf.DUMMYFUNCTION("""COMPUTED_VALUE"""),0.0)</f>
        <v>0</v>
      </c>
      <c r="D629" s="280">
        <f>IFERROR(__xludf.DUMMYFUNCTION("""COMPUTED_VALUE"""),0.0)</f>
        <v>0</v>
      </c>
      <c r="E629" s="281">
        <f>IFERROR(__xludf.DUMMYFUNCTION("""COMPUTED_VALUE"""),0.0)</f>
        <v>0</v>
      </c>
      <c r="F629" s="281">
        <f>IFERROR(__xludf.DUMMYFUNCTION("""COMPUTED_VALUE"""),0.0)</f>
        <v>0</v>
      </c>
      <c r="G629" s="281">
        <f>IFERROR(__xludf.DUMMYFUNCTION("""COMPUTED_VALUE"""),0.0)</f>
        <v>0</v>
      </c>
      <c r="H629" s="281">
        <f>IFERROR(__xludf.DUMMYFUNCTION("""COMPUTED_VALUE"""),0.0)</f>
        <v>0</v>
      </c>
      <c r="I629" s="281">
        <f>IFERROR(__xludf.DUMMYFUNCTION("""COMPUTED_VALUE"""),0.0)</f>
        <v>0</v>
      </c>
      <c r="J629" s="281">
        <f>IFERROR(__xludf.DUMMYFUNCTION("""COMPUTED_VALUE"""),0.0)</f>
        <v>0</v>
      </c>
      <c r="K629" s="282"/>
      <c r="L629" s="265"/>
      <c r="M629" s="266"/>
    </row>
    <row r="630">
      <c r="A630" s="75" t="str">
        <f>IFERROR(__xludf.DUMMYFUNCTION("""COMPUTED_VALUE"""),"ATANU PAUL")</f>
        <v>ATANU PAUL</v>
      </c>
      <c r="B630" s="280">
        <f>IFERROR(__xludf.DUMMYFUNCTION("""COMPUTED_VALUE"""),1.5418357169999998E7)</f>
        <v>15418357.17</v>
      </c>
      <c r="C630" s="280">
        <f>IFERROR(__xludf.DUMMYFUNCTION("""COMPUTED_VALUE"""),2964922.64)</f>
        <v>2964922.64</v>
      </c>
      <c r="D630" s="280">
        <f>IFERROR(__xludf.DUMMYFUNCTION("""COMPUTED_VALUE"""),4410834.149999999)</f>
        <v>4410834.15</v>
      </c>
      <c r="E630" s="281">
        <f>IFERROR(__xludf.DUMMYFUNCTION("""COMPUTED_VALUE"""),4452485.29)</f>
        <v>4452485.29</v>
      </c>
      <c r="F630" s="281">
        <f>IFERROR(__xludf.DUMMYFUNCTION("""COMPUTED_VALUE"""),796092.59)</f>
        <v>796092.59</v>
      </c>
      <c r="G630" s="281">
        <f>IFERROR(__xludf.DUMMYFUNCTION("""COMPUTED_VALUE"""),0.0)</f>
        <v>0</v>
      </c>
      <c r="H630" s="281">
        <f>IFERROR(__xludf.DUMMYFUNCTION("""COMPUTED_VALUE"""),2231022.5)</f>
        <v>2231022.5</v>
      </c>
      <c r="I630" s="281">
        <f>IFERROR(__xludf.DUMMYFUNCTION("""COMPUTED_VALUE"""),0.0)</f>
        <v>0</v>
      </c>
      <c r="J630" s="281">
        <f>IFERROR(__xludf.DUMMYFUNCTION("""COMPUTED_VALUE"""),563000.0)</f>
        <v>563000</v>
      </c>
      <c r="K630" s="282"/>
      <c r="L630" s="265"/>
      <c r="M630" s="266"/>
    </row>
    <row r="631">
      <c r="A631" s="75" t="str">
        <f>IFERROR(__xludf.DUMMYFUNCTION("""COMPUTED_VALUE"""),"Sudip Sarkar")</f>
        <v>Sudip Sarkar</v>
      </c>
      <c r="B631" s="280">
        <f>IFERROR(__xludf.DUMMYFUNCTION("""COMPUTED_VALUE"""),1.800067384E7)</f>
        <v>18000673.84</v>
      </c>
      <c r="C631" s="280">
        <f>IFERROR(__xludf.DUMMYFUNCTION("""COMPUTED_VALUE"""),7575369.290000001)</f>
        <v>7575369.29</v>
      </c>
      <c r="D631" s="280">
        <f>IFERROR(__xludf.DUMMYFUNCTION("""COMPUTED_VALUE"""),2914225.48)</f>
        <v>2914225.48</v>
      </c>
      <c r="E631" s="281">
        <f>IFERROR(__xludf.DUMMYFUNCTION("""COMPUTED_VALUE"""),5092931.199999999)</f>
        <v>5092931.2</v>
      </c>
      <c r="F631" s="281">
        <f>IFERROR(__xludf.DUMMYFUNCTION("""COMPUTED_VALUE"""),47559.2)</f>
        <v>47559.2</v>
      </c>
      <c r="G631" s="281">
        <f>IFERROR(__xludf.DUMMYFUNCTION("""COMPUTED_VALUE"""),12730.64)</f>
        <v>12730.64</v>
      </c>
      <c r="H631" s="281">
        <f>IFERROR(__xludf.DUMMYFUNCTION("""COMPUTED_VALUE"""),905560.03)</f>
        <v>905560.03</v>
      </c>
      <c r="I631" s="281">
        <f>IFERROR(__xludf.DUMMYFUNCTION("""COMPUTED_VALUE"""),0.0)</f>
        <v>0</v>
      </c>
      <c r="J631" s="281">
        <f>IFERROR(__xludf.DUMMYFUNCTION("""COMPUTED_VALUE"""),1452298.0)</f>
        <v>1452298</v>
      </c>
      <c r="K631" s="282"/>
      <c r="L631" s="265"/>
      <c r="M631" s="266"/>
    </row>
    <row r="632">
      <c r="A632" s="75" t="str">
        <f>IFERROR(__xludf.DUMMYFUNCTION("""COMPUTED_VALUE"""),"RUDRAPRAKASH JANA")</f>
        <v>RUDRAPRAKASH JANA</v>
      </c>
      <c r="B632" s="280">
        <f>IFERROR(__xludf.DUMMYFUNCTION("""COMPUTED_VALUE"""),3.972471631E7)</f>
        <v>39724716.31</v>
      </c>
      <c r="C632" s="280">
        <f>IFERROR(__xludf.DUMMYFUNCTION("""COMPUTED_VALUE"""),1.3665725350000001E7)</f>
        <v>13665725.35</v>
      </c>
      <c r="D632" s="280">
        <f>IFERROR(__xludf.DUMMYFUNCTION("""COMPUTED_VALUE"""),6547296.15)</f>
        <v>6547296.15</v>
      </c>
      <c r="E632" s="281">
        <f>IFERROR(__xludf.DUMMYFUNCTION("""COMPUTED_VALUE"""),1.355291911E7)</f>
        <v>13552919.11</v>
      </c>
      <c r="F632" s="281">
        <f>IFERROR(__xludf.DUMMYFUNCTION("""COMPUTED_VALUE"""),833421.1)</f>
        <v>833421.1</v>
      </c>
      <c r="G632" s="281">
        <f>IFERROR(__xludf.DUMMYFUNCTION("""COMPUTED_VALUE"""),0.0)</f>
        <v>0</v>
      </c>
      <c r="H632" s="281">
        <f>IFERROR(__xludf.DUMMYFUNCTION("""COMPUTED_VALUE"""),2130594.2)</f>
        <v>2130594.2</v>
      </c>
      <c r="I632" s="281">
        <f>IFERROR(__xludf.DUMMYFUNCTION("""COMPUTED_VALUE"""),241264.4)</f>
        <v>241264.4</v>
      </c>
      <c r="J632" s="281">
        <f>IFERROR(__xludf.DUMMYFUNCTION("""COMPUTED_VALUE"""),2753496.0)</f>
        <v>2753496</v>
      </c>
      <c r="K632" s="282"/>
      <c r="L632" s="265"/>
      <c r="M632" s="266"/>
    </row>
    <row r="633">
      <c r="A633" s="75" t="str">
        <f>IFERROR(__xludf.DUMMYFUNCTION("""COMPUTED_VALUE"""),"Sushanta Barman")</f>
        <v>Sushanta Barman</v>
      </c>
      <c r="B633" s="280">
        <f>IFERROR(__xludf.DUMMYFUNCTION("""COMPUTED_VALUE"""),1.2918972280000001E7)</f>
        <v>12918972.28</v>
      </c>
      <c r="C633" s="280">
        <f>IFERROR(__xludf.DUMMYFUNCTION("""COMPUTED_VALUE"""),4502.4)</f>
        <v>4502.4</v>
      </c>
      <c r="D633" s="280">
        <f>IFERROR(__xludf.DUMMYFUNCTION("""COMPUTED_VALUE"""),1244687.6)</f>
        <v>1244687.6</v>
      </c>
      <c r="E633" s="281">
        <f>IFERROR(__xludf.DUMMYFUNCTION("""COMPUTED_VALUE"""),1.038920998E7)</f>
        <v>10389209.98</v>
      </c>
      <c r="F633" s="281">
        <f>IFERROR(__xludf.DUMMYFUNCTION("""COMPUTED_VALUE"""),672528.3)</f>
        <v>672528.3</v>
      </c>
      <c r="G633" s="281">
        <f>IFERROR(__xludf.DUMMYFUNCTION("""COMPUTED_VALUE"""),0.0)</f>
        <v>0</v>
      </c>
      <c r="H633" s="281">
        <f>IFERROR(__xludf.DUMMYFUNCTION("""COMPUTED_VALUE"""),608044.0)</f>
        <v>608044</v>
      </c>
      <c r="I633" s="281">
        <f>IFERROR(__xludf.DUMMYFUNCTION("""COMPUTED_VALUE"""),0.0)</f>
        <v>0</v>
      </c>
      <c r="J633" s="281">
        <f>IFERROR(__xludf.DUMMYFUNCTION("""COMPUTED_VALUE"""),0.0)</f>
        <v>0</v>
      </c>
      <c r="K633" s="282"/>
      <c r="L633" s="265"/>
      <c r="M633" s="266"/>
    </row>
    <row r="634">
      <c r="A634" s="75" t="str">
        <f>IFERROR(__xludf.DUMMYFUNCTION("""COMPUTED_VALUE"""),"Susovan Singha")</f>
        <v>Susovan Singha</v>
      </c>
      <c r="B634" s="280">
        <f>IFERROR(__xludf.DUMMYFUNCTION("""COMPUTED_VALUE"""),2.7266099790000003E7)</f>
        <v>27266099.79</v>
      </c>
      <c r="C634" s="280">
        <f>IFERROR(__xludf.DUMMYFUNCTION("""COMPUTED_VALUE"""),6974043.2299999995)</f>
        <v>6974043.23</v>
      </c>
      <c r="D634" s="280">
        <f>IFERROR(__xludf.DUMMYFUNCTION("""COMPUTED_VALUE"""),5893591.890000001)</f>
        <v>5893591.89</v>
      </c>
      <c r="E634" s="281">
        <f>IFERROR(__xludf.DUMMYFUNCTION("""COMPUTED_VALUE"""),1.1106522120000001E7)</f>
        <v>11106522.12</v>
      </c>
      <c r="F634" s="281">
        <f>IFERROR(__xludf.DUMMYFUNCTION("""COMPUTED_VALUE"""),631030.0)</f>
        <v>631030</v>
      </c>
      <c r="G634" s="281">
        <f>IFERROR(__xludf.DUMMYFUNCTION("""COMPUTED_VALUE"""),0.0)</f>
        <v>0</v>
      </c>
      <c r="H634" s="281">
        <f>IFERROR(__xludf.DUMMYFUNCTION("""COMPUTED_VALUE"""),1501890.96)</f>
        <v>1501890.96</v>
      </c>
      <c r="I634" s="281">
        <f>IFERROR(__xludf.DUMMYFUNCTION("""COMPUTED_VALUE"""),5196.8)</f>
        <v>5196.8</v>
      </c>
      <c r="J634" s="281">
        <f>IFERROR(__xludf.DUMMYFUNCTION("""COMPUTED_VALUE"""),1153824.79)</f>
        <v>1153824.79</v>
      </c>
      <c r="K634" s="282"/>
      <c r="L634" s="265"/>
      <c r="M634" s="266"/>
    </row>
    <row r="635">
      <c r="A635" s="75" t="str">
        <f>IFERROR(__xludf.DUMMYFUNCTION("""COMPUTED_VALUE"""),"Indrajit Ghosh")</f>
        <v>Indrajit Ghosh</v>
      </c>
      <c r="B635" s="280">
        <f>IFERROR(__xludf.DUMMYFUNCTION("""COMPUTED_VALUE"""),4564361.2299999995)</f>
        <v>4564361.23</v>
      </c>
      <c r="C635" s="280">
        <f>IFERROR(__xludf.DUMMYFUNCTION("""COMPUTED_VALUE"""),3907570.55)</f>
        <v>3907570.55</v>
      </c>
      <c r="D635" s="280">
        <f>IFERROR(__xludf.DUMMYFUNCTION("""COMPUTED_VALUE"""),0.0)</f>
        <v>0</v>
      </c>
      <c r="E635" s="281">
        <f>IFERROR(__xludf.DUMMYFUNCTION("""COMPUTED_VALUE"""),379605.05)</f>
        <v>379605.05</v>
      </c>
      <c r="F635" s="281">
        <f>IFERROR(__xludf.DUMMYFUNCTION("""COMPUTED_VALUE"""),0.0)</f>
        <v>0</v>
      </c>
      <c r="G635" s="281">
        <f>IFERROR(__xludf.DUMMYFUNCTION("""COMPUTED_VALUE"""),0.0)</f>
        <v>0</v>
      </c>
      <c r="H635" s="281">
        <f>IFERROR(__xludf.DUMMYFUNCTION("""COMPUTED_VALUE"""),0.0)</f>
        <v>0</v>
      </c>
      <c r="I635" s="281">
        <f>IFERROR(__xludf.DUMMYFUNCTION("""COMPUTED_VALUE"""),0.0)</f>
        <v>0</v>
      </c>
      <c r="J635" s="281">
        <f>IFERROR(__xludf.DUMMYFUNCTION("""COMPUTED_VALUE"""),277185.63)</f>
        <v>277185.63</v>
      </c>
      <c r="K635" s="282"/>
      <c r="L635" s="265"/>
      <c r="M635" s="266"/>
    </row>
    <row r="636">
      <c r="A636" s="75" t="str">
        <f>IFERROR(__xludf.DUMMYFUNCTION("""COMPUTED_VALUE"""),"Shuvadip Ghosh")</f>
        <v>Shuvadip Ghosh</v>
      </c>
      <c r="B636" s="280">
        <f>IFERROR(__xludf.DUMMYFUNCTION("""COMPUTED_VALUE"""),1.4689717750000002E7)</f>
        <v>14689717.75</v>
      </c>
      <c r="C636" s="280">
        <f>IFERROR(__xludf.DUMMYFUNCTION("""COMPUTED_VALUE"""),7145013.72)</f>
        <v>7145013.72</v>
      </c>
      <c r="D636" s="280">
        <f>IFERROR(__xludf.DUMMYFUNCTION("""COMPUTED_VALUE"""),1824619.59)</f>
        <v>1824619.59</v>
      </c>
      <c r="E636" s="281">
        <f>IFERROR(__xludf.DUMMYFUNCTION("""COMPUTED_VALUE"""),2927890.85)</f>
        <v>2927890.85</v>
      </c>
      <c r="F636" s="281">
        <f>IFERROR(__xludf.DUMMYFUNCTION("""COMPUTED_VALUE"""),76124.22)</f>
        <v>76124.22</v>
      </c>
      <c r="G636" s="281">
        <f>IFERROR(__xludf.DUMMYFUNCTION("""COMPUTED_VALUE"""),0.0)</f>
        <v>0</v>
      </c>
      <c r="H636" s="281">
        <f>IFERROR(__xludf.DUMMYFUNCTION("""COMPUTED_VALUE"""),586484.35)</f>
        <v>586484.35</v>
      </c>
      <c r="I636" s="281">
        <f>IFERROR(__xludf.DUMMYFUNCTION("""COMPUTED_VALUE"""),29941.8)</f>
        <v>29941.8</v>
      </c>
      <c r="J636" s="281">
        <f>IFERROR(__xludf.DUMMYFUNCTION("""COMPUTED_VALUE"""),2099643.22)</f>
        <v>2099643.22</v>
      </c>
      <c r="K636" s="282"/>
      <c r="L636" s="265"/>
      <c r="M636" s="266"/>
    </row>
    <row r="637">
      <c r="A637" s="75" t="str">
        <f>IFERROR(__xludf.DUMMYFUNCTION("""COMPUTED_VALUE"""),"JAHIR ABBAS HALDER")</f>
        <v>JAHIR ABBAS HALDER</v>
      </c>
      <c r="B637" s="280">
        <f>IFERROR(__xludf.DUMMYFUNCTION("""COMPUTED_VALUE"""),1885263.77)</f>
        <v>1885263.77</v>
      </c>
      <c r="C637" s="280">
        <f>IFERROR(__xludf.DUMMYFUNCTION("""COMPUTED_VALUE"""),1586364.07)</f>
        <v>1586364.07</v>
      </c>
      <c r="D637" s="280">
        <f>IFERROR(__xludf.DUMMYFUNCTION("""COMPUTED_VALUE"""),25248.0)</f>
        <v>25248</v>
      </c>
      <c r="E637" s="281">
        <f>IFERROR(__xludf.DUMMYFUNCTION("""COMPUTED_VALUE"""),10714.2)</f>
        <v>10714.2</v>
      </c>
      <c r="F637" s="281">
        <f>IFERROR(__xludf.DUMMYFUNCTION("""COMPUTED_VALUE"""),0.0)</f>
        <v>0</v>
      </c>
      <c r="G637" s="281">
        <f>IFERROR(__xludf.DUMMYFUNCTION("""COMPUTED_VALUE"""),0.0)</f>
        <v>0</v>
      </c>
      <c r="H637" s="281">
        <f>IFERROR(__xludf.DUMMYFUNCTION("""COMPUTED_VALUE"""),0.0)</f>
        <v>0</v>
      </c>
      <c r="I637" s="281">
        <f>IFERROR(__xludf.DUMMYFUNCTION("""COMPUTED_VALUE"""),0.0)</f>
        <v>0</v>
      </c>
      <c r="J637" s="281">
        <f>IFERROR(__xludf.DUMMYFUNCTION("""COMPUTED_VALUE"""),262937.5)</f>
        <v>262937.5</v>
      </c>
      <c r="K637" s="282"/>
      <c r="L637" s="265"/>
      <c r="M637" s="266"/>
    </row>
    <row r="638">
      <c r="A638" s="75" t="str">
        <f>IFERROR(__xludf.DUMMYFUNCTION("""COMPUTED_VALUE"""),"Anirban Biswas")</f>
        <v>Anirban Biswas</v>
      </c>
      <c r="B638" s="280">
        <f>IFERROR(__xludf.DUMMYFUNCTION("""COMPUTED_VALUE"""),3270193.24)</f>
        <v>3270193.24</v>
      </c>
      <c r="C638" s="280">
        <f>IFERROR(__xludf.DUMMYFUNCTION("""COMPUTED_VALUE"""),0.0)</f>
        <v>0</v>
      </c>
      <c r="D638" s="280">
        <f>IFERROR(__xludf.DUMMYFUNCTION("""COMPUTED_VALUE"""),956444.8)</f>
        <v>956444.8</v>
      </c>
      <c r="E638" s="281">
        <f>IFERROR(__xludf.DUMMYFUNCTION("""COMPUTED_VALUE"""),2246087.94)</f>
        <v>2246087.94</v>
      </c>
      <c r="F638" s="281">
        <f>IFERROR(__xludf.DUMMYFUNCTION("""COMPUTED_VALUE"""),67660.5)</f>
        <v>67660.5</v>
      </c>
      <c r="G638" s="281">
        <f>IFERROR(__xludf.DUMMYFUNCTION("""COMPUTED_VALUE"""),0.0)</f>
        <v>0</v>
      </c>
      <c r="H638" s="281">
        <f>IFERROR(__xludf.DUMMYFUNCTION("""COMPUTED_VALUE"""),0.0)</f>
        <v>0</v>
      </c>
      <c r="I638" s="281">
        <f>IFERROR(__xludf.DUMMYFUNCTION("""COMPUTED_VALUE"""),0.0)</f>
        <v>0</v>
      </c>
      <c r="J638" s="281">
        <f>IFERROR(__xludf.DUMMYFUNCTION("""COMPUTED_VALUE"""),0.0)</f>
        <v>0</v>
      </c>
      <c r="K638" s="282"/>
      <c r="L638" s="265"/>
      <c r="M638" s="266"/>
    </row>
    <row r="639">
      <c r="A639" s="75" t="str">
        <f>IFERROR(__xludf.DUMMYFUNCTION("""COMPUTED_VALUE"""),"Aditya Dasgupta")</f>
        <v>Aditya Dasgupta</v>
      </c>
      <c r="B639" s="280">
        <f>IFERROR(__xludf.DUMMYFUNCTION("""COMPUTED_VALUE"""),0.0)</f>
        <v>0</v>
      </c>
      <c r="C639" s="280">
        <f>IFERROR(__xludf.DUMMYFUNCTION("""COMPUTED_VALUE"""),0.0)</f>
        <v>0</v>
      </c>
      <c r="D639" s="280">
        <f>IFERROR(__xludf.DUMMYFUNCTION("""COMPUTED_VALUE"""),0.0)</f>
        <v>0</v>
      </c>
      <c r="E639" s="281">
        <f>IFERROR(__xludf.DUMMYFUNCTION("""COMPUTED_VALUE"""),0.0)</f>
        <v>0</v>
      </c>
      <c r="F639" s="281">
        <f>IFERROR(__xludf.DUMMYFUNCTION("""COMPUTED_VALUE"""),0.0)</f>
        <v>0</v>
      </c>
      <c r="G639" s="281">
        <f>IFERROR(__xludf.DUMMYFUNCTION("""COMPUTED_VALUE"""),0.0)</f>
        <v>0</v>
      </c>
      <c r="H639" s="281">
        <f>IFERROR(__xludf.DUMMYFUNCTION("""COMPUTED_VALUE"""),0.0)</f>
        <v>0</v>
      </c>
      <c r="I639" s="281">
        <f>IFERROR(__xludf.DUMMYFUNCTION("""COMPUTED_VALUE"""),0.0)</f>
        <v>0</v>
      </c>
      <c r="J639" s="281">
        <f>IFERROR(__xludf.DUMMYFUNCTION("""COMPUTED_VALUE"""),0.0)</f>
        <v>0</v>
      </c>
      <c r="K639" s="282"/>
      <c r="L639" s="265"/>
      <c r="M639" s="266"/>
    </row>
    <row r="640">
      <c r="A640" s="75" t="str">
        <f>IFERROR(__xludf.DUMMYFUNCTION("""COMPUTED_VALUE"""),"Suman Mondal")</f>
        <v>Suman Mondal</v>
      </c>
      <c r="B640" s="280">
        <f>IFERROR(__xludf.DUMMYFUNCTION("""COMPUTED_VALUE"""),0.0)</f>
        <v>0</v>
      </c>
      <c r="C640" s="280">
        <f>IFERROR(__xludf.DUMMYFUNCTION("""COMPUTED_VALUE"""),0.0)</f>
        <v>0</v>
      </c>
      <c r="D640" s="280">
        <f>IFERROR(__xludf.DUMMYFUNCTION("""COMPUTED_VALUE"""),0.0)</f>
        <v>0</v>
      </c>
      <c r="E640" s="281">
        <f>IFERROR(__xludf.DUMMYFUNCTION("""COMPUTED_VALUE"""),0.0)</f>
        <v>0</v>
      </c>
      <c r="F640" s="281">
        <f>IFERROR(__xludf.DUMMYFUNCTION("""COMPUTED_VALUE"""),0.0)</f>
        <v>0</v>
      </c>
      <c r="G640" s="281">
        <f>IFERROR(__xludf.DUMMYFUNCTION("""COMPUTED_VALUE"""),0.0)</f>
        <v>0</v>
      </c>
      <c r="H640" s="281">
        <f>IFERROR(__xludf.DUMMYFUNCTION("""COMPUTED_VALUE"""),0.0)</f>
        <v>0</v>
      </c>
      <c r="I640" s="281">
        <f>IFERROR(__xludf.DUMMYFUNCTION("""COMPUTED_VALUE"""),0.0)</f>
        <v>0</v>
      </c>
      <c r="J640" s="281">
        <f>IFERROR(__xludf.DUMMYFUNCTION("""COMPUTED_VALUE"""),0.0)</f>
        <v>0</v>
      </c>
      <c r="K640" s="282"/>
      <c r="L640" s="265"/>
      <c r="M640" s="266"/>
    </row>
    <row r="641">
      <c r="A641" s="75"/>
      <c r="B641" s="280"/>
      <c r="C641" s="280"/>
      <c r="D641" s="280"/>
      <c r="E641" s="281"/>
      <c r="F641" s="281"/>
      <c r="G641" s="281"/>
      <c r="H641" s="281"/>
      <c r="I641" s="281"/>
      <c r="J641" s="281"/>
      <c r="K641" s="195"/>
      <c r="L641" s="265"/>
      <c r="M641" s="266"/>
    </row>
    <row r="642">
      <c r="A642" s="75"/>
      <c r="B642" s="280"/>
      <c r="C642" s="280"/>
      <c r="D642" s="280"/>
      <c r="E642" s="281"/>
      <c r="F642" s="281"/>
      <c r="G642" s="281"/>
      <c r="H642" s="281"/>
      <c r="I642" s="281"/>
      <c r="J642" s="281"/>
      <c r="K642" s="195"/>
      <c r="L642" s="265"/>
      <c r="M642" s="266"/>
    </row>
    <row r="643">
      <c r="A643" s="75"/>
      <c r="B643" s="280"/>
      <c r="C643" s="280"/>
      <c r="D643" s="280"/>
      <c r="E643" s="281"/>
      <c r="F643" s="281"/>
      <c r="G643" s="281"/>
      <c r="H643" s="281"/>
      <c r="I643" s="281"/>
      <c r="J643" s="281"/>
      <c r="K643" s="195"/>
      <c r="L643" s="265"/>
      <c r="M643" s="266"/>
    </row>
    <row r="644">
      <c r="A644" s="75"/>
      <c r="B644" s="280"/>
      <c r="C644" s="280"/>
      <c r="D644" s="280"/>
      <c r="E644" s="281"/>
      <c r="F644" s="281"/>
      <c r="G644" s="281"/>
      <c r="H644" s="281"/>
      <c r="I644" s="281"/>
      <c r="J644" s="281"/>
      <c r="K644" s="195"/>
      <c r="L644" s="265"/>
      <c r="M644" s="266"/>
    </row>
    <row r="645">
      <c r="A645" s="75"/>
      <c r="B645" s="280"/>
      <c r="C645" s="280"/>
      <c r="D645" s="280"/>
      <c r="E645" s="281"/>
      <c r="F645" s="281"/>
      <c r="G645" s="281"/>
      <c r="H645" s="281"/>
      <c r="I645" s="281"/>
      <c r="J645" s="281"/>
      <c r="K645" s="195"/>
      <c r="L645" s="265"/>
      <c r="M645" s="266"/>
    </row>
    <row r="646">
      <c r="A646" s="75"/>
      <c r="B646" s="280"/>
      <c r="C646" s="280"/>
      <c r="D646" s="280"/>
      <c r="E646" s="281"/>
      <c r="F646" s="281"/>
      <c r="G646" s="281"/>
      <c r="H646" s="281"/>
      <c r="I646" s="281"/>
      <c r="J646" s="281"/>
      <c r="K646" s="195"/>
      <c r="L646" s="265"/>
      <c r="M646" s="266"/>
    </row>
    <row r="647">
      <c r="A647" s="75"/>
      <c r="B647" s="280"/>
      <c r="C647" s="280"/>
      <c r="D647" s="280"/>
      <c r="E647" s="281"/>
      <c r="F647" s="281"/>
      <c r="G647" s="281"/>
      <c r="H647" s="281"/>
      <c r="I647" s="281"/>
      <c r="J647" s="281"/>
      <c r="K647" s="195"/>
      <c r="L647" s="265"/>
      <c r="M647" s="266"/>
    </row>
    <row r="648">
      <c r="A648" s="75"/>
      <c r="B648" s="280"/>
      <c r="C648" s="280"/>
      <c r="D648" s="280"/>
      <c r="E648" s="281"/>
      <c r="F648" s="281"/>
      <c r="G648" s="281"/>
      <c r="H648" s="281"/>
      <c r="I648" s="281"/>
      <c r="J648" s="281"/>
      <c r="K648" s="195"/>
      <c r="L648" s="265"/>
      <c r="M648" s="266"/>
    </row>
    <row r="649">
      <c r="A649" s="75"/>
      <c r="B649" s="280"/>
      <c r="C649" s="280"/>
      <c r="D649" s="280"/>
      <c r="E649" s="281"/>
      <c r="F649" s="281"/>
      <c r="G649" s="281"/>
      <c r="H649" s="281"/>
      <c r="I649" s="281"/>
      <c r="J649" s="281"/>
      <c r="K649" s="195"/>
      <c r="L649" s="265"/>
      <c r="M649" s="266"/>
    </row>
    <row r="650">
      <c r="A650" s="75"/>
      <c r="B650" s="280"/>
      <c r="C650" s="280"/>
      <c r="D650" s="280"/>
      <c r="E650" s="281"/>
      <c r="F650" s="281"/>
      <c r="G650" s="281"/>
      <c r="H650" s="281"/>
      <c r="I650" s="281"/>
      <c r="J650" s="281"/>
      <c r="K650" s="195"/>
      <c r="L650" s="265"/>
      <c r="M650" s="266"/>
    </row>
    <row r="651">
      <c r="A651" s="75"/>
      <c r="B651" s="280"/>
      <c r="C651" s="280"/>
      <c r="D651" s="280"/>
      <c r="E651" s="281"/>
      <c r="F651" s="281"/>
      <c r="G651" s="281"/>
      <c r="H651" s="281"/>
      <c r="I651" s="281"/>
      <c r="J651" s="281"/>
      <c r="K651" s="195"/>
      <c r="L651" s="265"/>
      <c r="M651" s="266"/>
    </row>
    <row r="652">
      <c r="A652" s="75"/>
      <c r="B652" s="280"/>
      <c r="C652" s="280"/>
      <c r="D652" s="280"/>
      <c r="E652" s="281"/>
      <c r="F652" s="281"/>
      <c r="G652" s="281"/>
      <c r="H652" s="281"/>
      <c r="I652" s="281"/>
      <c r="J652" s="281"/>
      <c r="K652" s="195"/>
      <c r="L652" s="265"/>
      <c r="M652" s="266"/>
    </row>
    <row r="653">
      <c r="A653" s="75"/>
      <c r="B653" s="280"/>
      <c r="C653" s="280"/>
      <c r="D653" s="280"/>
      <c r="E653" s="281"/>
      <c r="F653" s="281"/>
      <c r="G653" s="281"/>
      <c r="H653" s="281"/>
      <c r="I653" s="281"/>
      <c r="J653" s="281"/>
      <c r="K653" s="195"/>
      <c r="L653" s="265"/>
      <c r="M653" s="266"/>
    </row>
    <row r="654">
      <c r="A654" s="75"/>
      <c r="B654" s="280"/>
      <c r="C654" s="280"/>
      <c r="D654" s="280"/>
      <c r="E654" s="281"/>
      <c r="F654" s="281"/>
      <c r="G654" s="281"/>
      <c r="H654" s="281"/>
      <c r="I654" s="281"/>
      <c r="J654" s="281"/>
      <c r="K654" s="195"/>
      <c r="L654" s="265"/>
      <c r="M654" s="266"/>
    </row>
    <row r="655">
      <c r="A655" s="75"/>
      <c r="B655" s="280"/>
      <c r="C655" s="280"/>
      <c r="D655" s="280"/>
      <c r="E655" s="281"/>
      <c r="F655" s="281"/>
      <c r="G655" s="281"/>
      <c r="H655" s="281"/>
      <c r="I655" s="281"/>
      <c r="J655" s="281"/>
      <c r="K655" s="195"/>
      <c r="L655" s="265"/>
      <c r="M655" s="266"/>
    </row>
    <row r="656">
      <c r="A656" s="75"/>
      <c r="B656" s="280"/>
      <c r="C656" s="280"/>
      <c r="D656" s="280"/>
      <c r="E656" s="281"/>
      <c r="F656" s="281"/>
      <c r="G656" s="281"/>
      <c r="H656" s="281"/>
      <c r="I656" s="281"/>
      <c r="J656" s="281"/>
      <c r="K656" s="195"/>
      <c r="L656" s="265"/>
      <c r="M656" s="266"/>
    </row>
    <row r="657">
      <c r="A657" s="75"/>
      <c r="B657" s="280"/>
      <c r="C657" s="280"/>
      <c r="D657" s="280"/>
      <c r="E657" s="281"/>
      <c r="F657" s="281"/>
      <c r="G657" s="281"/>
      <c r="H657" s="281"/>
      <c r="I657" s="281"/>
      <c r="J657" s="281"/>
      <c r="K657" s="195"/>
      <c r="L657" s="265"/>
      <c r="M657" s="266"/>
    </row>
    <row r="658">
      <c r="A658" s="75"/>
      <c r="B658" s="280"/>
      <c r="C658" s="280"/>
      <c r="D658" s="280"/>
      <c r="E658" s="281"/>
      <c r="F658" s="281"/>
      <c r="G658" s="281"/>
      <c r="H658" s="281"/>
      <c r="I658" s="281"/>
      <c r="J658" s="281"/>
      <c r="K658" s="195"/>
      <c r="L658" s="265"/>
      <c r="M658" s="266"/>
    </row>
    <row r="659">
      <c r="A659" s="75"/>
      <c r="B659" s="280"/>
      <c r="C659" s="280"/>
      <c r="D659" s="280"/>
      <c r="E659" s="281"/>
      <c r="F659" s="281"/>
      <c r="G659" s="281"/>
      <c r="H659" s="281"/>
      <c r="I659" s="281"/>
      <c r="J659" s="281"/>
      <c r="K659" s="195"/>
      <c r="L659" s="265"/>
      <c r="M659" s="266"/>
    </row>
    <row r="660">
      <c r="A660" s="75"/>
      <c r="B660" s="280"/>
      <c r="C660" s="280"/>
      <c r="D660" s="280"/>
      <c r="E660" s="281"/>
      <c r="F660" s="281"/>
      <c r="G660" s="281"/>
      <c r="H660" s="281"/>
      <c r="I660" s="281"/>
      <c r="J660" s="281"/>
      <c r="K660" s="195"/>
      <c r="L660" s="265"/>
      <c r="M660" s="266"/>
    </row>
    <row r="661">
      <c r="A661" s="75"/>
      <c r="B661" s="280"/>
      <c r="C661" s="280"/>
      <c r="D661" s="280"/>
      <c r="E661" s="281"/>
      <c r="F661" s="281"/>
      <c r="G661" s="281"/>
      <c r="H661" s="281"/>
      <c r="I661" s="281"/>
      <c r="J661" s="281"/>
      <c r="K661" s="195"/>
      <c r="L661" s="265"/>
      <c r="M661" s="266"/>
    </row>
    <row r="662">
      <c r="A662" s="75"/>
      <c r="B662" s="280"/>
      <c r="C662" s="280"/>
      <c r="D662" s="280"/>
      <c r="E662" s="281"/>
      <c r="F662" s="281"/>
      <c r="G662" s="281"/>
      <c r="H662" s="281"/>
      <c r="I662" s="281"/>
      <c r="J662" s="281"/>
      <c r="K662" s="195"/>
      <c r="L662" s="265"/>
      <c r="M662" s="266"/>
    </row>
    <row r="663">
      <c r="A663" s="75"/>
      <c r="B663" s="280"/>
      <c r="C663" s="280"/>
      <c r="D663" s="280"/>
      <c r="E663" s="281"/>
      <c r="F663" s="281"/>
      <c r="G663" s="281"/>
      <c r="H663" s="281"/>
      <c r="I663" s="281"/>
      <c r="J663" s="281"/>
      <c r="K663" s="195"/>
      <c r="L663" s="265"/>
      <c r="M663" s="266"/>
    </row>
    <row r="664">
      <c r="A664" s="75"/>
      <c r="B664" s="280"/>
      <c r="C664" s="280"/>
      <c r="D664" s="280"/>
      <c r="E664" s="281"/>
      <c r="F664" s="281"/>
      <c r="G664" s="281"/>
      <c r="H664" s="281"/>
      <c r="I664" s="281"/>
      <c r="J664" s="281"/>
      <c r="K664" s="195"/>
      <c r="L664" s="265"/>
      <c r="M664" s="266"/>
    </row>
    <row r="665">
      <c r="A665" s="75"/>
      <c r="B665" s="280"/>
      <c r="C665" s="280"/>
      <c r="D665" s="280"/>
      <c r="E665" s="281"/>
      <c r="F665" s="281"/>
      <c r="G665" s="281"/>
      <c r="H665" s="281"/>
      <c r="I665" s="281"/>
      <c r="J665" s="281"/>
      <c r="K665" s="195"/>
      <c r="L665" s="265"/>
      <c r="M665" s="266"/>
    </row>
    <row r="666">
      <c r="A666" s="75"/>
      <c r="B666" s="280"/>
      <c r="C666" s="280"/>
      <c r="D666" s="280"/>
      <c r="E666" s="281"/>
      <c r="F666" s="281"/>
      <c r="G666" s="281"/>
      <c r="H666" s="281"/>
      <c r="I666" s="281"/>
      <c r="J666" s="281"/>
      <c r="K666" s="195"/>
      <c r="L666" s="265"/>
      <c r="M666" s="266"/>
    </row>
    <row r="667">
      <c r="A667" s="75"/>
      <c r="B667" s="280"/>
      <c r="C667" s="280"/>
      <c r="D667" s="280"/>
      <c r="E667" s="281"/>
      <c r="F667" s="281"/>
      <c r="G667" s="281"/>
      <c r="H667" s="281"/>
      <c r="I667" s="281"/>
      <c r="J667" s="281"/>
      <c r="K667" s="195"/>
      <c r="L667" s="265"/>
      <c r="M667" s="266"/>
    </row>
    <row r="668">
      <c r="A668" s="75"/>
      <c r="B668" s="280"/>
      <c r="C668" s="280"/>
      <c r="D668" s="280"/>
      <c r="E668" s="281"/>
      <c r="F668" s="281"/>
      <c r="G668" s="281"/>
      <c r="H668" s="281"/>
      <c r="I668" s="281"/>
      <c r="J668" s="281"/>
      <c r="K668" s="195"/>
      <c r="L668" s="265"/>
      <c r="M668" s="266"/>
    </row>
    <row r="669">
      <c r="A669" s="75"/>
      <c r="B669" s="280"/>
      <c r="C669" s="280"/>
      <c r="D669" s="280"/>
      <c r="E669" s="281"/>
      <c r="F669" s="281"/>
      <c r="G669" s="281"/>
      <c r="H669" s="281"/>
      <c r="I669" s="281"/>
      <c r="J669" s="281"/>
      <c r="K669" s="195"/>
      <c r="L669" s="265"/>
      <c r="M669" s="266"/>
    </row>
    <row r="670">
      <c r="A670" s="75"/>
      <c r="B670" s="280"/>
      <c r="C670" s="280"/>
      <c r="D670" s="280"/>
      <c r="E670" s="281"/>
      <c r="F670" s="281"/>
      <c r="G670" s="281"/>
      <c r="H670" s="281"/>
      <c r="I670" s="281"/>
      <c r="J670" s="281"/>
      <c r="K670" s="195"/>
      <c r="L670" s="265"/>
      <c r="M670" s="266"/>
    </row>
    <row r="671">
      <c r="A671" s="75"/>
      <c r="B671" s="280"/>
      <c r="C671" s="280"/>
      <c r="D671" s="280"/>
      <c r="E671" s="281"/>
      <c r="F671" s="281"/>
      <c r="G671" s="281"/>
      <c r="H671" s="281"/>
      <c r="I671" s="281"/>
      <c r="J671" s="281"/>
      <c r="K671" s="195"/>
      <c r="L671" s="265"/>
      <c r="M671" s="266"/>
    </row>
    <row r="672">
      <c r="A672" s="75"/>
      <c r="B672" s="280"/>
      <c r="C672" s="280"/>
      <c r="D672" s="280"/>
      <c r="E672" s="281"/>
      <c r="F672" s="281"/>
      <c r="G672" s="281"/>
      <c r="H672" s="281"/>
      <c r="I672" s="281"/>
      <c r="J672" s="281"/>
      <c r="K672" s="195"/>
      <c r="L672" s="265"/>
      <c r="M672" s="266"/>
    </row>
    <row r="673">
      <c r="A673" s="75"/>
      <c r="B673" s="280"/>
      <c r="C673" s="280"/>
      <c r="D673" s="280"/>
      <c r="E673" s="281"/>
      <c r="F673" s="281"/>
      <c r="G673" s="281"/>
      <c r="H673" s="281"/>
      <c r="I673" s="281"/>
      <c r="J673" s="281"/>
      <c r="K673" s="195"/>
      <c r="L673" s="265"/>
      <c r="M673" s="266"/>
    </row>
    <row r="674">
      <c r="A674" s="75"/>
      <c r="B674" s="280"/>
      <c r="C674" s="280"/>
      <c r="D674" s="280"/>
      <c r="E674" s="281"/>
      <c r="F674" s="281"/>
      <c r="G674" s="281"/>
      <c r="H674" s="281"/>
      <c r="I674" s="281"/>
      <c r="J674" s="281"/>
      <c r="K674" s="195"/>
      <c r="L674" s="265"/>
      <c r="M674" s="266"/>
    </row>
    <row r="675">
      <c r="A675" s="75"/>
      <c r="B675" s="280"/>
      <c r="C675" s="280"/>
      <c r="D675" s="280"/>
      <c r="E675" s="281"/>
      <c r="F675" s="281"/>
      <c r="G675" s="281"/>
      <c r="H675" s="281"/>
      <c r="I675" s="281"/>
      <c r="J675" s="281"/>
      <c r="K675" s="195"/>
      <c r="L675" s="265"/>
      <c r="M675" s="266"/>
    </row>
    <row r="676">
      <c r="A676" s="75"/>
      <c r="B676" s="280"/>
      <c r="C676" s="280"/>
      <c r="D676" s="280"/>
      <c r="E676" s="281"/>
      <c r="F676" s="281"/>
      <c r="G676" s="281"/>
      <c r="H676" s="281"/>
      <c r="I676" s="281"/>
      <c r="J676" s="281"/>
      <c r="K676" s="195"/>
      <c r="L676" s="265"/>
      <c r="M676" s="266"/>
    </row>
    <row r="677">
      <c r="A677" s="75"/>
      <c r="B677" s="280"/>
      <c r="C677" s="280"/>
      <c r="D677" s="280"/>
      <c r="E677" s="281"/>
      <c r="F677" s="281"/>
      <c r="G677" s="281"/>
      <c r="H677" s="281"/>
      <c r="I677" s="281"/>
      <c r="J677" s="281"/>
      <c r="K677" s="195"/>
      <c r="L677" s="265"/>
      <c r="M677" s="266"/>
    </row>
    <row r="678">
      <c r="A678" s="75"/>
      <c r="B678" s="280"/>
      <c r="C678" s="280"/>
      <c r="D678" s="280"/>
      <c r="E678" s="281"/>
      <c r="F678" s="281"/>
      <c r="G678" s="281"/>
      <c r="H678" s="281"/>
      <c r="I678" s="281"/>
      <c r="J678" s="281"/>
      <c r="K678" s="195"/>
      <c r="L678" s="265"/>
      <c r="M678" s="266"/>
    </row>
    <row r="679">
      <c r="A679" s="75"/>
      <c r="B679" s="280"/>
      <c r="C679" s="280"/>
      <c r="D679" s="280"/>
      <c r="E679" s="281"/>
      <c r="F679" s="281"/>
      <c r="G679" s="281"/>
      <c r="H679" s="281"/>
      <c r="I679" s="281"/>
      <c r="J679" s="281"/>
      <c r="K679" s="195"/>
      <c r="L679" s="265"/>
      <c r="M679" s="266"/>
    </row>
    <row r="680">
      <c r="A680" s="75"/>
      <c r="B680" s="280"/>
      <c r="C680" s="280"/>
      <c r="D680" s="280"/>
      <c r="E680" s="281"/>
      <c r="F680" s="281"/>
      <c r="G680" s="281"/>
      <c r="H680" s="281"/>
      <c r="I680" s="281"/>
      <c r="J680" s="281"/>
      <c r="K680" s="195"/>
      <c r="L680" s="265"/>
      <c r="M680" s="266"/>
    </row>
    <row r="681">
      <c r="A681" s="75"/>
      <c r="B681" s="280"/>
      <c r="C681" s="280"/>
      <c r="D681" s="280"/>
      <c r="E681" s="281"/>
      <c r="F681" s="281"/>
      <c r="G681" s="281"/>
      <c r="H681" s="281"/>
      <c r="I681" s="281"/>
      <c r="J681" s="281"/>
      <c r="K681" s="195"/>
      <c r="L681" s="265"/>
      <c r="M681" s="266"/>
    </row>
    <row r="682">
      <c r="A682" s="75"/>
      <c r="B682" s="280"/>
      <c r="C682" s="280"/>
      <c r="D682" s="280"/>
      <c r="E682" s="281"/>
      <c r="F682" s="281"/>
      <c r="G682" s="281"/>
      <c r="H682" s="281"/>
      <c r="I682" s="281"/>
      <c r="J682" s="281"/>
      <c r="K682" s="195"/>
      <c r="L682" s="265"/>
      <c r="M682" s="266"/>
    </row>
    <row r="683">
      <c r="A683" s="75"/>
      <c r="B683" s="280"/>
      <c r="C683" s="280"/>
      <c r="D683" s="280"/>
      <c r="E683" s="281"/>
      <c r="F683" s="281"/>
      <c r="G683" s="281"/>
      <c r="H683" s="281"/>
      <c r="I683" s="281"/>
      <c r="J683" s="281"/>
      <c r="K683" s="195"/>
      <c r="L683" s="265"/>
      <c r="M683" s="266"/>
    </row>
    <row r="684">
      <c r="A684" s="75"/>
      <c r="B684" s="280"/>
      <c r="C684" s="280"/>
      <c r="D684" s="280"/>
      <c r="E684" s="281"/>
      <c r="F684" s="281"/>
      <c r="G684" s="281"/>
      <c r="H684" s="281"/>
      <c r="I684" s="281"/>
      <c r="J684" s="281"/>
      <c r="K684" s="195"/>
      <c r="L684" s="265"/>
      <c r="M684" s="266"/>
    </row>
    <row r="685">
      <c r="A685" s="75"/>
      <c r="B685" s="280"/>
      <c r="C685" s="280"/>
      <c r="D685" s="280"/>
      <c r="E685" s="281"/>
      <c r="F685" s="281"/>
      <c r="G685" s="281"/>
      <c r="H685" s="281"/>
      <c r="I685" s="281"/>
      <c r="J685" s="281"/>
      <c r="K685" s="195"/>
      <c r="L685" s="265"/>
      <c r="M685" s="266"/>
    </row>
    <row r="686">
      <c r="A686" s="75"/>
      <c r="B686" s="280"/>
      <c r="C686" s="280"/>
      <c r="D686" s="280"/>
      <c r="E686" s="281"/>
      <c r="F686" s="281"/>
      <c r="G686" s="281"/>
      <c r="H686" s="281"/>
      <c r="I686" s="281"/>
      <c r="J686" s="281"/>
      <c r="K686" s="195"/>
      <c r="L686" s="265"/>
      <c r="M686" s="266"/>
    </row>
    <row r="687">
      <c r="A687" s="75"/>
      <c r="B687" s="280"/>
      <c r="C687" s="280"/>
      <c r="D687" s="280"/>
      <c r="E687" s="281"/>
      <c r="F687" s="281"/>
      <c r="G687" s="281"/>
      <c r="H687" s="281"/>
      <c r="I687" s="281"/>
      <c r="J687" s="281"/>
      <c r="K687" s="195"/>
      <c r="L687" s="265"/>
      <c r="M687" s="266"/>
    </row>
    <row r="688">
      <c r="A688" s="75"/>
      <c r="B688" s="280"/>
      <c r="C688" s="280"/>
      <c r="D688" s="280"/>
      <c r="E688" s="281"/>
      <c r="F688" s="281"/>
      <c r="G688" s="281"/>
      <c r="H688" s="281"/>
      <c r="I688" s="281"/>
      <c r="J688" s="281"/>
      <c r="K688" s="195"/>
      <c r="L688" s="265"/>
      <c r="M688" s="266"/>
    </row>
    <row r="689">
      <c r="A689" s="75"/>
      <c r="B689" s="280"/>
      <c r="C689" s="280"/>
      <c r="D689" s="280"/>
      <c r="E689" s="281"/>
      <c r="F689" s="281"/>
      <c r="G689" s="281"/>
      <c r="H689" s="281"/>
      <c r="I689" s="281"/>
      <c r="J689" s="281"/>
      <c r="K689" s="195"/>
      <c r="L689" s="265"/>
      <c r="M689" s="266"/>
    </row>
    <row r="690">
      <c r="A690" s="75"/>
      <c r="B690" s="280"/>
      <c r="C690" s="280"/>
      <c r="D690" s="280"/>
      <c r="E690" s="281"/>
      <c r="F690" s="281"/>
      <c r="G690" s="281"/>
      <c r="H690" s="281"/>
      <c r="I690" s="281"/>
      <c r="J690" s="281"/>
      <c r="K690" s="195"/>
      <c r="L690" s="265"/>
      <c r="M690" s="266"/>
    </row>
    <row r="691">
      <c r="A691" s="75"/>
      <c r="B691" s="280"/>
      <c r="C691" s="280"/>
      <c r="D691" s="280"/>
      <c r="E691" s="281"/>
      <c r="F691" s="281"/>
      <c r="G691" s="281"/>
      <c r="H691" s="281"/>
      <c r="I691" s="281"/>
      <c r="J691" s="281"/>
      <c r="K691" s="195"/>
      <c r="L691" s="265"/>
      <c r="M691" s="266"/>
    </row>
    <row r="692">
      <c r="A692" s="75"/>
      <c r="B692" s="280"/>
      <c r="C692" s="280"/>
      <c r="D692" s="280"/>
      <c r="E692" s="281"/>
      <c r="F692" s="281"/>
      <c r="G692" s="281"/>
      <c r="H692" s="281"/>
      <c r="I692" s="281"/>
      <c r="J692" s="281"/>
      <c r="K692" s="195"/>
      <c r="L692" s="265"/>
      <c r="M692" s="266"/>
    </row>
    <row r="693">
      <c r="A693" s="75"/>
      <c r="B693" s="280"/>
      <c r="C693" s="280"/>
      <c r="D693" s="280"/>
      <c r="E693" s="281"/>
      <c r="F693" s="281"/>
      <c r="G693" s="281"/>
      <c r="H693" s="281"/>
      <c r="I693" s="281"/>
      <c r="J693" s="281"/>
      <c r="K693" s="195"/>
      <c r="L693" s="265"/>
      <c r="M693" s="266"/>
    </row>
    <row r="694">
      <c r="A694" s="75"/>
      <c r="B694" s="280"/>
      <c r="C694" s="280"/>
      <c r="D694" s="280"/>
      <c r="E694" s="281"/>
      <c r="F694" s="281"/>
      <c r="G694" s="281"/>
      <c r="H694" s="281"/>
      <c r="I694" s="281"/>
      <c r="J694" s="281"/>
      <c r="K694" s="195"/>
      <c r="L694" s="265"/>
      <c r="M694" s="266"/>
    </row>
    <row r="695">
      <c r="A695" s="75"/>
      <c r="B695" s="280"/>
      <c r="C695" s="280"/>
      <c r="D695" s="280"/>
      <c r="E695" s="281"/>
      <c r="F695" s="281"/>
      <c r="G695" s="281"/>
      <c r="H695" s="281"/>
      <c r="I695" s="281"/>
      <c r="J695" s="281"/>
      <c r="K695" s="195"/>
      <c r="L695" s="265"/>
      <c r="M695" s="266"/>
    </row>
    <row r="696">
      <c r="A696" s="75"/>
      <c r="B696" s="280"/>
      <c r="C696" s="280"/>
      <c r="D696" s="280"/>
      <c r="E696" s="281"/>
      <c r="F696" s="281"/>
      <c r="G696" s="281"/>
      <c r="H696" s="281"/>
      <c r="I696" s="281"/>
      <c r="J696" s="281"/>
      <c r="K696" s="195"/>
      <c r="L696" s="265"/>
      <c r="M696" s="266"/>
    </row>
    <row r="697">
      <c r="A697" s="75"/>
      <c r="B697" s="280"/>
      <c r="C697" s="280"/>
      <c r="D697" s="280"/>
      <c r="E697" s="281"/>
      <c r="F697" s="281"/>
      <c r="G697" s="281"/>
      <c r="H697" s="281"/>
      <c r="I697" s="281"/>
      <c r="J697" s="281"/>
      <c r="K697" s="195"/>
      <c r="L697" s="265"/>
      <c r="M697" s="266"/>
    </row>
    <row r="698">
      <c r="A698" s="75"/>
      <c r="B698" s="280"/>
      <c r="C698" s="280"/>
      <c r="D698" s="280"/>
      <c r="E698" s="281"/>
      <c r="F698" s="281"/>
      <c r="G698" s="281"/>
      <c r="H698" s="281"/>
      <c r="I698" s="281"/>
      <c r="J698" s="281"/>
      <c r="K698" s="195"/>
      <c r="L698" s="265"/>
      <c r="M698" s="266"/>
    </row>
    <row r="699">
      <c r="A699" s="75"/>
      <c r="B699" s="280"/>
      <c r="C699" s="280"/>
      <c r="D699" s="280"/>
      <c r="E699" s="281"/>
      <c r="F699" s="281"/>
      <c r="G699" s="281"/>
      <c r="H699" s="281"/>
      <c r="I699" s="281"/>
      <c r="J699" s="281"/>
      <c r="K699" s="195"/>
      <c r="L699" s="265"/>
      <c r="M699" s="266"/>
    </row>
    <row r="700">
      <c r="A700" s="75"/>
      <c r="B700" s="280"/>
      <c r="C700" s="280"/>
      <c r="D700" s="280"/>
      <c r="E700" s="281"/>
      <c r="F700" s="281"/>
      <c r="G700" s="281"/>
      <c r="H700" s="281"/>
      <c r="I700" s="281"/>
      <c r="J700" s="281"/>
      <c r="K700" s="195"/>
      <c r="L700" s="265"/>
      <c r="M700" s="266"/>
    </row>
    <row r="701">
      <c r="A701" s="75"/>
      <c r="B701" s="280"/>
      <c r="C701" s="280"/>
      <c r="D701" s="280"/>
      <c r="E701" s="281"/>
      <c r="F701" s="281"/>
      <c r="G701" s="281"/>
      <c r="H701" s="281"/>
      <c r="I701" s="281"/>
      <c r="J701" s="281"/>
      <c r="K701" s="195"/>
      <c r="L701" s="265"/>
      <c r="M701" s="266"/>
    </row>
    <row r="702">
      <c r="A702" s="75"/>
      <c r="B702" s="280"/>
      <c r="C702" s="280"/>
      <c r="D702" s="280"/>
      <c r="E702" s="281"/>
      <c r="F702" s="281"/>
      <c r="G702" s="281"/>
      <c r="H702" s="281"/>
      <c r="I702" s="281"/>
      <c r="J702" s="281"/>
      <c r="K702" s="195"/>
      <c r="L702" s="265"/>
      <c r="M702" s="266"/>
    </row>
    <row r="703">
      <c r="A703" s="75"/>
      <c r="B703" s="280"/>
      <c r="C703" s="280"/>
      <c r="D703" s="280"/>
      <c r="E703" s="281"/>
      <c r="F703" s="281"/>
      <c r="G703" s="281"/>
      <c r="H703" s="281"/>
      <c r="I703" s="281"/>
      <c r="J703" s="281"/>
      <c r="K703" s="195"/>
      <c r="L703" s="265"/>
      <c r="M703" s="266"/>
    </row>
    <row r="704">
      <c r="A704" s="75"/>
      <c r="B704" s="280"/>
      <c r="C704" s="280"/>
      <c r="D704" s="280"/>
      <c r="E704" s="281"/>
      <c r="F704" s="281"/>
      <c r="G704" s="281"/>
      <c r="H704" s="281"/>
      <c r="I704" s="281"/>
      <c r="J704" s="281"/>
      <c r="K704" s="195"/>
      <c r="L704" s="265"/>
      <c r="M704" s="266"/>
    </row>
    <row r="705">
      <c r="A705" s="75"/>
      <c r="B705" s="280"/>
      <c r="C705" s="280"/>
      <c r="D705" s="280"/>
      <c r="E705" s="281"/>
      <c r="F705" s="281"/>
      <c r="G705" s="281"/>
      <c r="H705" s="281"/>
      <c r="I705" s="281"/>
      <c r="J705" s="281"/>
      <c r="K705" s="195"/>
      <c r="L705" s="265"/>
      <c r="M705" s="266"/>
    </row>
    <row r="706">
      <c r="A706" s="75"/>
      <c r="B706" s="280"/>
      <c r="C706" s="280"/>
      <c r="D706" s="280"/>
      <c r="E706" s="281"/>
      <c r="F706" s="281"/>
      <c r="G706" s="281"/>
      <c r="H706" s="281"/>
      <c r="I706" s="281"/>
      <c r="J706" s="281"/>
      <c r="K706" s="195"/>
      <c r="L706" s="265"/>
      <c r="M706" s="266"/>
    </row>
    <row r="707">
      <c r="A707" s="75"/>
      <c r="B707" s="280"/>
      <c r="C707" s="280"/>
      <c r="D707" s="280"/>
      <c r="E707" s="281"/>
      <c r="F707" s="281"/>
      <c r="G707" s="281"/>
      <c r="H707" s="281"/>
      <c r="I707" s="281"/>
      <c r="J707" s="281"/>
      <c r="K707" s="195"/>
      <c r="L707" s="265"/>
      <c r="M707" s="266"/>
    </row>
    <row r="708">
      <c r="A708" s="75"/>
      <c r="B708" s="280"/>
      <c r="C708" s="280"/>
      <c r="D708" s="280"/>
      <c r="E708" s="281"/>
      <c r="F708" s="281"/>
      <c r="G708" s="281"/>
      <c r="H708" s="281"/>
      <c r="I708" s="281"/>
      <c r="J708" s="281"/>
      <c r="K708" s="195"/>
      <c r="L708" s="265"/>
      <c r="M708" s="266"/>
    </row>
    <row r="709">
      <c r="A709" s="75"/>
      <c r="B709" s="280"/>
      <c r="C709" s="280"/>
      <c r="D709" s="280"/>
      <c r="E709" s="281"/>
      <c r="F709" s="281"/>
      <c r="G709" s="281"/>
      <c r="H709" s="281"/>
      <c r="I709" s="281"/>
      <c r="J709" s="281"/>
      <c r="K709" s="195"/>
      <c r="L709" s="265"/>
      <c r="M709" s="266"/>
    </row>
    <row r="710">
      <c r="A710" s="75"/>
      <c r="B710" s="280"/>
      <c r="C710" s="280"/>
      <c r="D710" s="280"/>
      <c r="E710" s="281"/>
      <c r="F710" s="281"/>
      <c r="G710" s="281"/>
      <c r="H710" s="281"/>
      <c r="I710" s="281"/>
      <c r="J710" s="281"/>
      <c r="K710" s="195"/>
      <c r="L710" s="265"/>
      <c r="M710" s="266"/>
    </row>
    <row r="711">
      <c r="A711" s="75"/>
      <c r="B711" s="280"/>
      <c r="C711" s="280"/>
      <c r="D711" s="280"/>
      <c r="E711" s="281"/>
      <c r="F711" s="281"/>
      <c r="G711" s="281"/>
      <c r="H711" s="281"/>
      <c r="I711" s="281"/>
      <c r="J711" s="281"/>
      <c r="K711" s="195"/>
      <c r="L711" s="265"/>
      <c r="M711" s="266"/>
    </row>
    <row r="712">
      <c r="A712" s="75"/>
      <c r="B712" s="280"/>
      <c r="C712" s="280"/>
      <c r="D712" s="280"/>
      <c r="E712" s="281"/>
      <c r="F712" s="281"/>
      <c r="G712" s="281"/>
      <c r="H712" s="281"/>
      <c r="I712" s="281"/>
      <c r="J712" s="281"/>
      <c r="K712" s="195"/>
      <c r="L712" s="265"/>
      <c r="M712" s="266"/>
    </row>
    <row r="713">
      <c r="A713" s="75"/>
      <c r="B713" s="280"/>
      <c r="C713" s="280"/>
      <c r="D713" s="280"/>
      <c r="E713" s="281"/>
      <c r="F713" s="281"/>
      <c r="G713" s="281"/>
      <c r="H713" s="281"/>
      <c r="I713" s="281"/>
      <c r="J713" s="281"/>
      <c r="K713" s="195"/>
      <c r="L713" s="265"/>
      <c r="M713" s="266"/>
    </row>
    <row r="714">
      <c r="A714" s="75"/>
      <c r="B714" s="280"/>
      <c r="C714" s="280"/>
      <c r="D714" s="280"/>
      <c r="E714" s="281"/>
      <c r="F714" s="281"/>
      <c r="G714" s="281"/>
      <c r="H714" s="281"/>
      <c r="I714" s="281"/>
      <c r="J714" s="281"/>
      <c r="K714" s="195"/>
      <c r="L714" s="265"/>
      <c r="M714" s="266"/>
    </row>
    <row r="715">
      <c r="A715" s="75"/>
      <c r="B715" s="280"/>
      <c r="C715" s="280"/>
      <c r="D715" s="280"/>
      <c r="E715" s="281"/>
      <c r="F715" s="281"/>
      <c r="G715" s="281"/>
      <c r="H715" s="281"/>
      <c r="I715" s="281"/>
      <c r="J715" s="281"/>
      <c r="K715" s="195"/>
      <c r="L715" s="265"/>
      <c r="M715" s="266"/>
    </row>
    <row r="716">
      <c r="A716" s="75"/>
      <c r="B716" s="280"/>
      <c r="C716" s="280"/>
      <c r="D716" s="280"/>
      <c r="E716" s="281"/>
      <c r="F716" s="281"/>
      <c r="G716" s="281"/>
      <c r="H716" s="281"/>
      <c r="I716" s="281"/>
      <c r="J716" s="281"/>
      <c r="K716" s="195"/>
      <c r="L716" s="265"/>
      <c r="M716" s="266"/>
    </row>
    <row r="717">
      <c r="A717" s="75"/>
      <c r="B717" s="280"/>
      <c r="C717" s="280"/>
      <c r="D717" s="280"/>
      <c r="E717" s="281"/>
      <c r="F717" s="281"/>
      <c r="G717" s="281"/>
      <c r="H717" s="281"/>
      <c r="I717" s="281"/>
      <c r="J717" s="281"/>
      <c r="K717" s="195"/>
      <c r="L717" s="265"/>
      <c r="M717" s="266"/>
    </row>
    <row r="718">
      <c r="A718" s="75"/>
      <c r="B718" s="280"/>
      <c r="C718" s="280"/>
      <c r="D718" s="280"/>
      <c r="E718" s="281"/>
      <c r="F718" s="281"/>
      <c r="G718" s="281"/>
      <c r="H718" s="281"/>
      <c r="I718" s="281"/>
      <c r="J718" s="281"/>
      <c r="K718" s="195"/>
      <c r="L718" s="265"/>
      <c r="M718" s="266"/>
    </row>
    <row r="719">
      <c r="A719" s="75"/>
      <c r="B719" s="280"/>
      <c r="C719" s="280"/>
      <c r="D719" s="280"/>
      <c r="E719" s="281"/>
      <c r="F719" s="281"/>
      <c r="G719" s="281"/>
      <c r="H719" s="281"/>
      <c r="I719" s="281"/>
      <c r="J719" s="281"/>
      <c r="K719" s="195"/>
      <c r="L719" s="265"/>
      <c r="M719" s="266"/>
    </row>
    <row r="720">
      <c r="A720" s="75"/>
      <c r="B720" s="280"/>
      <c r="C720" s="280"/>
      <c r="D720" s="280"/>
      <c r="E720" s="281"/>
      <c r="F720" s="281"/>
      <c r="G720" s="281"/>
      <c r="H720" s="281"/>
      <c r="I720" s="281"/>
      <c r="J720" s="281"/>
      <c r="K720" s="195"/>
      <c r="L720" s="265"/>
      <c r="M720" s="266"/>
    </row>
    <row r="721">
      <c r="A721" s="75"/>
      <c r="B721" s="280"/>
      <c r="C721" s="280"/>
      <c r="D721" s="280"/>
      <c r="E721" s="281"/>
      <c r="F721" s="281"/>
      <c r="G721" s="281"/>
      <c r="H721" s="281"/>
      <c r="I721" s="281"/>
      <c r="J721" s="281"/>
      <c r="K721" s="195"/>
      <c r="L721" s="265"/>
      <c r="M721" s="266"/>
    </row>
    <row r="722">
      <c r="A722" s="75"/>
      <c r="B722" s="280"/>
      <c r="C722" s="280"/>
      <c r="D722" s="280"/>
      <c r="E722" s="281"/>
      <c r="F722" s="281"/>
      <c r="G722" s="281"/>
      <c r="H722" s="281"/>
      <c r="I722" s="281"/>
      <c r="J722" s="281"/>
      <c r="K722" s="195"/>
      <c r="L722" s="265"/>
      <c r="M722" s="266"/>
    </row>
    <row r="723">
      <c r="A723" s="75"/>
      <c r="B723" s="280"/>
      <c r="C723" s="280"/>
      <c r="D723" s="280"/>
      <c r="E723" s="281"/>
      <c r="F723" s="281"/>
      <c r="G723" s="281"/>
      <c r="H723" s="281"/>
      <c r="I723" s="281"/>
      <c r="J723" s="281"/>
      <c r="K723" s="195"/>
      <c r="L723" s="265"/>
      <c r="M723" s="266"/>
    </row>
    <row r="724">
      <c r="A724" s="75"/>
      <c r="B724" s="280"/>
      <c r="C724" s="280"/>
      <c r="D724" s="280"/>
      <c r="E724" s="281"/>
      <c r="F724" s="281"/>
      <c r="G724" s="281"/>
      <c r="H724" s="281"/>
      <c r="I724" s="281"/>
      <c r="J724" s="281"/>
      <c r="K724" s="195"/>
      <c r="L724" s="265"/>
      <c r="M724" s="266"/>
    </row>
    <row r="725">
      <c r="A725" s="75"/>
      <c r="B725" s="280"/>
      <c r="C725" s="280"/>
      <c r="D725" s="280"/>
      <c r="E725" s="281"/>
      <c r="F725" s="281"/>
      <c r="G725" s="281"/>
      <c r="H725" s="281"/>
      <c r="I725" s="281"/>
      <c r="J725" s="281"/>
      <c r="K725" s="195"/>
      <c r="L725" s="265"/>
      <c r="M725" s="266"/>
    </row>
    <row r="726">
      <c r="A726" s="75"/>
      <c r="B726" s="280"/>
      <c r="C726" s="280"/>
      <c r="D726" s="280"/>
      <c r="E726" s="281"/>
      <c r="F726" s="281"/>
      <c r="G726" s="281"/>
      <c r="H726" s="281"/>
      <c r="I726" s="281"/>
      <c r="J726" s="281"/>
      <c r="K726" s="195"/>
      <c r="L726" s="265"/>
      <c r="M726" s="266"/>
    </row>
    <row r="727">
      <c r="A727" s="75"/>
      <c r="B727" s="280"/>
      <c r="C727" s="280"/>
      <c r="D727" s="280"/>
      <c r="E727" s="281"/>
      <c r="F727" s="281"/>
      <c r="G727" s="281"/>
      <c r="H727" s="281"/>
      <c r="I727" s="281"/>
      <c r="J727" s="281"/>
      <c r="K727" s="195"/>
      <c r="L727" s="265"/>
      <c r="M727" s="266"/>
    </row>
    <row r="728">
      <c r="A728" s="75"/>
      <c r="B728" s="280"/>
      <c r="C728" s="280"/>
      <c r="D728" s="280"/>
      <c r="E728" s="281"/>
      <c r="F728" s="281"/>
      <c r="G728" s="281"/>
      <c r="H728" s="281"/>
      <c r="I728" s="281"/>
      <c r="J728" s="281"/>
      <c r="K728" s="195"/>
      <c r="L728" s="265"/>
      <c r="M728" s="266"/>
    </row>
    <row r="729">
      <c r="A729" s="75"/>
      <c r="B729" s="280"/>
      <c r="C729" s="280"/>
      <c r="D729" s="280"/>
      <c r="E729" s="281"/>
      <c r="F729" s="281"/>
      <c r="G729" s="281"/>
      <c r="H729" s="281"/>
      <c r="I729" s="281"/>
      <c r="J729" s="281"/>
      <c r="K729" s="195"/>
      <c r="L729" s="265"/>
      <c r="M729" s="266"/>
    </row>
    <row r="730">
      <c r="A730" s="75"/>
      <c r="B730" s="280"/>
      <c r="C730" s="280"/>
      <c r="D730" s="280"/>
      <c r="E730" s="281"/>
      <c r="F730" s="281"/>
      <c r="G730" s="281"/>
      <c r="H730" s="281"/>
      <c r="I730" s="281"/>
      <c r="J730" s="281"/>
      <c r="K730" s="195"/>
      <c r="L730" s="265"/>
      <c r="M730" s="266"/>
    </row>
    <row r="731">
      <c r="A731" s="75"/>
      <c r="B731" s="280"/>
      <c r="C731" s="280"/>
      <c r="D731" s="280"/>
      <c r="E731" s="281"/>
      <c r="F731" s="281"/>
      <c r="G731" s="281"/>
      <c r="H731" s="281"/>
      <c r="I731" s="281"/>
      <c r="J731" s="281"/>
      <c r="K731" s="195"/>
      <c r="L731" s="265"/>
      <c r="M731" s="266"/>
    </row>
    <row r="732">
      <c r="A732" s="75"/>
      <c r="B732" s="280"/>
      <c r="C732" s="280"/>
      <c r="D732" s="280"/>
      <c r="E732" s="281"/>
      <c r="F732" s="281"/>
      <c r="G732" s="281"/>
      <c r="H732" s="281"/>
      <c r="I732" s="281"/>
      <c r="J732" s="281"/>
      <c r="K732" s="195"/>
      <c r="L732" s="265"/>
      <c r="M732" s="266"/>
    </row>
    <row r="733">
      <c r="A733" s="75"/>
      <c r="B733" s="280"/>
      <c r="C733" s="280"/>
      <c r="D733" s="280"/>
      <c r="E733" s="281"/>
      <c r="F733" s="281"/>
      <c r="G733" s="281"/>
      <c r="H733" s="281"/>
      <c r="I733" s="281"/>
      <c r="J733" s="281"/>
      <c r="K733" s="195"/>
      <c r="L733" s="265"/>
      <c r="M733" s="266"/>
    </row>
    <row r="734">
      <c r="A734" s="75"/>
      <c r="B734" s="280"/>
      <c r="C734" s="280"/>
      <c r="D734" s="280"/>
      <c r="E734" s="281"/>
      <c r="F734" s="281"/>
      <c r="G734" s="281"/>
      <c r="H734" s="281"/>
      <c r="I734" s="281"/>
      <c r="J734" s="281"/>
      <c r="K734" s="195"/>
      <c r="L734" s="265"/>
      <c r="M734" s="266"/>
    </row>
    <row r="735">
      <c r="A735" s="75"/>
      <c r="B735" s="280"/>
      <c r="C735" s="280"/>
      <c r="D735" s="280"/>
      <c r="E735" s="281"/>
      <c r="F735" s="281"/>
      <c r="G735" s="281"/>
      <c r="H735" s="281"/>
      <c r="I735" s="281"/>
      <c r="J735" s="281"/>
      <c r="K735" s="195"/>
      <c r="L735" s="265"/>
      <c r="M735" s="266"/>
    </row>
    <row r="736">
      <c r="A736" s="75"/>
      <c r="B736" s="280"/>
      <c r="C736" s="280"/>
      <c r="D736" s="280"/>
      <c r="E736" s="281"/>
      <c r="F736" s="281"/>
      <c r="G736" s="281"/>
      <c r="H736" s="281"/>
      <c r="I736" s="281"/>
      <c r="J736" s="281"/>
      <c r="K736" s="195"/>
      <c r="L736" s="265"/>
      <c r="M736" s="266"/>
    </row>
    <row r="737">
      <c r="A737" s="75"/>
      <c r="B737" s="280"/>
      <c r="C737" s="280"/>
      <c r="D737" s="280"/>
      <c r="E737" s="281"/>
      <c r="F737" s="281"/>
      <c r="G737" s="281"/>
      <c r="H737" s="281"/>
      <c r="I737" s="281"/>
      <c r="J737" s="281"/>
      <c r="K737" s="195"/>
      <c r="L737" s="265"/>
      <c r="M737" s="266"/>
    </row>
    <row r="738">
      <c r="A738" s="75"/>
      <c r="B738" s="280"/>
      <c r="C738" s="280"/>
      <c r="D738" s="280"/>
      <c r="E738" s="281"/>
      <c r="F738" s="281"/>
      <c r="G738" s="281"/>
      <c r="H738" s="281"/>
      <c r="I738" s="281"/>
      <c r="J738" s="281"/>
      <c r="K738" s="195"/>
      <c r="L738" s="265"/>
      <c r="M738" s="266"/>
    </row>
    <row r="739">
      <c r="A739" s="75"/>
      <c r="B739" s="280"/>
      <c r="C739" s="280"/>
      <c r="D739" s="280"/>
      <c r="E739" s="281"/>
      <c r="F739" s="281"/>
      <c r="G739" s="281"/>
      <c r="H739" s="281"/>
      <c r="I739" s="281"/>
      <c r="J739" s="281"/>
      <c r="K739" s="195"/>
      <c r="L739" s="265"/>
      <c r="M739" s="266"/>
    </row>
    <row r="740">
      <c r="A740" s="75"/>
      <c r="B740" s="280"/>
      <c r="C740" s="280"/>
      <c r="D740" s="280"/>
      <c r="E740" s="281"/>
      <c r="F740" s="281"/>
      <c r="G740" s="281"/>
      <c r="H740" s="281"/>
      <c r="I740" s="281"/>
      <c r="J740" s="281"/>
      <c r="K740" s="195"/>
      <c r="L740" s="265"/>
      <c r="M740" s="266"/>
    </row>
    <row r="741">
      <c r="A741" s="75"/>
      <c r="B741" s="280"/>
      <c r="C741" s="280"/>
      <c r="D741" s="280"/>
      <c r="E741" s="281"/>
      <c r="F741" s="281"/>
      <c r="G741" s="281"/>
      <c r="H741" s="281"/>
      <c r="I741" s="281"/>
      <c r="J741" s="281"/>
      <c r="K741" s="195"/>
      <c r="L741" s="265"/>
      <c r="M741" s="266"/>
    </row>
    <row r="742">
      <c r="A742" s="75"/>
      <c r="B742" s="280"/>
      <c r="C742" s="280"/>
      <c r="D742" s="280"/>
      <c r="E742" s="281"/>
      <c r="F742" s="281"/>
      <c r="G742" s="281"/>
      <c r="H742" s="281"/>
      <c r="I742" s="281"/>
      <c r="J742" s="281"/>
      <c r="K742" s="195"/>
      <c r="L742" s="265"/>
      <c r="M742" s="266"/>
    </row>
    <row r="743">
      <c r="A743" s="75"/>
      <c r="B743" s="280"/>
      <c r="C743" s="280"/>
      <c r="D743" s="280"/>
      <c r="E743" s="281"/>
      <c r="F743" s="281"/>
      <c r="G743" s="281"/>
      <c r="H743" s="281"/>
      <c r="I743" s="281"/>
      <c r="J743" s="281"/>
      <c r="K743" s="195"/>
      <c r="L743" s="265"/>
      <c r="M743" s="266"/>
    </row>
    <row r="744">
      <c r="A744" s="75"/>
      <c r="B744" s="280"/>
      <c r="C744" s="280"/>
      <c r="D744" s="280"/>
      <c r="E744" s="281"/>
      <c r="F744" s="281"/>
      <c r="G744" s="281"/>
      <c r="H744" s="281"/>
      <c r="I744" s="281"/>
      <c r="J744" s="281"/>
      <c r="K744" s="195"/>
      <c r="L744" s="265"/>
      <c r="M744" s="266"/>
    </row>
    <row r="745">
      <c r="A745" s="75"/>
      <c r="B745" s="280"/>
      <c r="C745" s="280"/>
      <c r="D745" s="280"/>
      <c r="E745" s="281"/>
      <c r="F745" s="281"/>
      <c r="G745" s="281"/>
      <c r="H745" s="281"/>
      <c r="I745" s="281"/>
      <c r="J745" s="281"/>
      <c r="K745" s="195"/>
      <c r="L745" s="265"/>
      <c r="M745" s="266"/>
    </row>
    <row r="746">
      <c r="A746" s="75"/>
      <c r="B746" s="280"/>
      <c r="C746" s="280"/>
      <c r="D746" s="280"/>
      <c r="E746" s="281"/>
      <c r="F746" s="281"/>
      <c r="G746" s="281"/>
      <c r="H746" s="281"/>
      <c r="I746" s="281"/>
      <c r="J746" s="281"/>
      <c r="K746" s="195"/>
      <c r="L746" s="265"/>
      <c r="M746" s="266"/>
    </row>
    <row r="747">
      <c r="A747" s="75"/>
      <c r="B747" s="280"/>
      <c r="C747" s="280"/>
      <c r="D747" s="280"/>
      <c r="E747" s="281"/>
      <c r="F747" s="281"/>
      <c r="G747" s="281"/>
      <c r="H747" s="281"/>
      <c r="I747" s="281"/>
      <c r="J747" s="281"/>
      <c r="K747" s="195"/>
      <c r="L747" s="265"/>
      <c r="M747" s="266"/>
    </row>
    <row r="748">
      <c r="A748" s="75"/>
      <c r="B748" s="280"/>
      <c r="C748" s="280"/>
      <c r="D748" s="280"/>
      <c r="E748" s="281"/>
      <c r="F748" s="281"/>
      <c r="G748" s="281"/>
      <c r="H748" s="281"/>
      <c r="I748" s="281"/>
      <c r="J748" s="281"/>
      <c r="K748" s="195"/>
      <c r="L748" s="265"/>
      <c r="M748" s="266"/>
    </row>
    <row r="749">
      <c r="A749" s="75"/>
      <c r="B749" s="280"/>
      <c r="C749" s="280"/>
      <c r="D749" s="280"/>
      <c r="E749" s="281"/>
      <c r="F749" s="281"/>
      <c r="G749" s="281"/>
      <c r="H749" s="281"/>
      <c r="I749" s="281"/>
      <c r="J749" s="281"/>
      <c r="K749" s="195"/>
      <c r="L749" s="265"/>
      <c r="M749" s="266"/>
    </row>
    <row r="750">
      <c r="A750" s="75"/>
      <c r="B750" s="280"/>
      <c r="C750" s="280"/>
      <c r="D750" s="280"/>
      <c r="E750" s="281"/>
      <c r="F750" s="281"/>
      <c r="G750" s="281"/>
      <c r="H750" s="281"/>
      <c r="I750" s="281"/>
      <c r="J750" s="281"/>
      <c r="K750" s="195"/>
      <c r="L750" s="265"/>
      <c r="M750" s="266"/>
    </row>
    <row r="751">
      <c r="A751" s="75"/>
      <c r="B751" s="280"/>
      <c r="C751" s="280"/>
      <c r="D751" s="280"/>
      <c r="E751" s="281"/>
      <c r="F751" s="281"/>
      <c r="G751" s="281"/>
      <c r="H751" s="281"/>
      <c r="I751" s="281"/>
      <c r="J751" s="281"/>
      <c r="K751" s="195"/>
      <c r="L751" s="265"/>
      <c r="M751" s="266"/>
    </row>
    <row r="752">
      <c r="A752" s="75"/>
      <c r="B752" s="280"/>
      <c r="C752" s="280"/>
      <c r="D752" s="280"/>
      <c r="E752" s="281"/>
      <c r="F752" s="281"/>
      <c r="G752" s="281"/>
      <c r="H752" s="281"/>
      <c r="I752" s="281"/>
      <c r="J752" s="281"/>
      <c r="K752" s="195"/>
      <c r="L752" s="265"/>
      <c r="M752" s="266"/>
    </row>
    <row r="753">
      <c r="A753" s="75"/>
      <c r="B753" s="280"/>
      <c r="C753" s="280"/>
      <c r="D753" s="280"/>
      <c r="E753" s="281"/>
      <c r="F753" s="281"/>
      <c r="G753" s="281"/>
      <c r="H753" s="281"/>
      <c r="I753" s="281"/>
      <c r="J753" s="281"/>
      <c r="K753" s="195"/>
      <c r="L753" s="265"/>
      <c r="M753" s="266"/>
    </row>
    <row r="754">
      <c r="A754" s="75"/>
      <c r="B754" s="280"/>
      <c r="C754" s="280"/>
      <c r="D754" s="280"/>
      <c r="E754" s="281"/>
      <c r="F754" s="281"/>
      <c r="G754" s="281"/>
      <c r="H754" s="281"/>
      <c r="I754" s="281"/>
      <c r="J754" s="281"/>
      <c r="K754" s="195"/>
      <c r="L754" s="265"/>
      <c r="M754" s="266"/>
    </row>
    <row r="755">
      <c r="A755" s="75"/>
      <c r="B755" s="280"/>
      <c r="C755" s="280"/>
      <c r="D755" s="280"/>
      <c r="E755" s="281"/>
      <c r="F755" s="281"/>
      <c r="G755" s="281"/>
      <c r="H755" s="281"/>
      <c r="I755" s="281"/>
      <c r="J755" s="281"/>
      <c r="K755" s="195"/>
      <c r="L755" s="265"/>
      <c r="M755" s="266"/>
    </row>
    <row r="756">
      <c r="A756" s="75"/>
      <c r="B756" s="280"/>
      <c r="C756" s="280"/>
      <c r="D756" s="280"/>
      <c r="E756" s="281"/>
      <c r="F756" s="281"/>
      <c r="G756" s="281"/>
      <c r="H756" s="281"/>
      <c r="I756" s="281"/>
      <c r="J756" s="281"/>
      <c r="K756" s="195"/>
      <c r="L756" s="265"/>
      <c r="M756" s="266"/>
    </row>
    <row r="757">
      <c r="A757" s="75"/>
      <c r="B757" s="280"/>
      <c r="C757" s="280"/>
      <c r="D757" s="280"/>
      <c r="E757" s="281"/>
      <c r="F757" s="281"/>
      <c r="G757" s="281"/>
      <c r="H757" s="281"/>
      <c r="I757" s="281"/>
      <c r="J757" s="281"/>
      <c r="K757" s="195"/>
      <c r="L757" s="265"/>
      <c r="M757" s="266"/>
    </row>
    <row r="758">
      <c r="A758" s="75"/>
      <c r="B758" s="280"/>
      <c r="C758" s="280"/>
      <c r="D758" s="280"/>
      <c r="E758" s="281"/>
      <c r="F758" s="281"/>
      <c r="G758" s="281"/>
      <c r="H758" s="281"/>
      <c r="I758" s="281"/>
      <c r="J758" s="281"/>
      <c r="K758" s="195"/>
      <c r="L758" s="265"/>
      <c r="M758" s="266"/>
    </row>
    <row r="759">
      <c r="A759" s="75"/>
      <c r="B759" s="280"/>
      <c r="C759" s="280"/>
      <c r="D759" s="280"/>
      <c r="E759" s="281"/>
      <c r="F759" s="281"/>
      <c r="G759" s="281"/>
      <c r="H759" s="281"/>
      <c r="I759" s="281"/>
      <c r="J759" s="281"/>
      <c r="K759" s="195"/>
      <c r="L759" s="265"/>
      <c r="M759" s="266"/>
    </row>
    <row r="760">
      <c r="A760" s="75"/>
      <c r="B760" s="280"/>
      <c r="C760" s="280"/>
      <c r="D760" s="280"/>
      <c r="E760" s="281"/>
      <c r="F760" s="281"/>
      <c r="G760" s="281"/>
      <c r="H760" s="281"/>
      <c r="I760" s="281"/>
      <c r="J760" s="281"/>
      <c r="K760" s="195"/>
      <c r="L760" s="265"/>
      <c r="M760" s="266"/>
    </row>
    <row r="761">
      <c r="A761" s="75"/>
      <c r="B761" s="280"/>
      <c r="C761" s="280"/>
      <c r="D761" s="280"/>
      <c r="E761" s="281"/>
      <c r="F761" s="281"/>
      <c r="G761" s="281"/>
      <c r="H761" s="281"/>
      <c r="I761" s="281"/>
      <c r="J761" s="281"/>
      <c r="K761" s="195"/>
      <c r="L761" s="265"/>
      <c r="M761" s="266"/>
    </row>
    <row r="762">
      <c r="A762" s="75"/>
      <c r="B762" s="280"/>
      <c r="C762" s="280"/>
      <c r="D762" s="280"/>
      <c r="E762" s="281"/>
      <c r="F762" s="281"/>
      <c r="G762" s="281"/>
      <c r="H762" s="281"/>
      <c r="I762" s="281"/>
      <c r="J762" s="281"/>
      <c r="K762" s="195"/>
      <c r="L762" s="265"/>
      <c r="M762" s="266"/>
    </row>
    <row r="763">
      <c r="A763" s="75"/>
      <c r="B763" s="280"/>
      <c r="C763" s="280"/>
      <c r="D763" s="280"/>
      <c r="E763" s="281"/>
      <c r="F763" s="281"/>
      <c r="G763" s="281"/>
      <c r="H763" s="281"/>
      <c r="I763" s="281"/>
      <c r="J763" s="281"/>
      <c r="K763" s="195"/>
      <c r="L763" s="265"/>
      <c r="M763" s="266"/>
    </row>
    <row r="764">
      <c r="A764" s="75"/>
      <c r="B764" s="280"/>
      <c r="C764" s="280"/>
      <c r="D764" s="280"/>
      <c r="E764" s="281"/>
      <c r="F764" s="281"/>
      <c r="G764" s="281"/>
      <c r="H764" s="281"/>
      <c r="I764" s="281"/>
      <c r="J764" s="281"/>
      <c r="K764" s="195"/>
      <c r="L764" s="265"/>
      <c r="M764" s="266"/>
    </row>
    <row r="765">
      <c r="A765" s="75"/>
      <c r="B765" s="280"/>
      <c r="C765" s="280"/>
      <c r="D765" s="280"/>
      <c r="E765" s="281"/>
      <c r="F765" s="281"/>
      <c r="G765" s="281"/>
      <c r="H765" s="281"/>
      <c r="I765" s="281"/>
      <c r="J765" s="281"/>
      <c r="K765" s="195"/>
      <c r="L765" s="265"/>
      <c r="M765" s="266"/>
    </row>
    <row r="766">
      <c r="A766" s="75"/>
      <c r="B766" s="280"/>
      <c r="C766" s="280"/>
      <c r="D766" s="280"/>
      <c r="E766" s="281"/>
      <c r="F766" s="281"/>
      <c r="G766" s="281"/>
      <c r="H766" s="281"/>
      <c r="I766" s="281"/>
      <c r="J766" s="281"/>
      <c r="K766" s="195"/>
      <c r="L766" s="265"/>
      <c r="M766" s="266"/>
    </row>
    <row r="767">
      <c r="A767" s="75"/>
      <c r="B767" s="280"/>
      <c r="C767" s="280"/>
      <c r="D767" s="280"/>
      <c r="E767" s="281"/>
      <c r="F767" s="281"/>
      <c r="G767" s="281"/>
      <c r="H767" s="281"/>
      <c r="I767" s="281"/>
      <c r="J767" s="281"/>
      <c r="K767" s="195"/>
      <c r="L767" s="265"/>
      <c r="M767" s="266"/>
    </row>
    <row r="768">
      <c r="A768" s="75"/>
      <c r="B768" s="280"/>
      <c r="C768" s="280"/>
      <c r="D768" s="280"/>
      <c r="E768" s="281"/>
      <c r="F768" s="281"/>
      <c r="G768" s="281"/>
      <c r="H768" s="281"/>
      <c r="I768" s="281"/>
      <c r="J768" s="281"/>
      <c r="K768" s="195"/>
      <c r="L768" s="265"/>
      <c r="M768" s="266"/>
    </row>
    <row r="769">
      <c r="A769" s="75"/>
      <c r="B769" s="280"/>
      <c r="C769" s="280"/>
      <c r="D769" s="280"/>
      <c r="E769" s="281"/>
      <c r="F769" s="281"/>
      <c r="G769" s="281"/>
      <c r="H769" s="281"/>
      <c r="I769" s="281"/>
      <c r="J769" s="281"/>
      <c r="K769" s="195"/>
      <c r="L769" s="265"/>
      <c r="M769" s="266"/>
    </row>
    <row r="770">
      <c r="A770" s="75"/>
      <c r="B770" s="280"/>
      <c r="C770" s="280"/>
      <c r="D770" s="280"/>
      <c r="E770" s="281"/>
      <c r="F770" s="281"/>
      <c r="G770" s="281"/>
      <c r="H770" s="281"/>
      <c r="I770" s="281"/>
      <c r="J770" s="281"/>
      <c r="K770" s="195"/>
      <c r="L770" s="265"/>
      <c r="M770" s="266"/>
    </row>
    <row r="771">
      <c r="A771" s="75"/>
      <c r="B771" s="280"/>
      <c r="C771" s="280"/>
      <c r="D771" s="280"/>
      <c r="E771" s="281"/>
      <c r="F771" s="281"/>
      <c r="G771" s="281"/>
      <c r="H771" s="281"/>
      <c r="I771" s="281"/>
      <c r="J771" s="281"/>
      <c r="K771" s="195"/>
      <c r="L771" s="265"/>
      <c r="M771" s="266"/>
    </row>
    <row r="772">
      <c r="A772" s="75"/>
      <c r="B772" s="280"/>
      <c r="C772" s="280"/>
      <c r="D772" s="280"/>
      <c r="E772" s="281"/>
      <c r="F772" s="281"/>
      <c r="G772" s="281"/>
      <c r="H772" s="281"/>
      <c r="I772" s="281"/>
      <c r="J772" s="281"/>
      <c r="K772" s="195"/>
      <c r="L772" s="265"/>
      <c r="M772" s="266"/>
    </row>
    <row r="773">
      <c r="A773" s="75"/>
      <c r="B773" s="280"/>
      <c r="C773" s="280"/>
      <c r="D773" s="280"/>
      <c r="E773" s="281"/>
      <c r="F773" s="281"/>
      <c r="G773" s="281"/>
      <c r="H773" s="281"/>
      <c r="I773" s="281"/>
      <c r="J773" s="281"/>
      <c r="K773" s="195"/>
      <c r="L773" s="265"/>
      <c r="M773" s="266"/>
    </row>
    <row r="774">
      <c r="A774" s="75"/>
      <c r="B774" s="280"/>
      <c r="C774" s="280"/>
      <c r="D774" s="280"/>
      <c r="E774" s="281"/>
      <c r="F774" s="281"/>
      <c r="G774" s="281"/>
      <c r="H774" s="281"/>
      <c r="I774" s="281"/>
      <c r="J774" s="281"/>
      <c r="K774" s="195"/>
      <c r="L774" s="265"/>
      <c r="M774" s="266"/>
    </row>
    <row r="775">
      <c r="A775" s="75"/>
      <c r="B775" s="280"/>
      <c r="C775" s="280"/>
      <c r="D775" s="280"/>
      <c r="E775" s="281"/>
      <c r="F775" s="281"/>
      <c r="G775" s="281"/>
      <c r="H775" s="281"/>
      <c r="I775" s="281"/>
      <c r="J775" s="281"/>
      <c r="K775" s="195"/>
      <c r="L775" s="265"/>
      <c r="M775" s="266"/>
    </row>
    <row r="776">
      <c r="A776" s="75"/>
      <c r="B776" s="280"/>
      <c r="C776" s="280"/>
      <c r="D776" s="280"/>
      <c r="E776" s="281"/>
      <c r="F776" s="281"/>
      <c r="G776" s="281"/>
      <c r="H776" s="281"/>
      <c r="I776" s="281"/>
      <c r="J776" s="281"/>
      <c r="K776" s="195"/>
      <c r="L776" s="265"/>
      <c r="M776" s="266"/>
    </row>
    <row r="777">
      <c r="A777" s="75"/>
      <c r="B777" s="280"/>
      <c r="C777" s="280"/>
      <c r="D777" s="280"/>
      <c r="E777" s="281"/>
      <c r="F777" s="281"/>
      <c r="G777" s="281"/>
      <c r="H777" s="281"/>
      <c r="I777" s="281"/>
      <c r="J777" s="281"/>
      <c r="K777" s="195"/>
      <c r="L777" s="265"/>
      <c r="M777" s="266"/>
    </row>
    <row r="778">
      <c r="A778" s="75"/>
      <c r="B778" s="280"/>
      <c r="C778" s="280"/>
      <c r="D778" s="280"/>
      <c r="E778" s="281"/>
      <c r="F778" s="281"/>
      <c r="G778" s="281"/>
      <c r="H778" s="281"/>
      <c r="I778" s="281"/>
      <c r="J778" s="281"/>
      <c r="K778" s="195"/>
      <c r="L778" s="265"/>
      <c r="M778" s="266"/>
    </row>
    <row r="779">
      <c r="A779" s="75"/>
      <c r="B779" s="280"/>
      <c r="C779" s="280"/>
      <c r="D779" s="280"/>
      <c r="E779" s="281"/>
      <c r="F779" s="281"/>
      <c r="G779" s="281"/>
      <c r="H779" s="281"/>
      <c r="I779" s="281"/>
      <c r="J779" s="281"/>
      <c r="K779" s="195"/>
      <c r="L779" s="265"/>
      <c r="M779" s="266"/>
    </row>
    <row r="780">
      <c r="A780" s="75"/>
      <c r="B780" s="280"/>
      <c r="C780" s="280"/>
      <c r="D780" s="280"/>
      <c r="E780" s="281"/>
      <c r="F780" s="281"/>
      <c r="G780" s="281"/>
      <c r="H780" s="281"/>
      <c r="I780" s="281"/>
      <c r="J780" s="281"/>
      <c r="K780" s="195"/>
      <c r="L780" s="265"/>
      <c r="M780" s="266"/>
    </row>
    <row r="781">
      <c r="A781" s="75"/>
      <c r="B781" s="280"/>
      <c r="C781" s="280"/>
      <c r="D781" s="280"/>
      <c r="E781" s="281"/>
      <c r="F781" s="281"/>
      <c r="G781" s="281"/>
      <c r="H781" s="281"/>
      <c r="I781" s="281"/>
      <c r="J781" s="281"/>
      <c r="K781" s="195"/>
      <c r="L781" s="265"/>
      <c r="M781" s="266"/>
    </row>
    <row r="782">
      <c r="A782" s="75"/>
      <c r="B782" s="280"/>
      <c r="C782" s="280"/>
      <c r="D782" s="280"/>
      <c r="E782" s="281"/>
      <c r="F782" s="281"/>
      <c r="G782" s="281"/>
      <c r="H782" s="281"/>
      <c r="I782" s="281"/>
      <c r="J782" s="281"/>
      <c r="K782" s="195"/>
      <c r="L782" s="265"/>
      <c r="M782" s="266"/>
    </row>
    <row r="783">
      <c r="A783" s="75"/>
      <c r="B783" s="280"/>
      <c r="C783" s="280"/>
      <c r="D783" s="280"/>
      <c r="E783" s="281"/>
      <c r="F783" s="281"/>
      <c r="G783" s="281"/>
      <c r="H783" s="281"/>
      <c r="I783" s="281"/>
      <c r="J783" s="281"/>
      <c r="K783" s="195"/>
      <c r="L783" s="265"/>
      <c r="M783" s="266"/>
    </row>
    <row r="784">
      <c r="A784" s="75"/>
      <c r="B784" s="280"/>
      <c r="C784" s="280"/>
      <c r="D784" s="280"/>
      <c r="E784" s="281"/>
      <c r="F784" s="281"/>
      <c r="G784" s="281"/>
      <c r="H784" s="281"/>
      <c r="I784" s="281"/>
      <c r="J784" s="281"/>
      <c r="K784" s="195"/>
      <c r="L784" s="265"/>
      <c r="M784" s="266"/>
    </row>
    <row r="785">
      <c r="A785" s="75"/>
      <c r="B785" s="280"/>
      <c r="C785" s="280"/>
      <c r="D785" s="280"/>
      <c r="E785" s="281"/>
      <c r="F785" s="281"/>
      <c r="G785" s="281"/>
      <c r="H785" s="281"/>
      <c r="I785" s="281"/>
      <c r="J785" s="281"/>
      <c r="K785" s="195"/>
      <c r="L785" s="265"/>
      <c r="M785" s="266"/>
    </row>
    <row r="786">
      <c r="A786" s="75"/>
      <c r="B786" s="280"/>
      <c r="C786" s="280"/>
      <c r="D786" s="280"/>
      <c r="E786" s="281"/>
      <c r="F786" s="281"/>
      <c r="G786" s="281"/>
      <c r="H786" s="281"/>
      <c r="I786" s="281"/>
      <c r="J786" s="281"/>
      <c r="K786" s="195"/>
      <c r="L786" s="265"/>
      <c r="M786" s="266"/>
    </row>
    <row r="787">
      <c r="A787" s="75"/>
      <c r="B787" s="280"/>
      <c r="C787" s="280"/>
      <c r="D787" s="280"/>
      <c r="E787" s="281"/>
      <c r="F787" s="281"/>
      <c r="G787" s="281"/>
      <c r="H787" s="281"/>
      <c r="I787" s="281"/>
      <c r="J787" s="281"/>
      <c r="K787" s="195"/>
      <c r="L787" s="265"/>
      <c r="M787" s="266"/>
    </row>
    <row r="788">
      <c r="A788" s="75"/>
      <c r="B788" s="280"/>
      <c r="C788" s="280"/>
      <c r="D788" s="280"/>
      <c r="E788" s="281"/>
      <c r="F788" s="281"/>
      <c r="G788" s="281"/>
      <c r="H788" s="281"/>
      <c r="I788" s="281"/>
      <c r="J788" s="281"/>
      <c r="K788" s="195"/>
      <c r="L788" s="265"/>
      <c r="M788" s="266"/>
    </row>
    <row r="789">
      <c r="A789" s="75"/>
      <c r="B789" s="280"/>
      <c r="C789" s="280"/>
      <c r="D789" s="280"/>
      <c r="E789" s="281"/>
      <c r="F789" s="281"/>
      <c r="G789" s="281"/>
      <c r="H789" s="281"/>
      <c r="I789" s="281"/>
      <c r="J789" s="281"/>
      <c r="K789" s="195"/>
      <c r="L789" s="265"/>
      <c r="M789" s="266"/>
    </row>
    <row r="790">
      <c r="A790" s="75"/>
      <c r="B790" s="280"/>
      <c r="C790" s="280"/>
      <c r="D790" s="280"/>
      <c r="E790" s="281"/>
      <c r="F790" s="281"/>
      <c r="G790" s="281"/>
      <c r="H790" s="281"/>
      <c r="I790" s="281"/>
      <c r="J790" s="281"/>
      <c r="K790" s="195"/>
      <c r="L790" s="265"/>
      <c r="M790" s="266"/>
    </row>
    <row r="791">
      <c r="A791" s="75"/>
      <c r="B791" s="280"/>
      <c r="C791" s="280"/>
      <c r="D791" s="280"/>
      <c r="E791" s="281"/>
      <c r="F791" s="281"/>
      <c r="G791" s="281"/>
      <c r="H791" s="281"/>
      <c r="I791" s="281"/>
      <c r="J791" s="281"/>
      <c r="K791" s="195"/>
      <c r="L791" s="265"/>
      <c r="M791" s="266"/>
    </row>
    <row r="792">
      <c r="A792" s="75"/>
      <c r="B792" s="280"/>
      <c r="C792" s="280"/>
      <c r="D792" s="280"/>
      <c r="E792" s="281"/>
      <c r="F792" s="281"/>
      <c r="G792" s="281"/>
      <c r="H792" s="281"/>
      <c r="I792" s="281"/>
      <c r="J792" s="281"/>
      <c r="K792" s="195"/>
      <c r="L792" s="265"/>
      <c r="M792" s="266"/>
    </row>
    <row r="793">
      <c r="A793" s="75"/>
      <c r="B793" s="280"/>
      <c r="C793" s="280"/>
      <c r="D793" s="280"/>
      <c r="E793" s="281"/>
      <c r="F793" s="281"/>
      <c r="G793" s="281"/>
      <c r="H793" s="281"/>
      <c r="I793" s="281"/>
      <c r="J793" s="281"/>
      <c r="K793" s="195"/>
      <c r="L793" s="265"/>
      <c r="M793" s="266"/>
    </row>
    <row r="794">
      <c r="A794" s="75"/>
      <c r="B794" s="280"/>
      <c r="C794" s="280"/>
      <c r="D794" s="280"/>
      <c r="E794" s="281"/>
      <c r="F794" s="281"/>
      <c r="G794" s="281"/>
      <c r="H794" s="281"/>
      <c r="I794" s="281"/>
      <c r="J794" s="281"/>
      <c r="K794" s="195"/>
      <c r="L794" s="265"/>
      <c r="M794" s="266"/>
    </row>
    <row r="795">
      <c r="A795" s="75"/>
      <c r="B795" s="280"/>
      <c r="C795" s="280"/>
      <c r="D795" s="280"/>
      <c r="E795" s="281"/>
      <c r="F795" s="281"/>
      <c r="G795" s="281"/>
      <c r="H795" s="281"/>
      <c r="I795" s="281"/>
      <c r="J795" s="281"/>
      <c r="K795" s="195"/>
      <c r="L795" s="265"/>
      <c r="M795" s="266"/>
    </row>
    <row r="796">
      <c r="A796" s="75"/>
      <c r="B796" s="280"/>
      <c r="C796" s="280"/>
      <c r="D796" s="280"/>
      <c r="E796" s="281"/>
      <c r="F796" s="281"/>
      <c r="G796" s="281"/>
      <c r="H796" s="281"/>
      <c r="I796" s="281"/>
      <c r="J796" s="281"/>
      <c r="K796" s="195"/>
      <c r="L796" s="265"/>
      <c r="M796" s="266"/>
    </row>
    <row r="797">
      <c r="A797" s="75"/>
      <c r="B797" s="280"/>
      <c r="C797" s="280"/>
      <c r="D797" s="280"/>
      <c r="E797" s="281"/>
      <c r="F797" s="281"/>
      <c r="G797" s="281"/>
      <c r="H797" s="281"/>
      <c r="I797" s="281"/>
      <c r="J797" s="281"/>
      <c r="K797" s="195"/>
      <c r="L797" s="265"/>
      <c r="M797" s="266"/>
    </row>
    <row r="798">
      <c r="A798" s="75"/>
      <c r="B798" s="280"/>
      <c r="C798" s="280"/>
      <c r="D798" s="280"/>
      <c r="E798" s="281"/>
      <c r="F798" s="281"/>
      <c r="G798" s="281"/>
      <c r="H798" s="281"/>
      <c r="I798" s="281"/>
      <c r="J798" s="281"/>
      <c r="K798" s="195"/>
      <c r="L798" s="265"/>
      <c r="M798" s="266"/>
    </row>
    <row r="799">
      <c r="A799" s="75"/>
      <c r="B799" s="280"/>
      <c r="C799" s="280"/>
      <c r="D799" s="280"/>
      <c r="E799" s="281"/>
      <c r="F799" s="281"/>
      <c r="G799" s="281"/>
      <c r="H799" s="281"/>
      <c r="I799" s="281"/>
      <c r="J799" s="281"/>
      <c r="K799" s="195"/>
      <c r="L799" s="265"/>
      <c r="M799" s="266"/>
    </row>
    <row r="800">
      <c r="A800" s="75"/>
      <c r="B800" s="280"/>
      <c r="C800" s="280"/>
      <c r="D800" s="280"/>
      <c r="E800" s="281"/>
      <c r="F800" s="281"/>
      <c r="G800" s="281"/>
      <c r="H800" s="281"/>
      <c r="I800" s="281"/>
      <c r="J800" s="281"/>
      <c r="K800" s="195"/>
      <c r="L800" s="265"/>
      <c r="M800" s="266"/>
    </row>
    <row r="801">
      <c r="A801" s="75"/>
      <c r="B801" s="280"/>
      <c r="C801" s="280"/>
      <c r="D801" s="280"/>
      <c r="E801" s="281"/>
      <c r="F801" s="281"/>
      <c r="G801" s="281"/>
      <c r="H801" s="281"/>
      <c r="I801" s="281"/>
      <c r="J801" s="281"/>
      <c r="K801" s="195"/>
      <c r="L801" s="265"/>
      <c r="M801" s="266"/>
    </row>
    <row r="802">
      <c r="A802" s="75"/>
      <c r="B802" s="280"/>
      <c r="C802" s="280"/>
      <c r="D802" s="280"/>
      <c r="E802" s="281"/>
      <c r="F802" s="281"/>
      <c r="G802" s="281"/>
      <c r="H802" s="281"/>
      <c r="I802" s="281"/>
      <c r="J802" s="281"/>
      <c r="K802" s="195"/>
      <c r="L802" s="265"/>
      <c r="M802" s="266"/>
    </row>
    <row r="803">
      <c r="A803" s="75"/>
      <c r="B803" s="280"/>
      <c r="C803" s="280"/>
      <c r="D803" s="280"/>
      <c r="E803" s="281"/>
      <c r="F803" s="281"/>
      <c r="G803" s="281"/>
      <c r="H803" s="281"/>
      <c r="I803" s="281"/>
      <c r="J803" s="281"/>
      <c r="K803" s="195"/>
      <c r="L803" s="265"/>
      <c r="M803" s="266"/>
    </row>
    <row r="804">
      <c r="A804" s="75"/>
      <c r="B804" s="280"/>
      <c r="C804" s="280"/>
      <c r="D804" s="280"/>
      <c r="E804" s="281"/>
      <c r="F804" s="281"/>
      <c r="G804" s="281"/>
      <c r="H804" s="281"/>
      <c r="I804" s="281"/>
      <c r="J804" s="281"/>
      <c r="K804" s="195"/>
      <c r="L804" s="265"/>
      <c r="M804" s="266"/>
    </row>
    <row r="805">
      <c r="A805" s="75"/>
      <c r="B805" s="280"/>
      <c r="C805" s="280"/>
      <c r="D805" s="280"/>
      <c r="E805" s="281"/>
      <c r="F805" s="281"/>
      <c r="G805" s="281"/>
      <c r="H805" s="281"/>
      <c r="I805" s="281"/>
      <c r="J805" s="281"/>
      <c r="K805" s="195"/>
      <c r="L805" s="265"/>
      <c r="M805" s="266"/>
    </row>
    <row r="806">
      <c r="A806" s="75"/>
      <c r="B806" s="280"/>
      <c r="C806" s="280"/>
      <c r="D806" s="280"/>
      <c r="E806" s="281"/>
      <c r="F806" s="281"/>
      <c r="G806" s="281"/>
      <c r="H806" s="281"/>
      <c r="I806" s="281"/>
      <c r="J806" s="281"/>
      <c r="K806" s="195"/>
      <c r="L806" s="265"/>
      <c r="M806" s="266"/>
    </row>
    <row r="807">
      <c r="A807" s="75"/>
      <c r="B807" s="280"/>
      <c r="C807" s="280"/>
      <c r="D807" s="280"/>
      <c r="E807" s="281"/>
      <c r="F807" s="281"/>
      <c r="G807" s="281"/>
      <c r="H807" s="281"/>
      <c r="I807" s="281"/>
      <c r="J807" s="281"/>
      <c r="K807" s="195"/>
      <c r="L807" s="265"/>
      <c r="M807" s="266"/>
    </row>
    <row r="808">
      <c r="A808" s="75"/>
      <c r="B808" s="280"/>
      <c r="C808" s="280"/>
      <c r="D808" s="280"/>
      <c r="E808" s="281"/>
      <c r="F808" s="281"/>
      <c r="G808" s="281"/>
      <c r="H808" s="281"/>
      <c r="I808" s="281"/>
      <c r="J808" s="281"/>
      <c r="K808" s="195"/>
      <c r="L808" s="265"/>
      <c r="M808" s="266"/>
    </row>
    <row r="809">
      <c r="A809" s="75"/>
      <c r="B809" s="280"/>
      <c r="C809" s="280"/>
      <c r="D809" s="280"/>
      <c r="E809" s="281"/>
      <c r="F809" s="281"/>
      <c r="G809" s="281"/>
      <c r="H809" s="281"/>
      <c r="I809" s="281"/>
      <c r="J809" s="281"/>
      <c r="K809" s="195"/>
      <c r="L809" s="265"/>
      <c r="M809" s="266"/>
    </row>
    <row r="810">
      <c r="A810" s="75"/>
      <c r="B810" s="280"/>
      <c r="C810" s="280"/>
      <c r="D810" s="280"/>
      <c r="E810" s="281"/>
      <c r="F810" s="281"/>
      <c r="G810" s="281"/>
      <c r="H810" s="281"/>
      <c r="I810" s="281"/>
      <c r="J810" s="281"/>
      <c r="K810" s="195"/>
      <c r="L810" s="265"/>
      <c r="M810" s="266"/>
    </row>
    <row r="811">
      <c r="A811" s="75"/>
      <c r="B811" s="280"/>
      <c r="C811" s="280"/>
      <c r="D811" s="280"/>
      <c r="E811" s="281"/>
      <c r="F811" s="281"/>
      <c r="G811" s="281"/>
      <c r="H811" s="281"/>
      <c r="I811" s="281"/>
      <c r="J811" s="281"/>
      <c r="K811" s="195"/>
      <c r="L811" s="265"/>
      <c r="M811" s="266"/>
    </row>
    <row r="812">
      <c r="A812" s="75"/>
      <c r="B812" s="280"/>
      <c r="C812" s="280"/>
      <c r="D812" s="280"/>
      <c r="E812" s="281"/>
      <c r="F812" s="281"/>
      <c r="G812" s="281"/>
      <c r="H812" s="281"/>
      <c r="I812" s="281"/>
      <c r="J812" s="281"/>
      <c r="K812" s="195"/>
      <c r="L812" s="265"/>
      <c r="M812" s="266"/>
    </row>
    <row r="813">
      <c r="A813" s="75"/>
      <c r="B813" s="280"/>
      <c r="C813" s="280"/>
      <c r="D813" s="280"/>
      <c r="E813" s="281"/>
      <c r="F813" s="281"/>
      <c r="G813" s="281"/>
      <c r="H813" s="281"/>
      <c r="I813" s="281"/>
      <c r="J813" s="281"/>
      <c r="K813" s="195"/>
      <c r="L813" s="265"/>
      <c r="M813" s="266"/>
    </row>
    <row r="814">
      <c r="A814" s="75"/>
      <c r="B814" s="280"/>
      <c r="C814" s="280"/>
      <c r="D814" s="280"/>
      <c r="E814" s="281"/>
      <c r="F814" s="281"/>
      <c r="G814" s="281"/>
      <c r="H814" s="281"/>
      <c r="I814" s="281"/>
      <c r="J814" s="281"/>
      <c r="K814" s="195"/>
      <c r="L814" s="265"/>
      <c r="M814" s="266"/>
    </row>
    <row r="815">
      <c r="A815" s="75"/>
      <c r="B815" s="280"/>
      <c r="C815" s="280"/>
      <c r="D815" s="280"/>
      <c r="E815" s="281"/>
      <c r="F815" s="281"/>
      <c r="G815" s="281"/>
      <c r="H815" s="281"/>
      <c r="I815" s="281"/>
      <c r="J815" s="281"/>
      <c r="K815" s="195"/>
      <c r="L815" s="265"/>
      <c r="M815" s="266"/>
    </row>
    <row r="816">
      <c r="A816" s="75"/>
      <c r="B816" s="280"/>
      <c r="C816" s="280"/>
      <c r="D816" s="280"/>
      <c r="E816" s="281"/>
      <c r="F816" s="281"/>
      <c r="G816" s="281"/>
      <c r="H816" s="281"/>
      <c r="I816" s="281"/>
      <c r="J816" s="281"/>
      <c r="K816" s="195"/>
      <c r="L816" s="265"/>
      <c r="M816" s="266"/>
    </row>
    <row r="817">
      <c r="A817" s="75"/>
      <c r="B817" s="280"/>
      <c r="C817" s="280"/>
      <c r="D817" s="280"/>
      <c r="E817" s="281"/>
      <c r="F817" s="281"/>
      <c r="G817" s="281"/>
      <c r="H817" s="281"/>
      <c r="I817" s="281"/>
      <c r="J817" s="281"/>
      <c r="K817" s="195"/>
      <c r="L817" s="265"/>
      <c r="M817" s="266"/>
    </row>
    <row r="818">
      <c r="A818" s="75"/>
      <c r="B818" s="280"/>
      <c r="C818" s="280"/>
      <c r="D818" s="280"/>
      <c r="E818" s="281"/>
      <c r="F818" s="281"/>
      <c r="G818" s="281"/>
      <c r="H818" s="281"/>
      <c r="I818" s="281"/>
      <c r="J818" s="281"/>
      <c r="K818" s="195"/>
      <c r="L818" s="265"/>
      <c r="M818" s="266"/>
    </row>
    <row r="819">
      <c r="A819" s="75"/>
      <c r="B819" s="280"/>
      <c r="C819" s="280"/>
      <c r="D819" s="280"/>
      <c r="E819" s="281"/>
      <c r="F819" s="281"/>
      <c r="G819" s="281"/>
      <c r="H819" s="281"/>
      <c r="I819" s="281"/>
      <c r="J819" s="281"/>
      <c r="K819" s="195"/>
      <c r="L819" s="265"/>
      <c r="M819" s="266"/>
    </row>
    <row r="820">
      <c r="A820" s="75"/>
      <c r="B820" s="280"/>
      <c r="C820" s="280"/>
      <c r="D820" s="280"/>
      <c r="E820" s="281"/>
      <c r="F820" s="281"/>
      <c r="G820" s="281"/>
      <c r="H820" s="281"/>
      <c r="I820" s="281"/>
      <c r="J820" s="281"/>
      <c r="K820" s="195"/>
      <c r="L820" s="265"/>
      <c r="M820" s="266"/>
    </row>
    <row r="821">
      <c r="A821" s="75"/>
      <c r="B821" s="280"/>
      <c r="C821" s="280"/>
      <c r="D821" s="280"/>
      <c r="E821" s="281"/>
      <c r="F821" s="281"/>
      <c r="G821" s="281"/>
      <c r="H821" s="281"/>
      <c r="I821" s="281"/>
      <c r="J821" s="281"/>
      <c r="K821" s="195"/>
      <c r="L821" s="265"/>
      <c r="M821" s="266"/>
    </row>
    <row r="822">
      <c r="A822" s="75"/>
      <c r="B822" s="280"/>
      <c r="C822" s="280"/>
      <c r="D822" s="280"/>
      <c r="E822" s="281"/>
      <c r="F822" s="281"/>
      <c r="G822" s="281"/>
      <c r="H822" s="281"/>
      <c r="I822" s="281"/>
      <c r="J822" s="281"/>
      <c r="K822" s="195"/>
      <c r="L822" s="265"/>
      <c r="M822" s="266"/>
    </row>
    <row r="823">
      <c r="A823" s="75"/>
      <c r="B823" s="280"/>
      <c r="C823" s="280"/>
      <c r="D823" s="280"/>
      <c r="E823" s="281"/>
      <c r="F823" s="281"/>
      <c r="G823" s="281"/>
      <c r="H823" s="281"/>
      <c r="I823" s="281"/>
      <c r="J823" s="281"/>
      <c r="K823" s="195"/>
      <c r="L823" s="265"/>
      <c r="M823" s="266"/>
    </row>
    <row r="824">
      <c r="A824" s="75"/>
      <c r="B824" s="280"/>
      <c r="C824" s="280"/>
      <c r="D824" s="280"/>
      <c r="E824" s="281"/>
      <c r="F824" s="281"/>
      <c r="G824" s="281"/>
      <c r="H824" s="281"/>
      <c r="I824" s="281"/>
      <c r="J824" s="281"/>
      <c r="K824" s="195"/>
      <c r="L824" s="265"/>
      <c r="M824" s="266"/>
    </row>
    <row r="825">
      <c r="A825" s="75"/>
      <c r="B825" s="280"/>
      <c r="C825" s="280"/>
      <c r="D825" s="280"/>
      <c r="E825" s="281"/>
      <c r="F825" s="281"/>
      <c r="G825" s="281"/>
      <c r="H825" s="281"/>
      <c r="I825" s="281"/>
      <c r="J825" s="281"/>
      <c r="K825" s="195"/>
      <c r="L825" s="265"/>
      <c r="M825" s="266"/>
    </row>
    <row r="826">
      <c r="A826" s="75"/>
      <c r="B826" s="280"/>
      <c r="C826" s="280"/>
      <c r="D826" s="280"/>
      <c r="E826" s="281"/>
      <c r="F826" s="281"/>
      <c r="G826" s="281"/>
      <c r="H826" s="281"/>
      <c r="I826" s="281"/>
      <c r="J826" s="281"/>
      <c r="K826" s="195"/>
      <c r="L826" s="265"/>
      <c r="M826" s="266"/>
    </row>
    <row r="827">
      <c r="A827" s="75"/>
      <c r="B827" s="280"/>
      <c r="C827" s="280"/>
      <c r="D827" s="280"/>
      <c r="E827" s="281"/>
      <c r="F827" s="281"/>
      <c r="G827" s="281"/>
      <c r="H827" s="281"/>
      <c r="I827" s="281"/>
      <c r="J827" s="281"/>
      <c r="K827" s="195"/>
      <c r="L827" s="265"/>
      <c r="M827" s="266"/>
    </row>
    <row r="828">
      <c r="A828" s="75"/>
      <c r="B828" s="280"/>
      <c r="C828" s="280"/>
      <c r="D828" s="280"/>
      <c r="E828" s="281"/>
      <c r="F828" s="281"/>
      <c r="G828" s="281"/>
      <c r="H828" s="281"/>
      <c r="I828" s="281"/>
      <c r="J828" s="281"/>
      <c r="K828" s="195"/>
      <c r="L828" s="265"/>
      <c r="M828" s="266"/>
    </row>
    <row r="829">
      <c r="A829" s="75"/>
      <c r="B829" s="280"/>
      <c r="C829" s="280"/>
      <c r="D829" s="280"/>
      <c r="E829" s="281"/>
      <c r="F829" s="281"/>
      <c r="G829" s="281"/>
      <c r="H829" s="281"/>
      <c r="I829" s="281"/>
      <c r="J829" s="281"/>
      <c r="K829" s="195"/>
      <c r="L829" s="265"/>
      <c r="M829" s="266"/>
    </row>
    <row r="830">
      <c r="A830" s="75"/>
      <c r="B830" s="280"/>
      <c r="C830" s="280"/>
      <c r="D830" s="280"/>
      <c r="E830" s="281"/>
      <c r="F830" s="281"/>
      <c r="G830" s="281"/>
      <c r="H830" s="281"/>
      <c r="I830" s="281"/>
      <c r="J830" s="281"/>
      <c r="K830" s="195"/>
      <c r="L830" s="265"/>
      <c r="M830" s="266"/>
    </row>
    <row r="831">
      <c r="A831" s="75"/>
      <c r="B831" s="280"/>
      <c r="C831" s="280"/>
      <c r="D831" s="280"/>
      <c r="E831" s="281"/>
      <c r="F831" s="281"/>
      <c r="G831" s="281"/>
      <c r="H831" s="281"/>
      <c r="I831" s="281"/>
      <c r="J831" s="281"/>
      <c r="K831" s="195"/>
      <c r="L831" s="265"/>
      <c r="M831" s="266"/>
    </row>
    <row r="832">
      <c r="A832" s="75"/>
      <c r="B832" s="280"/>
      <c r="C832" s="280"/>
      <c r="D832" s="280"/>
      <c r="E832" s="281"/>
      <c r="F832" s="281"/>
      <c r="G832" s="281"/>
      <c r="H832" s="281"/>
      <c r="I832" s="281"/>
      <c r="J832" s="281"/>
      <c r="K832" s="195"/>
      <c r="L832" s="265"/>
      <c r="M832" s="266"/>
    </row>
    <row r="833">
      <c r="A833" s="75"/>
      <c r="B833" s="280"/>
      <c r="C833" s="280"/>
      <c r="D833" s="280"/>
      <c r="E833" s="281"/>
      <c r="F833" s="281"/>
      <c r="G833" s="281"/>
      <c r="H833" s="281"/>
      <c r="I833" s="281"/>
      <c r="J833" s="281"/>
      <c r="K833" s="195"/>
      <c r="L833" s="265"/>
      <c r="M833" s="266"/>
    </row>
    <row r="834">
      <c r="A834" s="75"/>
      <c r="B834" s="280"/>
      <c r="C834" s="280"/>
      <c r="D834" s="280"/>
      <c r="E834" s="281"/>
      <c r="F834" s="281"/>
      <c r="G834" s="281"/>
      <c r="H834" s="281"/>
      <c r="I834" s="281"/>
      <c r="J834" s="281"/>
      <c r="K834" s="195"/>
      <c r="L834" s="265"/>
      <c r="M834" s="266"/>
    </row>
    <row r="835">
      <c r="A835" s="75"/>
      <c r="B835" s="280"/>
      <c r="C835" s="280"/>
      <c r="D835" s="280"/>
      <c r="E835" s="281"/>
      <c r="F835" s="281"/>
      <c r="G835" s="281"/>
      <c r="H835" s="281"/>
      <c r="I835" s="281"/>
      <c r="J835" s="281"/>
      <c r="K835" s="195"/>
      <c r="L835" s="265"/>
      <c r="M835" s="266"/>
    </row>
    <row r="836">
      <c r="A836" s="75"/>
      <c r="B836" s="280"/>
      <c r="C836" s="280"/>
      <c r="D836" s="280"/>
      <c r="E836" s="281"/>
      <c r="F836" s="281"/>
      <c r="G836" s="281"/>
      <c r="H836" s="281"/>
      <c r="I836" s="281"/>
      <c r="J836" s="281"/>
      <c r="K836" s="195"/>
      <c r="L836" s="265"/>
      <c r="M836" s="266"/>
    </row>
    <row r="837">
      <c r="A837" s="75"/>
      <c r="B837" s="280"/>
      <c r="C837" s="280"/>
      <c r="D837" s="280"/>
      <c r="E837" s="281"/>
      <c r="F837" s="281"/>
      <c r="G837" s="281"/>
      <c r="H837" s="281"/>
      <c r="I837" s="281"/>
      <c r="J837" s="281"/>
      <c r="K837" s="195"/>
      <c r="L837" s="265"/>
      <c r="M837" s="266"/>
    </row>
    <row r="838">
      <c r="A838" s="75"/>
      <c r="B838" s="280"/>
      <c r="C838" s="280"/>
      <c r="D838" s="280"/>
      <c r="E838" s="281"/>
      <c r="F838" s="281"/>
      <c r="G838" s="281"/>
      <c r="H838" s="281"/>
      <c r="I838" s="281"/>
      <c r="J838" s="281"/>
      <c r="K838" s="195"/>
      <c r="L838" s="265"/>
      <c r="M838" s="266"/>
    </row>
    <row r="839">
      <c r="A839" s="75"/>
      <c r="B839" s="280"/>
      <c r="C839" s="280"/>
      <c r="D839" s="280"/>
      <c r="E839" s="281"/>
      <c r="F839" s="281"/>
      <c r="G839" s="281"/>
      <c r="H839" s="281"/>
      <c r="I839" s="281"/>
      <c r="J839" s="281"/>
      <c r="K839" s="195"/>
      <c r="L839" s="265"/>
      <c r="M839" s="266"/>
    </row>
    <row r="840">
      <c r="A840" s="75"/>
      <c r="B840" s="280"/>
      <c r="C840" s="280"/>
      <c r="D840" s="280"/>
      <c r="E840" s="281"/>
      <c r="F840" s="281"/>
      <c r="G840" s="281"/>
      <c r="H840" s="281"/>
      <c r="I840" s="281"/>
      <c r="J840" s="281"/>
      <c r="K840" s="195"/>
      <c r="L840" s="265"/>
      <c r="M840" s="266"/>
    </row>
    <row r="841">
      <c r="A841" s="75"/>
      <c r="B841" s="280"/>
      <c r="C841" s="280"/>
      <c r="D841" s="280"/>
      <c r="E841" s="281"/>
      <c r="F841" s="281"/>
      <c r="G841" s="281"/>
      <c r="H841" s="281"/>
      <c r="I841" s="281"/>
      <c r="J841" s="281"/>
      <c r="K841" s="195"/>
      <c r="L841" s="265"/>
      <c r="M841" s="266"/>
    </row>
    <row r="842">
      <c r="A842" s="75"/>
      <c r="B842" s="280"/>
      <c r="C842" s="280"/>
      <c r="D842" s="280"/>
      <c r="E842" s="281"/>
      <c r="F842" s="281"/>
      <c r="G842" s="281"/>
      <c r="H842" s="281"/>
      <c r="I842" s="281"/>
      <c r="J842" s="281"/>
      <c r="K842" s="195"/>
      <c r="L842" s="265"/>
      <c r="M842" s="266"/>
    </row>
    <row r="843">
      <c r="A843" s="75"/>
      <c r="B843" s="280"/>
      <c r="C843" s="280"/>
      <c r="D843" s="280"/>
      <c r="E843" s="281"/>
      <c r="F843" s="281"/>
      <c r="G843" s="281"/>
      <c r="H843" s="281"/>
      <c r="I843" s="281"/>
      <c r="J843" s="281"/>
      <c r="K843" s="195"/>
      <c r="L843" s="265"/>
      <c r="M843" s="266"/>
    </row>
    <row r="844">
      <c r="A844" s="75"/>
      <c r="B844" s="280"/>
      <c r="C844" s="280"/>
      <c r="D844" s="280"/>
      <c r="E844" s="281"/>
      <c r="F844" s="281"/>
      <c r="G844" s="281"/>
      <c r="H844" s="281"/>
      <c r="I844" s="281"/>
      <c r="J844" s="281"/>
      <c r="K844" s="195"/>
      <c r="L844" s="265"/>
      <c r="M844" s="266"/>
    </row>
    <row r="845">
      <c r="A845" s="75"/>
      <c r="B845" s="280"/>
      <c r="C845" s="280"/>
      <c r="D845" s="280"/>
      <c r="E845" s="281"/>
      <c r="F845" s="281"/>
      <c r="G845" s="281"/>
      <c r="H845" s="281"/>
      <c r="I845" s="281"/>
      <c r="J845" s="281"/>
      <c r="K845" s="195"/>
      <c r="L845" s="265"/>
      <c r="M845" s="266"/>
    </row>
    <row r="846">
      <c r="A846" s="75"/>
      <c r="B846" s="280"/>
      <c r="C846" s="280"/>
      <c r="D846" s="280"/>
      <c r="E846" s="281"/>
      <c r="F846" s="281"/>
      <c r="G846" s="281"/>
      <c r="H846" s="281"/>
      <c r="I846" s="281"/>
      <c r="J846" s="281"/>
      <c r="K846" s="195"/>
      <c r="L846" s="265"/>
      <c r="M846" s="266"/>
    </row>
    <row r="847">
      <c r="A847" s="75"/>
      <c r="B847" s="280"/>
      <c r="C847" s="280"/>
      <c r="D847" s="280"/>
      <c r="E847" s="281"/>
      <c r="F847" s="281"/>
      <c r="G847" s="281"/>
      <c r="H847" s="281"/>
      <c r="I847" s="281"/>
      <c r="J847" s="281"/>
      <c r="K847" s="195"/>
      <c r="L847" s="265"/>
      <c r="M847" s="266"/>
    </row>
    <row r="848">
      <c r="A848" s="75"/>
      <c r="B848" s="280"/>
      <c r="C848" s="280"/>
      <c r="D848" s="280"/>
      <c r="E848" s="281"/>
      <c r="F848" s="281"/>
      <c r="G848" s="281"/>
      <c r="H848" s="281"/>
      <c r="I848" s="281"/>
      <c r="J848" s="281"/>
      <c r="K848" s="195"/>
      <c r="L848" s="265"/>
      <c r="M848" s="266"/>
    </row>
    <row r="849">
      <c r="A849" s="75"/>
      <c r="B849" s="280"/>
      <c r="C849" s="280"/>
      <c r="D849" s="280"/>
      <c r="E849" s="281"/>
      <c r="F849" s="281"/>
      <c r="G849" s="281"/>
      <c r="H849" s="281"/>
      <c r="I849" s="281"/>
      <c r="J849" s="281"/>
      <c r="K849" s="195"/>
      <c r="L849" s="265"/>
      <c r="M849" s="266"/>
    </row>
    <row r="850">
      <c r="A850" s="75"/>
      <c r="B850" s="280"/>
      <c r="C850" s="280"/>
      <c r="D850" s="280"/>
      <c r="E850" s="281"/>
      <c r="F850" s="281"/>
      <c r="G850" s="281"/>
      <c r="H850" s="281"/>
      <c r="I850" s="281"/>
      <c r="J850" s="281"/>
      <c r="K850" s="195"/>
      <c r="L850" s="265"/>
      <c r="M850" s="266"/>
    </row>
    <row r="851">
      <c r="A851" s="75"/>
      <c r="B851" s="280"/>
      <c r="C851" s="280"/>
      <c r="D851" s="280"/>
      <c r="E851" s="281"/>
      <c r="F851" s="281"/>
      <c r="G851" s="281"/>
      <c r="H851" s="281"/>
      <c r="I851" s="281"/>
      <c r="J851" s="281"/>
      <c r="K851" s="195"/>
      <c r="L851" s="265"/>
      <c r="M851" s="266"/>
    </row>
    <row r="852">
      <c r="A852" s="75"/>
      <c r="B852" s="280"/>
      <c r="C852" s="280"/>
      <c r="D852" s="280"/>
      <c r="E852" s="281"/>
      <c r="F852" s="281"/>
      <c r="G852" s="281"/>
      <c r="H852" s="281"/>
      <c r="I852" s="281"/>
      <c r="J852" s="281"/>
      <c r="K852" s="195"/>
      <c r="L852" s="265"/>
      <c r="M852" s="266"/>
    </row>
    <row r="853">
      <c r="A853" s="75"/>
      <c r="B853" s="280"/>
      <c r="C853" s="280"/>
      <c r="D853" s="280"/>
      <c r="E853" s="281"/>
      <c r="F853" s="281"/>
      <c r="G853" s="281"/>
      <c r="H853" s="281"/>
      <c r="I853" s="281"/>
      <c r="J853" s="281"/>
      <c r="K853" s="195"/>
      <c r="L853" s="265"/>
      <c r="M853" s="266"/>
    </row>
    <row r="854">
      <c r="A854" s="75"/>
      <c r="B854" s="280"/>
      <c r="C854" s="280"/>
      <c r="D854" s="280"/>
      <c r="E854" s="281"/>
      <c r="F854" s="281"/>
      <c r="G854" s="281"/>
      <c r="H854" s="281"/>
      <c r="I854" s="281"/>
      <c r="J854" s="281"/>
      <c r="K854" s="195"/>
      <c r="L854" s="265"/>
      <c r="M854" s="266"/>
    </row>
    <row r="855">
      <c r="A855" s="75"/>
      <c r="B855" s="280"/>
      <c r="C855" s="280"/>
      <c r="D855" s="280"/>
      <c r="E855" s="281"/>
      <c r="F855" s="281"/>
      <c r="G855" s="281"/>
      <c r="H855" s="281"/>
      <c r="I855" s="281"/>
      <c r="J855" s="281"/>
      <c r="K855" s="195"/>
      <c r="L855" s="265"/>
      <c r="M855" s="266"/>
    </row>
    <row r="856">
      <c r="A856" s="75"/>
      <c r="B856" s="280"/>
      <c r="C856" s="280"/>
      <c r="D856" s="280"/>
      <c r="E856" s="281"/>
      <c r="F856" s="281"/>
      <c r="G856" s="281"/>
      <c r="H856" s="281"/>
      <c r="I856" s="281"/>
      <c r="J856" s="281"/>
      <c r="K856" s="195"/>
      <c r="L856" s="265"/>
      <c r="M856" s="266"/>
    </row>
    <row r="857">
      <c r="A857" s="75"/>
      <c r="B857" s="280"/>
      <c r="C857" s="280"/>
      <c r="D857" s="280"/>
      <c r="E857" s="281"/>
      <c r="F857" s="281"/>
      <c r="G857" s="281"/>
      <c r="H857" s="281"/>
      <c r="I857" s="281"/>
      <c r="J857" s="281"/>
      <c r="K857" s="195"/>
      <c r="L857" s="265"/>
      <c r="M857" s="266"/>
    </row>
    <row r="858">
      <c r="A858" s="75"/>
      <c r="B858" s="280"/>
      <c r="C858" s="280"/>
      <c r="D858" s="280"/>
      <c r="E858" s="281"/>
      <c r="F858" s="281"/>
      <c r="G858" s="281"/>
      <c r="H858" s="281"/>
      <c r="I858" s="281"/>
      <c r="J858" s="281"/>
      <c r="K858" s="195"/>
      <c r="L858" s="265"/>
      <c r="M858" s="266"/>
    </row>
    <row r="859">
      <c r="A859" s="75"/>
      <c r="B859" s="280"/>
      <c r="C859" s="280"/>
      <c r="D859" s="280"/>
      <c r="E859" s="281"/>
      <c r="F859" s="281"/>
      <c r="G859" s="281"/>
      <c r="H859" s="281"/>
      <c r="I859" s="281"/>
      <c r="J859" s="281"/>
      <c r="K859" s="195"/>
      <c r="L859" s="265"/>
      <c r="M859" s="266"/>
    </row>
    <row r="860">
      <c r="A860" s="75"/>
      <c r="B860" s="280"/>
      <c r="C860" s="280"/>
      <c r="D860" s="280"/>
      <c r="E860" s="281"/>
      <c r="F860" s="281"/>
      <c r="G860" s="281"/>
      <c r="H860" s="281"/>
      <c r="I860" s="281"/>
      <c r="J860" s="281"/>
      <c r="K860" s="195"/>
      <c r="L860" s="265"/>
      <c r="M860" s="266"/>
    </row>
    <row r="861">
      <c r="A861" s="75"/>
      <c r="B861" s="280"/>
      <c r="C861" s="280"/>
      <c r="D861" s="280"/>
      <c r="E861" s="281"/>
      <c r="F861" s="281"/>
      <c r="G861" s="281"/>
      <c r="H861" s="281"/>
      <c r="I861" s="281"/>
      <c r="J861" s="281"/>
      <c r="K861" s="195"/>
      <c r="L861" s="265"/>
      <c r="M861" s="266"/>
    </row>
    <row r="862">
      <c r="A862" s="75"/>
      <c r="B862" s="280"/>
      <c r="C862" s="280"/>
      <c r="D862" s="280"/>
      <c r="E862" s="281"/>
      <c r="F862" s="281"/>
      <c r="G862" s="281"/>
      <c r="H862" s="281"/>
      <c r="I862" s="281"/>
      <c r="J862" s="281"/>
      <c r="K862" s="195"/>
      <c r="L862" s="265"/>
      <c r="M862" s="266"/>
    </row>
    <row r="863">
      <c r="A863" s="75"/>
      <c r="B863" s="280"/>
      <c r="C863" s="280"/>
      <c r="D863" s="280"/>
      <c r="E863" s="281"/>
      <c r="F863" s="281"/>
      <c r="G863" s="281"/>
      <c r="H863" s="281"/>
      <c r="I863" s="281"/>
      <c r="J863" s="281"/>
      <c r="K863" s="195"/>
      <c r="L863" s="265"/>
      <c r="M863" s="266"/>
    </row>
    <row r="864">
      <c r="A864" s="75"/>
      <c r="B864" s="280"/>
      <c r="C864" s="280"/>
      <c r="D864" s="280"/>
      <c r="E864" s="281"/>
      <c r="F864" s="281"/>
      <c r="G864" s="281"/>
      <c r="H864" s="281"/>
      <c r="I864" s="281"/>
      <c r="J864" s="281"/>
      <c r="K864" s="195"/>
      <c r="L864" s="265"/>
      <c r="M864" s="266"/>
    </row>
    <row r="865">
      <c r="A865" s="75"/>
      <c r="B865" s="280"/>
      <c r="C865" s="280"/>
      <c r="D865" s="280"/>
      <c r="E865" s="281"/>
      <c r="F865" s="281"/>
      <c r="G865" s="281"/>
      <c r="H865" s="281"/>
      <c r="I865" s="281"/>
      <c r="J865" s="281"/>
      <c r="K865" s="195"/>
      <c r="L865" s="265"/>
      <c r="M865" s="266"/>
    </row>
    <row r="866">
      <c r="A866" s="75"/>
      <c r="B866" s="280"/>
      <c r="C866" s="280"/>
      <c r="D866" s="280"/>
      <c r="E866" s="281"/>
      <c r="F866" s="281"/>
      <c r="G866" s="281"/>
      <c r="H866" s="281"/>
      <c r="I866" s="281"/>
      <c r="J866" s="281"/>
      <c r="K866" s="195"/>
      <c r="L866" s="265"/>
      <c r="M866" s="266"/>
    </row>
    <row r="867">
      <c r="A867" s="75"/>
      <c r="B867" s="280"/>
      <c r="C867" s="280"/>
      <c r="D867" s="280"/>
      <c r="E867" s="281"/>
      <c r="F867" s="281"/>
      <c r="G867" s="281"/>
      <c r="H867" s="281"/>
      <c r="I867" s="281"/>
      <c r="J867" s="281"/>
      <c r="K867" s="195"/>
      <c r="L867" s="265"/>
      <c r="M867" s="266"/>
    </row>
    <row r="868">
      <c r="A868" s="75"/>
      <c r="B868" s="280"/>
      <c r="C868" s="280"/>
      <c r="D868" s="280"/>
      <c r="E868" s="281"/>
      <c r="F868" s="281"/>
      <c r="G868" s="281"/>
      <c r="H868" s="281"/>
      <c r="I868" s="281"/>
      <c r="J868" s="281"/>
      <c r="K868" s="195"/>
      <c r="L868" s="265"/>
      <c r="M868" s="266"/>
    </row>
    <row r="869">
      <c r="A869" s="75"/>
      <c r="B869" s="280"/>
      <c r="C869" s="280"/>
      <c r="D869" s="280"/>
      <c r="E869" s="281"/>
      <c r="F869" s="281"/>
      <c r="G869" s="281"/>
      <c r="H869" s="281"/>
      <c r="I869" s="281"/>
      <c r="J869" s="281"/>
      <c r="K869" s="195"/>
      <c r="L869" s="265"/>
      <c r="M869" s="266"/>
    </row>
    <row r="870">
      <c r="A870" s="75"/>
      <c r="B870" s="280"/>
      <c r="C870" s="280"/>
      <c r="D870" s="280"/>
      <c r="E870" s="281"/>
      <c r="F870" s="281"/>
      <c r="G870" s="281"/>
      <c r="H870" s="281"/>
      <c r="I870" s="281"/>
      <c r="J870" s="281"/>
      <c r="K870" s="195"/>
      <c r="L870" s="265"/>
      <c r="M870" s="266"/>
    </row>
    <row r="871">
      <c r="A871" s="75"/>
      <c r="B871" s="280"/>
      <c r="C871" s="280"/>
      <c r="D871" s="280"/>
      <c r="E871" s="281"/>
      <c r="F871" s="281"/>
      <c r="G871" s="281"/>
      <c r="H871" s="281"/>
      <c r="I871" s="281"/>
      <c r="J871" s="281"/>
      <c r="K871" s="195"/>
      <c r="L871" s="265"/>
      <c r="M871" s="266"/>
    </row>
    <row r="872">
      <c r="A872" s="75"/>
      <c r="B872" s="280"/>
      <c r="C872" s="280"/>
      <c r="D872" s="280"/>
      <c r="E872" s="281"/>
      <c r="F872" s="281"/>
      <c r="G872" s="281"/>
      <c r="H872" s="281"/>
      <c r="I872" s="281"/>
      <c r="J872" s="281"/>
      <c r="K872" s="195"/>
      <c r="L872" s="265"/>
      <c r="M872" s="266"/>
    </row>
    <row r="873">
      <c r="A873" s="75"/>
      <c r="B873" s="280"/>
      <c r="C873" s="280"/>
      <c r="D873" s="280"/>
      <c r="E873" s="281"/>
      <c r="F873" s="281"/>
      <c r="G873" s="281"/>
      <c r="H873" s="281"/>
      <c r="I873" s="281"/>
      <c r="J873" s="281"/>
      <c r="K873" s="195"/>
      <c r="L873" s="265"/>
      <c r="M873" s="266"/>
    </row>
    <row r="874">
      <c r="A874" s="75"/>
      <c r="B874" s="280"/>
      <c r="C874" s="280"/>
      <c r="D874" s="280"/>
      <c r="E874" s="281"/>
      <c r="F874" s="281"/>
      <c r="G874" s="281"/>
      <c r="H874" s="281"/>
      <c r="I874" s="281"/>
      <c r="J874" s="281"/>
      <c r="K874" s="195"/>
      <c r="L874" s="265"/>
      <c r="M874" s="266"/>
    </row>
    <row r="875">
      <c r="A875" s="75"/>
      <c r="B875" s="280"/>
      <c r="C875" s="280"/>
      <c r="D875" s="280"/>
      <c r="E875" s="281"/>
      <c r="F875" s="281"/>
      <c r="G875" s="281"/>
      <c r="H875" s="281"/>
      <c r="I875" s="281"/>
      <c r="J875" s="281"/>
      <c r="K875" s="195"/>
      <c r="L875" s="265"/>
      <c r="M875" s="266"/>
    </row>
    <row r="876">
      <c r="A876" s="75"/>
      <c r="B876" s="280"/>
      <c r="C876" s="280"/>
      <c r="D876" s="280"/>
      <c r="E876" s="281"/>
      <c r="F876" s="281"/>
      <c r="G876" s="281"/>
      <c r="H876" s="281"/>
      <c r="I876" s="281"/>
      <c r="J876" s="281"/>
      <c r="K876" s="195"/>
      <c r="L876" s="265"/>
      <c r="M876" s="266"/>
    </row>
    <row r="877">
      <c r="A877" s="75"/>
      <c r="B877" s="280"/>
      <c r="C877" s="280"/>
      <c r="D877" s="280"/>
      <c r="E877" s="281"/>
      <c r="F877" s="281"/>
      <c r="G877" s="281"/>
      <c r="H877" s="281"/>
      <c r="I877" s="281"/>
      <c r="J877" s="281"/>
      <c r="K877" s="195"/>
      <c r="L877" s="265"/>
      <c r="M877" s="266"/>
    </row>
    <row r="878">
      <c r="A878" s="75"/>
      <c r="B878" s="280"/>
      <c r="C878" s="280"/>
      <c r="D878" s="280"/>
      <c r="E878" s="281"/>
      <c r="F878" s="281"/>
      <c r="G878" s="281"/>
      <c r="H878" s="281"/>
      <c r="I878" s="281"/>
      <c r="J878" s="281"/>
      <c r="K878" s="195"/>
      <c r="L878" s="265"/>
      <c r="M878" s="266"/>
    </row>
    <row r="879">
      <c r="A879" s="75"/>
      <c r="B879" s="280"/>
      <c r="C879" s="280"/>
      <c r="D879" s="280"/>
      <c r="E879" s="281"/>
      <c r="F879" s="281"/>
      <c r="G879" s="281"/>
      <c r="H879" s="281"/>
      <c r="I879" s="281"/>
      <c r="J879" s="281"/>
      <c r="K879" s="195"/>
      <c r="L879" s="265"/>
      <c r="M879" s="266"/>
    </row>
    <row r="880">
      <c r="A880" s="75"/>
      <c r="B880" s="280"/>
      <c r="C880" s="280"/>
      <c r="D880" s="280"/>
      <c r="E880" s="281"/>
      <c r="F880" s="281"/>
      <c r="G880" s="281"/>
      <c r="H880" s="281"/>
      <c r="I880" s="281"/>
      <c r="J880" s="281"/>
      <c r="K880" s="195"/>
      <c r="L880" s="265"/>
      <c r="M880" s="266"/>
    </row>
    <row r="881">
      <c r="A881" s="75"/>
      <c r="B881" s="280"/>
      <c r="C881" s="280"/>
      <c r="D881" s="280"/>
      <c r="E881" s="281"/>
      <c r="F881" s="281"/>
      <c r="G881" s="281"/>
      <c r="H881" s="281"/>
      <c r="I881" s="281"/>
      <c r="J881" s="281"/>
      <c r="K881" s="195"/>
      <c r="L881" s="265"/>
      <c r="M881" s="266"/>
    </row>
    <row r="882">
      <c r="A882" s="75"/>
      <c r="B882" s="280"/>
      <c r="C882" s="280"/>
      <c r="D882" s="280"/>
      <c r="E882" s="281"/>
      <c r="F882" s="281"/>
      <c r="G882" s="281"/>
      <c r="H882" s="281"/>
      <c r="I882" s="281"/>
      <c r="J882" s="281"/>
      <c r="K882" s="195"/>
      <c r="L882" s="265"/>
      <c r="M882" s="266"/>
    </row>
    <row r="883">
      <c r="A883" s="75"/>
      <c r="B883" s="280"/>
      <c r="C883" s="280"/>
      <c r="D883" s="280"/>
      <c r="E883" s="281"/>
      <c r="F883" s="281"/>
      <c r="G883" s="281"/>
      <c r="H883" s="281"/>
      <c r="I883" s="281"/>
      <c r="J883" s="281"/>
      <c r="K883" s="195"/>
      <c r="L883" s="265"/>
      <c r="M883" s="266"/>
    </row>
    <row r="884">
      <c r="A884" s="75"/>
      <c r="B884" s="280"/>
      <c r="C884" s="280"/>
      <c r="D884" s="280"/>
      <c r="E884" s="281"/>
      <c r="F884" s="281"/>
      <c r="G884" s="281"/>
      <c r="H884" s="281"/>
      <c r="I884" s="281"/>
      <c r="J884" s="281"/>
      <c r="K884" s="195"/>
      <c r="L884" s="265"/>
      <c r="M884" s="266"/>
    </row>
    <row r="885">
      <c r="A885" s="75"/>
      <c r="B885" s="280"/>
      <c r="C885" s="280"/>
      <c r="D885" s="280"/>
      <c r="E885" s="281"/>
      <c r="F885" s="281"/>
      <c r="G885" s="281"/>
      <c r="H885" s="281"/>
      <c r="I885" s="281"/>
      <c r="J885" s="281"/>
      <c r="K885" s="195"/>
      <c r="L885" s="265"/>
      <c r="M885" s="266"/>
    </row>
    <row r="886">
      <c r="A886" s="75"/>
      <c r="B886" s="280"/>
      <c r="C886" s="280"/>
      <c r="D886" s="280"/>
      <c r="E886" s="281"/>
      <c r="F886" s="281"/>
      <c r="G886" s="281"/>
      <c r="H886" s="281"/>
      <c r="I886" s="281"/>
      <c r="J886" s="281"/>
      <c r="K886" s="195"/>
      <c r="L886" s="265"/>
      <c r="M886" s="266"/>
    </row>
    <row r="887">
      <c r="A887" s="75"/>
      <c r="B887" s="280"/>
      <c r="C887" s="280"/>
      <c r="D887" s="280"/>
      <c r="E887" s="281"/>
      <c r="F887" s="281"/>
      <c r="G887" s="281"/>
      <c r="H887" s="281"/>
      <c r="I887" s="281"/>
      <c r="J887" s="281"/>
      <c r="K887" s="195"/>
      <c r="L887" s="265"/>
      <c r="M887" s="266"/>
    </row>
    <row r="888">
      <c r="A888" s="75"/>
      <c r="B888" s="280"/>
      <c r="C888" s="280"/>
      <c r="D888" s="280"/>
      <c r="E888" s="281"/>
      <c r="F888" s="281"/>
      <c r="G888" s="281"/>
      <c r="H888" s="281"/>
      <c r="I888" s="281"/>
      <c r="J888" s="281"/>
      <c r="K888" s="195"/>
      <c r="L888" s="265"/>
      <c r="M888" s="266"/>
    </row>
    <row r="889">
      <c r="A889" s="75"/>
      <c r="B889" s="280"/>
      <c r="C889" s="280"/>
      <c r="D889" s="280"/>
      <c r="E889" s="281"/>
      <c r="F889" s="281"/>
      <c r="G889" s="281"/>
      <c r="H889" s="281"/>
      <c r="I889" s="281"/>
      <c r="J889" s="281"/>
      <c r="K889" s="195"/>
      <c r="L889" s="265"/>
      <c r="M889" s="266"/>
    </row>
    <row r="890">
      <c r="A890" s="75"/>
      <c r="B890" s="280"/>
      <c r="C890" s="280"/>
      <c r="D890" s="280"/>
      <c r="E890" s="281"/>
      <c r="F890" s="281"/>
      <c r="G890" s="281"/>
      <c r="H890" s="281"/>
      <c r="I890" s="281"/>
      <c r="J890" s="281"/>
      <c r="K890" s="195"/>
      <c r="L890" s="265"/>
      <c r="M890" s="266"/>
    </row>
    <row r="891">
      <c r="A891" s="75"/>
      <c r="B891" s="280"/>
      <c r="C891" s="280"/>
      <c r="D891" s="280"/>
      <c r="E891" s="281"/>
      <c r="F891" s="281"/>
      <c r="G891" s="281"/>
      <c r="H891" s="281"/>
      <c r="I891" s="281"/>
      <c r="J891" s="281"/>
      <c r="K891" s="195"/>
      <c r="L891" s="265"/>
      <c r="M891" s="266"/>
    </row>
    <row r="892">
      <c r="A892" s="75"/>
      <c r="B892" s="280"/>
      <c r="C892" s="280"/>
      <c r="D892" s="280"/>
      <c r="E892" s="281"/>
      <c r="F892" s="281"/>
      <c r="G892" s="281"/>
      <c r="H892" s="281"/>
      <c r="I892" s="281"/>
      <c r="J892" s="281"/>
      <c r="K892" s="195"/>
      <c r="L892" s="265"/>
      <c r="M892" s="266"/>
    </row>
    <row r="893">
      <c r="A893" s="75"/>
      <c r="B893" s="280"/>
      <c r="C893" s="280"/>
      <c r="D893" s="280"/>
      <c r="E893" s="281"/>
      <c r="F893" s="281"/>
      <c r="G893" s="281"/>
      <c r="H893" s="281"/>
      <c r="I893" s="281"/>
      <c r="J893" s="281"/>
      <c r="K893" s="195"/>
      <c r="L893" s="265"/>
      <c r="M893" s="266"/>
    </row>
    <row r="894">
      <c r="A894" s="75"/>
      <c r="B894" s="280"/>
      <c r="C894" s="280"/>
      <c r="D894" s="280"/>
      <c r="E894" s="281"/>
      <c r="F894" s="281"/>
      <c r="G894" s="281"/>
      <c r="H894" s="281"/>
      <c r="I894" s="281"/>
      <c r="J894" s="281"/>
      <c r="K894" s="195"/>
      <c r="L894" s="265"/>
      <c r="M894" s="266"/>
    </row>
    <row r="895">
      <c r="A895" s="75"/>
      <c r="B895" s="280"/>
      <c r="C895" s="280"/>
      <c r="D895" s="280"/>
      <c r="E895" s="281"/>
      <c r="F895" s="281"/>
      <c r="G895" s="281"/>
      <c r="H895" s="281"/>
      <c r="I895" s="281"/>
      <c r="J895" s="281"/>
      <c r="K895" s="195"/>
      <c r="L895" s="265"/>
      <c r="M895" s="266"/>
    </row>
    <row r="896">
      <c r="A896" s="75"/>
      <c r="B896" s="280"/>
      <c r="C896" s="280"/>
      <c r="D896" s="280"/>
      <c r="E896" s="281"/>
      <c r="F896" s="281"/>
      <c r="G896" s="281"/>
      <c r="H896" s="281"/>
      <c r="I896" s="281"/>
      <c r="J896" s="281"/>
      <c r="K896" s="195"/>
      <c r="L896" s="265"/>
      <c r="M896" s="266"/>
    </row>
    <row r="897">
      <c r="A897" s="75"/>
      <c r="B897" s="280"/>
      <c r="C897" s="280"/>
      <c r="D897" s="280"/>
      <c r="E897" s="281"/>
      <c r="F897" s="281"/>
      <c r="G897" s="281"/>
      <c r="H897" s="281"/>
      <c r="I897" s="281"/>
      <c r="J897" s="281"/>
      <c r="K897" s="195"/>
      <c r="L897" s="265"/>
      <c r="M897" s="266"/>
    </row>
    <row r="898">
      <c r="A898" s="75"/>
      <c r="B898" s="280"/>
      <c r="C898" s="280"/>
      <c r="D898" s="280"/>
      <c r="E898" s="281"/>
      <c r="F898" s="281"/>
      <c r="G898" s="281"/>
      <c r="H898" s="281"/>
      <c r="I898" s="281"/>
      <c r="J898" s="281"/>
      <c r="K898" s="195"/>
      <c r="L898" s="265"/>
      <c r="M898" s="266"/>
    </row>
    <row r="899">
      <c r="A899" s="75"/>
      <c r="B899" s="280"/>
      <c r="C899" s="280"/>
      <c r="D899" s="280"/>
      <c r="E899" s="281"/>
      <c r="F899" s="281"/>
      <c r="G899" s="281"/>
      <c r="H899" s="281"/>
      <c r="I899" s="281"/>
      <c r="J899" s="281"/>
      <c r="K899" s="195"/>
      <c r="L899" s="265"/>
      <c r="M899" s="266"/>
    </row>
    <row r="900">
      <c r="A900" s="75"/>
      <c r="B900" s="280"/>
      <c r="C900" s="280"/>
      <c r="D900" s="280"/>
      <c r="E900" s="281"/>
      <c r="F900" s="281"/>
      <c r="G900" s="281"/>
      <c r="H900" s="281"/>
      <c r="I900" s="281"/>
      <c r="J900" s="281"/>
      <c r="K900" s="195"/>
      <c r="L900" s="265"/>
      <c r="M900" s="266"/>
    </row>
    <row r="901">
      <c r="A901" s="75"/>
      <c r="B901" s="280"/>
      <c r="C901" s="280"/>
      <c r="D901" s="280"/>
      <c r="E901" s="281"/>
      <c r="F901" s="281"/>
      <c r="G901" s="281"/>
      <c r="H901" s="281"/>
      <c r="I901" s="281"/>
      <c r="J901" s="281"/>
      <c r="K901" s="195"/>
      <c r="L901" s="265"/>
      <c r="M901" s="266"/>
    </row>
    <row r="902">
      <c r="A902" s="75"/>
      <c r="B902" s="280"/>
      <c r="C902" s="280"/>
      <c r="D902" s="280"/>
      <c r="E902" s="281"/>
      <c r="F902" s="281"/>
      <c r="G902" s="281"/>
      <c r="H902" s="281"/>
      <c r="I902" s="281"/>
      <c r="J902" s="281"/>
      <c r="K902" s="195"/>
      <c r="L902" s="265"/>
      <c r="M902" s="266"/>
    </row>
    <row r="903">
      <c r="A903" s="75"/>
      <c r="B903" s="280"/>
      <c r="C903" s="280"/>
      <c r="D903" s="280"/>
      <c r="E903" s="281"/>
      <c r="F903" s="281"/>
      <c r="G903" s="281"/>
      <c r="H903" s="281"/>
      <c r="I903" s="281"/>
      <c r="J903" s="281"/>
      <c r="K903" s="195"/>
      <c r="L903" s="265"/>
      <c r="M903" s="266"/>
    </row>
    <row r="904">
      <c r="A904" s="75"/>
      <c r="B904" s="280"/>
      <c r="C904" s="280"/>
      <c r="D904" s="280"/>
      <c r="E904" s="281"/>
      <c r="F904" s="281"/>
      <c r="G904" s="281"/>
      <c r="H904" s="281"/>
      <c r="I904" s="281"/>
      <c r="J904" s="281"/>
      <c r="K904" s="195"/>
      <c r="L904" s="265"/>
      <c r="M904" s="266"/>
    </row>
    <row r="905">
      <c r="A905" s="75"/>
      <c r="B905" s="280"/>
      <c r="C905" s="280"/>
      <c r="D905" s="280"/>
      <c r="E905" s="281"/>
      <c r="F905" s="281"/>
      <c r="G905" s="281"/>
      <c r="H905" s="281"/>
      <c r="I905" s="281"/>
      <c r="J905" s="281"/>
      <c r="K905" s="195"/>
      <c r="L905" s="265"/>
      <c r="M905" s="266"/>
    </row>
    <row r="906">
      <c r="A906" s="75"/>
      <c r="B906" s="280"/>
      <c r="C906" s="280"/>
      <c r="D906" s="280"/>
      <c r="E906" s="281"/>
      <c r="F906" s="281"/>
      <c r="G906" s="281"/>
      <c r="H906" s="281"/>
      <c r="I906" s="281"/>
      <c r="J906" s="281"/>
      <c r="K906" s="195"/>
      <c r="L906" s="265"/>
      <c r="M906" s="266"/>
    </row>
    <row r="907">
      <c r="A907" s="75"/>
      <c r="B907" s="280"/>
      <c r="C907" s="280"/>
      <c r="D907" s="280"/>
      <c r="E907" s="281"/>
      <c r="F907" s="281"/>
      <c r="G907" s="281"/>
      <c r="H907" s="281"/>
      <c r="I907" s="281"/>
      <c r="J907" s="281"/>
      <c r="K907" s="195"/>
      <c r="L907" s="265"/>
      <c r="M907" s="266"/>
    </row>
    <row r="908">
      <c r="A908" s="75"/>
      <c r="B908" s="280"/>
      <c r="C908" s="280"/>
      <c r="D908" s="280"/>
      <c r="E908" s="281"/>
      <c r="F908" s="281"/>
      <c r="G908" s="281"/>
      <c r="H908" s="281"/>
      <c r="I908" s="281"/>
      <c r="J908" s="281"/>
      <c r="K908" s="195"/>
      <c r="L908" s="265"/>
      <c r="M908" s="266"/>
    </row>
    <row r="909">
      <c r="A909" s="75"/>
      <c r="B909" s="280"/>
      <c r="C909" s="280"/>
      <c r="D909" s="280"/>
      <c r="E909" s="281"/>
      <c r="F909" s="281"/>
      <c r="G909" s="281"/>
      <c r="H909" s="281"/>
      <c r="I909" s="281"/>
      <c r="J909" s="281"/>
      <c r="K909" s="195"/>
      <c r="L909" s="265"/>
      <c r="M909" s="266"/>
    </row>
    <row r="910">
      <c r="A910" s="75"/>
      <c r="B910" s="280"/>
      <c r="C910" s="280"/>
      <c r="D910" s="280"/>
      <c r="E910" s="281"/>
      <c r="F910" s="281"/>
      <c r="G910" s="281"/>
      <c r="H910" s="281"/>
      <c r="I910" s="281"/>
      <c r="J910" s="281"/>
      <c r="K910" s="195"/>
      <c r="L910" s="265"/>
      <c r="M910" s="266"/>
    </row>
    <row r="911">
      <c r="A911" s="75"/>
      <c r="B911" s="280"/>
      <c r="C911" s="280"/>
      <c r="D911" s="280"/>
      <c r="E911" s="281"/>
      <c r="F911" s="281"/>
      <c r="G911" s="281"/>
      <c r="H911" s="281"/>
      <c r="I911" s="281"/>
      <c r="J911" s="281"/>
      <c r="K911" s="195"/>
      <c r="L911" s="265"/>
      <c r="M911" s="266"/>
    </row>
    <row r="912">
      <c r="A912" s="75"/>
      <c r="B912" s="280"/>
      <c r="C912" s="280"/>
      <c r="D912" s="280"/>
      <c r="E912" s="281"/>
      <c r="F912" s="281"/>
      <c r="G912" s="281"/>
      <c r="H912" s="281"/>
      <c r="I912" s="281"/>
      <c r="J912" s="281"/>
      <c r="K912" s="195"/>
      <c r="L912" s="265"/>
      <c r="M912" s="266"/>
    </row>
    <row r="913">
      <c r="A913" s="75"/>
      <c r="B913" s="280"/>
      <c r="C913" s="280"/>
      <c r="D913" s="280"/>
      <c r="E913" s="281"/>
      <c r="F913" s="281"/>
      <c r="G913" s="281"/>
      <c r="H913" s="281"/>
      <c r="I913" s="281"/>
      <c r="J913" s="281"/>
      <c r="K913" s="195"/>
      <c r="L913" s="265"/>
      <c r="M913" s="266"/>
    </row>
    <row r="914">
      <c r="A914" s="75"/>
      <c r="B914" s="280"/>
      <c r="C914" s="280"/>
      <c r="D914" s="280"/>
      <c r="E914" s="281"/>
      <c r="F914" s="281"/>
      <c r="G914" s="281"/>
      <c r="H914" s="281"/>
      <c r="I914" s="281"/>
      <c r="J914" s="281"/>
      <c r="K914" s="195"/>
      <c r="L914" s="265"/>
      <c r="M914" s="266"/>
    </row>
    <row r="915">
      <c r="A915" s="75"/>
      <c r="B915" s="280"/>
      <c r="C915" s="280"/>
      <c r="D915" s="280"/>
      <c r="E915" s="281"/>
      <c r="F915" s="281"/>
      <c r="G915" s="281"/>
      <c r="H915" s="281"/>
      <c r="I915" s="281"/>
      <c r="J915" s="281"/>
      <c r="K915" s="195"/>
      <c r="L915" s="265"/>
      <c r="M915" s="266"/>
    </row>
    <row r="916">
      <c r="A916" s="75"/>
      <c r="B916" s="280"/>
      <c r="C916" s="280"/>
      <c r="D916" s="280"/>
      <c r="E916" s="281"/>
      <c r="F916" s="281"/>
      <c r="G916" s="281"/>
      <c r="H916" s="281"/>
      <c r="I916" s="281"/>
      <c r="J916" s="281"/>
      <c r="K916" s="195"/>
      <c r="L916" s="265"/>
      <c r="M916" s="266"/>
    </row>
    <row r="917">
      <c r="A917" s="75"/>
      <c r="B917" s="280"/>
      <c r="C917" s="280"/>
      <c r="D917" s="280"/>
      <c r="E917" s="281"/>
      <c r="F917" s="281"/>
      <c r="G917" s="281"/>
      <c r="H917" s="281"/>
      <c r="I917" s="281"/>
      <c r="J917" s="281"/>
      <c r="K917" s="195"/>
      <c r="L917" s="265"/>
      <c r="M917" s="266"/>
    </row>
    <row r="918">
      <c r="A918" s="75"/>
      <c r="B918" s="280"/>
      <c r="C918" s="280"/>
      <c r="D918" s="280"/>
      <c r="E918" s="281"/>
      <c r="F918" s="281"/>
      <c r="G918" s="281"/>
      <c r="H918" s="281"/>
      <c r="I918" s="281"/>
      <c r="J918" s="281"/>
      <c r="K918" s="195"/>
      <c r="L918" s="265"/>
      <c r="M918" s="266"/>
    </row>
    <row r="919">
      <c r="A919" s="75"/>
      <c r="B919" s="280"/>
      <c r="C919" s="280"/>
      <c r="D919" s="280"/>
      <c r="E919" s="281"/>
      <c r="F919" s="281"/>
      <c r="G919" s="281"/>
      <c r="H919" s="281"/>
      <c r="I919" s="281"/>
      <c r="J919" s="281"/>
      <c r="K919" s="195"/>
      <c r="L919" s="265"/>
      <c r="M919" s="266"/>
    </row>
    <row r="920">
      <c r="A920" s="75"/>
      <c r="B920" s="280"/>
      <c r="C920" s="280"/>
      <c r="D920" s="280"/>
      <c r="E920" s="281"/>
      <c r="F920" s="281"/>
      <c r="G920" s="281"/>
      <c r="H920" s="281"/>
      <c r="I920" s="281"/>
      <c r="J920" s="281"/>
      <c r="K920" s="195"/>
      <c r="L920" s="265"/>
      <c r="M920" s="266"/>
    </row>
    <row r="921">
      <c r="A921" s="75"/>
      <c r="B921" s="280"/>
      <c r="C921" s="280"/>
      <c r="D921" s="280"/>
      <c r="E921" s="281"/>
      <c r="F921" s="281"/>
      <c r="G921" s="281"/>
      <c r="H921" s="281"/>
      <c r="I921" s="281"/>
      <c r="J921" s="281"/>
      <c r="K921" s="195"/>
      <c r="L921" s="265"/>
      <c r="M921" s="266"/>
    </row>
    <row r="922">
      <c r="A922" s="75"/>
      <c r="B922" s="280"/>
      <c r="C922" s="280"/>
      <c r="D922" s="280"/>
      <c r="E922" s="281"/>
      <c r="F922" s="281"/>
      <c r="G922" s="281"/>
      <c r="H922" s="281"/>
      <c r="I922" s="281"/>
      <c r="J922" s="281"/>
      <c r="K922" s="195"/>
      <c r="L922" s="265"/>
      <c r="M922" s="266"/>
    </row>
    <row r="923">
      <c r="A923" s="75"/>
      <c r="B923" s="280"/>
      <c r="C923" s="280"/>
      <c r="D923" s="280"/>
      <c r="E923" s="281"/>
      <c r="F923" s="281"/>
      <c r="G923" s="281"/>
      <c r="H923" s="281"/>
      <c r="I923" s="281"/>
      <c r="J923" s="281"/>
      <c r="K923" s="195"/>
      <c r="L923" s="265"/>
      <c r="M923" s="266"/>
    </row>
    <row r="924">
      <c r="A924" s="75"/>
      <c r="B924" s="280"/>
      <c r="C924" s="280"/>
      <c r="D924" s="280"/>
      <c r="E924" s="281"/>
      <c r="F924" s="281"/>
      <c r="G924" s="281"/>
      <c r="H924" s="281"/>
      <c r="I924" s="281"/>
      <c r="J924" s="281"/>
      <c r="K924" s="195"/>
      <c r="L924" s="265"/>
      <c r="M924" s="266"/>
    </row>
    <row r="925">
      <c r="A925" s="75"/>
      <c r="B925" s="280"/>
      <c r="C925" s="280"/>
      <c r="D925" s="280"/>
      <c r="E925" s="281"/>
      <c r="F925" s="281"/>
      <c r="G925" s="281"/>
      <c r="H925" s="281"/>
      <c r="I925" s="281"/>
      <c r="J925" s="281"/>
      <c r="K925" s="195"/>
      <c r="L925" s="265"/>
      <c r="M925" s="266"/>
    </row>
    <row r="926">
      <c r="A926" s="75"/>
      <c r="B926" s="280"/>
      <c r="C926" s="280"/>
      <c r="D926" s="280"/>
      <c r="E926" s="281"/>
      <c r="F926" s="281"/>
      <c r="G926" s="281"/>
      <c r="H926" s="281"/>
      <c r="I926" s="281"/>
      <c r="J926" s="281"/>
      <c r="K926" s="195"/>
      <c r="L926" s="265"/>
      <c r="M926" s="266"/>
    </row>
    <row r="927">
      <c r="A927" s="75"/>
      <c r="B927" s="280"/>
      <c r="C927" s="280"/>
      <c r="D927" s="280"/>
      <c r="E927" s="281"/>
      <c r="F927" s="281"/>
      <c r="G927" s="281"/>
      <c r="H927" s="281"/>
      <c r="I927" s="281"/>
      <c r="J927" s="281"/>
      <c r="K927" s="195"/>
      <c r="L927" s="265"/>
      <c r="M927" s="266"/>
    </row>
    <row r="928">
      <c r="A928" s="75"/>
      <c r="B928" s="280"/>
      <c r="C928" s="280"/>
      <c r="D928" s="280"/>
      <c r="E928" s="281"/>
      <c r="F928" s="281"/>
      <c r="G928" s="281"/>
      <c r="H928" s="281"/>
      <c r="I928" s="281"/>
      <c r="J928" s="281"/>
      <c r="K928" s="195"/>
      <c r="L928" s="265"/>
      <c r="M928" s="266"/>
    </row>
    <row r="929">
      <c r="A929" s="75"/>
      <c r="B929" s="280"/>
      <c r="C929" s="280"/>
      <c r="D929" s="280"/>
      <c r="E929" s="281"/>
      <c r="F929" s="281"/>
      <c r="G929" s="281"/>
      <c r="H929" s="281"/>
      <c r="I929" s="281"/>
      <c r="J929" s="281"/>
      <c r="K929" s="195"/>
      <c r="L929" s="265"/>
      <c r="M929" s="266"/>
    </row>
    <row r="930">
      <c r="A930" s="75"/>
      <c r="B930" s="280"/>
      <c r="C930" s="280"/>
      <c r="D930" s="280"/>
      <c r="E930" s="281"/>
      <c r="F930" s="281"/>
      <c r="G930" s="281"/>
      <c r="H930" s="281"/>
      <c r="I930" s="281"/>
      <c r="J930" s="281"/>
      <c r="K930" s="195"/>
      <c r="L930" s="265"/>
      <c r="M930" s="266"/>
    </row>
    <row r="931">
      <c r="A931" s="75"/>
      <c r="B931" s="280"/>
      <c r="C931" s="280"/>
      <c r="D931" s="280"/>
      <c r="E931" s="281"/>
      <c r="F931" s="281"/>
      <c r="G931" s="281"/>
      <c r="H931" s="281"/>
      <c r="I931" s="281"/>
      <c r="J931" s="281"/>
      <c r="K931" s="195"/>
      <c r="L931" s="265"/>
      <c r="M931" s="266"/>
    </row>
    <row r="932">
      <c r="A932" s="75"/>
      <c r="B932" s="280"/>
      <c r="C932" s="280"/>
      <c r="D932" s="280"/>
      <c r="E932" s="281"/>
      <c r="F932" s="281"/>
      <c r="G932" s="281"/>
      <c r="H932" s="281"/>
      <c r="I932" s="281"/>
      <c r="J932" s="281"/>
      <c r="K932" s="195"/>
      <c r="L932" s="265"/>
      <c r="M932" s="266"/>
    </row>
    <row r="933">
      <c r="A933" s="75"/>
      <c r="B933" s="280"/>
      <c r="C933" s="280"/>
      <c r="D933" s="280"/>
      <c r="E933" s="281"/>
      <c r="F933" s="281"/>
      <c r="G933" s="281"/>
      <c r="H933" s="281"/>
      <c r="I933" s="281"/>
      <c r="J933" s="281"/>
      <c r="K933" s="195"/>
      <c r="L933" s="265"/>
      <c r="M933" s="266"/>
    </row>
    <row r="934">
      <c r="A934" s="75"/>
      <c r="B934" s="280"/>
      <c r="C934" s="280"/>
      <c r="D934" s="280"/>
      <c r="E934" s="281"/>
      <c r="F934" s="281"/>
      <c r="G934" s="281"/>
      <c r="H934" s="281"/>
      <c r="I934" s="281"/>
      <c r="J934" s="281"/>
      <c r="K934" s="195"/>
      <c r="L934" s="265"/>
      <c r="M934" s="266"/>
    </row>
    <row r="935">
      <c r="A935" s="75"/>
      <c r="B935" s="280"/>
      <c r="C935" s="280"/>
      <c r="D935" s="280"/>
      <c r="E935" s="281"/>
      <c r="F935" s="281"/>
      <c r="G935" s="281"/>
      <c r="H935" s="281"/>
      <c r="I935" s="281"/>
      <c r="J935" s="281"/>
      <c r="K935" s="195"/>
      <c r="L935" s="265"/>
      <c r="M935" s="266"/>
    </row>
    <row r="936">
      <c r="A936" s="75"/>
      <c r="B936" s="280"/>
      <c r="C936" s="280"/>
      <c r="D936" s="280"/>
      <c r="E936" s="281"/>
      <c r="F936" s="281"/>
      <c r="G936" s="281"/>
      <c r="H936" s="281"/>
      <c r="I936" s="281"/>
      <c r="J936" s="281"/>
      <c r="K936" s="195"/>
      <c r="L936" s="265"/>
      <c r="M936" s="266"/>
    </row>
    <row r="937">
      <c r="A937" s="75"/>
      <c r="B937" s="280"/>
      <c r="C937" s="280"/>
      <c r="D937" s="280"/>
      <c r="E937" s="281"/>
      <c r="F937" s="281"/>
      <c r="G937" s="281"/>
      <c r="H937" s="281"/>
      <c r="I937" s="281"/>
      <c r="J937" s="281"/>
      <c r="K937" s="195"/>
      <c r="L937" s="265"/>
      <c r="M937" s="266"/>
    </row>
    <row r="938">
      <c r="A938" s="75"/>
      <c r="B938" s="280"/>
      <c r="C938" s="280"/>
      <c r="D938" s="280"/>
      <c r="E938" s="281"/>
      <c r="F938" s="281"/>
      <c r="G938" s="281"/>
      <c r="H938" s="281"/>
      <c r="I938" s="281"/>
      <c r="J938" s="281"/>
      <c r="K938" s="195"/>
      <c r="L938" s="265"/>
      <c r="M938" s="266"/>
    </row>
    <row r="939">
      <c r="A939" s="75"/>
      <c r="B939" s="280"/>
      <c r="C939" s="280"/>
      <c r="D939" s="280"/>
      <c r="E939" s="281"/>
      <c r="F939" s="281"/>
      <c r="G939" s="281"/>
      <c r="H939" s="281"/>
      <c r="I939" s="281"/>
      <c r="J939" s="281"/>
      <c r="K939" s="195"/>
      <c r="L939" s="265"/>
      <c r="M939" s="266"/>
    </row>
    <row r="940">
      <c r="A940" s="75"/>
      <c r="B940" s="280"/>
      <c r="C940" s="280"/>
      <c r="D940" s="280"/>
      <c r="E940" s="281"/>
      <c r="F940" s="281"/>
      <c r="G940" s="281"/>
      <c r="H940" s="281"/>
      <c r="I940" s="281"/>
      <c r="J940" s="281"/>
      <c r="K940" s="195"/>
      <c r="L940" s="265"/>
      <c r="M940" s="266"/>
    </row>
    <row r="941">
      <c r="A941" s="75"/>
      <c r="B941" s="280"/>
      <c r="C941" s="280"/>
      <c r="D941" s="280"/>
      <c r="E941" s="281"/>
      <c r="F941" s="281"/>
      <c r="G941" s="281"/>
      <c r="H941" s="281"/>
      <c r="I941" s="281"/>
      <c r="J941" s="281"/>
      <c r="K941" s="195"/>
      <c r="L941" s="265"/>
      <c r="M941" s="266"/>
    </row>
    <row r="942">
      <c r="A942" s="75"/>
      <c r="B942" s="280"/>
      <c r="C942" s="280"/>
      <c r="D942" s="280"/>
      <c r="E942" s="281"/>
      <c r="F942" s="281"/>
      <c r="G942" s="281"/>
      <c r="H942" s="281"/>
      <c r="I942" s="281"/>
      <c r="J942" s="281"/>
      <c r="K942" s="195"/>
      <c r="L942" s="265"/>
      <c r="M942" s="266"/>
    </row>
    <row r="943">
      <c r="A943" s="75"/>
      <c r="B943" s="280"/>
      <c r="C943" s="280"/>
      <c r="D943" s="280"/>
      <c r="E943" s="281"/>
      <c r="F943" s="281"/>
      <c r="G943" s="281"/>
      <c r="H943" s="281"/>
      <c r="I943" s="281"/>
      <c r="J943" s="281"/>
      <c r="K943" s="195"/>
      <c r="L943" s="265"/>
      <c r="M943" s="266"/>
    </row>
    <row r="944">
      <c r="A944" s="75"/>
      <c r="B944" s="280"/>
      <c r="C944" s="280"/>
      <c r="D944" s="280"/>
      <c r="E944" s="281"/>
      <c r="F944" s="281"/>
      <c r="G944" s="281"/>
      <c r="H944" s="281"/>
      <c r="I944" s="281"/>
      <c r="J944" s="281"/>
      <c r="K944" s="195"/>
      <c r="L944" s="265"/>
      <c r="M944" s="266"/>
    </row>
    <row r="945">
      <c r="A945" s="75"/>
      <c r="B945" s="280"/>
      <c r="C945" s="280"/>
      <c r="D945" s="280"/>
      <c r="E945" s="281"/>
      <c r="F945" s="281"/>
      <c r="G945" s="281"/>
      <c r="H945" s="281"/>
      <c r="I945" s="281"/>
      <c r="J945" s="281"/>
      <c r="K945" s="195"/>
      <c r="L945" s="265"/>
      <c r="M945" s="266"/>
    </row>
    <row r="946">
      <c r="A946" s="75"/>
      <c r="B946" s="280"/>
      <c r="C946" s="280"/>
      <c r="D946" s="280"/>
      <c r="E946" s="281"/>
      <c r="F946" s="281"/>
      <c r="G946" s="281"/>
      <c r="H946" s="281"/>
      <c r="I946" s="281"/>
      <c r="J946" s="281"/>
      <c r="K946" s="195"/>
      <c r="L946" s="265"/>
      <c r="M946" s="266"/>
    </row>
    <row r="947">
      <c r="A947" s="75"/>
      <c r="B947" s="280"/>
      <c r="C947" s="280"/>
      <c r="D947" s="280"/>
      <c r="E947" s="281"/>
      <c r="F947" s="281"/>
      <c r="G947" s="281"/>
      <c r="H947" s="281"/>
      <c r="I947" s="281"/>
      <c r="J947" s="281"/>
      <c r="K947" s="195"/>
      <c r="L947" s="265"/>
      <c r="M947" s="266"/>
    </row>
    <row r="948">
      <c r="A948" s="75"/>
      <c r="B948" s="280"/>
      <c r="C948" s="280"/>
      <c r="D948" s="280"/>
      <c r="E948" s="281"/>
      <c r="F948" s="281"/>
      <c r="G948" s="281"/>
      <c r="H948" s="281"/>
      <c r="I948" s="281"/>
      <c r="J948" s="281"/>
      <c r="K948" s="195"/>
      <c r="L948" s="265"/>
      <c r="M948" s="266"/>
    </row>
    <row r="949">
      <c r="A949" s="75"/>
      <c r="B949" s="280"/>
      <c r="C949" s="280"/>
      <c r="D949" s="280"/>
      <c r="E949" s="281"/>
      <c r="F949" s="281"/>
      <c r="G949" s="281"/>
      <c r="H949" s="281"/>
      <c r="I949" s="281"/>
      <c r="J949" s="281"/>
      <c r="K949" s="195"/>
      <c r="L949" s="265"/>
      <c r="M949" s="266"/>
    </row>
    <row r="950">
      <c r="A950" s="75"/>
      <c r="B950" s="280"/>
      <c r="C950" s="280"/>
      <c r="D950" s="280"/>
      <c r="E950" s="281"/>
      <c r="F950" s="281"/>
      <c r="G950" s="281"/>
      <c r="H950" s="281"/>
      <c r="I950" s="281"/>
      <c r="J950" s="281"/>
      <c r="K950" s="195"/>
      <c r="L950" s="265"/>
      <c r="M950" s="266"/>
    </row>
    <row r="951">
      <c r="A951" s="75"/>
      <c r="B951" s="280"/>
      <c r="C951" s="280"/>
      <c r="D951" s="280"/>
      <c r="E951" s="281"/>
      <c r="F951" s="281"/>
      <c r="G951" s="281"/>
      <c r="H951" s="281"/>
      <c r="I951" s="281"/>
      <c r="J951" s="281"/>
      <c r="K951" s="195"/>
      <c r="L951" s="265"/>
      <c r="M951" s="266"/>
    </row>
    <row r="952">
      <c r="A952" s="75"/>
      <c r="B952" s="280"/>
      <c r="C952" s="280"/>
      <c r="D952" s="280"/>
      <c r="E952" s="281"/>
      <c r="F952" s="281"/>
      <c r="G952" s="281"/>
      <c r="H952" s="281"/>
      <c r="I952" s="281"/>
      <c r="J952" s="281"/>
      <c r="K952" s="195"/>
      <c r="L952" s="265"/>
      <c r="M952" s="266"/>
    </row>
    <row r="953">
      <c r="A953" s="75"/>
      <c r="B953" s="280"/>
      <c r="C953" s="280"/>
      <c r="D953" s="280"/>
      <c r="E953" s="281"/>
      <c r="F953" s="281"/>
      <c r="G953" s="281"/>
      <c r="H953" s="281"/>
      <c r="I953" s="281"/>
      <c r="J953" s="281"/>
      <c r="K953" s="195"/>
      <c r="L953" s="265"/>
      <c r="M953" s="266"/>
    </row>
    <row r="954">
      <c r="A954" s="75"/>
      <c r="B954" s="280"/>
      <c r="C954" s="280"/>
      <c r="D954" s="280"/>
      <c r="E954" s="281"/>
      <c r="F954" s="281"/>
      <c r="G954" s="281"/>
      <c r="H954" s="281"/>
      <c r="I954" s="281"/>
      <c r="J954" s="281"/>
      <c r="K954" s="195"/>
      <c r="L954" s="265"/>
      <c r="M954" s="266"/>
    </row>
    <row r="955">
      <c r="A955" s="75"/>
      <c r="B955" s="280"/>
      <c r="C955" s="280"/>
      <c r="D955" s="280"/>
      <c r="E955" s="281"/>
      <c r="F955" s="281"/>
      <c r="G955" s="281"/>
      <c r="H955" s="281"/>
      <c r="I955" s="281"/>
      <c r="J955" s="281"/>
      <c r="K955" s="195"/>
      <c r="L955" s="265"/>
      <c r="M955" s="266"/>
    </row>
    <row r="956">
      <c r="A956" s="75"/>
      <c r="B956" s="280"/>
      <c r="C956" s="280"/>
      <c r="D956" s="280"/>
      <c r="E956" s="281"/>
      <c r="F956" s="281"/>
      <c r="G956" s="281"/>
      <c r="H956" s="281"/>
      <c r="I956" s="281"/>
      <c r="J956" s="281"/>
      <c r="K956" s="195"/>
      <c r="L956" s="265"/>
      <c r="M956" s="266"/>
    </row>
    <row r="957">
      <c r="A957" s="75"/>
      <c r="B957" s="280"/>
      <c r="C957" s="280"/>
      <c r="D957" s="280"/>
      <c r="E957" s="281"/>
      <c r="F957" s="281"/>
      <c r="G957" s="281"/>
      <c r="H957" s="281"/>
      <c r="I957" s="281"/>
      <c r="J957" s="281"/>
      <c r="K957" s="195"/>
      <c r="L957" s="265"/>
      <c r="M957" s="266"/>
    </row>
    <row r="958">
      <c r="A958" s="75"/>
      <c r="B958" s="280"/>
      <c r="C958" s="280"/>
      <c r="D958" s="280"/>
      <c r="E958" s="281"/>
      <c r="F958" s="281"/>
      <c r="G958" s="281"/>
      <c r="H958" s="281"/>
      <c r="I958" s="281"/>
      <c r="J958" s="281"/>
      <c r="K958" s="195"/>
      <c r="L958" s="265"/>
      <c r="M958" s="266"/>
    </row>
    <row r="959">
      <c r="A959" s="75"/>
      <c r="B959" s="280"/>
      <c r="C959" s="280"/>
      <c r="D959" s="280"/>
      <c r="E959" s="281"/>
      <c r="F959" s="281"/>
      <c r="G959" s="281"/>
      <c r="H959" s="281"/>
      <c r="I959" s="281"/>
      <c r="J959" s="281"/>
      <c r="K959" s="195"/>
      <c r="L959" s="265"/>
      <c r="M959" s="266"/>
    </row>
    <row r="960">
      <c r="A960" s="75"/>
      <c r="B960" s="280"/>
      <c r="C960" s="280"/>
      <c r="D960" s="280"/>
      <c r="E960" s="281"/>
      <c r="F960" s="281"/>
      <c r="G960" s="281"/>
      <c r="H960" s="281"/>
      <c r="I960" s="281"/>
      <c r="J960" s="281"/>
      <c r="K960" s="195"/>
      <c r="L960" s="265"/>
      <c r="M960" s="266"/>
    </row>
    <row r="961">
      <c r="A961" s="75"/>
      <c r="B961" s="280"/>
      <c r="C961" s="280"/>
      <c r="D961" s="280"/>
      <c r="E961" s="281"/>
      <c r="F961" s="281"/>
      <c r="G961" s="281"/>
      <c r="H961" s="281"/>
      <c r="I961" s="281"/>
      <c r="J961" s="281"/>
      <c r="K961" s="195"/>
      <c r="L961" s="265"/>
      <c r="M961" s="266"/>
    </row>
    <row r="962">
      <c r="A962" s="75"/>
      <c r="B962" s="280"/>
      <c r="C962" s="280"/>
      <c r="D962" s="280"/>
      <c r="E962" s="281"/>
      <c r="F962" s="281"/>
      <c r="G962" s="281"/>
      <c r="H962" s="281"/>
      <c r="I962" s="281"/>
      <c r="J962" s="281"/>
      <c r="K962" s="195"/>
      <c r="L962" s="265"/>
      <c r="M962" s="266"/>
    </row>
    <row r="963">
      <c r="A963" s="75"/>
      <c r="B963" s="280"/>
      <c r="C963" s="280"/>
      <c r="D963" s="280"/>
      <c r="E963" s="281"/>
      <c r="F963" s="281"/>
      <c r="G963" s="281"/>
      <c r="H963" s="281"/>
      <c r="I963" s="281"/>
      <c r="J963" s="281"/>
      <c r="K963" s="195"/>
      <c r="L963" s="265"/>
      <c r="M963" s="266"/>
    </row>
    <row r="964">
      <c r="A964" s="75"/>
      <c r="B964" s="280"/>
      <c r="C964" s="280"/>
      <c r="D964" s="280"/>
      <c r="E964" s="281"/>
      <c r="F964" s="281"/>
      <c r="G964" s="281"/>
      <c r="H964" s="281"/>
      <c r="I964" s="281"/>
      <c r="J964" s="281"/>
      <c r="K964" s="195"/>
      <c r="L964" s="265"/>
      <c r="M964" s="266"/>
    </row>
    <row r="965">
      <c r="A965" s="75"/>
      <c r="B965" s="280"/>
      <c r="C965" s="280"/>
      <c r="D965" s="280"/>
      <c r="E965" s="281"/>
      <c r="F965" s="281"/>
      <c r="G965" s="281"/>
      <c r="H965" s="281"/>
      <c r="I965" s="281"/>
      <c r="J965" s="281"/>
      <c r="K965" s="195"/>
      <c r="L965" s="265"/>
      <c r="M965" s="266"/>
    </row>
    <row r="966">
      <c r="A966" s="75"/>
      <c r="B966" s="280"/>
      <c r="C966" s="280"/>
      <c r="D966" s="280"/>
      <c r="E966" s="281"/>
      <c r="F966" s="281"/>
      <c r="G966" s="281"/>
      <c r="H966" s="281"/>
      <c r="I966" s="281"/>
      <c r="J966" s="281"/>
      <c r="K966" s="195"/>
      <c r="L966" s="265"/>
      <c r="M966" s="266"/>
    </row>
    <row r="967">
      <c r="A967" s="75"/>
      <c r="B967" s="280"/>
      <c r="C967" s="280"/>
      <c r="D967" s="280"/>
      <c r="E967" s="281"/>
      <c r="F967" s="281"/>
      <c r="G967" s="281"/>
      <c r="H967" s="281"/>
      <c r="I967" s="281"/>
      <c r="J967" s="281"/>
      <c r="K967" s="195"/>
      <c r="L967" s="265"/>
      <c r="M967" s="266"/>
    </row>
    <row r="968">
      <c r="A968" s="75"/>
      <c r="B968" s="280"/>
      <c r="C968" s="280"/>
      <c r="D968" s="280"/>
      <c r="E968" s="281"/>
      <c r="F968" s="281"/>
      <c r="G968" s="281"/>
      <c r="H968" s="281"/>
      <c r="I968" s="281"/>
      <c r="J968" s="281"/>
      <c r="K968" s="195"/>
      <c r="L968" s="265"/>
      <c r="M968" s="266"/>
    </row>
    <row r="969">
      <c r="A969" s="75"/>
      <c r="B969" s="280"/>
      <c r="C969" s="280"/>
      <c r="D969" s="280"/>
      <c r="E969" s="281"/>
      <c r="F969" s="281"/>
      <c r="G969" s="281"/>
      <c r="H969" s="281"/>
      <c r="I969" s="281"/>
      <c r="J969" s="281"/>
      <c r="K969" s="195"/>
      <c r="L969" s="265"/>
      <c r="M969" s="266"/>
    </row>
    <row r="970">
      <c r="A970" s="75"/>
      <c r="B970" s="280"/>
      <c r="C970" s="280"/>
      <c r="D970" s="280"/>
      <c r="E970" s="281"/>
      <c r="F970" s="281"/>
      <c r="G970" s="281"/>
      <c r="H970" s="281"/>
      <c r="I970" s="281"/>
      <c r="J970" s="281"/>
      <c r="K970" s="195"/>
      <c r="L970" s="265"/>
      <c r="M970" s="266"/>
    </row>
    <row r="971">
      <c r="A971" s="75"/>
      <c r="B971" s="280"/>
      <c r="C971" s="280"/>
      <c r="D971" s="280"/>
      <c r="E971" s="281"/>
      <c r="F971" s="281"/>
      <c r="G971" s="281"/>
      <c r="H971" s="281"/>
      <c r="I971" s="281"/>
      <c r="J971" s="281"/>
      <c r="K971" s="195"/>
      <c r="L971" s="265"/>
      <c r="M971" s="266"/>
    </row>
    <row r="972">
      <c r="A972" s="75"/>
      <c r="B972" s="280"/>
      <c r="C972" s="280"/>
      <c r="D972" s="280"/>
      <c r="E972" s="281"/>
      <c r="F972" s="281"/>
      <c r="G972" s="281"/>
      <c r="H972" s="281"/>
      <c r="I972" s="281"/>
      <c r="J972" s="281"/>
      <c r="K972" s="195"/>
      <c r="L972" s="265"/>
      <c r="M972" s="266"/>
    </row>
    <row r="973">
      <c r="A973" s="75"/>
      <c r="B973" s="280"/>
      <c r="C973" s="280"/>
      <c r="D973" s="280"/>
      <c r="E973" s="281"/>
      <c r="F973" s="281"/>
      <c r="G973" s="281"/>
      <c r="H973" s="281"/>
      <c r="I973" s="281"/>
      <c r="J973" s="281"/>
      <c r="K973" s="195"/>
      <c r="L973" s="265"/>
      <c r="M973" s="266"/>
    </row>
    <row r="974">
      <c r="A974" s="75"/>
      <c r="B974" s="280"/>
      <c r="C974" s="280"/>
      <c r="D974" s="280"/>
      <c r="E974" s="281"/>
      <c r="F974" s="281"/>
      <c r="G974" s="281"/>
      <c r="H974" s="281"/>
      <c r="I974" s="281"/>
      <c r="J974" s="281"/>
      <c r="K974" s="195"/>
      <c r="L974" s="265"/>
      <c r="M974" s="266"/>
    </row>
    <row r="975">
      <c r="A975" s="75"/>
      <c r="B975" s="280"/>
      <c r="C975" s="280"/>
      <c r="D975" s="280"/>
      <c r="E975" s="281"/>
      <c r="F975" s="281"/>
      <c r="G975" s="281"/>
      <c r="H975" s="281"/>
      <c r="I975" s="281"/>
      <c r="J975" s="281"/>
      <c r="K975" s="195"/>
      <c r="L975" s="265"/>
      <c r="M975" s="266"/>
    </row>
    <row r="976">
      <c r="A976" s="75"/>
      <c r="B976" s="280"/>
      <c r="C976" s="280"/>
      <c r="D976" s="280"/>
      <c r="E976" s="281"/>
      <c r="F976" s="281"/>
      <c r="G976" s="281"/>
      <c r="H976" s="281"/>
      <c r="I976" s="281"/>
      <c r="J976" s="281"/>
      <c r="K976" s="195"/>
      <c r="L976" s="265"/>
      <c r="M976" s="266"/>
    </row>
    <row r="977">
      <c r="A977" s="75"/>
      <c r="B977" s="280"/>
      <c r="C977" s="280"/>
      <c r="D977" s="280"/>
      <c r="E977" s="281"/>
      <c r="F977" s="281"/>
      <c r="G977" s="281"/>
      <c r="H977" s="281"/>
      <c r="I977" s="281"/>
      <c r="J977" s="281"/>
      <c r="K977" s="195"/>
      <c r="L977" s="265"/>
      <c r="M977" s="266"/>
    </row>
    <row r="978">
      <c r="A978" s="75"/>
      <c r="B978" s="280"/>
      <c r="C978" s="280"/>
      <c r="D978" s="280"/>
      <c r="E978" s="281"/>
      <c r="F978" s="281"/>
      <c r="G978" s="281"/>
      <c r="H978" s="281"/>
      <c r="I978" s="281"/>
      <c r="J978" s="281"/>
      <c r="K978" s="195"/>
      <c r="L978" s="265"/>
      <c r="M978" s="266"/>
    </row>
    <row r="979">
      <c r="A979" s="75"/>
      <c r="B979" s="280"/>
      <c r="C979" s="280"/>
      <c r="D979" s="280"/>
      <c r="E979" s="281"/>
      <c r="F979" s="281"/>
      <c r="G979" s="281"/>
      <c r="H979" s="281"/>
      <c r="I979" s="281"/>
      <c r="J979" s="281"/>
      <c r="K979" s="195"/>
      <c r="L979" s="265"/>
      <c r="M979" s="266"/>
    </row>
    <row r="980">
      <c r="A980" s="75"/>
      <c r="B980" s="280"/>
      <c r="C980" s="280"/>
      <c r="D980" s="280"/>
      <c r="E980" s="281"/>
      <c r="F980" s="281"/>
      <c r="G980" s="281"/>
      <c r="H980" s="281"/>
      <c r="I980" s="281"/>
      <c r="J980" s="281"/>
      <c r="K980" s="195"/>
      <c r="L980" s="265"/>
      <c r="M980" s="266"/>
    </row>
    <row r="981">
      <c r="A981" s="75"/>
      <c r="B981" s="280"/>
      <c r="C981" s="280"/>
      <c r="D981" s="280"/>
      <c r="E981" s="281"/>
      <c r="F981" s="281"/>
      <c r="G981" s="281"/>
      <c r="H981" s="281"/>
      <c r="I981" s="281"/>
      <c r="J981" s="281"/>
      <c r="K981" s="195"/>
      <c r="L981" s="265"/>
      <c r="M981" s="266"/>
    </row>
    <row r="982">
      <c r="A982" s="75"/>
      <c r="B982" s="280"/>
      <c r="C982" s="280"/>
      <c r="D982" s="280"/>
      <c r="E982" s="281"/>
      <c r="F982" s="281"/>
      <c r="G982" s="281"/>
      <c r="H982" s="281"/>
      <c r="I982" s="281"/>
      <c r="J982" s="281"/>
      <c r="K982" s="195"/>
      <c r="L982" s="265"/>
      <c r="M982" s="266"/>
    </row>
    <row r="983">
      <c r="A983" s="75"/>
      <c r="B983" s="280"/>
      <c r="C983" s="280"/>
      <c r="D983" s="280"/>
      <c r="E983" s="281"/>
      <c r="F983" s="281"/>
      <c r="G983" s="281"/>
      <c r="H983" s="281"/>
      <c r="I983" s="281"/>
      <c r="J983" s="281"/>
      <c r="K983" s="195"/>
      <c r="L983" s="265"/>
      <c r="M983" s="266"/>
    </row>
    <row r="984">
      <c r="A984" s="75"/>
      <c r="B984" s="280"/>
      <c r="C984" s="280"/>
      <c r="D984" s="280"/>
      <c r="E984" s="281"/>
      <c r="F984" s="281"/>
      <c r="G984" s="281"/>
      <c r="H984" s="281"/>
      <c r="I984" s="281"/>
      <c r="J984" s="281"/>
      <c r="K984" s="195"/>
      <c r="L984" s="265"/>
      <c r="M984" s="266"/>
    </row>
    <row r="985">
      <c r="A985" s="75"/>
      <c r="B985" s="280"/>
      <c r="C985" s="280"/>
      <c r="D985" s="280"/>
      <c r="E985" s="281"/>
      <c r="F985" s="281"/>
      <c r="G985" s="281"/>
      <c r="H985" s="281"/>
      <c r="I985" s="281"/>
      <c r="J985" s="281"/>
      <c r="K985" s="195"/>
      <c r="L985" s="265"/>
      <c r="M985" s="266"/>
    </row>
    <row r="986">
      <c r="A986" s="75"/>
      <c r="B986" s="280"/>
      <c r="C986" s="280"/>
      <c r="D986" s="280"/>
      <c r="E986" s="281"/>
      <c r="F986" s="281"/>
      <c r="G986" s="281"/>
      <c r="H986" s="281"/>
      <c r="I986" s="281"/>
      <c r="J986" s="281"/>
      <c r="K986" s="195"/>
      <c r="L986" s="265"/>
      <c r="M986" s="266"/>
    </row>
    <row r="987">
      <c r="A987" s="75"/>
      <c r="B987" s="280"/>
      <c r="C987" s="280"/>
      <c r="D987" s="280"/>
      <c r="E987" s="281"/>
      <c r="F987" s="281"/>
      <c r="G987" s="281"/>
      <c r="H987" s="281"/>
      <c r="I987" s="281"/>
      <c r="J987" s="281"/>
      <c r="K987" s="195"/>
      <c r="L987" s="265"/>
      <c r="M987" s="266"/>
    </row>
    <row r="988">
      <c r="A988" s="75"/>
      <c r="B988" s="280"/>
      <c r="C988" s="280"/>
      <c r="D988" s="280"/>
      <c r="E988" s="281"/>
      <c r="F988" s="281"/>
      <c r="G988" s="281"/>
      <c r="H988" s="281"/>
      <c r="I988" s="281"/>
      <c r="J988" s="281"/>
      <c r="K988" s="195"/>
      <c r="L988" s="265"/>
      <c r="M988" s="266"/>
    </row>
    <row r="989">
      <c r="A989" s="75"/>
      <c r="B989" s="280"/>
      <c r="C989" s="280"/>
      <c r="D989" s="280"/>
      <c r="E989" s="281"/>
      <c r="F989" s="281"/>
      <c r="G989" s="281"/>
      <c r="H989" s="281"/>
      <c r="I989" s="281"/>
      <c r="J989" s="281"/>
      <c r="K989" s="195"/>
      <c r="L989" s="265"/>
      <c r="M989" s="266"/>
    </row>
    <row r="990">
      <c r="A990" s="75"/>
      <c r="B990" s="280"/>
      <c r="C990" s="280"/>
      <c r="D990" s="280"/>
      <c r="E990" s="281"/>
      <c r="F990" s="281"/>
      <c r="G990" s="281"/>
      <c r="H990" s="281"/>
      <c r="I990" s="281"/>
      <c r="J990" s="281"/>
      <c r="K990" s="195"/>
      <c r="L990" s="265"/>
      <c r="M990" s="266"/>
    </row>
    <row r="991">
      <c r="A991" s="75"/>
      <c r="B991" s="280"/>
      <c r="C991" s="280"/>
      <c r="D991" s="280"/>
      <c r="E991" s="281"/>
      <c r="F991" s="281"/>
      <c r="G991" s="281"/>
      <c r="H991" s="281"/>
      <c r="I991" s="281"/>
      <c r="J991" s="281"/>
      <c r="K991" s="195"/>
      <c r="L991" s="265"/>
      <c r="M991" s="266"/>
    </row>
    <row r="992">
      <c r="A992" s="75"/>
      <c r="B992" s="280"/>
      <c r="C992" s="280"/>
      <c r="D992" s="280"/>
      <c r="E992" s="281"/>
      <c r="F992" s="281"/>
      <c r="G992" s="281"/>
      <c r="H992" s="281"/>
      <c r="I992" s="281"/>
      <c r="J992" s="281"/>
      <c r="K992" s="195"/>
      <c r="L992" s="265"/>
      <c r="M992" s="266"/>
    </row>
    <row r="993">
      <c r="A993" s="75"/>
      <c r="B993" s="280"/>
      <c r="C993" s="280"/>
      <c r="D993" s="280"/>
      <c r="E993" s="281"/>
      <c r="F993" s="281"/>
      <c r="G993" s="281"/>
      <c r="H993" s="281"/>
      <c r="I993" s="281"/>
      <c r="J993" s="281"/>
      <c r="K993" s="195"/>
      <c r="L993" s="265"/>
      <c r="M993" s="266"/>
    </row>
    <row r="994">
      <c r="A994" s="75"/>
      <c r="B994" s="280"/>
      <c r="C994" s="280"/>
      <c r="D994" s="280"/>
      <c r="E994" s="281"/>
      <c r="F994" s="281"/>
      <c r="G994" s="281"/>
      <c r="H994" s="281"/>
      <c r="I994" s="281"/>
      <c r="J994" s="281"/>
      <c r="K994" s="195"/>
      <c r="L994" s="265"/>
      <c r="M994" s="266"/>
    </row>
    <row r="995">
      <c r="A995" s="75"/>
      <c r="B995" s="280"/>
      <c r="C995" s="280"/>
      <c r="D995" s="280"/>
      <c r="E995" s="281"/>
      <c r="F995" s="281"/>
      <c r="G995" s="281"/>
      <c r="H995" s="281"/>
      <c r="I995" s="281"/>
      <c r="J995" s="281"/>
      <c r="K995" s="195"/>
      <c r="L995" s="265"/>
      <c r="M995" s="266"/>
    </row>
    <row r="996">
      <c r="A996" s="75"/>
      <c r="B996" s="280"/>
      <c r="C996" s="280"/>
      <c r="D996" s="280"/>
      <c r="E996" s="281"/>
      <c r="F996" s="281"/>
      <c r="G996" s="281"/>
      <c r="H996" s="281"/>
      <c r="I996" s="281"/>
      <c r="J996" s="281"/>
      <c r="K996" s="195"/>
      <c r="L996" s="265"/>
      <c r="M996" s="266"/>
    </row>
    <row r="997">
      <c r="A997" s="75"/>
      <c r="B997" s="280"/>
      <c r="C997" s="280"/>
      <c r="D997" s="280"/>
      <c r="E997" s="281"/>
      <c r="F997" s="281"/>
      <c r="G997" s="281"/>
      <c r="H997" s="281"/>
      <c r="I997" s="281"/>
      <c r="J997" s="281"/>
      <c r="K997" s="195"/>
      <c r="L997" s="265"/>
      <c r="M997" s="266"/>
    </row>
    <row r="998">
      <c r="A998" s="75"/>
      <c r="B998" s="280"/>
      <c r="C998" s="280"/>
      <c r="D998" s="280"/>
      <c r="E998" s="281"/>
      <c r="F998" s="281"/>
      <c r="G998" s="281"/>
      <c r="H998" s="281"/>
      <c r="I998" s="281"/>
      <c r="J998" s="281"/>
      <c r="K998" s="195"/>
      <c r="L998" s="265"/>
      <c r="M998" s="266"/>
    </row>
    <row r="999">
      <c r="A999" s="75"/>
      <c r="B999" s="280"/>
      <c r="C999" s="280"/>
      <c r="D999" s="280"/>
      <c r="E999" s="281"/>
      <c r="F999" s="281"/>
      <c r="G999" s="281"/>
      <c r="H999" s="281"/>
      <c r="I999" s="281"/>
      <c r="J999" s="281"/>
      <c r="K999" s="195"/>
      <c r="L999" s="265"/>
      <c r="M999" s="266"/>
    </row>
    <row r="1000">
      <c r="A1000" s="75"/>
      <c r="B1000" s="280"/>
      <c r="C1000" s="280"/>
      <c r="D1000" s="280"/>
      <c r="E1000" s="281"/>
      <c r="F1000" s="281"/>
      <c r="G1000" s="281"/>
      <c r="H1000" s="281"/>
      <c r="I1000" s="281"/>
      <c r="J1000" s="281"/>
      <c r="K1000" s="195"/>
      <c r="L1000" s="265"/>
      <c r="M1000" s="266"/>
    </row>
    <row r="1001">
      <c r="A1001" s="75"/>
      <c r="B1001" s="280"/>
      <c r="C1001" s="280"/>
      <c r="D1001" s="280"/>
      <c r="E1001" s="281"/>
      <c r="F1001" s="281"/>
      <c r="G1001" s="281"/>
      <c r="H1001" s="281"/>
      <c r="I1001" s="281"/>
      <c r="J1001" s="281"/>
      <c r="K1001" s="195"/>
      <c r="L1001" s="265"/>
      <c r="M1001" s="266"/>
    </row>
    <row r="1002">
      <c r="A1002" s="75"/>
      <c r="B1002" s="280"/>
      <c r="C1002" s="280"/>
      <c r="D1002" s="280"/>
      <c r="E1002" s="281"/>
      <c r="F1002" s="281"/>
      <c r="G1002" s="281"/>
      <c r="H1002" s="281"/>
      <c r="I1002" s="281"/>
      <c r="J1002" s="281"/>
      <c r="K1002" s="195"/>
      <c r="L1002" s="265"/>
      <c r="M1002" s="266"/>
    </row>
    <row r="1003">
      <c r="A1003" s="75"/>
      <c r="B1003" s="280"/>
      <c r="C1003" s="280"/>
      <c r="D1003" s="280"/>
      <c r="E1003" s="281"/>
      <c r="F1003" s="281"/>
      <c r="G1003" s="281"/>
      <c r="H1003" s="281"/>
      <c r="I1003" s="281"/>
      <c r="J1003" s="281"/>
      <c r="K1003" s="195"/>
      <c r="L1003" s="265"/>
      <c r="M1003" s="266"/>
    </row>
    <row r="1004">
      <c r="A1004" s="75"/>
      <c r="B1004" s="280"/>
      <c r="C1004" s="280"/>
      <c r="D1004" s="280"/>
      <c r="E1004" s="281"/>
      <c r="F1004" s="281"/>
      <c r="G1004" s="281"/>
      <c r="H1004" s="281"/>
      <c r="I1004" s="281"/>
      <c r="J1004" s="281"/>
      <c r="K1004" s="195"/>
      <c r="L1004" s="265"/>
      <c r="M1004" s="266"/>
    </row>
    <row r="1005">
      <c r="A1005" s="75"/>
      <c r="B1005" s="280"/>
      <c r="C1005" s="280"/>
      <c r="D1005" s="280"/>
      <c r="E1005" s="281"/>
      <c r="F1005" s="281"/>
      <c r="G1005" s="281"/>
      <c r="H1005" s="281"/>
      <c r="I1005" s="281"/>
      <c r="J1005" s="281"/>
      <c r="K1005" s="195"/>
      <c r="L1005" s="265"/>
      <c r="M1005" s="266"/>
    </row>
    <row r="1006">
      <c r="A1006" s="75"/>
      <c r="B1006" s="280"/>
      <c r="C1006" s="280"/>
      <c r="D1006" s="280"/>
      <c r="E1006" s="281"/>
      <c r="F1006" s="281"/>
      <c r="G1006" s="281"/>
      <c r="H1006" s="281"/>
      <c r="I1006" s="281"/>
      <c r="J1006" s="281"/>
      <c r="K1006" s="195"/>
      <c r="L1006" s="265"/>
      <c r="M1006" s="266"/>
    </row>
    <row r="1007">
      <c r="A1007" s="75"/>
      <c r="B1007" s="280"/>
      <c r="C1007" s="280"/>
      <c r="D1007" s="280"/>
      <c r="E1007" s="281"/>
      <c r="F1007" s="281"/>
      <c r="G1007" s="281"/>
      <c r="H1007" s="281"/>
      <c r="I1007" s="281"/>
      <c r="J1007" s="281"/>
      <c r="K1007" s="195"/>
      <c r="L1007" s="265"/>
      <c r="M1007" s="266"/>
    </row>
    <row r="1008">
      <c r="A1008" s="75"/>
      <c r="B1008" s="280"/>
      <c r="C1008" s="280"/>
      <c r="D1008" s="280"/>
      <c r="E1008" s="281"/>
      <c r="F1008" s="281"/>
      <c r="G1008" s="281"/>
      <c r="H1008" s="281"/>
      <c r="I1008" s="281"/>
      <c r="J1008" s="281"/>
      <c r="K1008" s="195"/>
      <c r="L1008" s="265"/>
      <c r="M1008" s="266"/>
    </row>
    <row r="1009">
      <c r="A1009" s="75"/>
      <c r="B1009" s="280"/>
      <c r="C1009" s="280"/>
      <c r="D1009" s="280"/>
      <c r="E1009" s="281"/>
      <c r="F1009" s="281"/>
      <c r="G1009" s="281"/>
      <c r="H1009" s="281"/>
      <c r="I1009" s="281"/>
      <c r="J1009" s="281"/>
      <c r="K1009" s="195"/>
      <c r="L1009" s="265"/>
      <c r="M1009" s="266"/>
    </row>
    <row r="1010">
      <c r="A1010" s="75"/>
      <c r="B1010" s="280"/>
      <c r="C1010" s="280"/>
      <c r="D1010" s="280"/>
      <c r="E1010" s="281"/>
      <c r="F1010" s="281"/>
      <c r="G1010" s="281"/>
      <c r="H1010" s="281"/>
      <c r="I1010" s="281"/>
      <c r="J1010" s="281"/>
      <c r="K1010" s="195"/>
      <c r="L1010" s="265"/>
      <c r="M1010" s="266"/>
    </row>
    <row r="1011">
      <c r="A1011" s="75"/>
      <c r="B1011" s="280"/>
      <c r="C1011" s="280"/>
      <c r="D1011" s="280"/>
      <c r="E1011" s="281"/>
      <c r="F1011" s="281"/>
      <c r="G1011" s="281"/>
      <c r="H1011" s="281"/>
      <c r="I1011" s="281"/>
      <c r="J1011" s="281"/>
      <c r="K1011" s="195"/>
      <c r="L1011" s="265"/>
      <c r="M1011" s="266"/>
    </row>
    <row r="1012">
      <c r="A1012" s="75"/>
      <c r="B1012" s="280"/>
      <c r="C1012" s="280"/>
      <c r="D1012" s="280"/>
      <c r="E1012" s="281"/>
      <c r="F1012" s="281"/>
      <c r="G1012" s="281"/>
      <c r="H1012" s="281"/>
      <c r="I1012" s="281"/>
      <c r="J1012" s="281"/>
      <c r="K1012" s="195"/>
      <c r="L1012" s="265"/>
      <c r="M1012" s="266"/>
    </row>
    <row r="1013">
      <c r="A1013" s="75"/>
      <c r="B1013" s="280"/>
      <c r="C1013" s="280"/>
      <c r="D1013" s="280"/>
      <c r="E1013" s="281"/>
      <c r="F1013" s="281"/>
      <c r="G1013" s="281"/>
      <c r="H1013" s="281"/>
      <c r="I1013" s="281"/>
      <c r="J1013" s="281"/>
      <c r="K1013" s="195"/>
      <c r="L1013" s="265"/>
      <c r="M1013" s="266"/>
    </row>
    <row r="1014">
      <c r="A1014" s="75"/>
      <c r="B1014" s="280"/>
      <c r="C1014" s="280"/>
      <c r="D1014" s="280"/>
      <c r="E1014" s="281"/>
      <c r="F1014" s="281"/>
      <c r="G1014" s="281"/>
      <c r="H1014" s="281"/>
      <c r="I1014" s="281"/>
      <c r="J1014" s="281"/>
      <c r="K1014" s="195"/>
      <c r="L1014" s="265"/>
      <c r="M1014" s="266"/>
    </row>
    <row r="1015">
      <c r="A1015" s="75"/>
      <c r="B1015" s="280"/>
      <c r="C1015" s="280"/>
      <c r="D1015" s="280"/>
      <c r="E1015" s="281"/>
      <c r="F1015" s="281"/>
      <c r="G1015" s="281"/>
      <c r="H1015" s="281"/>
      <c r="I1015" s="281"/>
      <c r="J1015" s="281"/>
      <c r="K1015" s="195"/>
      <c r="L1015" s="265"/>
      <c r="M1015" s="266"/>
    </row>
    <row r="1016">
      <c r="A1016" s="75"/>
      <c r="B1016" s="280"/>
      <c r="C1016" s="280"/>
      <c r="D1016" s="280"/>
      <c r="E1016" s="281"/>
      <c r="F1016" s="281"/>
      <c r="G1016" s="281"/>
      <c r="H1016" s="281"/>
      <c r="I1016" s="281"/>
      <c r="J1016" s="281"/>
      <c r="K1016" s="195"/>
      <c r="L1016" s="265"/>
      <c r="M1016" s="266"/>
    </row>
    <row r="1017">
      <c r="A1017" s="75"/>
      <c r="B1017" s="280"/>
      <c r="C1017" s="280"/>
      <c r="D1017" s="280"/>
      <c r="E1017" s="281"/>
      <c r="F1017" s="281"/>
      <c r="G1017" s="281"/>
      <c r="H1017" s="281"/>
      <c r="I1017" s="281"/>
      <c r="J1017" s="281"/>
      <c r="K1017" s="195"/>
      <c r="L1017" s="265"/>
      <c r="M1017" s="266"/>
    </row>
    <row r="1018">
      <c r="A1018" s="75"/>
      <c r="B1018" s="280"/>
      <c r="C1018" s="280"/>
      <c r="D1018" s="280"/>
      <c r="E1018" s="281"/>
      <c r="F1018" s="281"/>
      <c r="G1018" s="281"/>
      <c r="H1018" s="281"/>
      <c r="I1018" s="281"/>
      <c r="J1018" s="281"/>
      <c r="K1018" s="195"/>
      <c r="L1018" s="265"/>
      <c r="M1018" s="266"/>
    </row>
    <row r="1019">
      <c r="A1019" s="75"/>
      <c r="B1019" s="280"/>
      <c r="C1019" s="280"/>
      <c r="D1019" s="280"/>
      <c r="E1019" s="281"/>
      <c r="F1019" s="281"/>
      <c r="G1019" s="281"/>
      <c r="H1019" s="281"/>
      <c r="I1019" s="281"/>
      <c r="J1019" s="281"/>
      <c r="K1019" s="195"/>
      <c r="L1019" s="265"/>
      <c r="M1019" s="266"/>
    </row>
    <row r="1020">
      <c r="A1020" s="75"/>
      <c r="B1020" s="280"/>
      <c r="C1020" s="280"/>
      <c r="D1020" s="280"/>
      <c r="E1020" s="281"/>
      <c r="F1020" s="281"/>
      <c r="G1020" s="281"/>
      <c r="H1020" s="281"/>
      <c r="I1020" s="281"/>
      <c r="J1020" s="281"/>
      <c r="K1020" s="195"/>
      <c r="L1020" s="265"/>
      <c r="M1020" s="266"/>
    </row>
    <row r="1021">
      <c r="A1021" s="75"/>
      <c r="B1021" s="280"/>
      <c r="C1021" s="280"/>
      <c r="D1021" s="280"/>
      <c r="E1021" s="281"/>
      <c r="F1021" s="281"/>
      <c r="G1021" s="281"/>
      <c r="H1021" s="281"/>
      <c r="I1021" s="281"/>
      <c r="J1021" s="281"/>
      <c r="K1021" s="195"/>
      <c r="L1021" s="265"/>
      <c r="M1021" s="266"/>
    </row>
    <row r="1022">
      <c r="A1022" s="75"/>
      <c r="B1022" s="280"/>
      <c r="C1022" s="280"/>
      <c r="D1022" s="280"/>
      <c r="E1022" s="281"/>
      <c r="F1022" s="281"/>
      <c r="G1022" s="281"/>
      <c r="H1022" s="281"/>
      <c r="I1022" s="281"/>
      <c r="J1022" s="281"/>
      <c r="K1022" s="195"/>
      <c r="L1022" s="265"/>
      <c r="M1022" s="266"/>
    </row>
    <row r="1023">
      <c r="A1023" s="75"/>
      <c r="B1023" s="280"/>
      <c r="C1023" s="280"/>
      <c r="D1023" s="280"/>
      <c r="E1023" s="281"/>
      <c r="F1023" s="281"/>
      <c r="G1023" s="281"/>
      <c r="H1023" s="281"/>
      <c r="I1023" s="281"/>
      <c r="J1023" s="281"/>
      <c r="K1023" s="195"/>
      <c r="L1023" s="265"/>
      <c r="M1023" s="266"/>
    </row>
    <row r="1024">
      <c r="A1024" s="75"/>
      <c r="B1024" s="280"/>
      <c r="C1024" s="280"/>
      <c r="D1024" s="280"/>
      <c r="E1024" s="281"/>
      <c r="F1024" s="281"/>
      <c r="G1024" s="281"/>
      <c r="H1024" s="281"/>
      <c r="I1024" s="281"/>
      <c r="J1024" s="281"/>
      <c r="K1024" s="195"/>
      <c r="L1024" s="265"/>
      <c r="M1024" s="266"/>
    </row>
    <row r="1025">
      <c r="A1025" s="75"/>
      <c r="B1025" s="280"/>
      <c r="C1025" s="280"/>
      <c r="D1025" s="280"/>
      <c r="E1025" s="281"/>
      <c r="F1025" s="281"/>
      <c r="G1025" s="281"/>
      <c r="H1025" s="281"/>
      <c r="I1025" s="281"/>
      <c r="J1025" s="281"/>
      <c r="K1025" s="195"/>
      <c r="L1025" s="265"/>
      <c r="M1025" s="266"/>
    </row>
    <row r="1026">
      <c r="A1026" s="75"/>
      <c r="B1026" s="280"/>
      <c r="C1026" s="280"/>
      <c r="D1026" s="280"/>
      <c r="E1026" s="281"/>
      <c r="F1026" s="281"/>
      <c r="G1026" s="281"/>
      <c r="H1026" s="281"/>
      <c r="I1026" s="281"/>
      <c r="J1026" s="281"/>
      <c r="K1026" s="195"/>
      <c r="L1026" s="265"/>
      <c r="M1026" s="266"/>
    </row>
    <row r="1027">
      <c r="A1027" s="75"/>
      <c r="B1027" s="280"/>
      <c r="C1027" s="280"/>
      <c r="D1027" s="280"/>
      <c r="E1027" s="281"/>
      <c r="F1027" s="281"/>
      <c r="G1027" s="281"/>
      <c r="H1027" s="281"/>
      <c r="I1027" s="281"/>
      <c r="J1027" s="281"/>
      <c r="K1027" s="195"/>
      <c r="L1027" s="265"/>
      <c r="M1027" s="266"/>
    </row>
    <row r="1028">
      <c r="A1028" s="75"/>
      <c r="B1028" s="280"/>
      <c r="C1028" s="280"/>
      <c r="D1028" s="280"/>
      <c r="E1028" s="281"/>
      <c r="F1028" s="281"/>
      <c r="G1028" s="281"/>
      <c r="H1028" s="281"/>
      <c r="I1028" s="281"/>
      <c r="J1028" s="281"/>
      <c r="K1028" s="195"/>
      <c r="L1028" s="265"/>
      <c r="M1028" s="266"/>
    </row>
    <row r="1029">
      <c r="A1029" s="75"/>
      <c r="B1029" s="280"/>
      <c r="C1029" s="280"/>
      <c r="D1029" s="280"/>
      <c r="E1029" s="281"/>
      <c r="F1029" s="281"/>
      <c r="G1029" s="281"/>
      <c r="H1029" s="281"/>
      <c r="I1029" s="281"/>
      <c r="J1029" s="281"/>
      <c r="K1029" s="195"/>
      <c r="L1029" s="265"/>
      <c r="M1029" s="266"/>
    </row>
    <row r="1030">
      <c r="A1030" s="75"/>
      <c r="B1030" s="280"/>
      <c r="C1030" s="280"/>
      <c r="D1030" s="280"/>
      <c r="E1030" s="281"/>
      <c r="F1030" s="281"/>
      <c r="G1030" s="281"/>
      <c r="H1030" s="281"/>
      <c r="I1030" s="281"/>
      <c r="J1030" s="281"/>
      <c r="K1030" s="195"/>
      <c r="L1030" s="265"/>
      <c r="M1030" s="266"/>
    </row>
    <row r="1031">
      <c r="A1031" s="75"/>
      <c r="B1031" s="280"/>
      <c r="C1031" s="280"/>
      <c r="D1031" s="280"/>
      <c r="E1031" s="281"/>
      <c r="F1031" s="281"/>
      <c r="G1031" s="281"/>
      <c r="H1031" s="281"/>
      <c r="I1031" s="281"/>
      <c r="J1031" s="281"/>
      <c r="K1031" s="195"/>
      <c r="L1031" s="265"/>
      <c r="M1031" s="266"/>
    </row>
    <row r="1032">
      <c r="A1032" s="75"/>
      <c r="B1032" s="280"/>
      <c r="C1032" s="280"/>
      <c r="D1032" s="280"/>
      <c r="E1032" s="281"/>
      <c r="F1032" s="281"/>
      <c r="G1032" s="281"/>
      <c r="H1032" s="281"/>
      <c r="I1032" s="281"/>
      <c r="J1032" s="281"/>
      <c r="K1032" s="195"/>
      <c r="L1032" s="265"/>
      <c r="M1032" s="266"/>
    </row>
    <row r="1033">
      <c r="A1033" s="75"/>
      <c r="B1033" s="280"/>
      <c r="C1033" s="280"/>
      <c r="D1033" s="280"/>
      <c r="E1033" s="281"/>
      <c r="F1033" s="281"/>
      <c r="G1033" s="281"/>
      <c r="H1033" s="281"/>
      <c r="I1033" s="281"/>
      <c r="J1033" s="281"/>
      <c r="K1033" s="195"/>
      <c r="L1033" s="265"/>
      <c r="M1033" s="266"/>
    </row>
    <row r="1034">
      <c r="A1034" s="75"/>
      <c r="B1034" s="280"/>
      <c r="C1034" s="280"/>
      <c r="D1034" s="280"/>
      <c r="E1034" s="281"/>
      <c r="F1034" s="281"/>
      <c r="G1034" s="281"/>
      <c r="H1034" s="281"/>
      <c r="I1034" s="281"/>
      <c r="J1034" s="281"/>
      <c r="K1034" s="195"/>
      <c r="L1034" s="265"/>
      <c r="M1034" s="266"/>
    </row>
    <row r="1035">
      <c r="A1035" s="75"/>
      <c r="B1035" s="280"/>
      <c r="C1035" s="280"/>
      <c r="D1035" s="280"/>
      <c r="E1035" s="281"/>
      <c r="F1035" s="281"/>
      <c r="G1035" s="281"/>
      <c r="H1035" s="281"/>
      <c r="I1035" s="281"/>
      <c r="J1035" s="281"/>
      <c r="K1035" s="195"/>
      <c r="L1035" s="265"/>
      <c r="M1035" s="266"/>
    </row>
    <row r="1036">
      <c r="A1036" s="75"/>
      <c r="B1036" s="280"/>
      <c r="C1036" s="280"/>
      <c r="D1036" s="280"/>
      <c r="E1036" s="281"/>
      <c r="F1036" s="281"/>
      <c r="G1036" s="281"/>
      <c r="H1036" s="281"/>
      <c r="I1036" s="281"/>
      <c r="J1036" s="281"/>
      <c r="K1036" s="195"/>
      <c r="L1036" s="265"/>
      <c r="M1036" s="266"/>
    </row>
    <row r="1037">
      <c r="A1037" s="75"/>
      <c r="B1037" s="280"/>
      <c r="C1037" s="280"/>
      <c r="D1037" s="280"/>
      <c r="E1037" s="281"/>
      <c r="F1037" s="281"/>
      <c r="G1037" s="281"/>
      <c r="H1037" s="281"/>
      <c r="I1037" s="281"/>
      <c r="J1037" s="281"/>
      <c r="K1037" s="195"/>
      <c r="L1037" s="265"/>
      <c r="M1037" s="266"/>
    </row>
    <row r="1038">
      <c r="A1038" s="75"/>
      <c r="B1038" s="280"/>
      <c r="C1038" s="280"/>
      <c r="D1038" s="280"/>
      <c r="E1038" s="281"/>
      <c r="F1038" s="281"/>
      <c r="G1038" s="281"/>
      <c r="H1038" s="281"/>
      <c r="I1038" s="281"/>
      <c r="J1038" s="281"/>
      <c r="K1038" s="195"/>
      <c r="L1038" s="265"/>
      <c r="M1038" s="266"/>
    </row>
    <row r="1039">
      <c r="A1039" s="75"/>
      <c r="B1039" s="280"/>
      <c r="C1039" s="280"/>
      <c r="D1039" s="280"/>
      <c r="E1039" s="281"/>
      <c r="F1039" s="281"/>
      <c r="G1039" s="281"/>
      <c r="H1039" s="281"/>
      <c r="I1039" s="281"/>
      <c r="J1039" s="281"/>
      <c r="K1039" s="195"/>
      <c r="L1039" s="265"/>
      <c r="M1039" s="266"/>
    </row>
    <row r="1040">
      <c r="A1040" s="75"/>
      <c r="B1040" s="280"/>
      <c r="C1040" s="280"/>
      <c r="D1040" s="280"/>
      <c r="E1040" s="281"/>
      <c r="F1040" s="281"/>
      <c r="G1040" s="281"/>
      <c r="H1040" s="281"/>
      <c r="I1040" s="281"/>
      <c r="J1040" s="281"/>
      <c r="K1040" s="195"/>
      <c r="L1040" s="265"/>
      <c r="M1040" s="266"/>
    </row>
    <row r="1041">
      <c r="A1041" s="75"/>
      <c r="B1041" s="280"/>
      <c r="C1041" s="280"/>
      <c r="D1041" s="280"/>
      <c r="E1041" s="281"/>
      <c r="F1041" s="281"/>
      <c r="G1041" s="281"/>
      <c r="H1041" s="281"/>
      <c r="I1041" s="281"/>
      <c r="J1041" s="281"/>
      <c r="K1041" s="195"/>
      <c r="L1041" s="265"/>
      <c r="M1041" s="266"/>
    </row>
    <row r="1042">
      <c r="A1042" s="75"/>
      <c r="B1042" s="280"/>
      <c r="C1042" s="280"/>
      <c r="D1042" s="280"/>
      <c r="E1042" s="281"/>
      <c r="F1042" s="281"/>
      <c r="G1042" s="281"/>
      <c r="H1042" s="281"/>
      <c r="I1042" s="281"/>
      <c r="J1042" s="281"/>
      <c r="K1042" s="195"/>
      <c r="L1042" s="265"/>
      <c r="M1042" s="266"/>
    </row>
    <row r="1043">
      <c r="A1043" s="75"/>
      <c r="B1043" s="280"/>
      <c r="C1043" s="280"/>
      <c r="D1043" s="280"/>
      <c r="E1043" s="281"/>
      <c r="F1043" s="281"/>
      <c r="G1043" s="281"/>
      <c r="H1043" s="281"/>
      <c r="I1043" s="281"/>
      <c r="J1043" s="281"/>
      <c r="K1043" s="195"/>
      <c r="L1043" s="265"/>
      <c r="M1043" s="266"/>
    </row>
    <row r="1044">
      <c r="A1044" s="75"/>
      <c r="B1044" s="280"/>
      <c r="C1044" s="280"/>
      <c r="D1044" s="280"/>
      <c r="E1044" s="281"/>
      <c r="F1044" s="281"/>
      <c r="G1044" s="281"/>
      <c r="H1044" s="281"/>
      <c r="I1044" s="281"/>
      <c r="J1044" s="281"/>
      <c r="K1044" s="195"/>
      <c r="L1044" s="265"/>
      <c r="M1044" s="266"/>
    </row>
    <row r="1045">
      <c r="A1045" s="75"/>
      <c r="B1045" s="280"/>
      <c r="C1045" s="280"/>
      <c r="D1045" s="280"/>
      <c r="E1045" s="281"/>
      <c r="F1045" s="281"/>
      <c r="G1045" s="281"/>
      <c r="H1045" s="281"/>
      <c r="I1045" s="281"/>
      <c r="J1045" s="281"/>
      <c r="K1045" s="195"/>
      <c r="L1045" s="265"/>
      <c r="M1045" s="266"/>
    </row>
    <row r="1046">
      <c r="A1046" s="75"/>
      <c r="B1046" s="280"/>
      <c r="C1046" s="280"/>
      <c r="D1046" s="280"/>
      <c r="E1046" s="281"/>
      <c r="F1046" s="281"/>
      <c r="G1046" s="281"/>
      <c r="H1046" s="281"/>
      <c r="I1046" s="281"/>
      <c r="J1046" s="281"/>
      <c r="K1046" s="195"/>
      <c r="L1046" s="265"/>
      <c r="M1046" s="266"/>
    </row>
    <row r="1047">
      <c r="A1047" s="75"/>
      <c r="B1047" s="280"/>
      <c r="C1047" s="280"/>
      <c r="D1047" s="280"/>
      <c r="E1047" s="281"/>
      <c r="F1047" s="281"/>
      <c r="G1047" s="281"/>
      <c r="H1047" s="281"/>
      <c r="I1047" s="281"/>
      <c r="J1047" s="281"/>
      <c r="K1047" s="195"/>
      <c r="L1047" s="265"/>
      <c r="M1047" s="266"/>
    </row>
    <row r="1048">
      <c r="A1048" s="75"/>
      <c r="B1048" s="280"/>
      <c r="C1048" s="280"/>
      <c r="D1048" s="280"/>
      <c r="E1048" s="281"/>
      <c r="F1048" s="281"/>
      <c r="G1048" s="281"/>
      <c r="H1048" s="281"/>
      <c r="I1048" s="281"/>
      <c r="J1048" s="281"/>
      <c r="K1048" s="195"/>
      <c r="L1048" s="265"/>
      <c r="M1048" s="266"/>
    </row>
    <row r="1049">
      <c r="A1049" s="75"/>
      <c r="B1049" s="280"/>
      <c r="C1049" s="280"/>
      <c r="D1049" s="280"/>
      <c r="E1049" s="281"/>
      <c r="F1049" s="281"/>
      <c r="G1049" s="281"/>
      <c r="H1049" s="281"/>
      <c r="I1049" s="281"/>
      <c r="J1049" s="281"/>
      <c r="K1049" s="195"/>
      <c r="L1049" s="265"/>
      <c r="M1049" s="266"/>
    </row>
    <row r="1050">
      <c r="A1050" s="75"/>
      <c r="B1050" s="280"/>
      <c r="C1050" s="280"/>
      <c r="D1050" s="280"/>
      <c r="E1050" s="281"/>
      <c r="F1050" s="281"/>
      <c r="G1050" s="281"/>
      <c r="H1050" s="281"/>
      <c r="I1050" s="281"/>
      <c r="J1050" s="281"/>
      <c r="K1050" s="195"/>
      <c r="L1050" s="265"/>
      <c r="M1050" s="266"/>
    </row>
    <row r="1051">
      <c r="A1051" s="75"/>
      <c r="B1051" s="280"/>
      <c r="C1051" s="280"/>
      <c r="D1051" s="280"/>
      <c r="E1051" s="281"/>
      <c r="F1051" s="281"/>
      <c r="G1051" s="281"/>
      <c r="H1051" s="281"/>
      <c r="I1051" s="281"/>
      <c r="J1051" s="281"/>
      <c r="K1051" s="195"/>
      <c r="L1051" s="265"/>
      <c r="M1051" s="266"/>
    </row>
    <row r="1052">
      <c r="A1052" s="75"/>
      <c r="B1052" s="280"/>
      <c r="C1052" s="280"/>
      <c r="D1052" s="280"/>
      <c r="E1052" s="281"/>
      <c r="F1052" s="281"/>
      <c r="G1052" s="281"/>
      <c r="H1052" s="281"/>
      <c r="I1052" s="281"/>
      <c r="J1052" s="281"/>
      <c r="K1052" s="195"/>
      <c r="L1052" s="265"/>
      <c r="M1052" s="266"/>
    </row>
    <row r="1053">
      <c r="A1053" s="75"/>
      <c r="B1053" s="280"/>
      <c r="C1053" s="280"/>
      <c r="D1053" s="280"/>
      <c r="E1053" s="281"/>
      <c r="F1053" s="281"/>
      <c r="G1053" s="281"/>
      <c r="H1053" s="281"/>
      <c r="I1053" s="281"/>
      <c r="J1053" s="281"/>
      <c r="K1053" s="195"/>
      <c r="L1053" s="265"/>
      <c r="M1053" s="266"/>
    </row>
    <row r="1054">
      <c r="A1054" s="75"/>
      <c r="B1054" s="280"/>
      <c r="C1054" s="280"/>
      <c r="D1054" s="280"/>
      <c r="E1054" s="281"/>
      <c r="F1054" s="281"/>
      <c r="G1054" s="281"/>
      <c r="H1054" s="281"/>
      <c r="I1054" s="281"/>
      <c r="J1054" s="281"/>
      <c r="K1054" s="195"/>
      <c r="L1054" s="265"/>
      <c r="M1054" s="266"/>
    </row>
    <row r="1055">
      <c r="A1055" s="75"/>
      <c r="B1055" s="280"/>
      <c r="C1055" s="280"/>
      <c r="D1055" s="280"/>
      <c r="E1055" s="281"/>
      <c r="F1055" s="281"/>
      <c r="G1055" s="281"/>
      <c r="H1055" s="281"/>
      <c r="I1055" s="281"/>
      <c r="J1055" s="281"/>
      <c r="K1055" s="195"/>
      <c r="L1055" s="265"/>
      <c r="M1055" s="266"/>
    </row>
    <row r="1056">
      <c r="A1056" s="75"/>
      <c r="B1056" s="280"/>
      <c r="C1056" s="280"/>
      <c r="D1056" s="280"/>
      <c r="E1056" s="281"/>
      <c r="F1056" s="281"/>
      <c r="G1056" s="281"/>
      <c r="H1056" s="281"/>
      <c r="I1056" s="281"/>
      <c r="J1056" s="281"/>
      <c r="K1056" s="195"/>
      <c r="L1056" s="265"/>
      <c r="M1056" s="266"/>
    </row>
    <row r="1057">
      <c r="A1057" s="75"/>
      <c r="B1057" s="280"/>
      <c r="C1057" s="280"/>
      <c r="D1057" s="280"/>
      <c r="E1057" s="281"/>
      <c r="F1057" s="281"/>
      <c r="G1057" s="281"/>
      <c r="H1057" s="281"/>
      <c r="I1057" s="281"/>
      <c r="J1057" s="281"/>
      <c r="K1057" s="195"/>
      <c r="L1057" s="265"/>
      <c r="M1057" s="266"/>
    </row>
    <row r="1058">
      <c r="A1058" s="75"/>
      <c r="B1058" s="280"/>
      <c r="C1058" s="280"/>
      <c r="D1058" s="280"/>
      <c r="E1058" s="281"/>
      <c r="F1058" s="281"/>
      <c r="G1058" s="281"/>
      <c r="H1058" s="281"/>
      <c r="I1058" s="281"/>
      <c r="J1058" s="281"/>
      <c r="K1058" s="195"/>
      <c r="L1058" s="265"/>
      <c r="M1058" s="266"/>
    </row>
    <row r="1059">
      <c r="A1059" s="75"/>
      <c r="B1059" s="280"/>
      <c r="C1059" s="280"/>
      <c r="D1059" s="280"/>
      <c r="E1059" s="281"/>
      <c r="F1059" s="281"/>
      <c r="G1059" s="281"/>
      <c r="H1059" s="281"/>
      <c r="I1059" s="281"/>
      <c r="J1059" s="281"/>
      <c r="K1059" s="195"/>
      <c r="L1059" s="265"/>
      <c r="M1059" s="266"/>
    </row>
    <row r="1060">
      <c r="A1060" s="75"/>
      <c r="B1060" s="280"/>
      <c r="C1060" s="280"/>
      <c r="D1060" s="280"/>
      <c r="E1060" s="281"/>
      <c r="F1060" s="281"/>
      <c r="G1060" s="281"/>
      <c r="H1060" s="281"/>
      <c r="I1060" s="281"/>
      <c r="J1060" s="281"/>
      <c r="K1060" s="195"/>
      <c r="L1060" s="265"/>
      <c r="M1060" s="266"/>
    </row>
    <row r="1061">
      <c r="A1061" s="75"/>
      <c r="B1061" s="280"/>
      <c r="C1061" s="280"/>
      <c r="D1061" s="280"/>
      <c r="E1061" s="281"/>
      <c r="F1061" s="281"/>
      <c r="G1061" s="281"/>
      <c r="H1061" s="281"/>
      <c r="I1061" s="281"/>
      <c r="J1061" s="281"/>
      <c r="K1061" s="195"/>
      <c r="L1061" s="265"/>
      <c r="M1061" s="266"/>
    </row>
    <row r="1062">
      <c r="A1062" s="75"/>
      <c r="B1062" s="280"/>
      <c r="C1062" s="280"/>
      <c r="D1062" s="280"/>
      <c r="E1062" s="281"/>
      <c r="F1062" s="281"/>
      <c r="G1062" s="281"/>
      <c r="H1062" s="281"/>
      <c r="I1062" s="281"/>
      <c r="J1062" s="281"/>
      <c r="K1062" s="195"/>
      <c r="L1062" s="265"/>
      <c r="M1062" s="266"/>
    </row>
    <row r="1063">
      <c r="A1063" s="75"/>
      <c r="B1063" s="280"/>
      <c r="C1063" s="280"/>
      <c r="D1063" s="280"/>
      <c r="E1063" s="281"/>
      <c r="F1063" s="281"/>
      <c r="G1063" s="281"/>
      <c r="H1063" s="281"/>
      <c r="I1063" s="281"/>
      <c r="J1063" s="281"/>
      <c r="K1063" s="195"/>
      <c r="L1063" s="265"/>
      <c r="M1063" s="266"/>
    </row>
    <row r="1064">
      <c r="A1064" s="75"/>
      <c r="B1064" s="280"/>
      <c r="C1064" s="280"/>
      <c r="D1064" s="280"/>
      <c r="E1064" s="281"/>
      <c r="F1064" s="281"/>
      <c r="G1064" s="281"/>
      <c r="H1064" s="281"/>
      <c r="I1064" s="281"/>
      <c r="J1064" s="281"/>
      <c r="K1064" s="195"/>
      <c r="L1064" s="265"/>
      <c r="M1064" s="266"/>
    </row>
    <row r="1065">
      <c r="A1065" s="75"/>
      <c r="B1065" s="280"/>
      <c r="C1065" s="280"/>
      <c r="D1065" s="280"/>
      <c r="E1065" s="281"/>
      <c r="F1065" s="281"/>
      <c r="G1065" s="281"/>
      <c r="H1065" s="281"/>
      <c r="I1065" s="281"/>
      <c r="J1065" s="281"/>
      <c r="K1065" s="195"/>
      <c r="L1065" s="265"/>
      <c r="M1065" s="266"/>
    </row>
    <row r="1066">
      <c r="A1066" s="75"/>
      <c r="B1066" s="280"/>
      <c r="C1066" s="280"/>
      <c r="D1066" s="280"/>
      <c r="E1066" s="281"/>
      <c r="F1066" s="281"/>
      <c r="G1066" s="281"/>
      <c r="H1066" s="281"/>
      <c r="I1066" s="281"/>
      <c r="J1066" s="281"/>
      <c r="K1066" s="195"/>
      <c r="L1066" s="265"/>
      <c r="M1066" s="266"/>
    </row>
    <row r="1067">
      <c r="A1067" s="75"/>
      <c r="B1067" s="280"/>
      <c r="C1067" s="280"/>
      <c r="D1067" s="280"/>
      <c r="E1067" s="281"/>
      <c r="F1067" s="281"/>
      <c r="G1067" s="281"/>
      <c r="H1067" s="281"/>
      <c r="I1067" s="281"/>
      <c r="J1067" s="281"/>
      <c r="K1067" s="195"/>
      <c r="L1067" s="265"/>
      <c r="M1067" s="266"/>
    </row>
    <row r="1068">
      <c r="A1068" s="75"/>
      <c r="B1068" s="280"/>
      <c r="C1068" s="280"/>
      <c r="D1068" s="280"/>
      <c r="E1068" s="281"/>
      <c r="F1068" s="281"/>
      <c r="G1068" s="281"/>
      <c r="H1068" s="281"/>
      <c r="I1068" s="281"/>
      <c r="J1068" s="281"/>
      <c r="K1068" s="195"/>
      <c r="L1068" s="265"/>
      <c r="M1068" s="266"/>
    </row>
    <row r="1069">
      <c r="A1069" s="75"/>
      <c r="B1069" s="280"/>
      <c r="C1069" s="280"/>
      <c r="D1069" s="280"/>
      <c r="E1069" s="281"/>
      <c r="F1069" s="281"/>
      <c r="G1069" s="281"/>
      <c r="H1069" s="281"/>
      <c r="I1069" s="281"/>
      <c r="J1069" s="281"/>
      <c r="K1069" s="195"/>
      <c r="L1069" s="265"/>
      <c r="M1069" s="266"/>
    </row>
    <row r="1070">
      <c r="A1070" s="75"/>
      <c r="B1070" s="280"/>
      <c r="C1070" s="280"/>
      <c r="D1070" s="280"/>
      <c r="E1070" s="281"/>
      <c r="F1070" s="281"/>
      <c r="G1070" s="281"/>
      <c r="H1070" s="281"/>
      <c r="I1070" s="281"/>
      <c r="J1070" s="281"/>
      <c r="K1070" s="195"/>
      <c r="L1070" s="265"/>
      <c r="M1070" s="266"/>
    </row>
    <row r="1071">
      <c r="A1071" s="75"/>
      <c r="B1071" s="280"/>
      <c r="C1071" s="280"/>
      <c r="D1071" s="280"/>
      <c r="E1071" s="281"/>
      <c r="F1071" s="281"/>
      <c r="G1071" s="281"/>
      <c r="H1071" s="281"/>
      <c r="I1071" s="281"/>
      <c r="J1071" s="281"/>
      <c r="K1071" s="195"/>
      <c r="L1071" s="265"/>
      <c r="M1071" s="266"/>
    </row>
    <row r="1072">
      <c r="A1072" s="75"/>
      <c r="B1072" s="280"/>
      <c r="C1072" s="280"/>
      <c r="D1072" s="280"/>
      <c r="E1072" s="281"/>
      <c r="F1072" s="281"/>
      <c r="G1072" s="281"/>
      <c r="H1072" s="281"/>
      <c r="I1072" s="281"/>
      <c r="J1072" s="281"/>
      <c r="K1072" s="195"/>
      <c r="L1072" s="265"/>
      <c r="M1072" s="266"/>
    </row>
    <row r="1073">
      <c r="A1073" s="75"/>
      <c r="B1073" s="280"/>
      <c r="C1073" s="280"/>
      <c r="D1073" s="280"/>
      <c r="E1073" s="281"/>
      <c r="F1073" s="281"/>
      <c r="G1073" s="281"/>
      <c r="H1073" s="281"/>
      <c r="I1073" s="281"/>
      <c r="J1073" s="281"/>
      <c r="K1073" s="195"/>
      <c r="L1073" s="265"/>
      <c r="M1073" s="266"/>
    </row>
    <row r="1074">
      <c r="A1074" s="75"/>
      <c r="B1074" s="280"/>
      <c r="C1074" s="280"/>
      <c r="D1074" s="280"/>
      <c r="E1074" s="281"/>
      <c r="F1074" s="281"/>
      <c r="G1074" s="281"/>
      <c r="H1074" s="281"/>
      <c r="I1074" s="281"/>
      <c r="J1074" s="281"/>
      <c r="K1074" s="195"/>
      <c r="L1074" s="265"/>
      <c r="M1074" s="266"/>
    </row>
    <row r="1075">
      <c r="A1075" s="75"/>
      <c r="B1075" s="280"/>
      <c r="C1075" s="280"/>
      <c r="D1075" s="280"/>
      <c r="E1075" s="281"/>
      <c r="F1075" s="281"/>
      <c r="G1075" s="281"/>
      <c r="H1075" s="281"/>
      <c r="I1075" s="281"/>
      <c r="J1075" s="281"/>
      <c r="K1075" s="195"/>
      <c r="L1075" s="265"/>
      <c r="M1075" s="266"/>
    </row>
    <row r="1076">
      <c r="A1076" s="75"/>
      <c r="B1076" s="280"/>
      <c r="C1076" s="280"/>
      <c r="D1076" s="280"/>
      <c r="E1076" s="281"/>
      <c r="F1076" s="281"/>
      <c r="G1076" s="281"/>
      <c r="H1076" s="281"/>
      <c r="I1076" s="281"/>
      <c r="J1076" s="281"/>
      <c r="K1076" s="195"/>
      <c r="L1076" s="265"/>
      <c r="M1076" s="266"/>
    </row>
    <row r="1077">
      <c r="A1077" s="75"/>
      <c r="B1077" s="280"/>
      <c r="C1077" s="280"/>
      <c r="D1077" s="280"/>
      <c r="E1077" s="281"/>
      <c r="F1077" s="281"/>
      <c r="G1077" s="281"/>
      <c r="H1077" s="281"/>
      <c r="I1077" s="281"/>
      <c r="J1077" s="281"/>
      <c r="K1077" s="195"/>
      <c r="L1077" s="265"/>
      <c r="M1077" s="266"/>
    </row>
    <row r="1078">
      <c r="A1078" s="75"/>
      <c r="B1078" s="280"/>
      <c r="C1078" s="280"/>
      <c r="D1078" s="280"/>
      <c r="E1078" s="281"/>
      <c r="F1078" s="281"/>
      <c r="G1078" s="281"/>
      <c r="H1078" s="281"/>
      <c r="I1078" s="281"/>
      <c r="J1078" s="281"/>
      <c r="K1078" s="195"/>
      <c r="L1078" s="265"/>
      <c r="M1078" s="266"/>
    </row>
    <row r="1079">
      <c r="A1079" s="75"/>
      <c r="B1079" s="280"/>
      <c r="C1079" s="280"/>
      <c r="D1079" s="280"/>
      <c r="E1079" s="281"/>
      <c r="F1079" s="281"/>
      <c r="G1079" s="281"/>
      <c r="H1079" s="281"/>
      <c r="I1079" s="281"/>
      <c r="J1079" s="281"/>
      <c r="K1079" s="195"/>
      <c r="L1079" s="265"/>
      <c r="M1079" s="266"/>
    </row>
    <row r="1080">
      <c r="A1080" s="75"/>
      <c r="B1080" s="280"/>
      <c r="C1080" s="280"/>
      <c r="D1080" s="280"/>
      <c r="E1080" s="281"/>
      <c r="F1080" s="281"/>
      <c r="G1080" s="281"/>
      <c r="H1080" s="281"/>
      <c r="I1080" s="281"/>
      <c r="J1080" s="281"/>
      <c r="K1080" s="195"/>
      <c r="L1080" s="265"/>
      <c r="M1080" s="266"/>
    </row>
    <row r="1081">
      <c r="A1081" s="75"/>
      <c r="B1081" s="280"/>
      <c r="C1081" s="280"/>
      <c r="D1081" s="280"/>
      <c r="E1081" s="281"/>
      <c r="F1081" s="281"/>
      <c r="G1081" s="281"/>
      <c r="H1081" s="281"/>
      <c r="I1081" s="281"/>
      <c r="J1081" s="281"/>
      <c r="K1081" s="195"/>
      <c r="L1081" s="265"/>
      <c r="M1081" s="266"/>
    </row>
    <row r="1082">
      <c r="A1082" s="75"/>
      <c r="B1082" s="280"/>
      <c r="C1082" s="280"/>
      <c r="D1082" s="280"/>
      <c r="E1082" s="281"/>
      <c r="F1082" s="281"/>
      <c r="G1082" s="281"/>
      <c r="H1082" s="281"/>
      <c r="I1082" s="281"/>
      <c r="J1082" s="281"/>
      <c r="K1082" s="195"/>
      <c r="L1082" s="265"/>
      <c r="M1082" s="266"/>
    </row>
    <row r="1083">
      <c r="A1083" s="75"/>
      <c r="B1083" s="280"/>
      <c r="C1083" s="280"/>
      <c r="D1083" s="280"/>
      <c r="E1083" s="281"/>
      <c r="F1083" s="281"/>
      <c r="G1083" s="281"/>
      <c r="H1083" s="281"/>
      <c r="I1083" s="281"/>
      <c r="J1083" s="281"/>
      <c r="K1083" s="195"/>
      <c r="L1083" s="265"/>
      <c r="M1083" s="266"/>
    </row>
    <row r="1084">
      <c r="A1084" s="75"/>
      <c r="B1084" s="280"/>
      <c r="C1084" s="280"/>
      <c r="D1084" s="280"/>
      <c r="E1084" s="281"/>
      <c r="F1084" s="281"/>
      <c r="G1084" s="281"/>
      <c r="H1084" s="281"/>
      <c r="I1084" s="281"/>
      <c r="J1084" s="281"/>
      <c r="K1084" s="195"/>
      <c r="L1084" s="265"/>
      <c r="M1084" s="266"/>
    </row>
    <row r="1085">
      <c r="A1085" s="75"/>
      <c r="B1085" s="280"/>
      <c r="C1085" s="280"/>
      <c r="D1085" s="280"/>
      <c r="E1085" s="281"/>
      <c r="F1085" s="281"/>
      <c r="G1085" s="281"/>
      <c r="H1085" s="281"/>
      <c r="I1085" s="281"/>
      <c r="J1085" s="281"/>
      <c r="K1085" s="195"/>
      <c r="L1085" s="265"/>
      <c r="M1085" s="266"/>
    </row>
    <row r="1086">
      <c r="A1086" s="75"/>
      <c r="B1086" s="280"/>
      <c r="C1086" s="280"/>
      <c r="D1086" s="280"/>
      <c r="E1086" s="281"/>
      <c r="F1086" s="281"/>
      <c r="G1086" s="281"/>
      <c r="H1086" s="281"/>
      <c r="I1086" s="281"/>
      <c r="J1086" s="281"/>
      <c r="K1086" s="195"/>
      <c r="L1086" s="265"/>
      <c r="M1086" s="266"/>
    </row>
    <row r="1087">
      <c r="A1087" s="75"/>
      <c r="B1087" s="280"/>
      <c r="C1087" s="280"/>
      <c r="D1087" s="280"/>
      <c r="E1087" s="281"/>
      <c r="F1087" s="281"/>
      <c r="G1087" s="281"/>
      <c r="H1087" s="281"/>
      <c r="I1087" s="281"/>
      <c r="J1087" s="281"/>
      <c r="K1087" s="195"/>
      <c r="L1087" s="265"/>
      <c r="M1087" s="266"/>
    </row>
    <row r="1088">
      <c r="A1088" s="75"/>
      <c r="B1088" s="280"/>
      <c r="C1088" s="280"/>
      <c r="D1088" s="280"/>
      <c r="E1088" s="281"/>
      <c r="F1088" s="281"/>
      <c r="G1088" s="281"/>
      <c r="H1088" s="281"/>
      <c r="I1088" s="281"/>
      <c r="J1088" s="281"/>
      <c r="K1088" s="195"/>
      <c r="L1088" s="265"/>
      <c r="M1088" s="266"/>
    </row>
    <row r="1089">
      <c r="A1089" s="75"/>
      <c r="B1089" s="280"/>
      <c r="C1089" s="280"/>
      <c r="D1089" s="280"/>
      <c r="E1089" s="281"/>
      <c r="F1089" s="281"/>
      <c r="G1089" s="281"/>
      <c r="H1089" s="281"/>
      <c r="I1089" s="281"/>
      <c r="J1089" s="281"/>
      <c r="K1089" s="195"/>
      <c r="L1089" s="265"/>
      <c r="M1089" s="266"/>
    </row>
    <row r="1090">
      <c r="A1090" s="75"/>
      <c r="B1090" s="280"/>
      <c r="C1090" s="280"/>
      <c r="D1090" s="280"/>
      <c r="E1090" s="281"/>
      <c r="F1090" s="281"/>
      <c r="G1090" s="281"/>
      <c r="H1090" s="281"/>
      <c r="I1090" s="281"/>
      <c r="J1090" s="281"/>
      <c r="K1090" s="195"/>
      <c r="L1090" s="265"/>
      <c r="M1090" s="266"/>
    </row>
    <row r="1091">
      <c r="A1091" s="75"/>
      <c r="B1091" s="280"/>
      <c r="C1091" s="280"/>
      <c r="D1091" s="280"/>
      <c r="E1091" s="281"/>
      <c r="F1091" s="281"/>
      <c r="G1091" s="281"/>
      <c r="H1091" s="281"/>
      <c r="I1091" s="281"/>
      <c r="J1091" s="281"/>
      <c r="K1091" s="195"/>
      <c r="L1091" s="265"/>
      <c r="M1091" s="266"/>
    </row>
    <row r="1092">
      <c r="A1092" s="75"/>
      <c r="B1092" s="280"/>
      <c r="C1092" s="280"/>
      <c r="D1092" s="280"/>
      <c r="E1092" s="281"/>
      <c r="F1092" s="281"/>
      <c r="G1092" s="281"/>
      <c r="H1092" s="281"/>
      <c r="I1092" s="281"/>
      <c r="J1092" s="281"/>
      <c r="K1092" s="195"/>
      <c r="L1092" s="265"/>
      <c r="M1092" s="266"/>
    </row>
    <row r="1093">
      <c r="A1093" s="75"/>
      <c r="B1093" s="280"/>
      <c r="C1093" s="280"/>
      <c r="D1093" s="280"/>
      <c r="E1093" s="281"/>
      <c r="F1093" s="281"/>
      <c r="G1093" s="281"/>
      <c r="H1093" s="281"/>
      <c r="I1093" s="281"/>
      <c r="J1093" s="281"/>
      <c r="K1093" s="195"/>
      <c r="L1093" s="265"/>
      <c r="M1093" s="266"/>
    </row>
    <row r="1094">
      <c r="A1094" s="75"/>
      <c r="B1094" s="280"/>
      <c r="C1094" s="280"/>
      <c r="D1094" s="280"/>
      <c r="E1094" s="281"/>
      <c r="F1094" s="281"/>
      <c r="G1094" s="281"/>
      <c r="H1094" s="281"/>
      <c r="I1094" s="281"/>
      <c r="J1094" s="281"/>
      <c r="K1094" s="195"/>
      <c r="L1094" s="265"/>
      <c r="M1094" s="266"/>
    </row>
    <row r="1095">
      <c r="A1095" s="75"/>
      <c r="B1095" s="280"/>
      <c r="C1095" s="280"/>
      <c r="D1095" s="280"/>
      <c r="E1095" s="281"/>
      <c r="F1095" s="281"/>
      <c r="G1095" s="281"/>
      <c r="H1095" s="281"/>
      <c r="I1095" s="281"/>
      <c r="J1095" s="281"/>
      <c r="K1095" s="195"/>
      <c r="L1095" s="265"/>
      <c r="M1095" s="266"/>
    </row>
    <row r="1096">
      <c r="A1096" s="75"/>
      <c r="B1096" s="280"/>
      <c r="C1096" s="280"/>
      <c r="D1096" s="280"/>
      <c r="E1096" s="281"/>
      <c r="F1096" s="281"/>
      <c r="G1096" s="281"/>
      <c r="H1096" s="281"/>
      <c r="I1096" s="281"/>
      <c r="J1096" s="281"/>
      <c r="K1096" s="195"/>
      <c r="L1096" s="265"/>
      <c r="M1096" s="266"/>
    </row>
    <row r="1097">
      <c r="A1097" s="75"/>
      <c r="B1097" s="280"/>
      <c r="C1097" s="280"/>
      <c r="D1097" s="280"/>
      <c r="E1097" s="281"/>
      <c r="F1097" s="281"/>
      <c r="G1097" s="281"/>
      <c r="H1097" s="281"/>
      <c r="I1097" s="281"/>
      <c r="J1097" s="281"/>
      <c r="K1097" s="195"/>
      <c r="L1097" s="265"/>
      <c r="M1097" s="266"/>
    </row>
    <row r="1098">
      <c r="A1098" s="75"/>
      <c r="B1098" s="280"/>
      <c r="C1098" s="280"/>
      <c r="D1098" s="280"/>
      <c r="E1098" s="281"/>
      <c r="F1098" s="281"/>
      <c r="G1098" s="281"/>
      <c r="H1098" s="281"/>
      <c r="I1098" s="281"/>
      <c r="J1098" s="281"/>
      <c r="K1098" s="195"/>
      <c r="L1098" s="265"/>
      <c r="M1098" s="266"/>
    </row>
    <row r="1099">
      <c r="A1099" s="75"/>
      <c r="B1099" s="280"/>
      <c r="C1099" s="280"/>
      <c r="D1099" s="280"/>
      <c r="E1099" s="281"/>
      <c r="F1099" s="281"/>
      <c r="G1099" s="281"/>
      <c r="H1099" s="281"/>
      <c r="I1099" s="281"/>
      <c r="J1099" s="281"/>
      <c r="K1099" s="195"/>
      <c r="L1099" s="265"/>
      <c r="M1099" s="266"/>
    </row>
    <row r="1100">
      <c r="A1100" s="75"/>
      <c r="B1100" s="280"/>
      <c r="C1100" s="280"/>
      <c r="D1100" s="280"/>
      <c r="E1100" s="281"/>
      <c r="F1100" s="281"/>
      <c r="G1100" s="281"/>
      <c r="H1100" s="281"/>
      <c r="I1100" s="281"/>
      <c r="J1100" s="281"/>
      <c r="K1100" s="195"/>
      <c r="L1100" s="265"/>
      <c r="M1100" s="266"/>
    </row>
    <row r="1101">
      <c r="A1101" s="75"/>
      <c r="B1101" s="280"/>
      <c r="C1101" s="280"/>
      <c r="D1101" s="280"/>
      <c r="E1101" s="281"/>
      <c r="F1101" s="281"/>
      <c r="G1101" s="281"/>
      <c r="H1101" s="281"/>
      <c r="I1101" s="281"/>
      <c r="J1101" s="281"/>
      <c r="K1101" s="195"/>
      <c r="L1101" s="265"/>
      <c r="M1101" s="266"/>
    </row>
    <row r="1102">
      <c r="A1102" s="75"/>
      <c r="B1102" s="280"/>
      <c r="C1102" s="280"/>
      <c r="D1102" s="280"/>
      <c r="E1102" s="281"/>
      <c r="F1102" s="281"/>
      <c r="G1102" s="281"/>
      <c r="H1102" s="281"/>
      <c r="I1102" s="281"/>
      <c r="J1102" s="281"/>
      <c r="K1102" s="195"/>
      <c r="L1102" s="265"/>
      <c r="M1102" s="266"/>
    </row>
    <row r="1103">
      <c r="A1103" s="75"/>
      <c r="B1103" s="280"/>
      <c r="C1103" s="280"/>
      <c r="D1103" s="280"/>
      <c r="E1103" s="281"/>
      <c r="F1103" s="281"/>
      <c r="G1103" s="281"/>
      <c r="H1103" s="281"/>
      <c r="I1103" s="281"/>
      <c r="J1103" s="281"/>
      <c r="K1103" s="195"/>
      <c r="L1103" s="265"/>
      <c r="M1103" s="266"/>
    </row>
    <row r="1104">
      <c r="A1104" s="75"/>
      <c r="B1104" s="280"/>
      <c r="C1104" s="280"/>
      <c r="D1104" s="280"/>
      <c r="E1104" s="281"/>
      <c r="F1104" s="281"/>
      <c r="G1104" s="281"/>
      <c r="H1104" s="281"/>
      <c r="I1104" s="281"/>
      <c r="J1104" s="281"/>
      <c r="K1104" s="195"/>
      <c r="L1104" s="265"/>
      <c r="M1104" s="266"/>
    </row>
    <row r="1105">
      <c r="A1105" s="75"/>
      <c r="B1105" s="280"/>
      <c r="C1105" s="280"/>
      <c r="D1105" s="280"/>
      <c r="E1105" s="281"/>
      <c r="F1105" s="281"/>
      <c r="G1105" s="281"/>
      <c r="H1105" s="281"/>
      <c r="I1105" s="281"/>
      <c r="J1105" s="281"/>
      <c r="K1105" s="195"/>
      <c r="L1105" s="265"/>
      <c r="M1105" s="266"/>
    </row>
    <row r="1106">
      <c r="A1106" s="75"/>
      <c r="B1106" s="280"/>
      <c r="C1106" s="280"/>
      <c r="D1106" s="280"/>
      <c r="E1106" s="281"/>
      <c r="F1106" s="281"/>
      <c r="G1106" s="281"/>
      <c r="H1106" s="281"/>
      <c r="I1106" s="281"/>
      <c r="J1106" s="281"/>
      <c r="K1106" s="195"/>
      <c r="L1106" s="265"/>
      <c r="M1106" s="266"/>
    </row>
    <row r="1107">
      <c r="A1107" s="75"/>
      <c r="B1107" s="280"/>
      <c r="C1107" s="280"/>
      <c r="D1107" s="280"/>
      <c r="E1107" s="281"/>
      <c r="F1107" s="281"/>
      <c r="G1107" s="281"/>
      <c r="H1107" s="281"/>
      <c r="I1107" s="281"/>
      <c r="J1107" s="281"/>
      <c r="K1107" s="195"/>
      <c r="L1107" s="265"/>
      <c r="M1107" s="266"/>
    </row>
    <row r="1108">
      <c r="A1108" s="75"/>
      <c r="B1108" s="280"/>
      <c r="C1108" s="280"/>
      <c r="D1108" s="280"/>
      <c r="E1108" s="281"/>
      <c r="F1108" s="281"/>
      <c r="G1108" s="281"/>
      <c r="H1108" s="281"/>
      <c r="I1108" s="281"/>
      <c r="J1108" s="281"/>
      <c r="K1108" s="195"/>
      <c r="L1108" s="265"/>
      <c r="M1108" s="266"/>
    </row>
    <row r="1109">
      <c r="A1109" s="75"/>
      <c r="B1109" s="280"/>
      <c r="C1109" s="280"/>
      <c r="D1109" s="280"/>
      <c r="E1109" s="281"/>
      <c r="F1109" s="281"/>
      <c r="G1109" s="281"/>
      <c r="H1109" s="281"/>
      <c r="I1109" s="281"/>
      <c r="J1109" s="281"/>
      <c r="K1109" s="195"/>
      <c r="L1109" s="265"/>
      <c r="M1109" s="266"/>
    </row>
    <row r="1110">
      <c r="A1110" s="75"/>
      <c r="B1110" s="280"/>
      <c r="C1110" s="280"/>
      <c r="D1110" s="280"/>
      <c r="E1110" s="281"/>
      <c r="F1110" s="281"/>
      <c r="G1110" s="281"/>
      <c r="H1110" s="281"/>
      <c r="I1110" s="281"/>
      <c r="J1110" s="281"/>
      <c r="K1110" s="195"/>
      <c r="L1110" s="265"/>
      <c r="M1110" s="266"/>
    </row>
    <row r="1111">
      <c r="A1111" s="75"/>
      <c r="B1111" s="280"/>
      <c r="C1111" s="280"/>
      <c r="D1111" s="280"/>
      <c r="E1111" s="281"/>
      <c r="F1111" s="281"/>
      <c r="G1111" s="281"/>
      <c r="H1111" s="281"/>
      <c r="I1111" s="281"/>
      <c r="J1111" s="281"/>
      <c r="K1111" s="195"/>
      <c r="L1111" s="265"/>
      <c r="M1111" s="266"/>
    </row>
    <row r="1112">
      <c r="A1112" s="75"/>
      <c r="B1112" s="280"/>
      <c r="C1112" s="280"/>
      <c r="D1112" s="280"/>
      <c r="E1112" s="281"/>
      <c r="F1112" s="281"/>
      <c r="G1112" s="281"/>
      <c r="H1112" s="281"/>
      <c r="I1112" s="281"/>
      <c r="J1112" s="281"/>
      <c r="K1112" s="195"/>
      <c r="L1112" s="265"/>
      <c r="M1112" s="266"/>
    </row>
    <row r="1113">
      <c r="A1113" s="75"/>
      <c r="B1113" s="280"/>
      <c r="C1113" s="280"/>
      <c r="D1113" s="280"/>
      <c r="E1113" s="281"/>
      <c r="F1113" s="281"/>
      <c r="G1113" s="281"/>
      <c r="H1113" s="281"/>
      <c r="I1113" s="281"/>
      <c r="J1113" s="281"/>
      <c r="K1113" s="195"/>
      <c r="L1113" s="265"/>
      <c r="M1113" s="266"/>
    </row>
    <row r="1114">
      <c r="A1114" s="75"/>
      <c r="B1114" s="280"/>
      <c r="C1114" s="280"/>
      <c r="D1114" s="280"/>
      <c r="E1114" s="281"/>
      <c r="F1114" s="281"/>
      <c r="G1114" s="281"/>
      <c r="H1114" s="281"/>
      <c r="I1114" s="281"/>
      <c r="J1114" s="281"/>
      <c r="K1114" s="195"/>
      <c r="L1114" s="265"/>
      <c r="M1114" s="266"/>
    </row>
    <row r="1115">
      <c r="A1115" s="75"/>
      <c r="B1115" s="280"/>
      <c r="C1115" s="280"/>
      <c r="D1115" s="280"/>
      <c r="E1115" s="281"/>
      <c r="F1115" s="281"/>
      <c r="G1115" s="281"/>
      <c r="H1115" s="281"/>
      <c r="I1115" s="281"/>
      <c r="J1115" s="281"/>
      <c r="K1115" s="195"/>
      <c r="L1115" s="265"/>
      <c r="M1115" s="266"/>
    </row>
    <row r="1116">
      <c r="A1116" s="75"/>
      <c r="B1116" s="280"/>
      <c r="C1116" s="280"/>
      <c r="D1116" s="280"/>
      <c r="E1116" s="281"/>
      <c r="F1116" s="281"/>
      <c r="G1116" s="281"/>
      <c r="H1116" s="281"/>
      <c r="I1116" s="281"/>
      <c r="J1116" s="281"/>
      <c r="K1116" s="195"/>
      <c r="L1116" s="265"/>
      <c r="M1116" s="266"/>
    </row>
    <row r="1117">
      <c r="A1117" s="75"/>
      <c r="B1117" s="280"/>
      <c r="C1117" s="280"/>
      <c r="D1117" s="280"/>
      <c r="E1117" s="281"/>
      <c r="F1117" s="281"/>
      <c r="G1117" s="281"/>
      <c r="H1117" s="281"/>
      <c r="I1117" s="281"/>
      <c r="J1117" s="281"/>
      <c r="K1117" s="195"/>
      <c r="L1117" s="265"/>
      <c r="M1117" s="266"/>
    </row>
    <row r="1118">
      <c r="A1118" s="75"/>
      <c r="B1118" s="280"/>
      <c r="C1118" s="280"/>
      <c r="D1118" s="280"/>
      <c r="E1118" s="281"/>
      <c r="F1118" s="281"/>
      <c r="G1118" s="281"/>
      <c r="H1118" s="281"/>
      <c r="I1118" s="281"/>
      <c r="J1118" s="281"/>
      <c r="K1118" s="195"/>
      <c r="L1118" s="265"/>
      <c r="M1118" s="266"/>
    </row>
    <row r="1119">
      <c r="A1119" s="75"/>
      <c r="B1119" s="280"/>
      <c r="C1119" s="280"/>
      <c r="D1119" s="280"/>
      <c r="E1119" s="281"/>
      <c r="F1119" s="281"/>
      <c r="G1119" s="281"/>
      <c r="H1119" s="281"/>
      <c r="I1119" s="281"/>
      <c r="J1119" s="281"/>
      <c r="K1119" s="195"/>
      <c r="L1119" s="265"/>
      <c r="M1119" s="266"/>
    </row>
    <row r="1120">
      <c r="A1120" s="75"/>
      <c r="B1120" s="280"/>
      <c r="C1120" s="280"/>
      <c r="D1120" s="280"/>
      <c r="E1120" s="281"/>
      <c r="F1120" s="281"/>
      <c r="G1120" s="281"/>
      <c r="H1120" s="281"/>
      <c r="I1120" s="281"/>
      <c r="J1120" s="281"/>
      <c r="K1120" s="195"/>
      <c r="L1120" s="265"/>
      <c r="M1120" s="266"/>
    </row>
    <row r="1121">
      <c r="A1121" s="75"/>
      <c r="B1121" s="280"/>
      <c r="C1121" s="280"/>
      <c r="D1121" s="280"/>
      <c r="E1121" s="281"/>
      <c r="F1121" s="281"/>
      <c r="G1121" s="281"/>
      <c r="H1121" s="281"/>
      <c r="I1121" s="281"/>
      <c r="J1121" s="281"/>
      <c r="K1121" s="195"/>
      <c r="L1121" s="265"/>
      <c r="M1121" s="266"/>
    </row>
    <row r="1122">
      <c r="A1122" s="75"/>
      <c r="B1122" s="280"/>
      <c r="C1122" s="280"/>
      <c r="D1122" s="280"/>
      <c r="E1122" s="281"/>
      <c r="F1122" s="281"/>
      <c r="G1122" s="281"/>
      <c r="H1122" s="281"/>
      <c r="I1122" s="281"/>
      <c r="J1122" s="281"/>
      <c r="K1122" s="195"/>
      <c r="L1122" s="265"/>
      <c r="M1122" s="266"/>
    </row>
    <row r="1123">
      <c r="A1123" s="75"/>
      <c r="B1123" s="280"/>
      <c r="C1123" s="280"/>
      <c r="D1123" s="280"/>
      <c r="E1123" s="281"/>
      <c r="F1123" s="281"/>
      <c r="G1123" s="281"/>
      <c r="H1123" s="281"/>
      <c r="I1123" s="281"/>
      <c r="J1123" s="281"/>
      <c r="K1123" s="195"/>
      <c r="L1123" s="265"/>
      <c r="M1123" s="266"/>
    </row>
    <row r="1124">
      <c r="A1124" s="75"/>
      <c r="B1124" s="280"/>
      <c r="C1124" s="280"/>
      <c r="D1124" s="280"/>
      <c r="E1124" s="281"/>
      <c r="F1124" s="281"/>
      <c r="G1124" s="281"/>
      <c r="H1124" s="281"/>
      <c r="I1124" s="281"/>
      <c r="J1124" s="281"/>
      <c r="K1124" s="195"/>
      <c r="L1124" s="265"/>
      <c r="M1124" s="266"/>
    </row>
    <row r="1125">
      <c r="A1125" s="75"/>
      <c r="B1125" s="280"/>
      <c r="C1125" s="280"/>
      <c r="D1125" s="280"/>
      <c r="E1125" s="281"/>
      <c r="F1125" s="281"/>
      <c r="G1125" s="281"/>
      <c r="H1125" s="281"/>
      <c r="I1125" s="281"/>
      <c r="J1125" s="281"/>
      <c r="K1125" s="195"/>
      <c r="L1125" s="265"/>
      <c r="M1125" s="266"/>
    </row>
    <row r="1126">
      <c r="A1126" s="75"/>
      <c r="B1126" s="280"/>
      <c r="C1126" s="280"/>
      <c r="D1126" s="280"/>
      <c r="E1126" s="281"/>
      <c r="F1126" s="281"/>
      <c r="G1126" s="281"/>
      <c r="H1126" s="281"/>
      <c r="I1126" s="281"/>
      <c r="J1126" s="281"/>
      <c r="K1126" s="195"/>
      <c r="L1126" s="265"/>
      <c r="M1126" s="266"/>
    </row>
    <row r="1127">
      <c r="A1127" s="75"/>
      <c r="B1127" s="280"/>
      <c r="C1127" s="280"/>
      <c r="D1127" s="280"/>
      <c r="E1127" s="281"/>
      <c r="F1127" s="281"/>
      <c r="G1127" s="281"/>
      <c r="H1127" s="281"/>
      <c r="I1127" s="281"/>
      <c r="J1127" s="281"/>
      <c r="K1127" s="195"/>
      <c r="L1127" s="265"/>
      <c r="M1127" s="266"/>
    </row>
    <row r="1128">
      <c r="A1128" s="75"/>
      <c r="B1128" s="280"/>
      <c r="C1128" s="280"/>
      <c r="D1128" s="280"/>
      <c r="E1128" s="281"/>
      <c r="F1128" s="281"/>
      <c r="G1128" s="281"/>
      <c r="H1128" s="281"/>
      <c r="I1128" s="281"/>
      <c r="J1128" s="281"/>
      <c r="K1128" s="195"/>
      <c r="L1128" s="265"/>
      <c r="M1128" s="266"/>
    </row>
    <row r="1129">
      <c r="A1129" s="75"/>
      <c r="B1129" s="280"/>
      <c r="C1129" s="280"/>
      <c r="D1129" s="280"/>
      <c r="E1129" s="281"/>
      <c r="F1129" s="281"/>
      <c r="G1129" s="281"/>
      <c r="H1129" s="281"/>
      <c r="I1129" s="281"/>
      <c r="J1129" s="281"/>
      <c r="K1129" s="195"/>
      <c r="L1129" s="265"/>
      <c r="M1129" s="266"/>
    </row>
    <row r="1130">
      <c r="A1130" s="75"/>
      <c r="B1130" s="280"/>
      <c r="C1130" s="280"/>
      <c r="D1130" s="280"/>
      <c r="E1130" s="281"/>
      <c r="F1130" s="281"/>
      <c r="G1130" s="281"/>
      <c r="H1130" s="281"/>
      <c r="I1130" s="281"/>
      <c r="J1130" s="281"/>
      <c r="K1130" s="195"/>
      <c r="L1130" s="265"/>
      <c r="M1130" s="266"/>
    </row>
    <row r="1131">
      <c r="A1131" s="75"/>
      <c r="B1131" s="280"/>
      <c r="C1131" s="280"/>
      <c r="D1131" s="280"/>
      <c r="E1131" s="281"/>
      <c r="F1131" s="281"/>
      <c r="G1131" s="281"/>
      <c r="H1131" s="281"/>
      <c r="I1131" s="281"/>
      <c r="J1131" s="281"/>
      <c r="K1131" s="195"/>
      <c r="L1131" s="265"/>
      <c r="M1131" s="266"/>
    </row>
    <row r="1132">
      <c r="A1132" s="75"/>
      <c r="B1132" s="280"/>
      <c r="C1132" s="280"/>
      <c r="D1132" s="280"/>
      <c r="E1132" s="281"/>
      <c r="F1132" s="281"/>
      <c r="G1132" s="281"/>
      <c r="H1132" s="281"/>
      <c r="I1132" s="281"/>
      <c r="J1132" s="281"/>
      <c r="K1132" s="195"/>
      <c r="L1132" s="265"/>
      <c r="M1132" s="266"/>
    </row>
    <row r="1133">
      <c r="A1133" s="75"/>
      <c r="B1133" s="280"/>
      <c r="C1133" s="280"/>
      <c r="D1133" s="280"/>
      <c r="E1133" s="281"/>
      <c r="F1133" s="281"/>
      <c r="G1133" s="281"/>
      <c r="H1133" s="281"/>
      <c r="I1133" s="281"/>
      <c r="J1133" s="281"/>
      <c r="K1133" s="195"/>
      <c r="L1133" s="265"/>
      <c r="M1133" s="266"/>
    </row>
    <row r="1134">
      <c r="A1134" s="75"/>
      <c r="B1134" s="280"/>
      <c r="C1134" s="280"/>
      <c r="D1134" s="280"/>
      <c r="E1134" s="281"/>
      <c r="F1134" s="281"/>
      <c r="G1134" s="281"/>
      <c r="H1134" s="281"/>
      <c r="I1134" s="281"/>
      <c r="J1134" s="281"/>
      <c r="K1134" s="195"/>
      <c r="L1134" s="265"/>
      <c r="M1134" s="266"/>
    </row>
    <row r="1135">
      <c r="A1135" s="75"/>
      <c r="B1135" s="280"/>
      <c r="C1135" s="280"/>
      <c r="D1135" s="280"/>
      <c r="E1135" s="281"/>
      <c r="F1135" s="281"/>
      <c r="G1135" s="281"/>
      <c r="H1135" s="281"/>
      <c r="I1135" s="281"/>
      <c r="J1135" s="281"/>
      <c r="K1135" s="195"/>
      <c r="L1135" s="265"/>
      <c r="M1135" s="266"/>
    </row>
    <row r="1136">
      <c r="A1136" s="75"/>
      <c r="B1136" s="280"/>
      <c r="C1136" s="280"/>
      <c r="D1136" s="280"/>
      <c r="E1136" s="281"/>
      <c r="F1136" s="281"/>
      <c r="G1136" s="281"/>
      <c r="H1136" s="281"/>
      <c r="I1136" s="281"/>
      <c r="J1136" s="281"/>
      <c r="K1136" s="195"/>
      <c r="L1136" s="265"/>
      <c r="M1136" s="266"/>
    </row>
    <row r="1137">
      <c r="A1137" s="75"/>
      <c r="B1137" s="280"/>
      <c r="C1137" s="280"/>
      <c r="D1137" s="280"/>
      <c r="E1137" s="281"/>
      <c r="F1137" s="281"/>
      <c r="G1137" s="281"/>
      <c r="H1137" s="281"/>
      <c r="I1137" s="281"/>
      <c r="J1137" s="281"/>
      <c r="K1137" s="195"/>
      <c r="L1137" s="265"/>
      <c r="M1137" s="266"/>
    </row>
    <row r="1138">
      <c r="A1138" s="75"/>
      <c r="B1138" s="280"/>
      <c r="C1138" s="280"/>
      <c r="D1138" s="280"/>
      <c r="E1138" s="281"/>
      <c r="F1138" s="281"/>
      <c r="G1138" s="281"/>
      <c r="H1138" s="281"/>
      <c r="I1138" s="281"/>
      <c r="J1138" s="281"/>
      <c r="K1138" s="195"/>
      <c r="L1138" s="265"/>
      <c r="M1138" s="266"/>
    </row>
    <row r="1139">
      <c r="A1139" s="75"/>
      <c r="B1139" s="280"/>
      <c r="C1139" s="280"/>
      <c r="D1139" s="280"/>
      <c r="E1139" s="281"/>
      <c r="F1139" s="281"/>
      <c r="G1139" s="281"/>
      <c r="H1139" s="281"/>
      <c r="I1139" s="281"/>
      <c r="J1139" s="281"/>
      <c r="K1139" s="195"/>
      <c r="L1139" s="265"/>
      <c r="M1139" s="266"/>
    </row>
    <row r="1140">
      <c r="A1140" s="75"/>
      <c r="B1140" s="280"/>
      <c r="C1140" s="280"/>
      <c r="D1140" s="280"/>
      <c r="E1140" s="281"/>
      <c r="F1140" s="281"/>
      <c r="G1140" s="281"/>
      <c r="H1140" s="281"/>
      <c r="I1140" s="281"/>
      <c r="J1140" s="281"/>
      <c r="K1140" s="195"/>
      <c r="L1140" s="265"/>
      <c r="M1140" s="266"/>
    </row>
    <row r="1141">
      <c r="A1141" s="75"/>
      <c r="B1141" s="280"/>
      <c r="C1141" s="280"/>
      <c r="D1141" s="280"/>
      <c r="E1141" s="281"/>
      <c r="F1141" s="281"/>
      <c r="G1141" s="281"/>
      <c r="H1141" s="281"/>
      <c r="I1141" s="281"/>
      <c r="J1141" s="281"/>
      <c r="K1141" s="195"/>
      <c r="L1141" s="265"/>
      <c r="M1141" s="266"/>
    </row>
    <row r="1142">
      <c r="A1142" s="75"/>
      <c r="B1142" s="280"/>
      <c r="C1142" s="280"/>
      <c r="D1142" s="280"/>
      <c r="E1142" s="281"/>
      <c r="F1142" s="281"/>
      <c r="G1142" s="281"/>
      <c r="H1142" s="281"/>
      <c r="I1142" s="281"/>
      <c r="J1142" s="281"/>
      <c r="K1142" s="195"/>
      <c r="L1142" s="265"/>
      <c r="M1142" s="266"/>
    </row>
    <row r="1143">
      <c r="A1143" s="75"/>
      <c r="B1143" s="280"/>
      <c r="C1143" s="280"/>
      <c r="D1143" s="280"/>
      <c r="E1143" s="281"/>
      <c r="F1143" s="281"/>
      <c r="G1143" s="281"/>
      <c r="H1143" s="281"/>
      <c r="I1143" s="281"/>
      <c r="J1143" s="281"/>
      <c r="K1143" s="195"/>
      <c r="L1143" s="265"/>
      <c r="M1143" s="266"/>
    </row>
    <row r="1144">
      <c r="A1144" s="75"/>
      <c r="B1144" s="280"/>
      <c r="C1144" s="280"/>
      <c r="D1144" s="280"/>
      <c r="E1144" s="281"/>
      <c r="F1144" s="281"/>
      <c r="G1144" s="281"/>
      <c r="H1144" s="281"/>
      <c r="I1144" s="281"/>
      <c r="J1144" s="281"/>
      <c r="K1144" s="195"/>
      <c r="L1144" s="265"/>
      <c r="M1144" s="266"/>
    </row>
    <row r="1145">
      <c r="A1145" s="75"/>
      <c r="B1145" s="280"/>
      <c r="C1145" s="280"/>
      <c r="D1145" s="280"/>
      <c r="E1145" s="281"/>
      <c r="F1145" s="281"/>
      <c r="G1145" s="281"/>
      <c r="H1145" s="281"/>
      <c r="I1145" s="281"/>
      <c r="J1145" s="281"/>
      <c r="K1145" s="195"/>
      <c r="L1145" s="265"/>
      <c r="M1145" s="266"/>
    </row>
    <row r="1146">
      <c r="A1146" s="75"/>
      <c r="B1146" s="280"/>
      <c r="C1146" s="280"/>
      <c r="D1146" s="280"/>
      <c r="E1146" s="281"/>
      <c r="F1146" s="281"/>
      <c r="G1146" s="281"/>
      <c r="H1146" s="281"/>
      <c r="I1146" s="281"/>
      <c r="J1146" s="281"/>
      <c r="K1146" s="195"/>
      <c r="L1146" s="265"/>
      <c r="M1146" s="266"/>
    </row>
    <row r="1147">
      <c r="A1147" s="75"/>
      <c r="B1147" s="280"/>
      <c r="C1147" s="280"/>
      <c r="D1147" s="280"/>
      <c r="E1147" s="281"/>
      <c r="F1147" s="281"/>
      <c r="G1147" s="281"/>
      <c r="H1147" s="281"/>
      <c r="I1147" s="281"/>
      <c r="J1147" s="281"/>
      <c r="K1147" s="195"/>
      <c r="L1147" s="265"/>
      <c r="M1147" s="266"/>
    </row>
    <row r="1148">
      <c r="A1148" s="75"/>
      <c r="B1148" s="280"/>
      <c r="C1148" s="280"/>
      <c r="D1148" s="280"/>
      <c r="E1148" s="281"/>
      <c r="F1148" s="281"/>
      <c r="G1148" s="281"/>
      <c r="H1148" s="281"/>
      <c r="I1148" s="281"/>
      <c r="J1148" s="281"/>
      <c r="K1148" s="195"/>
      <c r="L1148" s="265"/>
      <c r="M1148" s="266"/>
    </row>
    <row r="1149">
      <c r="A1149" s="75"/>
      <c r="B1149" s="280"/>
      <c r="C1149" s="280"/>
      <c r="D1149" s="280"/>
      <c r="E1149" s="281"/>
      <c r="F1149" s="281"/>
      <c r="G1149" s="281"/>
      <c r="H1149" s="281"/>
      <c r="I1149" s="281"/>
      <c r="J1149" s="281"/>
      <c r="K1149" s="195"/>
      <c r="L1149" s="265"/>
      <c r="M1149" s="266"/>
    </row>
    <row r="1150">
      <c r="A1150" s="75"/>
      <c r="B1150" s="280"/>
      <c r="C1150" s="280"/>
      <c r="D1150" s="280"/>
      <c r="E1150" s="281"/>
      <c r="F1150" s="281"/>
      <c r="G1150" s="281"/>
      <c r="H1150" s="281"/>
      <c r="I1150" s="281"/>
      <c r="J1150" s="281"/>
      <c r="K1150" s="195"/>
      <c r="L1150" s="265"/>
      <c r="M1150" s="266"/>
    </row>
    <row r="1151">
      <c r="A1151" s="75"/>
      <c r="B1151" s="280"/>
      <c r="C1151" s="280"/>
      <c r="D1151" s="280"/>
      <c r="E1151" s="281"/>
      <c r="F1151" s="281"/>
      <c r="G1151" s="281"/>
      <c r="H1151" s="281"/>
      <c r="I1151" s="281"/>
      <c r="J1151" s="281"/>
      <c r="K1151" s="195"/>
      <c r="L1151" s="265"/>
      <c r="M1151" s="266"/>
    </row>
    <row r="1152">
      <c r="A1152" s="75"/>
      <c r="B1152" s="280"/>
      <c r="C1152" s="280"/>
      <c r="D1152" s="280"/>
      <c r="E1152" s="281"/>
      <c r="F1152" s="281"/>
      <c r="G1152" s="281"/>
      <c r="H1152" s="281"/>
      <c r="I1152" s="281"/>
      <c r="J1152" s="281"/>
      <c r="K1152" s="195"/>
      <c r="L1152" s="265"/>
      <c r="M1152" s="266"/>
    </row>
    <row r="1153">
      <c r="A1153" s="75"/>
      <c r="B1153" s="280"/>
      <c r="C1153" s="280"/>
      <c r="D1153" s="280"/>
      <c r="E1153" s="281"/>
      <c r="F1153" s="281"/>
      <c r="G1153" s="281"/>
      <c r="H1153" s="281"/>
      <c r="I1153" s="281"/>
      <c r="J1153" s="281"/>
      <c r="K1153" s="195"/>
      <c r="L1153" s="265"/>
      <c r="M1153" s="266"/>
    </row>
    <row r="1154">
      <c r="A1154" s="75"/>
      <c r="B1154" s="280"/>
      <c r="C1154" s="280"/>
      <c r="D1154" s="280"/>
      <c r="E1154" s="281"/>
      <c r="F1154" s="281"/>
      <c r="G1154" s="281"/>
      <c r="H1154" s="281"/>
      <c r="I1154" s="281"/>
      <c r="J1154" s="281"/>
      <c r="K1154" s="195"/>
      <c r="L1154" s="265"/>
      <c r="M1154" s="266"/>
    </row>
    <row r="1155">
      <c r="A1155" s="75"/>
      <c r="B1155" s="280"/>
      <c r="C1155" s="280"/>
      <c r="D1155" s="280"/>
      <c r="E1155" s="281"/>
      <c r="F1155" s="281"/>
      <c r="G1155" s="281"/>
      <c r="H1155" s="281"/>
      <c r="I1155" s="281"/>
      <c r="J1155" s="281"/>
      <c r="K1155" s="195"/>
      <c r="L1155" s="265"/>
      <c r="M1155" s="266"/>
    </row>
    <row r="1156">
      <c r="A1156" s="75"/>
      <c r="B1156" s="280"/>
      <c r="C1156" s="280"/>
      <c r="D1156" s="280"/>
      <c r="E1156" s="281"/>
      <c r="F1156" s="281"/>
      <c r="G1156" s="281"/>
      <c r="H1156" s="281"/>
      <c r="I1156" s="281"/>
      <c r="J1156" s="281"/>
      <c r="K1156" s="195"/>
      <c r="L1156" s="265"/>
      <c r="M1156" s="266"/>
    </row>
    <row r="1157">
      <c r="A1157" s="75"/>
      <c r="B1157" s="280"/>
      <c r="C1157" s="280"/>
      <c r="D1157" s="280"/>
      <c r="E1157" s="281"/>
      <c r="F1157" s="281"/>
      <c r="G1157" s="281"/>
      <c r="H1157" s="281"/>
      <c r="I1157" s="281"/>
      <c r="J1157" s="281"/>
      <c r="K1157" s="195"/>
      <c r="L1157" s="265"/>
      <c r="M1157" s="266"/>
    </row>
    <row r="1158">
      <c r="A1158" s="75"/>
      <c r="B1158" s="280"/>
      <c r="C1158" s="280"/>
      <c r="D1158" s="280"/>
      <c r="E1158" s="281"/>
      <c r="F1158" s="281"/>
      <c r="G1158" s="281"/>
      <c r="H1158" s="281"/>
      <c r="I1158" s="281"/>
      <c r="J1158" s="281"/>
      <c r="K1158" s="195"/>
      <c r="L1158" s="265"/>
      <c r="M1158" s="266"/>
    </row>
    <row r="1159">
      <c r="A1159" s="75"/>
      <c r="B1159" s="280"/>
      <c r="C1159" s="280"/>
      <c r="D1159" s="280"/>
      <c r="E1159" s="281"/>
      <c r="F1159" s="281"/>
      <c r="G1159" s="281"/>
      <c r="H1159" s="281"/>
      <c r="I1159" s="281"/>
      <c r="J1159" s="281"/>
      <c r="K1159" s="195"/>
      <c r="L1159" s="265"/>
      <c r="M1159" s="266"/>
    </row>
    <row r="1160">
      <c r="A1160" s="75"/>
      <c r="B1160" s="280"/>
      <c r="C1160" s="280"/>
      <c r="D1160" s="280"/>
      <c r="E1160" s="281"/>
      <c r="F1160" s="281"/>
      <c r="G1160" s="281"/>
      <c r="H1160" s="281"/>
      <c r="I1160" s="281"/>
      <c r="J1160" s="281"/>
      <c r="K1160" s="195"/>
      <c r="L1160" s="265"/>
      <c r="M1160" s="266"/>
    </row>
    <row r="1161">
      <c r="A1161" s="75"/>
      <c r="B1161" s="280"/>
      <c r="C1161" s="280"/>
      <c r="D1161" s="280"/>
      <c r="E1161" s="281"/>
      <c r="F1161" s="281"/>
      <c r="G1161" s="281"/>
      <c r="H1161" s="281"/>
      <c r="I1161" s="281"/>
      <c r="J1161" s="281"/>
      <c r="K1161" s="195"/>
      <c r="L1161" s="265"/>
      <c r="M1161" s="266"/>
    </row>
    <row r="1162">
      <c r="A1162" s="75"/>
      <c r="B1162" s="280"/>
      <c r="C1162" s="280"/>
      <c r="D1162" s="280"/>
      <c r="E1162" s="281"/>
      <c r="F1162" s="281"/>
      <c r="G1162" s="281"/>
      <c r="H1162" s="281"/>
      <c r="I1162" s="281"/>
      <c r="J1162" s="281"/>
      <c r="K1162" s="195"/>
      <c r="L1162" s="265"/>
      <c r="M1162" s="266"/>
    </row>
    <row r="1163">
      <c r="A1163" s="75"/>
      <c r="B1163" s="280"/>
      <c r="C1163" s="280"/>
      <c r="D1163" s="280"/>
      <c r="E1163" s="281"/>
      <c r="F1163" s="281"/>
      <c r="G1163" s="281"/>
      <c r="H1163" s="281"/>
      <c r="I1163" s="281"/>
      <c r="J1163" s="281"/>
      <c r="K1163" s="195"/>
      <c r="L1163" s="265"/>
      <c r="M1163" s="266"/>
    </row>
    <row r="1164">
      <c r="A1164" s="75"/>
      <c r="B1164" s="280"/>
      <c r="C1164" s="280"/>
      <c r="D1164" s="280"/>
      <c r="E1164" s="281"/>
      <c r="F1164" s="281"/>
      <c r="G1164" s="281"/>
      <c r="H1164" s="281"/>
      <c r="I1164" s="281"/>
      <c r="J1164" s="281"/>
      <c r="K1164" s="195"/>
      <c r="L1164" s="265"/>
      <c r="M1164" s="266"/>
    </row>
    <row r="1165">
      <c r="A1165" s="75"/>
      <c r="B1165" s="280"/>
      <c r="C1165" s="280"/>
      <c r="D1165" s="280"/>
      <c r="E1165" s="281"/>
      <c r="F1165" s="281"/>
      <c r="G1165" s="281"/>
      <c r="H1165" s="281"/>
      <c r="I1165" s="281"/>
      <c r="J1165" s="281"/>
      <c r="K1165" s="195"/>
      <c r="L1165" s="265"/>
      <c r="M1165" s="266"/>
    </row>
    <row r="1166">
      <c r="A1166" s="75"/>
      <c r="B1166" s="280"/>
      <c r="C1166" s="280"/>
      <c r="D1166" s="280"/>
      <c r="E1166" s="281"/>
      <c r="F1166" s="281"/>
      <c r="G1166" s="281"/>
      <c r="H1166" s="281"/>
      <c r="I1166" s="281"/>
      <c r="J1166" s="281"/>
      <c r="K1166" s="195"/>
      <c r="L1166" s="265"/>
      <c r="M1166" s="266"/>
    </row>
    <row r="1167">
      <c r="A1167" s="75"/>
      <c r="B1167" s="280"/>
      <c r="C1167" s="280"/>
      <c r="D1167" s="280"/>
      <c r="E1167" s="281"/>
      <c r="F1167" s="281"/>
      <c r="G1167" s="281"/>
      <c r="H1167" s="281"/>
      <c r="I1167" s="281"/>
      <c r="J1167" s="281"/>
      <c r="K1167" s="195"/>
      <c r="L1167" s="265"/>
      <c r="M1167" s="266"/>
    </row>
    <row r="1168">
      <c r="A1168" s="75"/>
      <c r="B1168" s="280"/>
      <c r="C1168" s="280"/>
      <c r="D1168" s="280"/>
      <c r="E1168" s="281"/>
      <c r="F1168" s="281"/>
      <c r="G1168" s="281"/>
      <c r="H1168" s="281"/>
      <c r="I1168" s="281"/>
      <c r="J1168" s="281"/>
      <c r="K1168" s="195"/>
      <c r="L1168" s="265"/>
      <c r="M1168" s="266"/>
    </row>
    <row r="1169">
      <c r="A1169" s="75"/>
      <c r="B1169" s="280"/>
      <c r="C1169" s="280"/>
      <c r="D1169" s="280"/>
      <c r="E1169" s="281"/>
      <c r="F1169" s="281"/>
      <c r="G1169" s="281"/>
      <c r="H1169" s="281"/>
      <c r="I1169" s="281"/>
      <c r="J1169" s="281"/>
      <c r="K1169" s="195"/>
      <c r="L1169" s="265"/>
      <c r="M1169" s="266"/>
    </row>
    <row r="1170">
      <c r="A1170" s="75"/>
      <c r="B1170" s="280"/>
      <c r="C1170" s="280"/>
      <c r="D1170" s="280"/>
      <c r="E1170" s="281"/>
      <c r="F1170" s="281"/>
      <c r="G1170" s="281"/>
      <c r="H1170" s="281"/>
      <c r="I1170" s="281"/>
      <c r="J1170" s="281"/>
      <c r="K1170" s="195"/>
      <c r="L1170" s="265"/>
      <c r="M1170" s="266"/>
    </row>
    <row r="1171">
      <c r="A1171" s="75"/>
      <c r="B1171" s="280"/>
      <c r="C1171" s="280"/>
      <c r="D1171" s="280"/>
      <c r="E1171" s="281"/>
      <c r="F1171" s="281"/>
      <c r="G1171" s="281"/>
      <c r="H1171" s="281"/>
      <c r="I1171" s="281"/>
      <c r="J1171" s="281"/>
      <c r="K1171" s="195"/>
      <c r="L1171" s="265"/>
      <c r="M1171" s="266"/>
    </row>
    <row r="1172">
      <c r="A1172" s="75"/>
      <c r="B1172" s="280"/>
      <c r="C1172" s="280"/>
      <c r="D1172" s="280"/>
      <c r="E1172" s="281"/>
      <c r="F1172" s="281"/>
      <c r="G1172" s="281"/>
      <c r="H1172" s="281"/>
      <c r="I1172" s="281"/>
      <c r="J1172" s="281"/>
      <c r="K1172" s="195"/>
      <c r="L1172" s="265"/>
      <c r="M1172" s="266"/>
    </row>
    <row r="1173">
      <c r="A1173" s="75"/>
      <c r="B1173" s="280"/>
      <c r="C1173" s="280"/>
      <c r="D1173" s="280"/>
      <c r="E1173" s="281"/>
      <c r="F1173" s="281"/>
      <c r="G1173" s="281"/>
      <c r="H1173" s="281"/>
      <c r="I1173" s="281"/>
      <c r="J1173" s="281"/>
      <c r="K1173" s="195"/>
      <c r="L1173" s="265"/>
      <c r="M1173" s="266"/>
    </row>
    <row r="1174">
      <c r="A1174" s="75"/>
      <c r="B1174" s="280"/>
      <c r="C1174" s="280"/>
      <c r="D1174" s="280"/>
      <c r="E1174" s="281"/>
      <c r="F1174" s="281"/>
      <c r="G1174" s="281"/>
      <c r="H1174" s="281"/>
      <c r="I1174" s="281"/>
      <c r="J1174" s="281"/>
      <c r="K1174" s="195"/>
      <c r="L1174" s="265"/>
      <c r="M1174" s="266"/>
    </row>
    <row r="1175">
      <c r="A1175" s="75"/>
      <c r="B1175" s="280"/>
      <c r="C1175" s="280"/>
      <c r="D1175" s="280"/>
      <c r="E1175" s="281"/>
      <c r="F1175" s="281"/>
      <c r="G1175" s="281"/>
      <c r="H1175" s="281"/>
      <c r="I1175" s="281"/>
      <c r="J1175" s="281"/>
      <c r="K1175" s="195"/>
      <c r="L1175" s="265"/>
      <c r="M1175" s="266"/>
    </row>
    <row r="1176">
      <c r="A1176" s="75"/>
      <c r="B1176" s="280"/>
      <c r="C1176" s="280"/>
      <c r="D1176" s="280"/>
      <c r="E1176" s="281"/>
      <c r="F1176" s="281"/>
      <c r="G1176" s="281"/>
      <c r="H1176" s="281"/>
      <c r="I1176" s="281"/>
      <c r="J1176" s="281"/>
      <c r="K1176" s="195"/>
      <c r="L1176" s="265"/>
      <c r="M1176" s="266"/>
    </row>
    <row r="1177">
      <c r="A1177" s="75"/>
      <c r="B1177" s="280"/>
      <c r="C1177" s="280"/>
      <c r="D1177" s="280"/>
      <c r="E1177" s="281"/>
      <c r="F1177" s="281"/>
      <c r="G1177" s="281"/>
      <c r="H1177" s="281"/>
      <c r="I1177" s="281"/>
      <c r="J1177" s="281"/>
      <c r="K1177" s="195"/>
      <c r="L1177" s="265"/>
      <c r="M1177" s="266"/>
    </row>
    <row r="1178">
      <c r="A1178" s="75"/>
      <c r="B1178" s="280"/>
      <c r="C1178" s="280"/>
      <c r="D1178" s="280"/>
      <c r="E1178" s="281"/>
      <c r="F1178" s="281"/>
      <c r="G1178" s="281"/>
      <c r="H1178" s="281"/>
      <c r="I1178" s="281"/>
      <c r="J1178" s="281"/>
      <c r="K1178" s="195"/>
      <c r="L1178" s="265"/>
      <c r="M1178" s="266"/>
    </row>
    <row r="1179">
      <c r="A1179" s="75"/>
      <c r="B1179" s="280"/>
      <c r="C1179" s="280"/>
      <c r="D1179" s="280"/>
      <c r="E1179" s="281"/>
      <c r="F1179" s="281"/>
      <c r="G1179" s="281"/>
      <c r="H1179" s="281"/>
      <c r="I1179" s="281"/>
      <c r="J1179" s="281"/>
      <c r="K1179" s="195"/>
      <c r="L1179" s="265"/>
      <c r="M1179" s="266"/>
    </row>
    <row r="1180">
      <c r="A1180" s="75"/>
      <c r="B1180" s="280"/>
      <c r="C1180" s="280"/>
      <c r="D1180" s="280"/>
      <c r="E1180" s="281"/>
      <c r="F1180" s="281"/>
      <c r="G1180" s="281"/>
      <c r="H1180" s="281"/>
      <c r="I1180" s="281"/>
      <c r="J1180" s="281"/>
      <c r="K1180" s="195"/>
      <c r="L1180" s="265"/>
      <c r="M1180" s="266"/>
    </row>
    <row r="1181">
      <c r="A1181" s="75"/>
      <c r="B1181" s="280"/>
      <c r="C1181" s="280"/>
      <c r="D1181" s="280"/>
      <c r="E1181" s="281"/>
      <c r="F1181" s="281"/>
      <c r="G1181" s="281"/>
      <c r="H1181" s="281"/>
      <c r="I1181" s="281"/>
      <c r="J1181" s="281"/>
      <c r="K1181" s="195"/>
      <c r="L1181" s="265"/>
      <c r="M1181" s="266"/>
    </row>
    <row r="1182">
      <c r="A1182" s="75"/>
      <c r="B1182" s="280"/>
      <c r="C1182" s="280"/>
      <c r="D1182" s="280"/>
      <c r="E1182" s="281"/>
      <c r="F1182" s="281"/>
      <c r="G1182" s="281"/>
      <c r="H1182" s="281"/>
      <c r="I1182" s="281"/>
      <c r="J1182" s="281"/>
      <c r="K1182" s="195"/>
      <c r="L1182" s="265"/>
      <c r="M1182" s="266"/>
    </row>
    <row r="1183">
      <c r="A1183" s="75"/>
      <c r="B1183" s="280"/>
      <c r="C1183" s="280"/>
      <c r="D1183" s="280"/>
      <c r="E1183" s="281"/>
      <c r="F1183" s="281"/>
      <c r="G1183" s="281"/>
      <c r="H1183" s="281"/>
      <c r="I1183" s="281"/>
      <c r="J1183" s="281"/>
      <c r="K1183" s="195"/>
      <c r="L1183" s="265"/>
      <c r="M1183" s="266"/>
    </row>
    <row r="1184">
      <c r="A1184" s="75"/>
      <c r="B1184" s="280"/>
      <c r="C1184" s="280"/>
      <c r="D1184" s="280"/>
      <c r="E1184" s="281"/>
      <c r="F1184" s="281"/>
      <c r="G1184" s="281"/>
      <c r="H1184" s="281"/>
      <c r="I1184" s="281"/>
      <c r="J1184" s="281"/>
      <c r="K1184" s="195"/>
      <c r="L1184" s="265"/>
      <c r="M1184" s="266"/>
    </row>
    <row r="1185">
      <c r="A1185" s="75"/>
      <c r="B1185" s="280"/>
      <c r="C1185" s="280"/>
      <c r="D1185" s="280"/>
      <c r="E1185" s="281"/>
      <c r="F1185" s="281"/>
      <c r="G1185" s="281"/>
      <c r="H1185" s="281"/>
      <c r="I1185" s="281"/>
      <c r="J1185" s="281"/>
      <c r="K1185" s="195"/>
      <c r="L1185" s="265"/>
      <c r="M1185" s="266"/>
    </row>
    <row r="1186">
      <c r="A1186" s="75"/>
      <c r="B1186" s="280"/>
      <c r="C1186" s="280"/>
      <c r="D1186" s="280"/>
      <c r="E1186" s="281"/>
      <c r="F1186" s="281"/>
      <c r="G1186" s="281"/>
      <c r="H1186" s="281"/>
      <c r="I1186" s="281"/>
      <c r="J1186" s="281"/>
      <c r="K1186" s="195"/>
      <c r="L1186" s="265"/>
      <c r="M1186" s="266"/>
    </row>
    <row r="1187">
      <c r="A1187" s="75"/>
      <c r="B1187" s="280"/>
      <c r="C1187" s="280"/>
      <c r="D1187" s="280"/>
      <c r="E1187" s="281"/>
      <c r="F1187" s="281"/>
      <c r="G1187" s="281"/>
      <c r="H1187" s="281"/>
      <c r="I1187" s="281"/>
      <c r="J1187" s="281"/>
      <c r="K1187" s="195"/>
      <c r="L1187" s="265"/>
      <c r="M1187" s="266"/>
    </row>
    <row r="1188">
      <c r="A1188" s="75"/>
      <c r="B1188" s="280"/>
      <c r="C1188" s="280"/>
      <c r="D1188" s="280"/>
      <c r="E1188" s="281"/>
      <c r="F1188" s="281"/>
      <c r="G1188" s="281"/>
      <c r="H1188" s="281"/>
      <c r="I1188" s="281"/>
      <c r="J1188" s="281"/>
      <c r="K1188" s="195"/>
      <c r="L1188" s="265"/>
      <c r="M1188" s="266"/>
    </row>
    <row r="1189">
      <c r="A1189" s="75"/>
      <c r="B1189" s="280"/>
      <c r="C1189" s="280"/>
      <c r="D1189" s="280"/>
      <c r="E1189" s="281"/>
      <c r="F1189" s="281"/>
      <c r="G1189" s="281"/>
      <c r="H1189" s="281"/>
      <c r="I1189" s="281"/>
      <c r="J1189" s="281"/>
      <c r="K1189" s="195"/>
      <c r="L1189" s="265"/>
      <c r="M1189" s="266"/>
    </row>
    <row r="1190">
      <c r="A1190" s="75"/>
      <c r="B1190" s="280"/>
      <c r="C1190" s="280"/>
      <c r="D1190" s="280"/>
      <c r="E1190" s="281"/>
      <c r="F1190" s="281"/>
      <c r="G1190" s="281"/>
      <c r="H1190" s="281"/>
      <c r="I1190" s="281"/>
      <c r="J1190" s="281"/>
      <c r="K1190" s="195"/>
      <c r="L1190" s="265"/>
      <c r="M1190" s="266"/>
    </row>
    <row r="1191">
      <c r="A1191" s="75"/>
      <c r="B1191" s="280"/>
      <c r="C1191" s="280"/>
      <c r="D1191" s="280"/>
      <c r="E1191" s="281"/>
      <c r="F1191" s="281"/>
      <c r="G1191" s="281"/>
      <c r="H1191" s="281"/>
      <c r="I1191" s="281"/>
      <c r="J1191" s="281"/>
      <c r="K1191" s="195"/>
      <c r="L1191" s="265"/>
      <c r="M1191" s="266"/>
    </row>
    <row r="1192">
      <c r="A1192" s="75"/>
      <c r="B1192" s="280"/>
      <c r="C1192" s="280"/>
      <c r="D1192" s="280"/>
      <c r="E1192" s="281"/>
      <c r="F1192" s="281"/>
      <c r="G1192" s="281"/>
      <c r="H1192" s="281"/>
      <c r="I1192" s="281"/>
      <c r="J1192" s="281"/>
      <c r="K1192" s="195"/>
      <c r="L1192" s="265"/>
      <c r="M1192" s="266"/>
    </row>
    <row r="1193">
      <c r="A1193" s="75"/>
      <c r="B1193" s="280"/>
      <c r="C1193" s="280"/>
      <c r="D1193" s="280"/>
      <c r="E1193" s="281"/>
      <c r="F1193" s="281"/>
      <c r="G1193" s="281"/>
      <c r="H1193" s="281"/>
      <c r="I1193" s="281"/>
      <c r="J1193" s="281"/>
      <c r="K1193" s="195"/>
      <c r="L1193" s="265"/>
      <c r="M1193" s="266"/>
    </row>
    <row r="1194">
      <c r="A1194" s="75"/>
      <c r="B1194" s="280"/>
      <c r="C1194" s="280"/>
      <c r="D1194" s="280"/>
      <c r="E1194" s="281"/>
      <c r="F1194" s="281"/>
      <c r="G1194" s="281"/>
      <c r="H1194" s="281"/>
      <c r="I1194" s="281"/>
      <c r="J1194" s="281"/>
      <c r="K1194" s="195"/>
      <c r="L1194" s="265"/>
      <c r="M1194" s="266"/>
    </row>
    <row r="1195">
      <c r="A1195" s="75"/>
      <c r="B1195" s="280"/>
      <c r="C1195" s="280"/>
      <c r="D1195" s="280"/>
      <c r="E1195" s="281"/>
      <c r="F1195" s="281"/>
      <c r="G1195" s="281"/>
      <c r="H1195" s="281"/>
      <c r="I1195" s="281"/>
      <c r="J1195" s="281"/>
      <c r="K1195" s="195"/>
      <c r="L1195" s="265"/>
      <c r="M1195" s="266"/>
    </row>
    <row r="1196">
      <c r="A1196" s="75"/>
      <c r="B1196" s="280"/>
      <c r="C1196" s="280"/>
      <c r="D1196" s="280"/>
      <c r="E1196" s="281"/>
      <c r="F1196" s="281"/>
      <c r="G1196" s="281"/>
      <c r="H1196" s="281"/>
      <c r="I1196" s="281"/>
      <c r="J1196" s="281"/>
      <c r="K1196" s="195"/>
      <c r="L1196" s="265"/>
      <c r="M1196" s="266"/>
    </row>
    <row r="1197">
      <c r="B1197" s="280"/>
      <c r="C1197" s="280"/>
      <c r="D1197" s="280"/>
      <c r="E1197" s="281"/>
      <c r="F1197" s="281"/>
      <c r="G1197" s="281"/>
      <c r="H1197" s="281"/>
      <c r="I1197" s="281"/>
      <c r="J1197" s="281"/>
      <c r="K1197" s="195"/>
      <c r="L1197" s="265"/>
      <c r="M1197" s="266"/>
    </row>
    <row r="1198">
      <c r="B1198" s="280"/>
      <c r="C1198" s="280"/>
      <c r="D1198" s="280"/>
      <c r="E1198" s="281"/>
      <c r="F1198" s="281"/>
      <c r="G1198" s="281"/>
      <c r="H1198" s="281"/>
      <c r="I1198" s="281"/>
      <c r="J1198" s="281"/>
      <c r="K1198" s="195"/>
      <c r="L1198" s="265"/>
      <c r="M1198" s="266"/>
    </row>
    <row r="1199">
      <c r="A1199" s="75"/>
      <c r="B1199" s="280"/>
      <c r="C1199" s="280"/>
      <c r="D1199" s="280"/>
      <c r="E1199" s="281"/>
      <c r="F1199" s="281"/>
      <c r="G1199" s="281"/>
      <c r="H1199" s="281"/>
      <c r="I1199" s="281"/>
      <c r="J1199" s="281"/>
      <c r="K1199" s="195"/>
      <c r="L1199" s="265"/>
      <c r="M1199" s="266"/>
    </row>
    <row r="1200">
      <c r="A1200" s="75"/>
      <c r="B1200" s="280"/>
      <c r="C1200" s="280"/>
      <c r="D1200" s="280"/>
      <c r="E1200" s="281"/>
      <c r="F1200" s="281"/>
      <c r="G1200" s="281"/>
      <c r="H1200" s="281"/>
      <c r="I1200" s="281"/>
      <c r="J1200" s="281"/>
      <c r="K1200" s="195"/>
      <c r="L1200" s="265"/>
      <c r="M1200" s="266"/>
    </row>
    <row r="1201">
      <c r="A1201" s="75"/>
      <c r="B1201" s="280"/>
      <c r="C1201" s="280"/>
      <c r="D1201" s="280"/>
      <c r="E1201" s="281"/>
      <c r="F1201" s="281"/>
      <c r="G1201" s="281"/>
      <c r="H1201" s="281"/>
      <c r="I1201" s="281"/>
      <c r="J1201" s="281"/>
      <c r="K1201" s="195"/>
      <c r="L1201" s="265"/>
      <c r="M1201" s="266"/>
    </row>
    <row r="1202">
      <c r="A1202" s="75"/>
      <c r="B1202" s="280"/>
      <c r="C1202" s="280"/>
      <c r="D1202" s="280"/>
      <c r="E1202" s="281"/>
      <c r="F1202" s="281"/>
      <c r="G1202" s="281"/>
      <c r="H1202" s="281"/>
      <c r="I1202" s="281"/>
      <c r="J1202" s="281"/>
      <c r="K1202" s="195"/>
      <c r="L1202" s="265"/>
      <c r="M1202" s="266"/>
    </row>
    <row r="1203">
      <c r="A1203" s="75"/>
      <c r="B1203" s="280"/>
      <c r="C1203" s="280"/>
      <c r="D1203" s="280"/>
      <c r="E1203" s="281"/>
      <c r="F1203" s="281"/>
      <c r="G1203" s="281"/>
      <c r="H1203" s="281"/>
      <c r="I1203" s="281"/>
      <c r="J1203" s="281"/>
      <c r="K1203" s="195"/>
      <c r="L1203" s="265"/>
      <c r="M1203" s="266"/>
    </row>
    <row r="1204">
      <c r="A1204" s="75"/>
      <c r="B1204" s="280"/>
      <c r="C1204" s="280"/>
      <c r="D1204" s="280"/>
      <c r="E1204" s="281"/>
      <c r="F1204" s="281"/>
      <c r="G1204" s="281"/>
      <c r="H1204" s="281"/>
      <c r="I1204" s="281"/>
      <c r="J1204" s="281"/>
      <c r="K1204" s="195"/>
      <c r="L1204" s="265"/>
      <c r="M1204" s="266"/>
    </row>
    <row r="1205">
      <c r="A1205" s="75"/>
      <c r="B1205" s="280"/>
      <c r="C1205" s="280"/>
      <c r="D1205" s="280"/>
      <c r="E1205" s="281"/>
      <c r="F1205" s="281"/>
      <c r="G1205" s="281"/>
      <c r="H1205" s="281"/>
      <c r="I1205" s="281"/>
      <c r="J1205" s="281"/>
      <c r="K1205" s="195"/>
      <c r="L1205" s="265"/>
      <c r="M1205" s="266"/>
    </row>
  </sheetData>
  <autoFilter ref="$A$3:$AD$600"/>
  <mergeCells count="1">
    <mergeCell ref="B604:J604"/>
  </mergeCells>
  <conditionalFormatting sqref="K609:K1205">
    <cfRule type="notContainsBlanks" dxfId="4" priority="1">
      <formula>LEN(TRIM(K609))&gt;0</formula>
    </cfRule>
  </conditionalFormatting>
  <conditionalFormatting sqref="A609:A1205">
    <cfRule type="expression" dxfId="1" priority="2">
      <formula>K609:K1205</formula>
    </cfRule>
  </conditionalFormatting>
  <dataValidations>
    <dataValidation type="list" allowBlank="1" showErrorMessage="1" sqref="C606">
      <formula1>'Segment Report 25-26'!$N$4:$N$600</formula1>
    </dataValidation>
    <dataValidation type="list" allowBlank="1" showErrorMessage="1" sqref="B606">
      <formula1>'Segment Report 25-26'!$P$609:$P1205</formula1>
    </dataValidation>
    <dataValidation type="list" allowBlank="1" showErrorMessage="1" sqref="A606">
      <formula1>'Segment Report 25-26'!$A$4:$A$601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6.0"/>
    <col customWidth="1" min="2" max="2" width="11.38"/>
    <col customWidth="1" min="3" max="3" width="19.5"/>
    <col customWidth="1" min="4" max="4" width="26.0"/>
    <col customWidth="1" min="5" max="5" width="18.25"/>
    <col customWidth="1" min="6" max="6" width="9.75"/>
    <col customWidth="1" min="7" max="8" width="11.63"/>
    <col customWidth="1" min="9" max="9" width="9.13"/>
    <col customWidth="1" min="10" max="10" width="8.13"/>
    <col customWidth="1" min="11" max="11" width="8.25"/>
    <col customWidth="1" min="12" max="15" width="5.5"/>
    <col customWidth="1" min="16" max="16" width="9.13"/>
    <col customWidth="1" min="17" max="17" width="9.38"/>
    <col customWidth="1" min="18" max="18" width="9.88"/>
    <col customWidth="1" min="19" max="19" width="10.13"/>
    <col customWidth="1" min="20" max="21" width="8.38"/>
    <col customWidth="1" min="22" max="22" width="8.25"/>
    <col customWidth="1" min="23" max="24" width="5.25"/>
    <col customWidth="1" min="25" max="25" width="7.5"/>
    <col customWidth="1" min="26" max="26" width="6.38"/>
    <col customWidth="1" min="27" max="27" width="7.5"/>
    <col customWidth="1" min="28" max="28" width="6.38"/>
    <col customWidth="1" min="29" max="30" width="10.63"/>
    <col customWidth="1" min="31" max="31" width="6.5"/>
    <col customWidth="1" min="32" max="32" width="5.25"/>
    <col customWidth="1" min="33" max="33" width="7.75"/>
    <col customWidth="1" min="34" max="34" width="8.25"/>
    <col customWidth="1" min="35" max="35" width="7.63"/>
    <col customWidth="1" min="36" max="36" width="7.13"/>
    <col customWidth="1" min="37" max="37" width="11.63"/>
    <col customWidth="1" min="38" max="38" width="7.25"/>
    <col customWidth="1" min="39" max="39" width="8.25"/>
    <col customWidth="1" min="40" max="40" width="8.13"/>
    <col customWidth="1" min="41" max="41" width="10.0"/>
    <col customWidth="1" min="42" max="42" width="11.5"/>
    <col customWidth="1" min="43" max="43" width="6.5"/>
    <col customWidth="1" min="44" max="44" width="7.75"/>
    <col customWidth="1" min="45" max="45" width="8.63"/>
    <col customWidth="1" min="46" max="46" width="5.25"/>
    <col customWidth="1" min="47" max="48" width="8.0"/>
    <col customWidth="1" min="49" max="49" width="8.25"/>
    <col customWidth="1" min="50" max="50" width="10.13"/>
    <col customWidth="1" min="51" max="51" width="11.63"/>
    <col customWidth="1" min="52" max="52" width="9.75"/>
    <col customWidth="1" min="53" max="53" width="6.75"/>
    <col customWidth="1" min="54" max="54" width="9.63"/>
    <col customWidth="1" min="55" max="61" width="9.75"/>
    <col customWidth="1" min="62" max="62" width="7.75"/>
    <col customWidth="1" min="63" max="63" width="11.63"/>
    <col customWidth="1" min="64" max="64" width="11.5"/>
    <col customWidth="1" min="65" max="73" width="9.75"/>
    <col customWidth="1" min="74" max="74" width="7.5"/>
    <col customWidth="1" min="75" max="75" width="23.63"/>
    <col customWidth="1" min="76" max="76" width="11.63"/>
    <col customWidth="1" min="77" max="87" width="9.75"/>
    <col customWidth="1" min="88" max="104" width="13.13"/>
  </cols>
  <sheetData>
    <row r="1" ht="31.5" customHeight="1">
      <c r="A1" s="283">
        <f>((1200000/30)*14)+1200000</f>
        <v>1760000</v>
      </c>
      <c r="B1" s="157">
        <f>12/30</f>
        <v>0.4</v>
      </c>
      <c r="C1" s="284">
        <f>10/31</f>
        <v>0.3225806452</v>
      </c>
      <c r="D1" s="157">
        <v>2.0</v>
      </c>
      <c r="E1" s="157">
        <v>3.0</v>
      </c>
      <c r="F1" s="157"/>
      <c r="G1" s="223">
        <v>5.0</v>
      </c>
      <c r="H1" s="223">
        <v>6.0</v>
      </c>
      <c r="I1" s="157">
        <v>7.0</v>
      </c>
      <c r="J1" s="234">
        <v>8.0</v>
      </c>
      <c r="K1" s="157">
        <v>9.0</v>
      </c>
      <c r="L1" s="157">
        <v>10.0</v>
      </c>
      <c r="M1" s="157">
        <v>11.0</v>
      </c>
      <c r="N1" s="157">
        <v>12.0</v>
      </c>
      <c r="O1" s="157">
        <v>13.0</v>
      </c>
      <c r="P1" s="234">
        <v>14.0</v>
      </c>
      <c r="Q1" s="234">
        <v>15.0</v>
      </c>
      <c r="R1" s="157">
        <v>16.0</v>
      </c>
      <c r="S1" s="157">
        <v>17.0</v>
      </c>
      <c r="T1" s="157">
        <v>18.0</v>
      </c>
      <c r="U1" s="157">
        <v>19.0</v>
      </c>
      <c r="V1" s="157">
        <v>20.0</v>
      </c>
      <c r="W1" s="157">
        <v>21.0</v>
      </c>
      <c r="X1" s="157">
        <v>22.0</v>
      </c>
      <c r="Y1" s="157">
        <v>23.0</v>
      </c>
      <c r="Z1" s="157">
        <v>24.0</v>
      </c>
      <c r="AA1" s="157">
        <v>25.0</v>
      </c>
      <c r="AB1" s="157">
        <v>26.0</v>
      </c>
      <c r="AC1" s="157">
        <v>27.0</v>
      </c>
      <c r="AD1" s="157">
        <v>28.0</v>
      </c>
      <c r="AE1" s="157">
        <v>29.0</v>
      </c>
      <c r="AF1" s="157">
        <v>30.0</v>
      </c>
      <c r="AG1" s="157">
        <v>31.0</v>
      </c>
      <c r="AH1" s="157">
        <v>32.0</v>
      </c>
      <c r="AI1" s="157">
        <v>33.0</v>
      </c>
      <c r="AJ1" s="157">
        <v>34.0</v>
      </c>
      <c r="AK1" s="234">
        <v>35.0</v>
      </c>
      <c r="AL1" s="157">
        <v>36.0</v>
      </c>
      <c r="AM1" s="157">
        <v>37.0</v>
      </c>
      <c r="AN1" s="223">
        <v>38.0</v>
      </c>
      <c r="AO1" s="157">
        <v>39.0</v>
      </c>
      <c r="AP1" s="157">
        <v>39.0</v>
      </c>
      <c r="AQ1" s="157">
        <v>41.0</v>
      </c>
      <c r="AR1" s="157">
        <v>42.0</v>
      </c>
      <c r="AS1" s="157">
        <v>43.0</v>
      </c>
      <c r="AT1" s="157">
        <v>44.0</v>
      </c>
      <c r="AU1" s="157">
        <v>45.0</v>
      </c>
      <c r="AV1" s="157"/>
      <c r="AW1" s="157"/>
      <c r="AX1" s="157"/>
      <c r="AY1" s="234">
        <v>46.0</v>
      </c>
      <c r="AZ1" s="157">
        <v>47.0</v>
      </c>
      <c r="BA1" s="157"/>
      <c r="BB1" s="285">
        <v>45747.0</v>
      </c>
      <c r="BC1" s="160"/>
      <c r="BD1" s="286" t="s">
        <v>978</v>
      </c>
      <c r="BE1" s="287"/>
      <c r="BF1" s="285"/>
      <c r="BG1" s="288"/>
      <c r="BH1" s="289"/>
      <c r="BI1" s="289">
        <f>BE160*3</f>
        <v>3500001</v>
      </c>
      <c r="BJ1" s="290"/>
      <c r="BK1" s="287"/>
      <c r="BL1" s="287"/>
      <c r="BM1" s="287"/>
      <c r="BN1" s="287"/>
      <c r="BO1" s="291" t="s">
        <v>979</v>
      </c>
      <c r="BS1" s="292"/>
      <c r="BT1" s="292"/>
      <c r="BU1" s="292"/>
      <c r="BV1" s="293"/>
      <c r="BW1" s="293"/>
      <c r="BX1" s="293"/>
      <c r="BY1" s="292"/>
      <c r="BZ1" s="292"/>
      <c r="CA1" s="292"/>
      <c r="CB1" s="292"/>
      <c r="CC1" s="292"/>
      <c r="CD1" s="294"/>
      <c r="CF1" s="294"/>
      <c r="CG1" s="294"/>
      <c r="CH1" s="294"/>
      <c r="CI1" s="294"/>
      <c r="CJ1" s="295"/>
      <c r="CK1" s="295"/>
      <c r="CL1" s="295"/>
      <c r="CM1" s="296">
        <f>COUNTIF(CM3:CM243,"&gt;0")</f>
        <v>26</v>
      </c>
      <c r="CN1" s="296"/>
      <c r="CO1" s="294"/>
      <c r="CP1" s="297"/>
      <c r="CQ1" s="298">
        <f t="shared" ref="CQ1:CR1" si="1">SUM(CQ3:CQ29)</f>
        <v>148</v>
      </c>
      <c r="CR1" s="298">
        <f t="shared" si="1"/>
        <v>12</v>
      </c>
      <c r="CS1" s="294"/>
      <c r="CT1" s="294"/>
      <c r="CU1" s="294"/>
      <c r="CV1" s="294"/>
      <c r="CW1" s="298"/>
      <c r="CX1" s="288"/>
      <c r="CY1" s="294"/>
      <c r="CZ1" s="294"/>
    </row>
    <row r="2" ht="69.0" customHeight="1">
      <c r="A2" s="299" t="s">
        <v>3</v>
      </c>
      <c r="B2" s="299" t="s">
        <v>892</v>
      </c>
      <c r="C2" s="299" t="s">
        <v>458</v>
      </c>
      <c r="D2" s="299" t="s">
        <v>895</v>
      </c>
      <c r="E2" s="299" t="s">
        <v>893</v>
      </c>
      <c r="F2" s="299" t="s">
        <v>894</v>
      </c>
      <c r="G2" s="300" t="s">
        <v>980</v>
      </c>
      <c r="H2" s="300" t="s">
        <v>898</v>
      </c>
      <c r="I2" s="301" t="s">
        <v>981</v>
      </c>
      <c r="J2" s="301" t="s">
        <v>982</v>
      </c>
      <c r="K2" s="299" t="s">
        <v>905</v>
      </c>
      <c r="L2" s="299" t="s">
        <v>983</v>
      </c>
      <c r="M2" s="299" t="s">
        <v>907</v>
      </c>
      <c r="N2" s="299" t="s">
        <v>909</v>
      </c>
      <c r="O2" s="299" t="s">
        <v>910</v>
      </c>
      <c r="P2" s="301" t="s">
        <v>911</v>
      </c>
      <c r="Q2" s="301" t="s">
        <v>912</v>
      </c>
      <c r="R2" s="299" t="s">
        <v>984</v>
      </c>
      <c r="S2" s="299" t="s">
        <v>985</v>
      </c>
      <c r="T2" s="299" t="s">
        <v>915</v>
      </c>
      <c r="U2" s="299" t="s">
        <v>916</v>
      </c>
      <c r="V2" s="299" t="s">
        <v>917</v>
      </c>
      <c r="W2" s="299" t="s">
        <v>918</v>
      </c>
      <c r="X2" s="299" t="s">
        <v>919</v>
      </c>
      <c r="Y2" s="299" t="s">
        <v>920</v>
      </c>
      <c r="Z2" s="299" t="s">
        <v>921</v>
      </c>
      <c r="AA2" s="299" t="s">
        <v>922</v>
      </c>
      <c r="AB2" s="299" t="s">
        <v>923</v>
      </c>
      <c r="AC2" s="299" t="s">
        <v>924</v>
      </c>
      <c r="AD2" s="299" t="s">
        <v>925</v>
      </c>
      <c r="AE2" s="299" t="s">
        <v>926</v>
      </c>
      <c r="AF2" s="299" t="s">
        <v>927</v>
      </c>
      <c r="AG2" s="299" t="s">
        <v>928</v>
      </c>
      <c r="AH2" s="302" t="s">
        <v>986</v>
      </c>
      <c r="AI2" s="302" t="s">
        <v>930</v>
      </c>
      <c r="AJ2" s="303" t="s">
        <v>967</v>
      </c>
      <c r="AK2" s="300" t="s">
        <v>931</v>
      </c>
      <c r="AL2" s="302" t="s">
        <v>932</v>
      </c>
      <c r="AM2" s="304" t="s">
        <v>933</v>
      </c>
      <c r="AN2" s="302" t="s">
        <v>934</v>
      </c>
      <c r="AO2" s="304" t="s">
        <v>902</v>
      </c>
      <c r="AP2" s="305" t="s">
        <v>903</v>
      </c>
      <c r="AQ2" s="299" t="s">
        <v>935</v>
      </c>
      <c r="AR2" s="299" t="s">
        <v>936</v>
      </c>
      <c r="AS2" s="299" t="s">
        <v>937</v>
      </c>
      <c r="AT2" s="299" t="s">
        <v>987</v>
      </c>
      <c r="AU2" s="299" t="s">
        <v>938</v>
      </c>
      <c r="AV2" s="299" t="s">
        <v>939</v>
      </c>
      <c r="AW2" s="299" t="s">
        <v>940</v>
      </c>
      <c r="AX2" s="299" t="s">
        <v>941</v>
      </c>
      <c r="AY2" s="300" t="s">
        <v>901</v>
      </c>
      <c r="AZ2" s="306" t="s">
        <v>942</v>
      </c>
      <c r="BA2" s="299" t="s">
        <v>977</v>
      </c>
      <c r="BB2" s="299" t="s">
        <v>988</v>
      </c>
      <c r="BC2" s="299" t="s">
        <v>989</v>
      </c>
      <c r="BD2" s="302" t="s">
        <v>990</v>
      </c>
      <c r="BE2" s="307" t="s">
        <v>968</v>
      </c>
      <c r="BF2" s="299"/>
      <c r="BG2" s="299" t="s">
        <v>955</v>
      </c>
      <c r="BH2" s="308" t="s">
        <v>896</v>
      </c>
      <c r="BI2" s="308" t="s">
        <v>966</v>
      </c>
      <c r="BJ2" s="309" t="s">
        <v>991</v>
      </c>
      <c r="BK2" s="307" t="s">
        <v>992</v>
      </c>
      <c r="BL2" s="307" t="s">
        <v>993</v>
      </c>
      <c r="BM2" s="307" t="s">
        <v>994</v>
      </c>
      <c r="BN2" s="307" t="s">
        <v>995</v>
      </c>
      <c r="BO2" s="310" t="s">
        <v>996</v>
      </c>
      <c r="BP2" s="310" t="s">
        <v>997</v>
      </c>
      <c r="BQ2" s="310" t="s">
        <v>998</v>
      </c>
      <c r="BR2" s="310" t="s">
        <v>999</v>
      </c>
      <c r="BS2" s="174" t="s">
        <v>904</v>
      </c>
      <c r="BT2" s="301" t="s">
        <v>1000</v>
      </c>
      <c r="BU2" s="301"/>
      <c r="BV2" s="311" t="s">
        <v>1001</v>
      </c>
      <c r="BW2" s="311" t="s">
        <v>1002</v>
      </c>
      <c r="BX2" s="311" t="s">
        <v>1003</v>
      </c>
      <c r="BY2" s="301"/>
      <c r="BZ2" s="301"/>
      <c r="CA2" s="301"/>
      <c r="CB2" s="301" t="s">
        <v>1004</v>
      </c>
      <c r="CC2" s="301" t="s">
        <v>1005</v>
      </c>
      <c r="CD2" s="208" t="s">
        <v>1006</v>
      </c>
      <c r="CE2" s="208" t="s">
        <v>963</v>
      </c>
      <c r="CG2" s="208" t="s">
        <v>1007</v>
      </c>
      <c r="CH2" s="208" t="s">
        <v>1008</v>
      </c>
      <c r="CJ2" s="312" t="s">
        <v>1009</v>
      </c>
      <c r="CK2" s="312" t="s">
        <v>1010</v>
      </c>
      <c r="CL2" s="312" t="s">
        <v>1011</v>
      </c>
      <c r="CM2" s="303" t="s">
        <v>1012</v>
      </c>
      <c r="CN2" s="303" t="s">
        <v>1013</v>
      </c>
      <c r="CO2" s="299" t="s">
        <v>3</v>
      </c>
      <c r="CP2" s="313" t="s">
        <v>892</v>
      </c>
      <c r="CQ2" s="208" t="s">
        <v>1014</v>
      </c>
      <c r="CR2" s="208" t="s">
        <v>1015</v>
      </c>
      <c r="CW2" s="203"/>
      <c r="CX2" s="288"/>
    </row>
    <row r="3">
      <c r="A3" s="157" t="s">
        <v>185</v>
      </c>
      <c r="B3" s="157" t="s">
        <v>189</v>
      </c>
      <c r="C3" s="157" t="s">
        <v>186</v>
      </c>
      <c r="D3" s="157" t="s">
        <v>1016</v>
      </c>
      <c r="E3" s="157" t="s">
        <v>241</v>
      </c>
      <c r="F3" s="285">
        <v>39859.0</v>
      </c>
      <c r="G3" s="314">
        <v>0.0</v>
      </c>
      <c r="H3" s="300">
        <v>0.0</v>
      </c>
      <c r="I3" s="315">
        <v>1199546.82</v>
      </c>
      <c r="J3" s="315">
        <v>0.0</v>
      </c>
      <c r="K3" s="160">
        <v>194.0</v>
      </c>
      <c r="L3" s="160">
        <v>185.0</v>
      </c>
      <c r="M3" s="160">
        <v>11.0</v>
      </c>
      <c r="N3" s="160">
        <v>205.0</v>
      </c>
      <c r="O3" s="160">
        <v>20.0</v>
      </c>
      <c r="P3" s="315">
        <v>1199546.82</v>
      </c>
      <c r="Q3" s="315">
        <v>0.0</v>
      </c>
      <c r="R3" s="160">
        <v>12.0</v>
      </c>
      <c r="S3" s="160">
        <v>0.0</v>
      </c>
      <c r="T3" s="160">
        <v>12.0</v>
      </c>
      <c r="U3" s="160">
        <v>0.0</v>
      </c>
      <c r="V3" s="160">
        <v>13.0</v>
      </c>
      <c r="W3" s="160">
        <v>19.0</v>
      </c>
      <c r="X3" s="160">
        <v>75.0</v>
      </c>
      <c r="Y3" s="160">
        <v>10.0</v>
      </c>
      <c r="Z3" s="160">
        <v>228.0</v>
      </c>
      <c r="AA3" s="160">
        <v>1.0</v>
      </c>
      <c r="AB3" s="160">
        <v>34.0</v>
      </c>
      <c r="AC3" s="160">
        <v>1.0</v>
      </c>
      <c r="AD3" s="160">
        <v>16.0</v>
      </c>
      <c r="AE3" s="160">
        <v>862.0</v>
      </c>
      <c r="AF3" s="160">
        <v>1159.0</v>
      </c>
      <c r="AG3" s="160">
        <v>297.0</v>
      </c>
      <c r="AH3" s="314">
        <f t="shared" ref="AH3:AH243" si="2">iferror(Sum(I3:J3)/AG3,"")</f>
        <v>4038.878182</v>
      </c>
      <c r="AI3" s="314">
        <f t="shared" ref="AI3:AI243" si="3">iferror(AF3/AG3,"")</f>
        <v>3.902356902</v>
      </c>
      <c r="AJ3" s="316">
        <v>70400.0</v>
      </c>
      <c r="AK3" s="314">
        <f t="shared" ref="AK3:AK21" si="4">AJ3*BD3</f>
        <v>844800</v>
      </c>
      <c r="AL3" s="317">
        <v>263642.0</v>
      </c>
      <c r="AM3" s="318">
        <f t="shared" ref="AM3:AM243" si="5">iferror(sum(AK3:AL3)/Sum(I3:J3),"")</f>
        <v>0.9240506344</v>
      </c>
      <c r="AN3" s="314">
        <f t="shared" ref="AN3:AN243" si="6">iferror(I3/T3,"")</f>
        <v>99962.235</v>
      </c>
      <c r="AO3" s="286" t="s">
        <v>972</v>
      </c>
      <c r="AP3" s="319">
        <v>0.0</v>
      </c>
      <c r="AQ3" s="160">
        <v>21.0</v>
      </c>
      <c r="AR3" s="160">
        <v>3515.0</v>
      </c>
      <c r="AS3" s="160">
        <v>4573.56</v>
      </c>
      <c r="AT3" s="160">
        <v>0.0</v>
      </c>
      <c r="AU3" s="160">
        <v>25.0</v>
      </c>
      <c r="AV3" s="320">
        <v>12.0</v>
      </c>
      <c r="AW3" s="320">
        <v>173.0</v>
      </c>
      <c r="AX3" s="320">
        <v>20.0</v>
      </c>
      <c r="AY3" s="321">
        <f>iferror(VLOOKUP(C3,'ORDER BOOKING REPORT 2025-26'!C:O,13,0),"")</f>
        <v>0</v>
      </c>
      <c r="AZ3" s="322"/>
      <c r="BA3" s="157" t="str">
        <f t="shared" ref="BA3:BA243" si="7">if(ISBlank(AZ3),"Active","LEFT" )</f>
        <v>Active</v>
      </c>
      <c r="BB3" s="157" t="str">
        <f t="shared" ref="BB3:BB243" si="8">ifs(F3&lt;$BB$1,"Old",F3&gt;$BB$1,"New")</f>
        <v>Old</v>
      </c>
      <c r="BC3" s="160" t="s">
        <v>972</v>
      </c>
      <c r="BD3" s="223">
        <f t="shared" ref="BD3:BD9" si="9">Match($BD$2,{"Apr","May","Jun","Jul","Aug","Sep","Oct","Nov","Dec","Jan","Feb","Mar"},0)</f>
        <v>12</v>
      </c>
      <c r="BE3" s="323" t="str">
        <f t="array" ref="BE3:BE243">iferror(VLOOKUP($C$3:$C243,'ORDER BOOKING REPORT 2025-26'!$C:$J,8,0),"")</f>
        <v>Primary</v>
      </c>
      <c r="BF3" s="157">
        <f t="shared" ref="BF3:BF212" si="10">M3-AT3</f>
        <v>11</v>
      </c>
      <c r="BG3" s="157" t="s">
        <v>188</v>
      </c>
      <c r="BH3" s="324" t="str">
        <f>IFERROR(__xludf.DUMMYFUNCTION("iferror(ArrayFormula(VLOOKUP($C$3:$C243,importrange(""1MwNMVzWE3QBVOyJjKr3eFX-Sq1Ng0Q1sghWJbgbE_8g"",""ORDER BOOKING REPORT 2024-25!C:O""),13,0)))"),"")</f>
        <v/>
      </c>
      <c r="BI3" s="324" t="str">
        <f>IFERROR(__xludf.DUMMYFUNCTION("iferror(ArrayFormula(VLOOKUP($C$3:$C243,importrange(""1MwNMVzWE3QBVOyJjKr3eFX-Sq1Ng0Q1sghWJbgbE_8g"",""ORDER BOOKING REPORT 2024-25!C:O""),11,0)))"),"")</f>
        <v/>
      </c>
      <c r="BJ3" s="325"/>
      <c r="BK3" s="326"/>
      <c r="BL3" s="326">
        <f t="shared" ref="BL3:BL50" si="11">BK3*BD3</f>
        <v>0</v>
      </c>
      <c r="BM3" s="326">
        <f t="shared" ref="BM3:BM243" si="12">H3+BL3</f>
        <v>0</v>
      </c>
      <c r="BN3" s="326"/>
      <c r="BO3" s="327" t="str">
        <f>IFERROR(__xludf.DUMMYFUNCTION("IFERROR(ArrayFormula(SUM(VLOOKUP($C3,importrange(""1MwNMVzWE3QBVOyJjKr3eFX-Sq1Ng0Q1sghWJbgbE_8g"",""ORDER BOOKING REPORT 2024-25!C:CV""),{16,23,30},0))))"),"")</f>
        <v/>
      </c>
      <c r="BP3" s="327" t="str">
        <f>IFERROR(__xludf.DUMMYFUNCTION("IFERROR(ArrayFormula(SUM(VLOOKUP($C3,importrange(""1MwNMVzWE3QBVOyJjKr3eFX-Sq1Ng0Q1sghWJbgbE_8g"",""ORDER BOOKING REPORT 2024-25!C:CV""),{37,44,51},0))))"),"")</f>
        <v/>
      </c>
      <c r="BQ3" s="327" t="str">
        <f>IFERROR(__xludf.DUMMYFUNCTION("IFERROR(ArrayFormula(SUM(VLOOKUP($C3,importrange(""1MwNMVzWE3QBVOyJjKr3eFX-Sq1Ng0Q1sghWJbgbE_8g"",""ORDER BOOKING REPORT 2024-25!C:CV""),{58,65,72},0))))"),"")</f>
        <v/>
      </c>
      <c r="BR3" s="327" t="str">
        <f>IFERROR(__xludf.DUMMYFUNCTION("IFERROR(ArrayFormula(SUM(VLOOKUP($C3,importrange(""1MwNMVzWE3QBVOyJjKr3eFX-Sq1Ng0Q1sghWJbgbE_8g"",""ORDER BOOKING REPORT 2024-25!C:CV""),{79,86,93},0))))"),"")</f>
        <v/>
      </c>
      <c r="BS3" s="328" t="str">
        <f t="shared" ref="BS3:BS243" si="13">iferror(AY3/BM3,"")</f>
        <v/>
      </c>
      <c r="BT3" s="328" t="str">
        <f t="shared" ref="BT3:BT223" si="14">iferror(sum(AK3:AL3)/AY3,"")</f>
        <v/>
      </c>
      <c r="BU3" s="234">
        <f t="shared" ref="BU3:BU243" si="15">BL3-G3</f>
        <v>0</v>
      </c>
      <c r="BV3" s="329">
        <v>70400.0</v>
      </c>
      <c r="BW3" s="329" t="s">
        <v>1017</v>
      </c>
      <c r="BX3" s="329">
        <v>535.0</v>
      </c>
      <c r="BY3" s="234">
        <f t="shared" ref="BY3:BY236" si="16">BV3-AJ3</f>
        <v>0</v>
      </c>
      <c r="BZ3" s="234"/>
      <c r="CA3" s="234" t="s">
        <v>1018</v>
      </c>
      <c r="CB3" s="234">
        <f>countif($F:$F, "&lt;=" &amp; DATE(2025,3,30))</f>
        <v>170</v>
      </c>
      <c r="CC3" s="234">
        <f>COUNTIFS(F:F, "&gt;=" &amp; DATE(2025,4,1), F:F, "&lt;=" &amp; DATE(2025,4,30))</f>
        <v>4</v>
      </c>
      <c r="CD3" s="234">
        <f>COUNTIFS(AZ:AZ, "&gt;=" &amp; DATE(2025,4,1), AZ:AZ, "&lt;=" &amp; DATE(2025,4,30))</f>
        <v>7</v>
      </c>
      <c r="CE3" s="234">
        <f t="shared" ref="CE3:CE14" si="17">CB3+CC3</f>
        <v>174</v>
      </c>
      <c r="CF3" s="234">
        <f t="shared" ref="CF3:CF14" si="18">sum(CB3:CD3)</f>
        <v>181</v>
      </c>
      <c r="CG3" s="234" t="str">
        <f t="shared" ref="CG3:CG236" si="19">if(N3&lt;60,"Below 60"," ")</f>
        <v> </v>
      </c>
      <c r="CH3" s="234" t="str">
        <f>IF(T3 = 0, "Not 50%", IF(T3 &gt;= 0.5 * N3, "Business Achieved EXACT 50%", "Not 50%"))</f>
        <v>Not 50%</v>
      </c>
      <c r="CI3" s="328">
        <f t="shared" ref="CI3:CI236" si="20">Iferror((T3/N3),)</f>
        <v>0.05853658537</v>
      </c>
      <c r="CJ3" s="330">
        <f>IFERROR(__xludf.DUMMYFUNCTION("IFERROR(ArrayFormula(VLOOKUP($C$3:$C243,IMPORTRANGE(""https://docs.google.com/spreadsheets/d/1OkdrCquHuVNXRsEZ16AzawxA5ZUvzmc454rG7C6Xzg0/edit?gid=548125645#gid=548125645"",""Sheet8!B:U""),{6,8,10},0)))"),100.0)</f>
        <v>100</v>
      </c>
      <c r="CK3" s="330">
        <f>IFERROR(__xludf.DUMMYFUNCTION("""COMPUTED_VALUE"""),743.0)</f>
        <v>743</v>
      </c>
      <c r="CL3" s="330">
        <f>IFERROR(__xludf.DUMMYFUNCTION("""COMPUTED_VALUE"""),0.0)</f>
        <v>0</v>
      </c>
      <c r="CM3" s="331">
        <f t="shared" ref="CM3:CM243" si="21">AE3-SUM(CJ3:CL3)</f>
        <v>19</v>
      </c>
      <c r="CN3" s="332" t="str">
        <f>IFERROR(__xludf.DUMMYFUNCTION("IFERROR(ArrayFormula(VLOOKUP($C$3:$C243,IMPORTRANGE(""https://docs.google.com/spreadsheets/d/1OkdrCquHuVNXRsEZ16AzawxA5ZUvzmc454rG7C6Xzg0/edit?gid=548125645#gid=548125645"",""Sheet8!B:U""),20,0)))"),"")</f>
        <v/>
      </c>
      <c r="CO3" s="333"/>
      <c r="CP3" s="334" t="str">
        <f t="array" ref="CP3:CP27">sort(UNIQUE(B3:B243),1,1)</f>
        <v>Andhra Pradesh</v>
      </c>
      <c r="CQ3" s="335">
        <f t="shared" ref="CQ3:CQ27" si="22">COUNTIFS($B:$B,$CP3,$BG:$BG,"Secondary",$BA:$BA,"Active")</f>
        <v>3</v>
      </c>
      <c r="CR3" s="335">
        <f t="shared" ref="CR3:CR27" si="23">COUNTIFS($B:$B,$CP3,$BG:$BG,"Primary",$BA:$BA,"Active")</f>
        <v>0</v>
      </c>
      <c r="CS3" s="160" t="str">
        <f t="array" ref="CS3:CS13">UNIQUE(A3:A243)</f>
        <v>Sandeep Dadheech</v>
      </c>
      <c r="CT3" s="160">
        <f t="shared" ref="CT3:CT29" si="24">COUNTIFS(A:A,CS3,BA:BA,"Active")</f>
        <v>73</v>
      </c>
      <c r="CU3" s="160"/>
      <c r="CV3" s="160"/>
      <c r="CW3" s="335"/>
      <c r="CX3" s="288"/>
      <c r="CY3" s="160"/>
      <c r="CZ3" s="160"/>
    </row>
    <row r="4">
      <c r="A4" s="157" t="s">
        <v>185</v>
      </c>
      <c r="B4" s="157" t="s">
        <v>189</v>
      </c>
      <c r="C4" s="157" t="s">
        <v>190</v>
      </c>
      <c r="D4" s="157" t="s">
        <v>1016</v>
      </c>
      <c r="E4" s="157" t="s">
        <v>241</v>
      </c>
      <c r="F4" s="285">
        <v>39859.0</v>
      </c>
      <c r="G4" s="314">
        <v>0.0</v>
      </c>
      <c r="H4" s="314">
        <v>6.06E7</v>
      </c>
      <c r="I4" s="315">
        <v>4.135292973E7</v>
      </c>
      <c r="J4" s="315">
        <v>0.0</v>
      </c>
      <c r="K4" s="160">
        <v>111.0</v>
      </c>
      <c r="L4" s="160">
        <v>106.0</v>
      </c>
      <c r="M4" s="160">
        <v>13.0</v>
      </c>
      <c r="N4" s="160">
        <v>124.0</v>
      </c>
      <c r="O4" s="160">
        <v>18.0</v>
      </c>
      <c r="P4" s="315">
        <v>3.687257288E7</v>
      </c>
      <c r="Q4" s="315">
        <v>4480356.85</v>
      </c>
      <c r="R4" s="160">
        <v>85.0</v>
      </c>
      <c r="S4" s="160">
        <v>11.0</v>
      </c>
      <c r="T4" s="160">
        <v>96.0</v>
      </c>
      <c r="U4" s="160">
        <v>0.0</v>
      </c>
      <c r="V4" s="160">
        <v>9.0</v>
      </c>
      <c r="W4" s="160">
        <v>9.0</v>
      </c>
      <c r="X4" s="160">
        <v>79.0</v>
      </c>
      <c r="Y4" s="160">
        <v>9.0</v>
      </c>
      <c r="Z4" s="160">
        <v>121.0</v>
      </c>
      <c r="AA4" s="160">
        <v>0.0</v>
      </c>
      <c r="AB4" s="160">
        <v>0.0</v>
      </c>
      <c r="AC4" s="160">
        <v>0.0</v>
      </c>
      <c r="AD4" s="160">
        <v>0.0</v>
      </c>
      <c r="AE4" s="160">
        <v>1023.0</v>
      </c>
      <c r="AF4" s="160">
        <v>1153.0</v>
      </c>
      <c r="AG4" s="160">
        <v>291.0</v>
      </c>
      <c r="AH4" s="314">
        <f t="shared" si="2"/>
        <v>142106.2877</v>
      </c>
      <c r="AI4" s="314">
        <f t="shared" si="3"/>
        <v>3.962199313</v>
      </c>
      <c r="AJ4" s="316">
        <v>60500.0</v>
      </c>
      <c r="AK4" s="314">
        <f t="shared" si="4"/>
        <v>726000</v>
      </c>
      <c r="AL4" s="317">
        <v>91425.0</v>
      </c>
      <c r="AM4" s="318">
        <f t="shared" si="5"/>
        <v>0.01976703961</v>
      </c>
      <c r="AN4" s="314">
        <f t="shared" si="6"/>
        <v>430759.6847</v>
      </c>
      <c r="AO4" s="336">
        <f t="shared" ref="AO4:AO8" si="25">iferror(sum(I4:J4)/Sum(G4:H4),"")</f>
        <v>0.6823915797</v>
      </c>
      <c r="AP4" s="319">
        <v>0.0</v>
      </c>
      <c r="AQ4" s="160">
        <v>466.0</v>
      </c>
      <c r="AR4" s="160">
        <v>3035.0</v>
      </c>
      <c r="AS4" s="160">
        <v>4088.66</v>
      </c>
      <c r="AT4" s="160">
        <v>11.0</v>
      </c>
      <c r="AU4" s="160">
        <v>39.0</v>
      </c>
      <c r="AV4" s="320">
        <v>96.0</v>
      </c>
      <c r="AW4" s="320">
        <v>19.0</v>
      </c>
      <c r="AX4" s="320">
        <v>9.0</v>
      </c>
      <c r="AY4" s="321">
        <f>iferror(VLOOKUP(C4,'ORDER BOOKING REPORT 2025-26'!C:O,13,0),"")</f>
        <v>47173784</v>
      </c>
      <c r="AZ4" s="322"/>
      <c r="BA4" s="157" t="str">
        <f t="shared" si="7"/>
        <v>Active</v>
      </c>
      <c r="BB4" s="157" t="str">
        <f t="shared" si="8"/>
        <v>Old</v>
      </c>
      <c r="BC4" s="157" t="str">
        <f t="shared" ref="BC4:BC8" si="26">IFS(AO4&lt;50%,"Below 50%",AO4&lt;70%,"50%-70%",AO4&lt;90%,"70%-90%",AO4&lt;100%,"90%-100%",AO4&gt;100%,"Above 100%")</f>
        <v>50%-70%</v>
      </c>
      <c r="BD4" s="223">
        <f t="shared" si="9"/>
        <v>12</v>
      </c>
      <c r="BE4" s="323">
        <v>5050000.0</v>
      </c>
      <c r="BF4" s="157">
        <f t="shared" si="10"/>
        <v>2</v>
      </c>
      <c r="BG4" s="157" t="s">
        <v>1019</v>
      </c>
      <c r="BH4" s="324"/>
      <c r="BI4" s="324"/>
      <c r="BJ4" s="325"/>
      <c r="BK4" s="326"/>
      <c r="BL4" s="326">
        <f t="shared" si="11"/>
        <v>0</v>
      </c>
      <c r="BM4" s="326">
        <f t="shared" si="12"/>
        <v>60600000</v>
      </c>
      <c r="BN4" s="326"/>
      <c r="BO4" s="327" t="str">
        <f>IFERROR(__xludf.DUMMYFUNCTION("IFERROR(ArrayFormula(SUM(VLOOKUP($C4,importrange(""1MwNMVzWE3QBVOyJjKr3eFX-Sq1Ng0Q1sghWJbgbE_8g"",""ORDER BOOKING REPORT 2024-25!C:CV""),{16,23,30},0))))"),"")</f>
        <v/>
      </c>
      <c r="BP4" s="327" t="str">
        <f>IFERROR(__xludf.DUMMYFUNCTION("IFERROR(ArrayFormula(SUM(VLOOKUP($C4,importrange(""1MwNMVzWE3QBVOyJjKr3eFX-Sq1Ng0Q1sghWJbgbE_8g"",""ORDER BOOKING REPORT 2024-25!C:CV""),{37,44,51},0))))"),"")</f>
        <v/>
      </c>
      <c r="BQ4" s="327" t="str">
        <f>IFERROR(__xludf.DUMMYFUNCTION("IFERROR(ArrayFormula(SUM(VLOOKUP($C4,importrange(""1MwNMVzWE3QBVOyJjKr3eFX-Sq1Ng0Q1sghWJbgbE_8g"",""ORDER BOOKING REPORT 2024-25!C:CV""),{58,65,72},0))))"),"")</f>
        <v/>
      </c>
      <c r="BR4" s="327" t="str">
        <f>IFERROR(__xludf.DUMMYFUNCTION("IFERROR(ArrayFormula(SUM(VLOOKUP($C4,importrange(""1MwNMVzWE3QBVOyJjKr3eFX-Sq1Ng0Q1sghWJbgbE_8g"",""ORDER BOOKING REPORT 2024-25!C:CV""),{79,86,93},0))))"),"")</f>
        <v/>
      </c>
      <c r="BS4" s="328">
        <f t="shared" si="13"/>
        <v>0.7784452805</v>
      </c>
      <c r="BT4" s="328">
        <f t="shared" si="14"/>
        <v>0.01732795063</v>
      </c>
      <c r="BU4" s="234">
        <f t="shared" si="15"/>
        <v>0</v>
      </c>
      <c r="BV4" s="329">
        <v>60500.0</v>
      </c>
      <c r="BW4" s="329" t="s">
        <v>1020</v>
      </c>
      <c r="BX4" s="329">
        <v>536.0</v>
      </c>
      <c r="BY4" s="234">
        <f t="shared" si="16"/>
        <v>0</v>
      </c>
      <c r="BZ4" s="234"/>
      <c r="CA4" s="234" t="s">
        <v>1021</v>
      </c>
      <c r="CB4" s="234">
        <f>countif($F:$F, "&lt;=" &amp; DATE(2025,4,30))-COUNTIFS(AZ:AZ, "&gt;=" &amp; DATE(2025,4,1), AZ:AZ, "&lt;=" &amp; DATE(2025,4,30))</f>
        <v>167</v>
      </c>
      <c r="CC4" s="234">
        <f>COUNTIFS(F:F, "&gt;=" &amp; DATE(2025,5,1), F:F, "&lt;=" &amp; DATE(2025,5,31))</f>
        <v>9</v>
      </c>
      <c r="CD4" s="234">
        <f>COUNTIFS(AZ:AZ, "&gt;=" &amp; DATE(2025,5,1), AZ:AZ, "&lt;=" &amp; DATE(2025,5,31))</f>
        <v>5</v>
      </c>
      <c r="CE4" s="234">
        <f t="shared" si="17"/>
        <v>176</v>
      </c>
      <c r="CF4" s="234">
        <f t="shared" si="18"/>
        <v>181</v>
      </c>
      <c r="CG4" s="234" t="str">
        <f t="shared" si="19"/>
        <v> </v>
      </c>
      <c r="CH4" s="234" t="str">
        <f t="shared" ref="CH4:CH236" si="27">IF(T4 = 0, "Not 50%", IF(T4 &gt;= 0.5 * N4, "Business Achieved 50%", "Not 50%"))</f>
        <v>Business Achieved 50%</v>
      </c>
      <c r="CI4" s="328">
        <f t="shared" si="20"/>
        <v>0.7741935484</v>
      </c>
      <c r="CJ4" s="330">
        <f>IFERROR(__xludf.DUMMYFUNCTION("""COMPUTED_VALUE"""),955.0)</f>
        <v>955</v>
      </c>
      <c r="CK4" s="330">
        <f>IFERROR(__xludf.DUMMYFUNCTION("""COMPUTED_VALUE"""),68.0)</f>
        <v>68</v>
      </c>
      <c r="CL4" s="330">
        <f>IFERROR(__xludf.DUMMYFUNCTION("""COMPUTED_VALUE"""),0.0)</f>
        <v>0</v>
      </c>
      <c r="CM4" s="331">
        <f t="shared" si="21"/>
        <v>0</v>
      </c>
      <c r="CN4" s="337"/>
      <c r="CO4" s="160"/>
      <c r="CP4" s="334" t="s">
        <v>212</v>
      </c>
      <c r="CQ4" s="335">
        <f t="shared" si="22"/>
        <v>8</v>
      </c>
      <c r="CR4" s="335">
        <f t="shared" si="23"/>
        <v>1</v>
      </c>
      <c r="CS4" s="160" t="s">
        <v>126</v>
      </c>
      <c r="CT4" s="160">
        <f t="shared" si="24"/>
        <v>30</v>
      </c>
      <c r="CU4" s="160"/>
      <c r="CV4" s="160"/>
      <c r="CW4" s="335"/>
      <c r="CX4" s="288"/>
      <c r="CY4" s="160"/>
      <c r="CZ4" s="160"/>
    </row>
    <row r="5">
      <c r="A5" s="157" t="s">
        <v>126</v>
      </c>
      <c r="B5" s="157" t="s">
        <v>130</v>
      </c>
      <c r="C5" s="157" t="s">
        <v>128</v>
      </c>
      <c r="D5" s="157" t="s">
        <v>1022</v>
      </c>
      <c r="E5" s="157" t="s">
        <v>129</v>
      </c>
      <c r="F5" s="338">
        <v>41004.0</v>
      </c>
      <c r="G5" s="314">
        <v>3600000.0</v>
      </c>
      <c r="H5" s="314">
        <v>4.6400004E7</v>
      </c>
      <c r="I5" s="315">
        <v>3.982698349E7</v>
      </c>
      <c r="J5" s="315">
        <v>3804037.1</v>
      </c>
      <c r="K5" s="160">
        <v>59.0</v>
      </c>
      <c r="L5" s="160">
        <v>70.0</v>
      </c>
      <c r="M5" s="160">
        <v>15.0</v>
      </c>
      <c r="N5" s="160">
        <v>74.0</v>
      </c>
      <c r="O5" s="160">
        <v>4.0</v>
      </c>
      <c r="P5" s="315">
        <v>3.251927946E7</v>
      </c>
      <c r="Q5" s="315">
        <v>7307704.03</v>
      </c>
      <c r="R5" s="160">
        <v>41.0</v>
      </c>
      <c r="S5" s="160">
        <v>11.0</v>
      </c>
      <c r="T5" s="160">
        <v>52.0</v>
      </c>
      <c r="U5" s="160">
        <v>8.0</v>
      </c>
      <c r="V5" s="160">
        <v>14.0</v>
      </c>
      <c r="W5" s="160">
        <v>21.0</v>
      </c>
      <c r="X5" s="160">
        <v>19.0</v>
      </c>
      <c r="Y5" s="160">
        <v>11.0</v>
      </c>
      <c r="Z5" s="160">
        <v>408.0</v>
      </c>
      <c r="AA5" s="160">
        <v>9.0</v>
      </c>
      <c r="AB5" s="160">
        <v>118.0</v>
      </c>
      <c r="AC5" s="160">
        <v>3.0</v>
      </c>
      <c r="AD5" s="160">
        <v>6.0</v>
      </c>
      <c r="AE5" s="160">
        <v>619.0</v>
      </c>
      <c r="AF5" s="160">
        <v>1172.0</v>
      </c>
      <c r="AG5" s="160">
        <v>254.0</v>
      </c>
      <c r="AH5" s="314">
        <f t="shared" si="2"/>
        <v>171775.6716</v>
      </c>
      <c r="AI5" s="314">
        <f t="shared" si="3"/>
        <v>4.614173228</v>
      </c>
      <c r="AJ5" s="316">
        <f>BV5</f>
        <v>95834</v>
      </c>
      <c r="AK5" s="314">
        <f t="shared" si="4"/>
        <v>1150008</v>
      </c>
      <c r="AL5" s="286">
        <v>239916.0</v>
      </c>
      <c r="AM5" s="318">
        <f t="shared" si="5"/>
        <v>0.03185632564</v>
      </c>
      <c r="AN5" s="314">
        <f t="shared" si="6"/>
        <v>765903.5287</v>
      </c>
      <c r="AO5" s="336">
        <f t="shared" si="25"/>
        <v>0.872620342</v>
      </c>
      <c r="AP5" s="319">
        <v>1.06</v>
      </c>
      <c r="AQ5" s="160">
        <v>578.0</v>
      </c>
      <c r="AR5" s="160">
        <v>1986.0</v>
      </c>
      <c r="AS5" s="160">
        <v>2254.73</v>
      </c>
      <c r="AT5" s="160">
        <v>11.0</v>
      </c>
      <c r="AU5" s="160">
        <v>32.0</v>
      </c>
      <c r="AV5" s="320">
        <v>52.0</v>
      </c>
      <c r="AW5" s="320">
        <v>18.0</v>
      </c>
      <c r="AX5" s="320">
        <v>4.0</v>
      </c>
      <c r="AY5" s="321">
        <f>iferror(VLOOKUP(C5,'ORDER BOOKING REPORT 2025-26'!C:O,13,0),"")</f>
        <v>42965557</v>
      </c>
      <c r="AZ5" s="322"/>
      <c r="BA5" s="157" t="str">
        <f t="shared" si="7"/>
        <v>Active</v>
      </c>
      <c r="BB5" s="157" t="str">
        <f t="shared" si="8"/>
        <v>Old</v>
      </c>
      <c r="BC5" s="157" t="str">
        <f t="shared" si="26"/>
        <v>70%-90%</v>
      </c>
      <c r="BD5" s="223">
        <f t="shared" si="9"/>
        <v>12</v>
      </c>
      <c r="BE5" s="323">
        <v>4166667.0</v>
      </c>
      <c r="BF5" s="157">
        <f t="shared" si="10"/>
        <v>4</v>
      </c>
      <c r="BG5" s="157" t="s">
        <v>1019</v>
      </c>
      <c r="BH5" s="324"/>
      <c r="BI5" s="324"/>
      <c r="BJ5" s="325"/>
      <c r="BK5" s="326">
        <v>300000.0</v>
      </c>
      <c r="BL5" s="326">
        <f t="shared" si="11"/>
        <v>3600000</v>
      </c>
      <c r="BM5" s="326">
        <f t="shared" si="12"/>
        <v>50000004</v>
      </c>
      <c r="BN5" s="326"/>
      <c r="BO5" s="327" t="str">
        <f>IFERROR(__xludf.DUMMYFUNCTION("IFERROR(ArrayFormula(SUM(VLOOKUP($C5,importrange(""1MwNMVzWE3QBVOyJjKr3eFX-Sq1Ng0Q1sghWJbgbE_8g"",""ORDER BOOKING REPORT 2024-25!C:CV""),{16,23,30},0))))"),"")</f>
        <v/>
      </c>
      <c r="BP5" s="327" t="str">
        <f>IFERROR(__xludf.DUMMYFUNCTION("IFERROR(ArrayFormula(SUM(VLOOKUP($C5,importrange(""1MwNMVzWE3QBVOyJjKr3eFX-Sq1Ng0Q1sghWJbgbE_8g"",""ORDER BOOKING REPORT 2024-25!C:CV""),{37,44,51},0))))"),"")</f>
        <v/>
      </c>
      <c r="BQ5" s="327" t="str">
        <f>IFERROR(__xludf.DUMMYFUNCTION("IFERROR(ArrayFormula(SUM(VLOOKUP($C5,importrange(""1MwNMVzWE3QBVOyJjKr3eFX-Sq1Ng0Q1sghWJbgbE_8g"",""ORDER BOOKING REPORT 2024-25!C:CV""),{58,65,72},0))))"),"")</f>
        <v/>
      </c>
      <c r="BR5" s="327" t="str">
        <f>IFERROR(__xludf.DUMMYFUNCTION("IFERROR(ArrayFormula(SUM(VLOOKUP($C5,importrange(""1MwNMVzWE3QBVOyJjKr3eFX-Sq1Ng0Q1sghWJbgbE_8g"",""ORDER BOOKING REPORT 2024-25!C:CV""),{79,86,93},0))))"),"")</f>
        <v/>
      </c>
      <c r="BS5" s="328">
        <f t="shared" si="13"/>
        <v>0.8593110713</v>
      </c>
      <c r="BT5" s="328">
        <f t="shared" si="14"/>
        <v>0.03234972608</v>
      </c>
      <c r="BU5" s="234">
        <f t="shared" si="15"/>
        <v>0</v>
      </c>
      <c r="BV5" s="329">
        <v>95834.0</v>
      </c>
      <c r="BW5" s="329" t="s">
        <v>1023</v>
      </c>
      <c r="BX5" s="329">
        <v>15.0</v>
      </c>
      <c r="BY5" s="234">
        <f t="shared" si="16"/>
        <v>0</v>
      </c>
      <c r="BZ5" s="234"/>
      <c r="CA5" s="234" t="s">
        <v>1024</v>
      </c>
      <c r="CB5" s="234">
        <f>countif($F:$F, "&lt;=" &amp; DATE(2025,5,31))-COUNTIFS(AZ:AZ, "&gt;=" &amp; DATE(2025,4,1), AZ:AZ, "&lt;=" &amp; DATE(2025,5,31))</f>
        <v>171</v>
      </c>
      <c r="CC5" s="234">
        <f>COUNTIFS(F:F, "&gt;=" &amp; DATE(2025,6,1), F:F, "&lt;=" &amp; DATE(2025,6,30))</f>
        <v>9</v>
      </c>
      <c r="CD5" s="234">
        <f>COUNTIFS(AZ:AZ, "&gt;=" &amp; DATE(2025,6,1), AZ:AZ, "&lt;=" &amp; DATE(2025,6,30))</f>
        <v>4</v>
      </c>
      <c r="CE5" s="234">
        <f t="shared" si="17"/>
        <v>180</v>
      </c>
      <c r="CF5" s="234">
        <f t="shared" si="18"/>
        <v>184</v>
      </c>
      <c r="CG5" s="234" t="str">
        <f t="shared" si="19"/>
        <v> </v>
      </c>
      <c r="CH5" s="234" t="str">
        <f t="shared" si="27"/>
        <v>Business Achieved 50%</v>
      </c>
      <c r="CI5" s="328">
        <f t="shared" si="20"/>
        <v>0.7027027027</v>
      </c>
      <c r="CJ5" s="339">
        <f>IFERROR(__xludf.DUMMYFUNCTION("""COMPUTED_VALUE"""),590.0)</f>
        <v>590</v>
      </c>
      <c r="CK5" s="339">
        <f>IFERROR(__xludf.DUMMYFUNCTION("""COMPUTED_VALUE"""),28.0)</f>
        <v>28</v>
      </c>
      <c r="CL5" s="339">
        <f>IFERROR(__xludf.DUMMYFUNCTION("""COMPUTED_VALUE"""),0.0)</f>
        <v>0</v>
      </c>
      <c r="CM5" s="331">
        <f t="shared" si="21"/>
        <v>1</v>
      </c>
      <c r="CN5" s="340" t="str">
        <f>IFERROR(__xludf.DUMMYFUNCTION("""COMPUTED_VALUE"""),"Retailer Convert as a direct dealer")</f>
        <v>Retailer Convert as a direct dealer</v>
      </c>
      <c r="CO5" s="328"/>
      <c r="CP5" s="341" t="s">
        <v>140</v>
      </c>
      <c r="CQ5" s="335">
        <f t="shared" si="22"/>
        <v>2</v>
      </c>
      <c r="CR5" s="335">
        <f t="shared" si="23"/>
        <v>0</v>
      </c>
      <c r="CS5" s="328" t="s">
        <v>298</v>
      </c>
      <c r="CT5" s="160">
        <f t="shared" si="24"/>
        <v>12</v>
      </c>
      <c r="CU5" s="328"/>
      <c r="CV5" s="328"/>
      <c r="CW5" s="328"/>
      <c r="CX5" s="288"/>
      <c r="CY5" s="328"/>
      <c r="CZ5" s="328"/>
    </row>
    <row r="6">
      <c r="A6" s="157" t="s">
        <v>185</v>
      </c>
      <c r="B6" s="157" t="s">
        <v>189</v>
      </c>
      <c r="C6" s="157" t="s">
        <v>191</v>
      </c>
      <c r="D6" s="157" t="s">
        <v>1016</v>
      </c>
      <c r="E6" s="157" t="s">
        <v>243</v>
      </c>
      <c r="F6" s="338">
        <v>41159.0</v>
      </c>
      <c r="G6" s="314">
        <v>0.0</v>
      </c>
      <c r="H6" s="314">
        <v>8.1999996E7</v>
      </c>
      <c r="I6" s="315">
        <v>3.491004733E7</v>
      </c>
      <c r="J6" s="315">
        <v>0.0</v>
      </c>
      <c r="K6" s="160">
        <v>149.0</v>
      </c>
      <c r="L6" s="160">
        <v>143.0</v>
      </c>
      <c r="M6" s="160">
        <v>4.0</v>
      </c>
      <c r="N6" s="160">
        <v>153.0</v>
      </c>
      <c r="O6" s="160">
        <v>10.0</v>
      </c>
      <c r="P6" s="315">
        <v>3.323126974E7</v>
      </c>
      <c r="Q6" s="315">
        <v>1678777.59</v>
      </c>
      <c r="R6" s="160">
        <v>78.0</v>
      </c>
      <c r="S6" s="160">
        <v>3.0</v>
      </c>
      <c r="T6" s="160">
        <v>81.0</v>
      </c>
      <c r="U6" s="160">
        <v>0.0</v>
      </c>
      <c r="V6" s="160">
        <v>51.0</v>
      </c>
      <c r="W6" s="160">
        <v>124.0</v>
      </c>
      <c r="X6" s="160">
        <v>22.0</v>
      </c>
      <c r="Y6" s="160">
        <v>3.0</v>
      </c>
      <c r="Z6" s="160">
        <v>37.0</v>
      </c>
      <c r="AA6" s="160">
        <v>0.0</v>
      </c>
      <c r="AB6" s="160">
        <v>0.0</v>
      </c>
      <c r="AC6" s="160">
        <v>0.0</v>
      </c>
      <c r="AD6" s="160">
        <v>0.0</v>
      </c>
      <c r="AE6" s="160">
        <v>1386.0</v>
      </c>
      <c r="AF6" s="160">
        <v>1547.0</v>
      </c>
      <c r="AG6" s="160">
        <v>301.0</v>
      </c>
      <c r="AH6" s="314">
        <f t="shared" si="2"/>
        <v>115980.2237</v>
      </c>
      <c r="AI6" s="314">
        <f t="shared" si="3"/>
        <v>5.139534884</v>
      </c>
      <c r="AJ6" s="316">
        <v>78125.0</v>
      </c>
      <c r="AK6" s="314">
        <f t="shared" si="4"/>
        <v>937500</v>
      </c>
      <c r="AL6" s="317">
        <v>243987.0</v>
      </c>
      <c r="AM6" s="318">
        <f t="shared" si="5"/>
        <v>0.03384375245</v>
      </c>
      <c r="AN6" s="314">
        <f t="shared" si="6"/>
        <v>430988.2386</v>
      </c>
      <c r="AO6" s="336">
        <f t="shared" si="25"/>
        <v>0.4257323053</v>
      </c>
      <c r="AP6" s="319">
        <v>0.0</v>
      </c>
      <c r="AQ6" s="160">
        <v>306.0</v>
      </c>
      <c r="AR6" s="160">
        <v>3433.0</v>
      </c>
      <c r="AS6" s="160">
        <v>1481.26</v>
      </c>
      <c r="AT6" s="160">
        <v>3.0</v>
      </c>
      <c r="AU6" s="160">
        <v>10.0</v>
      </c>
      <c r="AV6" s="320">
        <v>81.0</v>
      </c>
      <c r="AW6" s="320">
        <v>62.0</v>
      </c>
      <c r="AX6" s="320">
        <v>10.0</v>
      </c>
      <c r="AY6" s="321">
        <f>iferror(VLOOKUP(C6,'ORDER BOOKING REPORT 2025-26'!C:O,13,0),"")</f>
        <v>51700476</v>
      </c>
      <c r="AZ6" s="322"/>
      <c r="BA6" s="157" t="str">
        <f t="shared" si="7"/>
        <v>Active</v>
      </c>
      <c r="BB6" s="157" t="str">
        <f t="shared" si="8"/>
        <v>Old</v>
      </c>
      <c r="BC6" s="157" t="str">
        <f t="shared" si="26"/>
        <v>Below 50%</v>
      </c>
      <c r="BD6" s="223">
        <f t="shared" si="9"/>
        <v>12</v>
      </c>
      <c r="BE6" s="323">
        <v>6833333.0</v>
      </c>
      <c r="BF6" s="157">
        <f t="shared" si="10"/>
        <v>1</v>
      </c>
      <c r="BG6" s="157" t="s">
        <v>1019</v>
      </c>
      <c r="BH6" s="324"/>
      <c r="BI6" s="324"/>
      <c r="BJ6" s="325"/>
      <c r="BK6" s="326"/>
      <c r="BL6" s="326">
        <f t="shared" si="11"/>
        <v>0</v>
      </c>
      <c r="BM6" s="326">
        <f t="shared" si="12"/>
        <v>81999996</v>
      </c>
      <c r="BN6" s="326"/>
      <c r="BO6" s="327" t="str">
        <f>IFERROR(__xludf.DUMMYFUNCTION("IFERROR(ArrayFormula(SUM(VLOOKUP($C6,importrange(""1MwNMVzWE3QBVOyJjKr3eFX-Sq1Ng0Q1sghWJbgbE_8g"",""ORDER BOOKING REPORT 2024-25!C:CV""),{16,23,30},0))))"),"")</f>
        <v/>
      </c>
      <c r="BP6" s="327" t="str">
        <f>IFERROR(__xludf.DUMMYFUNCTION("IFERROR(ArrayFormula(SUM(VLOOKUP($C6,importrange(""1MwNMVzWE3QBVOyJjKr3eFX-Sq1Ng0Q1sghWJbgbE_8g"",""ORDER BOOKING REPORT 2024-25!C:CV""),{37,44,51},0))))"),"")</f>
        <v/>
      </c>
      <c r="BQ6" s="327" t="str">
        <f>IFERROR(__xludf.DUMMYFUNCTION("IFERROR(ArrayFormula(SUM(VLOOKUP($C6,importrange(""1MwNMVzWE3QBVOyJjKr3eFX-Sq1Ng0Q1sghWJbgbE_8g"",""ORDER BOOKING REPORT 2024-25!C:CV""),{58,65,72},0))))"),"")</f>
        <v/>
      </c>
      <c r="BR6" s="327" t="str">
        <f>IFERROR(__xludf.DUMMYFUNCTION("IFERROR(ArrayFormula(SUM(VLOOKUP($C6,importrange(""1MwNMVzWE3QBVOyJjKr3eFX-Sq1Ng0Q1sghWJbgbE_8g"",""ORDER BOOKING REPORT 2024-25!C:CV""),{79,86,93},0))))"),"")</f>
        <v/>
      </c>
      <c r="BS6" s="328">
        <f t="shared" si="13"/>
        <v>0.6304936405</v>
      </c>
      <c r="BT6" s="328">
        <f t="shared" si="14"/>
        <v>0.02285253621</v>
      </c>
      <c r="BU6" s="234">
        <f t="shared" si="15"/>
        <v>0</v>
      </c>
      <c r="BV6" s="329">
        <v>78125.0</v>
      </c>
      <c r="BW6" s="329" t="s">
        <v>1020</v>
      </c>
      <c r="BX6" s="329">
        <v>33.0</v>
      </c>
      <c r="BY6" s="234">
        <f t="shared" si="16"/>
        <v>0</v>
      </c>
      <c r="BZ6" s="234"/>
      <c r="CA6" s="234" t="s">
        <v>1025</v>
      </c>
      <c r="CB6" s="234">
        <f>countif($F:$F, "&lt;=" &amp; DATE(2025,6,30))-COUNTIFS(AZ:AZ, "&gt;=" &amp; DATE(2025,4,1), AZ:AZ, "&lt;=" &amp; DATE(2025,6,30))</f>
        <v>176</v>
      </c>
      <c r="CC6" s="234">
        <f>COUNTIFS(F:F, "&gt;=" &amp; DATE(2025,7,1), F:F, "&lt;=" &amp; DATE(2025,7,31))</f>
        <v>12</v>
      </c>
      <c r="CD6" s="234">
        <f>COUNTIFS(AZ:AZ, "&gt;=" &amp; DATE(2025,7,1), AZ:AZ, "&lt;=" &amp; DATE(2025,7,31))</f>
        <v>9</v>
      </c>
      <c r="CE6" s="234">
        <f t="shared" si="17"/>
        <v>188</v>
      </c>
      <c r="CF6" s="234">
        <f t="shared" si="18"/>
        <v>197</v>
      </c>
      <c r="CG6" s="234" t="str">
        <f t="shared" si="19"/>
        <v> </v>
      </c>
      <c r="CH6" s="234" t="str">
        <f t="shared" si="27"/>
        <v>Business Achieved 50%</v>
      </c>
      <c r="CI6" s="328">
        <f t="shared" si="20"/>
        <v>0.5294117647</v>
      </c>
      <c r="CJ6" s="330">
        <f>IFERROR(__xludf.DUMMYFUNCTION("""COMPUTED_VALUE"""),991.0)</f>
        <v>991</v>
      </c>
      <c r="CK6" s="330">
        <f>IFERROR(__xludf.DUMMYFUNCTION("""COMPUTED_VALUE"""),395.0)</f>
        <v>395</v>
      </c>
      <c r="CL6" s="330">
        <f>IFERROR(__xludf.DUMMYFUNCTION("""COMPUTED_VALUE"""),0.0)</f>
        <v>0</v>
      </c>
      <c r="CM6" s="331">
        <f t="shared" si="21"/>
        <v>0</v>
      </c>
      <c r="CN6" s="337"/>
      <c r="CO6" s="160"/>
      <c r="CP6" s="334" t="s">
        <v>27</v>
      </c>
      <c r="CQ6" s="335">
        <f t="shared" si="22"/>
        <v>2</v>
      </c>
      <c r="CR6" s="335">
        <f t="shared" si="23"/>
        <v>0</v>
      </c>
      <c r="CS6" s="160" t="s">
        <v>322</v>
      </c>
      <c r="CT6" s="160">
        <f t="shared" si="24"/>
        <v>5</v>
      </c>
      <c r="CU6" s="160"/>
      <c r="CV6" s="160"/>
      <c r="CW6" s="335"/>
      <c r="CX6" s="288"/>
      <c r="CY6" s="160"/>
      <c r="CZ6" s="160"/>
    </row>
    <row r="7">
      <c r="A7" s="157" t="s">
        <v>185</v>
      </c>
      <c r="B7" s="157" t="s">
        <v>189</v>
      </c>
      <c r="C7" s="157" t="s">
        <v>193</v>
      </c>
      <c r="D7" s="157" t="s">
        <v>1016</v>
      </c>
      <c r="E7" s="157" t="s">
        <v>241</v>
      </c>
      <c r="F7" s="342">
        <v>41400.0</v>
      </c>
      <c r="G7" s="314">
        <v>0.0</v>
      </c>
      <c r="H7" s="314">
        <v>1.02E8</v>
      </c>
      <c r="I7" s="315">
        <v>6.130048774E7</v>
      </c>
      <c r="J7" s="315">
        <v>0.0</v>
      </c>
      <c r="K7" s="160">
        <v>54.0</v>
      </c>
      <c r="L7" s="160">
        <v>53.0</v>
      </c>
      <c r="M7" s="160">
        <v>4.0</v>
      </c>
      <c r="N7" s="160">
        <v>58.0</v>
      </c>
      <c r="O7" s="160">
        <v>5.0</v>
      </c>
      <c r="P7" s="315">
        <v>6.124504474E7</v>
      </c>
      <c r="Q7" s="315">
        <v>55443.0</v>
      </c>
      <c r="R7" s="160">
        <v>47.0</v>
      </c>
      <c r="S7" s="160">
        <v>2.0</v>
      </c>
      <c r="T7" s="160">
        <v>49.0</v>
      </c>
      <c r="U7" s="160">
        <v>0.0</v>
      </c>
      <c r="V7" s="160">
        <v>2.0</v>
      </c>
      <c r="W7" s="160">
        <v>4.0</v>
      </c>
      <c r="X7" s="160">
        <v>17.0</v>
      </c>
      <c r="Y7" s="160">
        <v>3.0</v>
      </c>
      <c r="Z7" s="160">
        <v>174.0</v>
      </c>
      <c r="AA7" s="160">
        <v>0.0</v>
      </c>
      <c r="AB7" s="160">
        <v>0.0</v>
      </c>
      <c r="AC7" s="160">
        <v>0.0</v>
      </c>
      <c r="AD7" s="160">
        <v>0.0</v>
      </c>
      <c r="AE7" s="160">
        <v>1633.0</v>
      </c>
      <c r="AF7" s="160">
        <v>1811.0</v>
      </c>
      <c r="AG7" s="160">
        <v>245.0</v>
      </c>
      <c r="AH7" s="314">
        <f t="shared" si="2"/>
        <v>250206.0724</v>
      </c>
      <c r="AI7" s="314">
        <f t="shared" si="3"/>
        <v>7.391836735</v>
      </c>
      <c r="AJ7" s="316">
        <v>83075.0</v>
      </c>
      <c r="AK7" s="314">
        <f t="shared" si="4"/>
        <v>996900</v>
      </c>
      <c r="AL7" s="317">
        <v>72733.0</v>
      </c>
      <c r="AM7" s="318">
        <f t="shared" si="5"/>
        <v>0.01744901288</v>
      </c>
      <c r="AN7" s="314">
        <f t="shared" si="6"/>
        <v>1251030.362</v>
      </c>
      <c r="AO7" s="336">
        <f t="shared" si="25"/>
        <v>0.6009851739</v>
      </c>
      <c r="AP7" s="319">
        <v>0.0</v>
      </c>
      <c r="AQ7" s="160">
        <v>1005.0</v>
      </c>
      <c r="AR7" s="160">
        <v>2357.0</v>
      </c>
      <c r="AS7" s="160">
        <v>807.74</v>
      </c>
      <c r="AT7" s="160">
        <v>2.0</v>
      </c>
      <c r="AU7" s="160">
        <v>15.0</v>
      </c>
      <c r="AV7" s="320">
        <v>49.0</v>
      </c>
      <c r="AW7" s="320">
        <v>6.0</v>
      </c>
      <c r="AX7" s="320">
        <v>3.0</v>
      </c>
      <c r="AY7" s="321">
        <f>iferror(VLOOKUP(C7,'ORDER BOOKING REPORT 2025-26'!C:O,13,0),"")</f>
        <v>61277810.6</v>
      </c>
      <c r="AZ7" s="322"/>
      <c r="BA7" s="157" t="str">
        <f t="shared" si="7"/>
        <v>Active</v>
      </c>
      <c r="BB7" s="157" t="str">
        <f t="shared" si="8"/>
        <v>Old</v>
      </c>
      <c r="BC7" s="157" t="str">
        <f t="shared" si="26"/>
        <v>50%-70%</v>
      </c>
      <c r="BD7" s="223">
        <f t="shared" si="9"/>
        <v>12</v>
      </c>
      <c r="BE7" s="323">
        <v>8500000.0</v>
      </c>
      <c r="BF7" s="157">
        <f t="shared" si="10"/>
        <v>2</v>
      </c>
      <c r="BG7" s="157" t="s">
        <v>1019</v>
      </c>
      <c r="BH7" s="324"/>
      <c r="BI7" s="324"/>
      <c r="BJ7" s="325"/>
      <c r="BK7" s="326"/>
      <c r="BL7" s="326">
        <f t="shared" si="11"/>
        <v>0</v>
      </c>
      <c r="BM7" s="326">
        <f t="shared" si="12"/>
        <v>102000000</v>
      </c>
      <c r="BN7" s="326"/>
      <c r="BO7" s="327" t="str">
        <f>IFERROR(__xludf.DUMMYFUNCTION("IFERROR(ArrayFormula(SUM(VLOOKUP($C7,importrange(""1MwNMVzWE3QBVOyJjKr3eFX-Sq1Ng0Q1sghWJbgbE_8g"",""ORDER BOOKING REPORT 2024-25!C:CV""),{16,23,30},0))))"),"")</f>
        <v/>
      </c>
      <c r="BP7" s="327" t="str">
        <f>IFERROR(__xludf.DUMMYFUNCTION("IFERROR(ArrayFormula(SUM(VLOOKUP($C7,importrange(""1MwNMVzWE3QBVOyJjKr3eFX-Sq1Ng0Q1sghWJbgbE_8g"",""ORDER BOOKING REPORT 2024-25!C:CV""),{37,44,51},0))))"),"")</f>
        <v/>
      </c>
      <c r="BQ7" s="327" t="str">
        <f>IFERROR(__xludf.DUMMYFUNCTION("IFERROR(ArrayFormula(SUM(VLOOKUP($C7,importrange(""1MwNMVzWE3QBVOyJjKr3eFX-Sq1Ng0Q1sghWJbgbE_8g"",""ORDER BOOKING REPORT 2024-25!C:CV""),{58,65,72},0))))"),"")</f>
        <v/>
      </c>
      <c r="BR7" s="327" t="str">
        <f>IFERROR(__xludf.DUMMYFUNCTION("IFERROR(ArrayFormula(SUM(VLOOKUP($C7,importrange(""1MwNMVzWE3QBVOyJjKr3eFX-Sq1Ng0Q1sghWJbgbE_8g"",""ORDER BOOKING REPORT 2024-25!C:CV""),{79,86,93},0))))"),"")</f>
        <v/>
      </c>
      <c r="BS7" s="328">
        <f t="shared" si="13"/>
        <v>0.600762849</v>
      </c>
      <c r="BT7" s="328">
        <f t="shared" si="14"/>
        <v>0.01745547025</v>
      </c>
      <c r="BU7" s="234">
        <f t="shared" si="15"/>
        <v>0</v>
      </c>
      <c r="BV7" s="329">
        <v>83075.0</v>
      </c>
      <c r="BW7" s="329" t="s">
        <v>1020</v>
      </c>
      <c r="BX7" s="329">
        <v>82.0</v>
      </c>
      <c r="BY7" s="234">
        <f t="shared" si="16"/>
        <v>0</v>
      </c>
      <c r="BZ7" s="234"/>
      <c r="CA7" s="234" t="s">
        <v>1026</v>
      </c>
      <c r="CB7" s="234">
        <f>countif($F:$F, "&lt;=" &amp; DATE(2025,7,31))-COUNTIFS(AZ:AZ, "&gt;=" &amp; DATE(2025,4,1), AZ:AZ, "&lt;=" &amp; DATE(2025,7,31))</f>
        <v>179</v>
      </c>
      <c r="CC7" s="234">
        <f>COUNTIFS(F:F, "&gt;=" &amp; DATE(2025,8,1), F:F, "&lt;=" &amp; DATE(2025,8,31))</f>
        <v>6</v>
      </c>
      <c r="CD7" s="234">
        <f>COUNTIFS(AZ:AZ, "&gt;=" &amp; DATE(2025,8,1), AZ:AZ, "&lt;=" &amp; DATE(2025,8,31))</f>
        <v>12</v>
      </c>
      <c r="CE7" s="234">
        <f t="shared" si="17"/>
        <v>185</v>
      </c>
      <c r="CF7" s="234">
        <f t="shared" si="18"/>
        <v>197</v>
      </c>
      <c r="CG7" s="234" t="str">
        <f t="shared" si="19"/>
        <v>Below 60</v>
      </c>
      <c r="CH7" s="234" t="str">
        <f t="shared" si="27"/>
        <v>Business Achieved 50%</v>
      </c>
      <c r="CI7" s="328">
        <f t="shared" si="20"/>
        <v>0.8448275862</v>
      </c>
      <c r="CJ7" s="330">
        <f>IFERROR(__xludf.DUMMYFUNCTION("""COMPUTED_VALUE"""),1620.0)</f>
        <v>1620</v>
      </c>
      <c r="CK7" s="330">
        <f>IFERROR(__xludf.DUMMYFUNCTION("""COMPUTED_VALUE"""),13.0)</f>
        <v>13</v>
      </c>
      <c r="CL7" s="330">
        <f>IFERROR(__xludf.DUMMYFUNCTION("""COMPUTED_VALUE"""),0.0)</f>
        <v>0</v>
      </c>
      <c r="CM7" s="331">
        <f t="shared" si="21"/>
        <v>0</v>
      </c>
      <c r="CN7" s="337"/>
      <c r="CO7" s="160"/>
      <c r="CP7" s="334" t="s">
        <v>40</v>
      </c>
      <c r="CQ7" s="335">
        <f t="shared" si="22"/>
        <v>1</v>
      </c>
      <c r="CR7" s="335">
        <f t="shared" si="23"/>
        <v>0</v>
      </c>
      <c r="CS7" s="160" t="s">
        <v>97</v>
      </c>
      <c r="CT7" s="160">
        <f t="shared" si="24"/>
        <v>7</v>
      </c>
      <c r="CU7" s="160"/>
      <c r="CV7" s="160"/>
      <c r="CW7" s="335"/>
      <c r="CX7" s="288"/>
      <c r="CY7" s="160"/>
      <c r="CZ7" s="160"/>
    </row>
    <row r="8">
      <c r="A8" s="157" t="s">
        <v>185</v>
      </c>
      <c r="B8" s="157" t="s">
        <v>196</v>
      </c>
      <c r="C8" s="157" t="s">
        <v>194</v>
      </c>
      <c r="D8" s="157" t="s">
        <v>1027</v>
      </c>
      <c r="E8" s="157" t="s">
        <v>1028</v>
      </c>
      <c r="F8" s="285">
        <v>41563.0</v>
      </c>
      <c r="G8" s="314">
        <v>0.0</v>
      </c>
      <c r="H8" s="314">
        <v>2.52E7</v>
      </c>
      <c r="I8" s="315">
        <v>2.285366304E7</v>
      </c>
      <c r="J8" s="315">
        <v>0.0</v>
      </c>
      <c r="K8" s="160">
        <v>38.0</v>
      </c>
      <c r="L8" s="160">
        <v>39.0</v>
      </c>
      <c r="M8" s="160">
        <v>2.0</v>
      </c>
      <c r="N8" s="160">
        <v>40.0</v>
      </c>
      <c r="O8" s="160">
        <v>1.0</v>
      </c>
      <c r="P8" s="315">
        <v>2.282000704E7</v>
      </c>
      <c r="Q8" s="315">
        <v>33656.0</v>
      </c>
      <c r="R8" s="160">
        <v>26.0</v>
      </c>
      <c r="S8" s="160">
        <v>1.0</v>
      </c>
      <c r="T8" s="160">
        <v>27.0</v>
      </c>
      <c r="U8" s="160">
        <v>0.0</v>
      </c>
      <c r="V8" s="160">
        <v>3.0</v>
      </c>
      <c r="W8" s="160">
        <v>6.0</v>
      </c>
      <c r="X8" s="160">
        <v>30.0</v>
      </c>
      <c r="Y8" s="160">
        <v>1.0</v>
      </c>
      <c r="Z8" s="160">
        <v>17.0</v>
      </c>
      <c r="AA8" s="160">
        <v>0.0</v>
      </c>
      <c r="AB8" s="160">
        <v>0.0</v>
      </c>
      <c r="AC8" s="160">
        <v>0.0</v>
      </c>
      <c r="AD8" s="160">
        <v>0.0</v>
      </c>
      <c r="AE8" s="160">
        <v>821.0</v>
      </c>
      <c r="AF8" s="160">
        <v>844.0</v>
      </c>
      <c r="AG8" s="160">
        <v>292.0</v>
      </c>
      <c r="AH8" s="314">
        <f t="shared" si="2"/>
        <v>78265.96932</v>
      </c>
      <c r="AI8" s="314">
        <f t="shared" si="3"/>
        <v>2.890410959</v>
      </c>
      <c r="AJ8" s="316">
        <v>48500.0</v>
      </c>
      <c r="AK8" s="314">
        <f t="shared" si="4"/>
        <v>582000</v>
      </c>
      <c r="AL8" s="317">
        <v>225701.0</v>
      </c>
      <c r="AM8" s="318">
        <f t="shared" si="5"/>
        <v>0.03534229933</v>
      </c>
      <c r="AN8" s="314">
        <f t="shared" si="6"/>
        <v>846431.9644</v>
      </c>
      <c r="AO8" s="336">
        <f t="shared" si="25"/>
        <v>0.9068913905</v>
      </c>
      <c r="AP8" s="319">
        <v>0.0</v>
      </c>
      <c r="AQ8" s="160">
        <v>314.0</v>
      </c>
      <c r="AR8" s="160">
        <v>3477.0</v>
      </c>
      <c r="AS8" s="160">
        <v>3895.5</v>
      </c>
      <c r="AT8" s="160">
        <v>1.0</v>
      </c>
      <c r="AU8" s="160">
        <v>100.0</v>
      </c>
      <c r="AV8" s="320">
        <v>27.0</v>
      </c>
      <c r="AW8" s="320">
        <v>12.0</v>
      </c>
      <c r="AX8" s="320">
        <v>1.0</v>
      </c>
      <c r="AY8" s="321">
        <f>iferror(VLOOKUP(C8,'ORDER BOOKING REPORT 2025-26'!C:O,13,0),"")</f>
        <v>19949720.1</v>
      </c>
      <c r="AZ8" s="322"/>
      <c r="BA8" s="157" t="str">
        <f t="shared" si="7"/>
        <v>Active</v>
      </c>
      <c r="BB8" s="157" t="str">
        <f t="shared" si="8"/>
        <v>Old</v>
      </c>
      <c r="BC8" s="157" t="str">
        <f t="shared" si="26"/>
        <v>90%-100%</v>
      </c>
      <c r="BD8" s="223">
        <f t="shared" si="9"/>
        <v>12</v>
      </c>
      <c r="BE8" s="323">
        <v>2100000.0</v>
      </c>
      <c r="BF8" s="157">
        <f t="shared" si="10"/>
        <v>1</v>
      </c>
      <c r="BG8" s="157" t="s">
        <v>1019</v>
      </c>
      <c r="BH8" s="324"/>
      <c r="BI8" s="324"/>
      <c r="BJ8" s="325"/>
      <c r="BK8" s="326"/>
      <c r="BL8" s="326">
        <f t="shared" si="11"/>
        <v>0</v>
      </c>
      <c r="BM8" s="326">
        <f t="shared" si="12"/>
        <v>25200000</v>
      </c>
      <c r="BN8" s="326"/>
      <c r="BO8" s="327" t="str">
        <f>IFERROR(__xludf.DUMMYFUNCTION("IFERROR(ArrayFormula(SUM(VLOOKUP($C8,importrange(""1MwNMVzWE3QBVOyJjKr3eFX-Sq1Ng0Q1sghWJbgbE_8g"",""ORDER BOOKING REPORT 2024-25!C:CV""),{16,23,30},0))))"),"")</f>
        <v/>
      </c>
      <c r="BP8" s="327" t="str">
        <f>IFERROR(__xludf.DUMMYFUNCTION("IFERROR(ArrayFormula(SUM(VLOOKUP($C8,importrange(""1MwNMVzWE3QBVOyJjKr3eFX-Sq1Ng0Q1sghWJbgbE_8g"",""ORDER BOOKING REPORT 2024-25!C:CV""),{37,44,51},0))))"),"")</f>
        <v/>
      </c>
      <c r="BQ8" s="327" t="str">
        <f>IFERROR(__xludf.DUMMYFUNCTION("IFERROR(ArrayFormula(SUM(VLOOKUP($C8,importrange(""1MwNMVzWE3QBVOyJjKr3eFX-Sq1Ng0Q1sghWJbgbE_8g"",""ORDER BOOKING REPORT 2024-25!C:CV""),{58,65,72},0))))"),"")</f>
        <v/>
      </c>
      <c r="BR8" s="327" t="str">
        <f>IFERROR(__xludf.DUMMYFUNCTION("IFERROR(ArrayFormula(SUM(VLOOKUP($C8,importrange(""1MwNMVzWE3QBVOyJjKr3eFX-Sq1Ng0Q1sghWJbgbE_8g"",""ORDER BOOKING REPORT 2024-25!C:CV""),{79,86,93},0))))"),"")</f>
        <v/>
      </c>
      <c r="BS8" s="328">
        <f t="shared" si="13"/>
        <v>0.7916555595</v>
      </c>
      <c r="BT8" s="328">
        <f t="shared" si="14"/>
        <v>0.0404868337</v>
      </c>
      <c r="BU8" s="234">
        <f t="shared" si="15"/>
        <v>0</v>
      </c>
      <c r="BV8" s="329">
        <v>48500.0</v>
      </c>
      <c r="BW8" s="329" t="s">
        <v>1029</v>
      </c>
      <c r="BX8" s="329">
        <v>111.0</v>
      </c>
      <c r="BY8" s="234">
        <f t="shared" si="16"/>
        <v>0</v>
      </c>
      <c r="BZ8" s="234"/>
      <c r="CA8" s="234" t="s">
        <v>1030</v>
      </c>
      <c r="CB8" s="234">
        <f>countif($F:$F, "&lt;=" &amp; DATE(2025,8,31))-COUNTIFS(AZ:AZ, "&gt;=" &amp; DATE(2025,4,1), AZ:AZ, "&lt;=" &amp; DATE(2025,8,31))</f>
        <v>173</v>
      </c>
      <c r="CC8" s="234">
        <f>COUNTIFS(F:F, "&gt;=" &amp; DATE(2025,9,1), F:F, "&lt;=" &amp; DATE(2025,9,30))</f>
        <v>3</v>
      </c>
      <c r="CD8" s="234">
        <f>COUNTIFS(AZ:AZ, "&gt;=" &amp; DATE(2025,9,1), AZ:AZ, "&lt;=" &amp; DATE(2025,9,30))</f>
        <v>7</v>
      </c>
      <c r="CE8" s="234">
        <f t="shared" si="17"/>
        <v>176</v>
      </c>
      <c r="CF8" s="234">
        <f t="shared" si="18"/>
        <v>183</v>
      </c>
      <c r="CG8" s="234" t="str">
        <f t="shared" si="19"/>
        <v>Below 60</v>
      </c>
      <c r="CH8" s="234" t="str">
        <f t="shared" si="27"/>
        <v>Business Achieved 50%</v>
      </c>
      <c r="CI8" s="328">
        <f t="shared" si="20"/>
        <v>0.675</v>
      </c>
      <c r="CJ8" s="330">
        <f>IFERROR(__xludf.DUMMYFUNCTION("""COMPUTED_VALUE"""),654.0)</f>
        <v>654</v>
      </c>
      <c r="CK8" s="330">
        <f>IFERROR(__xludf.DUMMYFUNCTION("""COMPUTED_VALUE"""),167.0)</f>
        <v>167</v>
      </c>
      <c r="CL8" s="330">
        <f>IFERROR(__xludf.DUMMYFUNCTION("""COMPUTED_VALUE"""),0.0)</f>
        <v>0</v>
      </c>
      <c r="CM8" s="331">
        <f t="shared" si="21"/>
        <v>0</v>
      </c>
      <c r="CN8" s="337"/>
      <c r="CO8" s="160"/>
      <c r="CP8" s="334" t="s">
        <v>130</v>
      </c>
      <c r="CQ8" s="335">
        <f t="shared" si="22"/>
        <v>15</v>
      </c>
      <c r="CR8" s="335">
        <f t="shared" si="23"/>
        <v>0</v>
      </c>
      <c r="CS8" s="160" t="s">
        <v>73</v>
      </c>
      <c r="CT8" s="160">
        <f t="shared" si="24"/>
        <v>5</v>
      </c>
      <c r="CU8" s="160"/>
      <c r="CV8" s="160"/>
      <c r="CW8" s="335"/>
      <c r="CX8" s="288"/>
      <c r="CY8" s="160"/>
      <c r="CZ8" s="160"/>
    </row>
    <row r="9">
      <c r="A9" s="157" t="s">
        <v>185</v>
      </c>
      <c r="B9" s="157" t="s">
        <v>212</v>
      </c>
      <c r="C9" s="157" t="s">
        <v>489</v>
      </c>
      <c r="D9" s="157" t="s">
        <v>1031</v>
      </c>
      <c r="E9" s="157" t="s">
        <v>1032</v>
      </c>
      <c r="F9" s="285">
        <v>41719.0</v>
      </c>
      <c r="G9" s="314">
        <v>0.0</v>
      </c>
      <c r="H9" s="314">
        <v>0.0</v>
      </c>
      <c r="I9" s="315">
        <v>0.0</v>
      </c>
      <c r="J9" s="315">
        <v>0.0</v>
      </c>
      <c r="K9" s="160">
        <v>167.0</v>
      </c>
      <c r="L9" s="160">
        <v>79.0</v>
      </c>
      <c r="M9" s="160">
        <v>17.0</v>
      </c>
      <c r="N9" s="160">
        <v>184.0</v>
      </c>
      <c r="O9" s="160">
        <v>105.0</v>
      </c>
      <c r="P9" s="315">
        <v>0.0</v>
      </c>
      <c r="Q9" s="315">
        <v>0.0</v>
      </c>
      <c r="R9" s="160">
        <v>0.0</v>
      </c>
      <c r="S9" s="160">
        <v>0.0</v>
      </c>
      <c r="T9" s="160">
        <v>0.0</v>
      </c>
      <c r="U9" s="160">
        <v>0.0</v>
      </c>
      <c r="V9" s="160">
        <v>62.0</v>
      </c>
      <c r="W9" s="160">
        <v>98.0</v>
      </c>
      <c r="X9" s="160">
        <v>220.0</v>
      </c>
      <c r="Y9" s="160">
        <v>20.0</v>
      </c>
      <c r="Z9" s="160">
        <v>263.0</v>
      </c>
      <c r="AA9" s="160">
        <v>4.0</v>
      </c>
      <c r="AB9" s="160">
        <v>45.0</v>
      </c>
      <c r="AC9" s="160">
        <v>9.0</v>
      </c>
      <c r="AD9" s="160">
        <v>24.0</v>
      </c>
      <c r="AE9" s="160">
        <v>184.0</v>
      </c>
      <c r="AF9" s="160">
        <v>614.0</v>
      </c>
      <c r="AG9" s="160">
        <v>287.0</v>
      </c>
      <c r="AH9" s="314">
        <f t="shared" si="2"/>
        <v>0</v>
      </c>
      <c r="AI9" s="314">
        <f t="shared" si="3"/>
        <v>2.139372822</v>
      </c>
      <c r="AJ9" s="316">
        <v>88170.0</v>
      </c>
      <c r="AK9" s="314">
        <f t="shared" si="4"/>
        <v>1058040</v>
      </c>
      <c r="AL9" s="317">
        <v>367576.0</v>
      </c>
      <c r="AM9" s="318" t="str">
        <f t="shared" si="5"/>
        <v/>
      </c>
      <c r="AN9" s="314" t="str">
        <f t="shared" si="6"/>
        <v/>
      </c>
      <c r="AO9" s="286" t="s">
        <v>972</v>
      </c>
      <c r="AP9" s="319">
        <v>0.0</v>
      </c>
      <c r="AQ9" s="160">
        <v>0.0</v>
      </c>
      <c r="AR9" s="160">
        <v>2790.0</v>
      </c>
      <c r="AS9" s="160">
        <v>1334.02</v>
      </c>
      <c r="AT9" s="160">
        <v>0.0</v>
      </c>
      <c r="AU9" s="160">
        <v>17.0</v>
      </c>
      <c r="AV9" s="320">
        <v>0.0</v>
      </c>
      <c r="AW9" s="320">
        <v>79.0</v>
      </c>
      <c r="AX9" s="320">
        <v>105.0</v>
      </c>
      <c r="AY9" s="321" t="str">
        <f>iferror(VLOOKUP(C9,'ORDER BOOKING REPORT 2025-26'!C:O,13,0),"")</f>
        <v/>
      </c>
      <c r="AZ9" s="322"/>
      <c r="BA9" s="157" t="str">
        <f t="shared" si="7"/>
        <v>Active</v>
      </c>
      <c r="BB9" s="157" t="str">
        <f t="shared" si="8"/>
        <v>Old</v>
      </c>
      <c r="BC9" s="160" t="s">
        <v>972</v>
      </c>
      <c r="BD9" s="223">
        <f t="shared" si="9"/>
        <v>12</v>
      </c>
      <c r="BE9" s="323"/>
      <c r="BF9" s="157">
        <f t="shared" si="10"/>
        <v>17</v>
      </c>
      <c r="BG9" s="234" t="s">
        <v>188</v>
      </c>
      <c r="BH9" s="324"/>
      <c r="BI9" s="324"/>
      <c r="BJ9" s="325"/>
      <c r="BK9" s="326"/>
      <c r="BL9" s="326">
        <f t="shared" si="11"/>
        <v>0</v>
      </c>
      <c r="BM9" s="326">
        <f t="shared" si="12"/>
        <v>0</v>
      </c>
      <c r="BN9" s="326"/>
      <c r="BO9" s="327" t="str">
        <f>IFERROR(__xludf.DUMMYFUNCTION("IFERROR(ArrayFormula(SUM(VLOOKUP($C9,importrange(""1MwNMVzWE3QBVOyJjKr3eFX-Sq1Ng0Q1sghWJbgbE_8g"",""ORDER BOOKING REPORT 2024-25!C:CV""),{16,23,30},0))))"),"")</f>
        <v/>
      </c>
      <c r="BP9" s="327" t="str">
        <f>IFERROR(__xludf.DUMMYFUNCTION("IFERROR(ArrayFormula(SUM(VLOOKUP($C9,importrange(""1MwNMVzWE3QBVOyJjKr3eFX-Sq1Ng0Q1sghWJbgbE_8g"",""ORDER BOOKING REPORT 2024-25!C:CV""),{37,44,51},0))))"),"")</f>
        <v/>
      </c>
      <c r="BQ9" s="327" t="str">
        <f>IFERROR(__xludf.DUMMYFUNCTION("IFERROR(ArrayFormula(SUM(VLOOKUP($C9,importrange(""1MwNMVzWE3QBVOyJjKr3eFX-Sq1Ng0Q1sghWJbgbE_8g"",""ORDER BOOKING REPORT 2024-25!C:CV""),{58,65,72},0))))"),"")</f>
        <v/>
      </c>
      <c r="BR9" s="327" t="str">
        <f>IFERROR(__xludf.DUMMYFUNCTION("IFERROR(ArrayFormula(SUM(VLOOKUP($C9,importrange(""1MwNMVzWE3QBVOyJjKr3eFX-Sq1Ng0Q1sghWJbgbE_8g"",""ORDER BOOKING REPORT 2024-25!C:CV""),{79,86,93},0))))"),"")</f>
        <v/>
      </c>
      <c r="BS9" s="328" t="str">
        <f t="shared" si="13"/>
        <v/>
      </c>
      <c r="BT9" s="328" t="str">
        <f t="shared" si="14"/>
        <v/>
      </c>
      <c r="BU9" s="234">
        <f t="shared" si="15"/>
        <v>0</v>
      </c>
      <c r="BV9" s="329">
        <v>88170.0</v>
      </c>
      <c r="BW9" s="329" t="s">
        <v>1017</v>
      </c>
      <c r="BX9" s="329">
        <v>130.0</v>
      </c>
      <c r="BY9" s="234">
        <f t="shared" si="16"/>
        <v>0</v>
      </c>
      <c r="BZ9" s="234"/>
      <c r="CA9" s="234" t="s">
        <v>1033</v>
      </c>
      <c r="CB9" s="234">
        <f>countif($F:$F, "&lt;=" &amp; DATE(2025,9,30))-COUNTIFS(AZ:AZ, "&gt;=" &amp; DATE(2025,4,1), AZ:AZ, "&lt;=" &amp; DATE(2025,9,30))</f>
        <v>169</v>
      </c>
      <c r="CC9" s="234">
        <f>COUNTIFS(F:F, "&gt;=" &amp; DATE(2025,10,1), F:F, "&lt;=" &amp; DATE(2025,10,31))</f>
        <v>3</v>
      </c>
      <c r="CD9" s="234">
        <f>COUNTIFS(AZ:AZ, "&gt;=" &amp; DATE(2025,10,1), AZ:AZ, "&lt;=" &amp; DATE(2025,10,31))</f>
        <v>7</v>
      </c>
      <c r="CE9" s="234">
        <f t="shared" si="17"/>
        <v>172</v>
      </c>
      <c r="CF9" s="234">
        <f t="shared" si="18"/>
        <v>179</v>
      </c>
      <c r="CG9" s="234" t="str">
        <f t="shared" si="19"/>
        <v> </v>
      </c>
      <c r="CH9" s="234" t="str">
        <f t="shared" si="27"/>
        <v>Not 50%</v>
      </c>
      <c r="CI9" s="328">
        <f t="shared" si="20"/>
        <v>0</v>
      </c>
      <c r="CJ9" s="330"/>
      <c r="CK9" s="330"/>
      <c r="CL9" s="330"/>
      <c r="CM9" s="331">
        <f t="shared" si="21"/>
        <v>184</v>
      </c>
      <c r="CN9" s="337"/>
      <c r="CO9" s="160"/>
      <c r="CP9" s="334" t="s">
        <v>325</v>
      </c>
      <c r="CQ9" s="335">
        <f t="shared" si="22"/>
        <v>5</v>
      </c>
      <c r="CR9" s="335">
        <f t="shared" si="23"/>
        <v>0</v>
      </c>
      <c r="CS9" s="160" t="s">
        <v>23</v>
      </c>
      <c r="CT9" s="160">
        <f t="shared" si="24"/>
        <v>10</v>
      </c>
      <c r="CU9" s="160"/>
      <c r="CV9" s="160"/>
      <c r="CW9" s="335"/>
      <c r="CX9" s="288"/>
      <c r="CY9" s="160"/>
      <c r="CZ9" s="160"/>
    </row>
    <row r="10">
      <c r="A10" s="157" t="s">
        <v>185</v>
      </c>
      <c r="B10" s="157" t="s">
        <v>189</v>
      </c>
      <c r="C10" s="157" t="s">
        <v>197</v>
      </c>
      <c r="D10" s="157" t="s">
        <v>1016</v>
      </c>
      <c r="E10" s="157" t="s">
        <v>1034</v>
      </c>
      <c r="F10" s="338">
        <v>41791.0</v>
      </c>
      <c r="G10" s="314">
        <v>0.0</v>
      </c>
      <c r="H10" s="314">
        <v>1.5E8</v>
      </c>
      <c r="I10" s="315">
        <v>8.00165775E7</v>
      </c>
      <c r="J10" s="315">
        <v>0.0</v>
      </c>
      <c r="K10" s="160">
        <v>100.0</v>
      </c>
      <c r="L10" s="160">
        <v>82.0</v>
      </c>
      <c r="M10" s="160">
        <v>2.0</v>
      </c>
      <c r="N10" s="160">
        <v>102.0</v>
      </c>
      <c r="O10" s="160">
        <v>20.0</v>
      </c>
      <c r="P10" s="315">
        <v>8.00165775E7</v>
      </c>
      <c r="Q10" s="315">
        <v>0.0</v>
      </c>
      <c r="R10" s="160">
        <v>74.0</v>
      </c>
      <c r="S10" s="160">
        <v>0.0</v>
      </c>
      <c r="T10" s="160">
        <v>74.0</v>
      </c>
      <c r="U10" s="160">
        <v>0.0</v>
      </c>
      <c r="V10" s="160">
        <v>7.0</v>
      </c>
      <c r="W10" s="160">
        <v>7.0</v>
      </c>
      <c r="X10" s="160">
        <v>24.0</v>
      </c>
      <c r="Y10" s="160">
        <v>4.0</v>
      </c>
      <c r="Z10" s="160">
        <v>160.0</v>
      </c>
      <c r="AA10" s="160">
        <v>0.0</v>
      </c>
      <c r="AB10" s="160">
        <v>0.0</v>
      </c>
      <c r="AC10" s="160">
        <v>0.0</v>
      </c>
      <c r="AD10" s="160">
        <v>0.0</v>
      </c>
      <c r="AE10" s="160">
        <v>1021.0</v>
      </c>
      <c r="AF10" s="160">
        <v>1188.0</v>
      </c>
      <c r="AG10" s="160">
        <v>269.0</v>
      </c>
      <c r="AH10" s="314">
        <f t="shared" si="2"/>
        <v>297459.3959</v>
      </c>
      <c r="AI10" s="314">
        <f t="shared" si="3"/>
        <v>4.416356877</v>
      </c>
      <c r="AJ10" s="316">
        <v>87460.0</v>
      </c>
      <c r="AK10" s="314">
        <f t="shared" si="4"/>
        <v>1027655</v>
      </c>
      <c r="AL10" s="317">
        <v>163196.0</v>
      </c>
      <c r="AM10" s="318">
        <f t="shared" si="5"/>
        <v>0.01488255356</v>
      </c>
      <c r="AN10" s="314">
        <f t="shared" si="6"/>
        <v>1081305.101</v>
      </c>
      <c r="AO10" s="336">
        <f t="shared" ref="AO10:AO19" si="28">iferror(sum(I10:J10)/Sum(G10:H10),"")</f>
        <v>0.53344385</v>
      </c>
      <c r="AP10" s="319">
        <v>0.0</v>
      </c>
      <c r="AQ10" s="160">
        <v>765.0</v>
      </c>
      <c r="AR10" s="160">
        <v>3246.0</v>
      </c>
      <c r="AS10" s="160">
        <v>2691.5</v>
      </c>
      <c r="AT10" s="160">
        <v>0.0</v>
      </c>
      <c r="AU10" s="160">
        <v>33.0</v>
      </c>
      <c r="AV10" s="320">
        <v>74.0</v>
      </c>
      <c r="AW10" s="320">
        <v>8.0</v>
      </c>
      <c r="AX10" s="320">
        <v>20.0</v>
      </c>
      <c r="AY10" s="321">
        <f>iferror(VLOOKUP(C10,'ORDER BOOKING REPORT 2025-26'!C:O,13,0),"")</f>
        <v>81193126</v>
      </c>
      <c r="AZ10" s="322"/>
      <c r="BA10" s="157" t="str">
        <f t="shared" si="7"/>
        <v>Active</v>
      </c>
      <c r="BB10" s="157" t="str">
        <f t="shared" si="8"/>
        <v>Old</v>
      </c>
      <c r="BC10" s="157" t="str">
        <f t="shared" ref="BC10:BC19" si="29">IFS(AO10&lt;50%,"Below 50%",AO10&lt;70%,"50%-70%",AO10&lt;90%,"70%-90%",AO10&lt;100%,"90%-100%",AO10&gt;100%,"Above 100%")</f>
        <v>50%-70%</v>
      </c>
      <c r="BD10" s="223">
        <v>11.75</v>
      </c>
      <c r="BE10" s="323">
        <v>1.25E7</v>
      </c>
      <c r="BF10" s="157">
        <f t="shared" si="10"/>
        <v>2</v>
      </c>
      <c r="BG10" s="157" t="s">
        <v>1019</v>
      </c>
      <c r="BH10" s="324"/>
      <c r="BI10" s="324"/>
      <c r="BJ10" s="325"/>
      <c r="BK10" s="326"/>
      <c r="BL10" s="326">
        <f t="shared" si="11"/>
        <v>0</v>
      </c>
      <c r="BM10" s="326">
        <f t="shared" si="12"/>
        <v>150000000</v>
      </c>
      <c r="BN10" s="326"/>
      <c r="BO10" s="327" t="str">
        <f>IFERROR(__xludf.DUMMYFUNCTION("IFERROR(ArrayFormula(SUM(VLOOKUP($C10,importrange(""1MwNMVzWE3QBVOyJjKr3eFX-Sq1Ng0Q1sghWJbgbE_8g"",""ORDER BOOKING REPORT 2024-25!C:CV""),{16,23,30},0))))"),"")</f>
        <v/>
      </c>
      <c r="BP10" s="327" t="str">
        <f>IFERROR(__xludf.DUMMYFUNCTION("IFERROR(ArrayFormula(SUM(VLOOKUP($C10,importrange(""1MwNMVzWE3QBVOyJjKr3eFX-Sq1Ng0Q1sghWJbgbE_8g"",""ORDER BOOKING REPORT 2024-25!C:CV""),{37,44,51},0))))"),"")</f>
        <v/>
      </c>
      <c r="BQ10" s="327" t="str">
        <f>IFERROR(__xludf.DUMMYFUNCTION("IFERROR(ArrayFormula(SUM(VLOOKUP($C10,importrange(""1MwNMVzWE3QBVOyJjKr3eFX-Sq1Ng0Q1sghWJbgbE_8g"",""ORDER BOOKING REPORT 2024-25!C:CV""),{58,65,72},0))))"),"")</f>
        <v/>
      </c>
      <c r="BR10" s="327" t="str">
        <f>IFERROR(__xludf.DUMMYFUNCTION("IFERROR(ArrayFormula(SUM(VLOOKUP($C10,importrange(""1MwNMVzWE3QBVOyJjKr3eFX-Sq1Ng0Q1sghWJbgbE_8g"",""ORDER BOOKING REPORT 2024-25!C:CV""),{79,86,93},0))))"),"")</f>
        <v/>
      </c>
      <c r="BS10" s="328">
        <f t="shared" si="13"/>
        <v>0.5412875067</v>
      </c>
      <c r="BT10" s="328">
        <f t="shared" si="14"/>
        <v>0.01466689434</v>
      </c>
      <c r="BU10" s="234">
        <f t="shared" si="15"/>
        <v>0</v>
      </c>
      <c r="BV10" s="329">
        <v>87460.0</v>
      </c>
      <c r="BW10" s="329" t="s">
        <v>1017</v>
      </c>
      <c r="BX10" s="329">
        <v>148.0</v>
      </c>
      <c r="BY10" s="234">
        <f t="shared" si="16"/>
        <v>0</v>
      </c>
      <c r="BZ10" s="234"/>
      <c r="CA10" s="234" t="s">
        <v>1035</v>
      </c>
      <c r="CB10" s="234">
        <f>countif($F:$F, "&lt;=" &amp; DATE(2025,10,31))-COUNTIFS(AZ:AZ, "&gt;=" &amp; DATE(2025,4,1), AZ:AZ, "&lt;=" &amp; DATE(2025,10,31))</f>
        <v>165</v>
      </c>
      <c r="CC10" s="234">
        <f>COUNTIFS(F:F, "&gt;=" &amp; DATE(2025,11,1), F:F, "&lt;=" &amp; DATE(2025,11,30))</f>
        <v>6</v>
      </c>
      <c r="CD10" s="234">
        <f>COUNTIFS(AZ:AZ, "&gt;=" &amp; DATE(2025,11,1), AZ:AZ, "&lt;=" &amp; DATE(2025,11,30))</f>
        <v>8</v>
      </c>
      <c r="CE10" s="234">
        <f t="shared" si="17"/>
        <v>171</v>
      </c>
      <c r="CF10" s="234">
        <f t="shared" si="18"/>
        <v>179</v>
      </c>
      <c r="CG10" s="234" t="str">
        <f t="shared" si="19"/>
        <v> </v>
      </c>
      <c r="CH10" s="234" t="str">
        <f t="shared" si="27"/>
        <v>Business Achieved 50%</v>
      </c>
      <c r="CI10" s="328">
        <f t="shared" si="20"/>
        <v>0.7254901961</v>
      </c>
      <c r="CJ10" s="330">
        <f>IFERROR(__xludf.DUMMYFUNCTION("""COMPUTED_VALUE"""),981.0)</f>
        <v>981</v>
      </c>
      <c r="CK10" s="330">
        <f>IFERROR(__xludf.DUMMYFUNCTION("""COMPUTED_VALUE"""),40.0)</f>
        <v>40</v>
      </c>
      <c r="CL10" s="330">
        <f>IFERROR(__xludf.DUMMYFUNCTION("""COMPUTED_VALUE"""),0.0)</f>
        <v>0</v>
      </c>
      <c r="CM10" s="331">
        <f t="shared" si="21"/>
        <v>0</v>
      </c>
      <c r="CN10" s="337"/>
      <c r="CO10" s="160"/>
      <c r="CP10" s="334" t="s">
        <v>61</v>
      </c>
      <c r="CQ10" s="335">
        <f t="shared" si="22"/>
        <v>4</v>
      </c>
      <c r="CR10" s="335">
        <f t="shared" si="23"/>
        <v>0</v>
      </c>
      <c r="CS10" s="160" t="s">
        <v>53</v>
      </c>
      <c r="CT10" s="160">
        <f t="shared" si="24"/>
        <v>10</v>
      </c>
      <c r="CU10" s="160"/>
      <c r="CV10" s="160"/>
      <c r="CW10" s="335"/>
      <c r="CX10" s="288"/>
      <c r="CY10" s="160"/>
      <c r="CZ10" s="160"/>
    </row>
    <row r="11">
      <c r="A11" s="157" t="s">
        <v>185</v>
      </c>
      <c r="B11" s="157" t="s">
        <v>196</v>
      </c>
      <c r="C11" s="157" t="s">
        <v>199</v>
      </c>
      <c r="D11" s="157" t="s">
        <v>1027</v>
      </c>
      <c r="E11" s="157" t="s">
        <v>1036</v>
      </c>
      <c r="F11" s="342">
        <v>42125.0</v>
      </c>
      <c r="G11" s="314">
        <v>0.0</v>
      </c>
      <c r="H11" s="314">
        <v>7.8696E7</v>
      </c>
      <c r="I11" s="315">
        <v>7.212832511E7</v>
      </c>
      <c r="J11" s="315">
        <v>0.0</v>
      </c>
      <c r="K11" s="160">
        <v>125.0</v>
      </c>
      <c r="L11" s="160">
        <v>137.0</v>
      </c>
      <c r="M11" s="160">
        <v>13.0</v>
      </c>
      <c r="N11" s="160">
        <v>138.0</v>
      </c>
      <c r="O11" s="160">
        <v>1.0</v>
      </c>
      <c r="P11" s="315">
        <v>6.903173878E7</v>
      </c>
      <c r="Q11" s="315">
        <v>3096586.33</v>
      </c>
      <c r="R11" s="160">
        <v>78.0</v>
      </c>
      <c r="S11" s="160">
        <v>8.0</v>
      </c>
      <c r="T11" s="160">
        <v>86.0</v>
      </c>
      <c r="U11" s="160">
        <v>0.0</v>
      </c>
      <c r="V11" s="160">
        <v>1.0</v>
      </c>
      <c r="W11" s="160">
        <v>1.0</v>
      </c>
      <c r="X11" s="160">
        <v>3.0</v>
      </c>
      <c r="Y11" s="160">
        <v>5.0</v>
      </c>
      <c r="Z11" s="160">
        <v>184.0</v>
      </c>
      <c r="AA11" s="160">
        <v>0.0</v>
      </c>
      <c r="AB11" s="160">
        <v>0.0</v>
      </c>
      <c r="AC11" s="160">
        <v>0.0</v>
      </c>
      <c r="AD11" s="160">
        <v>0.0</v>
      </c>
      <c r="AE11" s="160">
        <v>1397.0</v>
      </c>
      <c r="AF11" s="160">
        <v>1582.0</v>
      </c>
      <c r="AG11" s="160">
        <v>303.0</v>
      </c>
      <c r="AH11" s="314">
        <f t="shared" si="2"/>
        <v>238047.2776</v>
      </c>
      <c r="AI11" s="314">
        <f t="shared" si="3"/>
        <v>5.221122112</v>
      </c>
      <c r="AJ11" s="316">
        <v>79340.0</v>
      </c>
      <c r="AK11" s="314">
        <f t="shared" si="4"/>
        <v>952080</v>
      </c>
      <c r="AL11" s="317">
        <v>219017.0</v>
      </c>
      <c r="AM11" s="318">
        <f t="shared" si="5"/>
        <v>0.01623629827</v>
      </c>
      <c r="AN11" s="314">
        <f t="shared" si="6"/>
        <v>838701.4548</v>
      </c>
      <c r="AO11" s="336">
        <f t="shared" si="28"/>
        <v>0.9165437266</v>
      </c>
      <c r="AP11" s="319">
        <v>0.0</v>
      </c>
      <c r="AQ11" s="160">
        <v>1469.0</v>
      </c>
      <c r="AR11" s="160">
        <v>3663.0</v>
      </c>
      <c r="AS11" s="160">
        <v>2880.47</v>
      </c>
      <c r="AT11" s="160">
        <v>8.0</v>
      </c>
      <c r="AU11" s="160">
        <v>21.0</v>
      </c>
      <c r="AV11" s="320">
        <v>86.0</v>
      </c>
      <c r="AW11" s="320">
        <v>51.0</v>
      </c>
      <c r="AX11" s="320">
        <v>1.0</v>
      </c>
      <c r="AY11" s="321">
        <f>iferror(VLOOKUP(C11,'ORDER BOOKING REPORT 2025-26'!C:O,13,0),"")</f>
        <v>73119024</v>
      </c>
      <c r="AZ11" s="322"/>
      <c r="BA11" s="157" t="str">
        <f t="shared" si="7"/>
        <v>Active</v>
      </c>
      <c r="BB11" s="157" t="str">
        <f t="shared" si="8"/>
        <v>Old</v>
      </c>
      <c r="BC11" s="157" t="str">
        <f t="shared" si="29"/>
        <v>90%-100%</v>
      </c>
      <c r="BD11" s="223">
        <f t="shared" ref="BD11:BD14" si="30">Match($BD$2,{"Apr","May","Jun","Jul","Aug","Sep","Oct","Nov","Dec","Jan","Feb","Mar"},0)</f>
        <v>12</v>
      </c>
      <c r="BE11" s="323">
        <v>6558000.0</v>
      </c>
      <c r="BF11" s="157">
        <f t="shared" si="10"/>
        <v>5</v>
      </c>
      <c r="BG11" s="157" t="s">
        <v>1019</v>
      </c>
      <c r="BH11" s="324"/>
      <c r="BI11" s="324"/>
      <c r="BJ11" s="325"/>
      <c r="BK11" s="326"/>
      <c r="BL11" s="326">
        <f t="shared" si="11"/>
        <v>0</v>
      </c>
      <c r="BM11" s="326">
        <f t="shared" si="12"/>
        <v>78696000</v>
      </c>
      <c r="BN11" s="326"/>
      <c r="BO11" s="327" t="str">
        <f>IFERROR(__xludf.DUMMYFUNCTION("IFERROR(ArrayFormula(SUM(VLOOKUP($C11,importrange(""1MwNMVzWE3QBVOyJjKr3eFX-Sq1Ng0Q1sghWJbgbE_8g"",""ORDER BOOKING REPORT 2024-25!C:CV""),{16,23,30},0))))"),"")</f>
        <v/>
      </c>
      <c r="BP11" s="327" t="str">
        <f>IFERROR(__xludf.DUMMYFUNCTION("IFERROR(ArrayFormula(SUM(VLOOKUP($C11,importrange(""1MwNMVzWE3QBVOyJjKr3eFX-Sq1Ng0Q1sghWJbgbE_8g"",""ORDER BOOKING REPORT 2024-25!C:CV""),{37,44,51},0))))"),"")</f>
        <v/>
      </c>
      <c r="BQ11" s="327" t="str">
        <f>IFERROR(__xludf.DUMMYFUNCTION("IFERROR(ArrayFormula(SUM(VLOOKUP($C11,importrange(""1MwNMVzWE3QBVOyJjKr3eFX-Sq1Ng0Q1sghWJbgbE_8g"",""ORDER BOOKING REPORT 2024-25!C:CV""),{58,65,72},0))))"),"")</f>
        <v/>
      </c>
      <c r="BR11" s="327" t="str">
        <f>IFERROR(__xludf.DUMMYFUNCTION("IFERROR(ArrayFormula(SUM(VLOOKUP($C11,importrange(""1MwNMVzWE3QBVOyJjKr3eFX-Sq1Ng0Q1sghWJbgbE_8g"",""ORDER BOOKING REPORT 2024-25!C:CV""),{79,86,93},0))))"),"")</f>
        <v/>
      </c>
      <c r="BS11" s="328">
        <f t="shared" si="13"/>
        <v>0.9291326624</v>
      </c>
      <c r="BT11" s="328">
        <f t="shared" si="14"/>
        <v>0.01601631061</v>
      </c>
      <c r="BU11" s="234">
        <f t="shared" si="15"/>
        <v>0</v>
      </c>
      <c r="BV11" s="329">
        <v>79340.0</v>
      </c>
      <c r="BW11" s="329" t="s">
        <v>1020</v>
      </c>
      <c r="BX11" s="329">
        <v>221.0</v>
      </c>
      <c r="BY11" s="234">
        <f t="shared" si="16"/>
        <v>0</v>
      </c>
      <c r="BZ11" s="234"/>
      <c r="CA11" s="234" t="s">
        <v>1037</v>
      </c>
      <c r="CB11" s="234">
        <f>countif($F:$F, "&lt;=" &amp; DATE(2025,11,30))-COUNTIFS(AZ:AZ, "&gt;=" &amp; DATE(2025,4,1), AZ:AZ, "&lt;=" &amp; DATE(2025,11,30))</f>
        <v>163</v>
      </c>
      <c r="CC11" s="234">
        <f>COUNTIFS(F:F, "&gt;=" &amp; DATE(2025,12,1), F:F, "&lt;=" &amp; DATE(2025,12,31))</f>
        <v>4</v>
      </c>
      <c r="CD11" s="234">
        <f>COUNTIFS(AZ:AZ, "&gt;=" &amp; DATE(2025,12,1), AZ:AZ, "&lt;=" &amp; DATE(2025,12,31))</f>
        <v>7</v>
      </c>
      <c r="CE11" s="234">
        <f t="shared" si="17"/>
        <v>167</v>
      </c>
      <c r="CF11" s="234">
        <f t="shared" si="18"/>
        <v>174</v>
      </c>
      <c r="CG11" s="234" t="str">
        <f t="shared" si="19"/>
        <v> </v>
      </c>
      <c r="CH11" s="234" t="str">
        <f t="shared" si="27"/>
        <v>Business Achieved 50%</v>
      </c>
      <c r="CI11" s="328">
        <f t="shared" si="20"/>
        <v>0.6231884058</v>
      </c>
      <c r="CJ11" s="330">
        <f>IFERROR(__xludf.DUMMYFUNCTION("""COMPUTED_VALUE"""),1294.0)</f>
        <v>1294</v>
      </c>
      <c r="CK11" s="330">
        <f>IFERROR(__xludf.DUMMYFUNCTION("""COMPUTED_VALUE"""),103.0)</f>
        <v>103</v>
      </c>
      <c r="CL11" s="330">
        <f>IFERROR(__xludf.DUMMYFUNCTION("""COMPUTED_VALUE"""),0.0)</f>
        <v>0</v>
      </c>
      <c r="CM11" s="331">
        <f t="shared" si="21"/>
        <v>0</v>
      </c>
      <c r="CN11" s="337"/>
      <c r="CO11" s="160"/>
      <c r="CP11" s="334" t="s">
        <v>422</v>
      </c>
      <c r="CQ11" s="335">
        <f t="shared" si="22"/>
        <v>0</v>
      </c>
      <c r="CR11" s="335">
        <f t="shared" si="23"/>
        <v>2</v>
      </c>
      <c r="CS11" s="160" t="s">
        <v>47</v>
      </c>
      <c r="CT11" s="160">
        <f t="shared" si="24"/>
        <v>5</v>
      </c>
      <c r="CU11" s="160"/>
      <c r="CV11" s="160"/>
      <c r="CW11" s="335"/>
      <c r="CX11" s="288"/>
      <c r="CY11" s="160"/>
      <c r="CZ11" s="160"/>
    </row>
    <row r="12">
      <c r="A12" s="157" t="s">
        <v>126</v>
      </c>
      <c r="B12" s="157" t="s">
        <v>130</v>
      </c>
      <c r="C12" s="157" t="s">
        <v>131</v>
      </c>
      <c r="D12" s="157" t="s">
        <v>130</v>
      </c>
      <c r="E12" s="157" t="s">
        <v>1038</v>
      </c>
      <c r="F12" s="338">
        <v>42530.0</v>
      </c>
      <c r="G12" s="314">
        <v>6000000.0</v>
      </c>
      <c r="H12" s="314">
        <v>3.15E7</v>
      </c>
      <c r="I12" s="315">
        <v>2.029478939E7</v>
      </c>
      <c r="J12" s="315">
        <v>0.0</v>
      </c>
      <c r="K12" s="160">
        <v>75.0</v>
      </c>
      <c r="L12" s="160">
        <v>92.0</v>
      </c>
      <c r="M12" s="160">
        <v>29.0</v>
      </c>
      <c r="N12" s="160">
        <v>104.0</v>
      </c>
      <c r="O12" s="160">
        <v>12.0</v>
      </c>
      <c r="P12" s="315">
        <v>1.847728148E7</v>
      </c>
      <c r="Q12" s="315">
        <v>1817507.91</v>
      </c>
      <c r="R12" s="160">
        <v>48.0</v>
      </c>
      <c r="S12" s="160">
        <v>10.0</v>
      </c>
      <c r="T12" s="160">
        <v>58.0</v>
      </c>
      <c r="U12" s="160">
        <v>0.0</v>
      </c>
      <c r="V12" s="160">
        <v>97.0</v>
      </c>
      <c r="W12" s="160">
        <v>158.0</v>
      </c>
      <c r="X12" s="160">
        <v>104.0</v>
      </c>
      <c r="Y12" s="160">
        <v>7.0</v>
      </c>
      <c r="Z12" s="160">
        <v>152.0</v>
      </c>
      <c r="AA12" s="160">
        <v>0.0</v>
      </c>
      <c r="AB12" s="160">
        <v>0.0</v>
      </c>
      <c r="AC12" s="160">
        <v>0.0</v>
      </c>
      <c r="AD12" s="160">
        <v>0.0</v>
      </c>
      <c r="AE12" s="160">
        <v>639.0</v>
      </c>
      <c r="AF12" s="160">
        <v>949.0</v>
      </c>
      <c r="AG12" s="160">
        <v>281.0</v>
      </c>
      <c r="AH12" s="314">
        <f t="shared" si="2"/>
        <v>72223.44979</v>
      </c>
      <c r="AI12" s="314">
        <f t="shared" si="3"/>
        <v>3.377224199</v>
      </c>
      <c r="AJ12" s="316">
        <f>BV12</f>
        <v>76210</v>
      </c>
      <c r="AK12" s="314">
        <f t="shared" si="4"/>
        <v>914520</v>
      </c>
      <c r="AL12" s="286">
        <v>250348.0</v>
      </c>
      <c r="AM12" s="318">
        <f t="shared" si="5"/>
        <v>0.05739739288</v>
      </c>
      <c r="AN12" s="314">
        <f t="shared" si="6"/>
        <v>349910.1619</v>
      </c>
      <c r="AO12" s="336">
        <f t="shared" si="28"/>
        <v>0.5411943837</v>
      </c>
      <c r="AP12" s="319">
        <v>0.0</v>
      </c>
      <c r="AQ12" s="160">
        <v>222.0</v>
      </c>
      <c r="AR12" s="160">
        <v>2398.0</v>
      </c>
      <c r="AS12" s="160">
        <v>2080.46</v>
      </c>
      <c r="AT12" s="160">
        <v>10.0</v>
      </c>
      <c r="AU12" s="160">
        <v>23.0</v>
      </c>
      <c r="AV12" s="320">
        <v>58.0</v>
      </c>
      <c r="AW12" s="320">
        <v>36.0</v>
      </c>
      <c r="AX12" s="320">
        <v>10.0</v>
      </c>
      <c r="AY12" s="321">
        <f>iferror(VLOOKUP(C12,'ORDER BOOKING REPORT 2025-26'!C:O,13,0),"")</f>
        <v>20843300.8</v>
      </c>
      <c r="AZ12" s="322"/>
      <c r="BA12" s="157" t="str">
        <f t="shared" si="7"/>
        <v>Active</v>
      </c>
      <c r="BB12" s="157" t="str">
        <f t="shared" si="8"/>
        <v>Old</v>
      </c>
      <c r="BC12" s="157" t="str">
        <f t="shared" si="29"/>
        <v>50%-70%</v>
      </c>
      <c r="BD12" s="223">
        <f t="shared" si="30"/>
        <v>12</v>
      </c>
      <c r="BE12" s="323">
        <v>3125000.0</v>
      </c>
      <c r="BF12" s="157">
        <f t="shared" si="10"/>
        <v>19</v>
      </c>
      <c r="BG12" s="157" t="s">
        <v>1019</v>
      </c>
      <c r="BH12" s="324"/>
      <c r="BI12" s="324"/>
      <c r="BJ12" s="325"/>
      <c r="BK12" s="326">
        <v>500000.0</v>
      </c>
      <c r="BL12" s="326">
        <f t="shared" si="11"/>
        <v>6000000</v>
      </c>
      <c r="BM12" s="326">
        <f t="shared" si="12"/>
        <v>37500000</v>
      </c>
      <c r="BN12" s="326"/>
      <c r="BO12" s="327" t="str">
        <f>IFERROR(__xludf.DUMMYFUNCTION("IFERROR(ArrayFormula(SUM(VLOOKUP($C12,importrange(""1MwNMVzWE3QBVOyJjKr3eFX-Sq1Ng0Q1sghWJbgbE_8g"",""ORDER BOOKING REPORT 2024-25!C:CV""),{16,23,30},0))))"),"")</f>
        <v/>
      </c>
      <c r="BP12" s="327" t="str">
        <f>IFERROR(__xludf.DUMMYFUNCTION("IFERROR(ArrayFormula(SUM(VLOOKUP($C12,importrange(""1MwNMVzWE3QBVOyJjKr3eFX-Sq1Ng0Q1sghWJbgbE_8g"",""ORDER BOOKING REPORT 2024-25!C:CV""),{37,44,51},0))))"),"")</f>
        <v/>
      </c>
      <c r="BQ12" s="327" t="str">
        <f>IFERROR(__xludf.DUMMYFUNCTION("IFERROR(ArrayFormula(SUM(VLOOKUP($C12,importrange(""1MwNMVzWE3QBVOyJjKr3eFX-Sq1Ng0Q1sghWJbgbE_8g"",""ORDER BOOKING REPORT 2024-25!C:CV""),{58,65,72},0))))"),"")</f>
        <v/>
      </c>
      <c r="BR12" s="327" t="str">
        <f>IFERROR(__xludf.DUMMYFUNCTION("IFERROR(ArrayFormula(SUM(VLOOKUP($C12,importrange(""1MwNMVzWE3QBVOyJjKr3eFX-Sq1Ng0Q1sghWJbgbE_8g"",""ORDER BOOKING REPORT 2024-25!C:CV""),{79,86,93},0))))"),"")</f>
        <v/>
      </c>
      <c r="BS12" s="328">
        <f t="shared" si="13"/>
        <v>0.5558213547</v>
      </c>
      <c r="BT12" s="328">
        <f t="shared" si="14"/>
        <v>0.05588692555</v>
      </c>
      <c r="BU12" s="234">
        <f t="shared" si="15"/>
        <v>0</v>
      </c>
      <c r="BV12" s="329">
        <v>76210.0</v>
      </c>
      <c r="BW12" s="329" t="s">
        <v>1039</v>
      </c>
      <c r="BX12" s="329">
        <v>304.0</v>
      </c>
      <c r="BY12" s="234">
        <f t="shared" si="16"/>
        <v>0</v>
      </c>
      <c r="BZ12" s="234"/>
      <c r="CA12" s="234" t="s">
        <v>1040</v>
      </c>
      <c r="CB12" s="234">
        <f>countif($F:$F, "&lt;=" &amp; DATE(2025,12,31))-COUNTIFS(AZ:AZ, "&gt;=" &amp; DATE(2025,4,1), AZ:AZ, "&lt;=" &amp; DATE(2025,12,31))</f>
        <v>160</v>
      </c>
      <c r="CC12" s="234">
        <f>COUNTIFS(F:F, "&gt;=" &amp; DATE(2026,1,1), F:F, "&lt;=" &amp; DATE(2026,1,31))</f>
        <v>7</v>
      </c>
      <c r="CD12" s="234">
        <f>COUNTIFS(AZ:AZ, "&gt;=" &amp; DATE(2026,1,1), AZ:AZ, "&lt;=" &amp; DATE(2026,1,31))</f>
        <v>7</v>
      </c>
      <c r="CE12" s="234">
        <f t="shared" si="17"/>
        <v>167</v>
      </c>
      <c r="CF12" s="234">
        <f t="shared" si="18"/>
        <v>174</v>
      </c>
      <c r="CG12" s="234" t="str">
        <f t="shared" si="19"/>
        <v> </v>
      </c>
      <c r="CH12" s="234" t="str">
        <f t="shared" si="27"/>
        <v>Business Achieved 50%</v>
      </c>
      <c r="CI12" s="328">
        <f t="shared" si="20"/>
        <v>0.5576923077</v>
      </c>
      <c r="CJ12" s="339">
        <f>IFERROR(__xludf.DUMMYFUNCTION("""COMPUTED_VALUE"""),510.0)</f>
        <v>510</v>
      </c>
      <c r="CK12" s="339">
        <f>IFERROR(__xludf.DUMMYFUNCTION("""COMPUTED_VALUE"""),129.0)</f>
        <v>129</v>
      </c>
      <c r="CL12" s="339">
        <f>IFERROR(__xludf.DUMMYFUNCTION("""COMPUTED_VALUE"""),0.0)</f>
        <v>0</v>
      </c>
      <c r="CM12" s="331">
        <f t="shared" si="21"/>
        <v>0</v>
      </c>
      <c r="CN12" s="340"/>
      <c r="CO12" s="328"/>
      <c r="CP12" s="341" t="s">
        <v>76</v>
      </c>
      <c r="CQ12" s="335">
        <f t="shared" si="22"/>
        <v>5</v>
      </c>
      <c r="CR12" s="335">
        <f t="shared" si="23"/>
        <v>0</v>
      </c>
      <c r="CS12" s="328"/>
      <c r="CT12" s="160">
        <f t="shared" si="24"/>
        <v>0</v>
      </c>
      <c r="CU12" s="328"/>
      <c r="CV12" s="328"/>
      <c r="CW12" s="328"/>
      <c r="CX12" s="288"/>
      <c r="CY12" s="328"/>
      <c r="CZ12" s="328"/>
    </row>
    <row r="13">
      <c r="A13" s="157" t="s">
        <v>185</v>
      </c>
      <c r="B13" s="157" t="s">
        <v>189</v>
      </c>
      <c r="C13" s="157" t="s">
        <v>201</v>
      </c>
      <c r="D13" s="157" t="s">
        <v>1016</v>
      </c>
      <c r="E13" s="157" t="s">
        <v>238</v>
      </c>
      <c r="F13" s="285">
        <v>42660.0</v>
      </c>
      <c r="G13" s="314">
        <v>0.0</v>
      </c>
      <c r="H13" s="314">
        <v>4.0599996E7</v>
      </c>
      <c r="I13" s="315">
        <v>3.314026971E7</v>
      </c>
      <c r="J13" s="315">
        <v>0.0</v>
      </c>
      <c r="K13" s="160">
        <v>56.0</v>
      </c>
      <c r="L13" s="160">
        <v>58.0</v>
      </c>
      <c r="M13" s="160">
        <v>6.0</v>
      </c>
      <c r="N13" s="160">
        <v>62.0</v>
      </c>
      <c r="O13" s="160">
        <v>4.0</v>
      </c>
      <c r="P13" s="315">
        <v>3.242176741E7</v>
      </c>
      <c r="Q13" s="315">
        <v>718502.3</v>
      </c>
      <c r="R13" s="160">
        <v>38.0</v>
      </c>
      <c r="S13" s="160">
        <v>6.0</v>
      </c>
      <c r="T13" s="160">
        <v>44.0</v>
      </c>
      <c r="U13" s="160">
        <v>0.0</v>
      </c>
      <c r="V13" s="160">
        <v>3.0</v>
      </c>
      <c r="W13" s="160">
        <v>6.0</v>
      </c>
      <c r="X13" s="160">
        <v>4.0</v>
      </c>
      <c r="Y13" s="160">
        <v>3.0</v>
      </c>
      <c r="Z13" s="160">
        <v>264.0</v>
      </c>
      <c r="AA13" s="160">
        <v>0.0</v>
      </c>
      <c r="AB13" s="160">
        <v>0.0</v>
      </c>
      <c r="AC13" s="160">
        <v>0.0</v>
      </c>
      <c r="AD13" s="160">
        <v>0.0</v>
      </c>
      <c r="AE13" s="160">
        <v>858.0</v>
      </c>
      <c r="AF13" s="160">
        <v>1128.0</v>
      </c>
      <c r="AG13" s="160">
        <v>283.0</v>
      </c>
      <c r="AH13" s="314">
        <f t="shared" si="2"/>
        <v>117103.4265</v>
      </c>
      <c r="AI13" s="314">
        <f t="shared" si="3"/>
        <v>3.985865724</v>
      </c>
      <c r="AJ13" s="316">
        <v>48608.0</v>
      </c>
      <c r="AK13" s="314">
        <f t="shared" si="4"/>
        <v>583296</v>
      </c>
      <c r="AL13" s="317">
        <v>187741.0</v>
      </c>
      <c r="AM13" s="318">
        <f t="shared" si="5"/>
        <v>0.02326586376</v>
      </c>
      <c r="AN13" s="314">
        <f t="shared" si="6"/>
        <v>753187.948</v>
      </c>
      <c r="AO13" s="336">
        <f t="shared" si="28"/>
        <v>0.8162628812</v>
      </c>
      <c r="AP13" s="319">
        <v>0.0</v>
      </c>
      <c r="AQ13" s="160">
        <v>408.0</v>
      </c>
      <c r="AR13" s="160">
        <v>3089.0</v>
      </c>
      <c r="AS13" s="160">
        <v>1927.17</v>
      </c>
      <c r="AT13" s="160">
        <v>6.0</v>
      </c>
      <c r="AU13" s="160">
        <v>33.0</v>
      </c>
      <c r="AV13" s="320">
        <v>44.0</v>
      </c>
      <c r="AW13" s="320">
        <v>15.0</v>
      </c>
      <c r="AX13" s="320">
        <v>3.0</v>
      </c>
      <c r="AY13" s="321">
        <f>iferror(VLOOKUP(C13,'ORDER BOOKING REPORT 2025-26'!C:O,13,0),"")</f>
        <v>31978384</v>
      </c>
      <c r="AZ13" s="322"/>
      <c r="BA13" s="157" t="str">
        <f t="shared" si="7"/>
        <v>Active</v>
      </c>
      <c r="BB13" s="157" t="str">
        <f t="shared" si="8"/>
        <v>Old</v>
      </c>
      <c r="BC13" s="157" t="str">
        <f t="shared" si="29"/>
        <v>70%-90%</v>
      </c>
      <c r="BD13" s="223">
        <f t="shared" si="30"/>
        <v>12</v>
      </c>
      <c r="BE13" s="323">
        <v>3383333.0</v>
      </c>
      <c r="BF13" s="157">
        <f t="shared" si="10"/>
        <v>0</v>
      </c>
      <c r="BG13" s="157" t="s">
        <v>1019</v>
      </c>
      <c r="BH13" s="324"/>
      <c r="BI13" s="324"/>
      <c r="BJ13" s="325"/>
      <c r="BK13" s="326"/>
      <c r="BL13" s="326">
        <f t="shared" si="11"/>
        <v>0</v>
      </c>
      <c r="BM13" s="326">
        <f t="shared" si="12"/>
        <v>40599996</v>
      </c>
      <c r="BN13" s="326"/>
      <c r="BO13" s="327" t="str">
        <f>IFERROR(__xludf.DUMMYFUNCTION("IFERROR(ArrayFormula(SUM(VLOOKUP($C13,importrange(""1MwNMVzWE3QBVOyJjKr3eFX-Sq1Ng0Q1sghWJbgbE_8g"",""ORDER BOOKING REPORT 2024-25!C:CV""),{16,23,30},0))))"),"")</f>
        <v/>
      </c>
      <c r="BP13" s="327" t="str">
        <f>IFERROR(__xludf.DUMMYFUNCTION("IFERROR(ArrayFormula(SUM(VLOOKUP($C13,importrange(""1MwNMVzWE3QBVOyJjKr3eFX-Sq1Ng0Q1sghWJbgbE_8g"",""ORDER BOOKING REPORT 2024-25!C:CV""),{37,44,51},0))))"),"")</f>
        <v/>
      </c>
      <c r="BQ13" s="327" t="str">
        <f>IFERROR(__xludf.DUMMYFUNCTION("IFERROR(ArrayFormula(SUM(VLOOKUP($C13,importrange(""1MwNMVzWE3QBVOyJjKr3eFX-Sq1Ng0Q1sghWJbgbE_8g"",""ORDER BOOKING REPORT 2024-25!C:CV""),{58,65,72},0))))"),"")</f>
        <v/>
      </c>
      <c r="BR13" s="327" t="str">
        <f>IFERROR(__xludf.DUMMYFUNCTION("IFERROR(ArrayFormula(SUM(VLOOKUP($C13,importrange(""1MwNMVzWE3QBVOyJjKr3eFX-Sq1Ng0Q1sghWJbgbE_8g"",""ORDER BOOKING REPORT 2024-25!C:CV""),{79,86,93},0))))"),"")</f>
        <v/>
      </c>
      <c r="BS13" s="328">
        <f t="shared" si="13"/>
        <v>0.7876450037</v>
      </c>
      <c r="BT13" s="328">
        <f t="shared" si="14"/>
        <v>0.02411119336</v>
      </c>
      <c r="BU13" s="234">
        <f t="shared" si="15"/>
        <v>0</v>
      </c>
      <c r="BV13" s="329">
        <v>48608.0</v>
      </c>
      <c r="BW13" s="329" t="s">
        <v>1039</v>
      </c>
      <c r="BX13" s="329">
        <v>438.0</v>
      </c>
      <c r="BY13" s="234">
        <f t="shared" si="16"/>
        <v>0</v>
      </c>
      <c r="BZ13" s="234"/>
      <c r="CA13" s="234" t="s">
        <v>1041</v>
      </c>
      <c r="CB13" s="234">
        <f>countif($F:$F, "&lt;=" &amp; DATE(2026,1,31))-COUNTIFS(AZ:AZ, "&gt;=" &amp; DATE(2025,4,1), AZ:AZ, "&lt;=" &amp; DATE(2026,1,31))</f>
        <v>160</v>
      </c>
      <c r="CC13" s="234">
        <f>COUNTIFS(F:F, "&gt;=" &amp; DATE(2026,2,1), F:F, "&lt;=" &amp; DATE(2026,2,28))</f>
        <v>1</v>
      </c>
      <c r="CD13" s="234">
        <f>COUNTIFS(AZ:AZ, "&gt;=" &amp; DATE(2026,2,1), AZ:AZ, "&lt;=" &amp; DATE(2026,2,28))</f>
        <v>3</v>
      </c>
      <c r="CE13" s="234">
        <f t="shared" si="17"/>
        <v>161</v>
      </c>
      <c r="CF13" s="234">
        <f t="shared" si="18"/>
        <v>164</v>
      </c>
      <c r="CG13" s="234" t="str">
        <f t="shared" si="19"/>
        <v> </v>
      </c>
      <c r="CH13" s="234" t="str">
        <f t="shared" si="27"/>
        <v>Business Achieved 50%</v>
      </c>
      <c r="CI13" s="328">
        <f t="shared" si="20"/>
        <v>0.7096774194</v>
      </c>
      <c r="CJ13" s="330">
        <f>IFERROR(__xludf.DUMMYFUNCTION("""COMPUTED_VALUE"""),781.0)</f>
        <v>781</v>
      </c>
      <c r="CK13" s="330">
        <f>IFERROR(__xludf.DUMMYFUNCTION("""COMPUTED_VALUE"""),77.0)</f>
        <v>77</v>
      </c>
      <c r="CL13" s="330">
        <f>IFERROR(__xludf.DUMMYFUNCTION("""COMPUTED_VALUE"""),0.0)</f>
        <v>0</v>
      </c>
      <c r="CM13" s="331">
        <f t="shared" si="21"/>
        <v>0</v>
      </c>
      <c r="CN13" s="337"/>
      <c r="CO13" s="160"/>
      <c r="CP13" s="334" t="s">
        <v>215</v>
      </c>
      <c r="CQ13" s="335">
        <f t="shared" si="22"/>
        <v>7</v>
      </c>
      <c r="CR13" s="335">
        <f t="shared" si="23"/>
        <v>1</v>
      </c>
      <c r="CS13" s="160" t="s">
        <v>885</v>
      </c>
      <c r="CT13" s="160">
        <f t="shared" si="24"/>
        <v>2</v>
      </c>
      <c r="CU13" s="160"/>
      <c r="CV13" s="160"/>
      <c r="CW13" s="335"/>
      <c r="CX13" s="288"/>
      <c r="CY13" s="160"/>
      <c r="CZ13" s="160"/>
    </row>
    <row r="14">
      <c r="A14" s="157" t="s">
        <v>126</v>
      </c>
      <c r="B14" s="157" t="s">
        <v>135</v>
      </c>
      <c r="C14" s="157" t="s">
        <v>133</v>
      </c>
      <c r="D14" s="157" t="s">
        <v>1042</v>
      </c>
      <c r="E14" s="157" t="s">
        <v>180</v>
      </c>
      <c r="F14" s="285">
        <v>42720.0</v>
      </c>
      <c r="G14" s="314">
        <v>5028000.0</v>
      </c>
      <c r="H14" s="314">
        <v>3.2472E7</v>
      </c>
      <c r="I14" s="315">
        <v>2.349764284E7</v>
      </c>
      <c r="J14" s="315">
        <f>2302523.38+1470312.5</f>
        <v>3772835.88</v>
      </c>
      <c r="K14" s="160">
        <v>68.0</v>
      </c>
      <c r="L14" s="160">
        <v>81.0</v>
      </c>
      <c r="M14" s="160">
        <v>32.0</v>
      </c>
      <c r="N14" s="160">
        <v>100.0</v>
      </c>
      <c r="O14" s="160">
        <v>19.0</v>
      </c>
      <c r="P14" s="315">
        <v>1.519212087E7</v>
      </c>
      <c r="Q14" s="315">
        <v>8305521.97</v>
      </c>
      <c r="R14" s="160">
        <v>47.0</v>
      </c>
      <c r="S14" s="160">
        <v>24.0</v>
      </c>
      <c r="T14" s="160">
        <v>71.0</v>
      </c>
      <c r="U14" s="160">
        <v>3.0</v>
      </c>
      <c r="V14" s="160">
        <v>61.0</v>
      </c>
      <c r="W14" s="160">
        <v>121.0</v>
      </c>
      <c r="X14" s="160">
        <v>136.0</v>
      </c>
      <c r="Y14" s="160">
        <v>3.0</v>
      </c>
      <c r="Z14" s="160">
        <v>82.0</v>
      </c>
      <c r="AA14" s="160">
        <v>4.0</v>
      </c>
      <c r="AB14" s="160">
        <v>42.0</v>
      </c>
      <c r="AC14" s="160">
        <v>1.0</v>
      </c>
      <c r="AD14" s="160">
        <v>48.0</v>
      </c>
      <c r="AE14" s="160">
        <v>816.0</v>
      </c>
      <c r="AF14" s="160">
        <v>1109.0</v>
      </c>
      <c r="AG14" s="160">
        <v>296.0</v>
      </c>
      <c r="AH14" s="314">
        <f t="shared" si="2"/>
        <v>92129.99568</v>
      </c>
      <c r="AI14" s="314">
        <f t="shared" si="3"/>
        <v>3.746621622</v>
      </c>
      <c r="AJ14" s="316">
        <f t="shared" ref="AJ14:AJ15" si="31">BV14</f>
        <v>61850</v>
      </c>
      <c r="AK14" s="314">
        <f t="shared" si="4"/>
        <v>742200</v>
      </c>
      <c r="AL14" s="286">
        <v>279525.0</v>
      </c>
      <c r="AM14" s="318">
        <f t="shared" si="5"/>
        <v>0.03746633898</v>
      </c>
      <c r="AN14" s="314">
        <f t="shared" si="6"/>
        <v>330952.7161</v>
      </c>
      <c r="AO14" s="336">
        <f t="shared" si="28"/>
        <v>0.7272127659</v>
      </c>
      <c r="AP14" s="319">
        <v>0.75</v>
      </c>
      <c r="AQ14" s="160">
        <v>528.0</v>
      </c>
      <c r="AR14" s="160">
        <v>2088.0</v>
      </c>
      <c r="AS14" s="160">
        <v>3658.44</v>
      </c>
      <c r="AT14" s="160">
        <v>24.0</v>
      </c>
      <c r="AU14" s="160">
        <v>45.0</v>
      </c>
      <c r="AV14" s="320">
        <v>71.0</v>
      </c>
      <c r="AW14" s="320">
        <v>16.0</v>
      </c>
      <c r="AX14" s="320">
        <v>13.0</v>
      </c>
      <c r="AY14" s="321">
        <f>iferror(VLOOKUP(C14,'ORDER BOOKING REPORT 2025-26'!C:O,13,0),"")</f>
        <v>27096426</v>
      </c>
      <c r="AZ14" s="322"/>
      <c r="BA14" s="157" t="str">
        <f t="shared" si="7"/>
        <v>Active</v>
      </c>
      <c r="BB14" s="157" t="str">
        <f t="shared" si="8"/>
        <v>Old</v>
      </c>
      <c r="BC14" s="157" t="str">
        <f t="shared" si="29"/>
        <v>70%-90%</v>
      </c>
      <c r="BD14" s="223">
        <f t="shared" si="30"/>
        <v>12</v>
      </c>
      <c r="BE14" s="323">
        <v>3125000.0</v>
      </c>
      <c r="BF14" s="157">
        <f t="shared" si="10"/>
        <v>8</v>
      </c>
      <c r="BG14" s="157" t="s">
        <v>1019</v>
      </c>
      <c r="BH14" s="324"/>
      <c r="BI14" s="324"/>
      <c r="BJ14" s="325"/>
      <c r="BK14" s="326">
        <v>419000.0</v>
      </c>
      <c r="BL14" s="326">
        <f t="shared" si="11"/>
        <v>5028000</v>
      </c>
      <c r="BM14" s="326">
        <f t="shared" si="12"/>
        <v>37500000</v>
      </c>
      <c r="BN14" s="326"/>
      <c r="BO14" s="327" t="str">
        <f>IFERROR(__xludf.DUMMYFUNCTION("IFERROR(ArrayFormula(SUM(VLOOKUP($C14,importrange(""1MwNMVzWE3QBVOyJjKr3eFX-Sq1Ng0Q1sghWJbgbE_8g"",""ORDER BOOKING REPORT 2024-25!C:CV""),{16,23,30},0))))"),"")</f>
        <v/>
      </c>
      <c r="BP14" s="327" t="str">
        <f>IFERROR(__xludf.DUMMYFUNCTION("IFERROR(ArrayFormula(SUM(VLOOKUP($C14,importrange(""1MwNMVzWE3QBVOyJjKr3eFX-Sq1Ng0Q1sghWJbgbE_8g"",""ORDER BOOKING REPORT 2024-25!C:CV""),{37,44,51},0))))"),"")</f>
        <v/>
      </c>
      <c r="BQ14" s="327" t="str">
        <f>IFERROR(__xludf.DUMMYFUNCTION("IFERROR(ArrayFormula(SUM(VLOOKUP($C14,importrange(""1MwNMVzWE3QBVOyJjKr3eFX-Sq1Ng0Q1sghWJbgbE_8g"",""ORDER BOOKING REPORT 2024-25!C:CV""),{58,65,72},0))))"),"")</f>
        <v/>
      </c>
      <c r="BR14" s="327" t="str">
        <f>IFERROR(__xludf.DUMMYFUNCTION("IFERROR(ArrayFormula(SUM(VLOOKUP($C14,importrange(""1MwNMVzWE3QBVOyJjKr3eFX-Sq1Ng0Q1sghWJbgbE_8g"",""ORDER BOOKING REPORT 2024-25!C:CV""),{79,86,93},0))))"),"")</f>
        <v/>
      </c>
      <c r="BS14" s="328">
        <f t="shared" si="13"/>
        <v>0.72257136</v>
      </c>
      <c r="BT14" s="328">
        <f t="shared" si="14"/>
        <v>0.03770700239</v>
      </c>
      <c r="BU14" s="234">
        <f t="shared" si="15"/>
        <v>0</v>
      </c>
      <c r="BV14" s="329">
        <v>61850.0</v>
      </c>
      <c r="BW14" s="329" t="s">
        <v>1017</v>
      </c>
      <c r="BX14" s="329">
        <v>323.0</v>
      </c>
      <c r="BY14" s="234">
        <f t="shared" si="16"/>
        <v>0</v>
      </c>
      <c r="BZ14" s="234"/>
      <c r="CA14" s="234" t="s">
        <v>1043</v>
      </c>
      <c r="CB14" s="234">
        <f>countif($F:$F, "&lt;=" &amp; DATE(2026,2,28))-COUNTIFS(AZ:AZ, "&gt;=" &amp; DATE(2025,4,1), AZ:AZ, "&lt;=" &amp; DATE(2026,2,28))</f>
        <v>158</v>
      </c>
      <c r="CC14" s="234">
        <f>COUNTIFS(F:F, "&gt;=" &amp; DATE(2026,3,1), F:F, "&lt;=" &amp; DATE(2026,3,31))</f>
        <v>7</v>
      </c>
      <c r="CD14" s="234">
        <f>COUNTIFS(AZ:AZ, "&gt;=" &amp; DATE(2026,3,1), AZ:AZ, "&lt;=" &amp; DATE(2026,3,31))</f>
        <v>5</v>
      </c>
      <c r="CE14" s="234">
        <f t="shared" si="17"/>
        <v>165</v>
      </c>
      <c r="CF14" s="234">
        <f t="shared" si="18"/>
        <v>170</v>
      </c>
      <c r="CG14" s="234" t="str">
        <f t="shared" si="19"/>
        <v> </v>
      </c>
      <c r="CH14" s="234" t="str">
        <f t="shared" si="27"/>
        <v>Business Achieved 50%</v>
      </c>
      <c r="CI14" s="328">
        <f t="shared" si="20"/>
        <v>0.71</v>
      </c>
      <c r="CJ14" s="339">
        <f>IFERROR(__xludf.DUMMYFUNCTION("""COMPUTED_VALUE"""),764.0)</f>
        <v>764</v>
      </c>
      <c r="CK14" s="339">
        <f>IFERROR(__xludf.DUMMYFUNCTION("""COMPUTED_VALUE"""),52.0)</f>
        <v>52</v>
      </c>
      <c r="CL14" s="339">
        <f>IFERROR(__xludf.DUMMYFUNCTION("""COMPUTED_VALUE"""),0.0)</f>
        <v>0</v>
      </c>
      <c r="CM14" s="331">
        <f t="shared" si="21"/>
        <v>0</v>
      </c>
      <c r="CN14" s="340"/>
      <c r="CO14" s="328"/>
      <c r="CP14" s="341" t="s">
        <v>96</v>
      </c>
      <c r="CQ14" s="335">
        <f t="shared" si="22"/>
        <v>2</v>
      </c>
      <c r="CR14" s="335">
        <f t="shared" si="23"/>
        <v>2</v>
      </c>
      <c r="CS14" s="328"/>
      <c r="CT14" s="160">
        <f t="shared" si="24"/>
        <v>0</v>
      </c>
      <c r="CU14" s="328"/>
      <c r="CV14" s="328"/>
      <c r="CW14" s="328"/>
      <c r="CX14" s="288"/>
      <c r="CY14" s="328"/>
      <c r="CZ14" s="328"/>
    </row>
    <row r="15">
      <c r="A15" s="157" t="s">
        <v>185</v>
      </c>
      <c r="B15" s="157" t="s">
        <v>117</v>
      </c>
      <c r="C15" s="157" t="s">
        <v>434</v>
      </c>
      <c r="D15" s="157" t="s">
        <v>1044</v>
      </c>
      <c r="E15" s="157" t="s">
        <v>435</v>
      </c>
      <c r="F15" s="338">
        <v>42769.0</v>
      </c>
      <c r="G15" s="314">
        <v>0.0</v>
      </c>
      <c r="H15" s="314">
        <v>1.12E7</v>
      </c>
      <c r="I15" s="315">
        <v>3645541.28</v>
      </c>
      <c r="J15" s="315">
        <v>0.0</v>
      </c>
      <c r="K15" s="160">
        <v>44.0</v>
      </c>
      <c r="L15" s="160">
        <v>45.0</v>
      </c>
      <c r="M15" s="160">
        <v>1.0</v>
      </c>
      <c r="N15" s="160">
        <v>45.0</v>
      </c>
      <c r="O15" s="160">
        <v>0.0</v>
      </c>
      <c r="P15" s="315">
        <v>3626768.18</v>
      </c>
      <c r="Q15" s="315">
        <v>18773.1</v>
      </c>
      <c r="R15" s="160">
        <v>33.0</v>
      </c>
      <c r="S15" s="160">
        <v>1.0</v>
      </c>
      <c r="T15" s="160">
        <v>34.0</v>
      </c>
      <c r="U15" s="160">
        <v>0.0</v>
      </c>
      <c r="V15" s="160">
        <v>12.0</v>
      </c>
      <c r="W15" s="160">
        <v>27.0</v>
      </c>
      <c r="X15" s="160">
        <v>66.0</v>
      </c>
      <c r="Y15" s="160">
        <v>2.0</v>
      </c>
      <c r="Z15" s="160">
        <v>18.0</v>
      </c>
      <c r="AA15" s="160">
        <v>0.0</v>
      </c>
      <c r="AB15" s="160">
        <v>0.0</v>
      </c>
      <c r="AC15" s="160">
        <v>0.0</v>
      </c>
      <c r="AD15" s="160">
        <v>0.0</v>
      </c>
      <c r="AE15" s="160">
        <v>812.0</v>
      </c>
      <c r="AF15" s="160">
        <v>857.0</v>
      </c>
      <c r="AG15" s="160">
        <v>204.0</v>
      </c>
      <c r="AH15" s="314">
        <f t="shared" si="2"/>
        <v>17870.30039</v>
      </c>
      <c r="AI15" s="314">
        <f t="shared" si="3"/>
        <v>4.200980392</v>
      </c>
      <c r="AJ15" s="316">
        <f t="shared" si="31"/>
        <v>37355</v>
      </c>
      <c r="AK15" s="314">
        <f t="shared" si="4"/>
        <v>298840</v>
      </c>
      <c r="AL15" s="286">
        <v>138168.0</v>
      </c>
      <c r="AM15" s="318">
        <f t="shared" si="5"/>
        <v>0.1198746541</v>
      </c>
      <c r="AN15" s="314">
        <f t="shared" si="6"/>
        <v>107221.8024</v>
      </c>
      <c r="AO15" s="336">
        <f t="shared" si="28"/>
        <v>0.3254947571</v>
      </c>
      <c r="AP15" s="319">
        <v>0.0</v>
      </c>
      <c r="AQ15" s="160">
        <v>136.0</v>
      </c>
      <c r="AR15" s="160">
        <v>2241.0</v>
      </c>
      <c r="AS15" s="160">
        <v>0.0</v>
      </c>
      <c r="AT15" s="160">
        <v>1.0</v>
      </c>
      <c r="AU15" s="160">
        <v>0.0</v>
      </c>
      <c r="AV15" s="320">
        <v>34.0</v>
      </c>
      <c r="AW15" s="320">
        <v>11.0</v>
      </c>
      <c r="AX15" s="320">
        <v>0.0</v>
      </c>
      <c r="AY15" s="321">
        <f>iferror(VLOOKUP(C15,'ORDER BOOKING REPORT 2025-26'!C:O,13,0),"")</f>
        <v>3645229</v>
      </c>
      <c r="AZ15" s="322">
        <v>45991.0</v>
      </c>
      <c r="BA15" s="157" t="str">
        <f t="shared" si="7"/>
        <v>LEFT</v>
      </c>
      <c r="BB15" s="157" t="str">
        <f t="shared" si="8"/>
        <v>Old</v>
      </c>
      <c r="BC15" s="157" t="str">
        <f t="shared" si="29"/>
        <v>Below 50%</v>
      </c>
      <c r="BD15" s="223">
        <v>8.0</v>
      </c>
      <c r="BE15" s="323">
        <v>1400000.0</v>
      </c>
      <c r="BF15" s="157">
        <f t="shared" si="10"/>
        <v>0</v>
      </c>
      <c r="BG15" s="157" t="s">
        <v>1019</v>
      </c>
      <c r="BH15" s="324"/>
      <c r="BI15" s="324"/>
      <c r="BJ15" s="325"/>
      <c r="BK15" s="326"/>
      <c r="BL15" s="326">
        <f t="shared" si="11"/>
        <v>0</v>
      </c>
      <c r="BM15" s="326">
        <f t="shared" si="12"/>
        <v>11200000</v>
      </c>
      <c r="BN15" s="326"/>
      <c r="BO15" s="327" t="str">
        <f>IFERROR(__xludf.DUMMYFUNCTION("IFERROR(ArrayFormula(SUM(VLOOKUP($C15,importrange(""1MwNMVzWE3QBVOyJjKr3eFX-Sq1Ng0Q1sghWJbgbE_8g"",""ORDER BOOKING REPORT 2024-25!C:CV""),{16,23,30},0))))"),"")</f>
        <v/>
      </c>
      <c r="BP15" s="327" t="str">
        <f>IFERROR(__xludf.DUMMYFUNCTION("IFERROR(ArrayFormula(SUM(VLOOKUP($C15,importrange(""1MwNMVzWE3QBVOyJjKr3eFX-Sq1Ng0Q1sghWJbgbE_8g"",""ORDER BOOKING REPORT 2024-25!C:CV""),{37,44,51},0))))"),"")</f>
        <v/>
      </c>
      <c r="BQ15" s="327" t="str">
        <f>IFERROR(__xludf.DUMMYFUNCTION("IFERROR(ArrayFormula(SUM(VLOOKUP($C15,importrange(""1MwNMVzWE3QBVOyJjKr3eFX-Sq1Ng0Q1sghWJbgbE_8g"",""ORDER BOOKING REPORT 2024-25!C:CV""),{58,65,72},0))))"),"")</f>
        <v/>
      </c>
      <c r="BR15" s="327" t="str">
        <f>IFERROR(__xludf.DUMMYFUNCTION("IFERROR(ArrayFormula(SUM(VLOOKUP($C15,importrange(""1MwNMVzWE3QBVOyJjKr3eFX-Sq1Ng0Q1sghWJbgbE_8g"",""ORDER BOOKING REPORT 2024-25!C:CV""),{79,86,93},0))))"),"")</f>
        <v/>
      </c>
      <c r="BS15" s="328">
        <f t="shared" si="13"/>
        <v>0.325466875</v>
      </c>
      <c r="BT15" s="328">
        <f t="shared" si="14"/>
        <v>0.1198849236</v>
      </c>
      <c r="BU15" s="234">
        <f t="shared" si="15"/>
        <v>0</v>
      </c>
      <c r="BV15" s="329">
        <v>37355.0</v>
      </c>
      <c r="BW15" s="329" t="s">
        <v>1045</v>
      </c>
      <c r="BX15" s="329">
        <v>341.0</v>
      </c>
      <c r="BY15" s="234">
        <f t="shared" si="16"/>
        <v>0</v>
      </c>
      <c r="BZ15" s="234"/>
      <c r="CA15" s="234"/>
      <c r="CB15" s="234">
        <f>countif($F:$F, "&lt;=" &amp; DATE(2026,3,31))-COUNTIFS(AZ:AZ, "&gt;=" &amp; DATE(2025,4,1), AZ:AZ, "&lt;=" &amp; DATE(2026,3,31))</f>
        <v>160</v>
      </c>
      <c r="CC15" s="234"/>
      <c r="CE15" s="234"/>
      <c r="CF15" s="234"/>
      <c r="CG15" s="234" t="str">
        <f t="shared" si="19"/>
        <v>Below 60</v>
      </c>
      <c r="CH15" s="234" t="str">
        <f t="shared" si="27"/>
        <v>Business Achieved 50%</v>
      </c>
      <c r="CI15" s="328">
        <f t="shared" si="20"/>
        <v>0.7555555556</v>
      </c>
      <c r="CJ15" s="339">
        <f>IFERROR(__xludf.DUMMYFUNCTION("""COMPUTED_VALUE"""),632.0)</f>
        <v>632</v>
      </c>
      <c r="CK15" s="339">
        <f>IFERROR(__xludf.DUMMYFUNCTION("""COMPUTED_VALUE"""),180.0)</f>
        <v>180</v>
      </c>
      <c r="CL15" s="339">
        <f>IFERROR(__xludf.DUMMYFUNCTION("""COMPUTED_VALUE"""),0.0)</f>
        <v>0</v>
      </c>
      <c r="CM15" s="331">
        <f t="shared" si="21"/>
        <v>0</v>
      </c>
      <c r="CN15" s="340"/>
      <c r="CO15" s="328"/>
      <c r="CP15" s="341" t="s">
        <v>101</v>
      </c>
      <c r="CQ15" s="335">
        <f t="shared" si="22"/>
        <v>7</v>
      </c>
      <c r="CR15" s="335">
        <f t="shared" si="23"/>
        <v>0</v>
      </c>
      <c r="CS15" s="328"/>
      <c r="CT15" s="160">
        <f t="shared" si="24"/>
        <v>0</v>
      </c>
      <c r="CU15" s="328"/>
      <c r="CV15" s="328"/>
      <c r="CW15" s="328"/>
      <c r="CX15" s="288"/>
      <c r="CY15" s="328"/>
      <c r="CZ15" s="328"/>
    </row>
    <row r="16">
      <c r="A16" s="157" t="s">
        <v>185</v>
      </c>
      <c r="B16" s="157" t="s">
        <v>196</v>
      </c>
      <c r="C16" s="157" t="s">
        <v>413</v>
      </c>
      <c r="D16" s="157" t="s">
        <v>1027</v>
      </c>
      <c r="E16" s="157" t="s">
        <v>1046</v>
      </c>
      <c r="F16" s="338">
        <v>42826.0</v>
      </c>
      <c r="G16" s="314">
        <v>0.0</v>
      </c>
      <c r="H16" s="314">
        <v>2.4E7</v>
      </c>
      <c r="I16" s="315">
        <v>6304004.23</v>
      </c>
      <c r="J16" s="315">
        <v>0.0</v>
      </c>
      <c r="K16" s="160">
        <v>73.0</v>
      </c>
      <c r="L16" s="160">
        <v>86.0</v>
      </c>
      <c r="M16" s="160">
        <v>21.0</v>
      </c>
      <c r="N16" s="160">
        <v>94.0</v>
      </c>
      <c r="O16" s="160">
        <v>8.0</v>
      </c>
      <c r="P16" s="315">
        <v>4934942.03</v>
      </c>
      <c r="Q16" s="315">
        <v>1369062.2</v>
      </c>
      <c r="R16" s="160">
        <v>49.0</v>
      </c>
      <c r="S16" s="160">
        <v>21.0</v>
      </c>
      <c r="T16" s="160">
        <v>70.0</v>
      </c>
      <c r="U16" s="160">
        <v>0.0</v>
      </c>
      <c r="V16" s="160">
        <v>2.0</v>
      </c>
      <c r="W16" s="160">
        <v>6.0</v>
      </c>
      <c r="X16" s="160">
        <v>9.0</v>
      </c>
      <c r="Y16" s="160">
        <v>3.0</v>
      </c>
      <c r="Z16" s="160">
        <v>143.0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1011.0</v>
      </c>
      <c r="AF16" s="160">
        <v>1160.0</v>
      </c>
      <c r="AG16" s="160">
        <v>235.0</v>
      </c>
      <c r="AH16" s="314">
        <f t="shared" si="2"/>
        <v>26825.54991</v>
      </c>
      <c r="AI16" s="314">
        <f t="shared" si="3"/>
        <v>4.936170213</v>
      </c>
      <c r="AJ16" s="316">
        <v>76300.0</v>
      </c>
      <c r="AK16" s="314">
        <f t="shared" si="4"/>
        <v>763000</v>
      </c>
      <c r="AL16" s="317">
        <v>101548.0</v>
      </c>
      <c r="AM16" s="318">
        <f t="shared" si="5"/>
        <v>0.1371426745</v>
      </c>
      <c r="AN16" s="314">
        <f t="shared" si="6"/>
        <v>90057.20329</v>
      </c>
      <c r="AO16" s="336">
        <f t="shared" si="28"/>
        <v>0.2626668429</v>
      </c>
      <c r="AP16" s="319">
        <v>0.0</v>
      </c>
      <c r="AQ16" s="160">
        <v>250.0</v>
      </c>
      <c r="AR16" s="160">
        <v>2035.0</v>
      </c>
      <c r="AS16" s="160">
        <v>0.0</v>
      </c>
      <c r="AT16" s="160">
        <v>21.0</v>
      </c>
      <c r="AU16" s="160">
        <v>0.0</v>
      </c>
      <c r="AV16" s="320">
        <v>70.0</v>
      </c>
      <c r="AW16" s="320">
        <v>17.0</v>
      </c>
      <c r="AX16" s="320">
        <v>7.0</v>
      </c>
      <c r="AY16" s="321">
        <f>iferror(VLOOKUP(C16,'ORDER BOOKING REPORT 2025-26'!C:O,13,0),"")</f>
        <v>9536176.24</v>
      </c>
      <c r="AZ16" s="322">
        <v>46053.0</v>
      </c>
      <c r="BA16" s="157" t="str">
        <f t="shared" si="7"/>
        <v>LEFT</v>
      </c>
      <c r="BB16" s="157" t="str">
        <f t="shared" si="8"/>
        <v>Old</v>
      </c>
      <c r="BC16" s="157" t="str">
        <f t="shared" si="29"/>
        <v>Below 50%</v>
      </c>
      <c r="BD16" s="223">
        <v>10.0</v>
      </c>
      <c r="BE16" s="323">
        <v>2000000.0</v>
      </c>
      <c r="BF16" s="157">
        <f t="shared" si="10"/>
        <v>0</v>
      </c>
      <c r="BG16" s="157" t="s">
        <v>1019</v>
      </c>
      <c r="BH16" s="324"/>
      <c r="BI16" s="324"/>
      <c r="BJ16" s="325"/>
      <c r="BK16" s="326"/>
      <c r="BL16" s="326">
        <f t="shared" si="11"/>
        <v>0</v>
      </c>
      <c r="BM16" s="326">
        <f t="shared" si="12"/>
        <v>24000000</v>
      </c>
      <c r="BN16" s="326"/>
      <c r="BO16" s="327" t="str">
        <f>IFERROR(__xludf.DUMMYFUNCTION("IFERROR(ArrayFormula(SUM(VLOOKUP($C16,importrange(""1MwNMVzWE3QBVOyJjKr3eFX-Sq1Ng0Q1sghWJbgbE_8g"",""ORDER BOOKING REPORT 2024-25!C:CV""),{16,23,30},0))))"),"")</f>
        <v/>
      </c>
      <c r="BP16" s="327" t="str">
        <f>IFERROR(__xludf.DUMMYFUNCTION("IFERROR(ArrayFormula(SUM(VLOOKUP($C16,importrange(""1MwNMVzWE3QBVOyJjKr3eFX-Sq1Ng0Q1sghWJbgbE_8g"",""ORDER BOOKING REPORT 2024-25!C:CV""),{37,44,51},0))))"),"")</f>
        <v/>
      </c>
      <c r="BQ16" s="327" t="str">
        <f>IFERROR(__xludf.DUMMYFUNCTION("IFERROR(ArrayFormula(SUM(VLOOKUP($C16,importrange(""1MwNMVzWE3QBVOyJjKr3eFX-Sq1Ng0Q1sghWJbgbE_8g"",""ORDER BOOKING REPORT 2024-25!C:CV""),{58,65,72},0))))"),"")</f>
        <v/>
      </c>
      <c r="BR16" s="327" t="str">
        <f>IFERROR(__xludf.DUMMYFUNCTION("IFERROR(ArrayFormula(SUM(VLOOKUP($C16,importrange(""1MwNMVzWE3QBVOyJjKr3eFX-Sq1Ng0Q1sghWJbgbE_8g"",""ORDER BOOKING REPORT 2024-25!C:CV""),{79,86,93},0))))"),"")</f>
        <v/>
      </c>
      <c r="BS16" s="328">
        <f t="shared" si="13"/>
        <v>0.3973406767</v>
      </c>
      <c r="BT16" s="328">
        <f t="shared" si="14"/>
        <v>0.09065981776</v>
      </c>
      <c r="BU16" s="234">
        <f t="shared" si="15"/>
        <v>0</v>
      </c>
      <c r="BV16" s="329">
        <v>76300.0</v>
      </c>
      <c r="BW16" s="329" t="s">
        <v>1017</v>
      </c>
      <c r="BX16" s="329">
        <v>354.0</v>
      </c>
      <c r="BY16" s="234">
        <f t="shared" si="16"/>
        <v>0</v>
      </c>
      <c r="BZ16" s="234"/>
      <c r="CA16" s="234"/>
      <c r="CC16" s="234"/>
      <c r="CD16" s="234"/>
      <c r="CE16" s="234"/>
      <c r="CF16" s="234"/>
      <c r="CG16" s="234" t="str">
        <f t="shared" si="19"/>
        <v> </v>
      </c>
      <c r="CH16" s="234" t="str">
        <f t="shared" si="27"/>
        <v>Business Achieved 50%</v>
      </c>
      <c r="CI16" s="328">
        <f t="shared" si="20"/>
        <v>0.7446808511</v>
      </c>
      <c r="CJ16" s="330">
        <f>IFERROR(__xludf.DUMMYFUNCTION("""COMPUTED_VALUE"""),940.0)</f>
        <v>940</v>
      </c>
      <c r="CK16" s="330">
        <f>IFERROR(__xludf.DUMMYFUNCTION("""COMPUTED_VALUE"""),71.0)</f>
        <v>71</v>
      </c>
      <c r="CL16" s="330">
        <f>IFERROR(__xludf.DUMMYFUNCTION("""COMPUTED_VALUE"""),0.0)</f>
        <v>0</v>
      </c>
      <c r="CM16" s="331">
        <f t="shared" si="21"/>
        <v>0</v>
      </c>
      <c r="CN16" s="337"/>
      <c r="CO16" s="160"/>
      <c r="CP16" s="334" t="s">
        <v>135</v>
      </c>
      <c r="CQ16" s="335">
        <f t="shared" si="22"/>
        <v>10</v>
      </c>
      <c r="CR16" s="335">
        <f t="shared" si="23"/>
        <v>0</v>
      </c>
      <c r="CS16" s="160"/>
      <c r="CT16" s="160">
        <f t="shared" si="24"/>
        <v>0</v>
      </c>
      <c r="CU16" s="160"/>
      <c r="CV16" s="160"/>
      <c r="CW16" s="335"/>
      <c r="CX16" s="288"/>
      <c r="CY16" s="160"/>
      <c r="CZ16" s="160"/>
    </row>
    <row r="17">
      <c r="A17" s="157" t="s">
        <v>185</v>
      </c>
      <c r="B17" s="157" t="s">
        <v>189</v>
      </c>
      <c r="C17" s="157" t="s">
        <v>202</v>
      </c>
      <c r="D17" s="157" t="s">
        <v>1016</v>
      </c>
      <c r="E17" s="157" t="s">
        <v>243</v>
      </c>
      <c r="F17" s="338">
        <v>42826.0</v>
      </c>
      <c r="G17" s="314">
        <v>0.0</v>
      </c>
      <c r="H17" s="314">
        <v>4.56E7</v>
      </c>
      <c r="I17" s="315">
        <v>3.846258897E7</v>
      </c>
      <c r="J17" s="315">
        <v>0.0</v>
      </c>
      <c r="K17" s="160">
        <v>129.0</v>
      </c>
      <c r="L17" s="160">
        <v>94.0</v>
      </c>
      <c r="M17" s="160">
        <v>9.0</v>
      </c>
      <c r="N17" s="160">
        <v>138.0</v>
      </c>
      <c r="O17" s="160">
        <v>44.0</v>
      </c>
      <c r="P17" s="315">
        <v>3.846258897E7</v>
      </c>
      <c r="Q17" s="315">
        <v>0.0</v>
      </c>
      <c r="R17" s="160">
        <v>20.0</v>
      </c>
      <c r="S17" s="160">
        <v>0.0</v>
      </c>
      <c r="T17" s="160">
        <v>20.0</v>
      </c>
      <c r="U17" s="160">
        <v>0.0</v>
      </c>
      <c r="V17" s="160">
        <v>13.0</v>
      </c>
      <c r="W17" s="160">
        <v>19.0</v>
      </c>
      <c r="X17" s="160">
        <v>28.0</v>
      </c>
      <c r="Y17" s="160">
        <v>4.0</v>
      </c>
      <c r="Z17" s="160">
        <v>99.0</v>
      </c>
      <c r="AA17" s="160">
        <v>0.0</v>
      </c>
      <c r="AB17" s="160">
        <v>0.0</v>
      </c>
      <c r="AC17" s="160">
        <v>0.0</v>
      </c>
      <c r="AD17" s="160">
        <v>0.0</v>
      </c>
      <c r="AE17" s="160">
        <v>852.0</v>
      </c>
      <c r="AF17" s="160">
        <v>970.0</v>
      </c>
      <c r="AG17" s="160">
        <v>300.0</v>
      </c>
      <c r="AH17" s="314">
        <f t="shared" si="2"/>
        <v>128208.6299</v>
      </c>
      <c r="AI17" s="314">
        <f t="shared" si="3"/>
        <v>3.233333333</v>
      </c>
      <c r="AJ17" s="316">
        <v>63250.0</v>
      </c>
      <c r="AK17" s="314">
        <f t="shared" si="4"/>
        <v>759000</v>
      </c>
      <c r="AL17" s="317">
        <v>264598.0</v>
      </c>
      <c r="AM17" s="318">
        <f t="shared" si="5"/>
        <v>0.02661282112</v>
      </c>
      <c r="AN17" s="314">
        <f t="shared" si="6"/>
        <v>1923129.449</v>
      </c>
      <c r="AO17" s="336">
        <f t="shared" si="28"/>
        <v>0.8434778283</v>
      </c>
      <c r="AP17" s="319">
        <v>0.0</v>
      </c>
      <c r="AQ17" s="160">
        <v>116.0</v>
      </c>
      <c r="AR17" s="160">
        <v>3649.0</v>
      </c>
      <c r="AS17" s="160">
        <v>1702.39</v>
      </c>
      <c r="AT17" s="160">
        <v>0.0</v>
      </c>
      <c r="AU17" s="160">
        <v>18.0</v>
      </c>
      <c r="AV17" s="320">
        <v>20.0</v>
      </c>
      <c r="AW17" s="320">
        <v>74.0</v>
      </c>
      <c r="AX17" s="320">
        <v>44.0</v>
      </c>
      <c r="AY17" s="321">
        <f>iferror(VLOOKUP(C17,'ORDER BOOKING REPORT 2025-26'!C:O,13,0),"")</f>
        <v>26995241.53</v>
      </c>
      <c r="AZ17" s="322"/>
      <c r="BA17" s="157" t="str">
        <f t="shared" si="7"/>
        <v>Active</v>
      </c>
      <c r="BB17" s="157" t="str">
        <f t="shared" si="8"/>
        <v>Old</v>
      </c>
      <c r="BC17" s="157" t="str">
        <f t="shared" si="29"/>
        <v>70%-90%</v>
      </c>
      <c r="BD17" s="223">
        <f t="shared" ref="BD17:BD21" si="32">Match($BD$2,{"Apr","May","Jun","Jul","Aug","Sep","Oct","Nov","Dec","Jan","Feb","Mar"},0)</f>
        <v>12</v>
      </c>
      <c r="BE17" s="323">
        <v>3800000.0</v>
      </c>
      <c r="BF17" s="157">
        <f t="shared" si="10"/>
        <v>9</v>
      </c>
      <c r="BG17" s="157" t="s">
        <v>1019</v>
      </c>
      <c r="BH17" s="324"/>
      <c r="BI17" s="324"/>
      <c r="BJ17" s="325"/>
      <c r="BK17" s="326"/>
      <c r="BL17" s="326">
        <f t="shared" si="11"/>
        <v>0</v>
      </c>
      <c r="BM17" s="326">
        <f t="shared" si="12"/>
        <v>45600000</v>
      </c>
      <c r="BN17" s="326"/>
      <c r="BO17" s="327" t="str">
        <f>IFERROR(__xludf.DUMMYFUNCTION("IFERROR(ArrayFormula(SUM(VLOOKUP($C17,importrange(""1MwNMVzWE3QBVOyJjKr3eFX-Sq1Ng0Q1sghWJbgbE_8g"",""ORDER BOOKING REPORT 2024-25!C:CV""),{16,23,30},0))))"),"")</f>
        <v/>
      </c>
      <c r="BP17" s="327" t="str">
        <f>IFERROR(__xludf.DUMMYFUNCTION("IFERROR(ArrayFormula(SUM(VLOOKUP($C17,importrange(""1MwNMVzWE3QBVOyJjKr3eFX-Sq1Ng0Q1sghWJbgbE_8g"",""ORDER BOOKING REPORT 2024-25!C:CV""),{37,44,51},0))))"),"")</f>
        <v/>
      </c>
      <c r="BQ17" s="327" t="str">
        <f>IFERROR(__xludf.DUMMYFUNCTION("IFERROR(ArrayFormula(SUM(VLOOKUP($C17,importrange(""1MwNMVzWE3QBVOyJjKr3eFX-Sq1Ng0Q1sghWJbgbE_8g"",""ORDER BOOKING REPORT 2024-25!C:CV""),{58,65,72},0))))"),"")</f>
        <v/>
      </c>
      <c r="BR17" s="327" t="str">
        <f>IFERROR(__xludf.DUMMYFUNCTION("IFERROR(ArrayFormula(SUM(VLOOKUP($C17,importrange(""1MwNMVzWE3QBVOyJjKr3eFX-Sq1Ng0Q1sghWJbgbE_8g"",""ORDER BOOKING REPORT 2024-25!C:CV""),{79,86,93},0))))"),"")</f>
        <v/>
      </c>
      <c r="BS17" s="328">
        <f t="shared" si="13"/>
        <v>0.5920009107</v>
      </c>
      <c r="BT17" s="328">
        <f t="shared" si="14"/>
        <v>0.03791771964</v>
      </c>
      <c r="BU17" s="234">
        <f t="shared" si="15"/>
        <v>0</v>
      </c>
      <c r="BV17" s="329">
        <v>63250.0</v>
      </c>
      <c r="BW17" s="329" t="s">
        <v>1020</v>
      </c>
      <c r="BX17" s="329">
        <v>360.0</v>
      </c>
      <c r="BY17" s="234">
        <f t="shared" si="16"/>
        <v>0</v>
      </c>
      <c r="BZ17" s="234"/>
      <c r="CA17" s="234"/>
      <c r="CB17" s="234"/>
      <c r="CC17" s="234"/>
      <c r="CD17" s="234"/>
      <c r="CE17" s="234"/>
      <c r="CF17" s="234"/>
      <c r="CG17" s="234" t="str">
        <f t="shared" si="19"/>
        <v> </v>
      </c>
      <c r="CH17" s="234" t="str">
        <f t="shared" si="27"/>
        <v>Not 50%</v>
      </c>
      <c r="CI17" s="328">
        <f t="shared" si="20"/>
        <v>0.1449275362</v>
      </c>
      <c r="CJ17" s="330">
        <f>IFERROR(__xludf.DUMMYFUNCTION("""COMPUTED_VALUE"""),382.0)</f>
        <v>382</v>
      </c>
      <c r="CK17" s="330">
        <f>IFERROR(__xludf.DUMMYFUNCTION("""COMPUTED_VALUE"""),470.0)</f>
        <v>470</v>
      </c>
      <c r="CL17" s="330">
        <f>IFERROR(__xludf.DUMMYFUNCTION("""COMPUTED_VALUE"""),0.0)</f>
        <v>0</v>
      </c>
      <c r="CM17" s="331">
        <f t="shared" si="21"/>
        <v>0</v>
      </c>
      <c r="CN17" s="337"/>
      <c r="CO17" s="160"/>
      <c r="CP17" s="334" t="s">
        <v>301</v>
      </c>
      <c r="CQ17" s="335">
        <f t="shared" si="22"/>
        <v>12</v>
      </c>
      <c r="CR17" s="335">
        <f t="shared" si="23"/>
        <v>0</v>
      </c>
      <c r="CS17" s="160"/>
      <c r="CT17" s="160">
        <f t="shared" si="24"/>
        <v>0</v>
      </c>
      <c r="CU17" s="160"/>
      <c r="CV17" s="160"/>
      <c r="CW17" s="335"/>
      <c r="CX17" s="288"/>
      <c r="CY17" s="160"/>
      <c r="CZ17" s="160"/>
    </row>
    <row r="18">
      <c r="A18" s="157" t="s">
        <v>298</v>
      </c>
      <c r="B18" s="157" t="s">
        <v>301</v>
      </c>
      <c r="C18" s="157" t="s">
        <v>299</v>
      </c>
      <c r="D18" s="157" t="s">
        <v>1047</v>
      </c>
      <c r="E18" s="157" t="s">
        <v>1048</v>
      </c>
      <c r="F18" s="285">
        <v>42926.0</v>
      </c>
      <c r="G18" s="314">
        <v>0.0</v>
      </c>
      <c r="H18" s="314">
        <v>2.4E7</v>
      </c>
      <c r="I18" s="315">
        <v>2.079626708E7</v>
      </c>
      <c r="J18" s="315">
        <v>0.0</v>
      </c>
      <c r="K18" s="160">
        <v>156.0</v>
      </c>
      <c r="L18" s="160">
        <v>134.0</v>
      </c>
      <c r="M18" s="160">
        <v>16.0</v>
      </c>
      <c r="N18" s="160">
        <v>172.0</v>
      </c>
      <c r="O18" s="160">
        <v>38.0</v>
      </c>
      <c r="P18" s="315">
        <v>2.010207658E7</v>
      </c>
      <c r="Q18" s="315">
        <v>694190.5</v>
      </c>
      <c r="R18" s="160">
        <v>88.0</v>
      </c>
      <c r="S18" s="160">
        <v>9.0</v>
      </c>
      <c r="T18" s="160">
        <v>97.0</v>
      </c>
      <c r="U18" s="160">
        <v>0.0</v>
      </c>
      <c r="V18" s="160">
        <v>17.0</v>
      </c>
      <c r="W18" s="160">
        <v>25.0</v>
      </c>
      <c r="X18" s="160">
        <v>42.0</v>
      </c>
      <c r="Y18" s="160">
        <v>3.0</v>
      </c>
      <c r="Z18" s="160">
        <v>106.0</v>
      </c>
      <c r="AA18" s="160">
        <v>0.0</v>
      </c>
      <c r="AB18" s="160">
        <v>0.0</v>
      </c>
      <c r="AC18" s="160">
        <v>0.0</v>
      </c>
      <c r="AD18" s="160">
        <v>0.0</v>
      </c>
      <c r="AE18" s="160">
        <v>812.0</v>
      </c>
      <c r="AF18" s="160">
        <v>943.0</v>
      </c>
      <c r="AG18" s="160">
        <v>293.0</v>
      </c>
      <c r="AH18" s="314">
        <f t="shared" si="2"/>
        <v>70977.02075</v>
      </c>
      <c r="AI18" s="314">
        <f t="shared" si="3"/>
        <v>3.218430034</v>
      </c>
      <c r="AJ18" s="316">
        <v>44575.0</v>
      </c>
      <c r="AK18" s="314">
        <f t="shared" si="4"/>
        <v>534900</v>
      </c>
      <c r="AL18" s="317">
        <v>284111.0</v>
      </c>
      <c r="AM18" s="318">
        <f t="shared" si="5"/>
        <v>0.03938259673</v>
      </c>
      <c r="AN18" s="314">
        <f t="shared" si="6"/>
        <v>214394.506</v>
      </c>
      <c r="AO18" s="336">
        <f t="shared" si="28"/>
        <v>0.8665111283</v>
      </c>
      <c r="AP18" s="319">
        <v>0.0</v>
      </c>
      <c r="AQ18" s="160">
        <v>665.0</v>
      </c>
      <c r="AR18" s="160">
        <v>2219.0</v>
      </c>
      <c r="AS18" s="160">
        <v>4875.51</v>
      </c>
      <c r="AT18" s="160">
        <v>9.0</v>
      </c>
      <c r="AU18" s="160">
        <v>36.0</v>
      </c>
      <c r="AV18" s="320">
        <v>97.0</v>
      </c>
      <c r="AW18" s="320">
        <v>48.0</v>
      </c>
      <c r="AX18" s="320">
        <v>27.0</v>
      </c>
      <c r="AY18" s="321">
        <f>iferror(VLOOKUP(C18,'ORDER BOOKING REPORT 2025-26'!C:O,13,0),"")</f>
        <v>21617812</v>
      </c>
      <c r="AZ18" s="322"/>
      <c r="BA18" s="157" t="str">
        <f t="shared" si="7"/>
        <v>Active</v>
      </c>
      <c r="BB18" s="157" t="str">
        <f t="shared" si="8"/>
        <v>Old</v>
      </c>
      <c r="BC18" s="157" t="str">
        <f t="shared" si="29"/>
        <v>70%-90%</v>
      </c>
      <c r="BD18" s="223">
        <f t="shared" si="32"/>
        <v>12</v>
      </c>
      <c r="BE18" s="323">
        <v>2000000.0</v>
      </c>
      <c r="BF18" s="157">
        <f t="shared" si="10"/>
        <v>7</v>
      </c>
      <c r="BG18" s="157" t="s">
        <v>1019</v>
      </c>
      <c r="BH18" s="324">
        <f>IFERROR(__xludf.DUMMYFUNCTION("""COMPUTED_VALUE"""),2.0081138E7)</f>
        <v>20081138</v>
      </c>
      <c r="BI18" s="324">
        <f>IFERROR(__xludf.DUMMYFUNCTION("""COMPUTED_VALUE"""),1.6655458010000002E7)</f>
        <v>16655458.01</v>
      </c>
      <c r="BJ18" s="325"/>
      <c r="BK18" s="326"/>
      <c r="BL18" s="326">
        <f t="shared" si="11"/>
        <v>0</v>
      </c>
      <c r="BM18" s="326">
        <f t="shared" si="12"/>
        <v>24000000</v>
      </c>
      <c r="BN18" s="326"/>
      <c r="BO18" s="327">
        <f>IFERROR(__xludf.DUMMYFUNCTION("IFERROR(ArrayFormula(SUM(VLOOKUP($C18,importrange(""1MwNMVzWE3QBVOyJjKr3eFX-Sq1Ng0Q1sghWJbgbE_8g"",""ORDER BOOKING REPORT 2024-25!C:CV""),{16,23,30},0))))"),3414186.4000000004)</f>
        <v>3414186.4</v>
      </c>
      <c r="BP18" s="327">
        <f>IFERROR(__xludf.DUMMYFUNCTION("IFERROR(ArrayFormula(SUM(VLOOKUP($C18,importrange(""1MwNMVzWE3QBVOyJjKr3eFX-Sq1Ng0Q1sghWJbgbE_8g"",""ORDER BOOKING REPORT 2024-25!C:CV""),{37,44,51},0))))"),3785622.06)</f>
        <v>3785622.06</v>
      </c>
      <c r="BQ18" s="327">
        <f>IFERROR(__xludf.DUMMYFUNCTION("IFERROR(ArrayFormula(SUM(VLOOKUP($C18,importrange(""1MwNMVzWE3QBVOyJjKr3eFX-Sq1Ng0Q1sghWJbgbE_8g"",""ORDER BOOKING REPORT 2024-25!C:CV""),{58,65,72},0))))"),4615195.569999999)</f>
        <v>4615195.57</v>
      </c>
      <c r="BR18" s="327">
        <f>IFERROR(__xludf.DUMMYFUNCTION("IFERROR(ArrayFormula(SUM(VLOOKUP($C18,importrange(""1MwNMVzWE3QBVOyJjKr3eFX-Sq1Ng0Q1sghWJbgbE_8g"",""ORDER BOOKING REPORT 2024-25!C:CV""),{79,86,93},0))))"),4840453.98)</f>
        <v>4840453.98</v>
      </c>
      <c r="BS18" s="328">
        <f t="shared" si="13"/>
        <v>0.9007421667</v>
      </c>
      <c r="BT18" s="328">
        <f t="shared" si="14"/>
        <v>0.03788593406</v>
      </c>
      <c r="BU18" s="234">
        <f t="shared" si="15"/>
        <v>0</v>
      </c>
      <c r="BV18" s="329">
        <v>44575.0</v>
      </c>
      <c r="BW18" s="329" t="s">
        <v>1045</v>
      </c>
      <c r="BX18" s="329">
        <v>371.0</v>
      </c>
      <c r="BY18" s="234">
        <f t="shared" si="16"/>
        <v>0</v>
      </c>
      <c r="BZ18" s="234"/>
      <c r="CA18" s="234"/>
      <c r="CB18" s="234"/>
      <c r="CC18" s="234"/>
      <c r="CD18" s="234"/>
      <c r="CE18" s="234"/>
      <c r="CF18" s="234"/>
      <c r="CG18" s="234" t="str">
        <f t="shared" si="19"/>
        <v> </v>
      </c>
      <c r="CH18" s="234" t="str">
        <f t="shared" si="27"/>
        <v>Business Achieved 50%</v>
      </c>
      <c r="CI18" s="328">
        <f t="shared" si="20"/>
        <v>0.5639534884</v>
      </c>
      <c r="CJ18" s="330">
        <f>IFERROR(__xludf.DUMMYFUNCTION("""COMPUTED_VALUE"""),710.0)</f>
        <v>710</v>
      </c>
      <c r="CK18" s="330">
        <f>IFERROR(__xludf.DUMMYFUNCTION("""COMPUTED_VALUE"""),102.0)</f>
        <v>102</v>
      </c>
      <c r="CL18" s="330">
        <f>IFERROR(__xludf.DUMMYFUNCTION("""COMPUTED_VALUE"""),0.0)</f>
        <v>0</v>
      </c>
      <c r="CM18" s="331">
        <f t="shared" si="21"/>
        <v>0</v>
      </c>
      <c r="CN18" s="337"/>
      <c r="CO18" s="160"/>
      <c r="CP18" s="334" t="s">
        <v>145</v>
      </c>
      <c r="CQ18" s="335">
        <f t="shared" si="22"/>
        <v>3</v>
      </c>
      <c r="CR18" s="335">
        <f t="shared" si="23"/>
        <v>0</v>
      </c>
      <c r="CS18" s="160"/>
      <c r="CT18" s="160">
        <f t="shared" si="24"/>
        <v>0</v>
      </c>
      <c r="CU18" s="160"/>
      <c r="CV18" s="160"/>
      <c r="CW18" s="335"/>
      <c r="CX18" s="288"/>
      <c r="CY18" s="160"/>
      <c r="CZ18" s="160"/>
    </row>
    <row r="19">
      <c r="A19" s="157" t="s">
        <v>322</v>
      </c>
      <c r="B19" s="157" t="s">
        <v>325</v>
      </c>
      <c r="C19" s="157" t="s">
        <v>323</v>
      </c>
      <c r="D19" s="157" t="s">
        <v>1049</v>
      </c>
      <c r="E19" s="157" t="s">
        <v>1050</v>
      </c>
      <c r="F19" s="285">
        <v>42993.0</v>
      </c>
      <c r="G19" s="314">
        <v>0.0</v>
      </c>
      <c r="H19" s="314">
        <v>1.5E7</v>
      </c>
      <c r="I19" s="315">
        <v>1.097199978E7</v>
      </c>
      <c r="J19" s="315">
        <v>0.0</v>
      </c>
      <c r="K19" s="160">
        <v>133.0</v>
      </c>
      <c r="L19" s="160">
        <v>118.0</v>
      </c>
      <c r="M19" s="160">
        <v>10.0</v>
      </c>
      <c r="N19" s="160">
        <v>143.0</v>
      </c>
      <c r="O19" s="160">
        <v>25.0</v>
      </c>
      <c r="P19" s="315">
        <v>8655366.68</v>
      </c>
      <c r="Q19" s="315">
        <v>2316633.1</v>
      </c>
      <c r="R19" s="160">
        <v>100.0</v>
      </c>
      <c r="S19" s="160">
        <v>10.0</v>
      </c>
      <c r="T19" s="160">
        <v>110.0</v>
      </c>
      <c r="U19" s="160">
        <v>0.0</v>
      </c>
      <c r="V19" s="160">
        <v>334.0</v>
      </c>
      <c r="W19" s="160">
        <v>508.0</v>
      </c>
      <c r="X19" s="160">
        <v>400.0</v>
      </c>
      <c r="Y19" s="160">
        <v>8.0</v>
      </c>
      <c r="Z19" s="160">
        <v>359.0</v>
      </c>
      <c r="AA19" s="160">
        <v>0.0</v>
      </c>
      <c r="AB19" s="160">
        <v>0.0</v>
      </c>
      <c r="AC19" s="160">
        <v>1.0</v>
      </c>
      <c r="AD19" s="160">
        <v>1.0</v>
      </c>
      <c r="AE19" s="160">
        <v>732.0</v>
      </c>
      <c r="AF19" s="160">
        <v>1600.0</v>
      </c>
      <c r="AG19" s="160">
        <v>300.0</v>
      </c>
      <c r="AH19" s="314">
        <f t="shared" si="2"/>
        <v>36573.3326</v>
      </c>
      <c r="AI19" s="314">
        <f t="shared" si="3"/>
        <v>5.333333333</v>
      </c>
      <c r="AJ19" s="316">
        <v>51335.0</v>
      </c>
      <c r="AK19" s="314">
        <f t="shared" si="4"/>
        <v>616020</v>
      </c>
      <c r="AL19" s="317">
        <v>148141.0</v>
      </c>
      <c r="AM19" s="318">
        <f t="shared" si="5"/>
        <v>0.06964646512</v>
      </c>
      <c r="AN19" s="314">
        <f t="shared" si="6"/>
        <v>99745.45255</v>
      </c>
      <c r="AO19" s="336">
        <f t="shared" si="28"/>
        <v>0.731466652</v>
      </c>
      <c r="AP19" s="319">
        <v>0.0</v>
      </c>
      <c r="AQ19" s="160">
        <v>642.0</v>
      </c>
      <c r="AR19" s="160">
        <v>2841.0</v>
      </c>
      <c r="AS19" s="160">
        <v>3497.37</v>
      </c>
      <c r="AT19" s="160">
        <v>10.0</v>
      </c>
      <c r="AU19" s="160">
        <v>30.0</v>
      </c>
      <c r="AV19" s="320">
        <v>110.0</v>
      </c>
      <c r="AW19" s="320">
        <v>17.0</v>
      </c>
      <c r="AX19" s="320">
        <v>16.0</v>
      </c>
      <c r="AY19" s="321">
        <f>iferror(VLOOKUP(C19,'ORDER BOOKING REPORT 2025-26'!C:O,13,0),"")</f>
        <v>10597925</v>
      </c>
      <c r="AZ19" s="322"/>
      <c r="BA19" s="157" t="str">
        <f t="shared" si="7"/>
        <v>Active</v>
      </c>
      <c r="BB19" s="157" t="str">
        <f t="shared" si="8"/>
        <v>Old</v>
      </c>
      <c r="BC19" s="157" t="str">
        <f t="shared" si="29"/>
        <v>70%-90%</v>
      </c>
      <c r="BD19" s="223">
        <f t="shared" si="32"/>
        <v>12</v>
      </c>
      <c r="BE19" s="323">
        <v>1250000.0</v>
      </c>
      <c r="BF19" s="157">
        <f t="shared" si="10"/>
        <v>0</v>
      </c>
      <c r="BG19" s="157" t="s">
        <v>1019</v>
      </c>
      <c r="BH19" s="324"/>
      <c r="BI19" s="324"/>
      <c r="BJ19" s="325"/>
      <c r="BK19" s="326"/>
      <c r="BL19" s="326">
        <f t="shared" si="11"/>
        <v>0</v>
      </c>
      <c r="BM19" s="326">
        <f t="shared" si="12"/>
        <v>15000000</v>
      </c>
      <c r="BN19" s="326"/>
      <c r="BO19" s="327" t="str">
        <f>IFERROR(__xludf.DUMMYFUNCTION("IFERROR(ArrayFormula(SUM(VLOOKUP($C19,importrange(""1MwNMVzWE3QBVOyJjKr3eFX-Sq1Ng0Q1sghWJbgbE_8g"",""ORDER BOOKING REPORT 2024-25!C:CV""),{16,23,30},0))))"),"")</f>
        <v/>
      </c>
      <c r="BP19" s="327" t="str">
        <f>IFERROR(__xludf.DUMMYFUNCTION("IFERROR(ArrayFormula(SUM(VLOOKUP($C19,importrange(""1MwNMVzWE3QBVOyJjKr3eFX-Sq1Ng0Q1sghWJbgbE_8g"",""ORDER BOOKING REPORT 2024-25!C:CV""),{37,44,51},0))))"),"")</f>
        <v/>
      </c>
      <c r="BQ19" s="327" t="str">
        <f>IFERROR(__xludf.DUMMYFUNCTION("IFERROR(ArrayFormula(SUM(VLOOKUP($C19,importrange(""1MwNMVzWE3QBVOyJjKr3eFX-Sq1Ng0Q1sghWJbgbE_8g"",""ORDER BOOKING REPORT 2024-25!C:CV""),{58,65,72},0))))"),"")</f>
        <v/>
      </c>
      <c r="BR19" s="327" t="str">
        <f>IFERROR(__xludf.DUMMYFUNCTION("IFERROR(ArrayFormula(SUM(VLOOKUP($C19,importrange(""1MwNMVzWE3QBVOyJjKr3eFX-Sq1Ng0Q1sghWJbgbE_8g"",""ORDER BOOKING REPORT 2024-25!C:CV""),{79,86,93},0))))"),"")</f>
        <v/>
      </c>
      <c r="BS19" s="328">
        <f t="shared" si="13"/>
        <v>0.7065283333</v>
      </c>
      <c r="BT19" s="328">
        <f t="shared" si="14"/>
        <v>0.07210477523</v>
      </c>
      <c r="BU19" s="234">
        <f t="shared" si="15"/>
        <v>0</v>
      </c>
      <c r="BV19" s="329">
        <v>51335.0</v>
      </c>
      <c r="BW19" s="329" t="s">
        <v>1020</v>
      </c>
      <c r="BX19" s="329">
        <v>386.0</v>
      </c>
      <c r="BY19" s="234">
        <f t="shared" si="16"/>
        <v>0</v>
      </c>
      <c r="BZ19" s="234"/>
      <c r="CA19" s="234"/>
      <c r="CB19" s="234"/>
      <c r="CC19" s="234"/>
      <c r="CD19" s="234"/>
      <c r="CE19" s="234"/>
      <c r="CF19" s="234"/>
      <c r="CG19" s="234" t="str">
        <f t="shared" si="19"/>
        <v> </v>
      </c>
      <c r="CH19" s="234" t="str">
        <f t="shared" si="27"/>
        <v>Business Achieved 50%</v>
      </c>
      <c r="CI19" s="328">
        <f t="shared" si="20"/>
        <v>0.7692307692</v>
      </c>
      <c r="CJ19" s="330">
        <f>IFERROR(__xludf.DUMMYFUNCTION("""COMPUTED_VALUE"""),691.0)</f>
        <v>691</v>
      </c>
      <c r="CK19" s="330">
        <f>IFERROR(__xludf.DUMMYFUNCTION("""COMPUTED_VALUE"""),41.0)</f>
        <v>41</v>
      </c>
      <c r="CL19" s="330">
        <f>IFERROR(__xludf.DUMMYFUNCTION("""COMPUTED_VALUE"""),0.0)</f>
        <v>0</v>
      </c>
      <c r="CM19" s="331">
        <f t="shared" si="21"/>
        <v>0</v>
      </c>
      <c r="CN19" s="337"/>
      <c r="CO19" s="160"/>
      <c r="CP19" s="334" t="s">
        <v>222</v>
      </c>
      <c r="CQ19" s="335">
        <f t="shared" si="22"/>
        <v>7</v>
      </c>
      <c r="CR19" s="335">
        <f t="shared" si="23"/>
        <v>0</v>
      </c>
      <c r="CS19" s="160"/>
      <c r="CT19" s="160">
        <f t="shared" si="24"/>
        <v>0</v>
      </c>
      <c r="CU19" s="160"/>
      <c r="CV19" s="160"/>
      <c r="CW19" s="335"/>
      <c r="CX19" s="288"/>
      <c r="CY19" s="160"/>
      <c r="CZ19" s="160"/>
    </row>
    <row r="20">
      <c r="A20" s="157" t="s">
        <v>185</v>
      </c>
      <c r="B20" s="157" t="s">
        <v>189</v>
      </c>
      <c r="C20" s="157" t="s">
        <v>203</v>
      </c>
      <c r="D20" s="157" t="s">
        <v>1016</v>
      </c>
      <c r="E20" s="157" t="s">
        <v>230</v>
      </c>
      <c r="F20" s="338">
        <v>43009.0</v>
      </c>
      <c r="G20" s="314">
        <v>0.0</v>
      </c>
      <c r="H20" s="314">
        <v>0.0</v>
      </c>
      <c r="I20" s="315">
        <v>1259297.28</v>
      </c>
      <c r="J20" s="315">
        <v>0.0</v>
      </c>
      <c r="K20" s="160">
        <v>199.0</v>
      </c>
      <c r="L20" s="160">
        <v>162.0</v>
      </c>
      <c r="M20" s="160">
        <v>27.0</v>
      </c>
      <c r="N20" s="160">
        <v>226.0</v>
      </c>
      <c r="O20" s="160">
        <v>64.0</v>
      </c>
      <c r="P20" s="315">
        <v>966367.0</v>
      </c>
      <c r="Q20" s="315">
        <v>292930.28</v>
      </c>
      <c r="R20" s="160">
        <v>7.0</v>
      </c>
      <c r="S20" s="160">
        <v>1.0</v>
      </c>
      <c r="T20" s="160">
        <v>8.0</v>
      </c>
      <c r="U20" s="160">
        <v>0.0</v>
      </c>
      <c r="V20" s="160">
        <v>14.0</v>
      </c>
      <c r="W20" s="160">
        <v>18.0</v>
      </c>
      <c r="X20" s="160">
        <v>24.0</v>
      </c>
      <c r="Y20" s="160">
        <v>3.0</v>
      </c>
      <c r="Z20" s="160">
        <v>167.0</v>
      </c>
      <c r="AA20" s="160">
        <v>0.0</v>
      </c>
      <c r="AB20" s="160">
        <v>0.0</v>
      </c>
      <c r="AC20" s="160">
        <v>0.0</v>
      </c>
      <c r="AD20" s="160">
        <v>0.0</v>
      </c>
      <c r="AE20" s="160">
        <v>814.0</v>
      </c>
      <c r="AF20" s="160">
        <v>999.0</v>
      </c>
      <c r="AG20" s="160">
        <v>303.0</v>
      </c>
      <c r="AH20" s="314">
        <f t="shared" si="2"/>
        <v>4156.096634</v>
      </c>
      <c r="AI20" s="314">
        <f t="shared" si="3"/>
        <v>3.297029703</v>
      </c>
      <c r="AJ20" s="316">
        <v>54455.0</v>
      </c>
      <c r="AK20" s="314">
        <f t="shared" si="4"/>
        <v>653460</v>
      </c>
      <c r="AL20" s="317">
        <v>186147.0</v>
      </c>
      <c r="AM20" s="318">
        <f t="shared" si="5"/>
        <v>0.6667266049</v>
      </c>
      <c r="AN20" s="314">
        <f t="shared" si="6"/>
        <v>157412.16</v>
      </c>
      <c r="AO20" s="286" t="s">
        <v>972</v>
      </c>
      <c r="AP20" s="319">
        <v>0.0</v>
      </c>
      <c r="AQ20" s="160">
        <v>11.0</v>
      </c>
      <c r="AR20" s="160">
        <v>3123.0</v>
      </c>
      <c r="AS20" s="160">
        <v>3220.77</v>
      </c>
      <c r="AT20" s="160">
        <v>1.0</v>
      </c>
      <c r="AU20" s="160">
        <v>20.0</v>
      </c>
      <c r="AV20" s="320">
        <v>8.0</v>
      </c>
      <c r="AW20" s="320">
        <v>154.0</v>
      </c>
      <c r="AX20" s="320">
        <v>64.0</v>
      </c>
      <c r="AY20" s="321">
        <f>iferror(VLOOKUP(C20,'ORDER BOOKING REPORT 2025-26'!C:O,13,0),"")</f>
        <v>0</v>
      </c>
      <c r="AZ20" s="322"/>
      <c r="BA20" s="157" t="str">
        <f t="shared" si="7"/>
        <v>Active</v>
      </c>
      <c r="BB20" s="157" t="str">
        <f t="shared" si="8"/>
        <v>Old</v>
      </c>
      <c r="BC20" s="160" t="s">
        <v>972</v>
      </c>
      <c r="BD20" s="223">
        <f t="shared" si="32"/>
        <v>12</v>
      </c>
      <c r="BE20" s="323" t="s">
        <v>188</v>
      </c>
      <c r="BF20" s="157">
        <f t="shared" si="10"/>
        <v>26</v>
      </c>
      <c r="BG20" s="234" t="s">
        <v>188</v>
      </c>
      <c r="BH20" s="324"/>
      <c r="BI20" s="324"/>
      <c r="BJ20" s="325"/>
      <c r="BK20" s="326"/>
      <c r="BL20" s="326">
        <f t="shared" si="11"/>
        <v>0</v>
      </c>
      <c r="BM20" s="326">
        <f t="shared" si="12"/>
        <v>0</v>
      </c>
      <c r="BN20" s="326"/>
      <c r="BO20" s="327" t="str">
        <f>IFERROR(__xludf.DUMMYFUNCTION("IFERROR(ArrayFormula(SUM(VLOOKUP($C20,importrange(""1MwNMVzWE3QBVOyJjKr3eFX-Sq1Ng0Q1sghWJbgbE_8g"",""ORDER BOOKING REPORT 2024-25!C:CV""),{16,23,30},0))))"),"")</f>
        <v/>
      </c>
      <c r="BP20" s="327" t="str">
        <f>IFERROR(__xludf.DUMMYFUNCTION("IFERROR(ArrayFormula(SUM(VLOOKUP($C20,importrange(""1MwNMVzWE3QBVOyJjKr3eFX-Sq1Ng0Q1sghWJbgbE_8g"",""ORDER BOOKING REPORT 2024-25!C:CV""),{37,44,51},0))))"),"")</f>
        <v/>
      </c>
      <c r="BQ20" s="327" t="str">
        <f>IFERROR(__xludf.DUMMYFUNCTION("IFERROR(ArrayFormula(SUM(VLOOKUP($C20,importrange(""1MwNMVzWE3QBVOyJjKr3eFX-Sq1Ng0Q1sghWJbgbE_8g"",""ORDER BOOKING REPORT 2024-25!C:CV""),{58,65,72},0))))"),"")</f>
        <v/>
      </c>
      <c r="BR20" s="327" t="str">
        <f>IFERROR(__xludf.DUMMYFUNCTION("IFERROR(ArrayFormula(SUM(VLOOKUP($C20,importrange(""1MwNMVzWE3QBVOyJjKr3eFX-Sq1Ng0Q1sghWJbgbE_8g"",""ORDER BOOKING REPORT 2024-25!C:CV""),{79,86,93},0))))"),"")</f>
        <v/>
      </c>
      <c r="BS20" s="328" t="str">
        <f t="shared" si="13"/>
        <v/>
      </c>
      <c r="BT20" s="328" t="str">
        <f t="shared" si="14"/>
        <v/>
      </c>
      <c r="BU20" s="234">
        <f t="shared" si="15"/>
        <v>0</v>
      </c>
      <c r="BV20" s="329">
        <v>54455.0</v>
      </c>
      <c r="BW20" s="329" t="s">
        <v>1020</v>
      </c>
      <c r="BX20" s="329">
        <v>439.0</v>
      </c>
      <c r="BY20" s="234">
        <f t="shared" si="16"/>
        <v>0</v>
      </c>
      <c r="BZ20" s="234"/>
      <c r="CA20" s="234"/>
      <c r="CB20" s="234"/>
      <c r="CC20" s="234"/>
      <c r="CD20" s="234"/>
      <c r="CE20" s="234"/>
      <c r="CF20" s="234"/>
      <c r="CG20" s="234" t="str">
        <f t="shared" si="19"/>
        <v> </v>
      </c>
      <c r="CH20" s="234" t="str">
        <f t="shared" si="27"/>
        <v>Not 50%</v>
      </c>
      <c r="CI20" s="328">
        <f t="shared" si="20"/>
        <v>0.03539823009</v>
      </c>
      <c r="CJ20" s="330">
        <f>IFERROR(__xludf.DUMMYFUNCTION("""COMPUTED_VALUE"""),88.0)</f>
        <v>88</v>
      </c>
      <c r="CK20" s="330">
        <f>IFERROR(__xludf.DUMMYFUNCTION("""COMPUTED_VALUE"""),726.0)</f>
        <v>726</v>
      </c>
      <c r="CL20" s="330">
        <f>IFERROR(__xludf.DUMMYFUNCTION("""COMPUTED_VALUE"""),0.0)</f>
        <v>0</v>
      </c>
      <c r="CM20" s="331">
        <f t="shared" si="21"/>
        <v>0</v>
      </c>
      <c r="CN20" s="337"/>
      <c r="CO20" s="160"/>
      <c r="CP20" s="334" t="s">
        <v>196</v>
      </c>
      <c r="CQ20" s="335">
        <f t="shared" si="22"/>
        <v>6</v>
      </c>
      <c r="CR20" s="335">
        <f t="shared" si="23"/>
        <v>0</v>
      </c>
      <c r="CS20" s="160"/>
      <c r="CT20" s="160">
        <f t="shared" si="24"/>
        <v>0</v>
      </c>
      <c r="CU20" s="160"/>
      <c r="CV20" s="160"/>
      <c r="CW20" s="335"/>
      <c r="CX20" s="288"/>
      <c r="CY20" s="160"/>
      <c r="CZ20" s="160"/>
    </row>
    <row r="21">
      <c r="A21" s="157" t="s">
        <v>185</v>
      </c>
      <c r="B21" s="157" t="s">
        <v>189</v>
      </c>
      <c r="C21" s="157" t="s">
        <v>205</v>
      </c>
      <c r="D21" s="157" t="s">
        <v>1016</v>
      </c>
      <c r="E21" s="157" t="s">
        <v>243</v>
      </c>
      <c r="F21" s="285">
        <v>43119.0</v>
      </c>
      <c r="G21" s="314">
        <v>0.0</v>
      </c>
      <c r="H21" s="314">
        <v>4.5999996E7</v>
      </c>
      <c r="I21" s="315">
        <v>2.274683714E7</v>
      </c>
      <c r="J21" s="315">
        <v>0.0</v>
      </c>
      <c r="K21" s="160">
        <v>60.0</v>
      </c>
      <c r="L21" s="160">
        <v>41.0</v>
      </c>
      <c r="M21" s="160">
        <v>8.0</v>
      </c>
      <c r="N21" s="160">
        <v>68.0</v>
      </c>
      <c r="O21" s="160">
        <v>27.0</v>
      </c>
      <c r="P21" s="315">
        <v>2.19927353E7</v>
      </c>
      <c r="Q21" s="315">
        <v>754101.84</v>
      </c>
      <c r="R21" s="160">
        <v>8.0</v>
      </c>
      <c r="S21" s="160">
        <v>1.0</v>
      </c>
      <c r="T21" s="160">
        <v>9.0</v>
      </c>
      <c r="U21" s="160">
        <v>0.0</v>
      </c>
      <c r="V21" s="160">
        <v>11.0</v>
      </c>
      <c r="W21" s="160">
        <v>18.0</v>
      </c>
      <c r="X21" s="160">
        <v>66.0</v>
      </c>
      <c r="Y21" s="160">
        <v>4.0</v>
      </c>
      <c r="Z21" s="160">
        <v>89.0</v>
      </c>
      <c r="AA21" s="160">
        <v>0.0</v>
      </c>
      <c r="AB21" s="160">
        <v>0.0</v>
      </c>
      <c r="AC21" s="160">
        <v>0.0</v>
      </c>
      <c r="AD21" s="160">
        <v>0.0</v>
      </c>
      <c r="AE21" s="160">
        <v>336.0</v>
      </c>
      <c r="AF21" s="160">
        <v>443.0</v>
      </c>
      <c r="AG21" s="160">
        <v>282.0</v>
      </c>
      <c r="AH21" s="314">
        <f t="shared" si="2"/>
        <v>80662.54305</v>
      </c>
      <c r="AI21" s="314">
        <f t="shared" si="3"/>
        <v>1.570921986</v>
      </c>
      <c r="AJ21" s="316">
        <v>56700.0</v>
      </c>
      <c r="AK21" s="314">
        <f t="shared" si="4"/>
        <v>680400</v>
      </c>
      <c r="AL21" s="317">
        <v>199030.0</v>
      </c>
      <c r="AM21" s="318">
        <f t="shared" si="5"/>
        <v>0.03866163874</v>
      </c>
      <c r="AN21" s="314">
        <f t="shared" si="6"/>
        <v>2527426.349</v>
      </c>
      <c r="AO21" s="336">
        <f t="shared" ref="AO21:AO32" si="33">iferror(sum(I21:J21)/Sum(G21:H21),"")</f>
        <v>0.4944965026</v>
      </c>
      <c r="AP21" s="319">
        <v>0.0</v>
      </c>
      <c r="AQ21" s="160">
        <v>25.0</v>
      </c>
      <c r="AR21" s="160">
        <v>2327.0</v>
      </c>
      <c r="AS21" s="160">
        <v>2468.57</v>
      </c>
      <c r="AT21" s="160">
        <v>1.0</v>
      </c>
      <c r="AU21" s="160">
        <v>60.0</v>
      </c>
      <c r="AV21" s="320">
        <v>9.0</v>
      </c>
      <c r="AW21" s="320">
        <v>32.0</v>
      </c>
      <c r="AX21" s="320">
        <v>27.0</v>
      </c>
      <c r="AY21" s="321">
        <f>iferror(VLOOKUP(C21,'ORDER BOOKING REPORT 2025-26'!C:O,13,0),"")</f>
        <v>44406509</v>
      </c>
      <c r="AZ21" s="322"/>
      <c r="BA21" s="157" t="str">
        <f t="shared" si="7"/>
        <v>Active</v>
      </c>
      <c r="BB21" s="157" t="str">
        <f t="shared" si="8"/>
        <v>Old</v>
      </c>
      <c r="BC21" s="157" t="str">
        <f t="shared" ref="BC21:BC32" si="34">IFS(AO21&lt;50%,"Below 50%",AO21&lt;70%,"50%-70%",AO21&lt;90%,"70%-90%",AO21&lt;100%,"90%-100%",AO21&gt;100%,"Above 100%")</f>
        <v>Below 50%</v>
      </c>
      <c r="BD21" s="223">
        <f t="shared" si="32"/>
        <v>12</v>
      </c>
      <c r="BE21" s="323">
        <v>3833333.0</v>
      </c>
      <c r="BF21" s="157">
        <f t="shared" si="10"/>
        <v>7</v>
      </c>
      <c r="BG21" s="157" t="s">
        <v>1019</v>
      </c>
      <c r="BH21" s="324">
        <f>IFERROR(__xludf.DUMMYFUNCTION("""COMPUTED_VALUE"""),8.333392183E7)</f>
        <v>83333921.83</v>
      </c>
      <c r="BI21" s="324">
        <f>IFERROR(__xludf.DUMMYFUNCTION("""COMPUTED_VALUE"""),5.12014294E7)</f>
        <v>51201429.4</v>
      </c>
      <c r="BJ21" s="325"/>
      <c r="BK21" s="326"/>
      <c r="BL21" s="326">
        <f t="shared" si="11"/>
        <v>0</v>
      </c>
      <c r="BM21" s="326">
        <f t="shared" si="12"/>
        <v>45999996</v>
      </c>
      <c r="BN21" s="326"/>
      <c r="BO21" s="327">
        <f>IFERROR(__xludf.DUMMYFUNCTION("IFERROR(ArrayFormula(SUM(VLOOKUP($C21,importrange(""1MwNMVzWE3QBVOyJjKr3eFX-Sq1Ng0Q1sghWJbgbE_8g"",""ORDER BOOKING REPORT 2024-25!C:CV""),{16,23,30},0))))"),8987476.7)</f>
        <v>8987476.7</v>
      </c>
      <c r="BP21" s="327">
        <f>IFERROR(__xludf.DUMMYFUNCTION("IFERROR(ArrayFormula(SUM(VLOOKUP($C21,importrange(""1MwNMVzWE3QBVOyJjKr3eFX-Sq1Ng0Q1sghWJbgbE_8g"",""ORDER BOOKING REPORT 2024-25!C:CV""),{37,44,51},0))))"),9986998.8)</f>
        <v>9986998.8</v>
      </c>
      <c r="BQ21" s="327">
        <f>IFERROR(__xludf.DUMMYFUNCTION("IFERROR(ArrayFormula(SUM(VLOOKUP($C21,importrange(""1MwNMVzWE3QBVOyJjKr3eFX-Sq1Ng0Q1sghWJbgbE_8g"",""ORDER BOOKING REPORT 2024-25!C:CV""),{58,65,72},0))))"),1.97598409E7)</f>
        <v>19759840.9</v>
      </c>
      <c r="BR21" s="327">
        <f>IFERROR(__xludf.DUMMYFUNCTION("IFERROR(ArrayFormula(SUM(VLOOKUP($C21,importrange(""1MwNMVzWE3QBVOyJjKr3eFX-Sq1Ng0Q1sghWJbgbE_8g"",""ORDER BOOKING REPORT 2024-25!C:CV""),{79,86,93},0))))"),1.2467113E7)</f>
        <v>12467113</v>
      </c>
      <c r="BS21" s="328">
        <f t="shared" si="13"/>
        <v>0.9653589752</v>
      </c>
      <c r="BT21" s="328">
        <f t="shared" si="14"/>
        <v>0.01980407872</v>
      </c>
      <c r="BU21" s="234">
        <f t="shared" si="15"/>
        <v>0</v>
      </c>
      <c r="BV21" s="329">
        <v>56700.0</v>
      </c>
      <c r="BW21" s="329" t="s">
        <v>1020</v>
      </c>
      <c r="BX21" s="329">
        <v>437.0</v>
      </c>
      <c r="BY21" s="234">
        <f t="shared" si="16"/>
        <v>0</v>
      </c>
      <c r="BZ21" s="234"/>
      <c r="CA21" s="234"/>
      <c r="CB21" s="234"/>
      <c r="CC21" s="234"/>
      <c r="CD21" s="234"/>
      <c r="CE21" s="234"/>
      <c r="CF21" s="234"/>
      <c r="CG21" s="234" t="str">
        <f t="shared" si="19"/>
        <v> </v>
      </c>
      <c r="CH21" s="234" t="str">
        <f t="shared" si="27"/>
        <v>Not 50%</v>
      </c>
      <c r="CI21" s="328">
        <f t="shared" si="20"/>
        <v>0.1323529412</v>
      </c>
      <c r="CJ21" s="330">
        <f>IFERROR(__xludf.DUMMYFUNCTION("""COMPUTED_VALUE"""),242.0)</f>
        <v>242</v>
      </c>
      <c r="CK21" s="330">
        <f>IFERROR(__xludf.DUMMYFUNCTION("""COMPUTED_VALUE"""),94.0)</f>
        <v>94</v>
      </c>
      <c r="CL21" s="330">
        <f>IFERROR(__xludf.DUMMYFUNCTION("""COMPUTED_VALUE"""),0.0)</f>
        <v>0</v>
      </c>
      <c r="CM21" s="331">
        <f t="shared" si="21"/>
        <v>0</v>
      </c>
      <c r="CN21" s="337"/>
      <c r="CO21" s="160"/>
      <c r="CP21" s="334" t="s">
        <v>50</v>
      </c>
      <c r="CQ21" s="335">
        <f t="shared" si="22"/>
        <v>2</v>
      </c>
      <c r="CR21" s="335">
        <f t="shared" si="23"/>
        <v>1</v>
      </c>
      <c r="CS21" s="160"/>
      <c r="CT21" s="160">
        <f t="shared" si="24"/>
        <v>0</v>
      </c>
      <c r="CU21" s="160"/>
      <c r="CV21" s="160"/>
      <c r="CW21" s="335"/>
      <c r="CX21" s="288"/>
      <c r="CY21" s="160"/>
      <c r="CZ21" s="160"/>
    </row>
    <row r="22">
      <c r="A22" s="157" t="s">
        <v>185</v>
      </c>
      <c r="B22" s="157" t="s">
        <v>114</v>
      </c>
      <c r="C22" s="157" t="s">
        <v>112</v>
      </c>
      <c r="D22" s="157" t="s">
        <v>1051</v>
      </c>
      <c r="E22" s="157" t="s">
        <v>1052</v>
      </c>
      <c r="F22" s="285">
        <v>43185.0</v>
      </c>
      <c r="G22" s="314">
        <v>3541667.0</v>
      </c>
      <c r="H22" s="314">
        <v>1.26E7</v>
      </c>
      <c r="I22" s="315">
        <v>4732528.91</v>
      </c>
      <c r="J22" s="315">
        <v>0.0</v>
      </c>
      <c r="K22" s="160">
        <v>109.0</v>
      </c>
      <c r="L22" s="160">
        <v>105.0</v>
      </c>
      <c r="M22" s="160">
        <v>7.0</v>
      </c>
      <c r="N22" s="160">
        <v>116.0</v>
      </c>
      <c r="O22" s="160">
        <v>11.0</v>
      </c>
      <c r="P22" s="315">
        <v>4523552.37</v>
      </c>
      <c r="Q22" s="315">
        <v>208976.54</v>
      </c>
      <c r="R22" s="160">
        <v>57.0</v>
      </c>
      <c r="S22" s="160">
        <v>4.0</v>
      </c>
      <c r="T22" s="160">
        <v>61.0</v>
      </c>
      <c r="U22" s="160">
        <v>0.0</v>
      </c>
      <c r="V22" s="160">
        <v>22.0</v>
      </c>
      <c r="W22" s="160">
        <v>46.0</v>
      </c>
      <c r="X22" s="160">
        <v>88.0</v>
      </c>
      <c r="Y22" s="160">
        <v>1.0</v>
      </c>
      <c r="Z22" s="160">
        <v>1.0</v>
      </c>
      <c r="AA22" s="160">
        <v>1.0</v>
      </c>
      <c r="AB22" s="160">
        <v>6.0</v>
      </c>
      <c r="AC22" s="160">
        <v>0.0</v>
      </c>
      <c r="AD22" s="160">
        <v>0.0</v>
      </c>
      <c r="AE22" s="160">
        <v>858.0</v>
      </c>
      <c r="AF22" s="160">
        <v>911.0</v>
      </c>
      <c r="AG22" s="160">
        <v>166.0</v>
      </c>
      <c r="AH22" s="314">
        <f t="shared" si="2"/>
        <v>28509.2103</v>
      </c>
      <c r="AI22" s="314">
        <f t="shared" si="3"/>
        <v>5.487951807</v>
      </c>
      <c r="AJ22" s="316">
        <f>BV22</f>
        <v>34650</v>
      </c>
      <c r="AK22" s="314">
        <f>AJ22*0.5</f>
        <v>17325</v>
      </c>
      <c r="AL22" s="286">
        <v>112040.0</v>
      </c>
      <c r="AM22" s="318">
        <f t="shared" si="5"/>
        <v>0.0273352794</v>
      </c>
      <c r="AN22" s="314">
        <f t="shared" si="6"/>
        <v>77582.44115</v>
      </c>
      <c r="AO22" s="336">
        <f t="shared" si="33"/>
        <v>0.2931871231</v>
      </c>
      <c r="AP22" s="319">
        <v>0.0</v>
      </c>
      <c r="AQ22" s="160">
        <v>147.0</v>
      </c>
      <c r="AR22" s="160">
        <v>1699.0</v>
      </c>
      <c r="AS22" s="160">
        <v>2370.92</v>
      </c>
      <c r="AT22" s="160">
        <v>4.0</v>
      </c>
      <c r="AU22" s="160">
        <v>23.0</v>
      </c>
      <c r="AV22" s="320">
        <v>61.0</v>
      </c>
      <c r="AW22" s="320">
        <v>44.0</v>
      </c>
      <c r="AX22" s="320">
        <v>11.0</v>
      </c>
      <c r="AY22" s="321">
        <f>iferror(VLOOKUP(C22,'ORDER BOOKING REPORT 2025-26'!C:O,13,0),"")</f>
        <v>4796658.88</v>
      </c>
      <c r="AZ22" s="322"/>
      <c r="BA22" s="157" t="str">
        <f t="shared" si="7"/>
        <v>Active</v>
      </c>
      <c r="BB22" s="157" t="str">
        <f t="shared" si="8"/>
        <v>Old</v>
      </c>
      <c r="BC22" s="157" t="str">
        <f t="shared" si="34"/>
        <v>Below 50%</v>
      </c>
      <c r="BD22" s="223">
        <v>8.5</v>
      </c>
      <c r="BE22" s="326">
        <v>1816666.6667</v>
      </c>
      <c r="BF22" s="157">
        <f t="shared" si="10"/>
        <v>3</v>
      </c>
      <c r="BG22" s="157" t="s">
        <v>1019</v>
      </c>
      <c r="BH22" s="324"/>
      <c r="BI22" s="324"/>
      <c r="BJ22" s="343">
        <f>15/30</f>
        <v>0.5</v>
      </c>
      <c r="BK22" s="326">
        <v>416666.6667</v>
      </c>
      <c r="BL22" s="326">
        <f t="shared" si="11"/>
        <v>3541666.667</v>
      </c>
      <c r="BM22" s="326">
        <f t="shared" si="12"/>
        <v>16141666.67</v>
      </c>
      <c r="BN22" s="326" t="s">
        <v>1053</v>
      </c>
      <c r="BO22" s="327" t="str">
        <f>IFERROR(__xludf.DUMMYFUNCTION("IFERROR(ArrayFormula(SUM(VLOOKUP($C22,importrange(""1MwNMVzWE3QBVOyJjKr3eFX-Sq1Ng0Q1sghWJbgbE_8g"",""ORDER BOOKING REPORT 2024-25!C:CV""),{16,23,30},0))))"),"")</f>
        <v/>
      </c>
      <c r="BP22" s="327" t="str">
        <f>IFERROR(__xludf.DUMMYFUNCTION("IFERROR(ArrayFormula(SUM(VLOOKUP($C22,importrange(""1MwNMVzWE3QBVOyJjKr3eFX-Sq1Ng0Q1sghWJbgbE_8g"",""ORDER BOOKING REPORT 2024-25!C:CV""),{37,44,51},0))))"),"")</f>
        <v/>
      </c>
      <c r="BQ22" s="327" t="str">
        <f>IFERROR(__xludf.DUMMYFUNCTION("IFERROR(ArrayFormula(SUM(VLOOKUP($C22,importrange(""1MwNMVzWE3QBVOyJjKr3eFX-Sq1Ng0Q1sghWJbgbE_8g"",""ORDER BOOKING REPORT 2024-25!C:CV""),{58,65,72},0))))"),"")</f>
        <v/>
      </c>
      <c r="BR22" s="327" t="str">
        <f>IFERROR(__xludf.DUMMYFUNCTION("IFERROR(ArrayFormula(SUM(VLOOKUP($C22,importrange(""1MwNMVzWE3QBVOyJjKr3eFX-Sq1Ng0Q1sghWJbgbE_8g"",""ORDER BOOKING REPORT 2024-25!C:CV""),{79,86,93},0))))"),"")</f>
        <v/>
      </c>
      <c r="BS22" s="328">
        <f t="shared" si="13"/>
        <v>0.2971600752</v>
      </c>
      <c r="BT22" s="328">
        <f t="shared" si="14"/>
        <v>0.02696981446</v>
      </c>
      <c r="BU22" s="234">
        <f t="shared" si="15"/>
        <v>-0.33305</v>
      </c>
      <c r="BV22" s="329">
        <v>34650.0</v>
      </c>
      <c r="BW22" s="329" t="s">
        <v>1045</v>
      </c>
      <c r="BX22" s="329">
        <v>427.0</v>
      </c>
      <c r="BY22" s="234">
        <f t="shared" si="16"/>
        <v>0</v>
      </c>
      <c r="BZ22" s="234"/>
      <c r="CA22" s="234"/>
      <c r="CB22" s="234"/>
      <c r="CC22" s="234"/>
      <c r="CD22" s="234"/>
      <c r="CE22" s="234"/>
      <c r="CF22" s="234"/>
      <c r="CG22" s="234" t="str">
        <f t="shared" si="19"/>
        <v> </v>
      </c>
      <c r="CH22" s="234" t="str">
        <f t="shared" si="27"/>
        <v>Business Achieved 50%</v>
      </c>
      <c r="CI22" s="328">
        <f t="shared" si="20"/>
        <v>0.525862069</v>
      </c>
      <c r="CJ22" s="339">
        <f>IFERROR(__xludf.DUMMYFUNCTION("""COMPUTED_VALUE"""),497.0)</f>
        <v>497</v>
      </c>
      <c r="CK22" s="339">
        <f>IFERROR(__xludf.DUMMYFUNCTION("""COMPUTED_VALUE"""),361.0)</f>
        <v>361</v>
      </c>
      <c r="CL22" s="339">
        <f>IFERROR(__xludf.DUMMYFUNCTION("""COMPUTED_VALUE"""),0.0)</f>
        <v>0</v>
      </c>
      <c r="CM22" s="331">
        <f t="shared" si="21"/>
        <v>0</v>
      </c>
      <c r="CN22" s="340"/>
      <c r="CO22" s="328"/>
      <c r="CP22" s="341" t="s">
        <v>56</v>
      </c>
      <c r="CQ22" s="335">
        <f t="shared" si="22"/>
        <v>5</v>
      </c>
      <c r="CR22" s="335">
        <f t="shared" si="23"/>
        <v>1</v>
      </c>
      <c r="CS22" s="328"/>
      <c r="CT22" s="160">
        <f t="shared" si="24"/>
        <v>0</v>
      </c>
      <c r="CU22" s="328"/>
      <c r="CV22" s="328"/>
      <c r="CW22" s="328"/>
      <c r="CX22" s="288"/>
      <c r="CY22" s="328"/>
      <c r="CZ22" s="328"/>
    </row>
    <row r="23">
      <c r="A23" s="157" t="s">
        <v>185</v>
      </c>
      <c r="B23" s="157" t="s">
        <v>189</v>
      </c>
      <c r="C23" s="157" t="s">
        <v>206</v>
      </c>
      <c r="D23" s="157" t="s">
        <v>1016</v>
      </c>
      <c r="E23" s="157" t="s">
        <v>192</v>
      </c>
      <c r="F23" s="338">
        <v>43255.0</v>
      </c>
      <c r="G23" s="314">
        <v>0.0</v>
      </c>
      <c r="H23" s="314">
        <v>6.3999996E7</v>
      </c>
      <c r="I23" s="315">
        <v>3.201727586E7</v>
      </c>
      <c r="J23" s="315">
        <v>0.0</v>
      </c>
      <c r="K23" s="160">
        <v>145.0</v>
      </c>
      <c r="L23" s="160">
        <v>135.0</v>
      </c>
      <c r="M23" s="160">
        <v>6.0</v>
      </c>
      <c r="N23" s="160">
        <v>151.0</v>
      </c>
      <c r="O23" s="160">
        <v>16.0</v>
      </c>
      <c r="P23" s="315">
        <v>3.096055386E7</v>
      </c>
      <c r="Q23" s="315">
        <v>1056722.0</v>
      </c>
      <c r="R23" s="160">
        <v>49.0</v>
      </c>
      <c r="S23" s="160">
        <v>6.0</v>
      </c>
      <c r="T23" s="160">
        <v>55.0</v>
      </c>
      <c r="U23" s="160">
        <v>0.0</v>
      </c>
      <c r="V23" s="160">
        <v>17.0</v>
      </c>
      <c r="W23" s="160">
        <v>34.0</v>
      </c>
      <c r="X23" s="160">
        <v>33.0</v>
      </c>
      <c r="Y23" s="160">
        <v>3.0</v>
      </c>
      <c r="Z23" s="160">
        <v>62.0</v>
      </c>
      <c r="AA23" s="160">
        <v>0.0</v>
      </c>
      <c r="AB23" s="160">
        <v>0.0</v>
      </c>
      <c r="AC23" s="160">
        <v>0.0</v>
      </c>
      <c r="AD23" s="160">
        <v>0.0</v>
      </c>
      <c r="AE23" s="160">
        <v>1242.0</v>
      </c>
      <c r="AF23" s="160">
        <v>1338.0</v>
      </c>
      <c r="AG23" s="160">
        <v>299.0</v>
      </c>
      <c r="AH23" s="314">
        <f t="shared" si="2"/>
        <v>107081.1902</v>
      </c>
      <c r="AI23" s="314">
        <f t="shared" si="3"/>
        <v>4.474916388</v>
      </c>
      <c r="AJ23" s="316">
        <v>46670.0</v>
      </c>
      <c r="AK23" s="314">
        <f t="shared" ref="AK23:AK87" si="35">AJ23*BD23</f>
        <v>560040</v>
      </c>
      <c r="AL23" s="317">
        <v>266780.0</v>
      </c>
      <c r="AM23" s="318">
        <f t="shared" si="5"/>
        <v>0.02582418328</v>
      </c>
      <c r="AN23" s="314">
        <f t="shared" si="6"/>
        <v>582132.2884</v>
      </c>
      <c r="AO23" s="336">
        <f t="shared" si="33"/>
        <v>0.5002699666</v>
      </c>
      <c r="AP23" s="319">
        <v>0.0</v>
      </c>
      <c r="AQ23" s="160">
        <v>304.0</v>
      </c>
      <c r="AR23" s="160">
        <v>3183.0</v>
      </c>
      <c r="AS23" s="160">
        <v>1060.31</v>
      </c>
      <c r="AT23" s="160">
        <v>6.0</v>
      </c>
      <c r="AU23" s="160">
        <v>8.0</v>
      </c>
      <c r="AV23" s="320">
        <v>55.0</v>
      </c>
      <c r="AW23" s="320">
        <v>80.0</v>
      </c>
      <c r="AX23" s="320">
        <v>16.0</v>
      </c>
      <c r="AY23" s="321">
        <f>iferror(VLOOKUP(C23,'ORDER BOOKING REPORT 2025-26'!C:O,13,0),"")</f>
        <v>31335230</v>
      </c>
      <c r="AZ23" s="322"/>
      <c r="BA23" s="157" t="str">
        <f t="shared" si="7"/>
        <v>Active</v>
      </c>
      <c r="BB23" s="157" t="str">
        <f t="shared" si="8"/>
        <v>Old</v>
      </c>
      <c r="BC23" s="157" t="str">
        <f t="shared" si="34"/>
        <v>50%-70%</v>
      </c>
      <c r="BD23" s="223">
        <f t="shared" ref="BD23:BD32" si="36">Match($BD$2,{"Apr","May","Jun","Jul","Aug","Sep","Oct","Nov","Dec","Jan","Feb","Mar"},0)</f>
        <v>12</v>
      </c>
      <c r="BE23" s="323">
        <v>5333333.0</v>
      </c>
      <c r="BF23" s="157">
        <f t="shared" si="10"/>
        <v>0</v>
      </c>
      <c r="BG23" s="157" t="s">
        <v>1019</v>
      </c>
      <c r="BH23" s="324"/>
      <c r="BI23" s="324"/>
      <c r="BJ23" s="325"/>
      <c r="BK23" s="326"/>
      <c r="BL23" s="326">
        <f t="shared" si="11"/>
        <v>0</v>
      </c>
      <c r="BM23" s="326">
        <f t="shared" si="12"/>
        <v>63999996</v>
      </c>
      <c r="BN23" s="326"/>
      <c r="BO23" s="327" t="str">
        <f>IFERROR(__xludf.DUMMYFUNCTION("IFERROR(ArrayFormula(SUM(VLOOKUP($C23,importrange(""1MwNMVzWE3QBVOyJjKr3eFX-Sq1Ng0Q1sghWJbgbE_8g"",""ORDER BOOKING REPORT 2024-25!C:CV""),{16,23,30},0))))"),"")</f>
        <v/>
      </c>
      <c r="BP23" s="327" t="str">
        <f>IFERROR(__xludf.DUMMYFUNCTION("IFERROR(ArrayFormula(SUM(VLOOKUP($C23,importrange(""1MwNMVzWE3QBVOyJjKr3eFX-Sq1Ng0Q1sghWJbgbE_8g"",""ORDER BOOKING REPORT 2024-25!C:CV""),{37,44,51},0))))"),"")</f>
        <v/>
      </c>
      <c r="BQ23" s="327" t="str">
        <f>IFERROR(__xludf.DUMMYFUNCTION("IFERROR(ArrayFormula(SUM(VLOOKUP($C23,importrange(""1MwNMVzWE3QBVOyJjKr3eFX-Sq1Ng0Q1sghWJbgbE_8g"",""ORDER BOOKING REPORT 2024-25!C:CV""),{58,65,72},0))))"),"")</f>
        <v/>
      </c>
      <c r="BR23" s="327" t="str">
        <f>IFERROR(__xludf.DUMMYFUNCTION("IFERROR(ArrayFormula(SUM(VLOOKUP($C23,importrange(""1MwNMVzWE3QBVOyJjKr3eFX-Sq1Ng0Q1sghWJbgbE_8g"",""ORDER BOOKING REPORT 2024-25!C:CV""),{79,86,93},0))))"),"")</f>
        <v/>
      </c>
      <c r="BS23" s="328">
        <f t="shared" si="13"/>
        <v>0.4896129994</v>
      </c>
      <c r="BT23" s="328">
        <f t="shared" si="14"/>
        <v>0.02638627513</v>
      </c>
      <c r="BU23" s="234">
        <f t="shared" si="15"/>
        <v>0</v>
      </c>
      <c r="BV23" s="329">
        <v>46670.0</v>
      </c>
      <c r="BW23" s="329" t="s">
        <v>1039</v>
      </c>
      <c r="BX23" s="329">
        <v>477.0</v>
      </c>
      <c r="BY23" s="234">
        <f t="shared" si="16"/>
        <v>0</v>
      </c>
      <c r="BZ23" s="234"/>
      <c r="CA23" s="234"/>
      <c r="CB23" s="234"/>
      <c r="CC23" s="234"/>
      <c r="CD23" s="234"/>
      <c r="CE23" s="234"/>
      <c r="CF23" s="234"/>
      <c r="CG23" s="234" t="str">
        <f t="shared" si="19"/>
        <v> </v>
      </c>
      <c r="CH23" s="234" t="str">
        <f t="shared" si="27"/>
        <v>Not 50%</v>
      </c>
      <c r="CI23" s="328">
        <f t="shared" si="20"/>
        <v>0.3642384106</v>
      </c>
      <c r="CJ23" s="330">
        <f>IFERROR(__xludf.DUMMYFUNCTION("""COMPUTED_VALUE"""),696.0)</f>
        <v>696</v>
      </c>
      <c r="CK23" s="330">
        <f>IFERROR(__xludf.DUMMYFUNCTION("""COMPUTED_VALUE"""),546.0)</f>
        <v>546</v>
      </c>
      <c r="CL23" s="330">
        <f>IFERROR(__xludf.DUMMYFUNCTION("""COMPUTED_VALUE"""),0.0)</f>
        <v>0</v>
      </c>
      <c r="CM23" s="331">
        <f t="shared" si="21"/>
        <v>0</v>
      </c>
      <c r="CN23" s="337"/>
      <c r="CO23" s="160"/>
      <c r="CP23" s="334" t="s">
        <v>85</v>
      </c>
      <c r="CQ23" s="335">
        <f t="shared" si="22"/>
        <v>4</v>
      </c>
      <c r="CR23" s="335">
        <f t="shared" si="23"/>
        <v>0</v>
      </c>
      <c r="CS23" s="160"/>
      <c r="CT23" s="160">
        <f t="shared" si="24"/>
        <v>0</v>
      </c>
      <c r="CU23" s="160"/>
      <c r="CV23" s="160"/>
      <c r="CW23" s="335"/>
      <c r="CX23" s="288"/>
      <c r="CY23" s="160"/>
      <c r="CZ23" s="160"/>
    </row>
    <row r="24">
      <c r="A24" s="157" t="s">
        <v>126</v>
      </c>
      <c r="B24" s="157" t="s">
        <v>135</v>
      </c>
      <c r="C24" s="157" t="s">
        <v>136</v>
      </c>
      <c r="D24" s="157" t="s">
        <v>1042</v>
      </c>
      <c r="E24" s="157" t="s">
        <v>137</v>
      </c>
      <c r="F24" s="338">
        <v>43315.0</v>
      </c>
      <c r="G24" s="314">
        <v>3600000.0</v>
      </c>
      <c r="H24" s="314">
        <v>4.6400004E7</v>
      </c>
      <c r="I24" s="315">
        <v>4.701446465E7</v>
      </c>
      <c r="J24" s="315">
        <v>298483.24</v>
      </c>
      <c r="K24" s="160">
        <v>106.0</v>
      </c>
      <c r="L24" s="160">
        <v>122.0</v>
      </c>
      <c r="M24" s="160">
        <v>21.0</v>
      </c>
      <c r="N24" s="160">
        <v>127.0</v>
      </c>
      <c r="O24" s="160">
        <v>5.0</v>
      </c>
      <c r="P24" s="315">
        <v>4.511557041E7</v>
      </c>
      <c r="Q24" s="315">
        <v>1898894.24</v>
      </c>
      <c r="R24" s="160">
        <v>85.0</v>
      </c>
      <c r="S24" s="160">
        <v>15.0</v>
      </c>
      <c r="T24" s="160">
        <v>100.0</v>
      </c>
      <c r="U24" s="160">
        <v>2.0</v>
      </c>
      <c r="V24" s="160">
        <v>14.0</v>
      </c>
      <c r="W24" s="160">
        <v>18.0</v>
      </c>
      <c r="X24" s="160">
        <v>11.0</v>
      </c>
      <c r="Y24" s="160">
        <v>10.0</v>
      </c>
      <c r="Z24" s="160">
        <v>63.0</v>
      </c>
      <c r="AA24" s="160">
        <v>2.0</v>
      </c>
      <c r="AB24" s="160">
        <v>2.0</v>
      </c>
      <c r="AC24" s="160">
        <v>3.0</v>
      </c>
      <c r="AD24" s="160">
        <v>3.0</v>
      </c>
      <c r="AE24" s="160">
        <v>1288.0</v>
      </c>
      <c r="AF24" s="160">
        <v>1374.0</v>
      </c>
      <c r="AG24" s="160">
        <v>294.0</v>
      </c>
      <c r="AH24" s="314">
        <f t="shared" si="2"/>
        <v>160928.3942</v>
      </c>
      <c r="AI24" s="314">
        <f t="shared" si="3"/>
        <v>4.673469388</v>
      </c>
      <c r="AJ24" s="316">
        <f t="shared" ref="AJ24:AJ25" si="37">BV24</f>
        <v>140000</v>
      </c>
      <c r="AK24" s="314">
        <f t="shared" si="35"/>
        <v>1680000</v>
      </c>
      <c r="AL24" s="286">
        <v>290356.0</v>
      </c>
      <c r="AM24" s="318">
        <f t="shared" si="5"/>
        <v>0.04164517511</v>
      </c>
      <c r="AN24" s="314">
        <f t="shared" si="6"/>
        <v>470144.6465</v>
      </c>
      <c r="AO24" s="336">
        <f t="shared" si="33"/>
        <v>0.9462588821</v>
      </c>
      <c r="AP24" s="319">
        <v>0.08</v>
      </c>
      <c r="AQ24" s="160">
        <v>1348.0</v>
      </c>
      <c r="AR24" s="160">
        <v>2273.0</v>
      </c>
      <c r="AS24" s="160">
        <v>1239.02</v>
      </c>
      <c r="AT24" s="160">
        <v>15.0</v>
      </c>
      <c r="AU24" s="160">
        <v>10.0</v>
      </c>
      <c r="AV24" s="320">
        <v>100.0</v>
      </c>
      <c r="AW24" s="320">
        <v>23.0</v>
      </c>
      <c r="AX24" s="320">
        <v>4.0</v>
      </c>
      <c r="AY24" s="321">
        <f>iferror(VLOOKUP(C24,'ORDER BOOKING REPORT 2025-26'!C:O,13,0),"")</f>
        <v>46407355</v>
      </c>
      <c r="AZ24" s="322"/>
      <c r="BA24" s="157" t="str">
        <f t="shared" si="7"/>
        <v>Active</v>
      </c>
      <c r="BB24" s="157" t="str">
        <f t="shared" si="8"/>
        <v>Old</v>
      </c>
      <c r="BC24" s="157" t="str">
        <f t="shared" si="34"/>
        <v>90%-100%</v>
      </c>
      <c r="BD24" s="223">
        <f t="shared" si="36"/>
        <v>12</v>
      </c>
      <c r="BE24" s="323">
        <v>4166667.0</v>
      </c>
      <c r="BF24" s="157">
        <f t="shared" si="10"/>
        <v>6</v>
      </c>
      <c r="BG24" s="157" t="s">
        <v>1019</v>
      </c>
      <c r="BH24" s="324"/>
      <c r="BI24" s="324"/>
      <c r="BJ24" s="325"/>
      <c r="BK24" s="326">
        <v>300000.0</v>
      </c>
      <c r="BL24" s="326">
        <f t="shared" si="11"/>
        <v>3600000</v>
      </c>
      <c r="BM24" s="326">
        <f t="shared" si="12"/>
        <v>50000004</v>
      </c>
      <c r="BN24" s="326"/>
      <c r="BO24" s="327" t="str">
        <f>IFERROR(__xludf.DUMMYFUNCTION("IFERROR(ArrayFormula(SUM(VLOOKUP($C24,importrange(""1MwNMVzWE3QBVOyJjKr3eFX-Sq1Ng0Q1sghWJbgbE_8g"",""ORDER BOOKING REPORT 2024-25!C:CV""),{16,23,30},0))))"),"")</f>
        <v/>
      </c>
      <c r="BP24" s="327" t="str">
        <f>IFERROR(__xludf.DUMMYFUNCTION("IFERROR(ArrayFormula(SUM(VLOOKUP($C24,importrange(""1MwNMVzWE3QBVOyJjKr3eFX-Sq1Ng0Q1sghWJbgbE_8g"",""ORDER BOOKING REPORT 2024-25!C:CV""),{37,44,51},0))))"),"")</f>
        <v/>
      </c>
      <c r="BQ24" s="327" t="str">
        <f>IFERROR(__xludf.DUMMYFUNCTION("IFERROR(ArrayFormula(SUM(VLOOKUP($C24,importrange(""1MwNMVzWE3QBVOyJjKr3eFX-Sq1Ng0Q1sghWJbgbE_8g"",""ORDER BOOKING REPORT 2024-25!C:CV""),{58,65,72},0))))"),"")</f>
        <v/>
      </c>
      <c r="BR24" s="327" t="str">
        <f>IFERROR(__xludf.DUMMYFUNCTION("IFERROR(ArrayFormula(SUM(VLOOKUP($C24,importrange(""1MwNMVzWE3QBVOyJjKr3eFX-Sq1Ng0Q1sghWJbgbE_8g"",""ORDER BOOKING REPORT 2024-25!C:CV""),{79,86,93},0))))"),"")</f>
        <v/>
      </c>
      <c r="BS24" s="328">
        <f t="shared" si="13"/>
        <v>0.9281470257</v>
      </c>
      <c r="BT24" s="328">
        <f t="shared" si="14"/>
        <v>0.04245783885</v>
      </c>
      <c r="BU24" s="234">
        <f t="shared" si="15"/>
        <v>0</v>
      </c>
      <c r="BV24" s="329">
        <v>140000.0</v>
      </c>
      <c r="BW24" s="329" t="s">
        <v>1023</v>
      </c>
      <c r="BX24" s="329">
        <v>464.0</v>
      </c>
      <c r="BY24" s="234">
        <f t="shared" si="16"/>
        <v>0</v>
      </c>
      <c r="BZ24" s="234"/>
      <c r="CA24" s="234"/>
      <c r="CB24" s="234"/>
      <c r="CC24" s="234"/>
      <c r="CD24" s="234"/>
      <c r="CE24" s="234"/>
      <c r="CF24" s="234"/>
      <c r="CG24" s="234" t="str">
        <f t="shared" si="19"/>
        <v> </v>
      </c>
      <c r="CH24" s="234" t="str">
        <f t="shared" si="27"/>
        <v>Business Achieved 50%</v>
      </c>
      <c r="CI24" s="328">
        <f t="shared" si="20"/>
        <v>0.7874015748</v>
      </c>
      <c r="CJ24" s="339">
        <f>IFERROR(__xludf.DUMMYFUNCTION("""COMPUTED_VALUE"""),1250.0)</f>
        <v>1250</v>
      </c>
      <c r="CK24" s="339">
        <f>IFERROR(__xludf.DUMMYFUNCTION("""COMPUTED_VALUE"""),38.0)</f>
        <v>38</v>
      </c>
      <c r="CL24" s="339">
        <f>IFERROR(__xludf.DUMMYFUNCTION("""COMPUTED_VALUE"""),0.0)</f>
        <v>0</v>
      </c>
      <c r="CM24" s="331">
        <f t="shared" si="21"/>
        <v>0</v>
      </c>
      <c r="CN24" s="340"/>
      <c r="CO24" s="328"/>
      <c r="CP24" s="341" t="s">
        <v>114</v>
      </c>
      <c r="CQ24" s="335">
        <f t="shared" si="22"/>
        <v>3</v>
      </c>
      <c r="CR24" s="335">
        <f t="shared" si="23"/>
        <v>0</v>
      </c>
      <c r="CS24" s="328"/>
      <c r="CT24" s="160">
        <f t="shared" si="24"/>
        <v>0</v>
      </c>
      <c r="CU24" s="328"/>
      <c r="CV24" s="328"/>
      <c r="CW24" s="328"/>
      <c r="CX24" s="288"/>
      <c r="CY24" s="328"/>
      <c r="CZ24" s="328"/>
    </row>
    <row r="25">
      <c r="A25" s="157" t="s">
        <v>185</v>
      </c>
      <c r="B25" s="157" t="s">
        <v>117</v>
      </c>
      <c r="C25" s="157" t="s">
        <v>524</v>
      </c>
      <c r="D25" s="157" t="s">
        <v>1044</v>
      </c>
      <c r="E25" s="157" t="s">
        <v>1054</v>
      </c>
      <c r="F25" s="285">
        <v>43424.0</v>
      </c>
      <c r="G25" s="314">
        <v>9999996.0</v>
      </c>
      <c r="H25" s="314">
        <v>2.52E7</v>
      </c>
      <c r="I25" s="315">
        <v>1.273917746E7</v>
      </c>
      <c r="J25" s="315">
        <v>550029.48</v>
      </c>
      <c r="K25" s="160">
        <v>124.0</v>
      </c>
      <c r="L25" s="160">
        <v>96.0</v>
      </c>
      <c r="M25" s="160">
        <v>10.0</v>
      </c>
      <c r="N25" s="160">
        <v>134.0</v>
      </c>
      <c r="O25" s="160">
        <v>38.0</v>
      </c>
      <c r="P25" s="315">
        <v>1.185144575E7</v>
      </c>
      <c r="Q25" s="315">
        <v>887731.71</v>
      </c>
      <c r="R25" s="160">
        <v>91.0</v>
      </c>
      <c r="S25" s="160">
        <v>10.0</v>
      </c>
      <c r="T25" s="160">
        <v>101.0</v>
      </c>
      <c r="U25" s="160">
        <v>2.0</v>
      </c>
      <c r="V25" s="160">
        <v>3.0</v>
      </c>
      <c r="W25" s="160">
        <v>7.0</v>
      </c>
      <c r="X25" s="160">
        <v>16.0</v>
      </c>
      <c r="Y25" s="160">
        <v>8.0</v>
      </c>
      <c r="Z25" s="160">
        <v>123.0</v>
      </c>
      <c r="AA25" s="160">
        <v>3.0</v>
      </c>
      <c r="AB25" s="160">
        <v>63.0</v>
      </c>
      <c r="AC25" s="160">
        <v>0.0</v>
      </c>
      <c r="AD25" s="160">
        <v>0.0</v>
      </c>
      <c r="AE25" s="160">
        <v>1108.0</v>
      </c>
      <c r="AF25" s="160">
        <v>1301.0</v>
      </c>
      <c r="AG25" s="160">
        <v>276.0</v>
      </c>
      <c r="AH25" s="314">
        <f t="shared" si="2"/>
        <v>48149.30051</v>
      </c>
      <c r="AI25" s="314">
        <f t="shared" si="3"/>
        <v>4.713768116</v>
      </c>
      <c r="AJ25" s="316">
        <f t="shared" si="37"/>
        <v>41430</v>
      </c>
      <c r="AK25" s="314">
        <f t="shared" si="35"/>
        <v>497160</v>
      </c>
      <c r="AL25" s="286">
        <v>183012.0</v>
      </c>
      <c r="AM25" s="318">
        <f t="shared" si="5"/>
        <v>0.05118228673</v>
      </c>
      <c r="AN25" s="314">
        <f t="shared" si="6"/>
        <v>126130.4699</v>
      </c>
      <c r="AO25" s="336">
        <f t="shared" si="33"/>
        <v>0.377534331</v>
      </c>
      <c r="AP25" s="319">
        <v>0.05</v>
      </c>
      <c r="AQ25" s="160">
        <v>658.0</v>
      </c>
      <c r="AR25" s="160">
        <v>2300.0</v>
      </c>
      <c r="AS25" s="160">
        <v>2131.73</v>
      </c>
      <c r="AT25" s="160">
        <v>10.0</v>
      </c>
      <c r="AU25" s="160">
        <v>22.0</v>
      </c>
      <c r="AV25" s="320">
        <v>101.0</v>
      </c>
      <c r="AW25" s="320">
        <v>23.0</v>
      </c>
      <c r="AX25" s="320">
        <v>10.0</v>
      </c>
      <c r="AY25" s="321">
        <f>iferror(VLOOKUP(C25,'ORDER BOOKING REPORT 2025-26'!C:O,13,0),"")</f>
        <v>15159872.51</v>
      </c>
      <c r="AZ25" s="322"/>
      <c r="BA25" s="157" t="str">
        <f t="shared" si="7"/>
        <v>Active</v>
      </c>
      <c r="BB25" s="157" t="str">
        <f t="shared" si="8"/>
        <v>Old</v>
      </c>
      <c r="BC25" s="157" t="str">
        <f t="shared" si="34"/>
        <v>Below 50%</v>
      </c>
      <c r="BD25" s="223">
        <f t="shared" si="36"/>
        <v>12</v>
      </c>
      <c r="BE25" s="323">
        <v>2933333.3333</v>
      </c>
      <c r="BF25" s="157">
        <f t="shared" si="10"/>
        <v>0</v>
      </c>
      <c r="BG25" s="157" t="s">
        <v>1019</v>
      </c>
      <c r="BH25" s="324"/>
      <c r="BI25" s="324"/>
      <c r="BJ25" s="325"/>
      <c r="BK25" s="326">
        <v>833333.3333</v>
      </c>
      <c r="BL25" s="326">
        <f t="shared" si="11"/>
        <v>10000000</v>
      </c>
      <c r="BM25" s="326">
        <f t="shared" si="12"/>
        <v>35200000</v>
      </c>
      <c r="BN25" s="326"/>
      <c r="BO25" s="327" t="str">
        <f>IFERROR(__xludf.DUMMYFUNCTION("IFERROR(ArrayFormula(SUM(VLOOKUP($C25,importrange(""1MwNMVzWE3QBVOyJjKr3eFX-Sq1Ng0Q1sghWJbgbE_8g"",""ORDER BOOKING REPORT 2024-25!C:CV""),{16,23,30},0))))"),"")</f>
        <v/>
      </c>
      <c r="BP25" s="327" t="str">
        <f>IFERROR(__xludf.DUMMYFUNCTION("IFERROR(ArrayFormula(SUM(VLOOKUP($C25,importrange(""1MwNMVzWE3QBVOyJjKr3eFX-Sq1Ng0Q1sghWJbgbE_8g"",""ORDER BOOKING REPORT 2024-25!C:CV""),{37,44,51},0))))"),"")</f>
        <v/>
      </c>
      <c r="BQ25" s="327" t="str">
        <f>IFERROR(__xludf.DUMMYFUNCTION("IFERROR(ArrayFormula(SUM(VLOOKUP($C25,importrange(""1MwNMVzWE3QBVOyJjKr3eFX-Sq1Ng0Q1sghWJbgbE_8g"",""ORDER BOOKING REPORT 2024-25!C:CV""),{58,65,72},0))))"),"")</f>
        <v/>
      </c>
      <c r="BR25" s="327" t="str">
        <f>IFERROR(__xludf.DUMMYFUNCTION("IFERROR(ArrayFormula(SUM(VLOOKUP($C25,importrange(""1MwNMVzWE3QBVOyJjKr3eFX-Sq1Ng0Q1sghWJbgbE_8g"",""ORDER BOOKING REPORT 2024-25!C:CV""),{79,86,93},0))))"),"")</f>
        <v/>
      </c>
      <c r="BS25" s="328">
        <f t="shared" si="13"/>
        <v>0.4306781963</v>
      </c>
      <c r="BT25" s="328">
        <f t="shared" si="14"/>
        <v>0.04486660422</v>
      </c>
      <c r="BU25" s="234">
        <f t="shared" si="15"/>
        <v>3.999600001</v>
      </c>
      <c r="BV25" s="329">
        <v>41430.0</v>
      </c>
      <c r="BW25" s="329" t="s">
        <v>1020</v>
      </c>
      <c r="BX25" s="329">
        <v>485.0</v>
      </c>
      <c r="BY25" s="234">
        <f t="shared" si="16"/>
        <v>0</v>
      </c>
      <c r="BZ25" s="234"/>
      <c r="CA25" s="234"/>
      <c r="CB25" s="234"/>
      <c r="CC25" s="234"/>
      <c r="CD25" s="234"/>
      <c r="CE25" s="234"/>
      <c r="CF25" s="234"/>
      <c r="CG25" s="234" t="str">
        <f t="shared" si="19"/>
        <v> </v>
      </c>
      <c r="CH25" s="234" t="str">
        <f t="shared" si="27"/>
        <v>Business Achieved 50%</v>
      </c>
      <c r="CI25" s="328">
        <f t="shared" si="20"/>
        <v>0.7537313433</v>
      </c>
      <c r="CJ25" s="339">
        <f>IFERROR(__xludf.DUMMYFUNCTION("""COMPUTED_VALUE"""),1028.0)</f>
        <v>1028</v>
      </c>
      <c r="CK25" s="339">
        <f>IFERROR(__xludf.DUMMYFUNCTION("""COMPUTED_VALUE"""),80.0)</f>
        <v>80</v>
      </c>
      <c r="CL25" s="339">
        <f>IFERROR(__xludf.DUMMYFUNCTION("""COMPUTED_VALUE"""),0.0)</f>
        <v>0</v>
      </c>
      <c r="CM25" s="331">
        <f t="shared" si="21"/>
        <v>0</v>
      </c>
      <c r="CN25" s="340"/>
      <c r="CO25" s="328"/>
      <c r="CP25" s="341" t="s">
        <v>37</v>
      </c>
      <c r="CQ25" s="335">
        <f t="shared" si="22"/>
        <v>2</v>
      </c>
      <c r="CR25" s="335">
        <f t="shared" si="23"/>
        <v>0</v>
      </c>
      <c r="CS25" s="328"/>
      <c r="CT25" s="160">
        <f t="shared" si="24"/>
        <v>0</v>
      </c>
      <c r="CU25" s="328"/>
      <c r="CV25" s="328"/>
      <c r="CW25" s="328"/>
      <c r="CX25" s="288"/>
      <c r="CY25" s="328"/>
      <c r="CZ25" s="328"/>
    </row>
    <row r="26">
      <c r="A26" s="157" t="s">
        <v>185</v>
      </c>
      <c r="B26" s="157" t="s">
        <v>196</v>
      </c>
      <c r="C26" s="157" t="s">
        <v>207</v>
      </c>
      <c r="D26" s="157" t="s">
        <v>1027</v>
      </c>
      <c r="E26" s="157" t="s">
        <v>200</v>
      </c>
      <c r="F26" s="338">
        <v>43556.0</v>
      </c>
      <c r="G26" s="314">
        <v>0.0</v>
      </c>
      <c r="H26" s="314">
        <v>2.4E7</v>
      </c>
      <c r="I26" s="315">
        <v>1.932150919E7</v>
      </c>
      <c r="J26" s="315">
        <v>0.0</v>
      </c>
      <c r="K26" s="160">
        <v>70.0</v>
      </c>
      <c r="L26" s="160">
        <v>71.0</v>
      </c>
      <c r="M26" s="160">
        <v>6.0</v>
      </c>
      <c r="N26" s="160">
        <v>76.0</v>
      </c>
      <c r="O26" s="160">
        <v>5.0</v>
      </c>
      <c r="P26" s="315">
        <v>1.886536412E7</v>
      </c>
      <c r="Q26" s="315">
        <v>456145.07</v>
      </c>
      <c r="R26" s="160">
        <v>42.0</v>
      </c>
      <c r="S26" s="160">
        <v>4.0</v>
      </c>
      <c r="T26" s="160">
        <v>46.0</v>
      </c>
      <c r="U26" s="160">
        <v>0.0</v>
      </c>
      <c r="V26" s="160">
        <v>0.0</v>
      </c>
      <c r="W26" s="160">
        <v>0.0</v>
      </c>
      <c r="X26" s="160">
        <v>0.0</v>
      </c>
      <c r="Y26" s="160">
        <v>2.0</v>
      </c>
      <c r="Z26" s="160">
        <v>163.0</v>
      </c>
      <c r="AA26" s="160">
        <v>0.0</v>
      </c>
      <c r="AB26" s="160">
        <v>0.0</v>
      </c>
      <c r="AC26" s="160">
        <v>0.0</v>
      </c>
      <c r="AD26" s="160">
        <v>0.0</v>
      </c>
      <c r="AE26" s="160">
        <v>1229.0</v>
      </c>
      <c r="AF26" s="160">
        <v>1392.0</v>
      </c>
      <c r="AG26" s="160">
        <v>302.0</v>
      </c>
      <c r="AH26" s="314">
        <f t="shared" si="2"/>
        <v>63978.50725</v>
      </c>
      <c r="AI26" s="314">
        <f t="shared" si="3"/>
        <v>4.609271523</v>
      </c>
      <c r="AJ26" s="316">
        <v>39070.0</v>
      </c>
      <c r="AK26" s="314">
        <f t="shared" si="35"/>
        <v>468840</v>
      </c>
      <c r="AL26" s="317">
        <v>153075.0</v>
      </c>
      <c r="AM26" s="318">
        <f t="shared" si="5"/>
        <v>0.03218770304</v>
      </c>
      <c r="AN26" s="314">
        <f t="shared" si="6"/>
        <v>420032.8085</v>
      </c>
      <c r="AO26" s="336">
        <f t="shared" si="33"/>
        <v>0.8050628829</v>
      </c>
      <c r="AP26" s="319">
        <v>0.0</v>
      </c>
      <c r="AQ26" s="160">
        <v>282.0</v>
      </c>
      <c r="AR26" s="160">
        <v>2565.0</v>
      </c>
      <c r="AS26" s="160">
        <v>1571.7</v>
      </c>
      <c r="AT26" s="160">
        <v>4.0</v>
      </c>
      <c r="AU26" s="160">
        <v>22.0</v>
      </c>
      <c r="AV26" s="320">
        <v>46.0</v>
      </c>
      <c r="AW26" s="320">
        <v>26.0</v>
      </c>
      <c r="AX26" s="320">
        <v>4.0</v>
      </c>
      <c r="AY26" s="321">
        <f>iferror(VLOOKUP(C26,'ORDER BOOKING REPORT 2025-26'!C:O,13,0),"")</f>
        <v>19763346.5</v>
      </c>
      <c r="AZ26" s="322"/>
      <c r="BA26" s="157" t="str">
        <f t="shared" si="7"/>
        <v>Active</v>
      </c>
      <c r="BB26" s="157" t="str">
        <f t="shared" si="8"/>
        <v>Old</v>
      </c>
      <c r="BC26" s="157" t="str">
        <f t="shared" si="34"/>
        <v>70%-90%</v>
      </c>
      <c r="BD26" s="223">
        <f t="shared" si="36"/>
        <v>12</v>
      </c>
      <c r="BE26" s="323">
        <v>2000000.0</v>
      </c>
      <c r="BF26" s="157">
        <f t="shared" si="10"/>
        <v>2</v>
      </c>
      <c r="BG26" s="157" t="s">
        <v>1019</v>
      </c>
      <c r="BH26" s="324"/>
      <c r="BI26" s="324"/>
      <c r="BJ26" s="325"/>
      <c r="BK26" s="326"/>
      <c r="BL26" s="326">
        <f t="shared" si="11"/>
        <v>0</v>
      </c>
      <c r="BM26" s="326">
        <f t="shared" si="12"/>
        <v>24000000</v>
      </c>
      <c r="BN26" s="326"/>
      <c r="BO26" s="327" t="str">
        <f>IFERROR(__xludf.DUMMYFUNCTION("IFERROR(ArrayFormula(SUM(VLOOKUP($C26,importrange(""1MwNMVzWE3QBVOyJjKr3eFX-Sq1Ng0Q1sghWJbgbE_8g"",""ORDER BOOKING REPORT 2024-25!C:CV""),{16,23,30},0))))"),"")</f>
        <v/>
      </c>
      <c r="BP26" s="327" t="str">
        <f>IFERROR(__xludf.DUMMYFUNCTION("IFERROR(ArrayFormula(SUM(VLOOKUP($C26,importrange(""1MwNMVzWE3QBVOyJjKr3eFX-Sq1Ng0Q1sghWJbgbE_8g"",""ORDER BOOKING REPORT 2024-25!C:CV""),{37,44,51},0))))"),"")</f>
        <v/>
      </c>
      <c r="BQ26" s="327" t="str">
        <f>IFERROR(__xludf.DUMMYFUNCTION("IFERROR(ArrayFormula(SUM(VLOOKUP($C26,importrange(""1MwNMVzWE3QBVOyJjKr3eFX-Sq1Ng0Q1sghWJbgbE_8g"",""ORDER BOOKING REPORT 2024-25!C:CV""),{58,65,72},0))))"),"")</f>
        <v/>
      </c>
      <c r="BR26" s="327" t="str">
        <f>IFERROR(__xludf.DUMMYFUNCTION("IFERROR(ArrayFormula(SUM(VLOOKUP($C26,importrange(""1MwNMVzWE3QBVOyJjKr3eFX-Sq1Ng0Q1sghWJbgbE_8g"",""ORDER BOOKING REPORT 2024-25!C:CV""),{79,86,93},0))))"),"")</f>
        <v/>
      </c>
      <c r="BS26" s="328">
        <f t="shared" si="13"/>
        <v>0.8234727708</v>
      </c>
      <c r="BT26" s="328">
        <f t="shared" si="14"/>
        <v>0.03146810182</v>
      </c>
      <c r="BU26" s="234">
        <f t="shared" si="15"/>
        <v>0</v>
      </c>
      <c r="BV26" s="329">
        <v>39070.0</v>
      </c>
      <c r="BW26" s="329" t="s">
        <v>1029</v>
      </c>
      <c r="BX26" s="329">
        <v>518.0</v>
      </c>
      <c r="BY26" s="234">
        <f t="shared" si="16"/>
        <v>0</v>
      </c>
      <c r="BZ26" s="234"/>
      <c r="CA26" s="234"/>
      <c r="CB26" s="234"/>
      <c r="CC26" s="234"/>
      <c r="CD26" s="234"/>
      <c r="CE26" s="234"/>
      <c r="CF26" s="234"/>
      <c r="CG26" s="234" t="str">
        <f t="shared" si="19"/>
        <v> </v>
      </c>
      <c r="CH26" s="234" t="str">
        <f t="shared" si="27"/>
        <v>Business Achieved 50%</v>
      </c>
      <c r="CI26" s="328">
        <f t="shared" si="20"/>
        <v>0.6052631579</v>
      </c>
      <c r="CJ26" s="330">
        <f>IFERROR(__xludf.DUMMYFUNCTION("""COMPUTED_VALUE"""),851.0)</f>
        <v>851</v>
      </c>
      <c r="CK26" s="330">
        <f>IFERROR(__xludf.DUMMYFUNCTION("""COMPUTED_VALUE"""),378.0)</f>
        <v>378</v>
      </c>
      <c r="CL26" s="330">
        <f>IFERROR(__xludf.DUMMYFUNCTION("""COMPUTED_VALUE"""),0.0)</f>
        <v>0</v>
      </c>
      <c r="CM26" s="331">
        <f t="shared" si="21"/>
        <v>0</v>
      </c>
      <c r="CN26" s="337"/>
      <c r="CO26" s="160"/>
      <c r="CP26" s="334" t="s">
        <v>189</v>
      </c>
      <c r="CQ26" s="335">
        <f t="shared" si="22"/>
        <v>28</v>
      </c>
      <c r="CR26" s="335">
        <f t="shared" si="23"/>
        <v>4</v>
      </c>
      <c r="CS26" s="160"/>
      <c r="CT26" s="160">
        <f t="shared" si="24"/>
        <v>0</v>
      </c>
      <c r="CU26" s="160"/>
      <c r="CV26" s="160"/>
      <c r="CW26" s="335"/>
      <c r="CX26" s="288"/>
      <c r="CY26" s="160"/>
      <c r="CZ26" s="160"/>
    </row>
    <row r="27">
      <c r="A27" s="157" t="s">
        <v>185</v>
      </c>
      <c r="B27" s="157" t="s">
        <v>85</v>
      </c>
      <c r="C27" s="157" t="s">
        <v>86</v>
      </c>
      <c r="D27" s="157" t="s">
        <v>1055</v>
      </c>
      <c r="E27" s="157" t="s">
        <v>87</v>
      </c>
      <c r="F27" s="338">
        <v>43557.0</v>
      </c>
      <c r="G27" s="314">
        <v>0.0</v>
      </c>
      <c r="H27" s="314">
        <v>2.0000004E7</v>
      </c>
      <c r="I27" s="315">
        <v>1.311022729E7</v>
      </c>
      <c r="J27" s="315">
        <v>0.0</v>
      </c>
      <c r="K27" s="160">
        <v>156.0</v>
      </c>
      <c r="L27" s="160">
        <v>163.0</v>
      </c>
      <c r="M27" s="160">
        <v>16.0</v>
      </c>
      <c r="N27" s="160">
        <v>172.0</v>
      </c>
      <c r="O27" s="160">
        <v>9.0</v>
      </c>
      <c r="P27" s="315">
        <v>1.120432162E7</v>
      </c>
      <c r="Q27" s="315">
        <v>1905905.67</v>
      </c>
      <c r="R27" s="160">
        <v>83.0</v>
      </c>
      <c r="S27" s="160">
        <v>14.0</v>
      </c>
      <c r="T27" s="160">
        <v>97.0</v>
      </c>
      <c r="U27" s="160">
        <v>0.0</v>
      </c>
      <c r="V27" s="160">
        <v>56.0</v>
      </c>
      <c r="W27" s="160">
        <v>114.0</v>
      </c>
      <c r="X27" s="160">
        <v>14.0</v>
      </c>
      <c r="Y27" s="160">
        <v>7.0</v>
      </c>
      <c r="Z27" s="160">
        <v>78.0</v>
      </c>
      <c r="AA27" s="160">
        <v>0.0</v>
      </c>
      <c r="AB27" s="160">
        <v>0.0</v>
      </c>
      <c r="AC27" s="160">
        <v>0.0</v>
      </c>
      <c r="AD27" s="160">
        <v>0.0</v>
      </c>
      <c r="AE27" s="160">
        <v>1647.0</v>
      </c>
      <c r="AF27" s="160">
        <v>1839.0</v>
      </c>
      <c r="AG27" s="160">
        <v>295.0</v>
      </c>
      <c r="AH27" s="314">
        <f t="shared" si="2"/>
        <v>44441.44844</v>
      </c>
      <c r="AI27" s="314">
        <f t="shared" si="3"/>
        <v>6.233898305</v>
      </c>
      <c r="AJ27" s="316">
        <f>BV27</f>
        <v>54510</v>
      </c>
      <c r="AK27" s="314">
        <f t="shared" si="35"/>
        <v>654120</v>
      </c>
      <c r="AL27" s="286">
        <v>287915.0</v>
      </c>
      <c r="AM27" s="318">
        <f t="shared" si="5"/>
        <v>0.07185497087</v>
      </c>
      <c r="AN27" s="314">
        <f t="shared" si="6"/>
        <v>135156.9824</v>
      </c>
      <c r="AO27" s="336">
        <f t="shared" si="33"/>
        <v>0.6555112334</v>
      </c>
      <c r="AP27" s="319">
        <v>0.0</v>
      </c>
      <c r="AQ27" s="160">
        <v>557.0</v>
      </c>
      <c r="AR27" s="160">
        <v>3077.0</v>
      </c>
      <c r="AS27" s="160">
        <v>3857.52</v>
      </c>
      <c r="AT27" s="160">
        <v>14.0</v>
      </c>
      <c r="AU27" s="160">
        <v>24.0</v>
      </c>
      <c r="AV27" s="320">
        <v>97.0</v>
      </c>
      <c r="AW27" s="320">
        <v>67.0</v>
      </c>
      <c r="AX27" s="320">
        <v>8.0</v>
      </c>
      <c r="AY27" s="321">
        <f>iferror(VLOOKUP(C27,'ORDER BOOKING REPORT 2025-26'!C:O,13,0),"")</f>
        <v>15169360</v>
      </c>
      <c r="AZ27" s="322"/>
      <c r="BA27" s="157" t="str">
        <f t="shared" si="7"/>
        <v>Active</v>
      </c>
      <c r="BB27" s="157" t="str">
        <f t="shared" si="8"/>
        <v>Old</v>
      </c>
      <c r="BC27" s="157" t="str">
        <f t="shared" si="34"/>
        <v>50%-70%</v>
      </c>
      <c r="BD27" s="223">
        <f t="shared" si="36"/>
        <v>12</v>
      </c>
      <c r="BE27" s="323">
        <v>1666667.0</v>
      </c>
      <c r="BF27" s="157">
        <f t="shared" si="10"/>
        <v>2</v>
      </c>
      <c r="BG27" s="157" t="s">
        <v>1019</v>
      </c>
      <c r="BH27" s="324"/>
      <c r="BI27" s="324"/>
      <c r="BJ27" s="325"/>
      <c r="BK27" s="326"/>
      <c r="BL27" s="326">
        <f t="shared" si="11"/>
        <v>0</v>
      </c>
      <c r="BM27" s="326">
        <f t="shared" si="12"/>
        <v>20000004</v>
      </c>
      <c r="BN27" s="326"/>
      <c r="BO27" s="327" t="str">
        <f>IFERROR(__xludf.DUMMYFUNCTION("IFERROR(ArrayFormula(SUM(VLOOKUP($C27,importrange(""1MwNMVzWE3QBVOyJjKr3eFX-Sq1Ng0Q1sghWJbgbE_8g"",""ORDER BOOKING REPORT 2024-25!C:CV""),{16,23,30},0))))"),"")</f>
        <v/>
      </c>
      <c r="BP27" s="327" t="str">
        <f>IFERROR(__xludf.DUMMYFUNCTION("IFERROR(ArrayFormula(SUM(VLOOKUP($C27,importrange(""1MwNMVzWE3QBVOyJjKr3eFX-Sq1Ng0Q1sghWJbgbE_8g"",""ORDER BOOKING REPORT 2024-25!C:CV""),{37,44,51},0))))"),"")</f>
        <v/>
      </c>
      <c r="BQ27" s="327" t="str">
        <f>IFERROR(__xludf.DUMMYFUNCTION("IFERROR(ArrayFormula(SUM(VLOOKUP($C27,importrange(""1MwNMVzWE3QBVOyJjKr3eFX-Sq1Ng0Q1sghWJbgbE_8g"",""ORDER BOOKING REPORT 2024-25!C:CV""),{58,65,72},0))))"),"")</f>
        <v/>
      </c>
      <c r="BR27" s="327" t="str">
        <f>IFERROR(__xludf.DUMMYFUNCTION("IFERROR(ArrayFormula(SUM(VLOOKUP($C27,importrange(""1MwNMVzWE3QBVOyJjKr3eFX-Sq1Ng0Q1sghWJbgbE_8g"",""ORDER BOOKING REPORT 2024-25!C:CV""),{79,86,93},0))))"),"")</f>
        <v/>
      </c>
      <c r="BS27" s="328">
        <f t="shared" si="13"/>
        <v>0.7584678483</v>
      </c>
      <c r="BT27" s="328">
        <f t="shared" si="14"/>
        <v>0.06210116973</v>
      </c>
      <c r="BU27" s="234">
        <f t="shared" si="15"/>
        <v>0</v>
      </c>
      <c r="BV27" s="329">
        <v>54510.0</v>
      </c>
      <c r="BW27" s="329" t="s">
        <v>1020</v>
      </c>
      <c r="BX27" s="329">
        <v>510.0</v>
      </c>
      <c r="BY27" s="234">
        <f t="shared" si="16"/>
        <v>0</v>
      </c>
      <c r="BZ27" s="234"/>
      <c r="CA27" s="234"/>
      <c r="CB27" s="234"/>
      <c r="CC27" s="234"/>
      <c r="CD27" s="234"/>
      <c r="CE27" s="234"/>
      <c r="CF27" s="234"/>
      <c r="CG27" s="234" t="str">
        <f t="shared" si="19"/>
        <v> </v>
      </c>
      <c r="CH27" s="234" t="str">
        <f t="shared" si="27"/>
        <v>Business Achieved 50%</v>
      </c>
      <c r="CI27" s="328">
        <f t="shared" si="20"/>
        <v>0.5639534884</v>
      </c>
      <c r="CJ27" s="339">
        <f>IFERROR(__xludf.DUMMYFUNCTION("""COMPUTED_VALUE"""),1276.0)</f>
        <v>1276</v>
      </c>
      <c r="CK27" s="339">
        <f>IFERROR(__xludf.DUMMYFUNCTION("""COMPUTED_VALUE"""),371.0)</f>
        <v>371</v>
      </c>
      <c r="CL27" s="339">
        <f>IFERROR(__xludf.DUMMYFUNCTION("""COMPUTED_VALUE"""),0.0)</f>
        <v>0</v>
      </c>
      <c r="CM27" s="331">
        <f t="shared" si="21"/>
        <v>0</v>
      </c>
      <c r="CN27" s="340"/>
      <c r="CO27" s="328"/>
      <c r="CP27" s="341" t="s">
        <v>30</v>
      </c>
      <c r="CQ27" s="335">
        <f t="shared" si="22"/>
        <v>5</v>
      </c>
      <c r="CR27" s="335">
        <f t="shared" si="23"/>
        <v>0</v>
      </c>
      <c r="CS27" s="328"/>
      <c r="CT27" s="160">
        <f t="shared" si="24"/>
        <v>0</v>
      </c>
      <c r="CU27" s="328"/>
      <c r="CV27" s="328"/>
      <c r="CW27" s="328"/>
      <c r="CX27" s="288"/>
      <c r="CY27" s="328"/>
      <c r="CZ27" s="328"/>
    </row>
    <row r="28">
      <c r="A28" s="157" t="s">
        <v>185</v>
      </c>
      <c r="B28" s="157" t="s">
        <v>212</v>
      </c>
      <c r="C28" s="157" t="s">
        <v>210</v>
      </c>
      <c r="D28" s="157" t="s">
        <v>1031</v>
      </c>
      <c r="E28" s="157" t="s">
        <v>211</v>
      </c>
      <c r="F28" s="338">
        <v>43647.0</v>
      </c>
      <c r="G28" s="314">
        <v>0.0</v>
      </c>
      <c r="H28" s="314">
        <v>7.5E7</v>
      </c>
      <c r="I28" s="315">
        <v>6.494560351E7</v>
      </c>
      <c r="J28" s="315">
        <v>0.0</v>
      </c>
      <c r="K28" s="160">
        <v>90.0</v>
      </c>
      <c r="L28" s="160">
        <v>106.0</v>
      </c>
      <c r="M28" s="160">
        <v>17.0</v>
      </c>
      <c r="N28" s="160">
        <v>107.0</v>
      </c>
      <c r="O28" s="160">
        <v>1.0</v>
      </c>
      <c r="P28" s="315">
        <v>5.43297067E7</v>
      </c>
      <c r="Q28" s="315">
        <v>1.061589681E7</v>
      </c>
      <c r="R28" s="160">
        <v>68.0</v>
      </c>
      <c r="S28" s="160">
        <v>16.0</v>
      </c>
      <c r="T28" s="160">
        <v>84.0</v>
      </c>
      <c r="U28" s="160">
        <v>0.0</v>
      </c>
      <c r="V28" s="160">
        <v>28.0</v>
      </c>
      <c r="W28" s="160">
        <v>60.0</v>
      </c>
      <c r="X28" s="160">
        <v>24.0</v>
      </c>
      <c r="Y28" s="160">
        <v>1.0</v>
      </c>
      <c r="Z28" s="160">
        <v>78.0</v>
      </c>
      <c r="AA28" s="160">
        <v>0.0</v>
      </c>
      <c r="AB28" s="160">
        <v>0.0</v>
      </c>
      <c r="AC28" s="160">
        <v>0.0</v>
      </c>
      <c r="AD28" s="160">
        <v>0.0</v>
      </c>
      <c r="AE28" s="160">
        <v>1317.0</v>
      </c>
      <c r="AF28" s="160">
        <v>1455.0</v>
      </c>
      <c r="AG28" s="160">
        <v>296.0</v>
      </c>
      <c r="AH28" s="314">
        <f t="shared" si="2"/>
        <v>219410.8227</v>
      </c>
      <c r="AI28" s="314">
        <f t="shared" si="3"/>
        <v>4.915540541</v>
      </c>
      <c r="AJ28" s="316">
        <v>32605.0</v>
      </c>
      <c r="AK28" s="314">
        <f t="shared" si="35"/>
        <v>391260</v>
      </c>
      <c r="AL28" s="317">
        <v>170669.0</v>
      </c>
      <c r="AM28" s="318">
        <f t="shared" si="5"/>
        <v>0.008652302383</v>
      </c>
      <c r="AN28" s="314">
        <f t="shared" si="6"/>
        <v>773161.9465</v>
      </c>
      <c r="AO28" s="336">
        <f t="shared" si="33"/>
        <v>0.8659413801</v>
      </c>
      <c r="AP28" s="319">
        <v>0.0</v>
      </c>
      <c r="AQ28" s="160">
        <v>739.0</v>
      </c>
      <c r="AR28" s="160">
        <v>3126.0</v>
      </c>
      <c r="AS28" s="160">
        <v>3757.43</v>
      </c>
      <c r="AT28" s="160">
        <v>16.0</v>
      </c>
      <c r="AU28" s="160">
        <v>35.0</v>
      </c>
      <c r="AV28" s="320">
        <v>84.0</v>
      </c>
      <c r="AW28" s="320">
        <v>23.0</v>
      </c>
      <c r="AX28" s="320">
        <v>0.0</v>
      </c>
      <c r="AY28" s="321">
        <f>iferror(VLOOKUP(C28,'ORDER BOOKING REPORT 2025-26'!C:O,13,0),"")</f>
        <v>70602696</v>
      </c>
      <c r="AZ28" s="322"/>
      <c r="BA28" s="157" t="str">
        <f t="shared" si="7"/>
        <v>Active</v>
      </c>
      <c r="BB28" s="157" t="str">
        <f t="shared" si="8"/>
        <v>Old</v>
      </c>
      <c r="BC28" s="157" t="str">
        <f t="shared" si="34"/>
        <v>70%-90%</v>
      </c>
      <c r="BD28" s="223">
        <f t="shared" si="36"/>
        <v>12</v>
      </c>
      <c r="BE28" s="323">
        <v>6250000.0</v>
      </c>
      <c r="BF28" s="157">
        <f t="shared" si="10"/>
        <v>1</v>
      </c>
      <c r="BG28" s="157" t="s">
        <v>1019</v>
      </c>
      <c r="BH28" s="324"/>
      <c r="BI28" s="324"/>
      <c r="BJ28" s="325"/>
      <c r="BK28" s="326"/>
      <c r="BL28" s="326">
        <f t="shared" si="11"/>
        <v>0</v>
      </c>
      <c r="BM28" s="326">
        <f t="shared" si="12"/>
        <v>75000000</v>
      </c>
      <c r="BN28" s="326"/>
      <c r="BO28" s="327" t="str">
        <f>IFERROR(__xludf.DUMMYFUNCTION("IFERROR(ArrayFormula(SUM(VLOOKUP($C28,importrange(""1MwNMVzWE3QBVOyJjKr3eFX-Sq1Ng0Q1sghWJbgbE_8g"",""ORDER BOOKING REPORT 2024-25!C:CV""),{16,23,30},0))))"),"")</f>
        <v/>
      </c>
      <c r="BP28" s="327" t="str">
        <f>IFERROR(__xludf.DUMMYFUNCTION("IFERROR(ArrayFormula(SUM(VLOOKUP($C28,importrange(""1MwNMVzWE3QBVOyJjKr3eFX-Sq1Ng0Q1sghWJbgbE_8g"",""ORDER BOOKING REPORT 2024-25!C:CV""),{37,44,51},0))))"),"")</f>
        <v/>
      </c>
      <c r="BQ28" s="327" t="str">
        <f>IFERROR(__xludf.DUMMYFUNCTION("IFERROR(ArrayFormula(SUM(VLOOKUP($C28,importrange(""1MwNMVzWE3QBVOyJjKr3eFX-Sq1Ng0Q1sghWJbgbE_8g"",""ORDER BOOKING REPORT 2024-25!C:CV""),{58,65,72},0))))"),"")</f>
        <v/>
      </c>
      <c r="BR28" s="327" t="str">
        <f>IFERROR(__xludf.DUMMYFUNCTION("IFERROR(ArrayFormula(SUM(VLOOKUP($C28,importrange(""1MwNMVzWE3QBVOyJjKr3eFX-Sq1Ng0Q1sghWJbgbE_8g"",""ORDER BOOKING REPORT 2024-25!C:CV""),{79,86,93},0))))"),"")</f>
        <v/>
      </c>
      <c r="BS28" s="328">
        <f t="shared" si="13"/>
        <v>0.94136928</v>
      </c>
      <c r="BT28" s="328">
        <f t="shared" si="14"/>
        <v>0.007959030346</v>
      </c>
      <c r="BU28" s="234">
        <f t="shared" si="15"/>
        <v>0</v>
      </c>
      <c r="BV28" s="329">
        <v>32605.0</v>
      </c>
      <c r="BW28" s="329" t="s">
        <v>1029</v>
      </c>
      <c r="BX28" s="329">
        <v>627.0</v>
      </c>
      <c r="BY28" s="234">
        <f t="shared" si="16"/>
        <v>0</v>
      </c>
      <c r="BZ28" s="234"/>
      <c r="CA28" s="234"/>
      <c r="CB28" s="234"/>
      <c r="CC28" s="234"/>
      <c r="CD28" s="234"/>
      <c r="CE28" s="234"/>
      <c r="CF28" s="234"/>
      <c r="CG28" s="234" t="str">
        <f t="shared" si="19"/>
        <v> </v>
      </c>
      <c r="CH28" s="234" t="str">
        <f t="shared" si="27"/>
        <v>Business Achieved 50%</v>
      </c>
      <c r="CI28" s="328">
        <f t="shared" si="20"/>
        <v>0.785046729</v>
      </c>
      <c r="CJ28" s="330">
        <f>IFERROR(__xludf.DUMMYFUNCTION("""COMPUTED_VALUE"""),1183.0)</f>
        <v>1183</v>
      </c>
      <c r="CK28" s="330">
        <f>IFERROR(__xludf.DUMMYFUNCTION("""COMPUTED_VALUE"""),134.0)</f>
        <v>134</v>
      </c>
      <c r="CL28" s="330">
        <f>IFERROR(__xludf.DUMMYFUNCTION("""COMPUTED_VALUE"""),0.0)</f>
        <v>0</v>
      </c>
      <c r="CM28" s="331">
        <f t="shared" si="21"/>
        <v>0</v>
      </c>
      <c r="CN28" s="337"/>
      <c r="CO28" s="160"/>
      <c r="CP28" s="334"/>
      <c r="CQ28" s="335"/>
      <c r="CR28" s="335"/>
      <c r="CS28" s="160"/>
      <c r="CT28" s="160">
        <f t="shared" si="24"/>
        <v>0</v>
      </c>
      <c r="CU28" s="160"/>
      <c r="CV28" s="160"/>
      <c r="CW28" s="335"/>
      <c r="CX28" s="288"/>
      <c r="CY28" s="160"/>
      <c r="CZ28" s="160"/>
    </row>
    <row r="29">
      <c r="A29" s="157" t="s">
        <v>185</v>
      </c>
      <c r="B29" s="157" t="s">
        <v>196</v>
      </c>
      <c r="C29" s="157" t="s">
        <v>208</v>
      </c>
      <c r="D29" s="157" t="s">
        <v>1027</v>
      </c>
      <c r="E29" s="157" t="s">
        <v>1056</v>
      </c>
      <c r="F29" s="338">
        <v>43710.0</v>
      </c>
      <c r="G29" s="314">
        <v>0.0</v>
      </c>
      <c r="H29" s="314">
        <v>2.4E7</v>
      </c>
      <c r="I29" s="315">
        <v>1.757062713E7</v>
      </c>
      <c r="J29" s="315">
        <v>1385954.08</v>
      </c>
      <c r="K29" s="160">
        <v>52.0</v>
      </c>
      <c r="L29" s="160">
        <v>54.0</v>
      </c>
      <c r="M29" s="160">
        <v>4.0</v>
      </c>
      <c r="N29" s="160">
        <v>56.0</v>
      </c>
      <c r="O29" s="160">
        <v>2.0</v>
      </c>
      <c r="P29" s="315">
        <v>1.626360618E7</v>
      </c>
      <c r="Q29" s="315">
        <v>1307020.95</v>
      </c>
      <c r="R29" s="160">
        <v>47.0</v>
      </c>
      <c r="S29" s="160">
        <v>4.0</v>
      </c>
      <c r="T29" s="160">
        <v>51.0</v>
      </c>
      <c r="U29" s="160">
        <v>2.0</v>
      </c>
      <c r="V29" s="160">
        <v>13.0</v>
      </c>
      <c r="W29" s="160">
        <v>32.0</v>
      </c>
      <c r="X29" s="160">
        <v>25.0</v>
      </c>
      <c r="Y29" s="160">
        <v>2.0</v>
      </c>
      <c r="Z29" s="160">
        <v>10.0</v>
      </c>
      <c r="AA29" s="160">
        <v>3.0</v>
      </c>
      <c r="AB29" s="160">
        <v>124.0</v>
      </c>
      <c r="AC29" s="160">
        <v>0.0</v>
      </c>
      <c r="AD29" s="160">
        <v>0.0</v>
      </c>
      <c r="AE29" s="160">
        <v>1130.0</v>
      </c>
      <c r="AF29" s="160">
        <v>1296.0</v>
      </c>
      <c r="AG29" s="160">
        <v>284.0</v>
      </c>
      <c r="AH29" s="314">
        <f t="shared" si="2"/>
        <v>66748.52539</v>
      </c>
      <c r="AI29" s="314">
        <f t="shared" si="3"/>
        <v>4.563380282</v>
      </c>
      <c r="AJ29" s="316">
        <v>50950.0</v>
      </c>
      <c r="AK29" s="314">
        <f t="shared" si="35"/>
        <v>611400</v>
      </c>
      <c r="AL29" s="317">
        <v>202283.0</v>
      </c>
      <c r="AM29" s="318">
        <f t="shared" si="5"/>
        <v>0.04292350983</v>
      </c>
      <c r="AN29" s="314">
        <f t="shared" si="6"/>
        <v>344522.1006</v>
      </c>
      <c r="AO29" s="336">
        <f t="shared" si="33"/>
        <v>0.7898575504</v>
      </c>
      <c r="AP29" s="319">
        <v>0.0</v>
      </c>
      <c r="AQ29" s="160">
        <v>562.0</v>
      </c>
      <c r="AR29" s="160">
        <v>3079.0</v>
      </c>
      <c r="AS29" s="160">
        <v>5370.53</v>
      </c>
      <c r="AT29" s="160">
        <v>4.0</v>
      </c>
      <c r="AU29" s="160">
        <v>99.0</v>
      </c>
      <c r="AV29" s="320">
        <v>51.0</v>
      </c>
      <c r="AW29" s="320">
        <v>3.0</v>
      </c>
      <c r="AX29" s="320">
        <v>2.0</v>
      </c>
      <c r="AY29" s="321">
        <f>iferror(VLOOKUP(C29,'ORDER BOOKING REPORT 2025-26'!C:O,13,0),"")</f>
        <v>16929903</v>
      </c>
      <c r="AZ29" s="322"/>
      <c r="BA29" s="157" t="str">
        <f t="shared" si="7"/>
        <v>Active</v>
      </c>
      <c r="BB29" s="157" t="str">
        <f t="shared" si="8"/>
        <v>Old</v>
      </c>
      <c r="BC29" s="157" t="str">
        <f t="shared" si="34"/>
        <v>70%-90%</v>
      </c>
      <c r="BD29" s="223">
        <f t="shared" si="36"/>
        <v>12</v>
      </c>
      <c r="BE29" s="323">
        <v>2000000.0</v>
      </c>
      <c r="BF29" s="157">
        <f t="shared" si="10"/>
        <v>0</v>
      </c>
      <c r="BG29" s="157" t="s">
        <v>1019</v>
      </c>
      <c r="BH29" s="324">
        <f>IFERROR(__xludf.DUMMYFUNCTION("""COMPUTED_VALUE"""),1.375314449E7)</f>
        <v>13753144.49</v>
      </c>
      <c r="BI29" s="324">
        <f>IFERROR(__xludf.DUMMYFUNCTION("""COMPUTED_VALUE"""),1.777341572E7)</f>
        <v>17773415.72</v>
      </c>
      <c r="BJ29" s="325"/>
      <c r="BK29" s="326"/>
      <c r="BL29" s="326">
        <f t="shared" si="11"/>
        <v>0</v>
      </c>
      <c r="BM29" s="326">
        <f t="shared" si="12"/>
        <v>24000000</v>
      </c>
      <c r="BN29" s="326"/>
      <c r="BO29" s="327">
        <f>IFERROR(__xludf.DUMMYFUNCTION("IFERROR(ArrayFormula(SUM(VLOOKUP($C29,importrange(""1MwNMVzWE3QBVOyJjKr3eFX-Sq1Ng0Q1sghWJbgbE_8g"",""ORDER BOOKING REPORT 2024-25!C:CV""),{16,23,30},0))))"),4783553.1)</f>
        <v>4783553.1</v>
      </c>
      <c r="BP29" s="327">
        <f>IFERROR(__xludf.DUMMYFUNCTION("IFERROR(ArrayFormula(SUM(VLOOKUP($C29,importrange(""1MwNMVzWE3QBVOyJjKr3eFX-Sq1Ng0Q1sghWJbgbE_8g"",""ORDER BOOKING REPORT 2024-25!C:CV""),{37,44,51},0))))"),3565758.7)</f>
        <v>3565758.7</v>
      </c>
      <c r="BQ29" s="327">
        <f>IFERROR(__xludf.DUMMYFUNCTION("IFERROR(ArrayFormula(SUM(VLOOKUP($C29,importrange(""1MwNMVzWE3QBVOyJjKr3eFX-Sq1Ng0Q1sghWJbgbE_8g"",""ORDER BOOKING REPORT 2024-25!C:CV""),{58,65,72},0))))"),4461508.06)</f>
        <v>4461508.06</v>
      </c>
      <c r="BR29" s="327">
        <f>IFERROR(__xludf.DUMMYFUNCTION("IFERROR(ArrayFormula(SUM(VLOOKUP($C29,importrange(""1MwNMVzWE3QBVOyJjKr3eFX-Sq1Ng0Q1sghWJbgbE_8g"",""ORDER BOOKING REPORT 2024-25!C:CV""),{79,86,93},0))))"),4962595.86)</f>
        <v>4962595.86</v>
      </c>
      <c r="BS29" s="328">
        <f t="shared" si="13"/>
        <v>0.705412625</v>
      </c>
      <c r="BT29" s="328">
        <f t="shared" si="14"/>
        <v>0.04806188198</v>
      </c>
      <c r="BU29" s="234">
        <f t="shared" si="15"/>
        <v>0</v>
      </c>
      <c r="BV29" s="329">
        <v>50950.0</v>
      </c>
      <c r="BW29" s="329" t="s">
        <v>1020</v>
      </c>
      <c r="BX29" s="329">
        <v>555.0</v>
      </c>
      <c r="BY29" s="234">
        <f t="shared" si="16"/>
        <v>0</v>
      </c>
      <c r="BZ29" s="234"/>
      <c r="CA29" s="234"/>
      <c r="CB29" s="234"/>
      <c r="CC29" s="234"/>
      <c r="CD29" s="234"/>
      <c r="CE29" s="234"/>
      <c r="CF29" s="234"/>
      <c r="CG29" s="234" t="str">
        <f t="shared" si="19"/>
        <v>Below 60</v>
      </c>
      <c r="CH29" s="234" t="str">
        <f t="shared" si="27"/>
        <v>Business Achieved 50%</v>
      </c>
      <c r="CI29" s="328">
        <f t="shared" si="20"/>
        <v>0.9107142857</v>
      </c>
      <c r="CJ29" s="330">
        <f>IFERROR(__xludf.DUMMYFUNCTION("""COMPUTED_VALUE"""),1121.0)</f>
        <v>1121</v>
      </c>
      <c r="CK29" s="330">
        <f>IFERROR(__xludf.DUMMYFUNCTION("""COMPUTED_VALUE"""),9.0)</f>
        <v>9</v>
      </c>
      <c r="CL29" s="330">
        <f>IFERROR(__xludf.DUMMYFUNCTION("""COMPUTED_VALUE"""),0.0)</f>
        <v>0</v>
      </c>
      <c r="CM29" s="331">
        <f t="shared" si="21"/>
        <v>0</v>
      </c>
      <c r="CN29" s="337"/>
      <c r="CO29" s="160"/>
      <c r="CP29" s="334"/>
      <c r="CQ29" s="335"/>
      <c r="CR29" s="335"/>
      <c r="CS29" s="160"/>
      <c r="CT29" s="160">
        <f t="shared" si="24"/>
        <v>0</v>
      </c>
      <c r="CU29" s="160"/>
      <c r="CV29" s="160"/>
      <c r="CW29" s="335"/>
      <c r="CX29" s="288"/>
      <c r="CY29" s="160"/>
      <c r="CZ29" s="160"/>
    </row>
    <row r="30">
      <c r="A30" s="157" t="s">
        <v>185</v>
      </c>
      <c r="B30" s="157" t="s">
        <v>222</v>
      </c>
      <c r="C30" s="157" t="s">
        <v>223</v>
      </c>
      <c r="D30" s="157" t="s">
        <v>1057</v>
      </c>
      <c r="E30" s="157" t="s">
        <v>224</v>
      </c>
      <c r="F30" s="338">
        <v>43710.0</v>
      </c>
      <c r="G30" s="314">
        <v>0.0</v>
      </c>
      <c r="H30" s="314">
        <v>1.8E7</v>
      </c>
      <c r="I30" s="315">
        <v>1.228557965E7</v>
      </c>
      <c r="J30" s="315">
        <v>0.0</v>
      </c>
      <c r="K30" s="160">
        <v>77.0</v>
      </c>
      <c r="L30" s="160">
        <v>80.0</v>
      </c>
      <c r="M30" s="160">
        <v>11.0</v>
      </c>
      <c r="N30" s="160">
        <v>88.0</v>
      </c>
      <c r="O30" s="160">
        <v>8.0</v>
      </c>
      <c r="P30" s="315">
        <v>1.114403797E7</v>
      </c>
      <c r="Q30" s="315">
        <v>1141541.68</v>
      </c>
      <c r="R30" s="160">
        <v>43.0</v>
      </c>
      <c r="S30" s="160">
        <v>11.0</v>
      </c>
      <c r="T30" s="160">
        <v>54.0</v>
      </c>
      <c r="U30" s="160">
        <v>0.0</v>
      </c>
      <c r="V30" s="160">
        <v>15.0</v>
      </c>
      <c r="W30" s="160">
        <v>33.0</v>
      </c>
      <c r="X30" s="160">
        <v>62.0</v>
      </c>
      <c r="Y30" s="160">
        <v>3.0</v>
      </c>
      <c r="Z30" s="160">
        <v>104.0</v>
      </c>
      <c r="AA30" s="160">
        <v>0.0</v>
      </c>
      <c r="AB30" s="160">
        <v>0.0</v>
      </c>
      <c r="AC30" s="160">
        <v>1.0</v>
      </c>
      <c r="AD30" s="160">
        <v>1.0</v>
      </c>
      <c r="AE30" s="160">
        <v>1033.0</v>
      </c>
      <c r="AF30" s="160">
        <v>1171.0</v>
      </c>
      <c r="AG30" s="160">
        <v>290.0</v>
      </c>
      <c r="AH30" s="314">
        <f t="shared" si="2"/>
        <v>42364.06776</v>
      </c>
      <c r="AI30" s="314">
        <f t="shared" si="3"/>
        <v>4.037931034</v>
      </c>
      <c r="AJ30" s="316">
        <v>28050.0</v>
      </c>
      <c r="AK30" s="314">
        <f t="shared" si="35"/>
        <v>336600</v>
      </c>
      <c r="AL30" s="317">
        <v>194155.0</v>
      </c>
      <c r="AM30" s="318">
        <f t="shared" si="5"/>
        <v>0.0432014618</v>
      </c>
      <c r="AN30" s="314">
        <f t="shared" si="6"/>
        <v>227510.7343</v>
      </c>
      <c r="AO30" s="336">
        <f t="shared" si="33"/>
        <v>0.6825322028</v>
      </c>
      <c r="AP30" s="319">
        <v>0.0</v>
      </c>
      <c r="AQ30" s="160">
        <v>321.0</v>
      </c>
      <c r="AR30" s="160">
        <v>2738.0</v>
      </c>
      <c r="AS30" s="160">
        <v>2247.55</v>
      </c>
      <c r="AT30" s="160">
        <v>11.0</v>
      </c>
      <c r="AU30" s="160">
        <v>28.0</v>
      </c>
      <c r="AV30" s="320">
        <v>54.0</v>
      </c>
      <c r="AW30" s="320">
        <v>26.0</v>
      </c>
      <c r="AX30" s="320">
        <v>8.0</v>
      </c>
      <c r="AY30" s="321">
        <f>iferror(VLOOKUP(C30,'ORDER BOOKING REPORT 2025-26'!C:O,13,0),"")</f>
        <v>11054935</v>
      </c>
      <c r="AZ30" s="322"/>
      <c r="BA30" s="157" t="str">
        <f t="shared" si="7"/>
        <v>Active</v>
      </c>
      <c r="BB30" s="157" t="str">
        <f t="shared" si="8"/>
        <v>Old</v>
      </c>
      <c r="BC30" s="157" t="str">
        <f t="shared" si="34"/>
        <v>50%-70%</v>
      </c>
      <c r="BD30" s="223">
        <f t="shared" si="36"/>
        <v>12</v>
      </c>
      <c r="BE30" s="323">
        <v>1500000.0</v>
      </c>
      <c r="BF30" s="157">
        <f t="shared" si="10"/>
        <v>0</v>
      </c>
      <c r="BG30" s="157" t="s">
        <v>1019</v>
      </c>
      <c r="BH30" s="324"/>
      <c r="BI30" s="324"/>
      <c r="BJ30" s="325"/>
      <c r="BK30" s="326"/>
      <c r="BL30" s="326">
        <f t="shared" si="11"/>
        <v>0</v>
      </c>
      <c r="BM30" s="326">
        <f t="shared" si="12"/>
        <v>18000000</v>
      </c>
      <c r="BN30" s="326"/>
      <c r="BO30" s="327" t="str">
        <f>IFERROR(__xludf.DUMMYFUNCTION("IFERROR(ArrayFormula(SUM(VLOOKUP($C30,importrange(""1MwNMVzWE3QBVOyJjKr3eFX-Sq1Ng0Q1sghWJbgbE_8g"",""ORDER BOOKING REPORT 2024-25!C:CV""),{16,23,30},0))))"),"")</f>
        <v/>
      </c>
      <c r="BP30" s="327" t="str">
        <f>IFERROR(__xludf.DUMMYFUNCTION("IFERROR(ArrayFormula(SUM(VLOOKUP($C30,importrange(""1MwNMVzWE3QBVOyJjKr3eFX-Sq1Ng0Q1sghWJbgbE_8g"",""ORDER BOOKING REPORT 2024-25!C:CV""),{37,44,51},0))))"),"")</f>
        <v/>
      </c>
      <c r="BQ30" s="327" t="str">
        <f>IFERROR(__xludf.DUMMYFUNCTION("IFERROR(ArrayFormula(SUM(VLOOKUP($C30,importrange(""1MwNMVzWE3QBVOyJjKr3eFX-Sq1Ng0Q1sghWJbgbE_8g"",""ORDER BOOKING REPORT 2024-25!C:CV""),{58,65,72},0))))"),"")</f>
        <v/>
      </c>
      <c r="BR30" s="327" t="str">
        <f>IFERROR(__xludf.DUMMYFUNCTION("IFERROR(ArrayFormula(SUM(VLOOKUP($C30,importrange(""1MwNMVzWE3QBVOyJjKr3eFX-Sq1Ng0Q1sghWJbgbE_8g"",""ORDER BOOKING REPORT 2024-25!C:CV""),{79,86,93},0))))"),"")</f>
        <v/>
      </c>
      <c r="BS30" s="328">
        <f t="shared" si="13"/>
        <v>0.6141630556</v>
      </c>
      <c r="BT30" s="328">
        <f t="shared" si="14"/>
        <v>0.04801068482</v>
      </c>
      <c r="BU30" s="234">
        <f t="shared" si="15"/>
        <v>0</v>
      </c>
      <c r="BV30" s="329">
        <v>28050.0</v>
      </c>
      <c r="BW30" s="329" t="s">
        <v>1045</v>
      </c>
      <c r="BX30" s="329">
        <v>708.0</v>
      </c>
      <c r="BY30" s="234">
        <f t="shared" si="16"/>
        <v>0</v>
      </c>
      <c r="BZ30" s="234"/>
      <c r="CA30" s="234"/>
      <c r="CB30" s="234"/>
      <c r="CC30" s="234"/>
      <c r="CD30" s="234"/>
      <c r="CE30" s="234"/>
      <c r="CF30" s="234"/>
      <c r="CG30" s="234" t="str">
        <f t="shared" si="19"/>
        <v> </v>
      </c>
      <c r="CH30" s="234" t="str">
        <f t="shared" si="27"/>
        <v>Business Achieved 50%</v>
      </c>
      <c r="CI30" s="328">
        <f t="shared" si="20"/>
        <v>0.6136363636</v>
      </c>
      <c r="CJ30" s="330">
        <f>IFERROR(__xludf.DUMMYFUNCTION("""COMPUTED_VALUE"""),853.0)</f>
        <v>853</v>
      </c>
      <c r="CK30" s="330">
        <f>IFERROR(__xludf.DUMMYFUNCTION("""COMPUTED_VALUE"""),180.0)</f>
        <v>180</v>
      </c>
      <c r="CL30" s="330">
        <f>IFERROR(__xludf.DUMMYFUNCTION("""COMPUTED_VALUE"""),0.0)</f>
        <v>0</v>
      </c>
      <c r="CM30" s="331">
        <f t="shared" si="21"/>
        <v>0</v>
      </c>
      <c r="CN30" s="337"/>
      <c r="CO30" s="160"/>
      <c r="CP30" s="334"/>
      <c r="CQ30" s="335"/>
      <c r="CR30" s="160"/>
      <c r="CS30" s="160"/>
      <c r="CT30" s="160"/>
      <c r="CU30" s="160"/>
      <c r="CV30" s="160"/>
      <c r="CW30" s="335"/>
      <c r="CX30" s="288"/>
      <c r="CY30" s="160"/>
      <c r="CZ30" s="160"/>
    </row>
    <row r="31">
      <c r="A31" s="157" t="s">
        <v>185</v>
      </c>
      <c r="B31" s="157" t="s">
        <v>85</v>
      </c>
      <c r="C31" s="157" t="s">
        <v>88</v>
      </c>
      <c r="D31" s="157" t="s">
        <v>1058</v>
      </c>
      <c r="E31" s="157" t="s">
        <v>1059</v>
      </c>
      <c r="F31" s="338">
        <v>44046.0</v>
      </c>
      <c r="G31" s="314">
        <v>0.0</v>
      </c>
      <c r="H31" s="314">
        <v>2.3499996E7</v>
      </c>
      <c r="I31" s="315">
        <v>1.60071479E7</v>
      </c>
      <c r="J31" s="315">
        <v>0.0</v>
      </c>
      <c r="K31" s="160">
        <v>104.0</v>
      </c>
      <c r="L31" s="160">
        <v>115.0</v>
      </c>
      <c r="M31" s="160">
        <v>11.0</v>
      </c>
      <c r="N31" s="160">
        <v>115.0</v>
      </c>
      <c r="O31" s="160">
        <v>0.0</v>
      </c>
      <c r="P31" s="315">
        <v>1.476070545E7</v>
      </c>
      <c r="Q31" s="315">
        <v>1246442.45</v>
      </c>
      <c r="R31" s="160">
        <v>91.0</v>
      </c>
      <c r="S31" s="160">
        <v>11.0</v>
      </c>
      <c r="T31" s="160">
        <v>102.0</v>
      </c>
      <c r="U31" s="160">
        <v>0.0</v>
      </c>
      <c r="V31" s="160">
        <v>4.0</v>
      </c>
      <c r="W31" s="160">
        <v>11.0</v>
      </c>
      <c r="X31" s="160">
        <v>0.0</v>
      </c>
      <c r="Y31" s="160">
        <v>1.0</v>
      </c>
      <c r="Z31" s="160">
        <v>11.0</v>
      </c>
      <c r="AA31" s="160">
        <v>0.0</v>
      </c>
      <c r="AB31" s="160">
        <v>0.0</v>
      </c>
      <c r="AC31" s="160">
        <v>1.0</v>
      </c>
      <c r="AD31" s="160">
        <v>1.0</v>
      </c>
      <c r="AE31" s="160">
        <v>2005.0</v>
      </c>
      <c r="AF31" s="160">
        <v>2028.0</v>
      </c>
      <c r="AG31" s="160">
        <v>289.0</v>
      </c>
      <c r="AH31" s="314">
        <f t="shared" si="2"/>
        <v>55388.05502</v>
      </c>
      <c r="AI31" s="314">
        <f t="shared" si="3"/>
        <v>7.017301038</v>
      </c>
      <c r="AJ31" s="316">
        <f>BV31</f>
        <v>40380</v>
      </c>
      <c r="AK31" s="314">
        <f t="shared" si="35"/>
        <v>484560</v>
      </c>
      <c r="AL31" s="286">
        <v>225757.0</v>
      </c>
      <c r="AM31" s="318">
        <f t="shared" si="5"/>
        <v>0.04437498825</v>
      </c>
      <c r="AN31" s="314">
        <f t="shared" si="6"/>
        <v>156932.8225</v>
      </c>
      <c r="AO31" s="336">
        <f t="shared" si="33"/>
        <v>0.6811553457</v>
      </c>
      <c r="AP31" s="319">
        <v>0.0</v>
      </c>
      <c r="AQ31" s="160">
        <v>677.0</v>
      </c>
      <c r="AR31" s="160">
        <v>3260.0</v>
      </c>
      <c r="AS31" s="160">
        <v>5215.62</v>
      </c>
      <c r="AT31" s="160">
        <v>11.0</v>
      </c>
      <c r="AU31" s="160">
        <v>45.0</v>
      </c>
      <c r="AV31" s="320">
        <v>102.0</v>
      </c>
      <c r="AW31" s="320">
        <v>13.0</v>
      </c>
      <c r="AX31" s="320">
        <v>0.0</v>
      </c>
      <c r="AY31" s="321">
        <f>iferror(VLOOKUP(C31,'ORDER BOOKING REPORT 2025-26'!C:O,13,0),"")</f>
        <v>18954658</v>
      </c>
      <c r="AZ31" s="322"/>
      <c r="BA31" s="157" t="str">
        <f t="shared" si="7"/>
        <v>Active</v>
      </c>
      <c r="BB31" s="157" t="str">
        <f t="shared" si="8"/>
        <v>Old</v>
      </c>
      <c r="BC31" s="157" t="str">
        <f t="shared" si="34"/>
        <v>50%-70%</v>
      </c>
      <c r="BD31" s="223">
        <f t="shared" si="36"/>
        <v>12</v>
      </c>
      <c r="BE31" s="323">
        <v>1958333.0</v>
      </c>
      <c r="BF31" s="157">
        <f t="shared" si="10"/>
        <v>0</v>
      </c>
      <c r="BG31" s="157" t="s">
        <v>1019</v>
      </c>
      <c r="BH31" s="324"/>
      <c r="BI31" s="324"/>
      <c r="BJ31" s="325"/>
      <c r="BK31" s="326"/>
      <c r="BL31" s="326">
        <f t="shared" si="11"/>
        <v>0</v>
      </c>
      <c r="BM31" s="326">
        <f t="shared" si="12"/>
        <v>23499996</v>
      </c>
      <c r="BN31" s="326"/>
      <c r="BO31" s="327" t="str">
        <f>IFERROR(__xludf.DUMMYFUNCTION("IFERROR(ArrayFormula(SUM(VLOOKUP($C31,importrange(""1MwNMVzWE3QBVOyJjKr3eFX-Sq1Ng0Q1sghWJbgbE_8g"",""ORDER BOOKING REPORT 2024-25!C:CV""),{16,23,30},0))))"),"")</f>
        <v/>
      </c>
      <c r="BP31" s="327" t="str">
        <f>IFERROR(__xludf.DUMMYFUNCTION("IFERROR(ArrayFormula(SUM(VLOOKUP($C31,importrange(""1MwNMVzWE3QBVOyJjKr3eFX-Sq1Ng0Q1sghWJbgbE_8g"",""ORDER BOOKING REPORT 2024-25!C:CV""),{37,44,51},0))))"),"")</f>
        <v/>
      </c>
      <c r="BQ31" s="327" t="str">
        <f>IFERROR(__xludf.DUMMYFUNCTION("IFERROR(ArrayFormula(SUM(VLOOKUP($C31,importrange(""1MwNMVzWE3QBVOyJjKr3eFX-Sq1Ng0Q1sghWJbgbE_8g"",""ORDER BOOKING REPORT 2024-25!C:CV""),{58,65,72},0))))"),"")</f>
        <v/>
      </c>
      <c r="BR31" s="327" t="str">
        <f>IFERROR(__xludf.DUMMYFUNCTION("IFERROR(ArrayFormula(SUM(VLOOKUP($C31,importrange(""1MwNMVzWE3QBVOyJjKr3eFX-Sq1Ng0Q1sghWJbgbE_8g"",""ORDER BOOKING REPORT 2024-25!C:CV""),{79,86,93},0))))"),"")</f>
        <v/>
      </c>
      <c r="BS31" s="328">
        <f t="shared" si="13"/>
        <v>0.8065813288</v>
      </c>
      <c r="BT31" s="328">
        <f t="shared" si="14"/>
        <v>0.03747453528</v>
      </c>
      <c r="BU31" s="234">
        <f t="shared" si="15"/>
        <v>0</v>
      </c>
      <c r="BV31" s="329">
        <v>40380.0</v>
      </c>
      <c r="BW31" s="329" t="s">
        <v>1060</v>
      </c>
      <c r="BX31" s="329">
        <v>601.0</v>
      </c>
      <c r="BY31" s="234">
        <f t="shared" si="16"/>
        <v>0</v>
      </c>
      <c r="BZ31" s="234"/>
      <c r="CA31" s="234"/>
      <c r="CB31" s="234"/>
      <c r="CC31" s="234"/>
      <c r="CD31" s="234"/>
      <c r="CE31" s="234"/>
      <c r="CF31" s="234"/>
      <c r="CG31" s="234" t="str">
        <f t="shared" si="19"/>
        <v> </v>
      </c>
      <c r="CH31" s="234" t="str">
        <f t="shared" si="27"/>
        <v>Business Achieved 50%</v>
      </c>
      <c r="CI31" s="328">
        <f t="shared" si="20"/>
        <v>0.8869565217</v>
      </c>
      <c r="CJ31" s="339">
        <f>IFERROR(__xludf.DUMMYFUNCTION("""COMPUTED_VALUE"""),1846.0)</f>
        <v>1846</v>
      </c>
      <c r="CK31" s="339">
        <f>IFERROR(__xludf.DUMMYFUNCTION("""COMPUTED_VALUE"""),159.0)</f>
        <v>159</v>
      </c>
      <c r="CL31" s="339">
        <f>IFERROR(__xludf.DUMMYFUNCTION("""COMPUTED_VALUE"""),0.0)</f>
        <v>0</v>
      </c>
      <c r="CM31" s="331">
        <f t="shared" si="21"/>
        <v>0</v>
      </c>
      <c r="CN31" s="340"/>
      <c r="CO31" s="328"/>
      <c r="CP31" s="341"/>
      <c r="CQ31" s="344"/>
      <c r="CR31" s="328"/>
      <c r="CS31" s="328"/>
      <c r="CT31" s="328"/>
      <c r="CU31" s="328"/>
      <c r="CV31" s="328"/>
      <c r="CW31" s="328"/>
      <c r="CX31" s="288"/>
      <c r="CY31" s="328"/>
      <c r="CZ31" s="328"/>
    </row>
    <row r="32">
      <c r="A32" s="157" t="s">
        <v>185</v>
      </c>
      <c r="B32" s="157" t="s">
        <v>212</v>
      </c>
      <c r="C32" s="157" t="s">
        <v>225</v>
      </c>
      <c r="D32" s="157" t="s">
        <v>1031</v>
      </c>
      <c r="E32" s="157" t="s">
        <v>226</v>
      </c>
      <c r="F32" s="338">
        <v>44166.0</v>
      </c>
      <c r="G32" s="314">
        <v>0.0</v>
      </c>
      <c r="H32" s="314">
        <v>1.8E7</v>
      </c>
      <c r="I32" s="315">
        <v>9992477.78</v>
      </c>
      <c r="J32" s="315">
        <v>0.0</v>
      </c>
      <c r="K32" s="160">
        <v>42.0</v>
      </c>
      <c r="L32" s="160">
        <v>47.0</v>
      </c>
      <c r="M32" s="160">
        <v>5.0</v>
      </c>
      <c r="N32" s="160">
        <v>47.0</v>
      </c>
      <c r="O32" s="160">
        <v>0.0</v>
      </c>
      <c r="P32" s="315">
        <v>7806266.18</v>
      </c>
      <c r="Q32" s="315">
        <v>2186211.6</v>
      </c>
      <c r="R32" s="160">
        <v>24.0</v>
      </c>
      <c r="S32" s="160">
        <v>5.0</v>
      </c>
      <c r="T32" s="160">
        <v>29.0</v>
      </c>
      <c r="U32" s="160">
        <v>0.0</v>
      </c>
      <c r="V32" s="160">
        <v>16.0</v>
      </c>
      <c r="W32" s="160">
        <v>26.0</v>
      </c>
      <c r="X32" s="160">
        <v>18.0</v>
      </c>
      <c r="Y32" s="160">
        <v>2.0</v>
      </c>
      <c r="Z32" s="160">
        <v>79.0</v>
      </c>
      <c r="AA32" s="160">
        <v>0.0</v>
      </c>
      <c r="AB32" s="160">
        <v>0.0</v>
      </c>
      <c r="AC32" s="160">
        <v>0.0</v>
      </c>
      <c r="AD32" s="160">
        <v>0.0</v>
      </c>
      <c r="AE32" s="160">
        <v>881.0</v>
      </c>
      <c r="AF32" s="160">
        <v>986.0</v>
      </c>
      <c r="AG32" s="160">
        <v>293.0</v>
      </c>
      <c r="AH32" s="314">
        <f t="shared" si="2"/>
        <v>34104.01973</v>
      </c>
      <c r="AI32" s="314">
        <f t="shared" si="3"/>
        <v>3.365187713</v>
      </c>
      <c r="AJ32" s="316">
        <v>27200.0</v>
      </c>
      <c r="AK32" s="314">
        <f t="shared" si="35"/>
        <v>326400</v>
      </c>
      <c r="AL32" s="317">
        <v>174096.0</v>
      </c>
      <c r="AM32" s="318">
        <f t="shared" si="5"/>
        <v>0.05008727675</v>
      </c>
      <c r="AN32" s="314">
        <f t="shared" si="6"/>
        <v>344568.1993</v>
      </c>
      <c r="AO32" s="336">
        <f t="shared" si="33"/>
        <v>0.5551376544</v>
      </c>
      <c r="AP32" s="319">
        <v>0.0</v>
      </c>
      <c r="AQ32" s="160">
        <v>94.0</v>
      </c>
      <c r="AR32" s="160">
        <v>2375.0</v>
      </c>
      <c r="AS32" s="160">
        <v>1598.05</v>
      </c>
      <c r="AT32" s="160">
        <v>5.0</v>
      </c>
      <c r="AU32" s="160">
        <v>34.0</v>
      </c>
      <c r="AV32" s="320">
        <v>29.0</v>
      </c>
      <c r="AW32" s="320">
        <v>18.0</v>
      </c>
      <c r="AX32" s="320">
        <v>0.0</v>
      </c>
      <c r="AY32" s="321">
        <f>iferror(VLOOKUP(C32,'ORDER BOOKING REPORT 2025-26'!C:O,13,0),"")</f>
        <v>22287781</v>
      </c>
      <c r="AZ32" s="322"/>
      <c r="BA32" s="157" t="str">
        <f t="shared" si="7"/>
        <v>Active</v>
      </c>
      <c r="BB32" s="157" t="str">
        <f t="shared" si="8"/>
        <v>Old</v>
      </c>
      <c r="BC32" s="157" t="str">
        <f t="shared" si="34"/>
        <v>50%-70%</v>
      </c>
      <c r="BD32" s="223">
        <f t="shared" si="36"/>
        <v>12</v>
      </c>
      <c r="BE32" s="323">
        <v>1500000.0</v>
      </c>
      <c r="BF32" s="157">
        <f t="shared" si="10"/>
        <v>0</v>
      </c>
      <c r="BG32" s="157" t="s">
        <v>1019</v>
      </c>
      <c r="BH32" s="324"/>
      <c r="BI32" s="324"/>
      <c r="BJ32" s="325"/>
      <c r="BK32" s="326"/>
      <c r="BL32" s="326">
        <f t="shared" si="11"/>
        <v>0</v>
      </c>
      <c r="BM32" s="326">
        <f t="shared" si="12"/>
        <v>18000000</v>
      </c>
      <c r="BN32" s="326"/>
      <c r="BO32" s="327" t="str">
        <f>IFERROR(__xludf.DUMMYFUNCTION("IFERROR(ArrayFormula(SUM(VLOOKUP($C32,importrange(""1MwNMVzWE3QBVOyJjKr3eFX-Sq1Ng0Q1sghWJbgbE_8g"",""ORDER BOOKING REPORT 2024-25!C:CV""),{16,23,30},0))))"),"")</f>
        <v/>
      </c>
      <c r="BP32" s="327" t="str">
        <f>IFERROR(__xludf.DUMMYFUNCTION("IFERROR(ArrayFormula(SUM(VLOOKUP($C32,importrange(""1MwNMVzWE3QBVOyJjKr3eFX-Sq1Ng0Q1sghWJbgbE_8g"",""ORDER BOOKING REPORT 2024-25!C:CV""),{37,44,51},0))))"),"")</f>
        <v/>
      </c>
      <c r="BQ32" s="327" t="str">
        <f>IFERROR(__xludf.DUMMYFUNCTION("IFERROR(ArrayFormula(SUM(VLOOKUP($C32,importrange(""1MwNMVzWE3QBVOyJjKr3eFX-Sq1Ng0Q1sghWJbgbE_8g"",""ORDER BOOKING REPORT 2024-25!C:CV""),{58,65,72},0))))"),"")</f>
        <v/>
      </c>
      <c r="BR32" s="327" t="str">
        <f>IFERROR(__xludf.DUMMYFUNCTION("IFERROR(ArrayFormula(SUM(VLOOKUP($C32,importrange(""1MwNMVzWE3QBVOyJjKr3eFX-Sq1Ng0Q1sghWJbgbE_8g"",""ORDER BOOKING REPORT 2024-25!C:CV""),{79,86,93},0))))"),"")</f>
        <v/>
      </c>
      <c r="BS32" s="328">
        <f t="shared" si="13"/>
        <v>1.238210056</v>
      </c>
      <c r="BT32" s="328">
        <f t="shared" si="14"/>
        <v>0.02245607133</v>
      </c>
      <c r="BU32" s="234">
        <f t="shared" si="15"/>
        <v>0</v>
      </c>
      <c r="BV32" s="329">
        <v>27200.0</v>
      </c>
      <c r="BW32" s="329" t="s">
        <v>1045</v>
      </c>
      <c r="BX32" s="329">
        <v>719.0</v>
      </c>
      <c r="BY32" s="234">
        <f t="shared" si="16"/>
        <v>0</v>
      </c>
      <c r="BZ32" s="234"/>
      <c r="CA32" s="234"/>
      <c r="CB32" s="234"/>
      <c r="CC32" s="234"/>
      <c r="CD32" s="234"/>
      <c r="CE32" s="234"/>
      <c r="CF32" s="234"/>
      <c r="CG32" s="234" t="str">
        <f t="shared" si="19"/>
        <v>Below 60</v>
      </c>
      <c r="CH32" s="234" t="str">
        <f t="shared" si="27"/>
        <v>Business Achieved 50%</v>
      </c>
      <c r="CI32" s="328">
        <f t="shared" si="20"/>
        <v>0.6170212766</v>
      </c>
      <c r="CJ32" s="330">
        <f>IFERROR(__xludf.DUMMYFUNCTION("""COMPUTED_VALUE"""),575.0)</f>
        <v>575</v>
      </c>
      <c r="CK32" s="330">
        <f>IFERROR(__xludf.DUMMYFUNCTION("""COMPUTED_VALUE"""),306.0)</f>
        <v>306</v>
      </c>
      <c r="CL32" s="330">
        <f>IFERROR(__xludf.DUMMYFUNCTION("""COMPUTED_VALUE"""),0.0)</f>
        <v>0</v>
      </c>
      <c r="CM32" s="331">
        <f t="shared" si="21"/>
        <v>0</v>
      </c>
      <c r="CN32" s="337"/>
      <c r="CO32" s="160"/>
      <c r="CP32" s="334"/>
      <c r="CQ32" s="335"/>
      <c r="CR32" s="160"/>
      <c r="CS32" s="160"/>
      <c r="CT32" s="160"/>
      <c r="CU32" s="160"/>
      <c r="CV32" s="160"/>
      <c r="CW32" s="335"/>
      <c r="CX32" s="288"/>
      <c r="CY32" s="160"/>
      <c r="CZ32" s="160"/>
    </row>
    <row r="33">
      <c r="A33" s="157" t="s">
        <v>126</v>
      </c>
      <c r="B33" s="157" t="s">
        <v>140</v>
      </c>
      <c r="C33" s="157" t="s">
        <v>591</v>
      </c>
      <c r="D33" s="157" t="s">
        <v>1061</v>
      </c>
      <c r="E33" s="157" t="s">
        <v>174</v>
      </c>
      <c r="F33" s="285">
        <v>44207.0</v>
      </c>
      <c r="G33" s="314">
        <v>0.0</v>
      </c>
      <c r="H33" s="314">
        <v>0.0</v>
      </c>
      <c r="I33" s="315">
        <v>306632.08</v>
      </c>
      <c r="J33" s="315">
        <v>0.0</v>
      </c>
      <c r="K33" s="160">
        <v>70.0</v>
      </c>
      <c r="L33" s="160">
        <v>44.0</v>
      </c>
      <c r="M33" s="160">
        <v>3.0</v>
      </c>
      <c r="N33" s="160">
        <v>73.0</v>
      </c>
      <c r="O33" s="160">
        <v>29.0</v>
      </c>
      <c r="P33" s="315">
        <v>306632.08</v>
      </c>
      <c r="Q33" s="315">
        <v>0.0</v>
      </c>
      <c r="R33" s="160">
        <v>13.0</v>
      </c>
      <c r="S33" s="160">
        <v>0.0</v>
      </c>
      <c r="T33" s="160">
        <v>13.0</v>
      </c>
      <c r="U33" s="160">
        <v>0.0</v>
      </c>
      <c r="V33" s="160">
        <v>3.0</v>
      </c>
      <c r="W33" s="160">
        <v>4.0</v>
      </c>
      <c r="X33" s="160">
        <v>69.0</v>
      </c>
      <c r="Y33" s="160">
        <v>1.0</v>
      </c>
      <c r="Z33" s="160">
        <v>1.0</v>
      </c>
      <c r="AA33" s="160">
        <v>0.0</v>
      </c>
      <c r="AB33" s="160">
        <v>0.0</v>
      </c>
      <c r="AC33" s="160">
        <v>0.0</v>
      </c>
      <c r="AD33" s="160">
        <v>0.0</v>
      </c>
      <c r="AE33" s="160">
        <v>74.0</v>
      </c>
      <c r="AF33" s="160">
        <v>79.0</v>
      </c>
      <c r="AG33" s="160">
        <v>23.0</v>
      </c>
      <c r="AH33" s="314">
        <f t="shared" si="2"/>
        <v>13331.82957</v>
      </c>
      <c r="AI33" s="314">
        <f t="shared" si="3"/>
        <v>3.434782609</v>
      </c>
      <c r="AJ33" s="316">
        <v>40085.0</v>
      </c>
      <c r="AK33" s="314">
        <f t="shared" si="35"/>
        <v>40085</v>
      </c>
      <c r="AL33" s="286">
        <v>10260.0</v>
      </c>
      <c r="AM33" s="318">
        <f t="shared" si="5"/>
        <v>0.1641869957</v>
      </c>
      <c r="AN33" s="314">
        <f t="shared" si="6"/>
        <v>23587.08308</v>
      </c>
      <c r="AO33" s="286" t="s">
        <v>972</v>
      </c>
      <c r="AP33" s="319">
        <v>0.0</v>
      </c>
      <c r="AQ33" s="160">
        <v>19.0</v>
      </c>
      <c r="AR33" s="160">
        <v>196.0</v>
      </c>
      <c r="AS33" s="160">
        <v>0.0</v>
      </c>
      <c r="AT33" s="160">
        <v>0.0</v>
      </c>
      <c r="AU33" s="160">
        <v>0.0</v>
      </c>
      <c r="AV33" s="320">
        <v>13.0</v>
      </c>
      <c r="AW33" s="320">
        <v>35.0</v>
      </c>
      <c r="AX33" s="320">
        <v>25.0</v>
      </c>
      <c r="AY33" s="321">
        <f>iferror(VLOOKUP(C33,'ORDER BOOKING REPORT 2025-26'!C:O,13,0),"")</f>
        <v>0</v>
      </c>
      <c r="AZ33" s="345">
        <v>45777.0</v>
      </c>
      <c r="BA33" s="157" t="str">
        <f t="shared" si="7"/>
        <v>LEFT</v>
      </c>
      <c r="BB33" s="157" t="str">
        <f t="shared" si="8"/>
        <v>Old</v>
      </c>
      <c r="BC33" s="160" t="s">
        <v>972</v>
      </c>
      <c r="BD33" s="223">
        <v>1.0</v>
      </c>
      <c r="BE33" s="323"/>
      <c r="BF33" s="157">
        <f t="shared" si="10"/>
        <v>3</v>
      </c>
      <c r="BG33" s="157" t="s">
        <v>1019</v>
      </c>
      <c r="BH33" s="324"/>
      <c r="BI33" s="324"/>
      <c r="BJ33" s="325"/>
      <c r="BK33" s="326"/>
      <c r="BL33" s="326">
        <f t="shared" si="11"/>
        <v>0</v>
      </c>
      <c r="BM33" s="326">
        <f t="shared" si="12"/>
        <v>0</v>
      </c>
      <c r="BN33" s="326"/>
      <c r="BO33" s="327" t="str">
        <f>IFERROR(__xludf.DUMMYFUNCTION("IFERROR(ArrayFormula(SUM(VLOOKUP($C33,importrange(""1MwNMVzWE3QBVOyJjKr3eFX-Sq1Ng0Q1sghWJbgbE_8g"",""ORDER BOOKING REPORT 2024-25!C:CV""),{16,23,30},0))))"),"")</f>
        <v/>
      </c>
      <c r="BP33" s="327" t="str">
        <f>IFERROR(__xludf.DUMMYFUNCTION("IFERROR(ArrayFormula(SUM(VLOOKUP($C33,importrange(""1MwNMVzWE3QBVOyJjKr3eFX-Sq1Ng0Q1sghWJbgbE_8g"",""ORDER BOOKING REPORT 2024-25!C:CV""),{37,44,51},0))))"),"")</f>
        <v/>
      </c>
      <c r="BQ33" s="327" t="str">
        <f>IFERROR(__xludf.DUMMYFUNCTION("IFERROR(ArrayFormula(SUM(VLOOKUP($C33,importrange(""1MwNMVzWE3QBVOyJjKr3eFX-Sq1Ng0Q1sghWJbgbE_8g"",""ORDER BOOKING REPORT 2024-25!C:CV""),{58,65,72},0))))"),"")</f>
        <v/>
      </c>
      <c r="BR33" s="327" t="str">
        <f>IFERROR(__xludf.DUMMYFUNCTION("IFERROR(ArrayFormula(SUM(VLOOKUP($C33,importrange(""1MwNMVzWE3QBVOyJjKr3eFX-Sq1Ng0Q1sghWJbgbE_8g"",""ORDER BOOKING REPORT 2024-25!C:CV""),{79,86,93},0))))"),"")</f>
        <v/>
      </c>
      <c r="BS33" s="328" t="str">
        <f t="shared" si="13"/>
        <v/>
      </c>
      <c r="BT33" s="328" t="str">
        <f t="shared" si="14"/>
        <v/>
      </c>
      <c r="BU33" s="234">
        <f t="shared" si="15"/>
        <v>0</v>
      </c>
      <c r="BV33" s="329"/>
      <c r="BW33" s="329"/>
      <c r="BX33" s="329"/>
      <c r="BY33" s="234">
        <f t="shared" si="16"/>
        <v>-40085</v>
      </c>
      <c r="BZ33" s="234"/>
      <c r="CA33" s="234"/>
      <c r="CB33" s="234"/>
      <c r="CC33" s="234"/>
      <c r="CD33" s="234"/>
      <c r="CE33" s="234"/>
      <c r="CF33" s="234"/>
      <c r="CG33" s="234" t="str">
        <f t="shared" si="19"/>
        <v> </v>
      </c>
      <c r="CH33" s="234" t="str">
        <f t="shared" si="27"/>
        <v>Not 50%</v>
      </c>
      <c r="CI33" s="328">
        <f t="shared" si="20"/>
        <v>0.1780821918</v>
      </c>
      <c r="CJ33" s="339">
        <f>IFERROR(__xludf.DUMMYFUNCTION("""COMPUTED_VALUE"""),16.0)</f>
        <v>16</v>
      </c>
      <c r="CK33" s="339">
        <f>IFERROR(__xludf.DUMMYFUNCTION("""COMPUTED_VALUE"""),58.0)</f>
        <v>58</v>
      </c>
      <c r="CL33" s="339">
        <f>IFERROR(__xludf.DUMMYFUNCTION("""COMPUTED_VALUE"""),0.0)</f>
        <v>0</v>
      </c>
      <c r="CM33" s="331">
        <f t="shared" si="21"/>
        <v>0</v>
      </c>
      <c r="CN33" s="340"/>
      <c r="CO33" s="328"/>
      <c r="CP33" s="341"/>
      <c r="CQ33" s="344"/>
      <c r="CR33" s="328"/>
      <c r="CS33" s="328"/>
      <c r="CT33" s="328"/>
      <c r="CU33" s="328"/>
      <c r="CV33" s="328"/>
      <c r="CW33" s="328"/>
      <c r="CX33" s="288"/>
      <c r="CY33" s="328"/>
      <c r="CZ33" s="328"/>
    </row>
    <row r="34">
      <c r="A34" s="157" t="s">
        <v>97</v>
      </c>
      <c r="B34" s="157" t="s">
        <v>101</v>
      </c>
      <c r="C34" s="157" t="s">
        <v>597</v>
      </c>
      <c r="D34" s="157" t="s">
        <v>1062</v>
      </c>
      <c r="E34" s="157" t="s">
        <v>1063</v>
      </c>
      <c r="F34" s="285">
        <v>44224.0</v>
      </c>
      <c r="G34" s="314">
        <v>0.0</v>
      </c>
      <c r="H34" s="314">
        <v>0.0</v>
      </c>
      <c r="I34" s="315">
        <v>0.0</v>
      </c>
      <c r="J34" s="315">
        <v>0.0</v>
      </c>
      <c r="K34" s="160">
        <v>147.0</v>
      </c>
      <c r="L34" s="160">
        <v>43.0</v>
      </c>
      <c r="M34" s="160">
        <v>6.0</v>
      </c>
      <c r="N34" s="160">
        <v>153.0</v>
      </c>
      <c r="O34" s="160">
        <v>110.0</v>
      </c>
      <c r="P34" s="315">
        <v>0.0</v>
      </c>
      <c r="Q34" s="315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2.0</v>
      </c>
      <c r="W34" s="160">
        <v>2.0</v>
      </c>
      <c r="X34" s="160">
        <v>43.0</v>
      </c>
      <c r="Y34" s="160">
        <v>1.0</v>
      </c>
      <c r="Z34" s="160">
        <v>1.0</v>
      </c>
      <c r="AA34" s="160">
        <v>0.0</v>
      </c>
      <c r="AB34" s="160">
        <v>0.0</v>
      </c>
      <c r="AC34" s="160">
        <v>0.0</v>
      </c>
      <c r="AD34" s="160">
        <v>0.0</v>
      </c>
      <c r="AE34" s="160">
        <v>76.0</v>
      </c>
      <c r="AF34" s="160">
        <v>79.0</v>
      </c>
      <c r="AG34" s="160">
        <v>18.0</v>
      </c>
      <c r="AH34" s="314">
        <f t="shared" si="2"/>
        <v>0</v>
      </c>
      <c r="AI34" s="314">
        <f t="shared" si="3"/>
        <v>4.388888889</v>
      </c>
      <c r="AJ34" s="346">
        <v>35543.0</v>
      </c>
      <c r="AK34" s="314">
        <f t="shared" si="35"/>
        <v>31988.7</v>
      </c>
      <c r="AL34" s="286">
        <v>9680.0</v>
      </c>
      <c r="AM34" s="318" t="str">
        <f t="shared" si="5"/>
        <v/>
      </c>
      <c r="AN34" s="314" t="str">
        <f t="shared" si="6"/>
        <v/>
      </c>
      <c r="AO34" s="286" t="s">
        <v>972</v>
      </c>
      <c r="AP34" s="319">
        <v>0.0</v>
      </c>
      <c r="AQ34" s="160">
        <v>0.0</v>
      </c>
      <c r="AR34" s="160">
        <v>142.0</v>
      </c>
      <c r="AS34" s="160">
        <v>0.0</v>
      </c>
      <c r="AT34" s="160">
        <v>0.0</v>
      </c>
      <c r="AU34" s="160">
        <v>0.0</v>
      </c>
      <c r="AV34" s="320">
        <v>0.0</v>
      </c>
      <c r="AW34" s="320">
        <v>43.0</v>
      </c>
      <c r="AX34" s="320">
        <v>110.0</v>
      </c>
      <c r="AY34" s="321" t="str">
        <f>iferror(VLOOKUP(C34,'ORDER BOOKING REPORT 2025-26'!C:O,13,0),"")</f>
        <v/>
      </c>
      <c r="AZ34" s="345">
        <v>45774.0</v>
      </c>
      <c r="BA34" s="157" t="str">
        <f t="shared" si="7"/>
        <v>LEFT</v>
      </c>
      <c r="BB34" s="157" t="str">
        <f t="shared" si="8"/>
        <v>Old</v>
      </c>
      <c r="BC34" s="160" t="s">
        <v>972</v>
      </c>
      <c r="BD34" s="223">
        <f>(30-3)/30</f>
        <v>0.9</v>
      </c>
      <c r="BE34" s="323"/>
      <c r="BF34" s="157">
        <f t="shared" si="10"/>
        <v>6</v>
      </c>
      <c r="BG34" s="157" t="s">
        <v>188</v>
      </c>
      <c r="BH34" s="324"/>
      <c r="BI34" s="324"/>
      <c r="BJ34" s="343">
        <f>27/30</f>
        <v>0.9</v>
      </c>
      <c r="BK34" s="347"/>
      <c r="BL34" s="326">
        <f t="shared" si="11"/>
        <v>0</v>
      </c>
      <c r="BM34" s="326">
        <f t="shared" si="12"/>
        <v>0</v>
      </c>
      <c r="BN34" s="326"/>
      <c r="BO34" s="327" t="str">
        <f>IFERROR(__xludf.DUMMYFUNCTION("IFERROR(ArrayFormula(SUM(VLOOKUP($C34,importrange(""1MwNMVzWE3QBVOyJjKr3eFX-Sq1Ng0Q1sghWJbgbE_8g"",""ORDER BOOKING REPORT 2024-25!C:CV""),{16,23,30},0))))"),"")</f>
        <v/>
      </c>
      <c r="BP34" s="327" t="str">
        <f>IFERROR(__xludf.DUMMYFUNCTION("IFERROR(ArrayFormula(SUM(VLOOKUP($C34,importrange(""1MwNMVzWE3QBVOyJjKr3eFX-Sq1Ng0Q1sghWJbgbE_8g"",""ORDER BOOKING REPORT 2024-25!C:CV""),{37,44,51},0))))"),"")</f>
        <v/>
      </c>
      <c r="BQ34" s="327" t="str">
        <f>IFERROR(__xludf.DUMMYFUNCTION("IFERROR(ArrayFormula(SUM(VLOOKUP($C34,importrange(""1MwNMVzWE3QBVOyJjKr3eFX-Sq1Ng0Q1sghWJbgbE_8g"",""ORDER BOOKING REPORT 2024-25!C:CV""),{58,65,72},0))))"),"")</f>
        <v/>
      </c>
      <c r="BR34" s="327" t="str">
        <f>IFERROR(__xludf.DUMMYFUNCTION("IFERROR(ArrayFormula(SUM(VLOOKUP($C34,importrange(""1MwNMVzWE3QBVOyJjKr3eFX-Sq1Ng0Q1sghWJbgbE_8g"",""ORDER BOOKING REPORT 2024-25!C:CV""),{79,86,93},0))))"),"")</f>
        <v/>
      </c>
      <c r="BS34" s="328" t="str">
        <f t="shared" si="13"/>
        <v/>
      </c>
      <c r="BT34" s="328" t="str">
        <f t="shared" si="14"/>
        <v/>
      </c>
      <c r="BU34" s="234">
        <f t="shared" si="15"/>
        <v>0</v>
      </c>
      <c r="BV34" s="329"/>
      <c r="BW34" s="329"/>
      <c r="BX34" s="329"/>
      <c r="BY34" s="234">
        <f t="shared" si="16"/>
        <v>-35543</v>
      </c>
      <c r="BZ34" s="234"/>
      <c r="CA34" s="234"/>
      <c r="CB34" s="234"/>
      <c r="CC34" s="234"/>
      <c r="CD34" s="234"/>
      <c r="CE34" s="234"/>
      <c r="CF34" s="234"/>
      <c r="CG34" s="234" t="str">
        <f t="shared" si="19"/>
        <v> </v>
      </c>
      <c r="CH34" s="234" t="str">
        <f t="shared" si="27"/>
        <v>Not 50%</v>
      </c>
      <c r="CI34" s="328">
        <f t="shared" si="20"/>
        <v>0</v>
      </c>
      <c r="CJ34" s="339"/>
      <c r="CK34" s="339"/>
      <c r="CL34" s="339"/>
      <c r="CM34" s="331">
        <f t="shared" si="21"/>
        <v>76</v>
      </c>
      <c r="CN34" s="340"/>
      <c r="CO34" s="328"/>
      <c r="CP34" s="341"/>
      <c r="CQ34" s="344"/>
      <c r="CR34" s="328"/>
      <c r="CS34" s="328"/>
      <c r="CT34" s="328"/>
      <c r="CU34" s="328"/>
      <c r="CV34" s="328"/>
      <c r="CW34" s="328"/>
      <c r="CX34" s="288"/>
      <c r="CY34" s="328"/>
      <c r="CZ34" s="328"/>
    </row>
    <row r="35">
      <c r="A35" s="157" t="s">
        <v>185</v>
      </c>
      <c r="B35" s="157" t="s">
        <v>215</v>
      </c>
      <c r="C35" s="157" t="s">
        <v>213</v>
      </c>
      <c r="D35" s="157" t="s">
        <v>1064</v>
      </c>
      <c r="E35" s="157" t="s">
        <v>214</v>
      </c>
      <c r="F35" s="338">
        <v>44228.0</v>
      </c>
      <c r="G35" s="314">
        <v>0.0</v>
      </c>
      <c r="H35" s="314">
        <v>4.2E7</v>
      </c>
      <c r="I35" s="315">
        <v>1.739869123E7</v>
      </c>
      <c r="J35" s="315">
        <v>0.0</v>
      </c>
      <c r="K35" s="160">
        <v>79.0</v>
      </c>
      <c r="L35" s="160">
        <v>79.0</v>
      </c>
      <c r="M35" s="160">
        <v>2.0</v>
      </c>
      <c r="N35" s="160">
        <v>81.0</v>
      </c>
      <c r="O35" s="160">
        <v>2.0</v>
      </c>
      <c r="P35" s="315">
        <v>1.728060885E7</v>
      </c>
      <c r="Q35" s="315">
        <v>118082.38</v>
      </c>
      <c r="R35" s="160">
        <v>50.0</v>
      </c>
      <c r="S35" s="160">
        <v>2.0</v>
      </c>
      <c r="T35" s="160">
        <v>52.0</v>
      </c>
      <c r="U35" s="160">
        <v>0.0</v>
      </c>
      <c r="V35" s="160">
        <v>57.0</v>
      </c>
      <c r="W35" s="160">
        <v>102.0</v>
      </c>
      <c r="X35" s="160">
        <v>93.0</v>
      </c>
      <c r="Y35" s="160">
        <v>1.0</v>
      </c>
      <c r="Z35" s="160">
        <v>233.0</v>
      </c>
      <c r="AA35" s="160">
        <v>0.0</v>
      </c>
      <c r="AB35" s="160">
        <v>0.0</v>
      </c>
      <c r="AC35" s="160">
        <v>0.0</v>
      </c>
      <c r="AD35" s="160">
        <v>0.0</v>
      </c>
      <c r="AE35" s="160">
        <v>602.0</v>
      </c>
      <c r="AF35" s="160">
        <v>937.0</v>
      </c>
      <c r="AG35" s="160">
        <v>292.0</v>
      </c>
      <c r="AH35" s="314">
        <f t="shared" si="2"/>
        <v>59584.55901</v>
      </c>
      <c r="AI35" s="314">
        <f t="shared" si="3"/>
        <v>3.20890411</v>
      </c>
      <c r="AJ35" s="316">
        <v>40500.0</v>
      </c>
      <c r="AK35" s="314">
        <f t="shared" si="35"/>
        <v>486000</v>
      </c>
      <c r="AL35" s="317">
        <v>145405.0</v>
      </c>
      <c r="AM35" s="318">
        <f t="shared" si="5"/>
        <v>0.03629037332</v>
      </c>
      <c r="AN35" s="314">
        <f t="shared" si="6"/>
        <v>334590.216</v>
      </c>
      <c r="AO35" s="336">
        <f t="shared" ref="AO35:AO42" si="38">iferror(sum(I35:J35)/Sum(G35:H35),"")</f>
        <v>0.4142545531</v>
      </c>
      <c r="AP35" s="319">
        <v>0.0</v>
      </c>
      <c r="AQ35" s="160">
        <v>268.0</v>
      </c>
      <c r="AR35" s="160">
        <v>2896.0</v>
      </c>
      <c r="AS35" s="160">
        <v>1823.62</v>
      </c>
      <c r="AT35" s="160">
        <v>2.0</v>
      </c>
      <c r="AU35" s="160">
        <v>23.0</v>
      </c>
      <c r="AV35" s="320">
        <v>52.0</v>
      </c>
      <c r="AW35" s="320">
        <v>27.0</v>
      </c>
      <c r="AX35" s="320">
        <v>2.0</v>
      </c>
      <c r="AY35" s="321">
        <f>iferror(VLOOKUP(C35,'ORDER BOOKING REPORT 2025-26'!C:O,13,0),"")</f>
        <v>29463262</v>
      </c>
      <c r="AZ35" s="322"/>
      <c r="BA35" s="157" t="str">
        <f t="shared" si="7"/>
        <v>Active</v>
      </c>
      <c r="BB35" s="157" t="str">
        <f t="shared" si="8"/>
        <v>Old</v>
      </c>
      <c r="BC35" s="157" t="str">
        <f t="shared" ref="BC35:BC42" si="39">IFS(AO35&lt;50%,"Below 50%",AO35&lt;70%,"50%-70%",AO35&lt;90%,"70%-90%",AO35&lt;100%,"90%-100%",AO35&gt;100%,"Above 100%")</f>
        <v>Below 50%</v>
      </c>
      <c r="BD35" s="223">
        <f t="shared" ref="BD35:BD42" si="40">Match($BD$2,{"Apr","May","Jun","Jul","Aug","Sep","Oct","Nov","Dec","Jan","Feb","Mar"},0)</f>
        <v>12</v>
      </c>
      <c r="BE35" s="323">
        <v>3500000.0</v>
      </c>
      <c r="BF35" s="157">
        <f t="shared" si="10"/>
        <v>0</v>
      </c>
      <c r="BG35" s="157" t="s">
        <v>1019</v>
      </c>
      <c r="BH35" s="324"/>
      <c r="BI35" s="324"/>
      <c r="BJ35" s="325"/>
      <c r="BK35" s="326"/>
      <c r="BL35" s="326">
        <f t="shared" si="11"/>
        <v>0</v>
      </c>
      <c r="BM35" s="326">
        <f t="shared" si="12"/>
        <v>42000000</v>
      </c>
      <c r="BN35" s="326"/>
      <c r="BO35" s="327" t="str">
        <f>IFERROR(__xludf.DUMMYFUNCTION("IFERROR(ArrayFormula(SUM(VLOOKUP($C35,importrange(""1MwNMVzWE3QBVOyJjKr3eFX-Sq1Ng0Q1sghWJbgbE_8g"",""ORDER BOOKING REPORT 2024-25!C:CV""),{16,23,30},0))))"),"")</f>
        <v/>
      </c>
      <c r="BP35" s="327" t="str">
        <f>IFERROR(__xludf.DUMMYFUNCTION("IFERROR(ArrayFormula(SUM(VLOOKUP($C35,importrange(""1MwNMVzWE3QBVOyJjKr3eFX-Sq1Ng0Q1sghWJbgbE_8g"",""ORDER BOOKING REPORT 2024-25!C:CV""),{37,44,51},0))))"),"")</f>
        <v/>
      </c>
      <c r="BQ35" s="327" t="str">
        <f>IFERROR(__xludf.DUMMYFUNCTION("IFERROR(ArrayFormula(SUM(VLOOKUP($C35,importrange(""1MwNMVzWE3QBVOyJjKr3eFX-Sq1Ng0Q1sghWJbgbE_8g"",""ORDER BOOKING REPORT 2024-25!C:CV""),{58,65,72},0))))"),"")</f>
        <v/>
      </c>
      <c r="BR35" s="327" t="str">
        <f>IFERROR(__xludf.DUMMYFUNCTION("IFERROR(ArrayFormula(SUM(VLOOKUP($C35,importrange(""1MwNMVzWE3QBVOyJjKr3eFX-Sq1Ng0Q1sghWJbgbE_8g"",""ORDER BOOKING REPORT 2024-25!C:CV""),{79,86,93},0))))"),"")</f>
        <v/>
      </c>
      <c r="BS35" s="328">
        <f t="shared" si="13"/>
        <v>0.7015062381</v>
      </c>
      <c r="BT35" s="328">
        <f t="shared" si="14"/>
        <v>0.02143024761</v>
      </c>
      <c r="BU35" s="234">
        <f t="shared" si="15"/>
        <v>0</v>
      </c>
      <c r="BV35" s="329">
        <v>40500.0</v>
      </c>
      <c r="BW35" s="329" t="s">
        <v>1029</v>
      </c>
      <c r="BX35" s="329">
        <v>639.0</v>
      </c>
      <c r="BY35" s="234">
        <f t="shared" si="16"/>
        <v>0</v>
      </c>
      <c r="BZ35" s="234"/>
      <c r="CA35" s="234"/>
      <c r="CB35" s="234"/>
      <c r="CC35" s="234"/>
      <c r="CD35" s="234"/>
      <c r="CE35" s="234"/>
      <c r="CF35" s="234"/>
      <c r="CG35" s="234" t="str">
        <f t="shared" si="19"/>
        <v> </v>
      </c>
      <c r="CH35" s="234" t="str">
        <f t="shared" si="27"/>
        <v>Business Achieved 50%</v>
      </c>
      <c r="CI35" s="328">
        <f t="shared" si="20"/>
        <v>0.6419753086</v>
      </c>
      <c r="CJ35" s="330">
        <f>IFERROR(__xludf.DUMMYFUNCTION("""COMPUTED_VALUE"""),487.0)</f>
        <v>487</v>
      </c>
      <c r="CK35" s="330">
        <f>IFERROR(__xludf.DUMMYFUNCTION("""COMPUTED_VALUE"""),115.0)</f>
        <v>115</v>
      </c>
      <c r="CL35" s="330">
        <f>IFERROR(__xludf.DUMMYFUNCTION("""COMPUTED_VALUE"""),0.0)</f>
        <v>0</v>
      </c>
      <c r="CM35" s="331">
        <f t="shared" si="21"/>
        <v>0</v>
      </c>
      <c r="CN35" s="337"/>
      <c r="CO35" s="160"/>
      <c r="CP35" s="334"/>
      <c r="CQ35" s="335"/>
      <c r="CR35" s="160"/>
      <c r="CS35" s="160"/>
      <c r="CT35" s="160"/>
      <c r="CU35" s="160"/>
      <c r="CV35" s="160"/>
      <c r="CW35" s="335"/>
      <c r="CX35" s="288"/>
      <c r="CY35" s="160"/>
      <c r="CZ35" s="160"/>
    </row>
    <row r="36">
      <c r="A36" s="157" t="s">
        <v>126</v>
      </c>
      <c r="B36" s="157" t="s">
        <v>140</v>
      </c>
      <c r="C36" s="157" t="s">
        <v>604</v>
      </c>
      <c r="D36" s="157" t="s">
        <v>1061</v>
      </c>
      <c r="E36" s="157" t="s">
        <v>139</v>
      </c>
      <c r="F36" s="285">
        <v>44245.0</v>
      </c>
      <c r="G36" s="314">
        <v>0.0</v>
      </c>
      <c r="H36" s="314">
        <v>2.7999996E7</v>
      </c>
      <c r="I36" s="315">
        <v>1.419252976E7</v>
      </c>
      <c r="J36" s="315">
        <v>0.0</v>
      </c>
      <c r="K36" s="160">
        <v>108.0</v>
      </c>
      <c r="L36" s="160">
        <v>120.0</v>
      </c>
      <c r="M36" s="160">
        <v>19.0</v>
      </c>
      <c r="N36" s="160">
        <v>127.0</v>
      </c>
      <c r="O36" s="160">
        <v>7.0</v>
      </c>
      <c r="P36" s="315">
        <v>1.262864273E7</v>
      </c>
      <c r="Q36" s="315">
        <v>1563887.03</v>
      </c>
      <c r="R36" s="160">
        <v>70.0</v>
      </c>
      <c r="S36" s="160">
        <v>19.0</v>
      </c>
      <c r="T36" s="160">
        <v>89.0</v>
      </c>
      <c r="U36" s="160">
        <v>0.0</v>
      </c>
      <c r="V36" s="160">
        <v>39.0</v>
      </c>
      <c r="W36" s="160">
        <v>62.0</v>
      </c>
      <c r="X36" s="160">
        <v>101.0</v>
      </c>
      <c r="Y36" s="160">
        <v>3.0</v>
      </c>
      <c r="Z36" s="160">
        <v>27.0</v>
      </c>
      <c r="AA36" s="160">
        <v>1.0</v>
      </c>
      <c r="AB36" s="160">
        <v>1.0</v>
      </c>
      <c r="AC36" s="160">
        <v>0.0</v>
      </c>
      <c r="AD36" s="160">
        <v>0.0</v>
      </c>
      <c r="AE36" s="160">
        <v>995.0</v>
      </c>
      <c r="AF36" s="160">
        <v>1085.0</v>
      </c>
      <c r="AG36" s="160">
        <v>287.0</v>
      </c>
      <c r="AH36" s="314">
        <f t="shared" si="2"/>
        <v>49451.32321</v>
      </c>
      <c r="AI36" s="314">
        <f t="shared" si="3"/>
        <v>3.780487805</v>
      </c>
      <c r="AJ36" s="316">
        <f t="shared" ref="AJ36:AJ37" si="41">BV36</f>
        <v>41690</v>
      </c>
      <c r="AK36" s="314">
        <f t="shared" si="35"/>
        <v>500280</v>
      </c>
      <c r="AL36" s="286">
        <v>209570.0</v>
      </c>
      <c r="AM36" s="318">
        <f t="shared" si="5"/>
        <v>0.05001574857</v>
      </c>
      <c r="AN36" s="314">
        <f t="shared" si="6"/>
        <v>159466.6265</v>
      </c>
      <c r="AO36" s="336">
        <f t="shared" si="38"/>
        <v>0.5068761353</v>
      </c>
      <c r="AP36" s="319">
        <v>0.0</v>
      </c>
      <c r="AQ36" s="160">
        <v>369.0</v>
      </c>
      <c r="AR36" s="160">
        <v>2854.0</v>
      </c>
      <c r="AS36" s="160">
        <v>3976.47</v>
      </c>
      <c r="AT36" s="160">
        <v>19.0</v>
      </c>
      <c r="AU36" s="160">
        <v>33.0</v>
      </c>
      <c r="AV36" s="320">
        <v>89.0</v>
      </c>
      <c r="AW36" s="320">
        <v>34.0</v>
      </c>
      <c r="AX36" s="320">
        <v>4.0</v>
      </c>
      <c r="AY36" s="321">
        <f>iferror(VLOOKUP(C36,'ORDER BOOKING REPORT 2025-26'!C:O,13,0),"")</f>
        <v>16891187</v>
      </c>
      <c r="AZ36" s="322"/>
      <c r="BA36" s="157" t="str">
        <f t="shared" si="7"/>
        <v>Active</v>
      </c>
      <c r="BB36" s="157" t="str">
        <f t="shared" si="8"/>
        <v>Old</v>
      </c>
      <c r="BC36" s="157" t="str">
        <f t="shared" si="39"/>
        <v>50%-70%</v>
      </c>
      <c r="BD36" s="223">
        <f t="shared" si="40"/>
        <v>12</v>
      </c>
      <c r="BE36" s="323">
        <v>2333333.0</v>
      </c>
      <c r="BF36" s="157">
        <f t="shared" si="10"/>
        <v>0</v>
      </c>
      <c r="BG36" s="157" t="s">
        <v>1019</v>
      </c>
      <c r="BH36" s="324"/>
      <c r="BI36" s="324"/>
      <c r="BJ36" s="325"/>
      <c r="BK36" s="326"/>
      <c r="BL36" s="326">
        <f t="shared" si="11"/>
        <v>0</v>
      </c>
      <c r="BM36" s="326">
        <f t="shared" si="12"/>
        <v>27999996</v>
      </c>
      <c r="BN36" s="326"/>
      <c r="BO36" s="327" t="str">
        <f>IFERROR(__xludf.DUMMYFUNCTION("IFERROR(ArrayFormula(SUM(VLOOKUP($C36,importrange(""1MwNMVzWE3QBVOyJjKr3eFX-Sq1Ng0Q1sghWJbgbE_8g"",""ORDER BOOKING REPORT 2024-25!C:CV""),{16,23,30},0))))"),"")</f>
        <v/>
      </c>
      <c r="BP36" s="327" t="str">
        <f>IFERROR(__xludf.DUMMYFUNCTION("IFERROR(ArrayFormula(SUM(VLOOKUP($C36,importrange(""1MwNMVzWE3QBVOyJjKr3eFX-Sq1Ng0Q1sghWJbgbE_8g"",""ORDER BOOKING REPORT 2024-25!C:CV""),{37,44,51},0))))"),"")</f>
        <v/>
      </c>
      <c r="BQ36" s="327" t="str">
        <f>IFERROR(__xludf.DUMMYFUNCTION("IFERROR(ArrayFormula(SUM(VLOOKUP($C36,importrange(""1MwNMVzWE3QBVOyJjKr3eFX-Sq1Ng0Q1sghWJbgbE_8g"",""ORDER BOOKING REPORT 2024-25!C:CV""),{58,65,72},0))))"),"")</f>
        <v/>
      </c>
      <c r="BR36" s="327" t="str">
        <f>IFERROR(__xludf.DUMMYFUNCTION("IFERROR(ArrayFormula(SUM(VLOOKUP($C36,importrange(""1MwNMVzWE3QBVOyJjKr3eFX-Sq1Ng0Q1sghWJbgbE_8g"",""ORDER BOOKING REPORT 2024-25!C:CV""),{79,86,93},0))))"),"")</f>
        <v/>
      </c>
      <c r="BS36" s="328">
        <f t="shared" si="13"/>
        <v>0.6032567648</v>
      </c>
      <c r="BT36" s="328">
        <f t="shared" si="14"/>
        <v>0.04202487368</v>
      </c>
      <c r="BU36" s="234">
        <f t="shared" si="15"/>
        <v>0</v>
      </c>
      <c r="BV36" s="329">
        <v>41690.0</v>
      </c>
      <c r="BW36" s="329" t="s">
        <v>1029</v>
      </c>
      <c r="BX36" s="329">
        <v>644.0</v>
      </c>
      <c r="BY36" s="234">
        <f t="shared" si="16"/>
        <v>0</v>
      </c>
      <c r="BZ36" s="234"/>
      <c r="CA36" s="234"/>
      <c r="CB36" s="234"/>
      <c r="CC36" s="234"/>
      <c r="CD36" s="234"/>
      <c r="CE36" s="234"/>
      <c r="CF36" s="234"/>
      <c r="CG36" s="234" t="str">
        <f t="shared" si="19"/>
        <v> </v>
      </c>
      <c r="CH36" s="234" t="str">
        <f t="shared" si="27"/>
        <v>Business Achieved 50%</v>
      </c>
      <c r="CI36" s="328">
        <f t="shared" si="20"/>
        <v>0.7007874016</v>
      </c>
      <c r="CJ36" s="339">
        <f>IFERROR(__xludf.DUMMYFUNCTION("""COMPUTED_VALUE"""),801.0)</f>
        <v>801</v>
      </c>
      <c r="CK36" s="339">
        <f>IFERROR(__xludf.DUMMYFUNCTION("""COMPUTED_VALUE"""),194.0)</f>
        <v>194</v>
      </c>
      <c r="CL36" s="339">
        <f>IFERROR(__xludf.DUMMYFUNCTION("""COMPUTED_VALUE"""),0.0)</f>
        <v>0</v>
      </c>
      <c r="CM36" s="331">
        <f t="shared" si="21"/>
        <v>0</v>
      </c>
      <c r="CN36" s="340"/>
      <c r="CO36" s="328"/>
      <c r="CP36" s="341"/>
      <c r="CQ36" s="344"/>
      <c r="CR36" s="328"/>
      <c r="CS36" s="328"/>
      <c r="CT36" s="328"/>
      <c r="CU36" s="328"/>
      <c r="CV36" s="328"/>
      <c r="CW36" s="328"/>
      <c r="CX36" s="288"/>
      <c r="CY36" s="328"/>
      <c r="CZ36" s="328"/>
    </row>
    <row r="37">
      <c r="A37" s="157" t="s">
        <v>126</v>
      </c>
      <c r="B37" s="157" t="s">
        <v>130</v>
      </c>
      <c r="C37" s="157" t="s">
        <v>141</v>
      </c>
      <c r="D37" s="157" t="s">
        <v>130</v>
      </c>
      <c r="E37" s="157" t="s">
        <v>142</v>
      </c>
      <c r="F37" s="285">
        <v>44247.0</v>
      </c>
      <c r="G37" s="314">
        <v>0.0</v>
      </c>
      <c r="H37" s="314">
        <v>3.9999996E7</v>
      </c>
      <c r="I37" s="315">
        <v>2.819745309E7</v>
      </c>
      <c r="J37" s="315">
        <v>0.0</v>
      </c>
      <c r="K37" s="160">
        <v>77.0</v>
      </c>
      <c r="L37" s="160">
        <v>82.0</v>
      </c>
      <c r="M37" s="160">
        <v>48.0</v>
      </c>
      <c r="N37" s="160">
        <v>125.0</v>
      </c>
      <c r="O37" s="160">
        <v>43.0</v>
      </c>
      <c r="P37" s="315">
        <v>1.756171349E7</v>
      </c>
      <c r="Q37" s="315">
        <v>1.06357396E7</v>
      </c>
      <c r="R37" s="160">
        <v>49.0</v>
      </c>
      <c r="S37" s="160">
        <v>46.0</v>
      </c>
      <c r="T37" s="160">
        <v>95.0</v>
      </c>
      <c r="U37" s="160">
        <v>0.0</v>
      </c>
      <c r="V37" s="160">
        <v>5.0</v>
      </c>
      <c r="W37" s="160">
        <v>6.0</v>
      </c>
      <c r="X37" s="160">
        <v>41.0</v>
      </c>
      <c r="Y37" s="160">
        <v>3.0</v>
      </c>
      <c r="Z37" s="160">
        <v>212.0</v>
      </c>
      <c r="AA37" s="160">
        <v>0.0</v>
      </c>
      <c r="AB37" s="160">
        <v>0.0</v>
      </c>
      <c r="AC37" s="160">
        <v>1.0</v>
      </c>
      <c r="AD37" s="160">
        <v>3.0</v>
      </c>
      <c r="AE37" s="160">
        <v>900.0</v>
      </c>
      <c r="AF37" s="160">
        <v>1121.0</v>
      </c>
      <c r="AG37" s="160">
        <v>290.0</v>
      </c>
      <c r="AH37" s="314">
        <f t="shared" si="2"/>
        <v>97232.59686</v>
      </c>
      <c r="AI37" s="314">
        <f t="shared" si="3"/>
        <v>3.865517241</v>
      </c>
      <c r="AJ37" s="316">
        <f t="shared" si="41"/>
        <v>45515</v>
      </c>
      <c r="AK37" s="314">
        <f t="shared" si="35"/>
        <v>546180</v>
      </c>
      <c r="AL37" s="286">
        <v>191190.0</v>
      </c>
      <c r="AM37" s="318">
        <f t="shared" si="5"/>
        <v>0.02615023412</v>
      </c>
      <c r="AN37" s="314">
        <f t="shared" si="6"/>
        <v>296815.2957</v>
      </c>
      <c r="AO37" s="336">
        <f t="shared" si="38"/>
        <v>0.7049363977</v>
      </c>
      <c r="AP37" s="319">
        <v>0.0</v>
      </c>
      <c r="AQ37" s="160">
        <v>834.0</v>
      </c>
      <c r="AR37" s="160">
        <v>3038.0</v>
      </c>
      <c r="AS37" s="160">
        <v>2401.63</v>
      </c>
      <c r="AT37" s="160">
        <v>46.0</v>
      </c>
      <c r="AU37" s="160">
        <v>29.0</v>
      </c>
      <c r="AV37" s="320">
        <v>95.0</v>
      </c>
      <c r="AW37" s="320">
        <v>9.0</v>
      </c>
      <c r="AX37" s="320">
        <v>21.0</v>
      </c>
      <c r="AY37" s="321">
        <f>iferror(VLOOKUP(C37,'ORDER BOOKING REPORT 2025-26'!C:O,13,0),"")</f>
        <v>17231444.34</v>
      </c>
      <c r="AZ37" s="322"/>
      <c r="BA37" s="157" t="str">
        <f t="shared" si="7"/>
        <v>Active</v>
      </c>
      <c r="BB37" s="157" t="str">
        <f t="shared" si="8"/>
        <v>Old</v>
      </c>
      <c r="BC37" s="157" t="str">
        <f t="shared" si="39"/>
        <v>70%-90%</v>
      </c>
      <c r="BD37" s="223">
        <f t="shared" si="40"/>
        <v>12</v>
      </c>
      <c r="BE37" s="323">
        <v>3333333.0</v>
      </c>
      <c r="BF37" s="157">
        <f t="shared" si="10"/>
        <v>2</v>
      </c>
      <c r="BG37" s="157" t="s">
        <v>1019</v>
      </c>
      <c r="BH37" s="324"/>
      <c r="BI37" s="324"/>
      <c r="BJ37" s="325"/>
      <c r="BK37" s="326"/>
      <c r="BL37" s="326">
        <f t="shared" si="11"/>
        <v>0</v>
      </c>
      <c r="BM37" s="326">
        <f t="shared" si="12"/>
        <v>39999996</v>
      </c>
      <c r="BN37" s="326"/>
      <c r="BO37" s="327" t="str">
        <f>IFERROR(__xludf.DUMMYFUNCTION("IFERROR(ArrayFormula(SUM(VLOOKUP($C37,importrange(""1MwNMVzWE3QBVOyJjKr3eFX-Sq1Ng0Q1sghWJbgbE_8g"",""ORDER BOOKING REPORT 2024-25!C:CV""),{16,23,30},0))))"),"")</f>
        <v/>
      </c>
      <c r="BP37" s="327" t="str">
        <f>IFERROR(__xludf.DUMMYFUNCTION("IFERROR(ArrayFormula(SUM(VLOOKUP($C37,importrange(""1MwNMVzWE3QBVOyJjKr3eFX-Sq1Ng0Q1sghWJbgbE_8g"",""ORDER BOOKING REPORT 2024-25!C:CV""),{37,44,51},0))))"),"")</f>
        <v/>
      </c>
      <c r="BQ37" s="327" t="str">
        <f>IFERROR(__xludf.DUMMYFUNCTION("IFERROR(ArrayFormula(SUM(VLOOKUP($C37,importrange(""1MwNMVzWE3QBVOyJjKr3eFX-Sq1Ng0Q1sghWJbgbE_8g"",""ORDER BOOKING REPORT 2024-25!C:CV""),{58,65,72},0))))"),"")</f>
        <v/>
      </c>
      <c r="BR37" s="327" t="str">
        <f>IFERROR(__xludf.DUMMYFUNCTION("IFERROR(ArrayFormula(SUM(VLOOKUP($C37,importrange(""1MwNMVzWE3QBVOyJjKr3eFX-Sq1Ng0Q1sghWJbgbE_8g"",""ORDER BOOKING REPORT 2024-25!C:CV""),{79,86,93},0))))"),"")</f>
        <v/>
      </c>
      <c r="BS37" s="328">
        <f t="shared" si="13"/>
        <v>0.4307861515</v>
      </c>
      <c r="BT37" s="328">
        <f t="shared" si="14"/>
        <v>0.04279211804</v>
      </c>
      <c r="BU37" s="234">
        <f t="shared" si="15"/>
        <v>0</v>
      </c>
      <c r="BV37" s="329">
        <v>45515.0</v>
      </c>
      <c r="BW37" s="329" t="s">
        <v>1039</v>
      </c>
      <c r="BX37" s="329">
        <v>642.0</v>
      </c>
      <c r="BY37" s="234">
        <f t="shared" si="16"/>
        <v>0</v>
      </c>
      <c r="BZ37" s="234"/>
      <c r="CA37" s="234"/>
      <c r="CB37" s="234"/>
      <c r="CC37" s="234"/>
      <c r="CD37" s="234"/>
      <c r="CE37" s="234"/>
      <c r="CF37" s="234"/>
      <c r="CG37" s="234" t="str">
        <f t="shared" si="19"/>
        <v> </v>
      </c>
      <c r="CH37" s="234" t="str">
        <f t="shared" si="27"/>
        <v>Business Achieved 50%</v>
      </c>
      <c r="CI37" s="328">
        <f t="shared" si="20"/>
        <v>0.76</v>
      </c>
      <c r="CJ37" s="339">
        <f>IFERROR(__xludf.DUMMYFUNCTION("""COMPUTED_VALUE"""),852.0)</f>
        <v>852</v>
      </c>
      <c r="CK37" s="339">
        <f>IFERROR(__xludf.DUMMYFUNCTION("""COMPUTED_VALUE"""),48.0)</f>
        <v>48</v>
      </c>
      <c r="CL37" s="339">
        <f>IFERROR(__xludf.DUMMYFUNCTION("""COMPUTED_VALUE"""),0.0)</f>
        <v>0</v>
      </c>
      <c r="CM37" s="331">
        <f t="shared" si="21"/>
        <v>0</v>
      </c>
      <c r="CN37" s="340"/>
      <c r="CO37" s="328"/>
      <c r="CP37" s="341"/>
      <c r="CQ37" s="344"/>
      <c r="CR37" s="328"/>
      <c r="CS37" s="328"/>
      <c r="CT37" s="328"/>
      <c r="CU37" s="328"/>
      <c r="CV37" s="328"/>
      <c r="CW37" s="328"/>
      <c r="CX37" s="288"/>
      <c r="CY37" s="328"/>
      <c r="CZ37" s="328"/>
    </row>
    <row r="38">
      <c r="A38" s="157" t="s">
        <v>185</v>
      </c>
      <c r="B38" s="157" t="s">
        <v>212</v>
      </c>
      <c r="C38" s="157" t="s">
        <v>218</v>
      </c>
      <c r="D38" s="157" t="s">
        <v>1031</v>
      </c>
      <c r="E38" s="157" t="s">
        <v>219</v>
      </c>
      <c r="F38" s="285">
        <v>44396.0</v>
      </c>
      <c r="G38" s="314">
        <v>0.0</v>
      </c>
      <c r="H38" s="314">
        <v>3.0E7</v>
      </c>
      <c r="I38" s="315">
        <v>3.476221483E7</v>
      </c>
      <c r="J38" s="315">
        <v>0.0</v>
      </c>
      <c r="K38" s="160">
        <v>247.0</v>
      </c>
      <c r="L38" s="160">
        <v>172.0</v>
      </c>
      <c r="M38" s="160">
        <v>21.0</v>
      </c>
      <c r="N38" s="160">
        <v>268.0</v>
      </c>
      <c r="O38" s="160">
        <v>96.0</v>
      </c>
      <c r="P38" s="315">
        <v>3.209115513E7</v>
      </c>
      <c r="Q38" s="315">
        <v>2671059.7</v>
      </c>
      <c r="R38" s="160">
        <v>98.0</v>
      </c>
      <c r="S38" s="160">
        <v>19.0</v>
      </c>
      <c r="T38" s="160">
        <v>117.0</v>
      </c>
      <c r="U38" s="160">
        <v>0.0</v>
      </c>
      <c r="V38" s="160">
        <v>189.0</v>
      </c>
      <c r="W38" s="160">
        <v>283.0</v>
      </c>
      <c r="X38" s="160">
        <v>350.0</v>
      </c>
      <c r="Y38" s="160">
        <v>5.0</v>
      </c>
      <c r="Z38" s="160">
        <v>123.0</v>
      </c>
      <c r="AA38" s="160">
        <v>0.0</v>
      </c>
      <c r="AB38" s="160">
        <v>0.0</v>
      </c>
      <c r="AC38" s="160">
        <v>1.0</v>
      </c>
      <c r="AD38" s="160">
        <v>5.0</v>
      </c>
      <c r="AE38" s="160">
        <v>938.0</v>
      </c>
      <c r="AF38" s="160">
        <v>1349.0</v>
      </c>
      <c r="AG38" s="160">
        <v>287.0</v>
      </c>
      <c r="AH38" s="314">
        <f t="shared" si="2"/>
        <v>121122.6998</v>
      </c>
      <c r="AI38" s="314">
        <f t="shared" si="3"/>
        <v>4.700348432</v>
      </c>
      <c r="AJ38" s="316">
        <v>49690.0</v>
      </c>
      <c r="AK38" s="314">
        <f t="shared" si="35"/>
        <v>596280</v>
      </c>
      <c r="AL38" s="317">
        <v>322644.0</v>
      </c>
      <c r="AM38" s="318">
        <f t="shared" si="5"/>
        <v>0.02643456421</v>
      </c>
      <c r="AN38" s="314">
        <f t="shared" si="6"/>
        <v>297112.9473</v>
      </c>
      <c r="AO38" s="336">
        <f t="shared" si="38"/>
        <v>1.158740494</v>
      </c>
      <c r="AP38" s="319">
        <v>0.0</v>
      </c>
      <c r="AQ38" s="160">
        <v>399.0</v>
      </c>
      <c r="AR38" s="160">
        <v>3017.0</v>
      </c>
      <c r="AS38" s="160">
        <v>2812.13</v>
      </c>
      <c r="AT38" s="160">
        <v>19.0</v>
      </c>
      <c r="AU38" s="160">
        <v>16.0</v>
      </c>
      <c r="AV38" s="320">
        <v>117.0</v>
      </c>
      <c r="AW38" s="320">
        <v>60.0</v>
      </c>
      <c r="AX38" s="320">
        <v>91.0</v>
      </c>
      <c r="AY38" s="321">
        <f>iferror(VLOOKUP(C38,'ORDER BOOKING REPORT 2025-26'!C:O,13,0),"")</f>
        <v>50027613.68</v>
      </c>
      <c r="AZ38" s="322"/>
      <c r="BA38" s="157" t="str">
        <f t="shared" si="7"/>
        <v>Active</v>
      </c>
      <c r="BB38" s="157" t="str">
        <f t="shared" si="8"/>
        <v>Old</v>
      </c>
      <c r="BC38" s="157" t="str">
        <f t="shared" si="39"/>
        <v>Above 100%</v>
      </c>
      <c r="BD38" s="223">
        <f t="shared" si="40"/>
        <v>12</v>
      </c>
      <c r="BE38" s="323">
        <v>2500000.0</v>
      </c>
      <c r="BF38" s="157">
        <f t="shared" si="10"/>
        <v>2</v>
      </c>
      <c r="BG38" s="157" t="s">
        <v>1019</v>
      </c>
      <c r="BH38" s="324"/>
      <c r="BI38" s="324"/>
      <c r="BJ38" s="325"/>
      <c r="BK38" s="326"/>
      <c r="BL38" s="326">
        <f t="shared" si="11"/>
        <v>0</v>
      </c>
      <c r="BM38" s="326">
        <f t="shared" si="12"/>
        <v>30000000</v>
      </c>
      <c r="BN38" s="326"/>
      <c r="BO38" s="327" t="str">
        <f>IFERROR(__xludf.DUMMYFUNCTION("IFERROR(ArrayFormula(SUM(VLOOKUP($C38,importrange(""1MwNMVzWE3QBVOyJjKr3eFX-Sq1Ng0Q1sghWJbgbE_8g"",""ORDER BOOKING REPORT 2024-25!C:CV""),{16,23,30},0))))"),"")</f>
        <v/>
      </c>
      <c r="BP38" s="327" t="str">
        <f>IFERROR(__xludf.DUMMYFUNCTION("IFERROR(ArrayFormula(SUM(VLOOKUP($C38,importrange(""1MwNMVzWE3QBVOyJjKr3eFX-Sq1Ng0Q1sghWJbgbE_8g"",""ORDER BOOKING REPORT 2024-25!C:CV""),{37,44,51},0))))"),"")</f>
        <v/>
      </c>
      <c r="BQ38" s="327" t="str">
        <f>IFERROR(__xludf.DUMMYFUNCTION("IFERROR(ArrayFormula(SUM(VLOOKUP($C38,importrange(""1MwNMVzWE3QBVOyJjKr3eFX-Sq1Ng0Q1sghWJbgbE_8g"",""ORDER BOOKING REPORT 2024-25!C:CV""),{58,65,72},0))))"),"")</f>
        <v/>
      </c>
      <c r="BR38" s="327" t="str">
        <f>IFERROR(__xludf.DUMMYFUNCTION("IFERROR(ArrayFormula(SUM(VLOOKUP($C38,importrange(""1MwNMVzWE3QBVOyJjKr3eFX-Sq1Ng0Q1sghWJbgbE_8g"",""ORDER BOOKING REPORT 2024-25!C:CV""),{79,86,93},0))))"),"")</f>
        <v/>
      </c>
      <c r="BS38" s="328">
        <f t="shared" si="13"/>
        <v>1.667587123</v>
      </c>
      <c r="BT38" s="328">
        <f t="shared" si="14"/>
        <v>0.01836833565</v>
      </c>
      <c r="BU38" s="234">
        <f t="shared" si="15"/>
        <v>0</v>
      </c>
      <c r="BV38" s="329">
        <v>49690.0</v>
      </c>
      <c r="BW38" s="329" t="s">
        <v>1020</v>
      </c>
      <c r="BX38" s="329">
        <v>666.0</v>
      </c>
      <c r="BY38" s="234">
        <f t="shared" si="16"/>
        <v>0</v>
      </c>
      <c r="BZ38" s="234"/>
      <c r="CA38" s="234"/>
      <c r="CB38" s="234"/>
      <c r="CC38" s="234"/>
      <c r="CD38" s="234"/>
      <c r="CE38" s="234"/>
      <c r="CF38" s="234"/>
      <c r="CG38" s="234" t="str">
        <f t="shared" si="19"/>
        <v> </v>
      </c>
      <c r="CH38" s="234" t="str">
        <f t="shared" si="27"/>
        <v>Not 50%</v>
      </c>
      <c r="CI38" s="328">
        <f t="shared" si="20"/>
        <v>0.4365671642</v>
      </c>
      <c r="CJ38" s="330">
        <f>IFERROR(__xludf.DUMMYFUNCTION("""COMPUTED_VALUE"""),752.0)</f>
        <v>752</v>
      </c>
      <c r="CK38" s="330">
        <f>IFERROR(__xludf.DUMMYFUNCTION("""COMPUTED_VALUE"""),186.0)</f>
        <v>186</v>
      </c>
      <c r="CL38" s="330">
        <f>IFERROR(__xludf.DUMMYFUNCTION("""COMPUTED_VALUE"""),0.0)</f>
        <v>0</v>
      </c>
      <c r="CM38" s="331">
        <f t="shared" si="21"/>
        <v>0</v>
      </c>
      <c r="CN38" s="337"/>
      <c r="CO38" s="160"/>
      <c r="CP38" s="334"/>
      <c r="CQ38" s="335"/>
      <c r="CR38" s="160"/>
      <c r="CS38" s="160"/>
      <c r="CT38" s="160"/>
      <c r="CU38" s="160"/>
      <c r="CV38" s="160"/>
      <c r="CW38" s="335"/>
      <c r="CX38" s="288"/>
      <c r="CY38" s="160"/>
      <c r="CZ38" s="160"/>
    </row>
    <row r="39">
      <c r="A39" s="157" t="s">
        <v>185</v>
      </c>
      <c r="B39" s="157" t="s">
        <v>215</v>
      </c>
      <c r="C39" s="157" t="s">
        <v>216</v>
      </c>
      <c r="D39" s="157" t="s">
        <v>1065</v>
      </c>
      <c r="E39" s="157" t="s">
        <v>217</v>
      </c>
      <c r="F39" s="285">
        <v>44424.0</v>
      </c>
      <c r="G39" s="314">
        <v>0.0</v>
      </c>
      <c r="H39" s="314">
        <v>8.9000004E7</v>
      </c>
      <c r="I39" s="315">
        <v>5.261190361E7</v>
      </c>
      <c r="J39" s="315">
        <v>0.0</v>
      </c>
      <c r="K39" s="160">
        <v>78.0</v>
      </c>
      <c r="L39" s="160">
        <v>86.0</v>
      </c>
      <c r="M39" s="160">
        <v>10.0</v>
      </c>
      <c r="N39" s="160">
        <v>88.0</v>
      </c>
      <c r="O39" s="160">
        <v>2.0</v>
      </c>
      <c r="P39" s="315">
        <v>5.000956184E7</v>
      </c>
      <c r="Q39" s="315">
        <v>2602341.77</v>
      </c>
      <c r="R39" s="160">
        <v>58.0</v>
      </c>
      <c r="S39" s="160">
        <v>8.0</v>
      </c>
      <c r="T39" s="160">
        <v>66.0</v>
      </c>
      <c r="U39" s="160">
        <v>0.0</v>
      </c>
      <c r="V39" s="160">
        <v>16.0</v>
      </c>
      <c r="W39" s="160">
        <v>28.0</v>
      </c>
      <c r="X39" s="160">
        <v>37.0</v>
      </c>
      <c r="Y39" s="160">
        <v>1.0</v>
      </c>
      <c r="Z39" s="160">
        <v>155.0</v>
      </c>
      <c r="AA39" s="160">
        <v>0.0</v>
      </c>
      <c r="AB39" s="160">
        <v>0.0</v>
      </c>
      <c r="AC39" s="160">
        <v>0.0</v>
      </c>
      <c r="AD39" s="160">
        <v>0.0</v>
      </c>
      <c r="AE39" s="160">
        <v>1170.0</v>
      </c>
      <c r="AF39" s="160">
        <v>1353.0</v>
      </c>
      <c r="AG39" s="160">
        <v>280.0</v>
      </c>
      <c r="AH39" s="314">
        <f t="shared" si="2"/>
        <v>187899.6558</v>
      </c>
      <c r="AI39" s="314">
        <f t="shared" si="3"/>
        <v>4.832142857</v>
      </c>
      <c r="AJ39" s="316">
        <v>51393.0</v>
      </c>
      <c r="AK39" s="314">
        <f t="shared" si="35"/>
        <v>616716</v>
      </c>
      <c r="AL39" s="317">
        <v>143314.0</v>
      </c>
      <c r="AM39" s="318">
        <f t="shared" si="5"/>
        <v>0.01444597036</v>
      </c>
      <c r="AN39" s="314">
        <f t="shared" si="6"/>
        <v>797150.0547</v>
      </c>
      <c r="AO39" s="336">
        <f t="shared" si="38"/>
        <v>0.5911449578</v>
      </c>
      <c r="AP39" s="319">
        <v>0.0</v>
      </c>
      <c r="AQ39" s="160">
        <v>488.0</v>
      </c>
      <c r="AR39" s="160">
        <v>2862.0</v>
      </c>
      <c r="AS39" s="160">
        <v>2574.92</v>
      </c>
      <c r="AT39" s="160">
        <v>8.0</v>
      </c>
      <c r="AU39" s="160">
        <v>30.0</v>
      </c>
      <c r="AV39" s="320">
        <v>66.0</v>
      </c>
      <c r="AW39" s="320">
        <v>20.0</v>
      </c>
      <c r="AX39" s="320">
        <v>2.0</v>
      </c>
      <c r="AY39" s="321">
        <f>iferror(VLOOKUP(C39,'ORDER BOOKING REPORT 2025-26'!C:O,13,0),"")</f>
        <v>71687800</v>
      </c>
      <c r="AZ39" s="322"/>
      <c r="BA39" s="157" t="str">
        <f t="shared" si="7"/>
        <v>Active</v>
      </c>
      <c r="BB39" s="157" t="str">
        <f t="shared" si="8"/>
        <v>Old</v>
      </c>
      <c r="BC39" s="157" t="str">
        <f t="shared" si="39"/>
        <v>50%-70%</v>
      </c>
      <c r="BD39" s="223">
        <f t="shared" si="40"/>
        <v>12</v>
      </c>
      <c r="BE39" s="323">
        <v>7416667.0</v>
      </c>
      <c r="BF39" s="157">
        <f t="shared" si="10"/>
        <v>2</v>
      </c>
      <c r="BG39" s="157" t="s">
        <v>1019</v>
      </c>
      <c r="BH39" s="324"/>
      <c r="BI39" s="324"/>
      <c r="BJ39" s="325"/>
      <c r="BK39" s="326"/>
      <c r="BL39" s="326">
        <f t="shared" si="11"/>
        <v>0</v>
      </c>
      <c r="BM39" s="326">
        <f t="shared" si="12"/>
        <v>89000004</v>
      </c>
      <c r="BN39" s="326"/>
      <c r="BO39" s="327" t="str">
        <f>IFERROR(__xludf.DUMMYFUNCTION("IFERROR(ArrayFormula(SUM(VLOOKUP($C39,importrange(""1MwNMVzWE3QBVOyJjKr3eFX-Sq1Ng0Q1sghWJbgbE_8g"",""ORDER BOOKING REPORT 2024-25!C:CV""),{16,23,30},0))))"),"")</f>
        <v/>
      </c>
      <c r="BP39" s="327" t="str">
        <f>IFERROR(__xludf.DUMMYFUNCTION("IFERROR(ArrayFormula(SUM(VLOOKUP($C39,importrange(""1MwNMVzWE3QBVOyJjKr3eFX-Sq1Ng0Q1sghWJbgbE_8g"",""ORDER BOOKING REPORT 2024-25!C:CV""),{37,44,51},0))))"),"")</f>
        <v/>
      </c>
      <c r="BQ39" s="327" t="str">
        <f>IFERROR(__xludf.DUMMYFUNCTION("IFERROR(ArrayFormula(SUM(VLOOKUP($C39,importrange(""1MwNMVzWE3QBVOyJjKr3eFX-Sq1Ng0Q1sghWJbgbE_8g"",""ORDER BOOKING REPORT 2024-25!C:CV""),{58,65,72},0))))"),"")</f>
        <v/>
      </c>
      <c r="BR39" s="327" t="str">
        <f>IFERROR(__xludf.DUMMYFUNCTION("IFERROR(ArrayFormula(SUM(VLOOKUP($C39,importrange(""1MwNMVzWE3QBVOyJjKr3eFX-Sq1Ng0Q1sghWJbgbE_8g"",""ORDER BOOKING REPORT 2024-25!C:CV""),{79,86,93},0))))"),"")</f>
        <v/>
      </c>
      <c r="BS39" s="328">
        <f t="shared" si="13"/>
        <v>0.8054808627</v>
      </c>
      <c r="BT39" s="328">
        <f t="shared" si="14"/>
        <v>0.01060194343</v>
      </c>
      <c r="BU39" s="234">
        <f t="shared" si="15"/>
        <v>0</v>
      </c>
      <c r="BV39" s="329">
        <v>51393.0</v>
      </c>
      <c r="BW39" s="329" t="s">
        <v>1020</v>
      </c>
      <c r="BX39" s="329">
        <v>671.0</v>
      </c>
      <c r="BY39" s="234">
        <f t="shared" si="16"/>
        <v>0</v>
      </c>
      <c r="BZ39" s="234"/>
      <c r="CA39" s="234"/>
      <c r="CB39" s="234"/>
      <c r="CC39" s="234"/>
      <c r="CD39" s="234"/>
      <c r="CE39" s="234"/>
      <c r="CF39" s="234"/>
      <c r="CG39" s="234" t="str">
        <f t="shared" si="19"/>
        <v> </v>
      </c>
      <c r="CH39" s="234" t="str">
        <f t="shared" si="27"/>
        <v>Business Achieved 50%</v>
      </c>
      <c r="CI39" s="328">
        <f t="shared" si="20"/>
        <v>0.75</v>
      </c>
      <c r="CJ39" s="330">
        <f>IFERROR(__xludf.DUMMYFUNCTION("""COMPUTED_VALUE"""),1078.0)</f>
        <v>1078</v>
      </c>
      <c r="CK39" s="330">
        <f>IFERROR(__xludf.DUMMYFUNCTION("""COMPUTED_VALUE"""),92.0)</f>
        <v>92</v>
      </c>
      <c r="CL39" s="330">
        <f>IFERROR(__xludf.DUMMYFUNCTION("""COMPUTED_VALUE"""),0.0)</f>
        <v>0</v>
      </c>
      <c r="CM39" s="331">
        <f t="shared" si="21"/>
        <v>0</v>
      </c>
      <c r="CN39" s="337"/>
      <c r="CO39" s="160"/>
      <c r="CP39" s="334"/>
      <c r="CQ39" s="335"/>
      <c r="CR39" s="160"/>
      <c r="CS39" s="160"/>
      <c r="CT39" s="160"/>
      <c r="CU39" s="160"/>
      <c r="CV39" s="160"/>
      <c r="CW39" s="335"/>
      <c r="CX39" s="288"/>
      <c r="CY39" s="160"/>
      <c r="CZ39" s="160"/>
    </row>
    <row r="40">
      <c r="A40" s="157" t="s">
        <v>298</v>
      </c>
      <c r="B40" s="157" t="s">
        <v>301</v>
      </c>
      <c r="C40" s="157" t="s">
        <v>302</v>
      </c>
      <c r="D40" s="157" t="s">
        <v>1066</v>
      </c>
      <c r="E40" s="157" t="s">
        <v>303</v>
      </c>
      <c r="F40" s="285">
        <v>44459.0</v>
      </c>
      <c r="G40" s="314">
        <v>0.0</v>
      </c>
      <c r="H40" s="314">
        <v>2.16E7</v>
      </c>
      <c r="I40" s="315">
        <v>1.827883373E7</v>
      </c>
      <c r="J40" s="315">
        <v>0.0</v>
      </c>
      <c r="K40" s="160">
        <v>106.0</v>
      </c>
      <c r="L40" s="160">
        <v>71.0</v>
      </c>
      <c r="M40" s="160">
        <v>5.0</v>
      </c>
      <c r="N40" s="160">
        <v>111.0</v>
      </c>
      <c r="O40" s="160">
        <v>40.0</v>
      </c>
      <c r="P40" s="315">
        <v>1.827883373E7</v>
      </c>
      <c r="Q40" s="315">
        <v>0.0</v>
      </c>
      <c r="R40" s="160">
        <v>43.0</v>
      </c>
      <c r="S40" s="160">
        <v>0.0</v>
      </c>
      <c r="T40" s="160">
        <v>43.0</v>
      </c>
      <c r="U40" s="160">
        <v>0.0</v>
      </c>
      <c r="V40" s="160">
        <v>16.0</v>
      </c>
      <c r="W40" s="160">
        <v>17.0</v>
      </c>
      <c r="X40" s="160">
        <v>60.0</v>
      </c>
      <c r="Y40" s="160">
        <v>13.0</v>
      </c>
      <c r="Z40" s="160">
        <v>240.0</v>
      </c>
      <c r="AA40" s="160">
        <v>0.0</v>
      </c>
      <c r="AB40" s="160">
        <v>0.0</v>
      </c>
      <c r="AC40" s="160">
        <v>7.0</v>
      </c>
      <c r="AD40" s="160">
        <v>17.0</v>
      </c>
      <c r="AE40" s="160">
        <v>254.0</v>
      </c>
      <c r="AF40" s="160">
        <v>528.0</v>
      </c>
      <c r="AG40" s="160">
        <v>288.0</v>
      </c>
      <c r="AH40" s="314">
        <f t="shared" si="2"/>
        <v>63468.17267</v>
      </c>
      <c r="AI40" s="314">
        <f t="shared" si="3"/>
        <v>1.833333333</v>
      </c>
      <c r="AJ40" s="346">
        <v>49585.0</v>
      </c>
      <c r="AK40" s="314">
        <f t="shared" si="35"/>
        <v>595020</v>
      </c>
      <c r="AL40" s="317">
        <v>295608.0</v>
      </c>
      <c r="AM40" s="318">
        <f t="shared" si="5"/>
        <v>0.04872455284</v>
      </c>
      <c r="AN40" s="314">
        <f t="shared" si="6"/>
        <v>425089.1565</v>
      </c>
      <c r="AO40" s="336">
        <f t="shared" si="38"/>
        <v>0.8462423023</v>
      </c>
      <c r="AP40" s="319">
        <v>0.0</v>
      </c>
      <c r="AQ40" s="160">
        <v>267.0</v>
      </c>
      <c r="AR40" s="160">
        <v>2877.0</v>
      </c>
      <c r="AS40" s="160">
        <v>2706.04</v>
      </c>
      <c r="AT40" s="160">
        <v>0.0</v>
      </c>
      <c r="AU40" s="160">
        <v>38.0</v>
      </c>
      <c r="AV40" s="320">
        <v>43.0</v>
      </c>
      <c r="AW40" s="320">
        <v>33.0</v>
      </c>
      <c r="AX40" s="320">
        <v>35.0</v>
      </c>
      <c r="AY40" s="321">
        <f>iferror(VLOOKUP(C40,'ORDER BOOKING REPORT 2025-26'!C:O,13,0),"")</f>
        <v>28229618</v>
      </c>
      <c r="AZ40" s="322"/>
      <c r="BA40" s="157" t="str">
        <f t="shared" si="7"/>
        <v>Active</v>
      </c>
      <c r="BB40" s="157" t="str">
        <f t="shared" si="8"/>
        <v>Old</v>
      </c>
      <c r="BC40" s="157" t="str">
        <f t="shared" si="39"/>
        <v>70%-90%</v>
      </c>
      <c r="BD40" s="223">
        <f t="shared" si="40"/>
        <v>12</v>
      </c>
      <c r="BE40" s="323">
        <v>1800000.0</v>
      </c>
      <c r="BF40" s="157">
        <f t="shared" si="10"/>
        <v>5</v>
      </c>
      <c r="BG40" s="157" t="s">
        <v>1019</v>
      </c>
      <c r="BH40" s="324"/>
      <c r="BI40" s="324"/>
      <c r="BJ40" s="325"/>
      <c r="BK40" s="326"/>
      <c r="BL40" s="326">
        <f t="shared" si="11"/>
        <v>0</v>
      </c>
      <c r="BM40" s="326">
        <f t="shared" si="12"/>
        <v>21600000</v>
      </c>
      <c r="BN40" s="326"/>
      <c r="BO40" s="327" t="str">
        <f>IFERROR(__xludf.DUMMYFUNCTION("IFERROR(ArrayFormula(SUM(VLOOKUP($C40,importrange(""1MwNMVzWE3QBVOyJjKr3eFX-Sq1Ng0Q1sghWJbgbE_8g"",""ORDER BOOKING REPORT 2024-25!C:CV""),{16,23,30},0))))"),"")</f>
        <v/>
      </c>
      <c r="BP40" s="327" t="str">
        <f>IFERROR(__xludf.DUMMYFUNCTION("IFERROR(ArrayFormula(SUM(VLOOKUP($C40,importrange(""1MwNMVzWE3QBVOyJjKr3eFX-Sq1Ng0Q1sghWJbgbE_8g"",""ORDER BOOKING REPORT 2024-25!C:CV""),{37,44,51},0))))"),"")</f>
        <v/>
      </c>
      <c r="BQ40" s="327" t="str">
        <f>IFERROR(__xludf.DUMMYFUNCTION("IFERROR(ArrayFormula(SUM(VLOOKUP($C40,importrange(""1MwNMVzWE3QBVOyJjKr3eFX-Sq1Ng0Q1sghWJbgbE_8g"",""ORDER BOOKING REPORT 2024-25!C:CV""),{58,65,72},0))))"),"")</f>
        <v/>
      </c>
      <c r="BR40" s="327" t="str">
        <f>IFERROR(__xludf.DUMMYFUNCTION("IFERROR(ArrayFormula(SUM(VLOOKUP($C40,importrange(""1MwNMVzWE3QBVOyJjKr3eFX-Sq1Ng0Q1sghWJbgbE_8g"",""ORDER BOOKING REPORT 2024-25!C:CV""),{79,86,93},0))))"),"")</f>
        <v/>
      </c>
      <c r="BS40" s="328">
        <f t="shared" si="13"/>
        <v>1.306926759</v>
      </c>
      <c r="BT40" s="328">
        <f t="shared" si="14"/>
        <v>0.03154941735</v>
      </c>
      <c r="BU40" s="234">
        <f t="shared" si="15"/>
        <v>0</v>
      </c>
      <c r="BV40" s="329">
        <v>49585.0</v>
      </c>
      <c r="BW40" s="329" t="s">
        <v>1020</v>
      </c>
      <c r="BX40" s="329">
        <v>678.0</v>
      </c>
      <c r="BY40" s="234">
        <f t="shared" si="16"/>
        <v>0</v>
      </c>
      <c r="BZ40" s="234"/>
      <c r="CA40" s="234"/>
      <c r="CB40" s="234"/>
      <c r="CC40" s="234"/>
      <c r="CD40" s="234"/>
      <c r="CE40" s="234"/>
      <c r="CF40" s="234"/>
      <c r="CG40" s="234" t="str">
        <f t="shared" si="19"/>
        <v> </v>
      </c>
      <c r="CH40" s="234" t="str">
        <f t="shared" si="27"/>
        <v>Not 50%</v>
      </c>
      <c r="CI40" s="328">
        <f t="shared" si="20"/>
        <v>0.3873873874</v>
      </c>
      <c r="CJ40" s="330">
        <f>IFERROR(__xludf.DUMMYFUNCTION("""COMPUTED_VALUE"""),213.0)</f>
        <v>213</v>
      </c>
      <c r="CK40" s="330">
        <f>IFERROR(__xludf.DUMMYFUNCTION("""COMPUTED_VALUE"""),41.0)</f>
        <v>41</v>
      </c>
      <c r="CL40" s="330">
        <f>IFERROR(__xludf.DUMMYFUNCTION("""COMPUTED_VALUE"""),0.0)</f>
        <v>0</v>
      </c>
      <c r="CM40" s="331">
        <f t="shared" si="21"/>
        <v>0</v>
      </c>
      <c r="CN40" s="337"/>
      <c r="CO40" s="160"/>
      <c r="CP40" s="334"/>
      <c r="CQ40" s="335"/>
      <c r="CR40" s="160"/>
      <c r="CS40" s="160"/>
      <c r="CT40" s="160"/>
      <c r="CU40" s="160"/>
      <c r="CV40" s="160"/>
      <c r="CW40" s="335"/>
      <c r="CX40" s="288"/>
      <c r="CY40" s="160"/>
      <c r="CZ40" s="160"/>
    </row>
    <row r="41">
      <c r="A41" s="157" t="s">
        <v>185</v>
      </c>
      <c r="B41" s="157" t="s">
        <v>222</v>
      </c>
      <c r="C41" s="157" t="s">
        <v>220</v>
      </c>
      <c r="D41" s="157" t="s">
        <v>1057</v>
      </c>
      <c r="E41" s="157" t="s">
        <v>221</v>
      </c>
      <c r="F41" s="338">
        <v>44501.0</v>
      </c>
      <c r="G41" s="314">
        <v>0.0</v>
      </c>
      <c r="H41" s="314">
        <v>5.4E7</v>
      </c>
      <c r="I41" s="315">
        <v>4.090203458E7</v>
      </c>
      <c r="J41" s="315">
        <v>0.0</v>
      </c>
      <c r="K41" s="160">
        <v>105.0</v>
      </c>
      <c r="L41" s="160">
        <v>105.0</v>
      </c>
      <c r="M41" s="160">
        <v>5.0</v>
      </c>
      <c r="N41" s="160">
        <v>110.0</v>
      </c>
      <c r="O41" s="160">
        <v>5.0</v>
      </c>
      <c r="P41" s="315">
        <v>3.673827511E7</v>
      </c>
      <c r="Q41" s="315">
        <v>4163759.47</v>
      </c>
      <c r="R41" s="160">
        <v>38.0</v>
      </c>
      <c r="S41" s="160">
        <v>5.0</v>
      </c>
      <c r="T41" s="160">
        <v>43.0</v>
      </c>
      <c r="U41" s="160">
        <v>0.0</v>
      </c>
      <c r="V41" s="160">
        <v>26.0</v>
      </c>
      <c r="W41" s="160">
        <v>41.0</v>
      </c>
      <c r="X41" s="160">
        <v>119.0</v>
      </c>
      <c r="Y41" s="160">
        <v>3.0</v>
      </c>
      <c r="Z41" s="160">
        <v>5.0</v>
      </c>
      <c r="AA41" s="160">
        <v>0.0</v>
      </c>
      <c r="AB41" s="160">
        <v>0.0</v>
      </c>
      <c r="AC41" s="160">
        <v>0.0</v>
      </c>
      <c r="AD41" s="160">
        <v>0.0</v>
      </c>
      <c r="AE41" s="160">
        <v>2058.0</v>
      </c>
      <c r="AF41" s="160">
        <v>2104.0</v>
      </c>
      <c r="AG41" s="160">
        <v>303.0</v>
      </c>
      <c r="AH41" s="314">
        <f t="shared" si="2"/>
        <v>134990.2131</v>
      </c>
      <c r="AI41" s="314">
        <f t="shared" si="3"/>
        <v>6.943894389</v>
      </c>
      <c r="AJ41" s="316">
        <v>58700.0</v>
      </c>
      <c r="AK41" s="314">
        <f t="shared" si="35"/>
        <v>704400</v>
      </c>
      <c r="AL41" s="317">
        <v>401751.0</v>
      </c>
      <c r="AM41" s="318">
        <f t="shared" si="5"/>
        <v>0.02704391142</v>
      </c>
      <c r="AN41" s="314">
        <f t="shared" si="6"/>
        <v>951210.1065</v>
      </c>
      <c r="AO41" s="336">
        <f t="shared" si="38"/>
        <v>0.7574450848</v>
      </c>
      <c r="AP41" s="319">
        <v>0.0</v>
      </c>
      <c r="AQ41" s="160">
        <v>289.0</v>
      </c>
      <c r="AR41" s="160">
        <v>2818.0</v>
      </c>
      <c r="AS41" s="160">
        <v>2037.18</v>
      </c>
      <c r="AT41" s="160">
        <v>5.0</v>
      </c>
      <c r="AU41" s="160">
        <v>19.0</v>
      </c>
      <c r="AV41" s="320">
        <v>43.0</v>
      </c>
      <c r="AW41" s="320">
        <v>62.0</v>
      </c>
      <c r="AX41" s="320">
        <v>5.0</v>
      </c>
      <c r="AY41" s="321">
        <f>iferror(VLOOKUP(C41,'ORDER BOOKING REPORT 2025-26'!C:O,13,0),"")</f>
        <v>40877028</v>
      </c>
      <c r="AZ41" s="322"/>
      <c r="BA41" s="157" t="str">
        <f t="shared" si="7"/>
        <v>Active</v>
      </c>
      <c r="BB41" s="157" t="str">
        <f t="shared" si="8"/>
        <v>Old</v>
      </c>
      <c r="BC41" s="157" t="str">
        <f t="shared" si="39"/>
        <v>70%-90%</v>
      </c>
      <c r="BD41" s="223">
        <f t="shared" si="40"/>
        <v>12</v>
      </c>
      <c r="BE41" s="323">
        <v>4500000.0</v>
      </c>
      <c r="BF41" s="157">
        <f t="shared" si="10"/>
        <v>0</v>
      </c>
      <c r="BG41" s="157" t="s">
        <v>1019</v>
      </c>
      <c r="BH41" s="324"/>
      <c r="BI41" s="324"/>
      <c r="BJ41" s="325"/>
      <c r="BK41" s="326"/>
      <c r="BL41" s="326">
        <f t="shared" si="11"/>
        <v>0</v>
      </c>
      <c r="BM41" s="326">
        <f t="shared" si="12"/>
        <v>54000000</v>
      </c>
      <c r="BN41" s="326"/>
      <c r="BO41" s="327" t="str">
        <f>IFERROR(__xludf.DUMMYFUNCTION("IFERROR(ArrayFormula(SUM(VLOOKUP($C41,importrange(""1MwNMVzWE3QBVOyJjKr3eFX-Sq1Ng0Q1sghWJbgbE_8g"",""ORDER BOOKING REPORT 2024-25!C:CV""),{16,23,30},0))))"),"")</f>
        <v/>
      </c>
      <c r="BP41" s="327" t="str">
        <f>IFERROR(__xludf.DUMMYFUNCTION("IFERROR(ArrayFormula(SUM(VLOOKUP($C41,importrange(""1MwNMVzWE3QBVOyJjKr3eFX-Sq1Ng0Q1sghWJbgbE_8g"",""ORDER BOOKING REPORT 2024-25!C:CV""),{37,44,51},0))))"),"")</f>
        <v/>
      </c>
      <c r="BQ41" s="327" t="str">
        <f>IFERROR(__xludf.DUMMYFUNCTION("IFERROR(ArrayFormula(SUM(VLOOKUP($C41,importrange(""1MwNMVzWE3QBVOyJjKr3eFX-Sq1Ng0Q1sghWJbgbE_8g"",""ORDER BOOKING REPORT 2024-25!C:CV""),{58,65,72},0))))"),"")</f>
        <v/>
      </c>
      <c r="BR41" s="327" t="str">
        <f>IFERROR(__xludf.DUMMYFUNCTION("IFERROR(ArrayFormula(SUM(VLOOKUP($C41,importrange(""1MwNMVzWE3QBVOyJjKr3eFX-Sq1Ng0Q1sghWJbgbE_8g"",""ORDER BOOKING REPORT 2024-25!C:CV""),{79,86,93},0))))"),"")</f>
        <v/>
      </c>
      <c r="BS41" s="328">
        <f t="shared" si="13"/>
        <v>0.756982</v>
      </c>
      <c r="BT41" s="328">
        <f t="shared" si="14"/>
        <v>0.02706045557</v>
      </c>
      <c r="BU41" s="234">
        <f t="shared" si="15"/>
        <v>0</v>
      </c>
      <c r="BV41" s="329">
        <v>58700.0</v>
      </c>
      <c r="BW41" s="329" t="s">
        <v>1020</v>
      </c>
      <c r="BX41" s="329">
        <v>697.0</v>
      </c>
      <c r="BY41" s="234">
        <f t="shared" si="16"/>
        <v>0</v>
      </c>
      <c r="BZ41" s="234"/>
      <c r="CA41" s="234"/>
      <c r="CB41" s="234"/>
      <c r="CC41" s="234"/>
      <c r="CD41" s="234"/>
      <c r="CE41" s="234"/>
      <c r="CF41" s="234"/>
      <c r="CG41" s="234" t="str">
        <f t="shared" si="19"/>
        <v> </v>
      </c>
      <c r="CH41" s="234" t="str">
        <f t="shared" si="27"/>
        <v>Not 50%</v>
      </c>
      <c r="CI41" s="328">
        <f t="shared" si="20"/>
        <v>0.3909090909</v>
      </c>
      <c r="CJ41" s="330">
        <f>IFERROR(__xludf.DUMMYFUNCTION("""COMPUTED_VALUE"""),1256.0)</f>
        <v>1256</v>
      </c>
      <c r="CK41" s="330">
        <f>IFERROR(__xludf.DUMMYFUNCTION("""COMPUTED_VALUE"""),802.0)</f>
        <v>802</v>
      </c>
      <c r="CL41" s="330">
        <f>IFERROR(__xludf.DUMMYFUNCTION("""COMPUTED_VALUE"""),0.0)</f>
        <v>0</v>
      </c>
      <c r="CM41" s="331">
        <f t="shared" si="21"/>
        <v>0</v>
      </c>
      <c r="CN41" s="337"/>
      <c r="CO41" s="160"/>
      <c r="CP41" s="334"/>
      <c r="CQ41" s="335"/>
      <c r="CR41" s="160"/>
      <c r="CS41" s="160"/>
      <c r="CT41" s="160"/>
      <c r="CU41" s="160"/>
      <c r="CV41" s="160"/>
      <c r="CW41" s="335"/>
      <c r="CX41" s="288"/>
      <c r="CY41" s="160"/>
      <c r="CZ41" s="160"/>
    </row>
    <row r="42">
      <c r="A42" s="157" t="s">
        <v>126</v>
      </c>
      <c r="B42" s="157" t="s">
        <v>145</v>
      </c>
      <c r="C42" s="157" t="s">
        <v>143</v>
      </c>
      <c r="D42" s="157" t="s">
        <v>1066</v>
      </c>
      <c r="E42" s="157" t="s">
        <v>1067</v>
      </c>
      <c r="F42" s="338">
        <v>44501.0</v>
      </c>
      <c r="G42" s="314">
        <v>0.0</v>
      </c>
      <c r="H42" s="314">
        <v>2.112E7</v>
      </c>
      <c r="I42" s="315">
        <v>9779119.48</v>
      </c>
      <c r="J42" s="315">
        <v>0.0</v>
      </c>
      <c r="K42" s="160">
        <v>77.0</v>
      </c>
      <c r="L42" s="160">
        <v>77.0</v>
      </c>
      <c r="M42" s="160">
        <v>8.0</v>
      </c>
      <c r="N42" s="160">
        <v>85.0</v>
      </c>
      <c r="O42" s="160">
        <v>8.0</v>
      </c>
      <c r="P42" s="315">
        <v>7750625.95</v>
      </c>
      <c r="Q42" s="315">
        <v>2028493.53</v>
      </c>
      <c r="R42" s="160">
        <v>41.0</v>
      </c>
      <c r="S42" s="160">
        <v>7.0</v>
      </c>
      <c r="T42" s="160">
        <v>48.0</v>
      </c>
      <c r="U42" s="160">
        <v>0.0</v>
      </c>
      <c r="V42" s="160">
        <v>86.0</v>
      </c>
      <c r="W42" s="160">
        <v>158.0</v>
      </c>
      <c r="X42" s="160">
        <v>222.0</v>
      </c>
      <c r="Y42" s="160">
        <v>2.0</v>
      </c>
      <c r="Z42" s="160">
        <v>9.0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984.0</v>
      </c>
      <c r="AF42" s="160">
        <v>1151.0</v>
      </c>
      <c r="AG42" s="160">
        <v>286.0</v>
      </c>
      <c r="AH42" s="314">
        <f t="shared" si="2"/>
        <v>34192.72545</v>
      </c>
      <c r="AI42" s="314">
        <f t="shared" si="3"/>
        <v>4.024475524</v>
      </c>
      <c r="AJ42" s="316">
        <v>28500.0</v>
      </c>
      <c r="AK42" s="314">
        <f t="shared" si="35"/>
        <v>342000</v>
      </c>
      <c r="AL42" s="317">
        <v>186475.0</v>
      </c>
      <c r="AM42" s="318">
        <f t="shared" si="5"/>
        <v>0.05404116404</v>
      </c>
      <c r="AN42" s="314">
        <f t="shared" si="6"/>
        <v>203731.6558</v>
      </c>
      <c r="AO42" s="336">
        <f t="shared" si="38"/>
        <v>0.4630264905</v>
      </c>
      <c r="AP42" s="319">
        <v>0.0</v>
      </c>
      <c r="AQ42" s="160">
        <v>398.0</v>
      </c>
      <c r="AR42" s="160">
        <v>3476.0</v>
      </c>
      <c r="AS42" s="160">
        <v>2594.82</v>
      </c>
      <c r="AT42" s="160">
        <v>7.0</v>
      </c>
      <c r="AU42" s="160">
        <v>34.0</v>
      </c>
      <c r="AV42" s="320">
        <v>48.0</v>
      </c>
      <c r="AW42" s="320">
        <v>31.0</v>
      </c>
      <c r="AX42" s="320">
        <v>6.0</v>
      </c>
      <c r="AY42" s="321">
        <f>iferror(VLOOKUP(C42,'ORDER BOOKING REPORT 2025-26'!C:O,13,0),"")</f>
        <v>8111959.82</v>
      </c>
      <c r="AZ42" s="322"/>
      <c r="BA42" s="157" t="str">
        <f t="shared" si="7"/>
        <v>Active</v>
      </c>
      <c r="BB42" s="157" t="str">
        <f t="shared" si="8"/>
        <v>Old</v>
      </c>
      <c r="BC42" s="157" t="str">
        <f t="shared" si="39"/>
        <v>Below 50%</v>
      </c>
      <c r="BD42" s="223">
        <f t="shared" si="40"/>
        <v>12</v>
      </c>
      <c r="BE42" s="323">
        <v>1760000.0</v>
      </c>
      <c r="BF42" s="157">
        <f t="shared" si="10"/>
        <v>1</v>
      </c>
      <c r="BG42" s="157" t="s">
        <v>1019</v>
      </c>
      <c r="BH42" s="324"/>
      <c r="BI42" s="324"/>
      <c r="BJ42" s="325"/>
      <c r="BK42" s="326"/>
      <c r="BL42" s="326">
        <f t="shared" si="11"/>
        <v>0</v>
      </c>
      <c r="BM42" s="326">
        <f t="shared" si="12"/>
        <v>21120000</v>
      </c>
      <c r="BN42" s="326"/>
      <c r="BO42" s="327" t="str">
        <f>IFERROR(__xludf.DUMMYFUNCTION("IFERROR(ArrayFormula(SUM(VLOOKUP($C42,importrange(""1MwNMVzWE3QBVOyJjKr3eFX-Sq1Ng0Q1sghWJbgbE_8g"",""ORDER BOOKING REPORT 2024-25!C:CV""),{16,23,30},0))))"),"")</f>
        <v/>
      </c>
      <c r="BP42" s="327" t="str">
        <f>IFERROR(__xludf.DUMMYFUNCTION("IFERROR(ArrayFormula(SUM(VLOOKUP($C42,importrange(""1MwNMVzWE3QBVOyJjKr3eFX-Sq1Ng0Q1sghWJbgbE_8g"",""ORDER BOOKING REPORT 2024-25!C:CV""),{37,44,51},0))))"),"")</f>
        <v/>
      </c>
      <c r="BQ42" s="327" t="str">
        <f>IFERROR(__xludf.DUMMYFUNCTION("IFERROR(ArrayFormula(SUM(VLOOKUP($C42,importrange(""1MwNMVzWE3QBVOyJjKr3eFX-Sq1Ng0Q1sghWJbgbE_8g"",""ORDER BOOKING REPORT 2024-25!C:CV""),{58,65,72},0))))"),"")</f>
        <v/>
      </c>
      <c r="BR42" s="327" t="str">
        <f>IFERROR(__xludf.DUMMYFUNCTION("IFERROR(ArrayFormula(SUM(VLOOKUP($C42,importrange(""1MwNMVzWE3QBVOyJjKr3eFX-Sq1Ng0Q1sghWJbgbE_8g"",""ORDER BOOKING REPORT 2024-25!C:CV""),{79,86,93},0))))"),"")</f>
        <v/>
      </c>
      <c r="BS42" s="328">
        <f t="shared" si="13"/>
        <v>0.3840890066</v>
      </c>
      <c r="BT42" s="328">
        <f t="shared" si="14"/>
        <v>0.06514763531</v>
      </c>
      <c r="BU42" s="234">
        <f t="shared" si="15"/>
        <v>0</v>
      </c>
      <c r="BV42" s="329">
        <v>28500.0</v>
      </c>
      <c r="BW42" s="329" t="s">
        <v>1029</v>
      </c>
      <c r="BX42" s="329">
        <v>696.0</v>
      </c>
      <c r="BY42" s="234">
        <f t="shared" si="16"/>
        <v>0</v>
      </c>
      <c r="BZ42" s="234"/>
      <c r="CA42" s="234"/>
      <c r="CB42" s="234"/>
      <c r="CC42" s="234"/>
      <c r="CD42" s="234"/>
      <c r="CE42" s="234"/>
      <c r="CF42" s="234"/>
      <c r="CG42" s="234" t="str">
        <f t="shared" si="19"/>
        <v> </v>
      </c>
      <c r="CH42" s="234" t="str">
        <f t="shared" si="27"/>
        <v>Business Achieved 50%</v>
      </c>
      <c r="CI42" s="328">
        <f t="shared" si="20"/>
        <v>0.5647058824</v>
      </c>
      <c r="CJ42" s="330">
        <f>IFERROR(__xludf.DUMMYFUNCTION("""COMPUTED_VALUE"""),763.0)</f>
        <v>763</v>
      </c>
      <c r="CK42" s="330">
        <f>IFERROR(__xludf.DUMMYFUNCTION("""COMPUTED_VALUE"""),221.0)</f>
        <v>221</v>
      </c>
      <c r="CL42" s="330">
        <f>IFERROR(__xludf.DUMMYFUNCTION("""COMPUTED_VALUE"""),0.0)</f>
        <v>0</v>
      </c>
      <c r="CM42" s="331">
        <f t="shared" si="21"/>
        <v>0</v>
      </c>
      <c r="CN42" s="337"/>
      <c r="CO42" s="160"/>
      <c r="CP42" s="334"/>
      <c r="CQ42" s="335"/>
      <c r="CR42" s="160"/>
      <c r="CS42" s="160"/>
      <c r="CT42" s="160"/>
      <c r="CU42" s="160"/>
      <c r="CV42" s="160"/>
      <c r="CW42" s="335"/>
      <c r="CX42" s="288"/>
      <c r="CY42" s="160"/>
      <c r="CZ42" s="160"/>
    </row>
    <row r="43">
      <c r="A43" s="157" t="s">
        <v>185</v>
      </c>
      <c r="B43" s="157" t="s">
        <v>85</v>
      </c>
      <c r="C43" s="157" t="s">
        <v>630</v>
      </c>
      <c r="D43" s="157" t="s">
        <v>1058</v>
      </c>
      <c r="E43" s="157" t="s">
        <v>386</v>
      </c>
      <c r="F43" s="338">
        <v>44508.0</v>
      </c>
      <c r="G43" s="314">
        <v>0.0</v>
      </c>
      <c r="H43" s="314">
        <v>0.0</v>
      </c>
      <c r="I43" s="315">
        <v>44994.4</v>
      </c>
      <c r="J43" s="315">
        <v>0.0</v>
      </c>
      <c r="K43" s="160">
        <v>95.0</v>
      </c>
      <c r="L43" s="160">
        <v>40.0</v>
      </c>
      <c r="M43" s="160">
        <v>0.0</v>
      </c>
      <c r="N43" s="160">
        <v>95.0</v>
      </c>
      <c r="O43" s="160">
        <v>55.0</v>
      </c>
      <c r="P43" s="315">
        <v>44994.4</v>
      </c>
      <c r="Q43" s="315">
        <v>0.0</v>
      </c>
      <c r="R43" s="160">
        <v>7.0</v>
      </c>
      <c r="S43" s="160">
        <v>0.0</v>
      </c>
      <c r="T43" s="160">
        <v>7.0</v>
      </c>
      <c r="U43" s="160">
        <v>0.0</v>
      </c>
      <c r="V43" s="160">
        <v>14.0</v>
      </c>
      <c r="W43" s="160">
        <v>14.0</v>
      </c>
      <c r="X43" s="160">
        <v>82.0</v>
      </c>
      <c r="Y43" s="160">
        <v>1.0</v>
      </c>
      <c r="Z43" s="160">
        <v>1.0</v>
      </c>
      <c r="AA43" s="160">
        <v>0.0</v>
      </c>
      <c r="AB43" s="160">
        <v>0.0</v>
      </c>
      <c r="AC43" s="160">
        <v>0.0</v>
      </c>
      <c r="AD43" s="160">
        <v>0.0</v>
      </c>
      <c r="AE43" s="160">
        <v>47.0</v>
      </c>
      <c r="AF43" s="160">
        <v>62.0</v>
      </c>
      <c r="AG43" s="160">
        <v>10.0</v>
      </c>
      <c r="AH43" s="314">
        <f t="shared" si="2"/>
        <v>4499.44</v>
      </c>
      <c r="AI43" s="314">
        <f t="shared" si="3"/>
        <v>6.2</v>
      </c>
      <c r="AJ43" s="316">
        <v>21667.0</v>
      </c>
      <c r="AK43" s="314">
        <f t="shared" si="35"/>
        <v>8666.8</v>
      </c>
      <c r="AL43" s="286">
        <v>6357.0</v>
      </c>
      <c r="AM43" s="318">
        <f t="shared" si="5"/>
        <v>0.3339037747</v>
      </c>
      <c r="AN43" s="314">
        <f t="shared" si="6"/>
        <v>6427.771429</v>
      </c>
      <c r="AO43" s="286" t="s">
        <v>972</v>
      </c>
      <c r="AP43" s="319">
        <v>0.0</v>
      </c>
      <c r="AQ43" s="160">
        <v>7.0</v>
      </c>
      <c r="AR43" s="160">
        <v>126.0</v>
      </c>
      <c r="AS43" s="160">
        <v>0.0</v>
      </c>
      <c r="AT43" s="160">
        <v>0.0</v>
      </c>
      <c r="AU43" s="160">
        <v>0.0</v>
      </c>
      <c r="AV43" s="320">
        <v>7.0</v>
      </c>
      <c r="AW43" s="320">
        <v>33.0</v>
      </c>
      <c r="AX43" s="320">
        <v>55.0</v>
      </c>
      <c r="AY43" s="321">
        <f>iferror(VLOOKUP(C43,'ORDER BOOKING REPORT 2025-26'!C:O,13,0),"")</f>
        <v>0</v>
      </c>
      <c r="AZ43" s="345">
        <v>45759.0</v>
      </c>
      <c r="BA43" s="157" t="str">
        <f t="shared" si="7"/>
        <v>LEFT</v>
      </c>
      <c r="BB43" s="157" t="str">
        <f t="shared" si="8"/>
        <v>Old</v>
      </c>
      <c r="BC43" s="160" t="s">
        <v>972</v>
      </c>
      <c r="BD43" s="223">
        <f>12/30</f>
        <v>0.4</v>
      </c>
      <c r="BE43" s="323"/>
      <c r="BF43" s="157">
        <f t="shared" si="10"/>
        <v>0</v>
      </c>
      <c r="BG43" s="157" t="s">
        <v>1019</v>
      </c>
      <c r="BH43" s="324"/>
      <c r="BI43" s="324"/>
      <c r="BJ43" s="343">
        <f>12/30</f>
        <v>0.4</v>
      </c>
      <c r="BK43" s="347"/>
      <c r="BL43" s="326">
        <f t="shared" si="11"/>
        <v>0</v>
      </c>
      <c r="BM43" s="326">
        <f t="shared" si="12"/>
        <v>0</v>
      </c>
      <c r="BN43" s="326"/>
      <c r="BO43" s="327" t="str">
        <f>IFERROR(__xludf.DUMMYFUNCTION("IFERROR(ArrayFormula(SUM(VLOOKUP($C43,importrange(""1MwNMVzWE3QBVOyJjKr3eFX-Sq1Ng0Q1sghWJbgbE_8g"",""ORDER BOOKING REPORT 2024-25!C:CV""),{16,23,30},0))))"),"")</f>
        <v/>
      </c>
      <c r="BP43" s="327" t="str">
        <f>IFERROR(__xludf.DUMMYFUNCTION("IFERROR(ArrayFormula(SUM(VLOOKUP($C43,importrange(""1MwNMVzWE3QBVOyJjKr3eFX-Sq1Ng0Q1sghWJbgbE_8g"",""ORDER BOOKING REPORT 2024-25!C:CV""),{37,44,51},0))))"),"")</f>
        <v/>
      </c>
      <c r="BQ43" s="327" t="str">
        <f>IFERROR(__xludf.DUMMYFUNCTION("IFERROR(ArrayFormula(SUM(VLOOKUP($C43,importrange(""1MwNMVzWE3QBVOyJjKr3eFX-Sq1Ng0Q1sghWJbgbE_8g"",""ORDER BOOKING REPORT 2024-25!C:CV""),{58,65,72},0))))"),"")</f>
        <v/>
      </c>
      <c r="BR43" s="327" t="str">
        <f>IFERROR(__xludf.DUMMYFUNCTION("IFERROR(ArrayFormula(SUM(VLOOKUP($C43,importrange(""1MwNMVzWE3QBVOyJjKr3eFX-Sq1Ng0Q1sghWJbgbE_8g"",""ORDER BOOKING REPORT 2024-25!C:CV""),{79,86,93},0))))"),"")</f>
        <v/>
      </c>
      <c r="BS43" s="328" t="str">
        <f t="shared" si="13"/>
        <v/>
      </c>
      <c r="BT43" s="328" t="str">
        <f t="shared" si="14"/>
        <v/>
      </c>
      <c r="BU43" s="234">
        <f t="shared" si="15"/>
        <v>0</v>
      </c>
      <c r="BV43" s="329"/>
      <c r="BW43" s="329"/>
      <c r="BX43" s="329"/>
      <c r="BY43" s="234">
        <f t="shared" si="16"/>
        <v>-21667</v>
      </c>
      <c r="BZ43" s="234"/>
      <c r="CA43" s="234"/>
      <c r="CB43" s="234"/>
      <c r="CC43" s="234"/>
      <c r="CD43" s="234"/>
      <c r="CE43" s="234"/>
      <c r="CF43" s="234"/>
      <c r="CG43" s="234" t="str">
        <f t="shared" si="19"/>
        <v> </v>
      </c>
      <c r="CH43" s="234" t="str">
        <f t="shared" si="27"/>
        <v>Not 50%</v>
      </c>
      <c r="CI43" s="328">
        <f t="shared" si="20"/>
        <v>0.07368421053</v>
      </c>
      <c r="CJ43" s="339">
        <f>IFERROR(__xludf.DUMMYFUNCTION("""COMPUTED_VALUE"""),10.0)</f>
        <v>10</v>
      </c>
      <c r="CK43" s="339">
        <f>IFERROR(__xludf.DUMMYFUNCTION("""COMPUTED_VALUE"""),37.0)</f>
        <v>37</v>
      </c>
      <c r="CL43" s="339">
        <f>IFERROR(__xludf.DUMMYFUNCTION("""COMPUTED_VALUE"""),0.0)</f>
        <v>0</v>
      </c>
      <c r="CM43" s="331">
        <f t="shared" si="21"/>
        <v>0</v>
      </c>
      <c r="CN43" s="340"/>
      <c r="CO43" s="328"/>
      <c r="CP43" s="341"/>
      <c r="CQ43" s="344"/>
      <c r="CR43" s="328"/>
      <c r="CS43" s="328"/>
      <c r="CT43" s="328"/>
      <c r="CU43" s="328"/>
      <c r="CV43" s="328"/>
      <c r="CW43" s="328"/>
      <c r="CX43" s="288"/>
      <c r="CY43" s="328"/>
      <c r="CZ43" s="328"/>
    </row>
    <row r="44">
      <c r="A44" s="348" t="s">
        <v>126</v>
      </c>
      <c r="B44" s="348" t="s">
        <v>130</v>
      </c>
      <c r="C44" s="348" t="s">
        <v>146</v>
      </c>
      <c r="D44" s="157" t="s">
        <v>130</v>
      </c>
      <c r="E44" s="157" t="s">
        <v>1068</v>
      </c>
      <c r="F44" s="285">
        <v>44511.0</v>
      </c>
      <c r="G44" s="314">
        <v>2400000.0</v>
      </c>
      <c r="H44" s="314">
        <v>2.3600004E7</v>
      </c>
      <c r="I44" s="315">
        <v>1.306645573E7</v>
      </c>
      <c r="J44" s="315">
        <v>4044018.87</v>
      </c>
      <c r="K44" s="160">
        <v>74.0</v>
      </c>
      <c r="L44" s="160">
        <v>76.0</v>
      </c>
      <c r="M44" s="160">
        <v>7.0</v>
      </c>
      <c r="N44" s="160">
        <v>81.0</v>
      </c>
      <c r="O44" s="160">
        <v>5.0</v>
      </c>
      <c r="P44" s="315">
        <v>1.222353902E7</v>
      </c>
      <c r="Q44" s="315">
        <v>842916.71</v>
      </c>
      <c r="R44" s="160">
        <v>55.0</v>
      </c>
      <c r="S44" s="160">
        <v>7.0</v>
      </c>
      <c r="T44" s="160">
        <v>62.0</v>
      </c>
      <c r="U44" s="160">
        <v>12.0</v>
      </c>
      <c r="V44" s="160">
        <v>8.0</v>
      </c>
      <c r="W44" s="160">
        <v>17.0</v>
      </c>
      <c r="X44" s="160">
        <v>63.0</v>
      </c>
      <c r="Y44" s="160">
        <v>5.0</v>
      </c>
      <c r="Z44" s="160">
        <v>67.0</v>
      </c>
      <c r="AA44" s="160">
        <v>12.0</v>
      </c>
      <c r="AB44" s="160">
        <v>117.0</v>
      </c>
      <c r="AC44" s="160">
        <v>3.0</v>
      </c>
      <c r="AD44" s="160">
        <v>7.0</v>
      </c>
      <c r="AE44" s="160">
        <v>819.0</v>
      </c>
      <c r="AF44" s="160">
        <v>1027.0</v>
      </c>
      <c r="AG44" s="160">
        <v>295.0</v>
      </c>
      <c r="AH44" s="314">
        <f t="shared" si="2"/>
        <v>58001.60881</v>
      </c>
      <c r="AI44" s="314">
        <f t="shared" si="3"/>
        <v>3.481355932</v>
      </c>
      <c r="AJ44" s="316">
        <f>BV44</f>
        <v>44000</v>
      </c>
      <c r="AK44" s="314">
        <f t="shared" si="35"/>
        <v>528000</v>
      </c>
      <c r="AL44" s="286">
        <v>113069.0</v>
      </c>
      <c r="AM44" s="318">
        <f t="shared" si="5"/>
        <v>0.03746646513</v>
      </c>
      <c r="AN44" s="314">
        <f t="shared" si="6"/>
        <v>210749.286</v>
      </c>
      <c r="AO44" s="336">
        <f>iferror(sum(I44:J44)/Sum(G44:H44),"")</f>
        <v>0.6580950757</v>
      </c>
      <c r="AP44" s="319">
        <v>1.68</v>
      </c>
      <c r="AQ44" s="160">
        <v>276.0</v>
      </c>
      <c r="AR44" s="160">
        <v>2203.0</v>
      </c>
      <c r="AS44" s="160">
        <v>1884.7</v>
      </c>
      <c r="AT44" s="160">
        <v>7.0</v>
      </c>
      <c r="AU44" s="160">
        <v>25.0</v>
      </c>
      <c r="AV44" s="320">
        <v>62.0</v>
      </c>
      <c r="AW44" s="320">
        <v>14.0</v>
      </c>
      <c r="AX44" s="320">
        <v>5.0</v>
      </c>
      <c r="AY44" s="321">
        <f>iferror(VLOOKUP(C44,'ORDER BOOKING REPORT 2025-26'!C:O,13,0),"")</f>
        <v>15945425</v>
      </c>
      <c r="AZ44" s="322"/>
      <c r="BA44" s="157" t="str">
        <f t="shared" si="7"/>
        <v>Active</v>
      </c>
      <c r="BB44" s="157" t="str">
        <f t="shared" si="8"/>
        <v>Old</v>
      </c>
      <c r="BC44" s="157" t="str">
        <f>IFS(AO44&lt;50%,"Below 50%",AO44&lt;70%,"50%-70%",AO44&lt;90%,"70%-90%",AO44&lt;100%,"90%-100%",AO44&gt;100%,"Above 100%")</f>
        <v>50%-70%</v>
      </c>
      <c r="BD44" s="223">
        <f t="array" ref="BD44">Match($BD$2,{"Apr","May","Jun","Jul","Aug","Sep","Oct","Nov","Dec","Jan","Feb","Mar"},0)</f>
        <v>12</v>
      </c>
      <c r="BE44" s="323">
        <v>2166667.0</v>
      </c>
      <c r="BF44" s="157">
        <f t="shared" si="10"/>
        <v>0</v>
      </c>
      <c r="BG44" s="157" t="s">
        <v>1019</v>
      </c>
      <c r="BH44" s="324"/>
      <c r="BI44" s="324"/>
      <c r="BJ44" s="325"/>
      <c r="BK44" s="326">
        <v>200000.0</v>
      </c>
      <c r="BL44" s="326">
        <f t="shared" si="11"/>
        <v>2400000</v>
      </c>
      <c r="BM44" s="326">
        <f t="shared" si="12"/>
        <v>26000004</v>
      </c>
      <c r="BN44" s="326"/>
      <c r="BO44" s="327" t="str">
        <f>IFERROR(__xludf.DUMMYFUNCTION("IFERROR(ArrayFormula(SUM(VLOOKUP($C44,importrange(""1MwNMVzWE3QBVOyJjKr3eFX-Sq1Ng0Q1sghWJbgbE_8g"",""ORDER BOOKING REPORT 2024-25!C:CV""),{16,23,30},0))))"),"")</f>
        <v/>
      </c>
      <c r="BP44" s="327" t="str">
        <f>IFERROR(__xludf.DUMMYFUNCTION("IFERROR(ArrayFormula(SUM(VLOOKUP($C44,importrange(""1MwNMVzWE3QBVOyJjKr3eFX-Sq1Ng0Q1sghWJbgbE_8g"",""ORDER BOOKING REPORT 2024-25!C:CV""),{37,44,51},0))))"),"")</f>
        <v/>
      </c>
      <c r="BQ44" s="327" t="str">
        <f>IFERROR(__xludf.DUMMYFUNCTION("IFERROR(ArrayFormula(SUM(VLOOKUP($C44,importrange(""1MwNMVzWE3QBVOyJjKr3eFX-Sq1Ng0Q1sghWJbgbE_8g"",""ORDER BOOKING REPORT 2024-25!C:CV""),{58,65,72},0))))"),"")</f>
        <v/>
      </c>
      <c r="BR44" s="327" t="str">
        <f>IFERROR(__xludf.DUMMYFUNCTION("IFERROR(ArrayFormula(SUM(VLOOKUP($C44,importrange(""1MwNMVzWE3QBVOyJjKr3eFX-Sq1Ng0Q1sghWJbgbE_8g"",""ORDER BOOKING REPORT 2024-25!C:CV""),{79,86,93},0))))"),"")</f>
        <v/>
      </c>
      <c r="BS44" s="328">
        <f t="shared" si="13"/>
        <v>0.6132854826</v>
      </c>
      <c r="BT44" s="328">
        <f t="shared" si="14"/>
        <v>0.04020394565</v>
      </c>
      <c r="BU44" s="234">
        <f t="shared" si="15"/>
        <v>0</v>
      </c>
      <c r="BV44" s="329">
        <v>44000.0</v>
      </c>
      <c r="BW44" s="329" t="s">
        <v>1029</v>
      </c>
      <c r="BX44" s="329">
        <v>700.0</v>
      </c>
      <c r="BY44" s="234">
        <f t="shared" si="16"/>
        <v>0</v>
      </c>
      <c r="BZ44" s="234"/>
      <c r="CA44" s="234"/>
      <c r="CB44" s="234"/>
      <c r="CC44" s="234"/>
      <c r="CD44" s="234"/>
      <c r="CE44" s="234"/>
      <c r="CF44" s="234"/>
      <c r="CG44" s="234" t="str">
        <f t="shared" si="19"/>
        <v> </v>
      </c>
      <c r="CH44" s="234" t="str">
        <f t="shared" si="27"/>
        <v>Business Achieved 50%</v>
      </c>
      <c r="CI44" s="328">
        <f t="shared" si="20"/>
        <v>0.7654320988</v>
      </c>
      <c r="CJ44" s="339">
        <f>IFERROR(__xludf.DUMMYFUNCTION("""COMPUTED_VALUE"""),745.0)</f>
        <v>745</v>
      </c>
      <c r="CK44" s="339">
        <f>IFERROR(__xludf.DUMMYFUNCTION("""COMPUTED_VALUE"""),74.0)</f>
        <v>74</v>
      </c>
      <c r="CL44" s="339">
        <f>IFERROR(__xludf.DUMMYFUNCTION("""COMPUTED_VALUE"""),0.0)</f>
        <v>0</v>
      </c>
      <c r="CM44" s="331">
        <f t="shared" si="21"/>
        <v>0</v>
      </c>
      <c r="CN44" s="340"/>
      <c r="CO44" s="328"/>
      <c r="CP44" s="341"/>
      <c r="CQ44" s="344"/>
      <c r="CR44" s="328"/>
      <c r="CS44" s="328"/>
      <c r="CT44" s="328"/>
      <c r="CU44" s="328"/>
      <c r="CV44" s="328"/>
      <c r="CW44" s="328"/>
      <c r="CX44" s="288"/>
      <c r="CY44" s="328"/>
      <c r="CZ44" s="328"/>
    </row>
    <row r="45">
      <c r="A45" s="157" t="s">
        <v>298</v>
      </c>
      <c r="B45" s="157" t="s">
        <v>301</v>
      </c>
      <c r="C45" s="157" t="s">
        <v>355</v>
      </c>
      <c r="D45" s="157" t="s">
        <v>1066</v>
      </c>
      <c r="E45" s="157" t="s">
        <v>319</v>
      </c>
      <c r="F45" s="285">
        <v>44635.0</v>
      </c>
      <c r="G45" s="314">
        <v>0.0</v>
      </c>
      <c r="H45" s="314">
        <v>0.0</v>
      </c>
      <c r="I45" s="315">
        <v>0.0</v>
      </c>
      <c r="J45" s="315">
        <v>0.0</v>
      </c>
      <c r="K45" s="160">
        <v>116.0</v>
      </c>
      <c r="L45" s="160">
        <v>6.0</v>
      </c>
      <c r="M45" s="160">
        <v>1.0</v>
      </c>
      <c r="N45" s="160">
        <v>117.0</v>
      </c>
      <c r="O45" s="160">
        <v>111.0</v>
      </c>
      <c r="P45" s="315">
        <v>0.0</v>
      </c>
      <c r="Q45" s="315">
        <v>0.0</v>
      </c>
      <c r="R45" s="160">
        <v>0.0</v>
      </c>
      <c r="S45" s="160">
        <v>0.0</v>
      </c>
      <c r="T45" s="160">
        <v>0.0</v>
      </c>
      <c r="U45" s="160">
        <v>0.0</v>
      </c>
      <c r="V45" s="160">
        <v>0.0</v>
      </c>
      <c r="W45" s="160">
        <v>0.0</v>
      </c>
      <c r="X45" s="160">
        <v>128.0</v>
      </c>
      <c r="Y45" s="160">
        <v>0.0</v>
      </c>
      <c r="Z45" s="160">
        <v>0.0</v>
      </c>
      <c r="AA45" s="160">
        <v>0.0</v>
      </c>
      <c r="AB45" s="160">
        <v>0.0</v>
      </c>
      <c r="AC45" s="160">
        <v>0.0</v>
      </c>
      <c r="AD45" s="160">
        <v>0.0</v>
      </c>
      <c r="AE45" s="160">
        <v>9.0</v>
      </c>
      <c r="AF45" s="160">
        <v>9.0</v>
      </c>
      <c r="AG45" s="160">
        <v>3.0</v>
      </c>
      <c r="AH45" s="314">
        <f t="shared" si="2"/>
        <v>0</v>
      </c>
      <c r="AI45" s="314">
        <f t="shared" si="3"/>
        <v>3</v>
      </c>
      <c r="AJ45" s="346">
        <v>38000.0</v>
      </c>
      <c r="AK45" s="314">
        <f t="shared" si="35"/>
        <v>8740</v>
      </c>
      <c r="AL45" s="317"/>
      <c r="AM45" s="318" t="str">
        <f t="shared" si="5"/>
        <v/>
      </c>
      <c r="AN45" s="314" t="str">
        <f t="shared" si="6"/>
        <v/>
      </c>
      <c r="AO45" s="286" t="s">
        <v>972</v>
      </c>
      <c r="AP45" s="319">
        <v>0.0</v>
      </c>
      <c r="AQ45" s="160">
        <v>0.0</v>
      </c>
      <c r="AR45" s="160">
        <v>24.0</v>
      </c>
      <c r="AS45" s="160">
        <v>0.0</v>
      </c>
      <c r="AT45" s="160">
        <v>0.0</v>
      </c>
      <c r="AU45" s="160">
        <v>0.0</v>
      </c>
      <c r="AV45" s="320">
        <v>0.0</v>
      </c>
      <c r="AW45" s="320">
        <v>6.0</v>
      </c>
      <c r="AX45" s="320">
        <v>111.0</v>
      </c>
      <c r="AY45" s="321">
        <f>iferror(VLOOKUP(C45,'ORDER BOOKING REPORT 2025-26'!C:O,13,0),"")</f>
        <v>0</v>
      </c>
      <c r="AZ45" s="345">
        <v>45754.0</v>
      </c>
      <c r="BA45" s="157" t="str">
        <f t="shared" si="7"/>
        <v>LEFT</v>
      </c>
      <c r="BB45" s="157" t="str">
        <f t="shared" si="8"/>
        <v>Old</v>
      </c>
      <c r="BC45" s="160" t="s">
        <v>972</v>
      </c>
      <c r="BD45" s="223">
        <v>0.23</v>
      </c>
      <c r="BE45" s="323"/>
      <c r="BF45" s="157">
        <f t="shared" si="10"/>
        <v>1</v>
      </c>
      <c r="BG45" s="157" t="s">
        <v>1019</v>
      </c>
      <c r="BH45" s="324"/>
      <c r="BI45" s="324"/>
      <c r="BJ45" s="343">
        <f>7/30</f>
        <v>0.2333333333</v>
      </c>
      <c r="BK45" s="347"/>
      <c r="BL45" s="326">
        <f t="shared" si="11"/>
        <v>0</v>
      </c>
      <c r="BM45" s="326">
        <f t="shared" si="12"/>
        <v>0</v>
      </c>
      <c r="BN45" s="326"/>
      <c r="BO45" s="327" t="str">
        <f>IFERROR(__xludf.DUMMYFUNCTION("IFERROR(ArrayFormula(SUM(VLOOKUP($C45,importrange(""1MwNMVzWE3QBVOyJjKr3eFX-Sq1Ng0Q1sghWJbgbE_8g"",""ORDER BOOKING REPORT 2024-25!C:CV""),{16,23,30},0))))"),"")</f>
        <v/>
      </c>
      <c r="BP45" s="327" t="str">
        <f>IFERROR(__xludf.DUMMYFUNCTION("IFERROR(ArrayFormula(SUM(VLOOKUP($C45,importrange(""1MwNMVzWE3QBVOyJjKr3eFX-Sq1Ng0Q1sghWJbgbE_8g"",""ORDER BOOKING REPORT 2024-25!C:CV""),{37,44,51},0))))"),"")</f>
        <v/>
      </c>
      <c r="BQ45" s="327" t="str">
        <f>IFERROR(__xludf.DUMMYFUNCTION("IFERROR(ArrayFormula(SUM(VLOOKUP($C45,importrange(""1MwNMVzWE3QBVOyJjKr3eFX-Sq1Ng0Q1sghWJbgbE_8g"",""ORDER BOOKING REPORT 2024-25!C:CV""),{58,65,72},0))))"),"")</f>
        <v/>
      </c>
      <c r="BR45" s="327" t="str">
        <f>IFERROR(__xludf.DUMMYFUNCTION("IFERROR(ArrayFormula(SUM(VLOOKUP($C45,importrange(""1MwNMVzWE3QBVOyJjKr3eFX-Sq1Ng0Q1sghWJbgbE_8g"",""ORDER BOOKING REPORT 2024-25!C:CV""),{79,86,93},0))))"),"")</f>
        <v/>
      </c>
      <c r="BS45" s="328" t="str">
        <f t="shared" si="13"/>
        <v/>
      </c>
      <c r="BT45" s="328" t="str">
        <f t="shared" si="14"/>
        <v/>
      </c>
      <c r="BU45" s="234">
        <f t="shared" si="15"/>
        <v>0</v>
      </c>
      <c r="BV45" s="329"/>
      <c r="BW45" s="329"/>
      <c r="BX45" s="329"/>
      <c r="BY45" s="234">
        <f t="shared" si="16"/>
        <v>-38000</v>
      </c>
      <c r="BZ45" s="234"/>
      <c r="CA45" s="234"/>
      <c r="CB45" s="234"/>
      <c r="CC45" s="234"/>
      <c r="CD45" s="234"/>
      <c r="CE45" s="234"/>
      <c r="CF45" s="234"/>
      <c r="CG45" s="234" t="str">
        <f t="shared" si="19"/>
        <v> </v>
      </c>
      <c r="CH45" s="234" t="str">
        <f t="shared" si="27"/>
        <v>Not 50%</v>
      </c>
      <c r="CI45" s="328">
        <f t="shared" si="20"/>
        <v>0</v>
      </c>
      <c r="CJ45" s="330"/>
      <c r="CK45" s="330"/>
      <c r="CL45" s="330"/>
      <c r="CM45" s="331">
        <f t="shared" si="21"/>
        <v>9</v>
      </c>
      <c r="CN45" s="337"/>
      <c r="CO45" s="160"/>
      <c r="CP45" s="334"/>
      <c r="CQ45" s="335"/>
      <c r="CR45" s="160"/>
      <c r="CS45" s="160"/>
      <c r="CT45" s="160"/>
      <c r="CU45" s="160"/>
      <c r="CV45" s="160"/>
      <c r="CW45" s="335"/>
      <c r="CX45" s="288"/>
      <c r="CY45" s="160"/>
      <c r="CZ45" s="160"/>
    </row>
    <row r="46">
      <c r="A46" s="157" t="s">
        <v>126</v>
      </c>
      <c r="B46" s="157" t="s">
        <v>135</v>
      </c>
      <c r="C46" s="157" t="s">
        <v>148</v>
      </c>
      <c r="D46" s="157" t="s">
        <v>1042</v>
      </c>
      <c r="E46" s="157" t="s">
        <v>149</v>
      </c>
      <c r="F46" s="285">
        <v>44662.0</v>
      </c>
      <c r="G46" s="314">
        <v>1200000.0</v>
      </c>
      <c r="H46" s="314">
        <v>1.9599996E7</v>
      </c>
      <c r="I46" s="315">
        <v>1.064223983E7</v>
      </c>
      <c r="J46" s="315">
        <v>0.0</v>
      </c>
      <c r="K46" s="160">
        <v>52.0</v>
      </c>
      <c r="L46" s="160">
        <v>64.0</v>
      </c>
      <c r="M46" s="160">
        <v>16.0</v>
      </c>
      <c r="N46" s="160">
        <v>68.0</v>
      </c>
      <c r="O46" s="160">
        <v>4.0</v>
      </c>
      <c r="P46" s="315">
        <v>8957819.57</v>
      </c>
      <c r="Q46" s="315">
        <v>1684420.26</v>
      </c>
      <c r="R46" s="160">
        <v>29.0</v>
      </c>
      <c r="S46" s="160">
        <v>16.0</v>
      </c>
      <c r="T46" s="160">
        <v>45.0</v>
      </c>
      <c r="U46" s="160">
        <v>0.0</v>
      </c>
      <c r="V46" s="160">
        <v>240.0</v>
      </c>
      <c r="W46" s="160">
        <v>457.0</v>
      </c>
      <c r="X46" s="160">
        <v>259.0</v>
      </c>
      <c r="Y46" s="160">
        <v>1.0</v>
      </c>
      <c r="Z46" s="160">
        <v>44.0</v>
      </c>
      <c r="AA46" s="160">
        <v>1.0</v>
      </c>
      <c r="AB46" s="160">
        <v>2.0</v>
      </c>
      <c r="AC46" s="160">
        <v>2.0</v>
      </c>
      <c r="AD46" s="160">
        <v>7.0</v>
      </c>
      <c r="AE46" s="160">
        <v>710.0</v>
      </c>
      <c r="AF46" s="160">
        <v>1220.0</v>
      </c>
      <c r="AG46" s="160">
        <v>261.0</v>
      </c>
      <c r="AH46" s="314">
        <f t="shared" si="2"/>
        <v>40774.86525</v>
      </c>
      <c r="AI46" s="314">
        <f t="shared" si="3"/>
        <v>4.674329502</v>
      </c>
      <c r="AJ46" s="316">
        <f t="shared" ref="AJ46:AJ48" si="42">BV46</f>
        <v>51950</v>
      </c>
      <c r="AK46" s="314">
        <f t="shared" si="35"/>
        <v>623400</v>
      </c>
      <c r="AL46" s="286">
        <v>186006.0</v>
      </c>
      <c r="AM46" s="318">
        <f t="shared" si="5"/>
        <v>0.07605598191</v>
      </c>
      <c r="AN46" s="314">
        <f t="shared" si="6"/>
        <v>236494.2184</v>
      </c>
      <c r="AO46" s="336">
        <f t="shared" ref="AO46:AO63" si="43">iferror(sum(I46:J46)/Sum(G46:H46),"")</f>
        <v>0.5116462441</v>
      </c>
      <c r="AP46" s="319">
        <v>0.0</v>
      </c>
      <c r="AQ46" s="160">
        <v>181.0</v>
      </c>
      <c r="AR46" s="160">
        <v>1967.0</v>
      </c>
      <c r="AS46" s="160">
        <v>2845.85</v>
      </c>
      <c r="AT46" s="160">
        <v>16.0</v>
      </c>
      <c r="AU46" s="160">
        <v>44.0</v>
      </c>
      <c r="AV46" s="320">
        <v>45.0</v>
      </c>
      <c r="AW46" s="320">
        <v>21.0</v>
      </c>
      <c r="AX46" s="320">
        <v>2.0</v>
      </c>
      <c r="AY46" s="321">
        <f>iferror(VLOOKUP(C46,'ORDER BOOKING REPORT 2025-26'!C:O,13,0),"")</f>
        <v>11184983.38</v>
      </c>
      <c r="AZ46" s="322"/>
      <c r="BA46" s="157" t="str">
        <f t="shared" si="7"/>
        <v>Active</v>
      </c>
      <c r="BB46" s="157" t="str">
        <f t="shared" si="8"/>
        <v>Old</v>
      </c>
      <c r="BC46" s="157" t="str">
        <f t="shared" ref="BC46:BC63" si="44">IFS(AO46&lt;50%,"Below 50%",AO46&lt;70%,"50%-70%",AO46&lt;90%,"70%-90%",AO46&lt;100%,"90%-100%",AO46&gt;100%,"Above 100%")</f>
        <v>50%-70%</v>
      </c>
      <c r="BD46" s="223">
        <f t="shared" ref="BD46:BD50" si="45">Match($BD$2,{"Apr","May","Jun","Jul","Aug","Sep","Oct","Nov","Dec","Jan","Feb","Mar"},0)</f>
        <v>12</v>
      </c>
      <c r="BE46" s="323">
        <v>1733333.0</v>
      </c>
      <c r="BF46" s="157">
        <f t="shared" si="10"/>
        <v>0</v>
      </c>
      <c r="BG46" s="157" t="s">
        <v>1019</v>
      </c>
      <c r="BH46" s="324"/>
      <c r="BI46" s="324"/>
      <c r="BJ46" s="325"/>
      <c r="BK46" s="326">
        <v>100000.0</v>
      </c>
      <c r="BL46" s="326">
        <f t="shared" si="11"/>
        <v>1200000</v>
      </c>
      <c r="BM46" s="326">
        <f t="shared" si="12"/>
        <v>20799996</v>
      </c>
      <c r="BN46" s="326"/>
      <c r="BO46" s="327" t="str">
        <f>IFERROR(__xludf.DUMMYFUNCTION("IFERROR(ArrayFormula(SUM(VLOOKUP($C46,importrange(""1MwNMVzWE3QBVOyJjKr3eFX-Sq1Ng0Q1sghWJbgbE_8g"",""ORDER BOOKING REPORT 2024-25!C:CV""),{16,23,30},0))))"),"")</f>
        <v/>
      </c>
      <c r="BP46" s="327" t="str">
        <f>IFERROR(__xludf.DUMMYFUNCTION("IFERROR(ArrayFormula(SUM(VLOOKUP($C46,importrange(""1MwNMVzWE3QBVOyJjKr3eFX-Sq1Ng0Q1sghWJbgbE_8g"",""ORDER BOOKING REPORT 2024-25!C:CV""),{37,44,51},0))))"),"")</f>
        <v/>
      </c>
      <c r="BQ46" s="327" t="str">
        <f>IFERROR(__xludf.DUMMYFUNCTION("IFERROR(ArrayFormula(SUM(VLOOKUP($C46,importrange(""1MwNMVzWE3QBVOyJjKr3eFX-Sq1Ng0Q1sghWJbgbE_8g"",""ORDER BOOKING REPORT 2024-25!C:CV""),{58,65,72},0))))"),"")</f>
        <v/>
      </c>
      <c r="BR46" s="327" t="str">
        <f>IFERROR(__xludf.DUMMYFUNCTION("IFERROR(ArrayFormula(SUM(VLOOKUP($C46,importrange(""1MwNMVzWE3QBVOyJjKr3eFX-Sq1Ng0Q1sghWJbgbE_8g"",""ORDER BOOKING REPORT 2024-25!C:CV""),{79,86,93},0))))"),"")</f>
        <v/>
      </c>
      <c r="BS46" s="328">
        <f t="shared" si="13"/>
        <v>0.537739689</v>
      </c>
      <c r="BT46" s="328">
        <f t="shared" si="14"/>
        <v>0.07236541821</v>
      </c>
      <c r="BU46" s="234">
        <f t="shared" si="15"/>
        <v>0</v>
      </c>
      <c r="BV46" s="329">
        <v>51950.0</v>
      </c>
      <c r="BW46" s="329" t="s">
        <v>1020</v>
      </c>
      <c r="BX46" s="329">
        <v>752.0</v>
      </c>
      <c r="BY46" s="234">
        <f t="shared" si="16"/>
        <v>0</v>
      </c>
      <c r="BZ46" s="234"/>
      <c r="CA46" s="234"/>
      <c r="CB46" s="234"/>
      <c r="CC46" s="234"/>
      <c r="CD46" s="234"/>
      <c r="CE46" s="234"/>
      <c r="CF46" s="234"/>
      <c r="CG46" s="234" t="str">
        <f t="shared" si="19"/>
        <v> </v>
      </c>
      <c r="CH46" s="234" t="str">
        <f t="shared" si="27"/>
        <v>Business Achieved 50%</v>
      </c>
      <c r="CI46" s="328">
        <f t="shared" si="20"/>
        <v>0.6617647059</v>
      </c>
      <c r="CJ46" s="339">
        <f>IFERROR(__xludf.DUMMYFUNCTION("""COMPUTED_VALUE"""),667.0)</f>
        <v>667</v>
      </c>
      <c r="CK46" s="339">
        <f>IFERROR(__xludf.DUMMYFUNCTION("""COMPUTED_VALUE"""),43.0)</f>
        <v>43</v>
      </c>
      <c r="CL46" s="339">
        <f>IFERROR(__xludf.DUMMYFUNCTION("""COMPUTED_VALUE"""),0.0)</f>
        <v>0</v>
      </c>
      <c r="CM46" s="331">
        <f t="shared" si="21"/>
        <v>0</v>
      </c>
      <c r="CN46" s="340"/>
      <c r="CO46" s="328"/>
      <c r="CP46" s="341"/>
      <c r="CQ46" s="344"/>
      <c r="CR46" s="328"/>
      <c r="CS46" s="328"/>
      <c r="CT46" s="328"/>
      <c r="CU46" s="328"/>
      <c r="CV46" s="328"/>
      <c r="CW46" s="328"/>
      <c r="CX46" s="288"/>
      <c r="CY46" s="328"/>
      <c r="CZ46" s="328"/>
    </row>
    <row r="47">
      <c r="A47" s="157" t="s">
        <v>73</v>
      </c>
      <c r="B47" s="157" t="s">
        <v>76</v>
      </c>
      <c r="C47" s="157" t="s">
        <v>74</v>
      </c>
      <c r="D47" s="157" t="s">
        <v>76</v>
      </c>
      <c r="E47" s="157" t="s">
        <v>1069</v>
      </c>
      <c r="F47" s="342">
        <v>44684.0</v>
      </c>
      <c r="G47" s="314">
        <v>3999996.0</v>
      </c>
      <c r="H47" s="314">
        <v>2.4E7</v>
      </c>
      <c r="I47" s="315">
        <v>1.253355992E7</v>
      </c>
      <c r="J47" s="315">
        <v>448818.22</v>
      </c>
      <c r="K47" s="160">
        <v>29.0</v>
      </c>
      <c r="L47" s="160">
        <v>26.0</v>
      </c>
      <c r="M47" s="160">
        <v>1.0</v>
      </c>
      <c r="N47" s="160">
        <v>30.0</v>
      </c>
      <c r="O47" s="160">
        <v>4.0</v>
      </c>
      <c r="P47" s="315">
        <v>1.247511022E7</v>
      </c>
      <c r="Q47" s="315">
        <v>58449.7</v>
      </c>
      <c r="R47" s="160">
        <v>17.0</v>
      </c>
      <c r="S47" s="160">
        <v>1.0</v>
      </c>
      <c r="T47" s="160">
        <v>18.0</v>
      </c>
      <c r="U47" s="160">
        <v>1.0</v>
      </c>
      <c r="V47" s="160">
        <v>6.0</v>
      </c>
      <c r="W47" s="160">
        <v>7.0</v>
      </c>
      <c r="X47" s="160">
        <v>106.0</v>
      </c>
      <c r="Y47" s="160">
        <v>5.0</v>
      </c>
      <c r="Z47" s="160">
        <v>123.0</v>
      </c>
      <c r="AA47" s="160">
        <v>1.0</v>
      </c>
      <c r="AB47" s="160">
        <v>30.0</v>
      </c>
      <c r="AC47" s="160">
        <v>0.0</v>
      </c>
      <c r="AD47" s="160">
        <v>0.0</v>
      </c>
      <c r="AE47" s="160">
        <v>825.0</v>
      </c>
      <c r="AF47" s="160">
        <v>985.0</v>
      </c>
      <c r="AG47" s="160">
        <v>276.0</v>
      </c>
      <c r="AH47" s="314">
        <f t="shared" si="2"/>
        <v>47037.60196</v>
      </c>
      <c r="AI47" s="314">
        <f t="shared" si="3"/>
        <v>3.56884058</v>
      </c>
      <c r="AJ47" s="316">
        <f t="shared" si="42"/>
        <v>43505</v>
      </c>
      <c r="AK47" s="314">
        <f t="shared" si="35"/>
        <v>522060</v>
      </c>
      <c r="AL47" s="286">
        <v>182199.0</v>
      </c>
      <c r="AM47" s="318">
        <f t="shared" si="5"/>
        <v>0.05424730295</v>
      </c>
      <c r="AN47" s="314">
        <f t="shared" si="6"/>
        <v>696308.8844</v>
      </c>
      <c r="AO47" s="336">
        <f t="shared" si="43"/>
        <v>0.4636564284</v>
      </c>
      <c r="AP47" s="319">
        <v>0.54</v>
      </c>
      <c r="AQ47" s="160">
        <v>92.0</v>
      </c>
      <c r="AR47" s="160">
        <v>21.0</v>
      </c>
      <c r="AS47" s="160">
        <v>0.0</v>
      </c>
      <c r="AT47" s="160">
        <v>1.0</v>
      </c>
      <c r="AU47" s="160">
        <v>0.0</v>
      </c>
      <c r="AV47" s="320">
        <v>18.0</v>
      </c>
      <c r="AW47" s="320">
        <v>2.0</v>
      </c>
      <c r="AX47" s="320">
        <v>12.0</v>
      </c>
      <c r="AY47" s="321">
        <f>iferror(VLOOKUP(C47,'ORDER BOOKING REPORT 2025-26'!C:O,13,0),"")</f>
        <v>12136994</v>
      </c>
      <c r="AZ47" s="322"/>
      <c r="BA47" s="157" t="str">
        <f t="shared" si="7"/>
        <v>Active</v>
      </c>
      <c r="BB47" s="157" t="str">
        <f t="shared" si="8"/>
        <v>Old</v>
      </c>
      <c r="BC47" s="157" t="str">
        <f t="shared" si="44"/>
        <v>Below 50%</v>
      </c>
      <c r="BD47" s="223">
        <f t="shared" si="45"/>
        <v>12</v>
      </c>
      <c r="BE47" s="323">
        <v>2333333.0</v>
      </c>
      <c r="BF47" s="157">
        <f t="shared" si="10"/>
        <v>0</v>
      </c>
      <c r="BG47" s="157" t="s">
        <v>1019</v>
      </c>
      <c r="BH47" s="324"/>
      <c r="BI47" s="324"/>
      <c r="BJ47" s="325"/>
      <c r="BK47" s="326">
        <v>333333.0</v>
      </c>
      <c r="BL47" s="326">
        <f t="shared" si="11"/>
        <v>3999996</v>
      </c>
      <c r="BM47" s="326">
        <f t="shared" si="12"/>
        <v>27999996</v>
      </c>
      <c r="BN47" s="326"/>
      <c r="BO47" s="327" t="str">
        <f>IFERROR(__xludf.DUMMYFUNCTION("IFERROR(ArrayFormula(SUM(VLOOKUP($C47,importrange(""1MwNMVzWE3QBVOyJjKr3eFX-Sq1Ng0Q1sghWJbgbE_8g"",""ORDER BOOKING REPORT 2024-25!C:CV""),{16,23,30},0))))"),"")</f>
        <v/>
      </c>
      <c r="BP47" s="327" t="str">
        <f>IFERROR(__xludf.DUMMYFUNCTION("IFERROR(ArrayFormula(SUM(VLOOKUP($C47,importrange(""1MwNMVzWE3QBVOyJjKr3eFX-Sq1Ng0Q1sghWJbgbE_8g"",""ORDER BOOKING REPORT 2024-25!C:CV""),{37,44,51},0))))"),"")</f>
        <v/>
      </c>
      <c r="BQ47" s="327" t="str">
        <f>IFERROR(__xludf.DUMMYFUNCTION("IFERROR(ArrayFormula(SUM(VLOOKUP($C47,importrange(""1MwNMVzWE3QBVOyJjKr3eFX-Sq1Ng0Q1sghWJbgbE_8g"",""ORDER BOOKING REPORT 2024-25!C:CV""),{58,65,72},0))))"),"")</f>
        <v/>
      </c>
      <c r="BR47" s="327" t="str">
        <f>IFERROR(__xludf.DUMMYFUNCTION("IFERROR(ArrayFormula(SUM(VLOOKUP($C47,importrange(""1MwNMVzWE3QBVOyJjKr3eFX-Sq1Ng0Q1sghWJbgbE_8g"",""ORDER BOOKING REPORT 2024-25!C:CV""),{79,86,93},0))))"),"")</f>
        <v/>
      </c>
      <c r="BS47" s="328">
        <f t="shared" si="13"/>
        <v>0.4334641334</v>
      </c>
      <c r="BT47" s="328">
        <f t="shared" si="14"/>
        <v>0.0580258176</v>
      </c>
      <c r="BU47" s="234">
        <f t="shared" si="15"/>
        <v>0</v>
      </c>
      <c r="BV47" s="329">
        <v>43505.0</v>
      </c>
      <c r="BW47" s="329" t="s">
        <v>1020</v>
      </c>
      <c r="BX47" s="329">
        <v>761.0</v>
      </c>
      <c r="BY47" s="234">
        <f t="shared" si="16"/>
        <v>0</v>
      </c>
      <c r="BZ47" s="234"/>
      <c r="CA47" s="234"/>
      <c r="CB47" s="234"/>
      <c r="CC47" s="234"/>
      <c r="CD47" s="234"/>
      <c r="CE47" s="234"/>
      <c r="CF47" s="234"/>
      <c r="CG47" s="234" t="str">
        <f t="shared" si="19"/>
        <v>Below 60</v>
      </c>
      <c r="CH47" s="234" t="str">
        <f t="shared" si="27"/>
        <v>Business Achieved 50%</v>
      </c>
      <c r="CI47" s="328">
        <f t="shared" si="20"/>
        <v>0.6</v>
      </c>
      <c r="CJ47" s="339">
        <f>IFERROR(__xludf.DUMMYFUNCTION("""COMPUTED_VALUE"""),683.0)</f>
        <v>683</v>
      </c>
      <c r="CK47" s="339">
        <f>IFERROR(__xludf.DUMMYFUNCTION("""COMPUTED_VALUE"""),142.0)</f>
        <v>142</v>
      </c>
      <c r="CL47" s="339">
        <f>IFERROR(__xludf.DUMMYFUNCTION("""COMPUTED_VALUE"""),0.0)</f>
        <v>0</v>
      </c>
      <c r="CM47" s="331">
        <f t="shared" si="21"/>
        <v>0</v>
      </c>
      <c r="CN47" s="340"/>
      <c r="CO47" s="328"/>
      <c r="CP47" s="341"/>
      <c r="CQ47" s="344"/>
      <c r="CR47" s="328"/>
      <c r="CS47" s="328"/>
      <c r="CT47" s="328"/>
      <c r="CU47" s="328"/>
      <c r="CV47" s="328"/>
      <c r="CW47" s="328"/>
      <c r="CX47" s="288"/>
      <c r="CY47" s="328"/>
      <c r="CZ47" s="328"/>
    </row>
    <row r="48">
      <c r="A48" s="157" t="s">
        <v>97</v>
      </c>
      <c r="B48" s="157" t="s">
        <v>101</v>
      </c>
      <c r="C48" s="157" t="s">
        <v>99</v>
      </c>
      <c r="D48" s="157" t="s">
        <v>1062</v>
      </c>
      <c r="E48" s="157" t="s">
        <v>100</v>
      </c>
      <c r="F48" s="349">
        <v>44693.0</v>
      </c>
      <c r="G48" s="314">
        <v>0.0</v>
      </c>
      <c r="H48" s="314">
        <v>1.586E7</v>
      </c>
      <c r="I48" s="315">
        <v>1.193478338E7</v>
      </c>
      <c r="J48" s="315">
        <v>0.0</v>
      </c>
      <c r="K48" s="160">
        <v>74.0</v>
      </c>
      <c r="L48" s="160">
        <v>70.0</v>
      </c>
      <c r="M48" s="160">
        <v>8.0</v>
      </c>
      <c r="N48" s="160">
        <v>82.0</v>
      </c>
      <c r="O48" s="160">
        <v>12.0</v>
      </c>
      <c r="P48" s="315">
        <v>1.159276058E7</v>
      </c>
      <c r="Q48" s="315">
        <v>342022.8</v>
      </c>
      <c r="R48" s="160">
        <v>40.0</v>
      </c>
      <c r="S48" s="160">
        <v>3.0</v>
      </c>
      <c r="T48" s="160">
        <v>43.0</v>
      </c>
      <c r="U48" s="160">
        <v>0.0</v>
      </c>
      <c r="V48" s="160">
        <v>24.0</v>
      </c>
      <c r="W48" s="160">
        <v>84.0</v>
      </c>
      <c r="X48" s="160">
        <v>35.0</v>
      </c>
      <c r="Y48" s="160">
        <v>1.0</v>
      </c>
      <c r="Z48" s="160">
        <v>20.0</v>
      </c>
      <c r="AA48" s="160">
        <v>0.0</v>
      </c>
      <c r="AB48" s="160">
        <v>0.0</v>
      </c>
      <c r="AC48" s="160">
        <v>0.0</v>
      </c>
      <c r="AD48" s="160">
        <v>0.0</v>
      </c>
      <c r="AE48" s="160">
        <v>1284.0</v>
      </c>
      <c r="AF48" s="160">
        <v>1388.0</v>
      </c>
      <c r="AG48" s="160">
        <v>279.0</v>
      </c>
      <c r="AH48" s="314">
        <f t="shared" si="2"/>
        <v>42777.00136</v>
      </c>
      <c r="AI48" s="314">
        <f t="shared" si="3"/>
        <v>4.974910394</v>
      </c>
      <c r="AJ48" s="316">
        <f t="shared" si="42"/>
        <v>32890</v>
      </c>
      <c r="AK48" s="314">
        <f t="shared" si="35"/>
        <v>394680</v>
      </c>
      <c r="AL48" s="286">
        <v>123742.0</v>
      </c>
      <c r="AM48" s="318">
        <f t="shared" si="5"/>
        <v>0.04343790612</v>
      </c>
      <c r="AN48" s="314">
        <f t="shared" si="6"/>
        <v>277553.1019</v>
      </c>
      <c r="AO48" s="336">
        <f t="shared" si="43"/>
        <v>0.7525084098</v>
      </c>
      <c r="AP48" s="319">
        <v>0.0</v>
      </c>
      <c r="AQ48" s="160">
        <v>222.0</v>
      </c>
      <c r="AR48" s="160">
        <v>2641.0</v>
      </c>
      <c r="AS48" s="160">
        <v>2022.17</v>
      </c>
      <c r="AT48" s="160">
        <v>3.0</v>
      </c>
      <c r="AU48" s="160">
        <v>29.0</v>
      </c>
      <c r="AV48" s="320">
        <v>43.0</v>
      </c>
      <c r="AW48" s="320">
        <v>28.0</v>
      </c>
      <c r="AX48" s="320">
        <v>11.0</v>
      </c>
      <c r="AY48" s="321">
        <f>iferror(VLOOKUP(C48,'ORDER BOOKING REPORT 2025-26'!C:O,13,0),"")</f>
        <v>11356336</v>
      </c>
      <c r="AZ48" s="322"/>
      <c r="BA48" s="157" t="str">
        <f t="shared" si="7"/>
        <v>Active</v>
      </c>
      <c r="BB48" s="157" t="str">
        <f t="shared" si="8"/>
        <v>Old</v>
      </c>
      <c r="BC48" s="157" t="str">
        <f t="shared" si="44"/>
        <v>70%-90%</v>
      </c>
      <c r="BD48" s="223">
        <f t="shared" si="45"/>
        <v>12</v>
      </c>
      <c r="BE48" s="326">
        <v>1333333.333</v>
      </c>
      <c r="BF48" s="157">
        <f t="shared" si="10"/>
        <v>5</v>
      </c>
      <c r="BG48" s="157" t="s">
        <v>1019</v>
      </c>
      <c r="BH48" s="324"/>
      <c r="BI48" s="324"/>
      <c r="BJ48" s="325"/>
      <c r="BK48" s="326"/>
      <c r="BL48" s="326">
        <f t="shared" si="11"/>
        <v>0</v>
      </c>
      <c r="BM48" s="326">
        <f t="shared" si="12"/>
        <v>15860000</v>
      </c>
      <c r="BN48" s="326"/>
      <c r="BO48" s="327" t="str">
        <f>IFERROR(__xludf.DUMMYFUNCTION("IFERROR(ArrayFormula(SUM(VLOOKUP($C48,importrange(""1MwNMVzWE3QBVOyJjKr3eFX-Sq1Ng0Q1sghWJbgbE_8g"",""ORDER BOOKING REPORT 2024-25!C:CV""),{16,23,30},0))))"),"")</f>
        <v/>
      </c>
      <c r="BP48" s="327" t="str">
        <f>IFERROR(__xludf.DUMMYFUNCTION("IFERROR(ArrayFormula(SUM(VLOOKUP($C48,importrange(""1MwNMVzWE3QBVOyJjKr3eFX-Sq1Ng0Q1sghWJbgbE_8g"",""ORDER BOOKING REPORT 2024-25!C:CV""),{37,44,51},0))))"),"")</f>
        <v/>
      </c>
      <c r="BQ48" s="327" t="str">
        <f>IFERROR(__xludf.DUMMYFUNCTION("IFERROR(ArrayFormula(SUM(VLOOKUP($C48,importrange(""1MwNMVzWE3QBVOyJjKr3eFX-Sq1Ng0Q1sghWJbgbE_8g"",""ORDER BOOKING REPORT 2024-25!C:CV""),{58,65,72},0))))"),"")</f>
        <v/>
      </c>
      <c r="BR48" s="327" t="str">
        <f>IFERROR(__xludf.DUMMYFUNCTION("IFERROR(ArrayFormula(SUM(VLOOKUP($C48,importrange(""1MwNMVzWE3QBVOyJjKr3eFX-Sq1Ng0Q1sghWJbgbE_8g"",""ORDER BOOKING REPORT 2024-25!C:CV""),{79,86,93},0))))"),"")</f>
        <v/>
      </c>
      <c r="BS48" s="328">
        <f t="shared" si="13"/>
        <v>0.7160363178</v>
      </c>
      <c r="BT48" s="328">
        <f t="shared" si="14"/>
        <v>0.04565046332</v>
      </c>
      <c r="BU48" s="234">
        <f t="shared" si="15"/>
        <v>0</v>
      </c>
      <c r="BV48" s="329">
        <v>32890.0</v>
      </c>
      <c r="BW48" s="329" t="s">
        <v>1045</v>
      </c>
      <c r="BX48" s="329">
        <v>880.0</v>
      </c>
      <c r="BY48" s="234">
        <f t="shared" si="16"/>
        <v>0</v>
      </c>
      <c r="BZ48" s="234"/>
      <c r="CA48" s="234"/>
      <c r="CB48" s="234"/>
      <c r="CC48" s="234"/>
      <c r="CD48" s="234"/>
      <c r="CE48" s="234"/>
      <c r="CF48" s="234"/>
      <c r="CG48" s="234" t="str">
        <f t="shared" si="19"/>
        <v> </v>
      </c>
      <c r="CH48" s="234" t="str">
        <f t="shared" si="27"/>
        <v>Business Achieved 50%</v>
      </c>
      <c r="CI48" s="328">
        <f t="shared" si="20"/>
        <v>0.5243902439</v>
      </c>
      <c r="CJ48" s="339">
        <f>IFERROR(__xludf.DUMMYFUNCTION("""COMPUTED_VALUE"""),983.0)</f>
        <v>983</v>
      </c>
      <c r="CK48" s="339">
        <f>IFERROR(__xludf.DUMMYFUNCTION("""COMPUTED_VALUE"""),301.0)</f>
        <v>301</v>
      </c>
      <c r="CL48" s="339">
        <f>IFERROR(__xludf.DUMMYFUNCTION("""COMPUTED_VALUE"""),0.0)</f>
        <v>0</v>
      </c>
      <c r="CM48" s="331">
        <f t="shared" si="21"/>
        <v>0</v>
      </c>
      <c r="CN48" s="340"/>
      <c r="CO48" s="328"/>
      <c r="CP48" s="341"/>
      <c r="CQ48" s="344"/>
      <c r="CR48" s="328"/>
      <c r="CS48" s="328"/>
      <c r="CT48" s="328"/>
      <c r="CU48" s="328"/>
      <c r="CV48" s="328"/>
      <c r="CW48" s="328"/>
      <c r="CX48" s="288"/>
      <c r="CY48" s="328"/>
      <c r="CZ48" s="328"/>
    </row>
    <row r="49">
      <c r="A49" s="157" t="s">
        <v>298</v>
      </c>
      <c r="B49" s="157" t="s">
        <v>301</v>
      </c>
      <c r="C49" s="157" t="s">
        <v>304</v>
      </c>
      <c r="D49" s="157" t="s">
        <v>1066</v>
      </c>
      <c r="E49" s="157" t="s">
        <v>305</v>
      </c>
      <c r="F49" s="349">
        <v>44697.0</v>
      </c>
      <c r="G49" s="314">
        <v>0.0</v>
      </c>
      <c r="H49" s="314">
        <v>1.44E7</v>
      </c>
      <c r="I49" s="315">
        <v>9167160.24</v>
      </c>
      <c r="J49" s="315">
        <v>0.0</v>
      </c>
      <c r="K49" s="160">
        <v>76.0</v>
      </c>
      <c r="L49" s="160">
        <v>71.0</v>
      </c>
      <c r="M49" s="160">
        <v>6.0</v>
      </c>
      <c r="N49" s="160">
        <v>82.0</v>
      </c>
      <c r="O49" s="160">
        <v>11.0</v>
      </c>
      <c r="P49" s="315">
        <v>8565519.14</v>
      </c>
      <c r="Q49" s="315">
        <v>601641.1</v>
      </c>
      <c r="R49" s="160">
        <v>36.0</v>
      </c>
      <c r="S49" s="160">
        <v>6.0</v>
      </c>
      <c r="T49" s="160">
        <v>42.0</v>
      </c>
      <c r="U49" s="160">
        <v>0.0</v>
      </c>
      <c r="V49" s="160">
        <v>51.0</v>
      </c>
      <c r="W49" s="160">
        <v>65.0</v>
      </c>
      <c r="X49" s="160">
        <v>244.0</v>
      </c>
      <c r="Y49" s="160">
        <v>3.0</v>
      </c>
      <c r="Z49" s="160">
        <v>6.0</v>
      </c>
      <c r="AA49" s="160">
        <v>0.0</v>
      </c>
      <c r="AB49" s="160">
        <v>0.0</v>
      </c>
      <c r="AC49" s="160">
        <v>0.0</v>
      </c>
      <c r="AD49" s="160">
        <v>0.0</v>
      </c>
      <c r="AE49" s="160">
        <v>1083.0</v>
      </c>
      <c r="AF49" s="160">
        <v>1154.0</v>
      </c>
      <c r="AG49" s="160">
        <v>276.0</v>
      </c>
      <c r="AH49" s="314">
        <f t="shared" si="2"/>
        <v>33214.3487</v>
      </c>
      <c r="AI49" s="314">
        <f t="shared" si="3"/>
        <v>4.18115942</v>
      </c>
      <c r="AJ49" s="316">
        <v>36720.0</v>
      </c>
      <c r="AK49" s="314">
        <f t="shared" si="35"/>
        <v>440640</v>
      </c>
      <c r="AL49" s="317">
        <v>157232.0</v>
      </c>
      <c r="AM49" s="318">
        <f t="shared" si="5"/>
        <v>0.06521888833</v>
      </c>
      <c r="AN49" s="314">
        <f t="shared" si="6"/>
        <v>218265.72</v>
      </c>
      <c r="AO49" s="336">
        <f t="shared" si="43"/>
        <v>0.63660835</v>
      </c>
      <c r="AP49" s="319">
        <v>0.0</v>
      </c>
      <c r="AQ49" s="160">
        <v>327.0</v>
      </c>
      <c r="AR49" s="160">
        <v>2376.0</v>
      </c>
      <c r="AS49" s="160">
        <v>3048.93</v>
      </c>
      <c r="AT49" s="160">
        <v>6.0</v>
      </c>
      <c r="AU49" s="160">
        <v>43.0</v>
      </c>
      <c r="AV49" s="320">
        <v>42.0</v>
      </c>
      <c r="AW49" s="320">
        <v>29.0</v>
      </c>
      <c r="AX49" s="320">
        <v>11.0</v>
      </c>
      <c r="AY49" s="321">
        <f>iferror(VLOOKUP(C49,'ORDER BOOKING REPORT 2025-26'!C:O,13,0),"")</f>
        <v>9208485</v>
      </c>
      <c r="AZ49" s="322"/>
      <c r="BA49" s="157" t="str">
        <f t="shared" si="7"/>
        <v>Active</v>
      </c>
      <c r="BB49" s="157" t="str">
        <f t="shared" si="8"/>
        <v>Old</v>
      </c>
      <c r="BC49" s="157" t="str">
        <f t="shared" si="44"/>
        <v>50%-70%</v>
      </c>
      <c r="BD49" s="223">
        <f t="shared" si="45"/>
        <v>12</v>
      </c>
      <c r="BE49" s="323">
        <v>1200000.0</v>
      </c>
      <c r="BF49" s="157">
        <f t="shared" si="10"/>
        <v>0</v>
      </c>
      <c r="BG49" s="157" t="s">
        <v>1019</v>
      </c>
      <c r="BH49" s="324"/>
      <c r="BI49" s="324"/>
      <c r="BJ49" s="325"/>
      <c r="BK49" s="326"/>
      <c r="BL49" s="326">
        <f t="shared" si="11"/>
        <v>0</v>
      </c>
      <c r="BM49" s="326">
        <f t="shared" si="12"/>
        <v>14400000</v>
      </c>
      <c r="BN49" s="326"/>
      <c r="BO49" s="327" t="str">
        <f>IFERROR(__xludf.DUMMYFUNCTION("IFERROR(ArrayFormula(SUM(VLOOKUP($C49,importrange(""1MwNMVzWE3QBVOyJjKr3eFX-Sq1Ng0Q1sghWJbgbE_8g"",""ORDER BOOKING REPORT 2024-25!C:CV""),{16,23,30},0))))"),"")</f>
        <v/>
      </c>
      <c r="BP49" s="327" t="str">
        <f>IFERROR(__xludf.DUMMYFUNCTION("IFERROR(ArrayFormula(SUM(VLOOKUP($C49,importrange(""1MwNMVzWE3QBVOyJjKr3eFX-Sq1Ng0Q1sghWJbgbE_8g"",""ORDER BOOKING REPORT 2024-25!C:CV""),{37,44,51},0))))"),"")</f>
        <v/>
      </c>
      <c r="BQ49" s="327" t="str">
        <f>IFERROR(__xludf.DUMMYFUNCTION("IFERROR(ArrayFormula(SUM(VLOOKUP($C49,importrange(""1MwNMVzWE3QBVOyJjKr3eFX-Sq1Ng0Q1sghWJbgbE_8g"",""ORDER BOOKING REPORT 2024-25!C:CV""),{58,65,72},0))))"),"")</f>
        <v/>
      </c>
      <c r="BR49" s="327" t="str">
        <f>IFERROR(__xludf.DUMMYFUNCTION("IFERROR(ArrayFormula(SUM(VLOOKUP($C49,importrange(""1MwNMVzWE3QBVOyJjKr3eFX-Sq1Ng0Q1sghWJbgbE_8g"",""ORDER BOOKING REPORT 2024-25!C:CV""),{79,86,93},0))))"),"")</f>
        <v/>
      </c>
      <c r="BS49" s="328">
        <f t="shared" si="13"/>
        <v>0.639478125</v>
      </c>
      <c r="BT49" s="328">
        <f t="shared" si="14"/>
        <v>0.06492620665</v>
      </c>
      <c r="BU49" s="234">
        <f t="shared" si="15"/>
        <v>0</v>
      </c>
      <c r="BV49" s="329">
        <v>36720.0</v>
      </c>
      <c r="BW49" s="329" t="s">
        <v>1045</v>
      </c>
      <c r="BX49" s="329">
        <v>770.0</v>
      </c>
      <c r="BY49" s="234">
        <f t="shared" si="16"/>
        <v>0</v>
      </c>
      <c r="BZ49" s="234"/>
      <c r="CA49" s="234"/>
      <c r="CB49" s="234"/>
      <c r="CC49" s="234"/>
      <c r="CD49" s="234"/>
      <c r="CE49" s="234"/>
      <c r="CF49" s="234"/>
      <c r="CG49" s="234" t="str">
        <f t="shared" si="19"/>
        <v> </v>
      </c>
      <c r="CH49" s="234" t="str">
        <f t="shared" si="27"/>
        <v>Business Achieved 50%</v>
      </c>
      <c r="CI49" s="328">
        <f t="shared" si="20"/>
        <v>0.512195122</v>
      </c>
      <c r="CJ49" s="330">
        <f>IFERROR(__xludf.DUMMYFUNCTION("""COMPUTED_VALUE"""),843.0)</f>
        <v>843</v>
      </c>
      <c r="CK49" s="330">
        <f>IFERROR(__xludf.DUMMYFUNCTION("""COMPUTED_VALUE"""),240.0)</f>
        <v>240</v>
      </c>
      <c r="CL49" s="330">
        <f>IFERROR(__xludf.DUMMYFUNCTION("""COMPUTED_VALUE"""),0.0)</f>
        <v>0</v>
      </c>
      <c r="CM49" s="331">
        <f t="shared" si="21"/>
        <v>0</v>
      </c>
      <c r="CN49" s="337"/>
      <c r="CO49" s="160"/>
      <c r="CP49" s="334"/>
      <c r="CQ49" s="335"/>
      <c r="CR49" s="160"/>
      <c r="CS49" s="160"/>
      <c r="CT49" s="160"/>
      <c r="CU49" s="160"/>
      <c r="CV49" s="160"/>
      <c r="CW49" s="335"/>
      <c r="CX49" s="288"/>
      <c r="CY49" s="160"/>
      <c r="CZ49" s="160"/>
    </row>
    <row r="50">
      <c r="A50" s="157" t="s">
        <v>185</v>
      </c>
      <c r="B50" s="157" t="s">
        <v>117</v>
      </c>
      <c r="C50" s="157" t="s">
        <v>118</v>
      </c>
      <c r="D50" s="157" t="s">
        <v>1044</v>
      </c>
      <c r="E50" s="157" t="s">
        <v>119</v>
      </c>
      <c r="F50" s="338">
        <v>44743.0</v>
      </c>
      <c r="G50" s="314">
        <v>0.0</v>
      </c>
      <c r="H50" s="314">
        <v>1.44E7</v>
      </c>
      <c r="I50" s="315">
        <v>3864459.96</v>
      </c>
      <c r="J50" s="315">
        <v>0.0</v>
      </c>
      <c r="K50" s="160">
        <v>73.0</v>
      </c>
      <c r="L50" s="160">
        <v>72.0</v>
      </c>
      <c r="M50" s="160">
        <v>3.0</v>
      </c>
      <c r="N50" s="160">
        <v>76.0</v>
      </c>
      <c r="O50" s="160">
        <v>4.0</v>
      </c>
      <c r="P50" s="315">
        <v>3736785.16</v>
      </c>
      <c r="Q50" s="315">
        <v>127674.8</v>
      </c>
      <c r="R50" s="160">
        <v>44.0</v>
      </c>
      <c r="S50" s="160">
        <v>3.0</v>
      </c>
      <c r="T50" s="160">
        <v>47.0</v>
      </c>
      <c r="U50" s="160">
        <v>0.0</v>
      </c>
      <c r="V50" s="160">
        <v>31.0</v>
      </c>
      <c r="W50" s="160">
        <v>82.0</v>
      </c>
      <c r="X50" s="160">
        <v>142.0</v>
      </c>
      <c r="Y50" s="160">
        <v>3.0</v>
      </c>
      <c r="Z50" s="160">
        <v>25.0</v>
      </c>
      <c r="AA50" s="160">
        <v>0.0</v>
      </c>
      <c r="AB50" s="160">
        <v>0.0</v>
      </c>
      <c r="AC50" s="160">
        <v>0.0</v>
      </c>
      <c r="AD50" s="160">
        <v>0.0</v>
      </c>
      <c r="AE50" s="160">
        <v>1175.0</v>
      </c>
      <c r="AF50" s="160">
        <v>1282.0</v>
      </c>
      <c r="AG50" s="160">
        <v>299.0</v>
      </c>
      <c r="AH50" s="314">
        <f t="shared" si="2"/>
        <v>12924.61525</v>
      </c>
      <c r="AI50" s="314">
        <f t="shared" si="3"/>
        <v>4.287625418</v>
      </c>
      <c r="AJ50" s="316">
        <f t="shared" ref="AJ50:AJ52" si="46">BV50</f>
        <v>24445</v>
      </c>
      <c r="AK50" s="314">
        <f t="shared" si="35"/>
        <v>293340</v>
      </c>
      <c r="AL50" s="286">
        <v>124559.0</v>
      </c>
      <c r="AM50" s="318">
        <f t="shared" si="5"/>
        <v>0.1081390425</v>
      </c>
      <c r="AN50" s="314">
        <f t="shared" si="6"/>
        <v>82222.55234</v>
      </c>
      <c r="AO50" s="336">
        <f t="shared" si="43"/>
        <v>0.268365275</v>
      </c>
      <c r="AP50" s="319">
        <v>0.0</v>
      </c>
      <c r="AQ50" s="160">
        <v>220.0</v>
      </c>
      <c r="AR50" s="160">
        <v>3435.0</v>
      </c>
      <c r="AS50" s="160">
        <v>3035.69</v>
      </c>
      <c r="AT50" s="160">
        <v>3.0</v>
      </c>
      <c r="AU50" s="160">
        <v>42.0</v>
      </c>
      <c r="AV50" s="320">
        <v>47.0</v>
      </c>
      <c r="AW50" s="320">
        <v>26.0</v>
      </c>
      <c r="AX50" s="320">
        <v>3.0</v>
      </c>
      <c r="AY50" s="321">
        <f>iferror(VLOOKUP(C50,'ORDER BOOKING REPORT 2025-26'!C:O,13,0),"")</f>
        <v>3902042</v>
      </c>
      <c r="AZ50" s="322"/>
      <c r="BA50" s="157" t="str">
        <f t="shared" si="7"/>
        <v>Active</v>
      </c>
      <c r="BB50" s="157" t="str">
        <f t="shared" si="8"/>
        <v>Old</v>
      </c>
      <c r="BC50" s="157" t="str">
        <f t="shared" si="44"/>
        <v>Below 50%</v>
      </c>
      <c r="BD50" s="223">
        <f t="shared" si="45"/>
        <v>12</v>
      </c>
      <c r="BE50" s="323">
        <v>1200000.0</v>
      </c>
      <c r="BF50" s="157">
        <f t="shared" si="10"/>
        <v>0</v>
      </c>
      <c r="BG50" s="157" t="s">
        <v>1019</v>
      </c>
      <c r="BH50" s="324"/>
      <c r="BI50" s="324"/>
      <c r="BJ50" s="325"/>
      <c r="BK50" s="326"/>
      <c r="BL50" s="326">
        <f t="shared" si="11"/>
        <v>0</v>
      </c>
      <c r="BM50" s="326">
        <f t="shared" si="12"/>
        <v>14400000</v>
      </c>
      <c r="BN50" s="326"/>
      <c r="BO50" s="327" t="str">
        <f>IFERROR(__xludf.DUMMYFUNCTION("IFERROR(ArrayFormula(SUM(VLOOKUP($C50,importrange(""1MwNMVzWE3QBVOyJjKr3eFX-Sq1Ng0Q1sghWJbgbE_8g"",""ORDER BOOKING REPORT 2024-25!C:CV""),{16,23,30},0))))"),"")</f>
        <v/>
      </c>
      <c r="BP50" s="327" t="str">
        <f>IFERROR(__xludf.DUMMYFUNCTION("IFERROR(ArrayFormula(SUM(VLOOKUP($C50,importrange(""1MwNMVzWE3QBVOyJjKr3eFX-Sq1Ng0Q1sghWJbgbE_8g"",""ORDER BOOKING REPORT 2024-25!C:CV""),{37,44,51},0))))"),"")</f>
        <v/>
      </c>
      <c r="BQ50" s="327" t="str">
        <f>IFERROR(__xludf.DUMMYFUNCTION("IFERROR(ArrayFormula(SUM(VLOOKUP($C50,importrange(""1MwNMVzWE3QBVOyJjKr3eFX-Sq1Ng0Q1sghWJbgbE_8g"",""ORDER BOOKING REPORT 2024-25!C:CV""),{58,65,72},0))))"),"")</f>
        <v/>
      </c>
      <c r="BR50" s="327" t="str">
        <f>IFERROR(__xludf.DUMMYFUNCTION("IFERROR(ArrayFormula(SUM(VLOOKUP($C50,importrange(""1MwNMVzWE3QBVOyJjKr3eFX-Sq1Ng0Q1sghWJbgbE_8g"",""ORDER BOOKING REPORT 2024-25!C:CV""),{79,86,93},0))))"),"")</f>
        <v/>
      </c>
      <c r="BS50" s="328">
        <f t="shared" si="13"/>
        <v>0.2709751389</v>
      </c>
      <c r="BT50" s="328">
        <f t="shared" si="14"/>
        <v>0.1070975146</v>
      </c>
      <c r="BU50" s="234">
        <f t="shared" si="15"/>
        <v>0</v>
      </c>
      <c r="BV50" s="329">
        <v>24445.0</v>
      </c>
      <c r="BW50" s="329" t="s">
        <v>1045</v>
      </c>
      <c r="BX50" s="329">
        <v>784.0</v>
      </c>
      <c r="BY50" s="234">
        <f t="shared" si="16"/>
        <v>0</v>
      </c>
      <c r="BZ50" s="234"/>
      <c r="CA50" s="234"/>
      <c r="CB50" s="234"/>
      <c r="CC50" s="234"/>
      <c r="CD50" s="234"/>
      <c r="CE50" s="234"/>
      <c r="CF50" s="234"/>
      <c r="CG50" s="234" t="str">
        <f t="shared" si="19"/>
        <v> </v>
      </c>
      <c r="CH50" s="234" t="str">
        <f t="shared" si="27"/>
        <v>Business Achieved 50%</v>
      </c>
      <c r="CI50" s="328">
        <f t="shared" si="20"/>
        <v>0.6184210526</v>
      </c>
      <c r="CJ50" s="339">
        <f>IFERROR(__xludf.DUMMYFUNCTION("""COMPUTED_VALUE"""),743.0)</f>
        <v>743</v>
      </c>
      <c r="CK50" s="339">
        <f>IFERROR(__xludf.DUMMYFUNCTION("""COMPUTED_VALUE"""),432.0)</f>
        <v>432</v>
      </c>
      <c r="CL50" s="339">
        <f>IFERROR(__xludf.DUMMYFUNCTION("""COMPUTED_VALUE"""),0.0)</f>
        <v>0</v>
      </c>
      <c r="CM50" s="331">
        <f t="shared" si="21"/>
        <v>0</v>
      </c>
      <c r="CN50" s="340"/>
      <c r="CO50" s="328"/>
      <c r="CP50" s="341"/>
      <c r="CQ50" s="344"/>
      <c r="CR50" s="328"/>
      <c r="CS50" s="328"/>
      <c r="CT50" s="328"/>
      <c r="CU50" s="328"/>
      <c r="CV50" s="328"/>
      <c r="CW50" s="328"/>
      <c r="CX50" s="288"/>
      <c r="CY50" s="328"/>
      <c r="CZ50" s="328"/>
    </row>
    <row r="51">
      <c r="A51" s="157" t="s">
        <v>126</v>
      </c>
      <c r="B51" s="157" t="s">
        <v>135</v>
      </c>
      <c r="C51" s="157" t="s">
        <v>437</v>
      </c>
      <c r="D51" s="157" t="s">
        <v>1042</v>
      </c>
      <c r="E51" s="157" t="s">
        <v>176</v>
      </c>
      <c r="F51" s="338">
        <v>44805.0</v>
      </c>
      <c r="G51" s="314">
        <v>1200000.0</v>
      </c>
      <c r="H51" s="314">
        <v>8800002.0</v>
      </c>
      <c r="I51" s="315">
        <v>1115217.75</v>
      </c>
      <c r="J51" s="315">
        <v>773216.52</v>
      </c>
      <c r="K51" s="160">
        <v>77.0</v>
      </c>
      <c r="L51" s="160">
        <v>69.0</v>
      </c>
      <c r="M51" s="160">
        <v>15.0</v>
      </c>
      <c r="N51" s="160">
        <v>92.0</v>
      </c>
      <c r="O51" s="160">
        <v>23.0</v>
      </c>
      <c r="P51" s="315">
        <v>1057744.05</v>
      </c>
      <c r="Q51" s="315">
        <v>57473.7</v>
      </c>
      <c r="R51" s="160">
        <v>34.0</v>
      </c>
      <c r="S51" s="160">
        <v>2.0</v>
      </c>
      <c r="T51" s="160">
        <v>36.0</v>
      </c>
      <c r="U51" s="160">
        <v>2.0</v>
      </c>
      <c r="V51" s="160">
        <v>107.0</v>
      </c>
      <c r="W51" s="160">
        <v>138.0</v>
      </c>
      <c r="X51" s="160">
        <v>267.0</v>
      </c>
      <c r="Y51" s="160">
        <v>2.0</v>
      </c>
      <c r="Z51" s="160">
        <v>35.0</v>
      </c>
      <c r="AA51" s="160">
        <v>3.0</v>
      </c>
      <c r="AB51" s="160">
        <v>24.0</v>
      </c>
      <c r="AC51" s="160">
        <v>1.0</v>
      </c>
      <c r="AD51" s="160">
        <v>1.0</v>
      </c>
      <c r="AE51" s="160">
        <v>352.0</v>
      </c>
      <c r="AF51" s="160">
        <v>550.0</v>
      </c>
      <c r="AG51" s="160">
        <v>130.0</v>
      </c>
      <c r="AH51" s="314">
        <f t="shared" si="2"/>
        <v>14526.41746</v>
      </c>
      <c r="AI51" s="314">
        <f t="shared" si="3"/>
        <v>4.230769231</v>
      </c>
      <c r="AJ51" s="316">
        <f t="shared" si="46"/>
        <v>38834</v>
      </c>
      <c r="AK51" s="314">
        <f t="shared" si="35"/>
        <v>210868.62</v>
      </c>
      <c r="AL51" s="286">
        <v>64931.0</v>
      </c>
      <c r="AM51" s="318">
        <f t="shared" si="5"/>
        <v>0.1460467141</v>
      </c>
      <c r="AN51" s="314">
        <f t="shared" si="6"/>
        <v>30978.27083</v>
      </c>
      <c r="AO51" s="336">
        <f t="shared" si="43"/>
        <v>0.1888433892</v>
      </c>
      <c r="AP51" s="319">
        <v>0.64</v>
      </c>
      <c r="AQ51" s="160">
        <v>82.0</v>
      </c>
      <c r="AR51" s="160">
        <v>1062.0</v>
      </c>
      <c r="AS51" s="160">
        <v>0.0</v>
      </c>
      <c r="AT51" s="160">
        <v>2.0</v>
      </c>
      <c r="AU51" s="160">
        <v>0.0</v>
      </c>
      <c r="AV51" s="320">
        <v>36.0</v>
      </c>
      <c r="AW51" s="320">
        <v>33.0</v>
      </c>
      <c r="AX51" s="320">
        <v>23.0</v>
      </c>
      <c r="AY51" s="321">
        <f>iferror(VLOOKUP(C51,'ORDER BOOKING REPORT 2025-26'!C:O,13,0),"")</f>
        <v>1342265</v>
      </c>
      <c r="AZ51" s="322">
        <v>45913.0</v>
      </c>
      <c r="BA51" s="157" t="str">
        <f t="shared" si="7"/>
        <v>LEFT</v>
      </c>
      <c r="BB51" s="157" t="str">
        <f t="shared" si="8"/>
        <v>Old</v>
      </c>
      <c r="BC51" s="157" t="str">
        <f t="shared" si="44"/>
        <v>Below 50%</v>
      </c>
      <c r="BD51" s="223">
        <v>5.43</v>
      </c>
      <c r="BE51" s="323">
        <v>1666667.0</v>
      </c>
      <c r="BF51" s="157">
        <f t="shared" si="10"/>
        <v>13</v>
      </c>
      <c r="BG51" s="157" t="s">
        <v>1019</v>
      </c>
      <c r="BH51" s="324"/>
      <c r="BI51" s="324"/>
      <c r="BJ51" s="325"/>
      <c r="BK51" s="326">
        <v>200000.0</v>
      </c>
      <c r="BL51" s="326">
        <f>BK51*6</f>
        <v>1200000</v>
      </c>
      <c r="BM51" s="326">
        <f t="shared" si="12"/>
        <v>10000002</v>
      </c>
      <c r="BN51" s="326"/>
      <c r="BO51" s="327" t="str">
        <f>IFERROR(__xludf.DUMMYFUNCTION("IFERROR(ArrayFormula(SUM(VLOOKUP($C51,importrange(""1MwNMVzWE3QBVOyJjKr3eFX-Sq1Ng0Q1sghWJbgbE_8g"",""ORDER BOOKING REPORT 2024-25!C:CV""),{16,23,30},0))))"),"")</f>
        <v/>
      </c>
      <c r="BP51" s="327" t="str">
        <f>IFERROR(__xludf.DUMMYFUNCTION("IFERROR(ArrayFormula(SUM(VLOOKUP($C51,importrange(""1MwNMVzWE3QBVOyJjKr3eFX-Sq1Ng0Q1sghWJbgbE_8g"",""ORDER BOOKING REPORT 2024-25!C:CV""),{37,44,51},0))))"),"")</f>
        <v/>
      </c>
      <c r="BQ51" s="327" t="str">
        <f>IFERROR(__xludf.DUMMYFUNCTION("IFERROR(ArrayFormula(SUM(VLOOKUP($C51,importrange(""1MwNMVzWE3QBVOyJjKr3eFX-Sq1Ng0Q1sghWJbgbE_8g"",""ORDER BOOKING REPORT 2024-25!C:CV""),{58,65,72},0))))"),"")</f>
        <v/>
      </c>
      <c r="BR51" s="327" t="str">
        <f>IFERROR(__xludf.DUMMYFUNCTION("IFERROR(ArrayFormula(SUM(VLOOKUP($C51,importrange(""1MwNMVzWE3QBVOyJjKr3eFX-Sq1Ng0Q1sghWJbgbE_8g"",""ORDER BOOKING REPORT 2024-25!C:CV""),{79,86,93},0))))"),"")</f>
        <v/>
      </c>
      <c r="BS51" s="328">
        <f t="shared" si="13"/>
        <v>0.1342264732</v>
      </c>
      <c r="BT51" s="328">
        <f t="shared" si="14"/>
        <v>0.2054733007</v>
      </c>
      <c r="BU51" s="234">
        <f t="shared" si="15"/>
        <v>0</v>
      </c>
      <c r="BV51" s="329">
        <v>38834.0</v>
      </c>
      <c r="BW51" s="329" t="s">
        <v>1029</v>
      </c>
      <c r="BX51" s="329">
        <v>812.0</v>
      </c>
      <c r="BY51" s="234">
        <f t="shared" si="16"/>
        <v>0</v>
      </c>
      <c r="BZ51" s="234"/>
      <c r="CA51" s="234">
        <f>BE51*BD51</f>
        <v>9050001.81</v>
      </c>
      <c r="CB51" s="234"/>
      <c r="CC51" s="234">
        <f>CA51-H51</f>
        <v>249999.81</v>
      </c>
      <c r="CD51" s="234"/>
      <c r="CE51" s="234"/>
      <c r="CF51" s="234"/>
      <c r="CG51" s="234" t="str">
        <f t="shared" si="19"/>
        <v> </v>
      </c>
      <c r="CH51" s="234" t="str">
        <f t="shared" si="27"/>
        <v>Not 50%</v>
      </c>
      <c r="CI51" s="328">
        <f t="shared" si="20"/>
        <v>0.3913043478</v>
      </c>
      <c r="CJ51" s="339">
        <f>IFERROR(__xludf.DUMMYFUNCTION("""COMPUTED_VALUE"""),233.0)</f>
        <v>233</v>
      </c>
      <c r="CK51" s="339">
        <f>IFERROR(__xludf.DUMMYFUNCTION("""COMPUTED_VALUE"""),119.0)</f>
        <v>119</v>
      </c>
      <c r="CL51" s="339">
        <f>IFERROR(__xludf.DUMMYFUNCTION("""COMPUTED_VALUE"""),0.0)</f>
        <v>0</v>
      </c>
      <c r="CM51" s="331">
        <f t="shared" si="21"/>
        <v>0</v>
      </c>
      <c r="CN51" s="340"/>
      <c r="CO51" s="328"/>
      <c r="CP51" s="341"/>
      <c r="CQ51" s="344"/>
      <c r="CR51" s="328"/>
      <c r="CS51" s="328"/>
      <c r="CT51" s="328"/>
      <c r="CU51" s="328"/>
      <c r="CV51" s="328"/>
      <c r="CW51" s="328"/>
      <c r="CX51" s="288"/>
      <c r="CY51" s="328"/>
      <c r="CZ51" s="328"/>
    </row>
    <row r="52">
      <c r="A52" s="157" t="s">
        <v>23</v>
      </c>
      <c r="B52" s="157" t="s">
        <v>30</v>
      </c>
      <c r="C52" s="157" t="s">
        <v>24</v>
      </c>
      <c r="D52" s="157" t="s">
        <v>30</v>
      </c>
      <c r="E52" s="157" t="s">
        <v>25</v>
      </c>
      <c r="F52" s="338">
        <v>44809.0</v>
      </c>
      <c r="G52" s="314">
        <v>0.0</v>
      </c>
      <c r="H52" s="314">
        <v>2.16E7</v>
      </c>
      <c r="I52" s="315">
        <v>2.055133286E7</v>
      </c>
      <c r="J52" s="315">
        <v>0.0</v>
      </c>
      <c r="K52" s="160">
        <v>97.0</v>
      </c>
      <c r="L52" s="160">
        <v>98.0</v>
      </c>
      <c r="M52" s="160">
        <v>12.0</v>
      </c>
      <c r="N52" s="160">
        <v>109.0</v>
      </c>
      <c r="O52" s="160">
        <v>11.0</v>
      </c>
      <c r="P52" s="315">
        <v>1.931326215E7</v>
      </c>
      <c r="Q52" s="315">
        <v>1238070.71</v>
      </c>
      <c r="R52" s="160">
        <v>81.0</v>
      </c>
      <c r="S52" s="160">
        <v>10.0</v>
      </c>
      <c r="T52" s="160">
        <v>91.0</v>
      </c>
      <c r="U52" s="160">
        <v>0.0</v>
      </c>
      <c r="V52" s="160">
        <v>47.0</v>
      </c>
      <c r="W52" s="160">
        <v>104.0</v>
      </c>
      <c r="X52" s="160">
        <v>172.0</v>
      </c>
      <c r="Y52" s="160">
        <v>7.0</v>
      </c>
      <c r="Z52" s="160">
        <v>239.0</v>
      </c>
      <c r="AA52" s="160">
        <v>0.0</v>
      </c>
      <c r="AB52" s="160">
        <v>0.0</v>
      </c>
      <c r="AC52" s="160">
        <v>3.0</v>
      </c>
      <c r="AD52" s="160">
        <v>3.0</v>
      </c>
      <c r="AE52" s="160">
        <v>1447.0</v>
      </c>
      <c r="AF52" s="160">
        <v>1793.0</v>
      </c>
      <c r="AG52" s="160">
        <v>289.0</v>
      </c>
      <c r="AH52" s="314">
        <f t="shared" si="2"/>
        <v>71111.87841</v>
      </c>
      <c r="AI52" s="314">
        <f t="shared" si="3"/>
        <v>6.204152249</v>
      </c>
      <c r="AJ52" s="316">
        <f t="shared" si="46"/>
        <v>32910</v>
      </c>
      <c r="AK52" s="314">
        <f t="shared" si="35"/>
        <v>394920</v>
      </c>
      <c r="AL52" s="286">
        <v>128294.0</v>
      </c>
      <c r="AM52" s="318">
        <f t="shared" si="5"/>
        <v>0.02545888403</v>
      </c>
      <c r="AN52" s="314">
        <f t="shared" si="6"/>
        <v>225838.8226</v>
      </c>
      <c r="AO52" s="336">
        <f t="shared" si="43"/>
        <v>0.9514505954</v>
      </c>
      <c r="AP52" s="319">
        <v>0.0</v>
      </c>
      <c r="AQ52" s="160">
        <v>936.0</v>
      </c>
      <c r="AR52" s="160">
        <v>2757.0</v>
      </c>
      <c r="AS52" s="160">
        <v>1794.08</v>
      </c>
      <c r="AT52" s="160">
        <v>10.0</v>
      </c>
      <c r="AU52" s="160">
        <v>18.0</v>
      </c>
      <c r="AV52" s="320">
        <v>91.0</v>
      </c>
      <c r="AW52" s="320">
        <v>13.0</v>
      </c>
      <c r="AX52" s="320">
        <v>5.0</v>
      </c>
      <c r="AY52" s="321">
        <f>iferror(VLOOKUP(C52,'ORDER BOOKING REPORT 2025-26'!C:O,13,0),"")</f>
        <v>22426186</v>
      </c>
      <c r="AZ52" s="322"/>
      <c r="BA52" s="157" t="str">
        <f t="shared" si="7"/>
        <v>Active</v>
      </c>
      <c r="BB52" s="157" t="str">
        <f t="shared" si="8"/>
        <v>Old</v>
      </c>
      <c r="BC52" s="157" t="str">
        <f t="shared" si="44"/>
        <v>90%-100%</v>
      </c>
      <c r="BD52" s="223">
        <f t="shared" ref="BD52:BD55" si="47">Match($BD$2,{"Apr","May","Jun","Jul","Aug","Sep","Oct","Nov","Dec","Jan","Feb","Mar"},0)</f>
        <v>12</v>
      </c>
      <c r="BE52" s="323">
        <v>1800000.0</v>
      </c>
      <c r="BF52" s="157">
        <f t="shared" si="10"/>
        <v>2</v>
      </c>
      <c r="BG52" s="157" t="s">
        <v>1019</v>
      </c>
      <c r="BH52" s="324"/>
      <c r="BI52" s="324"/>
      <c r="BJ52" s="325"/>
      <c r="BK52" s="326"/>
      <c r="BL52" s="326">
        <f t="shared" ref="BL52:BL192" si="48">BK52*BD52</f>
        <v>0</v>
      </c>
      <c r="BM52" s="326">
        <f t="shared" si="12"/>
        <v>21600000</v>
      </c>
      <c r="BN52" s="326"/>
      <c r="BO52" s="327" t="str">
        <f>IFERROR(__xludf.DUMMYFUNCTION("IFERROR(ArrayFormula(SUM(VLOOKUP($C52,importrange(""1MwNMVzWE3QBVOyJjKr3eFX-Sq1Ng0Q1sghWJbgbE_8g"",""ORDER BOOKING REPORT 2024-25!C:CV""),{16,23,30},0))))"),"")</f>
        <v/>
      </c>
      <c r="BP52" s="327" t="str">
        <f>IFERROR(__xludf.DUMMYFUNCTION("IFERROR(ArrayFormula(SUM(VLOOKUP($C52,importrange(""1MwNMVzWE3QBVOyJjKr3eFX-Sq1Ng0Q1sghWJbgbE_8g"",""ORDER BOOKING REPORT 2024-25!C:CV""),{37,44,51},0))))"),"")</f>
        <v/>
      </c>
      <c r="BQ52" s="327" t="str">
        <f>IFERROR(__xludf.DUMMYFUNCTION("IFERROR(ArrayFormula(SUM(VLOOKUP($C52,importrange(""1MwNMVzWE3QBVOyJjKr3eFX-Sq1Ng0Q1sghWJbgbE_8g"",""ORDER BOOKING REPORT 2024-25!C:CV""),{58,65,72},0))))"),"")</f>
        <v/>
      </c>
      <c r="BR52" s="327" t="str">
        <f>IFERROR(__xludf.DUMMYFUNCTION("IFERROR(ArrayFormula(SUM(VLOOKUP($C52,importrange(""1MwNMVzWE3QBVOyJjKr3eFX-Sq1Ng0Q1sghWJbgbE_8g"",""ORDER BOOKING REPORT 2024-25!C:CV""),{79,86,93},0))))"),"")</f>
        <v/>
      </c>
      <c r="BS52" s="328">
        <f t="shared" si="13"/>
        <v>1.038249352</v>
      </c>
      <c r="BT52" s="328">
        <f t="shared" si="14"/>
        <v>0.02333049409</v>
      </c>
      <c r="BU52" s="234">
        <f t="shared" si="15"/>
        <v>0</v>
      </c>
      <c r="BV52" s="329">
        <v>32910.0</v>
      </c>
      <c r="BW52" s="329" t="s">
        <v>1045</v>
      </c>
      <c r="BX52" s="329">
        <v>806.0</v>
      </c>
      <c r="BY52" s="234">
        <f t="shared" si="16"/>
        <v>0</v>
      </c>
      <c r="BZ52" s="234"/>
      <c r="CA52" s="234"/>
      <c r="CB52" s="234"/>
      <c r="CC52" s="234"/>
      <c r="CD52" s="234"/>
      <c r="CE52" s="234"/>
      <c r="CF52" s="234"/>
      <c r="CG52" s="234" t="str">
        <f t="shared" si="19"/>
        <v> </v>
      </c>
      <c r="CH52" s="234" t="str">
        <f t="shared" si="27"/>
        <v>Business Achieved 50%</v>
      </c>
      <c r="CI52" s="328">
        <f t="shared" si="20"/>
        <v>0.8348623853</v>
      </c>
      <c r="CJ52" s="339">
        <f>IFERROR(__xludf.DUMMYFUNCTION("""COMPUTED_VALUE"""),1378.0)</f>
        <v>1378</v>
      </c>
      <c r="CK52" s="339">
        <f>IFERROR(__xludf.DUMMYFUNCTION("""COMPUTED_VALUE"""),69.0)</f>
        <v>69</v>
      </c>
      <c r="CL52" s="339">
        <f>IFERROR(__xludf.DUMMYFUNCTION("""COMPUTED_VALUE"""),0.0)</f>
        <v>0</v>
      </c>
      <c r="CM52" s="331">
        <f t="shared" si="21"/>
        <v>0</v>
      </c>
      <c r="CN52" s="340"/>
      <c r="CO52" s="328"/>
      <c r="CP52" s="341"/>
      <c r="CQ52" s="344"/>
      <c r="CR52" s="328"/>
      <c r="CS52" s="328"/>
      <c r="CT52" s="328"/>
      <c r="CU52" s="328"/>
      <c r="CV52" s="328"/>
      <c r="CW52" s="328"/>
      <c r="CX52" s="288"/>
      <c r="CY52" s="328"/>
      <c r="CZ52" s="328"/>
    </row>
    <row r="53">
      <c r="A53" s="157" t="s">
        <v>298</v>
      </c>
      <c r="B53" s="157" t="s">
        <v>301</v>
      </c>
      <c r="C53" s="157" t="s">
        <v>306</v>
      </c>
      <c r="D53" s="157" t="s">
        <v>1066</v>
      </c>
      <c r="E53" s="157" t="s">
        <v>226</v>
      </c>
      <c r="F53" s="285">
        <v>44825.0</v>
      </c>
      <c r="G53" s="314">
        <v>0.0</v>
      </c>
      <c r="H53" s="314">
        <v>2.16E7</v>
      </c>
      <c r="I53" s="315">
        <v>1.234185932E7</v>
      </c>
      <c r="J53" s="315">
        <v>0.0</v>
      </c>
      <c r="K53" s="160">
        <v>92.0</v>
      </c>
      <c r="L53" s="160">
        <v>95.0</v>
      </c>
      <c r="M53" s="160">
        <v>9.0</v>
      </c>
      <c r="N53" s="160">
        <v>101.0</v>
      </c>
      <c r="O53" s="160">
        <v>6.0</v>
      </c>
      <c r="P53" s="315">
        <v>1.213387412E7</v>
      </c>
      <c r="Q53" s="315">
        <v>207985.2</v>
      </c>
      <c r="R53" s="160">
        <v>48.0</v>
      </c>
      <c r="S53" s="160">
        <v>5.0</v>
      </c>
      <c r="T53" s="160">
        <v>53.0</v>
      </c>
      <c r="U53" s="160">
        <v>0.0</v>
      </c>
      <c r="V53" s="160">
        <v>46.0</v>
      </c>
      <c r="W53" s="160">
        <v>105.0</v>
      </c>
      <c r="X53" s="160">
        <v>136.0</v>
      </c>
      <c r="Y53" s="160">
        <v>1.0</v>
      </c>
      <c r="Z53" s="160">
        <v>89.0</v>
      </c>
      <c r="AA53" s="160">
        <v>1.0</v>
      </c>
      <c r="AB53" s="160">
        <v>3.0</v>
      </c>
      <c r="AC53" s="160">
        <v>0.0</v>
      </c>
      <c r="AD53" s="160">
        <v>0.0</v>
      </c>
      <c r="AE53" s="160">
        <v>1452.0</v>
      </c>
      <c r="AF53" s="160">
        <v>1649.0</v>
      </c>
      <c r="AG53" s="160">
        <v>295.0</v>
      </c>
      <c r="AH53" s="314">
        <f t="shared" si="2"/>
        <v>41836.81125</v>
      </c>
      <c r="AI53" s="314">
        <f t="shared" si="3"/>
        <v>5.589830508</v>
      </c>
      <c r="AJ53" s="316">
        <v>45000.0</v>
      </c>
      <c r="AK53" s="314">
        <f t="shared" si="35"/>
        <v>540000</v>
      </c>
      <c r="AL53" s="317">
        <v>198284.0</v>
      </c>
      <c r="AM53" s="318">
        <f t="shared" si="5"/>
        <v>0.05981951186</v>
      </c>
      <c r="AN53" s="314">
        <f t="shared" si="6"/>
        <v>232865.2702</v>
      </c>
      <c r="AO53" s="336">
        <f t="shared" si="43"/>
        <v>0.5713823759</v>
      </c>
      <c r="AP53" s="319">
        <v>0.0</v>
      </c>
      <c r="AQ53" s="160">
        <v>396.0</v>
      </c>
      <c r="AR53" s="160">
        <v>2928.0</v>
      </c>
      <c r="AS53" s="160">
        <v>3101.82</v>
      </c>
      <c r="AT53" s="160">
        <v>5.0</v>
      </c>
      <c r="AU53" s="160">
        <v>33.0</v>
      </c>
      <c r="AV53" s="320">
        <v>53.0</v>
      </c>
      <c r="AW53" s="320">
        <v>44.0</v>
      </c>
      <c r="AX53" s="320">
        <v>4.0</v>
      </c>
      <c r="AY53" s="321">
        <f>iferror(VLOOKUP(C53,'ORDER BOOKING REPORT 2025-26'!C:O,13,0),"")</f>
        <v>12468600</v>
      </c>
      <c r="AZ53" s="322"/>
      <c r="BA53" s="157" t="str">
        <f t="shared" si="7"/>
        <v>Active</v>
      </c>
      <c r="BB53" s="157" t="str">
        <f t="shared" si="8"/>
        <v>Old</v>
      </c>
      <c r="BC53" s="157" t="str">
        <f t="shared" si="44"/>
        <v>50%-70%</v>
      </c>
      <c r="BD53" s="223">
        <f t="shared" si="47"/>
        <v>12</v>
      </c>
      <c r="BE53" s="323">
        <v>1800000.0</v>
      </c>
      <c r="BF53" s="157">
        <f t="shared" si="10"/>
        <v>4</v>
      </c>
      <c r="BG53" s="157" t="s">
        <v>1019</v>
      </c>
      <c r="BH53" s="324"/>
      <c r="BI53" s="324"/>
      <c r="BJ53" s="325"/>
      <c r="BK53" s="326"/>
      <c r="BL53" s="326">
        <f t="shared" si="48"/>
        <v>0</v>
      </c>
      <c r="BM53" s="326">
        <f t="shared" si="12"/>
        <v>21600000</v>
      </c>
      <c r="BN53" s="326"/>
      <c r="BO53" s="327" t="str">
        <f>IFERROR(__xludf.DUMMYFUNCTION("IFERROR(ArrayFormula(SUM(VLOOKUP($C53,importrange(""1MwNMVzWE3QBVOyJjKr3eFX-Sq1Ng0Q1sghWJbgbE_8g"",""ORDER BOOKING REPORT 2024-25!C:CV""),{16,23,30},0))))"),"")</f>
        <v/>
      </c>
      <c r="BP53" s="327" t="str">
        <f>IFERROR(__xludf.DUMMYFUNCTION("IFERROR(ArrayFormula(SUM(VLOOKUP($C53,importrange(""1MwNMVzWE3QBVOyJjKr3eFX-Sq1Ng0Q1sghWJbgbE_8g"",""ORDER BOOKING REPORT 2024-25!C:CV""),{37,44,51},0))))"),"")</f>
        <v/>
      </c>
      <c r="BQ53" s="327" t="str">
        <f>IFERROR(__xludf.DUMMYFUNCTION("IFERROR(ArrayFormula(SUM(VLOOKUP($C53,importrange(""1MwNMVzWE3QBVOyJjKr3eFX-Sq1Ng0Q1sghWJbgbE_8g"",""ORDER BOOKING REPORT 2024-25!C:CV""),{58,65,72},0))))"),"")</f>
        <v/>
      </c>
      <c r="BR53" s="327" t="str">
        <f>IFERROR(__xludf.DUMMYFUNCTION("IFERROR(ArrayFormula(SUM(VLOOKUP($C53,importrange(""1MwNMVzWE3QBVOyJjKr3eFX-Sq1Ng0Q1sghWJbgbE_8g"",""ORDER BOOKING REPORT 2024-25!C:CV""),{79,86,93},0))))"),"")</f>
        <v/>
      </c>
      <c r="BS53" s="328">
        <f t="shared" si="13"/>
        <v>0.57725</v>
      </c>
      <c r="BT53" s="328">
        <f t="shared" si="14"/>
        <v>0.05921145919</v>
      </c>
      <c r="BU53" s="234">
        <f t="shared" si="15"/>
        <v>0</v>
      </c>
      <c r="BV53" s="329">
        <v>45000.0</v>
      </c>
      <c r="BW53" s="329" t="s">
        <v>1029</v>
      </c>
      <c r="BX53" s="329">
        <v>809.0</v>
      </c>
      <c r="BY53" s="234">
        <f t="shared" si="16"/>
        <v>0</v>
      </c>
      <c r="BZ53" s="234"/>
      <c r="CA53" s="234"/>
      <c r="CB53" s="234"/>
      <c r="CC53" s="234"/>
      <c r="CD53" s="234"/>
      <c r="CE53" s="234"/>
      <c r="CF53" s="234"/>
      <c r="CG53" s="234" t="str">
        <f t="shared" si="19"/>
        <v> </v>
      </c>
      <c r="CH53" s="234" t="str">
        <f t="shared" si="27"/>
        <v>Business Achieved 50%</v>
      </c>
      <c r="CI53" s="328">
        <f t="shared" si="20"/>
        <v>0.5247524752</v>
      </c>
      <c r="CJ53" s="330">
        <f>IFERROR(__xludf.DUMMYFUNCTION("""COMPUTED_VALUE"""),903.0)</f>
        <v>903</v>
      </c>
      <c r="CK53" s="330">
        <f>IFERROR(__xludf.DUMMYFUNCTION("""COMPUTED_VALUE"""),549.0)</f>
        <v>549</v>
      </c>
      <c r="CL53" s="330">
        <f>IFERROR(__xludf.DUMMYFUNCTION("""COMPUTED_VALUE"""),0.0)</f>
        <v>0</v>
      </c>
      <c r="CM53" s="331">
        <f t="shared" si="21"/>
        <v>0</v>
      </c>
      <c r="CN53" s="337"/>
      <c r="CO53" s="160"/>
      <c r="CP53" s="334"/>
      <c r="CQ53" s="335"/>
      <c r="CR53" s="160"/>
      <c r="CS53" s="160"/>
      <c r="CT53" s="160"/>
      <c r="CU53" s="160"/>
      <c r="CV53" s="160"/>
      <c r="CW53" s="335"/>
      <c r="CX53" s="288"/>
      <c r="CY53" s="160"/>
      <c r="CZ53" s="160"/>
    </row>
    <row r="54">
      <c r="A54" s="157" t="s">
        <v>185</v>
      </c>
      <c r="B54" s="157" t="s">
        <v>222</v>
      </c>
      <c r="C54" s="157" t="s">
        <v>227</v>
      </c>
      <c r="D54" s="157" t="s">
        <v>1070</v>
      </c>
      <c r="E54" s="157" t="s">
        <v>228</v>
      </c>
      <c r="F54" s="338">
        <v>44868.0</v>
      </c>
      <c r="G54" s="314">
        <v>0.0</v>
      </c>
      <c r="H54" s="314">
        <v>1.8E7</v>
      </c>
      <c r="I54" s="315">
        <v>9855471.13</v>
      </c>
      <c r="J54" s="315">
        <v>0.0</v>
      </c>
      <c r="K54" s="160">
        <v>71.0</v>
      </c>
      <c r="L54" s="160">
        <v>73.0</v>
      </c>
      <c r="M54" s="160">
        <v>8.0</v>
      </c>
      <c r="N54" s="160">
        <v>79.0</v>
      </c>
      <c r="O54" s="160">
        <v>6.0</v>
      </c>
      <c r="P54" s="315">
        <v>8744673.03</v>
      </c>
      <c r="Q54" s="315">
        <v>1110798.1</v>
      </c>
      <c r="R54" s="160">
        <v>39.0</v>
      </c>
      <c r="S54" s="160">
        <v>8.0</v>
      </c>
      <c r="T54" s="160">
        <v>47.0</v>
      </c>
      <c r="U54" s="160">
        <v>0.0</v>
      </c>
      <c r="V54" s="160">
        <v>20.0</v>
      </c>
      <c r="W54" s="160">
        <v>39.0</v>
      </c>
      <c r="X54" s="160">
        <v>32.0</v>
      </c>
      <c r="Y54" s="160">
        <v>1.0</v>
      </c>
      <c r="Z54" s="160">
        <v>73.0</v>
      </c>
      <c r="AA54" s="160">
        <v>0.0</v>
      </c>
      <c r="AB54" s="160">
        <v>0.0</v>
      </c>
      <c r="AC54" s="160">
        <v>0.0</v>
      </c>
      <c r="AD54" s="160">
        <v>0.0</v>
      </c>
      <c r="AE54" s="160">
        <v>688.0</v>
      </c>
      <c r="AF54" s="160">
        <v>800.0</v>
      </c>
      <c r="AG54" s="160">
        <v>264.0</v>
      </c>
      <c r="AH54" s="314">
        <f t="shared" si="2"/>
        <v>37331.33004</v>
      </c>
      <c r="AI54" s="314">
        <f t="shared" si="3"/>
        <v>3.03030303</v>
      </c>
      <c r="AJ54" s="316">
        <v>31625.0</v>
      </c>
      <c r="AK54" s="314">
        <f t="shared" si="35"/>
        <v>379500</v>
      </c>
      <c r="AL54" s="317">
        <v>169733.0</v>
      </c>
      <c r="AM54" s="318">
        <f t="shared" si="5"/>
        <v>0.0557287412</v>
      </c>
      <c r="AN54" s="314">
        <f t="shared" si="6"/>
        <v>209690.8751</v>
      </c>
      <c r="AO54" s="336">
        <f t="shared" si="43"/>
        <v>0.5475261739</v>
      </c>
      <c r="AP54" s="319">
        <v>0.0</v>
      </c>
      <c r="AQ54" s="160">
        <v>167.0</v>
      </c>
      <c r="AR54" s="160">
        <v>2310.0</v>
      </c>
      <c r="AS54" s="160">
        <v>1005.82</v>
      </c>
      <c r="AT54" s="160">
        <v>8.0</v>
      </c>
      <c r="AU54" s="160">
        <v>14.0</v>
      </c>
      <c r="AV54" s="320">
        <v>47.0</v>
      </c>
      <c r="AW54" s="320">
        <v>27.0</v>
      </c>
      <c r="AX54" s="320">
        <v>5.0</v>
      </c>
      <c r="AY54" s="321">
        <f>iferror(VLOOKUP(C54,'ORDER BOOKING REPORT 2025-26'!C:O,13,0),"")</f>
        <v>10541713.06</v>
      </c>
      <c r="AZ54" s="322"/>
      <c r="BA54" s="157" t="str">
        <f t="shared" si="7"/>
        <v>Active</v>
      </c>
      <c r="BB54" s="157" t="str">
        <f t="shared" si="8"/>
        <v>Old</v>
      </c>
      <c r="BC54" s="157" t="str">
        <f t="shared" si="44"/>
        <v>50%-70%</v>
      </c>
      <c r="BD54" s="223">
        <f t="shared" si="47"/>
        <v>12</v>
      </c>
      <c r="BE54" s="323">
        <v>1500000.0</v>
      </c>
      <c r="BF54" s="157">
        <f t="shared" si="10"/>
        <v>0</v>
      </c>
      <c r="BG54" s="157" t="s">
        <v>1019</v>
      </c>
      <c r="BH54" s="324"/>
      <c r="BI54" s="324"/>
      <c r="BJ54" s="325"/>
      <c r="BK54" s="326"/>
      <c r="BL54" s="326">
        <f t="shared" si="48"/>
        <v>0</v>
      </c>
      <c r="BM54" s="326">
        <f t="shared" si="12"/>
        <v>18000000</v>
      </c>
      <c r="BN54" s="326"/>
      <c r="BO54" s="327" t="str">
        <f>IFERROR(__xludf.DUMMYFUNCTION("IFERROR(ArrayFormula(SUM(VLOOKUP($C54,importrange(""1MwNMVzWE3QBVOyJjKr3eFX-Sq1Ng0Q1sghWJbgbE_8g"",""ORDER BOOKING REPORT 2024-25!C:CV""),{16,23,30},0))))"),"")</f>
        <v/>
      </c>
      <c r="BP54" s="327" t="str">
        <f>IFERROR(__xludf.DUMMYFUNCTION("IFERROR(ArrayFormula(SUM(VLOOKUP($C54,importrange(""1MwNMVzWE3QBVOyJjKr3eFX-Sq1Ng0Q1sghWJbgbE_8g"",""ORDER BOOKING REPORT 2024-25!C:CV""),{37,44,51},0))))"),"")</f>
        <v/>
      </c>
      <c r="BQ54" s="327" t="str">
        <f>IFERROR(__xludf.DUMMYFUNCTION("IFERROR(ArrayFormula(SUM(VLOOKUP($C54,importrange(""1MwNMVzWE3QBVOyJjKr3eFX-Sq1Ng0Q1sghWJbgbE_8g"",""ORDER BOOKING REPORT 2024-25!C:CV""),{58,65,72},0))))"),"")</f>
        <v/>
      </c>
      <c r="BR54" s="327" t="str">
        <f>IFERROR(__xludf.DUMMYFUNCTION("IFERROR(ArrayFormula(SUM(VLOOKUP($C54,importrange(""1MwNMVzWE3QBVOyJjKr3eFX-Sq1Ng0Q1sghWJbgbE_8g"",""ORDER BOOKING REPORT 2024-25!C:CV""),{79,86,93},0))))"),"")</f>
        <v/>
      </c>
      <c r="BS54" s="328">
        <f t="shared" si="13"/>
        <v>0.5856507256</v>
      </c>
      <c r="BT54" s="328">
        <f t="shared" si="14"/>
        <v>0.05210092486</v>
      </c>
      <c r="BU54" s="234">
        <f t="shared" si="15"/>
        <v>0</v>
      </c>
      <c r="BV54" s="329">
        <v>31625.0</v>
      </c>
      <c r="BW54" s="329" t="s">
        <v>1029</v>
      </c>
      <c r="BX54" s="329">
        <v>826.0</v>
      </c>
      <c r="BY54" s="234">
        <f t="shared" si="16"/>
        <v>0</v>
      </c>
      <c r="BZ54" s="234"/>
      <c r="CA54" s="234"/>
      <c r="CB54" s="234"/>
      <c r="CC54" s="234"/>
      <c r="CD54" s="234"/>
      <c r="CE54" s="234"/>
      <c r="CF54" s="234"/>
      <c r="CG54" s="234" t="str">
        <f t="shared" si="19"/>
        <v> </v>
      </c>
      <c r="CH54" s="234" t="str">
        <f t="shared" si="27"/>
        <v>Business Achieved 50%</v>
      </c>
      <c r="CI54" s="328">
        <f t="shared" si="20"/>
        <v>0.5949367089</v>
      </c>
      <c r="CJ54" s="330">
        <f>IFERROR(__xludf.DUMMYFUNCTION("""COMPUTED_VALUE"""),464.0)</f>
        <v>464</v>
      </c>
      <c r="CK54" s="330">
        <f>IFERROR(__xludf.DUMMYFUNCTION("""COMPUTED_VALUE"""),224.0)</f>
        <v>224</v>
      </c>
      <c r="CL54" s="330">
        <f>IFERROR(__xludf.DUMMYFUNCTION("""COMPUTED_VALUE"""),0.0)</f>
        <v>0</v>
      </c>
      <c r="CM54" s="331">
        <f t="shared" si="21"/>
        <v>0</v>
      </c>
      <c r="CN54" s="337"/>
      <c r="CO54" s="160"/>
      <c r="CP54" s="334"/>
      <c r="CQ54" s="335"/>
      <c r="CR54" s="160"/>
      <c r="CS54" s="160"/>
      <c r="CT54" s="160"/>
      <c r="CU54" s="160"/>
      <c r="CV54" s="160"/>
      <c r="CW54" s="335"/>
      <c r="CX54" s="288"/>
      <c r="CY54" s="160"/>
      <c r="CZ54" s="160"/>
    </row>
    <row r="55">
      <c r="A55" s="157" t="s">
        <v>126</v>
      </c>
      <c r="B55" s="157" t="s">
        <v>130</v>
      </c>
      <c r="C55" s="157" t="s">
        <v>150</v>
      </c>
      <c r="D55" s="157" t="s">
        <v>130</v>
      </c>
      <c r="E55" s="157" t="s">
        <v>151</v>
      </c>
      <c r="F55" s="285">
        <v>44911.0</v>
      </c>
      <c r="G55" s="314">
        <v>0.0</v>
      </c>
      <c r="H55" s="314">
        <v>2.0000004E7</v>
      </c>
      <c r="I55" s="315">
        <v>2.083373771E7</v>
      </c>
      <c r="J55" s="315">
        <v>204300.69</v>
      </c>
      <c r="K55" s="160">
        <v>214.0</v>
      </c>
      <c r="L55" s="160">
        <v>240.0</v>
      </c>
      <c r="M55" s="160">
        <v>65.0</v>
      </c>
      <c r="N55" s="160">
        <v>279.0</v>
      </c>
      <c r="O55" s="160">
        <v>39.0</v>
      </c>
      <c r="P55" s="315">
        <v>1.719701381E7</v>
      </c>
      <c r="Q55" s="315">
        <v>3636723.9</v>
      </c>
      <c r="R55" s="160">
        <v>160.0</v>
      </c>
      <c r="S55" s="160">
        <v>57.0</v>
      </c>
      <c r="T55" s="160">
        <v>217.0</v>
      </c>
      <c r="U55" s="160">
        <v>1.0</v>
      </c>
      <c r="V55" s="160">
        <v>49.0</v>
      </c>
      <c r="W55" s="160">
        <v>80.0</v>
      </c>
      <c r="X55" s="160">
        <v>123.0</v>
      </c>
      <c r="Y55" s="160">
        <v>2.0</v>
      </c>
      <c r="Z55" s="160">
        <v>196.0</v>
      </c>
      <c r="AA55" s="160">
        <v>1.0</v>
      </c>
      <c r="AB55" s="160">
        <v>3.0</v>
      </c>
      <c r="AC55" s="160">
        <v>0.0</v>
      </c>
      <c r="AD55" s="160">
        <v>0.0</v>
      </c>
      <c r="AE55" s="160">
        <v>1715.0</v>
      </c>
      <c r="AF55" s="160">
        <v>1994.0</v>
      </c>
      <c r="AG55" s="160">
        <v>296.0</v>
      </c>
      <c r="AH55" s="314">
        <f t="shared" si="2"/>
        <v>71074.45405</v>
      </c>
      <c r="AI55" s="314">
        <f t="shared" si="3"/>
        <v>6.736486486</v>
      </c>
      <c r="AJ55" s="316">
        <f>BV55</f>
        <v>45935</v>
      </c>
      <c r="AK55" s="314">
        <f t="shared" si="35"/>
        <v>551220</v>
      </c>
      <c r="AL55" s="286">
        <v>259890.0</v>
      </c>
      <c r="AM55" s="318">
        <f t="shared" si="5"/>
        <v>0.03855445002</v>
      </c>
      <c r="AN55" s="314">
        <f t="shared" si="6"/>
        <v>96008.00788</v>
      </c>
      <c r="AO55" s="336">
        <f t="shared" si="43"/>
        <v>1.05190171</v>
      </c>
      <c r="AP55" s="319">
        <v>0.0</v>
      </c>
      <c r="AQ55" s="160">
        <v>1159.0</v>
      </c>
      <c r="AR55" s="160">
        <v>2066.0</v>
      </c>
      <c r="AS55" s="160">
        <v>2387.63</v>
      </c>
      <c r="AT55" s="160">
        <v>57.0</v>
      </c>
      <c r="AU55" s="160">
        <v>10.0</v>
      </c>
      <c r="AV55" s="320">
        <v>217.0</v>
      </c>
      <c r="AW55" s="320">
        <v>32.0</v>
      </c>
      <c r="AX55" s="320">
        <v>30.0</v>
      </c>
      <c r="AY55" s="321">
        <f>iferror(VLOOKUP(C55,'ORDER BOOKING REPORT 2025-26'!C:O,13,0),"")</f>
        <v>21749941</v>
      </c>
      <c r="AZ55" s="322"/>
      <c r="BA55" s="157" t="str">
        <f t="shared" si="7"/>
        <v>Active</v>
      </c>
      <c r="BB55" s="157" t="str">
        <f t="shared" si="8"/>
        <v>Old</v>
      </c>
      <c r="BC55" s="157" t="str">
        <f t="shared" si="44"/>
        <v>Above 100%</v>
      </c>
      <c r="BD55" s="223">
        <f t="shared" si="47"/>
        <v>12</v>
      </c>
      <c r="BE55" s="323">
        <v>1666667.0</v>
      </c>
      <c r="BF55" s="157">
        <f t="shared" si="10"/>
        <v>8</v>
      </c>
      <c r="BG55" s="157" t="s">
        <v>1019</v>
      </c>
      <c r="BH55" s="324"/>
      <c r="BI55" s="324"/>
      <c r="BJ55" s="325"/>
      <c r="BK55" s="326"/>
      <c r="BL55" s="326">
        <f t="shared" si="48"/>
        <v>0</v>
      </c>
      <c r="BM55" s="326">
        <f t="shared" si="12"/>
        <v>20000004</v>
      </c>
      <c r="BN55" s="326"/>
      <c r="BO55" s="327" t="str">
        <f>IFERROR(__xludf.DUMMYFUNCTION("IFERROR(ArrayFormula(SUM(VLOOKUP($C55,importrange(""1MwNMVzWE3QBVOyJjKr3eFX-Sq1Ng0Q1sghWJbgbE_8g"",""ORDER BOOKING REPORT 2024-25!C:CV""),{16,23,30},0))))"),"")</f>
        <v/>
      </c>
      <c r="BP55" s="327" t="str">
        <f>IFERROR(__xludf.DUMMYFUNCTION("IFERROR(ArrayFormula(SUM(VLOOKUP($C55,importrange(""1MwNMVzWE3QBVOyJjKr3eFX-Sq1Ng0Q1sghWJbgbE_8g"",""ORDER BOOKING REPORT 2024-25!C:CV""),{37,44,51},0))))"),"")</f>
        <v/>
      </c>
      <c r="BQ55" s="327" t="str">
        <f>IFERROR(__xludf.DUMMYFUNCTION("IFERROR(ArrayFormula(SUM(VLOOKUP($C55,importrange(""1MwNMVzWE3QBVOyJjKr3eFX-Sq1Ng0Q1sghWJbgbE_8g"",""ORDER BOOKING REPORT 2024-25!C:CV""),{58,65,72},0))))"),"")</f>
        <v/>
      </c>
      <c r="BR55" s="327" t="str">
        <f>IFERROR(__xludf.DUMMYFUNCTION("IFERROR(ArrayFormula(SUM(VLOOKUP($C55,importrange(""1MwNMVzWE3QBVOyJjKr3eFX-Sq1Ng0Q1sghWJbgbE_8g"",""ORDER BOOKING REPORT 2024-25!C:CV""),{79,86,93},0))))"),"")</f>
        <v/>
      </c>
      <c r="BS55" s="328">
        <f t="shared" si="13"/>
        <v>1.087496833</v>
      </c>
      <c r="BT55" s="328">
        <f t="shared" si="14"/>
        <v>0.03729251495</v>
      </c>
      <c r="BU55" s="234">
        <f t="shared" si="15"/>
        <v>0</v>
      </c>
      <c r="BV55" s="329">
        <v>45935.0</v>
      </c>
      <c r="BW55" s="329" t="s">
        <v>1020</v>
      </c>
      <c r="BX55" s="329">
        <v>832.0</v>
      </c>
      <c r="BY55" s="234">
        <f t="shared" si="16"/>
        <v>0</v>
      </c>
      <c r="BZ55" s="234"/>
      <c r="CA55" s="234"/>
      <c r="CB55" s="234"/>
      <c r="CC55" s="234"/>
      <c r="CD55" s="234"/>
      <c r="CE55" s="234"/>
      <c r="CF55" s="234"/>
      <c r="CG55" s="234" t="str">
        <f t="shared" si="19"/>
        <v> </v>
      </c>
      <c r="CH55" s="234" t="str">
        <f t="shared" si="27"/>
        <v>Business Achieved 50%</v>
      </c>
      <c r="CI55" s="328">
        <f t="shared" si="20"/>
        <v>0.7777777778</v>
      </c>
      <c r="CJ55" s="339">
        <f>IFERROR(__xludf.DUMMYFUNCTION("""COMPUTED_VALUE"""),1647.0)</f>
        <v>1647</v>
      </c>
      <c r="CK55" s="339">
        <f>IFERROR(__xludf.DUMMYFUNCTION("""COMPUTED_VALUE"""),68.0)</f>
        <v>68</v>
      </c>
      <c r="CL55" s="339">
        <f>IFERROR(__xludf.DUMMYFUNCTION("""COMPUTED_VALUE"""),0.0)</f>
        <v>0</v>
      </c>
      <c r="CM55" s="331">
        <f t="shared" si="21"/>
        <v>0</v>
      </c>
      <c r="CN55" s="340"/>
      <c r="CO55" s="328"/>
      <c r="CP55" s="341"/>
      <c r="CQ55" s="344"/>
      <c r="CR55" s="328"/>
      <c r="CS55" s="328"/>
      <c r="CT55" s="328"/>
      <c r="CU55" s="328"/>
      <c r="CV55" s="328"/>
      <c r="CW55" s="328"/>
      <c r="CX55" s="288"/>
      <c r="CY55" s="328"/>
      <c r="CZ55" s="328"/>
    </row>
    <row r="56">
      <c r="A56" s="157" t="s">
        <v>322</v>
      </c>
      <c r="B56" s="157" t="s">
        <v>325</v>
      </c>
      <c r="C56" s="157" t="s">
        <v>689</v>
      </c>
      <c r="D56" s="157" t="s">
        <v>1049</v>
      </c>
      <c r="E56" s="157" t="s">
        <v>1071</v>
      </c>
      <c r="F56" s="338">
        <v>44928.0</v>
      </c>
      <c r="G56" s="314">
        <v>0.0</v>
      </c>
      <c r="H56" s="314">
        <v>5833331.0</v>
      </c>
      <c r="I56" s="315">
        <v>1788891.24</v>
      </c>
      <c r="J56" s="315">
        <v>0.0</v>
      </c>
      <c r="K56" s="160">
        <v>65.0</v>
      </c>
      <c r="L56" s="160">
        <v>80.0</v>
      </c>
      <c r="M56" s="160">
        <v>24.0</v>
      </c>
      <c r="N56" s="160">
        <v>89.0</v>
      </c>
      <c r="O56" s="160">
        <v>9.0</v>
      </c>
      <c r="P56" s="315">
        <v>1327703.29</v>
      </c>
      <c r="Q56" s="315">
        <v>461187.95</v>
      </c>
      <c r="R56" s="160">
        <v>43.0</v>
      </c>
      <c r="S56" s="160">
        <v>20.0</v>
      </c>
      <c r="T56" s="160">
        <v>63.0</v>
      </c>
      <c r="U56" s="160">
        <v>0.0</v>
      </c>
      <c r="V56" s="160">
        <v>92.0</v>
      </c>
      <c r="W56" s="160">
        <v>199.0</v>
      </c>
      <c r="X56" s="160">
        <v>134.0</v>
      </c>
      <c r="Y56" s="160">
        <v>3.0</v>
      </c>
      <c r="Z56" s="160">
        <v>64.0</v>
      </c>
      <c r="AA56" s="160">
        <v>0.0</v>
      </c>
      <c r="AB56" s="160">
        <v>0.0</v>
      </c>
      <c r="AC56" s="160">
        <v>1.0</v>
      </c>
      <c r="AD56" s="160">
        <v>1.0</v>
      </c>
      <c r="AE56" s="160">
        <v>458.0</v>
      </c>
      <c r="AF56" s="160">
        <v>722.0</v>
      </c>
      <c r="AG56" s="160">
        <v>174.0</v>
      </c>
      <c r="AH56" s="314">
        <f t="shared" si="2"/>
        <v>10280.98414</v>
      </c>
      <c r="AI56" s="314">
        <f t="shared" si="3"/>
        <v>4.149425287</v>
      </c>
      <c r="AJ56" s="316">
        <v>49500.0</v>
      </c>
      <c r="AK56" s="314">
        <f t="shared" si="35"/>
        <v>351450</v>
      </c>
      <c r="AL56" s="317">
        <v>69684.0</v>
      </c>
      <c r="AM56" s="318">
        <f t="shared" si="5"/>
        <v>0.2354162123</v>
      </c>
      <c r="AN56" s="314">
        <f t="shared" si="6"/>
        <v>28395.09905</v>
      </c>
      <c r="AO56" s="336">
        <f t="shared" si="43"/>
        <v>0.3066671924</v>
      </c>
      <c r="AP56" s="319">
        <v>0.0</v>
      </c>
      <c r="AQ56" s="160">
        <v>121.0</v>
      </c>
      <c r="AR56" s="160">
        <v>1629.0</v>
      </c>
      <c r="AS56" s="160">
        <v>0.0</v>
      </c>
      <c r="AT56" s="160">
        <v>20.0</v>
      </c>
      <c r="AU56" s="160">
        <v>0.0</v>
      </c>
      <c r="AV56" s="320">
        <v>63.0</v>
      </c>
      <c r="AW56" s="320">
        <v>19.0</v>
      </c>
      <c r="AX56" s="320">
        <v>7.0</v>
      </c>
      <c r="AY56" s="321">
        <f>iferror(VLOOKUP(C56,'ORDER BOOKING REPORT 2025-26'!C:O,13,0),"")</f>
        <v>817726</v>
      </c>
      <c r="AZ56" s="322">
        <v>45971.0</v>
      </c>
      <c r="BA56" s="157" t="str">
        <f t="shared" si="7"/>
        <v>LEFT</v>
      </c>
      <c r="BB56" s="157" t="str">
        <f t="shared" si="8"/>
        <v>Old</v>
      </c>
      <c r="BC56" s="157" t="str">
        <f t="shared" si="44"/>
        <v>Below 50%</v>
      </c>
      <c r="BD56" s="223">
        <v>7.1</v>
      </c>
      <c r="BE56" s="323">
        <v>833333.0</v>
      </c>
      <c r="BF56" s="157">
        <f t="shared" si="10"/>
        <v>4</v>
      </c>
      <c r="BG56" s="157" t="s">
        <v>1019</v>
      </c>
      <c r="BH56" s="324"/>
      <c r="BI56" s="324"/>
      <c r="BJ56" s="325"/>
      <c r="BK56" s="326"/>
      <c r="BL56" s="326">
        <f t="shared" si="48"/>
        <v>0</v>
      </c>
      <c r="BM56" s="326">
        <f t="shared" si="12"/>
        <v>5833331</v>
      </c>
      <c r="BN56" s="326"/>
      <c r="BO56" s="327" t="str">
        <f>IFERROR(__xludf.DUMMYFUNCTION("IFERROR(ArrayFormula(SUM(VLOOKUP($C56,importrange(""1MwNMVzWE3QBVOyJjKr3eFX-Sq1Ng0Q1sghWJbgbE_8g"",""ORDER BOOKING REPORT 2024-25!C:CV""),{16,23,30},0))))"),"")</f>
        <v/>
      </c>
      <c r="BP56" s="327" t="str">
        <f>IFERROR(__xludf.DUMMYFUNCTION("IFERROR(ArrayFormula(SUM(VLOOKUP($C56,importrange(""1MwNMVzWE3QBVOyJjKr3eFX-Sq1Ng0Q1sghWJbgbE_8g"",""ORDER BOOKING REPORT 2024-25!C:CV""),{37,44,51},0))))"),"")</f>
        <v/>
      </c>
      <c r="BQ56" s="327" t="str">
        <f>IFERROR(__xludf.DUMMYFUNCTION("IFERROR(ArrayFormula(SUM(VLOOKUP($C56,importrange(""1MwNMVzWE3QBVOyJjKr3eFX-Sq1Ng0Q1sghWJbgbE_8g"",""ORDER BOOKING REPORT 2024-25!C:CV""),{58,65,72},0))))"),"")</f>
        <v/>
      </c>
      <c r="BR56" s="327" t="str">
        <f>IFERROR(__xludf.DUMMYFUNCTION("IFERROR(ArrayFormula(SUM(VLOOKUP($C56,importrange(""1MwNMVzWE3QBVOyJjKr3eFX-Sq1Ng0Q1sghWJbgbE_8g"",""ORDER BOOKING REPORT 2024-25!C:CV""),{79,86,93},0))))"),"")</f>
        <v/>
      </c>
      <c r="BS56" s="328">
        <f t="shared" si="13"/>
        <v>0.1401816561</v>
      </c>
      <c r="BT56" s="328">
        <f t="shared" si="14"/>
        <v>0.515006249</v>
      </c>
      <c r="BU56" s="234">
        <f t="shared" si="15"/>
        <v>0</v>
      </c>
      <c r="BV56" s="329">
        <v>49500.0</v>
      </c>
      <c r="BW56" s="329" t="s">
        <v>1020</v>
      </c>
      <c r="BX56" s="329">
        <v>839.0</v>
      </c>
      <c r="BY56" s="234">
        <f t="shared" si="16"/>
        <v>0</v>
      </c>
      <c r="BZ56" s="234"/>
      <c r="CA56" s="234"/>
      <c r="CB56" s="234"/>
      <c r="CC56" s="234"/>
      <c r="CD56" s="234"/>
      <c r="CE56" s="234"/>
      <c r="CF56" s="234"/>
      <c r="CG56" s="234" t="str">
        <f t="shared" si="19"/>
        <v> </v>
      </c>
      <c r="CH56" s="234" t="str">
        <f t="shared" si="27"/>
        <v>Business Achieved 50%</v>
      </c>
      <c r="CI56" s="328">
        <f t="shared" si="20"/>
        <v>0.7078651685</v>
      </c>
      <c r="CJ56" s="330">
        <f>IFERROR(__xludf.DUMMYFUNCTION("""COMPUTED_VALUE"""),366.0)</f>
        <v>366</v>
      </c>
      <c r="CK56" s="330">
        <f>IFERROR(__xludf.DUMMYFUNCTION("""COMPUTED_VALUE"""),92.0)</f>
        <v>92</v>
      </c>
      <c r="CL56" s="330">
        <f>IFERROR(__xludf.DUMMYFUNCTION("""COMPUTED_VALUE"""),0.0)</f>
        <v>0</v>
      </c>
      <c r="CM56" s="331">
        <f t="shared" si="21"/>
        <v>0</v>
      </c>
      <c r="CN56" s="337"/>
      <c r="CO56" s="160"/>
      <c r="CP56" s="334"/>
      <c r="CQ56" s="335"/>
      <c r="CR56" s="160"/>
      <c r="CS56" s="160"/>
      <c r="CT56" s="160"/>
      <c r="CU56" s="160"/>
      <c r="CV56" s="160"/>
      <c r="CW56" s="335"/>
      <c r="CX56" s="288"/>
      <c r="CY56" s="160"/>
      <c r="CZ56" s="160"/>
    </row>
    <row r="57">
      <c r="A57" s="157" t="s">
        <v>185</v>
      </c>
      <c r="B57" s="157" t="s">
        <v>117</v>
      </c>
      <c r="C57" s="157" t="s">
        <v>120</v>
      </c>
      <c r="D57" s="157" t="s">
        <v>1044</v>
      </c>
      <c r="E57" s="157" t="s">
        <v>121</v>
      </c>
      <c r="F57" s="285">
        <v>44953.0</v>
      </c>
      <c r="G57" s="314">
        <v>0.0</v>
      </c>
      <c r="H57" s="314">
        <v>1.68E7</v>
      </c>
      <c r="I57" s="315">
        <v>7713644.68</v>
      </c>
      <c r="J57" s="315">
        <v>0.0</v>
      </c>
      <c r="K57" s="160">
        <v>133.0</v>
      </c>
      <c r="L57" s="160">
        <v>132.0</v>
      </c>
      <c r="M57" s="160">
        <v>10.0</v>
      </c>
      <c r="N57" s="160">
        <v>143.0</v>
      </c>
      <c r="O57" s="160">
        <v>11.0</v>
      </c>
      <c r="P57" s="315">
        <v>6891808.3</v>
      </c>
      <c r="Q57" s="315">
        <v>821836.38</v>
      </c>
      <c r="R57" s="160">
        <v>110.0</v>
      </c>
      <c r="S57" s="160">
        <v>10.0</v>
      </c>
      <c r="T57" s="160">
        <v>120.0</v>
      </c>
      <c r="U57" s="160">
        <v>0.0</v>
      </c>
      <c r="V57" s="160">
        <v>4.0</v>
      </c>
      <c r="W57" s="160">
        <v>9.0</v>
      </c>
      <c r="X57" s="160">
        <v>41.0</v>
      </c>
      <c r="Y57" s="160">
        <v>1.0</v>
      </c>
      <c r="Z57" s="160">
        <v>3.0</v>
      </c>
      <c r="AA57" s="160">
        <v>0.0</v>
      </c>
      <c r="AB57" s="160">
        <v>0.0</v>
      </c>
      <c r="AC57" s="160">
        <v>0.0</v>
      </c>
      <c r="AD57" s="160">
        <v>0.0</v>
      </c>
      <c r="AE57" s="160">
        <v>2065.0</v>
      </c>
      <c r="AF57" s="160">
        <v>2077.0</v>
      </c>
      <c r="AG57" s="160">
        <v>284.0</v>
      </c>
      <c r="AH57" s="314">
        <f t="shared" si="2"/>
        <v>27160.7207</v>
      </c>
      <c r="AI57" s="314">
        <f t="shared" si="3"/>
        <v>7.313380282</v>
      </c>
      <c r="AJ57" s="316">
        <f>BV57</f>
        <v>34920</v>
      </c>
      <c r="AK57" s="314">
        <f t="shared" si="35"/>
        <v>419040</v>
      </c>
      <c r="AL57" s="286">
        <v>163530.0</v>
      </c>
      <c r="AM57" s="318">
        <f t="shared" si="5"/>
        <v>0.0755246092</v>
      </c>
      <c r="AN57" s="314">
        <f t="shared" si="6"/>
        <v>64280.37233</v>
      </c>
      <c r="AO57" s="336">
        <f t="shared" si="43"/>
        <v>0.4591455167</v>
      </c>
      <c r="AP57" s="319">
        <v>0.0</v>
      </c>
      <c r="AQ57" s="160">
        <v>672.0</v>
      </c>
      <c r="AR57" s="160">
        <v>3066.0</v>
      </c>
      <c r="AS57" s="160">
        <v>2280.11</v>
      </c>
      <c r="AT57" s="160">
        <v>10.0</v>
      </c>
      <c r="AU57" s="160">
        <v>17.0</v>
      </c>
      <c r="AV57" s="320">
        <v>120.0</v>
      </c>
      <c r="AW57" s="320">
        <v>12.0</v>
      </c>
      <c r="AX57" s="320">
        <v>11.0</v>
      </c>
      <c r="AY57" s="321">
        <f>iferror(VLOOKUP(C57,'ORDER BOOKING REPORT 2025-26'!C:O,13,0),"")</f>
        <v>8727947</v>
      </c>
      <c r="AZ57" s="322"/>
      <c r="BA57" s="157" t="str">
        <f t="shared" si="7"/>
        <v>Active</v>
      </c>
      <c r="BB57" s="157" t="str">
        <f t="shared" si="8"/>
        <v>Old</v>
      </c>
      <c r="BC57" s="157" t="str">
        <f t="shared" si="44"/>
        <v>Below 50%</v>
      </c>
      <c r="BD57" s="223">
        <f t="shared" ref="BD57:BD59" si="49">Match($BD$2,{"Apr","May","Jun","Jul","Aug","Sep","Oct","Nov","Dec","Jan","Feb","Mar"},0)</f>
        <v>12</v>
      </c>
      <c r="BE57" s="323">
        <v>1400000.0</v>
      </c>
      <c r="BF57" s="157">
        <f t="shared" si="10"/>
        <v>0</v>
      </c>
      <c r="BG57" s="157" t="s">
        <v>1019</v>
      </c>
      <c r="BH57" s="324"/>
      <c r="BI57" s="324"/>
      <c r="BJ57" s="325"/>
      <c r="BK57" s="326"/>
      <c r="BL57" s="326">
        <f t="shared" si="48"/>
        <v>0</v>
      </c>
      <c r="BM57" s="326">
        <f t="shared" si="12"/>
        <v>16800000</v>
      </c>
      <c r="BN57" s="326"/>
      <c r="BO57" s="327" t="str">
        <f>IFERROR(__xludf.DUMMYFUNCTION("IFERROR(ArrayFormula(SUM(VLOOKUP($C57,importrange(""1MwNMVzWE3QBVOyJjKr3eFX-Sq1Ng0Q1sghWJbgbE_8g"",""ORDER BOOKING REPORT 2024-25!C:CV""),{16,23,30},0))))"),"")</f>
        <v/>
      </c>
      <c r="BP57" s="327" t="str">
        <f>IFERROR(__xludf.DUMMYFUNCTION("IFERROR(ArrayFormula(SUM(VLOOKUP($C57,importrange(""1MwNMVzWE3QBVOyJjKr3eFX-Sq1Ng0Q1sghWJbgbE_8g"",""ORDER BOOKING REPORT 2024-25!C:CV""),{37,44,51},0))))"),"")</f>
        <v/>
      </c>
      <c r="BQ57" s="327" t="str">
        <f>IFERROR(__xludf.DUMMYFUNCTION("IFERROR(ArrayFormula(SUM(VLOOKUP($C57,importrange(""1MwNMVzWE3QBVOyJjKr3eFX-Sq1Ng0Q1sghWJbgbE_8g"",""ORDER BOOKING REPORT 2024-25!C:CV""),{58,65,72},0))))"),"")</f>
        <v/>
      </c>
      <c r="BR57" s="327" t="str">
        <f>IFERROR(__xludf.DUMMYFUNCTION("IFERROR(ArrayFormula(SUM(VLOOKUP($C57,importrange(""1MwNMVzWE3QBVOyJjKr3eFX-Sq1Ng0Q1sghWJbgbE_8g"",""ORDER BOOKING REPORT 2024-25!C:CV""),{79,86,93},0))))"),"")</f>
        <v/>
      </c>
      <c r="BS57" s="328">
        <f t="shared" si="13"/>
        <v>0.5195206548</v>
      </c>
      <c r="BT57" s="328">
        <f t="shared" si="14"/>
        <v>0.06674765555</v>
      </c>
      <c r="BU57" s="234">
        <f t="shared" si="15"/>
        <v>0</v>
      </c>
      <c r="BV57" s="329">
        <v>34920.0</v>
      </c>
      <c r="BW57" s="329" t="s">
        <v>1029</v>
      </c>
      <c r="BX57" s="329">
        <v>849.0</v>
      </c>
      <c r="BY57" s="234">
        <f t="shared" si="16"/>
        <v>0</v>
      </c>
      <c r="BZ57" s="234"/>
      <c r="CA57" s="234"/>
      <c r="CB57" s="234"/>
      <c r="CC57" s="234"/>
      <c r="CD57" s="234"/>
      <c r="CE57" s="234"/>
      <c r="CF57" s="234"/>
      <c r="CG57" s="234" t="str">
        <f t="shared" si="19"/>
        <v> </v>
      </c>
      <c r="CH57" s="234" t="str">
        <f t="shared" si="27"/>
        <v>Business Achieved 50%</v>
      </c>
      <c r="CI57" s="328">
        <f t="shared" si="20"/>
        <v>0.8391608392</v>
      </c>
      <c r="CJ57" s="339">
        <f>IFERROR(__xludf.DUMMYFUNCTION("""COMPUTED_VALUE"""),1952.0)</f>
        <v>1952</v>
      </c>
      <c r="CK57" s="339">
        <f>IFERROR(__xludf.DUMMYFUNCTION("""COMPUTED_VALUE"""),113.0)</f>
        <v>113</v>
      </c>
      <c r="CL57" s="339">
        <f>IFERROR(__xludf.DUMMYFUNCTION("""COMPUTED_VALUE"""),0.0)</f>
        <v>0</v>
      </c>
      <c r="CM57" s="331">
        <f t="shared" si="21"/>
        <v>0</v>
      </c>
      <c r="CN57" s="340"/>
      <c r="CO57" s="328"/>
      <c r="CP57" s="341"/>
      <c r="CQ57" s="344"/>
      <c r="CR57" s="328"/>
      <c r="CS57" s="328"/>
      <c r="CT57" s="328"/>
      <c r="CU57" s="328"/>
      <c r="CV57" s="328"/>
      <c r="CW57" s="328"/>
      <c r="CX57" s="288"/>
      <c r="CY57" s="328"/>
      <c r="CZ57" s="328"/>
    </row>
    <row r="58">
      <c r="A58" s="157" t="s">
        <v>185</v>
      </c>
      <c r="B58" s="157" t="s">
        <v>189</v>
      </c>
      <c r="C58" s="157" t="s">
        <v>697</v>
      </c>
      <c r="D58" s="157" t="s">
        <v>1016</v>
      </c>
      <c r="E58" s="157" t="s">
        <v>1072</v>
      </c>
      <c r="F58" s="338">
        <v>44958.0</v>
      </c>
      <c r="G58" s="314">
        <v>0.0</v>
      </c>
      <c r="H58" s="314">
        <v>4.8E7</v>
      </c>
      <c r="I58" s="315">
        <v>4.612985341E7</v>
      </c>
      <c r="J58" s="315">
        <v>0.0</v>
      </c>
      <c r="K58" s="160">
        <v>66.0</v>
      </c>
      <c r="L58" s="160">
        <v>71.0</v>
      </c>
      <c r="M58" s="160">
        <v>6.0</v>
      </c>
      <c r="N58" s="160">
        <v>72.0</v>
      </c>
      <c r="O58" s="160">
        <v>1.0</v>
      </c>
      <c r="P58" s="315">
        <v>4.513538351E7</v>
      </c>
      <c r="Q58" s="315">
        <v>994469.9</v>
      </c>
      <c r="R58" s="160">
        <v>63.0</v>
      </c>
      <c r="S58" s="160">
        <v>5.0</v>
      </c>
      <c r="T58" s="160">
        <v>68.0</v>
      </c>
      <c r="U58" s="160">
        <v>0.0</v>
      </c>
      <c r="V58" s="160">
        <v>1.0</v>
      </c>
      <c r="W58" s="160">
        <v>2.0</v>
      </c>
      <c r="X58" s="160">
        <v>60.0</v>
      </c>
      <c r="Y58" s="160">
        <v>2.0</v>
      </c>
      <c r="Z58" s="160">
        <v>32.0</v>
      </c>
      <c r="AA58" s="160">
        <v>0.0</v>
      </c>
      <c r="AB58" s="160">
        <v>0.0</v>
      </c>
      <c r="AC58" s="160">
        <v>0.0</v>
      </c>
      <c r="AD58" s="160">
        <v>0.0</v>
      </c>
      <c r="AE58" s="160">
        <v>1325.0</v>
      </c>
      <c r="AF58" s="160">
        <v>1359.0</v>
      </c>
      <c r="AG58" s="160">
        <v>294.0</v>
      </c>
      <c r="AH58" s="314">
        <f t="shared" si="2"/>
        <v>156904.2633</v>
      </c>
      <c r="AI58" s="314">
        <f t="shared" si="3"/>
        <v>4.62244898</v>
      </c>
      <c r="AJ58" s="316">
        <v>24116.0</v>
      </c>
      <c r="AK58" s="314">
        <f t="shared" si="35"/>
        <v>289392</v>
      </c>
      <c r="AL58" s="317">
        <v>122777.0</v>
      </c>
      <c r="AM58" s="318">
        <f t="shared" si="5"/>
        <v>0.008934973115</v>
      </c>
      <c r="AN58" s="314">
        <f t="shared" si="6"/>
        <v>678380.1972</v>
      </c>
      <c r="AO58" s="336">
        <f t="shared" si="43"/>
        <v>0.9610386127</v>
      </c>
      <c r="AP58" s="319">
        <v>0.0</v>
      </c>
      <c r="AQ58" s="160">
        <v>423.0</v>
      </c>
      <c r="AR58" s="160">
        <v>3304.0</v>
      </c>
      <c r="AS58" s="160">
        <v>2040.04</v>
      </c>
      <c r="AT58" s="160">
        <v>5.0</v>
      </c>
      <c r="AU58" s="160">
        <v>29.0</v>
      </c>
      <c r="AV58" s="320">
        <v>68.0</v>
      </c>
      <c r="AW58" s="320">
        <v>3.0</v>
      </c>
      <c r="AX58" s="320">
        <v>1.0</v>
      </c>
      <c r="AY58" s="321">
        <f>iferror(VLOOKUP(C58,'ORDER BOOKING REPORT 2025-26'!C:O,13,0),"")</f>
        <v>50347730</v>
      </c>
      <c r="AZ58" s="322"/>
      <c r="BA58" s="157" t="str">
        <f t="shared" si="7"/>
        <v>Active</v>
      </c>
      <c r="BB58" s="157" t="str">
        <f t="shared" si="8"/>
        <v>Old</v>
      </c>
      <c r="BC58" s="157" t="str">
        <f t="shared" si="44"/>
        <v>90%-100%</v>
      </c>
      <c r="BD58" s="223">
        <f t="shared" si="49"/>
        <v>12</v>
      </c>
      <c r="BE58" s="323">
        <v>4000000.0</v>
      </c>
      <c r="BF58" s="157">
        <f t="shared" si="10"/>
        <v>1</v>
      </c>
      <c r="BG58" s="157" t="s">
        <v>1019</v>
      </c>
      <c r="BH58" s="324"/>
      <c r="BI58" s="324"/>
      <c r="BJ58" s="325"/>
      <c r="BK58" s="326"/>
      <c r="BL58" s="326">
        <f t="shared" si="48"/>
        <v>0</v>
      </c>
      <c r="BM58" s="326">
        <f t="shared" si="12"/>
        <v>48000000</v>
      </c>
      <c r="BN58" s="326"/>
      <c r="BO58" s="327" t="str">
        <f>IFERROR(__xludf.DUMMYFUNCTION("IFERROR(ArrayFormula(SUM(VLOOKUP($C58,importrange(""1MwNMVzWE3QBVOyJjKr3eFX-Sq1Ng0Q1sghWJbgbE_8g"",""ORDER BOOKING REPORT 2024-25!C:CV""),{16,23,30},0))))"),"")</f>
        <v/>
      </c>
      <c r="BP58" s="327" t="str">
        <f>IFERROR(__xludf.DUMMYFUNCTION("IFERROR(ArrayFormula(SUM(VLOOKUP($C58,importrange(""1MwNMVzWE3QBVOyJjKr3eFX-Sq1Ng0Q1sghWJbgbE_8g"",""ORDER BOOKING REPORT 2024-25!C:CV""),{37,44,51},0))))"),"")</f>
        <v/>
      </c>
      <c r="BQ58" s="327" t="str">
        <f>IFERROR(__xludf.DUMMYFUNCTION("IFERROR(ArrayFormula(SUM(VLOOKUP($C58,importrange(""1MwNMVzWE3QBVOyJjKr3eFX-Sq1Ng0Q1sghWJbgbE_8g"",""ORDER BOOKING REPORT 2024-25!C:CV""),{58,65,72},0))))"),"")</f>
        <v/>
      </c>
      <c r="BR58" s="327" t="str">
        <f>IFERROR(__xludf.DUMMYFUNCTION("IFERROR(ArrayFormula(SUM(VLOOKUP($C58,importrange(""1MwNMVzWE3QBVOyJjKr3eFX-Sq1Ng0Q1sghWJbgbE_8g"",""ORDER BOOKING REPORT 2024-25!C:CV""),{79,86,93},0))))"),"")</f>
        <v/>
      </c>
      <c r="BS58" s="328">
        <f t="shared" si="13"/>
        <v>1.048911042</v>
      </c>
      <c r="BT58" s="328">
        <f t="shared" si="14"/>
        <v>0.008186446539</v>
      </c>
      <c r="BU58" s="234">
        <f t="shared" si="15"/>
        <v>0</v>
      </c>
      <c r="BV58" s="329">
        <v>24116.0</v>
      </c>
      <c r="BW58" s="329" t="s">
        <v>1045</v>
      </c>
      <c r="BX58" s="329">
        <v>853.0</v>
      </c>
      <c r="BY58" s="234">
        <f t="shared" si="16"/>
        <v>0</v>
      </c>
      <c r="BZ58" s="234"/>
      <c r="CA58" s="234"/>
      <c r="CB58" s="234"/>
      <c r="CC58" s="234"/>
      <c r="CD58" s="234"/>
      <c r="CE58" s="234"/>
      <c r="CF58" s="234"/>
      <c r="CG58" s="234" t="str">
        <f t="shared" si="19"/>
        <v> </v>
      </c>
      <c r="CH58" s="234" t="str">
        <f t="shared" si="27"/>
        <v>Business Achieved 50%</v>
      </c>
      <c r="CI58" s="328">
        <f t="shared" si="20"/>
        <v>0.9444444444</v>
      </c>
      <c r="CJ58" s="330">
        <f>IFERROR(__xludf.DUMMYFUNCTION("""COMPUTED_VALUE"""),1278.0)</f>
        <v>1278</v>
      </c>
      <c r="CK58" s="330">
        <f>IFERROR(__xludf.DUMMYFUNCTION("""COMPUTED_VALUE"""),47.0)</f>
        <v>47</v>
      </c>
      <c r="CL58" s="330">
        <f>IFERROR(__xludf.DUMMYFUNCTION("""COMPUTED_VALUE"""),0.0)</f>
        <v>0</v>
      </c>
      <c r="CM58" s="331">
        <f t="shared" si="21"/>
        <v>0</v>
      </c>
      <c r="CN58" s="337"/>
      <c r="CO58" s="160"/>
      <c r="CP58" s="334"/>
      <c r="CQ58" s="335"/>
      <c r="CR58" s="160"/>
      <c r="CS58" s="160"/>
      <c r="CT58" s="160"/>
      <c r="CU58" s="160"/>
      <c r="CV58" s="160"/>
      <c r="CW58" s="335"/>
      <c r="CX58" s="288"/>
      <c r="CY58" s="160"/>
      <c r="CZ58" s="160"/>
    </row>
    <row r="59">
      <c r="A59" s="157" t="s">
        <v>23</v>
      </c>
      <c r="B59" s="157" t="s">
        <v>27</v>
      </c>
      <c r="C59" s="157" t="s">
        <v>702</v>
      </c>
      <c r="D59" s="157" t="s">
        <v>1073</v>
      </c>
      <c r="E59" s="157" t="s">
        <v>27</v>
      </c>
      <c r="F59" s="338">
        <v>44994.0</v>
      </c>
      <c r="G59" s="314">
        <v>2400000.0</v>
      </c>
      <c r="H59" s="314">
        <v>1.8E7</v>
      </c>
      <c r="I59" s="315">
        <v>8148002.96</v>
      </c>
      <c r="J59" s="315">
        <v>1522428.68</v>
      </c>
      <c r="K59" s="160">
        <v>85.0</v>
      </c>
      <c r="L59" s="160">
        <v>74.0</v>
      </c>
      <c r="M59" s="160">
        <v>3.0</v>
      </c>
      <c r="N59" s="160">
        <v>88.0</v>
      </c>
      <c r="O59" s="160">
        <v>14.0</v>
      </c>
      <c r="P59" s="315">
        <v>7726671.11</v>
      </c>
      <c r="Q59" s="315">
        <v>421331.85</v>
      </c>
      <c r="R59" s="160">
        <v>46.0</v>
      </c>
      <c r="S59" s="160">
        <v>3.0</v>
      </c>
      <c r="T59" s="160">
        <v>49.0</v>
      </c>
      <c r="U59" s="160">
        <v>4.0</v>
      </c>
      <c r="V59" s="160">
        <v>27.0</v>
      </c>
      <c r="W59" s="160">
        <v>53.0</v>
      </c>
      <c r="X59" s="160">
        <v>113.0</v>
      </c>
      <c r="Y59" s="160">
        <v>3.0</v>
      </c>
      <c r="Z59" s="160">
        <v>111.0</v>
      </c>
      <c r="AA59" s="160">
        <v>7.0</v>
      </c>
      <c r="AB59" s="160">
        <v>211.0</v>
      </c>
      <c r="AC59" s="160">
        <v>3.0</v>
      </c>
      <c r="AD59" s="160">
        <v>80.0</v>
      </c>
      <c r="AE59" s="160">
        <v>1228.0</v>
      </c>
      <c r="AF59" s="160">
        <v>1683.0</v>
      </c>
      <c r="AG59" s="160">
        <v>280.0</v>
      </c>
      <c r="AH59" s="314">
        <f t="shared" si="2"/>
        <v>34537.25586</v>
      </c>
      <c r="AI59" s="314">
        <f t="shared" si="3"/>
        <v>6.010714286</v>
      </c>
      <c r="AJ59" s="316">
        <f t="shared" ref="AJ59:AJ60" si="50">BV59</f>
        <v>46390</v>
      </c>
      <c r="AK59" s="314">
        <f t="shared" si="35"/>
        <v>556680</v>
      </c>
      <c r="AL59" s="286">
        <v>91472.0</v>
      </c>
      <c r="AM59" s="318">
        <f t="shared" si="5"/>
        <v>0.06702410235</v>
      </c>
      <c r="AN59" s="314">
        <f t="shared" si="6"/>
        <v>166285.7747</v>
      </c>
      <c r="AO59" s="336">
        <f t="shared" si="43"/>
        <v>0.4740407667</v>
      </c>
      <c r="AP59" s="319">
        <v>0.63</v>
      </c>
      <c r="AQ59" s="160">
        <v>273.0</v>
      </c>
      <c r="AR59" s="160">
        <v>2918.0</v>
      </c>
      <c r="AS59" s="160">
        <v>1645.64</v>
      </c>
      <c r="AT59" s="160">
        <v>3.0</v>
      </c>
      <c r="AU59" s="160">
        <v>22.0</v>
      </c>
      <c r="AV59" s="320">
        <v>49.0</v>
      </c>
      <c r="AW59" s="320">
        <v>25.0</v>
      </c>
      <c r="AX59" s="320">
        <v>14.0</v>
      </c>
      <c r="AY59" s="321">
        <f>iferror(VLOOKUP(C59,'ORDER BOOKING REPORT 2025-26'!C:O,13,0),"")</f>
        <v>9249137</v>
      </c>
      <c r="AZ59" s="322"/>
      <c r="BA59" s="157" t="str">
        <f t="shared" si="7"/>
        <v>Active</v>
      </c>
      <c r="BB59" s="157" t="str">
        <f t="shared" si="8"/>
        <v>Old</v>
      </c>
      <c r="BC59" s="157" t="str">
        <f t="shared" si="44"/>
        <v>Below 50%</v>
      </c>
      <c r="BD59" s="223">
        <f t="shared" si="49"/>
        <v>12</v>
      </c>
      <c r="BE59" s="323">
        <v>1700000.0</v>
      </c>
      <c r="BF59" s="157">
        <f t="shared" si="10"/>
        <v>0</v>
      </c>
      <c r="BG59" s="157" t="s">
        <v>1019</v>
      </c>
      <c r="BH59" s="324"/>
      <c r="BI59" s="324"/>
      <c r="BJ59" s="325"/>
      <c r="BK59" s="326">
        <v>200000.0</v>
      </c>
      <c r="BL59" s="326">
        <f t="shared" si="48"/>
        <v>2400000</v>
      </c>
      <c r="BM59" s="326">
        <f t="shared" si="12"/>
        <v>20400000</v>
      </c>
      <c r="BN59" s="326"/>
      <c r="BO59" s="327" t="str">
        <f>IFERROR(__xludf.DUMMYFUNCTION("IFERROR(ArrayFormula(SUM(VLOOKUP($C59,importrange(""1MwNMVzWE3QBVOyJjKr3eFX-Sq1Ng0Q1sghWJbgbE_8g"",""ORDER BOOKING REPORT 2024-25!C:CV""),{16,23,30},0))))"),"")</f>
        <v/>
      </c>
      <c r="BP59" s="327" t="str">
        <f>IFERROR(__xludf.DUMMYFUNCTION("IFERROR(ArrayFormula(SUM(VLOOKUP($C59,importrange(""1MwNMVzWE3QBVOyJjKr3eFX-Sq1Ng0Q1sghWJbgbE_8g"",""ORDER BOOKING REPORT 2024-25!C:CV""),{37,44,51},0))))"),"")</f>
        <v/>
      </c>
      <c r="BQ59" s="327" t="str">
        <f>IFERROR(__xludf.DUMMYFUNCTION("IFERROR(ArrayFormula(SUM(VLOOKUP($C59,importrange(""1MwNMVzWE3QBVOyJjKr3eFX-Sq1Ng0Q1sghWJbgbE_8g"",""ORDER BOOKING REPORT 2024-25!C:CV""),{58,65,72},0))))"),"")</f>
        <v/>
      </c>
      <c r="BR59" s="327" t="str">
        <f>IFERROR(__xludf.DUMMYFUNCTION("IFERROR(ArrayFormula(SUM(VLOOKUP($C59,importrange(""1MwNMVzWE3QBVOyJjKr3eFX-Sq1Ng0Q1sghWJbgbE_8g"",""ORDER BOOKING REPORT 2024-25!C:CV""),{79,86,93},0))))"),"")</f>
        <v/>
      </c>
      <c r="BS59" s="328">
        <f t="shared" si="13"/>
        <v>0.4533890686</v>
      </c>
      <c r="BT59" s="328">
        <f t="shared" si="14"/>
        <v>0.07007702448</v>
      </c>
      <c r="BU59" s="234">
        <f t="shared" si="15"/>
        <v>0</v>
      </c>
      <c r="BV59" s="329">
        <v>46390.0</v>
      </c>
      <c r="BW59" s="329" t="s">
        <v>1020</v>
      </c>
      <c r="BX59" s="329">
        <v>861.0</v>
      </c>
      <c r="BY59" s="234">
        <f t="shared" si="16"/>
        <v>0</v>
      </c>
      <c r="BZ59" s="234"/>
      <c r="CA59" s="234"/>
      <c r="CB59" s="234"/>
      <c r="CC59" s="234"/>
      <c r="CD59" s="234"/>
      <c r="CE59" s="234"/>
      <c r="CF59" s="234"/>
      <c r="CG59" s="234" t="str">
        <f t="shared" si="19"/>
        <v> </v>
      </c>
      <c r="CH59" s="234" t="str">
        <f t="shared" si="27"/>
        <v>Business Achieved 50%</v>
      </c>
      <c r="CI59" s="328">
        <f t="shared" si="20"/>
        <v>0.5568181818</v>
      </c>
      <c r="CJ59" s="339">
        <f>IFERROR(__xludf.DUMMYFUNCTION("""COMPUTED_VALUE"""),1046.0)</f>
        <v>1046</v>
      </c>
      <c r="CK59" s="339">
        <f>IFERROR(__xludf.DUMMYFUNCTION("""COMPUTED_VALUE"""),182.0)</f>
        <v>182</v>
      </c>
      <c r="CL59" s="339">
        <f>IFERROR(__xludf.DUMMYFUNCTION("""COMPUTED_VALUE"""),0.0)</f>
        <v>0</v>
      </c>
      <c r="CM59" s="331">
        <f t="shared" si="21"/>
        <v>0</v>
      </c>
      <c r="CN59" s="340"/>
      <c r="CO59" s="328"/>
      <c r="CP59" s="341"/>
      <c r="CQ59" s="344"/>
      <c r="CR59" s="328"/>
      <c r="CS59" s="328"/>
      <c r="CT59" s="328"/>
      <c r="CU59" s="328"/>
      <c r="CV59" s="328"/>
      <c r="CW59" s="328"/>
      <c r="CX59" s="288"/>
      <c r="CY59" s="328"/>
      <c r="CZ59" s="328"/>
    </row>
    <row r="60">
      <c r="A60" s="157" t="s">
        <v>126</v>
      </c>
      <c r="B60" s="157" t="s">
        <v>130</v>
      </c>
      <c r="C60" s="157" t="s">
        <v>704</v>
      </c>
      <c r="D60" s="157" t="s">
        <v>130</v>
      </c>
      <c r="E60" s="157" t="s">
        <v>439</v>
      </c>
      <c r="F60" s="285">
        <v>45000.0</v>
      </c>
      <c r="G60" s="314">
        <v>0.0</v>
      </c>
      <c r="H60" s="314">
        <v>1.0416665E7</v>
      </c>
      <c r="I60" s="315">
        <v>1970484.12</v>
      </c>
      <c r="J60" s="315">
        <v>0.0</v>
      </c>
      <c r="K60" s="160">
        <v>30.0</v>
      </c>
      <c r="L60" s="160">
        <v>29.0</v>
      </c>
      <c r="M60" s="160">
        <v>4.0</v>
      </c>
      <c r="N60" s="160">
        <v>34.0</v>
      </c>
      <c r="O60" s="160">
        <v>5.0</v>
      </c>
      <c r="P60" s="315">
        <v>1733087.18</v>
      </c>
      <c r="Q60" s="315">
        <v>237396.94</v>
      </c>
      <c r="R60" s="160">
        <v>17.0</v>
      </c>
      <c r="S60" s="160">
        <v>4.0</v>
      </c>
      <c r="T60" s="160">
        <v>21.0</v>
      </c>
      <c r="U60" s="160">
        <v>0.0</v>
      </c>
      <c r="V60" s="160">
        <v>8.0</v>
      </c>
      <c r="W60" s="160">
        <v>9.0</v>
      </c>
      <c r="X60" s="160">
        <v>100.0</v>
      </c>
      <c r="Y60" s="160">
        <v>1.0</v>
      </c>
      <c r="Z60" s="160">
        <v>23.0</v>
      </c>
      <c r="AA60" s="160">
        <v>0.0</v>
      </c>
      <c r="AB60" s="160">
        <v>0.0</v>
      </c>
      <c r="AC60" s="160">
        <v>0.0</v>
      </c>
      <c r="AD60" s="160">
        <v>0.0</v>
      </c>
      <c r="AE60" s="160">
        <v>418.0</v>
      </c>
      <c r="AF60" s="160">
        <v>450.0</v>
      </c>
      <c r="AG60" s="160">
        <v>111.0</v>
      </c>
      <c r="AH60" s="314">
        <f t="shared" si="2"/>
        <v>17752.10919</v>
      </c>
      <c r="AI60" s="314">
        <f t="shared" si="3"/>
        <v>4.054054054</v>
      </c>
      <c r="AJ60" s="316">
        <f t="shared" si="50"/>
        <v>28360</v>
      </c>
      <c r="AK60" s="314">
        <f t="shared" si="35"/>
        <v>141800</v>
      </c>
      <c r="AL60" s="286">
        <v>73560.0</v>
      </c>
      <c r="AM60" s="318">
        <f t="shared" si="5"/>
        <v>0.1092929386</v>
      </c>
      <c r="AN60" s="314">
        <f t="shared" si="6"/>
        <v>93832.57714</v>
      </c>
      <c r="AO60" s="336">
        <f t="shared" si="43"/>
        <v>0.1891665058</v>
      </c>
      <c r="AP60" s="319">
        <v>0.0</v>
      </c>
      <c r="AQ60" s="160">
        <v>40.0</v>
      </c>
      <c r="AR60" s="160">
        <v>773.0</v>
      </c>
      <c r="AS60" s="160">
        <v>0.0</v>
      </c>
      <c r="AT60" s="160">
        <v>4.0</v>
      </c>
      <c r="AU60" s="160">
        <v>0.0</v>
      </c>
      <c r="AV60" s="320">
        <v>21.0</v>
      </c>
      <c r="AW60" s="320">
        <v>8.0</v>
      </c>
      <c r="AX60" s="320">
        <v>5.0</v>
      </c>
      <c r="AY60" s="321">
        <f>iferror(VLOOKUP(C60,'ORDER BOOKING REPORT 2025-26'!C:O,13,0),"")</f>
        <v>1513261</v>
      </c>
      <c r="AZ60" s="322">
        <v>45900.0</v>
      </c>
      <c r="BA60" s="157" t="str">
        <f t="shared" si="7"/>
        <v>LEFT</v>
      </c>
      <c r="BB60" s="157" t="str">
        <f t="shared" si="8"/>
        <v>Old</v>
      </c>
      <c r="BC60" s="157" t="str">
        <f t="shared" si="44"/>
        <v>Below 50%</v>
      </c>
      <c r="BD60" s="223">
        <v>5.0</v>
      </c>
      <c r="BE60" s="326">
        <v>2083333.0</v>
      </c>
      <c r="BF60" s="157">
        <f t="shared" si="10"/>
        <v>0</v>
      </c>
      <c r="BG60" s="157" t="s">
        <v>1019</v>
      </c>
      <c r="BH60" s="324"/>
      <c r="BI60" s="324"/>
      <c r="BJ60" s="325"/>
      <c r="BK60" s="326"/>
      <c r="BL60" s="326">
        <f t="shared" si="48"/>
        <v>0</v>
      </c>
      <c r="BM60" s="326">
        <f t="shared" si="12"/>
        <v>10416665</v>
      </c>
      <c r="BN60" s="326"/>
      <c r="BO60" s="327" t="str">
        <f>IFERROR(__xludf.DUMMYFUNCTION("IFERROR(ArrayFormula(SUM(VLOOKUP($C60,importrange(""1MwNMVzWE3QBVOyJjKr3eFX-Sq1Ng0Q1sghWJbgbE_8g"",""ORDER BOOKING REPORT 2024-25!C:CV""),{16,23,30},0))))"),"")</f>
        <v/>
      </c>
      <c r="BP60" s="327" t="str">
        <f>IFERROR(__xludf.DUMMYFUNCTION("IFERROR(ArrayFormula(SUM(VLOOKUP($C60,importrange(""1MwNMVzWE3QBVOyJjKr3eFX-Sq1Ng0Q1sghWJbgbE_8g"",""ORDER BOOKING REPORT 2024-25!C:CV""),{37,44,51},0))))"),"")</f>
        <v/>
      </c>
      <c r="BQ60" s="327" t="str">
        <f>IFERROR(__xludf.DUMMYFUNCTION("IFERROR(ArrayFormula(SUM(VLOOKUP($C60,importrange(""1MwNMVzWE3QBVOyJjKr3eFX-Sq1Ng0Q1sghWJbgbE_8g"",""ORDER BOOKING REPORT 2024-25!C:CV""),{58,65,72},0))))"),"")</f>
        <v/>
      </c>
      <c r="BR60" s="327" t="str">
        <f>IFERROR(__xludf.DUMMYFUNCTION("IFERROR(ArrayFormula(SUM(VLOOKUP($C60,importrange(""1MwNMVzWE3QBVOyJjKr3eFX-Sq1Ng0Q1sghWJbgbE_8g"",""ORDER BOOKING REPORT 2024-25!C:CV""),{79,86,93},0))))"),"")</f>
        <v/>
      </c>
      <c r="BS60" s="328">
        <f t="shared" si="13"/>
        <v>0.1452730792</v>
      </c>
      <c r="BT60" s="328">
        <f t="shared" si="14"/>
        <v>0.1423151723</v>
      </c>
      <c r="BU60" s="234">
        <f t="shared" si="15"/>
        <v>0</v>
      </c>
      <c r="BV60" s="329">
        <v>28360.0</v>
      </c>
      <c r="BW60" s="329" t="s">
        <v>1045</v>
      </c>
      <c r="BX60" s="329">
        <v>870.0</v>
      </c>
      <c r="BY60" s="234">
        <f t="shared" si="16"/>
        <v>0</v>
      </c>
      <c r="BZ60" s="234"/>
      <c r="CA60" s="234">
        <f>BE60*BD60</f>
        <v>10416665</v>
      </c>
      <c r="CB60" s="234"/>
      <c r="CC60" s="234">
        <f>CA60-H60</f>
        <v>0</v>
      </c>
      <c r="CD60" s="234"/>
      <c r="CE60" s="234"/>
      <c r="CF60" s="234"/>
      <c r="CG60" s="234" t="str">
        <f t="shared" si="19"/>
        <v>Below 60</v>
      </c>
      <c r="CH60" s="234" t="str">
        <f t="shared" si="27"/>
        <v>Business Achieved 50%</v>
      </c>
      <c r="CI60" s="328">
        <f t="shared" si="20"/>
        <v>0.6176470588</v>
      </c>
      <c r="CJ60" s="339">
        <f>IFERROR(__xludf.DUMMYFUNCTION("""COMPUTED_VALUE"""),337.0)</f>
        <v>337</v>
      </c>
      <c r="CK60" s="339">
        <f>IFERROR(__xludf.DUMMYFUNCTION("""COMPUTED_VALUE"""),81.0)</f>
        <v>81</v>
      </c>
      <c r="CL60" s="339">
        <f>IFERROR(__xludf.DUMMYFUNCTION("""COMPUTED_VALUE"""),0.0)</f>
        <v>0</v>
      </c>
      <c r="CM60" s="331">
        <f t="shared" si="21"/>
        <v>0</v>
      </c>
      <c r="CN60" s="340"/>
      <c r="CO60" s="328"/>
      <c r="CP60" s="341"/>
      <c r="CQ60" s="344"/>
      <c r="CR60" s="328"/>
      <c r="CS60" s="328"/>
      <c r="CT60" s="328"/>
      <c r="CU60" s="328"/>
      <c r="CV60" s="328"/>
      <c r="CW60" s="328"/>
      <c r="CX60" s="288"/>
      <c r="CY60" s="328"/>
      <c r="CZ60" s="328"/>
    </row>
    <row r="61">
      <c r="A61" s="157" t="s">
        <v>185</v>
      </c>
      <c r="B61" s="157" t="s">
        <v>215</v>
      </c>
      <c r="C61" s="157" t="s">
        <v>713</v>
      </c>
      <c r="D61" s="157" t="s">
        <v>1064</v>
      </c>
      <c r="E61" s="157" t="s">
        <v>1074</v>
      </c>
      <c r="F61" s="285">
        <v>45040.0</v>
      </c>
      <c r="G61" s="314">
        <v>0.0</v>
      </c>
      <c r="H61" s="314">
        <v>1.8E7</v>
      </c>
      <c r="I61" s="315">
        <v>1.328926312E7</v>
      </c>
      <c r="J61" s="315">
        <v>0.0</v>
      </c>
      <c r="K61" s="160">
        <v>27.0</v>
      </c>
      <c r="L61" s="160">
        <v>41.0</v>
      </c>
      <c r="M61" s="160">
        <v>14.0</v>
      </c>
      <c r="N61" s="160">
        <v>41.0</v>
      </c>
      <c r="O61" s="160">
        <v>0.0</v>
      </c>
      <c r="P61" s="315">
        <v>9077784.4</v>
      </c>
      <c r="Q61" s="315">
        <v>4211478.72</v>
      </c>
      <c r="R61" s="160">
        <v>17.0</v>
      </c>
      <c r="S61" s="160">
        <v>14.0</v>
      </c>
      <c r="T61" s="160">
        <v>31.0</v>
      </c>
      <c r="U61" s="160">
        <v>0.0</v>
      </c>
      <c r="V61" s="160">
        <v>60.0</v>
      </c>
      <c r="W61" s="160">
        <v>145.0</v>
      </c>
      <c r="X61" s="160">
        <v>61.0</v>
      </c>
      <c r="Y61" s="160">
        <v>1.0</v>
      </c>
      <c r="Z61" s="160">
        <v>12.0</v>
      </c>
      <c r="AA61" s="160">
        <v>0.0</v>
      </c>
      <c r="AB61" s="160">
        <v>0.0</v>
      </c>
      <c r="AC61" s="160">
        <v>0.0</v>
      </c>
      <c r="AD61" s="160">
        <v>0.0</v>
      </c>
      <c r="AE61" s="160">
        <v>1505.0</v>
      </c>
      <c r="AF61" s="160">
        <v>1662.0</v>
      </c>
      <c r="AG61" s="160">
        <v>294.0</v>
      </c>
      <c r="AH61" s="314">
        <f t="shared" si="2"/>
        <v>45201.57524</v>
      </c>
      <c r="AI61" s="314">
        <f t="shared" si="3"/>
        <v>5.653061224</v>
      </c>
      <c r="AJ61" s="316">
        <v>36400.0</v>
      </c>
      <c r="AK61" s="314">
        <f t="shared" si="35"/>
        <v>436800</v>
      </c>
      <c r="AL61" s="317">
        <v>218741.0</v>
      </c>
      <c r="AM61" s="318">
        <f t="shared" si="5"/>
        <v>0.04932861921</v>
      </c>
      <c r="AN61" s="314">
        <f t="shared" si="6"/>
        <v>428685.9071</v>
      </c>
      <c r="AO61" s="336">
        <f t="shared" si="43"/>
        <v>0.7382923956</v>
      </c>
      <c r="AP61" s="319">
        <v>0.0</v>
      </c>
      <c r="AQ61" s="160">
        <v>137.0</v>
      </c>
      <c r="AR61" s="160">
        <v>2400.0</v>
      </c>
      <c r="AS61" s="160">
        <v>2159.76</v>
      </c>
      <c r="AT61" s="160">
        <v>14.0</v>
      </c>
      <c r="AU61" s="160">
        <v>53.0</v>
      </c>
      <c r="AV61" s="320">
        <v>31.0</v>
      </c>
      <c r="AW61" s="320">
        <v>10.0</v>
      </c>
      <c r="AX61" s="320">
        <v>0.0</v>
      </c>
      <c r="AY61" s="321">
        <f>iferror(VLOOKUP(C61,'ORDER BOOKING REPORT 2025-26'!C:O,13,0),"")</f>
        <v>10960525</v>
      </c>
      <c r="AZ61" s="322"/>
      <c r="BA61" s="157" t="str">
        <f t="shared" si="7"/>
        <v>Active</v>
      </c>
      <c r="BB61" s="157" t="str">
        <f t="shared" si="8"/>
        <v>Old</v>
      </c>
      <c r="BC61" s="157" t="str">
        <f t="shared" si="44"/>
        <v>70%-90%</v>
      </c>
      <c r="BD61" s="223">
        <f t="array" ref="BD61">Match($BD$2,{"Apr","May","Jun","Jul","Aug","Sep","Oct","Nov","Dec","Jan","Feb","Mar"},0)</f>
        <v>12</v>
      </c>
      <c r="BE61" s="323">
        <v>1500000.0</v>
      </c>
      <c r="BF61" s="157">
        <f t="shared" si="10"/>
        <v>0</v>
      </c>
      <c r="BG61" s="157" t="s">
        <v>1019</v>
      </c>
      <c r="BH61" s="324"/>
      <c r="BI61" s="324"/>
      <c r="BJ61" s="325"/>
      <c r="BK61" s="326"/>
      <c r="BL61" s="326">
        <f t="shared" si="48"/>
        <v>0</v>
      </c>
      <c r="BM61" s="326">
        <f t="shared" si="12"/>
        <v>18000000</v>
      </c>
      <c r="BN61" s="326"/>
      <c r="BO61" s="327" t="str">
        <f>IFERROR(__xludf.DUMMYFUNCTION("IFERROR(ArrayFormula(SUM(VLOOKUP($C61,importrange(""1MwNMVzWE3QBVOyJjKr3eFX-Sq1Ng0Q1sghWJbgbE_8g"",""ORDER BOOKING REPORT 2024-25!C:CV""),{16,23,30},0))))"),"")</f>
        <v/>
      </c>
      <c r="BP61" s="327" t="str">
        <f>IFERROR(__xludf.DUMMYFUNCTION("IFERROR(ArrayFormula(SUM(VLOOKUP($C61,importrange(""1MwNMVzWE3QBVOyJjKr3eFX-Sq1Ng0Q1sghWJbgbE_8g"",""ORDER BOOKING REPORT 2024-25!C:CV""),{37,44,51},0))))"),"")</f>
        <v/>
      </c>
      <c r="BQ61" s="327" t="str">
        <f>IFERROR(__xludf.DUMMYFUNCTION("IFERROR(ArrayFormula(SUM(VLOOKUP($C61,importrange(""1MwNMVzWE3QBVOyJjKr3eFX-Sq1Ng0Q1sghWJbgbE_8g"",""ORDER BOOKING REPORT 2024-25!C:CV""),{58,65,72},0))))"),"")</f>
        <v/>
      </c>
      <c r="BR61" s="327" t="str">
        <f>IFERROR(__xludf.DUMMYFUNCTION("IFERROR(ArrayFormula(SUM(VLOOKUP($C61,importrange(""1MwNMVzWE3QBVOyJjKr3eFX-Sq1Ng0Q1sghWJbgbE_8g"",""ORDER BOOKING REPORT 2024-25!C:CV""),{79,86,93},0))))"),"")</f>
        <v/>
      </c>
      <c r="BS61" s="328">
        <f t="shared" si="13"/>
        <v>0.6089180556</v>
      </c>
      <c r="BT61" s="328">
        <f t="shared" si="14"/>
        <v>0.05980927009</v>
      </c>
      <c r="BU61" s="234">
        <f t="shared" si="15"/>
        <v>0</v>
      </c>
      <c r="BV61" s="329">
        <v>36400.0</v>
      </c>
      <c r="BW61" s="329" t="s">
        <v>1045</v>
      </c>
      <c r="BX61" s="329">
        <v>886.0</v>
      </c>
      <c r="BY61" s="234">
        <f t="shared" si="16"/>
        <v>0</v>
      </c>
      <c r="BZ61" s="234"/>
      <c r="CA61" s="234"/>
      <c r="CB61" s="234"/>
      <c r="CC61" s="234"/>
      <c r="CD61" s="234"/>
      <c r="CE61" s="234"/>
      <c r="CF61" s="234"/>
      <c r="CG61" s="234" t="str">
        <f t="shared" si="19"/>
        <v>Below 60</v>
      </c>
      <c r="CH61" s="234" t="str">
        <f t="shared" si="27"/>
        <v>Business Achieved 50%</v>
      </c>
      <c r="CI61" s="328">
        <f t="shared" si="20"/>
        <v>0.756097561</v>
      </c>
      <c r="CJ61" s="330">
        <f>IFERROR(__xludf.DUMMYFUNCTION("""COMPUTED_VALUE"""),1410.0)</f>
        <v>1410</v>
      </c>
      <c r="CK61" s="330">
        <f>IFERROR(__xludf.DUMMYFUNCTION("""COMPUTED_VALUE"""),95.0)</f>
        <v>95</v>
      </c>
      <c r="CL61" s="330">
        <f>IFERROR(__xludf.DUMMYFUNCTION("""COMPUTED_VALUE"""),0.0)</f>
        <v>0</v>
      </c>
      <c r="CM61" s="331">
        <f t="shared" si="21"/>
        <v>0</v>
      </c>
      <c r="CN61" s="337"/>
      <c r="CO61" s="160"/>
      <c r="CP61" s="334"/>
      <c r="CQ61" s="335"/>
      <c r="CR61" s="160"/>
      <c r="CS61" s="160"/>
      <c r="CT61" s="160"/>
      <c r="CU61" s="160"/>
      <c r="CV61" s="160"/>
      <c r="CW61" s="335"/>
      <c r="CX61" s="288"/>
      <c r="CY61" s="160"/>
      <c r="CZ61" s="160"/>
    </row>
    <row r="62">
      <c r="A62" s="157" t="s">
        <v>185</v>
      </c>
      <c r="B62" s="157" t="s">
        <v>189</v>
      </c>
      <c r="C62" s="157" t="s">
        <v>402</v>
      </c>
      <c r="D62" s="157" t="s">
        <v>1016</v>
      </c>
      <c r="E62" s="157" t="s">
        <v>192</v>
      </c>
      <c r="F62" s="285">
        <v>45040.0</v>
      </c>
      <c r="G62" s="314">
        <v>0.0</v>
      </c>
      <c r="H62" s="314">
        <v>1.05E7</v>
      </c>
      <c r="I62" s="315">
        <v>4573013.75</v>
      </c>
      <c r="J62" s="315">
        <v>0.0</v>
      </c>
      <c r="K62" s="160">
        <v>75.0</v>
      </c>
      <c r="L62" s="160">
        <v>65.0</v>
      </c>
      <c r="M62" s="160">
        <v>1.0</v>
      </c>
      <c r="N62" s="160">
        <v>76.0</v>
      </c>
      <c r="O62" s="160">
        <v>11.0</v>
      </c>
      <c r="P62" s="315">
        <v>4571337.35</v>
      </c>
      <c r="Q62" s="315">
        <v>1676.4</v>
      </c>
      <c r="R62" s="160">
        <v>28.0</v>
      </c>
      <c r="S62" s="160">
        <v>1.0</v>
      </c>
      <c r="T62" s="160">
        <v>29.0</v>
      </c>
      <c r="U62" s="160">
        <v>0.0</v>
      </c>
      <c r="V62" s="160">
        <v>6.0</v>
      </c>
      <c r="W62" s="160">
        <v>17.0</v>
      </c>
      <c r="X62" s="160">
        <v>45.0</v>
      </c>
      <c r="Y62" s="160">
        <v>2.0</v>
      </c>
      <c r="Z62" s="160">
        <v>2.0</v>
      </c>
      <c r="AA62" s="160">
        <v>0.0</v>
      </c>
      <c r="AB62" s="160">
        <v>0.0</v>
      </c>
      <c r="AC62" s="160">
        <v>0.0</v>
      </c>
      <c r="AD62" s="160">
        <v>0.0</v>
      </c>
      <c r="AE62" s="160">
        <v>770.0</v>
      </c>
      <c r="AF62" s="160">
        <v>789.0</v>
      </c>
      <c r="AG62" s="160">
        <v>162.0</v>
      </c>
      <c r="AH62" s="314">
        <f t="shared" si="2"/>
        <v>28228.47994</v>
      </c>
      <c r="AI62" s="314">
        <f t="shared" si="3"/>
        <v>4.87037037</v>
      </c>
      <c r="AJ62" s="346">
        <v>25690.0</v>
      </c>
      <c r="AK62" s="314">
        <f t="shared" si="35"/>
        <v>179830</v>
      </c>
      <c r="AL62" s="317">
        <v>58731.0</v>
      </c>
      <c r="AM62" s="318">
        <f t="shared" si="5"/>
        <v>0.05216712939</v>
      </c>
      <c r="AN62" s="314">
        <f t="shared" si="6"/>
        <v>157690.1293</v>
      </c>
      <c r="AO62" s="336">
        <f t="shared" si="43"/>
        <v>0.435525119</v>
      </c>
      <c r="AP62" s="319">
        <v>0.0</v>
      </c>
      <c r="AQ62" s="160">
        <v>83.0</v>
      </c>
      <c r="AR62" s="160">
        <v>1345.0</v>
      </c>
      <c r="AS62" s="160">
        <v>0.0</v>
      </c>
      <c r="AT62" s="160">
        <v>1.0</v>
      </c>
      <c r="AU62" s="160">
        <v>0.0</v>
      </c>
      <c r="AV62" s="320">
        <v>29.0</v>
      </c>
      <c r="AW62" s="320">
        <v>36.0</v>
      </c>
      <c r="AX62" s="320">
        <v>11.0</v>
      </c>
      <c r="AY62" s="321">
        <f>iferror(VLOOKUP(C62,'ORDER BOOKING REPORT 2025-26'!C:O,13,0),"")</f>
        <v>3153649</v>
      </c>
      <c r="AZ62" s="322">
        <v>45961.0</v>
      </c>
      <c r="BA62" s="157" t="str">
        <f t="shared" si="7"/>
        <v>LEFT</v>
      </c>
      <c r="BB62" s="157" t="str">
        <f t="shared" si="8"/>
        <v>Old</v>
      </c>
      <c r="BC62" s="157" t="str">
        <f t="shared" si="44"/>
        <v>Below 50%</v>
      </c>
      <c r="BD62" s="223">
        <v>7.0</v>
      </c>
      <c r="BE62" s="323">
        <v>1500000.0</v>
      </c>
      <c r="BF62" s="157">
        <f t="shared" si="10"/>
        <v>0</v>
      </c>
      <c r="BG62" s="157" t="s">
        <v>1019</v>
      </c>
      <c r="BH62" s="324"/>
      <c r="BI62" s="324"/>
      <c r="BJ62" s="325"/>
      <c r="BK62" s="326"/>
      <c r="BL62" s="326">
        <f t="shared" si="48"/>
        <v>0</v>
      </c>
      <c r="BM62" s="326">
        <f t="shared" si="12"/>
        <v>10500000</v>
      </c>
      <c r="BN62" s="326"/>
      <c r="BO62" s="327" t="str">
        <f>IFERROR(__xludf.DUMMYFUNCTION("IFERROR(ArrayFormula(SUM(VLOOKUP($C62,importrange(""1MwNMVzWE3QBVOyJjKr3eFX-Sq1Ng0Q1sghWJbgbE_8g"",""ORDER BOOKING REPORT 2024-25!C:CV""),{16,23,30},0))))"),"")</f>
        <v/>
      </c>
      <c r="BP62" s="327" t="str">
        <f>IFERROR(__xludf.DUMMYFUNCTION("IFERROR(ArrayFormula(SUM(VLOOKUP($C62,importrange(""1MwNMVzWE3QBVOyJjKr3eFX-Sq1Ng0Q1sghWJbgbE_8g"",""ORDER BOOKING REPORT 2024-25!C:CV""),{37,44,51},0))))"),"")</f>
        <v/>
      </c>
      <c r="BQ62" s="327" t="str">
        <f>IFERROR(__xludf.DUMMYFUNCTION("IFERROR(ArrayFormula(SUM(VLOOKUP($C62,importrange(""1MwNMVzWE3QBVOyJjKr3eFX-Sq1Ng0Q1sghWJbgbE_8g"",""ORDER BOOKING REPORT 2024-25!C:CV""),{58,65,72},0))))"),"")</f>
        <v/>
      </c>
      <c r="BR62" s="327" t="str">
        <f>IFERROR(__xludf.DUMMYFUNCTION("IFERROR(ArrayFormula(SUM(VLOOKUP($C62,importrange(""1MwNMVzWE3QBVOyJjKr3eFX-Sq1Ng0Q1sghWJbgbE_8g"",""ORDER BOOKING REPORT 2024-25!C:CV""),{79,86,93},0))))"),"")</f>
        <v/>
      </c>
      <c r="BS62" s="328">
        <f t="shared" si="13"/>
        <v>0.3003475238</v>
      </c>
      <c r="BT62" s="328">
        <f t="shared" si="14"/>
        <v>0.07564602148</v>
      </c>
      <c r="BU62" s="234">
        <f t="shared" si="15"/>
        <v>0</v>
      </c>
      <c r="BV62" s="329">
        <v>25690.0</v>
      </c>
      <c r="BW62" s="329" t="s">
        <v>1045</v>
      </c>
      <c r="BX62" s="329">
        <v>884.0</v>
      </c>
      <c r="BY62" s="234">
        <f t="shared" si="16"/>
        <v>0</v>
      </c>
      <c r="BZ62" s="234"/>
      <c r="CA62" s="234"/>
      <c r="CB62" s="234"/>
      <c r="CC62" s="234"/>
      <c r="CD62" s="234"/>
      <c r="CE62" s="234"/>
      <c r="CF62" s="234"/>
      <c r="CG62" s="234" t="str">
        <f t="shared" si="19"/>
        <v> </v>
      </c>
      <c r="CH62" s="234" t="str">
        <f t="shared" si="27"/>
        <v>Not 50%</v>
      </c>
      <c r="CI62" s="328">
        <f t="shared" si="20"/>
        <v>0.3815789474</v>
      </c>
      <c r="CJ62" s="330">
        <f>IFERROR(__xludf.DUMMYFUNCTION("""COMPUTED_VALUE"""),495.0)</f>
        <v>495</v>
      </c>
      <c r="CK62" s="330">
        <f>IFERROR(__xludf.DUMMYFUNCTION("""COMPUTED_VALUE"""),275.0)</f>
        <v>275</v>
      </c>
      <c r="CL62" s="330">
        <f>IFERROR(__xludf.DUMMYFUNCTION("""COMPUTED_VALUE"""),0.0)</f>
        <v>0</v>
      </c>
      <c r="CM62" s="331">
        <f t="shared" si="21"/>
        <v>0</v>
      </c>
      <c r="CN62" s="337"/>
      <c r="CO62" s="160"/>
      <c r="CP62" s="334"/>
      <c r="CQ62" s="335"/>
      <c r="CR62" s="160"/>
      <c r="CS62" s="160"/>
      <c r="CT62" s="160"/>
      <c r="CU62" s="160"/>
      <c r="CV62" s="160"/>
      <c r="CW62" s="335"/>
      <c r="CX62" s="288"/>
      <c r="CY62" s="160"/>
      <c r="CZ62" s="160"/>
    </row>
    <row r="63">
      <c r="A63" s="157" t="s">
        <v>298</v>
      </c>
      <c r="B63" s="157" t="s">
        <v>301</v>
      </c>
      <c r="C63" s="157" t="s">
        <v>715</v>
      </c>
      <c r="D63" s="157" t="s">
        <v>1066</v>
      </c>
      <c r="E63" s="157" t="s">
        <v>303</v>
      </c>
      <c r="F63" s="342">
        <v>45047.0</v>
      </c>
      <c r="G63" s="314">
        <v>0.0</v>
      </c>
      <c r="H63" s="314">
        <v>1.44E7</v>
      </c>
      <c r="I63" s="315">
        <v>7163532.37</v>
      </c>
      <c r="J63" s="315">
        <v>0.0</v>
      </c>
      <c r="K63" s="160">
        <v>113.0</v>
      </c>
      <c r="L63" s="160">
        <v>105.0</v>
      </c>
      <c r="M63" s="160">
        <v>11.0</v>
      </c>
      <c r="N63" s="160">
        <v>124.0</v>
      </c>
      <c r="O63" s="160">
        <v>19.0</v>
      </c>
      <c r="P63" s="315">
        <v>6272949.07</v>
      </c>
      <c r="Q63" s="315">
        <v>890583.3</v>
      </c>
      <c r="R63" s="160">
        <v>72.0</v>
      </c>
      <c r="S63" s="160">
        <v>9.0</v>
      </c>
      <c r="T63" s="160">
        <v>81.0</v>
      </c>
      <c r="U63" s="160">
        <v>0.0</v>
      </c>
      <c r="V63" s="160">
        <v>10.0</v>
      </c>
      <c r="W63" s="160">
        <v>20.0</v>
      </c>
      <c r="X63" s="160">
        <v>157.0</v>
      </c>
      <c r="Y63" s="160">
        <v>3.0</v>
      </c>
      <c r="Z63" s="160">
        <v>51.0</v>
      </c>
      <c r="AA63" s="160">
        <v>0.0</v>
      </c>
      <c r="AB63" s="160">
        <v>0.0</v>
      </c>
      <c r="AC63" s="160">
        <v>0.0</v>
      </c>
      <c r="AD63" s="160">
        <v>0.0</v>
      </c>
      <c r="AE63" s="160">
        <v>1288.0</v>
      </c>
      <c r="AF63" s="160">
        <v>1359.0</v>
      </c>
      <c r="AG63" s="160">
        <v>290.0</v>
      </c>
      <c r="AH63" s="314">
        <f t="shared" si="2"/>
        <v>24701.83576</v>
      </c>
      <c r="AI63" s="314">
        <f t="shared" si="3"/>
        <v>4.686206897</v>
      </c>
      <c r="AJ63" s="346">
        <v>37990.0</v>
      </c>
      <c r="AK63" s="314">
        <f t="shared" si="35"/>
        <v>455880</v>
      </c>
      <c r="AL63" s="317">
        <v>115985.0</v>
      </c>
      <c r="AM63" s="318">
        <f t="shared" si="5"/>
        <v>0.07983002944</v>
      </c>
      <c r="AN63" s="314">
        <f t="shared" si="6"/>
        <v>88438.67123</v>
      </c>
      <c r="AO63" s="336">
        <f t="shared" si="43"/>
        <v>0.4974675257</v>
      </c>
      <c r="AP63" s="319">
        <v>0.0</v>
      </c>
      <c r="AQ63" s="160">
        <v>557.0</v>
      </c>
      <c r="AR63" s="160">
        <v>2892.0</v>
      </c>
      <c r="AS63" s="160">
        <v>1849.17</v>
      </c>
      <c r="AT63" s="160">
        <v>9.0</v>
      </c>
      <c r="AU63" s="160">
        <v>18.0</v>
      </c>
      <c r="AV63" s="320">
        <v>81.0</v>
      </c>
      <c r="AW63" s="320">
        <v>27.0</v>
      </c>
      <c r="AX63" s="320">
        <v>16.0</v>
      </c>
      <c r="AY63" s="321">
        <f>iferror(VLOOKUP(C63,'ORDER BOOKING REPORT 2025-26'!C:O,13,0),"")</f>
        <v>7943279</v>
      </c>
      <c r="AZ63" s="322"/>
      <c r="BA63" s="157" t="str">
        <f t="shared" si="7"/>
        <v>Active</v>
      </c>
      <c r="BB63" s="157" t="str">
        <f t="shared" si="8"/>
        <v>Old</v>
      </c>
      <c r="BC63" s="157" t="str">
        <f t="shared" si="44"/>
        <v>Below 50%</v>
      </c>
      <c r="BD63" s="223">
        <f t="array" ref="BD63">Match($BD$2,{"Apr","May","Jun","Jul","Aug","Sep","Oct","Nov","Dec","Jan","Feb","Mar"},0)</f>
        <v>12</v>
      </c>
      <c r="BE63" s="323">
        <v>1200000.0</v>
      </c>
      <c r="BF63" s="157">
        <f t="shared" si="10"/>
        <v>2</v>
      </c>
      <c r="BG63" s="157" t="s">
        <v>1019</v>
      </c>
      <c r="BH63" s="324"/>
      <c r="BI63" s="324"/>
      <c r="BJ63" s="325"/>
      <c r="BK63" s="326"/>
      <c r="BL63" s="326">
        <f t="shared" si="48"/>
        <v>0</v>
      </c>
      <c r="BM63" s="326">
        <f t="shared" si="12"/>
        <v>14400000</v>
      </c>
      <c r="BN63" s="326"/>
      <c r="BO63" s="327" t="str">
        <f>IFERROR(__xludf.DUMMYFUNCTION("IFERROR(ArrayFormula(SUM(VLOOKUP($C63,importrange(""1MwNMVzWE3QBVOyJjKr3eFX-Sq1Ng0Q1sghWJbgbE_8g"",""ORDER BOOKING REPORT 2024-25!C:CV""),{16,23,30},0))))"),"")</f>
        <v/>
      </c>
      <c r="BP63" s="327" t="str">
        <f>IFERROR(__xludf.DUMMYFUNCTION("IFERROR(ArrayFormula(SUM(VLOOKUP($C63,importrange(""1MwNMVzWE3QBVOyJjKr3eFX-Sq1Ng0Q1sghWJbgbE_8g"",""ORDER BOOKING REPORT 2024-25!C:CV""),{37,44,51},0))))"),"")</f>
        <v/>
      </c>
      <c r="BQ63" s="327" t="str">
        <f>IFERROR(__xludf.DUMMYFUNCTION("IFERROR(ArrayFormula(SUM(VLOOKUP($C63,importrange(""1MwNMVzWE3QBVOyJjKr3eFX-Sq1Ng0Q1sghWJbgbE_8g"",""ORDER BOOKING REPORT 2024-25!C:CV""),{58,65,72},0))))"),"")</f>
        <v/>
      </c>
      <c r="BR63" s="327" t="str">
        <f>IFERROR(__xludf.DUMMYFUNCTION("IFERROR(ArrayFormula(SUM(VLOOKUP($C63,importrange(""1MwNMVzWE3QBVOyJjKr3eFX-Sq1Ng0Q1sghWJbgbE_8g"",""ORDER BOOKING REPORT 2024-25!C:CV""),{79,86,93},0))))"),"")</f>
        <v/>
      </c>
      <c r="BS63" s="328">
        <f t="shared" si="13"/>
        <v>0.5516165972</v>
      </c>
      <c r="BT63" s="328">
        <f t="shared" si="14"/>
        <v>0.0719935684</v>
      </c>
      <c r="BU63" s="234">
        <f t="shared" si="15"/>
        <v>0</v>
      </c>
      <c r="BV63" s="329">
        <v>37990.0</v>
      </c>
      <c r="BW63" s="329" t="s">
        <v>1029</v>
      </c>
      <c r="BX63" s="329">
        <v>896.0</v>
      </c>
      <c r="BY63" s="234">
        <f t="shared" si="16"/>
        <v>0</v>
      </c>
      <c r="BZ63" s="234"/>
      <c r="CA63" s="234"/>
      <c r="CB63" s="234"/>
      <c r="CC63" s="234"/>
      <c r="CD63" s="234"/>
      <c r="CE63" s="234"/>
      <c r="CF63" s="234"/>
      <c r="CG63" s="234" t="str">
        <f t="shared" si="19"/>
        <v> </v>
      </c>
      <c r="CH63" s="234" t="str">
        <f t="shared" si="27"/>
        <v>Business Achieved 50%</v>
      </c>
      <c r="CI63" s="328">
        <f t="shared" si="20"/>
        <v>0.6532258065</v>
      </c>
      <c r="CJ63" s="330">
        <f>IFERROR(__xludf.DUMMYFUNCTION("""COMPUTED_VALUE"""),1167.0)</f>
        <v>1167</v>
      </c>
      <c r="CK63" s="330">
        <f>IFERROR(__xludf.DUMMYFUNCTION("""COMPUTED_VALUE"""),121.0)</f>
        <v>121</v>
      </c>
      <c r="CL63" s="330">
        <f>IFERROR(__xludf.DUMMYFUNCTION("""COMPUTED_VALUE"""),0.0)</f>
        <v>0</v>
      </c>
      <c r="CM63" s="331">
        <f t="shared" si="21"/>
        <v>0</v>
      </c>
      <c r="CN63" s="337"/>
      <c r="CO63" s="160"/>
      <c r="CP63" s="334"/>
      <c r="CQ63" s="335"/>
      <c r="CR63" s="160"/>
      <c r="CS63" s="160"/>
      <c r="CT63" s="160"/>
      <c r="CU63" s="160"/>
      <c r="CV63" s="160"/>
      <c r="CW63" s="335"/>
      <c r="CX63" s="288"/>
      <c r="CY63" s="160"/>
      <c r="CZ63" s="160"/>
    </row>
    <row r="64">
      <c r="A64" s="157" t="s">
        <v>298</v>
      </c>
      <c r="B64" s="157" t="s">
        <v>301</v>
      </c>
      <c r="C64" s="157" t="s">
        <v>716</v>
      </c>
      <c r="D64" s="157" t="s">
        <v>1066</v>
      </c>
      <c r="E64" s="157" t="s">
        <v>317</v>
      </c>
      <c r="F64" s="342">
        <v>45047.0</v>
      </c>
      <c r="G64" s="314">
        <v>0.0</v>
      </c>
      <c r="H64" s="314">
        <v>0.0</v>
      </c>
      <c r="I64" s="315">
        <v>0.0</v>
      </c>
      <c r="J64" s="315">
        <v>0.0</v>
      </c>
      <c r="K64" s="160">
        <v>35.0</v>
      </c>
      <c r="L64" s="160">
        <v>28.0</v>
      </c>
      <c r="M64" s="160">
        <v>1.0</v>
      </c>
      <c r="N64" s="160">
        <v>36.0</v>
      </c>
      <c r="O64" s="160">
        <v>8.0</v>
      </c>
      <c r="P64" s="315">
        <v>0.0</v>
      </c>
      <c r="Q64" s="315">
        <v>0.0</v>
      </c>
      <c r="R64" s="160">
        <v>0.0</v>
      </c>
      <c r="S64" s="160">
        <v>0.0</v>
      </c>
      <c r="T64" s="160">
        <v>0.0</v>
      </c>
      <c r="U64" s="160">
        <v>0.0</v>
      </c>
      <c r="V64" s="160">
        <v>3.0</v>
      </c>
      <c r="W64" s="160">
        <v>4.0</v>
      </c>
      <c r="X64" s="160">
        <v>120.0</v>
      </c>
      <c r="Y64" s="160">
        <v>5.0</v>
      </c>
      <c r="Z64" s="160">
        <v>26.0</v>
      </c>
      <c r="AA64" s="160">
        <v>1.0</v>
      </c>
      <c r="AB64" s="160">
        <v>4.0</v>
      </c>
      <c r="AC64" s="160">
        <v>2.0</v>
      </c>
      <c r="AD64" s="160">
        <v>5.0</v>
      </c>
      <c r="AE64" s="160">
        <v>74.0</v>
      </c>
      <c r="AF64" s="160">
        <v>113.0</v>
      </c>
      <c r="AG64" s="160">
        <v>32.0</v>
      </c>
      <c r="AH64" s="314">
        <f t="shared" si="2"/>
        <v>0</v>
      </c>
      <c r="AI64" s="314">
        <f t="shared" si="3"/>
        <v>3.53125</v>
      </c>
      <c r="AJ64" s="346">
        <v>37335.0</v>
      </c>
      <c r="AK64" s="314">
        <f t="shared" si="35"/>
        <v>47042.1</v>
      </c>
      <c r="AL64" s="317">
        <v>11050.0</v>
      </c>
      <c r="AM64" s="318" t="str">
        <f t="shared" si="5"/>
        <v/>
      </c>
      <c r="AN64" s="314" t="str">
        <f t="shared" si="6"/>
        <v/>
      </c>
      <c r="AO64" s="286" t="s">
        <v>972</v>
      </c>
      <c r="AP64" s="319">
        <v>0.0</v>
      </c>
      <c r="AQ64" s="160">
        <v>0.0</v>
      </c>
      <c r="AR64" s="160">
        <v>275.0</v>
      </c>
      <c r="AS64" s="160">
        <v>0.0</v>
      </c>
      <c r="AT64" s="160">
        <v>0.0</v>
      </c>
      <c r="AU64" s="160">
        <v>0.0</v>
      </c>
      <c r="AV64" s="320">
        <v>0.0</v>
      </c>
      <c r="AW64" s="320">
        <v>28.0</v>
      </c>
      <c r="AX64" s="320">
        <v>8.0</v>
      </c>
      <c r="AY64" s="321">
        <f>iferror(VLOOKUP(C64,'ORDER BOOKING REPORT 2025-26'!C:O,13,0),"")</f>
        <v>0</v>
      </c>
      <c r="AZ64" s="345">
        <v>45785.0</v>
      </c>
      <c r="BA64" s="157" t="str">
        <f t="shared" si="7"/>
        <v>LEFT</v>
      </c>
      <c r="BB64" s="157" t="str">
        <f t="shared" si="8"/>
        <v>Old</v>
      </c>
      <c r="BC64" s="160" t="s">
        <v>972</v>
      </c>
      <c r="BD64" s="223">
        <v>1.26</v>
      </c>
      <c r="BE64" s="323"/>
      <c r="BF64" s="157">
        <f t="shared" si="10"/>
        <v>1</v>
      </c>
      <c r="BG64" s="157" t="s">
        <v>1019</v>
      </c>
      <c r="BH64" s="324"/>
      <c r="BI64" s="324"/>
      <c r="BJ64" s="343">
        <f>8/31</f>
        <v>0.2580645161</v>
      </c>
      <c r="BK64" s="347"/>
      <c r="BL64" s="326">
        <f t="shared" si="48"/>
        <v>0</v>
      </c>
      <c r="BM64" s="326">
        <f t="shared" si="12"/>
        <v>0</v>
      </c>
      <c r="BN64" s="326"/>
      <c r="BO64" s="327" t="str">
        <f>IFERROR(__xludf.DUMMYFUNCTION("IFERROR(ArrayFormula(SUM(VLOOKUP($C64,importrange(""1MwNMVzWE3QBVOyJjKr3eFX-Sq1Ng0Q1sghWJbgbE_8g"",""ORDER BOOKING REPORT 2024-25!C:CV""),{16,23,30},0))))"),"")</f>
        <v/>
      </c>
      <c r="BP64" s="327" t="str">
        <f>IFERROR(__xludf.DUMMYFUNCTION("IFERROR(ArrayFormula(SUM(VLOOKUP($C64,importrange(""1MwNMVzWE3QBVOyJjKr3eFX-Sq1Ng0Q1sghWJbgbE_8g"",""ORDER BOOKING REPORT 2024-25!C:CV""),{37,44,51},0))))"),"")</f>
        <v/>
      </c>
      <c r="BQ64" s="327" t="str">
        <f>IFERROR(__xludf.DUMMYFUNCTION("IFERROR(ArrayFormula(SUM(VLOOKUP($C64,importrange(""1MwNMVzWE3QBVOyJjKr3eFX-Sq1Ng0Q1sghWJbgbE_8g"",""ORDER BOOKING REPORT 2024-25!C:CV""),{58,65,72},0))))"),"")</f>
        <v/>
      </c>
      <c r="BR64" s="327" t="str">
        <f>IFERROR(__xludf.DUMMYFUNCTION("IFERROR(ArrayFormula(SUM(VLOOKUP($C64,importrange(""1MwNMVzWE3QBVOyJjKr3eFX-Sq1Ng0Q1sghWJbgbE_8g"",""ORDER BOOKING REPORT 2024-25!C:CV""),{79,86,93},0))))"),"")</f>
        <v/>
      </c>
      <c r="BS64" s="328" t="str">
        <f t="shared" si="13"/>
        <v/>
      </c>
      <c r="BT64" s="328" t="str">
        <f t="shared" si="14"/>
        <v/>
      </c>
      <c r="BU64" s="234">
        <f t="shared" si="15"/>
        <v>0</v>
      </c>
      <c r="BV64" s="329"/>
      <c r="BW64" s="329"/>
      <c r="BX64" s="329"/>
      <c r="BY64" s="234">
        <f t="shared" si="16"/>
        <v>-37335</v>
      </c>
      <c r="BZ64" s="234"/>
      <c r="CA64" s="234"/>
      <c r="CB64" s="234"/>
      <c r="CC64" s="234"/>
      <c r="CD64" s="234"/>
      <c r="CE64" s="234"/>
      <c r="CF64" s="234"/>
      <c r="CG64" s="234" t="str">
        <f t="shared" si="19"/>
        <v>Below 60</v>
      </c>
      <c r="CH64" s="234" t="str">
        <f t="shared" si="27"/>
        <v>Not 50%</v>
      </c>
      <c r="CI64" s="328">
        <f t="shared" si="20"/>
        <v>0</v>
      </c>
      <c r="CJ64" s="330">
        <f>IFERROR(__xludf.DUMMYFUNCTION("""COMPUTED_VALUE"""),0.0)</f>
        <v>0</v>
      </c>
      <c r="CK64" s="330">
        <f>IFERROR(__xludf.DUMMYFUNCTION("""COMPUTED_VALUE"""),74.0)</f>
        <v>74</v>
      </c>
      <c r="CL64" s="330">
        <f>IFERROR(__xludf.DUMMYFUNCTION("""COMPUTED_VALUE"""),0.0)</f>
        <v>0</v>
      </c>
      <c r="CM64" s="331">
        <f t="shared" si="21"/>
        <v>0</v>
      </c>
      <c r="CN64" s="337"/>
      <c r="CO64" s="160"/>
      <c r="CP64" s="334"/>
      <c r="CQ64" s="335"/>
      <c r="CR64" s="160"/>
      <c r="CS64" s="160"/>
      <c r="CT64" s="160"/>
      <c r="CU64" s="160"/>
      <c r="CV64" s="160"/>
      <c r="CW64" s="335"/>
      <c r="CX64" s="288"/>
      <c r="CY64" s="160"/>
      <c r="CZ64" s="160"/>
    </row>
    <row r="65">
      <c r="A65" s="157" t="s">
        <v>185</v>
      </c>
      <c r="B65" s="157" t="s">
        <v>189</v>
      </c>
      <c r="C65" s="157" t="s">
        <v>726</v>
      </c>
      <c r="D65" s="157" t="s">
        <v>1016</v>
      </c>
      <c r="E65" s="157" t="s">
        <v>1075</v>
      </c>
      <c r="F65" s="342">
        <v>45047.0</v>
      </c>
      <c r="G65" s="314">
        <v>0.0</v>
      </c>
      <c r="H65" s="314">
        <v>1.8E7</v>
      </c>
      <c r="I65" s="315">
        <v>1.44508666E7</v>
      </c>
      <c r="J65" s="315">
        <v>0.0</v>
      </c>
      <c r="K65" s="160">
        <v>45.0</v>
      </c>
      <c r="L65" s="160">
        <v>51.0</v>
      </c>
      <c r="M65" s="160">
        <v>10.0</v>
      </c>
      <c r="N65" s="160">
        <v>55.0</v>
      </c>
      <c r="O65" s="160">
        <v>4.0</v>
      </c>
      <c r="P65" s="315">
        <v>1.280115065E7</v>
      </c>
      <c r="Q65" s="315">
        <v>1649715.95</v>
      </c>
      <c r="R65" s="160">
        <v>20.0</v>
      </c>
      <c r="S65" s="160">
        <v>6.0</v>
      </c>
      <c r="T65" s="160">
        <v>26.0</v>
      </c>
      <c r="U65" s="160">
        <v>0.0</v>
      </c>
      <c r="V65" s="160">
        <v>67.0</v>
      </c>
      <c r="W65" s="160">
        <v>187.0</v>
      </c>
      <c r="X65" s="160">
        <v>154.0</v>
      </c>
      <c r="Y65" s="160">
        <v>2.0</v>
      </c>
      <c r="Z65" s="160">
        <v>6.0</v>
      </c>
      <c r="AA65" s="160">
        <v>0.0</v>
      </c>
      <c r="AB65" s="160">
        <v>0.0</v>
      </c>
      <c r="AC65" s="160">
        <v>0.0</v>
      </c>
      <c r="AD65" s="160">
        <v>0.0</v>
      </c>
      <c r="AE65" s="160">
        <v>1555.0</v>
      </c>
      <c r="AF65" s="160">
        <v>1748.0</v>
      </c>
      <c r="AG65" s="160">
        <v>293.0</v>
      </c>
      <c r="AH65" s="314">
        <f t="shared" si="2"/>
        <v>49320.36382</v>
      </c>
      <c r="AI65" s="314">
        <f t="shared" si="3"/>
        <v>5.965870307</v>
      </c>
      <c r="AJ65" s="316">
        <v>31500.0</v>
      </c>
      <c r="AK65" s="314">
        <f t="shared" si="35"/>
        <v>378000</v>
      </c>
      <c r="AL65" s="317">
        <v>142750.0</v>
      </c>
      <c r="AM65" s="318">
        <f t="shared" si="5"/>
        <v>0.03603590113</v>
      </c>
      <c r="AN65" s="314">
        <f t="shared" si="6"/>
        <v>555802.5615</v>
      </c>
      <c r="AO65" s="336">
        <f t="shared" ref="AO65:AO68" si="51">iferror(sum(I65:J65)/Sum(G65:H65),"")</f>
        <v>0.8028259222</v>
      </c>
      <c r="AP65" s="319">
        <v>0.0</v>
      </c>
      <c r="AQ65" s="160">
        <v>102.0</v>
      </c>
      <c r="AR65" s="160">
        <v>2881.0</v>
      </c>
      <c r="AS65" s="160">
        <v>3418.73</v>
      </c>
      <c r="AT65" s="160">
        <v>6.0</v>
      </c>
      <c r="AU65" s="160">
        <v>67.0</v>
      </c>
      <c r="AV65" s="320">
        <v>26.0</v>
      </c>
      <c r="AW65" s="320">
        <v>25.0</v>
      </c>
      <c r="AX65" s="320">
        <v>4.0</v>
      </c>
      <c r="AY65" s="321">
        <f>iferror(VLOOKUP(C65,'ORDER BOOKING REPORT 2025-26'!C:O,13,0),"")</f>
        <v>12307164</v>
      </c>
      <c r="AZ65" s="322"/>
      <c r="BA65" s="157" t="str">
        <f t="shared" si="7"/>
        <v>Active</v>
      </c>
      <c r="BB65" s="157" t="str">
        <f t="shared" si="8"/>
        <v>Old</v>
      </c>
      <c r="BC65" s="157" t="str">
        <f t="shared" ref="BC65:BC68" si="52">IFS(AO65&lt;50%,"Below 50%",AO65&lt;70%,"50%-70%",AO65&lt;90%,"70%-90%",AO65&lt;100%,"90%-100%",AO65&gt;100%,"Above 100%")</f>
        <v>70%-90%</v>
      </c>
      <c r="BD65" s="223">
        <f t="shared" ref="BD65:BD66" si="53">Match($BD$2,{"Apr","May","Jun","Jul","Aug","Sep","Oct","Nov","Dec","Jan","Feb","Mar"},0)</f>
        <v>12</v>
      </c>
      <c r="BE65" s="323">
        <v>1500000.0</v>
      </c>
      <c r="BF65" s="157">
        <f t="shared" si="10"/>
        <v>4</v>
      </c>
      <c r="BG65" s="157" t="s">
        <v>1019</v>
      </c>
      <c r="BH65" s="324"/>
      <c r="BI65" s="324"/>
      <c r="BJ65" s="325"/>
      <c r="BK65" s="326"/>
      <c r="BL65" s="326">
        <f t="shared" si="48"/>
        <v>0</v>
      </c>
      <c r="BM65" s="326">
        <f t="shared" si="12"/>
        <v>18000000</v>
      </c>
      <c r="BN65" s="326"/>
      <c r="BO65" s="327" t="str">
        <f>IFERROR(__xludf.DUMMYFUNCTION("IFERROR(ArrayFormula(SUM(VLOOKUP($C65,importrange(""1MwNMVzWE3QBVOyJjKr3eFX-Sq1Ng0Q1sghWJbgbE_8g"",""ORDER BOOKING REPORT 2024-25!C:CV""),{16,23,30},0))))"),"")</f>
        <v/>
      </c>
      <c r="BP65" s="327" t="str">
        <f>IFERROR(__xludf.DUMMYFUNCTION("IFERROR(ArrayFormula(SUM(VLOOKUP($C65,importrange(""1MwNMVzWE3QBVOyJjKr3eFX-Sq1Ng0Q1sghWJbgbE_8g"",""ORDER BOOKING REPORT 2024-25!C:CV""),{37,44,51},0))))"),"")</f>
        <v/>
      </c>
      <c r="BQ65" s="327" t="str">
        <f>IFERROR(__xludf.DUMMYFUNCTION("IFERROR(ArrayFormula(SUM(VLOOKUP($C65,importrange(""1MwNMVzWE3QBVOyJjKr3eFX-Sq1Ng0Q1sghWJbgbE_8g"",""ORDER BOOKING REPORT 2024-25!C:CV""),{58,65,72},0))))"),"")</f>
        <v/>
      </c>
      <c r="BR65" s="327" t="str">
        <f>IFERROR(__xludf.DUMMYFUNCTION("IFERROR(ArrayFormula(SUM(VLOOKUP($C65,importrange(""1MwNMVzWE3QBVOyJjKr3eFX-Sq1Ng0Q1sghWJbgbE_8g"",""ORDER BOOKING REPORT 2024-25!C:CV""),{79,86,93},0))))"),"")</f>
        <v/>
      </c>
      <c r="BS65" s="328">
        <f t="shared" si="13"/>
        <v>0.6837313333</v>
      </c>
      <c r="BT65" s="328">
        <f t="shared" si="14"/>
        <v>0.04231275377</v>
      </c>
      <c r="BU65" s="234">
        <f t="shared" si="15"/>
        <v>0</v>
      </c>
      <c r="BV65" s="329">
        <v>31500.0</v>
      </c>
      <c r="BW65" s="329" t="s">
        <v>1045</v>
      </c>
      <c r="BX65" s="329">
        <v>899.0</v>
      </c>
      <c r="BY65" s="234">
        <f t="shared" si="16"/>
        <v>0</v>
      </c>
      <c r="BZ65" s="234"/>
      <c r="CA65" s="234"/>
      <c r="CB65" s="234"/>
      <c r="CC65" s="234"/>
      <c r="CD65" s="234"/>
      <c r="CE65" s="234"/>
      <c r="CF65" s="234"/>
      <c r="CG65" s="234" t="str">
        <f t="shared" si="19"/>
        <v>Below 60</v>
      </c>
      <c r="CH65" s="234" t="str">
        <f t="shared" si="27"/>
        <v>Not 50%</v>
      </c>
      <c r="CI65" s="328">
        <f t="shared" si="20"/>
        <v>0.4727272727</v>
      </c>
      <c r="CJ65" s="330">
        <f>IFERROR(__xludf.DUMMYFUNCTION("""COMPUTED_VALUE"""),1050.0)</f>
        <v>1050</v>
      </c>
      <c r="CK65" s="330">
        <f>IFERROR(__xludf.DUMMYFUNCTION("""COMPUTED_VALUE"""),505.0)</f>
        <v>505</v>
      </c>
      <c r="CL65" s="330">
        <f>IFERROR(__xludf.DUMMYFUNCTION("""COMPUTED_VALUE"""),0.0)</f>
        <v>0</v>
      </c>
      <c r="CM65" s="331">
        <f t="shared" si="21"/>
        <v>0</v>
      </c>
      <c r="CN65" s="337"/>
      <c r="CO65" s="160"/>
      <c r="CP65" s="334"/>
      <c r="CQ65" s="335"/>
      <c r="CR65" s="160"/>
      <c r="CS65" s="160"/>
      <c r="CT65" s="160"/>
      <c r="CU65" s="160"/>
      <c r="CV65" s="160"/>
      <c r="CW65" s="335"/>
      <c r="CX65" s="288"/>
      <c r="CY65" s="160"/>
      <c r="CZ65" s="160"/>
    </row>
    <row r="66">
      <c r="A66" s="157" t="s">
        <v>185</v>
      </c>
      <c r="B66" s="157" t="s">
        <v>189</v>
      </c>
      <c r="C66" s="157" t="s">
        <v>728</v>
      </c>
      <c r="D66" s="157" t="s">
        <v>1016</v>
      </c>
      <c r="E66" s="157" t="s">
        <v>1075</v>
      </c>
      <c r="F66" s="342">
        <v>45047.0</v>
      </c>
      <c r="G66" s="314">
        <v>0.0</v>
      </c>
      <c r="H66" s="314">
        <v>1.8E7</v>
      </c>
      <c r="I66" s="315">
        <v>1.516149284E7</v>
      </c>
      <c r="J66" s="315">
        <v>0.0</v>
      </c>
      <c r="K66" s="160">
        <v>55.0</v>
      </c>
      <c r="L66" s="160">
        <v>55.0</v>
      </c>
      <c r="M66" s="160">
        <v>13.0</v>
      </c>
      <c r="N66" s="160">
        <v>68.0</v>
      </c>
      <c r="O66" s="160">
        <v>13.0</v>
      </c>
      <c r="P66" s="315">
        <v>1.369034734E7</v>
      </c>
      <c r="Q66" s="315">
        <v>1471145.5</v>
      </c>
      <c r="R66" s="160">
        <v>17.0</v>
      </c>
      <c r="S66" s="160">
        <v>10.0</v>
      </c>
      <c r="T66" s="160">
        <v>27.0</v>
      </c>
      <c r="U66" s="160">
        <v>0.0</v>
      </c>
      <c r="V66" s="160">
        <v>75.0</v>
      </c>
      <c r="W66" s="160">
        <v>151.0</v>
      </c>
      <c r="X66" s="160">
        <v>208.0</v>
      </c>
      <c r="Y66" s="160">
        <v>3.0</v>
      </c>
      <c r="Z66" s="160">
        <v>15.0</v>
      </c>
      <c r="AA66" s="160">
        <v>0.0</v>
      </c>
      <c r="AB66" s="160">
        <v>0.0</v>
      </c>
      <c r="AC66" s="160">
        <v>0.0</v>
      </c>
      <c r="AD66" s="160">
        <v>0.0</v>
      </c>
      <c r="AE66" s="160">
        <v>1100.0</v>
      </c>
      <c r="AF66" s="160">
        <v>1266.0</v>
      </c>
      <c r="AG66" s="160">
        <v>296.0</v>
      </c>
      <c r="AH66" s="314">
        <f t="shared" si="2"/>
        <v>51221.25959</v>
      </c>
      <c r="AI66" s="314">
        <f t="shared" si="3"/>
        <v>4.277027027</v>
      </c>
      <c r="AJ66" s="316">
        <v>26000.0</v>
      </c>
      <c r="AK66" s="314">
        <f t="shared" si="35"/>
        <v>312000</v>
      </c>
      <c r="AL66" s="317">
        <v>111002.0</v>
      </c>
      <c r="AM66" s="318">
        <f t="shared" si="5"/>
        <v>0.02789975924</v>
      </c>
      <c r="AN66" s="314">
        <f t="shared" si="6"/>
        <v>561536.7719</v>
      </c>
      <c r="AO66" s="336">
        <f t="shared" si="51"/>
        <v>0.8423051578</v>
      </c>
      <c r="AP66" s="319">
        <v>0.0</v>
      </c>
      <c r="AQ66" s="160">
        <v>100.0</v>
      </c>
      <c r="AR66" s="160">
        <v>2249.0</v>
      </c>
      <c r="AS66" s="160">
        <v>1816.06</v>
      </c>
      <c r="AT66" s="160">
        <v>10.0</v>
      </c>
      <c r="AU66" s="160">
        <v>33.0</v>
      </c>
      <c r="AV66" s="320">
        <v>27.0</v>
      </c>
      <c r="AW66" s="320">
        <v>28.0</v>
      </c>
      <c r="AX66" s="320">
        <v>13.0</v>
      </c>
      <c r="AY66" s="321">
        <f>iferror(VLOOKUP(C66,'ORDER BOOKING REPORT 2025-26'!C:O,13,0),"")</f>
        <v>15710535</v>
      </c>
      <c r="AZ66" s="322"/>
      <c r="BA66" s="157" t="str">
        <f t="shared" si="7"/>
        <v>Active</v>
      </c>
      <c r="BB66" s="157" t="str">
        <f t="shared" si="8"/>
        <v>Old</v>
      </c>
      <c r="BC66" s="157" t="str">
        <f t="shared" si="52"/>
        <v>70%-90%</v>
      </c>
      <c r="BD66" s="223">
        <f t="shared" si="53"/>
        <v>12</v>
      </c>
      <c r="BE66" s="323">
        <v>1500000.0</v>
      </c>
      <c r="BF66" s="157">
        <f t="shared" si="10"/>
        <v>3</v>
      </c>
      <c r="BG66" s="157" t="s">
        <v>1019</v>
      </c>
      <c r="BH66" s="324"/>
      <c r="BI66" s="324"/>
      <c r="BJ66" s="325"/>
      <c r="BK66" s="326"/>
      <c r="BL66" s="326">
        <f t="shared" si="48"/>
        <v>0</v>
      </c>
      <c r="BM66" s="326">
        <f t="shared" si="12"/>
        <v>18000000</v>
      </c>
      <c r="BN66" s="326"/>
      <c r="BO66" s="327" t="str">
        <f>IFERROR(__xludf.DUMMYFUNCTION("IFERROR(ArrayFormula(SUM(VLOOKUP($C66,importrange(""1MwNMVzWE3QBVOyJjKr3eFX-Sq1Ng0Q1sghWJbgbE_8g"",""ORDER BOOKING REPORT 2024-25!C:CV""),{16,23,30},0))))"),"")</f>
        <v/>
      </c>
      <c r="BP66" s="327" t="str">
        <f>IFERROR(__xludf.DUMMYFUNCTION("IFERROR(ArrayFormula(SUM(VLOOKUP($C66,importrange(""1MwNMVzWE3QBVOyJjKr3eFX-Sq1Ng0Q1sghWJbgbE_8g"",""ORDER BOOKING REPORT 2024-25!C:CV""),{37,44,51},0))))"),"")</f>
        <v/>
      </c>
      <c r="BQ66" s="327" t="str">
        <f>IFERROR(__xludf.DUMMYFUNCTION("IFERROR(ArrayFormula(SUM(VLOOKUP($C66,importrange(""1MwNMVzWE3QBVOyJjKr3eFX-Sq1Ng0Q1sghWJbgbE_8g"",""ORDER BOOKING REPORT 2024-25!C:CV""),{58,65,72},0))))"),"")</f>
        <v/>
      </c>
      <c r="BR66" s="327" t="str">
        <f>IFERROR(__xludf.DUMMYFUNCTION("IFERROR(ArrayFormula(SUM(VLOOKUP($C66,importrange(""1MwNMVzWE3QBVOyJjKr3eFX-Sq1Ng0Q1sghWJbgbE_8g"",""ORDER BOOKING REPORT 2024-25!C:CV""),{79,86,93},0))))"),"")</f>
        <v/>
      </c>
      <c r="BS66" s="328">
        <f t="shared" si="13"/>
        <v>0.8728075</v>
      </c>
      <c r="BT66" s="328">
        <f t="shared" si="14"/>
        <v>0.02692473554</v>
      </c>
      <c r="BU66" s="234">
        <f t="shared" si="15"/>
        <v>0</v>
      </c>
      <c r="BV66" s="329">
        <v>26000.0</v>
      </c>
      <c r="BW66" s="329" t="s">
        <v>1045</v>
      </c>
      <c r="BX66" s="329">
        <v>904.0</v>
      </c>
      <c r="BY66" s="234">
        <f t="shared" si="16"/>
        <v>0</v>
      </c>
      <c r="BZ66" s="234"/>
      <c r="CA66" s="234"/>
      <c r="CB66" s="234"/>
      <c r="CC66" s="234"/>
      <c r="CD66" s="234"/>
      <c r="CE66" s="234"/>
      <c r="CF66" s="234"/>
      <c r="CG66" s="234" t="str">
        <f t="shared" si="19"/>
        <v> </v>
      </c>
      <c r="CH66" s="234" t="str">
        <f t="shared" si="27"/>
        <v>Not 50%</v>
      </c>
      <c r="CI66" s="328">
        <f t="shared" si="20"/>
        <v>0.3970588235</v>
      </c>
      <c r="CJ66" s="330">
        <f>IFERROR(__xludf.DUMMYFUNCTION("""COMPUTED_VALUE"""),726.0)</f>
        <v>726</v>
      </c>
      <c r="CK66" s="330">
        <f>IFERROR(__xludf.DUMMYFUNCTION("""COMPUTED_VALUE"""),374.0)</f>
        <v>374</v>
      </c>
      <c r="CL66" s="330">
        <f>IFERROR(__xludf.DUMMYFUNCTION("""COMPUTED_VALUE"""),0.0)</f>
        <v>0</v>
      </c>
      <c r="CM66" s="331">
        <f t="shared" si="21"/>
        <v>0</v>
      </c>
      <c r="CN66" s="337"/>
      <c r="CO66" s="160"/>
      <c r="CP66" s="334"/>
      <c r="CQ66" s="335"/>
      <c r="CR66" s="160"/>
      <c r="CS66" s="160"/>
      <c r="CT66" s="160"/>
      <c r="CU66" s="160"/>
      <c r="CV66" s="160"/>
      <c r="CW66" s="335"/>
      <c r="CX66" s="288"/>
      <c r="CY66" s="160"/>
      <c r="CZ66" s="160"/>
    </row>
    <row r="67">
      <c r="A67" s="157" t="s">
        <v>185</v>
      </c>
      <c r="B67" s="157" t="s">
        <v>189</v>
      </c>
      <c r="C67" s="157" t="s">
        <v>732</v>
      </c>
      <c r="D67" s="157" t="s">
        <v>1016</v>
      </c>
      <c r="E67" s="157" t="s">
        <v>187</v>
      </c>
      <c r="F67" s="342">
        <v>45047.0</v>
      </c>
      <c r="G67" s="314">
        <v>0.0</v>
      </c>
      <c r="H67" s="314">
        <v>1.32E7</v>
      </c>
      <c r="I67" s="315">
        <v>6097041.92</v>
      </c>
      <c r="J67" s="315">
        <v>0.0</v>
      </c>
      <c r="K67" s="160">
        <v>108.0</v>
      </c>
      <c r="L67" s="160">
        <v>107.0</v>
      </c>
      <c r="M67" s="160">
        <v>6.0</v>
      </c>
      <c r="N67" s="160">
        <v>114.0</v>
      </c>
      <c r="O67" s="160">
        <v>7.0</v>
      </c>
      <c r="P67" s="315">
        <v>5950781.9</v>
      </c>
      <c r="Q67" s="315">
        <v>146260.02</v>
      </c>
      <c r="R67" s="160">
        <v>76.0</v>
      </c>
      <c r="S67" s="160">
        <v>3.0</v>
      </c>
      <c r="T67" s="160">
        <v>79.0</v>
      </c>
      <c r="U67" s="160">
        <v>0.0</v>
      </c>
      <c r="V67" s="160">
        <v>2.0</v>
      </c>
      <c r="W67" s="160">
        <v>5.0</v>
      </c>
      <c r="X67" s="160">
        <v>48.0</v>
      </c>
      <c r="Y67" s="160">
        <v>1.0</v>
      </c>
      <c r="Z67" s="160">
        <v>15.0</v>
      </c>
      <c r="AA67" s="160">
        <v>0.0</v>
      </c>
      <c r="AB67" s="160">
        <v>0.0</v>
      </c>
      <c r="AC67" s="160">
        <v>0.0</v>
      </c>
      <c r="AD67" s="160">
        <v>0.0</v>
      </c>
      <c r="AE67" s="160">
        <v>518.0</v>
      </c>
      <c r="AF67" s="160">
        <v>538.0</v>
      </c>
      <c r="AG67" s="160">
        <v>103.0</v>
      </c>
      <c r="AH67" s="314">
        <f t="shared" si="2"/>
        <v>59194.58175</v>
      </c>
      <c r="AI67" s="314">
        <f t="shared" si="3"/>
        <v>5.223300971</v>
      </c>
      <c r="AJ67" s="316">
        <v>27260.0</v>
      </c>
      <c r="AK67" s="314">
        <f t="shared" si="35"/>
        <v>109040</v>
      </c>
      <c r="AL67" s="317">
        <v>37224.0</v>
      </c>
      <c r="AM67" s="318">
        <f t="shared" si="5"/>
        <v>0.0239893381</v>
      </c>
      <c r="AN67" s="314">
        <f t="shared" si="6"/>
        <v>77177.74582</v>
      </c>
      <c r="AO67" s="336">
        <f t="shared" si="51"/>
        <v>0.4618971152</v>
      </c>
      <c r="AP67" s="319">
        <v>0.0</v>
      </c>
      <c r="AQ67" s="160">
        <v>208.0</v>
      </c>
      <c r="AR67" s="160">
        <v>1027.0</v>
      </c>
      <c r="AS67" s="160">
        <v>0.0</v>
      </c>
      <c r="AT67" s="160">
        <v>3.0</v>
      </c>
      <c r="AU67" s="160">
        <v>0.0</v>
      </c>
      <c r="AV67" s="320">
        <v>79.0</v>
      </c>
      <c r="AW67" s="320">
        <v>28.0</v>
      </c>
      <c r="AX67" s="320">
        <v>7.0</v>
      </c>
      <c r="AY67" s="321">
        <f>iferror(VLOOKUP(C67,'ORDER BOOKING REPORT 2025-26'!C:O,13,0),"")</f>
        <v>6203031</v>
      </c>
      <c r="AZ67" s="322">
        <v>45869.0</v>
      </c>
      <c r="BA67" s="157" t="str">
        <f t="shared" si="7"/>
        <v>LEFT</v>
      </c>
      <c r="BB67" s="157" t="str">
        <f t="shared" si="8"/>
        <v>Old</v>
      </c>
      <c r="BC67" s="157" t="str">
        <f t="shared" si="52"/>
        <v>Below 50%</v>
      </c>
      <c r="BD67" s="223">
        <v>4.0</v>
      </c>
      <c r="BE67" s="326">
        <v>3300000.0</v>
      </c>
      <c r="BF67" s="157">
        <f t="shared" si="10"/>
        <v>3</v>
      </c>
      <c r="BG67" s="157" t="s">
        <v>1019</v>
      </c>
      <c r="BH67" s="324"/>
      <c r="BI67" s="324"/>
      <c r="BJ67" s="325"/>
      <c r="BK67" s="326"/>
      <c r="BL67" s="326">
        <f t="shared" si="48"/>
        <v>0</v>
      </c>
      <c r="BM67" s="326">
        <f t="shared" si="12"/>
        <v>13200000</v>
      </c>
      <c r="BN67" s="326"/>
      <c r="BO67" s="327" t="str">
        <f>IFERROR(__xludf.DUMMYFUNCTION("IFERROR(ArrayFormula(SUM(VLOOKUP($C67,importrange(""1MwNMVzWE3QBVOyJjKr3eFX-Sq1Ng0Q1sghWJbgbE_8g"",""ORDER BOOKING REPORT 2024-25!C:CV""),{16,23,30},0))))"),"")</f>
        <v/>
      </c>
      <c r="BP67" s="327" t="str">
        <f>IFERROR(__xludf.DUMMYFUNCTION("IFERROR(ArrayFormula(SUM(VLOOKUP($C67,importrange(""1MwNMVzWE3QBVOyJjKr3eFX-Sq1Ng0Q1sghWJbgbE_8g"",""ORDER BOOKING REPORT 2024-25!C:CV""),{37,44,51},0))))"),"")</f>
        <v/>
      </c>
      <c r="BQ67" s="327" t="str">
        <f>IFERROR(__xludf.DUMMYFUNCTION("IFERROR(ArrayFormula(SUM(VLOOKUP($C67,importrange(""1MwNMVzWE3QBVOyJjKr3eFX-Sq1Ng0Q1sghWJbgbE_8g"",""ORDER BOOKING REPORT 2024-25!C:CV""),{58,65,72},0))))"),"")</f>
        <v/>
      </c>
      <c r="BR67" s="327" t="str">
        <f>IFERROR(__xludf.DUMMYFUNCTION("IFERROR(ArrayFormula(SUM(VLOOKUP($C67,importrange(""1MwNMVzWE3QBVOyJjKr3eFX-Sq1Ng0Q1sghWJbgbE_8g"",""ORDER BOOKING REPORT 2024-25!C:CV""),{79,86,93},0))))"),"")</f>
        <v/>
      </c>
      <c r="BS67" s="328">
        <f t="shared" si="13"/>
        <v>0.4699265909</v>
      </c>
      <c r="BT67" s="328">
        <f t="shared" si="14"/>
        <v>0.02357944044</v>
      </c>
      <c r="BU67" s="234">
        <f t="shared" si="15"/>
        <v>0</v>
      </c>
      <c r="BV67" s="329">
        <v>27260.0</v>
      </c>
      <c r="BW67" s="329" t="s">
        <v>1029</v>
      </c>
      <c r="BX67" s="329">
        <v>900.0</v>
      </c>
      <c r="BY67" s="234">
        <f t="shared" si="16"/>
        <v>0</v>
      </c>
      <c r="BZ67" s="234"/>
      <c r="CA67" s="234"/>
      <c r="CB67" s="234"/>
      <c r="CC67" s="234"/>
      <c r="CD67" s="234"/>
      <c r="CE67" s="234"/>
      <c r="CF67" s="234"/>
      <c r="CG67" s="234" t="str">
        <f t="shared" si="19"/>
        <v> </v>
      </c>
      <c r="CH67" s="234" t="str">
        <f t="shared" si="27"/>
        <v>Business Achieved 50%</v>
      </c>
      <c r="CI67" s="328">
        <f t="shared" si="20"/>
        <v>0.6929824561</v>
      </c>
      <c r="CJ67" s="330">
        <f>IFERROR(__xludf.DUMMYFUNCTION("""COMPUTED_VALUE"""),420.0)</f>
        <v>420</v>
      </c>
      <c r="CK67" s="330">
        <f>IFERROR(__xludf.DUMMYFUNCTION("""COMPUTED_VALUE"""),98.0)</f>
        <v>98</v>
      </c>
      <c r="CL67" s="330">
        <f>IFERROR(__xludf.DUMMYFUNCTION("""COMPUTED_VALUE"""),0.0)</f>
        <v>0</v>
      </c>
      <c r="CM67" s="331">
        <f t="shared" si="21"/>
        <v>0</v>
      </c>
      <c r="CN67" s="337"/>
      <c r="CO67" s="160"/>
      <c r="CP67" s="334"/>
      <c r="CQ67" s="335"/>
      <c r="CR67" s="160"/>
      <c r="CS67" s="160"/>
      <c r="CT67" s="160"/>
      <c r="CU67" s="160"/>
      <c r="CV67" s="160"/>
      <c r="CW67" s="335"/>
      <c r="CX67" s="288"/>
      <c r="CY67" s="160"/>
      <c r="CZ67" s="160"/>
    </row>
    <row r="68">
      <c r="A68" s="157" t="s">
        <v>185</v>
      </c>
      <c r="B68" s="157" t="s">
        <v>189</v>
      </c>
      <c r="C68" s="157" t="s">
        <v>237</v>
      </c>
      <c r="D68" s="157" t="s">
        <v>1016</v>
      </c>
      <c r="E68" s="157" t="s">
        <v>1076</v>
      </c>
      <c r="F68" s="342">
        <v>45048.0</v>
      </c>
      <c r="G68" s="314">
        <v>0.0</v>
      </c>
      <c r="H68" s="314">
        <v>1.8E7</v>
      </c>
      <c r="I68" s="315">
        <v>1.405890767E7</v>
      </c>
      <c r="J68" s="315">
        <v>0.0</v>
      </c>
      <c r="K68" s="160">
        <v>51.0</v>
      </c>
      <c r="L68" s="160">
        <v>58.0</v>
      </c>
      <c r="M68" s="160">
        <v>7.0</v>
      </c>
      <c r="N68" s="160">
        <v>58.0</v>
      </c>
      <c r="O68" s="160">
        <v>0.0</v>
      </c>
      <c r="P68" s="315">
        <v>1.295154978E7</v>
      </c>
      <c r="Q68" s="315">
        <v>1107357.89</v>
      </c>
      <c r="R68" s="160">
        <v>43.0</v>
      </c>
      <c r="S68" s="160">
        <v>7.0</v>
      </c>
      <c r="T68" s="160">
        <v>50.0</v>
      </c>
      <c r="U68" s="160">
        <v>0.0</v>
      </c>
      <c r="V68" s="160">
        <v>0.0</v>
      </c>
      <c r="W68" s="160">
        <v>0.0</v>
      </c>
      <c r="X68" s="160">
        <v>1.0</v>
      </c>
      <c r="Y68" s="160">
        <v>3.0</v>
      </c>
      <c r="Z68" s="160">
        <v>235.0</v>
      </c>
      <c r="AA68" s="160">
        <v>0.0</v>
      </c>
      <c r="AB68" s="160">
        <v>0.0</v>
      </c>
      <c r="AC68" s="160">
        <v>0.0</v>
      </c>
      <c r="AD68" s="160">
        <v>0.0</v>
      </c>
      <c r="AE68" s="160">
        <v>1180.0</v>
      </c>
      <c r="AF68" s="160">
        <v>1415.0</v>
      </c>
      <c r="AG68" s="160">
        <v>281.0</v>
      </c>
      <c r="AH68" s="314">
        <f t="shared" si="2"/>
        <v>50031.69989</v>
      </c>
      <c r="AI68" s="314">
        <f t="shared" si="3"/>
        <v>5.035587189</v>
      </c>
      <c r="AJ68" s="316">
        <v>26000.0</v>
      </c>
      <c r="AK68" s="314">
        <f t="shared" si="35"/>
        <v>312000</v>
      </c>
      <c r="AL68" s="317">
        <v>158553.0</v>
      </c>
      <c r="AM68" s="318">
        <f t="shared" si="5"/>
        <v>0.03347009676</v>
      </c>
      <c r="AN68" s="314">
        <f t="shared" si="6"/>
        <v>281178.1534</v>
      </c>
      <c r="AO68" s="336">
        <f t="shared" si="51"/>
        <v>0.7810504261</v>
      </c>
      <c r="AP68" s="319">
        <v>0.0</v>
      </c>
      <c r="AQ68" s="160">
        <v>289.0</v>
      </c>
      <c r="AR68" s="160">
        <v>2637.0</v>
      </c>
      <c r="AS68" s="160">
        <v>2281.72</v>
      </c>
      <c r="AT68" s="160">
        <v>7.0</v>
      </c>
      <c r="AU68" s="160">
        <v>39.0</v>
      </c>
      <c r="AV68" s="320">
        <v>50.0</v>
      </c>
      <c r="AW68" s="320">
        <v>8.0</v>
      </c>
      <c r="AX68" s="320">
        <v>0.0</v>
      </c>
      <c r="AY68" s="321">
        <f>iferror(VLOOKUP(C68,'ORDER BOOKING REPORT 2025-26'!C:O,13,0),"")</f>
        <v>17225110</v>
      </c>
      <c r="AZ68" s="322"/>
      <c r="BA68" s="157" t="str">
        <f t="shared" si="7"/>
        <v>Active</v>
      </c>
      <c r="BB68" s="157" t="str">
        <f t="shared" si="8"/>
        <v>Old</v>
      </c>
      <c r="BC68" s="157" t="str">
        <f t="shared" si="52"/>
        <v>70%-90%</v>
      </c>
      <c r="BD68" s="223">
        <f t="array" ref="BD68">Match($BD$2,{"Apr","May","Jun","Jul","Aug","Sep","Oct","Nov","Dec","Jan","Feb","Mar"},0)</f>
        <v>12</v>
      </c>
      <c r="BE68" s="323">
        <v>1500000.0</v>
      </c>
      <c r="BF68" s="157">
        <f t="shared" si="10"/>
        <v>0</v>
      </c>
      <c r="BG68" s="157" t="s">
        <v>1019</v>
      </c>
      <c r="BH68" s="324"/>
      <c r="BI68" s="324"/>
      <c r="BJ68" s="325"/>
      <c r="BK68" s="326"/>
      <c r="BL68" s="326">
        <f t="shared" si="48"/>
        <v>0</v>
      </c>
      <c r="BM68" s="326">
        <f t="shared" si="12"/>
        <v>18000000</v>
      </c>
      <c r="BN68" s="326"/>
      <c r="BO68" s="327" t="str">
        <f>IFERROR(__xludf.DUMMYFUNCTION("IFERROR(ArrayFormula(SUM(VLOOKUP($C68,importrange(""1MwNMVzWE3QBVOyJjKr3eFX-Sq1Ng0Q1sghWJbgbE_8g"",""ORDER BOOKING REPORT 2024-25!C:CV""),{16,23,30},0))))"),"")</f>
        <v/>
      </c>
      <c r="BP68" s="327" t="str">
        <f>IFERROR(__xludf.DUMMYFUNCTION("IFERROR(ArrayFormula(SUM(VLOOKUP($C68,importrange(""1MwNMVzWE3QBVOyJjKr3eFX-Sq1Ng0Q1sghWJbgbE_8g"",""ORDER BOOKING REPORT 2024-25!C:CV""),{37,44,51},0))))"),"")</f>
        <v/>
      </c>
      <c r="BQ68" s="327" t="str">
        <f>IFERROR(__xludf.DUMMYFUNCTION("IFERROR(ArrayFormula(SUM(VLOOKUP($C68,importrange(""1MwNMVzWE3QBVOyJjKr3eFX-Sq1Ng0Q1sghWJbgbE_8g"",""ORDER BOOKING REPORT 2024-25!C:CV""),{58,65,72},0))))"),"")</f>
        <v/>
      </c>
      <c r="BR68" s="327" t="str">
        <f>IFERROR(__xludf.DUMMYFUNCTION("IFERROR(ArrayFormula(SUM(VLOOKUP($C68,importrange(""1MwNMVzWE3QBVOyJjKr3eFX-Sq1Ng0Q1sghWJbgbE_8g"",""ORDER BOOKING REPORT 2024-25!C:CV""),{79,86,93},0))))"),"")</f>
        <v/>
      </c>
      <c r="BS68" s="328">
        <f t="shared" si="13"/>
        <v>0.9569505556</v>
      </c>
      <c r="BT68" s="328">
        <f t="shared" si="14"/>
        <v>0.02731785167</v>
      </c>
      <c r="BU68" s="234">
        <f t="shared" si="15"/>
        <v>0</v>
      </c>
      <c r="BV68" s="329">
        <v>26000.0</v>
      </c>
      <c r="BW68" s="329" t="s">
        <v>1045</v>
      </c>
      <c r="BX68" s="329">
        <v>908.0</v>
      </c>
      <c r="BY68" s="234">
        <f t="shared" si="16"/>
        <v>0</v>
      </c>
      <c r="BZ68" s="234"/>
      <c r="CA68" s="234"/>
      <c r="CB68" s="234"/>
      <c r="CC68" s="234"/>
      <c r="CD68" s="234"/>
      <c r="CE68" s="234"/>
      <c r="CF68" s="234"/>
      <c r="CG68" s="234" t="str">
        <f t="shared" si="19"/>
        <v>Below 60</v>
      </c>
      <c r="CH68" s="234" t="str">
        <f t="shared" si="27"/>
        <v>Business Achieved 50%</v>
      </c>
      <c r="CI68" s="328">
        <f t="shared" si="20"/>
        <v>0.8620689655</v>
      </c>
      <c r="CJ68" s="330">
        <f>IFERROR(__xludf.DUMMYFUNCTION("""COMPUTED_VALUE"""),1074.0)</f>
        <v>1074</v>
      </c>
      <c r="CK68" s="330">
        <f>IFERROR(__xludf.DUMMYFUNCTION("""COMPUTED_VALUE"""),106.0)</f>
        <v>106</v>
      </c>
      <c r="CL68" s="330">
        <f>IFERROR(__xludf.DUMMYFUNCTION("""COMPUTED_VALUE"""),0.0)</f>
        <v>0</v>
      </c>
      <c r="CM68" s="331">
        <f t="shared" si="21"/>
        <v>0</v>
      </c>
      <c r="CN68" s="337"/>
      <c r="CO68" s="160"/>
      <c r="CP68" s="334"/>
      <c r="CQ68" s="335"/>
      <c r="CR68" s="160"/>
      <c r="CS68" s="160"/>
      <c r="CT68" s="160"/>
      <c r="CU68" s="160"/>
      <c r="CV68" s="160"/>
      <c r="CW68" s="335"/>
      <c r="CX68" s="288"/>
      <c r="CY68" s="160"/>
      <c r="CZ68" s="160"/>
    </row>
    <row r="69">
      <c r="A69" s="157" t="s">
        <v>185</v>
      </c>
      <c r="B69" s="157" t="s">
        <v>85</v>
      </c>
      <c r="C69" s="157" t="s">
        <v>387</v>
      </c>
      <c r="D69" s="157" t="s">
        <v>1058</v>
      </c>
      <c r="E69" s="157" t="s">
        <v>87</v>
      </c>
      <c r="F69" s="342">
        <v>45054.0</v>
      </c>
      <c r="G69" s="314">
        <v>0.0</v>
      </c>
      <c r="H69" s="314">
        <v>0.0</v>
      </c>
      <c r="I69" s="315">
        <v>490239.23</v>
      </c>
      <c r="J69" s="315">
        <v>0.0</v>
      </c>
      <c r="K69" s="160">
        <v>86.0</v>
      </c>
      <c r="L69" s="160">
        <v>71.0</v>
      </c>
      <c r="M69" s="160">
        <v>3.0</v>
      </c>
      <c r="N69" s="160">
        <v>89.0</v>
      </c>
      <c r="O69" s="160">
        <v>18.0</v>
      </c>
      <c r="P69" s="315">
        <v>466978.31</v>
      </c>
      <c r="Q69" s="315">
        <v>23260.92</v>
      </c>
      <c r="R69" s="160">
        <v>22.0</v>
      </c>
      <c r="S69" s="160">
        <v>3.0</v>
      </c>
      <c r="T69" s="160">
        <v>25.0</v>
      </c>
      <c r="U69" s="160">
        <v>0.0</v>
      </c>
      <c r="V69" s="160">
        <v>1.0</v>
      </c>
      <c r="W69" s="160">
        <v>1.0</v>
      </c>
      <c r="X69" s="160">
        <v>9.0</v>
      </c>
      <c r="Y69" s="160">
        <v>1.0</v>
      </c>
      <c r="Z69" s="160">
        <v>2.0</v>
      </c>
      <c r="AA69" s="160">
        <v>0.0</v>
      </c>
      <c r="AB69" s="160">
        <v>0.0</v>
      </c>
      <c r="AC69" s="160">
        <v>0.0</v>
      </c>
      <c r="AD69" s="160">
        <v>0.0</v>
      </c>
      <c r="AE69" s="160">
        <v>241.0</v>
      </c>
      <c r="AF69" s="160">
        <v>244.0</v>
      </c>
      <c r="AG69" s="160">
        <v>43.0</v>
      </c>
      <c r="AH69" s="314">
        <f t="shared" si="2"/>
        <v>11400.91233</v>
      </c>
      <c r="AI69" s="314">
        <f t="shared" si="3"/>
        <v>5.674418605</v>
      </c>
      <c r="AJ69" s="316">
        <v>22300.0</v>
      </c>
      <c r="AK69" s="314">
        <f t="shared" si="35"/>
        <v>39471</v>
      </c>
      <c r="AL69" s="286">
        <v>31945.0</v>
      </c>
      <c r="AM69" s="318">
        <f t="shared" si="5"/>
        <v>0.1456758163</v>
      </c>
      <c r="AN69" s="314">
        <f t="shared" si="6"/>
        <v>19609.5692</v>
      </c>
      <c r="AO69" s="286" t="s">
        <v>972</v>
      </c>
      <c r="AP69" s="319">
        <v>0.0</v>
      </c>
      <c r="AQ69" s="160">
        <v>31.0</v>
      </c>
      <c r="AR69" s="160">
        <v>431.0</v>
      </c>
      <c r="AS69" s="160">
        <v>0.0</v>
      </c>
      <c r="AT69" s="160">
        <v>3.0</v>
      </c>
      <c r="AU69" s="160">
        <v>0.0</v>
      </c>
      <c r="AV69" s="320">
        <v>25.0</v>
      </c>
      <c r="AW69" s="320">
        <v>48.0</v>
      </c>
      <c r="AX69" s="320">
        <v>16.0</v>
      </c>
      <c r="AY69" s="321">
        <f>iferror(VLOOKUP(C69,'ORDER BOOKING REPORT 2025-26'!C:O,13,0),"")</f>
        <v>314657</v>
      </c>
      <c r="AZ69" s="345">
        <v>45801.0</v>
      </c>
      <c r="BA69" s="157" t="str">
        <f t="shared" si="7"/>
        <v>LEFT</v>
      </c>
      <c r="BB69" s="157" t="str">
        <f t="shared" si="8"/>
        <v>Old</v>
      </c>
      <c r="BC69" s="160" t="s">
        <v>972</v>
      </c>
      <c r="BD69" s="223">
        <v>1.77</v>
      </c>
      <c r="BE69" s="323"/>
      <c r="BF69" s="157">
        <f t="shared" si="10"/>
        <v>0</v>
      </c>
      <c r="BG69" s="157" t="s">
        <v>1019</v>
      </c>
      <c r="BH69" s="324"/>
      <c r="BI69" s="324"/>
      <c r="BJ69" s="343">
        <f>24/31</f>
        <v>0.7741935484</v>
      </c>
      <c r="BK69" s="347"/>
      <c r="BL69" s="326">
        <f t="shared" si="48"/>
        <v>0</v>
      </c>
      <c r="BM69" s="326">
        <f t="shared" si="12"/>
        <v>0</v>
      </c>
      <c r="BN69" s="326"/>
      <c r="BO69" s="327" t="str">
        <f>IFERROR(__xludf.DUMMYFUNCTION("IFERROR(ArrayFormula(SUM(VLOOKUP($C69,importrange(""1MwNMVzWE3QBVOyJjKr3eFX-Sq1Ng0Q1sghWJbgbE_8g"",""ORDER BOOKING REPORT 2024-25!C:CV""),{16,23,30},0))))"),"")</f>
        <v/>
      </c>
      <c r="BP69" s="327" t="str">
        <f>IFERROR(__xludf.DUMMYFUNCTION("IFERROR(ArrayFormula(SUM(VLOOKUP($C69,importrange(""1MwNMVzWE3QBVOyJjKr3eFX-Sq1Ng0Q1sghWJbgbE_8g"",""ORDER BOOKING REPORT 2024-25!C:CV""),{37,44,51},0))))"),"")</f>
        <v/>
      </c>
      <c r="BQ69" s="327" t="str">
        <f>IFERROR(__xludf.DUMMYFUNCTION("IFERROR(ArrayFormula(SUM(VLOOKUP($C69,importrange(""1MwNMVzWE3QBVOyJjKr3eFX-Sq1Ng0Q1sghWJbgbE_8g"",""ORDER BOOKING REPORT 2024-25!C:CV""),{58,65,72},0))))"),"")</f>
        <v/>
      </c>
      <c r="BR69" s="327" t="str">
        <f>IFERROR(__xludf.DUMMYFUNCTION("IFERROR(ArrayFormula(SUM(VLOOKUP($C69,importrange(""1MwNMVzWE3QBVOyJjKr3eFX-Sq1Ng0Q1sghWJbgbE_8g"",""ORDER BOOKING REPORT 2024-25!C:CV""),{79,86,93},0))))"),"")</f>
        <v/>
      </c>
      <c r="BS69" s="328" t="str">
        <f t="shared" si="13"/>
        <v/>
      </c>
      <c r="BT69" s="328">
        <f t="shared" si="14"/>
        <v>0.2269645995</v>
      </c>
      <c r="BU69" s="234">
        <f t="shared" si="15"/>
        <v>0</v>
      </c>
      <c r="BV69" s="329"/>
      <c r="BW69" s="329"/>
      <c r="BX69" s="329"/>
      <c r="BY69" s="234">
        <f t="shared" si="16"/>
        <v>-22300</v>
      </c>
      <c r="BZ69" s="234"/>
      <c r="CA69" s="234"/>
      <c r="CB69" s="234"/>
      <c r="CC69" s="234"/>
      <c r="CD69" s="234"/>
      <c r="CE69" s="234"/>
      <c r="CF69" s="234"/>
      <c r="CG69" s="234" t="str">
        <f t="shared" si="19"/>
        <v> </v>
      </c>
      <c r="CH69" s="234" t="str">
        <f t="shared" si="27"/>
        <v>Not 50%</v>
      </c>
      <c r="CI69" s="328">
        <f t="shared" si="20"/>
        <v>0.2808988764</v>
      </c>
      <c r="CJ69" s="339">
        <f>IFERROR(__xludf.DUMMYFUNCTION("""COMPUTED_VALUE"""),91.0)</f>
        <v>91</v>
      </c>
      <c r="CK69" s="339">
        <f>IFERROR(__xludf.DUMMYFUNCTION("""COMPUTED_VALUE"""),150.0)</f>
        <v>150</v>
      </c>
      <c r="CL69" s="339">
        <f>IFERROR(__xludf.DUMMYFUNCTION("""COMPUTED_VALUE"""),0.0)</f>
        <v>0</v>
      </c>
      <c r="CM69" s="331">
        <f t="shared" si="21"/>
        <v>0</v>
      </c>
      <c r="CN69" s="340"/>
      <c r="CO69" s="328"/>
      <c r="CP69" s="341"/>
      <c r="CQ69" s="344"/>
      <c r="CR69" s="328"/>
      <c r="CS69" s="328"/>
      <c r="CT69" s="328"/>
      <c r="CU69" s="328"/>
      <c r="CV69" s="328"/>
      <c r="CW69" s="328"/>
      <c r="CX69" s="288"/>
      <c r="CY69" s="328"/>
      <c r="CZ69" s="328"/>
    </row>
    <row r="70">
      <c r="A70" s="157" t="s">
        <v>185</v>
      </c>
      <c r="B70" s="157" t="s">
        <v>189</v>
      </c>
      <c r="C70" s="157" t="s">
        <v>738</v>
      </c>
      <c r="D70" s="157" t="s">
        <v>1016</v>
      </c>
      <c r="E70" s="157" t="s">
        <v>1075</v>
      </c>
      <c r="F70" s="349">
        <v>45056.0</v>
      </c>
      <c r="G70" s="314">
        <v>0.0</v>
      </c>
      <c r="H70" s="314">
        <v>1.8E7</v>
      </c>
      <c r="I70" s="315">
        <v>1.766112091E7</v>
      </c>
      <c r="J70" s="315">
        <v>0.0</v>
      </c>
      <c r="K70" s="160">
        <v>60.0</v>
      </c>
      <c r="L70" s="160">
        <v>71.0</v>
      </c>
      <c r="M70" s="160">
        <v>16.0</v>
      </c>
      <c r="N70" s="160">
        <v>76.0</v>
      </c>
      <c r="O70" s="160">
        <v>5.0</v>
      </c>
      <c r="P70" s="315">
        <v>1.116630576E7</v>
      </c>
      <c r="Q70" s="315">
        <v>6494815.15</v>
      </c>
      <c r="R70" s="160">
        <v>26.0</v>
      </c>
      <c r="S70" s="160">
        <v>12.0</v>
      </c>
      <c r="T70" s="160">
        <v>38.0</v>
      </c>
      <c r="U70" s="160">
        <v>0.0</v>
      </c>
      <c r="V70" s="160">
        <v>161.0</v>
      </c>
      <c r="W70" s="160">
        <v>436.0</v>
      </c>
      <c r="X70" s="160">
        <v>151.0</v>
      </c>
      <c r="Y70" s="160">
        <v>2.0</v>
      </c>
      <c r="Z70" s="160">
        <v>5.0</v>
      </c>
      <c r="AA70" s="160">
        <v>0.0</v>
      </c>
      <c r="AB70" s="160">
        <v>0.0</v>
      </c>
      <c r="AC70" s="160">
        <v>0.0</v>
      </c>
      <c r="AD70" s="160">
        <v>0.0</v>
      </c>
      <c r="AE70" s="160">
        <v>1253.0</v>
      </c>
      <c r="AF70" s="160">
        <v>1694.0</v>
      </c>
      <c r="AG70" s="160">
        <v>275.0</v>
      </c>
      <c r="AH70" s="314">
        <f t="shared" si="2"/>
        <v>64222.25785</v>
      </c>
      <c r="AI70" s="314">
        <f t="shared" si="3"/>
        <v>6.16</v>
      </c>
      <c r="AJ70" s="316">
        <v>24850.0</v>
      </c>
      <c r="AK70" s="314">
        <f t="shared" si="35"/>
        <v>298200</v>
      </c>
      <c r="AL70" s="317">
        <v>157584.0</v>
      </c>
      <c r="AM70" s="318">
        <f t="shared" si="5"/>
        <v>0.0258071955</v>
      </c>
      <c r="AN70" s="314">
        <f t="shared" si="6"/>
        <v>464766.3397</v>
      </c>
      <c r="AO70" s="336">
        <f t="shared" ref="AO70:AO76" si="54">iferror(sum(I70:J70)/Sum(G70:H70),"")</f>
        <v>0.9811733839</v>
      </c>
      <c r="AP70" s="319">
        <v>0.0</v>
      </c>
      <c r="AQ70" s="160">
        <v>129.0</v>
      </c>
      <c r="AR70" s="160">
        <v>2941.0</v>
      </c>
      <c r="AS70" s="160">
        <v>2346.77</v>
      </c>
      <c r="AT70" s="160">
        <v>12.0</v>
      </c>
      <c r="AU70" s="160">
        <v>33.0</v>
      </c>
      <c r="AV70" s="320">
        <v>38.0</v>
      </c>
      <c r="AW70" s="320">
        <v>33.0</v>
      </c>
      <c r="AX70" s="320">
        <v>5.0</v>
      </c>
      <c r="AY70" s="321">
        <f>iferror(VLOOKUP(C70,'ORDER BOOKING REPORT 2025-26'!C:O,13,0),"")</f>
        <v>15607744</v>
      </c>
      <c r="AZ70" s="322"/>
      <c r="BA70" s="157" t="str">
        <f t="shared" si="7"/>
        <v>Active</v>
      </c>
      <c r="BB70" s="157" t="str">
        <f t="shared" si="8"/>
        <v>Old</v>
      </c>
      <c r="BC70" s="157" t="str">
        <f t="shared" ref="BC70:BC76" si="55">IFS(AO70&lt;50%,"Below 50%",AO70&lt;70%,"50%-70%",AO70&lt;90%,"70%-90%",AO70&lt;100%,"90%-100%",AO70&gt;100%,"Above 100%")</f>
        <v>90%-100%</v>
      </c>
      <c r="BD70" s="223">
        <f t="array" ref="BD70">Match($BD$2,{"Apr","May","Jun","Jul","Aug","Sep","Oct","Nov","Dec","Jan","Feb","Mar"},0)</f>
        <v>12</v>
      </c>
      <c r="BE70" s="323">
        <v>1500000.0</v>
      </c>
      <c r="BF70" s="157">
        <f t="shared" si="10"/>
        <v>4</v>
      </c>
      <c r="BG70" s="157" t="s">
        <v>1019</v>
      </c>
      <c r="BH70" s="324"/>
      <c r="BI70" s="324"/>
      <c r="BJ70" s="325"/>
      <c r="BK70" s="326"/>
      <c r="BL70" s="326">
        <f t="shared" si="48"/>
        <v>0</v>
      </c>
      <c r="BM70" s="326">
        <f t="shared" si="12"/>
        <v>18000000</v>
      </c>
      <c r="BN70" s="326"/>
      <c r="BO70" s="327" t="str">
        <f>IFERROR(__xludf.DUMMYFUNCTION("IFERROR(ArrayFormula(SUM(VLOOKUP($C70,importrange(""1MwNMVzWE3QBVOyJjKr3eFX-Sq1Ng0Q1sghWJbgbE_8g"",""ORDER BOOKING REPORT 2024-25!C:CV""),{16,23,30},0))))"),"")</f>
        <v/>
      </c>
      <c r="BP70" s="327" t="str">
        <f>IFERROR(__xludf.DUMMYFUNCTION("IFERROR(ArrayFormula(SUM(VLOOKUP($C70,importrange(""1MwNMVzWE3QBVOyJjKr3eFX-Sq1Ng0Q1sghWJbgbE_8g"",""ORDER BOOKING REPORT 2024-25!C:CV""),{37,44,51},0))))"),"")</f>
        <v/>
      </c>
      <c r="BQ70" s="327" t="str">
        <f>IFERROR(__xludf.DUMMYFUNCTION("IFERROR(ArrayFormula(SUM(VLOOKUP($C70,importrange(""1MwNMVzWE3QBVOyJjKr3eFX-Sq1Ng0Q1sghWJbgbE_8g"",""ORDER BOOKING REPORT 2024-25!C:CV""),{58,65,72},0))))"),"")</f>
        <v/>
      </c>
      <c r="BR70" s="327" t="str">
        <f>IFERROR(__xludf.DUMMYFUNCTION("IFERROR(ArrayFormula(SUM(VLOOKUP($C70,importrange(""1MwNMVzWE3QBVOyJjKr3eFX-Sq1Ng0Q1sghWJbgbE_8g"",""ORDER BOOKING REPORT 2024-25!C:CV""),{79,86,93},0))))"),"")</f>
        <v/>
      </c>
      <c r="BS70" s="328">
        <f t="shared" si="13"/>
        <v>0.8670968889</v>
      </c>
      <c r="BT70" s="328">
        <f t="shared" si="14"/>
        <v>0.02920242669</v>
      </c>
      <c r="BU70" s="234">
        <f t="shared" si="15"/>
        <v>0</v>
      </c>
      <c r="BV70" s="329">
        <v>24850.0</v>
      </c>
      <c r="BW70" s="329" t="s">
        <v>1045</v>
      </c>
      <c r="BX70" s="329">
        <v>907.0</v>
      </c>
      <c r="BY70" s="234">
        <f t="shared" si="16"/>
        <v>0</v>
      </c>
      <c r="BZ70" s="234"/>
      <c r="CA70" s="234"/>
      <c r="CB70" s="234"/>
      <c r="CC70" s="234"/>
      <c r="CD70" s="234"/>
      <c r="CE70" s="234"/>
      <c r="CF70" s="234"/>
      <c r="CG70" s="234" t="str">
        <f t="shared" si="19"/>
        <v> </v>
      </c>
      <c r="CH70" s="234" t="str">
        <f t="shared" si="27"/>
        <v>Business Achieved 50%</v>
      </c>
      <c r="CI70" s="328">
        <f t="shared" si="20"/>
        <v>0.5</v>
      </c>
      <c r="CJ70" s="330">
        <f>IFERROR(__xludf.DUMMYFUNCTION("""COMPUTED_VALUE"""),817.0)</f>
        <v>817</v>
      </c>
      <c r="CK70" s="330">
        <f>IFERROR(__xludf.DUMMYFUNCTION("""COMPUTED_VALUE"""),436.0)</f>
        <v>436</v>
      </c>
      <c r="CL70" s="330">
        <f>IFERROR(__xludf.DUMMYFUNCTION("""COMPUTED_VALUE"""),0.0)</f>
        <v>0</v>
      </c>
      <c r="CM70" s="331">
        <f t="shared" si="21"/>
        <v>0</v>
      </c>
      <c r="CN70" s="337"/>
      <c r="CO70" s="160"/>
      <c r="CP70" s="334"/>
      <c r="CQ70" s="335"/>
      <c r="CR70" s="160"/>
      <c r="CS70" s="160"/>
      <c r="CT70" s="160"/>
      <c r="CU70" s="160"/>
      <c r="CV70" s="160"/>
      <c r="CW70" s="335"/>
      <c r="CX70" s="288"/>
      <c r="CY70" s="160"/>
      <c r="CZ70" s="160"/>
    </row>
    <row r="71">
      <c r="A71" s="157" t="s">
        <v>185</v>
      </c>
      <c r="B71" s="157" t="s">
        <v>212</v>
      </c>
      <c r="C71" s="157" t="s">
        <v>744</v>
      </c>
      <c r="D71" s="157" t="s">
        <v>1031</v>
      </c>
      <c r="E71" s="157" t="s">
        <v>219</v>
      </c>
      <c r="F71" s="349">
        <v>45058.0</v>
      </c>
      <c r="G71" s="314">
        <v>0.0</v>
      </c>
      <c r="H71" s="314">
        <v>1.6E7</v>
      </c>
      <c r="I71" s="315">
        <v>5399095.85</v>
      </c>
      <c r="J71" s="315">
        <v>0.0</v>
      </c>
      <c r="K71" s="160">
        <v>111.0</v>
      </c>
      <c r="L71" s="160">
        <v>101.0</v>
      </c>
      <c r="M71" s="160">
        <v>11.0</v>
      </c>
      <c r="N71" s="160">
        <v>122.0</v>
      </c>
      <c r="O71" s="160">
        <v>21.0</v>
      </c>
      <c r="P71" s="315">
        <v>5146498.23</v>
      </c>
      <c r="Q71" s="315">
        <v>252597.62</v>
      </c>
      <c r="R71" s="160">
        <v>46.0</v>
      </c>
      <c r="S71" s="160">
        <v>6.0</v>
      </c>
      <c r="T71" s="160">
        <v>52.0</v>
      </c>
      <c r="U71" s="160">
        <v>0.0</v>
      </c>
      <c r="V71" s="160">
        <v>93.0</v>
      </c>
      <c r="W71" s="160">
        <v>121.0</v>
      </c>
      <c r="X71" s="160">
        <v>291.0</v>
      </c>
      <c r="Y71" s="160">
        <v>1.0</v>
      </c>
      <c r="Z71" s="160">
        <v>89.0</v>
      </c>
      <c r="AA71" s="160">
        <v>0.0</v>
      </c>
      <c r="AB71" s="160">
        <v>0.0</v>
      </c>
      <c r="AC71" s="160">
        <v>0.0</v>
      </c>
      <c r="AD71" s="160">
        <v>0.0</v>
      </c>
      <c r="AE71" s="160">
        <v>518.0</v>
      </c>
      <c r="AF71" s="160">
        <v>728.0</v>
      </c>
      <c r="AG71" s="160">
        <v>170.0</v>
      </c>
      <c r="AH71" s="314">
        <f t="shared" si="2"/>
        <v>31759.38735</v>
      </c>
      <c r="AI71" s="314">
        <f t="shared" si="3"/>
        <v>4.282352941</v>
      </c>
      <c r="AJ71" s="316">
        <v>30770.0</v>
      </c>
      <c r="AK71" s="314">
        <f t="shared" si="35"/>
        <v>240006</v>
      </c>
      <c r="AL71" s="317">
        <v>77127.0</v>
      </c>
      <c r="AM71" s="318">
        <f t="shared" si="5"/>
        <v>0.05873816817</v>
      </c>
      <c r="AN71" s="314">
        <f t="shared" si="6"/>
        <v>103828.7663</v>
      </c>
      <c r="AO71" s="336">
        <f t="shared" si="54"/>
        <v>0.3374434906</v>
      </c>
      <c r="AP71" s="319">
        <v>0.0</v>
      </c>
      <c r="AQ71" s="160">
        <v>117.0</v>
      </c>
      <c r="AR71" s="160">
        <v>1651.0</v>
      </c>
      <c r="AS71" s="160">
        <v>0.0</v>
      </c>
      <c r="AT71" s="160">
        <v>6.0</v>
      </c>
      <c r="AU71" s="160">
        <v>0.0</v>
      </c>
      <c r="AV71" s="320">
        <v>52.0</v>
      </c>
      <c r="AW71" s="320">
        <v>52.0</v>
      </c>
      <c r="AX71" s="320">
        <v>18.0</v>
      </c>
      <c r="AY71" s="321">
        <f>iferror(VLOOKUP(C71,'ORDER BOOKING REPORT 2025-26'!C:O,13,0),"")</f>
        <v>10483501.8</v>
      </c>
      <c r="AZ71" s="322">
        <v>45981.0</v>
      </c>
      <c r="BA71" s="157" t="str">
        <f t="shared" si="7"/>
        <v>LEFT</v>
      </c>
      <c r="BB71" s="157" t="str">
        <f t="shared" si="8"/>
        <v>Old</v>
      </c>
      <c r="BC71" s="157" t="str">
        <f t="shared" si="55"/>
        <v>Below 50%</v>
      </c>
      <c r="BD71" s="223">
        <v>7.8</v>
      </c>
      <c r="BE71" s="323">
        <v>2000000.0</v>
      </c>
      <c r="BF71" s="157">
        <f t="shared" si="10"/>
        <v>5</v>
      </c>
      <c r="BG71" s="157" t="s">
        <v>1019</v>
      </c>
      <c r="BH71" s="324"/>
      <c r="BI71" s="324"/>
      <c r="BJ71" s="325"/>
      <c r="BK71" s="326"/>
      <c r="BL71" s="326">
        <f t="shared" si="48"/>
        <v>0</v>
      </c>
      <c r="BM71" s="326">
        <f t="shared" si="12"/>
        <v>16000000</v>
      </c>
      <c r="BN71" s="326"/>
      <c r="BO71" s="327" t="str">
        <f>IFERROR(__xludf.DUMMYFUNCTION("IFERROR(ArrayFormula(SUM(VLOOKUP($C71,importrange(""1MwNMVzWE3QBVOyJjKr3eFX-Sq1Ng0Q1sghWJbgbE_8g"",""ORDER BOOKING REPORT 2024-25!C:CV""),{16,23,30},0))))"),"")</f>
        <v/>
      </c>
      <c r="BP71" s="327" t="str">
        <f>IFERROR(__xludf.DUMMYFUNCTION("IFERROR(ArrayFormula(SUM(VLOOKUP($C71,importrange(""1MwNMVzWE3QBVOyJjKr3eFX-Sq1Ng0Q1sghWJbgbE_8g"",""ORDER BOOKING REPORT 2024-25!C:CV""),{37,44,51},0))))"),"")</f>
        <v/>
      </c>
      <c r="BQ71" s="327" t="str">
        <f>IFERROR(__xludf.DUMMYFUNCTION("IFERROR(ArrayFormula(SUM(VLOOKUP($C71,importrange(""1MwNMVzWE3QBVOyJjKr3eFX-Sq1Ng0Q1sghWJbgbE_8g"",""ORDER BOOKING REPORT 2024-25!C:CV""),{58,65,72},0))))"),"")</f>
        <v/>
      </c>
      <c r="BR71" s="327" t="str">
        <f>IFERROR(__xludf.DUMMYFUNCTION("IFERROR(ArrayFormula(SUM(VLOOKUP($C71,importrange(""1MwNMVzWE3QBVOyJjKr3eFX-Sq1Ng0Q1sghWJbgbE_8g"",""ORDER BOOKING REPORT 2024-25!C:CV""),{79,86,93},0))))"),"")</f>
        <v/>
      </c>
      <c r="BS71" s="328">
        <f t="shared" si="13"/>
        <v>0.6552188625</v>
      </c>
      <c r="BT71" s="328">
        <f t="shared" si="14"/>
        <v>0.03025067445</v>
      </c>
      <c r="BU71" s="234">
        <f t="shared" si="15"/>
        <v>0</v>
      </c>
      <c r="BV71" s="329">
        <v>30770.0</v>
      </c>
      <c r="BW71" s="329" t="s">
        <v>1029</v>
      </c>
      <c r="BX71" s="329">
        <v>916.0</v>
      </c>
      <c r="BY71" s="234">
        <f t="shared" si="16"/>
        <v>0</v>
      </c>
      <c r="BZ71" s="234"/>
      <c r="CA71" s="234"/>
      <c r="CB71" s="234"/>
      <c r="CC71" s="234"/>
      <c r="CD71" s="234"/>
      <c r="CE71" s="234"/>
      <c r="CF71" s="234"/>
      <c r="CG71" s="234" t="str">
        <f t="shared" si="19"/>
        <v> </v>
      </c>
      <c r="CH71" s="234" t="str">
        <f t="shared" si="27"/>
        <v>Not 50%</v>
      </c>
      <c r="CI71" s="328">
        <f t="shared" si="20"/>
        <v>0.4262295082</v>
      </c>
      <c r="CJ71" s="330">
        <f>IFERROR(__xludf.DUMMYFUNCTION("""COMPUTED_VALUE"""),294.0)</f>
        <v>294</v>
      </c>
      <c r="CK71" s="330">
        <f>IFERROR(__xludf.DUMMYFUNCTION("""COMPUTED_VALUE"""),224.0)</f>
        <v>224</v>
      </c>
      <c r="CL71" s="330">
        <f>IFERROR(__xludf.DUMMYFUNCTION("""COMPUTED_VALUE"""),0.0)</f>
        <v>0</v>
      </c>
      <c r="CM71" s="331">
        <f t="shared" si="21"/>
        <v>0</v>
      </c>
      <c r="CN71" s="337"/>
      <c r="CO71" s="160"/>
      <c r="CP71" s="334"/>
      <c r="CQ71" s="335"/>
      <c r="CR71" s="160"/>
      <c r="CS71" s="160"/>
      <c r="CT71" s="160"/>
      <c r="CU71" s="160"/>
      <c r="CV71" s="160"/>
      <c r="CW71" s="335"/>
      <c r="CX71" s="288"/>
      <c r="CY71" s="160"/>
      <c r="CZ71" s="160"/>
    </row>
    <row r="72">
      <c r="A72" s="348" t="s">
        <v>53</v>
      </c>
      <c r="B72" s="348" t="s">
        <v>61</v>
      </c>
      <c r="C72" s="348" t="s">
        <v>746</v>
      </c>
      <c r="D72" s="157" t="s">
        <v>1077</v>
      </c>
      <c r="E72" s="157" t="s">
        <v>60</v>
      </c>
      <c r="F72" s="349">
        <v>45061.0</v>
      </c>
      <c r="G72" s="314">
        <v>0.0</v>
      </c>
      <c r="H72" s="314">
        <v>1.78E7</v>
      </c>
      <c r="I72" s="315">
        <v>1.235476867E7</v>
      </c>
      <c r="J72" s="315">
        <v>0.0</v>
      </c>
      <c r="K72" s="160">
        <v>116.0</v>
      </c>
      <c r="L72" s="160">
        <v>113.0</v>
      </c>
      <c r="M72" s="160">
        <v>15.0</v>
      </c>
      <c r="N72" s="160">
        <v>131.0</v>
      </c>
      <c r="O72" s="160">
        <v>18.0</v>
      </c>
      <c r="P72" s="315">
        <v>1.056802716E7</v>
      </c>
      <c r="Q72" s="315">
        <v>1786741.51</v>
      </c>
      <c r="R72" s="160">
        <v>50.0</v>
      </c>
      <c r="S72" s="160">
        <v>15.0</v>
      </c>
      <c r="T72" s="160">
        <v>65.0</v>
      </c>
      <c r="U72" s="160">
        <v>0.0</v>
      </c>
      <c r="V72" s="160">
        <v>158.0</v>
      </c>
      <c r="W72" s="160">
        <v>276.0</v>
      </c>
      <c r="X72" s="160">
        <v>352.0</v>
      </c>
      <c r="Y72" s="160">
        <v>5.0</v>
      </c>
      <c r="Z72" s="160">
        <v>77.0</v>
      </c>
      <c r="AA72" s="160">
        <v>0.0</v>
      </c>
      <c r="AB72" s="160">
        <v>0.0</v>
      </c>
      <c r="AC72" s="160">
        <v>4.0</v>
      </c>
      <c r="AD72" s="160">
        <v>18.0</v>
      </c>
      <c r="AE72" s="160">
        <v>1496.0</v>
      </c>
      <c r="AF72" s="160">
        <v>1867.0</v>
      </c>
      <c r="AG72" s="160">
        <v>275.0</v>
      </c>
      <c r="AH72" s="314">
        <f t="shared" si="2"/>
        <v>44926.43153</v>
      </c>
      <c r="AI72" s="314">
        <f t="shared" si="3"/>
        <v>6.789090909</v>
      </c>
      <c r="AJ72" s="316">
        <f t="shared" ref="AJ72:AJ73" si="56">BV72</f>
        <v>40590</v>
      </c>
      <c r="AK72" s="314">
        <f t="shared" si="35"/>
        <v>487080</v>
      </c>
      <c r="AL72" s="286">
        <v>230144.0</v>
      </c>
      <c r="AM72" s="318">
        <f t="shared" si="5"/>
        <v>0.05805240221</v>
      </c>
      <c r="AN72" s="314">
        <f t="shared" si="6"/>
        <v>190073.3642</v>
      </c>
      <c r="AO72" s="336">
        <f t="shared" si="54"/>
        <v>0.6940881275</v>
      </c>
      <c r="AP72" s="319">
        <v>0.0</v>
      </c>
      <c r="AQ72" s="160">
        <v>254.0</v>
      </c>
      <c r="AR72" s="160">
        <v>2926.0</v>
      </c>
      <c r="AS72" s="160">
        <v>2976.67</v>
      </c>
      <c r="AT72" s="160">
        <v>15.0</v>
      </c>
      <c r="AU72" s="160">
        <v>26.0</v>
      </c>
      <c r="AV72" s="320">
        <v>65.0</v>
      </c>
      <c r="AW72" s="320">
        <v>48.0</v>
      </c>
      <c r="AX72" s="320">
        <v>18.0</v>
      </c>
      <c r="AY72" s="321">
        <f>iferror(VLOOKUP(C72,'ORDER BOOKING REPORT 2025-26'!C:O,13,0),"")</f>
        <v>13679177</v>
      </c>
      <c r="AZ72" s="322"/>
      <c r="BA72" s="157" t="str">
        <f t="shared" si="7"/>
        <v>Active</v>
      </c>
      <c r="BB72" s="157" t="str">
        <f t="shared" si="8"/>
        <v>Old</v>
      </c>
      <c r="BC72" s="157" t="str">
        <f t="shared" si="55"/>
        <v>50%-70%</v>
      </c>
      <c r="BD72" s="223">
        <f t="shared" ref="BD72:BD75" si="57">Match($BD$2,{"Apr","May","Jun","Jul","Aug","Sep","Oct","Nov","Dec","Jan","Feb","Mar"},0)</f>
        <v>12</v>
      </c>
      <c r="BE72" s="326">
        <v>1500000.0</v>
      </c>
      <c r="BF72" s="157">
        <f t="shared" si="10"/>
        <v>0</v>
      </c>
      <c r="BG72" s="157" t="s">
        <v>1019</v>
      </c>
      <c r="BH72" s="324"/>
      <c r="BI72" s="324"/>
      <c r="BJ72" s="325"/>
      <c r="BK72" s="326"/>
      <c r="BL72" s="326">
        <f t="shared" si="48"/>
        <v>0</v>
      </c>
      <c r="BM72" s="326">
        <f t="shared" si="12"/>
        <v>17800000</v>
      </c>
      <c r="BN72" s="326"/>
      <c r="BO72" s="327" t="str">
        <f>IFERROR(__xludf.DUMMYFUNCTION("IFERROR(ArrayFormula(SUM(VLOOKUP($C72,importrange(""1MwNMVzWE3QBVOyJjKr3eFX-Sq1Ng0Q1sghWJbgbE_8g"",""ORDER BOOKING REPORT 2024-25!C:CV""),{16,23,30},0))))"),"")</f>
        <v/>
      </c>
      <c r="BP72" s="327" t="str">
        <f>IFERROR(__xludf.DUMMYFUNCTION("IFERROR(ArrayFormula(SUM(VLOOKUP($C72,importrange(""1MwNMVzWE3QBVOyJjKr3eFX-Sq1Ng0Q1sghWJbgbE_8g"",""ORDER BOOKING REPORT 2024-25!C:CV""),{37,44,51},0))))"),"")</f>
        <v/>
      </c>
      <c r="BQ72" s="327" t="str">
        <f>IFERROR(__xludf.DUMMYFUNCTION("IFERROR(ArrayFormula(SUM(VLOOKUP($C72,importrange(""1MwNMVzWE3QBVOyJjKr3eFX-Sq1Ng0Q1sghWJbgbE_8g"",""ORDER BOOKING REPORT 2024-25!C:CV""),{58,65,72},0))))"),"")</f>
        <v/>
      </c>
      <c r="BR72" s="327" t="str">
        <f>IFERROR(__xludf.DUMMYFUNCTION("IFERROR(ArrayFormula(SUM(VLOOKUP($C72,importrange(""1MwNMVzWE3QBVOyJjKr3eFX-Sq1Ng0Q1sghWJbgbE_8g"",""ORDER BOOKING REPORT 2024-25!C:CV""),{79,86,93},0))))"),"")</f>
        <v/>
      </c>
      <c r="BS72" s="328">
        <f t="shared" si="13"/>
        <v>0.7684930899</v>
      </c>
      <c r="BT72" s="328">
        <f t="shared" si="14"/>
        <v>0.05243180931</v>
      </c>
      <c r="BU72" s="234">
        <f t="shared" si="15"/>
        <v>0</v>
      </c>
      <c r="BV72" s="329">
        <v>40590.0</v>
      </c>
      <c r="BW72" s="329" t="s">
        <v>1029</v>
      </c>
      <c r="BX72" s="329">
        <v>918.0</v>
      </c>
      <c r="BY72" s="234">
        <f t="shared" si="16"/>
        <v>0</v>
      </c>
      <c r="BZ72" s="234"/>
      <c r="CA72" s="234"/>
      <c r="CB72" s="234"/>
      <c r="CC72" s="234"/>
      <c r="CD72" s="234"/>
      <c r="CE72" s="234"/>
      <c r="CF72" s="234"/>
      <c r="CG72" s="234" t="str">
        <f t="shared" si="19"/>
        <v> </v>
      </c>
      <c r="CH72" s="234" t="str">
        <f t="shared" si="27"/>
        <v>Not 50%</v>
      </c>
      <c r="CI72" s="328">
        <f t="shared" si="20"/>
        <v>0.4961832061</v>
      </c>
      <c r="CJ72" s="339">
        <f>IFERROR(__xludf.DUMMYFUNCTION("""COMPUTED_VALUE"""),1195.0)</f>
        <v>1195</v>
      </c>
      <c r="CK72" s="339">
        <f>IFERROR(__xludf.DUMMYFUNCTION("""COMPUTED_VALUE"""),301.0)</f>
        <v>301</v>
      </c>
      <c r="CL72" s="339">
        <f>IFERROR(__xludf.DUMMYFUNCTION("""COMPUTED_VALUE"""),0.0)</f>
        <v>0</v>
      </c>
      <c r="CM72" s="331">
        <f t="shared" si="21"/>
        <v>0</v>
      </c>
      <c r="CN72" s="340"/>
      <c r="CO72" s="328"/>
      <c r="CP72" s="341"/>
      <c r="CQ72" s="344"/>
      <c r="CR72" s="328"/>
      <c r="CS72" s="328"/>
      <c r="CT72" s="328"/>
      <c r="CU72" s="328"/>
      <c r="CV72" s="328"/>
      <c r="CW72" s="328"/>
      <c r="CX72" s="288"/>
      <c r="CY72" s="328"/>
      <c r="CZ72" s="328"/>
    </row>
    <row r="73">
      <c r="A73" s="157" t="s">
        <v>73</v>
      </c>
      <c r="B73" s="157" t="s">
        <v>76</v>
      </c>
      <c r="C73" s="157" t="s">
        <v>77</v>
      </c>
      <c r="D73" s="157" t="s">
        <v>76</v>
      </c>
      <c r="E73" s="157" t="s">
        <v>78</v>
      </c>
      <c r="F73" s="349">
        <v>45068.0</v>
      </c>
      <c r="G73" s="314">
        <v>1500000.0</v>
      </c>
      <c r="H73" s="314">
        <v>2.4E7</v>
      </c>
      <c r="I73" s="315">
        <v>5245728.86</v>
      </c>
      <c r="J73" s="315">
        <v>5888581.14</v>
      </c>
      <c r="K73" s="160">
        <v>49.0</v>
      </c>
      <c r="L73" s="160">
        <v>42.0</v>
      </c>
      <c r="M73" s="160">
        <v>1.0</v>
      </c>
      <c r="N73" s="160">
        <v>50.0</v>
      </c>
      <c r="O73" s="160">
        <v>8.0</v>
      </c>
      <c r="P73" s="315">
        <v>5205892.36</v>
      </c>
      <c r="Q73" s="315">
        <v>39836.5</v>
      </c>
      <c r="R73" s="160">
        <v>23.0</v>
      </c>
      <c r="S73" s="160">
        <v>1.0</v>
      </c>
      <c r="T73" s="160">
        <v>24.0</v>
      </c>
      <c r="U73" s="160">
        <v>13.0</v>
      </c>
      <c r="V73" s="160">
        <v>22.0</v>
      </c>
      <c r="W73" s="160">
        <v>65.0</v>
      </c>
      <c r="X73" s="160">
        <v>133.0</v>
      </c>
      <c r="Y73" s="160">
        <v>9.0</v>
      </c>
      <c r="Z73" s="160">
        <v>119.0</v>
      </c>
      <c r="AA73" s="160">
        <v>17.0</v>
      </c>
      <c r="AB73" s="160">
        <v>312.0</v>
      </c>
      <c r="AC73" s="160">
        <v>8.0</v>
      </c>
      <c r="AD73" s="160">
        <v>20.0</v>
      </c>
      <c r="AE73" s="160">
        <v>418.0</v>
      </c>
      <c r="AF73" s="160">
        <v>934.0</v>
      </c>
      <c r="AG73" s="160">
        <v>300.0</v>
      </c>
      <c r="AH73" s="314">
        <f t="shared" si="2"/>
        <v>37114.36667</v>
      </c>
      <c r="AI73" s="314">
        <f t="shared" si="3"/>
        <v>3.113333333</v>
      </c>
      <c r="AJ73" s="316">
        <f t="shared" si="56"/>
        <v>31660</v>
      </c>
      <c r="AK73" s="314">
        <f t="shared" si="35"/>
        <v>379920</v>
      </c>
      <c r="AL73" s="286">
        <v>111398.0</v>
      </c>
      <c r="AM73" s="318">
        <f t="shared" si="5"/>
        <v>0.04412648831</v>
      </c>
      <c r="AN73" s="314">
        <f t="shared" si="6"/>
        <v>218572.0358</v>
      </c>
      <c r="AO73" s="336">
        <f t="shared" si="54"/>
        <v>0.4366396078</v>
      </c>
      <c r="AP73" s="319">
        <v>3.92</v>
      </c>
      <c r="AQ73" s="160">
        <v>106.0</v>
      </c>
      <c r="AR73" s="160">
        <v>2454.0</v>
      </c>
      <c r="AS73" s="160">
        <v>1362.44</v>
      </c>
      <c r="AT73" s="160">
        <v>1.0</v>
      </c>
      <c r="AU73" s="160">
        <v>32.0</v>
      </c>
      <c r="AV73" s="320">
        <v>24.0</v>
      </c>
      <c r="AW73" s="320">
        <v>18.0</v>
      </c>
      <c r="AX73" s="320">
        <v>8.0</v>
      </c>
      <c r="AY73" s="321">
        <f>iferror(VLOOKUP(C73,'ORDER BOOKING REPORT 2025-26'!C:O,13,0),"")</f>
        <v>10777559</v>
      </c>
      <c r="AZ73" s="322"/>
      <c r="BA73" s="157" t="str">
        <f t="shared" si="7"/>
        <v>Active</v>
      </c>
      <c r="BB73" s="157" t="str">
        <f t="shared" si="8"/>
        <v>Old</v>
      </c>
      <c r="BC73" s="157" t="str">
        <f t="shared" si="55"/>
        <v>Below 50%</v>
      </c>
      <c r="BD73" s="223">
        <f t="shared" si="57"/>
        <v>12</v>
      </c>
      <c r="BE73" s="323">
        <v>2125000.0</v>
      </c>
      <c r="BF73" s="157">
        <f t="shared" si="10"/>
        <v>0</v>
      </c>
      <c r="BG73" s="157" t="s">
        <v>1019</v>
      </c>
      <c r="BH73" s="324"/>
      <c r="BI73" s="324"/>
      <c r="BJ73" s="325"/>
      <c r="BK73" s="326">
        <v>125000.0</v>
      </c>
      <c r="BL73" s="326">
        <f t="shared" si="48"/>
        <v>1500000</v>
      </c>
      <c r="BM73" s="326">
        <f t="shared" si="12"/>
        <v>25500000</v>
      </c>
      <c r="BN73" s="326"/>
      <c r="BO73" s="327" t="str">
        <f>IFERROR(__xludf.DUMMYFUNCTION("IFERROR(ArrayFormula(SUM(VLOOKUP($C73,importrange(""1MwNMVzWE3QBVOyJjKr3eFX-Sq1Ng0Q1sghWJbgbE_8g"",""ORDER BOOKING REPORT 2024-25!C:CV""),{16,23,30},0))))"),"")</f>
        <v/>
      </c>
      <c r="BP73" s="327" t="str">
        <f>IFERROR(__xludf.DUMMYFUNCTION("IFERROR(ArrayFormula(SUM(VLOOKUP($C73,importrange(""1MwNMVzWE3QBVOyJjKr3eFX-Sq1Ng0Q1sghWJbgbE_8g"",""ORDER BOOKING REPORT 2024-25!C:CV""),{37,44,51},0))))"),"")</f>
        <v/>
      </c>
      <c r="BQ73" s="327" t="str">
        <f>IFERROR(__xludf.DUMMYFUNCTION("IFERROR(ArrayFormula(SUM(VLOOKUP($C73,importrange(""1MwNMVzWE3QBVOyJjKr3eFX-Sq1Ng0Q1sghWJbgbE_8g"",""ORDER BOOKING REPORT 2024-25!C:CV""),{58,65,72},0))))"),"")</f>
        <v/>
      </c>
      <c r="BR73" s="327" t="str">
        <f>IFERROR(__xludf.DUMMYFUNCTION("IFERROR(ArrayFormula(SUM(VLOOKUP($C73,importrange(""1MwNMVzWE3QBVOyJjKr3eFX-Sq1Ng0Q1sghWJbgbE_8g"",""ORDER BOOKING REPORT 2024-25!C:CV""),{79,86,93},0))))"),"")</f>
        <v/>
      </c>
      <c r="BS73" s="328">
        <f t="shared" si="13"/>
        <v>0.4226493725</v>
      </c>
      <c r="BT73" s="328">
        <f t="shared" si="14"/>
        <v>0.04558713156</v>
      </c>
      <c r="BU73" s="234">
        <f t="shared" si="15"/>
        <v>0</v>
      </c>
      <c r="BV73" s="329">
        <v>31660.0</v>
      </c>
      <c r="BW73" s="329" t="s">
        <v>1020</v>
      </c>
      <c r="BX73" s="329">
        <v>914.0</v>
      </c>
      <c r="BY73" s="234">
        <f t="shared" si="16"/>
        <v>0</v>
      </c>
      <c r="BZ73" s="234"/>
      <c r="CA73" s="234"/>
      <c r="CB73" s="234"/>
      <c r="CC73" s="234"/>
      <c r="CD73" s="234"/>
      <c r="CE73" s="234"/>
      <c r="CF73" s="234"/>
      <c r="CG73" s="234" t="str">
        <f t="shared" si="19"/>
        <v>Below 60</v>
      </c>
      <c r="CH73" s="234" t="str">
        <f t="shared" si="27"/>
        <v>Not 50%</v>
      </c>
      <c r="CI73" s="328">
        <f t="shared" si="20"/>
        <v>0.48</v>
      </c>
      <c r="CJ73" s="339">
        <f>IFERROR(__xludf.DUMMYFUNCTION("""COMPUTED_VALUE"""),368.0)</f>
        <v>368</v>
      </c>
      <c r="CK73" s="339">
        <f>IFERROR(__xludf.DUMMYFUNCTION("""COMPUTED_VALUE"""),50.0)</f>
        <v>50</v>
      </c>
      <c r="CL73" s="339">
        <f>IFERROR(__xludf.DUMMYFUNCTION("""COMPUTED_VALUE"""),0.0)</f>
        <v>0</v>
      </c>
      <c r="CM73" s="331">
        <f t="shared" si="21"/>
        <v>0</v>
      </c>
      <c r="CN73" s="340"/>
      <c r="CO73" s="328"/>
      <c r="CP73" s="341"/>
      <c r="CQ73" s="344"/>
      <c r="CR73" s="328"/>
      <c r="CS73" s="328"/>
      <c r="CT73" s="328"/>
      <c r="CU73" s="328"/>
      <c r="CV73" s="328"/>
      <c r="CW73" s="328"/>
      <c r="CX73" s="288"/>
      <c r="CY73" s="328"/>
      <c r="CZ73" s="328"/>
    </row>
    <row r="74">
      <c r="A74" s="157" t="s">
        <v>185</v>
      </c>
      <c r="B74" s="157" t="s">
        <v>189</v>
      </c>
      <c r="C74" s="157" t="s">
        <v>747</v>
      </c>
      <c r="D74" s="157" t="s">
        <v>1016</v>
      </c>
      <c r="E74" s="157" t="s">
        <v>1078</v>
      </c>
      <c r="F74" s="349">
        <v>45069.0</v>
      </c>
      <c r="G74" s="314">
        <v>0.0</v>
      </c>
      <c r="H74" s="314">
        <v>1.8E7</v>
      </c>
      <c r="I74" s="315">
        <v>9637243.99</v>
      </c>
      <c r="J74" s="315">
        <v>0.0</v>
      </c>
      <c r="K74" s="160">
        <v>42.0</v>
      </c>
      <c r="L74" s="160">
        <v>42.0</v>
      </c>
      <c r="M74" s="160">
        <v>6.0</v>
      </c>
      <c r="N74" s="160">
        <v>48.0</v>
      </c>
      <c r="O74" s="160">
        <v>6.0</v>
      </c>
      <c r="P74" s="315">
        <v>7969029.6</v>
      </c>
      <c r="Q74" s="315">
        <v>1668214.39</v>
      </c>
      <c r="R74" s="160">
        <v>24.0</v>
      </c>
      <c r="S74" s="160">
        <v>5.0</v>
      </c>
      <c r="T74" s="160">
        <v>29.0</v>
      </c>
      <c r="U74" s="160">
        <v>0.0</v>
      </c>
      <c r="V74" s="160">
        <v>24.0</v>
      </c>
      <c r="W74" s="160">
        <v>76.0</v>
      </c>
      <c r="X74" s="160">
        <v>71.0</v>
      </c>
      <c r="Y74" s="160">
        <v>3.0</v>
      </c>
      <c r="Z74" s="160">
        <v>20.0</v>
      </c>
      <c r="AA74" s="160">
        <v>0.0</v>
      </c>
      <c r="AB74" s="160">
        <v>0.0</v>
      </c>
      <c r="AC74" s="160">
        <v>0.0</v>
      </c>
      <c r="AD74" s="160">
        <v>0.0</v>
      </c>
      <c r="AE74" s="160">
        <v>1236.0</v>
      </c>
      <c r="AF74" s="160">
        <v>1332.0</v>
      </c>
      <c r="AG74" s="160">
        <v>295.0</v>
      </c>
      <c r="AH74" s="314">
        <f t="shared" si="2"/>
        <v>32668.62369</v>
      </c>
      <c r="AI74" s="314">
        <f t="shared" si="3"/>
        <v>4.515254237</v>
      </c>
      <c r="AJ74" s="316">
        <v>29042.0</v>
      </c>
      <c r="AK74" s="314">
        <f t="shared" si="35"/>
        <v>348504</v>
      </c>
      <c r="AL74" s="317">
        <v>107610.0</v>
      </c>
      <c r="AM74" s="318">
        <f t="shared" si="5"/>
        <v>0.04732826112</v>
      </c>
      <c r="AN74" s="314">
        <f t="shared" si="6"/>
        <v>332318.7583</v>
      </c>
      <c r="AO74" s="336">
        <f t="shared" si="54"/>
        <v>0.5354024439</v>
      </c>
      <c r="AP74" s="319">
        <v>0.0</v>
      </c>
      <c r="AQ74" s="160">
        <v>166.0</v>
      </c>
      <c r="AR74" s="160">
        <v>3287.0</v>
      </c>
      <c r="AS74" s="160">
        <v>3022.74</v>
      </c>
      <c r="AT74" s="160">
        <v>5.0</v>
      </c>
      <c r="AU74" s="160">
        <v>72.0</v>
      </c>
      <c r="AV74" s="320">
        <v>29.0</v>
      </c>
      <c r="AW74" s="320">
        <v>13.0</v>
      </c>
      <c r="AX74" s="320">
        <v>6.0</v>
      </c>
      <c r="AY74" s="321">
        <f>iferror(VLOOKUP(C74,'ORDER BOOKING REPORT 2025-26'!C:O,13,0),"")</f>
        <v>8904175</v>
      </c>
      <c r="AZ74" s="322"/>
      <c r="BA74" s="157" t="str">
        <f t="shared" si="7"/>
        <v>Active</v>
      </c>
      <c r="BB74" s="157" t="str">
        <f t="shared" si="8"/>
        <v>Old</v>
      </c>
      <c r="BC74" s="157" t="str">
        <f t="shared" si="55"/>
        <v>50%-70%</v>
      </c>
      <c r="BD74" s="223">
        <f t="shared" si="57"/>
        <v>12</v>
      </c>
      <c r="BE74" s="323">
        <v>1500000.0</v>
      </c>
      <c r="BF74" s="157">
        <f t="shared" si="10"/>
        <v>1</v>
      </c>
      <c r="BG74" s="157" t="s">
        <v>1019</v>
      </c>
      <c r="BH74" s="324"/>
      <c r="BI74" s="324"/>
      <c r="BJ74" s="325"/>
      <c r="BK74" s="326"/>
      <c r="BL74" s="326">
        <f t="shared" si="48"/>
        <v>0</v>
      </c>
      <c r="BM74" s="326">
        <f t="shared" si="12"/>
        <v>18000000</v>
      </c>
      <c r="BN74" s="326"/>
      <c r="BO74" s="327" t="str">
        <f>IFERROR(__xludf.DUMMYFUNCTION("IFERROR(ArrayFormula(SUM(VLOOKUP($C74,importrange(""1MwNMVzWE3QBVOyJjKr3eFX-Sq1Ng0Q1sghWJbgbE_8g"",""ORDER BOOKING REPORT 2024-25!C:CV""),{16,23,30},0))))"),"")</f>
        <v/>
      </c>
      <c r="BP74" s="327" t="str">
        <f>IFERROR(__xludf.DUMMYFUNCTION("IFERROR(ArrayFormula(SUM(VLOOKUP($C74,importrange(""1MwNMVzWE3QBVOyJjKr3eFX-Sq1Ng0Q1sghWJbgbE_8g"",""ORDER BOOKING REPORT 2024-25!C:CV""),{37,44,51},0))))"),"")</f>
        <v/>
      </c>
      <c r="BQ74" s="327" t="str">
        <f>IFERROR(__xludf.DUMMYFUNCTION("IFERROR(ArrayFormula(SUM(VLOOKUP($C74,importrange(""1MwNMVzWE3QBVOyJjKr3eFX-Sq1Ng0Q1sghWJbgbE_8g"",""ORDER BOOKING REPORT 2024-25!C:CV""),{58,65,72},0))))"),"")</f>
        <v/>
      </c>
      <c r="BR74" s="327" t="str">
        <f>IFERROR(__xludf.DUMMYFUNCTION("IFERROR(ArrayFormula(SUM(VLOOKUP($C74,importrange(""1MwNMVzWE3QBVOyJjKr3eFX-Sq1Ng0Q1sghWJbgbE_8g"",""ORDER BOOKING REPORT 2024-25!C:CV""),{79,86,93},0))))"),"")</f>
        <v/>
      </c>
      <c r="BS74" s="328">
        <f t="shared" si="13"/>
        <v>0.4946763889</v>
      </c>
      <c r="BT74" s="328">
        <f t="shared" si="14"/>
        <v>0.05122473446</v>
      </c>
      <c r="BU74" s="234">
        <f t="shared" si="15"/>
        <v>0</v>
      </c>
      <c r="BV74" s="329">
        <v>29042.0</v>
      </c>
      <c r="BW74" s="329" t="s">
        <v>1045</v>
      </c>
      <c r="BX74" s="329">
        <v>923.0</v>
      </c>
      <c r="BY74" s="234">
        <f t="shared" si="16"/>
        <v>0</v>
      </c>
      <c r="BZ74" s="234"/>
      <c r="CA74" s="234"/>
      <c r="CB74" s="234"/>
      <c r="CC74" s="234"/>
      <c r="CD74" s="234"/>
      <c r="CE74" s="234"/>
      <c r="CF74" s="234"/>
      <c r="CG74" s="234" t="str">
        <f t="shared" si="19"/>
        <v>Below 60</v>
      </c>
      <c r="CH74" s="234" t="str">
        <f t="shared" si="27"/>
        <v>Business Achieved 50%</v>
      </c>
      <c r="CI74" s="328">
        <f t="shared" si="20"/>
        <v>0.6041666667</v>
      </c>
      <c r="CJ74" s="330">
        <f>IFERROR(__xludf.DUMMYFUNCTION("""COMPUTED_VALUE"""),1013.0)</f>
        <v>1013</v>
      </c>
      <c r="CK74" s="330">
        <f>IFERROR(__xludf.DUMMYFUNCTION("""COMPUTED_VALUE"""),223.0)</f>
        <v>223</v>
      </c>
      <c r="CL74" s="330">
        <f>IFERROR(__xludf.DUMMYFUNCTION("""COMPUTED_VALUE"""),0.0)</f>
        <v>0</v>
      </c>
      <c r="CM74" s="331">
        <f t="shared" si="21"/>
        <v>0</v>
      </c>
      <c r="CN74" s="337"/>
      <c r="CO74" s="160"/>
      <c r="CP74" s="334"/>
      <c r="CQ74" s="335"/>
      <c r="CR74" s="160"/>
      <c r="CS74" s="160"/>
      <c r="CT74" s="160"/>
      <c r="CU74" s="160"/>
      <c r="CV74" s="160"/>
      <c r="CW74" s="335"/>
      <c r="CX74" s="288"/>
      <c r="CY74" s="160"/>
      <c r="CZ74" s="160"/>
    </row>
    <row r="75">
      <c r="A75" s="157" t="s">
        <v>185</v>
      </c>
      <c r="B75" s="157" t="s">
        <v>189</v>
      </c>
      <c r="C75" s="157" t="s">
        <v>240</v>
      </c>
      <c r="D75" s="157" t="s">
        <v>1016</v>
      </c>
      <c r="E75" s="157" t="s">
        <v>187</v>
      </c>
      <c r="F75" s="349">
        <v>45069.0</v>
      </c>
      <c r="G75" s="314">
        <v>0.0</v>
      </c>
      <c r="H75" s="314">
        <v>1.8E7</v>
      </c>
      <c r="I75" s="315">
        <v>1.628552484E7</v>
      </c>
      <c r="J75" s="315">
        <v>0.0</v>
      </c>
      <c r="K75" s="160">
        <v>123.0</v>
      </c>
      <c r="L75" s="160">
        <v>114.0</v>
      </c>
      <c r="M75" s="160">
        <v>7.0</v>
      </c>
      <c r="N75" s="160">
        <v>130.0</v>
      </c>
      <c r="O75" s="160">
        <v>16.0</v>
      </c>
      <c r="P75" s="315">
        <v>1.595240518E7</v>
      </c>
      <c r="Q75" s="315">
        <v>333119.66</v>
      </c>
      <c r="R75" s="160">
        <v>104.0</v>
      </c>
      <c r="S75" s="160">
        <v>4.0</v>
      </c>
      <c r="T75" s="160">
        <v>108.0</v>
      </c>
      <c r="U75" s="160">
        <v>0.0</v>
      </c>
      <c r="V75" s="160">
        <v>3.0</v>
      </c>
      <c r="W75" s="160">
        <v>3.0</v>
      </c>
      <c r="X75" s="160">
        <v>71.0</v>
      </c>
      <c r="Y75" s="160">
        <v>1.0</v>
      </c>
      <c r="Z75" s="160">
        <v>83.0</v>
      </c>
      <c r="AA75" s="160">
        <v>0.0</v>
      </c>
      <c r="AB75" s="160">
        <v>0.0</v>
      </c>
      <c r="AC75" s="160">
        <v>0.0</v>
      </c>
      <c r="AD75" s="160">
        <v>0.0</v>
      </c>
      <c r="AE75" s="160">
        <v>1442.0</v>
      </c>
      <c r="AF75" s="160">
        <v>1528.0</v>
      </c>
      <c r="AG75" s="160">
        <v>285.0</v>
      </c>
      <c r="AH75" s="314">
        <f t="shared" si="2"/>
        <v>57142.19242</v>
      </c>
      <c r="AI75" s="314">
        <f t="shared" si="3"/>
        <v>5.361403509</v>
      </c>
      <c r="AJ75" s="316">
        <v>25212.0</v>
      </c>
      <c r="AK75" s="314">
        <f t="shared" si="35"/>
        <v>302544</v>
      </c>
      <c r="AL75" s="317">
        <v>68495.0</v>
      </c>
      <c r="AM75" s="318">
        <f t="shared" si="5"/>
        <v>0.02278336152</v>
      </c>
      <c r="AN75" s="314">
        <f t="shared" si="6"/>
        <v>150791.8967</v>
      </c>
      <c r="AO75" s="336">
        <f t="shared" si="54"/>
        <v>0.90475138</v>
      </c>
      <c r="AP75" s="319">
        <v>0.0</v>
      </c>
      <c r="AQ75" s="160">
        <v>632.0</v>
      </c>
      <c r="AR75" s="160">
        <v>3057.0</v>
      </c>
      <c r="AS75" s="160">
        <v>2318.73</v>
      </c>
      <c r="AT75" s="160">
        <v>4.0</v>
      </c>
      <c r="AU75" s="160">
        <v>20.0</v>
      </c>
      <c r="AV75" s="320">
        <v>108.0</v>
      </c>
      <c r="AW75" s="320">
        <v>10.0</v>
      </c>
      <c r="AX75" s="320">
        <v>12.0</v>
      </c>
      <c r="AY75" s="321">
        <f>iferror(VLOOKUP(C75,'ORDER BOOKING REPORT 2025-26'!C:O,13,0),"")</f>
        <v>16341679</v>
      </c>
      <c r="AZ75" s="322"/>
      <c r="BA75" s="157" t="str">
        <f t="shared" si="7"/>
        <v>Active</v>
      </c>
      <c r="BB75" s="157" t="str">
        <f t="shared" si="8"/>
        <v>Old</v>
      </c>
      <c r="BC75" s="157" t="str">
        <f t="shared" si="55"/>
        <v>90%-100%</v>
      </c>
      <c r="BD75" s="223">
        <f t="shared" si="57"/>
        <v>12</v>
      </c>
      <c r="BE75" s="323">
        <v>1500000.0</v>
      </c>
      <c r="BF75" s="157">
        <f t="shared" si="10"/>
        <v>3</v>
      </c>
      <c r="BG75" s="157" t="s">
        <v>1019</v>
      </c>
      <c r="BH75" s="324"/>
      <c r="BI75" s="324"/>
      <c r="BJ75" s="325"/>
      <c r="BK75" s="326"/>
      <c r="BL75" s="326">
        <f t="shared" si="48"/>
        <v>0</v>
      </c>
      <c r="BM75" s="326">
        <f t="shared" si="12"/>
        <v>18000000</v>
      </c>
      <c r="BN75" s="326"/>
      <c r="BO75" s="327" t="str">
        <f>IFERROR(__xludf.DUMMYFUNCTION("IFERROR(ArrayFormula(SUM(VLOOKUP($C75,importrange(""1MwNMVzWE3QBVOyJjKr3eFX-Sq1Ng0Q1sghWJbgbE_8g"",""ORDER BOOKING REPORT 2024-25!C:CV""),{16,23,30},0))))"),"")</f>
        <v/>
      </c>
      <c r="BP75" s="327" t="str">
        <f>IFERROR(__xludf.DUMMYFUNCTION("IFERROR(ArrayFormula(SUM(VLOOKUP($C75,importrange(""1MwNMVzWE3QBVOyJjKr3eFX-Sq1Ng0Q1sghWJbgbE_8g"",""ORDER BOOKING REPORT 2024-25!C:CV""),{37,44,51},0))))"),"")</f>
        <v/>
      </c>
      <c r="BQ75" s="327" t="str">
        <f>IFERROR(__xludf.DUMMYFUNCTION("IFERROR(ArrayFormula(SUM(VLOOKUP($C75,importrange(""1MwNMVzWE3QBVOyJjKr3eFX-Sq1Ng0Q1sghWJbgbE_8g"",""ORDER BOOKING REPORT 2024-25!C:CV""),{58,65,72},0))))"),"")</f>
        <v/>
      </c>
      <c r="BR75" s="327" t="str">
        <f>IFERROR(__xludf.DUMMYFUNCTION("IFERROR(ArrayFormula(SUM(VLOOKUP($C75,importrange(""1MwNMVzWE3QBVOyJjKr3eFX-Sq1Ng0Q1sghWJbgbE_8g"",""ORDER BOOKING REPORT 2024-25!C:CV""),{79,86,93},0))))"),"")</f>
        <v/>
      </c>
      <c r="BS75" s="328">
        <f t="shared" si="13"/>
        <v>0.9078710556</v>
      </c>
      <c r="BT75" s="328">
        <f t="shared" si="14"/>
        <v>0.0227050721</v>
      </c>
      <c r="BU75" s="234">
        <f t="shared" si="15"/>
        <v>0</v>
      </c>
      <c r="BV75" s="329">
        <v>25212.0</v>
      </c>
      <c r="BW75" s="329" t="s">
        <v>1029</v>
      </c>
      <c r="BX75" s="329">
        <v>926.0</v>
      </c>
      <c r="BY75" s="234">
        <f t="shared" si="16"/>
        <v>0</v>
      </c>
      <c r="BZ75" s="234"/>
      <c r="CA75" s="234"/>
      <c r="CB75" s="234"/>
      <c r="CC75" s="234"/>
      <c r="CD75" s="234"/>
      <c r="CE75" s="234"/>
      <c r="CF75" s="234"/>
      <c r="CG75" s="234" t="str">
        <f t="shared" si="19"/>
        <v> </v>
      </c>
      <c r="CH75" s="234" t="str">
        <f t="shared" si="27"/>
        <v>Business Achieved 50%</v>
      </c>
      <c r="CI75" s="328">
        <f t="shared" si="20"/>
        <v>0.8307692308</v>
      </c>
      <c r="CJ75" s="330">
        <f>IFERROR(__xludf.DUMMYFUNCTION("""COMPUTED_VALUE"""),1391.0)</f>
        <v>1391</v>
      </c>
      <c r="CK75" s="330">
        <f>IFERROR(__xludf.DUMMYFUNCTION("""COMPUTED_VALUE"""),51.0)</f>
        <v>51</v>
      </c>
      <c r="CL75" s="330">
        <f>IFERROR(__xludf.DUMMYFUNCTION("""COMPUTED_VALUE"""),0.0)</f>
        <v>0</v>
      </c>
      <c r="CM75" s="331">
        <f t="shared" si="21"/>
        <v>0</v>
      </c>
      <c r="CN75" s="337"/>
      <c r="CO75" s="160"/>
      <c r="CP75" s="334"/>
      <c r="CQ75" s="335"/>
      <c r="CR75" s="160"/>
      <c r="CS75" s="160"/>
      <c r="CT75" s="160"/>
      <c r="CU75" s="160"/>
      <c r="CV75" s="160"/>
      <c r="CW75" s="335"/>
      <c r="CX75" s="288"/>
      <c r="CY75" s="160"/>
      <c r="CZ75" s="160"/>
    </row>
    <row r="76">
      <c r="A76" s="157" t="s">
        <v>185</v>
      </c>
      <c r="B76" s="157" t="s">
        <v>117</v>
      </c>
      <c r="C76" s="157" t="s">
        <v>428</v>
      </c>
      <c r="D76" s="157" t="s">
        <v>1044</v>
      </c>
      <c r="E76" s="157" t="s">
        <v>429</v>
      </c>
      <c r="F76" s="349">
        <v>45071.0</v>
      </c>
      <c r="G76" s="314">
        <v>0.0</v>
      </c>
      <c r="H76" s="314">
        <v>2400000.0</v>
      </c>
      <c r="I76" s="315">
        <v>606786.61</v>
      </c>
      <c r="J76" s="315">
        <v>0.0</v>
      </c>
      <c r="K76" s="160">
        <v>56.0</v>
      </c>
      <c r="L76" s="160">
        <v>55.0</v>
      </c>
      <c r="M76" s="160">
        <v>2.0</v>
      </c>
      <c r="N76" s="160">
        <v>58.0</v>
      </c>
      <c r="O76" s="160">
        <v>3.0</v>
      </c>
      <c r="P76" s="315">
        <v>581284.21</v>
      </c>
      <c r="Q76" s="315">
        <v>25502.4</v>
      </c>
      <c r="R76" s="160">
        <v>21.0</v>
      </c>
      <c r="S76" s="160">
        <v>1.0</v>
      </c>
      <c r="T76" s="160">
        <v>22.0</v>
      </c>
      <c r="U76" s="160">
        <v>0.0</v>
      </c>
      <c r="V76" s="160">
        <v>32.0</v>
      </c>
      <c r="W76" s="160">
        <v>44.0</v>
      </c>
      <c r="X76" s="160">
        <v>185.0</v>
      </c>
      <c r="Y76" s="160">
        <v>1.0</v>
      </c>
      <c r="Z76" s="160">
        <v>1.0</v>
      </c>
      <c r="AA76" s="160">
        <v>0.0</v>
      </c>
      <c r="AB76" s="160">
        <v>0.0</v>
      </c>
      <c r="AC76" s="160">
        <v>0.0</v>
      </c>
      <c r="AD76" s="160">
        <v>0.0</v>
      </c>
      <c r="AE76" s="160">
        <v>221.0</v>
      </c>
      <c r="AF76" s="160">
        <v>266.0</v>
      </c>
      <c r="AG76" s="160">
        <v>49.0</v>
      </c>
      <c r="AH76" s="314">
        <f t="shared" si="2"/>
        <v>12383.4002</v>
      </c>
      <c r="AI76" s="314">
        <f t="shared" si="3"/>
        <v>5.428571429</v>
      </c>
      <c r="AJ76" s="316">
        <v>24167.0</v>
      </c>
      <c r="AK76" s="314">
        <f t="shared" si="35"/>
        <v>48334</v>
      </c>
      <c r="AL76" s="286">
        <v>27708.0</v>
      </c>
      <c r="AM76" s="318">
        <f t="shared" si="5"/>
        <v>0.1253191793</v>
      </c>
      <c r="AN76" s="314">
        <f t="shared" si="6"/>
        <v>27581.20955</v>
      </c>
      <c r="AO76" s="336">
        <f t="shared" si="54"/>
        <v>0.2528277542</v>
      </c>
      <c r="AP76" s="319">
        <v>0.0</v>
      </c>
      <c r="AQ76" s="160">
        <v>31.0</v>
      </c>
      <c r="AR76" s="160">
        <v>400.0</v>
      </c>
      <c r="AS76" s="160">
        <v>0.0</v>
      </c>
      <c r="AT76" s="160">
        <v>1.0</v>
      </c>
      <c r="AU76" s="160">
        <v>0.0</v>
      </c>
      <c r="AV76" s="320">
        <v>22.0</v>
      </c>
      <c r="AW76" s="320">
        <v>33.0</v>
      </c>
      <c r="AX76" s="320">
        <v>3.0</v>
      </c>
      <c r="AY76" s="321">
        <f>iferror(VLOOKUP(C76,'ORDER BOOKING REPORT 2025-26'!C:O,13,0),"")</f>
        <v>0</v>
      </c>
      <c r="AZ76" s="345">
        <v>45808.0</v>
      </c>
      <c r="BA76" s="157" t="str">
        <f t="shared" si="7"/>
        <v>LEFT</v>
      </c>
      <c r="BB76" s="157" t="str">
        <f t="shared" si="8"/>
        <v>Old</v>
      </c>
      <c r="BC76" s="157" t="str">
        <f t="shared" si="55"/>
        <v>Below 50%</v>
      </c>
      <c r="BD76" s="223">
        <v>2.0</v>
      </c>
      <c r="BE76" s="326">
        <v>1200000.0</v>
      </c>
      <c r="BF76" s="157">
        <f t="shared" si="10"/>
        <v>1</v>
      </c>
      <c r="BG76" s="157" t="s">
        <v>1019</v>
      </c>
      <c r="BH76" s="324"/>
      <c r="BI76" s="324"/>
      <c r="BJ76" s="325"/>
      <c r="BK76" s="326"/>
      <c r="BL76" s="326">
        <f t="shared" si="48"/>
        <v>0</v>
      </c>
      <c r="BM76" s="326">
        <f t="shared" si="12"/>
        <v>2400000</v>
      </c>
      <c r="BN76" s="326"/>
      <c r="BO76" s="327" t="str">
        <f>IFERROR(__xludf.DUMMYFUNCTION("IFERROR(ArrayFormula(SUM(VLOOKUP($C76,importrange(""1MwNMVzWE3QBVOyJjKr3eFX-Sq1Ng0Q1sghWJbgbE_8g"",""ORDER BOOKING REPORT 2024-25!C:CV""),{16,23,30},0))))"),"")</f>
        <v/>
      </c>
      <c r="BP76" s="327" t="str">
        <f>IFERROR(__xludf.DUMMYFUNCTION("IFERROR(ArrayFormula(SUM(VLOOKUP($C76,importrange(""1MwNMVzWE3QBVOyJjKr3eFX-Sq1Ng0Q1sghWJbgbE_8g"",""ORDER BOOKING REPORT 2024-25!C:CV""),{37,44,51},0))))"),"")</f>
        <v/>
      </c>
      <c r="BQ76" s="327" t="str">
        <f>IFERROR(__xludf.DUMMYFUNCTION("IFERROR(ArrayFormula(SUM(VLOOKUP($C76,importrange(""1MwNMVzWE3QBVOyJjKr3eFX-Sq1Ng0Q1sghWJbgbE_8g"",""ORDER BOOKING REPORT 2024-25!C:CV""),{58,65,72},0))))"),"")</f>
        <v/>
      </c>
      <c r="BR76" s="327" t="str">
        <f>IFERROR(__xludf.DUMMYFUNCTION("IFERROR(ArrayFormula(SUM(VLOOKUP($C76,importrange(""1MwNMVzWE3QBVOyJjKr3eFX-Sq1Ng0Q1sghWJbgbE_8g"",""ORDER BOOKING REPORT 2024-25!C:CV""),{79,86,93},0))))"),"")</f>
        <v/>
      </c>
      <c r="BS76" s="328">
        <f t="shared" si="13"/>
        <v>0</v>
      </c>
      <c r="BT76" s="328" t="str">
        <f t="shared" si="14"/>
        <v/>
      </c>
      <c r="BU76" s="234">
        <f t="shared" si="15"/>
        <v>0</v>
      </c>
      <c r="BV76" s="329"/>
      <c r="BW76" s="329"/>
      <c r="BX76" s="329"/>
      <c r="BY76" s="234">
        <f t="shared" si="16"/>
        <v>-24167</v>
      </c>
      <c r="BZ76" s="234"/>
      <c r="CA76" s="234">
        <f>BE76*BD76</f>
        <v>2400000</v>
      </c>
      <c r="CB76" s="234"/>
      <c r="CC76" s="234">
        <f>CA76-H76</f>
        <v>0</v>
      </c>
      <c r="CD76" s="234"/>
      <c r="CE76" s="234"/>
      <c r="CF76" s="234"/>
      <c r="CG76" s="234" t="str">
        <f t="shared" si="19"/>
        <v>Below 60</v>
      </c>
      <c r="CH76" s="234" t="str">
        <f t="shared" si="27"/>
        <v>Not 50%</v>
      </c>
      <c r="CI76" s="328">
        <f t="shared" si="20"/>
        <v>0.3793103448</v>
      </c>
      <c r="CJ76" s="339">
        <f>IFERROR(__xludf.DUMMYFUNCTION("""COMPUTED_VALUE"""),90.0)</f>
        <v>90</v>
      </c>
      <c r="CK76" s="339">
        <f>IFERROR(__xludf.DUMMYFUNCTION("""COMPUTED_VALUE"""),131.0)</f>
        <v>131</v>
      </c>
      <c r="CL76" s="339">
        <f>IFERROR(__xludf.DUMMYFUNCTION("""COMPUTED_VALUE"""),0.0)</f>
        <v>0</v>
      </c>
      <c r="CM76" s="331">
        <f t="shared" si="21"/>
        <v>0</v>
      </c>
      <c r="CN76" s="340"/>
      <c r="CO76" s="328"/>
      <c r="CP76" s="341"/>
      <c r="CQ76" s="344"/>
      <c r="CR76" s="328"/>
      <c r="CS76" s="328"/>
      <c r="CT76" s="328"/>
      <c r="CU76" s="328"/>
      <c r="CV76" s="328"/>
      <c r="CW76" s="328"/>
      <c r="CX76" s="288"/>
      <c r="CY76" s="328"/>
      <c r="CZ76" s="328"/>
    </row>
    <row r="77">
      <c r="A77" s="157" t="s">
        <v>53</v>
      </c>
      <c r="B77" s="157" t="s">
        <v>61</v>
      </c>
      <c r="C77" s="157" t="s">
        <v>363</v>
      </c>
      <c r="D77" s="157" t="s">
        <v>1077</v>
      </c>
      <c r="E77" s="157" t="s">
        <v>60</v>
      </c>
      <c r="F77" s="338">
        <v>45079.0</v>
      </c>
      <c r="G77" s="314">
        <v>0.0</v>
      </c>
      <c r="H77" s="314">
        <v>0.0</v>
      </c>
      <c r="I77" s="315">
        <v>301773.35</v>
      </c>
      <c r="J77" s="315">
        <v>0.0</v>
      </c>
      <c r="K77" s="160">
        <v>95.0</v>
      </c>
      <c r="L77" s="160">
        <v>71.0</v>
      </c>
      <c r="M77" s="160">
        <v>8.0</v>
      </c>
      <c r="N77" s="160">
        <v>103.0</v>
      </c>
      <c r="O77" s="160">
        <v>32.0</v>
      </c>
      <c r="P77" s="315">
        <v>284357.99</v>
      </c>
      <c r="Q77" s="315">
        <v>17415.36</v>
      </c>
      <c r="R77" s="160">
        <v>30.0</v>
      </c>
      <c r="S77" s="160">
        <v>1.0</v>
      </c>
      <c r="T77" s="160">
        <v>31.0</v>
      </c>
      <c r="U77" s="160">
        <v>0.0</v>
      </c>
      <c r="V77" s="160">
        <v>107.0</v>
      </c>
      <c r="W77" s="160">
        <v>116.0</v>
      </c>
      <c r="X77" s="160">
        <v>513.0</v>
      </c>
      <c r="Y77" s="160">
        <v>3.0</v>
      </c>
      <c r="Z77" s="160">
        <v>12.0</v>
      </c>
      <c r="AA77" s="160">
        <v>0.0</v>
      </c>
      <c r="AB77" s="160">
        <v>0.0</v>
      </c>
      <c r="AC77" s="160">
        <v>1.0</v>
      </c>
      <c r="AD77" s="160">
        <v>1.0</v>
      </c>
      <c r="AE77" s="160">
        <v>127.0</v>
      </c>
      <c r="AF77" s="160">
        <v>256.0</v>
      </c>
      <c r="AG77" s="160">
        <v>37.0</v>
      </c>
      <c r="AH77" s="314">
        <f t="shared" si="2"/>
        <v>8156.036486</v>
      </c>
      <c r="AI77" s="314">
        <f t="shared" si="3"/>
        <v>6.918918919</v>
      </c>
      <c r="AJ77" s="316">
        <v>24085.0</v>
      </c>
      <c r="AK77" s="314">
        <f t="shared" si="35"/>
        <v>37331.75</v>
      </c>
      <c r="AL77" s="286">
        <v>24883.0</v>
      </c>
      <c r="AM77" s="318">
        <f t="shared" si="5"/>
        <v>0.2061638312</v>
      </c>
      <c r="AN77" s="314">
        <f t="shared" si="6"/>
        <v>9734.624194</v>
      </c>
      <c r="AO77" s="286" t="s">
        <v>972</v>
      </c>
      <c r="AP77" s="319">
        <v>0.0</v>
      </c>
      <c r="AQ77" s="160">
        <v>35.0</v>
      </c>
      <c r="AR77" s="160">
        <v>441.0</v>
      </c>
      <c r="AS77" s="160">
        <v>0.0</v>
      </c>
      <c r="AT77" s="160">
        <v>1.0</v>
      </c>
      <c r="AU77" s="160">
        <v>0.0</v>
      </c>
      <c r="AV77" s="320">
        <v>31.0</v>
      </c>
      <c r="AW77" s="320">
        <v>43.0</v>
      </c>
      <c r="AX77" s="320">
        <v>29.0</v>
      </c>
      <c r="AY77" s="321">
        <f>iferror(VLOOKUP(C77,'ORDER BOOKING REPORT 2025-26'!C:O,13,0),"")</f>
        <v>0</v>
      </c>
      <c r="AZ77" s="345">
        <v>45794.0</v>
      </c>
      <c r="BA77" s="157" t="str">
        <f t="shared" si="7"/>
        <v>LEFT</v>
      </c>
      <c r="BB77" s="157" t="str">
        <f t="shared" si="8"/>
        <v>Old</v>
      </c>
      <c r="BC77" s="160" t="s">
        <v>972</v>
      </c>
      <c r="BD77" s="223">
        <v>1.55</v>
      </c>
      <c r="BE77" s="323"/>
      <c r="BF77" s="157">
        <f t="shared" si="10"/>
        <v>7</v>
      </c>
      <c r="BG77" s="157" t="s">
        <v>1019</v>
      </c>
      <c r="BH77" s="324"/>
      <c r="BI77" s="324"/>
      <c r="BJ77" s="343">
        <f>17/31</f>
        <v>0.5483870968</v>
      </c>
      <c r="BK77" s="347"/>
      <c r="BL77" s="326">
        <f t="shared" si="48"/>
        <v>0</v>
      </c>
      <c r="BM77" s="326">
        <f t="shared" si="12"/>
        <v>0</v>
      </c>
      <c r="BN77" s="326"/>
      <c r="BO77" s="327" t="str">
        <f>IFERROR(__xludf.DUMMYFUNCTION("IFERROR(ArrayFormula(SUM(VLOOKUP($C77,importrange(""1MwNMVzWE3QBVOyJjKr3eFX-Sq1Ng0Q1sghWJbgbE_8g"",""ORDER BOOKING REPORT 2024-25!C:CV""),{16,23,30},0))))"),"")</f>
        <v/>
      </c>
      <c r="BP77" s="327" t="str">
        <f>IFERROR(__xludf.DUMMYFUNCTION("IFERROR(ArrayFormula(SUM(VLOOKUP($C77,importrange(""1MwNMVzWE3QBVOyJjKr3eFX-Sq1Ng0Q1sghWJbgbE_8g"",""ORDER BOOKING REPORT 2024-25!C:CV""),{37,44,51},0))))"),"")</f>
        <v/>
      </c>
      <c r="BQ77" s="327" t="str">
        <f>IFERROR(__xludf.DUMMYFUNCTION("IFERROR(ArrayFormula(SUM(VLOOKUP($C77,importrange(""1MwNMVzWE3QBVOyJjKr3eFX-Sq1Ng0Q1sghWJbgbE_8g"",""ORDER BOOKING REPORT 2024-25!C:CV""),{58,65,72},0))))"),"")</f>
        <v/>
      </c>
      <c r="BR77" s="327" t="str">
        <f>IFERROR(__xludf.DUMMYFUNCTION("IFERROR(ArrayFormula(SUM(VLOOKUP($C77,importrange(""1MwNMVzWE3QBVOyJjKr3eFX-Sq1Ng0Q1sghWJbgbE_8g"",""ORDER BOOKING REPORT 2024-25!C:CV""),{79,86,93},0))))"),"")</f>
        <v/>
      </c>
      <c r="BS77" s="328" t="str">
        <f t="shared" si="13"/>
        <v/>
      </c>
      <c r="BT77" s="328" t="str">
        <f t="shared" si="14"/>
        <v/>
      </c>
      <c r="BU77" s="234">
        <f t="shared" si="15"/>
        <v>0</v>
      </c>
      <c r="BV77" s="329"/>
      <c r="BW77" s="329"/>
      <c r="BX77" s="329"/>
      <c r="BY77" s="234">
        <f t="shared" si="16"/>
        <v>-24085</v>
      </c>
      <c r="BZ77" s="234"/>
      <c r="CA77" s="234"/>
      <c r="CB77" s="234"/>
      <c r="CC77" s="234"/>
      <c r="CD77" s="234"/>
      <c r="CE77" s="234"/>
      <c r="CF77" s="234"/>
      <c r="CG77" s="234" t="str">
        <f t="shared" si="19"/>
        <v> </v>
      </c>
      <c r="CH77" s="234" t="str">
        <f t="shared" si="27"/>
        <v>Not 50%</v>
      </c>
      <c r="CI77" s="328">
        <f t="shared" si="20"/>
        <v>0.3009708738</v>
      </c>
      <c r="CJ77" s="339">
        <f>IFERROR(__xludf.DUMMYFUNCTION("""COMPUTED_VALUE"""),57.0)</f>
        <v>57</v>
      </c>
      <c r="CK77" s="339">
        <f>IFERROR(__xludf.DUMMYFUNCTION("""COMPUTED_VALUE"""),70.0)</f>
        <v>70</v>
      </c>
      <c r="CL77" s="339">
        <f>IFERROR(__xludf.DUMMYFUNCTION("""COMPUTED_VALUE"""),0.0)</f>
        <v>0</v>
      </c>
      <c r="CM77" s="331">
        <f t="shared" si="21"/>
        <v>0</v>
      </c>
      <c r="CN77" s="340"/>
      <c r="CO77" s="328"/>
      <c r="CP77" s="341"/>
      <c r="CQ77" s="344"/>
      <c r="CR77" s="328"/>
      <c r="CS77" s="328"/>
      <c r="CT77" s="328"/>
      <c r="CU77" s="328"/>
      <c r="CV77" s="328"/>
      <c r="CW77" s="328"/>
      <c r="CX77" s="288"/>
      <c r="CY77" s="328"/>
      <c r="CZ77" s="328"/>
    </row>
    <row r="78">
      <c r="A78" s="157" t="s">
        <v>126</v>
      </c>
      <c r="B78" s="157" t="s">
        <v>130</v>
      </c>
      <c r="C78" s="157" t="s">
        <v>152</v>
      </c>
      <c r="D78" s="157" t="s">
        <v>130</v>
      </c>
      <c r="E78" s="157" t="s">
        <v>153</v>
      </c>
      <c r="F78" s="338">
        <v>45080.0</v>
      </c>
      <c r="G78" s="314">
        <v>4800000.0</v>
      </c>
      <c r="H78" s="314">
        <v>2.52E7</v>
      </c>
      <c r="I78" s="315">
        <v>1.683267039E7</v>
      </c>
      <c r="J78" s="315">
        <v>5548253.58</v>
      </c>
      <c r="K78" s="160">
        <v>131.0</v>
      </c>
      <c r="L78" s="160">
        <v>131.0</v>
      </c>
      <c r="M78" s="160">
        <v>13.0</v>
      </c>
      <c r="N78" s="160">
        <v>144.0</v>
      </c>
      <c r="O78" s="160">
        <v>13.0</v>
      </c>
      <c r="P78" s="315">
        <v>1.482126795E7</v>
      </c>
      <c r="Q78" s="315">
        <v>2011402.44</v>
      </c>
      <c r="R78" s="160">
        <v>48.0</v>
      </c>
      <c r="S78" s="160">
        <v>9.0</v>
      </c>
      <c r="T78" s="160">
        <v>57.0</v>
      </c>
      <c r="U78" s="160">
        <v>9.0</v>
      </c>
      <c r="V78" s="160">
        <v>146.0</v>
      </c>
      <c r="W78" s="160">
        <v>270.0</v>
      </c>
      <c r="X78" s="160">
        <v>181.0</v>
      </c>
      <c r="Y78" s="160">
        <v>7.0</v>
      </c>
      <c r="Z78" s="160">
        <v>126.0</v>
      </c>
      <c r="AA78" s="160">
        <v>10.0</v>
      </c>
      <c r="AB78" s="160">
        <v>120.0</v>
      </c>
      <c r="AC78" s="160">
        <v>0.0</v>
      </c>
      <c r="AD78" s="160">
        <v>0.0</v>
      </c>
      <c r="AE78" s="160">
        <v>1432.0</v>
      </c>
      <c r="AF78" s="160">
        <v>1948.0</v>
      </c>
      <c r="AG78" s="160">
        <v>295.0</v>
      </c>
      <c r="AH78" s="314">
        <f t="shared" si="2"/>
        <v>75867.53888</v>
      </c>
      <c r="AI78" s="314">
        <f t="shared" si="3"/>
        <v>6.603389831</v>
      </c>
      <c r="AJ78" s="316">
        <f>BV78</f>
        <v>57990</v>
      </c>
      <c r="AK78" s="314">
        <f t="shared" si="35"/>
        <v>695880</v>
      </c>
      <c r="AL78" s="286">
        <v>196119.0</v>
      </c>
      <c r="AM78" s="318">
        <f t="shared" si="5"/>
        <v>0.03985532506</v>
      </c>
      <c r="AN78" s="314">
        <f t="shared" si="6"/>
        <v>295310.0068</v>
      </c>
      <c r="AO78" s="336">
        <f t="shared" ref="AO78:AO89" si="58">iferror(sum(I78:J78)/Sum(G78:H78),"")</f>
        <v>0.746030799</v>
      </c>
      <c r="AP78" s="319">
        <v>1.16</v>
      </c>
      <c r="AQ78" s="160">
        <v>293.0</v>
      </c>
      <c r="AR78" s="160">
        <v>3167.0</v>
      </c>
      <c r="AS78" s="160">
        <v>3591.31</v>
      </c>
      <c r="AT78" s="160">
        <v>9.0</v>
      </c>
      <c r="AU78" s="160">
        <v>27.0</v>
      </c>
      <c r="AV78" s="320">
        <v>57.0</v>
      </c>
      <c r="AW78" s="320">
        <v>76.0</v>
      </c>
      <c r="AX78" s="320">
        <v>11.0</v>
      </c>
      <c r="AY78" s="321">
        <f>iferror(VLOOKUP(C78,'ORDER BOOKING REPORT 2025-26'!C:O,13,0),"")</f>
        <v>19739309</v>
      </c>
      <c r="AZ78" s="322"/>
      <c r="BA78" s="157" t="str">
        <f t="shared" si="7"/>
        <v>Active</v>
      </c>
      <c r="BB78" s="157" t="str">
        <f t="shared" si="8"/>
        <v>Old</v>
      </c>
      <c r="BC78" s="157" t="str">
        <f t="shared" ref="BC78:BC89" si="59">IFS(AO78&lt;50%,"Below 50%",AO78&lt;70%,"50%-70%",AO78&lt;90%,"70%-90%",AO78&lt;100%,"90%-100%",AO78&gt;100%,"Above 100%")</f>
        <v>70%-90%</v>
      </c>
      <c r="BD78" s="223">
        <f t="array" ref="BD78">Match($BD$2,{"Apr","May","Jun","Jul","Aug","Sep","Oct","Nov","Dec","Jan","Feb","Mar"},0)</f>
        <v>12</v>
      </c>
      <c r="BE78" s="323">
        <v>2500000.0</v>
      </c>
      <c r="BF78" s="157">
        <f t="shared" si="10"/>
        <v>4</v>
      </c>
      <c r="BG78" s="157" t="s">
        <v>1019</v>
      </c>
      <c r="BH78" s="324"/>
      <c r="BI78" s="324"/>
      <c r="BJ78" s="325"/>
      <c r="BK78" s="326">
        <v>400000.0</v>
      </c>
      <c r="BL78" s="326">
        <f t="shared" si="48"/>
        <v>4800000</v>
      </c>
      <c r="BM78" s="326">
        <f t="shared" si="12"/>
        <v>30000000</v>
      </c>
      <c r="BN78" s="326"/>
      <c r="BO78" s="327" t="str">
        <f>IFERROR(__xludf.DUMMYFUNCTION("IFERROR(ArrayFormula(SUM(VLOOKUP($C78,importrange(""1MwNMVzWE3QBVOyJjKr3eFX-Sq1Ng0Q1sghWJbgbE_8g"",""ORDER BOOKING REPORT 2024-25!C:CV""),{16,23,30},0))))"),"")</f>
        <v/>
      </c>
      <c r="BP78" s="327" t="str">
        <f>IFERROR(__xludf.DUMMYFUNCTION("IFERROR(ArrayFormula(SUM(VLOOKUP($C78,importrange(""1MwNMVzWE3QBVOyJjKr3eFX-Sq1Ng0Q1sghWJbgbE_8g"",""ORDER BOOKING REPORT 2024-25!C:CV""),{37,44,51},0))))"),"")</f>
        <v/>
      </c>
      <c r="BQ78" s="327" t="str">
        <f>IFERROR(__xludf.DUMMYFUNCTION("IFERROR(ArrayFormula(SUM(VLOOKUP($C78,importrange(""1MwNMVzWE3QBVOyJjKr3eFX-Sq1Ng0Q1sghWJbgbE_8g"",""ORDER BOOKING REPORT 2024-25!C:CV""),{58,65,72},0))))"),"")</f>
        <v/>
      </c>
      <c r="BR78" s="327" t="str">
        <f>IFERROR(__xludf.DUMMYFUNCTION("IFERROR(ArrayFormula(SUM(VLOOKUP($C78,importrange(""1MwNMVzWE3QBVOyJjKr3eFX-Sq1Ng0Q1sghWJbgbE_8g"",""ORDER BOOKING REPORT 2024-25!C:CV""),{79,86,93},0))))"),"")</f>
        <v/>
      </c>
      <c r="BS78" s="328">
        <f t="shared" si="13"/>
        <v>0.6579769667</v>
      </c>
      <c r="BT78" s="328">
        <f t="shared" si="14"/>
        <v>0.04518896786</v>
      </c>
      <c r="BU78" s="234">
        <f t="shared" si="15"/>
        <v>0</v>
      </c>
      <c r="BV78" s="329">
        <v>57990.0</v>
      </c>
      <c r="BW78" s="329" t="s">
        <v>1020</v>
      </c>
      <c r="BX78" s="329">
        <v>932.0</v>
      </c>
      <c r="BY78" s="234">
        <f t="shared" si="16"/>
        <v>0</v>
      </c>
      <c r="BZ78" s="234"/>
      <c r="CA78" s="234"/>
      <c r="CB78" s="234"/>
      <c r="CC78" s="234"/>
      <c r="CD78" s="234"/>
      <c r="CE78" s="234"/>
      <c r="CF78" s="234"/>
      <c r="CG78" s="234" t="str">
        <f t="shared" si="19"/>
        <v> </v>
      </c>
      <c r="CH78" s="234" t="str">
        <f t="shared" si="27"/>
        <v>Not 50%</v>
      </c>
      <c r="CI78" s="328">
        <f t="shared" si="20"/>
        <v>0.3958333333</v>
      </c>
      <c r="CJ78" s="339">
        <f>IFERROR(__xludf.DUMMYFUNCTION("""COMPUTED_VALUE"""),960.0)</f>
        <v>960</v>
      </c>
      <c r="CK78" s="339">
        <f>IFERROR(__xludf.DUMMYFUNCTION("""COMPUTED_VALUE"""),472.0)</f>
        <v>472</v>
      </c>
      <c r="CL78" s="339">
        <f>IFERROR(__xludf.DUMMYFUNCTION("""COMPUTED_VALUE"""),0.0)</f>
        <v>0</v>
      </c>
      <c r="CM78" s="331">
        <f t="shared" si="21"/>
        <v>0</v>
      </c>
      <c r="CN78" s="340"/>
      <c r="CO78" s="328"/>
      <c r="CP78" s="341"/>
      <c r="CQ78" s="344"/>
      <c r="CR78" s="328"/>
      <c r="CS78" s="328"/>
      <c r="CT78" s="328"/>
      <c r="CU78" s="328"/>
      <c r="CV78" s="328"/>
      <c r="CW78" s="328"/>
      <c r="CX78" s="288"/>
      <c r="CY78" s="328"/>
      <c r="CZ78" s="328"/>
    </row>
    <row r="79">
      <c r="A79" s="157" t="s">
        <v>185</v>
      </c>
      <c r="B79" s="157" t="s">
        <v>189</v>
      </c>
      <c r="C79" s="157" t="s">
        <v>755</v>
      </c>
      <c r="D79" s="157" t="s">
        <v>1016</v>
      </c>
      <c r="E79" s="157" t="s">
        <v>1079</v>
      </c>
      <c r="F79" s="338">
        <v>45084.0</v>
      </c>
      <c r="G79" s="314">
        <v>0.0</v>
      </c>
      <c r="H79" s="314">
        <v>1.0E7</v>
      </c>
      <c r="I79" s="315">
        <v>2069428.86</v>
      </c>
      <c r="J79" s="315">
        <v>0.0</v>
      </c>
      <c r="K79" s="160">
        <v>80.0</v>
      </c>
      <c r="L79" s="160">
        <v>81.0</v>
      </c>
      <c r="M79" s="160">
        <v>12.0</v>
      </c>
      <c r="N79" s="160">
        <v>92.0</v>
      </c>
      <c r="O79" s="160">
        <v>11.0</v>
      </c>
      <c r="P79" s="315">
        <v>1755462.62</v>
      </c>
      <c r="Q79" s="315">
        <v>313966.24</v>
      </c>
      <c r="R79" s="160">
        <v>19.0</v>
      </c>
      <c r="S79" s="160">
        <v>3.0</v>
      </c>
      <c r="T79" s="160">
        <v>22.0</v>
      </c>
      <c r="U79" s="160">
        <v>0.0</v>
      </c>
      <c r="V79" s="160">
        <v>40.0</v>
      </c>
      <c r="W79" s="160">
        <v>72.0</v>
      </c>
      <c r="X79" s="160">
        <v>142.0</v>
      </c>
      <c r="Y79" s="160">
        <v>2.0</v>
      </c>
      <c r="Z79" s="160">
        <v>10.0</v>
      </c>
      <c r="AA79" s="160">
        <v>0.0</v>
      </c>
      <c r="AB79" s="160">
        <v>0.0</v>
      </c>
      <c r="AC79" s="160">
        <v>0.0</v>
      </c>
      <c r="AD79" s="160">
        <v>0.0</v>
      </c>
      <c r="AE79" s="160">
        <v>305.0</v>
      </c>
      <c r="AF79" s="160">
        <v>387.0</v>
      </c>
      <c r="AG79" s="160">
        <v>69.0</v>
      </c>
      <c r="AH79" s="314">
        <f t="shared" si="2"/>
        <v>29991.72261</v>
      </c>
      <c r="AI79" s="314">
        <f t="shared" si="3"/>
        <v>5.608695652</v>
      </c>
      <c r="AJ79" s="316">
        <v>25850.0</v>
      </c>
      <c r="AK79" s="314">
        <f t="shared" si="35"/>
        <v>103400</v>
      </c>
      <c r="AL79" s="317">
        <v>13750.0</v>
      </c>
      <c r="AM79" s="318">
        <f t="shared" si="5"/>
        <v>0.05660982229</v>
      </c>
      <c r="AN79" s="314">
        <f t="shared" si="6"/>
        <v>94064.94818</v>
      </c>
      <c r="AO79" s="336">
        <f t="shared" si="58"/>
        <v>0.206942886</v>
      </c>
      <c r="AP79" s="319">
        <v>0.0</v>
      </c>
      <c r="AQ79" s="160">
        <v>35.0</v>
      </c>
      <c r="AR79" s="160">
        <v>564.0</v>
      </c>
      <c r="AS79" s="160">
        <v>0.0</v>
      </c>
      <c r="AT79" s="160">
        <v>3.0</v>
      </c>
      <c r="AU79" s="160">
        <v>0.0</v>
      </c>
      <c r="AV79" s="320">
        <v>22.0</v>
      </c>
      <c r="AW79" s="320">
        <v>59.0</v>
      </c>
      <c r="AX79" s="320">
        <v>11.0</v>
      </c>
      <c r="AY79" s="321">
        <f>iferror(VLOOKUP(C79,'ORDER BOOKING REPORT 2025-26'!C:O,13,0),"")</f>
        <v>2835805</v>
      </c>
      <c r="AZ79" s="322">
        <v>45869.0</v>
      </c>
      <c r="BA79" s="157" t="str">
        <f t="shared" si="7"/>
        <v>LEFT</v>
      </c>
      <c r="BB79" s="157" t="str">
        <f t="shared" si="8"/>
        <v>Old</v>
      </c>
      <c r="BC79" s="157" t="str">
        <f t="shared" si="59"/>
        <v>Below 50%</v>
      </c>
      <c r="BD79" s="223">
        <v>4.0</v>
      </c>
      <c r="BE79" s="326">
        <v>2500000.0</v>
      </c>
      <c r="BF79" s="157">
        <f t="shared" si="10"/>
        <v>9</v>
      </c>
      <c r="BG79" s="157" t="s">
        <v>1019</v>
      </c>
      <c r="BH79" s="324"/>
      <c r="BI79" s="324"/>
      <c r="BJ79" s="325"/>
      <c r="BK79" s="326"/>
      <c r="BL79" s="326">
        <f t="shared" si="48"/>
        <v>0</v>
      </c>
      <c r="BM79" s="326">
        <f t="shared" si="12"/>
        <v>10000000</v>
      </c>
      <c r="BN79" s="326"/>
      <c r="BO79" s="327" t="str">
        <f>IFERROR(__xludf.DUMMYFUNCTION("IFERROR(ArrayFormula(SUM(VLOOKUP($C79,importrange(""1MwNMVzWE3QBVOyJjKr3eFX-Sq1Ng0Q1sghWJbgbE_8g"",""ORDER BOOKING REPORT 2024-25!C:CV""),{16,23,30},0))))"),"")</f>
        <v/>
      </c>
      <c r="BP79" s="327" t="str">
        <f>IFERROR(__xludf.DUMMYFUNCTION("IFERROR(ArrayFormula(SUM(VLOOKUP($C79,importrange(""1MwNMVzWE3QBVOyJjKr3eFX-Sq1Ng0Q1sghWJbgbE_8g"",""ORDER BOOKING REPORT 2024-25!C:CV""),{37,44,51},0))))"),"")</f>
        <v/>
      </c>
      <c r="BQ79" s="327" t="str">
        <f>IFERROR(__xludf.DUMMYFUNCTION("IFERROR(ArrayFormula(SUM(VLOOKUP($C79,importrange(""1MwNMVzWE3QBVOyJjKr3eFX-Sq1Ng0Q1sghWJbgbE_8g"",""ORDER BOOKING REPORT 2024-25!C:CV""),{58,65,72},0))))"),"")</f>
        <v/>
      </c>
      <c r="BR79" s="327" t="str">
        <f>IFERROR(__xludf.DUMMYFUNCTION("IFERROR(ArrayFormula(SUM(VLOOKUP($C79,importrange(""1MwNMVzWE3QBVOyJjKr3eFX-Sq1Ng0Q1sghWJbgbE_8g"",""ORDER BOOKING REPORT 2024-25!C:CV""),{79,86,93},0))))"),"")</f>
        <v/>
      </c>
      <c r="BS79" s="328">
        <f t="shared" si="13"/>
        <v>0.2835805</v>
      </c>
      <c r="BT79" s="328">
        <f t="shared" si="14"/>
        <v>0.04131102103</v>
      </c>
      <c r="BU79" s="234">
        <f t="shared" si="15"/>
        <v>0</v>
      </c>
      <c r="BV79" s="329">
        <v>25850.0</v>
      </c>
      <c r="BW79" s="329" t="s">
        <v>1045</v>
      </c>
      <c r="BX79" s="329">
        <v>938.0</v>
      </c>
      <c r="BY79" s="234">
        <f t="shared" si="16"/>
        <v>0</v>
      </c>
      <c r="BZ79" s="234"/>
      <c r="CA79" s="234"/>
      <c r="CB79" s="234"/>
      <c r="CC79" s="234"/>
      <c r="CD79" s="234"/>
      <c r="CE79" s="234"/>
      <c r="CF79" s="234"/>
      <c r="CG79" s="234" t="str">
        <f t="shared" si="19"/>
        <v> </v>
      </c>
      <c r="CH79" s="234" t="str">
        <f t="shared" si="27"/>
        <v>Not 50%</v>
      </c>
      <c r="CI79" s="328">
        <f t="shared" si="20"/>
        <v>0.2391304348</v>
      </c>
      <c r="CJ79" s="330">
        <f>IFERROR(__xludf.DUMMYFUNCTION("""COMPUTED_VALUE"""),88.0)</f>
        <v>88</v>
      </c>
      <c r="CK79" s="330">
        <f>IFERROR(__xludf.DUMMYFUNCTION("""COMPUTED_VALUE"""),217.0)</f>
        <v>217</v>
      </c>
      <c r="CL79" s="330">
        <f>IFERROR(__xludf.DUMMYFUNCTION("""COMPUTED_VALUE"""),0.0)</f>
        <v>0</v>
      </c>
      <c r="CM79" s="331">
        <f t="shared" si="21"/>
        <v>0</v>
      </c>
      <c r="CN79" s="337"/>
      <c r="CO79" s="160"/>
      <c r="CP79" s="334"/>
      <c r="CQ79" s="335"/>
      <c r="CR79" s="160"/>
      <c r="CS79" s="160"/>
      <c r="CT79" s="160"/>
      <c r="CU79" s="160"/>
      <c r="CV79" s="160"/>
      <c r="CW79" s="335"/>
      <c r="CX79" s="288"/>
      <c r="CY79" s="160"/>
      <c r="CZ79" s="160"/>
    </row>
    <row r="80">
      <c r="A80" s="157" t="s">
        <v>185</v>
      </c>
      <c r="B80" s="157" t="s">
        <v>222</v>
      </c>
      <c r="C80" s="157" t="s">
        <v>244</v>
      </c>
      <c r="D80" s="157" t="s">
        <v>1080</v>
      </c>
      <c r="E80" s="157" t="s">
        <v>245</v>
      </c>
      <c r="F80" s="338">
        <v>45108.0</v>
      </c>
      <c r="G80" s="314">
        <v>0.0</v>
      </c>
      <c r="H80" s="314">
        <v>1.8E7</v>
      </c>
      <c r="I80" s="315">
        <v>1.486033476E7</v>
      </c>
      <c r="J80" s="315">
        <v>0.0</v>
      </c>
      <c r="K80" s="160">
        <v>64.0</v>
      </c>
      <c r="L80" s="160">
        <v>77.0</v>
      </c>
      <c r="M80" s="160">
        <v>13.0</v>
      </c>
      <c r="N80" s="160">
        <v>77.0</v>
      </c>
      <c r="O80" s="160">
        <v>0.0</v>
      </c>
      <c r="P80" s="315">
        <v>1.066819489E7</v>
      </c>
      <c r="Q80" s="315">
        <v>4192139.87</v>
      </c>
      <c r="R80" s="160">
        <v>36.0</v>
      </c>
      <c r="S80" s="160">
        <v>13.0</v>
      </c>
      <c r="T80" s="160">
        <v>49.0</v>
      </c>
      <c r="U80" s="160">
        <v>0.0</v>
      </c>
      <c r="V80" s="160">
        <v>117.0</v>
      </c>
      <c r="W80" s="160">
        <v>298.0</v>
      </c>
      <c r="X80" s="160">
        <v>205.0</v>
      </c>
      <c r="Y80" s="160">
        <v>1.0</v>
      </c>
      <c r="Z80" s="160">
        <v>3.0</v>
      </c>
      <c r="AA80" s="160">
        <v>0.0</v>
      </c>
      <c r="AB80" s="160">
        <v>0.0</v>
      </c>
      <c r="AC80" s="160">
        <v>0.0</v>
      </c>
      <c r="AD80" s="160">
        <v>0.0</v>
      </c>
      <c r="AE80" s="160">
        <v>1364.0</v>
      </c>
      <c r="AF80" s="160">
        <v>1665.0</v>
      </c>
      <c r="AG80" s="160">
        <v>293.0</v>
      </c>
      <c r="AH80" s="314">
        <f t="shared" si="2"/>
        <v>50717.86608</v>
      </c>
      <c r="AI80" s="314">
        <f t="shared" si="3"/>
        <v>5.682593857</v>
      </c>
      <c r="AJ80" s="316">
        <v>27680.0</v>
      </c>
      <c r="AK80" s="314">
        <f t="shared" si="35"/>
        <v>332160</v>
      </c>
      <c r="AL80" s="317">
        <v>195183.0</v>
      </c>
      <c r="AM80" s="318">
        <f t="shared" si="5"/>
        <v>0.03548661645</v>
      </c>
      <c r="AN80" s="314">
        <f t="shared" si="6"/>
        <v>303272.138</v>
      </c>
      <c r="AO80" s="336">
        <f t="shared" si="58"/>
        <v>0.8255741533</v>
      </c>
      <c r="AP80" s="319">
        <v>0.0</v>
      </c>
      <c r="AQ80" s="160">
        <v>138.0</v>
      </c>
      <c r="AR80" s="160">
        <v>3169.0</v>
      </c>
      <c r="AS80" s="160">
        <v>4121.2</v>
      </c>
      <c r="AT80" s="160">
        <v>13.0</v>
      </c>
      <c r="AU80" s="160">
        <v>54.0</v>
      </c>
      <c r="AV80" s="320">
        <v>49.0</v>
      </c>
      <c r="AW80" s="320">
        <v>28.0</v>
      </c>
      <c r="AX80" s="320">
        <v>0.0</v>
      </c>
      <c r="AY80" s="321">
        <f>iferror(VLOOKUP(C80,'ORDER BOOKING REPORT 2025-26'!C:O,13,0),"")</f>
        <v>13663733</v>
      </c>
      <c r="AZ80" s="322"/>
      <c r="BA80" s="157" t="str">
        <f t="shared" si="7"/>
        <v>Active</v>
      </c>
      <c r="BB80" s="157" t="str">
        <f t="shared" si="8"/>
        <v>Old</v>
      </c>
      <c r="BC80" s="157" t="str">
        <f t="shared" si="59"/>
        <v>70%-90%</v>
      </c>
      <c r="BD80" s="223">
        <f t="shared" ref="BD80:BD86" si="60">Match($BD$2,{"Apr","May","Jun","Jul","Aug","Sep","Oct","Nov","Dec","Jan","Feb","Mar"},0)</f>
        <v>12</v>
      </c>
      <c r="BE80" s="323">
        <v>1500000.0</v>
      </c>
      <c r="BF80" s="157">
        <f t="shared" si="10"/>
        <v>0</v>
      </c>
      <c r="BG80" s="157" t="s">
        <v>1019</v>
      </c>
      <c r="BH80" s="324"/>
      <c r="BI80" s="324"/>
      <c r="BJ80" s="325"/>
      <c r="BK80" s="326"/>
      <c r="BL80" s="326">
        <f t="shared" si="48"/>
        <v>0</v>
      </c>
      <c r="BM80" s="326">
        <f t="shared" si="12"/>
        <v>18000000</v>
      </c>
      <c r="BN80" s="326"/>
      <c r="BO80" s="327" t="str">
        <f>IFERROR(__xludf.DUMMYFUNCTION("IFERROR(ArrayFormula(SUM(VLOOKUP($C80,importrange(""1MwNMVzWE3QBVOyJjKr3eFX-Sq1Ng0Q1sghWJbgbE_8g"",""ORDER BOOKING REPORT 2024-25!C:CV""),{16,23,30},0))))"),"")</f>
        <v/>
      </c>
      <c r="BP80" s="327" t="str">
        <f>IFERROR(__xludf.DUMMYFUNCTION("IFERROR(ArrayFormula(SUM(VLOOKUP($C80,importrange(""1MwNMVzWE3QBVOyJjKr3eFX-Sq1Ng0Q1sghWJbgbE_8g"",""ORDER BOOKING REPORT 2024-25!C:CV""),{37,44,51},0))))"),"")</f>
        <v/>
      </c>
      <c r="BQ80" s="327" t="str">
        <f>IFERROR(__xludf.DUMMYFUNCTION("IFERROR(ArrayFormula(SUM(VLOOKUP($C80,importrange(""1MwNMVzWE3QBVOyJjKr3eFX-Sq1Ng0Q1sghWJbgbE_8g"",""ORDER BOOKING REPORT 2024-25!C:CV""),{58,65,72},0))))"),"")</f>
        <v/>
      </c>
      <c r="BR80" s="327" t="str">
        <f>IFERROR(__xludf.DUMMYFUNCTION("IFERROR(ArrayFormula(SUM(VLOOKUP($C80,importrange(""1MwNMVzWE3QBVOyJjKr3eFX-Sq1Ng0Q1sghWJbgbE_8g"",""ORDER BOOKING REPORT 2024-25!C:CV""),{79,86,93},0))))"),"")</f>
        <v/>
      </c>
      <c r="BS80" s="328">
        <f t="shared" si="13"/>
        <v>0.7590962778</v>
      </c>
      <c r="BT80" s="328">
        <f t="shared" si="14"/>
        <v>0.03859435778</v>
      </c>
      <c r="BU80" s="234">
        <f t="shared" si="15"/>
        <v>0</v>
      </c>
      <c r="BV80" s="329">
        <v>27680.0</v>
      </c>
      <c r="BW80" s="329" t="s">
        <v>1045</v>
      </c>
      <c r="BX80" s="329">
        <v>949.0</v>
      </c>
      <c r="BY80" s="234">
        <f t="shared" si="16"/>
        <v>0</v>
      </c>
      <c r="BZ80" s="234"/>
      <c r="CA80" s="234"/>
      <c r="CB80" s="234"/>
      <c r="CC80" s="234"/>
      <c r="CD80" s="234"/>
      <c r="CE80" s="234"/>
      <c r="CF80" s="234"/>
      <c r="CG80" s="234" t="str">
        <f t="shared" si="19"/>
        <v> </v>
      </c>
      <c r="CH80" s="234" t="str">
        <f t="shared" si="27"/>
        <v>Business Achieved 50%</v>
      </c>
      <c r="CI80" s="328">
        <f t="shared" si="20"/>
        <v>0.6363636364</v>
      </c>
      <c r="CJ80" s="330">
        <f>IFERROR(__xludf.DUMMYFUNCTION("""COMPUTED_VALUE"""),799.0)</f>
        <v>799</v>
      </c>
      <c r="CK80" s="330">
        <f>IFERROR(__xludf.DUMMYFUNCTION("""COMPUTED_VALUE"""),565.0)</f>
        <v>565</v>
      </c>
      <c r="CL80" s="330">
        <f>IFERROR(__xludf.DUMMYFUNCTION("""COMPUTED_VALUE"""),0.0)</f>
        <v>0</v>
      </c>
      <c r="CM80" s="331">
        <f t="shared" si="21"/>
        <v>0</v>
      </c>
      <c r="CN80" s="337"/>
      <c r="CO80" s="160"/>
      <c r="CP80" s="334"/>
      <c r="CQ80" s="335"/>
      <c r="CR80" s="160"/>
      <c r="CS80" s="160"/>
      <c r="CT80" s="160"/>
      <c r="CU80" s="160"/>
      <c r="CV80" s="160"/>
      <c r="CW80" s="335"/>
      <c r="CX80" s="288"/>
      <c r="CY80" s="160"/>
      <c r="CZ80" s="160"/>
    </row>
    <row r="81">
      <c r="A81" s="157" t="s">
        <v>185</v>
      </c>
      <c r="B81" s="157" t="s">
        <v>189</v>
      </c>
      <c r="C81" s="157" t="s">
        <v>246</v>
      </c>
      <c r="D81" s="157" t="s">
        <v>1016</v>
      </c>
      <c r="E81" s="157" t="s">
        <v>247</v>
      </c>
      <c r="F81" s="338">
        <v>45108.0</v>
      </c>
      <c r="G81" s="314">
        <v>0.0</v>
      </c>
      <c r="H81" s="314">
        <v>4.8E7</v>
      </c>
      <c r="I81" s="315">
        <v>4.226196093E7</v>
      </c>
      <c r="J81" s="315">
        <v>0.0</v>
      </c>
      <c r="K81" s="160">
        <v>137.0</v>
      </c>
      <c r="L81" s="160">
        <v>87.0</v>
      </c>
      <c r="M81" s="160">
        <v>12.0</v>
      </c>
      <c r="N81" s="160">
        <v>149.0</v>
      </c>
      <c r="O81" s="160">
        <v>62.0</v>
      </c>
      <c r="P81" s="315">
        <v>3.989956553E7</v>
      </c>
      <c r="Q81" s="315">
        <v>2362395.4</v>
      </c>
      <c r="R81" s="160">
        <v>44.0</v>
      </c>
      <c r="S81" s="160">
        <v>9.0</v>
      </c>
      <c r="T81" s="160">
        <v>53.0</v>
      </c>
      <c r="U81" s="160">
        <v>0.0</v>
      </c>
      <c r="V81" s="160">
        <v>4.0</v>
      </c>
      <c r="W81" s="160">
        <v>6.0</v>
      </c>
      <c r="X81" s="160">
        <v>64.0</v>
      </c>
      <c r="Y81" s="160">
        <v>2.0</v>
      </c>
      <c r="Z81" s="160">
        <v>54.0</v>
      </c>
      <c r="AA81" s="160">
        <v>0.0</v>
      </c>
      <c r="AB81" s="160">
        <v>0.0</v>
      </c>
      <c r="AC81" s="160">
        <v>0.0</v>
      </c>
      <c r="AD81" s="160">
        <v>0.0</v>
      </c>
      <c r="AE81" s="160">
        <v>1571.0</v>
      </c>
      <c r="AF81" s="160">
        <v>1631.0</v>
      </c>
      <c r="AG81" s="160">
        <v>298.0</v>
      </c>
      <c r="AH81" s="314">
        <f t="shared" si="2"/>
        <v>141818.6608</v>
      </c>
      <c r="AI81" s="314">
        <f t="shared" si="3"/>
        <v>5.473154362</v>
      </c>
      <c r="AJ81" s="316">
        <v>20520.0</v>
      </c>
      <c r="AK81" s="314">
        <f t="shared" si="35"/>
        <v>246240</v>
      </c>
      <c r="AL81" s="317">
        <v>129208.0</v>
      </c>
      <c r="AM81" s="318">
        <f t="shared" si="5"/>
        <v>0.008883828193</v>
      </c>
      <c r="AN81" s="314">
        <f t="shared" si="6"/>
        <v>797395.4892</v>
      </c>
      <c r="AO81" s="336">
        <f t="shared" si="58"/>
        <v>0.8804575194</v>
      </c>
      <c r="AP81" s="319">
        <v>0.0</v>
      </c>
      <c r="AQ81" s="160">
        <v>262.0</v>
      </c>
      <c r="AR81" s="160">
        <v>2977.0</v>
      </c>
      <c r="AS81" s="160">
        <v>1609.76</v>
      </c>
      <c r="AT81" s="160">
        <v>9.0</v>
      </c>
      <c r="AU81" s="160">
        <v>19.0</v>
      </c>
      <c r="AV81" s="320">
        <v>53.0</v>
      </c>
      <c r="AW81" s="320">
        <v>34.0</v>
      </c>
      <c r="AX81" s="320">
        <v>62.0</v>
      </c>
      <c r="AY81" s="321">
        <f>iferror(VLOOKUP(C81,'ORDER BOOKING REPORT 2025-26'!C:O,13,0),"")</f>
        <v>40273718</v>
      </c>
      <c r="AZ81" s="322"/>
      <c r="BA81" s="157" t="str">
        <f t="shared" si="7"/>
        <v>Active</v>
      </c>
      <c r="BB81" s="157" t="str">
        <f t="shared" si="8"/>
        <v>Old</v>
      </c>
      <c r="BC81" s="157" t="str">
        <f t="shared" si="59"/>
        <v>70%-90%</v>
      </c>
      <c r="BD81" s="223">
        <f t="shared" si="60"/>
        <v>12</v>
      </c>
      <c r="BE81" s="323">
        <v>4000000.0</v>
      </c>
      <c r="BF81" s="157">
        <f t="shared" si="10"/>
        <v>3</v>
      </c>
      <c r="BG81" s="157" t="s">
        <v>1019</v>
      </c>
      <c r="BH81" s="324"/>
      <c r="BI81" s="324"/>
      <c r="BJ81" s="325"/>
      <c r="BK81" s="326"/>
      <c r="BL81" s="326">
        <f t="shared" si="48"/>
        <v>0</v>
      </c>
      <c r="BM81" s="326">
        <f t="shared" si="12"/>
        <v>48000000</v>
      </c>
      <c r="BN81" s="326"/>
      <c r="BO81" s="327" t="str">
        <f>IFERROR(__xludf.DUMMYFUNCTION("IFERROR(ArrayFormula(SUM(VLOOKUP($C81,importrange(""1MwNMVzWE3QBVOyJjKr3eFX-Sq1Ng0Q1sghWJbgbE_8g"",""ORDER BOOKING REPORT 2024-25!C:CV""),{16,23,30},0))))"),"")</f>
        <v/>
      </c>
      <c r="BP81" s="327" t="str">
        <f>IFERROR(__xludf.DUMMYFUNCTION("IFERROR(ArrayFormula(SUM(VLOOKUP($C81,importrange(""1MwNMVzWE3QBVOyJjKr3eFX-Sq1Ng0Q1sghWJbgbE_8g"",""ORDER BOOKING REPORT 2024-25!C:CV""),{37,44,51},0))))"),"")</f>
        <v/>
      </c>
      <c r="BQ81" s="327" t="str">
        <f>IFERROR(__xludf.DUMMYFUNCTION("IFERROR(ArrayFormula(SUM(VLOOKUP($C81,importrange(""1MwNMVzWE3QBVOyJjKr3eFX-Sq1Ng0Q1sghWJbgbE_8g"",""ORDER BOOKING REPORT 2024-25!C:CV""),{58,65,72},0))))"),"")</f>
        <v/>
      </c>
      <c r="BR81" s="327" t="str">
        <f>IFERROR(__xludf.DUMMYFUNCTION("IFERROR(ArrayFormula(SUM(VLOOKUP($C81,importrange(""1MwNMVzWE3QBVOyJjKr3eFX-Sq1Ng0Q1sghWJbgbE_8g"",""ORDER BOOKING REPORT 2024-25!C:CV""),{79,86,93},0))))"),"")</f>
        <v/>
      </c>
      <c r="BS81" s="328">
        <f t="shared" si="13"/>
        <v>0.8390357917</v>
      </c>
      <c r="BT81" s="328">
        <f t="shared" si="14"/>
        <v>0.009322407233</v>
      </c>
      <c r="BU81" s="234">
        <f t="shared" si="15"/>
        <v>0</v>
      </c>
      <c r="BV81" s="329">
        <v>20520.0</v>
      </c>
      <c r="BW81" s="329" t="s">
        <v>1045</v>
      </c>
      <c r="BX81" s="329">
        <v>948.0</v>
      </c>
      <c r="BY81" s="234">
        <f t="shared" si="16"/>
        <v>0</v>
      </c>
      <c r="BZ81" s="234"/>
      <c r="CA81" s="234"/>
      <c r="CB81" s="234"/>
      <c r="CC81" s="234"/>
      <c r="CD81" s="234"/>
      <c r="CE81" s="234"/>
      <c r="CF81" s="234"/>
      <c r="CG81" s="234" t="str">
        <f t="shared" si="19"/>
        <v> </v>
      </c>
      <c r="CH81" s="234" t="str">
        <f t="shared" si="27"/>
        <v>Not 50%</v>
      </c>
      <c r="CI81" s="328">
        <f t="shared" si="20"/>
        <v>0.355704698</v>
      </c>
      <c r="CJ81" s="330">
        <f>IFERROR(__xludf.DUMMYFUNCTION("""COMPUTED_VALUE"""),1383.0)</f>
        <v>1383</v>
      </c>
      <c r="CK81" s="330">
        <f>IFERROR(__xludf.DUMMYFUNCTION("""COMPUTED_VALUE"""),188.0)</f>
        <v>188</v>
      </c>
      <c r="CL81" s="330">
        <f>IFERROR(__xludf.DUMMYFUNCTION("""COMPUTED_VALUE"""),0.0)</f>
        <v>0</v>
      </c>
      <c r="CM81" s="331">
        <f t="shared" si="21"/>
        <v>0</v>
      </c>
      <c r="CN81" s="337"/>
      <c r="CO81" s="160"/>
      <c r="CP81" s="334"/>
      <c r="CQ81" s="335"/>
      <c r="CR81" s="160"/>
      <c r="CS81" s="160"/>
      <c r="CT81" s="160"/>
      <c r="CU81" s="160"/>
      <c r="CV81" s="160"/>
      <c r="CW81" s="335"/>
      <c r="CX81" s="288"/>
      <c r="CY81" s="160"/>
      <c r="CZ81" s="160"/>
    </row>
    <row r="82">
      <c r="A82" s="157" t="s">
        <v>185</v>
      </c>
      <c r="B82" s="157" t="s">
        <v>189</v>
      </c>
      <c r="C82" s="157" t="s">
        <v>248</v>
      </c>
      <c r="D82" s="157" t="s">
        <v>1016</v>
      </c>
      <c r="E82" s="157" t="s">
        <v>192</v>
      </c>
      <c r="F82" s="285">
        <v>45117.0</v>
      </c>
      <c r="G82" s="314">
        <v>0.0</v>
      </c>
      <c r="H82" s="314">
        <v>1.8E7</v>
      </c>
      <c r="I82" s="315">
        <v>1.595595117E7</v>
      </c>
      <c r="J82" s="315">
        <v>0.0</v>
      </c>
      <c r="K82" s="160">
        <v>61.0</v>
      </c>
      <c r="L82" s="160">
        <v>63.0</v>
      </c>
      <c r="M82" s="160">
        <v>17.0</v>
      </c>
      <c r="N82" s="160">
        <v>78.0</v>
      </c>
      <c r="O82" s="160">
        <v>15.0</v>
      </c>
      <c r="P82" s="315">
        <v>1.29099723E7</v>
      </c>
      <c r="Q82" s="315">
        <v>3045978.87</v>
      </c>
      <c r="R82" s="160">
        <v>29.0</v>
      </c>
      <c r="S82" s="160">
        <v>16.0</v>
      </c>
      <c r="T82" s="160">
        <v>45.0</v>
      </c>
      <c r="U82" s="160">
        <v>0.0</v>
      </c>
      <c r="V82" s="160">
        <v>20.0</v>
      </c>
      <c r="W82" s="160">
        <v>75.0</v>
      </c>
      <c r="X82" s="160">
        <v>52.0</v>
      </c>
      <c r="Y82" s="160">
        <v>3.0</v>
      </c>
      <c r="Z82" s="160">
        <v>28.0</v>
      </c>
      <c r="AA82" s="160">
        <v>0.0</v>
      </c>
      <c r="AB82" s="160">
        <v>0.0</v>
      </c>
      <c r="AC82" s="160">
        <v>0.0</v>
      </c>
      <c r="AD82" s="160">
        <v>0.0</v>
      </c>
      <c r="AE82" s="160">
        <v>1450.0</v>
      </c>
      <c r="AF82" s="160">
        <v>1553.0</v>
      </c>
      <c r="AG82" s="160">
        <v>289.0</v>
      </c>
      <c r="AH82" s="314">
        <f t="shared" si="2"/>
        <v>55210.9037</v>
      </c>
      <c r="AI82" s="314">
        <f t="shared" si="3"/>
        <v>5.373702422</v>
      </c>
      <c r="AJ82" s="316">
        <v>24356.0</v>
      </c>
      <c r="AK82" s="314">
        <f t="shared" si="35"/>
        <v>292272</v>
      </c>
      <c r="AL82" s="317">
        <v>136731.0</v>
      </c>
      <c r="AM82" s="318">
        <f t="shared" si="5"/>
        <v>0.026886708</v>
      </c>
      <c r="AN82" s="314">
        <f t="shared" si="6"/>
        <v>354576.6927</v>
      </c>
      <c r="AO82" s="336">
        <f t="shared" si="58"/>
        <v>0.8864417317</v>
      </c>
      <c r="AP82" s="319">
        <v>0.0</v>
      </c>
      <c r="AQ82" s="160">
        <v>354.0</v>
      </c>
      <c r="AR82" s="160">
        <v>3118.0</v>
      </c>
      <c r="AS82" s="160">
        <v>3193.6</v>
      </c>
      <c r="AT82" s="160">
        <v>16.0</v>
      </c>
      <c r="AU82" s="160">
        <v>51.0</v>
      </c>
      <c r="AV82" s="320">
        <v>45.0</v>
      </c>
      <c r="AW82" s="320">
        <v>18.0</v>
      </c>
      <c r="AX82" s="320">
        <v>15.0</v>
      </c>
      <c r="AY82" s="321">
        <f>iferror(VLOOKUP(C82,'ORDER BOOKING REPORT 2025-26'!C:O,13,0),"")</f>
        <v>13714965</v>
      </c>
      <c r="AZ82" s="322"/>
      <c r="BA82" s="157" t="str">
        <f t="shared" si="7"/>
        <v>Active</v>
      </c>
      <c r="BB82" s="157" t="str">
        <f t="shared" si="8"/>
        <v>Old</v>
      </c>
      <c r="BC82" s="157" t="str">
        <f t="shared" si="59"/>
        <v>70%-90%</v>
      </c>
      <c r="BD82" s="223">
        <f t="shared" si="60"/>
        <v>12</v>
      </c>
      <c r="BE82" s="323">
        <v>1500000.0</v>
      </c>
      <c r="BF82" s="157">
        <f t="shared" si="10"/>
        <v>1</v>
      </c>
      <c r="BG82" s="157" t="s">
        <v>1019</v>
      </c>
      <c r="BH82" s="324">
        <f>IFERROR(__xludf.DUMMYFUNCTION("""COMPUTED_VALUE"""),1.3630333E7)</f>
        <v>13630333</v>
      </c>
      <c r="BI82" s="324">
        <f>IFERROR(__xludf.DUMMYFUNCTION("""COMPUTED_VALUE"""),1.5728496430000002E7)</f>
        <v>15728496.43</v>
      </c>
      <c r="BJ82" s="325"/>
      <c r="BK82" s="326"/>
      <c r="BL82" s="326">
        <f t="shared" si="48"/>
        <v>0</v>
      </c>
      <c r="BM82" s="326">
        <f t="shared" si="12"/>
        <v>18000000</v>
      </c>
      <c r="BN82" s="326"/>
      <c r="BO82" s="327">
        <f>IFERROR(__xludf.DUMMYFUNCTION("IFERROR(ArrayFormula(SUM(VLOOKUP($C82,importrange(""1MwNMVzWE3QBVOyJjKr3eFX-Sq1Ng0Q1sghWJbgbE_8g"",""ORDER BOOKING REPORT 2024-25!C:CV""),{16,23,30},0))))"),3047028.66)</f>
        <v>3047028.66</v>
      </c>
      <c r="BP82" s="327">
        <f>IFERROR(__xludf.DUMMYFUNCTION("IFERROR(ArrayFormula(SUM(VLOOKUP($C82,importrange(""1MwNMVzWE3QBVOyJjKr3eFX-Sq1Ng0Q1sghWJbgbE_8g"",""ORDER BOOKING REPORT 2024-25!C:CV""),{37,44,51},0))))"),4226804.83)</f>
        <v>4226804.83</v>
      </c>
      <c r="BQ82" s="327">
        <f>IFERROR(__xludf.DUMMYFUNCTION("IFERROR(ArrayFormula(SUM(VLOOKUP($C82,importrange(""1MwNMVzWE3QBVOyJjKr3eFX-Sq1Ng0Q1sghWJbgbE_8g"",""ORDER BOOKING REPORT 2024-25!C:CV""),{58,65,72},0))))"),3966301.6399999997)</f>
        <v>3966301.64</v>
      </c>
      <c r="BR82" s="327">
        <f>IFERROR(__xludf.DUMMYFUNCTION("IFERROR(ArrayFormula(SUM(VLOOKUP($C82,importrange(""1MwNMVzWE3QBVOyJjKr3eFX-Sq1Ng0Q1sghWJbgbE_8g"",""ORDER BOOKING REPORT 2024-25!C:CV""),{79,86,93},0))))"),4488361.3)</f>
        <v>4488361.3</v>
      </c>
      <c r="BS82" s="328">
        <f t="shared" si="13"/>
        <v>0.7619425</v>
      </c>
      <c r="BT82" s="328">
        <f t="shared" si="14"/>
        <v>0.03127991942</v>
      </c>
      <c r="BU82" s="234">
        <f t="shared" si="15"/>
        <v>0</v>
      </c>
      <c r="BV82" s="329">
        <v>24356.0</v>
      </c>
      <c r="BW82" s="329" t="s">
        <v>1045</v>
      </c>
      <c r="BX82" s="329">
        <v>957.0</v>
      </c>
      <c r="BY82" s="234">
        <f t="shared" si="16"/>
        <v>0</v>
      </c>
      <c r="BZ82" s="234"/>
      <c r="CA82" s="234"/>
      <c r="CB82" s="234"/>
      <c r="CC82" s="234"/>
      <c r="CD82" s="234"/>
      <c r="CE82" s="234"/>
      <c r="CF82" s="234"/>
      <c r="CG82" s="234" t="str">
        <f t="shared" si="19"/>
        <v> </v>
      </c>
      <c r="CH82" s="234" t="str">
        <f t="shared" si="27"/>
        <v>Business Achieved 50%</v>
      </c>
      <c r="CI82" s="328">
        <f t="shared" si="20"/>
        <v>0.5769230769</v>
      </c>
      <c r="CJ82" s="330">
        <f>IFERROR(__xludf.DUMMYFUNCTION("""COMPUTED_VALUE"""),1270.0)</f>
        <v>1270</v>
      </c>
      <c r="CK82" s="330">
        <f>IFERROR(__xludf.DUMMYFUNCTION("""COMPUTED_VALUE"""),180.0)</f>
        <v>180</v>
      </c>
      <c r="CL82" s="330">
        <f>IFERROR(__xludf.DUMMYFUNCTION("""COMPUTED_VALUE"""),0.0)</f>
        <v>0</v>
      </c>
      <c r="CM82" s="331">
        <f t="shared" si="21"/>
        <v>0</v>
      </c>
      <c r="CN82" s="337"/>
      <c r="CO82" s="160"/>
      <c r="CP82" s="334"/>
      <c r="CQ82" s="335"/>
      <c r="CR82" s="160"/>
      <c r="CS82" s="160"/>
      <c r="CT82" s="160"/>
      <c r="CU82" s="160"/>
      <c r="CV82" s="160"/>
      <c r="CW82" s="335"/>
      <c r="CX82" s="288"/>
      <c r="CY82" s="160"/>
      <c r="CZ82" s="160"/>
    </row>
    <row r="83">
      <c r="A83" s="157" t="s">
        <v>126</v>
      </c>
      <c r="B83" s="157" t="s">
        <v>130</v>
      </c>
      <c r="C83" s="157" t="s">
        <v>154</v>
      </c>
      <c r="D83" s="157" t="s">
        <v>130</v>
      </c>
      <c r="E83" s="157" t="s">
        <v>155</v>
      </c>
      <c r="F83" s="285">
        <v>45121.0</v>
      </c>
      <c r="G83" s="314">
        <v>0.0</v>
      </c>
      <c r="H83" s="314">
        <v>2.6499996E7</v>
      </c>
      <c r="I83" s="315">
        <v>2.744881005E7</v>
      </c>
      <c r="J83" s="315">
        <v>0.0</v>
      </c>
      <c r="K83" s="160">
        <v>62.0</v>
      </c>
      <c r="L83" s="160">
        <v>72.0</v>
      </c>
      <c r="M83" s="160">
        <v>13.0</v>
      </c>
      <c r="N83" s="160">
        <v>75.0</v>
      </c>
      <c r="O83" s="160">
        <v>3.0</v>
      </c>
      <c r="P83" s="315">
        <v>2.386945634E7</v>
      </c>
      <c r="Q83" s="315">
        <v>3579353.71</v>
      </c>
      <c r="R83" s="160">
        <v>47.0</v>
      </c>
      <c r="S83" s="160">
        <v>13.0</v>
      </c>
      <c r="T83" s="160">
        <v>60.0</v>
      </c>
      <c r="U83" s="160">
        <v>0.0</v>
      </c>
      <c r="V83" s="160">
        <v>41.0</v>
      </c>
      <c r="W83" s="160">
        <v>70.0</v>
      </c>
      <c r="X83" s="160">
        <v>57.0</v>
      </c>
      <c r="Y83" s="160">
        <v>2.0</v>
      </c>
      <c r="Z83" s="160">
        <v>35.0</v>
      </c>
      <c r="AA83" s="160">
        <v>0.0</v>
      </c>
      <c r="AB83" s="160">
        <v>0.0</v>
      </c>
      <c r="AC83" s="160">
        <v>0.0</v>
      </c>
      <c r="AD83" s="160">
        <v>0.0</v>
      </c>
      <c r="AE83" s="160">
        <v>859.0</v>
      </c>
      <c r="AF83" s="160">
        <v>964.0</v>
      </c>
      <c r="AG83" s="160">
        <v>281.0</v>
      </c>
      <c r="AH83" s="314">
        <f t="shared" si="2"/>
        <v>97682.59804</v>
      </c>
      <c r="AI83" s="314">
        <f t="shared" si="3"/>
        <v>3.430604982</v>
      </c>
      <c r="AJ83" s="316">
        <f t="shared" ref="AJ83:AJ84" si="61">BV83</f>
        <v>27784</v>
      </c>
      <c r="AK83" s="314">
        <f t="shared" si="35"/>
        <v>333408</v>
      </c>
      <c r="AL83" s="286">
        <v>89704.0</v>
      </c>
      <c r="AM83" s="318">
        <f t="shared" si="5"/>
        <v>0.01541458443</v>
      </c>
      <c r="AN83" s="314">
        <f t="shared" si="6"/>
        <v>457480.1675</v>
      </c>
      <c r="AO83" s="336">
        <f t="shared" si="58"/>
        <v>1.035804309</v>
      </c>
      <c r="AP83" s="319">
        <v>0.0</v>
      </c>
      <c r="AQ83" s="160">
        <v>223.0</v>
      </c>
      <c r="AR83" s="160">
        <v>2347.0</v>
      </c>
      <c r="AS83" s="160">
        <v>1409.2</v>
      </c>
      <c r="AT83" s="160">
        <v>13.0</v>
      </c>
      <c r="AU83" s="160">
        <v>20.0</v>
      </c>
      <c r="AV83" s="320">
        <v>60.0</v>
      </c>
      <c r="AW83" s="320">
        <v>13.0</v>
      </c>
      <c r="AX83" s="320">
        <v>2.0</v>
      </c>
      <c r="AY83" s="321">
        <f>iferror(VLOOKUP(C83,'ORDER BOOKING REPORT 2025-26'!C:O,13,0),"")</f>
        <v>24919599</v>
      </c>
      <c r="AZ83" s="322"/>
      <c r="BA83" s="157" t="str">
        <f t="shared" si="7"/>
        <v>Active</v>
      </c>
      <c r="BB83" s="157" t="str">
        <f t="shared" si="8"/>
        <v>Old</v>
      </c>
      <c r="BC83" s="157" t="str">
        <f t="shared" si="59"/>
        <v>Above 100%</v>
      </c>
      <c r="BD83" s="223">
        <f t="shared" si="60"/>
        <v>12</v>
      </c>
      <c r="BE83" s="323">
        <v>2208333.0</v>
      </c>
      <c r="BF83" s="157">
        <f t="shared" si="10"/>
        <v>0</v>
      </c>
      <c r="BG83" s="157" t="s">
        <v>1019</v>
      </c>
      <c r="BH83" s="324"/>
      <c r="BI83" s="324"/>
      <c r="BJ83" s="325"/>
      <c r="BK83" s="326"/>
      <c r="BL83" s="326">
        <f t="shared" si="48"/>
        <v>0</v>
      </c>
      <c r="BM83" s="326">
        <f t="shared" si="12"/>
        <v>26499996</v>
      </c>
      <c r="BN83" s="326"/>
      <c r="BO83" s="327" t="str">
        <f>IFERROR(__xludf.DUMMYFUNCTION("IFERROR(ArrayFormula(SUM(VLOOKUP($C83,importrange(""1MwNMVzWE3QBVOyJjKr3eFX-Sq1Ng0Q1sghWJbgbE_8g"",""ORDER BOOKING REPORT 2024-25!C:CV""),{16,23,30},0))))"),"")</f>
        <v/>
      </c>
      <c r="BP83" s="327" t="str">
        <f>IFERROR(__xludf.DUMMYFUNCTION("IFERROR(ArrayFormula(SUM(VLOOKUP($C83,importrange(""1MwNMVzWE3QBVOyJjKr3eFX-Sq1Ng0Q1sghWJbgbE_8g"",""ORDER BOOKING REPORT 2024-25!C:CV""),{37,44,51},0))))"),"")</f>
        <v/>
      </c>
      <c r="BQ83" s="327" t="str">
        <f>IFERROR(__xludf.DUMMYFUNCTION("IFERROR(ArrayFormula(SUM(VLOOKUP($C83,importrange(""1MwNMVzWE3QBVOyJjKr3eFX-Sq1Ng0Q1sghWJbgbE_8g"",""ORDER BOOKING REPORT 2024-25!C:CV""),{58,65,72},0))))"),"")</f>
        <v/>
      </c>
      <c r="BR83" s="327" t="str">
        <f>IFERROR(__xludf.DUMMYFUNCTION("IFERROR(ArrayFormula(SUM(VLOOKUP($C83,importrange(""1MwNMVzWE3QBVOyJjKr3eFX-Sq1Ng0Q1sghWJbgbE_8g"",""ORDER BOOKING REPORT 2024-25!C:CV""),{79,86,93},0))))"),"")</f>
        <v/>
      </c>
      <c r="BS83" s="328">
        <f t="shared" si="13"/>
        <v>0.9403623684</v>
      </c>
      <c r="BT83" s="328">
        <f t="shared" si="14"/>
        <v>0.01697908542</v>
      </c>
      <c r="BU83" s="234">
        <f t="shared" si="15"/>
        <v>0</v>
      </c>
      <c r="BV83" s="329">
        <v>27784.0</v>
      </c>
      <c r="BW83" s="329" t="s">
        <v>1029</v>
      </c>
      <c r="BX83" s="329">
        <v>956.0</v>
      </c>
      <c r="BY83" s="234">
        <f t="shared" si="16"/>
        <v>0</v>
      </c>
      <c r="BZ83" s="234"/>
      <c r="CA83" s="234"/>
      <c r="CB83" s="234"/>
      <c r="CC83" s="234"/>
      <c r="CD83" s="234"/>
      <c r="CE83" s="234"/>
      <c r="CF83" s="234"/>
      <c r="CG83" s="234" t="str">
        <f t="shared" si="19"/>
        <v> </v>
      </c>
      <c r="CH83" s="234" t="str">
        <f t="shared" si="27"/>
        <v>Business Achieved 50%</v>
      </c>
      <c r="CI83" s="328">
        <f t="shared" si="20"/>
        <v>0.8</v>
      </c>
      <c r="CJ83" s="339">
        <f>IFERROR(__xludf.DUMMYFUNCTION("""COMPUTED_VALUE"""),798.0)</f>
        <v>798</v>
      </c>
      <c r="CK83" s="339">
        <f>IFERROR(__xludf.DUMMYFUNCTION("""COMPUTED_VALUE"""),61.0)</f>
        <v>61</v>
      </c>
      <c r="CL83" s="339">
        <f>IFERROR(__xludf.DUMMYFUNCTION("""COMPUTED_VALUE"""),0.0)</f>
        <v>0</v>
      </c>
      <c r="CM83" s="331">
        <f t="shared" si="21"/>
        <v>0</v>
      </c>
      <c r="CN83" s="340"/>
      <c r="CO83" s="328"/>
      <c r="CP83" s="341"/>
      <c r="CQ83" s="344"/>
      <c r="CR83" s="328"/>
      <c r="CS83" s="328"/>
      <c r="CT83" s="328"/>
      <c r="CU83" s="328"/>
      <c r="CV83" s="328"/>
      <c r="CW83" s="328"/>
      <c r="CX83" s="288"/>
      <c r="CY83" s="328"/>
      <c r="CZ83" s="328"/>
    </row>
    <row r="84">
      <c r="A84" s="157" t="s">
        <v>126</v>
      </c>
      <c r="B84" s="157" t="s">
        <v>130</v>
      </c>
      <c r="C84" s="157" t="s">
        <v>156</v>
      </c>
      <c r="D84" s="157" t="s">
        <v>130</v>
      </c>
      <c r="E84" s="157" t="s">
        <v>157</v>
      </c>
      <c r="F84" s="285">
        <v>45122.0</v>
      </c>
      <c r="G84" s="314">
        <v>0.0</v>
      </c>
      <c r="H84" s="314">
        <v>2.1500004E7</v>
      </c>
      <c r="I84" s="315">
        <v>1.2834542E7</v>
      </c>
      <c r="J84" s="315">
        <v>0.0</v>
      </c>
      <c r="K84" s="160">
        <v>50.0</v>
      </c>
      <c r="L84" s="160">
        <v>55.0</v>
      </c>
      <c r="M84" s="160">
        <v>12.0</v>
      </c>
      <c r="N84" s="160">
        <v>62.0</v>
      </c>
      <c r="O84" s="160">
        <v>7.0</v>
      </c>
      <c r="P84" s="315">
        <v>1.083207104E7</v>
      </c>
      <c r="Q84" s="315">
        <v>2002470.96</v>
      </c>
      <c r="R84" s="160">
        <v>30.0</v>
      </c>
      <c r="S84" s="160">
        <v>12.0</v>
      </c>
      <c r="T84" s="160">
        <v>42.0</v>
      </c>
      <c r="U84" s="160">
        <v>0.0</v>
      </c>
      <c r="V84" s="160">
        <v>172.0</v>
      </c>
      <c r="W84" s="160">
        <v>336.0</v>
      </c>
      <c r="X84" s="160">
        <v>226.0</v>
      </c>
      <c r="Y84" s="160">
        <v>3.0</v>
      </c>
      <c r="Z84" s="160">
        <v>46.0</v>
      </c>
      <c r="AA84" s="160">
        <v>0.0</v>
      </c>
      <c r="AB84" s="160">
        <v>0.0</v>
      </c>
      <c r="AC84" s="160">
        <v>1.0</v>
      </c>
      <c r="AD84" s="160">
        <v>1.0</v>
      </c>
      <c r="AE84" s="160">
        <v>1493.0</v>
      </c>
      <c r="AF84" s="160">
        <v>1876.0</v>
      </c>
      <c r="AG84" s="160">
        <v>280.0</v>
      </c>
      <c r="AH84" s="314">
        <f t="shared" si="2"/>
        <v>45837.65</v>
      </c>
      <c r="AI84" s="314">
        <f t="shared" si="3"/>
        <v>6.7</v>
      </c>
      <c r="AJ84" s="316">
        <f t="shared" si="61"/>
        <v>24182</v>
      </c>
      <c r="AK84" s="314">
        <f t="shared" si="35"/>
        <v>290184</v>
      </c>
      <c r="AL84" s="286">
        <v>66097.0</v>
      </c>
      <c r="AM84" s="318">
        <f t="shared" si="5"/>
        <v>0.0277595414</v>
      </c>
      <c r="AN84" s="314">
        <f t="shared" si="6"/>
        <v>305584.3333</v>
      </c>
      <c r="AO84" s="336">
        <f t="shared" si="58"/>
        <v>0.5969553308</v>
      </c>
      <c r="AP84" s="319">
        <v>0.0</v>
      </c>
      <c r="AQ84" s="160">
        <v>334.0</v>
      </c>
      <c r="AR84" s="160">
        <v>1984.0</v>
      </c>
      <c r="AS84" s="160">
        <v>2012.62</v>
      </c>
      <c r="AT84" s="160">
        <v>12.0</v>
      </c>
      <c r="AU84" s="160">
        <v>37.0</v>
      </c>
      <c r="AV84" s="320">
        <v>42.0</v>
      </c>
      <c r="AW84" s="320">
        <v>14.0</v>
      </c>
      <c r="AX84" s="320">
        <v>6.0</v>
      </c>
      <c r="AY84" s="321">
        <f>iferror(VLOOKUP(C84,'ORDER BOOKING REPORT 2025-26'!C:O,13,0),"")</f>
        <v>12643909</v>
      </c>
      <c r="AZ84" s="322"/>
      <c r="BA84" s="157" t="str">
        <f t="shared" si="7"/>
        <v>Active</v>
      </c>
      <c r="BB84" s="157" t="str">
        <f t="shared" si="8"/>
        <v>Old</v>
      </c>
      <c r="BC84" s="157" t="str">
        <f t="shared" si="59"/>
        <v>50%-70%</v>
      </c>
      <c r="BD84" s="223">
        <f t="shared" si="60"/>
        <v>12</v>
      </c>
      <c r="BE84" s="323">
        <v>1791667.0</v>
      </c>
      <c r="BF84" s="157">
        <f t="shared" si="10"/>
        <v>0</v>
      </c>
      <c r="BG84" s="157" t="s">
        <v>1019</v>
      </c>
      <c r="BH84" s="324"/>
      <c r="BI84" s="324"/>
      <c r="BJ84" s="325"/>
      <c r="BK84" s="326"/>
      <c r="BL84" s="326">
        <f t="shared" si="48"/>
        <v>0</v>
      </c>
      <c r="BM84" s="326">
        <f t="shared" si="12"/>
        <v>21500004</v>
      </c>
      <c r="BN84" s="326"/>
      <c r="BO84" s="327" t="str">
        <f>IFERROR(__xludf.DUMMYFUNCTION("IFERROR(ArrayFormula(SUM(VLOOKUP($C84,importrange(""1MwNMVzWE3QBVOyJjKr3eFX-Sq1Ng0Q1sghWJbgbE_8g"",""ORDER BOOKING REPORT 2024-25!C:CV""),{16,23,30},0))))"),"")</f>
        <v/>
      </c>
      <c r="BP84" s="327" t="str">
        <f>IFERROR(__xludf.DUMMYFUNCTION("IFERROR(ArrayFormula(SUM(VLOOKUP($C84,importrange(""1MwNMVzWE3QBVOyJjKr3eFX-Sq1Ng0Q1sghWJbgbE_8g"",""ORDER BOOKING REPORT 2024-25!C:CV""),{37,44,51},0))))"),"")</f>
        <v/>
      </c>
      <c r="BQ84" s="327" t="str">
        <f>IFERROR(__xludf.DUMMYFUNCTION("IFERROR(ArrayFormula(SUM(VLOOKUP($C84,importrange(""1MwNMVzWE3QBVOyJjKr3eFX-Sq1Ng0Q1sghWJbgbE_8g"",""ORDER BOOKING REPORT 2024-25!C:CV""),{58,65,72},0))))"),"")</f>
        <v/>
      </c>
      <c r="BR84" s="327" t="str">
        <f>IFERROR(__xludf.DUMMYFUNCTION("IFERROR(ArrayFormula(SUM(VLOOKUP($C84,importrange(""1MwNMVzWE3QBVOyJjKr3eFX-Sq1Ng0Q1sghWJbgbE_8g"",""ORDER BOOKING REPORT 2024-25!C:CV""),{79,86,93},0))))"),"")</f>
        <v/>
      </c>
      <c r="BS84" s="328">
        <f t="shared" si="13"/>
        <v>0.5880886813</v>
      </c>
      <c r="BT84" s="328">
        <f t="shared" si="14"/>
        <v>0.02817807373</v>
      </c>
      <c r="BU84" s="234">
        <f t="shared" si="15"/>
        <v>0</v>
      </c>
      <c r="BV84" s="329">
        <v>24182.0</v>
      </c>
      <c r="BW84" s="329" t="s">
        <v>1045</v>
      </c>
      <c r="BX84" s="329">
        <v>965.0</v>
      </c>
      <c r="BY84" s="234">
        <f t="shared" si="16"/>
        <v>0</v>
      </c>
      <c r="BZ84" s="234"/>
      <c r="CA84" s="234"/>
      <c r="CB84" s="234"/>
      <c r="CC84" s="234"/>
      <c r="CD84" s="234"/>
      <c r="CE84" s="234"/>
      <c r="CF84" s="234"/>
      <c r="CG84" s="234" t="str">
        <f t="shared" si="19"/>
        <v> </v>
      </c>
      <c r="CH84" s="234" t="str">
        <f t="shared" si="27"/>
        <v>Business Achieved 50%</v>
      </c>
      <c r="CI84" s="328">
        <f t="shared" si="20"/>
        <v>0.6774193548</v>
      </c>
      <c r="CJ84" s="339">
        <f>IFERROR(__xludf.DUMMYFUNCTION("""COMPUTED_VALUE"""),1406.0)</f>
        <v>1406</v>
      </c>
      <c r="CK84" s="339">
        <f>IFERROR(__xludf.DUMMYFUNCTION("""COMPUTED_VALUE"""),87.0)</f>
        <v>87</v>
      </c>
      <c r="CL84" s="339">
        <f>IFERROR(__xludf.DUMMYFUNCTION("""COMPUTED_VALUE"""),0.0)</f>
        <v>0</v>
      </c>
      <c r="CM84" s="331">
        <f t="shared" si="21"/>
        <v>0</v>
      </c>
      <c r="CN84" s="340"/>
      <c r="CO84" s="328"/>
      <c r="CP84" s="341"/>
      <c r="CQ84" s="344"/>
      <c r="CR84" s="328"/>
      <c r="CS84" s="328"/>
      <c r="CT84" s="328"/>
      <c r="CU84" s="328"/>
      <c r="CV84" s="328"/>
      <c r="CW84" s="328"/>
      <c r="CX84" s="288"/>
      <c r="CY84" s="328"/>
      <c r="CZ84" s="328"/>
    </row>
    <row r="85">
      <c r="A85" s="157" t="s">
        <v>126</v>
      </c>
      <c r="B85" s="157" t="s">
        <v>145</v>
      </c>
      <c r="C85" s="157" t="s">
        <v>158</v>
      </c>
      <c r="D85" s="157" t="s">
        <v>1066</v>
      </c>
      <c r="E85" s="157" t="s">
        <v>159</v>
      </c>
      <c r="F85" s="285">
        <v>45124.0</v>
      </c>
      <c r="G85" s="314">
        <v>0.0</v>
      </c>
      <c r="H85" s="314">
        <v>1.98E7</v>
      </c>
      <c r="I85" s="315">
        <v>9911745.49</v>
      </c>
      <c r="J85" s="315">
        <v>0.0</v>
      </c>
      <c r="K85" s="160">
        <v>40.0</v>
      </c>
      <c r="L85" s="160">
        <v>42.0</v>
      </c>
      <c r="M85" s="160">
        <v>3.0</v>
      </c>
      <c r="N85" s="160">
        <v>43.0</v>
      </c>
      <c r="O85" s="160">
        <v>1.0</v>
      </c>
      <c r="P85" s="315">
        <v>9387796.21</v>
      </c>
      <c r="Q85" s="315">
        <v>523949.28</v>
      </c>
      <c r="R85" s="160">
        <v>32.0</v>
      </c>
      <c r="S85" s="160">
        <v>3.0</v>
      </c>
      <c r="T85" s="160">
        <v>35.0</v>
      </c>
      <c r="U85" s="160">
        <v>0.0</v>
      </c>
      <c r="V85" s="160">
        <v>255.0</v>
      </c>
      <c r="W85" s="160">
        <v>674.0</v>
      </c>
      <c r="X85" s="160">
        <v>142.0</v>
      </c>
      <c r="Y85" s="160">
        <v>2.0</v>
      </c>
      <c r="Z85" s="160">
        <v>8.0</v>
      </c>
      <c r="AA85" s="160">
        <v>0.0</v>
      </c>
      <c r="AB85" s="160">
        <v>0.0</v>
      </c>
      <c r="AC85" s="160">
        <v>0.0</v>
      </c>
      <c r="AD85" s="160">
        <v>0.0</v>
      </c>
      <c r="AE85" s="160">
        <v>388.0</v>
      </c>
      <c r="AF85" s="160">
        <v>1070.0</v>
      </c>
      <c r="AG85" s="160">
        <v>260.0</v>
      </c>
      <c r="AH85" s="314">
        <f t="shared" si="2"/>
        <v>38122.09804</v>
      </c>
      <c r="AI85" s="314">
        <f t="shared" si="3"/>
        <v>4.115384615</v>
      </c>
      <c r="AJ85" s="346">
        <v>26500.0</v>
      </c>
      <c r="AK85" s="314">
        <f t="shared" si="35"/>
        <v>318000</v>
      </c>
      <c r="AL85" s="317">
        <v>172032.0</v>
      </c>
      <c r="AM85" s="318">
        <f t="shared" si="5"/>
        <v>0.04943952612</v>
      </c>
      <c r="AN85" s="314">
        <f t="shared" si="6"/>
        <v>283192.7283</v>
      </c>
      <c r="AO85" s="336">
        <f t="shared" si="58"/>
        <v>0.5005932066</v>
      </c>
      <c r="AP85" s="319">
        <v>0.0</v>
      </c>
      <c r="AQ85" s="160">
        <v>318.0</v>
      </c>
      <c r="AR85" s="160">
        <v>2977.0</v>
      </c>
      <c r="AS85" s="160">
        <v>2242.13</v>
      </c>
      <c r="AT85" s="160">
        <v>3.0</v>
      </c>
      <c r="AU85" s="160">
        <v>53.0</v>
      </c>
      <c r="AV85" s="320">
        <v>35.0</v>
      </c>
      <c r="AW85" s="320">
        <v>7.0</v>
      </c>
      <c r="AX85" s="320">
        <v>1.0</v>
      </c>
      <c r="AY85" s="321">
        <f>iferror(VLOOKUP(C85,'ORDER BOOKING REPORT 2025-26'!C:O,13,0),"")</f>
        <v>10008546.41</v>
      </c>
      <c r="AZ85" s="322"/>
      <c r="BA85" s="157" t="str">
        <f t="shared" si="7"/>
        <v>Active</v>
      </c>
      <c r="BB85" s="157" t="str">
        <f t="shared" si="8"/>
        <v>Old</v>
      </c>
      <c r="BC85" s="157" t="str">
        <f t="shared" si="59"/>
        <v>50%-70%</v>
      </c>
      <c r="BD85" s="223">
        <f t="shared" si="60"/>
        <v>12</v>
      </c>
      <c r="BE85" s="323">
        <v>1650000.0</v>
      </c>
      <c r="BF85" s="157">
        <f t="shared" si="10"/>
        <v>0</v>
      </c>
      <c r="BG85" s="157" t="s">
        <v>1019</v>
      </c>
      <c r="BH85" s="324"/>
      <c r="BI85" s="324"/>
      <c r="BJ85" s="325"/>
      <c r="BK85" s="326"/>
      <c r="BL85" s="326">
        <f t="shared" si="48"/>
        <v>0</v>
      </c>
      <c r="BM85" s="326">
        <f t="shared" si="12"/>
        <v>19800000</v>
      </c>
      <c r="BN85" s="326"/>
      <c r="BO85" s="327" t="str">
        <f>IFERROR(__xludf.DUMMYFUNCTION("IFERROR(ArrayFormula(SUM(VLOOKUP($C85,importrange(""1MwNMVzWE3QBVOyJjKr3eFX-Sq1Ng0Q1sghWJbgbE_8g"",""ORDER BOOKING REPORT 2024-25!C:CV""),{16,23,30},0))))"),"")</f>
        <v/>
      </c>
      <c r="BP85" s="327" t="str">
        <f>IFERROR(__xludf.DUMMYFUNCTION("IFERROR(ArrayFormula(SUM(VLOOKUP($C85,importrange(""1MwNMVzWE3QBVOyJjKr3eFX-Sq1Ng0Q1sghWJbgbE_8g"",""ORDER BOOKING REPORT 2024-25!C:CV""),{37,44,51},0))))"),"")</f>
        <v/>
      </c>
      <c r="BQ85" s="327" t="str">
        <f>IFERROR(__xludf.DUMMYFUNCTION("IFERROR(ArrayFormula(SUM(VLOOKUP($C85,importrange(""1MwNMVzWE3QBVOyJjKr3eFX-Sq1Ng0Q1sghWJbgbE_8g"",""ORDER BOOKING REPORT 2024-25!C:CV""),{58,65,72},0))))"),"")</f>
        <v/>
      </c>
      <c r="BR85" s="327" t="str">
        <f>IFERROR(__xludf.DUMMYFUNCTION("IFERROR(ArrayFormula(SUM(VLOOKUP($C85,importrange(""1MwNMVzWE3QBVOyJjKr3eFX-Sq1Ng0Q1sghWJbgbE_8g"",""ORDER BOOKING REPORT 2024-25!C:CV""),{79,86,93},0))))"),"")</f>
        <v/>
      </c>
      <c r="BS85" s="328">
        <f t="shared" si="13"/>
        <v>0.5054821419</v>
      </c>
      <c r="BT85" s="328">
        <f t="shared" si="14"/>
        <v>0.04896135562</v>
      </c>
      <c r="BU85" s="234">
        <f t="shared" si="15"/>
        <v>0</v>
      </c>
      <c r="BV85" s="329">
        <v>26500.0</v>
      </c>
      <c r="BW85" s="329" t="s">
        <v>1029</v>
      </c>
      <c r="BX85" s="329">
        <v>960.0</v>
      </c>
      <c r="BY85" s="234">
        <f t="shared" si="16"/>
        <v>0</v>
      </c>
      <c r="BZ85" s="234"/>
      <c r="CA85" s="234"/>
      <c r="CB85" s="234"/>
      <c r="CC85" s="234"/>
      <c r="CD85" s="234"/>
      <c r="CE85" s="234"/>
      <c r="CF85" s="234"/>
      <c r="CG85" s="234" t="str">
        <f t="shared" si="19"/>
        <v>Below 60</v>
      </c>
      <c r="CH85" s="234" t="str">
        <f t="shared" si="27"/>
        <v>Business Achieved 50%</v>
      </c>
      <c r="CI85" s="328">
        <f t="shared" si="20"/>
        <v>0.8139534884</v>
      </c>
      <c r="CJ85" s="330">
        <f>IFERROR(__xludf.DUMMYFUNCTION("""COMPUTED_VALUE"""),360.0)</f>
        <v>360</v>
      </c>
      <c r="CK85" s="330">
        <f>IFERROR(__xludf.DUMMYFUNCTION("""COMPUTED_VALUE"""),28.0)</f>
        <v>28</v>
      </c>
      <c r="CL85" s="330">
        <f>IFERROR(__xludf.DUMMYFUNCTION("""COMPUTED_VALUE"""),0.0)</f>
        <v>0</v>
      </c>
      <c r="CM85" s="331">
        <f t="shared" si="21"/>
        <v>0</v>
      </c>
      <c r="CN85" s="337"/>
      <c r="CO85" s="160"/>
      <c r="CP85" s="334"/>
      <c r="CQ85" s="335"/>
      <c r="CR85" s="160"/>
      <c r="CS85" s="160"/>
      <c r="CT85" s="160"/>
      <c r="CU85" s="160"/>
      <c r="CV85" s="160"/>
      <c r="CW85" s="335"/>
      <c r="CX85" s="288"/>
      <c r="CY85" s="160"/>
      <c r="CZ85" s="160"/>
    </row>
    <row r="86">
      <c r="A86" s="157" t="s">
        <v>126</v>
      </c>
      <c r="B86" s="157" t="s">
        <v>135</v>
      </c>
      <c r="C86" s="157" t="s">
        <v>770</v>
      </c>
      <c r="D86" s="157" t="s">
        <v>1022</v>
      </c>
      <c r="E86" s="157" t="s">
        <v>1081</v>
      </c>
      <c r="F86" s="338">
        <v>45145.0</v>
      </c>
      <c r="G86" s="314">
        <v>0.0</v>
      </c>
      <c r="H86" s="314">
        <v>2.1999996E7</v>
      </c>
      <c r="I86" s="315">
        <v>1.269796743E7</v>
      </c>
      <c r="J86" s="315">
        <v>136605.11</v>
      </c>
      <c r="K86" s="160">
        <v>67.0</v>
      </c>
      <c r="L86" s="160">
        <v>73.0</v>
      </c>
      <c r="M86" s="160">
        <v>10.0</v>
      </c>
      <c r="N86" s="160">
        <v>77.0</v>
      </c>
      <c r="O86" s="160">
        <v>4.0</v>
      </c>
      <c r="P86" s="315">
        <v>1.195500803E7</v>
      </c>
      <c r="Q86" s="315">
        <v>742959.4</v>
      </c>
      <c r="R86" s="160">
        <v>48.0</v>
      </c>
      <c r="S86" s="160">
        <v>10.0</v>
      </c>
      <c r="T86" s="160">
        <v>58.0</v>
      </c>
      <c r="U86" s="160">
        <v>1.0</v>
      </c>
      <c r="V86" s="160">
        <v>78.0</v>
      </c>
      <c r="W86" s="160">
        <v>129.0</v>
      </c>
      <c r="X86" s="160">
        <v>156.0</v>
      </c>
      <c r="Y86" s="160">
        <v>3.0</v>
      </c>
      <c r="Z86" s="160">
        <v>86.0</v>
      </c>
      <c r="AA86" s="160">
        <v>1.0</v>
      </c>
      <c r="AB86" s="160">
        <v>7.0</v>
      </c>
      <c r="AC86" s="160">
        <v>0.0</v>
      </c>
      <c r="AD86" s="160">
        <v>0.0</v>
      </c>
      <c r="AE86" s="160">
        <v>956.0</v>
      </c>
      <c r="AF86" s="160">
        <v>1178.0</v>
      </c>
      <c r="AG86" s="160">
        <v>281.0</v>
      </c>
      <c r="AH86" s="314">
        <f t="shared" si="2"/>
        <v>45674.63537</v>
      </c>
      <c r="AI86" s="314">
        <f t="shared" si="3"/>
        <v>4.192170819</v>
      </c>
      <c r="AJ86" s="316">
        <f>BV86</f>
        <v>36187</v>
      </c>
      <c r="AK86" s="314">
        <f t="shared" si="35"/>
        <v>434244</v>
      </c>
      <c r="AL86" s="286">
        <v>142066.0</v>
      </c>
      <c r="AM86" s="318">
        <f t="shared" si="5"/>
        <v>0.04490293683</v>
      </c>
      <c r="AN86" s="314">
        <f t="shared" si="6"/>
        <v>218930.4729</v>
      </c>
      <c r="AO86" s="336">
        <f t="shared" si="58"/>
        <v>0.583389767</v>
      </c>
      <c r="AP86" s="319">
        <v>0.0</v>
      </c>
      <c r="AQ86" s="160">
        <v>566.0</v>
      </c>
      <c r="AR86" s="160">
        <v>2632.0</v>
      </c>
      <c r="AS86" s="160">
        <v>2509.8</v>
      </c>
      <c r="AT86" s="160">
        <v>10.0</v>
      </c>
      <c r="AU86" s="160">
        <v>34.0</v>
      </c>
      <c r="AV86" s="320">
        <v>58.0</v>
      </c>
      <c r="AW86" s="320">
        <v>16.0</v>
      </c>
      <c r="AX86" s="320">
        <v>3.0</v>
      </c>
      <c r="AY86" s="321">
        <f>iferror(VLOOKUP(C86,'ORDER BOOKING REPORT 2025-26'!C:O,13,0),"")</f>
        <v>11135636.68</v>
      </c>
      <c r="AZ86" s="322"/>
      <c r="BA86" s="157" t="str">
        <f t="shared" si="7"/>
        <v>Active</v>
      </c>
      <c r="BB86" s="157" t="str">
        <f t="shared" si="8"/>
        <v>Old</v>
      </c>
      <c r="BC86" s="157" t="str">
        <f t="shared" si="59"/>
        <v>50%-70%</v>
      </c>
      <c r="BD86" s="223">
        <f t="shared" si="60"/>
        <v>12</v>
      </c>
      <c r="BE86" s="323">
        <v>1833333.0</v>
      </c>
      <c r="BF86" s="157">
        <f t="shared" si="10"/>
        <v>0</v>
      </c>
      <c r="BG86" s="157" t="s">
        <v>1019</v>
      </c>
      <c r="BH86" s="324"/>
      <c r="BI86" s="324"/>
      <c r="BJ86" s="325"/>
      <c r="BK86" s="326"/>
      <c r="BL86" s="326">
        <f t="shared" si="48"/>
        <v>0</v>
      </c>
      <c r="BM86" s="326">
        <f t="shared" si="12"/>
        <v>21999996</v>
      </c>
      <c r="BN86" s="326"/>
      <c r="BO86" s="327" t="str">
        <f>IFERROR(__xludf.DUMMYFUNCTION("IFERROR(ArrayFormula(SUM(VLOOKUP($C86,importrange(""1MwNMVzWE3QBVOyJjKr3eFX-Sq1Ng0Q1sghWJbgbE_8g"",""ORDER BOOKING REPORT 2024-25!C:CV""),{16,23,30},0))))"),"")</f>
        <v/>
      </c>
      <c r="BP86" s="327" t="str">
        <f>IFERROR(__xludf.DUMMYFUNCTION("IFERROR(ArrayFormula(SUM(VLOOKUP($C86,importrange(""1MwNMVzWE3QBVOyJjKr3eFX-Sq1Ng0Q1sghWJbgbE_8g"",""ORDER BOOKING REPORT 2024-25!C:CV""),{37,44,51},0))))"),"")</f>
        <v/>
      </c>
      <c r="BQ86" s="327" t="str">
        <f>IFERROR(__xludf.DUMMYFUNCTION("IFERROR(ArrayFormula(SUM(VLOOKUP($C86,importrange(""1MwNMVzWE3QBVOyJjKr3eFX-Sq1Ng0Q1sghWJbgbE_8g"",""ORDER BOOKING REPORT 2024-25!C:CV""),{58,65,72},0))))"),"")</f>
        <v/>
      </c>
      <c r="BR86" s="327" t="str">
        <f>IFERROR(__xludf.DUMMYFUNCTION("IFERROR(ArrayFormula(SUM(VLOOKUP($C86,importrange(""1MwNMVzWE3QBVOyJjKr3eFX-Sq1Ng0Q1sghWJbgbE_8g"",""ORDER BOOKING REPORT 2024-25!C:CV""),{79,86,93},0))))"),"")</f>
        <v/>
      </c>
      <c r="BS86" s="328">
        <f t="shared" si="13"/>
        <v>0.5061653957</v>
      </c>
      <c r="BT86" s="328">
        <f t="shared" si="14"/>
        <v>0.05175366408</v>
      </c>
      <c r="BU86" s="234">
        <f t="shared" si="15"/>
        <v>0</v>
      </c>
      <c r="BV86" s="329">
        <v>36187.0</v>
      </c>
      <c r="BW86" s="329" t="s">
        <v>1029</v>
      </c>
      <c r="BX86" s="329">
        <v>972.0</v>
      </c>
      <c r="BY86" s="234">
        <f t="shared" si="16"/>
        <v>0</v>
      </c>
      <c r="BZ86" s="234"/>
      <c r="CA86" s="234"/>
      <c r="CB86" s="234"/>
      <c r="CC86" s="234"/>
      <c r="CD86" s="234"/>
      <c r="CE86" s="234"/>
      <c r="CF86" s="234"/>
      <c r="CG86" s="234" t="str">
        <f t="shared" si="19"/>
        <v> </v>
      </c>
      <c r="CH86" s="234" t="str">
        <f t="shared" si="27"/>
        <v>Business Achieved 50%</v>
      </c>
      <c r="CI86" s="328">
        <f t="shared" si="20"/>
        <v>0.7532467532</v>
      </c>
      <c r="CJ86" s="339">
        <f>IFERROR(__xludf.DUMMYFUNCTION("""COMPUTED_VALUE"""),835.0)</f>
        <v>835</v>
      </c>
      <c r="CK86" s="339">
        <f>IFERROR(__xludf.DUMMYFUNCTION("""COMPUTED_VALUE"""),121.0)</f>
        <v>121</v>
      </c>
      <c r="CL86" s="339">
        <f>IFERROR(__xludf.DUMMYFUNCTION("""COMPUTED_VALUE"""),0.0)</f>
        <v>0</v>
      </c>
      <c r="CM86" s="331">
        <f t="shared" si="21"/>
        <v>0</v>
      </c>
      <c r="CN86" s="340"/>
      <c r="CO86" s="328"/>
      <c r="CP86" s="341"/>
      <c r="CQ86" s="344"/>
      <c r="CR86" s="328"/>
      <c r="CS86" s="328"/>
      <c r="CT86" s="328"/>
      <c r="CU86" s="328"/>
      <c r="CV86" s="328"/>
      <c r="CW86" s="328"/>
      <c r="CX86" s="288"/>
      <c r="CY86" s="328"/>
      <c r="CZ86" s="328"/>
    </row>
    <row r="87">
      <c r="A87" s="157" t="s">
        <v>185</v>
      </c>
      <c r="B87" s="157" t="s">
        <v>189</v>
      </c>
      <c r="C87" s="157" t="s">
        <v>414</v>
      </c>
      <c r="D87" s="157" t="s">
        <v>1016</v>
      </c>
      <c r="E87" s="157" t="s">
        <v>415</v>
      </c>
      <c r="F87" s="285">
        <v>45148.0</v>
      </c>
      <c r="G87" s="314">
        <v>0.0</v>
      </c>
      <c r="H87" s="314">
        <v>1.5599997E7</v>
      </c>
      <c r="I87" s="315">
        <v>9834471.95</v>
      </c>
      <c r="J87" s="315">
        <v>0.0</v>
      </c>
      <c r="K87" s="160">
        <v>89.0</v>
      </c>
      <c r="L87" s="160">
        <v>99.0</v>
      </c>
      <c r="M87" s="160">
        <v>12.0</v>
      </c>
      <c r="N87" s="160">
        <v>101.0</v>
      </c>
      <c r="O87" s="160">
        <v>2.0</v>
      </c>
      <c r="P87" s="315">
        <v>7920819.07</v>
      </c>
      <c r="Q87" s="315">
        <v>1913652.88</v>
      </c>
      <c r="R87" s="160">
        <v>53.0</v>
      </c>
      <c r="S87" s="160">
        <v>8.0</v>
      </c>
      <c r="T87" s="160">
        <v>61.0</v>
      </c>
      <c r="U87" s="160">
        <v>0.0</v>
      </c>
      <c r="V87" s="160">
        <v>69.0</v>
      </c>
      <c r="W87" s="160">
        <v>120.0</v>
      </c>
      <c r="X87" s="160">
        <v>186.0</v>
      </c>
      <c r="Y87" s="160">
        <v>2.0</v>
      </c>
      <c r="Z87" s="160">
        <v>69.0</v>
      </c>
      <c r="AA87" s="160">
        <v>0.0</v>
      </c>
      <c r="AB87" s="160">
        <v>0.0</v>
      </c>
      <c r="AC87" s="160">
        <v>0.0</v>
      </c>
      <c r="AD87" s="160">
        <v>0.0</v>
      </c>
      <c r="AE87" s="160">
        <v>946.0</v>
      </c>
      <c r="AF87" s="160">
        <v>1135.0</v>
      </c>
      <c r="AG87" s="160">
        <v>207.0</v>
      </c>
      <c r="AH87" s="314">
        <f t="shared" si="2"/>
        <v>47509.52633</v>
      </c>
      <c r="AI87" s="314">
        <f t="shared" si="3"/>
        <v>5.483091787</v>
      </c>
      <c r="AJ87" s="316">
        <v>26870.0</v>
      </c>
      <c r="AK87" s="314">
        <f t="shared" si="35"/>
        <v>241830</v>
      </c>
      <c r="AL87" s="317">
        <v>98770.0</v>
      </c>
      <c r="AM87" s="318">
        <f t="shared" si="5"/>
        <v>0.0346332779</v>
      </c>
      <c r="AN87" s="314">
        <f t="shared" si="6"/>
        <v>161220.8516</v>
      </c>
      <c r="AO87" s="336">
        <f t="shared" si="58"/>
        <v>0.6304149898</v>
      </c>
      <c r="AP87" s="319">
        <v>0.0</v>
      </c>
      <c r="AQ87" s="160">
        <v>208.0</v>
      </c>
      <c r="AR87" s="160">
        <v>2358.0</v>
      </c>
      <c r="AS87" s="160">
        <v>0.0</v>
      </c>
      <c r="AT87" s="160">
        <v>8.0</v>
      </c>
      <c r="AU87" s="160">
        <v>0.0</v>
      </c>
      <c r="AV87" s="320">
        <v>61.0</v>
      </c>
      <c r="AW87" s="320">
        <v>38.0</v>
      </c>
      <c r="AX87" s="320">
        <v>2.0</v>
      </c>
      <c r="AY87" s="321">
        <f>iferror(VLOOKUP(C87,'ORDER BOOKING REPORT 2025-26'!C:O,13,0),"")</f>
        <v>10562379</v>
      </c>
      <c r="AZ87" s="322">
        <v>46022.0</v>
      </c>
      <c r="BA87" s="157" t="str">
        <f t="shared" si="7"/>
        <v>LEFT</v>
      </c>
      <c r="BB87" s="157" t="str">
        <f t="shared" si="8"/>
        <v>Old</v>
      </c>
      <c r="BC87" s="157" t="str">
        <f t="shared" si="59"/>
        <v>50%-70%</v>
      </c>
      <c r="BD87" s="223">
        <v>9.0</v>
      </c>
      <c r="BE87" s="323">
        <v>1733333.0</v>
      </c>
      <c r="BF87" s="157">
        <f t="shared" si="10"/>
        <v>4</v>
      </c>
      <c r="BG87" s="157" t="s">
        <v>1019</v>
      </c>
      <c r="BH87" s="324"/>
      <c r="BI87" s="324"/>
      <c r="BJ87" s="325"/>
      <c r="BK87" s="326"/>
      <c r="BL87" s="326">
        <f t="shared" si="48"/>
        <v>0</v>
      </c>
      <c r="BM87" s="326">
        <f t="shared" si="12"/>
        <v>15599997</v>
      </c>
      <c r="BN87" s="326"/>
      <c r="BO87" s="327" t="str">
        <f>IFERROR(__xludf.DUMMYFUNCTION("IFERROR(ArrayFormula(SUM(VLOOKUP($C87,importrange(""1MwNMVzWE3QBVOyJjKr3eFX-Sq1Ng0Q1sghWJbgbE_8g"",""ORDER BOOKING REPORT 2024-25!C:CV""),{16,23,30},0))))"),"")</f>
        <v/>
      </c>
      <c r="BP87" s="327" t="str">
        <f>IFERROR(__xludf.DUMMYFUNCTION("IFERROR(ArrayFormula(SUM(VLOOKUP($C87,importrange(""1MwNMVzWE3QBVOyJjKr3eFX-Sq1Ng0Q1sghWJbgbE_8g"",""ORDER BOOKING REPORT 2024-25!C:CV""),{37,44,51},0))))"),"")</f>
        <v/>
      </c>
      <c r="BQ87" s="327" t="str">
        <f>IFERROR(__xludf.DUMMYFUNCTION("IFERROR(ArrayFormula(SUM(VLOOKUP($C87,importrange(""1MwNMVzWE3QBVOyJjKr3eFX-Sq1Ng0Q1sghWJbgbE_8g"",""ORDER BOOKING REPORT 2024-25!C:CV""),{58,65,72},0))))"),"")</f>
        <v/>
      </c>
      <c r="BR87" s="327" t="str">
        <f>IFERROR(__xludf.DUMMYFUNCTION("IFERROR(ArrayFormula(SUM(VLOOKUP($C87,importrange(""1MwNMVzWE3QBVOyJjKr3eFX-Sq1Ng0Q1sghWJbgbE_8g"",""ORDER BOOKING REPORT 2024-25!C:CV""),{79,86,93},0))))"),"")</f>
        <v/>
      </c>
      <c r="BS87" s="328">
        <f t="shared" si="13"/>
        <v>0.6770757071</v>
      </c>
      <c r="BT87" s="328">
        <f t="shared" si="14"/>
        <v>0.03224652325</v>
      </c>
      <c r="BU87" s="234">
        <f t="shared" si="15"/>
        <v>0</v>
      </c>
      <c r="BV87" s="329">
        <v>26870.0</v>
      </c>
      <c r="BW87" s="329" t="s">
        <v>1045</v>
      </c>
      <c r="BX87" s="329">
        <v>974.0</v>
      </c>
      <c r="BY87" s="234">
        <f t="shared" si="16"/>
        <v>0</v>
      </c>
      <c r="BZ87" s="234"/>
      <c r="CA87" s="234"/>
      <c r="CB87" s="234"/>
      <c r="CC87" s="234"/>
      <c r="CD87" s="234"/>
      <c r="CE87" s="234"/>
      <c r="CF87" s="234"/>
      <c r="CG87" s="234" t="str">
        <f t="shared" si="19"/>
        <v> </v>
      </c>
      <c r="CH87" s="234" t="str">
        <f t="shared" si="27"/>
        <v>Business Achieved 50%</v>
      </c>
      <c r="CI87" s="328">
        <f t="shared" si="20"/>
        <v>0.603960396</v>
      </c>
      <c r="CJ87" s="330">
        <f>IFERROR(__xludf.DUMMYFUNCTION("""COMPUTED_VALUE"""),722.0)</f>
        <v>722</v>
      </c>
      <c r="CK87" s="330">
        <f>IFERROR(__xludf.DUMMYFUNCTION("""COMPUTED_VALUE"""),224.0)</f>
        <v>224</v>
      </c>
      <c r="CL87" s="330">
        <f>IFERROR(__xludf.DUMMYFUNCTION("""COMPUTED_VALUE"""),0.0)</f>
        <v>0</v>
      </c>
      <c r="CM87" s="331">
        <f t="shared" si="21"/>
        <v>0</v>
      </c>
      <c r="CN87" s="337"/>
      <c r="CO87" s="160"/>
      <c r="CP87" s="334"/>
      <c r="CQ87" s="335"/>
      <c r="CR87" s="160"/>
      <c r="CS87" s="160"/>
      <c r="CT87" s="160"/>
      <c r="CU87" s="160"/>
      <c r="CV87" s="160"/>
      <c r="CW87" s="335"/>
      <c r="CX87" s="288"/>
      <c r="CY87" s="160"/>
      <c r="CZ87" s="160"/>
    </row>
    <row r="88">
      <c r="A88" s="157" t="s">
        <v>126</v>
      </c>
      <c r="B88" s="157" t="s">
        <v>135</v>
      </c>
      <c r="C88" s="157" t="s">
        <v>772</v>
      </c>
      <c r="D88" s="157" t="s">
        <v>1042</v>
      </c>
      <c r="E88" s="157" t="s">
        <v>180</v>
      </c>
      <c r="F88" s="285">
        <v>45152.0</v>
      </c>
      <c r="G88" s="314">
        <v>0.0</v>
      </c>
      <c r="H88" s="314">
        <v>2.4E7</v>
      </c>
      <c r="I88" s="315">
        <v>2.308301638E7</v>
      </c>
      <c r="J88" s="315">
        <v>0.0</v>
      </c>
      <c r="K88" s="160">
        <v>89.0</v>
      </c>
      <c r="L88" s="160">
        <v>127.0</v>
      </c>
      <c r="M88" s="160">
        <v>50.0</v>
      </c>
      <c r="N88" s="160">
        <v>139.0</v>
      </c>
      <c r="O88" s="160">
        <v>12.0</v>
      </c>
      <c r="P88" s="315">
        <v>1.652794309E7</v>
      </c>
      <c r="Q88" s="315">
        <v>6555073.29</v>
      </c>
      <c r="R88" s="160">
        <v>59.0</v>
      </c>
      <c r="S88" s="160">
        <v>43.0</v>
      </c>
      <c r="T88" s="160">
        <v>102.0</v>
      </c>
      <c r="U88" s="160">
        <v>0.0</v>
      </c>
      <c r="V88" s="160">
        <v>88.0</v>
      </c>
      <c r="W88" s="160">
        <v>129.0</v>
      </c>
      <c r="X88" s="160">
        <v>212.0</v>
      </c>
      <c r="Y88" s="160">
        <v>4.0</v>
      </c>
      <c r="Z88" s="160">
        <v>73.0</v>
      </c>
      <c r="AA88" s="160">
        <v>0.0</v>
      </c>
      <c r="AB88" s="160">
        <v>0.0</v>
      </c>
      <c r="AC88" s="160">
        <v>1.0</v>
      </c>
      <c r="AD88" s="160">
        <v>72.0</v>
      </c>
      <c r="AE88" s="160">
        <v>821.0</v>
      </c>
      <c r="AF88" s="160">
        <v>1095.0</v>
      </c>
      <c r="AG88" s="160">
        <v>287.0</v>
      </c>
      <c r="AH88" s="314">
        <f t="shared" si="2"/>
        <v>80428.6285</v>
      </c>
      <c r="AI88" s="314">
        <f t="shared" si="3"/>
        <v>3.81533101</v>
      </c>
      <c r="AJ88" s="316">
        <f>BV88</f>
        <v>43314</v>
      </c>
      <c r="AK88" s="314">
        <f>(AJ88*4)+(49810*8)</f>
        <v>571736</v>
      </c>
      <c r="AL88" s="286">
        <v>171116.0</v>
      </c>
      <c r="AM88" s="318">
        <f t="shared" si="5"/>
        <v>0.03218175596</v>
      </c>
      <c r="AN88" s="314">
        <f t="shared" si="6"/>
        <v>226304.0822</v>
      </c>
      <c r="AO88" s="336">
        <f t="shared" si="58"/>
        <v>0.9617923492</v>
      </c>
      <c r="AP88" s="319">
        <v>0.0</v>
      </c>
      <c r="AQ88" s="160">
        <v>1088.0</v>
      </c>
      <c r="AR88" s="160">
        <v>2450.0</v>
      </c>
      <c r="AS88" s="160">
        <v>1210.9</v>
      </c>
      <c r="AT88" s="160">
        <v>43.0</v>
      </c>
      <c r="AU88" s="160">
        <v>10.0</v>
      </c>
      <c r="AV88" s="320">
        <v>102.0</v>
      </c>
      <c r="AW88" s="320">
        <v>30.0</v>
      </c>
      <c r="AX88" s="320">
        <v>7.0</v>
      </c>
      <c r="AY88" s="321">
        <f>iferror(VLOOKUP(C88,'ORDER BOOKING REPORT 2025-26'!C:O,13,0),"")</f>
        <v>21865124</v>
      </c>
      <c r="AZ88" s="322"/>
      <c r="BA88" s="157" t="str">
        <f t="shared" si="7"/>
        <v>Active</v>
      </c>
      <c r="BB88" s="157" t="str">
        <f t="shared" si="8"/>
        <v>Old</v>
      </c>
      <c r="BC88" s="157" t="str">
        <f t="shared" si="59"/>
        <v>90%-100%</v>
      </c>
      <c r="BD88" s="223">
        <f t="shared" ref="BD88:BD90" si="62">Match($BD$2,{"Apr","May","Jun","Jul","Aug","Sep","Oct","Nov","Dec","Jan","Feb","Mar"},0)</f>
        <v>12</v>
      </c>
      <c r="BE88" s="323">
        <v>2000000.0</v>
      </c>
      <c r="BF88" s="157">
        <f t="shared" si="10"/>
        <v>7</v>
      </c>
      <c r="BG88" s="157" t="s">
        <v>1019</v>
      </c>
      <c r="BH88" s="324"/>
      <c r="BI88" s="324"/>
      <c r="BJ88" s="325"/>
      <c r="BK88" s="326"/>
      <c r="BL88" s="326">
        <f t="shared" si="48"/>
        <v>0</v>
      </c>
      <c r="BM88" s="326">
        <f t="shared" si="12"/>
        <v>24000000</v>
      </c>
      <c r="BN88" s="326"/>
      <c r="BO88" s="327" t="str">
        <f>IFERROR(__xludf.DUMMYFUNCTION("IFERROR(ArrayFormula(SUM(VLOOKUP($C88,importrange(""1MwNMVzWE3QBVOyJjKr3eFX-Sq1Ng0Q1sghWJbgbE_8g"",""ORDER BOOKING REPORT 2024-25!C:CV""),{16,23,30},0))))"),"")</f>
        <v/>
      </c>
      <c r="BP88" s="327" t="str">
        <f>IFERROR(__xludf.DUMMYFUNCTION("IFERROR(ArrayFormula(SUM(VLOOKUP($C88,importrange(""1MwNMVzWE3QBVOyJjKr3eFX-Sq1Ng0Q1sghWJbgbE_8g"",""ORDER BOOKING REPORT 2024-25!C:CV""),{37,44,51},0))))"),"")</f>
        <v/>
      </c>
      <c r="BQ88" s="327" t="str">
        <f>IFERROR(__xludf.DUMMYFUNCTION("IFERROR(ArrayFormula(SUM(VLOOKUP($C88,importrange(""1MwNMVzWE3QBVOyJjKr3eFX-Sq1Ng0Q1sghWJbgbE_8g"",""ORDER BOOKING REPORT 2024-25!C:CV""),{58,65,72},0))))"),"")</f>
        <v/>
      </c>
      <c r="BR88" s="327" t="str">
        <f>IFERROR(__xludf.DUMMYFUNCTION("IFERROR(ArrayFormula(SUM(VLOOKUP($C88,importrange(""1MwNMVzWE3QBVOyJjKr3eFX-Sq1Ng0Q1sghWJbgbE_8g"",""ORDER BOOKING REPORT 2024-25!C:CV""),{79,86,93},0))))"),"")</f>
        <v/>
      </c>
      <c r="BS88" s="328">
        <f t="shared" si="13"/>
        <v>0.9110468333</v>
      </c>
      <c r="BT88" s="328">
        <f t="shared" si="14"/>
        <v>0.03397428709</v>
      </c>
      <c r="BU88" s="234">
        <f t="shared" si="15"/>
        <v>0</v>
      </c>
      <c r="BV88" s="329">
        <v>43314.0</v>
      </c>
      <c r="BW88" s="329" t="s">
        <v>1039</v>
      </c>
      <c r="BX88" s="329">
        <v>976.0</v>
      </c>
      <c r="BY88" s="234">
        <f t="shared" si="16"/>
        <v>0</v>
      </c>
      <c r="BZ88" s="234"/>
      <c r="CA88" s="234"/>
      <c r="CB88" s="234"/>
      <c r="CC88" s="234"/>
      <c r="CD88" s="234"/>
      <c r="CE88" s="234"/>
      <c r="CF88" s="234"/>
      <c r="CG88" s="234" t="str">
        <f t="shared" si="19"/>
        <v> </v>
      </c>
      <c r="CH88" s="234" t="str">
        <f t="shared" si="27"/>
        <v>Business Achieved 50%</v>
      </c>
      <c r="CI88" s="328">
        <f t="shared" si="20"/>
        <v>0.7338129496</v>
      </c>
      <c r="CJ88" s="339">
        <f>IFERROR(__xludf.DUMMYFUNCTION("""COMPUTED_VALUE"""),705.0)</f>
        <v>705</v>
      </c>
      <c r="CK88" s="339">
        <f>IFERROR(__xludf.DUMMYFUNCTION("""COMPUTED_VALUE"""),116.0)</f>
        <v>116</v>
      </c>
      <c r="CL88" s="339">
        <f>IFERROR(__xludf.DUMMYFUNCTION("""COMPUTED_VALUE"""),0.0)</f>
        <v>0</v>
      </c>
      <c r="CM88" s="331">
        <f t="shared" si="21"/>
        <v>0</v>
      </c>
      <c r="CN88" s="340"/>
      <c r="CO88" s="328"/>
      <c r="CP88" s="341"/>
      <c r="CQ88" s="344"/>
      <c r="CR88" s="328"/>
      <c r="CS88" s="328"/>
      <c r="CT88" s="328"/>
      <c r="CU88" s="328"/>
      <c r="CV88" s="328"/>
      <c r="CW88" s="328"/>
      <c r="CX88" s="288"/>
      <c r="CY88" s="328"/>
      <c r="CZ88" s="328"/>
    </row>
    <row r="89">
      <c r="A89" s="157" t="s">
        <v>298</v>
      </c>
      <c r="B89" s="157" t="s">
        <v>301</v>
      </c>
      <c r="C89" s="157" t="s">
        <v>773</v>
      </c>
      <c r="D89" s="157" t="s">
        <v>1066</v>
      </c>
      <c r="E89" s="157" t="s">
        <v>310</v>
      </c>
      <c r="F89" s="285">
        <v>45159.0</v>
      </c>
      <c r="G89" s="314">
        <v>0.0</v>
      </c>
      <c r="H89" s="314">
        <v>1.8E7</v>
      </c>
      <c r="I89" s="315">
        <v>1.102835897E7</v>
      </c>
      <c r="J89" s="315">
        <v>0.0</v>
      </c>
      <c r="K89" s="160">
        <v>65.0</v>
      </c>
      <c r="L89" s="160">
        <v>69.0</v>
      </c>
      <c r="M89" s="160">
        <v>8.0</v>
      </c>
      <c r="N89" s="160">
        <v>73.0</v>
      </c>
      <c r="O89" s="160">
        <v>4.0</v>
      </c>
      <c r="P89" s="315">
        <v>1.025842817E7</v>
      </c>
      <c r="Q89" s="315">
        <v>769930.8</v>
      </c>
      <c r="R89" s="160">
        <v>45.0</v>
      </c>
      <c r="S89" s="160">
        <v>8.0</v>
      </c>
      <c r="T89" s="160">
        <v>53.0</v>
      </c>
      <c r="U89" s="160">
        <v>0.0</v>
      </c>
      <c r="V89" s="160">
        <v>73.0</v>
      </c>
      <c r="W89" s="160">
        <v>163.0</v>
      </c>
      <c r="X89" s="160">
        <v>120.0</v>
      </c>
      <c r="Y89" s="160">
        <v>1.0</v>
      </c>
      <c r="Z89" s="160">
        <v>4.0</v>
      </c>
      <c r="AA89" s="160">
        <v>0.0</v>
      </c>
      <c r="AB89" s="160">
        <v>0.0</v>
      </c>
      <c r="AC89" s="160">
        <v>0.0</v>
      </c>
      <c r="AD89" s="160">
        <v>0.0</v>
      </c>
      <c r="AE89" s="160">
        <v>1375.0</v>
      </c>
      <c r="AF89" s="160">
        <v>1542.0</v>
      </c>
      <c r="AG89" s="160">
        <v>297.0</v>
      </c>
      <c r="AH89" s="314">
        <f t="shared" si="2"/>
        <v>37132.52178</v>
      </c>
      <c r="AI89" s="314">
        <f t="shared" si="3"/>
        <v>5.191919192</v>
      </c>
      <c r="AJ89" s="316">
        <v>30195.0</v>
      </c>
      <c r="AK89" s="314">
        <f t="shared" ref="AK89:AK243" si="63">AJ89*BD89</f>
        <v>362340</v>
      </c>
      <c r="AL89" s="317">
        <v>142789.0</v>
      </c>
      <c r="AM89" s="318">
        <f t="shared" si="5"/>
        <v>0.04580273469</v>
      </c>
      <c r="AN89" s="314">
        <f t="shared" si="6"/>
        <v>208082.2447</v>
      </c>
      <c r="AO89" s="336">
        <f t="shared" si="58"/>
        <v>0.6126866094</v>
      </c>
      <c r="AP89" s="319">
        <v>0.0</v>
      </c>
      <c r="AQ89" s="160">
        <v>320.0</v>
      </c>
      <c r="AR89" s="160">
        <v>3095.0</v>
      </c>
      <c r="AS89" s="160">
        <v>3659.2</v>
      </c>
      <c r="AT89" s="160">
        <v>8.0</v>
      </c>
      <c r="AU89" s="160">
        <v>53.0</v>
      </c>
      <c r="AV89" s="320">
        <v>53.0</v>
      </c>
      <c r="AW89" s="320">
        <v>17.0</v>
      </c>
      <c r="AX89" s="320">
        <v>3.0</v>
      </c>
      <c r="AY89" s="321">
        <f>iferror(VLOOKUP(C89,'ORDER BOOKING REPORT 2025-26'!C:O,13,0),"")</f>
        <v>10516845</v>
      </c>
      <c r="AZ89" s="322"/>
      <c r="BA89" s="157" t="str">
        <f t="shared" si="7"/>
        <v>Active</v>
      </c>
      <c r="BB89" s="157" t="str">
        <f t="shared" si="8"/>
        <v>Old</v>
      </c>
      <c r="BC89" s="157" t="str">
        <f t="shared" si="59"/>
        <v>50%-70%</v>
      </c>
      <c r="BD89" s="223">
        <f t="shared" si="62"/>
        <v>12</v>
      </c>
      <c r="BE89" s="323">
        <v>1500000.0</v>
      </c>
      <c r="BF89" s="157">
        <f t="shared" si="10"/>
        <v>0</v>
      </c>
      <c r="BG89" s="157" t="s">
        <v>1019</v>
      </c>
      <c r="BH89" s="324"/>
      <c r="BI89" s="324"/>
      <c r="BJ89" s="325"/>
      <c r="BK89" s="326"/>
      <c r="BL89" s="326">
        <f t="shared" si="48"/>
        <v>0</v>
      </c>
      <c r="BM89" s="326">
        <f t="shared" si="12"/>
        <v>18000000</v>
      </c>
      <c r="BN89" s="326"/>
      <c r="BO89" s="327" t="str">
        <f>IFERROR(__xludf.DUMMYFUNCTION("IFERROR(ArrayFormula(SUM(VLOOKUP($C89,importrange(""1MwNMVzWE3QBVOyJjKr3eFX-Sq1Ng0Q1sghWJbgbE_8g"",""ORDER BOOKING REPORT 2024-25!C:CV""),{16,23,30},0))))"),"")</f>
        <v/>
      </c>
      <c r="BP89" s="327" t="str">
        <f>IFERROR(__xludf.DUMMYFUNCTION("IFERROR(ArrayFormula(SUM(VLOOKUP($C89,importrange(""1MwNMVzWE3QBVOyJjKr3eFX-Sq1Ng0Q1sghWJbgbE_8g"",""ORDER BOOKING REPORT 2024-25!C:CV""),{37,44,51},0))))"),"")</f>
        <v/>
      </c>
      <c r="BQ89" s="327" t="str">
        <f>IFERROR(__xludf.DUMMYFUNCTION("IFERROR(ArrayFormula(SUM(VLOOKUP($C89,importrange(""1MwNMVzWE3QBVOyJjKr3eFX-Sq1Ng0Q1sghWJbgbE_8g"",""ORDER BOOKING REPORT 2024-25!C:CV""),{58,65,72},0))))"),"")</f>
        <v/>
      </c>
      <c r="BR89" s="327" t="str">
        <f>IFERROR(__xludf.DUMMYFUNCTION("IFERROR(ArrayFormula(SUM(VLOOKUP($C89,importrange(""1MwNMVzWE3QBVOyJjKr3eFX-Sq1Ng0Q1sghWJbgbE_8g"",""ORDER BOOKING REPORT 2024-25!C:CV""),{79,86,93},0))))"),"")</f>
        <v/>
      </c>
      <c r="BS89" s="328">
        <f t="shared" si="13"/>
        <v>0.5842691667</v>
      </c>
      <c r="BT89" s="328">
        <f t="shared" si="14"/>
        <v>0.04803046921</v>
      </c>
      <c r="BU89" s="234">
        <f t="shared" si="15"/>
        <v>0</v>
      </c>
      <c r="BV89" s="329">
        <v>30195.0</v>
      </c>
      <c r="BW89" s="329" t="s">
        <v>1045</v>
      </c>
      <c r="BX89" s="329">
        <v>975.0</v>
      </c>
      <c r="BY89" s="234">
        <f t="shared" si="16"/>
        <v>0</v>
      </c>
      <c r="BZ89" s="234"/>
      <c r="CA89" s="234"/>
      <c r="CB89" s="234"/>
      <c r="CC89" s="234"/>
      <c r="CD89" s="234"/>
      <c r="CE89" s="234"/>
      <c r="CF89" s="234"/>
      <c r="CG89" s="234" t="str">
        <f t="shared" si="19"/>
        <v> </v>
      </c>
      <c r="CH89" s="234" t="str">
        <f t="shared" si="27"/>
        <v>Business Achieved 50%</v>
      </c>
      <c r="CI89" s="328">
        <f t="shared" si="20"/>
        <v>0.7260273973</v>
      </c>
      <c r="CJ89" s="330">
        <f>IFERROR(__xludf.DUMMYFUNCTION("""COMPUTED_VALUE"""),1229.0)</f>
        <v>1229</v>
      </c>
      <c r="CK89" s="330">
        <f>IFERROR(__xludf.DUMMYFUNCTION("""COMPUTED_VALUE"""),146.0)</f>
        <v>146</v>
      </c>
      <c r="CL89" s="330">
        <f>IFERROR(__xludf.DUMMYFUNCTION("""COMPUTED_VALUE"""),0.0)</f>
        <v>0</v>
      </c>
      <c r="CM89" s="331">
        <f t="shared" si="21"/>
        <v>0</v>
      </c>
      <c r="CN89" s="337"/>
      <c r="CO89" s="160"/>
      <c r="CP89" s="334"/>
      <c r="CQ89" s="335"/>
      <c r="CR89" s="160"/>
      <c r="CS89" s="160"/>
      <c r="CT89" s="160"/>
      <c r="CU89" s="160"/>
      <c r="CV89" s="160"/>
      <c r="CW89" s="335"/>
      <c r="CX89" s="288"/>
      <c r="CY89" s="160"/>
      <c r="CZ89" s="160"/>
    </row>
    <row r="90">
      <c r="A90" s="157" t="s">
        <v>185</v>
      </c>
      <c r="B90" s="157" t="s">
        <v>215</v>
      </c>
      <c r="C90" s="157" t="s">
        <v>776</v>
      </c>
      <c r="D90" s="157" t="s">
        <v>1064</v>
      </c>
      <c r="E90" s="157" t="s">
        <v>278</v>
      </c>
      <c r="F90" s="338">
        <v>45170.0</v>
      </c>
      <c r="G90" s="314">
        <v>0.0</v>
      </c>
      <c r="H90" s="314">
        <v>0.0</v>
      </c>
      <c r="I90" s="315">
        <v>0.0</v>
      </c>
      <c r="J90" s="315">
        <v>0.0</v>
      </c>
      <c r="K90" s="160">
        <v>209.0</v>
      </c>
      <c r="L90" s="160">
        <v>222.0</v>
      </c>
      <c r="M90" s="160">
        <v>33.0</v>
      </c>
      <c r="N90" s="160">
        <v>242.0</v>
      </c>
      <c r="O90" s="160">
        <v>20.0</v>
      </c>
      <c r="P90" s="315">
        <v>0.0</v>
      </c>
      <c r="Q90" s="315">
        <v>0.0</v>
      </c>
      <c r="R90" s="160">
        <v>0.0</v>
      </c>
      <c r="S90" s="160">
        <v>0.0</v>
      </c>
      <c r="T90" s="160">
        <v>0.0</v>
      </c>
      <c r="U90" s="160">
        <v>0.0</v>
      </c>
      <c r="V90" s="160">
        <v>76.0</v>
      </c>
      <c r="W90" s="160">
        <v>111.0</v>
      </c>
      <c r="X90" s="160">
        <v>22.0</v>
      </c>
      <c r="Y90" s="160">
        <v>4.0</v>
      </c>
      <c r="Z90" s="160">
        <v>186.0</v>
      </c>
      <c r="AA90" s="160">
        <v>0.0</v>
      </c>
      <c r="AB90" s="160">
        <v>0.0</v>
      </c>
      <c r="AC90" s="160">
        <v>0.0</v>
      </c>
      <c r="AD90" s="160">
        <v>0.0</v>
      </c>
      <c r="AE90" s="160">
        <v>672.0</v>
      </c>
      <c r="AF90" s="160">
        <v>969.0</v>
      </c>
      <c r="AG90" s="160">
        <v>277.0</v>
      </c>
      <c r="AH90" s="314">
        <f t="shared" si="2"/>
        <v>0</v>
      </c>
      <c r="AI90" s="314">
        <f t="shared" si="3"/>
        <v>3.498194946</v>
      </c>
      <c r="AJ90" s="316">
        <v>95640.0</v>
      </c>
      <c r="AK90" s="314">
        <f t="shared" si="63"/>
        <v>1147680</v>
      </c>
      <c r="AL90" s="317">
        <v>601763.0</v>
      </c>
      <c r="AM90" s="318" t="str">
        <f t="shared" si="5"/>
        <v/>
      </c>
      <c r="AN90" s="314" t="str">
        <f t="shared" si="6"/>
        <v/>
      </c>
      <c r="AO90" s="286" t="s">
        <v>972</v>
      </c>
      <c r="AP90" s="319">
        <v>0.0</v>
      </c>
      <c r="AQ90" s="160">
        <v>0.0</v>
      </c>
      <c r="AR90" s="160">
        <v>2656.0</v>
      </c>
      <c r="AS90" s="160">
        <v>1970.33</v>
      </c>
      <c r="AT90" s="160">
        <v>0.0</v>
      </c>
      <c r="AU90" s="160">
        <v>9.0</v>
      </c>
      <c r="AV90" s="320">
        <v>0.0</v>
      </c>
      <c r="AW90" s="320">
        <v>222.0</v>
      </c>
      <c r="AX90" s="320">
        <v>20.0</v>
      </c>
      <c r="AY90" s="321" t="str">
        <f>iferror(VLOOKUP(C90,'ORDER BOOKING REPORT 2025-26'!C:O,13,0),"")</f>
        <v/>
      </c>
      <c r="AZ90" s="322"/>
      <c r="BA90" s="157" t="str">
        <f t="shared" si="7"/>
        <v>Active</v>
      </c>
      <c r="BB90" s="157" t="str">
        <f t="shared" si="8"/>
        <v>Old</v>
      </c>
      <c r="BC90" s="160" t="s">
        <v>972</v>
      </c>
      <c r="BD90" s="223">
        <f t="shared" si="62"/>
        <v>12</v>
      </c>
      <c r="BE90" s="323"/>
      <c r="BF90" s="157">
        <f t="shared" si="10"/>
        <v>33</v>
      </c>
      <c r="BG90" s="234" t="s">
        <v>188</v>
      </c>
      <c r="BH90" s="324"/>
      <c r="BI90" s="324"/>
      <c r="BJ90" s="325"/>
      <c r="BK90" s="326"/>
      <c r="BL90" s="326">
        <f t="shared" si="48"/>
        <v>0</v>
      </c>
      <c r="BM90" s="326">
        <f t="shared" si="12"/>
        <v>0</v>
      </c>
      <c r="BN90" s="326"/>
      <c r="BO90" s="327" t="str">
        <f>IFERROR(__xludf.DUMMYFUNCTION("IFERROR(ArrayFormula(SUM(VLOOKUP($C90,importrange(""1MwNMVzWE3QBVOyJjKr3eFX-Sq1Ng0Q1sghWJbgbE_8g"",""ORDER BOOKING REPORT 2024-25!C:CV""),{16,23,30},0))))"),"")</f>
        <v/>
      </c>
      <c r="BP90" s="327" t="str">
        <f>IFERROR(__xludf.DUMMYFUNCTION("IFERROR(ArrayFormula(SUM(VLOOKUP($C90,importrange(""1MwNMVzWE3QBVOyJjKr3eFX-Sq1Ng0Q1sghWJbgbE_8g"",""ORDER BOOKING REPORT 2024-25!C:CV""),{37,44,51},0))))"),"")</f>
        <v/>
      </c>
      <c r="BQ90" s="327" t="str">
        <f>IFERROR(__xludf.DUMMYFUNCTION("IFERROR(ArrayFormula(SUM(VLOOKUP($C90,importrange(""1MwNMVzWE3QBVOyJjKr3eFX-Sq1Ng0Q1sghWJbgbE_8g"",""ORDER BOOKING REPORT 2024-25!C:CV""),{58,65,72},0))))"),"")</f>
        <v/>
      </c>
      <c r="BR90" s="327" t="str">
        <f>IFERROR(__xludf.DUMMYFUNCTION("IFERROR(ArrayFormula(SUM(VLOOKUP($C90,importrange(""1MwNMVzWE3QBVOyJjKr3eFX-Sq1Ng0Q1sghWJbgbE_8g"",""ORDER BOOKING REPORT 2024-25!C:CV""),{79,86,93},0))))"),"")</f>
        <v/>
      </c>
      <c r="BS90" s="328" t="str">
        <f t="shared" si="13"/>
        <v/>
      </c>
      <c r="BT90" s="328" t="str">
        <f t="shared" si="14"/>
        <v/>
      </c>
      <c r="BU90" s="234">
        <f t="shared" si="15"/>
        <v>0</v>
      </c>
      <c r="BV90" s="329">
        <v>95640.0</v>
      </c>
      <c r="BW90" s="329" t="s">
        <v>1023</v>
      </c>
      <c r="BX90" s="329">
        <v>996.0</v>
      </c>
      <c r="BY90" s="234">
        <f t="shared" si="16"/>
        <v>0</v>
      </c>
      <c r="BZ90" s="234"/>
      <c r="CA90" s="234"/>
      <c r="CB90" s="234"/>
      <c r="CC90" s="234"/>
      <c r="CD90" s="234"/>
      <c r="CE90" s="234"/>
      <c r="CF90" s="234"/>
      <c r="CG90" s="234" t="str">
        <f t="shared" si="19"/>
        <v> </v>
      </c>
      <c r="CH90" s="234" t="str">
        <f t="shared" si="27"/>
        <v>Not 50%</v>
      </c>
      <c r="CI90" s="328">
        <f t="shared" si="20"/>
        <v>0</v>
      </c>
      <c r="CJ90" s="330"/>
      <c r="CK90" s="330"/>
      <c r="CL90" s="330"/>
      <c r="CM90" s="331">
        <f t="shared" si="21"/>
        <v>672</v>
      </c>
      <c r="CN90" s="337"/>
      <c r="CO90" s="160"/>
      <c r="CP90" s="334"/>
      <c r="CQ90" s="335"/>
      <c r="CR90" s="160"/>
      <c r="CS90" s="160"/>
      <c r="CT90" s="160"/>
      <c r="CU90" s="160"/>
      <c r="CV90" s="160"/>
      <c r="CW90" s="335"/>
      <c r="CX90" s="288"/>
      <c r="CY90" s="160"/>
      <c r="CZ90" s="160"/>
    </row>
    <row r="91">
      <c r="A91" s="157" t="s">
        <v>126</v>
      </c>
      <c r="B91" s="157" t="s">
        <v>130</v>
      </c>
      <c r="C91" s="157" t="s">
        <v>781</v>
      </c>
      <c r="D91" s="157" t="s">
        <v>1082</v>
      </c>
      <c r="E91" s="157" t="s">
        <v>441</v>
      </c>
      <c r="F91" s="338">
        <v>45171.0</v>
      </c>
      <c r="G91" s="314">
        <v>0.0</v>
      </c>
      <c r="H91" s="314">
        <v>8000000.0</v>
      </c>
      <c r="I91" s="315">
        <v>1056088.07</v>
      </c>
      <c r="J91" s="315">
        <v>0.0</v>
      </c>
      <c r="K91" s="160">
        <v>23.0</v>
      </c>
      <c r="L91" s="160">
        <v>29.0</v>
      </c>
      <c r="M91" s="160">
        <v>19.0</v>
      </c>
      <c r="N91" s="160">
        <v>42.0</v>
      </c>
      <c r="O91" s="160">
        <v>13.0</v>
      </c>
      <c r="P91" s="315">
        <v>1019238.13</v>
      </c>
      <c r="Q91" s="315">
        <v>36849.94</v>
      </c>
      <c r="R91" s="160">
        <v>14.0</v>
      </c>
      <c r="S91" s="160">
        <v>3.0</v>
      </c>
      <c r="T91" s="160">
        <v>17.0</v>
      </c>
      <c r="U91" s="160">
        <v>0.0</v>
      </c>
      <c r="V91" s="160">
        <v>96.0</v>
      </c>
      <c r="W91" s="160">
        <v>164.0</v>
      </c>
      <c r="X91" s="160">
        <v>148.0</v>
      </c>
      <c r="Y91" s="160">
        <v>3.0</v>
      </c>
      <c r="Z91" s="160">
        <v>93.0</v>
      </c>
      <c r="AA91" s="160">
        <v>1.0</v>
      </c>
      <c r="AB91" s="160">
        <v>9.0</v>
      </c>
      <c r="AC91" s="160">
        <v>34.0</v>
      </c>
      <c r="AD91" s="160">
        <v>141.0</v>
      </c>
      <c r="AE91" s="160">
        <v>490.0</v>
      </c>
      <c r="AF91" s="160">
        <v>897.0</v>
      </c>
      <c r="AG91" s="160">
        <v>196.0</v>
      </c>
      <c r="AH91" s="314">
        <f t="shared" si="2"/>
        <v>5388.204439</v>
      </c>
      <c r="AI91" s="314">
        <f t="shared" si="3"/>
        <v>4.576530612</v>
      </c>
      <c r="AJ91" s="316">
        <f>BV91</f>
        <v>34090</v>
      </c>
      <c r="AK91" s="314">
        <f t="shared" si="63"/>
        <v>272720</v>
      </c>
      <c r="AL91" s="286">
        <v>69627.0</v>
      </c>
      <c r="AM91" s="318">
        <f t="shared" si="5"/>
        <v>0.3241651996</v>
      </c>
      <c r="AN91" s="314">
        <f t="shared" si="6"/>
        <v>62122.82765</v>
      </c>
      <c r="AO91" s="336">
        <f t="shared" ref="AO91:AO94" si="64">iferror(sum(I91:J91)/Sum(G91:H91),"")</f>
        <v>0.1320110088</v>
      </c>
      <c r="AP91" s="319">
        <v>0.0</v>
      </c>
      <c r="AQ91" s="160">
        <v>63.0</v>
      </c>
      <c r="AR91" s="160">
        <v>1842.0</v>
      </c>
      <c r="AS91" s="160">
        <v>0.0</v>
      </c>
      <c r="AT91" s="160">
        <v>3.0</v>
      </c>
      <c r="AU91" s="160">
        <v>0.0</v>
      </c>
      <c r="AV91" s="320">
        <v>17.0</v>
      </c>
      <c r="AW91" s="320">
        <v>12.0</v>
      </c>
      <c r="AX91" s="320">
        <v>13.0</v>
      </c>
      <c r="AY91" s="321">
        <f>iferror(VLOOKUP(C91,'ORDER BOOKING REPORT 2025-26'!C:O,13,0),"")</f>
        <v>937753</v>
      </c>
      <c r="AZ91" s="322">
        <v>45991.0</v>
      </c>
      <c r="BA91" s="157" t="str">
        <f t="shared" si="7"/>
        <v>LEFT</v>
      </c>
      <c r="BB91" s="157" t="str">
        <f t="shared" si="8"/>
        <v>Old</v>
      </c>
      <c r="BC91" s="157" t="str">
        <f t="shared" ref="BC91:BC94" si="65">IFS(AO91&lt;50%,"Below 50%",AO91&lt;70%,"50%-70%",AO91&lt;90%,"70%-90%",AO91&lt;100%,"90%-100%",AO91&gt;100%,"Above 100%")</f>
        <v>Below 50%</v>
      </c>
      <c r="BD91" s="223">
        <v>8.0</v>
      </c>
      <c r="BE91" s="323">
        <v>1000000.0</v>
      </c>
      <c r="BF91" s="157">
        <f t="shared" si="10"/>
        <v>16</v>
      </c>
      <c r="BG91" s="157" t="s">
        <v>1019</v>
      </c>
      <c r="BH91" s="324"/>
      <c r="BI91" s="324"/>
      <c r="BJ91" s="325"/>
      <c r="BK91" s="326"/>
      <c r="BL91" s="326">
        <f t="shared" si="48"/>
        <v>0</v>
      </c>
      <c r="BM91" s="326">
        <f t="shared" si="12"/>
        <v>8000000</v>
      </c>
      <c r="BN91" s="326"/>
      <c r="BO91" s="327" t="str">
        <f>IFERROR(__xludf.DUMMYFUNCTION("IFERROR(ArrayFormula(SUM(VLOOKUP($C91,importrange(""1MwNMVzWE3QBVOyJjKr3eFX-Sq1Ng0Q1sghWJbgbE_8g"",""ORDER BOOKING REPORT 2024-25!C:CV""),{16,23,30},0))))"),"")</f>
        <v/>
      </c>
      <c r="BP91" s="327" t="str">
        <f>IFERROR(__xludf.DUMMYFUNCTION("IFERROR(ArrayFormula(SUM(VLOOKUP($C91,importrange(""1MwNMVzWE3QBVOyJjKr3eFX-Sq1Ng0Q1sghWJbgbE_8g"",""ORDER BOOKING REPORT 2024-25!C:CV""),{37,44,51},0))))"),"")</f>
        <v/>
      </c>
      <c r="BQ91" s="327" t="str">
        <f>IFERROR(__xludf.DUMMYFUNCTION("IFERROR(ArrayFormula(SUM(VLOOKUP($C91,importrange(""1MwNMVzWE3QBVOyJjKr3eFX-Sq1Ng0Q1sghWJbgbE_8g"",""ORDER BOOKING REPORT 2024-25!C:CV""),{58,65,72},0))))"),"")</f>
        <v/>
      </c>
      <c r="BR91" s="327" t="str">
        <f>IFERROR(__xludf.DUMMYFUNCTION("IFERROR(ArrayFormula(SUM(VLOOKUP($C91,importrange(""1MwNMVzWE3QBVOyJjKr3eFX-Sq1Ng0Q1sghWJbgbE_8g"",""ORDER BOOKING REPORT 2024-25!C:CV""),{79,86,93},0))))"),"")</f>
        <v/>
      </c>
      <c r="BS91" s="328">
        <f t="shared" si="13"/>
        <v>0.117219125</v>
      </c>
      <c r="BT91" s="328">
        <f t="shared" si="14"/>
        <v>0.3650716127</v>
      </c>
      <c r="BU91" s="234">
        <f t="shared" si="15"/>
        <v>0</v>
      </c>
      <c r="BV91" s="329">
        <v>34090.0</v>
      </c>
      <c r="BW91" s="329" t="s">
        <v>1029</v>
      </c>
      <c r="BX91" s="329">
        <v>986.0</v>
      </c>
      <c r="BY91" s="234">
        <f t="shared" si="16"/>
        <v>0</v>
      </c>
      <c r="BZ91" s="234"/>
      <c r="CA91" s="234"/>
      <c r="CB91" s="234"/>
      <c r="CC91" s="234"/>
      <c r="CD91" s="234"/>
      <c r="CE91" s="234"/>
      <c r="CF91" s="234"/>
      <c r="CG91" s="234" t="str">
        <f t="shared" si="19"/>
        <v>Below 60</v>
      </c>
      <c r="CH91" s="234" t="str">
        <f t="shared" si="27"/>
        <v>Not 50%</v>
      </c>
      <c r="CI91" s="328">
        <f t="shared" si="20"/>
        <v>0.4047619048</v>
      </c>
      <c r="CJ91" s="339">
        <f>IFERROR(__xludf.DUMMYFUNCTION("""COMPUTED_VALUE"""),414.0)</f>
        <v>414</v>
      </c>
      <c r="CK91" s="339">
        <f>IFERROR(__xludf.DUMMYFUNCTION("""COMPUTED_VALUE"""),76.0)</f>
        <v>76</v>
      </c>
      <c r="CL91" s="339">
        <f>IFERROR(__xludf.DUMMYFUNCTION("""COMPUTED_VALUE"""),0.0)</f>
        <v>0</v>
      </c>
      <c r="CM91" s="331">
        <f t="shared" si="21"/>
        <v>0</v>
      </c>
      <c r="CN91" s="340"/>
      <c r="CO91" s="328"/>
      <c r="CP91" s="341"/>
      <c r="CQ91" s="344"/>
      <c r="CR91" s="328"/>
      <c r="CS91" s="328"/>
      <c r="CT91" s="328"/>
      <c r="CU91" s="328"/>
      <c r="CV91" s="328"/>
      <c r="CW91" s="328"/>
      <c r="CX91" s="288"/>
      <c r="CY91" s="328"/>
      <c r="CZ91" s="328"/>
    </row>
    <row r="92">
      <c r="A92" s="157" t="s">
        <v>185</v>
      </c>
      <c r="B92" s="157" t="s">
        <v>215</v>
      </c>
      <c r="C92" s="157" t="s">
        <v>783</v>
      </c>
      <c r="D92" s="157" t="s">
        <v>1064</v>
      </c>
      <c r="E92" s="157" t="s">
        <v>250</v>
      </c>
      <c r="F92" s="285">
        <v>45184.0</v>
      </c>
      <c r="G92" s="314">
        <v>0.0</v>
      </c>
      <c r="H92" s="314">
        <v>2.2299996E7</v>
      </c>
      <c r="I92" s="315">
        <v>1.877169178E7</v>
      </c>
      <c r="J92" s="315">
        <v>0.0</v>
      </c>
      <c r="K92" s="160">
        <v>46.0</v>
      </c>
      <c r="L92" s="160">
        <v>52.0</v>
      </c>
      <c r="M92" s="160">
        <v>12.0</v>
      </c>
      <c r="N92" s="160">
        <v>58.0</v>
      </c>
      <c r="O92" s="160">
        <v>6.0</v>
      </c>
      <c r="P92" s="315">
        <v>1.595329451E7</v>
      </c>
      <c r="Q92" s="315">
        <v>2818397.27</v>
      </c>
      <c r="R92" s="160">
        <v>30.0</v>
      </c>
      <c r="S92" s="160">
        <v>12.0</v>
      </c>
      <c r="T92" s="160">
        <v>42.0</v>
      </c>
      <c r="U92" s="160">
        <v>0.0</v>
      </c>
      <c r="V92" s="160">
        <v>46.0</v>
      </c>
      <c r="W92" s="160">
        <v>72.0</v>
      </c>
      <c r="X92" s="160">
        <v>98.0</v>
      </c>
      <c r="Y92" s="160">
        <v>1.0</v>
      </c>
      <c r="Z92" s="160">
        <v>15.0</v>
      </c>
      <c r="AA92" s="160">
        <v>0.0</v>
      </c>
      <c r="AB92" s="160">
        <v>0.0</v>
      </c>
      <c r="AC92" s="160">
        <v>0.0</v>
      </c>
      <c r="AD92" s="160">
        <v>0.0</v>
      </c>
      <c r="AE92" s="160">
        <v>973.0</v>
      </c>
      <c r="AF92" s="160">
        <v>1060.0</v>
      </c>
      <c r="AG92" s="160">
        <v>304.0</v>
      </c>
      <c r="AH92" s="314">
        <f t="shared" si="2"/>
        <v>61748.98612</v>
      </c>
      <c r="AI92" s="314">
        <f t="shared" si="3"/>
        <v>3.486842105</v>
      </c>
      <c r="AJ92" s="316">
        <v>36400.0</v>
      </c>
      <c r="AK92" s="314">
        <f t="shared" si="63"/>
        <v>436800</v>
      </c>
      <c r="AL92" s="317">
        <v>236345.0</v>
      </c>
      <c r="AM92" s="318">
        <f t="shared" si="5"/>
        <v>0.0358595809</v>
      </c>
      <c r="AN92" s="314">
        <f t="shared" si="6"/>
        <v>446945.0424</v>
      </c>
      <c r="AO92" s="336">
        <f t="shared" si="64"/>
        <v>0.8417800514</v>
      </c>
      <c r="AP92" s="319">
        <v>0.0</v>
      </c>
      <c r="AQ92" s="160">
        <v>199.0</v>
      </c>
      <c r="AR92" s="160">
        <v>2718.0</v>
      </c>
      <c r="AS92" s="160">
        <v>2310.01</v>
      </c>
      <c r="AT92" s="160">
        <v>12.0</v>
      </c>
      <c r="AU92" s="160">
        <v>44.0</v>
      </c>
      <c r="AV92" s="320">
        <v>42.0</v>
      </c>
      <c r="AW92" s="320">
        <v>11.0</v>
      </c>
      <c r="AX92" s="320">
        <v>5.0</v>
      </c>
      <c r="AY92" s="321">
        <f>iferror(VLOOKUP(C92,'ORDER BOOKING REPORT 2025-26'!C:O,13,0),"")</f>
        <v>19647237</v>
      </c>
      <c r="AZ92" s="322"/>
      <c r="BA92" s="157" t="str">
        <f t="shared" si="7"/>
        <v>Active</v>
      </c>
      <c r="BB92" s="157" t="str">
        <f t="shared" si="8"/>
        <v>Old</v>
      </c>
      <c r="BC92" s="157" t="str">
        <f t="shared" si="65"/>
        <v>70%-90%</v>
      </c>
      <c r="BD92" s="223">
        <f t="shared" ref="BD92:BD93" si="66">Match($BD$2,{"Apr","May","Jun","Jul","Aug","Sep","Oct","Nov","Dec","Jan","Feb","Mar"},0)</f>
        <v>12</v>
      </c>
      <c r="BE92" s="323">
        <v>1858333.0</v>
      </c>
      <c r="BF92" s="157">
        <f t="shared" si="10"/>
        <v>0</v>
      </c>
      <c r="BG92" s="157" t="s">
        <v>1019</v>
      </c>
      <c r="BH92" s="324"/>
      <c r="BI92" s="324"/>
      <c r="BJ92" s="325"/>
      <c r="BK92" s="326"/>
      <c r="BL92" s="326">
        <f t="shared" si="48"/>
        <v>0</v>
      </c>
      <c r="BM92" s="326">
        <f t="shared" si="12"/>
        <v>22299996</v>
      </c>
      <c r="BN92" s="326"/>
      <c r="BO92" s="327" t="str">
        <f>IFERROR(__xludf.DUMMYFUNCTION("IFERROR(ArrayFormula(SUM(VLOOKUP($C92,importrange(""1MwNMVzWE3QBVOyJjKr3eFX-Sq1Ng0Q1sghWJbgbE_8g"",""ORDER BOOKING REPORT 2024-25!C:CV""),{16,23,30},0))))"),"")</f>
        <v/>
      </c>
      <c r="BP92" s="327" t="str">
        <f>IFERROR(__xludf.DUMMYFUNCTION("IFERROR(ArrayFormula(SUM(VLOOKUP($C92,importrange(""1MwNMVzWE3QBVOyJjKr3eFX-Sq1Ng0Q1sghWJbgbE_8g"",""ORDER BOOKING REPORT 2024-25!C:CV""),{37,44,51},0))))"),"")</f>
        <v/>
      </c>
      <c r="BQ92" s="327" t="str">
        <f>IFERROR(__xludf.DUMMYFUNCTION("IFERROR(ArrayFormula(SUM(VLOOKUP($C92,importrange(""1MwNMVzWE3QBVOyJjKr3eFX-Sq1Ng0Q1sghWJbgbE_8g"",""ORDER BOOKING REPORT 2024-25!C:CV""),{58,65,72},0))))"),"")</f>
        <v/>
      </c>
      <c r="BR92" s="327" t="str">
        <f>IFERROR(__xludf.DUMMYFUNCTION("IFERROR(ArrayFormula(SUM(VLOOKUP($C92,importrange(""1MwNMVzWE3QBVOyJjKr3eFX-Sq1Ng0Q1sghWJbgbE_8g"",""ORDER BOOKING REPORT 2024-25!C:CV""),{79,86,93},0))))"),"")</f>
        <v/>
      </c>
      <c r="BS92" s="328">
        <f t="shared" si="13"/>
        <v>0.881042176</v>
      </c>
      <c r="BT92" s="328">
        <f t="shared" si="14"/>
        <v>0.03426156054</v>
      </c>
      <c r="BU92" s="234">
        <f t="shared" si="15"/>
        <v>0</v>
      </c>
      <c r="BV92" s="329">
        <v>36400.0</v>
      </c>
      <c r="BW92" s="329" t="s">
        <v>1045</v>
      </c>
      <c r="BX92" s="329">
        <v>993.0</v>
      </c>
      <c r="BY92" s="234">
        <f t="shared" si="16"/>
        <v>0</v>
      </c>
      <c r="BZ92" s="234"/>
      <c r="CA92" s="234"/>
      <c r="CB92" s="234"/>
      <c r="CC92" s="234"/>
      <c r="CD92" s="234"/>
      <c r="CE92" s="234"/>
      <c r="CF92" s="234"/>
      <c r="CG92" s="234" t="str">
        <f t="shared" si="19"/>
        <v>Below 60</v>
      </c>
      <c r="CH92" s="234" t="str">
        <f t="shared" si="27"/>
        <v>Business Achieved 50%</v>
      </c>
      <c r="CI92" s="328">
        <f t="shared" si="20"/>
        <v>0.724137931</v>
      </c>
      <c r="CJ92" s="330">
        <f>IFERROR(__xludf.DUMMYFUNCTION("""COMPUTED_VALUE"""),895.0)</f>
        <v>895</v>
      </c>
      <c r="CK92" s="330">
        <f>IFERROR(__xludf.DUMMYFUNCTION("""COMPUTED_VALUE"""),78.0)</f>
        <v>78</v>
      </c>
      <c r="CL92" s="330">
        <f>IFERROR(__xludf.DUMMYFUNCTION("""COMPUTED_VALUE"""),0.0)</f>
        <v>0</v>
      </c>
      <c r="CM92" s="331">
        <f t="shared" si="21"/>
        <v>0</v>
      </c>
      <c r="CN92" s="337"/>
      <c r="CO92" s="160"/>
      <c r="CP92" s="334"/>
      <c r="CQ92" s="335"/>
      <c r="CR92" s="160"/>
      <c r="CS92" s="160"/>
      <c r="CT92" s="160"/>
      <c r="CU92" s="160"/>
      <c r="CV92" s="160"/>
      <c r="CW92" s="335"/>
      <c r="CX92" s="288"/>
      <c r="CY92" s="160"/>
      <c r="CZ92" s="160"/>
    </row>
    <row r="93">
      <c r="A93" s="157" t="s">
        <v>126</v>
      </c>
      <c r="B93" s="157" t="s">
        <v>130</v>
      </c>
      <c r="C93" s="157" t="s">
        <v>163</v>
      </c>
      <c r="D93" s="157" t="s">
        <v>130</v>
      </c>
      <c r="E93" s="157" t="s">
        <v>151</v>
      </c>
      <c r="F93" s="285">
        <v>45187.0</v>
      </c>
      <c r="G93" s="314">
        <v>0.0</v>
      </c>
      <c r="H93" s="314">
        <v>2.1999996E7</v>
      </c>
      <c r="I93" s="315">
        <v>1.15896855E7</v>
      </c>
      <c r="J93" s="315">
        <v>0.0</v>
      </c>
      <c r="K93" s="160">
        <v>114.0</v>
      </c>
      <c r="L93" s="160">
        <v>145.0</v>
      </c>
      <c r="M93" s="160">
        <v>50.0</v>
      </c>
      <c r="N93" s="160">
        <v>164.0</v>
      </c>
      <c r="O93" s="160">
        <v>19.0</v>
      </c>
      <c r="P93" s="315">
        <v>8306945.09</v>
      </c>
      <c r="Q93" s="315">
        <v>3282740.41</v>
      </c>
      <c r="R93" s="160">
        <v>67.0</v>
      </c>
      <c r="S93" s="160">
        <v>38.0</v>
      </c>
      <c r="T93" s="160">
        <v>105.0</v>
      </c>
      <c r="U93" s="160">
        <v>0.0</v>
      </c>
      <c r="V93" s="160">
        <v>71.0</v>
      </c>
      <c r="W93" s="160">
        <v>93.0</v>
      </c>
      <c r="X93" s="160">
        <v>173.0</v>
      </c>
      <c r="Y93" s="160">
        <v>4.0</v>
      </c>
      <c r="Z93" s="160">
        <v>128.0</v>
      </c>
      <c r="AA93" s="160">
        <v>0.0</v>
      </c>
      <c r="AB93" s="160">
        <v>0.0</v>
      </c>
      <c r="AC93" s="160">
        <v>0.0</v>
      </c>
      <c r="AD93" s="160">
        <v>0.0</v>
      </c>
      <c r="AE93" s="160">
        <v>1248.0</v>
      </c>
      <c r="AF93" s="160">
        <v>1469.0</v>
      </c>
      <c r="AG93" s="160">
        <v>292.0</v>
      </c>
      <c r="AH93" s="314">
        <f t="shared" si="2"/>
        <v>39690.70377</v>
      </c>
      <c r="AI93" s="314">
        <f t="shared" si="3"/>
        <v>5.030821918</v>
      </c>
      <c r="AJ93" s="316">
        <f>BV93</f>
        <v>47925</v>
      </c>
      <c r="AK93" s="314">
        <f t="shared" si="63"/>
        <v>575100</v>
      </c>
      <c r="AL93" s="286">
        <v>88082.0</v>
      </c>
      <c r="AM93" s="318">
        <f t="shared" si="5"/>
        <v>0.05722174256</v>
      </c>
      <c r="AN93" s="314">
        <f t="shared" si="6"/>
        <v>110377.9571</v>
      </c>
      <c r="AO93" s="336">
        <f t="shared" si="64"/>
        <v>0.5268039821</v>
      </c>
      <c r="AP93" s="319">
        <v>0.0</v>
      </c>
      <c r="AQ93" s="160">
        <v>567.0</v>
      </c>
      <c r="AR93" s="160">
        <v>2495.0</v>
      </c>
      <c r="AS93" s="160">
        <v>1353.77</v>
      </c>
      <c r="AT93" s="160">
        <v>38.0</v>
      </c>
      <c r="AU93" s="160">
        <v>9.0</v>
      </c>
      <c r="AV93" s="320">
        <v>105.0</v>
      </c>
      <c r="AW93" s="320">
        <v>42.0</v>
      </c>
      <c r="AX93" s="320">
        <v>17.0</v>
      </c>
      <c r="AY93" s="321">
        <f>iferror(VLOOKUP(C93,'ORDER BOOKING REPORT 2025-26'!C:O,13,0),"")</f>
        <v>10929491</v>
      </c>
      <c r="AZ93" s="322"/>
      <c r="BA93" s="157" t="str">
        <f t="shared" si="7"/>
        <v>Active</v>
      </c>
      <c r="BB93" s="157" t="str">
        <f t="shared" si="8"/>
        <v>Old</v>
      </c>
      <c r="BC93" s="157" t="str">
        <f t="shared" si="65"/>
        <v>50%-70%</v>
      </c>
      <c r="BD93" s="223">
        <f t="shared" si="66"/>
        <v>12</v>
      </c>
      <c r="BE93" s="323">
        <v>1833333.0</v>
      </c>
      <c r="BF93" s="157">
        <f t="shared" si="10"/>
        <v>12</v>
      </c>
      <c r="BG93" s="157" t="s">
        <v>1019</v>
      </c>
      <c r="BH93" s="324"/>
      <c r="BI93" s="324"/>
      <c r="BJ93" s="325"/>
      <c r="BK93" s="326"/>
      <c r="BL93" s="326">
        <f t="shared" si="48"/>
        <v>0</v>
      </c>
      <c r="BM93" s="326">
        <f t="shared" si="12"/>
        <v>21999996</v>
      </c>
      <c r="BN93" s="326"/>
      <c r="BO93" s="327" t="str">
        <f>IFERROR(__xludf.DUMMYFUNCTION("IFERROR(ArrayFormula(SUM(VLOOKUP($C93,importrange(""1MwNMVzWE3QBVOyJjKr3eFX-Sq1Ng0Q1sghWJbgbE_8g"",""ORDER BOOKING REPORT 2024-25!C:CV""),{16,23,30},0))))"),"")</f>
        <v/>
      </c>
      <c r="BP93" s="327" t="str">
        <f>IFERROR(__xludf.DUMMYFUNCTION("IFERROR(ArrayFormula(SUM(VLOOKUP($C93,importrange(""1MwNMVzWE3QBVOyJjKr3eFX-Sq1Ng0Q1sghWJbgbE_8g"",""ORDER BOOKING REPORT 2024-25!C:CV""),{37,44,51},0))))"),"")</f>
        <v/>
      </c>
      <c r="BQ93" s="327" t="str">
        <f>IFERROR(__xludf.DUMMYFUNCTION("IFERROR(ArrayFormula(SUM(VLOOKUP($C93,importrange(""1MwNMVzWE3QBVOyJjKr3eFX-Sq1Ng0Q1sghWJbgbE_8g"",""ORDER BOOKING REPORT 2024-25!C:CV""),{58,65,72},0))))"),"")</f>
        <v/>
      </c>
      <c r="BR93" s="327" t="str">
        <f>IFERROR(__xludf.DUMMYFUNCTION("IFERROR(ArrayFormula(SUM(VLOOKUP($C93,importrange(""1MwNMVzWE3QBVOyJjKr3eFX-Sq1Ng0Q1sghWJbgbE_8g"",""ORDER BOOKING REPORT 2024-25!C:CV""),{79,86,93},0))))"),"")</f>
        <v/>
      </c>
      <c r="BS93" s="328">
        <f t="shared" si="13"/>
        <v>0.4967951358</v>
      </c>
      <c r="BT93" s="328">
        <f t="shared" si="14"/>
        <v>0.06067821457</v>
      </c>
      <c r="BU93" s="234">
        <f t="shared" si="15"/>
        <v>0</v>
      </c>
      <c r="BV93" s="329">
        <v>47925.0</v>
      </c>
      <c r="BW93" s="329" t="s">
        <v>1029</v>
      </c>
      <c r="BX93" s="329">
        <v>994.0</v>
      </c>
      <c r="BY93" s="234">
        <f t="shared" si="16"/>
        <v>0</v>
      </c>
      <c r="BZ93" s="234"/>
      <c r="CA93" s="234"/>
      <c r="CB93" s="234"/>
      <c r="CC93" s="234"/>
      <c r="CD93" s="234"/>
      <c r="CE93" s="234"/>
      <c r="CF93" s="234"/>
      <c r="CG93" s="234" t="str">
        <f t="shared" si="19"/>
        <v> </v>
      </c>
      <c r="CH93" s="234" t="str">
        <f t="shared" si="27"/>
        <v>Business Achieved 50%</v>
      </c>
      <c r="CI93" s="328">
        <f t="shared" si="20"/>
        <v>0.6402439024</v>
      </c>
      <c r="CJ93" s="339">
        <f>IFERROR(__xludf.DUMMYFUNCTION("""COMPUTED_VALUE"""),1143.0)</f>
        <v>1143</v>
      </c>
      <c r="CK93" s="339">
        <f>IFERROR(__xludf.DUMMYFUNCTION("""COMPUTED_VALUE"""),105.0)</f>
        <v>105</v>
      </c>
      <c r="CL93" s="339">
        <f>IFERROR(__xludf.DUMMYFUNCTION("""COMPUTED_VALUE"""),0.0)</f>
        <v>0</v>
      </c>
      <c r="CM93" s="331">
        <f t="shared" si="21"/>
        <v>0</v>
      </c>
      <c r="CN93" s="340"/>
      <c r="CO93" s="328"/>
      <c r="CP93" s="341"/>
      <c r="CQ93" s="344"/>
      <c r="CR93" s="328"/>
      <c r="CS93" s="328"/>
      <c r="CT93" s="328"/>
      <c r="CU93" s="328"/>
      <c r="CV93" s="328"/>
      <c r="CW93" s="328"/>
      <c r="CX93" s="288"/>
      <c r="CY93" s="328"/>
      <c r="CZ93" s="328"/>
    </row>
    <row r="94">
      <c r="A94" s="157" t="s">
        <v>185</v>
      </c>
      <c r="B94" s="157" t="s">
        <v>189</v>
      </c>
      <c r="C94" s="157" t="s">
        <v>405</v>
      </c>
      <c r="D94" s="157" t="s">
        <v>1083</v>
      </c>
      <c r="E94" s="157" t="s">
        <v>406</v>
      </c>
      <c r="F94" s="338">
        <v>45202.0</v>
      </c>
      <c r="G94" s="314">
        <v>0.0</v>
      </c>
      <c r="H94" s="314">
        <v>1.05E7</v>
      </c>
      <c r="I94" s="315">
        <v>6836552.14</v>
      </c>
      <c r="J94" s="315">
        <v>0.0</v>
      </c>
      <c r="K94" s="160">
        <v>53.0</v>
      </c>
      <c r="L94" s="160">
        <v>54.0</v>
      </c>
      <c r="M94" s="160">
        <v>1.0</v>
      </c>
      <c r="N94" s="160">
        <v>54.0</v>
      </c>
      <c r="O94" s="160">
        <v>0.0</v>
      </c>
      <c r="P94" s="315">
        <v>6804597.14</v>
      </c>
      <c r="Q94" s="315">
        <v>31955.0</v>
      </c>
      <c r="R94" s="160">
        <v>22.0</v>
      </c>
      <c r="S94" s="160">
        <v>1.0</v>
      </c>
      <c r="T94" s="160">
        <v>23.0</v>
      </c>
      <c r="U94" s="160">
        <v>0.0</v>
      </c>
      <c r="V94" s="160">
        <v>8.0</v>
      </c>
      <c r="W94" s="160">
        <v>17.0</v>
      </c>
      <c r="X94" s="160">
        <v>68.0</v>
      </c>
      <c r="Y94" s="160">
        <v>2.0</v>
      </c>
      <c r="Z94" s="160">
        <v>7.0</v>
      </c>
      <c r="AA94" s="160">
        <v>0.0</v>
      </c>
      <c r="AB94" s="160">
        <v>0.0</v>
      </c>
      <c r="AC94" s="160">
        <v>0.0</v>
      </c>
      <c r="AD94" s="160">
        <v>0.0</v>
      </c>
      <c r="AE94" s="160">
        <v>679.0</v>
      </c>
      <c r="AF94" s="160">
        <v>703.0</v>
      </c>
      <c r="AG94" s="160">
        <v>144.0</v>
      </c>
      <c r="AH94" s="314">
        <f t="shared" si="2"/>
        <v>47476.05653</v>
      </c>
      <c r="AI94" s="314">
        <f t="shared" si="3"/>
        <v>4.881944444</v>
      </c>
      <c r="AJ94" s="316">
        <v>25325.0</v>
      </c>
      <c r="AK94" s="314">
        <f t="shared" si="63"/>
        <v>164106</v>
      </c>
      <c r="AL94" s="317">
        <v>68980.0</v>
      </c>
      <c r="AM94" s="318">
        <f t="shared" si="5"/>
        <v>0.0340940865</v>
      </c>
      <c r="AN94" s="314">
        <f t="shared" si="6"/>
        <v>297241.3974</v>
      </c>
      <c r="AO94" s="336">
        <f t="shared" si="64"/>
        <v>0.6511002038</v>
      </c>
      <c r="AP94" s="319">
        <v>0.0</v>
      </c>
      <c r="AQ94" s="160">
        <v>112.0</v>
      </c>
      <c r="AR94" s="160">
        <v>1666.0</v>
      </c>
      <c r="AS94" s="160">
        <v>0.0</v>
      </c>
      <c r="AT94" s="160">
        <v>1.0</v>
      </c>
      <c r="AU94" s="160">
        <v>0.0</v>
      </c>
      <c r="AV94" s="320">
        <v>23.0</v>
      </c>
      <c r="AW94" s="320">
        <v>31.0</v>
      </c>
      <c r="AX94" s="320">
        <v>0.0</v>
      </c>
      <c r="AY94" s="321">
        <f>iferror(VLOOKUP(C94,'ORDER BOOKING REPORT 2025-26'!C:O,13,0),"")</f>
        <v>4554518</v>
      </c>
      <c r="AZ94" s="322">
        <v>45943.0</v>
      </c>
      <c r="BA94" s="157" t="str">
        <f t="shared" si="7"/>
        <v>LEFT</v>
      </c>
      <c r="BB94" s="157" t="str">
        <f t="shared" si="8"/>
        <v>Old</v>
      </c>
      <c r="BC94" s="157" t="str">
        <f t="shared" si="65"/>
        <v>50%-70%</v>
      </c>
      <c r="BD94" s="350">
        <v>6.48</v>
      </c>
      <c r="BE94" s="323">
        <v>1500000.0</v>
      </c>
      <c r="BF94" s="157">
        <f t="shared" si="10"/>
        <v>0</v>
      </c>
      <c r="BG94" s="157" t="s">
        <v>1019</v>
      </c>
      <c r="BH94" s="324"/>
      <c r="BI94" s="324"/>
      <c r="BJ94" s="325"/>
      <c r="BK94" s="326"/>
      <c r="BL94" s="326">
        <f t="shared" si="48"/>
        <v>0</v>
      </c>
      <c r="BM94" s="326">
        <f t="shared" si="12"/>
        <v>10500000</v>
      </c>
      <c r="BN94" s="326"/>
      <c r="BO94" s="327" t="str">
        <f>IFERROR(__xludf.DUMMYFUNCTION("IFERROR(ArrayFormula(SUM(VLOOKUP($C94,importrange(""1MwNMVzWE3QBVOyJjKr3eFX-Sq1Ng0Q1sghWJbgbE_8g"",""ORDER BOOKING REPORT 2024-25!C:CV""),{16,23,30},0))))"),"")</f>
        <v/>
      </c>
      <c r="BP94" s="327" t="str">
        <f>IFERROR(__xludf.DUMMYFUNCTION("IFERROR(ArrayFormula(SUM(VLOOKUP($C94,importrange(""1MwNMVzWE3QBVOyJjKr3eFX-Sq1Ng0Q1sghWJbgbE_8g"",""ORDER BOOKING REPORT 2024-25!C:CV""),{37,44,51},0))))"),"")</f>
        <v/>
      </c>
      <c r="BQ94" s="327" t="str">
        <f>IFERROR(__xludf.DUMMYFUNCTION("IFERROR(ArrayFormula(SUM(VLOOKUP($C94,importrange(""1MwNMVzWE3QBVOyJjKr3eFX-Sq1Ng0Q1sghWJbgbE_8g"",""ORDER BOOKING REPORT 2024-25!C:CV""),{58,65,72},0))))"),"")</f>
        <v/>
      </c>
      <c r="BR94" s="327" t="str">
        <f>IFERROR(__xludf.DUMMYFUNCTION("IFERROR(ArrayFormula(SUM(VLOOKUP($C94,importrange(""1MwNMVzWE3QBVOyJjKr3eFX-Sq1Ng0Q1sghWJbgbE_8g"",""ORDER BOOKING REPORT 2024-25!C:CV""),{79,86,93},0))))"),"")</f>
        <v/>
      </c>
      <c r="BS94" s="328">
        <f t="shared" si="13"/>
        <v>0.433763619</v>
      </c>
      <c r="BT94" s="328">
        <f t="shared" si="14"/>
        <v>0.05117687536</v>
      </c>
      <c r="BU94" s="234">
        <f t="shared" si="15"/>
        <v>0</v>
      </c>
      <c r="BV94" s="329">
        <v>25325.0</v>
      </c>
      <c r="BW94" s="329" t="s">
        <v>1045</v>
      </c>
      <c r="BX94" s="329">
        <v>1004.0</v>
      </c>
      <c r="BY94" s="234">
        <f t="shared" si="16"/>
        <v>0</v>
      </c>
      <c r="BZ94" s="234"/>
      <c r="CA94" s="234"/>
      <c r="CB94" s="234"/>
      <c r="CC94" s="234"/>
      <c r="CD94" s="234"/>
      <c r="CE94" s="234"/>
      <c r="CF94" s="234"/>
      <c r="CG94" s="234" t="str">
        <f t="shared" si="19"/>
        <v>Below 60</v>
      </c>
      <c r="CH94" s="234" t="str">
        <f t="shared" si="27"/>
        <v>Not 50%</v>
      </c>
      <c r="CI94" s="328">
        <f t="shared" si="20"/>
        <v>0.4259259259</v>
      </c>
      <c r="CJ94" s="330">
        <f>IFERROR(__xludf.DUMMYFUNCTION("""COMPUTED_VALUE"""),411.0)</f>
        <v>411</v>
      </c>
      <c r="CK94" s="330">
        <f>IFERROR(__xludf.DUMMYFUNCTION("""COMPUTED_VALUE"""),268.0)</f>
        <v>268</v>
      </c>
      <c r="CL94" s="330">
        <f>IFERROR(__xludf.DUMMYFUNCTION("""COMPUTED_VALUE"""),0.0)</f>
        <v>0</v>
      </c>
      <c r="CM94" s="331">
        <f t="shared" si="21"/>
        <v>0</v>
      </c>
      <c r="CN94" s="337"/>
      <c r="CO94" s="160"/>
      <c r="CP94" s="334"/>
      <c r="CQ94" s="335"/>
      <c r="CR94" s="160"/>
      <c r="CS94" s="160"/>
      <c r="CT94" s="160"/>
      <c r="CU94" s="160"/>
      <c r="CV94" s="160"/>
      <c r="CW94" s="335"/>
      <c r="CX94" s="288"/>
      <c r="CY94" s="160"/>
      <c r="CZ94" s="160"/>
    </row>
    <row r="95">
      <c r="A95" s="157" t="s">
        <v>185</v>
      </c>
      <c r="B95" s="157" t="s">
        <v>189</v>
      </c>
      <c r="C95" s="157" t="s">
        <v>787</v>
      </c>
      <c r="D95" s="157" t="s">
        <v>1016</v>
      </c>
      <c r="E95" s="157" t="s">
        <v>187</v>
      </c>
      <c r="F95" s="338">
        <v>45202.0</v>
      </c>
      <c r="G95" s="314">
        <v>0.0</v>
      </c>
      <c r="H95" s="314">
        <v>0.0</v>
      </c>
      <c r="I95" s="315">
        <v>0.0</v>
      </c>
      <c r="J95" s="315">
        <v>0.0</v>
      </c>
      <c r="K95" s="160">
        <v>187.0</v>
      </c>
      <c r="L95" s="160">
        <v>191.0</v>
      </c>
      <c r="M95" s="160">
        <v>23.0</v>
      </c>
      <c r="N95" s="160">
        <v>210.0</v>
      </c>
      <c r="O95" s="160">
        <v>19.0</v>
      </c>
      <c r="P95" s="315">
        <v>0.0</v>
      </c>
      <c r="Q95" s="315">
        <v>0.0</v>
      </c>
      <c r="R95" s="160">
        <v>0.0</v>
      </c>
      <c r="S95" s="160">
        <v>0.0</v>
      </c>
      <c r="T95" s="160">
        <v>0.0</v>
      </c>
      <c r="U95" s="160">
        <v>0.0</v>
      </c>
      <c r="V95" s="160">
        <v>25.0</v>
      </c>
      <c r="W95" s="160">
        <v>44.0</v>
      </c>
      <c r="X95" s="160">
        <v>16.0</v>
      </c>
      <c r="Y95" s="160">
        <v>23.0</v>
      </c>
      <c r="Z95" s="160">
        <v>142.0</v>
      </c>
      <c r="AA95" s="160">
        <v>1.0</v>
      </c>
      <c r="AB95" s="160">
        <v>1.0</v>
      </c>
      <c r="AC95" s="160">
        <v>0.0</v>
      </c>
      <c r="AD95" s="160">
        <v>0.0</v>
      </c>
      <c r="AE95" s="160">
        <v>496.0</v>
      </c>
      <c r="AF95" s="160">
        <v>683.0</v>
      </c>
      <c r="AG95" s="160">
        <v>293.0</v>
      </c>
      <c r="AH95" s="314">
        <f t="shared" si="2"/>
        <v>0</v>
      </c>
      <c r="AI95" s="314">
        <f t="shared" si="3"/>
        <v>2.33105802</v>
      </c>
      <c r="AJ95" s="316">
        <v>93820.0</v>
      </c>
      <c r="AK95" s="314">
        <f t="shared" si="63"/>
        <v>1125840</v>
      </c>
      <c r="AL95" s="317">
        <v>233859.0</v>
      </c>
      <c r="AM95" s="318" t="str">
        <f t="shared" si="5"/>
        <v/>
      </c>
      <c r="AN95" s="314" t="str">
        <f t="shared" si="6"/>
        <v/>
      </c>
      <c r="AO95" s="286" t="s">
        <v>972</v>
      </c>
      <c r="AP95" s="319">
        <v>0.0</v>
      </c>
      <c r="AQ95" s="160">
        <v>0.0</v>
      </c>
      <c r="AR95" s="160">
        <v>2919.0</v>
      </c>
      <c r="AS95" s="160">
        <v>2403.24</v>
      </c>
      <c r="AT95" s="160">
        <v>0.0</v>
      </c>
      <c r="AU95" s="160">
        <v>13.0</v>
      </c>
      <c r="AV95" s="320">
        <v>0.0</v>
      </c>
      <c r="AW95" s="320">
        <v>191.0</v>
      </c>
      <c r="AX95" s="320">
        <v>19.0</v>
      </c>
      <c r="AY95" s="321" t="str">
        <f>iferror(VLOOKUP(C95,'ORDER BOOKING REPORT 2025-26'!C:O,13,0),"")</f>
        <v/>
      </c>
      <c r="AZ95" s="322"/>
      <c r="BA95" s="157" t="str">
        <f t="shared" si="7"/>
        <v>Active</v>
      </c>
      <c r="BB95" s="157" t="str">
        <f t="shared" si="8"/>
        <v>Old</v>
      </c>
      <c r="BC95" s="160" t="s">
        <v>972</v>
      </c>
      <c r="BD95" s="223">
        <f t="shared" ref="BD95:BD101" si="67">Match($BD$2,{"Apr","May","Jun","Jul","Aug","Sep","Oct","Nov","Dec","Jan","Feb","Mar"},0)</f>
        <v>12</v>
      </c>
      <c r="BE95" s="323"/>
      <c r="BF95" s="157">
        <f t="shared" si="10"/>
        <v>23</v>
      </c>
      <c r="BG95" s="234" t="s">
        <v>188</v>
      </c>
      <c r="BH95" s="324"/>
      <c r="BI95" s="324"/>
      <c r="BJ95" s="325"/>
      <c r="BK95" s="326"/>
      <c r="BL95" s="326">
        <f t="shared" si="48"/>
        <v>0</v>
      </c>
      <c r="BM95" s="326">
        <f t="shared" si="12"/>
        <v>0</v>
      </c>
      <c r="BN95" s="326"/>
      <c r="BO95" s="327" t="str">
        <f>IFERROR(__xludf.DUMMYFUNCTION("IFERROR(ArrayFormula(SUM(VLOOKUP($C95,importrange(""1MwNMVzWE3QBVOyJjKr3eFX-Sq1Ng0Q1sghWJbgbE_8g"",""ORDER BOOKING REPORT 2024-25!C:CV""),{16,23,30},0))))"),"")</f>
        <v/>
      </c>
      <c r="BP95" s="327" t="str">
        <f>IFERROR(__xludf.DUMMYFUNCTION("IFERROR(ArrayFormula(SUM(VLOOKUP($C95,importrange(""1MwNMVzWE3QBVOyJjKr3eFX-Sq1Ng0Q1sghWJbgbE_8g"",""ORDER BOOKING REPORT 2024-25!C:CV""),{37,44,51},0))))"),"")</f>
        <v/>
      </c>
      <c r="BQ95" s="327" t="str">
        <f>IFERROR(__xludf.DUMMYFUNCTION("IFERROR(ArrayFormula(SUM(VLOOKUP($C95,importrange(""1MwNMVzWE3QBVOyJjKr3eFX-Sq1Ng0Q1sghWJbgbE_8g"",""ORDER BOOKING REPORT 2024-25!C:CV""),{58,65,72},0))))"),"")</f>
        <v/>
      </c>
      <c r="BR95" s="327" t="str">
        <f>IFERROR(__xludf.DUMMYFUNCTION("IFERROR(ArrayFormula(SUM(VLOOKUP($C95,importrange(""1MwNMVzWE3QBVOyJjKr3eFX-Sq1Ng0Q1sghWJbgbE_8g"",""ORDER BOOKING REPORT 2024-25!C:CV""),{79,86,93},0))))"),"")</f>
        <v/>
      </c>
      <c r="BS95" s="328" t="str">
        <f t="shared" si="13"/>
        <v/>
      </c>
      <c r="BT95" s="328" t="str">
        <f t="shared" si="14"/>
        <v/>
      </c>
      <c r="BU95" s="234">
        <f t="shared" si="15"/>
        <v>0</v>
      </c>
      <c r="BV95" s="329">
        <v>93820.0</v>
      </c>
      <c r="BW95" s="329" t="s">
        <v>1023</v>
      </c>
      <c r="BX95" s="329">
        <v>1005.0</v>
      </c>
      <c r="BY95" s="234">
        <f t="shared" si="16"/>
        <v>0</v>
      </c>
      <c r="BZ95" s="234"/>
      <c r="CA95" s="234"/>
      <c r="CB95" s="234"/>
      <c r="CC95" s="234"/>
      <c r="CD95" s="234"/>
      <c r="CE95" s="234"/>
      <c r="CF95" s="234"/>
      <c r="CG95" s="234" t="str">
        <f t="shared" si="19"/>
        <v> </v>
      </c>
      <c r="CH95" s="234" t="str">
        <f t="shared" si="27"/>
        <v>Not 50%</v>
      </c>
      <c r="CI95" s="328">
        <f t="shared" si="20"/>
        <v>0</v>
      </c>
      <c r="CJ95" s="330"/>
      <c r="CK95" s="330"/>
      <c r="CL95" s="330"/>
      <c r="CM95" s="331">
        <f t="shared" si="21"/>
        <v>496</v>
      </c>
      <c r="CN95" s="337"/>
      <c r="CO95" s="160"/>
      <c r="CP95" s="334"/>
      <c r="CQ95" s="335"/>
      <c r="CR95" s="160"/>
      <c r="CS95" s="160"/>
      <c r="CT95" s="160"/>
      <c r="CU95" s="160"/>
      <c r="CV95" s="160"/>
      <c r="CW95" s="335"/>
      <c r="CX95" s="288"/>
      <c r="CY95" s="160"/>
      <c r="CZ95" s="160"/>
    </row>
    <row r="96">
      <c r="A96" s="157" t="s">
        <v>73</v>
      </c>
      <c r="B96" s="157" t="s">
        <v>76</v>
      </c>
      <c r="C96" s="157" t="s">
        <v>79</v>
      </c>
      <c r="D96" s="157" t="s">
        <v>76</v>
      </c>
      <c r="E96" s="157" t="s">
        <v>80</v>
      </c>
      <c r="F96" s="338">
        <v>45208.0</v>
      </c>
      <c r="G96" s="314">
        <v>2000004.0</v>
      </c>
      <c r="H96" s="314">
        <v>1.2E7</v>
      </c>
      <c r="I96" s="315">
        <v>2616075.48</v>
      </c>
      <c r="J96" s="315">
        <v>435045.81</v>
      </c>
      <c r="K96" s="160">
        <v>22.0</v>
      </c>
      <c r="L96" s="160">
        <v>29.0</v>
      </c>
      <c r="M96" s="160">
        <v>7.0</v>
      </c>
      <c r="N96" s="160">
        <v>29.0</v>
      </c>
      <c r="O96" s="160">
        <v>0.0</v>
      </c>
      <c r="P96" s="315">
        <v>1585253.79</v>
      </c>
      <c r="Q96" s="315">
        <v>1030821.69</v>
      </c>
      <c r="R96" s="160">
        <v>17.0</v>
      </c>
      <c r="S96" s="160">
        <v>7.0</v>
      </c>
      <c r="T96" s="160">
        <v>24.0</v>
      </c>
      <c r="U96" s="160">
        <v>2.0</v>
      </c>
      <c r="V96" s="160">
        <v>24.0</v>
      </c>
      <c r="W96" s="160">
        <v>50.0</v>
      </c>
      <c r="X96" s="160">
        <v>98.0</v>
      </c>
      <c r="Y96" s="160">
        <v>2.0</v>
      </c>
      <c r="Z96" s="160">
        <v>68.0</v>
      </c>
      <c r="AA96" s="160">
        <v>2.0</v>
      </c>
      <c r="AB96" s="160">
        <v>30.0</v>
      </c>
      <c r="AC96" s="160">
        <v>0.0</v>
      </c>
      <c r="AD96" s="160">
        <v>0.0</v>
      </c>
      <c r="AE96" s="160">
        <v>1003.0</v>
      </c>
      <c r="AF96" s="160">
        <v>1151.0</v>
      </c>
      <c r="AG96" s="160">
        <v>271.0</v>
      </c>
      <c r="AH96" s="314">
        <f t="shared" si="2"/>
        <v>11258.75015</v>
      </c>
      <c r="AI96" s="314">
        <f t="shared" si="3"/>
        <v>4.247232472</v>
      </c>
      <c r="AJ96" s="316">
        <f>BV96</f>
        <v>24226</v>
      </c>
      <c r="AK96" s="314">
        <f t="shared" si="63"/>
        <v>290712</v>
      </c>
      <c r="AL96" s="286">
        <v>76636.0</v>
      </c>
      <c r="AM96" s="318">
        <f t="shared" si="5"/>
        <v>0.1203977047</v>
      </c>
      <c r="AN96" s="314">
        <f t="shared" si="6"/>
        <v>109003.145</v>
      </c>
      <c r="AO96" s="336">
        <f t="shared" ref="AO96:AO101" si="68">iferror(sum(I96:J96)/Sum(G96:H96),"")</f>
        <v>0.2179371727</v>
      </c>
      <c r="AP96" s="319">
        <v>0.22</v>
      </c>
      <c r="AQ96" s="160">
        <v>70.0</v>
      </c>
      <c r="AR96" s="160">
        <v>2580.0</v>
      </c>
      <c r="AS96" s="160">
        <v>2289.28</v>
      </c>
      <c r="AT96" s="160">
        <v>7.0</v>
      </c>
      <c r="AU96" s="160">
        <v>79.0</v>
      </c>
      <c r="AV96" s="320">
        <v>24.0</v>
      </c>
      <c r="AW96" s="320">
        <v>5.0</v>
      </c>
      <c r="AX96" s="320">
        <v>0.0</v>
      </c>
      <c r="AY96" s="321">
        <f>iferror(VLOOKUP(C96,'ORDER BOOKING REPORT 2025-26'!C:O,13,0),"")</f>
        <v>2973305</v>
      </c>
      <c r="AZ96" s="322"/>
      <c r="BA96" s="157" t="str">
        <f t="shared" si="7"/>
        <v>Active</v>
      </c>
      <c r="BB96" s="157" t="str">
        <f t="shared" si="8"/>
        <v>Old</v>
      </c>
      <c r="BC96" s="157" t="str">
        <f t="shared" ref="BC96:BC101" si="69">IFS(AO96&lt;50%,"Below 50%",AO96&lt;70%,"50%-70%",AO96&lt;90%,"70%-90%",AO96&lt;100%,"90%-100%",AO96&gt;100%,"Above 100%")</f>
        <v>Below 50%</v>
      </c>
      <c r="BD96" s="223">
        <f t="shared" si="67"/>
        <v>12</v>
      </c>
      <c r="BE96" s="323">
        <v>1166667.0</v>
      </c>
      <c r="BF96" s="157">
        <f t="shared" si="10"/>
        <v>0</v>
      </c>
      <c r="BG96" s="157" t="s">
        <v>1019</v>
      </c>
      <c r="BH96" s="324"/>
      <c r="BI96" s="324"/>
      <c r="BJ96" s="325"/>
      <c r="BK96" s="326">
        <v>166667.0</v>
      </c>
      <c r="BL96" s="326">
        <f t="shared" si="48"/>
        <v>2000004</v>
      </c>
      <c r="BM96" s="326">
        <f t="shared" si="12"/>
        <v>14000004</v>
      </c>
      <c r="BN96" s="326"/>
      <c r="BO96" s="327" t="str">
        <f>IFERROR(__xludf.DUMMYFUNCTION("IFERROR(ArrayFormula(SUM(VLOOKUP($C96,importrange(""1MwNMVzWE3QBVOyJjKr3eFX-Sq1Ng0Q1sghWJbgbE_8g"",""ORDER BOOKING REPORT 2024-25!C:CV""),{16,23,30},0))))"),"")</f>
        <v/>
      </c>
      <c r="BP96" s="327" t="str">
        <f>IFERROR(__xludf.DUMMYFUNCTION("IFERROR(ArrayFormula(SUM(VLOOKUP($C96,importrange(""1MwNMVzWE3QBVOyJjKr3eFX-Sq1Ng0Q1sghWJbgbE_8g"",""ORDER BOOKING REPORT 2024-25!C:CV""),{37,44,51},0))))"),"")</f>
        <v/>
      </c>
      <c r="BQ96" s="327" t="str">
        <f>IFERROR(__xludf.DUMMYFUNCTION("IFERROR(ArrayFormula(SUM(VLOOKUP($C96,importrange(""1MwNMVzWE3QBVOyJjKr3eFX-Sq1Ng0Q1sghWJbgbE_8g"",""ORDER BOOKING REPORT 2024-25!C:CV""),{58,65,72},0))))"),"")</f>
        <v/>
      </c>
      <c r="BR96" s="327" t="str">
        <f>IFERROR(__xludf.DUMMYFUNCTION("IFERROR(ArrayFormula(SUM(VLOOKUP($C96,importrange(""1MwNMVzWE3QBVOyJjKr3eFX-Sq1Ng0Q1sghWJbgbE_8g"",""ORDER BOOKING REPORT 2024-25!C:CV""),{79,86,93},0))))"),"")</f>
        <v/>
      </c>
      <c r="BS96" s="328">
        <f t="shared" si="13"/>
        <v>0.2123788679</v>
      </c>
      <c r="BT96" s="328">
        <f t="shared" si="14"/>
        <v>0.1235487109</v>
      </c>
      <c r="BU96" s="234">
        <f t="shared" si="15"/>
        <v>0</v>
      </c>
      <c r="BV96" s="329">
        <v>24226.0</v>
      </c>
      <c r="BW96" s="329" t="s">
        <v>1045</v>
      </c>
      <c r="BX96" s="329">
        <v>1007.0</v>
      </c>
      <c r="BY96" s="234">
        <f t="shared" si="16"/>
        <v>0</v>
      </c>
      <c r="BZ96" s="234"/>
      <c r="CA96" s="234"/>
      <c r="CB96" s="234"/>
      <c r="CC96" s="234"/>
      <c r="CD96" s="234"/>
      <c r="CE96" s="234"/>
      <c r="CF96" s="234"/>
      <c r="CG96" s="234" t="str">
        <f t="shared" si="19"/>
        <v>Below 60</v>
      </c>
      <c r="CH96" s="234" t="str">
        <f t="shared" si="27"/>
        <v>Business Achieved 50%</v>
      </c>
      <c r="CI96" s="328">
        <f t="shared" si="20"/>
        <v>0.8275862069</v>
      </c>
      <c r="CJ96" s="339">
        <f>IFERROR(__xludf.DUMMYFUNCTION("""COMPUTED_VALUE"""),919.0)</f>
        <v>919</v>
      </c>
      <c r="CK96" s="339">
        <f>IFERROR(__xludf.DUMMYFUNCTION("""COMPUTED_VALUE"""),84.0)</f>
        <v>84</v>
      </c>
      <c r="CL96" s="339">
        <f>IFERROR(__xludf.DUMMYFUNCTION("""COMPUTED_VALUE"""),0.0)</f>
        <v>0</v>
      </c>
      <c r="CM96" s="331">
        <f t="shared" si="21"/>
        <v>0</v>
      </c>
      <c r="CN96" s="340"/>
      <c r="CO96" s="328"/>
      <c r="CP96" s="341"/>
      <c r="CQ96" s="344"/>
      <c r="CR96" s="328"/>
      <c r="CS96" s="328"/>
      <c r="CT96" s="328"/>
      <c r="CU96" s="328"/>
      <c r="CV96" s="328"/>
      <c r="CW96" s="328"/>
      <c r="CX96" s="288"/>
      <c r="CY96" s="328"/>
      <c r="CZ96" s="328"/>
    </row>
    <row r="97">
      <c r="A97" s="157" t="s">
        <v>185</v>
      </c>
      <c r="B97" s="157" t="s">
        <v>212</v>
      </c>
      <c r="C97" s="157" t="s">
        <v>251</v>
      </c>
      <c r="D97" s="157" t="s">
        <v>1065</v>
      </c>
      <c r="E97" s="157" t="s">
        <v>252</v>
      </c>
      <c r="F97" s="338">
        <v>45231.0</v>
      </c>
      <c r="G97" s="314">
        <v>0.0</v>
      </c>
      <c r="H97" s="314">
        <v>1.8E7</v>
      </c>
      <c r="I97" s="315">
        <v>6585381.62</v>
      </c>
      <c r="J97" s="315">
        <v>0.0</v>
      </c>
      <c r="K97" s="160">
        <v>38.0</v>
      </c>
      <c r="L97" s="160">
        <v>40.0</v>
      </c>
      <c r="M97" s="160">
        <v>2.0</v>
      </c>
      <c r="N97" s="160">
        <v>40.0</v>
      </c>
      <c r="O97" s="160">
        <v>0.0</v>
      </c>
      <c r="P97" s="315">
        <v>6156603.89</v>
      </c>
      <c r="Q97" s="315">
        <v>428777.73</v>
      </c>
      <c r="R97" s="160">
        <v>16.0</v>
      </c>
      <c r="S97" s="160">
        <v>2.0</v>
      </c>
      <c r="T97" s="160">
        <v>18.0</v>
      </c>
      <c r="U97" s="160">
        <v>0.0</v>
      </c>
      <c r="V97" s="160">
        <v>49.0</v>
      </c>
      <c r="W97" s="160">
        <v>110.0</v>
      </c>
      <c r="X97" s="160">
        <v>54.0</v>
      </c>
      <c r="Y97" s="160">
        <v>1.0</v>
      </c>
      <c r="Z97" s="160">
        <v>215.0</v>
      </c>
      <c r="AA97" s="160">
        <v>0.0</v>
      </c>
      <c r="AB97" s="160">
        <v>0.0</v>
      </c>
      <c r="AC97" s="160">
        <v>0.0</v>
      </c>
      <c r="AD97" s="160">
        <v>0.0</v>
      </c>
      <c r="AE97" s="160">
        <v>889.0</v>
      </c>
      <c r="AF97" s="160">
        <v>1214.0</v>
      </c>
      <c r="AG97" s="160">
        <v>269.0</v>
      </c>
      <c r="AH97" s="314">
        <f t="shared" si="2"/>
        <v>24480.97257</v>
      </c>
      <c r="AI97" s="314">
        <f t="shared" si="3"/>
        <v>4.513011152</v>
      </c>
      <c r="AJ97" s="316">
        <v>25803.0</v>
      </c>
      <c r="AK97" s="314">
        <f t="shared" si="63"/>
        <v>309636</v>
      </c>
      <c r="AL97" s="317">
        <v>128782.0</v>
      </c>
      <c r="AM97" s="318">
        <f t="shared" si="5"/>
        <v>0.0665744258</v>
      </c>
      <c r="AN97" s="314">
        <f t="shared" si="6"/>
        <v>365854.5344</v>
      </c>
      <c r="AO97" s="336">
        <f t="shared" si="68"/>
        <v>0.3658545344</v>
      </c>
      <c r="AP97" s="319">
        <v>0.0</v>
      </c>
      <c r="AQ97" s="160">
        <v>38.0</v>
      </c>
      <c r="AR97" s="160">
        <v>2493.0</v>
      </c>
      <c r="AS97" s="160">
        <v>1587.11</v>
      </c>
      <c r="AT97" s="160">
        <v>2.0</v>
      </c>
      <c r="AU97" s="160">
        <v>40.0</v>
      </c>
      <c r="AV97" s="320">
        <v>18.0</v>
      </c>
      <c r="AW97" s="320">
        <v>22.0</v>
      </c>
      <c r="AX97" s="320">
        <v>0.0</v>
      </c>
      <c r="AY97" s="321">
        <f>iferror(VLOOKUP(C97,'ORDER BOOKING REPORT 2025-26'!C:O,13,0),"")</f>
        <v>10390554</v>
      </c>
      <c r="AZ97" s="322"/>
      <c r="BA97" s="157" t="str">
        <f t="shared" si="7"/>
        <v>Active</v>
      </c>
      <c r="BB97" s="157" t="str">
        <f t="shared" si="8"/>
        <v>Old</v>
      </c>
      <c r="BC97" s="157" t="str">
        <f t="shared" si="69"/>
        <v>Below 50%</v>
      </c>
      <c r="BD97" s="223">
        <f t="shared" si="67"/>
        <v>12</v>
      </c>
      <c r="BE97" s="323">
        <v>1500000.0</v>
      </c>
      <c r="BF97" s="157">
        <f t="shared" si="10"/>
        <v>0</v>
      </c>
      <c r="BG97" s="157" t="s">
        <v>1019</v>
      </c>
      <c r="BH97" s="324"/>
      <c r="BI97" s="324"/>
      <c r="BJ97" s="325"/>
      <c r="BK97" s="326"/>
      <c r="BL97" s="326">
        <f t="shared" si="48"/>
        <v>0</v>
      </c>
      <c r="BM97" s="326">
        <f t="shared" si="12"/>
        <v>18000000</v>
      </c>
      <c r="BN97" s="326"/>
      <c r="BO97" s="327" t="str">
        <f>IFERROR(__xludf.DUMMYFUNCTION("IFERROR(ArrayFormula(SUM(VLOOKUP($C97,importrange(""1MwNMVzWE3QBVOyJjKr3eFX-Sq1Ng0Q1sghWJbgbE_8g"",""ORDER BOOKING REPORT 2024-25!C:CV""),{16,23,30},0))))"),"")</f>
        <v/>
      </c>
      <c r="BP97" s="327" t="str">
        <f>IFERROR(__xludf.DUMMYFUNCTION("IFERROR(ArrayFormula(SUM(VLOOKUP($C97,importrange(""1MwNMVzWE3QBVOyJjKr3eFX-Sq1Ng0Q1sghWJbgbE_8g"",""ORDER BOOKING REPORT 2024-25!C:CV""),{37,44,51},0))))"),"")</f>
        <v/>
      </c>
      <c r="BQ97" s="327" t="str">
        <f>IFERROR(__xludf.DUMMYFUNCTION("IFERROR(ArrayFormula(SUM(VLOOKUP($C97,importrange(""1MwNMVzWE3QBVOyJjKr3eFX-Sq1Ng0Q1sghWJbgbE_8g"",""ORDER BOOKING REPORT 2024-25!C:CV""),{58,65,72},0))))"),"")</f>
        <v/>
      </c>
      <c r="BR97" s="327" t="str">
        <f>IFERROR(__xludf.DUMMYFUNCTION("IFERROR(ArrayFormula(SUM(VLOOKUP($C97,importrange(""1MwNMVzWE3QBVOyJjKr3eFX-Sq1Ng0Q1sghWJbgbE_8g"",""ORDER BOOKING REPORT 2024-25!C:CV""),{79,86,93},0))))"),"")</f>
        <v/>
      </c>
      <c r="BS97" s="328">
        <f t="shared" si="13"/>
        <v>0.577253</v>
      </c>
      <c r="BT97" s="328">
        <f t="shared" si="14"/>
        <v>0.04219390034</v>
      </c>
      <c r="BU97" s="234">
        <f t="shared" si="15"/>
        <v>0</v>
      </c>
      <c r="BV97" s="329">
        <v>25803.0</v>
      </c>
      <c r="BW97" s="329" t="s">
        <v>1045</v>
      </c>
      <c r="BX97" s="329">
        <v>1120.0</v>
      </c>
      <c r="BY97" s="234">
        <f t="shared" si="16"/>
        <v>0</v>
      </c>
      <c r="BZ97" s="234"/>
      <c r="CA97" s="234"/>
      <c r="CB97" s="234"/>
      <c r="CC97" s="234"/>
      <c r="CD97" s="234"/>
      <c r="CE97" s="234"/>
      <c r="CF97" s="234"/>
      <c r="CG97" s="234" t="str">
        <f t="shared" si="19"/>
        <v>Below 60</v>
      </c>
      <c r="CH97" s="234" t="str">
        <f t="shared" si="27"/>
        <v>Not 50%</v>
      </c>
      <c r="CI97" s="328">
        <f t="shared" si="20"/>
        <v>0.45</v>
      </c>
      <c r="CJ97" s="330">
        <f>IFERROR(__xludf.DUMMYFUNCTION("""COMPUTED_VALUE"""),449.0)</f>
        <v>449</v>
      </c>
      <c r="CK97" s="330">
        <f>IFERROR(__xludf.DUMMYFUNCTION("""COMPUTED_VALUE"""),440.0)</f>
        <v>440</v>
      </c>
      <c r="CL97" s="330">
        <f>IFERROR(__xludf.DUMMYFUNCTION("""COMPUTED_VALUE"""),0.0)</f>
        <v>0</v>
      </c>
      <c r="CM97" s="331">
        <f t="shared" si="21"/>
        <v>0</v>
      </c>
      <c r="CN97" s="337"/>
      <c r="CO97" s="160"/>
      <c r="CP97" s="334"/>
      <c r="CQ97" s="335"/>
      <c r="CR97" s="160"/>
      <c r="CS97" s="160"/>
      <c r="CT97" s="160"/>
      <c r="CU97" s="160"/>
      <c r="CV97" s="160"/>
      <c r="CW97" s="335"/>
      <c r="CX97" s="288"/>
      <c r="CY97" s="160"/>
      <c r="CZ97" s="160"/>
    </row>
    <row r="98">
      <c r="A98" s="157" t="s">
        <v>185</v>
      </c>
      <c r="B98" s="157" t="s">
        <v>212</v>
      </c>
      <c r="C98" s="157" t="s">
        <v>253</v>
      </c>
      <c r="D98" s="157" t="s">
        <v>1031</v>
      </c>
      <c r="E98" s="157" t="s">
        <v>254</v>
      </c>
      <c r="F98" s="338">
        <v>45233.0</v>
      </c>
      <c r="G98" s="314">
        <v>0.0</v>
      </c>
      <c r="H98" s="314">
        <v>1.8E7</v>
      </c>
      <c r="I98" s="315">
        <v>1.2270027E7</v>
      </c>
      <c r="J98" s="315">
        <v>0.0</v>
      </c>
      <c r="K98" s="160">
        <v>35.0</v>
      </c>
      <c r="L98" s="160">
        <v>62.0</v>
      </c>
      <c r="M98" s="160">
        <v>30.0</v>
      </c>
      <c r="N98" s="160">
        <v>65.0</v>
      </c>
      <c r="O98" s="160">
        <v>3.0</v>
      </c>
      <c r="P98" s="315">
        <v>9251813.01</v>
      </c>
      <c r="Q98" s="315">
        <v>3018213.99</v>
      </c>
      <c r="R98" s="160">
        <v>26.0</v>
      </c>
      <c r="S98" s="160">
        <v>30.0</v>
      </c>
      <c r="T98" s="160">
        <v>56.0</v>
      </c>
      <c r="U98" s="160">
        <v>0.0</v>
      </c>
      <c r="V98" s="160">
        <v>82.0</v>
      </c>
      <c r="W98" s="160">
        <v>136.0</v>
      </c>
      <c r="X98" s="160">
        <v>60.0</v>
      </c>
      <c r="Y98" s="160">
        <v>3.0</v>
      </c>
      <c r="Z98" s="160">
        <v>145.0</v>
      </c>
      <c r="AA98" s="160">
        <v>2.0</v>
      </c>
      <c r="AB98" s="160">
        <v>22.0</v>
      </c>
      <c r="AC98" s="160">
        <v>4.0</v>
      </c>
      <c r="AD98" s="160">
        <v>5.0</v>
      </c>
      <c r="AE98" s="160">
        <v>675.0</v>
      </c>
      <c r="AF98" s="160">
        <v>983.0</v>
      </c>
      <c r="AG98" s="160">
        <v>277.0</v>
      </c>
      <c r="AH98" s="314">
        <f t="shared" si="2"/>
        <v>44296.12635</v>
      </c>
      <c r="AI98" s="314">
        <f t="shared" si="3"/>
        <v>3.548736462</v>
      </c>
      <c r="AJ98" s="316">
        <v>26530.0</v>
      </c>
      <c r="AK98" s="314">
        <f t="shared" si="63"/>
        <v>318360</v>
      </c>
      <c r="AL98" s="317">
        <v>180815.0</v>
      </c>
      <c r="AM98" s="318">
        <f t="shared" si="5"/>
        <v>0.04068246957</v>
      </c>
      <c r="AN98" s="314">
        <f t="shared" si="6"/>
        <v>219107.625</v>
      </c>
      <c r="AO98" s="336">
        <f t="shared" si="68"/>
        <v>0.6816681667</v>
      </c>
      <c r="AP98" s="319">
        <v>0.0</v>
      </c>
      <c r="AQ98" s="160">
        <v>260.0</v>
      </c>
      <c r="AR98" s="160">
        <v>2849.0</v>
      </c>
      <c r="AS98" s="160">
        <v>2338.84</v>
      </c>
      <c r="AT98" s="160">
        <v>30.0</v>
      </c>
      <c r="AU98" s="160">
        <v>38.0</v>
      </c>
      <c r="AV98" s="320">
        <v>56.0</v>
      </c>
      <c r="AW98" s="320">
        <v>9.0</v>
      </c>
      <c r="AX98" s="320">
        <v>0.0</v>
      </c>
      <c r="AY98" s="321">
        <f>iferror(VLOOKUP(C98,'ORDER BOOKING REPORT 2025-26'!C:O,13,0),"")</f>
        <v>14526657.8</v>
      </c>
      <c r="AZ98" s="322"/>
      <c r="BA98" s="157" t="str">
        <f t="shared" si="7"/>
        <v>Active</v>
      </c>
      <c r="BB98" s="157" t="str">
        <f t="shared" si="8"/>
        <v>Old</v>
      </c>
      <c r="BC98" s="157" t="str">
        <f t="shared" si="69"/>
        <v>50%-70%</v>
      </c>
      <c r="BD98" s="223">
        <f t="shared" si="67"/>
        <v>12</v>
      </c>
      <c r="BE98" s="323">
        <v>1500000.0</v>
      </c>
      <c r="BF98" s="157">
        <f t="shared" si="10"/>
        <v>0</v>
      </c>
      <c r="BG98" s="157" t="s">
        <v>1019</v>
      </c>
      <c r="BH98" s="324"/>
      <c r="BI98" s="324"/>
      <c r="BJ98" s="325"/>
      <c r="BK98" s="326"/>
      <c r="BL98" s="326">
        <f t="shared" si="48"/>
        <v>0</v>
      </c>
      <c r="BM98" s="326">
        <f t="shared" si="12"/>
        <v>18000000</v>
      </c>
      <c r="BN98" s="326"/>
      <c r="BO98" s="327" t="str">
        <f>IFERROR(__xludf.DUMMYFUNCTION("IFERROR(ArrayFormula(SUM(VLOOKUP($C98,importrange(""1MwNMVzWE3QBVOyJjKr3eFX-Sq1Ng0Q1sghWJbgbE_8g"",""ORDER BOOKING REPORT 2024-25!C:CV""),{16,23,30},0))))"),"")</f>
        <v/>
      </c>
      <c r="BP98" s="327" t="str">
        <f>IFERROR(__xludf.DUMMYFUNCTION("IFERROR(ArrayFormula(SUM(VLOOKUP($C98,importrange(""1MwNMVzWE3QBVOyJjKr3eFX-Sq1Ng0Q1sghWJbgbE_8g"",""ORDER BOOKING REPORT 2024-25!C:CV""),{37,44,51},0))))"),"")</f>
        <v/>
      </c>
      <c r="BQ98" s="327" t="str">
        <f>IFERROR(__xludf.DUMMYFUNCTION("IFERROR(ArrayFormula(SUM(VLOOKUP($C98,importrange(""1MwNMVzWE3QBVOyJjKr3eFX-Sq1Ng0Q1sghWJbgbE_8g"",""ORDER BOOKING REPORT 2024-25!C:CV""),{58,65,72},0))))"),"")</f>
        <v/>
      </c>
      <c r="BR98" s="327" t="str">
        <f>IFERROR(__xludf.DUMMYFUNCTION("IFERROR(ArrayFormula(SUM(VLOOKUP($C98,importrange(""1MwNMVzWE3QBVOyJjKr3eFX-Sq1Ng0Q1sghWJbgbE_8g"",""ORDER BOOKING REPORT 2024-25!C:CV""),{79,86,93},0))))"),"")</f>
        <v/>
      </c>
      <c r="BS98" s="328">
        <f t="shared" si="13"/>
        <v>0.8070365444</v>
      </c>
      <c r="BT98" s="328">
        <f t="shared" si="14"/>
        <v>0.03436268733</v>
      </c>
      <c r="BU98" s="234">
        <f t="shared" si="15"/>
        <v>0</v>
      </c>
      <c r="BV98" s="329">
        <v>26530.0</v>
      </c>
      <c r="BW98" s="329" t="s">
        <v>1045</v>
      </c>
      <c r="BX98" s="329">
        <v>1126.0</v>
      </c>
      <c r="BY98" s="234">
        <f t="shared" si="16"/>
        <v>0</v>
      </c>
      <c r="BZ98" s="234"/>
      <c r="CA98" s="234"/>
      <c r="CB98" s="234"/>
      <c r="CC98" s="234"/>
      <c r="CD98" s="234"/>
      <c r="CE98" s="234"/>
      <c r="CF98" s="234"/>
      <c r="CG98" s="234" t="str">
        <f t="shared" si="19"/>
        <v> </v>
      </c>
      <c r="CH98" s="234" t="str">
        <f t="shared" si="27"/>
        <v>Business Achieved 50%</v>
      </c>
      <c r="CI98" s="328">
        <f t="shared" si="20"/>
        <v>0.8615384615</v>
      </c>
      <c r="CJ98" s="330">
        <f>IFERROR(__xludf.DUMMYFUNCTION("""COMPUTED_VALUE"""),599.0)</f>
        <v>599</v>
      </c>
      <c r="CK98" s="330">
        <f>IFERROR(__xludf.DUMMYFUNCTION("""COMPUTED_VALUE"""),76.0)</f>
        <v>76</v>
      </c>
      <c r="CL98" s="330">
        <f>IFERROR(__xludf.DUMMYFUNCTION("""COMPUTED_VALUE"""),0.0)</f>
        <v>0</v>
      </c>
      <c r="CM98" s="331">
        <f t="shared" si="21"/>
        <v>0</v>
      </c>
      <c r="CN98" s="337"/>
      <c r="CO98" s="160"/>
      <c r="CP98" s="334"/>
      <c r="CQ98" s="335"/>
      <c r="CR98" s="160"/>
      <c r="CS98" s="160"/>
      <c r="CT98" s="160"/>
      <c r="CU98" s="160"/>
      <c r="CV98" s="160"/>
      <c r="CW98" s="335"/>
      <c r="CX98" s="288"/>
      <c r="CY98" s="160"/>
      <c r="CZ98" s="160"/>
    </row>
    <row r="99">
      <c r="A99" s="157" t="s">
        <v>185</v>
      </c>
      <c r="B99" s="157" t="s">
        <v>212</v>
      </c>
      <c r="C99" s="157" t="s">
        <v>255</v>
      </c>
      <c r="D99" s="157" t="s">
        <v>1031</v>
      </c>
      <c r="E99" s="157" t="s">
        <v>256</v>
      </c>
      <c r="F99" s="338">
        <v>45236.0</v>
      </c>
      <c r="G99" s="314">
        <v>0.0</v>
      </c>
      <c r="H99" s="314">
        <v>1.8E7</v>
      </c>
      <c r="I99" s="315">
        <v>1.813754262E7</v>
      </c>
      <c r="J99" s="315">
        <v>0.0</v>
      </c>
      <c r="K99" s="160">
        <v>53.0</v>
      </c>
      <c r="L99" s="160">
        <v>80.0</v>
      </c>
      <c r="M99" s="160">
        <v>28.0</v>
      </c>
      <c r="N99" s="160">
        <v>81.0</v>
      </c>
      <c r="O99" s="160">
        <v>1.0</v>
      </c>
      <c r="P99" s="315">
        <v>1.232283428E7</v>
      </c>
      <c r="Q99" s="315">
        <v>5814708.34</v>
      </c>
      <c r="R99" s="160">
        <v>42.0</v>
      </c>
      <c r="S99" s="160">
        <v>28.0</v>
      </c>
      <c r="T99" s="160">
        <v>70.0</v>
      </c>
      <c r="U99" s="160">
        <v>0.0</v>
      </c>
      <c r="V99" s="160">
        <v>54.0</v>
      </c>
      <c r="W99" s="160">
        <v>102.0</v>
      </c>
      <c r="X99" s="160">
        <v>135.0</v>
      </c>
      <c r="Y99" s="160">
        <v>0.0</v>
      </c>
      <c r="Z99" s="160">
        <v>0.0</v>
      </c>
      <c r="AA99" s="160">
        <v>0.0</v>
      </c>
      <c r="AB99" s="160">
        <v>0.0</v>
      </c>
      <c r="AC99" s="160">
        <v>0.0</v>
      </c>
      <c r="AD99" s="160">
        <v>0.0</v>
      </c>
      <c r="AE99" s="160">
        <v>1630.0</v>
      </c>
      <c r="AF99" s="160">
        <v>1732.0</v>
      </c>
      <c r="AG99" s="160">
        <v>293.0</v>
      </c>
      <c r="AH99" s="314">
        <f t="shared" si="2"/>
        <v>61902.87584</v>
      </c>
      <c r="AI99" s="314">
        <f t="shared" si="3"/>
        <v>5.911262799</v>
      </c>
      <c r="AJ99" s="316">
        <v>27680.0</v>
      </c>
      <c r="AK99" s="314">
        <f t="shared" si="63"/>
        <v>332160</v>
      </c>
      <c r="AL99" s="317">
        <v>198387.0</v>
      </c>
      <c r="AM99" s="318">
        <f t="shared" si="5"/>
        <v>0.02925131652</v>
      </c>
      <c r="AN99" s="314">
        <f t="shared" si="6"/>
        <v>259107.7517</v>
      </c>
      <c r="AO99" s="336">
        <f t="shared" si="68"/>
        <v>1.007641257</v>
      </c>
      <c r="AP99" s="319">
        <v>0.0</v>
      </c>
      <c r="AQ99" s="160">
        <v>636.0</v>
      </c>
      <c r="AR99" s="160">
        <v>2200.0</v>
      </c>
      <c r="AS99" s="160">
        <v>2593.95</v>
      </c>
      <c r="AT99" s="160">
        <v>28.0</v>
      </c>
      <c r="AU99" s="160">
        <v>32.0</v>
      </c>
      <c r="AV99" s="320">
        <v>70.0</v>
      </c>
      <c r="AW99" s="320">
        <v>10.0</v>
      </c>
      <c r="AX99" s="320">
        <v>1.0</v>
      </c>
      <c r="AY99" s="321">
        <f>iferror(VLOOKUP(C99,'ORDER BOOKING REPORT 2025-26'!C:O,13,0),"")</f>
        <v>15550099</v>
      </c>
      <c r="AZ99" s="322"/>
      <c r="BA99" s="157" t="str">
        <f t="shared" si="7"/>
        <v>Active</v>
      </c>
      <c r="BB99" s="157" t="str">
        <f t="shared" si="8"/>
        <v>Old</v>
      </c>
      <c r="BC99" s="157" t="str">
        <f t="shared" si="69"/>
        <v>Above 100%</v>
      </c>
      <c r="BD99" s="223">
        <f t="shared" si="67"/>
        <v>12</v>
      </c>
      <c r="BE99" s="323">
        <v>1500000.0</v>
      </c>
      <c r="BF99" s="157">
        <f t="shared" si="10"/>
        <v>0</v>
      </c>
      <c r="BG99" s="157" t="s">
        <v>1019</v>
      </c>
      <c r="BH99" s="324">
        <f>IFERROR(__xludf.DUMMYFUNCTION("""COMPUTED_VALUE"""),7452303.0)</f>
        <v>7452303</v>
      </c>
      <c r="BI99" s="324">
        <f>IFERROR(__xludf.DUMMYFUNCTION("""COMPUTED_VALUE"""),1.2336703909999998E7)</f>
        <v>12336703.91</v>
      </c>
      <c r="BJ99" s="325"/>
      <c r="BK99" s="326"/>
      <c r="BL99" s="326">
        <f t="shared" si="48"/>
        <v>0</v>
      </c>
      <c r="BM99" s="326">
        <f t="shared" si="12"/>
        <v>18000000</v>
      </c>
      <c r="BN99" s="326"/>
      <c r="BO99" s="327">
        <f>IFERROR(__xludf.DUMMYFUNCTION("IFERROR(ArrayFormula(SUM(VLOOKUP($C99,importrange(""1MwNMVzWE3QBVOyJjKr3eFX-Sq1Ng0Q1sghWJbgbE_8g"",""ORDER BOOKING REPORT 2024-25!C:CV""),{16,23,30},0))))"),3589944.66)</f>
        <v>3589944.66</v>
      </c>
      <c r="BP99" s="327">
        <f>IFERROR(__xludf.DUMMYFUNCTION("IFERROR(ArrayFormula(SUM(VLOOKUP($C99,importrange(""1MwNMVzWE3QBVOyJjKr3eFX-Sq1Ng0Q1sghWJbgbE_8g"",""ORDER BOOKING REPORT 2024-25!C:CV""),{37,44,51},0))))"),2315245.46)</f>
        <v>2315245.46</v>
      </c>
      <c r="BQ99" s="327">
        <f>IFERROR(__xludf.DUMMYFUNCTION("IFERROR(ArrayFormula(SUM(VLOOKUP($C99,importrange(""1MwNMVzWE3QBVOyJjKr3eFX-Sq1Ng0Q1sghWJbgbE_8g"",""ORDER BOOKING REPORT 2024-25!C:CV""),{58,65,72},0))))"),3107571.84)</f>
        <v>3107571.84</v>
      </c>
      <c r="BR99" s="327">
        <f>IFERROR(__xludf.DUMMYFUNCTION("IFERROR(ArrayFormula(SUM(VLOOKUP($C99,importrange(""1MwNMVzWE3QBVOyJjKr3eFX-Sq1Ng0Q1sghWJbgbE_8g"",""ORDER BOOKING REPORT 2024-25!C:CV""),{79,86,93},0))))"),3323941.9499999997)</f>
        <v>3323941.95</v>
      </c>
      <c r="BS99" s="328">
        <f t="shared" si="13"/>
        <v>0.8638943889</v>
      </c>
      <c r="BT99" s="328">
        <f t="shared" si="14"/>
        <v>0.03411856092</v>
      </c>
      <c r="BU99" s="234">
        <f t="shared" si="15"/>
        <v>0</v>
      </c>
      <c r="BV99" s="329">
        <v>27680.0</v>
      </c>
      <c r="BW99" s="329" t="s">
        <v>1045</v>
      </c>
      <c r="BX99" s="329">
        <v>1127.0</v>
      </c>
      <c r="BY99" s="234">
        <f t="shared" si="16"/>
        <v>0</v>
      </c>
      <c r="BZ99" s="234"/>
      <c r="CA99" s="234"/>
      <c r="CB99" s="234"/>
      <c r="CC99" s="234"/>
      <c r="CD99" s="234"/>
      <c r="CE99" s="234"/>
      <c r="CF99" s="234"/>
      <c r="CG99" s="234" t="str">
        <f t="shared" si="19"/>
        <v> </v>
      </c>
      <c r="CH99" s="234" t="str">
        <f t="shared" si="27"/>
        <v>Business Achieved 50%</v>
      </c>
      <c r="CI99" s="328">
        <f t="shared" si="20"/>
        <v>0.8641975309</v>
      </c>
      <c r="CJ99" s="330">
        <f>IFERROR(__xludf.DUMMYFUNCTION("""COMPUTED_VALUE"""),1349.0)</f>
        <v>1349</v>
      </c>
      <c r="CK99" s="330">
        <f>IFERROR(__xludf.DUMMYFUNCTION("""COMPUTED_VALUE"""),281.0)</f>
        <v>281</v>
      </c>
      <c r="CL99" s="330">
        <f>IFERROR(__xludf.DUMMYFUNCTION("""COMPUTED_VALUE"""),0.0)</f>
        <v>0</v>
      </c>
      <c r="CM99" s="331">
        <f t="shared" si="21"/>
        <v>0</v>
      </c>
      <c r="CN99" s="337"/>
      <c r="CO99" s="160"/>
      <c r="CP99" s="334"/>
      <c r="CQ99" s="335"/>
      <c r="CR99" s="160"/>
      <c r="CS99" s="160"/>
      <c r="CT99" s="160"/>
      <c r="CU99" s="160"/>
      <c r="CV99" s="160"/>
      <c r="CW99" s="335"/>
      <c r="CX99" s="288"/>
      <c r="CY99" s="160"/>
      <c r="CZ99" s="160"/>
    </row>
    <row r="100">
      <c r="A100" s="157" t="s">
        <v>185</v>
      </c>
      <c r="B100" s="157" t="s">
        <v>215</v>
      </c>
      <c r="C100" s="157" t="s">
        <v>257</v>
      </c>
      <c r="D100" s="157" t="s">
        <v>1065</v>
      </c>
      <c r="E100" s="157" t="s">
        <v>258</v>
      </c>
      <c r="F100" s="338">
        <v>45236.0</v>
      </c>
      <c r="G100" s="314">
        <v>0.0</v>
      </c>
      <c r="H100" s="314">
        <v>2.34E7</v>
      </c>
      <c r="I100" s="315">
        <v>1.616494219E7</v>
      </c>
      <c r="J100" s="315">
        <v>0.0</v>
      </c>
      <c r="K100" s="160">
        <v>30.0</v>
      </c>
      <c r="L100" s="160">
        <v>37.0</v>
      </c>
      <c r="M100" s="160">
        <v>8.0</v>
      </c>
      <c r="N100" s="160">
        <v>38.0</v>
      </c>
      <c r="O100" s="160">
        <v>1.0</v>
      </c>
      <c r="P100" s="315">
        <v>1.466347889E7</v>
      </c>
      <c r="Q100" s="315">
        <v>1501463.3</v>
      </c>
      <c r="R100" s="160">
        <v>24.0</v>
      </c>
      <c r="S100" s="160">
        <v>7.0</v>
      </c>
      <c r="T100" s="160">
        <v>31.0</v>
      </c>
      <c r="U100" s="160">
        <v>0.0</v>
      </c>
      <c r="V100" s="160">
        <v>36.0</v>
      </c>
      <c r="W100" s="160">
        <v>78.0</v>
      </c>
      <c r="X100" s="160">
        <v>87.0</v>
      </c>
      <c r="Y100" s="160">
        <v>1.0</v>
      </c>
      <c r="Z100" s="160">
        <v>4.0</v>
      </c>
      <c r="AA100" s="160">
        <v>0.0</v>
      </c>
      <c r="AB100" s="160">
        <v>0.0</v>
      </c>
      <c r="AC100" s="160">
        <v>0.0</v>
      </c>
      <c r="AD100" s="160">
        <v>0.0</v>
      </c>
      <c r="AE100" s="160">
        <v>1031.0</v>
      </c>
      <c r="AF100" s="160">
        <v>1113.0</v>
      </c>
      <c r="AG100" s="160">
        <v>279.0</v>
      </c>
      <c r="AH100" s="314">
        <f t="shared" si="2"/>
        <v>57938.8609</v>
      </c>
      <c r="AI100" s="314">
        <f t="shared" si="3"/>
        <v>3.989247312</v>
      </c>
      <c r="AJ100" s="316">
        <v>29985.0</v>
      </c>
      <c r="AK100" s="314">
        <f t="shared" si="63"/>
        <v>359820</v>
      </c>
      <c r="AL100" s="317">
        <v>202308.0</v>
      </c>
      <c r="AM100" s="318">
        <f t="shared" si="5"/>
        <v>0.03477451347</v>
      </c>
      <c r="AN100" s="314">
        <f t="shared" si="6"/>
        <v>521449.7481</v>
      </c>
      <c r="AO100" s="336">
        <f t="shared" si="68"/>
        <v>0.6908094953</v>
      </c>
      <c r="AP100" s="319">
        <v>0.0</v>
      </c>
      <c r="AQ100" s="160">
        <v>121.0</v>
      </c>
      <c r="AR100" s="160">
        <v>2875.0</v>
      </c>
      <c r="AS100" s="160">
        <v>3260.63</v>
      </c>
      <c r="AT100" s="160">
        <v>7.0</v>
      </c>
      <c r="AU100" s="160">
        <v>88.0</v>
      </c>
      <c r="AV100" s="320">
        <v>31.0</v>
      </c>
      <c r="AW100" s="320">
        <v>6.0</v>
      </c>
      <c r="AX100" s="320">
        <v>1.0</v>
      </c>
      <c r="AY100" s="321">
        <f>iferror(VLOOKUP(C100,'ORDER BOOKING REPORT 2025-26'!C:O,13,0),"")</f>
        <v>18778418.4</v>
      </c>
      <c r="AZ100" s="322"/>
      <c r="BA100" s="157" t="str">
        <f t="shared" si="7"/>
        <v>Active</v>
      </c>
      <c r="BB100" s="157" t="str">
        <f t="shared" si="8"/>
        <v>Old</v>
      </c>
      <c r="BC100" s="157" t="str">
        <f t="shared" si="69"/>
        <v>50%-70%</v>
      </c>
      <c r="BD100" s="223">
        <f t="shared" si="67"/>
        <v>12</v>
      </c>
      <c r="BE100" s="323">
        <v>1950000.0</v>
      </c>
      <c r="BF100" s="157">
        <f t="shared" si="10"/>
        <v>1</v>
      </c>
      <c r="BG100" s="157" t="s">
        <v>1019</v>
      </c>
      <c r="BH100" s="324"/>
      <c r="BI100" s="324"/>
      <c r="BJ100" s="325"/>
      <c r="BK100" s="326"/>
      <c r="BL100" s="326">
        <f t="shared" si="48"/>
        <v>0</v>
      </c>
      <c r="BM100" s="326">
        <f t="shared" si="12"/>
        <v>23400000</v>
      </c>
      <c r="BN100" s="326"/>
      <c r="BO100" s="327" t="str">
        <f>IFERROR(__xludf.DUMMYFUNCTION("IFERROR(ArrayFormula(SUM(VLOOKUP($C100,importrange(""1MwNMVzWE3QBVOyJjKr3eFX-Sq1Ng0Q1sghWJbgbE_8g"",""ORDER BOOKING REPORT 2024-25!C:CV""),{16,23,30},0))))"),"")</f>
        <v/>
      </c>
      <c r="BP100" s="327" t="str">
        <f>IFERROR(__xludf.DUMMYFUNCTION("IFERROR(ArrayFormula(SUM(VLOOKUP($C100,importrange(""1MwNMVzWE3QBVOyJjKr3eFX-Sq1Ng0Q1sghWJbgbE_8g"",""ORDER BOOKING REPORT 2024-25!C:CV""),{37,44,51},0))))"),"")</f>
        <v/>
      </c>
      <c r="BQ100" s="327" t="str">
        <f>IFERROR(__xludf.DUMMYFUNCTION("IFERROR(ArrayFormula(SUM(VLOOKUP($C100,importrange(""1MwNMVzWE3QBVOyJjKr3eFX-Sq1Ng0Q1sghWJbgbE_8g"",""ORDER BOOKING REPORT 2024-25!C:CV""),{58,65,72},0))))"),"")</f>
        <v/>
      </c>
      <c r="BR100" s="327" t="str">
        <f>IFERROR(__xludf.DUMMYFUNCTION("IFERROR(ArrayFormula(SUM(VLOOKUP($C100,importrange(""1MwNMVzWE3QBVOyJjKr3eFX-Sq1Ng0Q1sghWJbgbE_8g"",""ORDER BOOKING REPORT 2024-25!C:CV""),{79,86,93},0))))"),"")</f>
        <v/>
      </c>
      <c r="BS100" s="328">
        <f t="shared" si="13"/>
        <v>0.8024965128</v>
      </c>
      <c r="BT100" s="328">
        <f t="shared" si="14"/>
        <v>0.0299347894</v>
      </c>
      <c r="BU100" s="234">
        <f t="shared" si="15"/>
        <v>0</v>
      </c>
      <c r="BV100" s="329">
        <v>29985.0</v>
      </c>
      <c r="BW100" s="329" t="s">
        <v>1045</v>
      </c>
      <c r="BX100" s="329">
        <v>1128.0</v>
      </c>
      <c r="BY100" s="234">
        <f t="shared" si="16"/>
        <v>0</v>
      </c>
      <c r="BZ100" s="234"/>
      <c r="CA100" s="234"/>
      <c r="CB100" s="234"/>
      <c r="CC100" s="234"/>
      <c r="CD100" s="234"/>
      <c r="CE100" s="234"/>
      <c r="CF100" s="234"/>
      <c r="CG100" s="234" t="str">
        <f t="shared" si="19"/>
        <v>Below 60</v>
      </c>
      <c r="CH100" s="234" t="str">
        <f t="shared" si="27"/>
        <v>Business Achieved 50%</v>
      </c>
      <c r="CI100" s="328">
        <f t="shared" si="20"/>
        <v>0.8157894737</v>
      </c>
      <c r="CJ100" s="330">
        <f>IFERROR(__xludf.DUMMYFUNCTION("""COMPUTED_VALUE"""),929.0)</f>
        <v>929</v>
      </c>
      <c r="CK100" s="330">
        <f>IFERROR(__xludf.DUMMYFUNCTION("""COMPUTED_VALUE"""),102.0)</f>
        <v>102</v>
      </c>
      <c r="CL100" s="330">
        <f>IFERROR(__xludf.DUMMYFUNCTION("""COMPUTED_VALUE"""),0.0)</f>
        <v>0</v>
      </c>
      <c r="CM100" s="331">
        <f t="shared" si="21"/>
        <v>0</v>
      </c>
      <c r="CN100" s="337"/>
      <c r="CO100" s="160"/>
      <c r="CP100" s="334"/>
      <c r="CQ100" s="335"/>
      <c r="CR100" s="160"/>
      <c r="CS100" s="160"/>
      <c r="CT100" s="160"/>
      <c r="CU100" s="160"/>
      <c r="CV100" s="160"/>
      <c r="CW100" s="335"/>
      <c r="CX100" s="288"/>
      <c r="CY100" s="160"/>
      <c r="CZ100" s="160"/>
    </row>
    <row r="101">
      <c r="A101" s="157" t="s">
        <v>23</v>
      </c>
      <c r="B101" s="157" t="s">
        <v>30</v>
      </c>
      <c r="C101" s="157" t="s">
        <v>28</v>
      </c>
      <c r="D101" s="157" t="s">
        <v>30</v>
      </c>
      <c r="E101" s="157" t="s">
        <v>29</v>
      </c>
      <c r="F101" s="338">
        <v>45261.0</v>
      </c>
      <c r="G101" s="314">
        <v>2400000.0</v>
      </c>
      <c r="H101" s="314">
        <v>1.44E7</v>
      </c>
      <c r="I101" s="315">
        <v>1.133234465E7</v>
      </c>
      <c r="J101" s="315">
        <v>804056.23</v>
      </c>
      <c r="K101" s="160">
        <v>76.0</v>
      </c>
      <c r="L101" s="160">
        <v>100.0</v>
      </c>
      <c r="M101" s="160">
        <v>25.0</v>
      </c>
      <c r="N101" s="160">
        <v>101.0</v>
      </c>
      <c r="O101" s="160">
        <v>1.0</v>
      </c>
      <c r="P101" s="315">
        <v>7053870.4</v>
      </c>
      <c r="Q101" s="315">
        <v>4278474.25</v>
      </c>
      <c r="R101" s="160">
        <v>49.0</v>
      </c>
      <c r="S101" s="160">
        <v>25.0</v>
      </c>
      <c r="T101" s="160">
        <v>74.0</v>
      </c>
      <c r="U101" s="160">
        <v>3.0</v>
      </c>
      <c r="V101" s="160">
        <v>97.0</v>
      </c>
      <c r="W101" s="160">
        <v>256.0</v>
      </c>
      <c r="X101" s="160">
        <v>64.0</v>
      </c>
      <c r="Y101" s="160">
        <v>5.0</v>
      </c>
      <c r="Z101" s="160">
        <v>259.0</v>
      </c>
      <c r="AA101" s="160">
        <v>5.0</v>
      </c>
      <c r="AB101" s="160">
        <v>46.0</v>
      </c>
      <c r="AC101" s="160">
        <v>0.0</v>
      </c>
      <c r="AD101" s="160">
        <v>0.0</v>
      </c>
      <c r="AE101" s="160">
        <v>1341.0</v>
      </c>
      <c r="AF101" s="160">
        <v>1902.0</v>
      </c>
      <c r="AG101" s="160">
        <v>303.0</v>
      </c>
      <c r="AH101" s="314">
        <f t="shared" si="2"/>
        <v>40054.12832</v>
      </c>
      <c r="AI101" s="314">
        <f t="shared" si="3"/>
        <v>6.277227723</v>
      </c>
      <c r="AJ101" s="316">
        <f t="shared" ref="AJ101:AJ103" si="70">BV101</f>
        <v>29360</v>
      </c>
      <c r="AK101" s="314">
        <f t="shared" si="63"/>
        <v>352320</v>
      </c>
      <c r="AL101" s="286">
        <v>131202.0</v>
      </c>
      <c r="AM101" s="318">
        <f t="shared" si="5"/>
        <v>0.03984064178</v>
      </c>
      <c r="AN101" s="314">
        <f t="shared" si="6"/>
        <v>153139.7926</v>
      </c>
      <c r="AO101" s="336">
        <f t="shared" si="68"/>
        <v>0.7224048143</v>
      </c>
      <c r="AP101" s="319">
        <v>0.33</v>
      </c>
      <c r="AQ101" s="160">
        <v>326.0</v>
      </c>
      <c r="AR101" s="160">
        <v>2958.0</v>
      </c>
      <c r="AS101" s="160">
        <v>2629.6</v>
      </c>
      <c r="AT101" s="160">
        <v>25.0</v>
      </c>
      <c r="AU101" s="160">
        <v>26.0</v>
      </c>
      <c r="AV101" s="320">
        <v>74.0</v>
      </c>
      <c r="AW101" s="320">
        <v>26.0</v>
      </c>
      <c r="AX101" s="320">
        <v>1.0</v>
      </c>
      <c r="AY101" s="321">
        <f>iferror(VLOOKUP(C101,'ORDER BOOKING REPORT 2025-26'!C:O,13,0),"")</f>
        <v>12340587</v>
      </c>
      <c r="AZ101" s="322"/>
      <c r="BA101" s="157" t="str">
        <f t="shared" si="7"/>
        <v>Active</v>
      </c>
      <c r="BB101" s="157" t="str">
        <f t="shared" si="8"/>
        <v>Old</v>
      </c>
      <c r="BC101" s="157" t="str">
        <f t="shared" si="69"/>
        <v>70%-90%</v>
      </c>
      <c r="BD101" s="223">
        <f t="shared" si="67"/>
        <v>12</v>
      </c>
      <c r="BE101" s="323">
        <v>1400000.0</v>
      </c>
      <c r="BF101" s="157">
        <f t="shared" si="10"/>
        <v>0</v>
      </c>
      <c r="BG101" s="157" t="s">
        <v>1019</v>
      </c>
      <c r="BH101" s="324"/>
      <c r="BI101" s="324"/>
      <c r="BJ101" s="325"/>
      <c r="BK101" s="326">
        <v>200000.0</v>
      </c>
      <c r="BL101" s="326">
        <f t="shared" si="48"/>
        <v>2400000</v>
      </c>
      <c r="BM101" s="326">
        <f t="shared" si="12"/>
        <v>16800000</v>
      </c>
      <c r="BN101" s="326"/>
      <c r="BO101" s="327" t="str">
        <f>IFERROR(__xludf.DUMMYFUNCTION("IFERROR(ArrayFormula(SUM(VLOOKUP($C101,importrange(""1MwNMVzWE3QBVOyJjKr3eFX-Sq1Ng0Q1sghWJbgbE_8g"",""ORDER BOOKING REPORT 2024-25!C:CV""),{16,23,30},0))))"),"")</f>
        <v/>
      </c>
      <c r="BP101" s="327" t="str">
        <f>IFERROR(__xludf.DUMMYFUNCTION("IFERROR(ArrayFormula(SUM(VLOOKUP($C101,importrange(""1MwNMVzWE3QBVOyJjKr3eFX-Sq1Ng0Q1sghWJbgbE_8g"",""ORDER BOOKING REPORT 2024-25!C:CV""),{37,44,51},0))))"),"")</f>
        <v/>
      </c>
      <c r="BQ101" s="327" t="str">
        <f>IFERROR(__xludf.DUMMYFUNCTION("IFERROR(ArrayFormula(SUM(VLOOKUP($C101,importrange(""1MwNMVzWE3QBVOyJjKr3eFX-Sq1Ng0Q1sghWJbgbE_8g"",""ORDER BOOKING REPORT 2024-25!C:CV""),{58,65,72},0))))"),"")</f>
        <v/>
      </c>
      <c r="BR101" s="327" t="str">
        <f>IFERROR(__xludf.DUMMYFUNCTION("IFERROR(ArrayFormula(SUM(VLOOKUP($C101,importrange(""1MwNMVzWE3QBVOyJjKr3eFX-Sq1Ng0Q1sghWJbgbE_8g"",""ORDER BOOKING REPORT 2024-25!C:CV""),{79,86,93},0))))"),"")</f>
        <v/>
      </c>
      <c r="BS101" s="328">
        <f t="shared" si="13"/>
        <v>0.73455875</v>
      </c>
      <c r="BT101" s="328">
        <f t="shared" si="14"/>
        <v>0.0391814425</v>
      </c>
      <c r="BU101" s="234">
        <f t="shared" si="15"/>
        <v>0</v>
      </c>
      <c r="BV101" s="329">
        <v>29360.0</v>
      </c>
      <c r="BW101" s="329" t="s">
        <v>1045</v>
      </c>
      <c r="BX101" s="329">
        <v>1013.0</v>
      </c>
      <c r="BY101" s="234">
        <f t="shared" si="16"/>
        <v>0</v>
      </c>
      <c r="BZ101" s="234"/>
      <c r="CA101" s="234"/>
      <c r="CB101" s="234"/>
      <c r="CC101" s="234"/>
      <c r="CD101" s="234"/>
      <c r="CE101" s="234"/>
      <c r="CF101" s="234"/>
      <c r="CG101" s="234" t="str">
        <f t="shared" si="19"/>
        <v> </v>
      </c>
      <c r="CH101" s="234" t="str">
        <f t="shared" si="27"/>
        <v>Business Achieved 50%</v>
      </c>
      <c r="CI101" s="328">
        <f t="shared" si="20"/>
        <v>0.7326732673</v>
      </c>
      <c r="CJ101" s="339">
        <f>IFERROR(__xludf.DUMMYFUNCTION("""COMPUTED_VALUE"""),1223.0)</f>
        <v>1223</v>
      </c>
      <c r="CK101" s="339">
        <f>IFERROR(__xludf.DUMMYFUNCTION("""COMPUTED_VALUE"""),118.0)</f>
        <v>118</v>
      </c>
      <c r="CL101" s="339">
        <f>IFERROR(__xludf.DUMMYFUNCTION("""COMPUTED_VALUE"""),0.0)</f>
        <v>0</v>
      </c>
      <c r="CM101" s="331">
        <f t="shared" si="21"/>
        <v>0</v>
      </c>
      <c r="CN101" s="340"/>
      <c r="CO101" s="328"/>
      <c r="CP101" s="341"/>
      <c r="CQ101" s="344"/>
      <c r="CR101" s="328"/>
      <c r="CS101" s="328"/>
      <c r="CT101" s="328"/>
      <c r="CU101" s="328"/>
      <c r="CV101" s="328"/>
      <c r="CW101" s="328"/>
      <c r="CX101" s="288"/>
      <c r="CY101" s="328"/>
      <c r="CZ101" s="328"/>
    </row>
    <row r="102">
      <c r="A102" s="157" t="s">
        <v>185</v>
      </c>
      <c r="B102" s="157" t="s">
        <v>114</v>
      </c>
      <c r="C102" s="157" t="s">
        <v>111</v>
      </c>
      <c r="D102" s="157" t="s">
        <v>1084</v>
      </c>
      <c r="E102" s="157" t="s">
        <v>125</v>
      </c>
      <c r="F102" s="338">
        <v>45264.0</v>
      </c>
      <c r="G102" s="314">
        <v>0.0</v>
      </c>
      <c r="H102" s="314">
        <v>0.0</v>
      </c>
      <c r="I102" s="315">
        <v>1925142.63</v>
      </c>
      <c r="J102" s="315">
        <v>0.0</v>
      </c>
      <c r="K102" s="160">
        <v>271.0</v>
      </c>
      <c r="L102" s="160">
        <v>241.0</v>
      </c>
      <c r="M102" s="160">
        <v>77.0</v>
      </c>
      <c r="N102" s="160">
        <v>348.0</v>
      </c>
      <c r="O102" s="160">
        <v>107.0</v>
      </c>
      <c r="P102" s="315">
        <v>1838605.83</v>
      </c>
      <c r="Q102" s="315">
        <v>86536.8</v>
      </c>
      <c r="R102" s="160">
        <v>27.0</v>
      </c>
      <c r="S102" s="160">
        <v>2.0</v>
      </c>
      <c r="T102" s="160">
        <v>29.0</v>
      </c>
      <c r="U102" s="160">
        <v>0.0</v>
      </c>
      <c r="V102" s="160">
        <v>150.0</v>
      </c>
      <c r="W102" s="160">
        <v>240.0</v>
      </c>
      <c r="X102" s="160">
        <v>46.0</v>
      </c>
      <c r="Y102" s="160">
        <v>3.0</v>
      </c>
      <c r="Z102" s="160">
        <v>72.0</v>
      </c>
      <c r="AA102" s="160">
        <v>2.0</v>
      </c>
      <c r="AB102" s="160">
        <v>3.0</v>
      </c>
      <c r="AC102" s="160">
        <v>2.0</v>
      </c>
      <c r="AD102" s="160">
        <v>5.0</v>
      </c>
      <c r="AE102" s="160">
        <v>689.0</v>
      </c>
      <c r="AF102" s="160">
        <v>1009.0</v>
      </c>
      <c r="AG102" s="160">
        <v>267.0</v>
      </c>
      <c r="AH102" s="314">
        <f t="shared" si="2"/>
        <v>7210.272022</v>
      </c>
      <c r="AI102" s="314">
        <f t="shared" si="3"/>
        <v>3.779026217</v>
      </c>
      <c r="AJ102" s="316">
        <f t="shared" si="70"/>
        <v>73990</v>
      </c>
      <c r="AK102" s="314">
        <f t="shared" si="63"/>
        <v>839786.5</v>
      </c>
      <c r="AL102" s="286">
        <v>495428.0</v>
      </c>
      <c r="AM102" s="318">
        <f t="shared" si="5"/>
        <v>0.6935665333</v>
      </c>
      <c r="AN102" s="314">
        <f t="shared" si="6"/>
        <v>66384.22862</v>
      </c>
      <c r="AO102" s="286" t="s">
        <v>972</v>
      </c>
      <c r="AP102" s="319">
        <v>0.0</v>
      </c>
      <c r="AQ102" s="160">
        <v>77.0</v>
      </c>
      <c r="AR102" s="160">
        <v>3111.0</v>
      </c>
      <c r="AS102" s="160">
        <v>1592.09</v>
      </c>
      <c r="AT102" s="160">
        <v>2.0</v>
      </c>
      <c r="AU102" s="160">
        <v>7.0</v>
      </c>
      <c r="AV102" s="320">
        <v>29.0</v>
      </c>
      <c r="AW102" s="320">
        <v>229.0</v>
      </c>
      <c r="AX102" s="320">
        <v>90.0</v>
      </c>
      <c r="AY102" s="321" t="str">
        <f>iferror(VLOOKUP(C102,'ORDER BOOKING REPORT 2025-26'!C:O,13,0),"")</f>
        <v/>
      </c>
      <c r="AZ102" s="322">
        <v>46091.0</v>
      </c>
      <c r="BA102" s="157" t="str">
        <f t="shared" si="7"/>
        <v>LEFT</v>
      </c>
      <c r="BB102" s="157" t="str">
        <f t="shared" si="8"/>
        <v>Old</v>
      </c>
      <c r="BC102" s="160" t="s">
        <v>972</v>
      </c>
      <c r="BD102" s="223">
        <v>11.35</v>
      </c>
      <c r="BE102" s="323"/>
      <c r="BF102" s="157">
        <f t="shared" si="10"/>
        <v>75</v>
      </c>
      <c r="BG102" s="234" t="s">
        <v>188</v>
      </c>
      <c r="BH102" s="324"/>
      <c r="BI102" s="324"/>
      <c r="BJ102" s="343">
        <f>11/31</f>
        <v>0.3548387097</v>
      </c>
      <c r="BK102" s="326"/>
      <c r="BL102" s="326">
        <f t="shared" si="48"/>
        <v>0</v>
      </c>
      <c r="BM102" s="326">
        <f t="shared" si="12"/>
        <v>0</v>
      </c>
      <c r="BN102" s="326"/>
      <c r="BO102" s="327" t="str">
        <f>IFERROR(__xludf.DUMMYFUNCTION("IFERROR(ArrayFormula(SUM(VLOOKUP($C102,importrange(""1MwNMVzWE3QBVOyJjKr3eFX-Sq1Ng0Q1sghWJbgbE_8g"",""ORDER BOOKING REPORT 2024-25!C:CV""),{16,23,30},0))))"),"")</f>
        <v/>
      </c>
      <c r="BP102" s="327" t="str">
        <f>IFERROR(__xludf.DUMMYFUNCTION("IFERROR(ArrayFormula(SUM(VLOOKUP($C102,importrange(""1MwNMVzWE3QBVOyJjKr3eFX-Sq1Ng0Q1sghWJbgbE_8g"",""ORDER BOOKING REPORT 2024-25!C:CV""),{37,44,51},0))))"),"")</f>
        <v/>
      </c>
      <c r="BQ102" s="327" t="str">
        <f>IFERROR(__xludf.DUMMYFUNCTION("IFERROR(ArrayFormula(SUM(VLOOKUP($C102,importrange(""1MwNMVzWE3QBVOyJjKr3eFX-Sq1Ng0Q1sghWJbgbE_8g"",""ORDER BOOKING REPORT 2024-25!C:CV""),{58,65,72},0))))"),"")</f>
        <v/>
      </c>
      <c r="BR102" s="327" t="str">
        <f>IFERROR(__xludf.DUMMYFUNCTION("IFERROR(ArrayFormula(SUM(VLOOKUP($C102,importrange(""1MwNMVzWE3QBVOyJjKr3eFX-Sq1Ng0Q1sghWJbgbE_8g"",""ORDER BOOKING REPORT 2024-25!C:CV""),{79,86,93},0))))"),"")</f>
        <v/>
      </c>
      <c r="BS102" s="328" t="str">
        <f t="shared" si="13"/>
        <v/>
      </c>
      <c r="BT102" s="328" t="str">
        <f t="shared" si="14"/>
        <v/>
      </c>
      <c r="BU102" s="234">
        <f t="shared" si="15"/>
        <v>0</v>
      </c>
      <c r="BV102" s="329">
        <v>73990.0</v>
      </c>
      <c r="BW102" s="329" t="s">
        <v>1023</v>
      </c>
      <c r="BX102" s="329">
        <v>1014.0</v>
      </c>
      <c r="BY102" s="234">
        <f t="shared" si="16"/>
        <v>0</v>
      </c>
      <c r="BZ102" s="234"/>
      <c r="CA102" s="234"/>
      <c r="CB102" s="234"/>
      <c r="CC102" s="234"/>
      <c r="CD102" s="234"/>
      <c r="CE102" s="234"/>
      <c r="CF102" s="234"/>
      <c r="CG102" s="234" t="str">
        <f t="shared" si="19"/>
        <v> </v>
      </c>
      <c r="CH102" s="234" t="str">
        <f t="shared" si="27"/>
        <v>Not 50%</v>
      </c>
      <c r="CI102" s="328">
        <f t="shared" si="20"/>
        <v>0.08333333333</v>
      </c>
      <c r="CJ102" s="339"/>
      <c r="CK102" s="339"/>
      <c r="CL102" s="339"/>
      <c r="CM102" s="331">
        <f t="shared" si="21"/>
        <v>689</v>
      </c>
      <c r="CN102" s="340"/>
      <c r="CO102" s="328"/>
      <c r="CP102" s="341"/>
      <c r="CQ102" s="344"/>
      <c r="CR102" s="328"/>
      <c r="CS102" s="328"/>
      <c r="CT102" s="328"/>
      <c r="CU102" s="328"/>
      <c r="CV102" s="328"/>
      <c r="CW102" s="328"/>
      <c r="CX102" s="288"/>
      <c r="CY102" s="328"/>
      <c r="CZ102" s="328"/>
    </row>
    <row r="103">
      <c r="A103" s="157" t="s">
        <v>47</v>
      </c>
      <c r="B103" s="157" t="s">
        <v>50</v>
      </c>
      <c r="C103" s="157" t="s">
        <v>801</v>
      </c>
      <c r="D103" s="157" t="s">
        <v>1085</v>
      </c>
      <c r="E103" s="157" t="s">
        <v>1086</v>
      </c>
      <c r="F103" s="285">
        <v>45271.0</v>
      </c>
      <c r="G103" s="314">
        <v>0.0</v>
      </c>
      <c r="H103" s="314">
        <v>0.0</v>
      </c>
      <c r="I103" s="315">
        <v>0.0</v>
      </c>
      <c r="J103" s="315">
        <v>0.0</v>
      </c>
      <c r="K103" s="160">
        <v>66.0</v>
      </c>
      <c r="L103" s="160">
        <v>35.0</v>
      </c>
      <c r="M103" s="160">
        <v>1.0</v>
      </c>
      <c r="N103" s="160">
        <v>67.0</v>
      </c>
      <c r="O103" s="160">
        <v>32.0</v>
      </c>
      <c r="P103" s="315">
        <v>0.0</v>
      </c>
      <c r="Q103" s="315">
        <v>0.0</v>
      </c>
      <c r="R103" s="160">
        <v>0.0</v>
      </c>
      <c r="S103" s="160">
        <v>0.0</v>
      </c>
      <c r="T103" s="160">
        <v>0.0</v>
      </c>
      <c r="U103" s="160">
        <v>0.0</v>
      </c>
      <c r="V103" s="160">
        <v>16.0</v>
      </c>
      <c r="W103" s="160">
        <v>25.0</v>
      </c>
      <c r="X103" s="160">
        <v>76.0</v>
      </c>
      <c r="Y103" s="160">
        <v>6.0</v>
      </c>
      <c r="Z103" s="160">
        <v>71.0</v>
      </c>
      <c r="AA103" s="160">
        <v>0.0</v>
      </c>
      <c r="AB103" s="160">
        <v>0.0</v>
      </c>
      <c r="AC103" s="160">
        <v>95.0</v>
      </c>
      <c r="AD103" s="160">
        <v>218.0</v>
      </c>
      <c r="AE103" s="160">
        <v>45.0</v>
      </c>
      <c r="AF103" s="160">
        <v>359.0</v>
      </c>
      <c r="AG103" s="160">
        <v>133.0</v>
      </c>
      <c r="AH103" s="314">
        <f t="shared" si="2"/>
        <v>0</v>
      </c>
      <c r="AI103" s="314">
        <f t="shared" si="3"/>
        <v>2.69924812</v>
      </c>
      <c r="AJ103" s="316">
        <f t="shared" si="70"/>
        <v>40365</v>
      </c>
      <c r="AK103" s="314">
        <f t="shared" si="63"/>
        <v>242190</v>
      </c>
      <c r="AL103" s="286">
        <v>125211.0</v>
      </c>
      <c r="AM103" s="318" t="str">
        <f t="shared" si="5"/>
        <v/>
      </c>
      <c r="AN103" s="314" t="str">
        <f t="shared" si="6"/>
        <v/>
      </c>
      <c r="AO103" s="286" t="s">
        <v>972</v>
      </c>
      <c r="AP103" s="319">
        <v>0.0</v>
      </c>
      <c r="AQ103" s="160">
        <v>0.0</v>
      </c>
      <c r="AR103" s="160">
        <v>1251.0</v>
      </c>
      <c r="AS103" s="160">
        <v>0.0</v>
      </c>
      <c r="AT103" s="160">
        <v>0.0</v>
      </c>
      <c r="AU103" s="160">
        <v>0.0</v>
      </c>
      <c r="AV103" s="320">
        <v>0.0</v>
      </c>
      <c r="AW103" s="320">
        <v>35.0</v>
      </c>
      <c r="AX103" s="320">
        <v>32.0</v>
      </c>
      <c r="AY103" s="321" t="str">
        <f>iferror(VLOOKUP(C103,'ORDER BOOKING REPORT 2025-26'!C:O,13,0),"")</f>
        <v/>
      </c>
      <c r="AZ103" s="322">
        <v>45930.0</v>
      </c>
      <c r="BA103" s="157" t="str">
        <f t="shared" si="7"/>
        <v>LEFT</v>
      </c>
      <c r="BB103" s="157" t="str">
        <f t="shared" si="8"/>
        <v>Old</v>
      </c>
      <c r="BC103" s="160" t="s">
        <v>972</v>
      </c>
      <c r="BD103" s="223">
        <v>6.0</v>
      </c>
      <c r="BE103" s="323"/>
      <c r="BF103" s="157">
        <f t="shared" si="10"/>
        <v>1</v>
      </c>
      <c r="BG103" s="234" t="s">
        <v>188</v>
      </c>
      <c r="BH103" s="324"/>
      <c r="BI103" s="324"/>
      <c r="BJ103" s="325"/>
      <c r="BK103" s="326"/>
      <c r="BL103" s="326">
        <f t="shared" si="48"/>
        <v>0</v>
      </c>
      <c r="BM103" s="326">
        <f t="shared" si="12"/>
        <v>0</v>
      </c>
      <c r="BN103" s="326"/>
      <c r="BO103" s="327" t="str">
        <f>IFERROR(__xludf.DUMMYFUNCTION("IFERROR(ArrayFormula(SUM(VLOOKUP($C103,importrange(""1MwNMVzWE3QBVOyJjKr3eFX-Sq1Ng0Q1sghWJbgbE_8g"",""ORDER BOOKING REPORT 2024-25!C:CV""),{16,23,30},0))))"),"")</f>
        <v/>
      </c>
      <c r="BP103" s="327" t="str">
        <f>IFERROR(__xludf.DUMMYFUNCTION("IFERROR(ArrayFormula(SUM(VLOOKUP($C103,importrange(""1MwNMVzWE3QBVOyJjKr3eFX-Sq1Ng0Q1sghWJbgbE_8g"",""ORDER BOOKING REPORT 2024-25!C:CV""),{37,44,51},0))))"),"")</f>
        <v/>
      </c>
      <c r="BQ103" s="327" t="str">
        <f>IFERROR(__xludf.DUMMYFUNCTION("IFERROR(ArrayFormula(SUM(VLOOKUP($C103,importrange(""1MwNMVzWE3QBVOyJjKr3eFX-Sq1Ng0Q1sghWJbgbE_8g"",""ORDER BOOKING REPORT 2024-25!C:CV""),{58,65,72},0))))"),"")</f>
        <v/>
      </c>
      <c r="BR103" s="327" t="str">
        <f>IFERROR(__xludf.DUMMYFUNCTION("IFERROR(ArrayFormula(SUM(VLOOKUP($C103,importrange(""1MwNMVzWE3QBVOyJjKr3eFX-Sq1Ng0Q1sghWJbgbE_8g"",""ORDER BOOKING REPORT 2024-25!C:CV""),{79,86,93},0))))"),"")</f>
        <v/>
      </c>
      <c r="BS103" s="328" t="str">
        <f t="shared" si="13"/>
        <v/>
      </c>
      <c r="BT103" s="328" t="str">
        <f t="shared" si="14"/>
        <v/>
      </c>
      <c r="BU103" s="234">
        <f t="shared" si="15"/>
        <v>0</v>
      </c>
      <c r="BV103" s="329">
        <v>40365.0</v>
      </c>
      <c r="BW103" s="329" t="s">
        <v>1087</v>
      </c>
      <c r="BX103" s="329">
        <v>1017.0</v>
      </c>
      <c r="BY103" s="234">
        <f t="shared" si="16"/>
        <v>0</v>
      </c>
      <c r="BZ103" s="234"/>
      <c r="CA103" s="234"/>
      <c r="CB103" s="234"/>
      <c r="CC103" s="234"/>
      <c r="CD103" s="234"/>
      <c r="CE103" s="234"/>
      <c r="CF103" s="234"/>
      <c r="CG103" s="234" t="str">
        <f t="shared" si="19"/>
        <v> </v>
      </c>
      <c r="CH103" s="234" t="str">
        <f t="shared" si="27"/>
        <v>Not 50%</v>
      </c>
      <c r="CI103" s="328">
        <f t="shared" si="20"/>
        <v>0</v>
      </c>
      <c r="CJ103" s="339"/>
      <c r="CK103" s="339"/>
      <c r="CL103" s="339"/>
      <c r="CM103" s="331">
        <f t="shared" si="21"/>
        <v>45</v>
      </c>
      <c r="CN103" s="340"/>
      <c r="CO103" s="328"/>
      <c r="CP103" s="341"/>
      <c r="CQ103" s="344"/>
      <c r="CR103" s="328"/>
      <c r="CS103" s="328"/>
      <c r="CT103" s="328"/>
      <c r="CU103" s="328"/>
      <c r="CV103" s="328"/>
      <c r="CW103" s="328"/>
      <c r="CX103" s="288"/>
      <c r="CY103" s="328"/>
      <c r="CZ103" s="328"/>
    </row>
    <row r="104">
      <c r="A104" s="157" t="s">
        <v>185</v>
      </c>
      <c r="B104" s="157" t="s">
        <v>196</v>
      </c>
      <c r="C104" s="157" t="s">
        <v>259</v>
      </c>
      <c r="D104" s="157" t="s">
        <v>1027</v>
      </c>
      <c r="E104" s="157" t="s">
        <v>260</v>
      </c>
      <c r="F104" s="285">
        <v>45278.0</v>
      </c>
      <c r="G104" s="314">
        <v>0.0</v>
      </c>
      <c r="H104" s="314">
        <v>2.04E7</v>
      </c>
      <c r="I104" s="315">
        <v>1.419623973E7</v>
      </c>
      <c r="J104" s="315">
        <v>0.0</v>
      </c>
      <c r="K104" s="160">
        <v>65.0</v>
      </c>
      <c r="L104" s="160">
        <v>75.0</v>
      </c>
      <c r="M104" s="160">
        <v>12.0</v>
      </c>
      <c r="N104" s="160">
        <v>77.0</v>
      </c>
      <c r="O104" s="160">
        <v>2.0</v>
      </c>
      <c r="P104" s="315">
        <v>1.261606841E7</v>
      </c>
      <c r="Q104" s="315">
        <v>1580171.32</v>
      </c>
      <c r="R104" s="160">
        <v>38.0</v>
      </c>
      <c r="S104" s="160">
        <v>12.0</v>
      </c>
      <c r="T104" s="160">
        <v>50.0</v>
      </c>
      <c r="U104" s="160">
        <v>0.0</v>
      </c>
      <c r="V104" s="160">
        <v>46.0</v>
      </c>
      <c r="W104" s="160">
        <v>130.0</v>
      </c>
      <c r="X104" s="160">
        <v>83.0</v>
      </c>
      <c r="Y104" s="160">
        <v>2.0</v>
      </c>
      <c r="Z104" s="160">
        <v>47.0</v>
      </c>
      <c r="AA104" s="160">
        <v>0.0</v>
      </c>
      <c r="AB104" s="160">
        <v>0.0</v>
      </c>
      <c r="AC104" s="160">
        <v>0.0</v>
      </c>
      <c r="AD104" s="160">
        <v>0.0</v>
      </c>
      <c r="AE104" s="160">
        <v>1355.0</v>
      </c>
      <c r="AF104" s="160">
        <v>1532.0</v>
      </c>
      <c r="AG104" s="160">
        <v>295.0</v>
      </c>
      <c r="AH104" s="314">
        <f t="shared" si="2"/>
        <v>48122.84654</v>
      </c>
      <c r="AI104" s="314">
        <f t="shared" si="3"/>
        <v>5.193220339</v>
      </c>
      <c r="AJ104" s="316">
        <v>39855.0</v>
      </c>
      <c r="AK104" s="314">
        <f t="shared" si="63"/>
        <v>478260</v>
      </c>
      <c r="AL104" s="317">
        <v>226550.0</v>
      </c>
      <c r="AM104" s="318">
        <f t="shared" si="5"/>
        <v>0.04964765413</v>
      </c>
      <c r="AN104" s="314">
        <f t="shared" si="6"/>
        <v>283924.7946</v>
      </c>
      <c r="AO104" s="336">
        <f t="shared" ref="AO104:AO106" si="71">iferror(sum(I104:J104)/Sum(G104:H104),"")</f>
        <v>0.6958941044</v>
      </c>
      <c r="AP104" s="319">
        <v>0.0</v>
      </c>
      <c r="AQ104" s="160">
        <v>366.0</v>
      </c>
      <c r="AR104" s="160">
        <v>3408.0</v>
      </c>
      <c r="AS104" s="160">
        <v>4073.85</v>
      </c>
      <c r="AT104" s="160">
        <v>12.0</v>
      </c>
      <c r="AU104" s="160">
        <v>54.0</v>
      </c>
      <c r="AV104" s="320">
        <v>50.0</v>
      </c>
      <c r="AW104" s="320">
        <v>27.0</v>
      </c>
      <c r="AX104" s="320">
        <v>0.0</v>
      </c>
      <c r="AY104" s="321">
        <f>iferror(VLOOKUP(C104,'ORDER BOOKING REPORT 2025-26'!C:O,13,0),"")</f>
        <v>16156753</v>
      </c>
      <c r="AZ104" s="322"/>
      <c r="BA104" s="157" t="str">
        <f t="shared" si="7"/>
        <v>Active</v>
      </c>
      <c r="BB104" s="157" t="str">
        <f t="shared" si="8"/>
        <v>Old</v>
      </c>
      <c r="BC104" s="157" t="str">
        <f t="shared" ref="BC104:BC106" si="72">IFS(AO104&lt;50%,"Below 50%",AO104&lt;70%,"50%-70%",AO104&lt;90%,"70%-90%",AO104&lt;100%,"90%-100%",AO104&gt;100%,"Above 100%")</f>
        <v>50%-70%</v>
      </c>
      <c r="BD104" s="223">
        <f t="shared" ref="BD104:BD105" si="73">Match($BD$2,{"Apr","May","Jun","Jul","Aug","Sep","Oct","Nov","Dec","Jan","Feb","Mar"},0)</f>
        <v>12</v>
      </c>
      <c r="BE104" s="323">
        <v>1700000.0</v>
      </c>
      <c r="BF104" s="157">
        <f t="shared" si="10"/>
        <v>0</v>
      </c>
      <c r="BG104" s="157" t="s">
        <v>1019</v>
      </c>
      <c r="BH104" s="324"/>
      <c r="BI104" s="324"/>
      <c r="BJ104" s="325"/>
      <c r="BK104" s="326"/>
      <c r="BL104" s="326">
        <f t="shared" si="48"/>
        <v>0</v>
      </c>
      <c r="BM104" s="326">
        <f t="shared" si="12"/>
        <v>20400000</v>
      </c>
      <c r="BN104" s="326"/>
      <c r="BO104" s="327" t="str">
        <f>IFERROR(__xludf.DUMMYFUNCTION("IFERROR(ArrayFormula(SUM(VLOOKUP($C104,importrange(""1MwNMVzWE3QBVOyJjKr3eFX-Sq1Ng0Q1sghWJbgbE_8g"",""ORDER BOOKING REPORT 2024-25!C:CV""),{16,23,30},0))))"),"")</f>
        <v/>
      </c>
      <c r="BP104" s="327" t="str">
        <f>IFERROR(__xludf.DUMMYFUNCTION("IFERROR(ArrayFormula(SUM(VLOOKUP($C104,importrange(""1MwNMVzWE3QBVOyJjKr3eFX-Sq1Ng0Q1sghWJbgbE_8g"",""ORDER BOOKING REPORT 2024-25!C:CV""),{37,44,51},0))))"),"")</f>
        <v/>
      </c>
      <c r="BQ104" s="327" t="str">
        <f>IFERROR(__xludf.DUMMYFUNCTION("IFERROR(ArrayFormula(SUM(VLOOKUP($C104,importrange(""1MwNMVzWE3QBVOyJjKr3eFX-Sq1Ng0Q1sghWJbgbE_8g"",""ORDER BOOKING REPORT 2024-25!C:CV""),{58,65,72},0))))"),"")</f>
        <v/>
      </c>
      <c r="BR104" s="327" t="str">
        <f>IFERROR(__xludf.DUMMYFUNCTION("IFERROR(ArrayFormula(SUM(VLOOKUP($C104,importrange(""1MwNMVzWE3QBVOyJjKr3eFX-Sq1Ng0Q1sghWJbgbE_8g"",""ORDER BOOKING REPORT 2024-25!C:CV""),{79,86,93},0))))"),"")</f>
        <v/>
      </c>
      <c r="BS104" s="328">
        <f t="shared" si="13"/>
        <v>0.7919976961</v>
      </c>
      <c r="BT104" s="328">
        <f t="shared" si="14"/>
        <v>0.04362324534</v>
      </c>
      <c r="BU104" s="234">
        <f t="shared" si="15"/>
        <v>0</v>
      </c>
      <c r="BV104" s="329">
        <v>39855.0</v>
      </c>
      <c r="BW104" s="329" t="s">
        <v>1045</v>
      </c>
      <c r="BX104" s="329">
        <v>1018.0</v>
      </c>
      <c r="BY104" s="234">
        <f t="shared" si="16"/>
        <v>0</v>
      </c>
      <c r="BZ104" s="234"/>
      <c r="CA104" s="234"/>
      <c r="CB104" s="234"/>
      <c r="CC104" s="234"/>
      <c r="CD104" s="234"/>
      <c r="CE104" s="234"/>
      <c r="CF104" s="234"/>
      <c r="CG104" s="234" t="str">
        <f t="shared" si="19"/>
        <v> </v>
      </c>
      <c r="CH104" s="234" t="str">
        <f t="shared" si="27"/>
        <v>Business Achieved 50%</v>
      </c>
      <c r="CI104" s="328">
        <f t="shared" si="20"/>
        <v>0.6493506494</v>
      </c>
      <c r="CJ104" s="330">
        <f>IFERROR(__xludf.DUMMYFUNCTION("""COMPUTED_VALUE"""),921.0)</f>
        <v>921</v>
      </c>
      <c r="CK104" s="330">
        <f>IFERROR(__xludf.DUMMYFUNCTION("""COMPUTED_VALUE"""),434.0)</f>
        <v>434</v>
      </c>
      <c r="CL104" s="330">
        <f>IFERROR(__xludf.DUMMYFUNCTION("""COMPUTED_VALUE"""),0.0)</f>
        <v>0</v>
      </c>
      <c r="CM104" s="331">
        <f t="shared" si="21"/>
        <v>0</v>
      </c>
      <c r="CN104" s="337"/>
      <c r="CO104" s="160"/>
      <c r="CP104" s="334"/>
      <c r="CQ104" s="335"/>
      <c r="CR104" s="160"/>
      <c r="CS104" s="160"/>
      <c r="CT104" s="160"/>
      <c r="CU104" s="160"/>
      <c r="CV104" s="160"/>
      <c r="CW104" s="335"/>
      <c r="CX104" s="288"/>
      <c r="CY104" s="160"/>
      <c r="CZ104" s="160"/>
    </row>
    <row r="105">
      <c r="A105" s="157" t="s">
        <v>185</v>
      </c>
      <c r="B105" s="157" t="s">
        <v>222</v>
      </c>
      <c r="C105" s="157" t="s">
        <v>261</v>
      </c>
      <c r="D105" s="157" t="s">
        <v>1088</v>
      </c>
      <c r="E105" s="157" t="s">
        <v>262</v>
      </c>
      <c r="F105" s="338">
        <v>45292.0</v>
      </c>
      <c r="G105" s="314">
        <v>0.0</v>
      </c>
      <c r="H105" s="314">
        <v>1.8E7</v>
      </c>
      <c r="I105" s="315">
        <v>1.077168357E7</v>
      </c>
      <c r="J105" s="315">
        <v>0.0</v>
      </c>
      <c r="K105" s="160">
        <v>41.0</v>
      </c>
      <c r="L105" s="160">
        <v>38.0</v>
      </c>
      <c r="M105" s="160">
        <v>1.0</v>
      </c>
      <c r="N105" s="160">
        <v>42.0</v>
      </c>
      <c r="O105" s="160">
        <v>4.0</v>
      </c>
      <c r="P105" s="315">
        <v>1.028293887E7</v>
      </c>
      <c r="Q105" s="315">
        <v>488744.7</v>
      </c>
      <c r="R105" s="160">
        <v>27.0</v>
      </c>
      <c r="S105" s="160">
        <v>1.0</v>
      </c>
      <c r="T105" s="160">
        <v>28.0</v>
      </c>
      <c r="U105" s="160">
        <v>0.0</v>
      </c>
      <c r="V105" s="160">
        <v>29.0</v>
      </c>
      <c r="W105" s="160">
        <v>61.0</v>
      </c>
      <c r="X105" s="160">
        <v>59.0</v>
      </c>
      <c r="Y105" s="160">
        <v>1.0</v>
      </c>
      <c r="Z105" s="160">
        <v>1.0</v>
      </c>
      <c r="AA105" s="160">
        <v>0.0</v>
      </c>
      <c r="AB105" s="160">
        <v>0.0</v>
      </c>
      <c r="AC105" s="160">
        <v>0.0</v>
      </c>
      <c r="AD105" s="160">
        <v>0.0</v>
      </c>
      <c r="AE105" s="160">
        <v>1478.0</v>
      </c>
      <c r="AF105" s="160">
        <v>1540.0</v>
      </c>
      <c r="AG105" s="160">
        <v>265.0</v>
      </c>
      <c r="AH105" s="314">
        <f t="shared" si="2"/>
        <v>40647.86253</v>
      </c>
      <c r="AI105" s="314">
        <f t="shared" si="3"/>
        <v>5.811320755</v>
      </c>
      <c r="AJ105" s="316">
        <v>29430.0</v>
      </c>
      <c r="AK105" s="314">
        <f t="shared" si="63"/>
        <v>353160</v>
      </c>
      <c r="AL105" s="317">
        <v>192905.0</v>
      </c>
      <c r="AM105" s="318">
        <f t="shared" si="5"/>
        <v>0.05069448953</v>
      </c>
      <c r="AN105" s="314">
        <f t="shared" si="6"/>
        <v>384702.9846</v>
      </c>
      <c r="AO105" s="336">
        <f t="shared" si="71"/>
        <v>0.598426865</v>
      </c>
      <c r="AP105" s="319">
        <v>0.0</v>
      </c>
      <c r="AQ105" s="160">
        <v>115.0</v>
      </c>
      <c r="AR105" s="160">
        <v>3089.0</v>
      </c>
      <c r="AS105" s="160">
        <v>1041.03</v>
      </c>
      <c r="AT105" s="160">
        <v>1.0</v>
      </c>
      <c r="AU105" s="160">
        <v>27.0</v>
      </c>
      <c r="AV105" s="320">
        <v>28.0</v>
      </c>
      <c r="AW105" s="320">
        <v>11.0</v>
      </c>
      <c r="AX105" s="320">
        <v>3.0</v>
      </c>
      <c r="AY105" s="321">
        <f>iferror(VLOOKUP(C105,'ORDER BOOKING REPORT 2025-26'!C:O,13,0),"")</f>
        <v>10974660</v>
      </c>
      <c r="AZ105" s="322"/>
      <c r="BA105" s="157" t="str">
        <f t="shared" si="7"/>
        <v>Active</v>
      </c>
      <c r="BB105" s="157" t="str">
        <f t="shared" si="8"/>
        <v>Old</v>
      </c>
      <c r="BC105" s="157" t="str">
        <f t="shared" si="72"/>
        <v>50%-70%</v>
      </c>
      <c r="BD105" s="223">
        <f t="shared" si="73"/>
        <v>12</v>
      </c>
      <c r="BE105" s="323">
        <v>1500000.0</v>
      </c>
      <c r="BF105" s="157">
        <f t="shared" si="10"/>
        <v>0</v>
      </c>
      <c r="BG105" s="157" t="s">
        <v>1019</v>
      </c>
      <c r="BH105" s="324"/>
      <c r="BI105" s="324"/>
      <c r="BJ105" s="325"/>
      <c r="BK105" s="326"/>
      <c r="BL105" s="326">
        <f t="shared" si="48"/>
        <v>0</v>
      </c>
      <c r="BM105" s="326">
        <f t="shared" si="12"/>
        <v>18000000</v>
      </c>
      <c r="BN105" s="326"/>
      <c r="BO105" s="327" t="str">
        <f>IFERROR(__xludf.DUMMYFUNCTION("IFERROR(ArrayFormula(SUM(VLOOKUP($C105,importrange(""1MwNMVzWE3QBVOyJjKr3eFX-Sq1Ng0Q1sghWJbgbE_8g"",""ORDER BOOKING REPORT 2024-25!C:CV""),{16,23,30},0))))"),"")</f>
        <v/>
      </c>
      <c r="BP105" s="327" t="str">
        <f>IFERROR(__xludf.DUMMYFUNCTION("IFERROR(ArrayFormula(SUM(VLOOKUP($C105,importrange(""1MwNMVzWE3QBVOyJjKr3eFX-Sq1Ng0Q1sghWJbgbE_8g"",""ORDER BOOKING REPORT 2024-25!C:CV""),{37,44,51},0))))"),"")</f>
        <v/>
      </c>
      <c r="BQ105" s="327" t="str">
        <f>IFERROR(__xludf.DUMMYFUNCTION("IFERROR(ArrayFormula(SUM(VLOOKUP($C105,importrange(""1MwNMVzWE3QBVOyJjKr3eFX-Sq1Ng0Q1sghWJbgbE_8g"",""ORDER BOOKING REPORT 2024-25!C:CV""),{58,65,72},0))))"),"")</f>
        <v/>
      </c>
      <c r="BR105" s="327" t="str">
        <f>IFERROR(__xludf.DUMMYFUNCTION("IFERROR(ArrayFormula(SUM(VLOOKUP($C105,importrange(""1MwNMVzWE3QBVOyJjKr3eFX-Sq1Ng0Q1sghWJbgbE_8g"",""ORDER BOOKING REPORT 2024-25!C:CV""),{79,86,93},0))))"),"")</f>
        <v/>
      </c>
      <c r="BS105" s="328">
        <f t="shared" si="13"/>
        <v>0.6097033333</v>
      </c>
      <c r="BT105" s="328">
        <f t="shared" si="14"/>
        <v>0.04975689452</v>
      </c>
      <c r="BU105" s="234">
        <f t="shared" si="15"/>
        <v>0</v>
      </c>
      <c r="BV105" s="329">
        <v>29430.0</v>
      </c>
      <c r="BW105" s="329" t="s">
        <v>1045</v>
      </c>
      <c r="BX105" s="329">
        <v>1043.0</v>
      </c>
      <c r="BY105" s="234">
        <f t="shared" si="16"/>
        <v>0</v>
      </c>
      <c r="BZ105" s="234"/>
      <c r="CA105" s="234"/>
      <c r="CB105" s="234"/>
      <c r="CC105" s="234"/>
      <c r="CD105" s="234"/>
      <c r="CE105" s="234"/>
      <c r="CF105" s="234"/>
      <c r="CG105" s="234" t="str">
        <f t="shared" si="19"/>
        <v>Below 60</v>
      </c>
      <c r="CH105" s="234" t="str">
        <f t="shared" si="27"/>
        <v>Business Achieved 50%</v>
      </c>
      <c r="CI105" s="328">
        <f t="shared" si="20"/>
        <v>0.6666666667</v>
      </c>
      <c r="CJ105" s="330">
        <f>IFERROR(__xludf.DUMMYFUNCTION("""COMPUTED_VALUE"""),1158.0)</f>
        <v>1158</v>
      </c>
      <c r="CK105" s="330">
        <f>IFERROR(__xludf.DUMMYFUNCTION("""COMPUTED_VALUE"""),320.0)</f>
        <v>320</v>
      </c>
      <c r="CL105" s="330">
        <f>IFERROR(__xludf.DUMMYFUNCTION("""COMPUTED_VALUE"""),0.0)</f>
        <v>0</v>
      </c>
      <c r="CM105" s="331">
        <f t="shared" si="21"/>
        <v>0</v>
      </c>
      <c r="CN105" s="337"/>
      <c r="CO105" s="160"/>
      <c r="CP105" s="334"/>
      <c r="CQ105" s="335"/>
      <c r="CR105" s="160"/>
      <c r="CS105" s="160"/>
      <c r="CT105" s="160"/>
      <c r="CU105" s="160"/>
      <c r="CV105" s="160"/>
      <c r="CW105" s="335"/>
      <c r="CX105" s="288"/>
      <c r="CY105" s="160"/>
      <c r="CZ105" s="160"/>
    </row>
    <row r="106">
      <c r="A106" s="157" t="s">
        <v>185</v>
      </c>
      <c r="B106" s="157" t="s">
        <v>85</v>
      </c>
      <c r="C106" s="157" t="s">
        <v>394</v>
      </c>
      <c r="D106" s="157" t="s">
        <v>1058</v>
      </c>
      <c r="E106" s="157" t="s">
        <v>91</v>
      </c>
      <c r="F106" s="338">
        <v>45294.0</v>
      </c>
      <c r="G106" s="314">
        <v>0.0</v>
      </c>
      <c r="H106" s="314">
        <v>1.5000003E7</v>
      </c>
      <c r="I106" s="315">
        <v>9331955.65</v>
      </c>
      <c r="J106" s="315">
        <v>0.0</v>
      </c>
      <c r="K106" s="160">
        <v>98.0</v>
      </c>
      <c r="L106" s="160">
        <v>104.0</v>
      </c>
      <c r="M106" s="160">
        <v>36.0</v>
      </c>
      <c r="N106" s="160">
        <v>134.0</v>
      </c>
      <c r="O106" s="160">
        <v>30.0</v>
      </c>
      <c r="P106" s="315">
        <v>7371986.5</v>
      </c>
      <c r="Q106" s="315">
        <v>1959969.15</v>
      </c>
      <c r="R106" s="160">
        <v>38.0</v>
      </c>
      <c r="S106" s="160">
        <v>20.0</v>
      </c>
      <c r="T106" s="160">
        <v>58.0</v>
      </c>
      <c r="U106" s="160">
        <v>0.0</v>
      </c>
      <c r="V106" s="160">
        <v>20.0</v>
      </c>
      <c r="W106" s="160">
        <v>24.0</v>
      </c>
      <c r="X106" s="160">
        <v>83.0</v>
      </c>
      <c r="Y106" s="160">
        <v>5.0</v>
      </c>
      <c r="Z106" s="160">
        <v>62.0</v>
      </c>
      <c r="AA106" s="160">
        <v>2.0</v>
      </c>
      <c r="AB106" s="160">
        <v>42.0</v>
      </c>
      <c r="AC106" s="160">
        <v>4.0</v>
      </c>
      <c r="AD106" s="160">
        <v>10.0</v>
      </c>
      <c r="AE106" s="160">
        <v>431.0</v>
      </c>
      <c r="AF106" s="160">
        <v>569.0</v>
      </c>
      <c r="AG106" s="160">
        <v>225.0</v>
      </c>
      <c r="AH106" s="314">
        <f t="shared" si="2"/>
        <v>41475.35844</v>
      </c>
      <c r="AI106" s="314">
        <f t="shared" si="3"/>
        <v>2.528888889</v>
      </c>
      <c r="AJ106" s="316">
        <f>BV106</f>
        <v>66887</v>
      </c>
      <c r="AK106" s="314">
        <f t="shared" si="63"/>
        <v>601983</v>
      </c>
      <c r="AL106" s="286">
        <v>289086.0</v>
      </c>
      <c r="AM106" s="318">
        <f t="shared" si="5"/>
        <v>0.09548577312</v>
      </c>
      <c r="AN106" s="314">
        <f t="shared" si="6"/>
        <v>160895.7871</v>
      </c>
      <c r="AO106" s="336">
        <f t="shared" si="71"/>
        <v>0.6221302522</v>
      </c>
      <c r="AP106" s="319">
        <v>0.0</v>
      </c>
      <c r="AQ106" s="160">
        <v>168.0</v>
      </c>
      <c r="AR106" s="160">
        <v>2312.0</v>
      </c>
      <c r="AS106" s="160">
        <v>0.0</v>
      </c>
      <c r="AT106" s="160">
        <v>20.0</v>
      </c>
      <c r="AU106" s="160">
        <v>0.0</v>
      </c>
      <c r="AV106" s="320">
        <v>58.0</v>
      </c>
      <c r="AW106" s="320">
        <v>49.0</v>
      </c>
      <c r="AX106" s="320">
        <v>27.0</v>
      </c>
      <c r="AY106" s="321">
        <f>iferror(VLOOKUP(C106,'ORDER BOOKING REPORT 2025-26'!C:O,13,0),"")</f>
        <v>7732989.1</v>
      </c>
      <c r="AZ106" s="322">
        <v>46022.0</v>
      </c>
      <c r="BA106" s="157" t="str">
        <f t="shared" si="7"/>
        <v>LEFT</v>
      </c>
      <c r="BB106" s="157" t="str">
        <f t="shared" si="8"/>
        <v>Old</v>
      </c>
      <c r="BC106" s="157" t="str">
        <f t="shared" si="72"/>
        <v>50%-70%</v>
      </c>
      <c r="BD106" s="223">
        <v>9.0</v>
      </c>
      <c r="BE106" s="323">
        <v>1666667.0</v>
      </c>
      <c r="BF106" s="157">
        <f t="shared" si="10"/>
        <v>16</v>
      </c>
      <c r="BG106" s="157" t="s">
        <v>1019</v>
      </c>
      <c r="BH106" s="324"/>
      <c r="BI106" s="324"/>
      <c r="BJ106" s="325"/>
      <c r="BK106" s="326"/>
      <c r="BL106" s="326">
        <f t="shared" si="48"/>
        <v>0</v>
      </c>
      <c r="BM106" s="326">
        <f t="shared" si="12"/>
        <v>15000003</v>
      </c>
      <c r="BN106" s="326"/>
      <c r="BO106" s="327" t="str">
        <f>IFERROR(__xludf.DUMMYFUNCTION("IFERROR(ArrayFormula(SUM(VLOOKUP($C106,importrange(""1MwNMVzWE3QBVOyJjKr3eFX-Sq1Ng0Q1sghWJbgbE_8g"",""ORDER BOOKING REPORT 2024-25!C:CV""),{16,23,30},0))))"),"")</f>
        <v/>
      </c>
      <c r="BP106" s="327" t="str">
        <f>IFERROR(__xludf.DUMMYFUNCTION("IFERROR(ArrayFormula(SUM(VLOOKUP($C106,importrange(""1MwNMVzWE3QBVOyJjKr3eFX-Sq1Ng0Q1sghWJbgbE_8g"",""ORDER BOOKING REPORT 2024-25!C:CV""),{37,44,51},0))))"),"")</f>
        <v/>
      </c>
      <c r="BQ106" s="327" t="str">
        <f>IFERROR(__xludf.DUMMYFUNCTION("IFERROR(ArrayFormula(SUM(VLOOKUP($C106,importrange(""1MwNMVzWE3QBVOyJjKr3eFX-Sq1Ng0Q1sghWJbgbE_8g"",""ORDER BOOKING REPORT 2024-25!C:CV""),{58,65,72},0))))"),"")</f>
        <v/>
      </c>
      <c r="BR106" s="327" t="str">
        <f>IFERROR(__xludf.DUMMYFUNCTION("IFERROR(ArrayFormula(SUM(VLOOKUP($C106,importrange(""1MwNMVzWE3QBVOyJjKr3eFX-Sq1Ng0Q1sghWJbgbE_8g"",""ORDER BOOKING REPORT 2024-25!C:CV""),{79,86,93},0))))"),"")</f>
        <v/>
      </c>
      <c r="BS106" s="328">
        <f t="shared" si="13"/>
        <v>0.5155325036</v>
      </c>
      <c r="BT106" s="328">
        <f t="shared" si="14"/>
        <v>0.1152295689</v>
      </c>
      <c r="BU106" s="234">
        <f t="shared" si="15"/>
        <v>0</v>
      </c>
      <c r="BV106" s="329">
        <v>66887.0</v>
      </c>
      <c r="BW106" s="329" t="s">
        <v>1017</v>
      </c>
      <c r="BX106" s="329">
        <v>1029.0</v>
      </c>
      <c r="BY106" s="234">
        <f t="shared" si="16"/>
        <v>0</v>
      </c>
      <c r="BZ106" s="234"/>
      <c r="CA106" s="234"/>
      <c r="CB106" s="234"/>
      <c r="CC106" s="234"/>
      <c r="CD106" s="234"/>
      <c r="CE106" s="234"/>
      <c r="CF106" s="234"/>
      <c r="CG106" s="234" t="str">
        <f t="shared" si="19"/>
        <v> </v>
      </c>
      <c r="CH106" s="234" t="str">
        <f t="shared" si="27"/>
        <v>Not 50%</v>
      </c>
      <c r="CI106" s="328">
        <f t="shared" si="20"/>
        <v>0.4328358209</v>
      </c>
      <c r="CJ106" s="339">
        <f>IFERROR(__xludf.DUMMYFUNCTION("""COMPUTED_VALUE"""),323.0)</f>
        <v>323</v>
      </c>
      <c r="CK106" s="339">
        <f>IFERROR(__xludf.DUMMYFUNCTION("""COMPUTED_VALUE"""),108.0)</f>
        <v>108</v>
      </c>
      <c r="CL106" s="339">
        <f>IFERROR(__xludf.DUMMYFUNCTION("""COMPUTED_VALUE"""),0.0)</f>
        <v>0</v>
      </c>
      <c r="CM106" s="331">
        <f t="shared" si="21"/>
        <v>0</v>
      </c>
      <c r="CN106" s="340"/>
      <c r="CO106" s="328"/>
      <c r="CP106" s="341"/>
      <c r="CQ106" s="344"/>
      <c r="CR106" s="328"/>
      <c r="CS106" s="328"/>
      <c r="CT106" s="328"/>
      <c r="CU106" s="328"/>
      <c r="CV106" s="328"/>
      <c r="CW106" s="328"/>
      <c r="CX106" s="288"/>
      <c r="CY106" s="328"/>
      <c r="CZ106" s="328"/>
    </row>
    <row r="107">
      <c r="A107" s="157" t="s">
        <v>185</v>
      </c>
      <c r="B107" s="157" t="s">
        <v>189</v>
      </c>
      <c r="C107" s="157" t="s">
        <v>804</v>
      </c>
      <c r="D107" s="157" t="s">
        <v>1016</v>
      </c>
      <c r="E107" s="157" t="s">
        <v>187</v>
      </c>
      <c r="F107" s="338">
        <v>45295.0</v>
      </c>
      <c r="G107" s="314">
        <v>0.0</v>
      </c>
      <c r="H107" s="314">
        <v>0.0</v>
      </c>
      <c r="I107" s="315">
        <v>0.0</v>
      </c>
      <c r="J107" s="315">
        <v>0.0</v>
      </c>
      <c r="K107" s="160">
        <v>196.0</v>
      </c>
      <c r="L107" s="160">
        <v>196.0</v>
      </c>
      <c r="M107" s="160">
        <v>17.0</v>
      </c>
      <c r="N107" s="160">
        <v>213.0</v>
      </c>
      <c r="O107" s="160">
        <v>17.0</v>
      </c>
      <c r="P107" s="315">
        <v>0.0</v>
      </c>
      <c r="Q107" s="315">
        <v>0.0</v>
      </c>
      <c r="R107" s="160">
        <v>0.0</v>
      </c>
      <c r="S107" s="160">
        <v>0.0</v>
      </c>
      <c r="T107" s="160">
        <v>0.0</v>
      </c>
      <c r="U107" s="160">
        <v>0.0</v>
      </c>
      <c r="V107" s="160">
        <v>22.0</v>
      </c>
      <c r="W107" s="160">
        <v>31.0</v>
      </c>
      <c r="X107" s="160">
        <v>7.0</v>
      </c>
      <c r="Y107" s="160">
        <v>13.0</v>
      </c>
      <c r="Z107" s="160">
        <v>76.0</v>
      </c>
      <c r="AA107" s="160">
        <v>0.0</v>
      </c>
      <c r="AB107" s="160">
        <v>0.0</v>
      </c>
      <c r="AC107" s="160">
        <v>0.0</v>
      </c>
      <c r="AD107" s="160">
        <v>0.0</v>
      </c>
      <c r="AE107" s="160">
        <v>446.0</v>
      </c>
      <c r="AF107" s="160">
        <v>553.0</v>
      </c>
      <c r="AG107" s="160">
        <v>279.0</v>
      </c>
      <c r="AH107" s="314">
        <f t="shared" si="2"/>
        <v>0</v>
      </c>
      <c r="AI107" s="314">
        <f t="shared" si="3"/>
        <v>1.982078853</v>
      </c>
      <c r="AJ107" s="316">
        <v>88555.0</v>
      </c>
      <c r="AK107" s="314">
        <f t="shared" si="63"/>
        <v>1018382.5</v>
      </c>
      <c r="AL107" s="317">
        <v>244985.0</v>
      </c>
      <c r="AM107" s="318" t="str">
        <f t="shared" si="5"/>
        <v/>
      </c>
      <c r="AN107" s="314" t="str">
        <f t="shared" si="6"/>
        <v/>
      </c>
      <c r="AO107" s="286" t="s">
        <v>972</v>
      </c>
      <c r="AP107" s="319">
        <v>0.0</v>
      </c>
      <c r="AQ107" s="160">
        <v>0.0</v>
      </c>
      <c r="AR107" s="160">
        <v>3138.0</v>
      </c>
      <c r="AS107" s="160">
        <v>3636.35</v>
      </c>
      <c r="AT107" s="160">
        <v>0.0</v>
      </c>
      <c r="AU107" s="160">
        <v>19.0</v>
      </c>
      <c r="AV107" s="320">
        <v>0.0</v>
      </c>
      <c r="AW107" s="320">
        <v>196.0</v>
      </c>
      <c r="AX107" s="320">
        <v>17.0</v>
      </c>
      <c r="AY107" s="321" t="str">
        <f>iferror(VLOOKUP(C107,'ORDER BOOKING REPORT 2025-26'!C:O,13,0),"")</f>
        <v/>
      </c>
      <c r="AZ107" s="322"/>
      <c r="BA107" s="157" t="str">
        <f t="shared" si="7"/>
        <v>Active</v>
      </c>
      <c r="BB107" s="157" t="str">
        <f t="shared" si="8"/>
        <v>Old</v>
      </c>
      <c r="BC107" s="160" t="s">
        <v>972</v>
      </c>
      <c r="BD107" s="223">
        <v>11.5</v>
      </c>
      <c r="BE107" s="323"/>
      <c r="BF107" s="157">
        <f t="shared" si="10"/>
        <v>17</v>
      </c>
      <c r="BG107" s="234" t="s">
        <v>188</v>
      </c>
      <c r="BH107" s="324"/>
      <c r="BI107" s="324"/>
      <c r="BJ107" s="325"/>
      <c r="BK107" s="326"/>
      <c r="BL107" s="326">
        <f t="shared" si="48"/>
        <v>0</v>
      </c>
      <c r="BM107" s="326">
        <f t="shared" si="12"/>
        <v>0</v>
      </c>
      <c r="BN107" s="326"/>
      <c r="BO107" s="327" t="str">
        <f>IFERROR(__xludf.DUMMYFUNCTION("IFERROR(ArrayFormula(SUM(VLOOKUP($C107,importrange(""1MwNMVzWE3QBVOyJjKr3eFX-Sq1Ng0Q1sghWJbgbE_8g"",""ORDER BOOKING REPORT 2024-25!C:CV""),{16,23,30},0))))"),"")</f>
        <v/>
      </c>
      <c r="BP107" s="327" t="str">
        <f>IFERROR(__xludf.DUMMYFUNCTION("IFERROR(ArrayFormula(SUM(VLOOKUP($C107,importrange(""1MwNMVzWE3QBVOyJjKr3eFX-Sq1Ng0Q1sghWJbgbE_8g"",""ORDER BOOKING REPORT 2024-25!C:CV""),{37,44,51},0))))"),"")</f>
        <v/>
      </c>
      <c r="BQ107" s="327" t="str">
        <f>IFERROR(__xludf.DUMMYFUNCTION("IFERROR(ArrayFormula(SUM(VLOOKUP($C107,importrange(""1MwNMVzWE3QBVOyJjKr3eFX-Sq1Ng0Q1sghWJbgbE_8g"",""ORDER BOOKING REPORT 2024-25!C:CV""),{58,65,72},0))))"),"")</f>
        <v/>
      </c>
      <c r="BR107" s="327" t="str">
        <f>IFERROR(__xludf.DUMMYFUNCTION("IFERROR(ArrayFormula(SUM(VLOOKUP($C107,importrange(""1MwNMVzWE3QBVOyJjKr3eFX-Sq1Ng0Q1sghWJbgbE_8g"",""ORDER BOOKING REPORT 2024-25!C:CV""),{79,86,93},0))))"),"")</f>
        <v/>
      </c>
      <c r="BS107" s="328" t="str">
        <f t="shared" si="13"/>
        <v/>
      </c>
      <c r="BT107" s="328" t="str">
        <f t="shared" si="14"/>
        <v/>
      </c>
      <c r="BU107" s="234">
        <f t="shared" si="15"/>
        <v>0</v>
      </c>
      <c r="BV107" s="329">
        <v>88555.0</v>
      </c>
      <c r="BW107" s="329" t="s">
        <v>1017</v>
      </c>
      <c r="BX107" s="329">
        <v>1033.0</v>
      </c>
      <c r="BY107" s="234">
        <f t="shared" si="16"/>
        <v>0</v>
      </c>
      <c r="BZ107" s="234"/>
      <c r="CA107" s="234"/>
      <c r="CB107" s="234"/>
      <c r="CC107" s="234"/>
      <c r="CD107" s="234"/>
      <c r="CE107" s="234"/>
      <c r="CF107" s="234"/>
      <c r="CG107" s="234" t="str">
        <f t="shared" si="19"/>
        <v> </v>
      </c>
      <c r="CH107" s="234" t="str">
        <f t="shared" si="27"/>
        <v>Not 50%</v>
      </c>
      <c r="CI107" s="328">
        <f t="shared" si="20"/>
        <v>0</v>
      </c>
      <c r="CJ107" s="330"/>
      <c r="CK107" s="330"/>
      <c r="CL107" s="330"/>
      <c r="CM107" s="331">
        <f t="shared" si="21"/>
        <v>446</v>
      </c>
      <c r="CN107" s="337"/>
      <c r="CO107" s="160"/>
      <c r="CP107" s="334"/>
      <c r="CQ107" s="335"/>
      <c r="CR107" s="160"/>
      <c r="CS107" s="160"/>
      <c r="CT107" s="160"/>
      <c r="CU107" s="160"/>
      <c r="CV107" s="160"/>
      <c r="CW107" s="335"/>
      <c r="CX107" s="288"/>
      <c r="CY107" s="160"/>
      <c r="CZ107" s="160"/>
    </row>
    <row r="108">
      <c r="A108" s="157" t="s">
        <v>185</v>
      </c>
      <c r="B108" s="157" t="s">
        <v>222</v>
      </c>
      <c r="C108" s="157" t="s">
        <v>809</v>
      </c>
      <c r="D108" s="157" t="s">
        <v>1089</v>
      </c>
      <c r="E108" s="157" t="s">
        <v>1090</v>
      </c>
      <c r="F108" s="285">
        <v>45309.0</v>
      </c>
      <c r="G108" s="314">
        <v>0.0</v>
      </c>
      <c r="H108" s="314">
        <v>1.8E7</v>
      </c>
      <c r="I108" s="315">
        <v>1.707103486E7</v>
      </c>
      <c r="J108" s="315">
        <v>0.0</v>
      </c>
      <c r="K108" s="160">
        <v>107.0</v>
      </c>
      <c r="L108" s="160">
        <v>109.0</v>
      </c>
      <c r="M108" s="160">
        <v>7.0</v>
      </c>
      <c r="N108" s="160">
        <v>114.0</v>
      </c>
      <c r="O108" s="160">
        <v>5.0</v>
      </c>
      <c r="P108" s="315">
        <v>1.583207812E7</v>
      </c>
      <c r="Q108" s="315">
        <v>1238956.74</v>
      </c>
      <c r="R108" s="160">
        <v>60.0</v>
      </c>
      <c r="S108" s="160">
        <v>7.0</v>
      </c>
      <c r="T108" s="160">
        <v>67.0</v>
      </c>
      <c r="U108" s="160">
        <v>0.0</v>
      </c>
      <c r="V108" s="160">
        <v>14.0</v>
      </c>
      <c r="W108" s="160">
        <v>27.0</v>
      </c>
      <c r="X108" s="160">
        <v>75.0</v>
      </c>
      <c r="Y108" s="160">
        <v>1.0</v>
      </c>
      <c r="Z108" s="160">
        <v>15.0</v>
      </c>
      <c r="AA108" s="160">
        <v>0.0</v>
      </c>
      <c r="AB108" s="160">
        <v>0.0</v>
      </c>
      <c r="AC108" s="160">
        <v>0.0</v>
      </c>
      <c r="AD108" s="160">
        <v>0.0</v>
      </c>
      <c r="AE108" s="160">
        <v>1183.0</v>
      </c>
      <c r="AF108" s="160">
        <v>1225.0</v>
      </c>
      <c r="AG108" s="160">
        <v>277.0</v>
      </c>
      <c r="AH108" s="314">
        <f t="shared" si="2"/>
        <v>61628.28469</v>
      </c>
      <c r="AI108" s="314">
        <f t="shared" si="3"/>
        <v>4.422382671</v>
      </c>
      <c r="AJ108" s="316">
        <v>42820.0</v>
      </c>
      <c r="AK108" s="314">
        <f t="shared" si="63"/>
        <v>513840</v>
      </c>
      <c r="AL108" s="317">
        <v>208745.0</v>
      </c>
      <c r="AM108" s="318">
        <f t="shared" si="5"/>
        <v>0.04232813101</v>
      </c>
      <c r="AN108" s="314">
        <f t="shared" si="6"/>
        <v>254791.5651</v>
      </c>
      <c r="AO108" s="336">
        <f t="shared" ref="AO108:AO109" si="74">iferror(sum(I108:J108)/Sum(G108:H108),"")</f>
        <v>0.9483908256</v>
      </c>
      <c r="AP108" s="319">
        <v>0.0</v>
      </c>
      <c r="AQ108" s="160">
        <v>273.0</v>
      </c>
      <c r="AR108" s="160">
        <v>2592.0</v>
      </c>
      <c r="AS108" s="160">
        <v>1879.91</v>
      </c>
      <c r="AT108" s="160">
        <v>7.0</v>
      </c>
      <c r="AU108" s="160">
        <v>17.0</v>
      </c>
      <c r="AV108" s="320">
        <v>67.0</v>
      </c>
      <c r="AW108" s="320">
        <v>43.0</v>
      </c>
      <c r="AX108" s="320">
        <v>4.0</v>
      </c>
      <c r="AY108" s="321">
        <f>iferror(VLOOKUP(C108,'ORDER BOOKING REPORT 2025-26'!C:O,13,0),"")</f>
        <v>17208893</v>
      </c>
      <c r="AZ108" s="322"/>
      <c r="BA108" s="157" t="str">
        <f t="shared" si="7"/>
        <v>Active</v>
      </c>
      <c r="BB108" s="157" t="str">
        <f t="shared" si="8"/>
        <v>Old</v>
      </c>
      <c r="BC108" s="157" t="str">
        <f t="shared" ref="BC108:BC109" si="75">IFS(AO108&lt;50%,"Below 50%",AO108&lt;70%,"50%-70%",AO108&lt;90%,"70%-90%",AO108&lt;100%,"90%-100%",AO108&gt;100%,"Above 100%")</f>
        <v>90%-100%</v>
      </c>
      <c r="BD108" s="223">
        <f t="shared" ref="BD108:BD109" si="76">Match($BD$2,{"Apr","May","Jun","Jul","Aug","Sep","Oct","Nov","Dec","Jan","Feb","Mar"},0)</f>
        <v>12</v>
      </c>
      <c r="BE108" s="323">
        <v>1500000.0</v>
      </c>
      <c r="BF108" s="157">
        <f t="shared" si="10"/>
        <v>0</v>
      </c>
      <c r="BG108" s="157" t="s">
        <v>1019</v>
      </c>
      <c r="BH108" s="324"/>
      <c r="BI108" s="324"/>
      <c r="BJ108" s="325"/>
      <c r="BK108" s="326"/>
      <c r="BL108" s="326">
        <f t="shared" si="48"/>
        <v>0</v>
      </c>
      <c r="BM108" s="326">
        <f t="shared" si="12"/>
        <v>18000000</v>
      </c>
      <c r="BN108" s="326"/>
      <c r="BO108" s="327" t="str">
        <f>IFERROR(__xludf.DUMMYFUNCTION("IFERROR(ArrayFormula(SUM(VLOOKUP($C108,importrange(""1MwNMVzWE3QBVOyJjKr3eFX-Sq1Ng0Q1sghWJbgbE_8g"",""ORDER BOOKING REPORT 2024-25!C:CV""),{16,23,30},0))))"),"")</f>
        <v/>
      </c>
      <c r="BP108" s="327" t="str">
        <f>IFERROR(__xludf.DUMMYFUNCTION("IFERROR(ArrayFormula(SUM(VLOOKUP($C108,importrange(""1MwNMVzWE3QBVOyJjKr3eFX-Sq1Ng0Q1sghWJbgbE_8g"",""ORDER BOOKING REPORT 2024-25!C:CV""),{37,44,51},0))))"),"")</f>
        <v/>
      </c>
      <c r="BQ108" s="327" t="str">
        <f>IFERROR(__xludf.DUMMYFUNCTION("IFERROR(ArrayFormula(SUM(VLOOKUP($C108,importrange(""1MwNMVzWE3QBVOyJjKr3eFX-Sq1Ng0Q1sghWJbgbE_8g"",""ORDER BOOKING REPORT 2024-25!C:CV""),{58,65,72},0))))"),"")</f>
        <v/>
      </c>
      <c r="BR108" s="327" t="str">
        <f>IFERROR(__xludf.DUMMYFUNCTION("IFERROR(ArrayFormula(SUM(VLOOKUP($C108,importrange(""1MwNMVzWE3QBVOyJjKr3eFX-Sq1Ng0Q1sghWJbgbE_8g"",""ORDER BOOKING REPORT 2024-25!C:CV""),{79,86,93},0))))"),"")</f>
        <v/>
      </c>
      <c r="BS108" s="328">
        <f t="shared" si="13"/>
        <v>0.9560496111</v>
      </c>
      <c r="BT108" s="328">
        <f t="shared" si="14"/>
        <v>0.04198904601</v>
      </c>
      <c r="BU108" s="234">
        <f t="shared" si="15"/>
        <v>0</v>
      </c>
      <c r="BV108" s="329">
        <v>42820.0</v>
      </c>
      <c r="BW108" s="329" t="s">
        <v>1045</v>
      </c>
      <c r="BX108" s="329">
        <v>1041.0</v>
      </c>
      <c r="BY108" s="234">
        <f t="shared" si="16"/>
        <v>0</v>
      </c>
      <c r="BZ108" s="234"/>
      <c r="CA108" s="234"/>
      <c r="CB108" s="234"/>
      <c r="CC108" s="234"/>
      <c r="CD108" s="234"/>
      <c r="CE108" s="234"/>
      <c r="CF108" s="234"/>
      <c r="CG108" s="234" t="str">
        <f t="shared" si="19"/>
        <v> </v>
      </c>
      <c r="CH108" s="234" t="str">
        <f t="shared" si="27"/>
        <v>Business Achieved 50%</v>
      </c>
      <c r="CI108" s="328">
        <f t="shared" si="20"/>
        <v>0.5877192982</v>
      </c>
      <c r="CJ108" s="330">
        <f>IFERROR(__xludf.DUMMYFUNCTION("""COMPUTED_VALUE"""),835.0)</f>
        <v>835</v>
      </c>
      <c r="CK108" s="330">
        <f>IFERROR(__xludf.DUMMYFUNCTION("""COMPUTED_VALUE"""),348.0)</f>
        <v>348</v>
      </c>
      <c r="CL108" s="330">
        <f>IFERROR(__xludf.DUMMYFUNCTION("""COMPUTED_VALUE"""),0.0)</f>
        <v>0</v>
      </c>
      <c r="CM108" s="331">
        <f t="shared" si="21"/>
        <v>0</v>
      </c>
      <c r="CN108" s="337"/>
      <c r="CO108" s="160"/>
      <c r="CP108" s="334"/>
      <c r="CQ108" s="335"/>
      <c r="CR108" s="160"/>
      <c r="CS108" s="160"/>
      <c r="CT108" s="160"/>
      <c r="CU108" s="160"/>
      <c r="CV108" s="160"/>
      <c r="CW108" s="335"/>
      <c r="CX108" s="288"/>
      <c r="CY108" s="160"/>
      <c r="CZ108" s="160"/>
    </row>
    <row r="109">
      <c r="A109" s="157" t="s">
        <v>47</v>
      </c>
      <c r="B109" s="157" t="s">
        <v>50</v>
      </c>
      <c r="C109" s="157" t="s">
        <v>48</v>
      </c>
      <c r="D109" s="157" t="s">
        <v>1091</v>
      </c>
      <c r="E109" s="157" t="s">
        <v>49</v>
      </c>
      <c r="F109" s="285">
        <v>45311.0</v>
      </c>
      <c r="G109" s="314">
        <v>0.0</v>
      </c>
      <c r="H109" s="314">
        <v>9999996.0</v>
      </c>
      <c r="I109" s="315">
        <v>6639185.49</v>
      </c>
      <c r="J109" s="315">
        <v>0.0</v>
      </c>
      <c r="K109" s="160">
        <v>68.0</v>
      </c>
      <c r="L109" s="160">
        <v>75.0</v>
      </c>
      <c r="M109" s="160">
        <v>9.0</v>
      </c>
      <c r="N109" s="160">
        <v>77.0</v>
      </c>
      <c r="O109" s="160">
        <v>2.0</v>
      </c>
      <c r="P109" s="315">
        <v>5974912.06</v>
      </c>
      <c r="Q109" s="315">
        <v>664273.43</v>
      </c>
      <c r="R109" s="160">
        <v>66.0</v>
      </c>
      <c r="S109" s="160">
        <v>7.0</v>
      </c>
      <c r="T109" s="160">
        <v>73.0</v>
      </c>
      <c r="U109" s="160">
        <v>0.0</v>
      </c>
      <c r="V109" s="160">
        <v>66.0</v>
      </c>
      <c r="W109" s="160">
        <v>139.0</v>
      </c>
      <c r="X109" s="160">
        <v>170.0</v>
      </c>
      <c r="Y109" s="160">
        <v>1.0</v>
      </c>
      <c r="Z109" s="160">
        <v>201.0</v>
      </c>
      <c r="AA109" s="160">
        <v>1.0</v>
      </c>
      <c r="AB109" s="160">
        <v>2.0</v>
      </c>
      <c r="AC109" s="160">
        <v>1.0</v>
      </c>
      <c r="AD109" s="160">
        <v>2.0</v>
      </c>
      <c r="AE109" s="160">
        <v>1609.0</v>
      </c>
      <c r="AF109" s="160">
        <v>1953.0</v>
      </c>
      <c r="AG109" s="160">
        <v>283.0</v>
      </c>
      <c r="AH109" s="314">
        <f t="shared" si="2"/>
        <v>23460.0194</v>
      </c>
      <c r="AI109" s="314">
        <f t="shared" si="3"/>
        <v>6.901060071</v>
      </c>
      <c r="AJ109" s="316">
        <f>BV109</f>
        <v>28835</v>
      </c>
      <c r="AK109" s="314">
        <f t="shared" si="63"/>
        <v>346020</v>
      </c>
      <c r="AL109" s="286">
        <v>172369.0</v>
      </c>
      <c r="AM109" s="318">
        <f t="shared" si="5"/>
        <v>0.07808021041</v>
      </c>
      <c r="AN109" s="314">
        <f t="shared" si="6"/>
        <v>90947.74644</v>
      </c>
      <c r="AO109" s="336">
        <f t="shared" si="74"/>
        <v>0.6639188146</v>
      </c>
      <c r="AP109" s="319">
        <v>0.0</v>
      </c>
      <c r="AQ109" s="160">
        <v>970.0</v>
      </c>
      <c r="AR109" s="160">
        <v>2660.0</v>
      </c>
      <c r="AS109" s="160">
        <v>5053.19</v>
      </c>
      <c r="AT109" s="160">
        <v>7.0</v>
      </c>
      <c r="AU109" s="160">
        <v>67.0</v>
      </c>
      <c r="AV109" s="320">
        <v>73.0</v>
      </c>
      <c r="AW109" s="320">
        <v>2.0</v>
      </c>
      <c r="AX109" s="320">
        <v>2.0</v>
      </c>
      <c r="AY109" s="321">
        <f>iferror(VLOOKUP(C109,'ORDER BOOKING REPORT 2025-26'!C:O,13,0),"")</f>
        <v>6886744</v>
      </c>
      <c r="AZ109" s="322"/>
      <c r="BA109" s="157" t="str">
        <f t="shared" si="7"/>
        <v>Active</v>
      </c>
      <c r="BB109" s="157" t="str">
        <f t="shared" si="8"/>
        <v>Old</v>
      </c>
      <c r="BC109" s="157" t="str">
        <f t="shared" si="75"/>
        <v>50%-70%</v>
      </c>
      <c r="BD109" s="223">
        <f t="shared" si="76"/>
        <v>12</v>
      </c>
      <c r="BE109" s="323">
        <v>833333.0</v>
      </c>
      <c r="BF109" s="157">
        <f t="shared" si="10"/>
        <v>2</v>
      </c>
      <c r="BG109" s="157" t="s">
        <v>1019</v>
      </c>
      <c r="BH109" s="324"/>
      <c r="BI109" s="324"/>
      <c r="BJ109" s="325"/>
      <c r="BK109" s="326"/>
      <c r="BL109" s="326">
        <f t="shared" si="48"/>
        <v>0</v>
      </c>
      <c r="BM109" s="326">
        <f t="shared" si="12"/>
        <v>9999996</v>
      </c>
      <c r="BN109" s="326"/>
      <c r="BO109" s="327" t="str">
        <f>IFERROR(__xludf.DUMMYFUNCTION("IFERROR(ArrayFormula(SUM(VLOOKUP($C109,importrange(""1MwNMVzWE3QBVOyJjKr3eFX-Sq1Ng0Q1sghWJbgbE_8g"",""ORDER BOOKING REPORT 2024-25!C:CV""),{16,23,30},0))))"),"")</f>
        <v/>
      </c>
      <c r="BP109" s="327" t="str">
        <f>IFERROR(__xludf.DUMMYFUNCTION("IFERROR(ArrayFormula(SUM(VLOOKUP($C109,importrange(""1MwNMVzWE3QBVOyJjKr3eFX-Sq1Ng0Q1sghWJbgbE_8g"",""ORDER BOOKING REPORT 2024-25!C:CV""),{37,44,51},0))))"),"")</f>
        <v/>
      </c>
      <c r="BQ109" s="327" t="str">
        <f>IFERROR(__xludf.DUMMYFUNCTION("IFERROR(ArrayFormula(SUM(VLOOKUP($C109,importrange(""1MwNMVzWE3QBVOyJjKr3eFX-Sq1Ng0Q1sghWJbgbE_8g"",""ORDER BOOKING REPORT 2024-25!C:CV""),{58,65,72},0))))"),"")</f>
        <v/>
      </c>
      <c r="BR109" s="327" t="str">
        <f>IFERROR(__xludf.DUMMYFUNCTION("IFERROR(ArrayFormula(SUM(VLOOKUP($C109,importrange(""1MwNMVzWE3QBVOyJjKr3eFX-Sq1Ng0Q1sghWJbgbE_8g"",""ORDER BOOKING REPORT 2024-25!C:CV""),{79,86,93},0))))"),"")</f>
        <v/>
      </c>
      <c r="BS109" s="328">
        <f t="shared" si="13"/>
        <v>0.6886746755</v>
      </c>
      <c r="BT109" s="328">
        <f t="shared" si="14"/>
        <v>0.07527345288</v>
      </c>
      <c r="BU109" s="234">
        <f t="shared" si="15"/>
        <v>0</v>
      </c>
      <c r="BV109" s="329">
        <v>28835.0</v>
      </c>
      <c r="BW109" s="329" t="s">
        <v>1045</v>
      </c>
      <c r="BX109" s="329">
        <v>1039.0</v>
      </c>
      <c r="BY109" s="234">
        <f t="shared" si="16"/>
        <v>0</v>
      </c>
      <c r="BZ109" s="234"/>
      <c r="CA109" s="234"/>
      <c r="CB109" s="234"/>
      <c r="CC109" s="234"/>
      <c r="CD109" s="234"/>
      <c r="CE109" s="234"/>
      <c r="CF109" s="234"/>
      <c r="CG109" s="234" t="str">
        <f t="shared" si="19"/>
        <v> </v>
      </c>
      <c r="CH109" s="234" t="str">
        <f t="shared" si="27"/>
        <v>Business Achieved 50%</v>
      </c>
      <c r="CI109" s="328">
        <f t="shared" si="20"/>
        <v>0.9480519481</v>
      </c>
      <c r="CJ109" s="339">
        <f>IFERROR(__xludf.DUMMYFUNCTION("""COMPUTED_VALUE"""),1603.0)</f>
        <v>1603</v>
      </c>
      <c r="CK109" s="339">
        <f>IFERROR(__xludf.DUMMYFUNCTION("""COMPUTED_VALUE"""),6.0)</f>
        <v>6</v>
      </c>
      <c r="CL109" s="339">
        <f>IFERROR(__xludf.DUMMYFUNCTION("""COMPUTED_VALUE"""),0.0)</f>
        <v>0</v>
      </c>
      <c r="CM109" s="331">
        <f t="shared" si="21"/>
        <v>0</v>
      </c>
      <c r="CN109" s="340"/>
      <c r="CO109" s="328"/>
      <c r="CP109" s="341"/>
      <c r="CQ109" s="344"/>
      <c r="CR109" s="328"/>
      <c r="CS109" s="328"/>
      <c r="CT109" s="328"/>
      <c r="CU109" s="328"/>
      <c r="CV109" s="328"/>
      <c r="CW109" s="328"/>
      <c r="CX109" s="288"/>
      <c r="CY109" s="328"/>
      <c r="CZ109" s="328"/>
    </row>
    <row r="110">
      <c r="A110" s="157" t="s">
        <v>53</v>
      </c>
      <c r="B110" s="157" t="s">
        <v>56</v>
      </c>
      <c r="C110" s="157" t="s">
        <v>361</v>
      </c>
      <c r="D110" s="157" t="s">
        <v>1092</v>
      </c>
      <c r="E110" s="157" t="s">
        <v>1093</v>
      </c>
      <c r="F110" s="285">
        <v>45313.0</v>
      </c>
      <c r="G110" s="314">
        <v>0.0</v>
      </c>
      <c r="H110" s="314">
        <v>0.0</v>
      </c>
      <c r="I110" s="315">
        <v>0.0</v>
      </c>
      <c r="J110" s="315">
        <v>0.0</v>
      </c>
      <c r="K110" s="160">
        <v>40.0</v>
      </c>
      <c r="L110" s="160">
        <v>21.0</v>
      </c>
      <c r="M110" s="160">
        <v>9.0</v>
      </c>
      <c r="N110" s="160">
        <v>49.0</v>
      </c>
      <c r="O110" s="160">
        <v>28.0</v>
      </c>
      <c r="P110" s="315">
        <v>0.0</v>
      </c>
      <c r="Q110" s="315">
        <v>0.0</v>
      </c>
      <c r="R110" s="160">
        <v>0.0</v>
      </c>
      <c r="S110" s="160">
        <v>0.0</v>
      </c>
      <c r="T110" s="160">
        <v>0.0</v>
      </c>
      <c r="U110" s="160">
        <v>0.0</v>
      </c>
      <c r="V110" s="160">
        <v>17.0</v>
      </c>
      <c r="W110" s="160">
        <v>20.0</v>
      </c>
      <c r="X110" s="160">
        <v>343.0</v>
      </c>
      <c r="Y110" s="160">
        <v>3.0</v>
      </c>
      <c r="Z110" s="160">
        <v>9.0</v>
      </c>
      <c r="AA110" s="160">
        <v>0.0</v>
      </c>
      <c r="AB110" s="160">
        <v>0.0</v>
      </c>
      <c r="AC110" s="160">
        <v>0.0</v>
      </c>
      <c r="AD110" s="160">
        <v>0.0</v>
      </c>
      <c r="AE110" s="160">
        <v>35.0</v>
      </c>
      <c r="AF110" s="160">
        <v>64.0</v>
      </c>
      <c r="AG110" s="160">
        <v>16.0</v>
      </c>
      <c r="AH110" s="314">
        <f t="shared" si="2"/>
        <v>0</v>
      </c>
      <c r="AI110" s="314">
        <f t="shared" si="3"/>
        <v>4</v>
      </c>
      <c r="AJ110" s="346">
        <v>24425.0</v>
      </c>
      <c r="AK110" s="314">
        <f t="shared" si="63"/>
        <v>17097.5</v>
      </c>
      <c r="AL110" s="317">
        <v>11425.0</v>
      </c>
      <c r="AM110" s="318" t="str">
        <f t="shared" si="5"/>
        <v/>
      </c>
      <c r="AN110" s="314" t="str">
        <f t="shared" si="6"/>
        <v/>
      </c>
      <c r="AO110" s="286" t="s">
        <v>972</v>
      </c>
      <c r="AP110" s="319">
        <v>0.0</v>
      </c>
      <c r="AQ110" s="160">
        <v>0.0</v>
      </c>
      <c r="AR110" s="160">
        <v>130.0</v>
      </c>
      <c r="AS110" s="160">
        <v>0.0</v>
      </c>
      <c r="AT110" s="160">
        <v>0.0</v>
      </c>
      <c r="AU110" s="160">
        <v>0.0</v>
      </c>
      <c r="AV110" s="320">
        <v>0.0</v>
      </c>
      <c r="AW110" s="320">
        <v>21.0</v>
      </c>
      <c r="AX110" s="320">
        <v>28.0</v>
      </c>
      <c r="AY110" s="321">
        <f>iferror(VLOOKUP(C110,'ORDER BOOKING REPORT 2025-26'!C:O,13,0),"")</f>
        <v>0</v>
      </c>
      <c r="AZ110" s="345">
        <v>45768.0</v>
      </c>
      <c r="BA110" s="157" t="str">
        <f t="shared" si="7"/>
        <v>LEFT</v>
      </c>
      <c r="BB110" s="157" t="str">
        <f t="shared" si="8"/>
        <v>Old</v>
      </c>
      <c r="BC110" s="160" t="s">
        <v>972</v>
      </c>
      <c r="BD110" s="223">
        <v>0.7</v>
      </c>
      <c r="BE110" s="326">
        <v>600000.0</v>
      </c>
      <c r="BF110" s="157">
        <f t="shared" si="10"/>
        <v>9</v>
      </c>
      <c r="BG110" s="157" t="s">
        <v>1019</v>
      </c>
      <c r="BH110" s="324"/>
      <c r="BI110" s="324"/>
      <c r="BJ110" s="343">
        <f>21/30</f>
        <v>0.7</v>
      </c>
      <c r="BK110" s="347"/>
      <c r="BL110" s="326">
        <f t="shared" si="48"/>
        <v>0</v>
      </c>
      <c r="BM110" s="326">
        <f t="shared" si="12"/>
        <v>0</v>
      </c>
      <c r="BN110" s="326"/>
      <c r="BO110" s="327" t="str">
        <f>IFERROR(__xludf.DUMMYFUNCTION("IFERROR(ArrayFormula(SUM(VLOOKUP($C110,importrange(""1MwNMVzWE3QBVOyJjKr3eFX-Sq1Ng0Q1sghWJbgbE_8g"",""ORDER BOOKING REPORT 2024-25!C:CV""),{16,23,30},0))))"),"")</f>
        <v/>
      </c>
      <c r="BP110" s="327" t="str">
        <f>IFERROR(__xludf.DUMMYFUNCTION("IFERROR(ArrayFormula(SUM(VLOOKUP($C110,importrange(""1MwNMVzWE3QBVOyJjKr3eFX-Sq1Ng0Q1sghWJbgbE_8g"",""ORDER BOOKING REPORT 2024-25!C:CV""),{37,44,51},0))))"),"")</f>
        <v/>
      </c>
      <c r="BQ110" s="327" t="str">
        <f>IFERROR(__xludf.DUMMYFUNCTION("IFERROR(ArrayFormula(SUM(VLOOKUP($C110,importrange(""1MwNMVzWE3QBVOyJjKr3eFX-Sq1Ng0Q1sghWJbgbE_8g"",""ORDER BOOKING REPORT 2024-25!C:CV""),{58,65,72},0))))"),"")</f>
        <v/>
      </c>
      <c r="BR110" s="327" t="str">
        <f>IFERROR(__xludf.DUMMYFUNCTION("IFERROR(ArrayFormula(SUM(VLOOKUP($C110,importrange(""1MwNMVzWE3QBVOyJjKr3eFX-Sq1Ng0Q1sghWJbgbE_8g"",""ORDER BOOKING REPORT 2024-25!C:CV""),{79,86,93},0))))"),"")</f>
        <v/>
      </c>
      <c r="BS110" s="328" t="str">
        <f t="shared" si="13"/>
        <v/>
      </c>
      <c r="BT110" s="328" t="str">
        <f t="shared" si="14"/>
        <v/>
      </c>
      <c r="BU110" s="234">
        <f t="shared" si="15"/>
        <v>0</v>
      </c>
      <c r="BV110" s="329"/>
      <c r="BW110" s="329"/>
      <c r="BX110" s="329"/>
      <c r="BY110" s="234">
        <f t="shared" si="16"/>
        <v>-24425</v>
      </c>
      <c r="BZ110" s="234"/>
      <c r="CA110" s="234"/>
      <c r="CB110" s="234"/>
      <c r="CC110" s="234"/>
      <c r="CD110" s="234"/>
      <c r="CE110" s="234"/>
      <c r="CF110" s="234"/>
      <c r="CG110" s="234" t="str">
        <f t="shared" si="19"/>
        <v>Below 60</v>
      </c>
      <c r="CH110" s="234" t="str">
        <f t="shared" si="27"/>
        <v>Not 50%</v>
      </c>
      <c r="CI110" s="328">
        <f t="shared" si="20"/>
        <v>0</v>
      </c>
      <c r="CJ110" s="330">
        <f>IFERROR(__xludf.DUMMYFUNCTION("""COMPUTED_VALUE"""),0.0)</f>
        <v>0</v>
      </c>
      <c r="CK110" s="330">
        <f>IFERROR(__xludf.DUMMYFUNCTION("""COMPUTED_VALUE"""),35.0)</f>
        <v>35</v>
      </c>
      <c r="CL110" s="330">
        <f>IFERROR(__xludf.DUMMYFUNCTION("""COMPUTED_VALUE"""),0.0)</f>
        <v>0</v>
      </c>
      <c r="CM110" s="331">
        <f t="shared" si="21"/>
        <v>0</v>
      </c>
      <c r="CN110" s="337"/>
      <c r="CO110" s="160"/>
      <c r="CP110" s="334"/>
      <c r="CQ110" s="335"/>
      <c r="CR110" s="160"/>
      <c r="CS110" s="160"/>
      <c r="CT110" s="160"/>
      <c r="CU110" s="160"/>
      <c r="CV110" s="160"/>
      <c r="CW110" s="335"/>
      <c r="CX110" s="288"/>
      <c r="CY110" s="160"/>
      <c r="CZ110" s="160"/>
    </row>
    <row r="111">
      <c r="A111" s="157" t="s">
        <v>126</v>
      </c>
      <c r="B111" s="157" t="s">
        <v>130</v>
      </c>
      <c r="C111" s="157" t="s">
        <v>164</v>
      </c>
      <c r="D111" s="157" t="s">
        <v>130</v>
      </c>
      <c r="E111" s="157" t="s">
        <v>153</v>
      </c>
      <c r="F111" s="338">
        <v>45323.0</v>
      </c>
      <c r="G111" s="314">
        <v>4800000.0</v>
      </c>
      <c r="H111" s="314">
        <v>2.52E7</v>
      </c>
      <c r="I111" s="315">
        <v>1.919271969E7</v>
      </c>
      <c r="J111" s="315">
        <v>583967.13</v>
      </c>
      <c r="K111" s="160">
        <v>128.0</v>
      </c>
      <c r="L111" s="160">
        <v>137.0</v>
      </c>
      <c r="M111" s="160">
        <v>17.0</v>
      </c>
      <c r="N111" s="160">
        <v>145.0</v>
      </c>
      <c r="O111" s="160">
        <v>8.0</v>
      </c>
      <c r="P111" s="315">
        <v>1.669528469E7</v>
      </c>
      <c r="Q111" s="315">
        <v>2497435.0</v>
      </c>
      <c r="R111" s="160">
        <v>87.0</v>
      </c>
      <c r="S111" s="160">
        <v>14.0</v>
      </c>
      <c r="T111" s="160">
        <v>101.0</v>
      </c>
      <c r="U111" s="160">
        <v>3.0</v>
      </c>
      <c r="V111" s="160">
        <v>84.0</v>
      </c>
      <c r="W111" s="160">
        <v>128.0</v>
      </c>
      <c r="X111" s="160">
        <v>86.0</v>
      </c>
      <c r="Y111" s="160">
        <v>7.0</v>
      </c>
      <c r="Z111" s="160">
        <v>255.0</v>
      </c>
      <c r="AA111" s="160">
        <v>7.0</v>
      </c>
      <c r="AB111" s="160">
        <v>25.0</v>
      </c>
      <c r="AC111" s="160">
        <v>0.0</v>
      </c>
      <c r="AD111" s="160">
        <v>0.0</v>
      </c>
      <c r="AE111" s="160">
        <v>1376.0</v>
      </c>
      <c r="AF111" s="160">
        <v>1784.0</v>
      </c>
      <c r="AG111" s="160">
        <v>297.0</v>
      </c>
      <c r="AH111" s="314">
        <f t="shared" si="2"/>
        <v>66588.17111</v>
      </c>
      <c r="AI111" s="314">
        <f t="shared" si="3"/>
        <v>6.006734007</v>
      </c>
      <c r="AJ111" s="316">
        <f>BV111</f>
        <v>56000</v>
      </c>
      <c r="AK111" s="314">
        <f t="shared" si="63"/>
        <v>672000</v>
      </c>
      <c r="AL111" s="286">
        <v>154103.0</v>
      </c>
      <c r="AM111" s="318">
        <f t="shared" si="5"/>
        <v>0.04177155696</v>
      </c>
      <c r="AN111" s="314">
        <f t="shared" si="6"/>
        <v>190026.9276</v>
      </c>
      <c r="AO111" s="336">
        <f t="shared" ref="AO111:AO116" si="77">iferror(sum(I111:J111)/Sum(G111:H111),"")</f>
        <v>0.659222894</v>
      </c>
      <c r="AP111" s="319">
        <v>0.12</v>
      </c>
      <c r="AQ111" s="160">
        <v>460.0</v>
      </c>
      <c r="AR111" s="160">
        <v>2676.0</v>
      </c>
      <c r="AS111" s="160">
        <v>2829.07</v>
      </c>
      <c r="AT111" s="160">
        <v>14.0</v>
      </c>
      <c r="AU111" s="160">
        <v>21.0</v>
      </c>
      <c r="AV111" s="320">
        <v>101.0</v>
      </c>
      <c r="AW111" s="320">
        <v>40.0</v>
      </c>
      <c r="AX111" s="320">
        <v>4.0</v>
      </c>
      <c r="AY111" s="321">
        <f>iferror(VLOOKUP(C111,'ORDER BOOKING REPORT 2025-26'!C:O,13,0),"")</f>
        <v>21171268</v>
      </c>
      <c r="AZ111" s="322"/>
      <c r="BA111" s="157" t="str">
        <f t="shared" si="7"/>
        <v>Active</v>
      </c>
      <c r="BB111" s="157" t="str">
        <f t="shared" si="8"/>
        <v>Old</v>
      </c>
      <c r="BC111" s="157" t="str">
        <f t="shared" ref="BC111:BC116" si="78">IFS(AO111&lt;50%,"Below 50%",AO111&lt;70%,"50%-70%",AO111&lt;90%,"70%-90%",AO111&lt;100%,"90%-100%",AO111&gt;100%,"Above 100%")</f>
        <v>50%-70%</v>
      </c>
      <c r="BD111" s="223">
        <f t="shared" ref="BD111:BD113" si="79">Match($BD$2,{"Apr","May","Jun","Jul","Aug","Sep","Oct","Nov","Dec","Jan","Feb","Mar"},0)</f>
        <v>12</v>
      </c>
      <c r="BE111" s="323">
        <v>2500000.0</v>
      </c>
      <c r="BF111" s="157">
        <f t="shared" si="10"/>
        <v>3</v>
      </c>
      <c r="BG111" s="157" t="s">
        <v>1019</v>
      </c>
      <c r="BH111" s="324"/>
      <c r="BI111" s="324"/>
      <c r="BJ111" s="325"/>
      <c r="BK111" s="326">
        <v>400000.0</v>
      </c>
      <c r="BL111" s="326">
        <f t="shared" si="48"/>
        <v>4800000</v>
      </c>
      <c r="BM111" s="326">
        <f t="shared" si="12"/>
        <v>30000000</v>
      </c>
      <c r="BN111" s="326"/>
      <c r="BO111" s="327" t="str">
        <f>IFERROR(__xludf.DUMMYFUNCTION("IFERROR(ArrayFormula(SUM(VLOOKUP($C111,importrange(""1MwNMVzWE3QBVOyJjKr3eFX-Sq1Ng0Q1sghWJbgbE_8g"",""ORDER BOOKING REPORT 2024-25!C:CV""),{16,23,30},0))))"),"")</f>
        <v/>
      </c>
      <c r="BP111" s="327" t="str">
        <f>IFERROR(__xludf.DUMMYFUNCTION("IFERROR(ArrayFormula(SUM(VLOOKUP($C111,importrange(""1MwNMVzWE3QBVOyJjKr3eFX-Sq1Ng0Q1sghWJbgbE_8g"",""ORDER BOOKING REPORT 2024-25!C:CV""),{37,44,51},0))))"),"")</f>
        <v/>
      </c>
      <c r="BQ111" s="327" t="str">
        <f>IFERROR(__xludf.DUMMYFUNCTION("IFERROR(ArrayFormula(SUM(VLOOKUP($C111,importrange(""1MwNMVzWE3QBVOyJjKr3eFX-Sq1Ng0Q1sghWJbgbE_8g"",""ORDER BOOKING REPORT 2024-25!C:CV""),{58,65,72},0))))"),"")</f>
        <v/>
      </c>
      <c r="BR111" s="327" t="str">
        <f>IFERROR(__xludf.DUMMYFUNCTION("IFERROR(ArrayFormula(SUM(VLOOKUP($C111,importrange(""1MwNMVzWE3QBVOyJjKr3eFX-Sq1Ng0Q1sghWJbgbE_8g"",""ORDER BOOKING REPORT 2024-25!C:CV""),{79,86,93},0))))"),"")</f>
        <v/>
      </c>
      <c r="BS111" s="328">
        <f t="shared" si="13"/>
        <v>0.7057089333</v>
      </c>
      <c r="BT111" s="328">
        <f t="shared" si="14"/>
        <v>0.03902000579</v>
      </c>
      <c r="BU111" s="234">
        <f t="shared" si="15"/>
        <v>0</v>
      </c>
      <c r="BV111" s="329">
        <v>56000.0</v>
      </c>
      <c r="BW111" s="329" t="s">
        <v>1039</v>
      </c>
      <c r="BX111" s="329">
        <v>1048.0</v>
      </c>
      <c r="BY111" s="234">
        <f t="shared" si="16"/>
        <v>0</v>
      </c>
      <c r="BZ111" s="234"/>
      <c r="CA111" s="234"/>
      <c r="CB111" s="234"/>
      <c r="CC111" s="234"/>
      <c r="CD111" s="234"/>
      <c r="CE111" s="234"/>
      <c r="CF111" s="234"/>
      <c r="CG111" s="234" t="str">
        <f t="shared" si="19"/>
        <v> </v>
      </c>
      <c r="CH111" s="234" t="str">
        <f t="shared" si="27"/>
        <v>Business Achieved 50%</v>
      </c>
      <c r="CI111" s="328">
        <f t="shared" si="20"/>
        <v>0.6965517241</v>
      </c>
      <c r="CJ111" s="339">
        <f>IFERROR(__xludf.DUMMYFUNCTION("""COMPUTED_VALUE"""),1203.0)</f>
        <v>1203</v>
      </c>
      <c r="CK111" s="339">
        <f>IFERROR(__xludf.DUMMYFUNCTION("""COMPUTED_VALUE"""),173.0)</f>
        <v>173</v>
      </c>
      <c r="CL111" s="339">
        <f>IFERROR(__xludf.DUMMYFUNCTION("""COMPUTED_VALUE"""),0.0)</f>
        <v>0</v>
      </c>
      <c r="CM111" s="331">
        <f t="shared" si="21"/>
        <v>0</v>
      </c>
      <c r="CN111" s="340"/>
      <c r="CO111" s="328"/>
      <c r="CP111" s="341"/>
      <c r="CQ111" s="344"/>
      <c r="CR111" s="328"/>
      <c r="CS111" s="328"/>
      <c r="CT111" s="328"/>
      <c r="CU111" s="328"/>
      <c r="CV111" s="328"/>
      <c r="CW111" s="328"/>
      <c r="CX111" s="288"/>
      <c r="CY111" s="328"/>
      <c r="CZ111" s="328"/>
    </row>
    <row r="112">
      <c r="A112" s="157" t="s">
        <v>185</v>
      </c>
      <c r="B112" s="157" t="s">
        <v>189</v>
      </c>
      <c r="C112" s="157" t="s">
        <v>265</v>
      </c>
      <c r="D112" s="157" t="s">
        <v>1016</v>
      </c>
      <c r="E112" s="157" t="s">
        <v>266</v>
      </c>
      <c r="F112" s="338">
        <v>45323.0</v>
      </c>
      <c r="G112" s="314">
        <v>0.0</v>
      </c>
      <c r="H112" s="314">
        <v>2.4E7</v>
      </c>
      <c r="I112" s="315">
        <v>1.541835716E7</v>
      </c>
      <c r="J112" s="315">
        <v>0.0</v>
      </c>
      <c r="K112" s="160">
        <v>60.0</v>
      </c>
      <c r="L112" s="160">
        <v>70.0</v>
      </c>
      <c r="M112" s="160">
        <v>13.0</v>
      </c>
      <c r="N112" s="160">
        <v>73.0</v>
      </c>
      <c r="O112" s="160">
        <v>3.0</v>
      </c>
      <c r="P112" s="315">
        <v>1.265794451E7</v>
      </c>
      <c r="Q112" s="315">
        <v>2760412.65</v>
      </c>
      <c r="R112" s="160">
        <v>37.0</v>
      </c>
      <c r="S112" s="160">
        <v>11.0</v>
      </c>
      <c r="T112" s="160">
        <v>48.0</v>
      </c>
      <c r="U112" s="160">
        <v>0.0</v>
      </c>
      <c r="V112" s="160">
        <v>92.0</v>
      </c>
      <c r="W112" s="160">
        <v>199.0</v>
      </c>
      <c r="X112" s="160">
        <v>142.0</v>
      </c>
      <c r="Y112" s="160">
        <v>2.0</v>
      </c>
      <c r="Z112" s="160">
        <v>61.0</v>
      </c>
      <c r="AA112" s="160">
        <v>0.0</v>
      </c>
      <c r="AB112" s="160">
        <v>0.0</v>
      </c>
      <c r="AC112" s="160">
        <v>0.0</v>
      </c>
      <c r="AD112" s="160">
        <v>0.0</v>
      </c>
      <c r="AE112" s="160">
        <v>1229.0</v>
      </c>
      <c r="AF112" s="160">
        <v>1489.0</v>
      </c>
      <c r="AG112" s="160">
        <v>292.0</v>
      </c>
      <c r="AH112" s="314">
        <f t="shared" si="2"/>
        <v>52802.59301</v>
      </c>
      <c r="AI112" s="314">
        <f t="shared" si="3"/>
        <v>5.099315068</v>
      </c>
      <c r="AJ112" s="316">
        <v>30950.0</v>
      </c>
      <c r="AK112" s="314">
        <f t="shared" si="63"/>
        <v>371400</v>
      </c>
      <c r="AL112" s="317">
        <v>176682.0</v>
      </c>
      <c r="AM112" s="318">
        <f t="shared" si="5"/>
        <v>0.03554736697</v>
      </c>
      <c r="AN112" s="314">
        <f t="shared" si="6"/>
        <v>321215.7742</v>
      </c>
      <c r="AO112" s="336">
        <f t="shared" si="77"/>
        <v>0.6424315483</v>
      </c>
      <c r="AP112" s="319">
        <v>0.0</v>
      </c>
      <c r="AQ112" s="160">
        <v>347.0</v>
      </c>
      <c r="AR112" s="160">
        <v>3446.0</v>
      </c>
      <c r="AS112" s="160">
        <v>2884.57</v>
      </c>
      <c r="AT112" s="160">
        <v>11.0</v>
      </c>
      <c r="AU112" s="160">
        <v>41.0</v>
      </c>
      <c r="AV112" s="320">
        <v>48.0</v>
      </c>
      <c r="AW112" s="320">
        <v>22.0</v>
      </c>
      <c r="AX112" s="320">
        <v>3.0</v>
      </c>
      <c r="AY112" s="321">
        <f>iferror(VLOOKUP(C112,'ORDER BOOKING REPORT 2025-26'!C:O,13,0),"")</f>
        <v>15358304</v>
      </c>
      <c r="AZ112" s="322"/>
      <c r="BA112" s="157" t="str">
        <f t="shared" si="7"/>
        <v>Active</v>
      </c>
      <c r="BB112" s="157" t="str">
        <f t="shared" si="8"/>
        <v>Old</v>
      </c>
      <c r="BC112" s="157" t="str">
        <f t="shared" si="78"/>
        <v>50%-70%</v>
      </c>
      <c r="BD112" s="223">
        <f t="shared" si="79"/>
        <v>12</v>
      </c>
      <c r="BE112" s="323">
        <v>2000000.0</v>
      </c>
      <c r="BF112" s="157">
        <f t="shared" si="10"/>
        <v>2</v>
      </c>
      <c r="BG112" s="157" t="s">
        <v>1019</v>
      </c>
      <c r="BH112" s="324"/>
      <c r="BI112" s="324"/>
      <c r="BJ112" s="325"/>
      <c r="BK112" s="326"/>
      <c r="BL112" s="326">
        <f t="shared" si="48"/>
        <v>0</v>
      </c>
      <c r="BM112" s="326">
        <f t="shared" si="12"/>
        <v>24000000</v>
      </c>
      <c r="BN112" s="326"/>
      <c r="BO112" s="327" t="str">
        <f>IFERROR(__xludf.DUMMYFUNCTION("IFERROR(ArrayFormula(SUM(VLOOKUP($C112,importrange(""1MwNMVzWE3QBVOyJjKr3eFX-Sq1Ng0Q1sghWJbgbE_8g"",""ORDER BOOKING REPORT 2024-25!C:CV""),{16,23,30},0))))"),"")</f>
        <v/>
      </c>
      <c r="BP112" s="327" t="str">
        <f>IFERROR(__xludf.DUMMYFUNCTION("IFERROR(ArrayFormula(SUM(VLOOKUP($C112,importrange(""1MwNMVzWE3QBVOyJjKr3eFX-Sq1Ng0Q1sghWJbgbE_8g"",""ORDER BOOKING REPORT 2024-25!C:CV""),{37,44,51},0))))"),"")</f>
        <v/>
      </c>
      <c r="BQ112" s="327" t="str">
        <f>IFERROR(__xludf.DUMMYFUNCTION("IFERROR(ArrayFormula(SUM(VLOOKUP($C112,importrange(""1MwNMVzWE3QBVOyJjKr3eFX-Sq1Ng0Q1sghWJbgbE_8g"",""ORDER BOOKING REPORT 2024-25!C:CV""),{58,65,72},0))))"),"")</f>
        <v/>
      </c>
      <c r="BR112" s="327" t="str">
        <f>IFERROR(__xludf.DUMMYFUNCTION("IFERROR(ArrayFormula(SUM(VLOOKUP($C112,importrange(""1MwNMVzWE3QBVOyJjKr3eFX-Sq1Ng0Q1sghWJbgbE_8g"",""ORDER BOOKING REPORT 2024-25!C:CV""),{79,86,93},0))))"),"")</f>
        <v/>
      </c>
      <c r="BS112" s="328">
        <f t="shared" si="13"/>
        <v>0.6399293333</v>
      </c>
      <c r="BT112" s="328">
        <f t="shared" si="14"/>
        <v>0.03568636224</v>
      </c>
      <c r="BU112" s="234">
        <f t="shared" si="15"/>
        <v>0</v>
      </c>
      <c r="BV112" s="329">
        <v>30950.0</v>
      </c>
      <c r="BW112" s="329" t="s">
        <v>1045</v>
      </c>
      <c r="BX112" s="329">
        <v>1046.0</v>
      </c>
      <c r="BY112" s="234">
        <f t="shared" si="16"/>
        <v>0</v>
      </c>
      <c r="BZ112" s="234"/>
      <c r="CA112" s="234"/>
      <c r="CB112" s="234"/>
      <c r="CC112" s="234"/>
      <c r="CD112" s="234"/>
      <c r="CE112" s="234"/>
      <c r="CF112" s="234"/>
      <c r="CG112" s="234" t="str">
        <f t="shared" si="19"/>
        <v> </v>
      </c>
      <c r="CH112" s="234" t="str">
        <f t="shared" si="27"/>
        <v>Business Achieved 50%</v>
      </c>
      <c r="CI112" s="328">
        <f t="shared" si="20"/>
        <v>0.6575342466</v>
      </c>
      <c r="CJ112" s="330">
        <f>IFERROR(__xludf.DUMMYFUNCTION("""COMPUTED_VALUE"""),902.0)</f>
        <v>902</v>
      </c>
      <c r="CK112" s="330">
        <f>IFERROR(__xludf.DUMMYFUNCTION("""COMPUTED_VALUE"""),327.0)</f>
        <v>327</v>
      </c>
      <c r="CL112" s="330">
        <f>IFERROR(__xludf.DUMMYFUNCTION("""COMPUTED_VALUE"""),0.0)</f>
        <v>0</v>
      </c>
      <c r="CM112" s="331">
        <f t="shared" si="21"/>
        <v>0</v>
      </c>
      <c r="CN112" s="337"/>
      <c r="CO112" s="160"/>
      <c r="CP112" s="334"/>
      <c r="CQ112" s="335"/>
      <c r="CR112" s="160"/>
      <c r="CS112" s="160"/>
      <c r="CT112" s="160"/>
      <c r="CU112" s="160"/>
      <c r="CV112" s="160"/>
      <c r="CW112" s="335"/>
      <c r="CX112" s="288"/>
      <c r="CY112" s="160"/>
      <c r="CZ112" s="160"/>
    </row>
    <row r="113">
      <c r="A113" s="157" t="s">
        <v>126</v>
      </c>
      <c r="B113" s="157" t="s">
        <v>145</v>
      </c>
      <c r="C113" s="157" t="s">
        <v>167</v>
      </c>
      <c r="D113" s="157" t="s">
        <v>1066</v>
      </c>
      <c r="E113" s="157" t="s">
        <v>168</v>
      </c>
      <c r="F113" s="338">
        <v>45331.0</v>
      </c>
      <c r="G113" s="314">
        <v>0.0</v>
      </c>
      <c r="H113" s="314">
        <v>1.38E7</v>
      </c>
      <c r="I113" s="315">
        <v>7966662.24</v>
      </c>
      <c r="J113" s="315">
        <v>0.0</v>
      </c>
      <c r="K113" s="160">
        <v>31.0</v>
      </c>
      <c r="L113" s="160">
        <v>33.0</v>
      </c>
      <c r="M113" s="160">
        <v>3.0</v>
      </c>
      <c r="N113" s="160">
        <v>34.0</v>
      </c>
      <c r="O113" s="160">
        <v>1.0</v>
      </c>
      <c r="P113" s="315">
        <v>7249589.98</v>
      </c>
      <c r="Q113" s="315">
        <v>717072.26</v>
      </c>
      <c r="R113" s="160">
        <v>26.0</v>
      </c>
      <c r="S113" s="160">
        <v>3.0</v>
      </c>
      <c r="T113" s="160">
        <v>29.0</v>
      </c>
      <c r="U113" s="160">
        <v>0.0</v>
      </c>
      <c r="V113" s="160">
        <v>127.0</v>
      </c>
      <c r="W113" s="160">
        <v>349.0</v>
      </c>
      <c r="X113" s="160">
        <v>115.0</v>
      </c>
      <c r="Y113" s="160">
        <v>2.0</v>
      </c>
      <c r="Z113" s="160">
        <v>10.0</v>
      </c>
      <c r="AA113" s="160">
        <v>0.0</v>
      </c>
      <c r="AB113" s="160">
        <v>0.0</v>
      </c>
      <c r="AC113" s="160">
        <v>0.0</v>
      </c>
      <c r="AD113" s="160">
        <v>0.0</v>
      </c>
      <c r="AE113" s="160">
        <v>929.0</v>
      </c>
      <c r="AF113" s="160">
        <v>1288.0</v>
      </c>
      <c r="AG113" s="160">
        <v>285.0</v>
      </c>
      <c r="AH113" s="314">
        <f t="shared" si="2"/>
        <v>27953.20084</v>
      </c>
      <c r="AI113" s="314">
        <f t="shared" si="3"/>
        <v>4.519298246</v>
      </c>
      <c r="AJ113" s="316">
        <v>26212.0</v>
      </c>
      <c r="AK113" s="314">
        <f t="shared" si="63"/>
        <v>314544</v>
      </c>
      <c r="AL113" s="317">
        <v>191776.0</v>
      </c>
      <c r="AM113" s="318">
        <f t="shared" si="5"/>
        <v>0.06355484703</v>
      </c>
      <c r="AN113" s="314">
        <f t="shared" si="6"/>
        <v>274712.491</v>
      </c>
      <c r="AO113" s="336">
        <f t="shared" si="77"/>
        <v>0.5772943652</v>
      </c>
      <c r="AP113" s="319">
        <v>0.0</v>
      </c>
      <c r="AQ113" s="160">
        <v>232.0</v>
      </c>
      <c r="AR113" s="160">
        <v>3262.0</v>
      </c>
      <c r="AS113" s="160">
        <v>3144.99</v>
      </c>
      <c r="AT113" s="160">
        <v>3.0</v>
      </c>
      <c r="AU113" s="160">
        <v>95.0</v>
      </c>
      <c r="AV113" s="320">
        <v>29.0</v>
      </c>
      <c r="AW113" s="320">
        <v>4.0</v>
      </c>
      <c r="AX113" s="320">
        <v>1.0</v>
      </c>
      <c r="AY113" s="321">
        <f>iferror(VLOOKUP(C113,'ORDER BOOKING REPORT 2025-26'!C:O,13,0),"")</f>
        <v>7711527</v>
      </c>
      <c r="AZ113" s="322"/>
      <c r="BA113" s="157" t="str">
        <f t="shared" si="7"/>
        <v>Active</v>
      </c>
      <c r="BB113" s="157" t="str">
        <f t="shared" si="8"/>
        <v>Old</v>
      </c>
      <c r="BC113" s="157" t="str">
        <f t="shared" si="78"/>
        <v>50%-70%</v>
      </c>
      <c r="BD113" s="223">
        <f t="shared" si="79"/>
        <v>12</v>
      </c>
      <c r="BE113" s="323">
        <v>1150000.0</v>
      </c>
      <c r="BF113" s="157">
        <f t="shared" si="10"/>
        <v>0</v>
      </c>
      <c r="BG113" s="157" t="s">
        <v>1019</v>
      </c>
      <c r="BH113" s="324"/>
      <c r="BI113" s="324"/>
      <c r="BJ113" s="325"/>
      <c r="BK113" s="326"/>
      <c r="BL113" s="326">
        <f t="shared" si="48"/>
        <v>0</v>
      </c>
      <c r="BM113" s="326">
        <f t="shared" si="12"/>
        <v>13800000</v>
      </c>
      <c r="BN113" s="326"/>
      <c r="BO113" s="327" t="str">
        <f>IFERROR(__xludf.DUMMYFUNCTION("IFERROR(ArrayFormula(SUM(VLOOKUP($C113,importrange(""1MwNMVzWE3QBVOyJjKr3eFX-Sq1Ng0Q1sghWJbgbE_8g"",""ORDER BOOKING REPORT 2024-25!C:CV""),{16,23,30},0))))"),"")</f>
        <v/>
      </c>
      <c r="BP113" s="327" t="str">
        <f>IFERROR(__xludf.DUMMYFUNCTION("IFERROR(ArrayFormula(SUM(VLOOKUP($C113,importrange(""1MwNMVzWE3QBVOyJjKr3eFX-Sq1Ng0Q1sghWJbgbE_8g"",""ORDER BOOKING REPORT 2024-25!C:CV""),{37,44,51},0))))"),"")</f>
        <v/>
      </c>
      <c r="BQ113" s="327" t="str">
        <f>IFERROR(__xludf.DUMMYFUNCTION("IFERROR(ArrayFormula(SUM(VLOOKUP($C113,importrange(""1MwNMVzWE3QBVOyJjKr3eFX-Sq1Ng0Q1sghWJbgbE_8g"",""ORDER BOOKING REPORT 2024-25!C:CV""),{58,65,72},0))))"),"")</f>
        <v/>
      </c>
      <c r="BR113" s="327" t="str">
        <f>IFERROR(__xludf.DUMMYFUNCTION("IFERROR(ArrayFormula(SUM(VLOOKUP($C113,importrange(""1MwNMVzWE3QBVOyJjKr3eFX-Sq1Ng0Q1sghWJbgbE_8g"",""ORDER BOOKING REPORT 2024-25!C:CV""),{79,86,93},0))))"),"")</f>
        <v/>
      </c>
      <c r="BS113" s="328">
        <f t="shared" si="13"/>
        <v>0.5588063043</v>
      </c>
      <c r="BT113" s="328">
        <f t="shared" si="14"/>
        <v>0.06565755394</v>
      </c>
      <c r="BU113" s="234">
        <f t="shared" si="15"/>
        <v>0</v>
      </c>
      <c r="BV113" s="329">
        <v>26212.0</v>
      </c>
      <c r="BW113" s="329" t="s">
        <v>1045</v>
      </c>
      <c r="BX113" s="329">
        <v>1050.0</v>
      </c>
      <c r="BY113" s="234">
        <f t="shared" si="16"/>
        <v>0</v>
      </c>
      <c r="BZ113" s="234"/>
      <c r="CA113" s="234"/>
      <c r="CB113" s="234"/>
      <c r="CC113" s="234"/>
      <c r="CD113" s="234"/>
      <c r="CE113" s="234"/>
      <c r="CF113" s="234"/>
      <c r="CG113" s="234" t="str">
        <f t="shared" si="19"/>
        <v>Below 60</v>
      </c>
      <c r="CH113" s="234" t="str">
        <f t="shared" si="27"/>
        <v>Business Achieved 50%</v>
      </c>
      <c r="CI113" s="328">
        <f t="shared" si="20"/>
        <v>0.8529411765</v>
      </c>
      <c r="CJ113" s="330">
        <f>IFERROR(__xludf.DUMMYFUNCTION("""COMPUTED_VALUE"""),879.0)</f>
        <v>879</v>
      </c>
      <c r="CK113" s="330">
        <f>IFERROR(__xludf.DUMMYFUNCTION("""COMPUTED_VALUE"""),50.0)</f>
        <v>50</v>
      </c>
      <c r="CL113" s="330">
        <f>IFERROR(__xludf.DUMMYFUNCTION("""COMPUTED_VALUE"""),0.0)</f>
        <v>0</v>
      </c>
      <c r="CM113" s="331">
        <f t="shared" si="21"/>
        <v>0</v>
      </c>
      <c r="CN113" s="337"/>
      <c r="CO113" s="160"/>
      <c r="CP113" s="334"/>
      <c r="CQ113" s="335"/>
      <c r="CR113" s="160"/>
      <c r="CS113" s="160"/>
      <c r="CT113" s="160"/>
      <c r="CU113" s="160"/>
      <c r="CV113" s="160"/>
      <c r="CW113" s="335"/>
      <c r="CX113" s="288"/>
      <c r="CY113" s="160"/>
      <c r="CZ113" s="160"/>
    </row>
    <row r="114">
      <c r="A114" s="157" t="s">
        <v>23</v>
      </c>
      <c r="B114" s="157" t="s">
        <v>30</v>
      </c>
      <c r="C114" s="157" t="s">
        <v>335</v>
      </c>
      <c r="D114" s="157" t="s">
        <v>30</v>
      </c>
      <c r="E114" s="157" t="s">
        <v>46</v>
      </c>
      <c r="F114" s="338">
        <v>45384.0</v>
      </c>
      <c r="G114" s="314">
        <v>3000000.0</v>
      </c>
      <c r="H114" s="314">
        <v>1.2E7</v>
      </c>
      <c r="I114" s="315">
        <v>6905756.68</v>
      </c>
      <c r="J114" s="315">
        <v>285509.66</v>
      </c>
      <c r="K114" s="160">
        <v>55.0</v>
      </c>
      <c r="L114" s="160">
        <v>64.0</v>
      </c>
      <c r="M114" s="160">
        <v>11.0</v>
      </c>
      <c r="N114" s="160">
        <v>66.0</v>
      </c>
      <c r="O114" s="160">
        <v>2.0</v>
      </c>
      <c r="P114" s="315">
        <v>5450150.11</v>
      </c>
      <c r="Q114" s="315">
        <v>1455606.57</v>
      </c>
      <c r="R114" s="160">
        <v>46.0</v>
      </c>
      <c r="S114" s="160">
        <v>9.0</v>
      </c>
      <c r="T114" s="160">
        <v>55.0</v>
      </c>
      <c r="U114" s="160">
        <v>2.0</v>
      </c>
      <c r="V114" s="160">
        <v>232.0</v>
      </c>
      <c r="W114" s="160">
        <v>455.0</v>
      </c>
      <c r="X114" s="160">
        <v>186.0</v>
      </c>
      <c r="Y114" s="160">
        <v>7.0</v>
      </c>
      <c r="Z114" s="160">
        <v>41.0</v>
      </c>
      <c r="AA114" s="160">
        <v>4.0</v>
      </c>
      <c r="AB114" s="160">
        <v>11.0</v>
      </c>
      <c r="AC114" s="160">
        <v>1.0</v>
      </c>
      <c r="AD114" s="160">
        <v>1.0</v>
      </c>
      <c r="AE114" s="160">
        <v>431.0</v>
      </c>
      <c r="AF114" s="160">
        <v>939.0</v>
      </c>
      <c r="AG114" s="160">
        <v>244.0</v>
      </c>
      <c r="AH114" s="314">
        <f t="shared" si="2"/>
        <v>29472.40303</v>
      </c>
      <c r="AI114" s="314">
        <f t="shared" si="3"/>
        <v>3.848360656</v>
      </c>
      <c r="AJ114" s="316">
        <f t="shared" ref="AJ114:AJ116" si="80">BV114</f>
        <v>36400</v>
      </c>
      <c r="AK114" s="314">
        <f t="shared" si="63"/>
        <v>364000</v>
      </c>
      <c r="AL114" s="286">
        <v>127518.0</v>
      </c>
      <c r="AM114" s="318">
        <f t="shared" si="5"/>
        <v>0.06834929716</v>
      </c>
      <c r="AN114" s="314">
        <f t="shared" si="6"/>
        <v>125559.2124</v>
      </c>
      <c r="AO114" s="336">
        <f t="shared" si="77"/>
        <v>0.479417756</v>
      </c>
      <c r="AP114" s="319">
        <v>0.1</v>
      </c>
      <c r="AQ114" s="160">
        <v>284.0</v>
      </c>
      <c r="AR114" s="160">
        <v>2661.0</v>
      </c>
      <c r="AS114" s="160">
        <v>0.0</v>
      </c>
      <c r="AT114" s="160">
        <v>9.0</v>
      </c>
      <c r="AU114" s="160">
        <v>0.0</v>
      </c>
      <c r="AV114" s="320">
        <v>55.0</v>
      </c>
      <c r="AW114" s="320">
        <v>10.0</v>
      </c>
      <c r="AX114" s="320">
        <v>1.0</v>
      </c>
      <c r="AY114" s="321">
        <f>iferror(VLOOKUP(C114,'ORDER BOOKING REPORT 2025-26'!C:O,13,0),"")</f>
        <v>6074923</v>
      </c>
      <c r="AZ114" s="322">
        <v>46053.0</v>
      </c>
      <c r="BA114" s="157" t="str">
        <f t="shared" si="7"/>
        <v>LEFT</v>
      </c>
      <c r="BB114" s="157" t="str">
        <f t="shared" si="8"/>
        <v>Old</v>
      </c>
      <c r="BC114" s="157" t="str">
        <f t="shared" si="78"/>
        <v>Below 50%</v>
      </c>
      <c r="BD114" s="223">
        <v>10.0</v>
      </c>
      <c r="BE114" s="323">
        <v>1500000.0</v>
      </c>
      <c r="BF114" s="157">
        <f t="shared" si="10"/>
        <v>2</v>
      </c>
      <c r="BG114" s="157" t="s">
        <v>1019</v>
      </c>
      <c r="BH114" s="324"/>
      <c r="BI114" s="324"/>
      <c r="BJ114" s="325"/>
      <c r="BK114" s="326">
        <v>300000.0</v>
      </c>
      <c r="BL114" s="326">
        <f t="shared" si="48"/>
        <v>3000000</v>
      </c>
      <c r="BM114" s="326">
        <f t="shared" si="12"/>
        <v>15000000</v>
      </c>
      <c r="BN114" s="326"/>
      <c r="BO114" s="327" t="str">
        <f>IFERROR(__xludf.DUMMYFUNCTION("IFERROR(ArrayFormula(SUM(VLOOKUP($C114,importrange(""1MwNMVzWE3QBVOyJjKr3eFX-Sq1Ng0Q1sghWJbgbE_8g"",""ORDER BOOKING REPORT 2024-25!C:CV""),{16,23,30},0))))"),"")</f>
        <v/>
      </c>
      <c r="BP114" s="327" t="str">
        <f>IFERROR(__xludf.DUMMYFUNCTION("IFERROR(ArrayFormula(SUM(VLOOKUP($C114,importrange(""1MwNMVzWE3QBVOyJjKr3eFX-Sq1Ng0Q1sghWJbgbE_8g"",""ORDER BOOKING REPORT 2024-25!C:CV""),{37,44,51},0))))"),"")</f>
        <v/>
      </c>
      <c r="BQ114" s="327" t="str">
        <f>IFERROR(__xludf.DUMMYFUNCTION("IFERROR(ArrayFormula(SUM(VLOOKUP($C114,importrange(""1MwNMVzWE3QBVOyJjKr3eFX-Sq1Ng0Q1sghWJbgbE_8g"",""ORDER BOOKING REPORT 2024-25!C:CV""),{58,65,72},0))))"),"")</f>
        <v/>
      </c>
      <c r="BR114" s="327" t="str">
        <f>IFERROR(__xludf.DUMMYFUNCTION("IFERROR(ArrayFormula(SUM(VLOOKUP($C114,importrange(""1MwNMVzWE3QBVOyJjKr3eFX-Sq1Ng0Q1sghWJbgbE_8g"",""ORDER BOOKING REPORT 2024-25!C:CV""),{79,86,93},0))))"),"")</f>
        <v/>
      </c>
      <c r="BS114" s="328">
        <f t="shared" si="13"/>
        <v>0.4049948667</v>
      </c>
      <c r="BT114" s="328">
        <f t="shared" si="14"/>
        <v>0.08090933827</v>
      </c>
      <c r="BU114" s="234">
        <f t="shared" si="15"/>
        <v>0</v>
      </c>
      <c r="BV114" s="329">
        <v>36400.0</v>
      </c>
      <c r="BW114" s="329" t="s">
        <v>1045</v>
      </c>
      <c r="BX114" s="329">
        <v>1068.0</v>
      </c>
      <c r="BY114" s="234">
        <f t="shared" si="16"/>
        <v>0</v>
      </c>
      <c r="BZ114" s="234"/>
      <c r="CA114" s="234"/>
      <c r="CB114" s="234"/>
      <c r="CC114" s="234"/>
      <c r="CD114" s="234"/>
      <c r="CE114" s="234"/>
      <c r="CF114" s="234"/>
      <c r="CG114" s="234" t="str">
        <f t="shared" si="19"/>
        <v> </v>
      </c>
      <c r="CH114" s="234" t="str">
        <f t="shared" si="27"/>
        <v>Business Achieved 50%</v>
      </c>
      <c r="CI114" s="328">
        <f t="shared" si="20"/>
        <v>0.8333333333</v>
      </c>
      <c r="CJ114" s="339">
        <f>IFERROR(__xludf.DUMMYFUNCTION("""COMPUTED_VALUE"""),406.0)</f>
        <v>406</v>
      </c>
      <c r="CK114" s="339">
        <f>IFERROR(__xludf.DUMMYFUNCTION("""COMPUTED_VALUE"""),25.0)</f>
        <v>25</v>
      </c>
      <c r="CL114" s="339">
        <f>IFERROR(__xludf.DUMMYFUNCTION("""COMPUTED_VALUE"""),0.0)</f>
        <v>0</v>
      </c>
      <c r="CM114" s="331">
        <f t="shared" si="21"/>
        <v>0</v>
      </c>
      <c r="CN114" s="340"/>
      <c r="CO114" s="328"/>
      <c r="CP114" s="341"/>
      <c r="CQ114" s="344"/>
      <c r="CR114" s="328"/>
      <c r="CS114" s="328"/>
      <c r="CT114" s="328"/>
      <c r="CU114" s="328"/>
      <c r="CV114" s="328"/>
      <c r="CW114" s="328"/>
      <c r="CX114" s="288"/>
      <c r="CY114" s="328"/>
      <c r="CZ114" s="328"/>
    </row>
    <row r="115">
      <c r="A115" s="348" t="s">
        <v>47</v>
      </c>
      <c r="B115" s="348" t="s">
        <v>50</v>
      </c>
      <c r="C115" s="348" t="s">
        <v>51</v>
      </c>
      <c r="D115" s="157" t="s">
        <v>1091</v>
      </c>
      <c r="E115" s="157" t="s">
        <v>52</v>
      </c>
      <c r="F115" s="285">
        <v>45393.0</v>
      </c>
      <c r="G115" s="314">
        <v>0.0</v>
      </c>
      <c r="H115" s="314">
        <v>1.5E7</v>
      </c>
      <c r="I115" s="315">
        <v>6963246.37</v>
      </c>
      <c r="J115" s="315">
        <v>0.0</v>
      </c>
      <c r="K115" s="160">
        <v>130.0</v>
      </c>
      <c r="L115" s="160">
        <v>143.0</v>
      </c>
      <c r="M115" s="160">
        <v>34.0</v>
      </c>
      <c r="N115" s="160">
        <v>164.0</v>
      </c>
      <c r="O115" s="160">
        <v>21.0</v>
      </c>
      <c r="P115" s="315">
        <v>4784994.99</v>
      </c>
      <c r="Q115" s="315">
        <v>2178251.38</v>
      </c>
      <c r="R115" s="160">
        <v>71.0</v>
      </c>
      <c r="S115" s="160">
        <v>34.0</v>
      </c>
      <c r="T115" s="160">
        <v>105.0</v>
      </c>
      <c r="U115" s="160">
        <v>0.0</v>
      </c>
      <c r="V115" s="160">
        <v>98.0</v>
      </c>
      <c r="W115" s="160">
        <v>156.0</v>
      </c>
      <c r="X115" s="160">
        <v>349.0</v>
      </c>
      <c r="Y115" s="160">
        <v>3.0</v>
      </c>
      <c r="Z115" s="160">
        <v>101.0</v>
      </c>
      <c r="AA115" s="160">
        <v>0.0</v>
      </c>
      <c r="AB115" s="160">
        <v>0.0</v>
      </c>
      <c r="AC115" s="160">
        <v>0.0</v>
      </c>
      <c r="AD115" s="160">
        <v>0.0</v>
      </c>
      <c r="AE115" s="160">
        <v>1724.0</v>
      </c>
      <c r="AF115" s="160">
        <v>1981.0</v>
      </c>
      <c r="AG115" s="160">
        <v>286.0</v>
      </c>
      <c r="AH115" s="314">
        <f t="shared" si="2"/>
        <v>24347.01528</v>
      </c>
      <c r="AI115" s="314">
        <f t="shared" si="3"/>
        <v>6.926573427</v>
      </c>
      <c r="AJ115" s="316">
        <f t="shared" si="80"/>
        <v>27000</v>
      </c>
      <c r="AK115" s="314">
        <f t="shared" si="63"/>
        <v>324000</v>
      </c>
      <c r="AL115" s="286">
        <v>186003.0</v>
      </c>
      <c r="AM115" s="318">
        <f t="shared" si="5"/>
        <v>0.0732421306</v>
      </c>
      <c r="AN115" s="314">
        <f t="shared" si="6"/>
        <v>66316.6321</v>
      </c>
      <c r="AO115" s="336">
        <f t="shared" si="77"/>
        <v>0.4642164247</v>
      </c>
      <c r="AP115" s="319">
        <v>0.0</v>
      </c>
      <c r="AQ115" s="160">
        <v>593.0</v>
      </c>
      <c r="AR115" s="160">
        <v>2535.0</v>
      </c>
      <c r="AS115" s="160">
        <v>2916.37</v>
      </c>
      <c r="AT115" s="160">
        <v>34.0</v>
      </c>
      <c r="AU115" s="160">
        <v>20.0</v>
      </c>
      <c r="AV115" s="320">
        <v>105.0</v>
      </c>
      <c r="AW115" s="320">
        <v>39.0</v>
      </c>
      <c r="AX115" s="320">
        <v>20.0</v>
      </c>
      <c r="AY115" s="321">
        <f>iferror(VLOOKUP(C115,'ORDER BOOKING REPORT 2025-26'!C:O,13,0),"")</f>
        <v>6665327.5</v>
      </c>
      <c r="AZ115" s="322"/>
      <c r="BA115" s="157" t="str">
        <f t="shared" si="7"/>
        <v>Active</v>
      </c>
      <c r="BB115" s="157" t="str">
        <f t="shared" si="8"/>
        <v>Old</v>
      </c>
      <c r="BC115" s="157" t="str">
        <f t="shared" si="78"/>
        <v>Below 50%</v>
      </c>
      <c r="BD115" s="223">
        <f t="array" ref="BD115">Match($BD$2,{"Apr","May","Jun","Jul","Aug","Sep","Oct","Nov","Dec","Jan","Feb","Mar"},0)</f>
        <v>12</v>
      </c>
      <c r="BE115" s="326">
        <v>1250000.0</v>
      </c>
      <c r="BF115" s="157">
        <f t="shared" si="10"/>
        <v>0</v>
      </c>
      <c r="BG115" s="157" t="s">
        <v>1019</v>
      </c>
      <c r="BH115" s="324"/>
      <c r="BI115" s="324"/>
      <c r="BJ115" s="325"/>
      <c r="BK115" s="326"/>
      <c r="BL115" s="326">
        <f t="shared" si="48"/>
        <v>0</v>
      </c>
      <c r="BM115" s="326">
        <f t="shared" si="12"/>
        <v>15000000</v>
      </c>
      <c r="BN115" s="326"/>
      <c r="BO115" s="327" t="str">
        <f>IFERROR(__xludf.DUMMYFUNCTION("IFERROR(ArrayFormula(SUM(VLOOKUP($C115,importrange(""1MwNMVzWE3QBVOyJjKr3eFX-Sq1Ng0Q1sghWJbgbE_8g"",""ORDER BOOKING REPORT 2024-25!C:CV""),{16,23,30},0))))"),"")</f>
        <v/>
      </c>
      <c r="BP115" s="327" t="str">
        <f>IFERROR(__xludf.DUMMYFUNCTION("IFERROR(ArrayFormula(SUM(VLOOKUP($C115,importrange(""1MwNMVzWE3QBVOyJjKr3eFX-Sq1Ng0Q1sghWJbgbE_8g"",""ORDER BOOKING REPORT 2024-25!C:CV""),{37,44,51},0))))"),"")</f>
        <v/>
      </c>
      <c r="BQ115" s="327" t="str">
        <f>IFERROR(__xludf.DUMMYFUNCTION("IFERROR(ArrayFormula(SUM(VLOOKUP($C115,importrange(""1MwNMVzWE3QBVOyJjKr3eFX-Sq1Ng0Q1sghWJbgbE_8g"",""ORDER BOOKING REPORT 2024-25!C:CV""),{58,65,72},0))))"),"")</f>
        <v/>
      </c>
      <c r="BR115" s="327" t="str">
        <f>IFERROR(__xludf.DUMMYFUNCTION("IFERROR(ArrayFormula(SUM(VLOOKUP($C115,importrange(""1MwNMVzWE3QBVOyJjKr3eFX-Sq1Ng0Q1sghWJbgbE_8g"",""ORDER BOOKING REPORT 2024-25!C:CV""),{79,86,93},0))))"),"")</f>
        <v/>
      </c>
      <c r="BS115" s="328">
        <f t="shared" si="13"/>
        <v>0.4443551667</v>
      </c>
      <c r="BT115" s="328">
        <f t="shared" si="14"/>
        <v>0.07651582012</v>
      </c>
      <c r="BU115" s="234">
        <f t="shared" si="15"/>
        <v>0</v>
      </c>
      <c r="BV115" s="329">
        <v>27000.0</v>
      </c>
      <c r="BW115" s="329" t="s">
        <v>1045</v>
      </c>
      <c r="BX115" s="329">
        <v>1067.0</v>
      </c>
      <c r="BY115" s="234">
        <f t="shared" si="16"/>
        <v>0</v>
      </c>
      <c r="BZ115" s="234"/>
      <c r="CA115" s="234"/>
      <c r="CB115" s="234"/>
      <c r="CC115" s="234"/>
      <c r="CD115" s="234"/>
      <c r="CE115" s="234"/>
      <c r="CF115" s="234"/>
      <c r="CG115" s="234" t="str">
        <f t="shared" si="19"/>
        <v> </v>
      </c>
      <c r="CH115" s="234" t="str">
        <f t="shared" si="27"/>
        <v>Business Achieved 50%</v>
      </c>
      <c r="CI115" s="328">
        <f t="shared" si="20"/>
        <v>0.6402439024</v>
      </c>
      <c r="CJ115" s="339">
        <f>IFERROR(__xludf.DUMMYFUNCTION("""COMPUTED_VALUE"""),1545.0)</f>
        <v>1545</v>
      </c>
      <c r="CK115" s="339">
        <f>IFERROR(__xludf.DUMMYFUNCTION("""COMPUTED_VALUE"""),179.0)</f>
        <v>179</v>
      </c>
      <c r="CL115" s="339">
        <f>IFERROR(__xludf.DUMMYFUNCTION("""COMPUTED_VALUE"""),0.0)</f>
        <v>0</v>
      </c>
      <c r="CM115" s="331">
        <f t="shared" si="21"/>
        <v>0</v>
      </c>
      <c r="CN115" s="340"/>
      <c r="CO115" s="328"/>
      <c r="CP115" s="341"/>
      <c r="CQ115" s="344"/>
      <c r="CR115" s="328"/>
      <c r="CS115" s="328"/>
      <c r="CT115" s="328"/>
      <c r="CU115" s="328"/>
      <c r="CV115" s="328"/>
      <c r="CW115" s="328"/>
      <c r="CX115" s="288"/>
      <c r="CY115" s="328"/>
      <c r="CZ115" s="328"/>
    </row>
    <row r="116">
      <c r="A116" s="157" t="s">
        <v>47</v>
      </c>
      <c r="B116" s="157" t="s">
        <v>422</v>
      </c>
      <c r="C116" s="157" t="s">
        <v>420</v>
      </c>
      <c r="D116" s="157" t="s">
        <v>1094</v>
      </c>
      <c r="E116" s="157" t="s">
        <v>421</v>
      </c>
      <c r="F116" s="285">
        <v>45411.0</v>
      </c>
      <c r="G116" s="314">
        <v>0.0</v>
      </c>
      <c r="H116" s="314">
        <v>2916665.0</v>
      </c>
      <c r="I116" s="315">
        <v>1467822.95</v>
      </c>
      <c r="J116" s="315">
        <v>0.0</v>
      </c>
      <c r="K116" s="160">
        <v>85.0</v>
      </c>
      <c r="L116" s="160">
        <v>85.0</v>
      </c>
      <c r="M116" s="160">
        <v>14.0</v>
      </c>
      <c r="N116" s="160">
        <v>99.0</v>
      </c>
      <c r="O116" s="160">
        <v>14.0</v>
      </c>
      <c r="P116" s="315">
        <v>1345372.05</v>
      </c>
      <c r="Q116" s="315">
        <v>122450.9</v>
      </c>
      <c r="R116" s="160">
        <v>34.0</v>
      </c>
      <c r="S116" s="160">
        <v>5.0</v>
      </c>
      <c r="T116" s="160">
        <v>39.0</v>
      </c>
      <c r="U116" s="160">
        <v>0.0</v>
      </c>
      <c r="V116" s="160">
        <v>181.0</v>
      </c>
      <c r="W116" s="160">
        <v>289.0</v>
      </c>
      <c r="X116" s="160">
        <v>424.0</v>
      </c>
      <c r="Y116" s="160">
        <v>5.0</v>
      </c>
      <c r="Z116" s="160">
        <v>8.0</v>
      </c>
      <c r="AA116" s="160">
        <v>0.0</v>
      </c>
      <c r="AB116" s="160">
        <v>0.0</v>
      </c>
      <c r="AC116" s="160">
        <v>19.0</v>
      </c>
      <c r="AD116" s="160">
        <v>28.0</v>
      </c>
      <c r="AE116" s="160">
        <v>373.0</v>
      </c>
      <c r="AF116" s="160">
        <v>698.0</v>
      </c>
      <c r="AG116" s="160">
        <v>102.0</v>
      </c>
      <c r="AH116" s="314">
        <f t="shared" si="2"/>
        <v>14390.42108</v>
      </c>
      <c r="AI116" s="314">
        <f t="shared" si="3"/>
        <v>6.843137255</v>
      </c>
      <c r="AJ116" s="316">
        <f t="shared" si="80"/>
        <v>27784</v>
      </c>
      <c r="AK116" s="314">
        <f t="shared" si="63"/>
        <v>127250.72</v>
      </c>
      <c r="AL116" s="286">
        <v>86223.0</v>
      </c>
      <c r="AM116" s="318">
        <f t="shared" si="5"/>
        <v>0.1454356058</v>
      </c>
      <c r="AN116" s="314">
        <f t="shared" si="6"/>
        <v>37636.4859</v>
      </c>
      <c r="AO116" s="336">
        <f t="shared" si="77"/>
        <v>0.5032538704</v>
      </c>
      <c r="AP116" s="319">
        <v>0.0</v>
      </c>
      <c r="AQ116" s="160">
        <v>59.0</v>
      </c>
      <c r="AR116" s="160">
        <v>1148.0</v>
      </c>
      <c r="AS116" s="160">
        <v>0.0</v>
      </c>
      <c r="AT116" s="160">
        <v>5.0</v>
      </c>
      <c r="AU116" s="160">
        <v>0.0</v>
      </c>
      <c r="AV116" s="320">
        <v>39.0</v>
      </c>
      <c r="AW116" s="320">
        <v>47.0</v>
      </c>
      <c r="AX116" s="320">
        <v>13.0</v>
      </c>
      <c r="AY116" s="321">
        <f>iferror(VLOOKUP(C116,'ORDER BOOKING REPORT 2025-26'!C:O,13,0),"")</f>
        <v>971833.61</v>
      </c>
      <c r="AZ116" s="322">
        <v>45887.0</v>
      </c>
      <c r="BA116" s="157" t="str">
        <f t="shared" si="7"/>
        <v>LEFT</v>
      </c>
      <c r="BB116" s="157" t="str">
        <f t="shared" si="8"/>
        <v>Old</v>
      </c>
      <c r="BC116" s="157" t="str">
        <f t="shared" si="78"/>
        <v>50%-70%</v>
      </c>
      <c r="BD116" s="223">
        <v>4.58</v>
      </c>
      <c r="BE116" s="326">
        <v>583333.0</v>
      </c>
      <c r="BF116" s="157">
        <f t="shared" si="10"/>
        <v>9</v>
      </c>
      <c r="BG116" s="157" t="s">
        <v>1019</v>
      </c>
      <c r="BH116" s="324"/>
      <c r="BI116" s="324"/>
      <c r="BJ116" s="343">
        <f>18/31</f>
        <v>0.5806451613</v>
      </c>
      <c r="BK116" s="326"/>
      <c r="BL116" s="326">
        <f t="shared" si="48"/>
        <v>0</v>
      </c>
      <c r="BM116" s="326">
        <f t="shared" si="12"/>
        <v>2916665</v>
      </c>
      <c r="BN116" s="326"/>
      <c r="BO116" s="327" t="str">
        <f>IFERROR(__xludf.DUMMYFUNCTION("IFERROR(ArrayFormula(SUM(VLOOKUP($C116,importrange(""1MwNMVzWE3QBVOyJjKr3eFX-Sq1Ng0Q1sghWJbgbE_8g"",""ORDER BOOKING REPORT 2024-25!C:CV""),{16,23,30},0))))"),"")</f>
        <v/>
      </c>
      <c r="BP116" s="327" t="str">
        <f>IFERROR(__xludf.DUMMYFUNCTION("IFERROR(ArrayFormula(SUM(VLOOKUP($C116,importrange(""1MwNMVzWE3QBVOyJjKr3eFX-Sq1Ng0Q1sghWJbgbE_8g"",""ORDER BOOKING REPORT 2024-25!C:CV""),{37,44,51},0))))"),"")</f>
        <v/>
      </c>
      <c r="BQ116" s="327" t="str">
        <f>IFERROR(__xludf.DUMMYFUNCTION("IFERROR(ArrayFormula(SUM(VLOOKUP($C116,importrange(""1MwNMVzWE3QBVOyJjKr3eFX-Sq1Ng0Q1sghWJbgbE_8g"",""ORDER BOOKING REPORT 2024-25!C:CV""),{58,65,72},0))))"),"")</f>
        <v/>
      </c>
      <c r="BR116" s="327" t="str">
        <f>IFERROR(__xludf.DUMMYFUNCTION("IFERROR(ArrayFormula(SUM(VLOOKUP($C116,importrange(""1MwNMVzWE3QBVOyJjKr3eFX-Sq1Ng0Q1sghWJbgbE_8g"",""ORDER BOOKING REPORT 2024-25!C:CV""),{79,86,93},0))))"),"")</f>
        <v/>
      </c>
      <c r="BS116" s="328">
        <f t="shared" si="13"/>
        <v>0.3332002853</v>
      </c>
      <c r="BT116" s="328">
        <f t="shared" si="14"/>
        <v>0.2196607709</v>
      </c>
      <c r="BU116" s="234">
        <f t="shared" si="15"/>
        <v>0</v>
      </c>
      <c r="BV116" s="329">
        <v>27784.0</v>
      </c>
      <c r="BW116" s="329" t="s">
        <v>1045</v>
      </c>
      <c r="BX116" s="329">
        <v>1074.0</v>
      </c>
      <c r="BY116" s="234">
        <f t="shared" si="16"/>
        <v>0</v>
      </c>
      <c r="BZ116" s="234"/>
      <c r="CA116" s="234">
        <f>BE116*4.58</f>
        <v>2671665.14</v>
      </c>
      <c r="CB116" s="234"/>
      <c r="CC116" s="234">
        <f>CA116-H116</f>
        <v>-244999.86</v>
      </c>
      <c r="CD116" s="234"/>
      <c r="CE116" s="234"/>
      <c r="CF116" s="234"/>
      <c r="CG116" s="234" t="str">
        <f t="shared" si="19"/>
        <v> </v>
      </c>
      <c r="CH116" s="234" t="str">
        <f t="shared" si="27"/>
        <v>Not 50%</v>
      </c>
      <c r="CI116" s="328">
        <f t="shared" si="20"/>
        <v>0.3939393939</v>
      </c>
      <c r="CJ116" s="339">
        <f>IFERROR(__xludf.DUMMYFUNCTION("""COMPUTED_VALUE"""),214.0)</f>
        <v>214</v>
      </c>
      <c r="CK116" s="339">
        <f>IFERROR(__xludf.DUMMYFUNCTION("""COMPUTED_VALUE"""),159.0)</f>
        <v>159</v>
      </c>
      <c r="CL116" s="339">
        <f>IFERROR(__xludf.DUMMYFUNCTION("""COMPUTED_VALUE"""),0.0)</f>
        <v>0</v>
      </c>
      <c r="CM116" s="331">
        <f t="shared" si="21"/>
        <v>0</v>
      </c>
      <c r="CN116" s="340"/>
      <c r="CO116" s="328"/>
      <c r="CP116" s="341"/>
      <c r="CQ116" s="344"/>
      <c r="CR116" s="328"/>
      <c r="CS116" s="328"/>
      <c r="CT116" s="328"/>
      <c r="CU116" s="328"/>
      <c r="CV116" s="328"/>
      <c r="CW116" s="328"/>
      <c r="CX116" s="288"/>
      <c r="CY116" s="328"/>
      <c r="CZ116" s="328"/>
    </row>
    <row r="117">
      <c r="A117" s="157" t="s">
        <v>53</v>
      </c>
      <c r="B117" s="157" t="s">
        <v>56</v>
      </c>
      <c r="C117" s="157" t="s">
        <v>733</v>
      </c>
      <c r="D117" s="157" t="s">
        <v>1092</v>
      </c>
      <c r="E117" s="157" t="s">
        <v>1095</v>
      </c>
      <c r="F117" s="349">
        <v>45428.0</v>
      </c>
      <c r="G117" s="314">
        <v>0.0</v>
      </c>
      <c r="H117" s="314">
        <v>0.0</v>
      </c>
      <c r="I117" s="315">
        <v>0.0</v>
      </c>
      <c r="J117" s="315">
        <v>0.0</v>
      </c>
      <c r="K117" s="160">
        <v>69.0</v>
      </c>
      <c r="L117" s="160">
        <v>58.0</v>
      </c>
      <c r="M117" s="160">
        <v>9.0</v>
      </c>
      <c r="N117" s="160">
        <v>78.0</v>
      </c>
      <c r="O117" s="160">
        <v>20.0</v>
      </c>
      <c r="P117" s="315">
        <v>0.0</v>
      </c>
      <c r="Q117" s="315">
        <v>0.0</v>
      </c>
      <c r="R117" s="160">
        <v>0.0</v>
      </c>
      <c r="S117" s="160">
        <v>0.0</v>
      </c>
      <c r="T117" s="160">
        <v>0.0</v>
      </c>
      <c r="U117" s="160">
        <v>0.0</v>
      </c>
      <c r="V117" s="160">
        <v>201.0</v>
      </c>
      <c r="W117" s="160">
        <v>503.0</v>
      </c>
      <c r="X117" s="160">
        <v>133.0</v>
      </c>
      <c r="Y117" s="160">
        <v>15.0</v>
      </c>
      <c r="Z117" s="160">
        <v>163.0</v>
      </c>
      <c r="AA117" s="160">
        <v>0.0</v>
      </c>
      <c r="AB117" s="160">
        <v>0.0</v>
      </c>
      <c r="AC117" s="160">
        <v>25.0</v>
      </c>
      <c r="AD117" s="160">
        <v>41.0</v>
      </c>
      <c r="AE117" s="160">
        <v>289.0</v>
      </c>
      <c r="AF117" s="160">
        <v>996.0</v>
      </c>
      <c r="AG117" s="160">
        <v>274.0</v>
      </c>
      <c r="AH117" s="314">
        <f t="shared" si="2"/>
        <v>0</v>
      </c>
      <c r="AI117" s="314">
        <f t="shared" si="3"/>
        <v>3.635036496</v>
      </c>
      <c r="AJ117" s="346">
        <v>29880.0</v>
      </c>
      <c r="AK117" s="314">
        <f t="shared" si="63"/>
        <v>358560</v>
      </c>
      <c r="AL117" s="317">
        <v>156310.0</v>
      </c>
      <c r="AM117" s="318" t="str">
        <f t="shared" si="5"/>
        <v/>
      </c>
      <c r="AN117" s="314" t="str">
        <f t="shared" si="6"/>
        <v/>
      </c>
      <c r="AO117" s="286" t="s">
        <v>972</v>
      </c>
      <c r="AP117" s="319">
        <v>0.0</v>
      </c>
      <c r="AQ117" s="160">
        <v>0.0</v>
      </c>
      <c r="AR117" s="160">
        <v>2219.0</v>
      </c>
      <c r="AS117" s="160">
        <v>2134.83</v>
      </c>
      <c r="AT117" s="160">
        <v>0.0</v>
      </c>
      <c r="AU117" s="160">
        <v>37.0</v>
      </c>
      <c r="AV117" s="320">
        <v>0.0</v>
      </c>
      <c r="AW117" s="320">
        <v>58.0</v>
      </c>
      <c r="AX117" s="320">
        <v>20.0</v>
      </c>
      <c r="AY117" s="321" t="str">
        <f>iferror(VLOOKUP(C117,'ORDER BOOKING REPORT 2025-26'!C:O,13,0),"")</f>
        <v/>
      </c>
      <c r="AZ117" s="322"/>
      <c r="BA117" s="157" t="str">
        <f t="shared" si="7"/>
        <v>Active</v>
      </c>
      <c r="BB117" s="157" t="str">
        <f t="shared" si="8"/>
        <v>Old</v>
      </c>
      <c r="BC117" s="160" t="s">
        <v>972</v>
      </c>
      <c r="BD117" s="223">
        <f t="shared" ref="BD117:BD119" si="81">Match($BD$2,{"Apr","May","Jun","Jul","Aug","Sep","Oct","Nov","Dec","Jan","Feb","Mar"},0)</f>
        <v>12</v>
      </c>
      <c r="BE117" s="323"/>
      <c r="BF117" s="157">
        <f t="shared" si="10"/>
        <v>9</v>
      </c>
      <c r="BG117" s="234" t="s">
        <v>188</v>
      </c>
      <c r="BH117" s="324"/>
      <c r="BI117" s="324"/>
      <c r="BJ117" s="325"/>
      <c r="BK117" s="326"/>
      <c r="BL117" s="326">
        <f t="shared" si="48"/>
        <v>0</v>
      </c>
      <c r="BM117" s="326">
        <f t="shared" si="12"/>
        <v>0</v>
      </c>
      <c r="BN117" s="326"/>
      <c r="BO117" s="327" t="str">
        <f>IFERROR(__xludf.DUMMYFUNCTION("IFERROR(ArrayFormula(SUM(VLOOKUP($C117,importrange(""1MwNMVzWE3QBVOyJjKr3eFX-Sq1Ng0Q1sghWJbgbE_8g"",""ORDER BOOKING REPORT 2024-25!C:CV""),{16,23,30},0))))"),"")</f>
        <v/>
      </c>
      <c r="BP117" s="327" t="str">
        <f>IFERROR(__xludf.DUMMYFUNCTION("IFERROR(ArrayFormula(SUM(VLOOKUP($C117,importrange(""1MwNMVzWE3QBVOyJjKr3eFX-Sq1Ng0Q1sghWJbgbE_8g"",""ORDER BOOKING REPORT 2024-25!C:CV""),{37,44,51},0))))"),"")</f>
        <v/>
      </c>
      <c r="BQ117" s="327" t="str">
        <f>IFERROR(__xludf.DUMMYFUNCTION("IFERROR(ArrayFormula(SUM(VLOOKUP($C117,importrange(""1MwNMVzWE3QBVOyJjKr3eFX-Sq1Ng0Q1sghWJbgbE_8g"",""ORDER BOOKING REPORT 2024-25!C:CV""),{58,65,72},0))))"),"")</f>
        <v/>
      </c>
      <c r="BR117" s="327" t="str">
        <f>IFERROR(__xludf.DUMMYFUNCTION("IFERROR(ArrayFormula(SUM(VLOOKUP($C117,importrange(""1MwNMVzWE3QBVOyJjKr3eFX-Sq1Ng0Q1sghWJbgbE_8g"",""ORDER BOOKING REPORT 2024-25!C:CV""),{79,86,93},0))))"),"")</f>
        <v/>
      </c>
      <c r="BS117" s="328" t="str">
        <f t="shared" si="13"/>
        <v/>
      </c>
      <c r="BT117" s="328" t="str">
        <f t="shared" si="14"/>
        <v/>
      </c>
      <c r="BU117" s="234">
        <f t="shared" si="15"/>
        <v>0</v>
      </c>
      <c r="BV117" s="329">
        <v>29880.0</v>
      </c>
      <c r="BW117" s="329" t="s">
        <v>1087</v>
      </c>
      <c r="BX117" s="329">
        <v>1084.0</v>
      </c>
      <c r="BY117" s="234">
        <f t="shared" si="16"/>
        <v>0</v>
      </c>
      <c r="BZ117" s="234"/>
      <c r="CA117" s="234"/>
      <c r="CB117" s="234"/>
      <c r="CC117" s="234"/>
      <c r="CD117" s="234"/>
      <c r="CE117" s="234"/>
      <c r="CF117" s="234"/>
      <c r="CG117" s="234" t="str">
        <f t="shared" si="19"/>
        <v> </v>
      </c>
      <c r="CH117" s="234" t="str">
        <f t="shared" si="27"/>
        <v>Not 50%</v>
      </c>
      <c r="CI117" s="328">
        <f t="shared" si="20"/>
        <v>0</v>
      </c>
      <c r="CJ117" s="330"/>
      <c r="CK117" s="330"/>
      <c r="CL117" s="330"/>
      <c r="CM117" s="331">
        <f t="shared" si="21"/>
        <v>289</v>
      </c>
      <c r="CN117" s="337"/>
      <c r="CO117" s="160"/>
      <c r="CP117" s="334"/>
      <c r="CQ117" s="335"/>
      <c r="CR117" s="160"/>
      <c r="CS117" s="160"/>
      <c r="CT117" s="160"/>
      <c r="CU117" s="160"/>
      <c r="CV117" s="160"/>
      <c r="CW117" s="335"/>
      <c r="CX117" s="288"/>
      <c r="CY117" s="160"/>
      <c r="CZ117" s="160"/>
    </row>
    <row r="118">
      <c r="A118" s="348" t="s">
        <v>53</v>
      </c>
      <c r="B118" s="348" t="s">
        <v>56</v>
      </c>
      <c r="C118" s="348" t="s">
        <v>54</v>
      </c>
      <c r="D118" s="157" t="s">
        <v>1092</v>
      </c>
      <c r="E118" s="157" t="s">
        <v>55</v>
      </c>
      <c r="F118" s="349">
        <v>45428.0</v>
      </c>
      <c r="G118" s="314">
        <v>0.0</v>
      </c>
      <c r="H118" s="314">
        <v>1.18E7</v>
      </c>
      <c r="I118" s="315">
        <v>5898219.9</v>
      </c>
      <c r="J118" s="315">
        <v>0.0</v>
      </c>
      <c r="K118" s="160">
        <v>83.0</v>
      </c>
      <c r="L118" s="160">
        <v>84.0</v>
      </c>
      <c r="M118" s="160">
        <v>17.0</v>
      </c>
      <c r="N118" s="160">
        <v>100.0</v>
      </c>
      <c r="O118" s="160">
        <v>16.0</v>
      </c>
      <c r="P118" s="315">
        <v>5127371.1</v>
      </c>
      <c r="Q118" s="315">
        <v>770848.8</v>
      </c>
      <c r="R118" s="160">
        <v>44.0</v>
      </c>
      <c r="S118" s="160">
        <v>10.0</v>
      </c>
      <c r="T118" s="160">
        <v>54.0</v>
      </c>
      <c r="U118" s="160">
        <v>0.0</v>
      </c>
      <c r="V118" s="160">
        <v>135.0</v>
      </c>
      <c r="W118" s="160">
        <v>283.0</v>
      </c>
      <c r="X118" s="160">
        <v>394.0</v>
      </c>
      <c r="Y118" s="160">
        <v>7.0</v>
      </c>
      <c r="Z118" s="160">
        <v>175.0</v>
      </c>
      <c r="AA118" s="160">
        <v>0.0</v>
      </c>
      <c r="AB118" s="160">
        <v>0.0</v>
      </c>
      <c r="AC118" s="160">
        <v>0.0</v>
      </c>
      <c r="AD118" s="160">
        <v>0.0</v>
      </c>
      <c r="AE118" s="160">
        <v>1221.0</v>
      </c>
      <c r="AF118" s="160">
        <v>1679.0</v>
      </c>
      <c r="AG118" s="160">
        <v>272.0</v>
      </c>
      <c r="AH118" s="314">
        <f t="shared" si="2"/>
        <v>21684.63199</v>
      </c>
      <c r="AI118" s="314">
        <f t="shared" si="3"/>
        <v>6.172794118</v>
      </c>
      <c r="AJ118" s="316">
        <v>26526.0</v>
      </c>
      <c r="AK118" s="314">
        <f t="shared" si="63"/>
        <v>318312</v>
      </c>
      <c r="AL118" s="317">
        <v>126419.0</v>
      </c>
      <c r="AM118" s="318">
        <f t="shared" si="5"/>
        <v>0.07540088493</v>
      </c>
      <c r="AN118" s="314">
        <f t="shared" si="6"/>
        <v>109226.2944</v>
      </c>
      <c r="AO118" s="336">
        <f t="shared" ref="AO118:AO139" si="82">iferror(sum(I118:J118)/Sum(G118:H118),"")</f>
        <v>0.4998491441</v>
      </c>
      <c r="AP118" s="319">
        <v>0.0</v>
      </c>
      <c r="AQ118" s="160">
        <v>230.0</v>
      </c>
      <c r="AR118" s="160">
        <v>2818.0</v>
      </c>
      <c r="AS118" s="160">
        <v>2950.78</v>
      </c>
      <c r="AT118" s="160">
        <v>10.0</v>
      </c>
      <c r="AU118" s="160">
        <v>35.0</v>
      </c>
      <c r="AV118" s="320">
        <v>54.0</v>
      </c>
      <c r="AW118" s="320">
        <v>32.0</v>
      </c>
      <c r="AX118" s="320">
        <v>14.0</v>
      </c>
      <c r="AY118" s="321">
        <f>iferror(VLOOKUP(C118,'ORDER BOOKING REPORT 2025-26'!C:O,13,0),"")</f>
        <v>5917829</v>
      </c>
      <c r="AZ118" s="322"/>
      <c r="BA118" s="157" t="str">
        <f t="shared" si="7"/>
        <v>Active</v>
      </c>
      <c r="BB118" s="157" t="str">
        <f t="shared" si="8"/>
        <v>Old</v>
      </c>
      <c r="BC118" s="157" t="str">
        <f t="shared" ref="BC118:BC139" si="83">IFS(AO118&lt;50%,"Below 50%",AO118&lt;70%,"50%-70%",AO118&lt;90%,"70%-90%",AO118&lt;100%,"90%-100%",AO118&gt;100%,"Above 100%")</f>
        <v>Below 50%</v>
      </c>
      <c r="BD118" s="223">
        <f t="shared" si="81"/>
        <v>12</v>
      </c>
      <c r="BE118" s="326">
        <v>1000000.0</v>
      </c>
      <c r="BF118" s="157">
        <f t="shared" si="10"/>
        <v>7</v>
      </c>
      <c r="BG118" s="157" t="s">
        <v>1019</v>
      </c>
      <c r="BH118" s="324"/>
      <c r="BI118" s="324"/>
      <c r="BJ118" s="325"/>
      <c r="BK118" s="326"/>
      <c r="BL118" s="326">
        <f t="shared" si="48"/>
        <v>0</v>
      </c>
      <c r="BM118" s="326">
        <f t="shared" si="12"/>
        <v>11800000</v>
      </c>
      <c r="BN118" s="326"/>
      <c r="BO118" s="327" t="str">
        <f>IFERROR(__xludf.DUMMYFUNCTION("IFERROR(ArrayFormula(SUM(VLOOKUP($C118,importrange(""1MwNMVzWE3QBVOyJjKr3eFX-Sq1Ng0Q1sghWJbgbE_8g"",""ORDER BOOKING REPORT 2024-25!C:CV""),{16,23,30},0))))"),"")</f>
        <v/>
      </c>
      <c r="BP118" s="327" t="str">
        <f>IFERROR(__xludf.DUMMYFUNCTION("IFERROR(ArrayFormula(SUM(VLOOKUP($C118,importrange(""1MwNMVzWE3QBVOyJjKr3eFX-Sq1Ng0Q1sghWJbgbE_8g"",""ORDER BOOKING REPORT 2024-25!C:CV""),{37,44,51},0))))"),"")</f>
        <v/>
      </c>
      <c r="BQ118" s="327" t="str">
        <f>IFERROR(__xludf.DUMMYFUNCTION("IFERROR(ArrayFormula(SUM(VLOOKUP($C118,importrange(""1MwNMVzWE3QBVOyJjKr3eFX-Sq1Ng0Q1sghWJbgbE_8g"",""ORDER BOOKING REPORT 2024-25!C:CV""),{58,65,72},0))))"),"")</f>
        <v/>
      </c>
      <c r="BR118" s="327" t="str">
        <f>IFERROR(__xludf.DUMMYFUNCTION("IFERROR(ArrayFormula(SUM(VLOOKUP($C118,importrange(""1MwNMVzWE3QBVOyJjKr3eFX-Sq1Ng0Q1sghWJbgbE_8g"",""ORDER BOOKING REPORT 2024-25!C:CV""),{79,86,93},0))))"),"")</f>
        <v/>
      </c>
      <c r="BS118" s="328">
        <f t="shared" si="13"/>
        <v>0.5015109322</v>
      </c>
      <c r="BT118" s="328">
        <f t="shared" si="14"/>
        <v>0.07515103934</v>
      </c>
      <c r="BU118" s="234">
        <f t="shared" si="15"/>
        <v>0</v>
      </c>
      <c r="BV118" s="329">
        <v>26526.0</v>
      </c>
      <c r="BW118" s="329" t="s">
        <v>1029</v>
      </c>
      <c r="BX118" s="329">
        <v>1083.0</v>
      </c>
      <c r="BY118" s="234">
        <f t="shared" si="16"/>
        <v>0</v>
      </c>
      <c r="BZ118" s="234"/>
      <c r="CA118" s="234"/>
      <c r="CB118" s="234"/>
      <c r="CC118" s="234"/>
      <c r="CD118" s="234"/>
      <c r="CE118" s="234"/>
      <c r="CF118" s="234"/>
      <c r="CG118" s="234" t="str">
        <f t="shared" si="19"/>
        <v> </v>
      </c>
      <c r="CH118" s="234" t="str">
        <f t="shared" si="27"/>
        <v>Business Achieved 50%</v>
      </c>
      <c r="CI118" s="328">
        <f t="shared" si="20"/>
        <v>0.54</v>
      </c>
      <c r="CJ118" s="330">
        <f>IFERROR(__xludf.DUMMYFUNCTION("""COMPUTED_VALUE"""),901.0)</f>
        <v>901</v>
      </c>
      <c r="CK118" s="330">
        <f>IFERROR(__xludf.DUMMYFUNCTION("""COMPUTED_VALUE"""),320.0)</f>
        <v>320</v>
      </c>
      <c r="CL118" s="330">
        <f>IFERROR(__xludf.DUMMYFUNCTION("""COMPUTED_VALUE"""),0.0)</f>
        <v>0</v>
      </c>
      <c r="CM118" s="331">
        <f t="shared" si="21"/>
        <v>0</v>
      </c>
      <c r="CN118" s="337"/>
      <c r="CO118" s="160"/>
      <c r="CP118" s="334"/>
      <c r="CQ118" s="335"/>
      <c r="CR118" s="160"/>
      <c r="CS118" s="160"/>
      <c r="CT118" s="160"/>
      <c r="CU118" s="160"/>
      <c r="CV118" s="160"/>
      <c r="CW118" s="335"/>
      <c r="CX118" s="288"/>
      <c r="CY118" s="160"/>
      <c r="CZ118" s="160"/>
    </row>
    <row r="119">
      <c r="A119" s="157" t="s">
        <v>185</v>
      </c>
      <c r="B119" s="157" t="s">
        <v>215</v>
      </c>
      <c r="C119" s="157" t="s">
        <v>267</v>
      </c>
      <c r="D119" s="157" t="s">
        <v>1064</v>
      </c>
      <c r="E119" s="157" t="s">
        <v>268</v>
      </c>
      <c r="F119" s="349">
        <v>45432.0</v>
      </c>
      <c r="G119" s="314">
        <v>0.0</v>
      </c>
      <c r="H119" s="314">
        <v>2.9799996E7</v>
      </c>
      <c r="I119" s="315">
        <v>3.181613744E7</v>
      </c>
      <c r="J119" s="315">
        <v>0.0</v>
      </c>
      <c r="K119" s="160">
        <v>102.0</v>
      </c>
      <c r="L119" s="160">
        <v>112.0</v>
      </c>
      <c r="M119" s="160">
        <v>14.0</v>
      </c>
      <c r="N119" s="160">
        <v>116.0</v>
      </c>
      <c r="O119" s="160">
        <v>4.0</v>
      </c>
      <c r="P119" s="315">
        <v>3.067703594E7</v>
      </c>
      <c r="Q119" s="315">
        <v>1139101.5</v>
      </c>
      <c r="R119" s="160">
        <v>78.0</v>
      </c>
      <c r="S119" s="160">
        <v>14.0</v>
      </c>
      <c r="T119" s="160">
        <v>92.0</v>
      </c>
      <c r="U119" s="160">
        <v>0.0</v>
      </c>
      <c r="V119" s="160">
        <v>138.0</v>
      </c>
      <c r="W119" s="160">
        <v>258.0</v>
      </c>
      <c r="X119" s="160">
        <v>69.0</v>
      </c>
      <c r="Y119" s="160">
        <v>1.0</v>
      </c>
      <c r="Z119" s="160">
        <v>152.0</v>
      </c>
      <c r="AA119" s="160">
        <v>0.0</v>
      </c>
      <c r="AB119" s="160">
        <v>0.0</v>
      </c>
      <c r="AC119" s="160">
        <v>0.0</v>
      </c>
      <c r="AD119" s="160">
        <v>0.0</v>
      </c>
      <c r="AE119" s="160">
        <v>1392.0</v>
      </c>
      <c r="AF119" s="160">
        <v>1802.0</v>
      </c>
      <c r="AG119" s="160">
        <v>300.0</v>
      </c>
      <c r="AH119" s="314">
        <f t="shared" si="2"/>
        <v>106053.7915</v>
      </c>
      <c r="AI119" s="314">
        <f t="shared" si="3"/>
        <v>6.006666667</v>
      </c>
      <c r="AJ119" s="316">
        <v>45100.0</v>
      </c>
      <c r="AK119" s="314">
        <f t="shared" si="63"/>
        <v>541200</v>
      </c>
      <c r="AL119" s="317">
        <v>144333.0</v>
      </c>
      <c r="AM119" s="318">
        <f t="shared" si="5"/>
        <v>0.02154670727</v>
      </c>
      <c r="AN119" s="314">
        <f t="shared" si="6"/>
        <v>345827.5809</v>
      </c>
      <c r="AO119" s="336">
        <f t="shared" si="82"/>
        <v>1.067655762</v>
      </c>
      <c r="AP119" s="319">
        <v>0.0</v>
      </c>
      <c r="AQ119" s="160">
        <v>686.0</v>
      </c>
      <c r="AR119" s="160">
        <v>2865.0</v>
      </c>
      <c r="AS119" s="160">
        <v>1978.64</v>
      </c>
      <c r="AT119" s="160">
        <v>14.0</v>
      </c>
      <c r="AU119" s="160">
        <v>18.0</v>
      </c>
      <c r="AV119" s="320">
        <v>92.0</v>
      </c>
      <c r="AW119" s="320">
        <v>21.0</v>
      </c>
      <c r="AX119" s="320">
        <v>3.0</v>
      </c>
      <c r="AY119" s="321">
        <f>iferror(VLOOKUP(C119,'ORDER BOOKING REPORT 2025-26'!C:O,13,0),"")</f>
        <v>25899198</v>
      </c>
      <c r="AZ119" s="322"/>
      <c r="BA119" s="157" t="str">
        <f t="shared" si="7"/>
        <v>Active</v>
      </c>
      <c r="BB119" s="157" t="str">
        <f t="shared" si="8"/>
        <v>Old</v>
      </c>
      <c r="BC119" s="157" t="str">
        <f t="shared" si="83"/>
        <v>Above 100%</v>
      </c>
      <c r="BD119" s="223">
        <f t="shared" si="81"/>
        <v>12</v>
      </c>
      <c r="BE119" s="323">
        <v>2483333.0</v>
      </c>
      <c r="BF119" s="157">
        <f t="shared" si="10"/>
        <v>0</v>
      </c>
      <c r="BG119" s="157" t="s">
        <v>1019</v>
      </c>
      <c r="BH119" s="324"/>
      <c r="BI119" s="324"/>
      <c r="BJ119" s="325"/>
      <c r="BK119" s="326"/>
      <c r="BL119" s="326">
        <f t="shared" si="48"/>
        <v>0</v>
      </c>
      <c r="BM119" s="326">
        <f t="shared" si="12"/>
        <v>29799996</v>
      </c>
      <c r="BN119" s="326"/>
      <c r="BO119" s="327" t="str">
        <f>IFERROR(__xludf.DUMMYFUNCTION("IFERROR(ArrayFormula(SUM(VLOOKUP($C119,importrange(""1MwNMVzWE3QBVOyJjKr3eFX-Sq1Ng0Q1sghWJbgbE_8g"",""ORDER BOOKING REPORT 2024-25!C:CV""),{16,23,30},0))))"),"")</f>
        <v/>
      </c>
      <c r="BP119" s="327" t="str">
        <f>IFERROR(__xludf.DUMMYFUNCTION("IFERROR(ArrayFormula(SUM(VLOOKUP($C119,importrange(""1MwNMVzWE3QBVOyJjKr3eFX-Sq1Ng0Q1sghWJbgbE_8g"",""ORDER BOOKING REPORT 2024-25!C:CV""),{37,44,51},0))))"),"")</f>
        <v/>
      </c>
      <c r="BQ119" s="327" t="str">
        <f>IFERROR(__xludf.DUMMYFUNCTION("IFERROR(ArrayFormula(SUM(VLOOKUP($C119,importrange(""1MwNMVzWE3QBVOyJjKr3eFX-Sq1Ng0Q1sghWJbgbE_8g"",""ORDER BOOKING REPORT 2024-25!C:CV""),{58,65,72},0))))"),"")</f>
        <v/>
      </c>
      <c r="BR119" s="327" t="str">
        <f>IFERROR(__xludf.DUMMYFUNCTION("IFERROR(ArrayFormula(SUM(VLOOKUP($C119,importrange(""1MwNMVzWE3QBVOyJjKr3eFX-Sq1Ng0Q1sghWJbgbE_8g"",""ORDER BOOKING REPORT 2024-25!C:CV""),{79,86,93},0))))"),"")</f>
        <v/>
      </c>
      <c r="BS119" s="328">
        <f t="shared" si="13"/>
        <v>0.8691007207</v>
      </c>
      <c r="BT119" s="328">
        <f t="shared" si="14"/>
        <v>0.02646927523</v>
      </c>
      <c r="BU119" s="234">
        <f t="shared" si="15"/>
        <v>0</v>
      </c>
      <c r="BV119" s="329">
        <v>45100.0</v>
      </c>
      <c r="BW119" s="329" t="s">
        <v>1029</v>
      </c>
      <c r="BX119" s="329">
        <v>1086.0</v>
      </c>
      <c r="BY119" s="234">
        <f t="shared" si="16"/>
        <v>0</v>
      </c>
      <c r="BZ119" s="234"/>
      <c r="CA119" s="234"/>
      <c r="CB119" s="234"/>
      <c r="CC119" s="234"/>
      <c r="CD119" s="234"/>
      <c r="CE119" s="234"/>
      <c r="CF119" s="234"/>
      <c r="CG119" s="234" t="str">
        <f t="shared" si="19"/>
        <v> </v>
      </c>
      <c r="CH119" s="234" t="str">
        <f t="shared" si="27"/>
        <v>Business Achieved 50%</v>
      </c>
      <c r="CI119" s="328">
        <f t="shared" si="20"/>
        <v>0.7931034483</v>
      </c>
      <c r="CJ119" s="330">
        <f>IFERROR(__xludf.DUMMYFUNCTION("""COMPUTED_VALUE"""),1216.0)</f>
        <v>1216</v>
      </c>
      <c r="CK119" s="330">
        <f>IFERROR(__xludf.DUMMYFUNCTION("""COMPUTED_VALUE"""),176.0)</f>
        <v>176</v>
      </c>
      <c r="CL119" s="330">
        <f>IFERROR(__xludf.DUMMYFUNCTION("""COMPUTED_VALUE"""),0.0)</f>
        <v>0</v>
      </c>
      <c r="CM119" s="331">
        <f t="shared" si="21"/>
        <v>0</v>
      </c>
      <c r="CN119" s="337"/>
      <c r="CO119" s="160"/>
      <c r="CP119" s="334"/>
      <c r="CQ119" s="335"/>
      <c r="CR119" s="160"/>
      <c r="CS119" s="160"/>
      <c r="CT119" s="160"/>
      <c r="CU119" s="160"/>
      <c r="CV119" s="160"/>
      <c r="CW119" s="335"/>
      <c r="CX119" s="288"/>
      <c r="CY119" s="160"/>
      <c r="CZ119" s="160"/>
    </row>
    <row r="120">
      <c r="A120" s="157" t="s">
        <v>185</v>
      </c>
      <c r="B120" s="157" t="s">
        <v>196</v>
      </c>
      <c r="C120" s="157" t="s">
        <v>269</v>
      </c>
      <c r="D120" s="157" t="s">
        <v>1027</v>
      </c>
      <c r="E120" s="157" t="s">
        <v>270</v>
      </c>
      <c r="F120" s="349">
        <v>45434.0</v>
      </c>
      <c r="G120" s="314">
        <v>0.0</v>
      </c>
      <c r="H120" s="314">
        <v>2.4E7</v>
      </c>
      <c r="I120" s="315">
        <v>1.240301737E7</v>
      </c>
      <c r="J120" s="315">
        <v>0.0</v>
      </c>
      <c r="K120" s="160">
        <v>68.0</v>
      </c>
      <c r="L120" s="160">
        <v>67.0</v>
      </c>
      <c r="M120" s="160">
        <v>9.0</v>
      </c>
      <c r="N120" s="160">
        <v>77.0</v>
      </c>
      <c r="O120" s="160">
        <v>10.0</v>
      </c>
      <c r="P120" s="315">
        <v>1.186264485E7</v>
      </c>
      <c r="Q120" s="315">
        <v>540372.52</v>
      </c>
      <c r="R120" s="160">
        <v>43.0</v>
      </c>
      <c r="S120" s="160">
        <v>7.0</v>
      </c>
      <c r="T120" s="160">
        <v>50.0</v>
      </c>
      <c r="U120" s="160">
        <v>0.0</v>
      </c>
      <c r="V120" s="160">
        <v>9.0</v>
      </c>
      <c r="W120" s="160">
        <v>20.0</v>
      </c>
      <c r="X120" s="160">
        <v>11.0</v>
      </c>
      <c r="Y120" s="160">
        <v>1.0</v>
      </c>
      <c r="Z120" s="160">
        <v>73.0</v>
      </c>
      <c r="AA120" s="160">
        <v>0.0</v>
      </c>
      <c r="AB120" s="160">
        <v>0.0</v>
      </c>
      <c r="AC120" s="160">
        <v>0.0</v>
      </c>
      <c r="AD120" s="160">
        <v>0.0</v>
      </c>
      <c r="AE120" s="160">
        <v>839.0</v>
      </c>
      <c r="AF120" s="160">
        <v>932.0</v>
      </c>
      <c r="AG120" s="160">
        <v>235.0</v>
      </c>
      <c r="AH120" s="314">
        <f t="shared" si="2"/>
        <v>52778.79732</v>
      </c>
      <c r="AI120" s="314">
        <f t="shared" si="3"/>
        <v>3.965957447</v>
      </c>
      <c r="AJ120" s="316">
        <v>69400.0</v>
      </c>
      <c r="AK120" s="314">
        <f t="shared" si="63"/>
        <v>728700</v>
      </c>
      <c r="AL120" s="317">
        <v>86531.0</v>
      </c>
      <c r="AM120" s="318">
        <f t="shared" si="5"/>
        <v>0.06572844137</v>
      </c>
      <c r="AN120" s="314">
        <f t="shared" si="6"/>
        <v>248060.3474</v>
      </c>
      <c r="AO120" s="336">
        <f t="shared" si="82"/>
        <v>0.5167923904</v>
      </c>
      <c r="AP120" s="319">
        <v>0.0</v>
      </c>
      <c r="AQ120" s="160">
        <v>607.0</v>
      </c>
      <c r="AR120" s="160">
        <v>2558.0</v>
      </c>
      <c r="AS120" s="160">
        <v>193.2</v>
      </c>
      <c r="AT120" s="160">
        <v>7.0</v>
      </c>
      <c r="AU120" s="160">
        <v>3.0</v>
      </c>
      <c r="AV120" s="320">
        <v>50.0</v>
      </c>
      <c r="AW120" s="320">
        <v>19.0</v>
      </c>
      <c r="AX120" s="320">
        <v>8.0</v>
      </c>
      <c r="AY120" s="321">
        <f>iferror(VLOOKUP(C120,'ORDER BOOKING REPORT 2025-26'!C:O,13,0),"")</f>
        <v>15017834.82</v>
      </c>
      <c r="AZ120" s="322"/>
      <c r="BA120" s="157" t="str">
        <f t="shared" si="7"/>
        <v>Active</v>
      </c>
      <c r="BB120" s="157" t="str">
        <f t="shared" si="8"/>
        <v>Old</v>
      </c>
      <c r="BC120" s="157" t="str">
        <f t="shared" si="83"/>
        <v>50%-70%</v>
      </c>
      <c r="BD120" s="223">
        <v>10.5</v>
      </c>
      <c r="BE120" s="323">
        <v>2000000.0</v>
      </c>
      <c r="BF120" s="157">
        <f t="shared" si="10"/>
        <v>2</v>
      </c>
      <c r="BG120" s="157" t="s">
        <v>1019</v>
      </c>
      <c r="BH120" s="324"/>
      <c r="BI120" s="324"/>
      <c r="BJ120" s="325"/>
      <c r="BK120" s="326"/>
      <c r="BL120" s="326">
        <f t="shared" si="48"/>
        <v>0</v>
      </c>
      <c r="BM120" s="326">
        <f t="shared" si="12"/>
        <v>24000000</v>
      </c>
      <c r="BN120" s="326"/>
      <c r="BO120" s="327" t="str">
        <f>IFERROR(__xludf.DUMMYFUNCTION("IFERROR(ArrayFormula(SUM(VLOOKUP($C120,importrange(""1MwNMVzWE3QBVOyJjKr3eFX-Sq1Ng0Q1sghWJbgbE_8g"",""ORDER BOOKING REPORT 2024-25!C:CV""),{16,23,30},0))))"),"")</f>
        <v/>
      </c>
      <c r="BP120" s="327" t="str">
        <f>IFERROR(__xludf.DUMMYFUNCTION("IFERROR(ArrayFormula(SUM(VLOOKUP($C120,importrange(""1MwNMVzWE3QBVOyJjKr3eFX-Sq1Ng0Q1sghWJbgbE_8g"",""ORDER BOOKING REPORT 2024-25!C:CV""),{37,44,51},0))))"),"")</f>
        <v/>
      </c>
      <c r="BQ120" s="327" t="str">
        <f>IFERROR(__xludf.DUMMYFUNCTION("IFERROR(ArrayFormula(SUM(VLOOKUP($C120,importrange(""1MwNMVzWE3QBVOyJjKr3eFX-Sq1Ng0Q1sghWJbgbE_8g"",""ORDER BOOKING REPORT 2024-25!C:CV""),{58,65,72},0))))"),"")</f>
        <v/>
      </c>
      <c r="BR120" s="327" t="str">
        <f>IFERROR(__xludf.DUMMYFUNCTION("IFERROR(ArrayFormula(SUM(VLOOKUP($C120,importrange(""1MwNMVzWE3QBVOyJjKr3eFX-Sq1Ng0Q1sghWJbgbE_8g"",""ORDER BOOKING REPORT 2024-25!C:CV""),{79,86,93},0))))"),"")</f>
        <v/>
      </c>
      <c r="BS120" s="328">
        <f t="shared" si="13"/>
        <v>0.6257431175</v>
      </c>
      <c r="BT120" s="328">
        <f t="shared" si="14"/>
        <v>0.05428419008</v>
      </c>
      <c r="BU120" s="234">
        <f t="shared" si="15"/>
        <v>0</v>
      </c>
      <c r="BV120" s="329">
        <v>69400.0</v>
      </c>
      <c r="BW120" s="329" t="s">
        <v>1017</v>
      </c>
      <c r="BX120" s="329">
        <v>1087.0</v>
      </c>
      <c r="BY120" s="234">
        <f t="shared" si="16"/>
        <v>0</v>
      </c>
      <c r="BZ120" s="234"/>
      <c r="CA120" s="234"/>
      <c r="CB120" s="234"/>
      <c r="CC120" s="234"/>
      <c r="CD120" s="234"/>
      <c r="CE120" s="234"/>
      <c r="CF120" s="234"/>
      <c r="CG120" s="234" t="str">
        <f t="shared" si="19"/>
        <v> </v>
      </c>
      <c r="CH120" s="234" t="str">
        <f t="shared" si="27"/>
        <v>Business Achieved 50%</v>
      </c>
      <c r="CI120" s="328">
        <f t="shared" si="20"/>
        <v>0.6493506494</v>
      </c>
      <c r="CJ120" s="330">
        <f>IFERROR(__xludf.DUMMYFUNCTION("""COMPUTED_VALUE"""),719.0)</f>
        <v>719</v>
      </c>
      <c r="CK120" s="330">
        <f>IFERROR(__xludf.DUMMYFUNCTION("""COMPUTED_VALUE"""),120.0)</f>
        <v>120</v>
      </c>
      <c r="CL120" s="330">
        <f>IFERROR(__xludf.DUMMYFUNCTION("""COMPUTED_VALUE"""),0.0)</f>
        <v>0</v>
      </c>
      <c r="CM120" s="331">
        <f t="shared" si="21"/>
        <v>0</v>
      </c>
      <c r="CN120" s="337"/>
      <c r="CO120" s="160"/>
      <c r="CP120" s="334"/>
      <c r="CQ120" s="335"/>
      <c r="CR120" s="160"/>
      <c r="CS120" s="160"/>
      <c r="CT120" s="160"/>
      <c r="CU120" s="160"/>
      <c r="CV120" s="160"/>
      <c r="CW120" s="335"/>
      <c r="CX120" s="288"/>
      <c r="CY120" s="160"/>
      <c r="CZ120" s="160"/>
    </row>
    <row r="121">
      <c r="A121" s="157" t="s">
        <v>185</v>
      </c>
      <c r="B121" s="157" t="s">
        <v>117</v>
      </c>
      <c r="C121" s="157" t="s">
        <v>432</v>
      </c>
      <c r="D121" s="157" t="s">
        <v>1044</v>
      </c>
      <c r="E121" s="157" t="s">
        <v>433</v>
      </c>
      <c r="F121" s="338">
        <v>45444.0</v>
      </c>
      <c r="G121" s="314">
        <v>0.0</v>
      </c>
      <c r="H121" s="314">
        <v>4000000.0</v>
      </c>
      <c r="I121" s="315">
        <v>560081.52</v>
      </c>
      <c r="J121" s="315">
        <v>0.0</v>
      </c>
      <c r="K121" s="160">
        <v>27.0</v>
      </c>
      <c r="L121" s="160">
        <v>24.0</v>
      </c>
      <c r="M121" s="160">
        <v>0.0</v>
      </c>
      <c r="N121" s="160">
        <v>27.0</v>
      </c>
      <c r="O121" s="160">
        <v>3.0</v>
      </c>
      <c r="P121" s="315">
        <v>560081.52</v>
      </c>
      <c r="Q121" s="315">
        <v>0.0</v>
      </c>
      <c r="R121" s="160">
        <v>11.0</v>
      </c>
      <c r="S121" s="160">
        <v>0.0</v>
      </c>
      <c r="T121" s="160">
        <v>11.0</v>
      </c>
      <c r="U121" s="160">
        <v>0.0</v>
      </c>
      <c r="V121" s="160">
        <v>38.0</v>
      </c>
      <c r="W121" s="160">
        <v>38.0</v>
      </c>
      <c r="X121" s="160">
        <v>132.0</v>
      </c>
      <c r="Y121" s="160">
        <v>2.0</v>
      </c>
      <c r="Z121" s="160">
        <v>5.0</v>
      </c>
      <c r="AA121" s="160">
        <v>0.0</v>
      </c>
      <c r="AB121" s="160">
        <v>0.0</v>
      </c>
      <c r="AC121" s="160">
        <v>1.0</v>
      </c>
      <c r="AD121" s="160">
        <v>1.0</v>
      </c>
      <c r="AE121" s="160">
        <v>86.0</v>
      </c>
      <c r="AF121" s="160">
        <v>130.0</v>
      </c>
      <c r="AG121" s="160">
        <v>82.0</v>
      </c>
      <c r="AH121" s="314">
        <f t="shared" si="2"/>
        <v>6830.262439</v>
      </c>
      <c r="AI121" s="314">
        <f t="shared" si="3"/>
        <v>1.585365854</v>
      </c>
      <c r="AJ121" s="346">
        <v>27000.0</v>
      </c>
      <c r="AK121" s="314">
        <f t="shared" si="63"/>
        <v>94500</v>
      </c>
      <c r="AL121" s="286">
        <v>35750.0</v>
      </c>
      <c r="AM121" s="318">
        <f t="shared" si="5"/>
        <v>0.2325554323</v>
      </c>
      <c r="AN121" s="314">
        <f t="shared" si="6"/>
        <v>50916.50182</v>
      </c>
      <c r="AO121" s="336">
        <f t="shared" si="82"/>
        <v>0.14002038</v>
      </c>
      <c r="AP121" s="319">
        <v>0.0</v>
      </c>
      <c r="AQ121" s="160">
        <v>19.0</v>
      </c>
      <c r="AR121" s="160">
        <v>772.0</v>
      </c>
      <c r="AS121" s="160">
        <v>0.0</v>
      </c>
      <c r="AT121" s="160">
        <v>0.0</v>
      </c>
      <c r="AU121" s="160">
        <v>0.0</v>
      </c>
      <c r="AV121" s="320">
        <v>11.0</v>
      </c>
      <c r="AW121" s="320">
        <v>14.0</v>
      </c>
      <c r="AX121" s="320">
        <v>2.0</v>
      </c>
      <c r="AY121" s="321">
        <f>iferror(VLOOKUP(C121,'ORDER BOOKING REPORT 2025-26'!C:O,13,0),"")</f>
        <v>544771</v>
      </c>
      <c r="AZ121" s="322">
        <v>45853.0</v>
      </c>
      <c r="BA121" s="157" t="str">
        <f t="shared" si="7"/>
        <v>LEFT</v>
      </c>
      <c r="BB121" s="157" t="str">
        <f t="shared" si="8"/>
        <v>Old</v>
      </c>
      <c r="BC121" s="157" t="str">
        <f t="shared" si="83"/>
        <v>Below 50%</v>
      </c>
      <c r="BD121" s="223">
        <v>3.5</v>
      </c>
      <c r="BE121" s="326">
        <v>1000000.0</v>
      </c>
      <c r="BF121" s="157">
        <f t="shared" si="10"/>
        <v>0</v>
      </c>
      <c r="BG121" s="157" t="s">
        <v>1019</v>
      </c>
      <c r="BH121" s="324"/>
      <c r="BI121" s="324"/>
      <c r="BJ121" s="343"/>
      <c r="BK121" s="326"/>
      <c r="BL121" s="326">
        <f t="shared" si="48"/>
        <v>0</v>
      </c>
      <c r="BM121" s="326">
        <f t="shared" si="12"/>
        <v>4000000</v>
      </c>
      <c r="BN121" s="326"/>
      <c r="BO121" s="327" t="str">
        <f>IFERROR(__xludf.DUMMYFUNCTION("IFERROR(ArrayFormula(SUM(VLOOKUP($C121,importrange(""1MwNMVzWE3QBVOyJjKr3eFX-Sq1Ng0Q1sghWJbgbE_8g"",""ORDER BOOKING REPORT 2024-25!C:CV""),{16,23,30},0))))"),"")</f>
        <v/>
      </c>
      <c r="BP121" s="327" t="str">
        <f>IFERROR(__xludf.DUMMYFUNCTION("IFERROR(ArrayFormula(SUM(VLOOKUP($C121,importrange(""1MwNMVzWE3QBVOyJjKr3eFX-Sq1Ng0Q1sghWJbgbE_8g"",""ORDER BOOKING REPORT 2024-25!C:CV""),{37,44,51},0))))"),"")</f>
        <v/>
      </c>
      <c r="BQ121" s="327" t="str">
        <f>IFERROR(__xludf.DUMMYFUNCTION("IFERROR(ArrayFormula(SUM(VLOOKUP($C121,importrange(""1MwNMVzWE3QBVOyJjKr3eFX-Sq1Ng0Q1sghWJbgbE_8g"",""ORDER BOOKING REPORT 2024-25!C:CV""),{58,65,72},0))))"),"")</f>
        <v/>
      </c>
      <c r="BR121" s="327" t="str">
        <f>IFERROR(__xludf.DUMMYFUNCTION("IFERROR(ArrayFormula(SUM(VLOOKUP($C121,importrange(""1MwNMVzWE3QBVOyJjKr3eFX-Sq1Ng0Q1sghWJbgbE_8g"",""ORDER BOOKING REPORT 2024-25!C:CV""),{79,86,93},0))))"),"")</f>
        <v/>
      </c>
      <c r="BS121" s="328">
        <f t="shared" si="13"/>
        <v>0.13619275</v>
      </c>
      <c r="BT121" s="328">
        <f t="shared" si="14"/>
        <v>0.2390912879</v>
      </c>
      <c r="BU121" s="234">
        <f t="shared" si="15"/>
        <v>0</v>
      </c>
      <c r="BV121" s="329"/>
      <c r="BW121" s="329"/>
      <c r="BX121" s="329"/>
      <c r="BY121" s="234">
        <f t="shared" si="16"/>
        <v>-27000</v>
      </c>
      <c r="BZ121" s="234"/>
      <c r="CA121" s="234">
        <f>BE121*4</f>
        <v>4000000</v>
      </c>
      <c r="CB121" s="234"/>
      <c r="CC121" s="234">
        <f>CA121-H121</f>
        <v>0</v>
      </c>
      <c r="CD121" s="234"/>
      <c r="CE121" s="234"/>
      <c r="CF121" s="234"/>
      <c r="CG121" s="234" t="str">
        <f t="shared" si="19"/>
        <v>Below 60</v>
      </c>
      <c r="CH121" s="234" t="str">
        <f t="shared" si="27"/>
        <v>Not 50%</v>
      </c>
      <c r="CI121" s="328">
        <f t="shared" si="20"/>
        <v>0.4074074074</v>
      </c>
      <c r="CJ121" s="339">
        <f>IFERROR(__xludf.DUMMYFUNCTION("""COMPUTED_VALUE"""),45.0)</f>
        <v>45</v>
      </c>
      <c r="CK121" s="339">
        <f>IFERROR(__xludf.DUMMYFUNCTION("""COMPUTED_VALUE"""),41.0)</f>
        <v>41</v>
      </c>
      <c r="CL121" s="339">
        <f>IFERROR(__xludf.DUMMYFUNCTION("""COMPUTED_VALUE"""),0.0)</f>
        <v>0</v>
      </c>
      <c r="CM121" s="331">
        <f t="shared" si="21"/>
        <v>0</v>
      </c>
      <c r="CN121" s="340"/>
      <c r="CO121" s="328"/>
      <c r="CP121" s="341"/>
      <c r="CQ121" s="344"/>
      <c r="CR121" s="328"/>
      <c r="CS121" s="328"/>
      <c r="CT121" s="328"/>
      <c r="CU121" s="328"/>
      <c r="CV121" s="328"/>
      <c r="CW121" s="328"/>
      <c r="CX121" s="288"/>
      <c r="CY121" s="328"/>
      <c r="CZ121" s="328"/>
    </row>
    <row r="122">
      <c r="A122" s="157" t="s">
        <v>298</v>
      </c>
      <c r="B122" s="157" t="s">
        <v>301</v>
      </c>
      <c r="C122" s="157" t="s">
        <v>311</v>
      </c>
      <c r="D122" s="157" t="s">
        <v>1066</v>
      </c>
      <c r="E122" s="157" t="s">
        <v>303</v>
      </c>
      <c r="F122" s="338">
        <v>45446.0</v>
      </c>
      <c r="G122" s="314">
        <v>0.0</v>
      </c>
      <c r="H122" s="314">
        <v>1.44E7</v>
      </c>
      <c r="I122" s="315">
        <v>9948476.75</v>
      </c>
      <c r="J122" s="315">
        <v>0.0</v>
      </c>
      <c r="K122" s="160">
        <v>39.0</v>
      </c>
      <c r="L122" s="160">
        <v>64.0</v>
      </c>
      <c r="M122" s="160">
        <v>26.0</v>
      </c>
      <c r="N122" s="160">
        <v>65.0</v>
      </c>
      <c r="O122" s="160">
        <v>1.0</v>
      </c>
      <c r="P122" s="315">
        <v>3027868.7</v>
      </c>
      <c r="Q122" s="315">
        <v>6920608.05</v>
      </c>
      <c r="R122" s="160">
        <v>22.0</v>
      </c>
      <c r="S122" s="160">
        <v>25.0</v>
      </c>
      <c r="T122" s="160">
        <v>47.0</v>
      </c>
      <c r="U122" s="160">
        <v>0.0</v>
      </c>
      <c r="V122" s="160">
        <v>134.0</v>
      </c>
      <c r="W122" s="160">
        <v>301.0</v>
      </c>
      <c r="X122" s="160">
        <v>94.0</v>
      </c>
      <c r="Y122" s="160">
        <v>7.0</v>
      </c>
      <c r="Z122" s="160">
        <v>216.0</v>
      </c>
      <c r="AA122" s="160">
        <v>0.0</v>
      </c>
      <c r="AB122" s="160">
        <v>0.0</v>
      </c>
      <c r="AC122" s="160">
        <v>1.0</v>
      </c>
      <c r="AD122" s="160">
        <v>14.0</v>
      </c>
      <c r="AE122" s="160">
        <v>662.0</v>
      </c>
      <c r="AF122" s="160">
        <v>1193.0</v>
      </c>
      <c r="AG122" s="160">
        <v>296.0</v>
      </c>
      <c r="AH122" s="314">
        <f t="shared" si="2"/>
        <v>33609.71875</v>
      </c>
      <c r="AI122" s="314">
        <f t="shared" si="3"/>
        <v>4.030405405</v>
      </c>
      <c r="AJ122" s="316">
        <v>39837.0</v>
      </c>
      <c r="AK122" s="314">
        <f t="shared" si="63"/>
        <v>478044</v>
      </c>
      <c r="AL122" s="317">
        <v>125540.0</v>
      </c>
      <c r="AM122" s="318">
        <f t="shared" si="5"/>
        <v>0.06067099669</v>
      </c>
      <c r="AN122" s="314">
        <f t="shared" si="6"/>
        <v>211669.7181</v>
      </c>
      <c r="AO122" s="336">
        <f t="shared" si="82"/>
        <v>0.690866441</v>
      </c>
      <c r="AP122" s="319">
        <v>0.0</v>
      </c>
      <c r="AQ122" s="160">
        <v>237.0</v>
      </c>
      <c r="AR122" s="160">
        <v>2970.0</v>
      </c>
      <c r="AS122" s="160">
        <v>2629.51</v>
      </c>
      <c r="AT122" s="160">
        <v>25.0</v>
      </c>
      <c r="AU122" s="160">
        <v>41.0</v>
      </c>
      <c r="AV122" s="320">
        <v>47.0</v>
      </c>
      <c r="AW122" s="320">
        <v>17.0</v>
      </c>
      <c r="AX122" s="320">
        <v>1.0</v>
      </c>
      <c r="AY122" s="321">
        <f>iferror(VLOOKUP(C122,'ORDER BOOKING REPORT 2025-26'!C:O,13,0),"")</f>
        <v>9386900</v>
      </c>
      <c r="AZ122" s="322"/>
      <c r="BA122" s="157" t="str">
        <f t="shared" si="7"/>
        <v>Active</v>
      </c>
      <c r="BB122" s="157" t="str">
        <f t="shared" si="8"/>
        <v>Old</v>
      </c>
      <c r="BC122" s="157" t="str">
        <f t="shared" si="83"/>
        <v>50%-70%</v>
      </c>
      <c r="BD122" s="223">
        <f t="shared" ref="BD122:BD124" si="84">Match($BD$2,{"Apr","May","Jun","Jul","Aug","Sep","Oct","Nov","Dec","Jan","Feb","Mar"},0)</f>
        <v>12</v>
      </c>
      <c r="BE122" s="323">
        <v>1200000.0</v>
      </c>
      <c r="BF122" s="157">
        <f t="shared" si="10"/>
        <v>1</v>
      </c>
      <c r="BG122" s="157" t="s">
        <v>1019</v>
      </c>
      <c r="BH122" s="324">
        <f>IFERROR(__xludf.DUMMYFUNCTION("""COMPUTED_VALUE"""),2169373.0)</f>
        <v>2169373</v>
      </c>
      <c r="BI122" s="324">
        <f>IFERROR(__xludf.DUMMYFUNCTION("""COMPUTED_VALUE"""),2169431.46)</f>
        <v>2169431.46</v>
      </c>
      <c r="BJ122" s="325"/>
      <c r="BK122" s="326"/>
      <c r="BL122" s="326">
        <f t="shared" si="48"/>
        <v>0</v>
      </c>
      <c r="BM122" s="326">
        <f t="shared" si="12"/>
        <v>14400000</v>
      </c>
      <c r="BN122" s="326"/>
      <c r="BO122" s="327">
        <f>IFERROR(__xludf.DUMMYFUNCTION("IFERROR(ArrayFormula(SUM(VLOOKUP($C122,importrange(""1MwNMVzWE3QBVOyJjKr3eFX-Sq1Ng0Q1sghWJbgbE_8g"",""ORDER BOOKING REPORT 2024-25!C:CV""),{16,23,30},0))))"),0.0)</f>
        <v>0</v>
      </c>
      <c r="BP122" s="327">
        <f>IFERROR(__xludf.DUMMYFUNCTION("IFERROR(ArrayFormula(SUM(VLOOKUP($C122,importrange(""1MwNMVzWE3QBVOyJjKr3eFX-Sq1Ng0Q1sghWJbgbE_8g"",""ORDER BOOKING REPORT 2024-25!C:CV""),{37,44,51},0))))"),162274.95)</f>
        <v>162274.95</v>
      </c>
      <c r="BQ122" s="327">
        <f>IFERROR(__xludf.DUMMYFUNCTION("IFERROR(ArrayFormula(SUM(VLOOKUP($C122,importrange(""1MwNMVzWE3QBVOyJjKr3eFX-Sq1Ng0Q1sghWJbgbE_8g"",""ORDER BOOKING REPORT 2024-25!C:CV""),{58,65,72},0))))"),241452.8)</f>
        <v>241452.8</v>
      </c>
      <c r="BR122" s="327">
        <f>IFERROR(__xludf.DUMMYFUNCTION("IFERROR(ArrayFormula(SUM(VLOOKUP($C122,importrange(""1MwNMVzWE3QBVOyJjKr3eFX-Sq1Ng0Q1sghWJbgbE_8g"",""ORDER BOOKING REPORT 2024-25!C:CV""),{79,86,93},0))))"),1765703.7100000002)</f>
        <v>1765703.71</v>
      </c>
      <c r="BS122" s="328">
        <f t="shared" si="13"/>
        <v>0.6518680556</v>
      </c>
      <c r="BT122" s="328">
        <f t="shared" si="14"/>
        <v>0.06430067434</v>
      </c>
      <c r="BU122" s="234">
        <f t="shared" si="15"/>
        <v>0</v>
      </c>
      <c r="BV122" s="329">
        <v>39837.0</v>
      </c>
      <c r="BW122" s="329" t="s">
        <v>1029</v>
      </c>
      <c r="BX122" s="329">
        <v>1101.0</v>
      </c>
      <c r="BY122" s="234">
        <f t="shared" si="16"/>
        <v>0</v>
      </c>
      <c r="BZ122" s="234"/>
      <c r="CA122" s="234"/>
      <c r="CB122" s="234"/>
      <c r="CC122" s="234"/>
      <c r="CD122" s="234"/>
      <c r="CE122" s="234"/>
      <c r="CF122" s="234"/>
      <c r="CG122" s="234" t="str">
        <f t="shared" si="19"/>
        <v> </v>
      </c>
      <c r="CH122" s="234" t="str">
        <f t="shared" si="27"/>
        <v>Business Achieved 50%</v>
      </c>
      <c r="CI122" s="328">
        <f t="shared" si="20"/>
        <v>0.7230769231</v>
      </c>
      <c r="CJ122" s="330">
        <f>IFERROR(__xludf.DUMMYFUNCTION("""COMPUTED_VALUE"""),588.0)</f>
        <v>588</v>
      </c>
      <c r="CK122" s="330">
        <f>IFERROR(__xludf.DUMMYFUNCTION("""COMPUTED_VALUE"""),74.0)</f>
        <v>74</v>
      </c>
      <c r="CL122" s="330">
        <f>IFERROR(__xludf.DUMMYFUNCTION("""COMPUTED_VALUE"""),0.0)</f>
        <v>0</v>
      </c>
      <c r="CM122" s="331">
        <f t="shared" si="21"/>
        <v>0</v>
      </c>
      <c r="CN122" s="337"/>
      <c r="CO122" s="160"/>
      <c r="CP122" s="334"/>
      <c r="CQ122" s="335"/>
      <c r="CR122" s="160"/>
      <c r="CS122" s="160"/>
      <c r="CT122" s="160"/>
      <c r="CU122" s="160"/>
      <c r="CV122" s="160"/>
      <c r="CW122" s="335"/>
      <c r="CX122" s="288"/>
      <c r="CY122" s="160"/>
      <c r="CZ122" s="160"/>
    </row>
    <row r="123">
      <c r="A123" s="157" t="s">
        <v>185</v>
      </c>
      <c r="B123" s="157" t="s">
        <v>114</v>
      </c>
      <c r="C123" s="157" t="s">
        <v>122</v>
      </c>
      <c r="D123" s="157" t="s">
        <v>1051</v>
      </c>
      <c r="E123" s="157" t="s">
        <v>123</v>
      </c>
      <c r="F123" s="285">
        <v>45453.0</v>
      </c>
      <c r="G123" s="314">
        <v>0.0</v>
      </c>
      <c r="H123" s="314">
        <v>1.44E7</v>
      </c>
      <c r="I123" s="315">
        <v>9775546.12</v>
      </c>
      <c r="J123" s="315">
        <v>0.0</v>
      </c>
      <c r="K123" s="160">
        <v>114.0</v>
      </c>
      <c r="L123" s="160">
        <v>140.0</v>
      </c>
      <c r="M123" s="160">
        <v>28.0</v>
      </c>
      <c r="N123" s="160">
        <v>142.0</v>
      </c>
      <c r="O123" s="160">
        <v>2.0</v>
      </c>
      <c r="P123" s="315">
        <v>8602665.42</v>
      </c>
      <c r="Q123" s="315">
        <v>1172880.7</v>
      </c>
      <c r="R123" s="160">
        <v>77.0</v>
      </c>
      <c r="S123" s="160">
        <v>28.0</v>
      </c>
      <c r="T123" s="160">
        <v>105.0</v>
      </c>
      <c r="U123" s="160">
        <v>0.0</v>
      </c>
      <c r="V123" s="160">
        <v>73.0</v>
      </c>
      <c r="W123" s="160">
        <v>180.0</v>
      </c>
      <c r="X123" s="160">
        <v>146.0</v>
      </c>
      <c r="Y123" s="160">
        <v>0.0</v>
      </c>
      <c r="Z123" s="160">
        <v>0.0</v>
      </c>
      <c r="AA123" s="160">
        <v>0.0</v>
      </c>
      <c r="AB123" s="160">
        <v>0.0</v>
      </c>
      <c r="AC123" s="160">
        <v>0.0</v>
      </c>
      <c r="AD123" s="160">
        <v>0.0</v>
      </c>
      <c r="AE123" s="160">
        <v>1861.0</v>
      </c>
      <c r="AF123" s="160">
        <v>2041.0</v>
      </c>
      <c r="AG123" s="160">
        <v>266.0</v>
      </c>
      <c r="AH123" s="314">
        <f t="shared" si="2"/>
        <v>36750.17338</v>
      </c>
      <c r="AI123" s="314">
        <f t="shared" si="3"/>
        <v>7.672932331</v>
      </c>
      <c r="AJ123" s="316">
        <f>BV123</f>
        <v>36925</v>
      </c>
      <c r="AK123" s="314">
        <f t="shared" si="63"/>
        <v>443100</v>
      </c>
      <c r="AL123" s="286">
        <v>260804.0</v>
      </c>
      <c r="AM123" s="318">
        <f t="shared" si="5"/>
        <v>0.07200661644</v>
      </c>
      <c r="AN123" s="314">
        <f t="shared" si="6"/>
        <v>93100.43924</v>
      </c>
      <c r="AO123" s="336">
        <f t="shared" si="82"/>
        <v>0.6788573694</v>
      </c>
      <c r="AP123" s="319">
        <v>0.0</v>
      </c>
      <c r="AQ123" s="160">
        <v>478.0</v>
      </c>
      <c r="AR123" s="160">
        <v>3267.0</v>
      </c>
      <c r="AS123" s="160">
        <v>3213.2</v>
      </c>
      <c r="AT123" s="160">
        <v>28.0</v>
      </c>
      <c r="AU123" s="160">
        <v>23.0</v>
      </c>
      <c r="AV123" s="320">
        <v>105.0</v>
      </c>
      <c r="AW123" s="320">
        <v>36.0</v>
      </c>
      <c r="AX123" s="320">
        <v>1.0</v>
      </c>
      <c r="AY123" s="321">
        <f>iferror(VLOOKUP(C123,'ORDER BOOKING REPORT 2025-26'!C:O,13,0),"")</f>
        <v>7435566.19</v>
      </c>
      <c r="AZ123" s="322"/>
      <c r="BA123" s="157" t="str">
        <f t="shared" si="7"/>
        <v>Active</v>
      </c>
      <c r="BB123" s="157" t="str">
        <f t="shared" si="8"/>
        <v>Old</v>
      </c>
      <c r="BC123" s="157" t="str">
        <f t="shared" si="83"/>
        <v>50%-70%</v>
      </c>
      <c r="BD123" s="223">
        <f t="shared" si="84"/>
        <v>12</v>
      </c>
      <c r="BE123" s="323">
        <v>1200000.0</v>
      </c>
      <c r="BF123" s="157">
        <f t="shared" si="10"/>
        <v>0</v>
      </c>
      <c r="BG123" s="157" t="s">
        <v>1019</v>
      </c>
      <c r="BH123" s="324"/>
      <c r="BI123" s="324"/>
      <c r="BJ123" s="325"/>
      <c r="BK123" s="326"/>
      <c r="BL123" s="326">
        <f t="shared" si="48"/>
        <v>0</v>
      </c>
      <c r="BM123" s="326">
        <f t="shared" si="12"/>
        <v>14400000</v>
      </c>
      <c r="BN123" s="326"/>
      <c r="BO123" s="327" t="str">
        <f>IFERROR(__xludf.DUMMYFUNCTION("IFERROR(ArrayFormula(SUM(VLOOKUP($C123,importrange(""1MwNMVzWE3QBVOyJjKr3eFX-Sq1Ng0Q1sghWJbgbE_8g"",""ORDER BOOKING REPORT 2024-25!C:CV""),{16,23,30},0))))"),"")</f>
        <v/>
      </c>
      <c r="BP123" s="327" t="str">
        <f>IFERROR(__xludf.DUMMYFUNCTION("IFERROR(ArrayFormula(SUM(VLOOKUP($C123,importrange(""1MwNMVzWE3QBVOyJjKr3eFX-Sq1Ng0Q1sghWJbgbE_8g"",""ORDER BOOKING REPORT 2024-25!C:CV""),{37,44,51},0))))"),"")</f>
        <v/>
      </c>
      <c r="BQ123" s="327" t="str">
        <f>IFERROR(__xludf.DUMMYFUNCTION("IFERROR(ArrayFormula(SUM(VLOOKUP($C123,importrange(""1MwNMVzWE3QBVOyJjKr3eFX-Sq1Ng0Q1sghWJbgbE_8g"",""ORDER BOOKING REPORT 2024-25!C:CV""),{58,65,72},0))))"),"")</f>
        <v/>
      </c>
      <c r="BR123" s="327" t="str">
        <f>IFERROR(__xludf.DUMMYFUNCTION("IFERROR(ArrayFormula(SUM(VLOOKUP($C123,importrange(""1MwNMVzWE3QBVOyJjKr3eFX-Sq1Ng0Q1sghWJbgbE_8g"",""ORDER BOOKING REPORT 2024-25!C:CV""),{79,86,93},0))))"),"")</f>
        <v/>
      </c>
      <c r="BS123" s="328">
        <f t="shared" si="13"/>
        <v>0.5163587632</v>
      </c>
      <c r="BT123" s="328">
        <f t="shared" si="14"/>
        <v>0.09466716885</v>
      </c>
      <c r="BU123" s="234">
        <f t="shared" si="15"/>
        <v>0</v>
      </c>
      <c r="BV123" s="329">
        <v>36925.0</v>
      </c>
      <c r="BW123" s="329" t="s">
        <v>1045</v>
      </c>
      <c r="BX123" s="329">
        <v>1103.0</v>
      </c>
      <c r="BY123" s="234">
        <f t="shared" si="16"/>
        <v>0</v>
      </c>
      <c r="BZ123" s="234"/>
      <c r="CA123" s="234"/>
      <c r="CB123" s="234"/>
      <c r="CC123" s="234"/>
      <c r="CD123" s="234"/>
      <c r="CE123" s="234"/>
      <c r="CF123" s="234"/>
      <c r="CG123" s="234" t="str">
        <f t="shared" si="19"/>
        <v> </v>
      </c>
      <c r="CH123" s="234" t="str">
        <f t="shared" si="27"/>
        <v>Business Achieved 50%</v>
      </c>
      <c r="CI123" s="328">
        <f t="shared" si="20"/>
        <v>0.7394366197</v>
      </c>
      <c r="CJ123" s="339">
        <f>IFERROR(__xludf.DUMMYFUNCTION("""COMPUTED_VALUE"""),1366.0)</f>
        <v>1366</v>
      </c>
      <c r="CK123" s="339">
        <f>IFERROR(__xludf.DUMMYFUNCTION("""COMPUTED_VALUE"""),495.0)</f>
        <v>495</v>
      </c>
      <c r="CL123" s="339">
        <f>IFERROR(__xludf.DUMMYFUNCTION("""COMPUTED_VALUE"""),0.0)</f>
        <v>0</v>
      </c>
      <c r="CM123" s="331">
        <f t="shared" si="21"/>
        <v>0</v>
      </c>
      <c r="CN123" s="340"/>
      <c r="CO123" s="328"/>
      <c r="CP123" s="341"/>
      <c r="CQ123" s="344"/>
      <c r="CR123" s="328"/>
      <c r="CS123" s="328"/>
      <c r="CT123" s="328"/>
      <c r="CU123" s="328"/>
      <c r="CV123" s="328"/>
      <c r="CW123" s="328"/>
      <c r="CX123" s="288"/>
      <c r="CY123" s="328"/>
      <c r="CZ123" s="328"/>
    </row>
    <row r="124">
      <c r="A124" s="157" t="s">
        <v>185</v>
      </c>
      <c r="B124" s="157" t="s">
        <v>189</v>
      </c>
      <c r="C124" s="157" t="s">
        <v>271</v>
      </c>
      <c r="D124" s="157" t="s">
        <v>1016</v>
      </c>
      <c r="E124" s="157" t="s">
        <v>272</v>
      </c>
      <c r="F124" s="285">
        <v>45460.0</v>
      </c>
      <c r="G124" s="314">
        <v>0.0</v>
      </c>
      <c r="H124" s="314">
        <v>1.8E7</v>
      </c>
      <c r="I124" s="315">
        <v>1.800067383E7</v>
      </c>
      <c r="J124" s="315">
        <v>0.0</v>
      </c>
      <c r="K124" s="160">
        <v>69.0</v>
      </c>
      <c r="L124" s="160">
        <v>89.0</v>
      </c>
      <c r="M124" s="160">
        <v>27.0</v>
      </c>
      <c r="N124" s="160">
        <v>96.0</v>
      </c>
      <c r="O124" s="160">
        <v>7.0</v>
      </c>
      <c r="P124" s="315">
        <v>1.030797307E7</v>
      </c>
      <c r="Q124" s="315">
        <v>7692700.76</v>
      </c>
      <c r="R124" s="160">
        <v>39.0</v>
      </c>
      <c r="S124" s="160">
        <v>27.0</v>
      </c>
      <c r="T124" s="160">
        <v>66.0</v>
      </c>
      <c r="U124" s="160">
        <v>0.0</v>
      </c>
      <c r="V124" s="160">
        <v>24.0</v>
      </c>
      <c r="W124" s="160">
        <v>31.0</v>
      </c>
      <c r="X124" s="160">
        <v>52.0</v>
      </c>
      <c r="Y124" s="160">
        <v>3.0</v>
      </c>
      <c r="Z124" s="160">
        <v>32.0</v>
      </c>
      <c r="AA124" s="160">
        <v>0.0</v>
      </c>
      <c r="AB124" s="160">
        <v>0.0</v>
      </c>
      <c r="AC124" s="160">
        <v>0.0</v>
      </c>
      <c r="AD124" s="160">
        <v>0.0</v>
      </c>
      <c r="AE124" s="160">
        <v>1163.0</v>
      </c>
      <c r="AF124" s="160">
        <v>1226.0</v>
      </c>
      <c r="AG124" s="160">
        <v>299.0</v>
      </c>
      <c r="AH124" s="314">
        <f t="shared" si="2"/>
        <v>60202.92251</v>
      </c>
      <c r="AI124" s="314">
        <f t="shared" si="3"/>
        <v>4.100334448</v>
      </c>
      <c r="AJ124" s="346">
        <v>29900.0</v>
      </c>
      <c r="AK124" s="314">
        <f t="shared" si="63"/>
        <v>358800</v>
      </c>
      <c r="AL124" s="317">
        <v>164163.0</v>
      </c>
      <c r="AM124" s="318">
        <f t="shared" si="5"/>
        <v>0.02905241242</v>
      </c>
      <c r="AN124" s="314">
        <f t="shared" si="6"/>
        <v>272737.4823</v>
      </c>
      <c r="AO124" s="336">
        <f t="shared" si="82"/>
        <v>1.000037435</v>
      </c>
      <c r="AP124" s="319">
        <v>0.0</v>
      </c>
      <c r="AQ124" s="160">
        <v>286.0</v>
      </c>
      <c r="AR124" s="160">
        <v>3260.0</v>
      </c>
      <c r="AS124" s="160">
        <v>2285.03</v>
      </c>
      <c r="AT124" s="160">
        <v>27.0</v>
      </c>
      <c r="AU124" s="160">
        <v>26.0</v>
      </c>
      <c r="AV124" s="320">
        <v>66.0</v>
      </c>
      <c r="AW124" s="320">
        <v>25.0</v>
      </c>
      <c r="AX124" s="320">
        <v>5.0</v>
      </c>
      <c r="AY124" s="321">
        <f>iferror(VLOOKUP(C124,'ORDER BOOKING REPORT 2025-26'!C:O,13,0),"")</f>
        <v>15309253</v>
      </c>
      <c r="AZ124" s="322"/>
      <c r="BA124" s="157" t="str">
        <f t="shared" si="7"/>
        <v>Active</v>
      </c>
      <c r="BB124" s="157" t="str">
        <f t="shared" si="8"/>
        <v>Old</v>
      </c>
      <c r="BC124" s="157" t="str">
        <f t="shared" si="83"/>
        <v>Above 100%</v>
      </c>
      <c r="BD124" s="223">
        <f t="shared" si="84"/>
        <v>12</v>
      </c>
      <c r="BE124" s="323">
        <v>1500000.0</v>
      </c>
      <c r="BF124" s="157">
        <f t="shared" si="10"/>
        <v>0</v>
      </c>
      <c r="BG124" s="157" t="s">
        <v>1019</v>
      </c>
      <c r="BH124" s="324"/>
      <c r="BI124" s="324"/>
      <c r="BJ124" s="325"/>
      <c r="BK124" s="326"/>
      <c r="BL124" s="326">
        <f t="shared" si="48"/>
        <v>0</v>
      </c>
      <c r="BM124" s="326">
        <f t="shared" si="12"/>
        <v>18000000</v>
      </c>
      <c r="BN124" s="326"/>
      <c r="BO124" s="327" t="str">
        <f>IFERROR(__xludf.DUMMYFUNCTION("IFERROR(ArrayFormula(SUM(VLOOKUP($C124,importrange(""1MwNMVzWE3QBVOyJjKr3eFX-Sq1Ng0Q1sghWJbgbE_8g"",""ORDER BOOKING REPORT 2024-25!C:CV""),{16,23,30},0))))"),"")</f>
        <v/>
      </c>
      <c r="BP124" s="327" t="str">
        <f>IFERROR(__xludf.DUMMYFUNCTION("IFERROR(ArrayFormula(SUM(VLOOKUP($C124,importrange(""1MwNMVzWE3QBVOyJjKr3eFX-Sq1Ng0Q1sghWJbgbE_8g"",""ORDER BOOKING REPORT 2024-25!C:CV""),{37,44,51},0))))"),"")</f>
        <v/>
      </c>
      <c r="BQ124" s="327" t="str">
        <f>IFERROR(__xludf.DUMMYFUNCTION("IFERROR(ArrayFormula(SUM(VLOOKUP($C124,importrange(""1MwNMVzWE3QBVOyJjKr3eFX-Sq1Ng0Q1sghWJbgbE_8g"",""ORDER BOOKING REPORT 2024-25!C:CV""),{58,65,72},0))))"),"")</f>
        <v/>
      </c>
      <c r="BR124" s="327" t="str">
        <f>IFERROR(__xludf.DUMMYFUNCTION("IFERROR(ArrayFormula(SUM(VLOOKUP($C124,importrange(""1MwNMVzWE3QBVOyJjKr3eFX-Sq1Ng0Q1sghWJbgbE_8g"",""ORDER BOOKING REPORT 2024-25!C:CV""),{79,86,93},0))))"),"")</f>
        <v/>
      </c>
      <c r="BS124" s="328">
        <f t="shared" si="13"/>
        <v>0.8505140556</v>
      </c>
      <c r="BT124" s="328">
        <f t="shared" si="14"/>
        <v>0.03415992929</v>
      </c>
      <c r="BU124" s="234">
        <f t="shared" si="15"/>
        <v>0</v>
      </c>
      <c r="BV124" s="329">
        <v>29900.0</v>
      </c>
      <c r="BW124" s="329" t="s">
        <v>1096</v>
      </c>
      <c r="BX124" s="329">
        <v>1104.0</v>
      </c>
      <c r="BY124" s="234">
        <f t="shared" si="16"/>
        <v>0</v>
      </c>
      <c r="BZ124" s="234"/>
      <c r="CA124" s="234"/>
      <c r="CB124" s="234"/>
      <c r="CC124" s="234"/>
      <c r="CD124" s="234"/>
      <c r="CE124" s="234"/>
      <c r="CF124" s="234"/>
      <c r="CG124" s="234" t="str">
        <f t="shared" si="19"/>
        <v> </v>
      </c>
      <c r="CH124" s="234" t="str">
        <f t="shared" si="27"/>
        <v>Business Achieved 50%</v>
      </c>
      <c r="CI124" s="328">
        <f t="shared" si="20"/>
        <v>0.6875</v>
      </c>
      <c r="CJ124" s="330">
        <f>IFERROR(__xludf.DUMMYFUNCTION("""COMPUTED_VALUE"""),1001.0)</f>
        <v>1001</v>
      </c>
      <c r="CK124" s="330">
        <f>IFERROR(__xludf.DUMMYFUNCTION("""COMPUTED_VALUE"""),162.0)</f>
        <v>162</v>
      </c>
      <c r="CL124" s="330">
        <f>IFERROR(__xludf.DUMMYFUNCTION("""COMPUTED_VALUE"""),0.0)</f>
        <v>0</v>
      </c>
      <c r="CM124" s="331">
        <f t="shared" si="21"/>
        <v>0</v>
      </c>
      <c r="CN124" s="337"/>
      <c r="CO124" s="160"/>
      <c r="CP124" s="334"/>
      <c r="CQ124" s="335"/>
      <c r="CR124" s="160"/>
      <c r="CS124" s="160"/>
      <c r="CT124" s="160"/>
      <c r="CU124" s="160"/>
      <c r="CV124" s="160"/>
      <c r="CW124" s="335"/>
      <c r="CX124" s="288"/>
      <c r="CY124" s="160"/>
      <c r="CZ124" s="160"/>
    </row>
    <row r="125">
      <c r="A125" s="157" t="s">
        <v>185</v>
      </c>
      <c r="B125" s="157" t="s">
        <v>117</v>
      </c>
      <c r="C125" s="157" t="s">
        <v>430</v>
      </c>
      <c r="D125" s="157" t="s">
        <v>1044</v>
      </c>
      <c r="E125" s="157" t="s">
        <v>1097</v>
      </c>
      <c r="F125" s="285">
        <v>45462.0</v>
      </c>
      <c r="G125" s="314">
        <v>0.0</v>
      </c>
      <c r="H125" s="314">
        <v>3600000.0</v>
      </c>
      <c r="I125" s="315">
        <v>812156.53</v>
      </c>
      <c r="J125" s="315">
        <v>0.0</v>
      </c>
      <c r="K125" s="160">
        <v>48.0</v>
      </c>
      <c r="L125" s="160">
        <v>47.0</v>
      </c>
      <c r="M125" s="160">
        <v>0.0</v>
      </c>
      <c r="N125" s="160">
        <v>48.0</v>
      </c>
      <c r="O125" s="160">
        <v>1.0</v>
      </c>
      <c r="P125" s="315">
        <v>812156.53</v>
      </c>
      <c r="Q125" s="315">
        <v>0.0</v>
      </c>
      <c r="R125" s="160">
        <v>20.0</v>
      </c>
      <c r="S125" s="160">
        <v>0.0</v>
      </c>
      <c r="T125" s="160">
        <v>20.0</v>
      </c>
      <c r="U125" s="160">
        <v>0.0</v>
      </c>
      <c r="V125" s="160">
        <v>14.0</v>
      </c>
      <c r="W125" s="160">
        <v>24.0</v>
      </c>
      <c r="X125" s="160">
        <v>56.0</v>
      </c>
      <c r="Y125" s="160">
        <v>1.0</v>
      </c>
      <c r="Z125" s="160">
        <v>48.0</v>
      </c>
      <c r="AA125" s="160">
        <v>0.0</v>
      </c>
      <c r="AB125" s="160">
        <v>0.0</v>
      </c>
      <c r="AC125" s="160">
        <v>0.0</v>
      </c>
      <c r="AD125" s="160">
        <v>0.0</v>
      </c>
      <c r="AE125" s="160">
        <v>228.0</v>
      </c>
      <c r="AF125" s="160">
        <v>300.0</v>
      </c>
      <c r="AG125" s="160">
        <v>61.0</v>
      </c>
      <c r="AH125" s="314">
        <f t="shared" si="2"/>
        <v>13314.04148</v>
      </c>
      <c r="AI125" s="314">
        <f t="shared" si="3"/>
        <v>4.918032787</v>
      </c>
      <c r="AJ125" s="346">
        <v>24116.0</v>
      </c>
      <c r="AK125" s="314">
        <f t="shared" si="63"/>
        <v>72348</v>
      </c>
      <c r="AL125" s="286">
        <v>27895.0</v>
      </c>
      <c r="AM125" s="318">
        <f t="shared" si="5"/>
        <v>0.1234281771</v>
      </c>
      <c r="AN125" s="314">
        <f t="shared" si="6"/>
        <v>40607.8265</v>
      </c>
      <c r="AO125" s="336">
        <f t="shared" si="82"/>
        <v>0.2255990361</v>
      </c>
      <c r="AP125" s="319">
        <v>0.0</v>
      </c>
      <c r="AQ125" s="160">
        <v>38.0</v>
      </c>
      <c r="AR125" s="160">
        <v>493.0</v>
      </c>
      <c r="AS125" s="160">
        <v>0.0</v>
      </c>
      <c r="AT125" s="160">
        <v>0.0</v>
      </c>
      <c r="AU125" s="160">
        <v>0.0</v>
      </c>
      <c r="AV125" s="320">
        <v>20.0</v>
      </c>
      <c r="AW125" s="320">
        <v>27.0</v>
      </c>
      <c r="AX125" s="320">
        <v>1.0</v>
      </c>
      <c r="AY125" s="321">
        <f>iferror(VLOOKUP(C125,'ORDER BOOKING REPORT 2025-26'!C:O,13,0),"")</f>
        <v>207270</v>
      </c>
      <c r="AZ125" s="322">
        <v>45838.0</v>
      </c>
      <c r="BA125" s="157" t="str">
        <f t="shared" si="7"/>
        <v>LEFT</v>
      </c>
      <c r="BB125" s="157" t="str">
        <f t="shared" si="8"/>
        <v>Old</v>
      </c>
      <c r="BC125" s="157" t="str">
        <f t="shared" si="83"/>
        <v>Below 50%</v>
      </c>
      <c r="BD125" s="223">
        <v>3.0</v>
      </c>
      <c r="BE125" s="326">
        <v>1200000.0</v>
      </c>
      <c r="BF125" s="157">
        <f t="shared" si="10"/>
        <v>0</v>
      </c>
      <c r="BG125" s="157" t="s">
        <v>1019</v>
      </c>
      <c r="BH125" s="324"/>
      <c r="BI125" s="324"/>
      <c r="BJ125" s="343"/>
      <c r="BK125" s="326"/>
      <c r="BL125" s="326">
        <f t="shared" si="48"/>
        <v>0</v>
      </c>
      <c r="BM125" s="326">
        <f t="shared" si="12"/>
        <v>3600000</v>
      </c>
      <c r="BN125" s="326"/>
      <c r="BO125" s="327" t="str">
        <f>IFERROR(__xludf.DUMMYFUNCTION("IFERROR(ArrayFormula(SUM(VLOOKUP($C125,importrange(""1MwNMVzWE3QBVOyJjKr3eFX-Sq1Ng0Q1sghWJbgbE_8g"",""ORDER BOOKING REPORT 2024-25!C:CV""),{16,23,30},0))))"),"")</f>
        <v/>
      </c>
      <c r="BP125" s="327" t="str">
        <f>IFERROR(__xludf.DUMMYFUNCTION("IFERROR(ArrayFormula(SUM(VLOOKUP($C125,importrange(""1MwNMVzWE3QBVOyJjKr3eFX-Sq1Ng0Q1sghWJbgbE_8g"",""ORDER BOOKING REPORT 2024-25!C:CV""),{37,44,51},0))))"),"")</f>
        <v/>
      </c>
      <c r="BQ125" s="327" t="str">
        <f>IFERROR(__xludf.DUMMYFUNCTION("IFERROR(ArrayFormula(SUM(VLOOKUP($C125,importrange(""1MwNMVzWE3QBVOyJjKr3eFX-Sq1Ng0Q1sghWJbgbE_8g"",""ORDER BOOKING REPORT 2024-25!C:CV""),{58,65,72},0))))"),"")</f>
        <v/>
      </c>
      <c r="BR125" s="327" t="str">
        <f>IFERROR(__xludf.DUMMYFUNCTION("IFERROR(ArrayFormula(SUM(VLOOKUP($C125,importrange(""1MwNMVzWE3QBVOyJjKr3eFX-Sq1Ng0Q1sghWJbgbE_8g"",""ORDER BOOKING REPORT 2024-25!C:CV""),{79,86,93},0))))"),"")</f>
        <v/>
      </c>
      <c r="BS125" s="328">
        <f t="shared" si="13"/>
        <v>0.057575</v>
      </c>
      <c r="BT125" s="328">
        <f t="shared" si="14"/>
        <v>0.4836348724</v>
      </c>
      <c r="BU125" s="234">
        <f t="shared" si="15"/>
        <v>0</v>
      </c>
      <c r="BV125" s="329"/>
      <c r="BW125" s="329"/>
      <c r="BX125" s="329"/>
      <c r="BY125" s="234">
        <f t="shared" si="16"/>
        <v>-24116</v>
      </c>
      <c r="BZ125" s="234"/>
      <c r="CA125" s="234">
        <f>BE125*BD125</f>
        <v>3600000</v>
      </c>
      <c r="CB125" s="234"/>
      <c r="CC125" s="234">
        <f>CA125-H125</f>
        <v>0</v>
      </c>
      <c r="CD125" s="234"/>
      <c r="CE125" s="234"/>
      <c r="CF125" s="234"/>
      <c r="CG125" s="234" t="str">
        <f t="shared" si="19"/>
        <v>Below 60</v>
      </c>
      <c r="CH125" s="234" t="str">
        <f t="shared" si="27"/>
        <v>Not 50%</v>
      </c>
      <c r="CI125" s="328">
        <f t="shared" si="20"/>
        <v>0.4166666667</v>
      </c>
      <c r="CJ125" s="339">
        <f>IFERROR(__xludf.DUMMYFUNCTION("""COMPUTED_VALUE"""),127.0)</f>
        <v>127</v>
      </c>
      <c r="CK125" s="339">
        <f>IFERROR(__xludf.DUMMYFUNCTION("""COMPUTED_VALUE"""),101.0)</f>
        <v>101</v>
      </c>
      <c r="CL125" s="339">
        <f>IFERROR(__xludf.DUMMYFUNCTION("""COMPUTED_VALUE"""),0.0)</f>
        <v>0</v>
      </c>
      <c r="CM125" s="331">
        <f t="shared" si="21"/>
        <v>0</v>
      </c>
      <c r="CN125" s="340"/>
      <c r="CO125" s="328"/>
      <c r="CP125" s="341"/>
      <c r="CQ125" s="344"/>
      <c r="CR125" s="328"/>
      <c r="CS125" s="328"/>
      <c r="CT125" s="328"/>
      <c r="CU125" s="328"/>
      <c r="CV125" s="328"/>
      <c r="CW125" s="328"/>
      <c r="CX125" s="288"/>
      <c r="CY125" s="328"/>
      <c r="CZ125" s="328"/>
    </row>
    <row r="126">
      <c r="A126" s="157" t="s">
        <v>53</v>
      </c>
      <c r="B126" s="157" t="s">
        <v>56</v>
      </c>
      <c r="C126" s="157" t="s">
        <v>831</v>
      </c>
      <c r="D126" s="157" t="s">
        <v>1092</v>
      </c>
      <c r="E126" s="157" t="s">
        <v>71</v>
      </c>
      <c r="F126" s="285">
        <v>45464.0</v>
      </c>
      <c r="G126" s="314">
        <v>0.0</v>
      </c>
      <c r="H126" s="314">
        <v>4500000.0</v>
      </c>
      <c r="I126" s="315">
        <v>462446.74</v>
      </c>
      <c r="J126" s="315">
        <v>0.0</v>
      </c>
      <c r="K126" s="160">
        <v>31.0</v>
      </c>
      <c r="L126" s="160">
        <v>24.0</v>
      </c>
      <c r="M126" s="160">
        <v>5.0</v>
      </c>
      <c r="N126" s="160">
        <v>36.0</v>
      </c>
      <c r="O126" s="160">
        <v>12.0</v>
      </c>
      <c r="P126" s="315">
        <v>290652.74</v>
      </c>
      <c r="Q126" s="315">
        <v>171794.0</v>
      </c>
      <c r="R126" s="160">
        <v>5.0</v>
      </c>
      <c r="S126" s="160">
        <v>3.0</v>
      </c>
      <c r="T126" s="160">
        <v>8.0</v>
      </c>
      <c r="U126" s="160">
        <v>0.0</v>
      </c>
      <c r="V126" s="160">
        <v>94.0</v>
      </c>
      <c r="W126" s="160">
        <v>145.0</v>
      </c>
      <c r="X126" s="160">
        <v>306.0</v>
      </c>
      <c r="Y126" s="160">
        <v>4.0</v>
      </c>
      <c r="Z126" s="160">
        <v>23.0</v>
      </c>
      <c r="AA126" s="160">
        <v>0.0</v>
      </c>
      <c r="AB126" s="160">
        <v>0.0</v>
      </c>
      <c r="AC126" s="160">
        <v>2.0</v>
      </c>
      <c r="AD126" s="160">
        <v>4.0</v>
      </c>
      <c r="AE126" s="160">
        <v>209.0</v>
      </c>
      <c r="AF126" s="160">
        <v>381.0</v>
      </c>
      <c r="AG126" s="160">
        <v>75.0</v>
      </c>
      <c r="AH126" s="314">
        <f t="shared" si="2"/>
        <v>6165.956533</v>
      </c>
      <c r="AI126" s="314">
        <f t="shared" si="3"/>
        <v>5.08</v>
      </c>
      <c r="AJ126" s="346">
        <v>38285.0</v>
      </c>
      <c r="AK126" s="314">
        <f t="shared" si="63"/>
        <v>114855</v>
      </c>
      <c r="AL126" s="317">
        <v>27335.0</v>
      </c>
      <c r="AM126" s="318">
        <f t="shared" si="5"/>
        <v>0.3074732455</v>
      </c>
      <c r="AN126" s="314">
        <f t="shared" si="6"/>
        <v>57805.8425</v>
      </c>
      <c r="AO126" s="336">
        <f t="shared" si="82"/>
        <v>0.1027659422</v>
      </c>
      <c r="AP126" s="319">
        <v>0.0</v>
      </c>
      <c r="AQ126" s="160">
        <v>15.0</v>
      </c>
      <c r="AR126" s="160">
        <v>792.0</v>
      </c>
      <c r="AS126" s="160">
        <v>0.0</v>
      </c>
      <c r="AT126" s="160">
        <v>3.0</v>
      </c>
      <c r="AU126" s="160">
        <v>0.0</v>
      </c>
      <c r="AV126" s="320">
        <v>8.0</v>
      </c>
      <c r="AW126" s="320">
        <v>16.0</v>
      </c>
      <c r="AX126" s="320">
        <v>12.0</v>
      </c>
      <c r="AY126" s="321">
        <f>iferror(VLOOKUP(C126,'ORDER BOOKING REPORT 2025-26'!C:O,13,0),"")</f>
        <v>923900</v>
      </c>
      <c r="AZ126" s="322">
        <v>45838.0</v>
      </c>
      <c r="BA126" s="157" t="str">
        <f t="shared" si="7"/>
        <v>LEFT</v>
      </c>
      <c r="BB126" s="157" t="str">
        <f t="shared" si="8"/>
        <v>Old</v>
      </c>
      <c r="BC126" s="157" t="str">
        <f t="shared" si="83"/>
        <v>Below 50%</v>
      </c>
      <c r="BD126" s="223">
        <v>3.0</v>
      </c>
      <c r="BE126" s="326">
        <v>1500000.0</v>
      </c>
      <c r="BF126" s="157">
        <f t="shared" si="10"/>
        <v>2</v>
      </c>
      <c r="BG126" s="157" t="s">
        <v>1019</v>
      </c>
      <c r="BH126" s="324"/>
      <c r="BI126" s="324"/>
      <c r="BJ126" s="343"/>
      <c r="BK126" s="326"/>
      <c r="BL126" s="326">
        <f t="shared" si="48"/>
        <v>0</v>
      </c>
      <c r="BM126" s="326">
        <f t="shared" si="12"/>
        <v>4500000</v>
      </c>
      <c r="BN126" s="326"/>
      <c r="BO126" s="327" t="str">
        <f>IFERROR(__xludf.DUMMYFUNCTION("IFERROR(ArrayFormula(SUM(VLOOKUP($C126,importrange(""1MwNMVzWE3QBVOyJjKr3eFX-Sq1Ng0Q1sghWJbgbE_8g"",""ORDER BOOKING REPORT 2024-25!C:CV""),{16,23,30},0))))"),"")</f>
        <v/>
      </c>
      <c r="BP126" s="327" t="str">
        <f>IFERROR(__xludf.DUMMYFUNCTION("IFERROR(ArrayFormula(SUM(VLOOKUP($C126,importrange(""1MwNMVzWE3QBVOyJjKr3eFX-Sq1Ng0Q1sghWJbgbE_8g"",""ORDER BOOKING REPORT 2024-25!C:CV""),{37,44,51},0))))"),"")</f>
        <v/>
      </c>
      <c r="BQ126" s="327" t="str">
        <f>IFERROR(__xludf.DUMMYFUNCTION("IFERROR(ArrayFormula(SUM(VLOOKUP($C126,importrange(""1MwNMVzWE3QBVOyJjKr3eFX-Sq1Ng0Q1sghWJbgbE_8g"",""ORDER BOOKING REPORT 2024-25!C:CV""),{58,65,72},0))))"),"")</f>
        <v/>
      </c>
      <c r="BR126" s="327" t="str">
        <f>IFERROR(__xludf.DUMMYFUNCTION("IFERROR(ArrayFormula(SUM(VLOOKUP($C126,importrange(""1MwNMVzWE3QBVOyJjKr3eFX-Sq1Ng0Q1sghWJbgbE_8g"",""ORDER BOOKING REPORT 2024-25!C:CV""),{79,86,93},0))))"),"")</f>
        <v/>
      </c>
      <c r="BS126" s="328">
        <f t="shared" si="13"/>
        <v>0.2053111111</v>
      </c>
      <c r="BT126" s="328">
        <f t="shared" si="14"/>
        <v>0.1539019374</v>
      </c>
      <c r="BU126" s="234">
        <f t="shared" si="15"/>
        <v>0</v>
      </c>
      <c r="BV126" s="329"/>
      <c r="BW126" s="329"/>
      <c r="BX126" s="329"/>
      <c r="BY126" s="234">
        <f t="shared" si="16"/>
        <v>-38285</v>
      </c>
      <c r="BZ126" s="234"/>
      <c r="CA126" s="234"/>
      <c r="CB126" s="234"/>
      <c r="CC126" s="234"/>
      <c r="CD126" s="234"/>
      <c r="CE126" s="234"/>
      <c r="CF126" s="234"/>
      <c r="CG126" s="234" t="str">
        <f t="shared" si="19"/>
        <v>Below 60</v>
      </c>
      <c r="CH126" s="234" t="str">
        <f t="shared" si="27"/>
        <v>Not 50%</v>
      </c>
      <c r="CI126" s="328">
        <f t="shared" si="20"/>
        <v>0.2222222222</v>
      </c>
      <c r="CJ126" s="330">
        <f>IFERROR(__xludf.DUMMYFUNCTION("""COMPUTED_VALUE"""),64.0)</f>
        <v>64</v>
      </c>
      <c r="CK126" s="330">
        <f>IFERROR(__xludf.DUMMYFUNCTION("""COMPUTED_VALUE"""),145.0)</f>
        <v>145</v>
      </c>
      <c r="CL126" s="330">
        <f>IFERROR(__xludf.DUMMYFUNCTION("""COMPUTED_VALUE"""),0.0)</f>
        <v>0</v>
      </c>
      <c r="CM126" s="331">
        <f t="shared" si="21"/>
        <v>0</v>
      </c>
      <c r="CN126" s="337"/>
      <c r="CO126" s="160"/>
      <c r="CP126" s="334"/>
      <c r="CQ126" s="335"/>
      <c r="CR126" s="160"/>
      <c r="CS126" s="160"/>
      <c r="CT126" s="160"/>
      <c r="CU126" s="160"/>
      <c r="CV126" s="160"/>
      <c r="CW126" s="335"/>
      <c r="CX126" s="288"/>
      <c r="CY126" s="160"/>
      <c r="CZ126" s="160"/>
    </row>
    <row r="127">
      <c r="A127" s="157" t="s">
        <v>126</v>
      </c>
      <c r="B127" s="157" t="s">
        <v>140</v>
      </c>
      <c r="C127" s="157" t="s">
        <v>442</v>
      </c>
      <c r="D127" s="157" t="s">
        <v>1061</v>
      </c>
      <c r="E127" s="157" t="s">
        <v>443</v>
      </c>
      <c r="F127" s="285">
        <v>45467.0</v>
      </c>
      <c r="G127" s="314">
        <v>0.0</v>
      </c>
      <c r="H127" s="314">
        <v>1.666667E7</v>
      </c>
      <c r="I127" s="315">
        <v>4918934.81</v>
      </c>
      <c r="J127" s="315">
        <v>0.0</v>
      </c>
      <c r="K127" s="160">
        <v>46.0</v>
      </c>
      <c r="L127" s="160">
        <v>47.0</v>
      </c>
      <c r="M127" s="160">
        <v>2.0</v>
      </c>
      <c r="N127" s="160">
        <v>48.0</v>
      </c>
      <c r="O127" s="160">
        <v>1.0</v>
      </c>
      <c r="P127" s="315">
        <v>4370630.54</v>
      </c>
      <c r="Q127" s="315">
        <v>548304.27</v>
      </c>
      <c r="R127" s="160">
        <v>34.0</v>
      </c>
      <c r="S127" s="160">
        <v>2.0</v>
      </c>
      <c r="T127" s="160">
        <v>36.0</v>
      </c>
      <c r="U127" s="160">
        <v>0.0</v>
      </c>
      <c r="V127" s="160">
        <v>17.0</v>
      </c>
      <c r="W127" s="160">
        <v>39.0</v>
      </c>
      <c r="X127" s="160">
        <v>10.0</v>
      </c>
      <c r="Y127" s="160">
        <v>2.0</v>
      </c>
      <c r="Z127" s="160">
        <v>29.0</v>
      </c>
      <c r="AA127" s="160">
        <v>0.0</v>
      </c>
      <c r="AB127" s="160">
        <v>0.0</v>
      </c>
      <c r="AC127" s="160">
        <v>0.0</v>
      </c>
      <c r="AD127" s="160">
        <v>0.0</v>
      </c>
      <c r="AE127" s="160">
        <v>714.0</v>
      </c>
      <c r="AF127" s="160">
        <v>782.0</v>
      </c>
      <c r="AG127" s="160">
        <v>234.0</v>
      </c>
      <c r="AH127" s="314">
        <f t="shared" si="2"/>
        <v>21021.08893</v>
      </c>
      <c r="AI127" s="314">
        <f t="shared" si="3"/>
        <v>3.341880342</v>
      </c>
      <c r="AJ127" s="316">
        <f>BV127</f>
        <v>27260</v>
      </c>
      <c r="AK127" s="314">
        <f t="shared" si="63"/>
        <v>272600</v>
      </c>
      <c r="AL127" s="286">
        <v>135501.0</v>
      </c>
      <c r="AM127" s="318">
        <f t="shared" si="5"/>
        <v>0.08296531988</v>
      </c>
      <c r="AN127" s="314">
        <f t="shared" si="6"/>
        <v>136637.0781</v>
      </c>
      <c r="AO127" s="336">
        <f t="shared" si="82"/>
        <v>0.2951360296</v>
      </c>
      <c r="AP127" s="319">
        <v>0.0</v>
      </c>
      <c r="AQ127" s="160">
        <v>113.0</v>
      </c>
      <c r="AR127" s="160">
        <v>2162.0</v>
      </c>
      <c r="AS127" s="160">
        <v>0.0</v>
      </c>
      <c r="AT127" s="160">
        <v>2.0</v>
      </c>
      <c r="AU127" s="160">
        <v>0.0</v>
      </c>
      <c r="AV127" s="320">
        <v>36.0</v>
      </c>
      <c r="AW127" s="320">
        <v>12.0</v>
      </c>
      <c r="AX127" s="320">
        <v>0.0</v>
      </c>
      <c r="AY127" s="321">
        <f>iferror(VLOOKUP(C127,'ORDER BOOKING REPORT 2025-26'!C:O,13,0),"")</f>
        <v>4715972</v>
      </c>
      <c r="AZ127" s="322">
        <v>46053.0</v>
      </c>
      <c r="BA127" s="157" t="str">
        <f t="shared" si="7"/>
        <v>LEFT</v>
      </c>
      <c r="BB127" s="157" t="str">
        <f t="shared" si="8"/>
        <v>Old</v>
      </c>
      <c r="BC127" s="157" t="str">
        <f t="shared" si="83"/>
        <v>Below 50%</v>
      </c>
      <c r="BD127" s="223">
        <v>10.0</v>
      </c>
      <c r="BE127" s="323">
        <v>1666667.0</v>
      </c>
      <c r="BF127" s="157">
        <f t="shared" si="10"/>
        <v>0</v>
      </c>
      <c r="BG127" s="157" t="s">
        <v>1019</v>
      </c>
      <c r="BH127" s="324"/>
      <c r="BI127" s="324"/>
      <c r="BJ127" s="325"/>
      <c r="BK127" s="326"/>
      <c r="BL127" s="326">
        <f t="shared" si="48"/>
        <v>0</v>
      </c>
      <c r="BM127" s="326">
        <f t="shared" si="12"/>
        <v>16666670</v>
      </c>
      <c r="BN127" s="326"/>
      <c r="BO127" s="327" t="str">
        <f>IFERROR(__xludf.DUMMYFUNCTION("IFERROR(ArrayFormula(SUM(VLOOKUP($C127,importrange(""1MwNMVzWE3QBVOyJjKr3eFX-Sq1Ng0Q1sghWJbgbE_8g"",""ORDER BOOKING REPORT 2024-25!C:CV""),{16,23,30},0))))"),"")</f>
        <v/>
      </c>
      <c r="BP127" s="327" t="str">
        <f>IFERROR(__xludf.DUMMYFUNCTION("IFERROR(ArrayFormula(SUM(VLOOKUP($C127,importrange(""1MwNMVzWE3QBVOyJjKr3eFX-Sq1Ng0Q1sghWJbgbE_8g"",""ORDER BOOKING REPORT 2024-25!C:CV""),{37,44,51},0))))"),"")</f>
        <v/>
      </c>
      <c r="BQ127" s="327" t="str">
        <f>IFERROR(__xludf.DUMMYFUNCTION("IFERROR(ArrayFormula(SUM(VLOOKUP($C127,importrange(""1MwNMVzWE3QBVOyJjKr3eFX-Sq1Ng0Q1sghWJbgbE_8g"",""ORDER BOOKING REPORT 2024-25!C:CV""),{58,65,72},0))))"),"")</f>
        <v/>
      </c>
      <c r="BR127" s="327" t="str">
        <f>IFERROR(__xludf.DUMMYFUNCTION("IFERROR(ArrayFormula(SUM(VLOOKUP($C127,importrange(""1MwNMVzWE3QBVOyJjKr3eFX-Sq1Ng0Q1sghWJbgbE_8g"",""ORDER BOOKING REPORT 2024-25!C:CV""),{79,86,93},0))))"),"")</f>
        <v/>
      </c>
      <c r="BS127" s="328">
        <f t="shared" si="13"/>
        <v>0.2829582634</v>
      </c>
      <c r="BT127" s="328">
        <f t="shared" si="14"/>
        <v>0.08653592515</v>
      </c>
      <c r="BU127" s="234">
        <f t="shared" si="15"/>
        <v>0</v>
      </c>
      <c r="BV127" s="329">
        <v>27260.0</v>
      </c>
      <c r="BW127" s="329" t="s">
        <v>1096</v>
      </c>
      <c r="BX127" s="329">
        <v>1105.0</v>
      </c>
      <c r="BY127" s="234">
        <f t="shared" si="16"/>
        <v>0</v>
      </c>
      <c r="BZ127" s="234"/>
      <c r="CA127" s="234"/>
      <c r="CB127" s="234"/>
      <c r="CC127" s="234"/>
      <c r="CD127" s="234"/>
      <c r="CE127" s="234"/>
      <c r="CF127" s="234"/>
      <c r="CG127" s="234" t="str">
        <f t="shared" si="19"/>
        <v>Below 60</v>
      </c>
      <c r="CH127" s="234" t="str">
        <f t="shared" si="27"/>
        <v>Business Achieved 50%</v>
      </c>
      <c r="CI127" s="328">
        <f t="shared" si="20"/>
        <v>0.75</v>
      </c>
      <c r="CJ127" s="339">
        <f>IFERROR(__xludf.DUMMYFUNCTION("""COMPUTED_VALUE"""),553.0)</f>
        <v>553</v>
      </c>
      <c r="CK127" s="339">
        <f>IFERROR(__xludf.DUMMYFUNCTION("""COMPUTED_VALUE"""),161.0)</f>
        <v>161</v>
      </c>
      <c r="CL127" s="339">
        <f>IFERROR(__xludf.DUMMYFUNCTION("""COMPUTED_VALUE"""),0.0)</f>
        <v>0</v>
      </c>
      <c r="CM127" s="331">
        <f t="shared" si="21"/>
        <v>0</v>
      </c>
      <c r="CN127" s="340"/>
      <c r="CO127" s="328"/>
      <c r="CP127" s="341"/>
      <c r="CQ127" s="344"/>
      <c r="CR127" s="328"/>
      <c r="CS127" s="328"/>
      <c r="CT127" s="328"/>
      <c r="CU127" s="328"/>
      <c r="CV127" s="328"/>
      <c r="CW127" s="328"/>
      <c r="CX127" s="288"/>
      <c r="CY127" s="328"/>
      <c r="CZ127" s="328"/>
    </row>
    <row r="128">
      <c r="A128" s="157" t="s">
        <v>97</v>
      </c>
      <c r="B128" s="157" t="s">
        <v>101</v>
      </c>
      <c r="C128" s="157" t="s">
        <v>346</v>
      </c>
      <c r="D128" s="157" t="s">
        <v>1062</v>
      </c>
      <c r="E128" s="157" t="s">
        <v>347</v>
      </c>
      <c r="F128" s="338">
        <v>45474.0</v>
      </c>
      <c r="G128" s="314">
        <v>0.0</v>
      </c>
      <c r="H128" s="351">
        <v>1.65E7</v>
      </c>
      <c r="I128" s="315">
        <v>7594541.8</v>
      </c>
      <c r="J128" s="315">
        <v>0.0</v>
      </c>
      <c r="K128" s="160">
        <v>81.0</v>
      </c>
      <c r="L128" s="160">
        <v>65.0</v>
      </c>
      <c r="M128" s="160">
        <v>1.0</v>
      </c>
      <c r="N128" s="160">
        <v>82.0</v>
      </c>
      <c r="O128" s="160">
        <v>17.0</v>
      </c>
      <c r="P128" s="315">
        <v>7536209.8</v>
      </c>
      <c r="Q128" s="315">
        <v>58332.0</v>
      </c>
      <c r="R128" s="160">
        <v>35.0</v>
      </c>
      <c r="S128" s="160">
        <v>1.0</v>
      </c>
      <c r="T128" s="160">
        <v>36.0</v>
      </c>
      <c r="U128" s="160">
        <v>0.0</v>
      </c>
      <c r="V128" s="160">
        <v>5.0</v>
      </c>
      <c r="W128" s="160">
        <v>5.0</v>
      </c>
      <c r="X128" s="160">
        <v>19.0</v>
      </c>
      <c r="Y128" s="160">
        <v>4.0</v>
      </c>
      <c r="Z128" s="160">
        <v>16.0</v>
      </c>
      <c r="AA128" s="160">
        <v>0.0</v>
      </c>
      <c r="AB128" s="160">
        <v>0.0</v>
      </c>
      <c r="AC128" s="160">
        <v>1.0</v>
      </c>
      <c r="AD128" s="160">
        <v>1.0</v>
      </c>
      <c r="AE128" s="160">
        <v>1310.0</v>
      </c>
      <c r="AF128" s="160">
        <v>1332.0</v>
      </c>
      <c r="AG128" s="160">
        <v>229.0</v>
      </c>
      <c r="AH128" s="314">
        <f t="shared" si="2"/>
        <v>33163.93799</v>
      </c>
      <c r="AI128" s="314">
        <f t="shared" si="3"/>
        <v>5.816593886</v>
      </c>
      <c r="AJ128" s="316">
        <v>36000.0</v>
      </c>
      <c r="AK128" s="314">
        <f t="shared" si="63"/>
        <v>432000</v>
      </c>
      <c r="AL128" s="286"/>
      <c r="AM128" s="318">
        <f t="shared" si="5"/>
        <v>0.05688295771</v>
      </c>
      <c r="AN128" s="314">
        <f t="shared" si="6"/>
        <v>210959.4944</v>
      </c>
      <c r="AO128" s="336">
        <f t="shared" si="82"/>
        <v>0.4602752606</v>
      </c>
      <c r="AP128" s="319">
        <v>0.0</v>
      </c>
      <c r="AQ128" s="160">
        <v>197.0</v>
      </c>
      <c r="AR128" s="160">
        <v>1863.0</v>
      </c>
      <c r="AS128" s="160">
        <v>1612.89</v>
      </c>
      <c r="AT128" s="160">
        <v>1.0</v>
      </c>
      <c r="AU128" s="160">
        <v>25.0</v>
      </c>
      <c r="AV128" s="320">
        <v>36.0</v>
      </c>
      <c r="AW128" s="320">
        <v>29.0</v>
      </c>
      <c r="AX128" s="320">
        <v>17.0</v>
      </c>
      <c r="AY128" s="321">
        <f>iferror(VLOOKUP(C128,'ORDER BOOKING REPORT 2025-26'!C:O,13,0),"")</f>
        <v>0</v>
      </c>
      <c r="AZ128" s="322">
        <v>46112.0</v>
      </c>
      <c r="BA128" s="157" t="str">
        <f t="shared" si="7"/>
        <v>LEFT</v>
      </c>
      <c r="BB128" s="157" t="str">
        <f t="shared" si="8"/>
        <v>Old</v>
      </c>
      <c r="BC128" s="157" t="str">
        <f t="shared" si="83"/>
        <v>Below 50%</v>
      </c>
      <c r="BD128" s="223">
        <v>12.0</v>
      </c>
      <c r="BE128" s="326">
        <v>1375000.0</v>
      </c>
      <c r="BF128" s="157">
        <f t="shared" si="10"/>
        <v>0</v>
      </c>
      <c r="BG128" s="157" t="s">
        <v>1019</v>
      </c>
      <c r="BH128" s="324"/>
      <c r="BI128" s="324"/>
      <c r="BJ128" s="325"/>
      <c r="BK128" s="326"/>
      <c r="BL128" s="326">
        <f t="shared" si="48"/>
        <v>0</v>
      </c>
      <c r="BM128" s="326">
        <f t="shared" si="12"/>
        <v>16500000</v>
      </c>
      <c r="BN128" s="326"/>
      <c r="BO128" s="327" t="str">
        <f>IFERROR(__xludf.DUMMYFUNCTION("IFERROR(ArrayFormula(SUM(VLOOKUP($C128,importrange(""1MwNMVzWE3QBVOyJjKr3eFX-Sq1Ng0Q1sghWJbgbE_8g"",""ORDER BOOKING REPORT 2024-25!C:CV""),{16,23,30},0))))"),"")</f>
        <v/>
      </c>
      <c r="BP128" s="327" t="str">
        <f>IFERROR(__xludf.DUMMYFUNCTION("IFERROR(ArrayFormula(SUM(VLOOKUP($C128,importrange(""1MwNMVzWE3QBVOyJjKr3eFX-Sq1Ng0Q1sghWJbgbE_8g"",""ORDER BOOKING REPORT 2024-25!C:CV""),{37,44,51},0))))"),"")</f>
        <v/>
      </c>
      <c r="BQ128" s="327" t="str">
        <f>IFERROR(__xludf.DUMMYFUNCTION("IFERROR(ArrayFormula(SUM(VLOOKUP($C128,importrange(""1MwNMVzWE3QBVOyJjKr3eFX-Sq1Ng0Q1sghWJbgbE_8g"",""ORDER BOOKING REPORT 2024-25!C:CV""),{58,65,72},0))))"),"")</f>
        <v/>
      </c>
      <c r="BR128" s="327" t="str">
        <f>IFERROR(__xludf.DUMMYFUNCTION("IFERROR(ArrayFormula(SUM(VLOOKUP($C128,importrange(""1MwNMVzWE3QBVOyJjKr3eFX-Sq1Ng0Q1sghWJbgbE_8g"",""ORDER BOOKING REPORT 2024-25!C:CV""),{79,86,93},0))))"),"")</f>
        <v/>
      </c>
      <c r="BS128" s="328">
        <f t="shared" si="13"/>
        <v>0</v>
      </c>
      <c r="BT128" s="328" t="str">
        <f t="shared" si="14"/>
        <v/>
      </c>
      <c r="BU128" s="234">
        <f t="shared" si="15"/>
        <v>0</v>
      </c>
      <c r="BV128" s="329"/>
      <c r="BW128" s="329"/>
      <c r="BX128" s="329"/>
      <c r="BY128" s="234">
        <f t="shared" si="16"/>
        <v>-36000</v>
      </c>
      <c r="BZ128" s="234"/>
      <c r="CA128" s="234"/>
      <c r="CB128" s="234"/>
      <c r="CC128" s="234"/>
      <c r="CD128" s="234"/>
      <c r="CE128" s="234"/>
      <c r="CF128" s="234"/>
      <c r="CG128" s="234" t="str">
        <f t="shared" si="19"/>
        <v> </v>
      </c>
      <c r="CH128" s="234" t="str">
        <f t="shared" si="27"/>
        <v>Not 50%</v>
      </c>
      <c r="CI128" s="328">
        <f t="shared" si="20"/>
        <v>0.4390243902</v>
      </c>
      <c r="CJ128" s="339">
        <f>IFERROR(__xludf.DUMMYFUNCTION("""COMPUTED_VALUE"""),1155.0)</f>
        <v>1155</v>
      </c>
      <c r="CK128" s="339">
        <f>IFERROR(__xludf.DUMMYFUNCTION("""COMPUTED_VALUE"""),155.0)</f>
        <v>155</v>
      </c>
      <c r="CL128" s="339">
        <f>IFERROR(__xludf.DUMMYFUNCTION("""COMPUTED_VALUE"""),0.0)</f>
        <v>0</v>
      </c>
      <c r="CM128" s="331">
        <f t="shared" si="21"/>
        <v>0</v>
      </c>
      <c r="CN128" s="340"/>
      <c r="CO128" s="328"/>
      <c r="CP128" s="341"/>
      <c r="CQ128" s="344"/>
      <c r="CR128" s="328"/>
      <c r="CS128" s="328"/>
      <c r="CT128" s="328"/>
      <c r="CU128" s="328"/>
      <c r="CV128" s="328"/>
      <c r="CW128" s="328"/>
      <c r="CX128" s="288"/>
      <c r="CY128" s="328"/>
      <c r="CZ128" s="328"/>
    </row>
    <row r="129">
      <c r="A129" s="157" t="s">
        <v>185</v>
      </c>
      <c r="B129" s="157" t="s">
        <v>85</v>
      </c>
      <c r="C129" s="157" t="s">
        <v>832</v>
      </c>
      <c r="D129" s="157" t="s">
        <v>1058</v>
      </c>
      <c r="E129" s="157" t="s">
        <v>393</v>
      </c>
      <c r="F129" s="338">
        <v>45474.0</v>
      </c>
      <c r="G129" s="314">
        <v>0.0</v>
      </c>
      <c r="H129" s="314">
        <v>6250000.0</v>
      </c>
      <c r="I129" s="315">
        <v>546972.11</v>
      </c>
      <c r="J129" s="315">
        <v>0.0</v>
      </c>
      <c r="K129" s="160">
        <v>20.0</v>
      </c>
      <c r="L129" s="160">
        <v>9.0</v>
      </c>
      <c r="M129" s="160">
        <v>1.0</v>
      </c>
      <c r="N129" s="160">
        <v>21.0</v>
      </c>
      <c r="O129" s="160">
        <v>12.0</v>
      </c>
      <c r="P129" s="315">
        <v>0.0</v>
      </c>
      <c r="Q129" s="315">
        <v>546972.11</v>
      </c>
      <c r="R129" s="160">
        <v>0.0</v>
      </c>
      <c r="S129" s="160">
        <v>1.0</v>
      </c>
      <c r="T129" s="160">
        <v>1.0</v>
      </c>
      <c r="U129" s="160">
        <v>0.0</v>
      </c>
      <c r="V129" s="160">
        <v>340.0</v>
      </c>
      <c r="W129" s="160">
        <v>514.0</v>
      </c>
      <c r="X129" s="160">
        <v>191.0</v>
      </c>
      <c r="Y129" s="160">
        <v>2.0</v>
      </c>
      <c r="Z129" s="160">
        <v>2.0</v>
      </c>
      <c r="AA129" s="160">
        <v>1.0</v>
      </c>
      <c r="AB129" s="160">
        <v>1.0</v>
      </c>
      <c r="AC129" s="160">
        <v>2.0</v>
      </c>
      <c r="AD129" s="160">
        <v>2.0</v>
      </c>
      <c r="AE129" s="160">
        <v>19.0</v>
      </c>
      <c r="AF129" s="160">
        <v>538.0</v>
      </c>
      <c r="AG129" s="160">
        <v>94.0</v>
      </c>
      <c r="AH129" s="314">
        <f t="shared" si="2"/>
        <v>5818.852234</v>
      </c>
      <c r="AI129" s="314">
        <f t="shared" si="3"/>
        <v>5.723404255</v>
      </c>
      <c r="AJ129" s="316">
        <f t="shared" ref="AJ129:AJ130" si="85">BV129</f>
        <v>35645</v>
      </c>
      <c r="AK129" s="314">
        <f t="shared" si="63"/>
        <v>151491.25</v>
      </c>
      <c r="AL129" s="286">
        <v>83879.0</v>
      </c>
      <c r="AM129" s="318">
        <f t="shared" si="5"/>
        <v>0.4303149022</v>
      </c>
      <c r="AN129" s="314">
        <f t="shared" si="6"/>
        <v>546972.11</v>
      </c>
      <c r="AO129" s="336">
        <f t="shared" si="82"/>
        <v>0.0875155376</v>
      </c>
      <c r="AP129" s="319">
        <v>0.0</v>
      </c>
      <c r="AQ129" s="160">
        <v>4.0</v>
      </c>
      <c r="AR129" s="160">
        <v>978.0</v>
      </c>
      <c r="AS129" s="160">
        <v>0.0</v>
      </c>
      <c r="AT129" s="160">
        <v>1.0</v>
      </c>
      <c r="AU129" s="160">
        <v>0.0</v>
      </c>
      <c r="AV129" s="320">
        <v>1.0</v>
      </c>
      <c r="AW129" s="320">
        <v>9.0</v>
      </c>
      <c r="AX129" s="320">
        <v>11.0</v>
      </c>
      <c r="AY129" s="321">
        <f>iferror(VLOOKUP(C129,'ORDER BOOKING REPORT 2025-26'!C:O,13,0),"")</f>
        <v>561658</v>
      </c>
      <c r="AZ129" s="322">
        <v>45877.0</v>
      </c>
      <c r="BA129" s="157" t="str">
        <f t="shared" si="7"/>
        <v>LEFT</v>
      </c>
      <c r="BB129" s="157" t="str">
        <f t="shared" si="8"/>
        <v>Old</v>
      </c>
      <c r="BC129" s="157" t="str">
        <f t="shared" si="83"/>
        <v>Below 50%</v>
      </c>
      <c r="BD129" s="223">
        <v>4.25</v>
      </c>
      <c r="BE129" s="326">
        <v>1250000.0</v>
      </c>
      <c r="BF129" s="157">
        <f t="shared" si="10"/>
        <v>0</v>
      </c>
      <c r="BG129" s="157" t="s">
        <v>1019</v>
      </c>
      <c r="BH129" s="324"/>
      <c r="BI129" s="324"/>
      <c r="BJ129" s="343"/>
      <c r="BK129" s="326"/>
      <c r="BL129" s="326">
        <f t="shared" si="48"/>
        <v>0</v>
      </c>
      <c r="BM129" s="326">
        <f t="shared" si="12"/>
        <v>6250000</v>
      </c>
      <c r="BN129" s="326"/>
      <c r="BO129" s="327" t="str">
        <f>IFERROR(__xludf.DUMMYFUNCTION("IFERROR(ArrayFormula(SUM(VLOOKUP($C129,importrange(""1MwNMVzWE3QBVOyJjKr3eFX-Sq1Ng0Q1sghWJbgbE_8g"",""ORDER BOOKING REPORT 2024-25!C:CV""),{16,23,30},0))))"),"")</f>
        <v/>
      </c>
      <c r="BP129" s="327" t="str">
        <f>IFERROR(__xludf.DUMMYFUNCTION("IFERROR(ArrayFormula(SUM(VLOOKUP($C129,importrange(""1MwNMVzWE3QBVOyJjKr3eFX-Sq1Ng0Q1sghWJbgbE_8g"",""ORDER BOOKING REPORT 2024-25!C:CV""),{37,44,51},0))))"),"")</f>
        <v/>
      </c>
      <c r="BQ129" s="327" t="str">
        <f>IFERROR(__xludf.DUMMYFUNCTION("IFERROR(ArrayFormula(SUM(VLOOKUP($C129,importrange(""1MwNMVzWE3QBVOyJjKr3eFX-Sq1Ng0Q1sghWJbgbE_8g"",""ORDER BOOKING REPORT 2024-25!C:CV""),{58,65,72},0))))"),"")</f>
        <v/>
      </c>
      <c r="BR129" s="327" t="str">
        <f>IFERROR(__xludf.DUMMYFUNCTION("IFERROR(ArrayFormula(SUM(VLOOKUP($C129,importrange(""1MwNMVzWE3QBVOyJjKr3eFX-Sq1Ng0Q1sghWJbgbE_8g"",""ORDER BOOKING REPORT 2024-25!C:CV""),{79,86,93},0))))"),"")</f>
        <v/>
      </c>
      <c r="BS129" s="328">
        <f t="shared" si="13"/>
        <v>0.08986528</v>
      </c>
      <c r="BT129" s="328">
        <f t="shared" si="14"/>
        <v>0.4190632912</v>
      </c>
      <c r="BU129" s="234">
        <f t="shared" si="15"/>
        <v>0</v>
      </c>
      <c r="BV129" s="329">
        <v>35645.0</v>
      </c>
      <c r="BW129" s="329" t="s">
        <v>1020</v>
      </c>
      <c r="BX129" s="329">
        <v>1139.0</v>
      </c>
      <c r="BY129" s="234">
        <f t="shared" si="16"/>
        <v>0</v>
      </c>
      <c r="BZ129" s="234"/>
      <c r="CA129" s="234">
        <f>BE129*5</f>
        <v>6250000</v>
      </c>
      <c r="CB129" s="234"/>
      <c r="CC129" s="234">
        <f>CA129-H129</f>
        <v>0</v>
      </c>
      <c r="CD129" s="234"/>
      <c r="CE129" s="234"/>
      <c r="CF129" s="234"/>
      <c r="CG129" s="234" t="str">
        <f t="shared" si="19"/>
        <v>Below 60</v>
      </c>
      <c r="CH129" s="234" t="str">
        <f t="shared" si="27"/>
        <v>Not 50%</v>
      </c>
      <c r="CI129" s="328">
        <f t="shared" si="20"/>
        <v>0.04761904762</v>
      </c>
      <c r="CJ129" s="339">
        <f>IFERROR(__xludf.DUMMYFUNCTION("""COMPUTED_VALUE"""),0.0)</f>
        <v>0</v>
      </c>
      <c r="CK129" s="339">
        <f>IFERROR(__xludf.DUMMYFUNCTION("""COMPUTED_VALUE"""),19.0)</f>
        <v>19</v>
      </c>
      <c r="CL129" s="339">
        <f>IFERROR(__xludf.DUMMYFUNCTION("""COMPUTED_VALUE"""),0.0)</f>
        <v>0</v>
      </c>
      <c r="CM129" s="331">
        <f t="shared" si="21"/>
        <v>0</v>
      </c>
      <c r="CN129" s="340"/>
      <c r="CO129" s="328"/>
      <c r="CP129" s="341"/>
      <c r="CQ129" s="344"/>
      <c r="CR129" s="328"/>
      <c r="CS129" s="328"/>
      <c r="CT129" s="328"/>
      <c r="CU129" s="328"/>
      <c r="CV129" s="328"/>
      <c r="CW129" s="328"/>
      <c r="CX129" s="288"/>
      <c r="CY129" s="328"/>
      <c r="CZ129" s="328"/>
    </row>
    <row r="130">
      <c r="A130" s="157" t="s">
        <v>126</v>
      </c>
      <c r="B130" s="157" t="s">
        <v>130</v>
      </c>
      <c r="C130" s="157" t="s">
        <v>165</v>
      </c>
      <c r="D130" s="157" t="s">
        <v>130</v>
      </c>
      <c r="E130" s="157" t="s">
        <v>166</v>
      </c>
      <c r="F130" s="338">
        <v>45482.0</v>
      </c>
      <c r="G130" s="314">
        <v>0.0</v>
      </c>
      <c r="H130" s="314">
        <v>1.8999996E7</v>
      </c>
      <c r="I130" s="315">
        <v>1.364629163E7</v>
      </c>
      <c r="J130" s="315">
        <v>0.0</v>
      </c>
      <c r="K130" s="160">
        <v>55.0</v>
      </c>
      <c r="L130" s="160">
        <v>75.0</v>
      </c>
      <c r="M130" s="160">
        <v>22.0</v>
      </c>
      <c r="N130" s="160">
        <v>77.0</v>
      </c>
      <c r="O130" s="160">
        <v>2.0</v>
      </c>
      <c r="P130" s="315">
        <v>7669407.39</v>
      </c>
      <c r="Q130" s="315">
        <v>5976884.24</v>
      </c>
      <c r="R130" s="160">
        <v>35.0</v>
      </c>
      <c r="S130" s="160">
        <v>21.0</v>
      </c>
      <c r="T130" s="160">
        <v>56.0</v>
      </c>
      <c r="U130" s="160">
        <v>0.0</v>
      </c>
      <c r="V130" s="160">
        <v>118.0</v>
      </c>
      <c r="W130" s="160">
        <v>182.0</v>
      </c>
      <c r="X130" s="160">
        <v>147.0</v>
      </c>
      <c r="Y130" s="160">
        <v>1.0</v>
      </c>
      <c r="Z130" s="160">
        <v>91.0</v>
      </c>
      <c r="AA130" s="160">
        <v>0.0</v>
      </c>
      <c r="AB130" s="160">
        <v>0.0</v>
      </c>
      <c r="AC130" s="160">
        <v>0.0</v>
      </c>
      <c r="AD130" s="160">
        <v>0.0</v>
      </c>
      <c r="AE130" s="160">
        <v>1069.0</v>
      </c>
      <c r="AF130" s="160">
        <v>1342.0</v>
      </c>
      <c r="AG130" s="160">
        <v>278.0</v>
      </c>
      <c r="AH130" s="314">
        <f t="shared" si="2"/>
        <v>49087.37996</v>
      </c>
      <c r="AI130" s="314">
        <f t="shared" si="3"/>
        <v>4.827338129</v>
      </c>
      <c r="AJ130" s="316">
        <f t="shared" si="85"/>
        <v>28940</v>
      </c>
      <c r="AK130" s="314">
        <f t="shared" si="63"/>
        <v>347280</v>
      </c>
      <c r="AL130" s="286">
        <v>128281.0</v>
      </c>
      <c r="AM130" s="318">
        <f t="shared" si="5"/>
        <v>0.03484910135</v>
      </c>
      <c r="AN130" s="314">
        <f t="shared" si="6"/>
        <v>243683.7791</v>
      </c>
      <c r="AO130" s="336">
        <f t="shared" si="82"/>
        <v>0.7182260265</v>
      </c>
      <c r="AP130" s="319">
        <v>0.0</v>
      </c>
      <c r="AQ130" s="160">
        <v>488.0</v>
      </c>
      <c r="AR130" s="160">
        <v>2199.0</v>
      </c>
      <c r="AS130" s="160">
        <v>1818.54</v>
      </c>
      <c r="AT130" s="160">
        <v>21.0</v>
      </c>
      <c r="AU130" s="160">
        <v>24.0</v>
      </c>
      <c r="AV130" s="320">
        <v>56.0</v>
      </c>
      <c r="AW130" s="320">
        <v>19.0</v>
      </c>
      <c r="AX130" s="320">
        <v>2.0</v>
      </c>
      <c r="AY130" s="321">
        <f>iferror(VLOOKUP(C130,'ORDER BOOKING REPORT 2025-26'!C:O,13,0),"")</f>
        <v>13438930</v>
      </c>
      <c r="AZ130" s="322"/>
      <c r="BA130" s="157" t="str">
        <f t="shared" si="7"/>
        <v>Active</v>
      </c>
      <c r="BB130" s="157" t="str">
        <f t="shared" si="8"/>
        <v>Old</v>
      </c>
      <c r="BC130" s="157" t="str">
        <f t="shared" si="83"/>
        <v>70%-90%</v>
      </c>
      <c r="BD130" s="223">
        <f t="shared" ref="BD130:BD131" si="86">Match($BD$2,{"Apr","May","Jun","Jul","Aug","Sep","Oct","Nov","Dec","Jan","Feb","Mar"},0)</f>
        <v>12</v>
      </c>
      <c r="BE130" s="323">
        <v>1583333.0</v>
      </c>
      <c r="BF130" s="157">
        <f t="shared" si="10"/>
        <v>1</v>
      </c>
      <c r="BG130" s="157" t="s">
        <v>1019</v>
      </c>
      <c r="BH130" s="324"/>
      <c r="BI130" s="324"/>
      <c r="BJ130" s="325"/>
      <c r="BK130" s="326"/>
      <c r="BL130" s="326">
        <f t="shared" si="48"/>
        <v>0</v>
      </c>
      <c r="BM130" s="326">
        <f t="shared" si="12"/>
        <v>18999996</v>
      </c>
      <c r="BN130" s="326"/>
      <c r="BO130" s="327" t="str">
        <f>IFERROR(__xludf.DUMMYFUNCTION("IFERROR(ArrayFormula(SUM(VLOOKUP($C130,importrange(""1MwNMVzWE3QBVOyJjKr3eFX-Sq1Ng0Q1sghWJbgbE_8g"",""ORDER BOOKING REPORT 2024-25!C:CV""),{16,23,30},0))))"),"")</f>
        <v/>
      </c>
      <c r="BP130" s="327" t="str">
        <f>IFERROR(__xludf.DUMMYFUNCTION("IFERROR(ArrayFormula(SUM(VLOOKUP($C130,importrange(""1MwNMVzWE3QBVOyJjKr3eFX-Sq1Ng0Q1sghWJbgbE_8g"",""ORDER BOOKING REPORT 2024-25!C:CV""),{37,44,51},0))))"),"")</f>
        <v/>
      </c>
      <c r="BQ130" s="327" t="str">
        <f>IFERROR(__xludf.DUMMYFUNCTION("IFERROR(ArrayFormula(SUM(VLOOKUP($C130,importrange(""1MwNMVzWE3QBVOyJjKr3eFX-Sq1Ng0Q1sghWJbgbE_8g"",""ORDER BOOKING REPORT 2024-25!C:CV""),{58,65,72},0))))"),"")</f>
        <v/>
      </c>
      <c r="BR130" s="327" t="str">
        <f>IFERROR(__xludf.DUMMYFUNCTION("IFERROR(ArrayFormula(SUM(VLOOKUP($C130,importrange(""1MwNMVzWE3QBVOyJjKr3eFX-Sq1Ng0Q1sghWJbgbE_8g"",""ORDER BOOKING REPORT 2024-25!C:CV""),{79,86,93},0))))"),"")</f>
        <v/>
      </c>
      <c r="BS130" s="328">
        <f t="shared" si="13"/>
        <v>0.7073122542</v>
      </c>
      <c r="BT130" s="328">
        <f t="shared" si="14"/>
        <v>0.03538682023</v>
      </c>
      <c r="BU130" s="234">
        <f t="shared" si="15"/>
        <v>0</v>
      </c>
      <c r="BV130" s="329">
        <v>28940.0</v>
      </c>
      <c r="BW130" s="329" t="s">
        <v>1045</v>
      </c>
      <c r="BX130" s="329">
        <v>1141.0</v>
      </c>
      <c r="BY130" s="234">
        <f t="shared" si="16"/>
        <v>0</v>
      </c>
      <c r="BZ130" s="234"/>
      <c r="CA130" s="234"/>
      <c r="CB130" s="234"/>
      <c r="CC130" s="234"/>
      <c r="CD130" s="234"/>
      <c r="CE130" s="234"/>
      <c r="CF130" s="234"/>
      <c r="CG130" s="234" t="str">
        <f t="shared" si="19"/>
        <v> </v>
      </c>
      <c r="CH130" s="234" t="str">
        <f t="shared" si="27"/>
        <v>Business Achieved 50%</v>
      </c>
      <c r="CI130" s="328">
        <f t="shared" si="20"/>
        <v>0.7272727273</v>
      </c>
      <c r="CJ130" s="339">
        <f>IFERROR(__xludf.DUMMYFUNCTION("""COMPUTED_VALUE"""),934.0)</f>
        <v>934</v>
      </c>
      <c r="CK130" s="339">
        <f>IFERROR(__xludf.DUMMYFUNCTION("""COMPUTED_VALUE"""),135.0)</f>
        <v>135</v>
      </c>
      <c r="CL130" s="339">
        <f>IFERROR(__xludf.DUMMYFUNCTION("""COMPUTED_VALUE"""),0.0)</f>
        <v>0</v>
      </c>
      <c r="CM130" s="331">
        <f t="shared" si="21"/>
        <v>0</v>
      </c>
      <c r="CN130" s="340"/>
      <c r="CO130" s="328"/>
      <c r="CP130" s="341"/>
      <c r="CQ130" s="344"/>
      <c r="CR130" s="328"/>
      <c r="CS130" s="328"/>
      <c r="CT130" s="328"/>
      <c r="CU130" s="328"/>
      <c r="CV130" s="328"/>
      <c r="CW130" s="328"/>
      <c r="CX130" s="288"/>
      <c r="CY130" s="328"/>
      <c r="CZ130" s="328"/>
    </row>
    <row r="131">
      <c r="A131" s="157" t="s">
        <v>298</v>
      </c>
      <c r="B131" s="157" t="s">
        <v>301</v>
      </c>
      <c r="C131" s="157" t="s">
        <v>312</v>
      </c>
      <c r="D131" s="157" t="s">
        <v>1066</v>
      </c>
      <c r="E131" s="157" t="s">
        <v>313</v>
      </c>
      <c r="F131" s="285">
        <v>45483.0</v>
      </c>
      <c r="G131" s="314">
        <v>0.0</v>
      </c>
      <c r="H131" s="314">
        <v>1.2E7</v>
      </c>
      <c r="I131" s="315">
        <v>7287331.75</v>
      </c>
      <c r="J131" s="315">
        <v>0.0</v>
      </c>
      <c r="K131" s="160">
        <v>59.0</v>
      </c>
      <c r="L131" s="160">
        <v>100.0</v>
      </c>
      <c r="M131" s="160">
        <v>42.0</v>
      </c>
      <c r="N131" s="160">
        <v>101.0</v>
      </c>
      <c r="O131" s="160">
        <v>1.0</v>
      </c>
      <c r="P131" s="315">
        <v>5431985.98</v>
      </c>
      <c r="Q131" s="315">
        <v>1855345.77</v>
      </c>
      <c r="R131" s="160">
        <v>51.0</v>
      </c>
      <c r="S131" s="160">
        <v>42.0</v>
      </c>
      <c r="T131" s="160">
        <v>93.0</v>
      </c>
      <c r="U131" s="160">
        <v>0.0</v>
      </c>
      <c r="V131" s="160">
        <v>183.0</v>
      </c>
      <c r="W131" s="160">
        <v>373.0</v>
      </c>
      <c r="X131" s="160">
        <v>62.0</v>
      </c>
      <c r="Y131" s="160">
        <v>2.0</v>
      </c>
      <c r="Z131" s="160">
        <v>124.0</v>
      </c>
      <c r="AA131" s="160">
        <v>0.0</v>
      </c>
      <c r="AB131" s="160">
        <v>0.0</v>
      </c>
      <c r="AC131" s="160">
        <v>0.0</v>
      </c>
      <c r="AD131" s="160">
        <v>0.0</v>
      </c>
      <c r="AE131" s="160">
        <v>885.0</v>
      </c>
      <c r="AF131" s="160">
        <v>1382.0</v>
      </c>
      <c r="AG131" s="160">
        <v>283.0</v>
      </c>
      <c r="AH131" s="314">
        <f t="shared" si="2"/>
        <v>25750.28887</v>
      </c>
      <c r="AI131" s="314">
        <f t="shared" si="3"/>
        <v>4.883392226</v>
      </c>
      <c r="AJ131" s="346">
        <v>42475.0</v>
      </c>
      <c r="AK131" s="314">
        <f t="shared" si="63"/>
        <v>509700</v>
      </c>
      <c r="AL131" s="317">
        <v>168810.0</v>
      </c>
      <c r="AM131" s="318">
        <f t="shared" si="5"/>
        <v>0.09310815306</v>
      </c>
      <c r="AN131" s="314">
        <f t="shared" si="6"/>
        <v>78358.40591</v>
      </c>
      <c r="AO131" s="336">
        <f t="shared" si="82"/>
        <v>0.6072776458</v>
      </c>
      <c r="AP131" s="319">
        <v>0.0</v>
      </c>
      <c r="AQ131" s="160">
        <v>423.0</v>
      </c>
      <c r="AR131" s="160">
        <v>2511.0</v>
      </c>
      <c r="AS131" s="160">
        <v>3362.29</v>
      </c>
      <c r="AT131" s="160">
        <v>42.0</v>
      </c>
      <c r="AU131" s="160">
        <v>34.0</v>
      </c>
      <c r="AV131" s="320">
        <v>93.0</v>
      </c>
      <c r="AW131" s="320">
        <v>7.0</v>
      </c>
      <c r="AX131" s="320">
        <v>1.0</v>
      </c>
      <c r="AY131" s="321">
        <f>iferror(VLOOKUP(C131,'ORDER BOOKING REPORT 2025-26'!C:O,13,0),"")</f>
        <v>6647527</v>
      </c>
      <c r="AZ131" s="322"/>
      <c r="BA131" s="157" t="str">
        <f t="shared" si="7"/>
        <v>Active</v>
      </c>
      <c r="BB131" s="157" t="str">
        <f t="shared" si="8"/>
        <v>Old</v>
      </c>
      <c r="BC131" s="157" t="str">
        <f t="shared" si="83"/>
        <v>50%-70%</v>
      </c>
      <c r="BD131" s="223">
        <f t="shared" si="86"/>
        <v>12</v>
      </c>
      <c r="BE131" s="323">
        <v>1000000.0</v>
      </c>
      <c r="BF131" s="157">
        <f t="shared" si="10"/>
        <v>0</v>
      </c>
      <c r="BG131" s="157" t="s">
        <v>1019</v>
      </c>
      <c r="BH131" s="324"/>
      <c r="BI131" s="324"/>
      <c r="BJ131" s="325"/>
      <c r="BK131" s="326"/>
      <c r="BL131" s="326">
        <f t="shared" si="48"/>
        <v>0</v>
      </c>
      <c r="BM131" s="326">
        <f t="shared" si="12"/>
        <v>12000000</v>
      </c>
      <c r="BN131" s="326"/>
      <c r="BO131" s="327" t="str">
        <f>IFERROR(__xludf.DUMMYFUNCTION("IFERROR(ArrayFormula(SUM(VLOOKUP($C131,importrange(""1MwNMVzWE3QBVOyJjKr3eFX-Sq1Ng0Q1sghWJbgbE_8g"",""ORDER BOOKING REPORT 2024-25!C:CV""),{16,23,30},0))))"),"")</f>
        <v/>
      </c>
      <c r="BP131" s="327" t="str">
        <f>IFERROR(__xludf.DUMMYFUNCTION("IFERROR(ArrayFormula(SUM(VLOOKUP($C131,importrange(""1MwNMVzWE3QBVOyJjKr3eFX-Sq1Ng0Q1sghWJbgbE_8g"",""ORDER BOOKING REPORT 2024-25!C:CV""),{37,44,51},0))))"),"")</f>
        <v/>
      </c>
      <c r="BQ131" s="327" t="str">
        <f>IFERROR(__xludf.DUMMYFUNCTION("IFERROR(ArrayFormula(SUM(VLOOKUP($C131,importrange(""1MwNMVzWE3QBVOyJjKr3eFX-Sq1Ng0Q1sghWJbgbE_8g"",""ORDER BOOKING REPORT 2024-25!C:CV""),{58,65,72},0))))"),"")</f>
        <v/>
      </c>
      <c r="BR131" s="327" t="str">
        <f>IFERROR(__xludf.DUMMYFUNCTION("IFERROR(ArrayFormula(SUM(VLOOKUP($C131,importrange(""1MwNMVzWE3QBVOyJjKr3eFX-Sq1Ng0Q1sghWJbgbE_8g"",""ORDER BOOKING REPORT 2024-25!C:CV""),{79,86,93},0))))"),"")</f>
        <v/>
      </c>
      <c r="BS131" s="328">
        <f t="shared" si="13"/>
        <v>0.5539605833</v>
      </c>
      <c r="BT131" s="328">
        <f t="shared" si="14"/>
        <v>0.1020695365</v>
      </c>
      <c r="BU131" s="234">
        <f t="shared" si="15"/>
        <v>0</v>
      </c>
      <c r="BV131" s="329">
        <v>42475.0</v>
      </c>
      <c r="BW131" s="329" t="s">
        <v>1096</v>
      </c>
      <c r="BX131" s="329">
        <v>1142.0</v>
      </c>
      <c r="BY131" s="234">
        <f t="shared" si="16"/>
        <v>0</v>
      </c>
      <c r="BZ131" s="234"/>
      <c r="CA131" s="234"/>
      <c r="CB131" s="234"/>
      <c r="CC131" s="234"/>
      <c r="CD131" s="234"/>
      <c r="CE131" s="234"/>
      <c r="CF131" s="234"/>
      <c r="CG131" s="234" t="str">
        <f t="shared" si="19"/>
        <v> </v>
      </c>
      <c r="CH131" s="234" t="str">
        <f t="shared" si="27"/>
        <v>Business Achieved 50%</v>
      </c>
      <c r="CI131" s="328">
        <f t="shared" si="20"/>
        <v>0.9207920792</v>
      </c>
      <c r="CJ131" s="330">
        <f>IFERROR(__xludf.DUMMYFUNCTION("""COMPUTED_VALUE"""),859.0)</f>
        <v>859</v>
      </c>
      <c r="CK131" s="330">
        <f>IFERROR(__xludf.DUMMYFUNCTION("""COMPUTED_VALUE"""),26.0)</f>
        <v>26</v>
      </c>
      <c r="CL131" s="330">
        <f>IFERROR(__xludf.DUMMYFUNCTION("""COMPUTED_VALUE"""),0.0)</f>
        <v>0</v>
      </c>
      <c r="CM131" s="331">
        <f t="shared" si="21"/>
        <v>0</v>
      </c>
      <c r="CN131" s="337"/>
      <c r="CO131" s="160"/>
      <c r="CP131" s="334"/>
      <c r="CQ131" s="335"/>
      <c r="CR131" s="160"/>
      <c r="CS131" s="160"/>
      <c r="CT131" s="160"/>
      <c r="CU131" s="160"/>
      <c r="CV131" s="160"/>
      <c r="CW131" s="335"/>
      <c r="CX131" s="288"/>
      <c r="CY131" s="160"/>
      <c r="CZ131" s="160"/>
    </row>
    <row r="132">
      <c r="A132" s="157" t="s">
        <v>53</v>
      </c>
      <c r="B132" s="157" t="s">
        <v>61</v>
      </c>
      <c r="C132" s="157" t="s">
        <v>373</v>
      </c>
      <c r="D132" s="157" t="s">
        <v>1098</v>
      </c>
      <c r="E132" s="157" t="s">
        <v>374</v>
      </c>
      <c r="F132" s="285">
        <v>45488.0</v>
      </c>
      <c r="G132" s="314">
        <v>0.0</v>
      </c>
      <c r="H132" s="314">
        <v>7500000.0</v>
      </c>
      <c r="I132" s="315">
        <v>477497.81</v>
      </c>
      <c r="J132" s="315">
        <v>0.0</v>
      </c>
      <c r="K132" s="160">
        <v>92.0</v>
      </c>
      <c r="L132" s="160">
        <v>67.0</v>
      </c>
      <c r="M132" s="160">
        <v>8.0</v>
      </c>
      <c r="N132" s="160">
        <v>100.0</v>
      </c>
      <c r="O132" s="160">
        <v>33.0</v>
      </c>
      <c r="P132" s="315">
        <v>399788.1</v>
      </c>
      <c r="Q132" s="315">
        <v>77709.71</v>
      </c>
      <c r="R132" s="160">
        <v>17.0</v>
      </c>
      <c r="S132" s="160">
        <v>5.0</v>
      </c>
      <c r="T132" s="160">
        <v>22.0</v>
      </c>
      <c r="U132" s="160">
        <v>0.0</v>
      </c>
      <c r="V132" s="160">
        <v>225.0</v>
      </c>
      <c r="W132" s="160">
        <v>380.0</v>
      </c>
      <c r="X132" s="160">
        <v>431.0</v>
      </c>
      <c r="Y132" s="160">
        <v>8.0</v>
      </c>
      <c r="Z132" s="160">
        <v>39.0</v>
      </c>
      <c r="AA132" s="160">
        <v>0.0</v>
      </c>
      <c r="AB132" s="160">
        <v>0.0</v>
      </c>
      <c r="AC132" s="160">
        <v>11.0</v>
      </c>
      <c r="AD132" s="160">
        <v>50.0</v>
      </c>
      <c r="AE132" s="160">
        <v>184.0</v>
      </c>
      <c r="AF132" s="160">
        <v>653.0</v>
      </c>
      <c r="AG132" s="160">
        <v>104.0</v>
      </c>
      <c r="AH132" s="314">
        <f t="shared" si="2"/>
        <v>4591.325096</v>
      </c>
      <c r="AI132" s="314">
        <f t="shared" si="3"/>
        <v>6.278846154</v>
      </c>
      <c r="AJ132" s="316">
        <f>BV132</f>
        <v>32500</v>
      </c>
      <c r="AK132" s="314">
        <f t="shared" si="63"/>
        <v>136175</v>
      </c>
      <c r="AL132" s="286">
        <v>38818.0</v>
      </c>
      <c r="AM132" s="318">
        <f t="shared" si="5"/>
        <v>0.3664791677</v>
      </c>
      <c r="AN132" s="314">
        <f t="shared" si="6"/>
        <v>21704.44591</v>
      </c>
      <c r="AO132" s="336">
        <f t="shared" si="82"/>
        <v>0.06366637467</v>
      </c>
      <c r="AP132" s="319">
        <v>0.0</v>
      </c>
      <c r="AQ132" s="160">
        <v>36.0</v>
      </c>
      <c r="AR132" s="160">
        <v>1087.0</v>
      </c>
      <c r="AS132" s="160">
        <v>0.0</v>
      </c>
      <c r="AT132" s="160">
        <v>5.0</v>
      </c>
      <c r="AU132" s="160">
        <v>0.0</v>
      </c>
      <c r="AV132" s="320">
        <v>22.0</v>
      </c>
      <c r="AW132" s="320">
        <v>45.0</v>
      </c>
      <c r="AX132" s="320">
        <v>33.0</v>
      </c>
      <c r="AY132" s="321">
        <f>iferror(VLOOKUP(C132,'ORDER BOOKING REPORT 2025-26'!C:O,13,0),"")</f>
        <v>0</v>
      </c>
      <c r="AZ132" s="322">
        <v>45875.0</v>
      </c>
      <c r="BA132" s="157" t="str">
        <f t="shared" si="7"/>
        <v>LEFT</v>
      </c>
      <c r="BB132" s="157" t="str">
        <f t="shared" si="8"/>
        <v>Old</v>
      </c>
      <c r="BC132" s="157" t="str">
        <f t="shared" si="83"/>
        <v>Below 50%</v>
      </c>
      <c r="BD132" s="223">
        <v>4.19</v>
      </c>
      <c r="BE132" s="326">
        <v>1500000.0</v>
      </c>
      <c r="BF132" s="157">
        <f t="shared" si="10"/>
        <v>3</v>
      </c>
      <c r="BG132" s="157" t="s">
        <v>1019</v>
      </c>
      <c r="BH132" s="324"/>
      <c r="BI132" s="324"/>
      <c r="BJ132" s="343">
        <f>6/31</f>
        <v>0.1935483871</v>
      </c>
      <c r="BK132" s="326"/>
      <c r="BL132" s="326">
        <f t="shared" si="48"/>
        <v>0</v>
      </c>
      <c r="BM132" s="326">
        <f t="shared" si="12"/>
        <v>7500000</v>
      </c>
      <c r="BN132" s="326"/>
      <c r="BO132" s="327" t="str">
        <f>IFERROR(__xludf.DUMMYFUNCTION("IFERROR(ArrayFormula(SUM(VLOOKUP($C132,importrange(""1MwNMVzWE3QBVOyJjKr3eFX-Sq1Ng0Q1sghWJbgbE_8g"",""ORDER BOOKING REPORT 2024-25!C:CV""),{16,23,30},0))))"),"")</f>
        <v/>
      </c>
      <c r="BP132" s="327" t="str">
        <f>IFERROR(__xludf.DUMMYFUNCTION("IFERROR(ArrayFormula(SUM(VLOOKUP($C132,importrange(""1MwNMVzWE3QBVOyJjKr3eFX-Sq1Ng0Q1sghWJbgbE_8g"",""ORDER BOOKING REPORT 2024-25!C:CV""),{37,44,51},0))))"),"")</f>
        <v/>
      </c>
      <c r="BQ132" s="327" t="str">
        <f>IFERROR(__xludf.DUMMYFUNCTION("IFERROR(ArrayFormula(SUM(VLOOKUP($C132,importrange(""1MwNMVzWE3QBVOyJjKr3eFX-Sq1Ng0Q1sghWJbgbE_8g"",""ORDER BOOKING REPORT 2024-25!C:CV""),{58,65,72},0))))"),"")</f>
        <v/>
      </c>
      <c r="BR132" s="327" t="str">
        <f>IFERROR(__xludf.DUMMYFUNCTION("IFERROR(ArrayFormula(SUM(VLOOKUP($C132,importrange(""1MwNMVzWE3QBVOyJjKr3eFX-Sq1Ng0Q1sghWJbgbE_8g"",""ORDER BOOKING REPORT 2024-25!C:CV""),{79,86,93},0))))"),"")</f>
        <v/>
      </c>
      <c r="BS132" s="328">
        <f t="shared" si="13"/>
        <v>0</v>
      </c>
      <c r="BT132" s="328" t="str">
        <f t="shared" si="14"/>
        <v/>
      </c>
      <c r="BU132" s="234">
        <f t="shared" si="15"/>
        <v>0</v>
      </c>
      <c r="BV132" s="329">
        <v>32500.0</v>
      </c>
      <c r="BW132" s="329" t="s">
        <v>1087</v>
      </c>
      <c r="BX132" s="329">
        <v>1146.0</v>
      </c>
      <c r="BY132" s="234">
        <f t="shared" si="16"/>
        <v>0</v>
      </c>
      <c r="BZ132" s="234"/>
      <c r="CA132" s="234">
        <f>BE132*5</f>
        <v>7500000</v>
      </c>
      <c r="CB132" s="234"/>
      <c r="CC132" s="234">
        <f>CA132-H132</f>
        <v>0</v>
      </c>
      <c r="CD132" s="234"/>
      <c r="CE132" s="234"/>
      <c r="CF132" s="234"/>
      <c r="CG132" s="234" t="str">
        <f t="shared" si="19"/>
        <v> </v>
      </c>
      <c r="CH132" s="234" t="str">
        <f t="shared" si="27"/>
        <v>Not 50%</v>
      </c>
      <c r="CI132" s="328">
        <f t="shared" si="20"/>
        <v>0.22</v>
      </c>
      <c r="CJ132" s="339">
        <f>IFERROR(__xludf.DUMMYFUNCTION("""COMPUTED_VALUE"""),85.0)</f>
        <v>85</v>
      </c>
      <c r="CK132" s="339">
        <f>IFERROR(__xludf.DUMMYFUNCTION("""COMPUTED_VALUE"""),99.0)</f>
        <v>99</v>
      </c>
      <c r="CL132" s="339">
        <f>IFERROR(__xludf.DUMMYFUNCTION("""COMPUTED_VALUE"""),0.0)</f>
        <v>0</v>
      </c>
      <c r="CM132" s="331">
        <f t="shared" si="21"/>
        <v>0</v>
      </c>
      <c r="CN132" s="340"/>
      <c r="CO132" s="328"/>
      <c r="CP132" s="341"/>
      <c r="CQ132" s="344"/>
      <c r="CR132" s="328"/>
      <c r="CS132" s="328"/>
      <c r="CT132" s="328"/>
      <c r="CU132" s="328"/>
      <c r="CV132" s="328"/>
      <c r="CW132" s="328"/>
      <c r="CX132" s="288"/>
      <c r="CY132" s="328"/>
      <c r="CZ132" s="328"/>
    </row>
    <row r="133">
      <c r="A133" s="157" t="s">
        <v>97</v>
      </c>
      <c r="B133" s="157" t="s">
        <v>101</v>
      </c>
      <c r="C133" s="157" t="s">
        <v>102</v>
      </c>
      <c r="D133" s="157" t="s">
        <v>1062</v>
      </c>
      <c r="E133" s="157" t="s">
        <v>103</v>
      </c>
      <c r="F133" s="285">
        <v>45488.0</v>
      </c>
      <c r="G133" s="314">
        <v>0.0</v>
      </c>
      <c r="H133" s="314">
        <v>1.2665002E7</v>
      </c>
      <c r="I133" s="315">
        <v>6662120.4</v>
      </c>
      <c r="J133" s="315">
        <v>0.0</v>
      </c>
      <c r="K133" s="160">
        <v>101.0</v>
      </c>
      <c r="L133" s="160">
        <v>107.0</v>
      </c>
      <c r="M133" s="160">
        <v>8.0</v>
      </c>
      <c r="N133" s="160">
        <v>109.0</v>
      </c>
      <c r="O133" s="160">
        <v>2.0</v>
      </c>
      <c r="P133" s="315">
        <v>6149731.8</v>
      </c>
      <c r="Q133" s="315">
        <v>512388.6</v>
      </c>
      <c r="R133" s="160">
        <v>68.0</v>
      </c>
      <c r="S133" s="160">
        <v>8.0</v>
      </c>
      <c r="T133" s="160">
        <v>76.0</v>
      </c>
      <c r="U133" s="160">
        <v>0.0</v>
      </c>
      <c r="V133" s="160">
        <v>22.0</v>
      </c>
      <c r="W133" s="160">
        <v>61.0</v>
      </c>
      <c r="X133" s="160">
        <v>32.0</v>
      </c>
      <c r="Y133" s="160">
        <v>2.0</v>
      </c>
      <c r="Z133" s="160">
        <v>60.0</v>
      </c>
      <c r="AA133" s="160">
        <v>0.0</v>
      </c>
      <c r="AB133" s="160">
        <v>0.0</v>
      </c>
      <c r="AC133" s="160">
        <v>0.0</v>
      </c>
      <c r="AD133" s="160">
        <v>0.0</v>
      </c>
      <c r="AE133" s="160">
        <v>1687.0</v>
      </c>
      <c r="AF133" s="160">
        <v>1808.0</v>
      </c>
      <c r="AG133" s="160">
        <v>280.0</v>
      </c>
      <c r="AH133" s="314">
        <f t="shared" si="2"/>
        <v>23793.28714</v>
      </c>
      <c r="AI133" s="314">
        <f t="shared" si="3"/>
        <v>6.457142857</v>
      </c>
      <c r="AJ133" s="316">
        <v>20000.0</v>
      </c>
      <c r="AK133" s="314">
        <f t="shared" si="63"/>
        <v>240000</v>
      </c>
      <c r="AL133" s="286">
        <v>122843.0</v>
      </c>
      <c r="AM133" s="318">
        <f t="shared" si="5"/>
        <v>0.0544635909</v>
      </c>
      <c r="AN133" s="314">
        <f t="shared" si="6"/>
        <v>87659.47895</v>
      </c>
      <c r="AO133" s="336">
        <f t="shared" si="82"/>
        <v>0.5260260046</v>
      </c>
      <c r="AP133" s="319">
        <v>0.0</v>
      </c>
      <c r="AQ133" s="160">
        <v>518.0</v>
      </c>
      <c r="AR133" s="160">
        <v>2508.0</v>
      </c>
      <c r="AS133" s="160">
        <v>2778.6</v>
      </c>
      <c r="AT133" s="160">
        <v>8.0</v>
      </c>
      <c r="AU133" s="160">
        <v>26.0</v>
      </c>
      <c r="AV133" s="320">
        <v>76.0</v>
      </c>
      <c r="AW133" s="320">
        <v>31.0</v>
      </c>
      <c r="AX133" s="320">
        <v>2.0</v>
      </c>
      <c r="AY133" s="321">
        <f>iferror(VLOOKUP(C133,'ORDER BOOKING REPORT 2025-26'!C:O,13,0),"")</f>
        <v>10090804</v>
      </c>
      <c r="AZ133" s="322"/>
      <c r="BA133" s="157" t="str">
        <f t="shared" si="7"/>
        <v>Active</v>
      </c>
      <c r="BB133" s="157" t="str">
        <f t="shared" si="8"/>
        <v>Old</v>
      </c>
      <c r="BC133" s="157" t="str">
        <f t="shared" si="83"/>
        <v>50%-70%</v>
      </c>
      <c r="BD133" s="223">
        <f t="array" ref="BD133">Match($BD$2,{"Apr","May","Jun","Jul","Aug","Sep","Oct","Nov","Dec","Jan","Feb","Mar"},0)</f>
        <v>12</v>
      </c>
      <c r="BE133" s="326">
        <v>1055416.792</v>
      </c>
      <c r="BF133" s="157">
        <f t="shared" si="10"/>
        <v>0</v>
      </c>
      <c r="BG133" s="157" t="s">
        <v>1019</v>
      </c>
      <c r="BH133" s="324"/>
      <c r="BI133" s="324"/>
      <c r="BJ133" s="325"/>
      <c r="BK133" s="326"/>
      <c r="BL133" s="326">
        <f t="shared" si="48"/>
        <v>0</v>
      </c>
      <c r="BM133" s="326">
        <f t="shared" si="12"/>
        <v>12665002</v>
      </c>
      <c r="BN133" s="326"/>
      <c r="BO133" s="327" t="str">
        <f>IFERROR(__xludf.DUMMYFUNCTION("IFERROR(ArrayFormula(SUM(VLOOKUP($C133,importrange(""1MwNMVzWE3QBVOyJjKr3eFX-Sq1Ng0Q1sghWJbgbE_8g"",""ORDER BOOKING REPORT 2024-25!C:CV""),{16,23,30},0))))"),"")</f>
        <v/>
      </c>
      <c r="BP133" s="327" t="str">
        <f>IFERROR(__xludf.DUMMYFUNCTION("IFERROR(ArrayFormula(SUM(VLOOKUP($C133,importrange(""1MwNMVzWE3QBVOyJjKr3eFX-Sq1Ng0Q1sghWJbgbE_8g"",""ORDER BOOKING REPORT 2024-25!C:CV""),{37,44,51},0))))"),"")</f>
        <v/>
      </c>
      <c r="BQ133" s="327" t="str">
        <f>IFERROR(__xludf.DUMMYFUNCTION("IFERROR(ArrayFormula(SUM(VLOOKUP($C133,importrange(""1MwNMVzWE3QBVOyJjKr3eFX-Sq1Ng0Q1sghWJbgbE_8g"",""ORDER BOOKING REPORT 2024-25!C:CV""),{58,65,72},0))))"),"")</f>
        <v/>
      </c>
      <c r="BR133" s="327" t="str">
        <f>IFERROR(__xludf.DUMMYFUNCTION("IFERROR(ArrayFormula(SUM(VLOOKUP($C133,importrange(""1MwNMVzWE3QBVOyJjKr3eFX-Sq1Ng0Q1sghWJbgbE_8g"",""ORDER BOOKING REPORT 2024-25!C:CV""),{79,86,93},0))))"),"")</f>
        <v/>
      </c>
      <c r="BS133" s="328">
        <f t="shared" si="13"/>
        <v>0.7967471304</v>
      </c>
      <c r="BT133" s="328">
        <f t="shared" si="14"/>
        <v>0.03595778889</v>
      </c>
      <c r="BU133" s="234">
        <f t="shared" si="15"/>
        <v>0</v>
      </c>
      <c r="BV133" s="329"/>
      <c r="BW133" s="329"/>
      <c r="BX133" s="329"/>
      <c r="BY133" s="234">
        <f t="shared" si="16"/>
        <v>-20000</v>
      </c>
      <c r="BZ133" s="234"/>
      <c r="CA133" s="234"/>
      <c r="CB133" s="234"/>
      <c r="CC133" s="234"/>
      <c r="CD133" s="234"/>
      <c r="CE133" s="234"/>
      <c r="CF133" s="234"/>
      <c r="CG133" s="234" t="str">
        <f t="shared" si="19"/>
        <v> </v>
      </c>
      <c r="CH133" s="234" t="str">
        <f t="shared" si="27"/>
        <v>Business Achieved 50%</v>
      </c>
      <c r="CI133" s="328">
        <f t="shared" si="20"/>
        <v>0.6972477064</v>
      </c>
      <c r="CJ133" s="339">
        <f>IFERROR(__xludf.DUMMYFUNCTION("""COMPUTED_VALUE"""),1483.0)</f>
        <v>1483</v>
      </c>
      <c r="CK133" s="339">
        <f>IFERROR(__xludf.DUMMYFUNCTION("""COMPUTED_VALUE"""),204.0)</f>
        <v>204</v>
      </c>
      <c r="CL133" s="339">
        <f>IFERROR(__xludf.DUMMYFUNCTION("""COMPUTED_VALUE"""),0.0)</f>
        <v>0</v>
      </c>
      <c r="CM133" s="331">
        <f t="shared" si="21"/>
        <v>0</v>
      </c>
      <c r="CN133" s="340"/>
      <c r="CO133" s="328"/>
      <c r="CP133" s="341"/>
      <c r="CQ133" s="344"/>
      <c r="CR133" s="328"/>
      <c r="CS133" s="328"/>
      <c r="CT133" s="328"/>
      <c r="CU133" s="328"/>
      <c r="CV133" s="328"/>
      <c r="CW133" s="328"/>
      <c r="CX133" s="288"/>
      <c r="CY133" s="328"/>
      <c r="CZ133" s="328"/>
    </row>
    <row r="134">
      <c r="A134" s="157" t="s">
        <v>185</v>
      </c>
      <c r="B134" s="157" t="s">
        <v>212</v>
      </c>
      <c r="C134" s="157" t="s">
        <v>839</v>
      </c>
      <c r="D134" s="157" t="s">
        <v>1031</v>
      </c>
      <c r="E134" s="157" t="s">
        <v>417</v>
      </c>
      <c r="F134" s="285">
        <v>45488.0</v>
      </c>
      <c r="G134" s="314">
        <v>0.0</v>
      </c>
      <c r="H134" s="314">
        <v>1.8E7</v>
      </c>
      <c r="I134" s="315">
        <v>4884663.69</v>
      </c>
      <c r="J134" s="315">
        <v>0.0</v>
      </c>
      <c r="K134" s="160">
        <v>44.0</v>
      </c>
      <c r="L134" s="160">
        <v>58.0</v>
      </c>
      <c r="M134" s="160">
        <v>15.0</v>
      </c>
      <c r="N134" s="160">
        <v>59.0</v>
      </c>
      <c r="O134" s="160">
        <v>1.0</v>
      </c>
      <c r="P134" s="315">
        <v>2948047.56</v>
      </c>
      <c r="Q134" s="315">
        <v>1936616.13</v>
      </c>
      <c r="R134" s="160">
        <v>24.0</v>
      </c>
      <c r="S134" s="160">
        <v>15.0</v>
      </c>
      <c r="T134" s="160">
        <v>39.0</v>
      </c>
      <c r="U134" s="160">
        <v>0.0</v>
      </c>
      <c r="V134" s="160">
        <v>22.0</v>
      </c>
      <c r="W134" s="160">
        <v>43.0</v>
      </c>
      <c r="X134" s="160">
        <v>36.0</v>
      </c>
      <c r="Y134" s="160">
        <v>1.0</v>
      </c>
      <c r="Z134" s="160">
        <v>116.0</v>
      </c>
      <c r="AA134" s="160">
        <v>0.0</v>
      </c>
      <c r="AB134" s="160">
        <v>0.0</v>
      </c>
      <c r="AC134" s="160">
        <v>0.0</v>
      </c>
      <c r="AD134" s="160">
        <v>0.0</v>
      </c>
      <c r="AE134" s="160">
        <v>587.0</v>
      </c>
      <c r="AF134" s="160">
        <v>746.0</v>
      </c>
      <c r="AG134" s="160">
        <v>208.0</v>
      </c>
      <c r="AH134" s="314">
        <f t="shared" si="2"/>
        <v>23483.96005</v>
      </c>
      <c r="AI134" s="314">
        <f t="shared" si="3"/>
        <v>3.586538462</v>
      </c>
      <c r="AJ134" s="316">
        <v>30946.0</v>
      </c>
      <c r="AK134" s="314">
        <f t="shared" si="63"/>
        <v>286559.96</v>
      </c>
      <c r="AL134" s="317">
        <v>98812.0</v>
      </c>
      <c r="AM134" s="318">
        <f t="shared" si="5"/>
        <v>0.07889426672</v>
      </c>
      <c r="AN134" s="314">
        <f t="shared" si="6"/>
        <v>125247.7869</v>
      </c>
      <c r="AO134" s="336">
        <f t="shared" si="82"/>
        <v>0.271370205</v>
      </c>
      <c r="AP134" s="319">
        <v>0.0</v>
      </c>
      <c r="AQ134" s="160">
        <v>114.0</v>
      </c>
      <c r="AR134" s="160">
        <v>2263.0</v>
      </c>
      <c r="AS134" s="160">
        <v>0.0</v>
      </c>
      <c r="AT134" s="160">
        <v>15.0</v>
      </c>
      <c r="AU134" s="160">
        <v>0.0</v>
      </c>
      <c r="AV134" s="320">
        <v>39.0</v>
      </c>
      <c r="AW134" s="320">
        <v>19.0</v>
      </c>
      <c r="AX134" s="320">
        <v>1.0</v>
      </c>
      <c r="AY134" s="321">
        <f>iferror(VLOOKUP(C134,'ORDER BOOKING REPORT 2025-26'!C:O,13,0),"")</f>
        <v>4883465.82</v>
      </c>
      <c r="AZ134" s="322">
        <v>46030.0</v>
      </c>
      <c r="BA134" s="157" t="str">
        <f t="shared" si="7"/>
        <v>LEFT</v>
      </c>
      <c r="BB134" s="157" t="str">
        <f t="shared" si="8"/>
        <v>Old</v>
      </c>
      <c r="BC134" s="157" t="str">
        <f t="shared" si="83"/>
        <v>Below 50%</v>
      </c>
      <c r="BD134" s="223">
        <v>9.26</v>
      </c>
      <c r="BE134" s="323">
        <v>1500000.0</v>
      </c>
      <c r="BF134" s="157">
        <f t="shared" si="10"/>
        <v>0</v>
      </c>
      <c r="BG134" s="157" t="s">
        <v>1019</v>
      </c>
      <c r="BH134" s="324"/>
      <c r="BI134" s="324"/>
      <c r="BJ134" s="343">
        <f>8/31</f>
        <v>0.2580645161</v>
      </c>
      <c r="BK134" s="326"/>
      <c r="BL134" s="326">
        <f t="shared" si="48"/>
        <v>0</v>
      </c>
      <c r="BM134" s="326">
        <f t="shared" si="12"/>
        <v>18000000</v>
      </c>
      <c r="BN134" s="326"/>
      <c r="BO134" s="327" t="str">
        <f>IFERROR(__xludf.DUMMYFUNCTION("IFERROR(ArrayFormula(SUM(VLOOKUP($C134,importrange(""1MwNMVzWE3QBVOyJjKr3eFX-Sq1Ng0Q1sghWJbgbE_8g"",""ORDER BOOKING REPORT 2024-25!C:CV""),{16,23,30},0))))"),"")</f>
        <v/>
      </c>
      <c r="BP134" s="327" t="str">
        <f>IFERROR(__xludf.DUMMYFUNCTION("IFERROR(ArrayFormula(SUM(VLOOKUP($C134,importrange(""1MwNMVzWE3QBVOyJjKr3eFX-Sq1Ng0Q1sghWJbgbE_8g"",""ORDER BOOKING REPORT 2024-25!C:CV""),{37,44,51},0))))"),"")</f>
        <v/>
      </c>
      <c r="BQ134" s="327" t="str">
        <f>IFERROR(__xludf.DUMMYFUNCTION("IFERROR(ArrayFormula(SUM(VLOOKUP($C134,importrange(""1MwNMVzWE3QBVOyJjKr3eFX-Sq1Ng0Q1sghWJbgbE_8g"",""ORDER BOOKING REPORT 2024-25!C:CV""),{58,65,72},0))))"),"")</f>
        <v/>
      </c>
      <c r="BR134" s="327" t="str">
        <f>IFERROR(__xludf.DUMMYFUNCTION("IFERROR(ArrayFormula(SUM(VLOOKUP($C134,importrange(""1MwNMVzWE3QBVOyJjKr3eFX-Sq1Ng0Q1sghWJbgbE_8g"",""ORDER BOOKING REPORT 2024-25!C:CV""),{79,86,93},0))))"),"")</f>
        <v/>
      </c>
      <c r="BS134" s="328">
        <f t="shared" si="13"/>
        <v>0.2713036567</v>
      </c>
      <c r="BT134" s="328">
        <f t="shared" si="14"/>
        <v>0.07891361877</v>
      </c>
      <c r="BU134" s="234">
        <f t="shared" si="15"/>
        <v>0</v>
      </c>
      <c r="BV134" s="329">
        <v>30946.0</v>
      </c>
      <c r="BW134" s="329" t="s">
        <v>1096</v>
      </c>
      <c r="BX134" s="329">
        <v>1148.0</v>
      </c>
      <c r="BY134" s="234">
        <f t="shared" si="16"/>
        <v>0</v>
      </c>
      <c r="BZ134" s="234"/>
      <c r="CA134" s="234"/>
      <c r="CB134" s="234"/>
      <c r="CC134" s="234"/>
      <c r="CD134" s="234"/>
      <c r="CE134" s="234"/>
      <c r="CF134" s="234"/>
      <c r="CG134" s="234" t="str">
        <f t="shared" si="19"/>
        <v>Below 60</v>
      </c>
      <c r="CH134" s="234" t="str">
        <f t="shared" si="27"/>
        <v>Business Achieved 50%</v>
      </c>
      <c r="CI134" s="328">
        <f t="shared" si="20"/>
        <v>0.6610169492</v>
      </c>
      <c r="CJ134" s="330">
        <f>IFERROR(__xludf.DUMMYFUNCTION("""COMPUTED_VALUE"""),474.0)</f>
        <v>474</v>
      </c>
      <c r="CK134" s="330">
        <f>IFERROR(__xludf.DUMMYFUNCTION("""COMPUTED_VALUE"""),113.0)</f>
        <v>113</v>
      </c>
      <c r="CL134" s="330">
        <f>IFERROR(__xludf.DUMMYFUNCTION("""COMPUTED_VALUE"""),0.0)</f>
        <v>0</v>
      </c>
      <c r="CM134" s="331">
        <f t="shared" si="21"/>
        <v>0</v>
      </c>
      <c r="CN134" s="337"/>
      <c r="CO134" s="160"/>
      <c r="CP134" s="334"/>
      <c r="CQ134" s="335"/>
      <c r="CR134" s="160"/>
      <c r="CS134" s="160"/>
      <c r="CT134" s="160"/>
      <c r="CU134" s="160"/>
      <c r="CV134" s="160"/>
      <c r="CW134" s="335"/>
      <c r="CX134" s="288"/>
      <c r="CY134" s="160"/>
      <c r="CZ134" s="160"/>
    </row>
    <row r="135">
      <c r="A135" s="157" t="s">
        <v>53</v>
      </c>
      <c r="B135" s="157" t="s">
        <v>56</v>
      </c>
      <c r="C135" s="157" t="s">
        <v>847</v>
      </c>
      <c r="D135" s="157" t="s">
        <v>1092</v>
      </c>
      <c r="E135" s="157" t="s">
        <v>1099</v>
      </c>
      <c r="F135" s="285">
        <v>45502.0</v>
      </c>
      <c r="G135" s="314">
        <v>0.0</v>
      </c>
      <c r="H135" s="314">
        <v>7500000.0</v>
      </c>
      <c r="I135" s="315">
        <v>454619.97</v>
      </c>
      <c r="J135" s="315">
        <v>0.0</v>
      </c>
      <c r="K135" s="160">
        <v>30.0</v>
      </c>
      <c r="L135" s="160">
        <v>27.0</v>
      </c>
      <c r="M135" s="160">
        <v>1.0</v>
      </c>
      <c r="N135" s="160">
        <v>31.0</v>
      </c>
      <c r="O135" s="160">
        <v>4.0</v>
      </c>
      <c r="P135" s="315">
        <v>279361.21</v>
      </c>
      <c r="Q135" s="315">
        <v>175258.76</v>
      </c>
      <c r="R135" s="160">
        <v>7.0</v>
      </c>
      <c r="S135" s="160">
        <v>1.0</v>
      </c>
      <c r="T135" s="160">
        <v>8.0</v>
      </c>
      <c r="U135" s="160">
        <v>0.0</v>
      </c>
      <c r="V135" s="160">
        <v>34.0</v>
      </c>
      <c r="W135" s="160">
        <v>73.0</v>
      </c>
      <c r="X135" s="160">
        <v>96.0</v>
      </c>
      <c r="Y135" s="160">
        <v>1.0</v>
      </c>
      <c r="Z135" s="160">
        <v>48.0</v>
      </c>
      <c r="AA135" s="160">
        <v>0.0</v>
      </c>
      <c r="AB135" s="160">
        <v>0.0</v>
      </c>
      <c r="AC135" s="160">
        <v>0.0</v>
      </c>
      <c r="AD135" s="160">
        <v>0.0</v>
      </c>
      <c r="AE135" s="160">
        <v>250.0</v>
      </c>
      <c r="AF135" s="160">
        <v>371.0</v>
      </c>
      <c r="AG135" s="160">
        <v>91.0</v>
      </c>
      <c r="AH135" s="314">
        <f t="shared" si="2"/>
        <v>4995.823846</v>
      </c>
      <c r="AI135" s="314">
        <f t="shared" si="3"/>
        <v>4.076923077</v>
      </c>
      <c r="AJ135" s="346">
        <v>46670.0</v>
      </c>
      <c r="AK135" s="314">
        <f t="shared" si="63"/>
        <v>215148.7</v>
      </c>
      <c r="AL135" s="317">
        <v>40242.0</v>
      </c>
      <c r="AM135" s="318">
        <f t="shared" si="5"/>
        <v>0.5617674472</v>
      </c>
      <c r="AN135" s="314">
        <f t="shared" si="6"/>
        <v>56827.49625</v>
      </c>
      <c r="AO135" s="336">
        <f t="shared" si="82"/>
        <v>0.060615996</v>
      </c>
      <c r="AP135" s="319">
        <v>0.0</v>
      </c>
      <c r="AQ135" s="160">
        <v>16.0</v>
      </c>
      <c r="AR135" s="160">
        <v>732.0</v>
      </c>
      <c r="AS135" s="160">
        <v>0.0</v>
      </c>
      <c r="AT135" s="160">
        <v>1.0</v>
      </c>
      <c r="AU135" s="160">
        <v>0.0</v>
      </c>
      <c r="AV135" s="320">
        <v>8.0</v>
      </c>
      <c r="AW135" s="320">
        <v>19.0</v>
      </c>
      <c r="AX135" s="320">
        <v>4.0</v>
      </c>
      <c r="AY135" s="321">
        <f>iferror(VLOOKUP(C135,'ORDER BOOKING REPORT 2025-26'!C:O,13,0),"")</f>
        <v>316192</v>
      </c>
      <c r="AZ135" s="322">
        <v>45882.0</v>
      </c>
      <c r="BA135" s="157" t="str">
        <f t="shared" si="7"/>
        <v>LEFT</v>
      </c>
      <c r="BB135" s="157" t="str">
        <f t="shared" si="8"/>
        <v>Old</v>
      </c>
      <c r="BC135" s="157" t="str">
        <f t="shared" si="83"/>
        <v>Below 50%</v>
      </c>
      <c r="BD135" s="223">
        <v>4.61</v>
      </c>
      <c r="BE135" s="326">
        <v>1500000.0</v>
      </c>
      <c r="BF135" s="157">
        <f t="shared" si="10"/>
        <v>0</v>
      </c>
      <c r="BG135" s="157" t="s">
        <v>1019</v>
      </c>
      <c r="BH135" s="324"/>
      <c r="BI135" s="324"/>
      <c r="BJ135" s="343">
        <f>19/31</f>
        <v>0.6129032258</v>
      </c>
      <c r="BK135" s="326"/>
      <c r="BL135" s="326">
        <f t="shared" si="48"/>
        <v>0</v>
      </c>
      <c r="BM135" s="326">
        <f t="shared" si="12"/>
        <v>7500000</v>
      </c>
      <c r="BN135" s="326"/>
      <c r="BO135" s="327" t="str">
        <f>IFERROR(__xludf.DUMMYFUNCTION("IFERROR(ArrayFormula(SUM(VLOOKUP($C135,importrange(""1MwNMVzWE3QBVOyJjKr3eFX-Sq1Ng0Q1sghWJbgbE_8g"",""ORDER BOOKING REPORT 2024-25!C:CV""),{16,23,30},0))))"),"")</f>
        <v/>
      </c>
      <c r="BP135" s="327" t="str">
        <f>IFERROR(__xludf.DUMMYFUNCTION("IFERROR(ArrayFormula(SUM(VLOOKUP($C135,importrange(""1MwNMVzWE3QBVOyJjKr3eFX-Sq1Ng0Q1sghWJbgbE_8g"",""ORDER BOOKING REPORT 2024-25!C:CV""),{37,44,51},0))))"),"")</f>
        <v/>
      </c>
      <c r="BQ135" s="327" t="str">
        <f>IFERROR(__xludf.DUMMYFUNCTION("IFERROR(ArrayFormula(SUM(VLOOKUP($C135,importrange(""1MwNMVzWE3QBVOyJjKr3eFX-Sq1Ng0Q1sghWJbgbE_8g"",""ORDER BOOKING REPORT 2024-25!C:CV""),{58,65,72},0))))"),"")</f>
        <v/>
      </c>
      <c r="BR135" s="327" t="str">
        <f>IFERROR(__xludf.DUMMYFUNCTION("IFERROR(ArrayFormula(SUM(VLOOKUP($C135,importrange(""1MwNMVzWE3QBVOyJjKr3eFX-Sq1Ng0Q1sghWJbgbE_8g"",""ORDER BOOKING REPORT 2024-25!C:CV""),{79,86,93},0))))"),"")</f>
        <v/>
      </c>
      <c r="BS135" s="328">
        <f t="shared" si="13"/>
        <v>0.04215893333</v>
      </c>
      <c r="BT135" s="328">
        <f t="shared" si="14"/>
        <v>0.8077076586</v>
      </c>
      <c r="BU135" s="234">
        <f t="shared" si="15"/>
        <v>0</v>
      </c>
      <c r="BV135" s="329">
        <v>46670.0</v>
      </c>
      <c r="BW135" s="329" t="s">
        <v>1029</v>
      </c>
      <c r="BX135" s="329">
        <v>1154.0</v>
      </c>
      <c r="BY135" s="234">
        <f t="shared" si="16"/>
        <v>0</v>
      </c>
      <c r="BZ135" s="234"/>
      <c r="CA135" s="234"/>
      <c r="CB135" s="234"/>
      <c r="CC135" s="234"/>
      <c r="CD135" s="234"/>
      <c r="CE135" s="234"/>
      <c r="CF135" s="234"/>
      <c r="CG135" s="234" t="str">
        <f t="shared" si="19"/>
        <v>Below 60</v>
      </c>
      <c r="CH135" s="234" t="str">
        <f t="shared" si="27"/>
        <v>Not 50%</v>
      </c>
      <c r="CI135" s="328">
        <f t="shared" si="20"/>
        <v>0.2580645161</v>
      </c>
      <c r="CJ135" s="330">
        <f>IFERROR(__xludf.DUMMYFUNCTION("""COMPUTED_VALUE"""),128.0)</f>
        <v>128</v>
      </c>
      <c r="CK135" s="330">
        <f>IFERROR(__xludf.DUMMYFUNCTION("""COMPUTED_VALUE"""),122.0)</f>
        <v>122</v>
      </c>
      <c r="CL135" s="330">
        <f>IFERROR(__xludf.DUMMYFUNCTION("""COMPUTED_VALUE"""),0.0)</f>
        <v>0</v>
      </c>
      <c r="CM135" s="331">
        <f t="shared" si="21"/>
        <v>0</v>
      </c>
      <c r="CN135" s="337"/>
      <c r="CO135" s="160"/>
      <c r="CP135" s="334"/>
      <c r="CQ135" s="335"/>
      <c r="CR135" s="160"/>
      <c r="CS135" s="160"/>
      <c r="CT135" s="160"/>
      <c r="CU135" s="160"/>
      <c r="CV135" s="160"/>
      <c r="CW135" s="335"/>
      <c r="CX135" s="288"/>
      <c r="CY135" s="160"/>
      <c r="CZ135" s="160"/>
    </row>
    <row r="136">
      <c r="A136" s="348" t="s">
        <v>126</v>
      </c>
      <c r="B136" s="348" t="s">
        <v>130</v>
      </c>
      <c r="C136" s="348" t="s">
        <v>444</v>
      </c>
      <c r="D136" s="157" t="s">
        <v>130</v>
      </c>
      <c r="E136" s="157" t="s">
        <v>445</v>
      </c>
      <c r="F136" s="338">
        <v>45506.0</v>
      </c>
      <c r="G136" s="314">
        <v>1100000.0</v>
      </c>
      <c r="H136" s="314">
        <v>1.265E7</v>
      </c>
      <c r="I136" s="315">
        <v>1915700.18</v>
      </c>
      <c r="J136" s="315">
        <v>2196126.89</v>
      </c>
      <c r="K136" s="160">
        <v>43.0</v>
      </c>
      <c r="L136" s="160">
        <v>48.0</v>
      </c>
      <c r="M136" s="160">
        <v>10.0</v>
      </c>
      <c r="N136" s="160">
        <v>53.0</v>
      </c>
      <c r="O136" s="160">
        <v>5.0</v>
      </c>
      <c r="P136" s="315">
        <v>1527830.88</v>
      </c>
      <c r="Q136" s="315">
        <v>387869.3</v>
      </c>
      <c r="R136" s="160">
        <v>23.0</v>
      </c>
      <c r="S136" s="160">
        <v>7.0</v>
      </c>
      <c r="T136" s="160">
        <v>30.0</v>
      </c>
      <c r="U136" s="160">
        <v>1.0</v>
      </c>
      <c r="V136" s="160">
        <v>89.0</v>
      </c>
      <c r="W136" s="160">
        <v>257.0</v>
      </c>
      <c r="X136" s="160">
        <v>48.0</v>
      </c>
      <c r="Y136" s="160">
        <v>5.0</v>
      </c>
      <c r="Z136" s="160">
        <v>30.0</v>
      </c>
      <c r="AA136" s="160">
        <v>1.0</v>
      </c>
      <c r="AB136" s="160">
        <v>186.0</v>
      </c>
      <c r="AC136" s="160">
        <v>3.0</v>
      </c>
      <c r="AD136" s="160">
        <v>24.0</v>
      </c>
      <c r="AE136" s="160">
        <v>500.0</v>
      </c>
      <c r="AF136" s="160">
        <v>997.0</v>
      </c>
      <c r="AG136" s="160">
        <v>264.0</v>
      </c>
      <c r="AH136" s="314">
        <f t="shared" si="2"/>
        <v>15575.10254</v>
      </c>
      <c r="AI136" s="314">
        <f t="shared" si="3"/>
        <v>3.776515152</v>
      </c>
      <c r="AJ136" s="316">
        <f>BV136</f>
        <v>29360</v>
      </c>
      <c r="AK136" s="314">
        <f t="shared" si="63"/>
        <v>322960</v>
      </c>
      <c r="AL136" s="286">
        <v>77237.0</v>
      </c>
      <c r="AM136" s="318">
        <f t="shared" si="5"/>
        <v>0.09732826629</v>
      </c>
      <c r="AN136" s="314">
        <f t="shared" si="6"/>
        <v>63856.67267</v>
      </c>
      <c r="AO136" s="336">
        <f t="shared" si="82"/>
        <v>0.2990419687</v>
      </c>
      <c r="AP136" s="319">
        <v>2.0</v>
      </c>
      <c r="AQ136" s="160">
        <v>73.0</v>
      </c>
      <c r="AR136" s="160">
        <v>2562.0</v>
      </c>
      <c r="AS136" s="160">
        <v>142.8</v>
      </c>
      <c r="AT136" s="160">
        <v>7.0</v>
      </c>
      <c r="AU136" s="160">
        <v>3.0</v>
      </c>
      <c r="AV136" s="320">
        <v>30.0</v>
      </c>
      <c r="AW136" s="320">
        <v>19.0</v>
      </c>
      <c r="AX136" s="320">
        <v>4.0</v>
      </c>
      <c r="AY136" s="321">
        <f>iferror(VLOOKUP(C136,'ORDER BOOKING REPORT 2025-26'!C:O,13,0),"")</f>
        <v>2415749</v>
      </c>
      <c r="AZ136" s="322">
        <v>46081.0</v>
      </c>
      <c r="BA136" s="157" t="str">
        <f t="shared" si="7"/>
        <v>LEFT</v>
      </c>
      <c r="BB136" s="157" t="str">
        <f t="shared" si="8"/>
        <v>Old</v>
      </c>
      <c r="BC136" s="157" t="str">
        <f t="shared" si="83"/>
        <v>Below 50%</v>
      </c>
      <c r="BD136" s="223">
        <v>11.0</v>
      </c>
      <c r="BE136" s="323">
        <v>1250000.0</v>
      </c>
      <c r="BF136" s="157">
        <f t="shared" si="10"/>
        <v>3</v>
      </c>
      <c r="BG136" s="157" t="s">
        <v>1019</v>
      </c>
      <c r="BH136" s="324"/>
      <c r="BI136" s="324"/>
      <c r="BJ136" s="325"/>
      <c r="BK136" s="326">
        <v>100000.0</v>
      </c>
      <c r="BL136" s="326">
        <f t="shared" si="48"/>
        <v>1100000</v>
      </c>
      <c r="BM136" s="326">
        <f t="shared" si="12"/>
        <v>13750000</v>
      </c>
      <c r="BN136" s="326"/>
      <c r="BO136" s="327" t="str">
        <f>IFERROR(__xludf.DUMMYFUNCTION("IFERROR(ArrayFormula(SUM(VLOOKUP($C136,importrange(""1MwNMVzWE3QBVOyJjKr3eFX-Sq1Ng0Q1sghWJbgbE_8g"",""ORDER BOOKING REPORT 2024-25!C:CV""),{16,23,30},0))))"),"")</f>
        <v/>
      </c>
      <c r="BP136" s="327" t="str">
        <f>IFERROR(__xludf.DUMMYFUNCTION("IFERROR(ArrayFormula(SUM(VLOOKUP($C136,importrange(""1MwNMVzWE3QBVOyJjKr3eFX-Sq1Ng0Q1sghWJbgbE_8g"",""ORDER BOOKING REPORT 2024-25!C:CV""),{37,44,51},0))))"),"")</f>
        <v/>
      </c>
      <c r="BQ136" s="327" t="str">
        <f>IFERROR(__xludf.DUMMYFUNCTION("IFERROR(ArrayFormula(SUM(VLOOKUP($C136,importrange(""1MwNMVzWE3QBVOyJjKr3eFX-Sq1Ng0Q1sghWJbgbE_8g"",""ORDER BOOKING REPORT 2024-25!C:CV""),{58,65,72},0))))"),"")</f>
        <v/>
      </c>
      <c r="BR136" s="327" t="str">
        <f>IFERROR(__xludf.DUMMYFUNCTION("IFERROR(ArrayFormula(SUM(VLOOKUP($C136,importrange(""1MwNMVzWE3QBVOyJjKr3eFX-Sq1Ng0Q1sghWJbgbE_8g"",""ORDER BOOKING REPORT 2024-25!C:CV""),{79,86,93},0))))"),"")</f>
        <v/>
      </c>
      <c r="BS136" s="328">
        <f t="shared" si="13"/>
        <v>0.1756908364</v>
      </c>
      <c r="BT136" s="328">
        <f t="shared" si="14"/>
        <v>0.1656616644</v>
      </c>
      <c r="BU136" s="234">
        <f t="shared" si="15"/>
        <v>0</v>
      </c>
      <c r="BV136" s="329">
        <v>29360.0</v>
      </c>
      <c r="BW136" s="329" t="s">
        <v>1029</v>
      </c>
      <c r="BX136" s="329">
        <v>1163.0</v>
      </c>
      <c r="BY136" s="234">
        <f t="shared" si="16"/>
        <v>0</v>
      </c>
      <c r="BZ136" s="234"/>
      <c r="CA136" s="234"/>
      <c r="CB136" s="234"/>
      <c r="CC136" s="234"/>
      <c r="CD136" s="234"/>
      <c r="CE136" s="234"/>
      <c r="CF136" s="234"/>
      <c r="CG136" s="234" t="str">
        <f t="shared" si="19"/>
        <v>Below 60</v>
      </c>
      <c r="CH136" s="234" t="str">
        <f t="shared" si="27"/>
        <v>Business Achieved 50%</v>
      </c>
      <c r="CI136" s="328">
        <f t="shared" si="20"/>
        <v>0.5660377358</v>
      </c>
      <c r="CJ136" s="339">
        <f>IFERROR(__xludf.DUMMYFUNCTION("""COMPUTED_VALUE"""),411.0)</f>
        <v>411</v>
      </c>
      <c r="CK136" s="339">
        <f>IFERROR(__xludf.DUMMYFUNCTION("""COMPUTED_VALUE"""),89.0)</f>
        <v>89</v>
      </c>
      <c r="CL136" s="339">
        <f>IFERROR(__xludf.DUMMYFUNCTION("""COMPUTED_VALUE"""),0.0)</f>
        <v>0</v>
      </c>
      <c r="CM136" s="331">
        <f t="shared" si="21"/>
        <v>0</v>
      </c>
      <c r="CN136" s="340"/>
      <c r="CO136" s="328"/>
      <c r="CP136" s="341"/>
      <c r="CQ136" s="344"/>
      <c r="CR136" s="328"/>
      <c r="CS136" s="328"/>
      <c r="CT136" s="328"/>
      <c r="CU136" s="328"/>
      <c r="CV136" s="328"/>
      <c r="CW136" s="328"/>
      <c r="CX136" s="288"/>
      <c r="CY136" s="328"/>
      <c r="CZ136" s="328"/>
    </row>
    <row r="137">
      <c r="A137" s="157" t="s">
        <v>185</v>
      </c>
      <c r="B137" s="157" t="s">
        <v>196</v>
      </c>
      <c r="C137" s="157" t="s">
        <v>412</v>
      </c>
      <c r="D137" s="157" t="s">
        <v>1027</v>
      </c>
      <c r="E137" s="157" t="s">
        <v>209</v>
      </c>
      <c r="F137" s="285">
        <v>45516.0</v>
      </c>
      <c r="G137" s="314">
        <v>0.0</v>
      </c>
      <c r="H137" s="314">
        <v>7500000.0</v>
      </c>
      <c r="I137" s="315">
        <v>0.0</v>
      </c>
      <c r="J137" s="315">
        <v>383734.19</v>
      </c>
      <c r="K137" s="160">
        <v>13.0</v>
      </c>
      <c r="L137" s="160">
        <v>11.0</v>
      </c>
      <c r="M137" s="160">
        <v>0.0</v>
      </c>
      <c r="N137" s="160">
        <v>13.0</v>
      </c>
      <c r="O137" s="160">
        <v>2.0</v>
      </c>
      <c r="P137" s="315">
        <v>0.0</v>
      </c>
      <c r="Q137" s="315">
        <v>0.0</v>
      </c>
      <c r="R137" s="160">
        <v>0.0</v>
      </c>
      <c r="S137" s="160">
        <v>0.0</v>
      </c>
      <c r="T137" s="160">
        <v>0.0</v>
      </c>
      <c r="U137" s="160">
        <v>1.0</v>
      </c>
      <c r="V137" s="160">
        <v>14.0</v>
      </c>
      <c r="W137" s="160">
        <v>25.0</v>
      </c>
      <c r="X137" s="160">
        <v>4.0</v>
      </c>
      <c r="Y137" s="160">
        <v>1.0</v>
      </c>
      <c r="Z137" s="160">
        <v>15.0</v>
      </c>
      <c r="AA137" s="160">
        <v>2.0</v>
      </c>
      <c r="AB137" s="160">
        <v>30.0</v>
      </c>
      <c r="AC137" s="160">
        <v>0.0</v>
      </c>
      <c r="AD137" s="160">
        <v>0.0</v>
      </c>
      <c r="AE137" s="160">
        <v>176.0</v>
      </c>
      <c r="AF137" s="160">
        <v>246.0</v>
      </c>
      <c r="AG137" s="160">
        <v>83.0</v>
      </c>
      <c r="AH137" s="314">
        <f t="shared" si="2"/>
        <v>4623.303494</v>
      </c>
      <c r="AI137" s="314">
        <f t="shared" si="3"/>
        <v>2.963855422</v>
      </c>
      <c r="AJ137" s="346">
        <v>25700.0</v>
      </c>
      <c r="AK137" s="314">
        <f t="shared" si="63"/>
        <v>128500</v>
      </c>
      <c r="AL137" s="317"/>
      <c r="AM137" s="318">
        <f t="shared" si="5"/>
        <v>0.3348672163</v>
      </c>
      <c r="AN137" s="314" t="str">
        <f t="shared" si="6"/>
        <v/>
      </c>
      <c r="AO137" s="336">
        <f t="shared" si="82"/>
        <v>0.05116455867</v>
      </c>
      <c r="AP137" s="319">
        <v>0.0</v>
      </c>
      <c r="AQ137" s="160">
        <v>0.0</v>
      </c>
      <c r="AR137" s="160">
        <v>603.0</v>
      </c>
      <c r="AS137" s="160">
        <v>0.0</v>
      </c>
      <c r="AT137" s="160">
        <v>0.0</v>
      </c>
      <c r="AU137" s="160">
        <v>0.0</v>
      </c>
      <c r="AV137" s="320">
        <v>0.0</v>
      </c>
      <c r="AW137" s="320">
        <v>11.0</v>
      </c>
      <c r="AX137" s="320">
        <v>2.0</v>
      </c>
      <c r="AY137" s="321">
        <f>iferror(VLOOKUP(C137,'ORDER BOOKING REPORT 2025-26'!C:O,13,0),"")</f>
        <v>383564</v>
      </c>
      <c r="AZ137" s="322">
        <v>45899.0</v>
      </c>
      <c r="BA137" s="157" t="str">
        <f t="shared" si="7"/>
        <v>LEFT</v>
      </c>
      <c r="BB137" s="157" t="str">
        <f t="shared" si="8"/>
        <v>Old</v>
      </c>
      <c r="BC137" s="157" t="str">
        <f t="shared" si="83"/>
        <v>Below 50%</v>
      </c>
      <c r="BD137" s="223">
        <v>5.0</v>
      </c>
      <c r="BE137" s="326">
        <v>1500000.0</v>
      </c>
      <c r="BF137" s="157">
        <f t="shared" si="10"/>
        <v>0</v>
      </c>
      <c r="BG137" s="157" t="s">
        <v>1019</v>
      </c>
      <c r="BH137" s="324"/>
      <c r="BI137" s="324"/>
      <c r="BJ137" s="343"/>
      <c r="BK137" s="326"/>
      <c r="BL137" s="326">
        <f t="shared" si="48"/>
        <v>0</v>
      </c>
      <c r="BM137" s="326">
        <f t="shared" si="12"/>
        <v>7500000</v>
      </c>
      <c r="BN137" s="326"/>
      <c r="BO137" s="327" t="str">
        <f>IFERROR(__xludf.DUMMYFUNCTION("IFERROR(ArrayFormula(SUM(VLOOKUP($C137,importrange(""1MwNMVzWE3QBVOyJjKr3eFX-Sq1Ng0Q1sghWJbgbE_8g"",""ORDER BOOKING REPORT 2024-25!C:CV""),{16,23,30},0))))"),"")</f>
        <v/>
      </c>
      <c r="BP137" s="327" t="str">
        <f>IFERROR(__xludf.DUMMYFUNCTION("IFERROR(ArrayFormula(SUM(VLOOKUP($C137,importrange(""1MwNMVzWE3QBVOyJjKr3eFX-Sq1Ng0Q1sghWJbgbE_8g"",""ORDER BOOKING REPORT 2024-25!C:CV""),{37,44,51},0))))"),"")</f>
        <v/>
      </c>
      <c r="BQ137" s="327" t="str">
        <f>IFERROR(__xludf.DUMMYFUNCTION("IFERROR(ArrayFormula(SUM(VLOOKUP($C137,importrange(""1MwNMVzWE3QBVOyJjKr3eFX-Sq1Ng0Q1sghWJbgbE_8g"",""ORDER BOOKING REPORT 2024-25!C:CV""),{58,65,72},0))))"),"")</f>
        <v/>
      </c>
      <c r="BR137" s="327" t="str">
        <f>IFERROR(__xludf.DUMMYFUNCTION("IFERROR(ArrayFormula(SUM(VLOOKUP($C137,importrange(""1MwNMVzWE3QBVOyJjKr3eFX-Sq1Ng0Q1sghWJbgbE_8g"",""ORDER BOOKING REPORT 2024-25!C:CV""),{79,86,93},0))))"),"")</f>
        <v/>
      </c>
      <c r="BS137" s="328">
        <f t="shared" si="13"/>
        <v>0.05114186667</v>
      </c>
      <c r="BT137" s="328">
        <f t="shared" si="14"/>
        <v>0.3350157992</v>
      </c>
      <c r="BU137" s="234">
        <f t="shared" si="15"/>
        <v>0</v>
      </c>
      <c r="BV137" s="329">
        <v>25700.0</v>
      </c>
      <c r="BW137" s="329" t="s">
        <v>1096</v>
      </c>
      <c r="BX137" s="329">
        <v>1165.0</v>
      </c>
      <c r="BY137" s="234">
        <f t="shared" si="16"/>
        <v>0</v>
      </c>
      <c r="BZ137" s="234"/>
      <c r="CA137" s="234"/>
      <c r="CB137" s="234"/>
      <c r="CC137" s="234"/>
      <c r="CD137" s="234"/>
      <c r="CE137" s="234"/>
      <c r="CF137" s="234"/>
      <c r="CG137" s="234" t="str">
        <f t="shared" si="19"/>
        <v>Below 60</v>
      </c>
      <c r="CH137" s="234" t="str">
        <f t="shared" si="27"/>
        <v>Not 50%</v>
      </c>
      <c r="CI137" s="328">
        <f t="shared" si="20"/>
        <v>0</v>
      </c>
      <c r="CJ137" s="330">
        <f>IFERROR(__xludf.DUMMYFUNCTION("""COMPUTED_VALUE"""),0.0)</f>
        <v>0</v>
      </c>
      <c r="CK137" s="330">
        <f>IFERROR(__xludf.DUMMYFUNCTION("""COMPUTED_VALUE"""),176.0)</f>
        <v>176</v>
      </c>
      <c r="CL137" s="330">
        <f>IFERROR(__xludf.DUMMYFUNCTION("""COMPUTED_VALUE"""),0.0)</f>
        <v>0</v>
      </c>
      <c r="CM137" s="331">
        <f t="shared" si="21"/>
        <v>0</v>
      </c>
      <c r="CN137" s="337"/>
      <c r="CO137" s="160"/>
      <c r="CP137" s="334"/>
      <c r="CQ137" s="335"/>
      <c r="CR137" s="160"/>
      <c r="CS137" s="160"/>
      <c r="CT137" s="160"/>
      <c r="CU137" s="160"/>
      <c r="CV137" s="160"/>
      <c r="CW137" s="335"/>
      <c r="CX137" s="288"/>
      <c r="CY137" s="160"/>
      <c r="CZ137" s="160"/>
    </row>
    <row r="138">
      <c r="A138" s="157" t="s">
        <v>298</v>
      </c>
      <c r="B138" s="157" t="s">
        <v>301</v>
      </c>
      <c r="C138" s="157" t="s">
        <v>314</v>
      </c>
      <c r="D138" s="157" t="s">
        <v>1066</v>
      </c>
      <c r="E138" s="157" t="s">
        <v>1100</v>
      </c>
      <c r="F138" s="285">
        <v>45516.0</v>
      </c>
      <c r="G138" s="314">
        <v>0.0</v>
      </c>
      <c r="H138" s="314">
        <v>1.2E7</v>
      </c>
      <c r="I138" s="315">
        <v>6205273.34</v>
      </c>
      <c r="J138" s="315">
        <v>0.0</v>
      </c>
      <c r="K138" s="160">
        <v>135.0</v>
      </c>
      <c r="L138" s="160">
        <v>141.0</v>
      </c>
      <c r="M138" s="160">
        <v>17.0</v>
      </c>
      <c r="N138" s="160">
        <v>152.0</v>
      </c>
      <c r="O138" s="160">
        <v>11.0</v>
      </c>
      <c r="P138" s="315">
        <v>5212911.34</v>
      </c>
      <c r="Q138" s="315">
        <v>992362.0</v>
      </c>
      <c r="R138" s="160">
        <v>78.0</v>
      </c>
      <c r="S138" s="160">
        <v>16.0</v>
      </c>
      <c r="T138" s="160">
        <v>94.0</v>
      </c>
      <c r="U138" s="160">
        <v>0.0</v>
      </c>
      <c r="V138" s="160">
        <v>358.0</v>
      </c>
      <c r="W138" s="160">
        <v>662.0</v>
      </c>
      <c r="X138" s="160">
        <v>70.0</v>
      </c>
      <c r="Y138" s="160">
        <v>1.0</v>
      </c>
      <c r="Z138" s="160">
        <v>26.0</v>
      </c>
      <c r="AA138" s="160">
        <v>0.0</v>
      </c>
      <c r="AB138" s="160">
        <v>0.0</v>
      </c>
      <c r="AC138" s="160">
        <v>0.0</v>
      </c>
      <c r="AD138" s="160">
        <v>0.0</v>
      </c>
      <c r="AE138" s="160">
        <v>676.0</v>
      </c>
      <c r="AF138" s="160">
        <v>1364.0</v>
      </c>
      <c r="AG138" s="160">
        <v>291.0</v>
      </c>
      <c r="AH138" s="314">
        <f t="shared" si="2"/>
        <v>21323.96337</v>
      </c>
      <c r="AI138" s="314">
        <f t="shared" si="3"/>
        <v>4.687285223</v>
      </c>
      <c r="AJ138" s="346">
        <v>27260.0</v>
      </c>
      <c r="AK138" s="314">
        <f t="shared" si="63"/>
        <v>327120</v>
      </c>
      <c r="AL138" s="317">
        <v>139024.0</v>
      </c>
      <c r="AM138" s="318">
        <f t="shared" si="5"/>
        <v>0.07512062313</v>
      </c>
      <c r="AN138" s="314">
        <f t="shared" si="6"/>
        <v>66013.54617</v>
      </c>
      <c r="AO138" s="336">
        <f t="shared" si="82"/>
        <v>0.5171061117</v>
      </c>
      <c r="AP138" s="319">
        <v>0.0</v>
      </c>
      <c r="AQ138" s="160">
        <v>364.0</v>
      </c>
      <c r="AR138" s="160">
        <v>2839.0</v>
      </c>
      <c r="AS138" s="160">
        <v>3156.17</v>
      </c>
      <c r="AT138" s="160">
        <v>16.0</v>
      </c>
      <c r="AU138" s="160">
        <v>22.0</v>
      </c>
      <c r="AV138" s="320">
        <v>94.0</v>
      </c>
      <c r="AW138" s="320">
        <v>49.0</v>
      </c>
      <c r="AX138" s="320">
        <v>9.0</v>
      </c>
      <c r="AY138" s="321">
        <f>iferror(VLOOKUP(C138,'ORDER BOOKING REPORT 2025-26'!C:O,13,0),"")</f>
        <v>6239646</v>
      </c>
      <c r="AZ138" s="322"/>
      <c r="BA138" s="157" t="str">
        <f t="shared" si="7"/>
        <v>Active</v>
      </c>
      <c r="BB138" s="157" t="str">
        <f t="shared" si="8"/>
        <v>Old</v>
      </c>
      <c r="BC138" s="157" t="str">
        <f t="shared" si="83"/>
        <v>50%-70%</v>
      </c>
      <c r="BD138" s="223">
        <f t="shared" ref="BD138:BD139" si="87">Match($BD$2,{"Apr","May","Jun","Jul","Aug","Sep","Oct","Nov","Dec","Jan","Feb","Mar"},0)</f>
        <v>12</v>
      </c>
      <c r="BE138" s="323">
        <v>1000000.0</v>
      </c>
      <c r="BF138" s="157">
        <f t="shared" si="10"/>
        <v>1</v>
      </c>
      <c r="BG138" s="157" t="s">
        <v>1019</v>
      </c>
      <c r="BH138" s="324"/>
      <c r="BI138" s="324"/>
      <c r="BJ138" s="325"/>
      <c r="BK138" s="326"/>
      <c r="BL138" s="326">
        <f t="shared" si="48"/>
        <v>0</v>
      </c>
      <c r="BM138" s="326">
        <f t="shared" si="12"/>
        <v>12000000</v>
      </c>
      <c r="BN138" s="326"/>
      <c r="BO138" s="327" t="str">
        <f>IFERROR(__xludf.DUMMYFUNCTION("IFERROR(ArrayFormula(SUM(VLOOKUP($C138,importrange(""1MwNMVzWE3QBVOyJjKr3eFX-Sq1Ng0Q1sghWJbgbE_8g"",""ORDER BOOKING REPORT 2024-25!C:CV""),{16,23,30},0))))"),"")</f>
        <v/>
      </c>
      <c r="BP138" s="327" t="str">
        <f>IFERROR(__xludf.DUMMYFUNCTION("IFERROR(ArrayFormula(SUM(VLOOKUP($C138,importrange(""1MwNMVzWE3QBVOyJjKr3eFX-Sq1Ng0Q1sghWJbgbE_8g"",""ORDER BOOKING REPORT 2024-25!C:CV""),{37,44,51},0))))"),"")</f>
        <v/>
      </c>
      <c r="BQ138" s="327" t="str">
        <f>IFERROR(__xludf.DUMMYFUNCTION("IFERROR(ArrayFormula(SUM(VLOOKUP($C138,importrange(""1MwNMVzWE3QBVOyJjKr3eFX-Sq1Ng0Q1sghWJbgbE_8g"",""ORDER BOOKING REPORT 2024-25!C:CV""),{58,65,72},0))))"),"")</f>
        <v/>
      </c>
      <c r="BR138" s="327" t="str">
        <f>IFERROR(__xludf.DUMMYFUNCTION("IFERROR(ArrayFormula(SUM(VLOOKUP($C138,importrange(""1MwNMVzWE3QBVOyJjKr3eFX-Sq1Ng0Q1sghWJbgbE_8g"",""ORDER BOOKING REPORT 2024-25!C:CV""),{79,86,93},0))))"),"")</f>
        <v/>
      </c>
      <c r="BS138" s="328">
        <f t="shared" si="13"/>
        <v>0.5199705</v>
      </c>
      <c r="BT138" s="328">
        <f t="shared" si="14"/>
        <v>0.07470680228</v>
      </c>
      <c r="BU138" s="234">
        <f t="shared" si="15"/>
        <v>0</v>
      </c>
      <c r="BV138" s="329">
        <v>27260.0</v>
      </c>
      <c r="BW138" s="329" t="s">
        <v>1096</v>
      </c>
      <c r="BX138" s="329">
        <v>1164.0</v>
      </c>
      <c r="BY138" s="234">
        <f t="shared" si="16"/>
        <v>0</v>
      </c>
      <c r="BZ138" s="234"/>
      <c r="CA138" s="234"/>
      <c r="CB138" s="234"/>
      <c r="CC138" s="234"/>
      <c r="CD138" s="234"/>
      <c r="CE138" s="234"/>
      <c r="CF138" s="234"/>
      <c r="CG138" s="234" t="str">
        <f t="shared" si="19"/>
        <v> </v>
      </c>
      <c r="CH138" s="234" t="str">
        <f t="shared" si="27"/>
        <v>Business Achieved 50%</v>
      </c>
      <c r="CI138" s="328">
        <f t="shared" si="20"/>
        <v>0.6184210526</v>
      </c>
      <c r="CJ138" s="330">
        <f>IFERROR(__xludf.DUMMYFUNCTION("""COMPUTED_VALUE"""),522.0)</f>
        <v>522</v>
      </c>
      <c r="CK138" s="330">
        <f>IFERROR(__xludf.DUMMYFUNCTION("""COMPUTED_VALUE"""),154.0)</f>
        <v>154</v>
      </c>
      <c r="CL138" s="330">
        <f>IFERROR(__xludf.DUMMYFUNCTION("""COMPUTED_VALUE"""),0.0)</f>
        <v>0</v>
      </c>
      <c r="CM138" s="331">
        <f t="shared" si="21"/>
        <v>0</v>
      </c>
      <c r="CN138" s="337"/>
      <c r="CO138" s="160"/>
      <c r="CP138" s="334"/>
      <c r="CQ138" s="335"/>
      <c r="CR138" s="160"/>
      <c r="CS138" s="160"/>
      <c r="CT138" s="160"/>
      <c r="CU138" s="160"/>
      <c r="CV138" s="160"/>
      <c r="CW138" s="335"/>
      <c r="CX138" s="288"/>
      <c r="CY138" s="160"/>
      <c r="CZ138" s="160"/>
    </row>
    <row r="139">
      <c r="A139" s="157" t="s">
        <v>53</v>
      </c>
      <c r="B139" s="157" t="s">
        <v>56</v>
      </c>
      <c r="C139" s="157" t="s">
        <v>57</v>
      </c>
      <c r="D139" s="157" t="s">
        <v>1092</v>
      </c>
      <c r="E139" s="157" t="s">
        <v>58</v>
      </c>
      <c r="F139" s="285">
        <v>45518.0</v>
      </c>
      <c r="G139" s="314">
        <v>0.0</v>
      </c>
      <c r="H139" s="314">
        <v>8400000.0</v>
      </c>
      <c r="I139" s="315">
        <v>2887869.98</v>
      </c>
      <c r="J139" s="315">
        <v>0.0</v>
      </c>
      <c r="K139" s="160">
        <v>68.0</v>
      </c>
      <c r="L139" s="160">
        <v>85.0</v>
      </c>
      <c r="M139" s="160">
        <v>20.0</v>
      </c>
      <c r="N139" s="160">
        <v>88.0</v>
      </c>
      <c r="O139" s="160">
        <v>3.0</v>
      </c>
      <c r="P139" s="315">
        <v>2051975.42</v>
      </c>
      <c r="Q139" s="315">
        <v>835894.56</v>
      </c>
      <c r="R139" s="160">
        <v>45.0</v>
      </c>
      <c r="S139" s="160">
        <v>20.0</v>
      </c>
      <c r="T139" s="160">
        <v>65.0</v>
      </c>
      <c r="U139" s="160">
        <v>0.0</v>
      </c>
      <c r="V139" s="160">
        <v>154.0</v>
      </c>
      <c r="W139" s="160">
        <v>290.0</v>
      </c>
      <c r="X139" s="160">
        <v>95.0</v>
      </c>
      <c r="Y139" s="160">
        <v>3.0</v>
      </c>
      <c r="Z139" s="160">
        <v>225.0</v>
      </c>
      <c r="AA139" s="160">
        <v>0.0</v>
      </c>
      <c r="AB139" s="160">
        <v>0.0</v>
      </c>
      <c r="AC139" s="160">
        <v>0.0</v>
      </c>
      <c r="AD139" s="160">
        <v>0.0</v>
      </c>
      <c r="AE139" s="160">
        <v>1536.0</v>
      </c>
      <c r="AF139" s="160">
        <v>2051.0</v>
      </c>
      <c r="AG139" s="160">
        <v>270.0</v>
      </c>
      <c r="AH139" s="314">
        <f t="shared" si="2"/>
        <v>10695.81474</v>
      </c>
      <c r="AI139" s="314">
        <f t="shared" si="3"/>
        <v>7.596296296</v>
      </c>
      <c r="AJ139" s="346">
        <v>23570.0</v>
      </c>
      <c r="AK139" s="314">
        <f t="shared" si="63"/>
        <v>282840</v>
      </c>
      <c r="AL139" s="317">
        <v>172362.0</v>
      </c>
      <c r="AM139" s="318">
        <f t="shared" si="5"/>
        <v>0.1576255175</v>
      </c>
      <c r="AN139" s="314">
        <f t="shared" si="6"/>
        <v>44428.76892</v>
      </c>
      <c r="AO139" s="336">
        <f t="shared" si="82"/>
        <v>0.3437940452</v>
      </c>
      <c r="AP139" s="319">
        <v>0.0</v>
      </c>
      <c r="AQ139" s="160">
        <v>203.0</v>
      </c>
      <c r="AR139" s="160">
        <v>2768.0</v>
      </c>
      <c r="AS139" s="160">
        <v>2407.74</v>
      </c>
      <c r="AT139" s="160">
        <v>20.0</v>
      </c>
      <c r="AU139" s="160">
        <v>28.0</v>
      </c>
      <c r="AV139" s="320">
        <v>65.0</v>
      </c>
      <c r="AW139" s="320">
        <v>20.0</v>
      </c>
      <c r="AX139" s="320">
        <v>3.0</v>
      </c>
      <c r="AY139" s="321">
        <f>iferror(VLOOKUP(C139,'ORDER BOOKING REPORT 2025-26'!C:O,13,0),"")</f>
        <v>515244</v>
      </c>
      <c r="AZ139" s="322"/>
      <c r="BA139" s="157" t="str">
        <f t="shared" si="7"/>
        <v>Active</v>
      </c>
      <c r="BB139" s="157" t="str">
        <f t="shared" si="8"/>
        <v>Old</v>
      </c>
      <c r="BC139" s="157" t="str">
        <f t="shared" si="83"/>
        <v>Below 50%</v>
      </c>
      <c r="BD139" s="223">
        <f t="shared" si="87"/>
        <v>12</v>
      </c>
      <c r="BE139" s="323">
        <v>700000.0</v>
      </c>
      <c r="BF139" s="157">
        <f t="shared" si="10"/>
        <v>0</v>
      </c>
      <c r="BG139" s="157" t="s">
        <v>1019</v>
      </c>
      <c r="BH139" s="324"/>
      <c r="BI139" s="324"/>
      <c r="BJ139" s="325"/>
      <c r="BK139" s="326"/>
      <c r="BL139" s="326">
        <f t="shared" si="48"/>
        <v>0</v>
      </c>
      <c r="BM139" s="326">
        <f t="shared" si="12"/>
        <v>8400000</v>
      </c>
      <c r="BN139" s="326"/>
      <c r="BO139" s="327" t="str">
        <f>IFERROR(__xludf.DUMMYFUNCTION("IFERROR(ArrayFormula(SUM(VLOOKUP($C139,importrange(""1MwNMVzWE3QBVOyJjKr3eFX-Sq1Ng0Q1sghWJbgbE_8g"",""ORDER BOOKING REPORT 2024-25!C:CV""),{16,23,30},0))))"),"")</f>
        <v/>
      </c>
      <c r="BP139" s="327" t="str">
        <f>IFERROR(__xludf.DUMMYFUNCTION("IFERROR(ArrayFormula(SUM(VLOOKUP($C139,importrange(""1MwNMVzWE3QBVOyJjKr3eFX-Sq1Ng0Q1sghWJbgbE_8g"",""ORDER BOOKING REPORT 2024-25!C:CV""),{37,44,51},0))))"),"")</f>
        <v/>
      </c>
      <c r="BQ139" s="327" t="str">
        <f>IFERROR(__xludf.DUMMYFUNCTION("IFERROR(ArrayFormula(SUM(VLOOKUP($C139,importrange(""1MwNMVzWE3QBVOyJjKr3eFX-Sq1Ng0Q1sghWJbgbE_8g"",""ORDER BOOKING REPORT 2024-25!C:CV""),{58,65,72},0))))"),"")</f>
        <v/>
      </c>
      <c r="BR139" s="327" t="str">
        <f>IFERROR(__xludf.DUMMYFUNCTION("IFERROR(ArrayFormula(SUM(VLOOKUP($C139,importrange(""1MwNMVzWE3QBVOyJjKr3eFX-Sq1Ng0Q1sghWJbgbE_8g"",""ORDER BOOKING REPORT 2024-25!C:CV""),{79,86,93},0))))"),"")</f>
        <v/>
      </c>
      <c r="BS139" s="328">
        <f t="shared" si="13"/>
        <v>0.06133857143</v>
      </c>
      <c r="BT139" s="328">
        <f t="shared" si="14"/>
        <v>0.8834688031</v>
      </c>
      <c r="BU139" s="234">
        <f t="shared" si="15"/>
        <v>0</v>
      </c>
      <c r="BV139" s="329">
        <v>23570.0</v>
      </c>
      <c r="BW139" s="329" t="s">
        <v>1096</v>
      </c>
      <c r="BX139" s="329">
        <v>1166.0</v>
      </c>
      <c r="BY139" s="234">
        <f t="shared" si="16"/>
        <v>0</v>
      </c>
      <c r="BZ139" s="234"/>
      <c r="CA139" s="234"/>
      <c r="CB139" s="234"/>
      <c r="CC139" s="234"/>
      <c r="CD139" s="234"/>
      <c r="CE139" s="234"/>
      <c r="CF139" s="234"/>
      <c r="CG139" s="234" t="str">
        <f t="shared" si="19"/>
        <v> </v>
      </c>
      <c r="CH139" s="234" t="str">
        <f t="shared" si="27"/>
        <v>Business Achieved 50%</v>
      </c>
      <c r="CI139" s="328">
        <f t="shared" si="20"/>
        <v>0.7386363636</v>
      </c>
      <c r="CJ139" s="330">
        <f>IFERROR(__xludf.DUMMYFUNCTION("""COMPUTED_VALUE"""),1178.0)</f>
        <v>1178</v>
      </c>
      <c r="CK139" s="330">
        <f>IFERROR(__xludf.DUMMYFUNCTION("""COMPUTED_VALUE"""),358.0)</f>
        <v>358</v>
      </c>
      <c r="CL139" s="330">
        <f>IFERROR(__xludf.DUMMYFUNCTION("""COMPUTED_VALUE"""),0.0)</f>
        <v>0</v>
      </c>
      <c r="CM139" s="331">
        <f t="shared" si="21"/>
        <v>0</v>
      </c>
      <c r="CN139" s="337"/>
      <c r="CO139" s="160"/>
      <c r="CP139" s="334"/>
      <c r="CQ139" s="335"/>
      <c r="CR139" s="160"/>
      <c r="CS139" s="160"/>
      <c r="CT139" s="160"/>
      <c r="CU139" s="160"/>
      <c r="CV139" s="160"/>
      <c r="CW139" s="335"/>
      <c r="CX139" s="288"/>
      <c r="CY139" s="160"/>
      <c r="CZ139" s="160"/>
    </row>
    <row r="140">
      <c r="A140" s="157" t="s">
        <v>185</v>
      </c>
      <c r="B140" s="157" t="s">
        <v>96</v>
      </c>
      <c r="C140" s="157" t="s">
        <v>850</v>
      </c>
      <c r="D140" s="157" t="s">
        <v>1101</v>
      </c>
      <c r="E140" s="157" t="s">
        <v>1102</v>
      </c>
      <c r="F140" s="285">
        <v>45523.0</v>
      </c>
      <c r="G140" s="314">
        <v>0.0</v>
      </c>
      <c r="H140" s="314">
        <v>0.0</v>
      </c>
      <c r="I140" s="315">
        <v>0.0</v>
      </c>
      <c r="J140" s="315">
        <v>0.0</v>
      </c>
      <c r="K140" s="160">
        <v>1.0</v>
      </c>
      <c r="L140" s="160">
        <v>1.0</v>
      </c>
      <c r="M140" s="160">
        <v>0.0</v>
      </c>
      <c r="N140" s="160">
        <v>1.0</v>
      </c>
      <c r="O140" s="160">
        <v>0.0</v>
      </c>
      <c r="P140" s="315">
        <v>0.0</v>
      </c>
      <c r="Q140" s="315">
        <v>0.0</v>
      </c>
      <c r="R140" s="160">
        <v>0.0</v>
      </c>
      <c r="S140" s="160">
        <v>0.0</v>
      </c>
      <c r="T140" s="160">
        <v>0.0</v>
      </c>
      <c r="U140" s="160">
        <v>0.0</v>
      </c>
      <c r="V140" s="160">
        <v>35.0</v>
      </c>
      <c r="W140" s="160">
        <v>68.0</v>
      </c>
      <c r="X140" s="160">
        <v>18.0</v>
      </c>
      <c r="Y140" s="160">
        <v>2.0</v>
      </c>
      <c r="Z140" s="160">
        <v>8.0</v>
      </c>
      <c r="AA140" s="160">
        <v>0.0</v>
      </c>
      <c r="AB140" s="160">
        <v>0.0</v>
      </c>
      <c r="AC140" s="160">
        <v>96.0</v>
      </c>
      <c r="AD140" s="160">
        <v>308.0</v>
      </c>
      <c r="AE140" s="160">
        <v>1.0</v>
      </c>
      <c r="AF140" s="160">
        <v>385.0</v>
      </c>
      <c r="AG140" s="160">
        <v>89.0</v>
      </c>
      <c r="AH140" s="314">
        <f t="shared" si="2"/>
        <v>0</v>
      </c>
      <c r="AI140" s="314">
        <f t="shared" si="3"/>
        <v>4.325842697</v>
      </c>
      <c r="AJ140" s="346">
        <v>72970.0</v>
      </c>
      <c r="AK140" s="314">
        <f t="shared" si="63"/>
        <v>291880</v>
      </c>
      <c r="AL140" s="286">
        <v>181228.0</v>
      </c>
      <c r="AM140" s="318" t="str">
        <f t="shared" si="5"/>
        <v/>
      </c>
      <c r="AN140" s="314" t="str">
        <f t="shared" si="6"/>
        <v/>
      </c>
      <c r="AO140" s="286" t="s">
        <v>972</v>
      </c>
      <c r="AP140" s="319">
        <v>0.0</v>
      </c>
      <c r="AQ140" s="160">
        <v>0.0</v>
      </c>
      <c r="AR140" s="160">
        <v>962.0</v>
      </c>
      <c r="AS140" s="160">
        <v>0.0</v>
      </c>
      <c r="AT140" s="160">
        <v>0.0</v>
      </c>
      <c r="AU140" s="160">
        <v>0.0</v>
      </c>
      <c r="AV140" s="320">
        <v>0.0</v>
      </c>
      <c r="AW140" s="320">
        <v>1.0</v>
      </c>
      <c r="AX140" s="320">
        <v>0.0</v>
      </c>
      <c r="AY140" s="321" t="str">
        <f>iferror(VLOOKUP(C140,'ORDER BOOKING REPORT 2025-26'!C:O,13,0),"")</f>
        <v/>
      </c>
      <c r="AZ140" s="322">
        <v>45869.0</v>
      </c>
      <c r="BA140" s="157" t="str">
        <f t="shared" si="7"/>
        <v>LEFT</v>
      </c>
      <c r="BB140" s="157" t="str">
        <f t="shared" si="8"/>
        <v>Old</v>
      </c>
      <c r="BC140" s="160" t="s">
        <v>972</v>
      </c>
      <c r="BD140" s="223">
        <v>4.0</v>
      </c>
      <c r="BE140" s="323"/>
      <c r="BF140" s="157">
        <f t="shared" si="10"/>
        <v>0</v>
      </c>
      <c r="BG140" s="234" t="s">
        <v>188</v>
      </c>
      <c r="BH140" s="324"/>
      <c r="BI140" s="324"/>
      <c r="BJ140" s="343"/>
      <c r="BK140" s="326"/>
      <c r="BL140" s="326">
        <f t="shared" si="48"/>
        <v>0</v>
      </c>
      <c r="BM140" s="326">
        <f t="shared" si="12"/>
        <v>0</v>
      </c>
      <c r="BN140" s="326"/>
      <c r="BO140" s="327" t="str">
        <f>IFERROR(__xludf.DUMMYFUNCTION("IFERROR(ArrayFormula(SUM(VLOOKUP($C140,importrange(""1MwNMVzWE3QBVOyJjKr3eFX-Sq1Ng0Q1sghWJbgbE_8g"",""ORDER BOOKING REPORT 2024-25!C:CV""),{16,23,30},0))))"),"")</f>
        <v/>
      </c>
      <c r="BP140" s="327" t="str">
        <f>IFERROR(__xludf.DUMMYFUNCTION("IFERROR(ArrayFormula(SUM(VLOOKUP($C140,importrange(""1MwNMVzWE3QBVOyJjKr3eFX-Sq1Ng0Q1sghWJbgbE_8g"",""ORDER BOOKING REPORT 2024-25!C:CV""),{37,44,51},0))))"),"")</f>
        <v/>
      </c>
      <c r="BQ140" s="327" t="str">
        <f>IFERROR(__xludf.DUMMYFUNCTION("IFERROR(ArrayFormula(SUM(VLOOKUP($C140,importrange(""1MwNMVzWE3QBVOyJjKr3eFX-Sq1Ng0Q1sghWJbgbE_8g"",""ORDER BOOKING REPORT 2024-25!C:CV""),{58,65,72},0))))"),"")</f>
        <v/>
      </c>
      <c r="BR140" s="327" t="str">
        <f>IFERROR(__xludf.DUMMYFUNCTION("IFERROR(ArrayFormula(SUM(VLOOKUP($C140,importrange(""1MwNMVzWE3QBVOyJjKr3eFX-Sq1Ng0Q1sghWJbgbE_8g"",""ORDER BOOKING REPORT 2024-25!C:CV""),{79,86,93},0))))"),"")</f>
        <v/>
      </c>
      <c r="BS140" s="328" t="str">
        <f t="shared" si="13"/>
        <v/>
      </c>
      <c r="BT140" s="328" t="str">
        <f t="shared" si="14"/>
        <v/>
      </c>
      <c r="BU140" s="234">
        <f t="shared" si="15"/>
        <v>0</v>
      </c>
      <c r="BV140" s="329"/>
      <c r="BW140" s="329"/>
      <c r="BX140" s="329"/>
      <c r="BY140" s="234">
        <f t="shared" si="16"/>
        <v>-72970</v>
      </c>
      <c r="BZ140" s="234"/>
      <c r="CA140" s="234"/>
      <c r="CB140" s="234"/>
      <c r="CC140" s="234"/>
      <c r="CD140" s="234"/>
      <c r="CE140" s="234"/>
      <c r="CF140" s="234"/>
      <c r="CG140" s="234" t="str">
        <f t="shared" si="19"/>
        <v>Below 60</v>
      </c>
      <c r="CH140" s="234" t="str">
        <f t="shared" si="27"/>
        <v>Not 50%</v>
      </c>
      <c r="CI140" s="328">
        <f t="shared" si="20"/>
        <v>0</v>
      </c>
      <c r="CJ140" s="339"/>
      <c r="CK140" s="339"/>
      <c r="CL140" s="339"/>
      <c r="CM140" s="331">
        <f t="shared" si="21"/>
        <v>1</v>
      </c>
      <c r="CN140" s="340"/>
      <c r="CO140" s="328"/>
      <c r="CP140" s="341"/>
      <c r="CQ140" s="344"/>
      <c r="CR140" s="328"/>
      <c r="CS140" s="328"/>
      <c r="CT140" s="328"/>
      <c r="CU140" s="328"/>
      <c r="CV140" s="328"/>
      <c r="CW140" s="328"/>
      <c r="CX140" s="288"/>
      <c r="CY140" s="328"/>
      <c r="CZ140" s="328"/>
    </row>
    <row r="141">
      <c r="A141" s="157" t="s">
        <v>23</v>
      </c>
      <c r="B141" s="157" t="s">
        <v>27</v>
      </c>
      <c r="C141" s="157" t="s">
        <v>31</v>
      </c>
      <c r="D141" s="157" t="s">
        <v>1103</v>
      </c>
      <c r="E141" s="157" t="s">
        <v>32</v>
      </c>
      <c r="F141" s="285">
        <v>45551.0</v>
      </c>
      <c r="G141" s="314">
        <v>0.0</v>
      </c>
      <c r="H141" s="314">
        <v>1.56E7</v>
      </c>
      <c r="I141" s="315">
        <v>1.133811318E7</v>
      </c>
      <c r="J141" s="315">
        <v>0.0</v>
      </c>
      <c r="K141" s="160">
        <v>115.0</v>
      </c>
      <c r="L141" s="160">
        <v>113.0</v>
      </c>
      <c r="M141" s="160">
        <v>11.0</v>
      </c>
      <c r="N141" s="160">
        <v>126.0</v>
      </c>
      <c r="O141" s="160">
        <v>13.0</v>
      </c>
      <c r="P141" s="315">
        <v>9768210.1</v>
      </c>
      <c r="Q141" s="315">
        <v>1569903.08</v>
      </c>
      <c r="R141" s="160">
        <v>88.0</v>
      </c>
      <c r="S141" s="160">
        <v>10.0</v>
      </c>
      <c r="T141" s="160">
        <v>98.0</v>
      </c>
      <c r="U141" s="160">
        <v>0.0</v>
      </c>
      <c r="V141" s="160">
        <v>107.0</v>
      </c>
      <c r="W141" s="160">
        <v>186.0</v>
      </c>
      <c r="X141" s="160">
        <v>78.0</v>
      </c>
      <c r="Y141" s="160">
        <v>2.0</v>
      </c>
      <c r="Z141" s="160">
        <v>155.0</v>
      </c>
      <c r="AA141" s="160">
        <v>0.0</v>
      </c>
      <c r="AB141" s="160">
        <v>0.0</v>
      </c>
      <c r="AC141" s="160">
        <v>5.0</v>
      </c>
      <c r="AD141" s="160">
        <v>13.0</v>
      </c>
      <c r="AE141" s="160">
        <v>1621.0</v>
      </c>
      <c r="AF141" s="160">
        <v>1975.0</v>
      </c>
      <c r="AG141" s="160">
        <v>304.0</v>
      </c>
      <c r="AH141" s="314">
        <f t="shared" si="2"/>
        <v>37296.42493</v>
      </c>
      <c r="AI141" s="314">
        <f t="shared" si="3"/>
        <v>6.496710526</v>
      </c>
      <c r="AJ141" s="316">
        <f t="shared" ref="AJ141:AJ147" si="88">BV141</f>
        <v>28310</v>
      </c>
      <c r="AK141" s="314">
        <f t="shared" si="63"/>
        <v>339720</v>
      </c>
      <c r="AL141" s="286">
        <v>122406.0</v>
      </c>
      <c r="AM141" s="318">
        <f t="shared" si="5"/>
        <v>0.04075863353</v>
      </c>
      <c r="AN141" s="314">
        <f t="shared" si="6"/>
        <v>115695.0324</v>
      </c>
      <c r="AO141" s="336">
        <f t="shared" ref="AO141:AO142" si="89">iferror(sum(I141:J141)/Sum(G141:H141),"")</f>
        <v>0.7268021269</v>
      </c>
      <c r="AP141" s="319">
        <v>0.0</v>
      </c>
      <c r="AQ141" s="160">
        <v>520.0</v>
      </c>
      <c r="AR141" s="160">
        <v>2986.0</v>
      </c>
      <c r="AS141" s="160">
        <v>956.82</v>
      </c>
      <c r="AT141" s="160">
        <v>10.0</v>
      </c>
      <c r="AU141" s="160">
        <v>8.0</v>
      </c>
      <c r="AV141" s="320">
        <v>98.0</v>
      </c>
      <c r="AW141" s="320">
        <v>16.0</v>
      </c>
      <c r="AX141" s="320">
        <v>12.0</v>
      </c>
      <c r="AY141" s="321">
        <f>iferror(VLOOKUP(C141,'ORDER BOOKING REPORT 2025-26'!C:O,13,0),"")</f>
        <v>11379341</v>
      </c>
      <c r="AZ141" s="322"/>
      <c r="BA141" s="157" t="str">
        <f t="shared" si="7"/>
        <v>Active</v>
      </c>
      <c r="BB141" s="157" t="str">
        <f t="shared" si="8"/>
        <v>Old</v>
      </c>
      <c r="BC141" s="157" t="str">
        <f t="shared" ref="BC141:BC142" si="90">IFS(AO141&lt;50%,"Below 50%",AO141&lt;70%,"50%-70%",AO141&lt;90%,"70%-90%",AO141&lt;100%,"90%-100%",AO141&gt;100%,"Above 100%")</f>
        <v>70%-90%</v>
      </c>
      <c r="BD141" s="223">
        <f t="shared" ref="BD141:BD143" si="91">Match($BD$2,{"Apr","May","Jun","Jul","Aug","Sep","Oct","Nov","Dec","Jan","Feb","Mar"},0)</f>
        <v>12</v>
      </c>
      <c r="BE141" s="323">
        <v>1300000.0</v>
      </c>
      <c r="BF141" s="157">
        <f t="shared" si="10"/>
        <v>1</v>
      </c>
      <c r="BG141" s="157" t="s">
        <v>1019</v>
      </c>
      <c r="BH141" s="324"/>
      <c r="BI141" s="324"/>
      <c r="BJ141" s="325"/>
      <c r="BK141" s="326"/>
      <c r="BL141" s="326">
        <f t="shared" si="48"/>
        <v>0</v>
      </c>
      <c r="BM141" s="326">
        <f t="shared" si="12"/>
        <v>15600000</v>
      </c>
      <c r="BN141" s="326"/>
      <c r="BO141" s="327" t="str">
        <f>IFERROR(__xludf.DUMMYFUNCTION("IFERROR(ArrayFormula(SUM(VLOOKUP($C141,importrange(""1MwNMVzWE3QBVOyJjKr3eFX-Sq1Ng0Q1sghWJbgbE_8g"",""ORDER BOOKING REPORT 2024-25!C:CV""),{16,23,30},0))))"),"")</f>
        <v/>
      </c>
      <c r="BP141" s="327" t="str">
        <f>IFERROR(__xludf.DUMMYFUNCTION("IFERROR(ArrayFormula(SUM(VLOOKUP($C141,importrange(""1MwNMVzWE3QBVOyJjKr3eFX-Sq1Ng0Q1sghWJbgbE_8g"",""ORDER BOOKING REPORT 2024-25!C:CV""),{37,44,51},0))))"),"")</f>
        <v/>
      </c>
      <c r="BQ141" s="327" t="str">
        <f>IFERROR(__xludf.DUMMYFUNCTION("IFERROR(ArrayFormula(SUM(VLOOKUP($C141,importrange(""1MwNMVzWE3QBVOyJjKr3eFX-Sq1Ng0Q1sghWJbgbE_8g"",""ORDER BOOKING REPORT 2024-25!C:CV""),{58,65,72},0))))"),"")</f>
        <v/>
      </c>
      <c r="BR141" s="327" t="str">
        <f>IFERROR(__xludf.DUMMYFUNCTION("IFERROR(ArrayFormula(SUM(VLOOKUP($C141,importrange(""1MwNMVzWE3QBVOyJjKr3eFX-Sq1Ng0Q1sghWJbgbE_8g"",""ORDER BOOKING REPORT 2024-25!C:CV""),{79,86,93},0))))"),"")</f>
        <v/>
      </c>
      <c r="BS141" s="328">
        <f t="shared" si="13"/>
        <v>0.7294449359</v>
      </c>
      <c r="BT141" s="328">
        <f t="shared" si="14"/>
        <v>0.04061096332</v>
      </c>
      <c r="BU141" s="234">
        <f t="shared" si="15"/>
        <v>0</v>
      </c>
      <c r="BV141" s="329">
        <v>28310.0</v>
      </c>
      <c r="BW141" s="329" t="s">
        <v>1045</v>
      </c>
      <c r="BX141" s="329">
        <v>1171.0</v>
      </c>
      <c r="BY141" s="234">
        <f t="shared" si="16"/>
        <v>0</v>
      </c>
      <c r="BZ141" s="234"/>
      <c r="CA141" s="234"/>
      <c r="CB141" s="234"/>
      <c r="CC141" s="234"/>
      <c r="CD141" s="234"/>
      <c r="CE141" s="234"/>
      <c r="CF141" s="234"/>
      <c r="CG141" s="234" t="str">
        <f t="shared" si="19"/>
        <v> </v>
      </c>
      <c r="CH141" s="234" t="str">
        <f t="shared" si="27"/>
        <v>Business Achieved 50%</v>
      </c>
      <c r="CI141" s="328">
        <f t="shared" si="20"/>
        <v>0.7777777778</v>
      </c>
      <c r="CJ141" s="339">
        <f>IFERROR(__xludf.DUMMYFUNCTION("""COMPUTED_VALUE"""),1580.0)</f>
        <v>1580</v>
      </c>
      <c r="CK141" s="339">
        <f>IFERROR(__xludf.DUMMYFUNCTION("""COMPUTED_VALUE"""),41.0)</f>
        <v>41</v>
      </c>
      <c r="CL141" s="339">
        <f>IFERROR(__xludf.DUMMYFUNCTION("""COMPUTED_VALUE"""),0.0)</f>
        <v>0</v>
      </c>
      <c r="CM141" s="331">
        <f t="shared" si="21"/>
        <v>0</v>
      </c>
      <c r="CN141" s="340"/>
      <c r="CO141" s="328"/>
      <c r="CP141" s="341"/>
      <c r="CQ141" s="344"/>
      <c r="CR141" s="328"/>
      <c r="CS141" s="328"/>
      <c r="CT141" s="328"/>
      <c r="CU141" s="328"/>
      <c r="CV141" s="328"/>
      <c r="CW141" s="328"/>
      <c r="CX141" s="288"/>
      <c r="CY141" s="328"/>
      <c r="CZ141" s="328"/>
    </row>
    <row r="142">
      <c r="A142" s="157" t="s">
        <v>23</v>
      </c>
      <c r="B142" s="157" t="s">
        <v>30</v>
      </c>
      <c r="C142" s="157" t="s">
        <v>33</v>
      </c>
      <c r="D142" s="157" t="s">
        <v>1104</v>
      </c>
      <c r="E142" s="157" t="s">
        <v>34</v>
      </c>
      <c r="F142" s="338">
        <v>45568.0</v>
      </c>
      <c r="G142" s="314">
        <v>2400000.0</v>
      </c>
      <c r="H142" s="314">
        <v>1.44E7</v>
      </c>
      <c r="I142" s="315">
        <v>1.058802302E7</v>
      </c>
      <c r="J142" s="315">
        <v>405583.79</v>
      </c>
      <c r="K142" s="160">
        <v>24.0</v>
      </c>
      <c r="L142" s="160">
        <v>26.0</v>
      </c>
      <c r="M142" s="160">
        <v>3.0</v>
      </c>
      <c r="N142" s="160">
        <v>27.0</v>
      </c>
      <c r="O142" s="160">
        <v>1.0</v>
      </c>
      <c r="P142" s="315">
        <v>9118887.0</v>
      </c>
      <c r="Q142" s="315">
        <v>1469136.02</v>
      </c>
      <c r="R142" s="160">
        <v>22.0</v>
      </c>
      <c r="S142" s="160">
        <v>3.0</v>
      </c>
      <c r="T142" s="160">
        <v>25.0</v>
      </c>
      <c r="U142" s="160">
        <v>4.0</v>
      </c>
      <c r="V142" s="160">
        <v>117.0</v>
      </c>
      <c r="W142" s="160">
        <v>339.0</v>
      </c>
      <c r="X142" s="160">
        <v>85.0</v>
      </c>
      <c r="Y142" s="160">
        <v>2.0</v>
      </c>
      <c r="Z142" s="160">
        <v>133.0</v>
      </c>
      <c r="AA142" s="160">
        <v>4.0</v>
      </c>
      <c r="AB142" s="160">
        <v>141.0</v>
      </c>
      <c r="AC142" s="160">
        <v>0.0</v>
      </c>
      <c r="AD142" s="160">
        <v>0.0</v>
      </c>
      <c r="AE142" s="160">
        <v>733.0</v>
      </c>
      <c r="AF142" s="160">
        <v>1346.0</v>
      </c>
      <c r="AG142" s="160">
        <v>291.0</v>
      </c>
      <c r="AH142" s="314">
        <f t="shared" si="2"/>
        <v>37778.71756</v>
      </c>
      <c r="AI142" s="314">
        <f t="shared" si="3"/>
        <v>4.625429553</v>
      </c>
      <c r="AJ142" s="316">
        <f t="shared" si="88"/>
        <v>30405</v>
      </c>
      <c r="AK142" s="314">
        <f t="shared" si="63"/>
        <v>364860</v>
      </c>
      <c r="AL142" s="286">
        <v>118976.0</v>
      </c>
      <c r="AM142" s="318">
        <f t="shared" si="5"/>
        <v>0.04401066987</v>
      </c>
      <c r="AN142" s="314">
        <f t="shared" si="6"/>
        <v>423520.9208</v>
      </c>
      <c r="AO142" s="336">
        <f t="shared" si="89"/>
        <v>0.6543813577</v>
      </c>
      <c r="AP142" s="319">
        <v>0.17</v>
      </c>
      <c r="AQ142" s="160">
        <v>160.0</v>
      </c>
      <c r="AR142" s="160">
        <v>2277.0</v>
      </c>
      <c r="AS142" s="160">
        <v>1966.89</v>
      </c>
      <c r="AT142" s="160">
        <v>3.0</v>
      </c>
      <c r="AU142" s="160">
        <v>76.0</v>
      </c>
      <c r="AV142" s="320">
        <v>25.0</v>
      </c>
      <c r="AW142" s="320">
        <v>1.0</v>
      </c>
      <c r="AX142" s="320">
        <v>1.0</v>
      </c>
      <c r="AY142" s="321">
        <f>iferror(VLOOKUP(C142,'ORDER BOOKING REPORT 2025-26'!C:O,13,0),"")</f>
        <v>11376999</v>
      </c>
      <c r="AZ142" s="322"/>
      <c r="BA142" s="157" t="str">
        <f t="shared" si="7"/>
        <v>Active</v>
      </c>
      <c r="BB142" s="157" t="str">
        <f t="shared" si="8"/>
        <v>Old</v>
      </c>
      <c r="BC142" s="157" t="str">
        <f t="shared" si="90"/>
        <v>50%-70%</v>
      </c>
      <c r="BD142" s="223">
        <f t="shared" si="91"/>
        <v>12</v>
      </c>
      <c r="BE142" s="323">
        <v>1400000.0</v>
      </c>
      <c r="BF142" s="157">
        <f t="shared" si="10"/>
        <v>0</v>
      </c>
      <c r="BG142" s="157" t="s">
        <v>1019</v>
      </c>
      <c r="BH142" s="324"/>
      <c r="BI142" s="324"/>
      <c r="BJ142" s="325"/>
      <c r="BK142" s="326">
        <v>200000.0</v>
      </c>
      <c r="BL142" s="326">
        <f t="shared" si="48"/>
        <v>2400000</v>
      </c>
      <c r="BM142" s="326">
        <f t="shared" si="12"/>
        <v>16800000</v>
      </c>
      <c r="BN142" s="326"/>
      <c r="BO142" s="327" t="str">
        <f>IFERROR(__xludf.DUMMYFUNCTION("IFERROR(ArrayFormula(SUM(VLOOKUP($C142,importrange(""1MwNMVzWE3QBVOyJjKr3eFX-Sq1Ng0Q1sghWJbgbE_8g"",""ORDER BOOKING REPORT 2024-25!C:CV""),{16,23,30},0))))"),"")</f>
        <v/>
      </c>
      <c r="BP142" s="327" t="str">
        <f>IFERROR(__xludf.DUMMYFUNCTION("IFERROR(ArrayFormula(SUM(VLOOKUP($C142,importrange(""1MwNMVzWE3QBVOyJjKr3eFX-Sq1Ng0Q1sghWJbgbE_8g"",""ORDER BOOKING REPORT 2024-25!C:CV""),{37,44,51},0))))"),"")</f>
        <v/>
      </c>
      <c r="BQ142" s="327" t="str">
        <f>IFERROR(__xludf.DUMMYFUNCTION("IFERROR(ArrayFormula(SUM(VLOOKUP($C142,importrange(""1MwNMVzWE3QBVOyJjKr3eFX-Sq1Ng0Q1sghWJbgbE_8g"",""ORDER BOOKING REPORT 2024-25!C:CV""),{58,65,72},0))))"),"")</f>
        <v/>
      </c>
      <c r="BR142" s="327" t="str">
        <f>IFERROR(__xludf.DUMMYFUNCTION("IFERROR(ArrayFormula(SUM(VLOOKUP($C142,importrange(""1MwNMVzWE3QBVOyJjKr3eFX-Sq1Ng0Q1sghWJbgbE_8g"",""ORDER BOOKING REPORT 2024-25!C:CV""),{79,86,93},0))))"),"")</f>
        <v/>
      </c>
      <c r="BS142" s="328">
        <f t="shared" si="13"/>
        <v>0.6772023214</v>
      </c>
      <c r="BT142" s="328">
        <f t="shared" si="14"/>
        <v>0.04252755933</v>
      </c>
      <c r="BU142" s="234">
        <f t="shared" si="15"/>
        <v>0</v>
      </c>
      <c r="BV142" s="329">
        <v>30405.0</v>
      </c>
      <c r="BW142" s="329" t="s">
        <v>1045</v>
      </c>
      <c r="BX142" s="329">
        <v>1174.0</v>
      </c>
      <c r="BY142" s="234">
        <f t="shared" si="16"/>
        <v>0</v>
      </c>
      <c r="BZ142" s="234"/>
      <c r="CA142" s="234"/>
      <c r="CB142" s="234"/>
      <c r="CC142" s="234"/>
      <c r="CD142" s="234"/>
      <c r="CE142" s="234"/>
      <c r="CF142" s="234"/>
      <c r="CG142" s="234" t="str">
        <f t="shared" si="19"/>
        <v>Below 60</v>
      </c>
      <c r="CH142" s="234" t="str">
        <f t="shared" si="27"/>
        <v>Business Achieved 50%</v>
      </c>
      <c r="CI142" s="328">
        <f t="shared" si="20"/>
        <v>0.9259259259</v>
      </c>
      <c r="CJ142" s="339">
        <f>IFERROR(__xludf.DUMMYFUNCTION("""COMPUTED_VALUE"""),732.0)</f>
        <v>732</v>
      </c>
      <c r="CK142" s="339">
        <f>IFERROR(__xludf.DUMMYFUNCTION("""COMPUTED_VALUE"""),1.0)</f>
        <v>1</v>
      </c>
      <c r="CL142" s="339">
        <f>IFERROR(__xludf.DUMMYFUNCTION("""COMPUTED_VALUE"""),0.0)</f>
        <v>0</v>
      </c>
      <c r="CM142" s="331">
        <f t="shared" si="21"/>
        <v>0</v>
      </c>
      <c r="CN142" s="340"/>
      <c r="CO142" s="328"/>
      <c r="CP142" s="341"/>
      <c r="CQ142" s="344"/>
      <c r="CR142" s="328"/>
      <c r="CS142" s="328"/>
      <c r="CT142" s="328"/>
      <c r="CU142" s="328"/>
      <c r="CV142" s="328"/>
      <c r="CW142" s="328"/>
      <c r="CX142" s="288"/>
      <c r="CY142" s="328"/>
      <c r="CZ142" s="328"/>
    </row>
    <row r="143">
      <c r="A143" s="157" t="s">
        <v>185</v>
      </c>
      <c r="B143" s="157" t="s">
        <v>96</v>
      </c>
      <c r="C143" s="157" t="s">
        <v>857</v>
      </c>
      <c r="D143" s="157" t="s">
        <v>1101</v>
      </c>
      <c r="E143" s="157" t="s">
        <v>1105</v>
      </c>
      <c r="F143" s="338">
        <v>45569.0</v>
      </c>
      <c r="G143" s="314">
        <v>0.0</v>
      </c>
      <c r="H143" s="314">
        <v>0.0</v>
      </c>
      <c r="I143" s="315">
        <v>0.0</v>
      </c>
      <c r="J143" s="315">
        <v>0.0</v>
      </c>
      <c r="K143" s="160">
        <v>7.0</v>
      </c>
      <c r="L143" s="160">
        <v>5.0</v>
      </c>
      <c r="M143" s="160">
        <v>0.0</v>
      </c>
      <c r="N143" s="160">
        <v>7.0</v>
      </c>
      <c r="O143" s="160">
        <v>2.0</v>
      </c>
      <c r="P143" s="315">
        <v>0.0</v>
      </c>
      <c r="Q143" s="315">
        <v>0.0</v>
      </c>
      <c r="R143" s="160">
        <v>0.0</v>
      </c>
      <c r="S143" s="160">
        <v>0.0</v>
      </c>
      <c r="T143" s="160">
        <v>0.0</v>
      </c>
      <c r="U143" s="160">
        <v>0.0</v>
      </c>
      <c r="V143" s="160">
        <v>40.0</v>
      </c>
      <c r="W143" s="160">
        <v>93.0</v>
      </c>
      <c r="X143" s="160">
        <v>15.0</v>
      </c>
      <c r="Y143" s="160">
        <v>0.0</v>
      </c>
      <c r="Z143" s="160">
        <v>0.0</v>
      </c>
      <c r="AA143" s="160">
        <v>0.0</v>
      </c>
      <c r="AB143" s="160">
        <v>0.0</v>
      </c>
      <c r="AC143" s="160">
        <v>92.0</v>
      </c>
      <c r="AD143" s="160">
        <v>1267.0</v>
      </c>
      <c r="AE143" s="160">
        <v>68.0</v>
      </c>
      <c r="AF143" s="160">
        <v>1428.0</v>
      </c>
      <c r="AG143" s="160">
        <v>290.0</v>
      </c>
      <c r="AH143" s="314">
        <f t="shared" si="2"/>
        <v>0</v>
      </c>
      <c r="AI143" s="314">
        <f t="shared" si="3"/>
        <v>4.924137931</v>
      </c>
      <c r="AJ143" s="316">
        <f t="shared" si="88"/>
        <v>151013</v>
      </c>
      <c r="AK143" s="314">
        <f t="shared" si="63"/>
        <v>1812156</v>
      </c>
      <c r="AL143" s="286">
        <v>446251.0</v>
      </c>
      <c r="AM143" s="318" t="str">
        <f t="shared" si="5"/>
        <v/>
      </c>
      <c r="AN143" s="314" t="str">
        <f t="shared" si="6"/>
        <v/>
      </c>
      <c r="AO143" s="286" t="s">
        <v>972</v>
      </c>
      <c r="AP143" s="319">
        <v>0.0</v>
      </c>
      <c r="AQ143" s="160">
        <v>0.0</v>
      </c>
      <c r="AR143" s="160">
        <v>3082.0</v>
      </c>
      <c r="AS143" s="160">
        <v>3371.49</v>
      </c>
      <c r="AT143" s="160">
        <v>0.0</v>
      </c>
      <c r="AU143" s="160">
        <v>674.0</v>
      </c>
      <c r="AV143" s="320">
        <v>0.0</v>
      </c>
      <c r="AW143" s="320">
        <v>5.0</v>
      </c>
      <c r="AX143" s="320">
        <v>2.0</v>
      </c>
      <c r="AY143" s="321" t="str">
        <f>iferror(VLOOKUP(C143,'ORDER BOOKING REPORT 2025-26'!C:O,13,0),"")</f>
        <v/>
      </c>
      <c r="AZ143" s="322"/>
      <c r="BA143" s="157" t="str">
        <f t="shared" si="7"/>
        <v>Active</v>
      </c>
      <c r="BB143" s="157" t="str">
        <f t="shared" si="8"/>
        <v>Old</v>
      </c>
      <c r="BC143" s="160" t="s">
        <v>972</v>
      </c>
      <c r="BD143" s="223">
        <f t="shared" si="91"/>
        <v>12</v>
      </c>
      <c r="BE143" s="323"/>
      <c r="BF143" s="157">
        <f t="shared" si="10"/>
        <v>0</v>
      </c>
      <c r="BG143" s="234" t="s">
        <v>188</v>
      </c>
      <c r="BH143" s="324"/>
      <c r="BI143" s="324"/>
      <c r="BJ143" s="325"/>
      <c r="BK143" s="326"/>
      <c r="BL143" s="326">
        <f t="shared" si="48"/>
        <v>0</v>
      </c>
      <c r="BM143" s="326">
        <f t="shared" si="12"/>
        <v>0</v>
      </c>
      <c r="BN143" s="326"/>
      <c r="BO143" s="327" t="str">
        <f>IFERROR(__xludf.DUMMYFUNCTION("IFERROR(ArrayFormula(SUM(VLOOKUP($C143,importrange(""1MwNMVzWE3QBVOyJjKr3eFX-Sq1Ng0Q1sghWJbgbE_8g"",""ORDER BOOKING REPORT 2024-25!C:CV""),{16,23,30},0))))"),"")</f>
        <v/>
      </c>
      <c r="BP143" s="327" t="str">
        <f>IFERROR(__xludf.DUMMYFUNCTION("IFERROR(ArrayFormula(SUM(VLOOKUP($C143,importrange(""1MwNMVzWE3QBVOyJjKr3eFX-Sq1Ng0Q1sghWJbgbE_8g"",""ORDER BOOKING REPORT 2024-25!C:CV""),{37,44,51},0))))"),"")</f>
        <v/>
      </c>
      <c r="BQ143" s="327" t="str">
        <f>IFERROR(__xludf.DUMMYFUNCTION("IFERROR(ArrayFormula(SUM(VLOOKUP($C143,importrange(""1MwNMVzWE3QBVOyJjKr3eFX-Sq1Ng0Q1sghWJbgbE_8g"",""ORDER BOOKING REPORT 2024-25!C:CV""),{58,65,72},0))))"),"")</f>
        <v/>
      </c>
      <c r="BR143" s="327" t="str">
        <f>IFERROR(__xludf.DUMMYFUNCTION("IFERROR(ArrayFormula(SUM(VLOOKUP($C143,importrange(""1MwNMVzWE3QBVOyJjKr3eFX-Sq1Ng0Q1sghWJbgbE_8g"",""ORDER BOOKING REPORT 2024-25!C:CV""),{79,86,93},0))))"),"")</f>
        <v/>
      </c>
      <c r="BS143" s="328" t="str">
        <f t="shared" si="13"/>
        <v/>
      </c>
      <c r="BT143" s="328" t="str">
        <f t="shared" si="14"/>
        <v/>
      </c>
      <c r="BU143" s="234">
        <f t="shared" si="15"/>
        <v>0</v>
      </c>
      <c r="BV143" s="329">
        <v>151013.0</v>
      </c>
      <c r="BW143" s="329" t="s">
        <v>1023</v>
      </c>
      <c r="BX143" s="329">
        <v>1175.0</v>
      </c>
      <c r="BY143" s="234">
        <f t="shared" si="16"/>
        <v>0</v>
      </c>
      <c r="BZ143" s="234"/>
      <c r="CA143" s="234"/>
      <c r="CB143" s="234"/>
      <c r="CC143" s="234"/>
      <c r="CD143" s="234"/>
      <c r="CE143" s="234"/>
      <c r="CF143" s="234"/>
      <c r="CG143" s="234" t="str">
        <f t="shared" si="19"/>
        <v>Below 60</v>
      </c>
      <c r="CH143" s="234" t="str">
        <f t="shared" si="27"/>
        <v>Not 50%</v>
      </c>
      <c r="CI143" s="328">
        <f t="shared" si="20"/>
        <v>0</v>
      </c>
      <c r="CJ143" s="339"/>
      <c r="CK143" s="339"/>
      <c r="CL143" s="339"/>
      <c r="CM143" s="331">
        <f t="shared" si="21"/>
        <v>68</v>
      </c>
      <c r="CN143" s="340"/>
      <c r="CO143" s="328"/>
      <c r="CP143" s="341"/>
      <c r="CQ143" s="344"/>
      <c r="CR143" s="328"/>
      <c r="CS143" s="328"/>
      <c r="CT143" s="328"/>
      <c r="CU143" s="328"/>
      <c r="CV143" s="328"/>
      <c r="CW143" s="328"/>
      <c r="CX143" s="288"/>
      <c r="CY143" s="328"/>
      <c r="CZ143" s="328"/>
    </row>
    <row r="144">
      <c r="A144" s="157" t="s">
        <v>185</v>
      </c>
      <c r="B144" s="157" t="s">
        <v>96</v>
      </c>
      <c r="C144" s="157" t="s">
        <v>858</v>
      </c>
      <c r="D144" s="157" t="s">
        <v>1101</v>
      </c>
      <c r="E144" s="157" t="s">
        <v>1106</v>
      </c>
      <c r="F144" s="338">
        <v>45569.0</v>
      </c>
      <c r="G144" s="314">
        <v>0.0</v>
      </c>
      <c r="H144" s="314">
        <v>0.0</v>
      </c>
      <c r="I144" s="315">
        <v>0.0</v>
      </c>
      <c r="J144" s="315">
        <v>0.0</v>
      </c>
      <c r="K144" s="160">
        <v>2.0</v>
      </c>
      <c r="L144" s="160">
        <v>1.0</v>
      </c>
      <c r="M144" s="160">
        <v>0.0</v>
      </c>
      <c r="N144" s="160">
        <v>2.0</v>
      </c>
      <c r="O144" s="160">
        <v>1.0</v>
      </c>
      <c r="P144" s="315">
        <v>0.0</v>
      </c>
      <c r="Q144" s="315">
        <v>0.0</v>
      </c>
      <c r="R144" s="160">
        <v>0.0</v>
      </c>
      <c r="S144" s="160">
        <v>0.0</v>
      </c>
      <c r="T144" s="160">
        <v>0.0</v>
      </c>
      <c r="U144" s="160">
        <v>0.0</v>
      </c>
      <c r="V144" s="160">
        <v>0.0</v>
      </c>
      <c r="W144" s="160">
        <v>0.0</v>
      </c>
      <c r="X144" s="160">
        <v>50.0</v>
      </c>
      <c r="Y144" s="160">
        <v>0.0</v>
      </c>
      <c r="Z144" s="160">
        <v>0.0</v>
      </c>
      <c r="AA144" s="160">
        <v>1.0</v>
      </c>
      <c r="AB144" s="160">
        <v>4.0</v>
      </c>
      <c r="AC144" s="160">
        <v>98.0</v>
      </c>
      <c r="AD144" s="160">
        <v>294.0</v>
      </c>
      <c r="AE144" s="160">
        <v>2.0</v>
      </c>
      <c r="AF144" s="160">
        <v>300.0</v>
      </c>
      <c r="AG144" s="160">
        <v>91.0</v>
      </c>
      <c r="AH144" s="314">
        <f t="shared" si="2"/>
        <v>0</v>
      </c>
      <c r="AI144" s="314">
        <f t="shared" si="3"/>
        <v>3.296703297</v>
      </c>
      <c r="AJ144" s="316">
        <f t="shared" si="88"/>
        <v>153110</v>
      </c>
      <c r="AK144" s="314">
        <f t="shared" si="63"/>
        <v>535885</v>
      </c>
      <c r="AL144" s="286">
        <v>205739.0</v>
      </c>
      <c r="AM144" s="318" t="str">
        <f t="shared" si="5"/>
        <v/>
      </c>
      <c r="AN144" s="314" t="str">
        <f t="shared" si="6"/>
        <v/>
      </c>
      <c r="AO144" s="286" t="s">
        <v>972</v>
      </c>
      <c r="AP144" s="319">
        <v>0.0</v>
      </c>
      <c r="AQ144" s="160">
        <v>0.0</v>
      </c>
      <c r="AR144" s="160">
        <v>1012.0</v>
      </c>
      <c r="AS144" s="160">
        <v>0.0</v>
      </c>
      <c r="AT144" s="160">
        <v>0.0</v>
      </c>
      <c r="AU144" s="160">
        <v>0.0</v>
      </c>
      <c r="AV144" s="320">
        <v>0.0</v>
      </c>
      <c r="AW144" s="320">
        <v>1.0</v>
      </c>
      <c r="AX144" s="320">
        <v>1.0</v>
      </c>
      <c r="AY144" s="321" t="str">
        <f>iferror(VLOOKUP(C144,'ORDER BOOKING REPORT 2025-26'!C:O,13,0),"")</f>
        <v/>
      </c>
      <c r="AZ144" s="322">
        <v>45856.0</v>
      </c>
      <c r="BA144" s="157" t="str">
        <f t="shared" si="7"/>
        <v>LEFT</v>
      </c>
      <c r="BB144" s="157" t="str">
        <f t="shared" si="8"/>
        <v>Old</v>
      </c>
      <c r="BC144" s="160" t="s">
        <v>972</v>
      </c>
      <c r="BD144" s="223">
        <v>3.5</v>
      </c>
      <c r="BE144" s="323"/>
      <c r="BF144" s="157">
        <f t="shared" si="10"/>
        <v>0</v>
      </c>
      <c r="BG144" s="234" t="s">
        <v>188</v>
      </c>
      <c r="BH144" s="324"/>
      <c r="BI144" s="324"/>
      <c r="BJ144" s="343"/>
      <c r="BK144" s="326"/>
      <c r="BL144" s="326">
        <f t="shared" si="48"/>
        <v>0</v>
      </c>
      <c r="BM144" s="326">
        <f t="shared" si="12"/>
        <v>0</v>
      </c>
      <c r="BN144" s="326"/>
      <c r="BO144" s="327" t="str">
        <f>IFERROR(__xludf.DUMMYFUNCTION("IFERROR(ArrayFormula(SUM(VLOOKUP($C144,importrange(""1MwNMVzWE3QBVOyJjKr3eFX-Sq1Ng0Q1sghWJbgbE_8g"",""ORDER BOOKING REPORT 2024-25!C:CV""),{16,23,30},0))))"),"")</f>
        <v/>
      </c>
      <c r="BP144" s="327" t="str">
        <f>IFERROR(__xludf.DUMMYFUNCTION("IFERROR(ArrayFormula(SUM(VLOOKUP($C144,importrange(""1MwNMVzWE3QBVOyJjKr3eFX-Sq1Ng0Q1sghWJbgbE_8g"",""ORDER BOOKING REPORT 2024-25!C:CV""),{37,44,51},0))))"),"")</f>
        <v/>
      </c>
      <c r="BQ144" s="327" t="str">
        <f>IFERROR(__xludf.DUMMYFUNCTION("IFERROR(ArrayFormula(SUM(VLOOKUP($C144,importrange(""1MwNMVzWE3QBVOyJjKr3eFX-Sq1Ng0Q1sghWJbgbE_8g"",""ORDER BOOKING REPORT 2024-25!C:CV""),{58,65,72},0))))"),"")</f>
        <v/>
      </c>
      <c r="BR144" s="327" t="str">
        <f>IFERROR(__xludf.DUMMYFUNCTION("IFERROR(ArrayFormula(SUM(VLOOKUP($C144,importrange(""1MwNMVzWE3QBVOyJjKr3eFX-Sq1Ng0Q1sghWJbgbE_8g"",""ORDER BOOKING REPORT 2024-25!C:CV""),{79,86,93},0))))"),"")</f>
        <v/>
      </c>
      <c r="BS144" s="328" t="str">
        <f t="shared" si="13"/>
        <v/>
      </c>
      <c r="BT144" s="328" t="str">
        <f t="shared" si="14"/>
        <v/>
      </c>
      <c r="BU144" s="234">
        <f t="shared" si="15"/>
        <v>0</v>
      </c>
      <c r="BV144" s="329">
        <v>153110.0</v>
      </c>
      <c r="BW144" s="329" t="s">
        <v>1023</v>
      </c>
      <c r="BX144" s="329">
        <v>1176.0</v>
      </c>
      <c r="BY144" s="234">
        <f t="shared" si="16"/>
        <v>0</v>
      </c>
      <c r="BZ144" s="234"/>
      <c r="CA144" s="234"/>
      <c r="CB144" s="234"/>
      <c r="CC144" s="234"/>
      <c r="CD144" s="234"/>
      <c r="CE144" s="234"/>
      <c r="CF144" s="234"/>
      <c r="CG144" s="234" t="str">
        <f t="shared" si="19"/>
        <v>Below 60</v>
      </c>
      <c r="CH144" s="234" t="str">
        <f t="shared" si="27"/>
        <v>Not 50%</v>
      </c>
      <c r="CI144" s="328">
        <f t="shared" si="20"/>
        <v>0</v>
      </c>
      <c r="CJ144" s="339"/>
      <c r="CK144" s="339"/>
      <c r="CL144" s="339"/>
      <c r="CM144" s="331">
        <f t="shared" si="21"/>
        <v>2</v>
      </c>
      <c r="CN144" s="340"/>
      <c r="CO144" s="328"/>
      <c r="CP144" s="341"/>
      <c r="CQ144" s="344"/>
      <c r="CR144" s="328"/>
      <c r="CS144" s="328"/>
      <c r="CT144" s="328"/>
      <c r="CU144" s="328"/>
      <c r="CV144" s="328"/>
      <c r="CW144" s="328"/>
      <c r="CX144" s="288"/>
      <c r="CY144" s="328"/>
      <c r="CZ144" s="328"/>
    </row>
    <row r="145">
      <c r="A145" s="157" t="s">
        <v>97</v>
      </c>
      <c r="B145" s="157" t="s">
        <v>101</v>
      </c>
      <c r="C145" s="157" t="s">
        <v>348</v>
      </c>
      <c r="D145" s="157" t="s">
        <v>1107</v>
      </c>
      <c r="E145" s="157" t="s">
        <v>349</v>
      </c>
      <c r="F145" s="338">
        <v>45597.0</v>
      </c>
      <c r="G145" s="314">
        <v>0.0</v>
      </c>
      <c r="H145" s="314">
        <v>9940000.0</v>
      </c>
      <c r="I145" s="315">
        <v>4551251.64</v>
      </c>
      <c r="J145" s="315">
        <v>0.0</v>
      </c>
      <c r="K145" s="160">
        <v>94.0</v>
      </c>
      <c r="L145" s="160">
        <v>94.0</v>
      </c>
      <c r="M145" s="160">
        <v>9.0</v>
      </c>
      <c r="N145" s="160">
        <v>103.0</v>
      </c>
      <c r="O145" s="160">
        <v>9.0</v>
      </c>
      <c r="P145" s="315">
        <v>4133116.44</v>
      </c>
      <c r="Q145" s="315">
        <v>418135.2</v>
      </c>
      <c r="R145" s="160">
        <v>43.0</v>
      </c>
      <c r="S145" s="160">
        <v>6.0</v>
      </c>
      <c r="T145" s="160">
        <v>49.0</v>
      </c>
      <c r="U145" s="160">
        <v>0.0</v>
      </c>
      <c r="V145" s="160">
        <v>16.0</v>
      </c>
      <c r="W145" s="160">
        <v>42.0</v>
      </c>
      <c r="X145" s="160">
        <v>53.0</v>
      </c>
      <c r="Y145" s="160">
        <v>1.0</v>
      </c>
      <c r="Z145" s="160">
        <v>100.0</v>
      </c>
      <c r="AA145" s="160">
        <v>0.0</v>
      </c>
      <c r="AB145" s="160">
        <v>0.0</v>
      </c>
      <c r="AC145" s="160">
        <v>0.0</v>
      </c>
      <c r="AD145" s="160">
        <v>0.0</v>
      </c>
      <c r="AE145" s="160">
        <v>1184.0</v>
      </c>
      <c r="AF145" s="160">
        <v>1326.0</v>
      </c>
      <c r="AG145" s="160">
        <v>209.0</v>
      </c>
      <c r="AH145" s="314">
        <f t="shared" si="2"/>
        <v>21776.32364</v>
      </c>
      <c r="AI145" s="314">
        <f t="shared" si="3"/>
        <v>6.344497608</v>
      </c>
      <c r="AJ145" s="316">
        <f t="shared" si="88"/>
        <v>26792</v>
      </c>
      <c r="AK145" s="314">
        <f t="shared" si="63"/>
        <v>245414.72</v>
      </c>
      <c r="AL145" s="286">
        <v>118615.0</v>
      </c>
      <c r="AM145" s="318">
        <f t="shared" si="5"/>
        <v>0.07998452927</v>
      </c>
      <c r="AN145" s="314">
        <f t="shared" si="6"/>
        <v>92882.68653</v>
      </c>
      <c r="AO145" s="336">
        <f t="shared" ref="AO145:AO147" si="92">iferror(sum(I145:J145)/Sum(G145:H145),"")</f>
        <v>0.4578723984</v>
      </c>
      <c r="AP145" s="319">
        <v>0.0</v>
      </c>
      <c r="AQ145" s="160">
        <v>171.0</v>
      </c>
      <c r="AR145" s="160">
        <v>1849.0</v>
      </c>
      <c r="AS145" s="160">
        <v>0.0</v>
      </c>
      <c r="AT145" s="160">
        <v>6.0</v>
      </c>
      <c r="AU145" s="160">
        <v>0.0</v>
      </c>
      <c r="AV145" s="320">
        <v>49.0</v>
      </c>
      <c r="AW145" s="320">
        <v>45.0</v>
      </c>
      <c r="AX145" s="320">
        <v>9.0</v>
      </c>
      <c r="AY145" s="321">
        <f>iferror(VLOOKUP(C145,'ORDER BOOKING REPORT 2025-26'!C:O,13,0),"")</f>
        <v>0</v>
      </c>
      <c r="AZ145" s="322">
        <v>46027.0</v>
      </c>
      <c r="BA145" s="157" t="str">
        <f t="shared" si="7"/>
        <v>LEFT</v>
      </c>
      <c r="BB145" s="157" t="str">
        <f t="shared" si="8"/>
        <v>Old</v>
      </c>
      <c r="BC145" s="157" t="str">
        <f t="shared" ref="BC145:BC147" si="93">IFS(AO145&lt;50%,"Below 50%",AO145&lt;70%,"50%-70%",AO145&lt;90%,"70%-90%",AO145&lt;100%,"90%-100%",AO145&gt;100%,"Above 100%")</f>
        <v>Below 50%</v>
      </c>
      <c r="BD145" s="223">
        <v>9.16</v>
      </c>
      <c r="BE145" s="326">
        <v>1166666.667</v>
      </c>
      <c r="BF145" s="157">
        <f t="shared" si="10"/>
        <v>3</v>
      </c>
      <c r="BG145" s="157" t="s">
        <v>1019</v>
      </c>
      <c r="BH145" s="324"/>
      <c r="BI145" s="324"/>
      <c r="BJ145" s="343">
        <f>5/31</f>
        <v>0.1612903226</v>
      </c>
      <c r="BK145" s="326"/>
      <c r="BL145" s="326">
        <f t="shared" si="48"/>
        <v>0</v>
      </c>
      <c r="BM145" s="326">
        <f t="shared" si="12"/>
        <v>9940000</v>
      </c>
      <c r="BN145" s="326"/>
      <c r="BO145" s="327" t="str">
        <f>IFERROR(__xludf.DUMMYFUNCTION("IFERROR(ArrayFormula(SUM(VLOOKUP($C145,importrange(""1MwNMVzWE3QBVOyJjKr3eFX-Sq1Ng0Q1sghWJbgbE_8g"",""ORDER BOOKING REPORT 2024-25!C:CV""),{16,23,30},0))))"),"")</f>
        <v/>
      </c>
      <c r="BP145" s="327" t="str">
        <f>IFERROR(__xludf.DUMMYFUNCTION("IFERROR(ArrayFormula(SUM(VLOOKUP($C145,importrange(""1MwNMVzWE3QBVOyJjKr3eFX-Sq1Ng0Q1sghWJbgbE_8g"",""ORDER BOOKING REPORT 2024-25!C:CV""),{37,44,51},0))))"),"")</f>
        <v/>
      </c>
      <c r="BQ145" s="327" t="str">
        <f>IFERROR(__xludf.DUMMYFUNCTION("IFERROR(ArrayFormula(SUM(VLOOKUP($C145,importrange(""1MwNMVzWE3QBVOyJjKr3eFX-Sq1Ng0Q1sghWJbgbE_8g"",""ORDER BOOKING REPORT 2024-25!C:CV""),{58,65,72},0))))"),"")</f>
        <v/>
      </c>
      <c r="BR145" s="327" t="str">
        <f>IFERROR(__xludf.DUMMYFUNCTION("IFERROR(ArrayFormula(SUM(VLOOKUP($C145,importrange(""1MwNMVzWE3QBVOyJjKr3eFX-Sq1Ng0Q1sghWJbgbE_8g"",""ORDER BOOKING REPORT 2024-25!C:CV""),{79,86,93},0))))"),"")</f>
        <v/>
      </c>
      <c r="BS145" s="328">
        <f t="shared" si="13"/>
        <v>0</v>
      </c>
      <c r="BT145" s="328" t="str">
        <f t="shared" si="14"/>
        <v/>
      </c>
      <c r="BU145" s="234">
        <f t="shared" si="15"/>
        <v>0</v>
      </c>
      <c r="BV145" s="329">
        <v>26792.0</v>
      </c>
      <c r="BW145" s="329" t="s">
        <v>1045</v>
      </c>
      <c r="BX145" s="329">
        <v>1180.0</v>
      </c>
      <c r="BY145" s="234">
        <f t="shared" si="16"/>
        <v>0</v>
      </c>
      <c r="BZ145" s="234"/>
      <c r="CA145" s="234"/>
      <c r="CB145" s="234"/>
      <c r="CC145" s="234"/>
      <c r="CD145" s="234"/>
      <c r="CE145" s="234"/>
      <c r="CF145" s="234"/>
      <c r="CG145" s="234" t="str">
        <f t="shared" si="19"/>
        <v> </v>
      </c>
      <c r="CH145" s="234" t="str">
        <f t="shared" si="27"/>
        <v>Not 50%</v>
      </c>
      <c r="CI145" s="328">
        <f t="shared" si="20"/>
        <v>0.4757281553</v>
      </c>
      <c r="CJ145" s="339">
        <f>IFERROR(__xludf.DUMMYFUNCTION("""COMPUTED_VALUE"""),839.0)</f>
        <v>839</v>
      </c>
      <c r="CK145" s="339">
        <f>IFERROR(__xludf.DUMMYFUNCTION("""COMPUTED_VALUE"""),345.0)</f>
        <v>345</v>
      </c>
      <c r="CL145" s="339">
        <f>IFERROR(__xludf.DUMMYFUNCTION("""COMPUTED_VALUE"""),0.0)</f>
        <v>0</v>
      </c>
      <c r="CM145" s="331">
        <f t="shared" si="21"/>
        <v>0</v>
      </c>
      <c r="CN145" s="340"/>
      <c r="CO145" s="328"/>
      <c r="CP145" s="341"/>
      <c r="CQ145" s="344"/>
      <c r="CR145" s="328"/>
      <c r="CS145" s="328"/>
      <c r="CT145" s="328"/>
      <c r="CU145" s="328"/>
      <c r="CV145" s="328"/>
      <c r="CW145" s="328"/>
      <c r="CX145" s="288"/>
      <c r="CY145" s="328"/>
      <c r="CZ145" s="328"/>
    </row>
    <row r="146">
      <c r="A146" s="157" t="s">
        <v>126</v>
      </c>
      <c r="B146" s="157" t="s">
        <v>130</v>
      </c>
      <c r="C146" s="157" t="s">
        <v>169</v>
      </c>
      <c r="D146" s="157" t="s">
        <v>130</v>
      </c>
      <c r="E146" s="157" t="s">
        <v>151</v>
      </c>
      <c r="F146" s="338">
        <v>45600.0</v>
      </c>
      <c r="G146" s="314">
        <v>0.0</v>
      </c>
      <c r="H146" s="314">
        <v>2.4999996E7</v>
      </c>
      <c r="I146" s="315">
        <v>2.00096116E7</v>
      </c>
      <c r="J146" s="315">
        <v>0.0</v>
      </c>
      <c r="K146" s="160">
        <v>123.0</v>
      </c>
      <c r="L146" s="160">
        <v>141.0</v>
      </c>
      <c r="M146" s="160">
        <v>32.0</v>
      </c>
      <c r="N146" s="160">
        <v>155.0</v>
      </c>
      <c r="O146" s="160">
        <v>14.0</v>
      </c>
      <c r="P146" s="315">
        <v>1.667345214E7</v>
      </c>
      <c r="Q146" s="315">
        <v>3336159.46</v>
      </c>
      <c r="R146" s="160">
        <v>71.0</v>
      </c>
      <c r="S146" s="160">
        <v>23.0</v>
      </c>
      <c r="T146" s="160">
        <v>94.0</v>
      </c>
      <c r="U146" s="160">
        <v>0.0</v>
      </c>
      <c r="V146" s="160">
        <v>30.0</v>
      </c>
      <c r="W146" s="160">
        <v>59.0</v>
      </c>
      <c r="X146" s="160">
        <v>51.0</v>
      </c>
      <c r="Y146" s="160">
        <v>3.0</v>
      </c>
      <c r="Z146" s="160">
        <v>111.0</v>
      </c>
      <c r="AA146" s="160">
        <v>0.0</v>
      </c>
      <c r="AB146" s="160">
        <v>0.0</v>
      </c>
      <c r="AC146" s="160">
        <v>0.0</v>
      </c>
      <c r="AD146" s="160">
        <v>0.0</v>
      </c>
      <c r="AE146" s="160">
        <v>1282.0</v>
      </c>
      <c r="AF146" s="160">
        <v>1452.0</v>
      </c>
      <c r="AG146" s="160">
        <v>300.0</v>
      </c>
      <c r="AH146" s="314">
        <f t="shared" si="2"/>
        <v>66698.70533</v>
      </c>
      <c r="AI146" s="314">
        <f t="shared" si="3"/>
        <v>4.84</v>
      </c>
      <c r="AJ146" s="316">
        <f t="shared" si="88"/>
        <v>51910</v>
      </c>
      <c r="AK146" s="314">
        <f t="shared" si="63"/>
        <v>622920</v>
      </c>
      <c r="AL146" s="286">
        <v>189136.0</v>
      </c>
      <c r="AM146" s="318">
        <f t="shared" si="5"/>
        <v>0.04058329648</v>
      </c>
      <c r="AN146" s="314">
        <f t="shared" si="6"/>
        <v>212868.2085</v>
      </c>
      <c r="AO146" s="336">
        <f t="shared" si="92"/>
        <v>0.8003845921</v>
      </c>
      <c r="AP146" s="319">
        <v>0.0</v>
      </c>
      <c r="AQ146" s="160">
        <v>352.0</v>
      </c>
      <c r="AR146" s="160">
        <v>2350.0</v>
      </c>
      <c r="AS146" s="160">
        <v>2819.04</v>
      </c>
      <c r="AT146" s="160">
        <v>23.0</v>
      </c>
      <c r="AU146" s="160">
        <v>20.0</v>
      </c>
      <c r="AV146" s="320">
        <v>94.0</v>
      </c>
      <c r="AW146" s="320">
        <v>47.0</v>
      </c>
      <c r="AX146" s="320">
        <v>14.0</v>
      </c>
      <c r="AY146" s="321">
        <f>iferror(VLOOKUP(C146,'ORDER BOOKING REPORT 2025-26'!C:O,13,0),"")</f>
        <v>19840808</v>
      </c>
      <c r="AZ146" s="322"/>
      <c r="BA146" s="157" t="str">
        <f t="shared" si="7"/>
        <v>Active</v>
      </c>
      <c r="BB146" s="157" t="str">
        <f t="shared" si="8"/>
        <v>Old</v>
      </c>
      <c r="BC146" s="157" t="str">
        <f t="shared" si="93"/>
        <v>70%-90%</v>
      </c>
      <c r="BD146" s="223">
        <f t="shared" ref="BD146:BD147" si="94">Match($BD$2,{"Apr","May","Jun","Jul","Aug","Sep","Oct","Nov","Dec","Jan","Feb","Mar"},0)</f>
        <v>12</v>
      </c>
      <c r="BE146" s="323">
        <v>2083333.0</v>
      </c>
      <c r="BF146" s="157">
        <f t="shared" si="10"/>
        <v>9</v>
      </c>
      <c r="BG146" s="157" t="s">
        <v>1019</v>
      </c>
      <c r="BH146" s="324"/>
      <c r="BI146" s="324"/>
      <c r="BJ146" s="325"/>
      <c r="BK146" s="326"/>
      <c r="BL146" s="326">
        <f t="shared" si="48"/>
        <v>0</v>
      </c>
      <c r="BM146" s="326">
        <f t="shared" si="12"/>
        <v>24999996</v>
      </c>
      <c r="BN146" s="326"/>
      <c r="BO146" s="327" t="str">
        <f>IFERROR(__xludf.DUMMYFUNCTION("IFERROR(ArrayFormula(SUM(VLOOKUP($C146,importrange(""1MwNMVzWE3QBVOyJjKr3eFX-Sq1Ng0Q1sghWJbgbE_8g"",""ORDER BOOKING REPORT 2024-25!C:CV""),{16,23,30},0))))"),"")</f>
        <v/>
      </c>
      <c r="BP146" s="327" t="str">
        <f>IFERROR(__xludf.DUMMYFUNCTION("IFERROR(ArrayFormula(SUM(VLOOKUP($C146,importrange(""1MwNMVzWE3QBVOyJjKr3eFX-Sq1Ng0Q1sghWJbgbE_8g"",""ORDER BOOKING REPORT 2024-25!C:CV""),{37,44,51},0))))"),"")</f>
        <v/>
      </c>
      <c r="BQ146" s="327" t="str">
        <f>IFERROR(__xludf.DUMMYFUNCTION("IFERROR(ArrayFormula(SUM(VLOOKUP($C146,importrange(""1MwNMVzWE3QBVOyJjKr3eFX-Sq1Ng0Q1sghWJbgbE_8g"",""ORDER BOOKING REPORT 2024-25!C:CV""),{58,65,72},0))))"),"")</f>
        <v/>
      </c>
      <c r="BR146" s="327" t="str">
        <f>IFERROR(__xludf.DUMMYFUNCTION("IFERROR(ArrayFormula(SUM(VLOOKUP($C146,importrange(""1MwNMVzWE3QBVOyJjKr3eFX-Sq1Ng0Q1sghWJbgbE_8g"",""ORDER BOOKING REPORT 2024-25!C:CV""),{79,86,93},0))))"),"")</f>
        <v/>
      </c>
      <c r="BS146" s="328">
        <f t="shared" si="13"/>
        <v>0.793632447</v>
      </c>
      <c r="BT146" s="328">
        <f t="shared" si="14"/>
        <v>0.04092857509</v>
      </c>
      <c r="BU146" s="234">
        <f t="shared" si="15"/>
        <v>0</v>
      </c>
      <c r="BV146" s="329">
        <v>51910.0</v>
      </c>
      <c r="BW146" s="329" t="s">
        <v>1039</v>
      </c>
      <c r="BX146" s="329">
        <v>1182.0</v>
      </c>
      <c r="BY146" s="234">
        <f t="shared" si="16"/>
        <v>0</v>
      </c>
      <c r="BZ146" s="234"/>
      <c r="CA146" s="234"/>
      <c r="CB146" s="234"/>
      <c r="CC146" s="234"/>
      <c r="CD146" s="234"/>
      <c r="CE146" s="234"/>
      <c r="CF146" s="234"/>
      <c r="CG146" s="234" t="str">
        <f t="shared" si="19"/>
        <v> </v>
      </c>
      <c r="CH146" s="234" t="str">
        <f t="shared" si="27"/>
        <v>Business Achieved 50%</v>
      </c>
      <c r="CI146" s="328">
        <f t="shared" si="20"/>
        <v>0.6064516129</v>
      </c>
      <c r="CJ146" s="339">
        <f>IFERROR(__xludf.DUMMYFUNCTION("""COMPUTED_VALUE"""),1043.0)</f>
        <v>1043</v>
      </c>
      <c r="CK146" s="339">
        <f>IFERROR(__xludf.DUMMYFUNCTION("""COMPUTED_VALUE"""),239.0)</f>
        <v>239</v>
      </c>
      <c r="CL146" s="339">
        <f>IFERROR(__xludf.DUMMYFUNCTION("""COMPUTED_VALUE"""),0.0)</f>
        <v>0</v>
      </c>
      <c r="CM146" s="331">
        <f t="shared" si="21"/>
        <v>0</v>
      </c>
      <c r="CN146" s="340"/>
      <c r="CO146" s="328"/>
      <c r="CP146" s="341"/>
      <c r="CQ146" s="344"/>
      <c r="CR146" s="328"/>
      <c r="CS146" s="328"/>
      <c r="CT146" s="328"/>
      <c r="CU146" s="328"/>
      <c r="CV146" s="328"/>
      <c r="CW146" s="328"/>
      <c r="CX146" s="288"/>
      <c r="CY146" s="328"/>
      <c r="CZ146" s="328"/>
    </row>
    <row r="147">
      <c r="A147" s="157" t="s">
        <v>126</v>
      </c>
      <c r="B147" s="157" t="s">
        <v>130</v>
      </c>
      <c r="C147" s="157" t="s">
        <v>170</v>
      </c>
      <c r="D147" s="157" t="s">
        <v>130</v>
      </c>
      <c r="E147" s="157" t="s">
        <v>151</v>
      </c>
      <c r="F147" s="285">
        <v>45607.0</v>
      </c>
      <c r="G147" s="314">
        <v>0.0</v>
      </c>
      <c r="H147" s="314">
        <v>2.1999996E7</v>
      </c>
      <c r="I147" s="315">
        <v>1.021466037E7</v>
      </c>
      <c r="J147" s="315">
        <v>0.0</v>
      </c>
      <c r="K147" s="160">
        <v>121.0</v>
      </c>
      <c r="L147" s="160">
        <v>151.0</v>
      </c>
      <c r="M147" s="160">
        <v>34.0</v>
      </c>
      <c r="N147" s="160">
        <v>155.0</v>
      </c>
      <c r="O147" s="160">
        <v>4.0</v>
      </c>
      <c r="P147" s="315">
        <v>9048454.95</v>
      </c>
      <c r="Q147" s="315">
        <v>1166205.42</v>
      </c>
      <c r="R147" s="160">
        <v>51.0</v>
      </c>
      <c r="S147" s="160">
        <v>27.0</v>
      </c>
      <c r="T147" s="160">
        <v>78.0</v>
      </c>
      <c r="U147" s="160">
        <v>0.0</v>
      </c>
      <c r="V147" s="160">
        <v>116.0</v>
      </c>
      <c r="W147" s="160">
        <v>236.0</v>
      </c>
      <c r="X147" s="160">
        <v>47.0</v>
      </c>
      <c r="Y147" s="160">
        <v>2.0</v>
      </c>
      <c r="Z147" s="160">
        <v>147.0</v>
      </c>
      <c r="AA147" s="160">
        <v>0.0</v>
      </c>
      <c r="AB147" s="160">
        <v>0.0</v>
      </c>
      <c r="AC147" s="160">
        <v>0.0</v>
      </c>
      <c r="AD147" s="160">
        <v>0.0</v>
      </c>
      <c r="AE147" s="160">
        <v>1492.0</v>
      </c>
      <c r="AF147" s="160">
        <v>1875.0</v>
      </c>
      <c r="AG147" s="160">
        <v>295.0</v>
      </c>
      <c r="AH147" s="314">
        <f t="shared" si="2"/>
        <v>34625.96736</v>
      </c>
      <c r="AI147" s="314">
        <f t="shared" si="3"/>
        <v>6.355932203</v>
      </c>
      <c r="AJ147" s="316">
        <f t="shared" si="88"/>
        <v>33043</v>
      </c>
      <c r="AK147" s="314">
        <f t="shared" si="63"/>
        <v>396516</v>
      </c>
      <c r="AL147" s="286">
        <v>83064.0</v>
      </c>
      <c r="AM147" s="318">
        <f t="shared" si="5"/>
        <v>0.046950166</v>
      </c>
      <c r="AN147" s="314">
        <f t="shared" si="6"/>
        <v>130957.1842</v>
      </c>
      <c r="AO147" s="336">
        <f t="shared" si="92"/>
        <v>0.4643028285</v>
      </c>
      <c r="AP147" s="319">
        <v>0.0</v>
      </c>
      <c r="AQ147" s="160">
        <v>353.0</v>
      </c>
      <c r="AR147" s="160">
        <v>2653.0</v>
      </c>
      <c r="AS147" s="160">
        <v>1857.83</v>
      </c>
      <c r="AT147" s="160">
        <v>27.0</v>
      </c>
      <c r="AU147" s="160">
        <v>12.0</v>
      </c>
      <c r="AV147" s="320">
        <v>78.0</v>
      </c>
      <c r="AW147" s="320">
        <v>73.0</v>
      </c>
      <c r="AX147" s="320">
        <v>4.0</v>
      </c>
      <c r="AY147" s="321">
        <f>iferror(VLOOKUP(C147,'ORDER BOOKING REPORT 2025-26'!C:O,13,0),"")</f>
        <v>10365932</v>
      </c>
      <c r="AZ147" s="322"/>
      <c r="BA147" s="157" t="str">
        <f t="shared" si="7"/>
        <v>Active</v>
      </c>
      <c r="BB147" s="157" t="str">
        <f t="shared" si="8"/>
        <v>Old</v>
      </c>
      <c r="BC147" s="157" t="str">
        <f t="shared" si="93"/>
        <v>Below 50%</v>
      </c>
      <c r="BD147" s="223">
        <f t="shared" si="94"/>
        <v>12</v>
      </c>
      <c r="BE147" s="323">
        <v>1833333.0</v>
      </c>
      <c r="BF147" s="157">
        <f t="shared" si="10"/>
        <v>7</v>
      </c>
      <c r="BG147" s="157" t="s">
        <v>1019</v>
      </c>
      <c r="BH147" s="324"/>
      <c r="BI147" s="324"/>
      <c r="BJ147" s="325"/>
      <c r="BK147" s="326"/>
      <c r="BL147" s="326">
        <f t="shared" si="48"/>
        <v>0</v>
      </c>
      <c r="BM147" s="326">
        <f t="shared" si="12"/>
        <v>21999996</v>
      </c>
      <c r="BN147" s="326"/>
      <c r="BO147" s="327" t="str">
        <f>IFERROR(__xludf.DUMMYFUNCTION("IFERROR(ArrayFormula(SUM(VLOOKUP($C147,importrange(""1MwNMVzWE3QBVOyJjKr3eFX-Sq1Ng0Q1sghWJbgbE_8g"",""ORDER BOOKING REPORT 2024-25!C:CV""),{16,23,30},0))))"),"")</f>
        <v/>
      </c>
      <c r="BP147" s="327" t="str">
        <f>IFERROR(__xludf.DUMMYFUNCTION("IFERROR(ArrayFormula(SUM(VLOOKUP($C147,importrange(""1MwNMVzWE3QBVOyJjKr3eFX-Sq1Ng0Q1sghWJbgbE_8g"",""ORDER BOOKING REPORT 2024-25!C:CV""),{37,44,51},0))))"),"")</f>
        <v/>
      </c>
      <c r="BQ147" s="327" t="str">
        <f>IFERROR(__xludf.DUMMYFUNCTION("IFERROR(ArrayFormula(SUM(VLOOKUP($C147,importrange(""1MwNMVzWE3QBVOyJjKr3eFX-Sq1Ng0Q1sghWJbgbE_8g"",""ORDER BOOKING REPORT 2024-25!C:CV""),{58,65,72},0))))"),"")</f>
        <v/>
      </c>
      <c r="BR147" s="327" t="str">
        <f>IFERROR(__xludf.DUMMYFUNCTION("IFERROR(ArrayFormula(SUM(VLOOKUP($C147,importrange(""1MwNMVzWE3QBVOyJjKr3eFX-Sq1Ng0Q1sghWJbgbE_8g"",""ORDER BOOKING REPORT 2024-25!C:CV""),{79,86,93},0))))"),"")</f>
        <v/>
      </c>
      <c r="BS147" s="328">
        <f t="shared" si="13"/>
        <v>0.4711788129</v>
      </c>
      <c r="BT147" s="328">
        <f t="shared" si="14"/>
        <v>0.04626501505</v>
      </c>
      <c r="BU147" s="234">
        <f t="shared" si="15"/>
        <v>0</v>
      </c>
      <c r="BV147" s="329">
        <v>33043.0</v>
      </c>
      <c r="BW147" s="329" t="s">
        <v>1029</v>
      </c>
      <c r="BX147" s="329">
        <v>1184.0</v>
      </c>
      <c r="BY147" s="234">
        <f t="shared" si="16"/>
        <v>0</v>
      </c>
      <c r="BZ147" s="234"/>
      <c r="CA147" s="234"/>
      <c r="CB147" s="234"/>
      <c r="CC147" s="234"/>
      <c r="CD147" s="234"/>
      <c r="CE147" s="234"/>
      <c r="CF147" s="234"/>
      <c r="CG147" s="234" t="str">
        <f t="shared" si="19"/>
        <v> </v>
      </c>
      <c r="CH147" s="234" t="str">
        <f t="shared" si="27"/>
        <v>Business Achieved 50%</v>
      </c>
      <c r="CI147" s="328">
        <f t="shared" si="20"/>
        <v>0.5032258065</v>
      </c>
      <c r="CJ147" s="339">
        <f>IFERROR(__xludf.DUMMYFUNCTION("""COMPUTED_VALUE"""),1171.0)</f>
        <v>1171</v>
      </c>
      <c r="CK147" s="339">
        <f>IFERROR(__xludf.DUMMYFUNCTION("""COMPUTED_VALUE"""),321.0)</f>
        <v>321</v>
      </c>
      <c r="CL147" s="339">
        <f>IFERROR(__xludf.DUMMYFUNCTION("""COMPUTED_VALUE"""),0.0)</f>
        <v>0</v>
      </c>
      <c r="CM147" s="331">
        <f t="shared" si="21"/>
        <v>0</v>
      </c>
      <c r="CN147" s="340"/>
      <c r="CO147" s="328"/>
      <c r="CP147" s="341"/>
      <c r="CQ147" s="344"/>
      <c r="CR147" s="328"/>
      <c r="CS147" s="328"/>
      <c r="CT147" s="328"/>
      <c r="CU147" s="328"/>
      <c r="CV147" s="328"/>
      <c r="CW147" s="328"/>
      <c r="CX147" s="288"/>
      <c r="CY147" s="328"/>
      <c r="CZ147" s="328"/>
    </row>
    <row r="148">
      <c r="A148" s="157" t="s">
        <v>185</v>
      </c>
      <c r="B148" s="157" t="s">
        <v>189</v>
      </c>
      <c r="C148" s="157" t="s">
        <v>418</v>
      </c>
      <c r="D148" s="157" t="s">
        <v>1108</v>
      </c>
      <c r="E148" s="157" t="s">
        <v>419</v>
      </c>
      <c r="F148" s="285">
        <v>45614.0</v>
      </c>
      <c r="G148" s="314">
        <v>0.0</v>
      </c>
      <c r="H148" s="314">
        <v>0.0</v>
      </c>
      <c r="I148" s="315">
        <v>2236523.53</v>
      </c>
      <c r="J148" s="315">
        <v>0.0</v>
      </c>
      <c r="K148" s="160">
        <v>56.0</v>
      </c>
      <c r="L148" s="160">
        <v>83.0</v>
      </c>
      <c r="M148" s="160">
        <v>37.0</v>
      </c>
      <c r="N148" s="160">
        <v>93.0</v>
      </c>
      <c r="O148" s="160">
        <v>10.0</v>
      </c>
      <c r="P148" s="315">
        <v>1179015.52</v>
      </c>
      <c r="Q148" s="315">
        <v>1057508.01</v>
      </c>
      <c r="R148" s="160">
        <v>26.0</v>
      </c>
      <c r="S148" s="160">
        <v>36.0</v>
      </c>
      <c r="T148" s="160">
        <v>62.0</v>
      </c>
      <c r="U148" s="160">
        <v>0.0</v>
      </c>
      <c r="V148" s="160">
        <v>84.0</v>
      </c>
      <c r="W148" s="160">
        <v>156.0</v>
      </c>
      <c r="X148" s="160">
        <v>34.0</v>
      </c>
      <c r="Y148" s="160">
        <v>5.0</v>
      </c>
      <c r="Z148" s="160">
        <v>147.0</v>
      </c>
      <c r="AA148" s="160">
        <v>0.0</v>
      </c>
      <c r="AB148" s="160">
        <v>0.0</v>
      </c>
      <c r="AC148" s="160">
        <v>8.0</v>
      </c>
      <c r="AD148" s="160">
        <v>18.0</v>
      </c>
      <c r="AE148" s="160">
        <v>656.0</v>
      </c>
      <c r="AF148" s="160">
        <v>977.0</v>
      </c>
      <c r="AG148" s="160">
        <v>186.0</v>
      </c>
      <c r="AH148" s="314">
        <f t="shared" si="2"/>
        <v>12024.32005</v>
      </c>
      <c r="AI148" s="314">
        <f t="shared" si="3"/>
        <v>5.252688172</v>
      </c>
      <c r="AJ148" s="346">
        <v>46670.0</v>
      </c>
      <c r="AK148" s="314">
        <f t="shared" si="63"/>
        <v>373360</v>
      </c>
      <c r="AL148" s="317">
        <v>154887.0</v>
      </c>
      <c r="AM148" s="318">
        <f t="shared" si="5"/>
        <v>0.2361911211</v>
      </c>
      <c r="AN148" s="314">
        <f t="shared" si="6"/>
        <v>36072.96016</v>
      </c>
      <c r="AO148" s="286" t="s">
        <v>972</v>
      </c>
      <c r="AP148" s="319">
        <v>0.0</v>
      </c>
      <c r="AQ148" s="160">
        <v>141.0</v>
      </c>
      <c r="AR148" s="160">
        <v>1825.0</v>
      </c>
      <c r="AS148" s="160">
        <v>0.0</v>
      </c>
      <c r="AT148" s="160">
        <v>36.0</v>
      </c>
      <c r="AU148" s="160">
        <v>0.0</v>
      </c>
      <c r="AV148" s="320">
        <v>62.0</v>
      </c>
      <c r="AW148" s="320">
        <v>21.0</v>
      </c>
      <c r="AX148" s="320">
        <v>10.0</v>
      </c>
      <c r="AY148" s="321">
        <f>iferror(VLOOKUP(C148,'ORDER BOOKING REPORT 2025-26'!C:O,13,0),"")</f>
        <v>0</v>
      </c>
      <c r="AZ148" s="322">
        <v>45991.0</v>
      </c>
      <c r="BA148" s="157" t="str">
        <f t="shared" si="7"/>
        <v>LEFT</v>
      </c>
      <c r="BB148" s="157" t="str">
        <f t="shared" si="8"/>
        <v>Old</v>
      </c>
      <c r="BC148" s="160" t="s">
        <v>972</v>
      </c>
      <c r="BD148" s="223">
        <v>8.0</v>
      </c>
      <c r="BE148" s="323" t="s">
        <v>188</v>
      </c>
      <c r="BF148" s="157">
        <f t="shared" si="10"/>
        <v>1</v>
      </c>
      <c r="BG148" s="234" t="s">
        <v>188</v>
      </c>
      <c r="BH148" s="324"/>
      <c r="BI148" s="324"/>
      <c r="BJ148" s="325"/>
      <c r="BK148" s="326"/>
      <c r="BL148" s="326">
        <f t="shared" si="48"/>
        <v>0</v>
      </c>
      <c r="BM148" s="326">
        <f t="shared" si="12"/>
        <v>0</v>
      </c>
      <c r="BN148" s="326"/>
      <c r="BO148" s="327" t="str">
        <f>IFERROR(__xludf.DUMMYFUNCTION("IFERROR(ArrayFormula(SUM(VLOOKUP($C148,importrange(""1MwNMVzWE3QBVOyJjKr3eFX-Sq1Ng0Q1sghWJbgbE_8g"",""ORDER BOOKING REPORT 2024-25!C:CV""),{16,23,30},0))))"),"")</f>
        <v/>
      </c>
      <c r="BP148" s="327" t="str">
        <f>IFERROR(__xludf.DUMMYFUNCTION("IFERROR(ArrayFormula(SUM(VLOOKUP($C148,importrange(""1MwNMVzWE3QBVOyJjKr3eFX-Sq1Ng0Q1sghWJbgbE_8g"",""ORDER BOOKING REPORT 2024-25!C:CV""),{37,44,51},0))))"),"")</f>
        <v/>
      </c>
      <c r="BQ148" s="327" t="str">
        <f>IFERROR(__xludf.DUMMYFUNCTION("IFERROR(ArrayFormula(SUM(VLOOKUP($C148,importrange(""1MwNMVzWE3QBVOyJjKr3eFX-Sq1Ng0Q1sghWJbgbE_8g"",""ORDER BOOKING REPORT 2024-25!C:CV""),{58,65,72},0))))"),"")</f>
        <v/>
      </c>
      <c r="BR148" s="327" t="str">
        <f>IFERROR(__xludf.DUMMYFUNCTION("IFERROR(ArrayFormula(SUM(VLOOKUP($C148,importrange(""1MwNMVzWE3QBVOyJjKr3eFX-Sq1Ng0Q1sghWJbgbE_8g"",""ORDER BOOKING REPORT 2024-25!C:CV""),{79,86,93},0))))"),"")</f>
        <v/>
      </c>
      <c r="BS148" s="328" t="str">
        <f t="shared" si="13"/>
        <v/>
      </c>
      <c r="BT148" s="328" t="str">
        <f t="shared" si="14"/>
        <v/>
      </c>
      <c r="BU148" s="234">
        <f t="shared" si="15"/>
        <v>0</v>
      </c>
      <c r="BV148" s="329">
        <v>46670.0</v>
      </c>
      <c r="BW148" s="329" t="s">
        <v>1020</v>
      </c>
      <c r="BX148" s="329">
        <v>1185.0</v>
      </c>
      <c r="BY148" s="234">
        <f t="shared" si="16"/>
        <v>0</v>
      </c>
      <c r="BZ148" s="234"/>
      <c r="CA148" s="234"/>
      <c r="CB148" s="234"/>
      <c r="CC148" s="234"/>
      <c r="CD148" s="234"/>
      <c r="CE148" s="234"/>
      <c r="CF148" s="234"/>
      <c r="CG148" s="234" t="str">
        <f t="shared" si="19"/>
        <v> </v>
      </c>
      <c r="CH148" s="234" t="str">
        <f t="shared" si="27"/>
        <v>Business Achieved 50%</v>
      </c>
      <c r="CI148" s="328">
        <f t="shared" si="20"/>
        <v>0.6666666667</v>
      </c>
      <c r="CJ148" s="330">
        <f>IFERROR(__xludf.DUMMYFUNCTION("""COMPUTED_VALUE"""),526.0)</f>
        <v>526</v>
      </c>
      <c r="CK148" s="330">
        <f>IFERROR(__xludf.DUMMYFUNCTION("""COMPUTED_VALUE"""),130.0)</f>
        <v>130</v>
      </c>
      <c r="CL148" s="330">
        <f>IFERROR(__xludf.DUMMYFUNCTION("""COMPUTED_VALUE"""),0.0)</f>
        <v>0</v>
      </c>
      <c r="CM148" s="331">
        <f t="shared" si="21"/>
        <v>0</v>
      </c>
      <c r="CN148" s="337"/>
      <c r="CO148" s="160"/>
      <c r="CP148" s="334"/>
      <c r="CQ148" s="335"/>
      <c r="CR148" s="160"/>
      <c r="CS148" s="160"/>
      <c r="CT148" s="160"/>
      <c r="CU148" s="160"/>
      <c r="CV148" s="160"/>
      <c r="CW148" s="335"/>
      <c r="CX148" s="288"/>
      <c r="CY148" s="160"/>
      <c r="CZ148" s="160"/>
    </row>
    <row r="149">
      <c r="A149" s="157" t="s">
        <v>185</v>
      </c>
      <c r="B149" s="157" t="s">
        <v>212</v>
      </c>
      <c r="C149" s="157" t="s">
        <v>273</v>
      </c>
      <c r="D149" s="157" t="s">
        <v>1031</v>
      </c>
      <c r="E149" s="157" t="s">
        <v>274</v>
      </c>
      <c r="F149" s="338">
        <v>45628.0</v>
      </c>
      <c r="G149" s="314">
        <v>0.0</v>
      </c>
      <c r="H149" s="314">
        <v>1.8E7</v>
      </c>
      <c r="I149" s="315">
        <v>1.610421956E7</v>
      </c>
      <c r="J149" s="315">
        <v>0.0</v>
      </c>
      <c r="K149" s="160">
        <v>69.0</v>
      </c>
      <c r="L149" s="160">
        <v>81.0</v>
      </c>
      <c r="M149" s="160">
        <v>17.0</v>
      </c>
      <c r="N149" s="160">
        <v>86.0</v>
      </c>
      <c r="O149" s="160">
        <v>5.0</v>
      </c>
      <c r="P149" s="315">
        <v>1.280539861E7</v>
      </c>
      <c r="Q149" s="315">
        <v>3298820.95</v>
      </c>
      <c r="R149" s="160">
        <v>43.0</v>
      </c>
      <c r="S149" s="160">
        <v>17.0</v>
      </c>
      <c r="T149" s="160">
        <v>60.0</v>
      </c>
      <c r="U149" s="160">
        <v>0.0</v>
      </c>
      <c r="V149" s="160">
        <v>117.0</v>
      </c>
      <c r="W149" s="160">
        <v>271.0</v>
      </c>
      <c r="X149" s="160">
        <v>59.0</v>
      </c>
      <c r="Y149" s="160">
        <v>2.0</v>
      </c>
      <c r="Z149" s="160">
        <v>86.0</v>
      </c>
      <c r="AA149" s="160">
        <v>0.0</v>
      </c>
      <c r="AB149" s="160">
        <v>0.0</v>
      </c>
      <c r="AC149" s="160">
        <v>4.0</v>
      </c>
      <c r="AD149" s="160">
        <v>5.0</v>
      </c>
      <c r="AE149" s="160">
        <v>1157.0</v>
      </c>
      <c r="AF149" s="160">
        <v>1519.0</v>
      </c>
      <c r="AG149" s="160">
        <v>279.0</v>
      </c>
      <c r="AH149" s="314">
        <f t="shared" si="2"/>
        <v>57721.21706</v>
      </c>
      <c r="AI149" s="314">
        <f t="shared" si="3"/>
        <v>5.444444444</v>
      </c>
      <c r="AJ149" s="346">
        <v>26755.0</v>
      </c>
      <c r="AK149" s="314">
        <f t="shared" si="63"/>
        <v>321060</v>
      </c>
      <c r="AL149" s="317">
        <v>177527.0</v>
      </c>
      <c r="AM149" s="318">
        <f t="shared" si="5"/>
        <v>0.0309600225</v>
      </c>
      <c r="AN149" s="314">
        <f t="shared" si="6"/>
        <v>268403.6593</v>
      </c>
      <c r="AO149" s="336">
        <f t="shared" ref="AO149:AO156" si="95">iferror(sum(I149:J149)/Sum(G149:H149),"")</f>
        <v>0.8946788644</v>
      </c>
      <c r="AP149" s="319">
        <v>0.0</v>
      </c>
      <c r="AQ149" s="160">
        <v>263.0</v>
      </c>
      <c r="AR149" s="160">
        <v>2807.0</v>
      </c>
      <c r="AS149" s="160">
        <v>3046.99</v>
      </c>
      <c r="AT149" s="160">
        <v>17.0</v>
      </c>
      <c r="AU149" s="160">
        <v>38.0</v>
      </c>
      <c r="AV149" s="320">
        <v>60.0</v>
      </c>
      <c r="AW149" s="320">
        <v>21.0</v>
      </c>
      <c r="AX149" s="320">
        <v>5.0</v>
      </c>
      <c r="AY149" s="321">
        <f>iferror(VLOOKUP(C149,'ORDER BOOKING REPORT 2025-26'!C:O,13,0),"")</f>
        <v>17400833</v>
      </c>
      <c r="AZ149" s="322"/>
      <c r="BA149" s="157" t="str">
        <f t="shared" si="7"/>
        <v>Active</v>
      </c>
      <c r="BB149" s="157" t="str">
        <f t="shared" si="8"/>
        <v>Old</v>
      </c>
      <c r="BC149" s="157" t="str">
        <f t="shared" ref="BC149:BC156" si="96">IFS(AO149&lt;50%,"Below 50%",AO149&lt;70%,"50%-70%",AO149&lt;90%,"70%-90%",AO149&lt;100%,"90%-100%",AO149&gt;100%,"Above 100%")</f>
        <v>70%-90%</v>
      </c>
      <c r="BD149" s="223">
        <f t="shared" ref="BD149:BD150" si="97">Match($BD$2,{"Apr","May","Jun","Jul","Aug","Sep","Oct","Nov","Dec","Jan","Feb","Mar"},0)</f>
        <v>12</v>
      </c>
      <c r="BE149" s="323">
        <v>1500000.0</v>
      </c>
      <c r="BF149" s="157">
        <f t="shared" si="10"/>
        <v>0</v>
      </c>
      <c r="BG149" s="157" t="s">
        <v>1019</v>
      </c>
      <c r="BH149" s="324"/>
      <c r="BI149" s="324"/>
      <c r="BJ149" s="325"/>
      <c r="BK149" s="326"/>
      <c r="BL149" s="326">
        <f t="shared" si="48"/>
        <v>0</v>
      </c>
      <c r="BM149" s="326">
        <f t="shared" si="12"/>
        <v>18000000</v>
      </c>
      <c r="BN149" s="326"/>
      <c r="BO149" s="327" t="str">
        <f>IFERROR(__xludf.DUMMYFUNCTION("IFERROR(ArrayFormula(SUM(VLOOKUP($C149,importrange(""1MwNMVzWE3QBVOyJjKr3eFX-Sq1Ng0Q1sghWJbgbE_8g"",""ORDER BOOKING REPORT 2024-25!C:CV""),{16,23,30},0))))"),"")</f>
        <v/>
      </c>
      <c r="BP149" s="327" t="str">
        <f>IFERROR(__xludf.DUMMYFUNCTION("IFERROR(ArrayFormula(SUM(VLOOKUP($C149,importrange(""1MwNMVzWE3QBVOyJjKr3eFX-Sq1Ng0Q1sghWJbgbE_8g"",""ORDER BOOKING REPORT 2024-25!C:CV""),{37,44,51},0))))"),"")</f>
        <v/>
      </c>
      <c r="BQ149" s="327" t="str">
        <f>IFERROR(__xludf.DUMMYFUNCTION("IFERROR(ArrayFormula(SUM(VLOOKUP($C149,importrange(""1MwNMVzWE3QBVOyJjKr3eFX-Sq1Ng0Q1sghWJbgbE_8g"",""ORDER BOOKING REPORT 2024-25!C:CV""),{58,65,72},0))))"),"")</f>
        <v/>
      </c>
      <c r="BR149" s="327" t="str">
        <f>IFERROR(__xludf.DUMMYFUNCTION("IFERROR(ArrayFormula(SUM(VLOOKUP($C149,importrange(""1MwNMVzWE3QBVOyJjKr3eFX-Sq1Ng0Q1sghWJbgbE_8g"",""ORDER BOOKING REPORT 2024-25!C:CV""),{79,86,93},0))))"),"")</f>
        <v/>
      </c>
      <c r="BS149" s="328">
        <f t="shared" si="13"/>
        <v>0.9667129444</v>
      </c>
      <c r="BT149" s="328">
        <f t="shared" si="14"/>
        <v>0.02865305356</v>
      </c>
      <c r="BU149" s="234">
        <f t="shared" si="15"/>
        <v>0</v>
      </c>
      <c r="BV149" s="329">
        <v>26755.0</v>
      </c>
      <c r="BW149" s="329" t="s">
        <v>1045</v>
      </c>
      <c r="BX149" s="329">
        <v>1196.0</v>
      </c>
      <c r="BY149" s="234">
        <f t="shared" si="16"/>
        <v>0</v>
      </c>
      <c r="BZ149" s="234"/>
      <c r="CA149" s="234"/>
      <c r="CB149" s="234"/>
      <c r="CC149" s="234"/>
      <c r="CD149" s="234"/>
      <c r="CE149" s="234"/>
      <c r="CF149" s="234"/>
      <c r="CG149" s="234" t="str">
        <f t="shared" si="19"/>
        <v> </v>
      </c>
      <c r="CH149" s="234" t="str">
        <f t="shared" si="27"/>
        <v>Business Achieved 50%</v>
      </c>
      <c r="CI149" s="328">
        <f t="shared" si="20"/>
        <v>0.6976744186</v>
      </c>
      <c r="CJ149" s="330">
        <f>IFERROR(__xludf.DUMMYFUNCTION("""COMPUTED_VALUE"""),1015.0)</f>
        <v>1015</v>
      </c>
      <c r="CK149" s="330">
        <f>IFERROR(__xludf.DUMMYFUNCTION("""COMPUTED_VALUE"""),142.0)</f>
        <v>142</v>
      </c>
      <c r="CL149" s="330">
        <f>IFERROR(__xludf.DUMMYFUNCTION("""COMPUTED_VALUE"""),0.0)</f>
        <v>0</v>
      </c>
      <c r="CM149" s="331">
        <f t="shared" si="21"/>
        <v>0</v>
      </c>
      <c r="CN149" s="337"/>
      <c r="CO149" s="160"/>
      <c r="CP149" s="334"/>
      <c r="CQ149" s="335"/>
      <c r="CR149" s="160"/>
      <c r="CS149" s="160"/>
      <c r="CT149" s="160"/>
      <c r="CU149" s="160"/>
      <c r="CV149" s="160"/>
      <c r="CW149" s="335"/>
      <c r="CX149" s="288"/>
      <c r="CY149" s="160"/>
      <c r="CZ149" s="160"/>
    </row>
    <row r="150">
      <c r="A150" s="157" t="s">
        <v>185</v>
      </c>
      <c r="B150" s="157" t="s">
        <v>85</v>
      </c>
      <c r="C150" s="157" t="s">
        <v>90</v>
      </c>
      <c r="D150" s="157" t="s">
        <v>1058</v>
      </c>
      <c r="E150" s="157" t="s">
        <v>91</v>
      </c>
      <c r="F150" s="338">
        <v>45635.0</v>
      </c>
      <c r="G150" s="314">
        <v>0.0</v>
      </c>
      <c r="H150" s="314">
        <v>1.5E7</v>
      </c>
      <c r="I150" s="315">
        <v>1.060930015E7</v>
      </c>
      <c r="J150" s="315">
        <v>0.0</v>
      </c>
      <c r="K150" s="160">
        <v>94.0</v>
      </c>
      <c r="L150" s="160">
        <v>147.0</v>
      </c>
      <c r="M150" s="160">
        <v>59.0</v>
      </c>
      <c r="N150" s="160">
        <v>153.0</v>
      </c>
      <c r="O150" s="160">
        <v>6.0</v>
      </c>
      <c r="P150" s="315">
        <v>7711859.0</v>
      </c>
      <c r="Q150" s="315">
        <v>2897441.15</v>
      </c>
      <c r="R150" s="160">
        <v>60.0</v>
      </c>
      <c r="S150" s="160">
        <v>58.0</v>
      </c>
      <c r="T150" s="160">
        <v>118.0</v>
      </c>
      <c r="U150" s="160">
        <v>0.0</v>
      </c>
      <c r="V150" s="160">
        <v>85.0</v>
      </c>
      <c r="W150" s="160">
        <v>189.0</v>
      </c>
      <c r="X150" s="160">
        <v>25.0</v>
      </c>
      <c r="Y150" s="160">
        <v>7.0</v>
      </c>
      <c r="Z150" s="160">
        <v>260.0</v>
      </c>
      <c r="AA150" s="160">
        <v>3.0</v>
      </c>
      <c r="AB150" s="160">
        <v>26.0</v>
      </c>
      <c r="AC150" s="160">
        <v>5.0</v>
      </c>
      <c r="AD150" s="160">
        <v>28.0</v>
      </c>
      <c r="AE150" s="160">
        <v>1912.0</v>
      </c>
      <c r="AF150" s="160">
        <v>2415.0</v>
      </c>
      <c r="AG150" s="160">
        <v>296.0</v>
      </c>
      <c r="AH150" s="314">
        <f t="shared" si="2"/>
        <v>35842.23024</v>
      </c>
      <c r="AI150" s="314">
        <f t="shared" si="3"/>
        <v>8.158783784</v>
      </c>
      <c r="AJ150" s="316">
        <f t="shared" ref="AJ150:AJ151" si="98">BV150</f>
        <v>36188</v>
      </c>
      <c r="AK150" s="314">
        <f t="shared" si="63"/>
        <v>434256</v>
      </c>
      <c r="AL150" s="286">
        <v>206983.0</v>
      </c>
      <c r="AM150" s="318">
        <f t="shared" si="5"/>
        <v>0.06044121581</v>
      </c>
      <c r="AN150" s="314">
        <f t="shared" si="6"/>
        <v>89909.32331</v>
      </c>
      <c r="AO150" s="336">
        <f t="shared" si="95"/>
        <v>0.7072866767</v>
      </c>
      <c r="AP150" s="319">
        <v>0.0</v>
      </c>
      <c r="AQ150" s="160">
        <v>702.0</v>
      </c>
      <c r="AR150" s="160">
        <v>3481.0</v>
      </c>
      <c r="AS150" s="160">
        <v>4805.35</v>
      </c>
      <c r="AT150" s="160">
        <v>58.0</v>
      </c>
      <c r="AU150" s="160">
        <v>33.0</v>
      </c>
      <c r="AV150" s="320">
        <v>118.0</v>
      </c>
      <c r="AW150" s="320">
        <v>30.0</v>
      </c>
      <c r="AX150" s="320">
        <v>5.0</v>
      </c>
      <c r="AY150" s="321">
        <f>iferror(VLOOKUP(C150,'ORDER BOOKING REPORT 2025-26'!C:O,13,0),"")</f>
        <v>10362564.9</v>
      </c>
      <c r="AZ150" s="322"/>
      <c r="BA150" s="157" t="str">
        <f t="shared" si="7"/>
        <v>Active</v>
      </c>
      <c r="BB150" s="157" t="str">
        <f t="shared" si="8"/>
        <v>Old</v>
      </c>
      <c r="BC150" s="157" t="str">
        <f t="shared" si="96"/>
        <v>70%-90%</v>
      </c>
      <c r="BD150" s="223">
        <f t="shared" si="97"/>
        <v>12</v>
      </c>
      <c r="BE150" s="323">
        <v>1250000.0</v>
      </c>
      <c r="BF150" s="157">
        <f t="shared" si="10"/>
        <v>1</v>
      </c>
      <c r="BG150" s="157" t="s">
        <v>1019</v>
      </c>
      <c r="BH150" s="324"/>
      <c r="BI150" s="324"/>
      <c r="BJ150" s="325"/>
      <c r="BK150" s="326"/>
      <c r="BL150" s="326">
        <f t="shared" si="48"/>
        <v>0</v>
      </c>
      <c r="BM150" s="326">
        <f t="shared" si="12"/>
        <v>15000000</v>
      </c>
      <c r="BN150" s="326"/>
      <c r="BO150" s="327" t="str">
        <f>IFERROR(__xludf.DUMMYFUNCTION("IFERROR(ArrayFormula(SUM(VLOOKUP($C150,importrange(""1MwNMVzWE3QBVOyJjKr3eFX-Sq1Ng0Q1sghWJbgbE_8g"",""ORDER BOOKING REPORT 2024-25!C:CV""),{16,23,30},0))))"),"")</f>
        <v/>
      </c>
      <c r="BP150" s="327" t="str">
        <f>IFERROR(__xludf.DUMMYFUNCTION("IFERROR(ArrayFormula(SUM(VLOOKUP($C150,importrange(""1MwNMVzWE3QBVOyJjKr3eFX-Sq1Ng0Q1sghWJbgbE_8g"",""ORDER BOOKING REPORT 2024-25!C:CV""),{37,44,51},0))))"),"")</f>
        <v/>
      </c>
      <c r="BQ150" s="327" t="str">
        <f>IFERROR(__xludf.DUMMYFUNCTION("IFERROR(ArrayFormula(SUM(VLOOKUP($C150,importrange(""1MwNMVzWE3QBVOyJjKr3eFX-Sq1Ng0Q1sghWJbgbE_8g"",""ORDER BOOKING REPORT 2024-25!C:CV""),{58,65,72},0))))"),"")</f>
        <v/>
      </c>
      <c r="BR150" s="327" t="str">
        <f>IFERROR(__xludf.DUMMYFUNCTION("IFERROR(ArrayFormula(SUM(VLOOKUP($C150,importrange(""1MwNMVzWE3QBVOyJjKr3eFX-Sq1Ng0Q1sghWJbgbE_8g"",""ORDER BOOKING REPORT 2024-25!C:CV""),{79,86,93},0))))"),"")</f>
        <v/>
      </c>
      <c r="BS150" s="328">
        <f t="shared" si="13"/>
        <v>0.69083766</v>
      </c>
      <c r="BT150" s="328">
        <f t="shared" si="14"/>
        <v>0.06188033621</v>
      </c>
      <c r="BU150" s="234">
        <f t="shared" si="15"/>
        <v>0</v>
      </c>
      <c r="BV150" s="329">
        <v>36188.0</v>
      </c>
      <c r="BW150" s="329" t="s">
        <v>1029</v>
      </c>
      <c r="BX150" s="329">
        <v>1197.0</v>
      </c>
      <c r="BY150" s="234">
        <f t="shared" si="16"/>
        <v>0</v>
      </c>
      <c r="BZ150" s="234"/>
      <c r="CA150" s="234"/>
      <c r="CB150" s="234"/>
      <c r="CC150" s="234"/>
      <c r="CD150" s="234"/>
      <c r="CE150" s="234"/>
      <c r="CF150" s="234"/>
      <c r="CG150" s="234" t="str">
        <f t="shared" si="19"/>
        <v> </v>
      </c>
      <c r="CH150" s="234" t="str">
        <f t="shared" si="27"/>
        <v>Business Achieved 50%</v>
      </c>
      <c r="CI150" s="328">
        <f t="shared" si="20"/>
        <v>0.7712418301</v>
      </c>
      <c r="CJ150" s="339">
        <f>IFERROR(__xludf.DUMMYFUNCTION("""COMPUTED_VALUE"""),1700.0)</f>
        <v>1700</v>
      </c>
      <c r="CK150" s="339">
        <f>IFERROR(__xludf.DUMMYFUNCTION("""COMPUTED_VALUE"""),212.0)</f>
        <v>212</v>
      </c>
      <c r="CL150" s="339">
        <f>IFERROR(__xludf.DUMMYFUNCTION("""COMPUTED_VALUE"""),0.0)</f>
        <v>0</v>
      </c>
      <c r="CM150" s="331">
        <f t="shared" si="21"/>
        <v>0</v>
      </c>
      <c r="CN150" s="340"/>
      <c r="CO150" s="328"/>
      <c r="CP150" s="341"/>
      <c r="CQ150" s="344"/>
      <c r="CR150" s="328"/>
      <c r="CS150" s="328"/>
      <c r="CT150" s="328"/>
      <c r="CU150" s="328"/>
      <c r="CV150" s="328"/>
      <c r="CW150" s="328"/>
      <c r="CX150" s="288"/>
      <c r="CY150" s="328"/>
      <c r="CZ150" s="328"/>
    </row>
    <row r="151">
      <c r="A151" s="157" t="s">
        <v>185</v>
      </c>
      <c r="B151" s="157" t="s">
        <v>114</v>
      </c>
      <c r="C151" s="157" t="s">
        <v>124</v>
      </c>
      <c r="D151" s="157" t="s">
        <v>1051</v>
      </c>
      <c r="E151" s="157" t="s">
        <v>125</v>
      </c>
      <c r="F151" s="285">
        <v>45636.0</v>
      </c>
      <c r="G151" s="314">
        <v>0.0</v>
      </c>
      <c r="H151" s="314">
        <v>2.3375E7</v>
      </c>
      <c r="I151" s="315">
        <v>2.071891932E7</v>
      </c>
      <c r="J151" s="315">
        <v>0.0</v>
      </c>
      <c r="K151" s="160">
        <v>103.0</v>
      </c>
      <c r="L151" s="160">
        <v>197.0</v>
      </c>
      <c r="M151" s="160">
        <v>101.0</v>
      </c>
      <c r="N151" s="160">
        <v>204.0</v>
      </c>
      <c r="O151" s="160">
        <v>7.0</v>
      </c>
      <c r="P151" s="315">
        <v>8788190.36</v>
      </c>
      <c r="Q151" s="315">
        <v>1.193072896E7</v>
      </c>
      <c r="R151" s="160">
        <v>74.0</v>
      </c>
      <c r="S151" s="160">
        <v>101.0</v>
      </c>
      <c r="T151" s="160">
        <v>175.0</v>
      </c>
      <c r="U151" s="160">
        <v>0.0</v>
      </c>
      <c r="V151" s="160">
        <v>336.0</v>
      </c>
      <c r="W151" s="160">
        <v>761.0</v>
      </c>
      <c r="X151" s="160">
        <v>78.0</v>
      </c>
      <c r="Y151" s="160">
        <v>2.0</v>
      </c>
      <c r="Z151" s="160">
        <v>80.0</v>
      </c>
      <c r="AA151" s="160">
        <v>1.0</v>
      </c>
      <c r="AB151" s="160">
        <v>1.0</v>
      </c>
      <c r="AC151" s="160">
        <v>5.0</v>
      </c>
      <c r="AD151" s="160">
        <v>34.0</v>
      </c>
      <c r="AE151" s="160">
        <v>1241.0</v>
      </c>
      <c r="AF151" s="160">
        <v>2117.0</v>
      </c>
      <c r="AG151" s="160">
        <v>252.0</v>
      </c>
      <c r="AH151" s="314">
        <f t="shared" si="2"/>
        <v>82217.93381</v>
      </c>
      <c r="AI151" s="314">
        <f t="shared" si="3"/>
        <v>8.400793651</v>
      </c>
      <c r="AJ151" s="316">
        <f t="shared" si="98"/>
        <v>51910</v>
      </c>
      <c r="AK151" s="314">
        <f t="shared" si="63"/>
        <v>547650.5</v>
      </c>
      <c r="AL151" s="286">
        <v>152056.0</v>
      </c>
      <c r="AM151" s="318">
        <f t="shared" si="5"/>
        <v>0.03377138012</v>
      </c>
      <c r="AN151" s="314">
        <f t="shared" si="6"/>
        <v>118393.8247</v>
      </c>
      <c r="AO151" s="336">
        <f t="shared" si="95"/>
        <v>0.88637088</v>
      </c>
      <c r="AP151" s="319">
        <v>0.0</v>
      </c>
      <c r="AQ151" s="160">
        <v>506.0</v>
      </c>
      <c r="AR151" s="160">
        <v>2985.0</v>
      </c>
      <c r="AS151" s="160">
        <v>3241.88</v>
      </c>
      <c r="AT151" s="160">
        <v>101.0</v>
      </c>
      <c r="AU151" s="160">
        <v>16.0</v>
      </c>
      <c r="AV151" s="320">
        <v>175.0</v>
      </c>
      <c r="AW151" s="320">
        <v>26.0</v>
      </c>
      <c r="AX151" s="320">
        <v>3.0</v>
      </c>
      <c r="AY151" s="321">
        <f>iferror(VLOOKUP(C151,'ORDER BOOKING REPORT 2025-26'!C:O,13,0),"")</f>
        <v>17200892</v>
      </c>
      <c r="AZ151" s="322"/>
      <c r="BA151" s="157" t="str">
        <f t="shared" si="7"/>
        <v>Active</v>
      </c>
      <c r="BB151" s="157" t="str">
        <f t="shared" si="8"/>
        <v>Old</v>
      </c>
      <c r="BC151" s="157" t="str">
        <f t="shared" si="96"/>
        <v>70%-90%</v>
      </c>
      <c r="BD151" s="223">
        <v>10.55</v>
      </c>
      <c r="BE151" s="323">
        <v>2125000.0</v>
      </c>
      <c r="BF151" s="157">
        <f t="shared" si="10"/>
        <v>0</v>
      </c>
      <c r="BG151" s="157" t="s">
        <v>1019</v>
      </c>
      <c r="BH151" s="324"/>
      <c r="BI151" s="324"/>
      <c r="BJ151" s="343">
        <f>17/31</f>
        <v>0.5483870968</v>
      </c>
      <c r="BK151" s="326"/>
      <c r="BL151" s="326">
        <f t="shared" si="48"/>
        <v>0</v>
      </c>
      <c r="BM151" s="326">
        <f t="shared" si="12"/>
        <v>23375000</v>
      </c>
      <c r="BN151" s="326" t="s">
        <v>1109</v>
      </c>
      <c r="BO151" s="327" t="str">
        <f>IFERROR(__xludf.DUMMYFUNCTION("IFERROR(ArrayFormula(SUM(VLOOKUP($C151,importrange(""1MwNMVzWE3QBVOyJjKr3eFX-Sq1Ng0Q1sghWJbgbE_8g"",""ORDER BOOKING REPORT 2024-25!C:CV""),{16,23,30},0))))"),"")</f>
        <v/>
      </c>
      <c r="BP151" s="327" t="str">
        <f>IFERROR(__xludf.DUMMYFUNCTION("IFERROR(ArrayFormula(SUM(VLOOKUP($C151,importrange(""1MwNMVzWE3QBVOyJjKr3eFX-Sq1Ng0Q1sghWJbgbE_8g"",""ORDER BOOKING REPORT 2024-25!C:CV""),{37,44,51},0))))"),"")</f>
        <v/>
      </c>
      <c r="BQ151" s="327" t="str">
        <f>IFERROR(__xludf.DUMMYFUNCTION("IFERROR(ArrayFormula(SUM(VLOOKUP($C151,importrange(""1MwNMVzWE3QBVOyJjKr3eFX-Sq1Ng0Q1sghWJbgbE_8g"",""ORDER BOOKING REPORT 2024-25!C:CV""),{58,65,72},0))))"),"")</f>
        <v/>
      </c>
      <c r="BR151" s="327" t="str">
        <f>IFERROR(__xludf.DUMMYFUNCTION("IFERROR(ArrayFormula(SUM(VLOOKUP($C151,importrange(""1MwNMVzWE3QBVOyJjKr3eFX-Sq1Ng0Q1sghWJbgbE_8g"",""ORDER BOOKING REPORT 2024-25!C:CV""),{79,86,93},0))))"),"")</f>
        <v/>
      </c>
      <c r="BS151" s="328">
        <f t="shared" si="13"/>
        <v>0.7358670374</v>
      </c>
      <c r="BT151" s="328">
        <f t="shared" si="14"/>
        <v>0.04067850086</v>
      </c>
      <c r="BU151" s="234">
        <f t="shared" si="15"/>
        <v>0</v>
      </c>
      <c r="BV151" s="329">
        <v>51910.0</v>
      </c>
      <c r="BW151" s="329" t="s">
        <v>1020</v>
      </c>
      <c r="BX151" s="329">
        <v>1198.0</v>
      </c>
      <c r="BY151" s="234">
        <f t="shared" si="16"/>
        <v>0</v>
      </c>
      <c r="BZ151" s="234"/>
      <c r="CA151" s="234"/>
      <c r="CB151" s="234"/>
      <c r="CC151" s="234"/>
      <c r="CD151" s="234"/>
      <c r="CE151" s="234"/>
      <c r="CF151" s="234"/>
      <c r="CG151" s="234" t="str">
        <f t="shared" si="19"/>
        <v> </v>
      </c>
      <c r="CH151" s="234" t="str">
        <f t="shared" si="27"/>
        <v>Business Achieved 50%</v>
      </c>
      <c r="CI151" s="328">
        <f t="shared" si="20"/>
        <v>0.8578431373</v>
      </c>
      <c r="CJ151" s="339">
        <f>IFERROR(__xludf.DUMMYFUNCTION("""COMPUTED_VALUE"""),1081.0)</f>
        <v>1081</v>
      </c>
      <c r="CK151" s="339">
        <f>IFERROR(__xludf.DUMMYFUNCTION("""COMPUTED_VALUE"""),160.0)</f>
        <v>160</v>
      </c>
      <c r="CL151" s="339">
        <f>IFERROR(__xludf.DUMMYFUNCTION("""COMPUTED_VALUE"""),0.0)</f>
        <v>0</v>
      </c>
      <c r="CM151" s="331">
        <f t="shared" si="21"/>
        <v>0</v>
      </c>
      <c r="CN151" s="340"/>
      <c r="CO151" s="328"/>
      <c r="CP151" s="341"/>
      <c r="CQ151" s="344"/>
      <c r="CR151" s="328"/>
      <c r="CS151" s="328"/>
      <c r="CT151" s="328"/>
      <c r="CU151" s="328"/>
      <c r="CV151" s="328"/>
      <c r="CW151" s="328"/>
      <c r="CX151" s="288"/>
      <c r="CY151" s="328"/>
      <c r="CZ151" s="328"/>
    </row>
    <row r="152">
      <c r="A152" s="157" t="s">
        <v>185</v>
      </c>
      <c r="B152" s="157" t="s">
        <v>189</v>
      </c>
      <c r="C152" s="157" t="s">
        <v>275</v>
      </c>
      <c r="D152" s="157" t="s">
        <v>1016</v>
      </c>
      <c r="E152" s="157" t="s">
        <v>276</v>
      </c>
      <c r="F152" s="285">
        <v>45637.0</v>
      </c>
      <c r="G152" s="314">
        <v>0.0</v>
      </c>
      <c r="H152" s="314">
        <v>5.1E7</v>
      </c>
      <c r="I152" s="315">
        <v>3.972471627E7</v>
      </c>
      <c r="J152" s="315">
        <v>0.0</v>
      </c>
      <c r="K152" s="160">
        <v>79.0</v>
      </c>
      <c r="L152" s="160">
        <v>91.0</v>
      </c>
      <c r="M152" s="160">
        <v>13.0</v>
      </c>
      <c r="N152" s="160">
        <v>92.0</v>
      </c>
      <c r="O152" s="160">
        <v>1.0</v>
      </c>
      <c r="P152" s="315">
        <v>3.167032236E7</v>
      </c>
      <c r="Q152" s="315">
        <v>8054393.91</v>
      </c>
      <c r="R152" s="160">
        <v>55.0</v>
      </c>
      <c r="S152" s="160">
        <v>13.0</v>
      </c>
      <c r="T152" s="160">
        <v>68.0</v>
      </c>
      <c r="U152" s="160">
        <v>0.0</v>
      </c>
      <c r="V152" s="160">
        <v>19.0</v>
      </c>
      <c r="W152" s="160">
        <v>31.0</v>
      </c>
      <c r="X152" s="160">
        <v>17.0</v>
      </c>
      <c r="Y152" s="160">
        <v>2.0</v>
      </c>
      <c r="Z152" s="160">
        <v>39.0</v>
      </c>
      <c r="AA152" s="160">
        <v>0.0</v>
      </c>
      <c r="AB152" s="160">
        <v>0.0</v>
      </c>
      <c r="AC152" s="160">
        <v>0.0</v>
      </c>
      <c r="AD152" s="160">
        <v>0.0</v>
      </c>
      <c r="AE152" s="160">
        <v>1518.0</v>
      </c>
      <c r="AF152" s="160">
        <v>1588.0</v>
      </c>
      <c r="AG152" s="160">
        <v>296.0</v>
      </c>
      <c r="AH152" s="314">
        <f t="shared" si="2"/>
        <v>134205.1225</v>
      </c>
      <c r="AI152" s="314">
        <f t="shared" si="3"/>
        <v>5.364864865</v>
      </c>
      <c r="AJ152" s="346">
        <v>34090.0</v>
      </c>
      <c r="AK152" s="314">
        <f t="shared" si="63"/>
        <v>409080</v>
      </c>
      <c r="AL152" s="317">
        <v>132775.0</v>
      </c>
      <c r="AM152" s="318">
        <f t="shared" si="5"/>
        <v>0.01364024846</v>
      </c>
      <c r="AN152" s="314">
        <f t="shared" si="6"/>
        <v>584187.004</v>
      </c>
      <c r="AO152" s="336">
        <f t="shared" si="95"/>
        <v>0.7789160053</v>
      </c>
      <c r="AP152" s="319">
        <v>0.0</v>
      </c>
      <c r="AQ152" s="160">
        <v>407.0</v>
      </c>
      <c r="AR152" s="160">
        <v>3141.0</v>
      </c>
      <c r="AS152" s="160">
        <v>3765.71</v>
      </c>
      <c r="AT152" s="160">
        <v>13.0</v>
      </c>
      <c r="AU152" s="160">
        <v>41.0</v>
      </c>
      <c r="AV152" s="320">
        <v>68.0</v>
      </c>
      <c r="AW152" s="320">
        <v>23.0</v>
      </c>
      <c r="AX152" s="320">
        <v>1.0</v>
      </c>
      <c r="AY152" s="321">
        <f>iferror(VLOOKUP(C152,'ORDER BOOKING REPORT 2025-26'!C:O,13,0),"")</f>
        <v>42058964</v>
      </c>
      <c r="AZ152" s="322"/>
      <c r="BA152" s="157" t="str">
        <f t="shared" si="7"/>
        <v>Active</v>
      </c>
      <c r="BB152" s="157" t="str">
        <f t="shared" si="8"/>
        <v>Old</v>
      </c>
      <c r="BC152" s="157" t="str">
        <f t="shared" si="96"/>
        <v>70%-90%</v>
      </c>
      <c r="BD152" s="223">
        <f t="shared" ref="BD152:BD153" si="99">Match($BD$2,{"Apr","May","Jun","Jul","Aug","Sep","Oct","Nov","Dec","Jan","Feb","Mar"},0)</f>
        <v>12</v>
      </c>
      <c r="BE152" s="323">
        <v>4250000.0</v>
      </c>
      <c r="BF152" s="157">
        <f t="shared" si="10"/>
        <v>0</v>
      </c>
      <c r="BG152" s="157" t="s">
        <v>1019</v>
      </c>
      <c r="BH152" s="324"/>
      <c r="BI152" s="324"/>
      <c r="BJ152" s="325"/>
      <c r="BK152" s="326"/>
      <c r="BL152" s="326">
        <f t="shared" si="48"/>
        <v>0</v>
      </c>
      <c r="BM152" s="326">
        <f t="shared" si="12"/>
        <v>51000000</v>
      </c>
      <c r="BN152" s="326"/>
      <c r="BO152" s="327" t="str">
        <f>IFERROR(__xludf.DUMMYFUNCTION("IFERROR(ArrayFormula(SUM(VLOOKUP($C152,importrange(""1MwNMVzWE3QBVOyJjKr3eFX-Sq1Ng0Q1sghWJbgbE_8g"",""ORDER BOOKING REPORT 2024-25!C:CV""),{16,23,30},0))))"),"")</f>
        <v/>
      </c>
      <c r="BP152" s="327" t="str">
        <f>IFERROR(__xludf.DUMMYFUNCTION("IFERROR(ArrayFormula(SUM(VLOOKUP($C152,importrange(""1MwNMVzWE3QBVOyJjKr3eFX-Sq1Ng0Q1sghWJbgbE_8g"",""ORDER BOOKING REPORT 2024-25!C:CV""),{37,44,51},0))))"),"")</f>
        <v/>
      </c>
      <c r="BQ152" s="327" t="str">
        <f>IFERROR(__xludf.DUMMYFUNCTION("IFERROR(ArrayFormula(SUM(VLOOKUP($C152,importrange(""1MwNMVzWE3QBVOyJjKr3eFX-Sq1Ng0Q1sghWJbgbE_8g"",""ORDER BOOKING REPORT 2024-25!C:CV""),{58,65,72},0))))"),"")</f>
        <v/>
      </c>
      <c r="BR152" s="327" t="str">
        <f>IFERROR(__xludf.DUMMYFUNCTION("IFERROR(ArrayFormula(SUM(VLOOKUP($C152,importrange(""1MwNMVzWE3QBVOyJjKr3eFX-Sq1Ng0Q1sghWJbgbE_8g"",""ORDER BOOKING REPORT 2024-25!C:CV""),{79,86,93},0))))"),"")</f>
        <v/>
      </c>
      <c r="BS152" s="328">
        <f t="shared" si="13"/>
        <v>0.8246855686</v>
      </c>
      <c r="BT152" s="328">
        <f t="shared" si="14"/>
        <v>0.01288322271</v>
      </c>
      <c r="BU152" s="234">
        <f t="shared" si="15"/>
        <v>0</v>
      </c>
      <c r="BV152" s="329">
        <v>34090.0</v>
      </c>
      <c r="BW152" s="329" t="s">
        <v>1045</v>
      </c>
      <c r="BX152" s="329">
        <v>1199.0</v>
      </c>
      <c r="BY152" s="234">
        <f t="shared" si="16"/>
        <v>0</v>
      </c>
      <c r="BZ152" s="234"/>
      <c r="CA152" s="234"/>
      <c r="CB152" s="234"/>
      <c r="CC152" s="234"/>
      <c r="CD152" s="234"/>
      <c r="CE152" s="234"/>
      <c r="CF152" s="234"/>
      <c r="CG152" s="234" t="str">
        <f t="shared" si="19"/>
        <v> </v>
      </c>
      <c r="CH152" s="234" t="str">
        <f t="shared" si="27"/>
        <v>Business Achieved 50%</v>
      </c>
      <c r="CI152" s="328">
        <f t="shared" si="20"/>
        <v>0.7391304348</v>
      </c>
      <c r="CJ152" s="330">
        <f>IFERROR(__xludf.DUMMYFUNCTION("""COMPUTED_VALUE"""),1331.0)</f>
        <v>1331</v>
      </c>
      <c r="CK152" s="330">
        <f>IFERROR(__xludf.DUMMYFUNCTION("""COMPUTED_VALUE"""),187.0)</f>
        <v>187</v>
      </c>
      <c r="CL152" s="330">
        <f>IFERROR(__xludf.DUMMYFUNCTION("""COMPUTED_VALUE"""),0.0)</f>
        <v>0</v>
      </c>
      <c r="CM152" s="331">
        <f t="shared" si="21"/>
        <v>0</v>
      </c>
      <c r="CN152" s="337"/>
      <c r="CO152" s="160"/>
      <c r="CP152" s="334"/>
      <c r="CQ152" s="335"/>
      <c r="CR152" s="160"/>
      <c r="CS152" s="160"/>
      <c r="CT152" s="160"/>
      <c r="CU152" s="160"/>
      <c r="CV152" s="160"/>
      <c r="CW152" s="335"/>
      <c r="CX152" s="288"/>
      <c r="CY152" s="160"/>
      <c r="CZ152" s="160"/>
    </row>
    <row r="153">
      <c r="A153" s="157" t="s">
        <v>322</v>
      </c>
      <c r="B153" s="157" t="s">
        <v>325</v>
      </c>
      <c r="C153" s="157" t="s">
        <v>326</v>
      </c>
      <c r="D153" s="157" t="s">
        <v>1049</v>
      </c>
      <c r="E153" s="157" t="s">
        <v>327</v>
      </c>
      <c r="F153" s="285">
        <v>45638.0</v>
      </c>
      <c r="G153" s="314">
        <v>0.0</v>
      </c>
      <c r="H153" s="314">
        <v>1.2500004E7</v>
      </c>
      <c r="I153" s="315">
        <v>244183.86</v>
      </c>
      <c r="J153" s="315">
        <v>0.0</v>
      </c>
      <c r="K153" s="160">
        <v>100.0</v>
      </c>
      <c r="L153" s="160">
        <v>20.0</v>
      </c>
      <c r="M153" s="160">
        <v>1.0</v>
      </c>
      <c r="N153" s="160">
        <v>101.0</v>
      </c>
      <c r="O153" s="160">
        <v>81.0</v>
      </c>
      <c r="P153" s="315">
        <v>244183.86</v>
      </c>
      <c r="Q153" s="315">
        <v>0.0</v>
      </c>
      <c r="R153" s="160">
        <v>16.0</v>
      </c>
      <c r="S153" s="160">
        <v>0.0</v>
      </c>
      <c r="T153" s="160">
        <v>16.0</v>
      </c>
      <c r="U153" s="160">
        <v>0.0</v>
      </c>
      <c r="V153" s="160">
        <v>218.0</v>
      </c>
      <c r="W153" s="160">
        <v>586.0</v>
      </c>
      <c r="X153" s="160">
        <v>124.0</v>
      </c>
      <c r="Y153" s="160">
        <v>2.0</v>
      </c>
      <c r="Z153" s="160">
        <v>81.0</v>
      </c>
      <c r="AA153" s="160">
        <v>0.0</v>
      </c>
      <c r="AB153" s="160">
        <v>0.0</v>
      </c>
      <c r="AC153" s="160">
        <v>0.0</v>
      </c>
      <c r="AD153" s="160">
        <v>0.0</v>
      </c>
      <c r="AE153" s="160">
        <v>28.0</v>
      </c>
      <c r="AF153" s="160">
        <v>695.0</v>
      </c>
      <c r="AG153" s="160">
        <v>261.0</v>
      </c>
      <c r="AH153" s="314">
        <f t="shared" si="2"/>
        <v>935.5703448</v>
      </c>
      <c r="AI153" s="314">
        <f t="shared" si="3"/>
        <v>2.662835249</v>
      </c>
      <c r="AJ153" s="346">
        <v>47720.0</v>
      </c>
      <c r="AK153" s="314">
        <f t="shared" si="63"/>
        <v>572640</v>
      </c>
      <c r="AL153" s="317">
        <v>142607.0</v>
      </c>
      <c r="AM153" s="318">
        <f t="shared" si="5"/>
        <v>2.92913299</v>
      </c>
      <c r="AN153" s="314">
        <f t="shared" si="6"/>
        <v>15261.49125</v>
      </c>
      <c r="AO153" s="336">
        <f t="shared" si="95"/>
        <v>0.01953470255</v>
      </c>
      <c r="AP153" s="319">
        <v>0.0</v>
      </c>
      <c r="AQ153" s="160">
        <v>30.0</v>
      </c>
      <c r="AR153" s="160">
        <v>2924.0</v>
      </c>
      <c r="AS153" s="160">
        <v>2775.07</v>
      </c>
      <c r="AT153" s="160">
        <v>0.0</v>
      </c>
      <c r="AU153" s="160">
        <v>139.0</v>
      </c>
      <c r="AV153" s="320">
        <v>16.0</v>
      </c>
      <c r="AW153" s="320">
        <v>14.0</v>
      </c>
      <c r="AX153" s="320">
        <v>71.0</v>
      </c>
      <c r="AY153" s="321">
        <f>iferror(VLOOKUP(C153,'ORDER BOOKING REPORT 2025-26'!C:O,13,0),"")</f>
        <v>0</v>
      </c>
      <c r="AZ153" s="322"/>
      <c r="BA153" s="157" t="str">
        <f t="shared" si="7"/>
        <v>Active</v>
      </c>
      <c r="BB153" s="157" t="str">
        <f t="shared" si="8"/>
        <v>Old</v>
      </c>
      <c r="BC153" s="157" t="str">
        <f t="shared" si="96"/>
        <v>Below 50%</v>
      </c>
      <c r="BD153" s="223">
        <f t="shared" si="99"/>
        <v>12</v>
      </c>
      <c r="BE153" s="323">
        <v>1041667.0</v>
      </c>
      <c r="BF153" s="157">
        <f t="shared" si="10"/>
        <v>1</v>
      </c>
      <c r="BG153" s="157" t="s">
        <v>1019</v>
      </c>
      <c r="BH153" s="324"/>
      <c r="BI153" s="324"/>
      <c r="BJ153" s="325"/>
      <c r="BK153" s="326"/>
      <c r="BL153" s="326">
        <f t="shared" si="48"/>
        <v>0</v>
      </c>
      <c r="BM153" s="326">
        <f t="shared" si="12"/>
        <v>12500004</v>
      </c>
      <c r="BN153" s="326"/>
      <c r="BO153" s="327" t="str">
        <f>IFERROR(__xludf.DUMMYFUNCTION("IFERROR(ArrayFormula(SUM(VLOOKUP($C153,importrange(""1MwNMVzWE3QBVOyJjKr3eFX-Sq1Ng0Q1sghWJbgbE_8g"",""ORDER BOOKING REPORT 2024-25!C:CV""),{16,23,30},0))))"),"")</f>
        <v/>
      </c>
      <c r="BP153" s="327" t="str">
        <f>IFERROR(__xludf.DUMMYFUNCTION("IFERROR(ArrayFormula(SUM(VLOOKUP($C153,importrange(""1MwNMVzWE3QBVOyJjKr3eFX-Sq1Ng0Q1sghWJbgbE_8g"",""ORDER BOOKING REPORT 2024-25!C:CV""),{37,44,51},0))))"),"")</f>
        <v/>
      </c>
      <c r="BQ153" s="327" t="str">
        <f>IFERROR(__xludf.DUMMYFUNCTION("IFERROR(ArrayFormula(SUM(VLOOKUP($C153,importrange(""1MwNMVzWE3QBVOyJjKr3eFX-Sq1Ng0Q1sghWJbgbE_8g"",""ORDER BOOKING REPORT 2024-25!C:CV""),{58,65,72},0))))"),"")</f>
        <v/>
      </c>
      <c r="BR153" s="327" t="str">
        <f>IFERROR(__xludf.DUMMYFUNCTION("IFERROR(ArrayFormula(SUM(VLOOKUP($C153,importrange(""1MwNMVzWE3QBVOyJjKr3eFX-Sq1Ng0Q1sghWJbgbE_8g"",""ORDER BOOKING REPORT 2024-25!C:CV""),{79,86,93},0))))"),"")</f>
        <v/>
      </c>
      <c r="BS153" s="328">
        <f t="shared" si="13"/>
        <v>0</v>
      </c>
      <c r="BT153" s="328" t="str">
        <f t="shared" si="14"/>
        <v/>
      </c>
      <c r="BU153" s="234">
        <f t="shared" si="15"/>
        <v>0</v>
      </c>
      <c r="BV153" s="329">
        <v>47720.0</v>
      </c>
      <c r="BW153" s="329" t="s">
        <v>1020</v>
      </c>
      <c r="BX153" s="329">
        <v>1200.0</v>
      </c>
      <c r="BY153" s="234">
        <f t="shared" si="16"/>
        <v>0</v>
      </c>
      <c r="BZ153" s="234"/>
      <c r="CA153" s="234"/>
      <c r="CB153" s="234"/>
      <c r="CC153" s="234"/>
      <c r="CD153" s="234"/>
      <c r="CE153" s="234"/>
      <c r="CF153" s="234"/>
      <c r="CG153" s="234" t="str">
        <f t="shared" si="19"/>
        <v> </v>
      </c>
      <c r="CH153" s="234" t="str">
        <f t="shared" si="27"/>
        <v>Not 50%</v>
      </c>
      <c r="CI153" s="328">
        <f t="shared" si="20"/>
        <v>0.1584158416</v>
      </c>
      <c r="CJ153" s="330">
        <f>IFERROR(__xludf.DUMMYFUNCTION("""COMPUTED_VALUE"""),9.0)</f>
        <v>9</v>
      </c>
      <c r="CK153" s="330">
        <f>IFERROR(__xludf.DUMMYFUNCTION("""COMPUTED_VALUE"""),19.0)</f>
        <v>19</v>
      </c>
      <c r="CL153" s="330">
        <f>IFERROR(__xludf.DUMMYFUNCTION("""COMPUTED_VALUE"""),0.0)</f>
        <v>0</v>
      </c>
      <c r="CM153" s="331">
        <f t="shared" si="21"/>
        <v>0</v>
      </c>
      <c r="CN153" s="337"/>
      <c r="CO153" s="160"/>
      <c r="CP153" s="334"/>
      <c r="CQ153" s="335"/>
      <c r="CR153" s="160"/>
      <c r="CS153" s="160"/>
      <c r="CT153" s="160"/>
      <c r="CU153" s="160"/>
      <c r="CV153" s="160"/>
      <c r="CW153" s="335"/>
      <c r="CX153" s="288"/>
      <c r="CY153" s="160"/>
      <c r="CZ153" s="160"/>
    </row>
    <row r="154">
      <c r="A154" s="157" t="s">
        <v>126</v>
      </c>
      <c r="B154" s="157" t="s">
        <v>130</v>
      </c>
      <c r="C154" s="157" t="s">
        <v>446</v>
      </c>
      <c r="D154" s="157" t="s">
        <v>130</v>
      </c>
      <c r="E154" s="157" t="s">
        <v>129</v>
      </c>
      <c r="F154" s="285">
        <v>45639.0</v>
      </c>
      <c r="G154" s="314">
        <v>0.0</v>
      </c>
      <c r="H154" s="314">
        <v>1.0750002E7</v>
      </c>
      <c r="I154" s="315">
        <v>4367670.1</v>
      </c>
      <c r="J154" s="315">
        <v>0.0</v>
      </c>
      <c r="K154" s="160">
        <v>41.0</v>
      </c>
      <c r="L154" s="160">
        <v>52.0</v>
      </c>
      <c r="M154" s="160">
        <v>19.0</v>
      </c>
      <c r="N154" s="160">
        <v>60.0</v>
      </c>
      <c r="O154" s="160">
        <v>8.0</v>
      </c>
      <c r="P154" s="315">
        <v>3150576.37</v>
      </c>
      <c r="Q154" s="315">
        <v>1217093.73</v>
      </c>
      <c r="R154" s="160">
        <v>27.0</v>
      </c>
      <c r="S154" s="160">
        <v>18.0</v>
      </c>
      <c r="T154" s="160">
        <v>45.0</v>
      </c>
      <c r="U154" s="160">
        <v>0.0</v>
      </c>
      <c r="V154" s="160">
        <v>86.0</v>
      </c>
      <c r="W154" s="160">
        <v>173.0</v>
      </c>
      <c r="X154" s="160">
        <v>37.0</v>
      </c>
      <c r="Y154" s="160">
        <v>4.0</v>
      </c>
      <c r="Z154" s="160">
        <v>101.0</v>
      </c>
      <c r="AA154" s="160">
        <v>0.0</v>
      </c>
      <c r="AB154" s="160">
        <v>0.0</v>
      </c>
      <c r="AC154" s="160">
        <v>0.0</v>
      </c>
      <c r="AD154" s="160">
        <v>0.0</v>
      </c>
      <c r="AE154" s="160">
        <v>430.0</v>
      </c>
      <c r="AF154" s="160">
        <v>704.0</v>
      </c>
      <c r="AG154" s="160">
        <v>126.0</v>
      </c>
      <c r="AH154" s="314">
        <f t="shared" si="2"/>
        <v>34664.04841</v>
      </c>
      <c r="AI154" s="314">
        <f t="shared" si="3"/>
        <v>5.587301587</v>
      </c>
      <c r="AJ154" s="316">
        <f>BV154</f>
        <v>35140</v>
      </c>
      <c r="AK154" s="314">
        <f t="shared" si="63"/>
        <v>190810.2</v>
      </c>
      <c r="AL154" s="286">
        <v>48733.0</v>
      </c>
      <c r="AM154" s="318">
        <f t="shared" si="5"/>
        <v>0.05484461842</v>
      </c>
      <c r="AN154" s="314">
        <f t="shared" si="6"/>
        <v>97059.33556</v>
      </c>
      <c r="AO154" s="336">
        <f t="shared" si="95"/>
        <v>0.4062948174</v>
      </c>
      <c r="AP154" s="319">
        <v>0.0</v>
      </c>
      <c r="AQ154" s="160">
        <v>103.0</v>
      </c>
      <c r="AR154" s="160">
        <v>1014.0</v>
      </c>
      <c r="AS154" s="160">
        <v>0.0</v>
      </c>
      <c r="AT154" s="160">
        <v>18.0</v>
      </c>
      <c r="AU154" s="160">
        <v>0.0</v>
      </c>
      <c r="AV154" s="320">
        <v>45.0</v>
      </c>
      <c r="AW154" s="320">
        <v>10.0</v>
      </c>
      <c r="AX154" s="320">
        <v>5.0</v>
      </c>
      <c r="AY154" s="321">
        <f>iferror(VLOOKUP(C154,'ORDER BOOKING REPORT 2025-26'!C:O,13,0),"")</f>
        <v>3354528</v>
      </c>
      <c r="AZ154" s="322">
        <v>45913.0</v>
      </c>
      <c r="BA154" s="157" t="str">
        <f t="shared" si="7"/>
        <v>LEFT</v>
      </c>
      <c r="BB154" s="157" t="str">
        <f t="shared" si="8"/>
        <v>Old</v>
      </c>
      <c r="BC154" s="157" t="str">
        <f t="shared" si="96"/>
        <v>Below 50%</v>
      </c>
      <c r="BD154" s="350">
        <v>5.43</v>
      </c>
      <c r="BE154" s="323">
        <v>1791667.0</v>
      </c>
      <c r="BF154" s="157">
        <f t="shared" si="10"/>
        <v>1</v>
      </c>
      <c r="BG154" s="157" t="s">
        <v>1019</v>
      </c>
      <c r="BH154" s="324"/>
      <c r="BI154" s="324"/>
      <c r="BJ154" s="325"/>
      <c r="BK154" s="326"/>
      <c r="BL154" s="326">
        <f t="shared" si="48"/>
        <v>0</v>
      </c>
      <c r="BM154" s="326">
        <f t="shared" si="12"/>
        <v>10750002</v>
      </c>
      <c r="BN154" s="326"/>
      <c r="BO154" s="327" t="str">
        <f>IFERROR(__xludf.DUMMYFUNCTION("IFERROR(ArrayFormula(SUM(VLOOKUP($C154,importrange(""1MwNMVzWE3QBVOyJjKr3eFX-Sq1Ng0Q1sghWJbgbE_8g"",""ORDER BOOKING REPORT 2024-25!C:CV""),{16,23,30},0))))"),"")</f>
        <v/>
      </c>
      <c r="BP154" s="327" t="str">
        <f>IFERROR(__xludf.DUMMYFUNCTION("IFERROR(ArrayFormula(SUM(VLOOKUP($C154,importrange(""1MwNMVzWE3QBVOyJjKr3eFX-Sq1Ng0Q1sghWJbgbE_8g"",""ORDER BOOKING REPORT 2024-25!C:CV""),{37,44,51},0))))"),"")</f>
        <v/>
      </c>
      <c r="BQ154" s="327" t="str">
        <f>IFERROR(__xludf.DUMMYFUNCTION("IFERROR(ArrayFormula(SUM(VLOOKUP($C154,importrange(""1MwNMVzWE3QBVOyJjKr3eFX-Sq1Ng0Q1sghWJbgbE_8g"",""ORDER BOOKING REPORT 2024-25!C:CV""),{58,65,72},0))))"),"")</f>
        <v/>
      </c>
      <c r="BR154" s="327" t="str">
        <f>IFERROR(__xludf.DUMMYFUNCTION("IFERROR(ArrayFormula(SUM(VLOOKUP($C154,importrange(""1MwNMVzWE3QBVOyJjKr3eFX-Sq1Ng0Q1sghWJbgbE_8g"",""ORDER BOOKING REPORT 2024-25!C:CV""),{79,86,93},0))))"),"")</f>
        <v/>
      </c>
      <c r="BS154" s="328">
        <f t="shared" si="13"/>
        <v>0.3120490582</v>
      </c>
      <c r="BT154" s="328">
        <f t="shared" si="14"/>
        <v>0.07140891356</v>
      </c>
      <c r="BU154" s="234">
        <f t="shared" si="15"/>
        <v>0</v>
      </c>
      <c r="BV154" s="329">
        <v>35140.0</v>
      </c>
      <c r="BW154" s="329" t="s">
        <v>1029</v>
      </c>
      <c r="BX154" s="329">
        <v>1201.0</v>
      </c>
      <c r="BY154" s="234">
        <f t="shared" si="16"/>
        <v>0</v>
      </c>
      <c r="BZ154" s="234"/>
      <c r="CA154" s="234">
        <f>BE154*BD154</f>
        <v>9728751.81</v>
      </c>
      <c r="CB154" s="234"/>
      <c r="CC154" s="234">
        <f>CA154-H154</f>
        <v>-1021250.19</v>
      </c>
      <c r="CD154" s="234"/>
      <c r="CE154" s="234"/>
      <c r="CF154" s="234"/>
      <c r="CG154" s="234" t="str">
        <f t="shared" si="19"/>
        <v> </v>
      </c>
      <c r="CH154" s="234" t="str">
        <f t="shared" si="27"/>
        <v>Business Achieved 50%</v>
      </c>
      <c r="CI154" s="328">
        <f t="shared" si="20"/>
        <v>0.75</v>
      </c>
      <c r="CJ154" s="339">
        <f>IFERROR(__xludf.DUMMYFUNCTION("""COMPUTED_VALUE"""),372.0)</f>
        <v>372</v>
      </c>
      <c r="CK154" s="339">
        <f>IFERROR(__xludf.DUMMYFUNCTION("""COMPUTED_VALUE"""),58.0)</f>
        <v>58</v>
      </c>
      <c r="CL154" s="339">
        <f>IFERROR(__xludf.DUMMYFUNCTION("""COMPUTED_VALUE"""),0.0)</f>
        <v>0</v>
      </c>
      <c r="CM154" s="331">
        <f t="shared" si="21"/>
        <v>0</v>
      </c>
      <c r="CN154" s="340"/>
      <c r="CO154" s="328"/>
      <c r="CP154" s="341"/>
      <c r="CQ154" s="344"/>
      <c r="CR154" s="328"/>
      <c r="CS154" s="328"/>
      <c r="CT154" s="328"/>
      <c r="CU154" s="328"/>
      <c r="CV154" s="328"/>
      <c r="CW154" s="328"/>
      <c r="CX154" s="288"/>
      <c r="CY154" s="328"/>
      <c r="CZ154" s="328"/>
    </row>
    <row r="155">
      <c r="A155" s="157" t="s">
        <v>185</v>
      </c>
      <c r="B155" s="157" t="s">
        <v>215</v>
      </c>
      <c r="C155" s="157" t="s">
        <v>277</v>
      </c>
      <c r="D155" s="157" t="s">
        <v>1064</v>
      </c>
      <c r="E155" s="157" t="s">
        <v>278</v>
      </c>
      <c r="F155" s="285">
        <v>45639.0</v>
      </c>
      <c r="G155" s="314">
        <v>0.0</v>
      </c>
      <c r="H155" s="314">
        <v>2.4E7</v>
      </c>
      <c r="I155" s="315">
        <v>2.07364068E7</v>
      </c>
      <c r="J155" s="315">
        <v>0.0</v>
      </c>
      <c r="K155" s="160">
        <v>84.0</v>
      </c>
      <c r="L155" s="160">
        <v>96.0</v>
      </c>
      <c r="M155" s="160">
        <v>22.0</v>
      </c>
      <c r="N155" s="160">
        <v>106.0</v>
      </c>
      <c r="O155" s="160">
        <v>10.0</v>
      </c>
      <c r="P155" s="315">
        <v>1.685675655E7</v>
      </c>
      <c r="Q155" s="315">
        <v>3879650.25</v>
      </c>
      <c r="R155" s="160">
        <v>44.0</v>
      </c>
      <c r="S155" s="160">
        <v>21.0</v>
      </c>
      <c r="T155" s="160">
        <v>65.0</v>
      </c>
      <c r="U155" s="160">
        <v>0.0</v>
      </c>
      <c r="V155" s="160">
        <v>171.0</v>
      </c>
      <c r="W155" s="160">
        <v>334.0</v>
      </c>
      <c r="X155" s="160">
        <v>68.0</v>
      </c>
      <c r="Y155" s="160">
        <v>1.0</v>
      </c>
      <c r="Z155" s="160">
        <v>90.0</v>
      </c>
      <c r="AA155" s="160">
        <v>0.0</v>
      </c>
      <c r="AB155" s="160">
        <v>0.0</v>
      </c>
      <c r="AC155" s="160">
        <v>0.0</v>
      </c>
      <c r="AD155" s="160">
        <v>0.0</v>
      </c>
      <c r="AE155" s="160">
        <v>902.0</v>
      </c>
      <c r="AF155" s="160">
        <v>1326.0</v>
      </c>
      <c r="AG155" s="160">
        <v>287.0</v>
      </c>
      <c r="AH155" s="314">
        <f t="shared" si="2"/>
        <v>72252.2885</v>
      </c>
      <c r="AI155" s="314">
        <f t="shared" si="3"/>
        <v>4.620209059</v>
      </c>
      <c r="AJ155" s="316">
        <v>33568.0</v>
      </c>
      <c r="AK155" s="314">
        <f t="shared" si="63"/>
        <v>402816</v>
      </c>
      <c r="AL155" s="317">
        <v>132464.0</v>
      </c>
      <c r="AM155" s="318">
        <f t="shared" si="5"/>
        <v>0.0258135368</v>
      </c>
      <c r="AN155" s="314">
        <f t="shared" si="6"/>
        <v>319021.6431</v>
      </c>
      <c r="AO155" s="336">
        <f t="shared" si="95"/>
        <v>0.86401695</v>
      </c>
      <c r="AP155" s="319">
        <v>0.0</v>
      </c>
      <c r="AQ155" s="160">
        <v>258.0</v>
      </c>
      <c r="AR155" s="160">
        <v>2681.0</v>
      </c>
      <c r="AS155" s="160">
        <v>2187.25</v>
      </c>
      <c r="AT155" s="160">
        <v>21.0</v>
      </c>
      <c r="AU155" s="160">
        <v>23.0</v>
      </c>
      <c r="AV155" s="320">
        <v>65.0</v>
      </c>
      <c r="AW155" s="320">
        <v>32.0</v>
      </c>
      <c r="AX155" s="320">
        <v>9.0</v>
      </c>
      <c r="AY155" s="321">
        <f>iferror(VLOOKUP(C155,'ORDER BOOKING REPORT 2025-26'!C:O,13,0),"")</f>
        <v>21341808.6</v>
      </c>
      <c r="AZ155" s="322"/>
      <c r="BA155" s="157" t="str">
        <f t="shared" si="7"/>
        <v>Active</v>
      </c>
      <c r="BB155" s="157" t="str">
        <f t="shared" si="8"/>
        <v>Old</v>
      </c>
      <c r="BC155" s="157" t="str">
        <f t="shared" si="96"/>
        <v>70%-90%</v>
      </c>
      <c r="BD155" s="223">
        <f t="shared" ref="BD155:BD156" si="100">Match($BD$2,{"Apr","May","Jun","Jul","Aug","Sep","Oct","Nov","Dec","Jan","Feb","Mar"},0)</f>
        <v>12</v>
      </c>
      <c r="BE155" s="323">
        <v>2000000.0</v>
      </c>
      <c r="BF155" s="157">
        <f t="shared" si="10"/>
        <v>1</v>
      </c>
      <c r="BG155" s="157" t="s">
        <v>1019</v>
      </c>
      <c r="BH155" s="324"/>
      <c r="BI155" s="324"/>
      <c r="BJ155" s="325"/>
      <c r="BK155" s="326"/>
      <c r="BL155" s="326">
        <f t="shared" si="48"/>
        <v>0</v>
      </c>
      <c r="BM155" s="326">
        <f t="shared" si="12"/>
        <v>24000000</v>
      </c>
      <c r="BN155" s="326"/>
      <c r="BO155" s="327" t="str">
        <f>IFERROR(__xludf.DUMMYFUNCTION("IFERROR(ArrayFormula(SUM(VLOOKUP($C155,importrange(""1MwNMVzWE3QBVOyJjKr3eFX-Sq1Ng0Q1sghWJbgbE_8g"",""ORDER BOOKING REPORT 2024-25!C:CV""),{16,23,30},0))))"),"")</f>
        <v/>
      </c>
      <c r="BP155" s="327" t="str">
        <f>IFERROR(__xludf.DUMMYFUNCTION("IFERROR(ArrayFormula(SUM(VLOOKUP($C155,importrange(""1MwNMVzWE3QBVOyJjKr3eFX-Sq1Ng0Q1sghWJbgbE_8g"",""ORDER BOOKING REPORT 2024-25!C:CV""),{37,44,51},0))))"),"")</f>
        <v/>
      </c>
      <c r="BQ155" s="327" t="str">
        <f>IFERROR(__xludf.DUMMYFUNCTION("IFERROR(ArrayFormula(SUM(VLOOKUP($C155,importrange(""1MwNMVzWE3QBVOyJjKr3eFX-Sq1Ng0Q1sghWJbgbE_8g"",""ORDER BOOKING REPORT 2024-25!C:CV""),{58,65,72},0))))"),"")</f>
        <v/>
      </c>
      <c r="BR155" s="327" t="str">
        <f>IFERROR(__xludf.DUMMYFUNCTION("IFERROR(ArrayFormula(SUM(VLOOKUP($C155,importrange(""1MwNMVzWE3QBVOyJjKr3eFX-Sq1Ng0Q1sghWJbgbE_8g"",""ORDER BOOKING REPORT 2024-25!C:CV""),{79,86,93},0))))"),"")</f>
        <v/>
      </c>
      <c r="BS155" s="328">
        <f t="shared" si="13"/>
        <v>0.889242025</v>
      </c>
      <c r="BT155" s="328">
        <f t="shared" si="14"/>
        <v>0.02508128575</v>
      </c>
      <c r="BU155" s="234">
        <f t="shared" si="15"/>
        <v>0</v>
      </c>
      <c r="BV155" s="329">
        <v>33568.0</v>
      </c>
      <c r="BW155" s="329" t="s">
        <v>1045</v>
      </c>
      <c r="BX155" s="329">
        <v>1202.0</v>
      </c>
      <c r="BY155" s="234">
        <f t="shared" si="16"/>
        <v>0</v>
      </c>
      <c r="BZ155" s="234"/>
      <c r="CA155" s="234"/>
      <c r="CB155" s="234"/>
      <c r="CC155" s="234"/>
      <c r="CD155" s="234"/>
      <c r="CE155" s="234"/>
      <c r="CF155" s="234"/>
      <c r="CG155" s="234" t="str">
        <f t="shared" si="19"/>
        <v> </v>
      </c>
      <c r="CH155" s="234" t="str">
        <f t="shared" si="27"/>
        <v>Business Achieved 50%</v>
      </c>
      <c r="CI155" s="328">
        <f t="shared" si="20"/>
        <v>0.6132075472</v>
      </c>
      <c r="CJ155" s="330">
        <f>IFERROR(__xludf.DUMMYFUNCTION("""COMPUTED_VALUE"""),730.0)</f>
        <v>730</v>
      </c>
      <c r="CK155" s="330">
        <f>IFERROR(__xludf.DUMMYFUNCTION("""COMPUTED_VALUE"""),172.0)</f>
        <v>172</v>
      </c>
      <c r="CL155" s="330">
        <f>IFERROR(__xludf.DUMMYFUNCTION("""COMPUTED_VALUE"""),0.0)</f>
        <v>0</v>
      </c>
      <c r="CM155" s="331">
        <f t="shared" si="21"/>
        <v>0</v>
      </c>
      <c r="CN155" s="337"/>
      <c r="CO155" s="160"/>
      <c r="CP155" s="334"/>
      <c r="CQ155" s="335"/>
      <c r="CR155" s="160"/>
      <c r="CS155" s="160"/>
      <c r="CT155" s="160"/>
      <c r="CU155" s="160"/>
      <c r="CV155" s="160"/>
      <c r="CW155" s="335"/>
      <c r="CX155" s="288"/>
      <c r="CY155" s="160"/>
      <c r="CZ155" s="160"/>
    </row>
    <row r="156">
      <c r="A156" s="157" t="s">
        <v>185</v>
      </c>
      <c r="B156" s="157" t="s">
        <v>212</v>
      </c>
      <c r="C156" s="157" t="s">
        <v>279</v>
      </c>
      <c r="D156" s="157" t="s">
        <v>1031</v>
      </c>
      <c r="E156" s="157" t="s">
        <v>280</v>
      </c>
      <c r="F156" s="285">
        <v>45640.0</v>
      </c>
      <c r="G156" s="314">
        <v>0.0</v>
      </c>
      <c r="H156" s="314">
        <v>2.4E7</v>
      </c>
      <c r="I156" s="315">
        <v>1.814205379E7</v>
      </c>
      <c r="J156" s="315">
        <v>0.0</v>
      </c>
      <c r="K156" s="160">
        <v>17.0</v>
      </c>
      <c r="L156" s="160">
        <v>26.0</v>
      </c>
      <c r="M156" s="160">
        <v>9.0</v>
      </c>
      <c r="N156" s="160">
        <v>26.0</v>
      </c>
      <c r="O156" s="160">
        <v>0.0</v>
      </c>
      <c r="P156" s="315">
        <v>1.375208773E7</v>
      </c>
      <c r="Q156" s="315">
        <v>4389966.06</v>
      </c>
      <c r="R156" s="160">
        <v>16.0</v>
      </c>
      <c r="S156" s="160">
        <v>9.0</v>
      </c>
      <c r="T156" s="160">
        <v>25.0</v>
      </c>
      <c r="U156" s="160">
        <v>0.0</v>
      </c>
      <c r="V156" s="160">
        <v>96.0</v>
      </c>
      <c r="W156" s="160">
        <v>265.0</v>
      </c>
      <c r="X156" s="160">
        <v>20.0</v>
      </c>
      <c r="Y156" s="160">
        <v>1.0</v>
      </c>
      <c r="Z156" s="160">
        <v>40.0</v>
      </c>
      <c r="AA156" s="160">
        <v>0.0</v>
      </c>
      <c r="AB156" s="160">
        <v>0.0</v>
      </c>
      <c r="AC156" s="160">
        <v>0.0</v>
      </c>
      <c r="AD156" s="160">
        <v>0.0</v>
      </c>
      <c r="AE156" s="160">
        <v>659.0</v>
      </c>
      <c r="AF156" s="160">
        <v>964.0</v>
      </c>
      <c r="AG156" s="160">
        <v>254.0</v>
      </c>
      <c r="AH156" s="314">
        <f t="shared" si="2"/>
        <v>71425.40862</v>
      </c>
      <c r="AI156" s="314">
        <f t="shared" si="3"/>
        <v>3.795275591</v>
      </c>
      <c r="AJ156" s="346">
        <v>28850.0</v>
      </c>
      <c r="AK156" s="314">
        <f t="shared" si="63"/>
        <v>346200</v>
      </c>
      <c r="AL156" s="317">
        <v>106415.0</v>
      </c>
      <c r="AM156" s="318">
        <f t="shared" si="5"/>
        <v>0.02494838816</v>
      </c>
      <c r="AN156" s="314">
        <f t="shared" si="6"/>
        <v>725682.1516</v>
      </c>
      <c r="AO156" s="336">
        <f t="shared" si="95"/>
        <v>0.7559189079</v>
      </c>
      <c r="AP156" s="319">
        <v>0.0</v>
      </c>
      <c r="AQ156" s="160">
        <v>240.0</v>
      </c>
      <c r="AR156" s="160">
        <v>2788.0</v>
      </c>
      <c r="AS156" s="160">
        <v>1963.27</v>
      </c>
      <c r="AT156" s="160">
        <v>9.0</v>
      </c>
      <c r="AU156" s="160">
        <v>76.0</v>
      </c>
      <c r="AV156" s="320">
        <v>25.0</v>
      </c>
      <c r="AW156" s="320">
        <v>1.0</v>
      </c>
      <c r="AX156" s="320">
        <v>0.0</v>
      </c>
      <c r="AY156" s="321">
        <f>iferror(VLOOKUP(C156,'ORDER BOOKING REPORT 2025-26'!C:O,13,0),"")</f>
        <v>19972615.82</v>
      </c>
      <c r="AZ156" s="322"/>
      <c r="BA156" s="157" t="str">
        <f t="shared" si="7"/>
        <v>Active</v>
      </c>
      <c r="BB156" s="157" t="str">
        <f t="shared" si="8"/>
        <v>Old</v>
      </c>
      <c r="BC156" s="157" t="str">
        <f t="shared" si="96"/>
        <v>70%-90%</v>
      </c>
      <c r="BD156" s="223">
        <f t="shared" si="100"/>
        <v>12</v>
      </c>
      <c r="BE156" s="323">
        <v>2000000.0</v>
      </c>
      <c r="BF156" s="157">
        <f t="shared" si="10"/>
        <v>0</v>
      </c>
      <c r="BG156" s="157" t="s">
        <v>1019</v>
      </c>
      <c r="BH156" s="324"/>
      <c r="BI156" s="324"/>
      <c r="BJ156" s="325"/>
      <c r="BK156" s="326"/>
      <c r="BL156" s="326">
        <f t="shared" si="48"/>
        <v>0</v>
      </c>
      <c r="BM156" s="326">
        <f t="shared" si="12"/>
        <v>24000000</v>
      </c>
      <c r="BN156" s="326"/>
      <c r="BO156" s="327" t="str">
        <f>IFERROR(__xludf.DUMMYFUNCTION("IFERROR(ArrayFormula(SUM(VLOOKUP($C156,importrange(""1MwNMVzWE3QBVOyJjKr3eFX-Sq1Ng0Q1sghWJbgbE_8g"",""ORDER BOOKING REPORT 2024-25!C:CV""),{16,23,30},0))))"),"")</f>
        <v/>
      </c>
      <c r="BP156" s="327" t="str">
        <f>IFERROR(__xludf.DUMMYFUNCTION("IFERROR(ArrayFormula(SUM(VLOOKUP($C156,importrange(""1MwNMVzWE3QBVOyJjKr3eFX-Sq1Ng0Q1sghWJbgbE_8g"",""ORDER BOOKING REPORT 2024-25!C:CV""),{37,44,51},0))))"),"")</f>
        <v/>
      </c>
      <c r="BQ156" s="327" t="str">
        <f>IFERROR(__xludf.DUMMYFUNCTION("IFERROR(ArrayFormula(SUM(VLOOKUP($C156,importrange(""1MwNMVzWE3QBVOyJjKr3eFX-Sq1Ng0Q1sghWJbgbE_8g"",""ORDER BOOKING REPORT 2024-25!C:CV""),{58,65,72},0))))"),"")</f>
        <v/>
      </c>
      <c r="BR156" s="327" t="str">
        <f>IFERROR(__xludf.DUMMYFUNCTION("IFERROR(ArrayFormula(SUM(VLOOKUP($C156,importrange(""1MwNMVzWE3QBVOyJjKr3eFX-Sq1Ng0Q1sghWJbgbE_8g"",""ORDER BOOKING REPORT 2024-25!C:CV""),{79,86,93},0))))"),"")</f>
        <v/>
      </c>
      <c r="BS156" s="328">
        <f t="shared" si="13"/>
        <v>0.8321923258</v>
      </c>
      <c r="BT156" s="328">
        <f t="shared" si="14"/>
        <v>0.02266177871</v>
      </c>
      <c r="BU156" s="234">
        <f t="shared" si="15"/>
        <v>0</v>
      </c>
      <c r="BV156" s="329">
        <v>28850.0</v>
      </c>
      <c r="BW156" s="329" t="s">
        <v>1045</v>
      </c>
      <c r="BX156" s="329">
        <v>1204.0</v>
      </c>
      <c r="BY156" s="234">
        <f t="shared" si="16"/>
        <v>0</v>
      </c>
      <c r="BZ156" s="234"/>
      <c r="CA156" s="234"/>
      <c r="CB156" s="234"/>
      <c r="CC156" s="234"/>
      <c r="CD156" s="234"/>
      <c r="CE156" s="234"/>
      <c r="CF156" s="234"/>
      <c r="CG156" s="234" t="str">
        <f t="shared" si="19"/>
        <v>Below 60</v>
      </c>
      <c r="CH156" s="234" t="str">
        <f t="shared" si="27"/>
        <v>Business Achieved 50%</v>
      </c>
      <c r="CI156" s="328">
        <f t="shared" si="20"/>
        <v>0.9615384615</v>
      </c>
      <c r="CJ156" s="330">
        <f>IFERROR(__xludf.DUMMYFUNCTION("""COMPUTED_VALUE"""),656.0)</f>
        <v>656</v>
      </c>
      <c r="CK156" s="330">
        <f>IFERROR(__xludf.DUMMYFUNCTION("""COMPUTED_VALUE"""),3.0)</f>
        <v>3</v>
      </c>
      <c r="CL156" s="330">
        <f>IFERROR(__xludf.DUMMYFUNCTION("""COMPUTED_VALUE"""),0.0)</f>
        <v>0</v>
      </c>
      <c r="CM156" s="331">
        <f t="shared" si="21"/>
        <v>0</v>
      </c>
      <c r="CN156" s="337"/>
      <c r="CO156" s="160"/>
      <c r="CP156" s="334"/>
      <c r="CQ156" s="335"/>
      <c r="CR156" s="160"/>
      <c r="CS156" s="160"/>
      <c r="CT156" s="160"/>
      <c r="CU156" s="160"/>
      <c r="CV156" s="160"/>
      <c r="CW156" s="335"/>
      <c r="CX156" s="288"/>
      <c r="CY156" s="160"/>
      <c r="CZ156" s="160"/>
    </row>
    <row r="157">
      <c r="A157" s="157" t="s">
        <v>185</v>
      </c>
      <c r="B157" s="157" t="s">
        <v>85</v>
      </c>
      <c r="C157" s="157" t="s">
        <v>388</v>
      </c>
      <c r="D157" s="157" t="s">
        <v>1058</v>
      </c>
      <c r="E157" s="157" t="s">
        <v>389</v>
      </c>
      <c r="F157" s="285">
        <v>45646.0</v>
      </c>
      <c r="G157" s="314">
        <v>0.0</v>
      </c>
      <c r="H157" s="314">
        <v>0.0</v>
      </c>
      <c r="I157" s="315">
        <v>47630.0</v>
      </c>
      <c r="J157" s="315">
        <v>0.0</v>
      </c>
      <c r="K157" s="160">
        <v>32.0</v>
      </c>
      <c r="L157" s="160">
        <v>14.0</v>
      </c>
      <c r="M157" s="160">
        <v>4.0</v>
      </c>
      <c r="N157" s="160">
        <v>36.0</v>
      </c>
      <c r="O157" s="160">
        <v>22.0</v>
      </c>
      <c r="P157" s="315">
        <v>47630.0</v>
      </c>
      <c r="Q157" s="315">
        <v>0.0</v>
      </c>
      <c r="R157" s="160">
        <v>8.0</v>
      </c>
      <c r="S157" s="160">
        <v>0.0</v>
      </c>
      <c r="T157" s="160">
        <v>8.0</v>
      </c>
      <c r="U157" s="160">
        <v>0.0</v>
      </c>
      <c r="V157" s="160">
        <v>17.0</v>
      </c>
      <c r="W157" s="160">
        <v>18.0</v>
      </c>
      <c r="X157" s="160">
        <v>75.0</v>
      </c>
      <c r="Y157" s="160">
        <v>1.0</v>
      </c>
      <c r="Z157" s="160">
        <v>2.0</v>
      </c>
      <c r="AA157" s="160">
        <v>0.0</v>
      </c>
      <c r="AB157" s="160">
        <v>0.0</v>
      </c>
      <c r="AC157" s="160">
        <v>0.0</v>
      </c>
      <c r="AD157" s="160">
        <v>0.0</v>
      </c>
      <c r="AE157" s="160">
        <v>19.0</v>
      </c>
      <c r="AF157" s="160">
        <v>39.0</v>
      </c>
      <c r="AG157" s="160">
        <v>11.0</v>
      </c>
      <c r="AH157" s="314">
        <f t="shared" si="2"/>
        <v>4330</v>
      </c>
      <c r="AI157" s="314">
        <f t="shared" si="3"/>
        <v>3.545454545</v>
      </c>
      <c r="AJ157" s="346">
        <v>33570.0</v>
      </c>
      <c r="AK157" s="314">
        <f t="shared" si="63"/>
        <v>16785</v>
      </c>
      <c r="AL157" s="286">
        <v>5260.0</v>
      </c>
      <c r="AM157" s="318">
        <f t="shared" si="5"/>
        <v>0.4628385471</v>
      </c>
      <c r="AN157" s="314">
        <f t="shared" si="6"/>
        <v>5953.75</v>
      </c>
      <c r="AO157" s="286" t="s">
        <v>972</v>
      </c>
      <c r="AP157" s="319">
        <v>0.0</v>
      </c>
      <c r="AQ157" s="160">
        <v>9.0</v>
      </c>
      <c r="AR157" s="160">
        <v>107.0</v>
      </c>
      <c r="AS157" s="160">
        <v>0.0</v>
      </c>
      <c r="AT157" s="160">
        <v>0.0</v>
      </c>
      <c r="AU157" s="160">
        <v>0.0</v>
      </c>
      <c r="AV157" s="320">
        <v>8.0</v>
      </c>
      <c r="AW157" s="320">
        <v>6.0</v>
      </c>
      <c r="AX157" s="320">
        <v>22.0</v>
      </c>
      <c r="AY157" s="321">
        <f>iferror(VLOOKUP(C157,'ORDER BOOKING REPORT 2025-26'!C:O,13,0),"")</f>
        <v>0</v>
      </c>
      <c r="AZ157" s="345">
        <v>45762.0</v>
      </c>
      <c r="BA157" s="157" t="str">
        <f t="shared" si="7"/>
        <v>LEFT</v>
      </c>
      <c r="BB157" s="157" t="str">
        <f t="shared" si="8"/>
        <v>Old</v>
      </c>
      <c r="BC157" s="160" t="s">
        <v>972</v>
      </c>
      <c r="BD157" s="223">
        <v>0.5</v>
      </c>
      <c r="BE157" s="323"/>
      <c r="BF157" s="157">
        <f t="shared" si="10"/>
        <v>4</v>
      </c>
      <c r="BG157" s="157" t="s">
        <v>1019</v>
      </c>
      <c r="BH157" s="324"/>
      <c r="BI157" s="324"/>
      <c r="BJ157" s="343">
        <f>15/30</f>
        <v>0.5</v>
      </c>
      <c r="BK157" s="347"/>
      <c r="BL157" s="326">
        <f t="shared" si="48"/>
        <v>0</v>
      </c>
      <c r="BM157" s="326">
        <f t="shared" si="12"/>
        <v>0</v>
      </c>
      <c r="BN157" s="326"/>
      <c r="BO157" s="327" t="str">
        <f>IFERROR(__xludf.DUMMYFUNCTION("IFERROR(ArrayFormula(SUM(VLOOKUP($C157,importrange(""1MwNMVzWE3QBVOyJjKr3eFX-Sq1Ng0Q1sghWJbgbE_8g"",""ORDER BOOKING REPORT 2024-25!C:CV""),{16,23,30},0))))"),"")</f>
        <v/>
      </c>
      <c r="BP157" s="327" t="str">
        <f>IFERROR(__xludf.DUMMYFUNCTION("IFERROR(ArrayFormula(SUM(VLOOKUP($C157,importrange(""1MwNMVzWE3QBVOyJjKr3eFX-Sq1Ng0Q1sghWJbgbE_8g"",""ORDER BOOKING REPORT 2024-25!C:CV""),{37,44,51},0))))"),"")</f>
        <v/>
      </c>
      <c r="BQ157" s="327" t="str">
        <f>IFERROR(__xludf.DUMMYFUNCTION("IFERROR(ArrayFormula(SUM(VLOOKUP($C157,importrange(""1MwNMVzWE3QBVOyJjKr3eFX-Sq1Ng0Q1sghWJbgbE_8g"",""ORDER BOOKING REPORT 2024-25!C:CV""),{58,65,72},0))))"),"")</f>
        <v/>
      </c>
      <c r="BR157" s="327" t="str">
        <f>IFERROR(__xludf.DUMMYFUNCTION("IFERROR(ArrayFormula(SUM(VLOOKUP($C157,importrange(""1MwNMVzWE3QBVOyJjKr3eFX-Sq1Ng0Q1sghWJbgbE_8g"",""ORDER BOOKING REPORT 2024-25!C:CV""),{79,86,93},0))))"),"")</f>
        <v/>
      </c>
      <c r="BS157" s="328" t="str">
        <f t="shared" si="13"/>
        <v/>
      </c>
      <c r="BT157" s="328" t="str">
        <f t="shared" si="14"/>
        <v/>
      </c>
      <c r="BU157" s="234">
        <f t="shared" si="15"/>
        <v>0</v>
      </c>
      <c r="BV157" s="329"/>
      <c r="BW157" s="329"/>
      <c r="BX157" s="329"/>
      <c r="BY157" s="234">
        <f t="shared" si="16"/>
        <v>-33570</v>
      </c>
      <c r="BZ157" s="234"/>
      <c r="CA157" s="234"/>
      <c r="CB157" s="234"/>
      <c r="CC157" s="234"/>
      <c r="CD157" s="234"/>
      <c r="CE157" s="234"/>
      <c r="CF157" s="234"/>
      <c r="CG157" s="234" t="str">
        <f t="shared" si="19"/>
        <v>Below 60</v>
      </c>
      <c r="CH157" s="234" t="str">
        <f t="shared" si="27"/>
        <v>Not 50%</v>
      </c>
      <c r="CI157" s="328">
        <f t="shared" si="20"/>
        <v>0.2222222222</v>
      </c>
      <c r="CJ157" s="339">
        <f>IFERROR(__xludf.DUMMYFUNCTION("""COMPUTED_VALUE"""),11.0)</f>
        <v>11</v>
      </c>
      <c r="CK157" s="339">
        <f>IFERROR(__xludf.DUMMYFUNCTION("""COMPUTED_VALUE"""),8.0)</f>
        <v>8</v>
      </c>
      <c r="CL157" s="339">
        <f>IFERROR(__xludf.DUMMYFUNCTION("""COMPUTED_VALUE"""),0.0)</f>
        <v>0</v>
      </c>
      <c r="CM157" s="331">
        <f t="shared" si="21"/>
        <v>0</v>
      </c>
      <c r="CN157" s="340"/>
      <c r="CO157" s="328"/>
      <c r="CP157" s="341"/>
      <c r="CQ157" s="344"/>
      <c r="CR157" s="328"/>
      <c r="CS157" s="328"/>
      <c r="CT157" s="328"/>
      <c r="CU157" s="328"/>
      <c r="CV157" s="328"/>
      <c r="CW157" s="328"/>
      <c r="CX157" s="288"/>
      <c r="CY157" s="328"/>
      <c r="CZ157" s="328"/>
    </row>
    <row r="158">
      <c r="A158" s="157" t="s">
        <v>298</v>
      </c>
      <c r="B158" s="157" t="s">
        <v>301</v>
      </c>
      <c r="C158" s="157" t="s">
        <v>356</v>
      </c>
      <c r="D158" s="157" t="s">
        <v>1066</v>
      </c>
      <c r="E158" s="157" t="s">
        <v>319</v>
      </c>
      <c r="F158" s="285">
        <v>45651.0</v>
      </c>
      <c r="G158" s="314">
        <v>0.0</v>
      </c>
      <c r="H158" s="314">
        <v>5000000.0</v>
      </c>
      <c r="I158" s="315">
        <v>1792672.44</v>
      </c>
      <c r="J158" s="315">
        <v>0.0</v>
      </c>
      <c r="K158" s="160">
        <v>73.0</v>
      </c>
      <c r="L158" s="160">
        <v>76.0</v>
      </c>
      <c r="M158" s="160">
        <v>8.0</v>
      </c>
      <c r="N158" s="160">
        <v>81.0</v>
      </c>
      <c r="O158" s="160">
        <v>5.0</v>
      </c>
      <c r="P158" s="315">
        <v>1183649.19</v>
      </c>
      <c r="Q158" s="315">
        <v>609023.25</v>
      </c>
      <c r="R158" s="160">
        <v>22.0</v>
      </c>
      <c r="S158" s="160">
        <v>6.0</v>
      </c>
      <c r="T158" s="160">
        <v>28.0</v>
      </c>
      <c r="U158" s="160">
        <v>0.0</v>
      </c>
      <c r="V158" s="160">
        <v>57.0</v>
      </c>
      <c r="W158" s="160">
        <v>115.0</v>
      </c>
      <c r="X158" s="160">
        <v>16.0</v>
      </c>
      <c r="Y158" s="160">
        <v>1.0</v>
      </c>
      <c r="Z158" s="160">
        <v>51.0</v>
      </c>
      <c r="AA158" s="160">
        <v>0.0</v>
      </c>
      <c r="AB158" s="160">
        <v>0.0</v>
      </c>
      <c r="AC158" s="160">
        <v>0.0</v>
      </c>
      <c r="AD158" s="160">
        <v>0.0</v>
      </c>
      <c r="AE158" s="160">
        <v>296.0</v>
      </c>
      <c r="AF158" s="160">
        <v>462.0</v>
      </c>
      <c r="AG158" s="160">
        <v>114.0</v>
      </c>
      <c r="AH158" s="314">
        <f t="shared" si="2"/>
        <v>15725.19684</v>
      </c>
      <c r="AI158" s="314">
        <f t="shared" si="3"/>
        <v>4.052631579</v>
      </c>
      <c r="AJ158" s="346">
        <v>25165.0</v>
      </c>
      <c r="AK158" s="314">
        <f t="shared" si="63"/>
        <v>125825</v>
      </c>
      <c r="AL158" s="317">
        <v>81389.0</v>
      </c>
      <c r="AM158" s="318">
        <f t="shared" si="5"/>
        <v>0.1155894381</v>
      </c>
      <c r="AN158" s="314">
        <f t="shared" si="6"/>
        <v>64024.01571</v>
      </c>
      <c r="AO158" s="336">
        <f t="shared" ref="AO158:AO160" si="101">iferror(sum(I158:J158)/Sum(G158:H158),"")</f>
        <v>0.358534488</v>
      </c>
      <c r="AP158" s="319">
        <v>0.0</v>
      </c>
      <c r="AQ158" s="160">
        <v>64.0</v>
      </c>
      <c r="AR158" s="160">
        <v>1156.0</v>
      </c>
      <c r="AS158" s="160">
        <v>0.0</v>
      </c>
      <c r="AT158" s="160">
        <v>6.0</v>
      </c>
      <c r="AU158" s="160">
        <v>0.0</v>
      </c>
      <c r="AV158" s="320">
        <v>28.0</v>
      </c>
      <c r="AW158" s="320">
        <v>48.0</v>
      </c>
      <c r="AX158" s="320">
        <v>5.0</v>
      </c>
      <c r="AY158" s="321">
        <f>iferror(VLOOKUP(C158,'ORDER BOOKING REPORT 2025-26'!C:O,13,0),"")</f>
        <v>2689539</v>
      </c>
      <c r="AZ158" s="322">
        <v>45899.0</v>
      </c>
      <c r="BA158" s="157" t="str">
        <f t="shared" si="7"/>
        <v>LEFT</v>
      </c>
      <c r="BB158" s="157" t="str">
        <f t="shared" si="8"/>
        <v>Old</v>
      </c>
      <c r="BC158" s="157" t="str">
        <f t="shared" ref="BC158:BC160" si="102">IFS(AO158&lt;50%,"Below 50%",AO158&lt;70%,"50%-70%",AO158&lt;90%,"70%-90%",AO158&lt;100%,"90%-100%",AO158&gt;100%,"Above 100%")</f>
        <v>Below 50%</v>
      </c>
      <c r="BD158" s="223">
        <v>5.0</v>
      </c>
      <c r="BE158" s="326">
        <v>1000000.0</v>
      </c>
      <c r="BF158" s="157">
        <f t="shared" si="10"/>
        <v>2</v>
      </c>
      <c r="BG158" s="157" t="s">
        <v>1019</v>
      </c>
      <c r="BH158" s="324"/>
      <c r="BI158" s="324"/>
      <c r="BJ158" s="343"/>
      <c r="BK158" s="326"/>
      <c r="BL158" s="326">
        <f t="shared" si="48"/>
        <v>0</v>
      </c>
      <c r="BM158" s="326">
        <f t="shared" si="12"/>
        <v>5000000</v>
      </c>
      <c r="BN158" s="326"/>
      <c r="BO158" s="327" t="str">
        <f>IFERROR(__xludf.DUMMYFUNCTION("IFERROR(ArrayFormula(SUM(VLOOKUP($C158,importrange(""1MwNMVzWE3QBVOyJjKr3eFX-Sq1Ng0Q1sghWJbgbE_8g"",""ORDER BOOKING REPORT 2024-25!C:CV""),{16,23,30},0))))"),"")</f>
        <v/>
      </c>
      <c r="BP158" s="327" t="str">
        <f>IFERROR(__xludf.DUMMYFUNCTION("IFERROR(ArrayFormula(SUM(VLOOKUP($C158,importrange(""1MwNMVzWE3QBVOyJjKr3eFX-Sq1Ng0Q1sghWJbgbE_8g"",""ORDER BOOKING REPORT 2024-25!C:CV""),{37,44,51},0))))"),"")</f>
        <v/>
      </c>
      <c r="BQ158" s="327" t="str">
        <f>IFERROR(__xludf.DUMMYFUNCTION("IFERROR(ArrayFormula(SUM(VLOOKUP($C158,importrange(""1MwNMVzWE3QBVOyJjKr3eFX-Sq1Ng0Q1sghWJbgbE_8g"",""ORDER BOOKING REPORT 2024-25!C:CV""),{58,65,72},0))))"),"")</f>
        <v/>
      </c>
      <c r="BR158" s="327" t="str">
        <f>IFERROR(__xludf.DUMMYFUNCTION("IFERROR(ArrayFormula(SUM(VLOOKUP($C158,importrange(""1MwNMVzWE3QBVOyJjKr3eFX-Sq1Ng0Q1sghWJbgbE_8g"",""ORDER BOOKING REPORT 2024-25!C:CV""),{79,86,93},0))))"),"")</f>
        <v/>
      </c>
      <c r="BS158" s="328">
        <f t="shared" si="13"/>
        <v>0.5379078</v>
      </c>
      <c r="BT158" s="328">
        <f t="shared" si="14"/>
        <v>0.07704443029</v>
      </c>
      <c r="BU158" s="234">
        <f t="shared" si="15"/>
        <v>0</v>
      </c>
      <c r="BV158" s="329">
        <v>25165.0</v>
      </c>
      <c r="BW158" s="329" t="s">
        <v>1045</v>
      </c>
      <c r="BX158" s="329">
        <v>1208.0</v>
      </c>
      <c r="BY158" s="234">
        <f t="shared" si="16"/>
        <v>0</v>
      </c>
      <c r="BZ158" s="234"/>
      <c r="CA158" s="234"/>
      <c r="CB158" s="234"/>
      <c r="CC158" s="234"/>
      <c r="CD158" s="234"/>
      <c r="CE158" s="234"/>
      <c r="CF158" s="234"/>
      <c r="CG158" s="234" t="str">
        <f t="shared" si="19"/>
        <v> </v>
      </c>
      <c r="CH158" s="234" t="str">
        <f t="shared" si="27"/>
        <v>Not 50%</v>
      </c>
      <c r="CI158" s="328">
        <f t="shared" si="20"/>
        <v>0.3456790123</v>
      </c>
      <c r="CJ158" s="330">
        <f>IFERROR(__xludf.DUMMYFUNCTION("""COMPUTED_VALUE"""),161.0)</f>
        <v>161</v>
      </c>
      <c r="CK158" s="330">
        <f>IFERROR(__xludf.DUMMYFUNCTION("""COMPUTED_VALUE"""),135.0)</f>
        <v>135</v>
      </c>
      <c r="CL158" s="330">
        <f>IFERROR(__xludf.DUMMYFUNCTION("""COMPUTED_VALUE"""),0.0)</f>
        <v>0</v>
      </c>
      <c r="CM158" s="331">
        <f t="shared" si="21"/>
        <v>0</v>
      </c>
      <c r="CN158" s="337"/>
      <c r="CO158" s="160"/>
      <c r="CP158" s="334"/>
      <c r="CQ158" s="335"/>
      <c r="CR158" s="160"/>
      <c r="CS158" s="160"/>
      <c r="CT158" s="160"/>
      <c r="CU158" s="160"/>
      <c r="CV158" s="160"/>
      <c r="CW158" s="335"/>
      <c r="CX158" s="288"/>
      <c r="CY158" s="160"/>
      <c r="CZ158" s="160"/>
    </row>
    <row r="159">
      <c r="A159" s="157" t="s">
        <v>23</v>
      </c>
      <c r="B159" s="157" t="s">
        <v>37</v>
      </c>
      <c r="C159" s="157" t="s">
        <v>35</v>
      </c>
      <c r="D159" s="157" t="s">
        <v>1110</v>
      </c>
      <c r="E159" s="157" t="s">
        <v>36</v>
      </c>
      <c r="F159" s="338">
        <v>45658.0</v>
      </c>
      <c r="G159" s="314">
        <v>0.0</v>
      </c>
      <c r="H159" s="314">
        <v>1.44E7</v>
      </c>
      <c r="I159" s="315">
        <v>7218770.47</v>
      </c>
      <c r="J159" s="315">
        <v>0.0</v>
      </c>
      <c r="K159" s="160">
        <v>14.0</v>
      </c>
      <c r="L159" s="160">
        <v>82.0</v>
      </c>
      <c r="M159" s="160">
        <v>73.0</v>
      </c>
      <c r="N159" s="160">
        <v>87.0</v>
      </c>
      <c r="O159" s="160">
        <v>5.0</v>
      </c>
      <c r="P159" s="315">
        <v>925850.23</v>
      </c>
      <c r="Q159" s="315">
        <v>6292920.24</v>
      </c>
      <c r="R159" s="160">
        <v>8.0</v>
      </c>
      <c r="S159" s="160">
        <v>73.0</v>
      </c>
      <c r="T159" s="160">
        <v>81.0</v>
      </c>
      <c r="U159" s="160">
        <v>0.0</v>
      </c>
      <c r="V159" s="160">
        <v>230.0</v>
      </c>
      <c r="W159" s="160">
        <v>547.0</v>
      </c>
      <c r="X159" s="160">
        <v>38.0</v>
      </c>
      <c r="Y159" s="160">
        <v>7.0</v>
      </c>
      <c r="Z159" s="160">
        <v>155.0</v>
      </c>
      <c r="AA159" s="160">
        <v>1.0</v>
      </c>
      <c r="AB159" s="160">
        <v>16.0</v>
      </c>
      <c r="AC159" s="160">
        <v>63.0</v>
      </c>
      <c r="AD159" s="160">
        <v>367.0</v>
      </c>
      <c r="AE159" s="160">
        <v>611.0</v>
      </c>
      <c r="AF159" s="160">
        <v>1696.0</v>
      </c>
      <c r="AG159" s="160">
        <v>298.0</v>
      </c>
      <c r="AH159" s="314">
        <f t="shared" si="2"/>
        <v>24224.06198</v>
      </c>
      <c r="AI159" s="314">
        <f t="shared" si="3"/>
        <v>5.691275168</v>
      </c>
      <c r="AJ159" s="316">
        <f t="shared" ref="AJ159:AJ160" si="103">BV159</f>
        <v>31455</v>
      </c>
      <c r="AK159" s="314">
        <f t="shared" si="63"/>
        <v>377460</v>
      </c>
      <c r="AL159" s="286">
        <v>134634.0</v>
      </c>
      <c r="AM159" s="318">
        <f t="shared" si="5"/>
        <v>0.07093922741</v>
      </c>
      <c r="AN159" s="314">
        <f t="shared" si="6"/>
        <v>89120.62309</v>
      </c>
      <c r="AO159" s="336">
        <f t="shared" si="101"/>
        <v>0.5013035049</v>
      </c>
      <c r="AP159" s="319">
        <v>0.0</v>
      </c>
      <c r="AQ159" s="160">
        <v>283.0</v>
      </c>
      <c r="AR159" s="160">
        <v>2797.0</v>
      </c>
      <c r="AS159" s="160">
        <v>3652.68</v>
      </c>
      <c r="AT159" s="160">
        <v>73.0</v>
      </c>
      <c r="AU159" s="160">
        <v>45.0</v>
      </c>
      <c r="AV159" s="320">
        <v>81.0</v>
      </c>
      <c r="AW159" s="320">
        <v>5.0</v>
      </c>
      <c r="AX159" s="320">
        <v>1.0</v>
      </c>
      <c r="AY159" s="321">
        <f>iferror(VLOOKUP(C159,'ORDER BOOKING REPORT 2025-26'!C:O,13,0),"")</f>
        <v>7122755</v>
      </c>
      <c r="AZ159" s="322"/>
      <c r="BA159" s="157" t="str">
        <f t="shared" si="7"/>
        <v>Active</v>
      </c>
      <c r="BB159" s="157" t="str">
        <f t="shared" si="8"/>
        <v>Old</v>
      </c>
      <c r="BC159" s="157" t="str">
        <f t="shared" si="102"/>
        <v>50%-70%</v>
      </c>
      <c r="BD159" s="223">
        <f t="shared" ref="BD159:BD160" si="104">Match($BD$2,{"Apr","May","Jun","Jul","Aug","Sep","Oct","Nov","Dec","Jan","Feb","Mar"},0)</f>
        <v>12</v>
      </c>
      <c r="BE159" s="323">
        <v>1200000.0</v>
      </c>
      <c r="BF159" s="157">
        <f t="shared" si="10"/>
        <v>0</v>
      </c>
      <c r="BG159" s="157" t="s">
        <v>1019</v>
      </c>
      <c r="BH159" s="324"/>
      <c r="BI159" s="324"/>
      <c r="BJ159" s="325"/>
      <c r="BK159" s="326"/>
      <c r="BL159" s="326">
        <f t="shared" si="48"/>
        <v>0</v>
      </c>
      <c r="BM159" s="326">
        <f t="shared" si="12"/>
        <v>14400000</v>
      </c>
      <c r="BN159" s="326"/>
      <c r="BO159" s="327" t="str">
        <f>IFERROR(__xludf.DUMMYFUNCTION("IFERROR(ArrayFormula(SUM(VLOOKUP($C159,importrange(""1MwNMVzWE3QBVOyJjKr3eFX-Sq1Ng0Q1sghWJbgbE_8g"",""ORDER BOOKING REPORT 2024-25!C:CV""),{16,23,30},0))))"),"")</f>
        <v/>
      </c>
      <c r="BP159" s="327" t="str">
        <f>IFERROR(__xludf.DUMMYFUNCTION("IFERROR(ArrayFormula(SUM(VLOOKUP($C159,importrange(""1MwNMVzWE3QBVOyJjKr3eFX-Sq1Ng0Q1sghWJbgbE_8g"",""ORDER BOOKING REPORT 2024-25!C:CV""),{37,44,51},0))))"),"")</f>
        <v/>
      </c>
      <c r="BQ159" s="327" t="str">
        <f>IFERROR(__xludf.DUMMYFUNCTION("IFERROR(ArrayFormula(SUM(VLOOKUP($C159,importrange(""1MwNMVzWE3QBVOyJjKr3eFX-Sq1Ng0Q1sghWJbgbE_8g"",""ORDER BOOKING REPORT 2024-25!C:CV""),{58,65,72},0))))"),"")</f>
        <v/>
      </c>
      <c r="BR159" s="327" t="str">
        <f>IFERROR(__xludf.DUMMYFUNCTION("IFERROR(ArrayFormula(SUM(VLOOKUP($C159,importrange(""1MwNMVzWE3QBVOyJjKr3eFX-Sq1Ng0Q1sghWJbgbE_8g"",""ORDER BOOKING REPORT 2024-25!C:CV""),{79,86,93},0))))"),"")</f>
        <v/>
      </c>
      <c r="BS159" s="328">
        <f t="shared" si="13"/>
        <v>0.4946357639</v>
      </c>
      <c r="BT159" s="328">
        <f t="shared" si="14"/>
        <v>0.07189549549</v>
      </c>
      <c r="BU159" s="234">
        <f t="shared" si="15"/>
        <v>0</v>
      </c>
      <c r="BV159" s="329">
        <v>31455.0</v>
      </c>
      <c r="BW159" s="329" t="s">
        <v>1045</v>
      </c>
      <c r="BX159" s="329">
        <v>1211.0</v>
      </c>
      <c r="BY159" s="234">
        <f t="shared" si="16"/>
        <v>0</v>
      </c>
      <c r="BZ159" s="234"/>
      <c r="CA159" s="234"/>
      <c r="CB159" s="234"/>
      <c r="CC159" s="234"/>
      <c r="CD159" s="234"/>
      <c r="CE159" s="234"/>
      <c r="CF159" s="234"/>
      <c r="CG159" s="234" t="str">
        <f t="shared" si="19"/>
        <v> </v>
      </c>
      <c r="CH159" s="234" t="str">
        <f t="shared" si="27"/>
        <v>Business Achieved 50%</v>
      </c>
      <c r="CI159" s="328">
        <f t="shared" si="20"/>
        <v>0.9310344828</v>
      </c>
      <c r="CJ159" s="339">
        <f>IFERROR(__xludf.DUMMYFUNCTION("""COMPUTED_VALUE"""),589.0)</f>
        <v>589</v>
      </c>
      <c r="CK159" s="339">
        <f>IFERROR(__xludf.DUMMYFUNCTION("""COMPUTED_VALUE"""),22.0)</f>
        <v>22</v>
      </c>
      <c r="CL159" s="339">
        <f>IFERROR(__xludf.DUMMYFUNCTION("""COMPUTED_VALUE"""),0.0)</f>
        <v>0</v>
      </c>
      <c r="CM159" s="331">
        <f t="shared" si="21"/>
        <v>0</v>
      </c>
      <c r="CN159" s="340"/>
      <c r="CO159" s="328"/>
      <c r="CP159" s="341"/>
      <c r="CQ159" s="344"/>
      <c r="CR159" s="328"/>
      <c r="CS159" s="328"/>
      <c r="CT159" s="328"/>
      <c r="CU159" s="328"/>
      <c r="CV159" s="328"/>
      <c r="CW159" s="328"/>
      <c r="CX159" s="288"/>
      <c r="CY159" s="328"/>
      <c r="CZ159" s="328"/>
    </row>
    <row r="160">
      <c r="A160" s="157" t="s">
        <v>126</v>
      </c>
      <c r="B160" s="157" t="s">
        <v>135</v>
      </c>
      <c r="C160" s="157" t="s">
        <v>171</v>
      </c>
      <c r="D160" s="157" t="s">
        <v>1042</v>
      </c>
      <c r="E160" s="157" t="s">
        <v>137</v>
      </c>
      <c r="F160" s="338">
        <v>45658.0</v>
      </c>
      <c r="G160" s="314">
        <v>0.0</v>
      </c>
      <c r="H160" s="314">
        <v>1.4000004E7</v>
      </c>
      <c r="I160" s="315">
        <v>6786619.67</v>
      </c>
      <c r="J160" s="315">
        <v>0.0</v>
      </c>
      <c r="K160" s="160">
        <v>28.0</v>
      </c>
      <c r="L160" s="160">
        <v>56.0</v>
      </c>
      <c r="M160" s="160">
        <v>31.0</v>
      </c>
      <c r="N160" s="160">
        <v>59.0</v>
      </c>
      <c r="O160" s="160">
        <v>3.0</v>
      </c>
      <c r="P160" s="315">
        <v>2445813.39</v>
      </c>
      <c r="Q160" s="315">
        <v>4340806.28</v>
      </c>
      <c r="R160" s="160">
        <v>14.0</v>
      </c>
      <c r="S160" s="160">
        <v>30.0</v>
      </c>
      <c r="T160" s="160">
        <v>44.0</v>
      </c>
      <c r="U160" s="160">
        <v>0.0</v>
      </c>
      <c r="V160" s="160">
        <v>237.0</v>
      </c>
      <c r="W160" s="160">
        <v>452.0</v>
      </c>
      <c r="X160" s="160">
        <v>74.0</v>
      </c>
      <c r="Y160" s="160">
        <v>1.0</v>
      </c>
      <c r="Z160" s="160">
        <v>18.0</v>
      </c>
      <c r="AA160" s="160">
        <v>0.0</v>
      </c>
      <c r="AB160" s="160">
        <v>0.0</v>
      </c>
      <c r="AC160" s="160">
        <v>0.0</v>
      </c>
      <c r="AD160" s="160">
        <v>0.0</v>
      </c>
      <c r="AE160" s="160">
        <v>957.0</v>
      </c>
      <c r="AF160" s="160">
        <v>1427.0</v>
      </c>
      <c r="AG160" s="160">
        <v>281.0</v>
      </c>
      <c r="AH160" s="314">
        <f t="shared" si="2"/>
        <v>24151.67142</v>
      </c>
      <c r="AI160" s="314">
        <f t="shared" si="3"/>
        <v>5.078291815</v>
      </c>
      <c r="AJ160" s="316">
        <f t="shared" si="103"/>
        <v>36188</v>
      </c>
      <c r="AK160" s="314">
        <f t="shared" si="63"/>
        <v>434256</v>
      </c>
      <c r="AL160" s="286">
        <v>117372.0</v>
      </c>
      <c r="AM160" s="318">
        <f t="shared" si="5"/>
        <v>0.08128170235</v>
      </c>
      <c r="AN160" s="314">
        <f t="shared" si="6"/>
        <v>154241.3561</v>
      </c>
      <c r="AO160" s="336">
        <f t="shared" si="101"/>
        <v>0.4847584094</v>
      </c>
      <c r="AP160" s="319">
        <v>0.0</v>
      </c>
      <c r="AQ160" s="160">
        <v>225.0</v>
      </c>
      <c r="AR160" s="160">
        <v>2207.0</v>
      </c>
      <c r="AS160" s="160">
        <v>2135.91</v>
      </c>
      <c r="AT160" s="160">
        <v>30.0</v>
      </c>
      <c r="AU160" s="160">
        <v>38.0</v>
      </c>
      <c r="AV160" s="320">
        <v>44.0</v>
      </c>
      <c r="AW160" s="320">
        <v>12.0</v>
      </c>
      <c r="AX160" s="320">
        <v>3.0</v>
      </c>
      <c r="AY160" s="321">
        <f>iferror(VLOOKUP(C160,'ORDER BOOKING REPORT 2025-26'!C:O,13,0),"")</f>
        <v>5232734</v>
      </c>
      <c r="AZ160" s="322"/>
      <c r="BA160" s="157" t="str">
        <f t="shared" si="7"/>
        <v>Active</v>
      </c>
      <c r="BB160" s="157" t="str">
        <f t="shared" si="8"/>
        <v>Old</v>
      </c>
      <c r="BC160" s="157" t="str">
        <f t="shared" si="102"/>
        <v>Below 50%</v>
      </c>
      <c r="BD160" s="223">
        <f t="shared" si="104"/>
        <v>12</v>
      </c>
      <c r="BE160" s="323">
        <v>1166667.0</v>
      </c>
      <c r="BF160" s="157">
        <f t="shared" si="10"/>
        <v>1</v>
      </c>
      <c r="BG160" s="157" t="s">
        <v>1019</v>
      </c>
      <c r="BH160" s="324"/>
      <c r="BI160" s="324"/>
      <c r="BJ160" s="325"/>
      <c r="BK160" s="326"/>
      <c r="BL160" s="326">
        <f t="shared" si="48"/>
        <v>0</v>
      </c>
      <c r="BM160" s="326">
        <f t="shared" si="12"/>
        <v>14000004</v>
      </c>
      <c r="BN160" s="326"/>
      <c r="BO160" s="327" t="str">
        <f>IFERROR(__xludf.DUMMYFUNCTION("IFERROR(ArrayFormula(SUM(VLOOKUP($C160,importrange(""1MwNMVzWE3QBVOyJjKr3eFX-Sq1Ng0Q1sghWJbgbE_8g"",""ORDER BOOKING REPORT 2024-25!C:CV""),{16,23,30},0))))"),"")</f>
        <v/>
      </c>
      <c r="BP160" s="327" t="str">
        <f>IFERROR(__xludf.DUMMYFUNCTION("IFERROR(ArrayFormula(SUM(VLOOKUP($C160,importrange(""1MwNMVzWE3QBVOyJjKr3eFX-Sq1Ng0Q1sghWJbgbE_8g"",""ORDER BOOKING REPORT 2024-25!C:CV""),{37,44,51},0))))"),"")</f>
        <v/>
      </c>
      <c r="BQ160" s="327" t="str">
        <f>IFERROR(__xludf.DUMMYFUNCTION("IFERROR(ArrayFormula(SUM(VLOOKUP($C160,importrange(""1MwNMVzWE3QBVOyJjKr3eFX-Sq1Ng0Q1sghWJbgbE_8g"",""ORDER BOOKING REPORT 2024-25!C:CV""),{58,65,72},0))))"),"")</f>
        <v/>
      </c>
      <c r="BR160" s="327" t="str">
        <f>IFERROR(__xludf.DUMMYFUNCTION("IFERROR(ArrayFormula(SUM(VLOOKUP($C160,importrange(""1MwNMVzWE3QBVOyJjKr3eFX-Sq1Ng0Q1sghWJbgbE_8g"",""ORDER BOOKING REPORT 2024-25!C:CV""),{79,86,93},0))))"),"")</f>
        <v/>
      </c>
      <c r="BS160" s="328">
        <f t="shared" si="13"/>
        <v>0.3737666075</v>
      </c>
      <c r="BT160" s="328">
        <f t="shared" si="14"/>
        <v>0.105418697</v>
      </c>
      <c r="BU160" s="234">
        <f t="shared" si="15"/>
        <v>0</v>
      </c>
      <c r="BV160" s="329">
        <v>36188.0</v>
      </c>
      <c r="BW160" s="329" t="s">
        <v>1029</v>
      </c>
      <c r="BX160" s="329">
        <v>1212.0</v>
      </c>
      <c r="BY160" s="234">
        <f t="shared" si="16"/>
        <v>0</v>
      </c>
      <c r="BZ160" s="234"/>
      <c r="CA160" s="234"/>
      <c r="CB160" s="234"/>
      <c r="CC160" s="234"/>
      <c r="CD160" s="234"/>
      <c r="CE160" s="234"/>
      <c r="CF160" s="234"/>
      <c r="CG160" s="234" t="str">
        <f t="shared" si="19"/>
        <v>Below 60</v>
      </c>
      <c r="CH160" s="234" t="str">
        <f t="shared" si="27"/>
        <v>Business Achieved 50%</v>
      </c>
      <c r="CI160" s="328">
        <f t="shared" si="20"/>
        <v>0.7457627119</v>
      </c>
      <c r="CJ160" s="339">
        <f>IFERROR(__xludf.DUMMYFUNCTION("""COMPUTED_VALUE"""),920.0)</f>
        <v>920</v>
      </c>
      <c r="CK160" s="339">
        <f>IFERROR(__xludf.DUMMYFUNCTION("""COMPUTED_VALUE"""),37.0)</f>
        <v>37</v>
      </c>
      <c r="CL160" s="339">
        <f>IFERROR(__xludf.DUMMYFUNCTION("""COMPUTED_VALUE"""),0.0)</f>
        <v>0</v>
      </c>
      <c r="CM160" s="331">
        <f t="shared" si="21"/>
        <v>0</v>
      </c>
      <c r="CN160" s="340"/>
      <c r="CO160" s="328"/>
      <c r="CP160" s="341"/>
      <c r="CQ160" s="344"/>
      <c r="CR160" s="328"/>
      <c r="CS160" s="328"/>
      <c r="CT160" s="328"/>
      <c r="CU160" s="328"/>
      <c r="CV160" s="328"/>
      <c r="CW160" s="328"/>
      <c r="CX160" s="288"/>
      <c r="CY160" s="328"/>
      <c r="CZ160" s="328"/>
    </row>
    <row r="161">
      <c r="A161" s="157" t="s">
        <v>185</v>
      </c>
      <c r="B161" s="157" t="s">
        <v>85</v>
      </c>
      <c r="C161" s="157" t="s">
        <v>390</v>
      </c>
      <c r="D161" s="157" t="s">
        <v>1058</v>
      </c>
      <c r="E161" s="157" t="s">
        <v>391</v>
      </c>
      <c r="F161" s="338">
        <v>45660.0</v>
      </c>
      <c r="G161" s="314">
        <v>0.0</v>
      </c>
      <c r="H161" s="314">
        <v>0.0</v>
      </c>
      <c r="I161" s="315">
        <v>818223.7</v>
      </c>
      <c r="J161" s="315">
        <v>0.0</v>
      </c>
      <c r="K161" s="160">
        <v>67.0</v>
      </c>
      <c r="L161" s="160">
        <v>59.0</v>
      </c>
      <c r="M161" s="160">
        <v>8.0</v>
      </c>
      <c r="N161" s="160">
        <v>75.0</v>
      </c>
      <c r="O161" s="160">
        <v>16.0</v>
      </c>
      <c r="P161" s="315">
        <v>737012.5</v>
      </c>
      <c r="Q161" s="315">
        <v>81211.2</v>
      </c>
      <c r="R161" s="160">
        <v>34.0</v>
      </c>
      <c r="S161" s="160">
        <v>6.0</v>
      </c>
      <c r="T161" s="160">
        <v>40.0</v>
      </c>
      <c r="U161" s="160">
        <v>0.0</v>
      </c>
      <c r="V161" s="160">
        <v>58.0</v>
      </c>
      <c r="W161" s="160">
        <v>92.0</v>
      </c>
      <c r="X161" s="160">
        <v>35.0</v>
      </c>
      <c r="Y161" s="160">
        <v>1.0</v>
      </c>
      <c r="Z161" s="160">
        <v>21.0</v>
      </c>
      <c r="AA161" s="160">
        <v>0.0</v>
      </c>
      <c r="AB161" s="160">
        <v>0.0</v>
      </c>
      <c r="AC161" s="160">
        <v>0.0</v>
      </c>
      <c r="AD161" s="160">
        <v>0.0</v>
      </c>
      <c r="AE161" s="160">
        <v>258.0</v>
      </c>
      <c r="AF161" s="160">
        <v>371.0</v>
      </c>
      <c r="AG161" s="160">
        <v>50.0</v>
      </c>
      <c r="AH161" s="314">
        <f t="shared" si="2"/>
        <v>16364.474</v>
      </c>
      <c r="AI161" s="314">
        <f t="shared" si="3"/>
        <v>7.42</v>
      </c>
      <c r="AJ161" s="346">
        <v>33885.0</v>
      </c>
      <c r="AK161" s="314">
        <f t="shared" si="63"/>
        <v>80307.45</v>
      </c>
      <c r="AL161" s="286">
        <v>17378.0</v>
      </c>
      <c r="AM161" s="318">
        <f t="shared" si="5"/>
        <v>0.1193872165</v>
      </c>
      <c r="AN161" s="314">
        <f t="shared" si="6"/>
        <v>20455.5925</v>
      </c>
      <c r="AO161" s="286" t="s">
        <v>972</v>
      </c>
      <c r="AP161" s="319">
        <v>0.0</v>
      </c>
      <c r="AQ161" s="160">
        <v>94.0</v>
      </c>
      <c r="AR161" s="160">
        <v>392.0</v>
      </c>
      <c r="AS161" s="160">
        <v>0.0</v>
      </c>
      <c r="AT161" s="160">
        <v>6.0</v>
      </c>
      <c r="AU161" s="160">
        <v>0.0</v>
      </c>
      <c r="AV161" s="320">
        <v>40.0</v>
      </c>
      <c r="AW161" s="320">
        <v>21.0</v>
      </c>
      <c r="AX161" s="320">
        <v>14.0</v>
      </c>
      <c r="AY161" s="321">
        <f>iferror(VLOOKUP(C161,'ORDER BOOKING REPORT 2025-26'!C:O,13,0),"")</f>
        <v>1187403</v>
      </c>
      <c r="AZ161" s="345">
        <v>45819.0</v>
      </c>
      <c r="BA161" s="157" t="str">
        <f t="shared" si="7"/>
        <v>LEFT</v>
      </c>
      <c r="BB161" s="157" t="str">
        <f t="shared" si="8"/>
        <v>Old</v>
      </c>
      <c r="BC161" s="160" t="s">
        <v>972</v>
      </c>
      <c r="BD161" s="223">
        <v>2.37</v>
      </c>
      <c r="BE161" s="323"/>
      <c r="BF161" s="157">
        <f t="shared" si="10"/>
        <v>2</v>
      </c>
      <c r="BG161" s="157" t="s">
        <v>1019</v>
      </c>
      <c r="BH161" s="324"/>
      <c r="BI161" s="324"/>
      <c r="BJ161" s="343">
        <f>11/30</f>
        <v>0.3666666667</v>
      </c>
      <c r="BK161" s="347"/>
      <c r="BL161" s="326">
        <f t="shared" si="48"/>
        <v>0</v>
      </c>
      <c r="BM161" s="326">
        <f t="shared" si="12"/>
        <v>0</v>
      </c>
      <c r="BN161" s="326"/>
      <c r="BO161" s="327" t="str">
        <f>IFERROR(__xludf.DUMMYFUNCTION("IFERROR(ArrayFormula(SUM(VLOOKUP($C161,importrange(""1MwNMVzWE3QBVOyJjKr3eFX-Sq1Ng0Q1sghWJbgbE_8g"",""ORDER BOOKING REPORT 2024-25!C:CV""),{16,23,30},0))))"),"")</f>
        <v/>
      </c>
      <c r="BP161" s="327" t="str">
        <f>IFERROR(__xludf.DUMMYFUNCTION("IFERROR(ArrayFormula(SUM(VLOOKUP($C161,importrange(""1MwNMVzWE3QBVOyJjKr3eFX-Sq1Ng0Q1sghWJbgbE_8g"",""ORDER BOOKING REPORT 2024-25!C:CV""),{37,44,51},0))))"),"")</f>
        <v/>
      </c>
      <c r="BQ161" s="327" t="str">
        <f>IFERROR(__xludf.DUMMYFUNCTION("IFERROR(ArrayFormula(SUM(VLOOKUP($C161,importrange(""1MwNMVzWE3QBVOyJjKr3eFX-Sq1Ng0Q1sghWJbgbE_8g"",""ORDER BOOKING REPORT 2024-25!C:CV""),{58,65,72},0))))"),"")</f>
        <v/>
      </c>
      <c r="BR161" s="327" t="str">
        <f>IFERROR(__xludf.DUMMYFUNCTION("IFERROR(ArrayFormula(SUM(VLOOKUP($C161,importrange(""1MwNMVzWE3QBVOyJjKr3eFX-Sq1Ng0Q1sghWJbgbE_8g"",""ORDER BOOKING REPORT 2024-25!C:CV""),{79,86,93},0))))"),"")</f>
        <v/>
      </c>
      <c r="BS161" s="328" t="str">
        <f t="shared" si="13"/>
        <v/>
      </c>
      <c r="BT161" s="328">
        <f t="shared" si="14"/>
        <v>0.08226815159</v>
      </c>
      <c r="BU161" s="234">
        <f t="shared" si="15"/>
        <v>0</v>
      </c>
      <c r="BV161" s="329"/>
      <c r="BW161" s="329"/>
      <c r="BX161" s="329"/>
      <c r="BY161" s="234">
        <f t="shared" si="16"/>
        <v>-33885</v>
      </c>
      <c r="BZ161" s="234"/>
      <c r="CA161" s="234"/>
      <c r="CB161" s="234"/>
      <c r="CC161" s="234"/>
      <c r="CD161" s="234"/>
      <c r="CE161" s="234"/>
      <c r="CF161" s="234"/>
      <c r="CG161" s="234" t="str">
        <f t="shared" si="19"/>
        <v> </v>
      </c>
      <c r="CH161" s="234" t="str">
        <f t="shared" si="27"/>
        <v>Business Achieved 50%</v>
      </c>
      <c r="CI161" s="328">
        <f t="shared" si="20"/>
        <v>0.5333333333</v>
      </c>
      <c r="CJ161" s="339">
        <f>IFERROR(__xludf.DUMMYFUNCTION("""COMPUTED_VALUE"""),180.0)</f>
        <v>180</v>
      </c>
      <c r="CK161" s="339">
        <f>IFERROR(__xludf.DUMMYFUNCTION("""COMPUTED_VALUE"""),78.0)</f>
        <v>78</v>
      </c>
      <c r="CL161" s="339">
        <f>IFERROR(__xludf.DUMMYFUNCTION("""COMPUTED_VALUE"""),0.0)</f>
        <v>0</v>
      </c>
      <c r="CM161" s="331">
        <f t="shared" si="21"/>
        <v>0</v>
      </c>
      <c r="CN161" s="340"/>
      <c r="CO161" s="328"/>
      <c r="CP161" s="341"/>
      <c r="CQ161" s="344"/>
      <c r="CR161" s="328"/>
      <c r="CS161" s="328"/>
      <c r="CT161" s="328"/>
      <c r="CU161" s="328"/>
      <c r="CV161" s="328"/>
      <c r="CW161" s="328"/>
      <c r="CX161" s="288"/>
      <c r="CY161" s="328"/>
      <c r="CZ161" s="328"/>
    </row>
    <row r="162">
      <c r="A162" s="157" t="s">
        <v>47</v>
      </c>
      <c r="B162" s="157" t="s">
        <v>422</v>
      </c>
      <c r="C162" s="157" t="s">
        <v>866</v>
      </c>
      <c r="D162" s="157" t="s">
        <v>1094</v>
      </c>
      <c r="E162" s="157" t="s">
        <v>1111</v>
      </c>
      <c r="F162" s="338">
        <v>45663.0</v>
      </c>
      <c r="G162" s="314">
        <v>0.0</v>
      </c>
      <c r="H162" s="314">
        <v>0.0</v>
      </c>
      <c r="I162" s="315">
        <v>0.0</v>
      </c>
      <c r="J162" s="315">
        <v>0.0</v>
      </c>
      <c r="K162" s="160">
        <v>18.0</v>
      </c>
      <c r="L162" s="160">
        <v>40.0</v>
      </c>
      <c r="M162" s="160">
        <v>27.0</v>
      </c>
      <c r="N162" s="160">
        <v>45.0</v>
      </c>
      <c r="O162" s="160">
        <v>5.0</v>
      </c>
      <c r="P162" s="315">
        <v>0.0</v>
      </c>
      <c r="Q162" s="315">
        <v>0.0</v>
      </c>
      <c r="R162" s="160">
        <v>0.0</v>
      </c>
      <c r="S162" s="160">
        <v>0.0</v>
      </c>
      <c r="T162" s="160">
        <v>0.0</v>
      </c>
      <c r="U162" s="160">
        <v>0.0</v>
      </c>
      <c r="V162" s="160">
        <v>130.0</v>
      </c>
      <c r="W162" s="160">
        <v>292.0</v>
      </c>
      <c r="X162" s="160">
        <v>21.0</v>
      </c>
      <c r="Y162" s="160">
        <v>4.0</v>
      </c>
      <c r="Z162" s="160">
        <v>173.0</v>
      </c>
      <c r="AA162" s="160">
        <v>0.0</v>
      </c>
      <c r="AB162" s="160">
        <v>0.0</v>
      </c>
      <c r="AC162" s="160">
        <v>93.0</v>
      </c>
      <c r="AD162" s="160">
        <v>584.0</v>
      </c>
      <c r="AE162" s="160">
        <v>213.0</v>
      </c>
      <c r="AF162" s="160">
        <v>1262.0</v>
      </c>
      <c r="AG162" s="160">
        <v>290.0</v>
      </c>
      <c r="AH162" s="314">
        <f t="shared" si="2"/>
        <v>0</v>
      </c>
      <c r="AI162" s="314">
        <f t="shared" si="3"/>
        <v>4.351724138</v>
      </c>
      <c r="AJ162" s="316">
        <f t="shared" ref="AJ162:AJ163" si="105">BV162</f>
        <v>66667</v>
      </c>
      <c r="AK162" s="314">
        <f t="shared" si="63"/>
        <v>800004</v>
      </c>
      <c r="AL162" s="286">
        <v>485336.0</v>
      </c>
      <c r="AM162" s="318" t="str">
        <f t="shared" si="5"/>
        <v/>
      </c>
      <c r="AN162" s="314" t="str">
        <f t="shared" si="6"/>
        <v/>
      </c>
      <c r="AO162" s="286" t="s">
        <v>972</v>
      </c>
      <c r="AP162" s="319">
        <v>0.0</v>
      </c>
      <c r="AQ162" s="160">
        <v>0.0</v>
      </c>
      <c r="AR162" s="160">
        <v>3000.0</v>
      </c>
      <c r="AS162" s="160">
        <v>2833.24</v>
      </c>
      <c r="AT162" s="160">
        <v>0.0</v>
      </c>
      <c r="AU162" s="160">
        <v>71.0</v>
      </c>
      <c r="AV162" s="320">
        <v>0.0</v>
      </c>
      <c r="AW162" s="320">
        <v>40.0</v>
      </c>
      <c r="AX162" s="320">
        <v>5.0</v>
      </c>
      <c r="AY162" s="321" t="str">
        <f>iferror(VLOOKUP(C162,'ORDER BOOKING REPORT 2025-26'!C:O,13,0),"")</f>
        <v/>
      </c>
      <c r="AZ162" s="322"/>
      <c r="BA162" s="157" t="str">
        <f t="shared" si="7"/>
        <v>Active</v>
      </c>
      <c r="BB162" s="157" t="str">
        <f t="shared" si="8"/>
        <v>Old</v>
      </c>
      <c r="BC162" s="160" t="s">
        <v>972</v>
      </c>
      <c r="BD162" s="223">
        <f t="shared" ref="BD162:BD164" si="106">Match($BD$2,{"Apr","May","Jun","Jul","Aug","Sep","Oct","Nov","Dec","Jan","Feb","Mar"},0)</f>
        <v>12</v>
      </c>
      <c r="BE162" s="323"/>
      <c r="BF162" s="157">
        <f t="shared" si="10"/>
        <v>27</v>
      </c>
      <c r="BG162" s="234" t="s">
        <v>188</v>
      </c>
      <c r="BH162" s="324"/>
      <c r="BI162" s="324"/>
      <c r="BJ162" s="325"/>
      <c r="BK162" s="326"/>
      <c r="BL162" s="326">
        <f t="shared" si="48"/>
        <v>0</v>
      </c>
      <c r="BM162" s="326">
        <f t="shared" si="12"/>
        <v>0</v>
      </c>
      <c r="BN162" s="326"/>
      <c r="BO162" s="327" t="str">
        <f>IFERROR(__xludf.DUMMYFUNCTION("IFERROR(ArrayFormula(SUM(VLOOKUP($C162,importrange(""1MwNMVzWE3QBVOyJjKr3eFX-Sq1Ng0Q1sghWJbgbE_8g"",""ORDER BOOKING REPORT 2024-25!C:CV""),{16,23,30},0))))"),"")</f>
        <v/>
      </c>
      <c r="BP162" s="327" t="str">
        <f>IFERROR(__xludf.DUMMYFUNCTION("IFERROR(ArrayFormula(SUM(VLOOKUP($C162,importrange(""1MwNMVzWE3QBVOyJjKr3eFX-Sq1Ng0Q1sghWJbgbE_8g"",""ORDER BOOKING REPORT 2024-25!C:CV""),{37,44,51},0))))"),"")</f>
        <v/>
      </c>
      <c r="BQ162" s="327" t="str">
        <f>IFERROR(__xludf.DUMMYFUNCTION("IFERROR(ArrayFormula(SUM(VLOOKUP($C162,importrange(""1MwNMVzWE3QBVOyJjKr3eFX-Sq1Ng0Q1sghWJbgbE_8g"",""ORDER BOOKING REPORT 2024-25!C:CV""),{58,65,72},0))))"),"")</f>
        <v/>
      </c>
      <c r="BR162" s="327" t="str">
        <f>IFERROR(__xludf.DUMMYFUNCTION("IFERROR(ArrayFormula(SUM(VLOOKUP($C162,importrange(""1MwNMVzWE3QBVOyJjKr3eFX-Sq1Ng0Q1sghWJbgbE_8g"",""ORDER BOOKING REPORT 2024-25!C:CV""),{79,86,93},0))))"),"")</f>
        <v/>
      </c>
      <c r="BS162" s="328" t="str">
        <f t="shared" si="13"/>
        <v/>
      </c>
      <c r="BT162" s="328" t="str">
        <f t="shared" si="14"/>
        <v/>
      </c>
      <c r="BU162" s="234">
        <f t="shared" si="15"/>
        <v>0</v>
      </c>
      <c r="BV162" s="329">
        <v>66667.0</v>
      </c>
      <c r="BW162" s="329" t="s">
        <v>1023</v>
      </c>
      <c r="BX162" s="329">
        <v>1216.0</v>
      </c>
      <c r="BY162" s="234">
        <f t="shared" si="16"/>
        <v>0</v>
      </c>
      <c r="BZ162" s="234"/>
      <c r="CA162" s="234"/>
      <c r="CB162" s="234"/>
      <c r="CC162" s="234"/>
      <c r="CD162" s="234"/>
      <c r="CE162" s="234"/>
      <c r="CF162" s="234"/>
      <c r="CG162" s="234" t="str">
        <f t="shared" si="19"/>
        <v>Below 60</v>
      </c>
      <c r="CH162" s="234" t="str">
        <f t="shared" si="27"/>
        <v>Not 50%</v>
      </c>
      <c r="CI162" s="328">
        <f t="shared" si="20"/>
        <v>0</v>
      </c>
      <c r="CJ162" s="339"/>
      <c r="CK162" s="339"/>
      <c r="CL162" s="339"/>
      <c r="CM162" s="331">
        <f t="shared" si="21"/>
        <v>213</v>
      </c>
      <c r="CN162" s="340"/>
      <c r="CO162" s="328"/>
      <c r="CP162" s="341"/>
      <c r="CQ162" s="344"/>
      <c r="CR162" s="328"/>
      <c r="CS162" s="328"/>
      <c r="CT162" s="328"/>
      <c r="CU162" s="328"/>
      <c r="CV162" s="328"/>
      <c r="CW162" s="328"/>
      <c r="CX162" s="288"/>
      <c r="CY162" s="328"/>
      <c r="CZ162" s="328"/>
    </row>
    <row r="163">
      <c r="A163" s="157" t="s">
        <v>47</v>
      </c>
      <c r="B163" s="157" t="s">
        <v>422</v>
      </c>
      <c r="C163" s="157" t="s">
        <v>867</v>
      </c>
      <c r="D163" s="157" t="s">
        <v>1094</v>
      </c>
      <c r="E163" s="157" t="s">
        <v>1112</v>
      </c>
      <c r="F163" s="338">
        <v>45663.0</v>
      </c>
      <c r="G163" s="314">
        <v>0.0</v>
      </c>
      <c r="H163" s="314">
        <v>0.0</v>
      </c>
      <c r="I163" s="315">
        <v>809880.28</v>
      </c>
      <c r="J163" s="315">
        <v>0.0</v>
      </c>
      <c r="K163" s="160">
        <v>6.0</v>
      </c>
      <c r="L163" s="160">
        <v>7.0</v>
      </c>
      <c r="M163" s="160">
        <v>3.0</v>
      </c>
      <c r="N163" s="160">
        <v>9.0</v>
      </c>
      <c r="O163" s="160">
        <v>2.0</v>
      </c>
      <c r="P163" s="315">
        <v>0.01</v>
      </c>
      <c r="Q163" s="315">
        <v>809880.27</v>
      </c>
      <c r="R163" s="160">
        <v>0.0</v>
      </c>
      <c r="S163" s="160">
        <v>3.0</v>
      </c>
      <c r="T163" s="160">
        <v>3.0</v>
      </c>
      <c r="U163" s="160">
        <v>0.0</v>
      </c>
      <c r="V163" s="160">
        <v>72.0</v>
      </c>
      <c r="W163" s="160">
        <v>167.0</v>
      </c>
      <c r="X163" s="160">
        <v>39.0</v>
      </c>
      <c r="Y163" s="160">
        <v>5.0</v>
      </c>
      <c r="Z163" s="160">
        <v>222.0</v>
      </c>
      <c r="AA163" s="160">
        <v>0.0</v>
      </c>
      <c r="AB163" s="160">
        <v>0.0</v>
      </c>
      <c r="AC163" s="160">
        <v>60.0</v>
      </c>
      <c r="AD163" s="160">
        <v>562.0</v>
      </c>
      <c r="AE163" s="160">
        <v>102.0</v>
      </c>
      <c r="AF163" s="160">
        <v>1053.0</v>
      </c>
      <c r="AG163" s="160">
        <v>290.0</v>
      </c>
      <c r="AH163" s="314">
        <f t="shared" si="2"/>
        <v>2792.690621</v>
      </c>
      <c r="AI163" s="314">
        <f t="shared" si="3"/>
        <v>3.631034483</v>
      </c>
      <c r="AJ163" s="316">
        <f t="shared" si="105"/>
        <v>62500</v>
      </c>
      <c r="AK163" s="314">
        <f t="shared" si="63"/>
        <v>750000</v>
      </c>
      <c r="AL163" s="286">
        <v>331640.0</v>
      </c>
      <c r="AM163" s="318">
        <f t="shared" si="5"/>
        <v>1.335555423</v>
      </c>
      <c r="AN163" s="314">
        <f t="shared" si="6"/>
        <v>269960.0933</v>
      </c>
      <c r="AO163" s="286" t="s">
        <v>972</v>
      </c>
      <c r="AP163" s="319">
        <v>0.0</v>
      </c>
      <c r="AQ163" s="160">
        <v>18.0</v>
      </c>
      <c r="AR163" s="160">
        <v>2882.0</v>
      </c>
      <c r="AS163" s="160">
        <v>2428.75</v>
      </c>
      <c r="AT163" s="160">
        <v>3.0</v>
      </c>
      <c r="AU163" s="160">
        <v>347.0</v>
      </c>
      <c r="AV163" s="320">
        <v>3.0</v>
      </c>
      <c r="AW163" s="320">
        <v>4.0</v>
      </c>
      <c r="AX163" s="320">
        <v>2.0</v>
      </c>
      <c r="AY163" s="321" t="str">
        <f>iferror(VLOOKUP(C163,'ORDER BOOKING REPORT 2025-26'!C:O,13,0),"")</f>
        <v/>
      </c>
      <c r="AZ163" s="322"/>
      <c r="BA163" s="157" t="str">
        <f t="shared" si="7"/>
        <v>Active</v>
      </c>
      <c r="BB163" s="157" t="str">
        <f t="shared" si="8"/>
        <v>Old</v>
      </c>
      <c r="BC163" s="160" t="s">
        <v>972</v>
      </c>
      <c r="BD163" s="223">
        <f t="shared" si="106"/>
        <v>12</v>
      </c>
      <c r="BE163" s="323"/>
      <c r="BF163" s="157">
        <f t="shared" si="10"/>
        <v>0</v>
      </c>
      <c r="BG163" s="234" t="s">
        <v>188</v>
      </c>
      <c r="BH163" s="324"/>
      <c r="BI163" s="324"/>
      <c r="BJ163" s="325"/>
      <c r="BK163" s="326"/>
      <c r="BL163" s="326">
        <f t="shared" si="48"/>
        <v>0</v>
      </c>
      <c r="BM163" s="326">
        <f t="shared" si="12"/>
        <v>0</v>
      </c>
      <c r="BN163" s="326"/>
      <c r="BO163" s="327" t="str">
        <f>IFERROR(__xludf.DUMMYFUNCTION("IFERROR(ArrayFormula(SUM(VLOOKUP($C163,importrange(""1MwNMVzWE3QBVOyJjKr3eFX-Sq1Ng0Q1sghWJbgbE_8g"",""ORDER BOOKING REPORT 2024-25!C:CV""),{16,23,30},0))))"),"")</f>
        <v/>
      </c>
      <c r="BP163" s="327" t="str">
        <f>IFERROR(__xludf.DUMMYFUNCTION("IFERROR(ArrayFormula(SUM(VLOOKUP($C163,importrange(""1MwNMVzWE3QBVOyJjKr3eFX-Sq1Ng0Q1sghWJbgbE_8g"",""ORDER BOOKING REPORT 2024-25!C:CV""),{37,44,51},0))))"),"")</f>
        <v/>
      </c>
      <c r="BQ163" s="327" t="str">
        <f>IFERROR(__xludf.DUMMYFUNCTION("IFERROR(ArrayFormula(SUM(VLOOKUP($C163,importrange(""1MwNMVzWE3QBVOyJjKr3eFX-Sq1Ng0Q1sghWJbgbE_8g"",""ORDER BOOKING REPORT 2024-25!C:CV""),{58,65,72},0))))"),"")</f>
        <v/>
      </c>
      <c r="BR163" s="327" t="str">
        <f>IFERROR(__xludf.DUMMYFUNCTION("IFERROR(ArrayFormula(SUM(VLOOKUP($C163,importrange(""1MwNMVzWE3QBVOyJjKr3eFX-Sq1Ng0Q1sghWJbgbE_8g"",""ORDER BOOKING REPORT 2024-25!C:CV""),{79,86,93},0))))"),"")</f>
        <v/>
      </c>
      <c r="BS163" s="328" t="str">
        <f t="shared" si="13"/>
        <v/>
      </c>
      <c r="BT163" s="328" t="str">
        <f t="shared" si="14"/>
        <v/>
      </c>
      <c r="BU163" s="234">
        <f t="shared" si="15"/>
        <v>0</v>
      </c>
      <c r="BV163" s="329">
        <v>62500.0</v>
      </c>
      <c r="BW163" s="329" t="s">
        <v>1023</v>
      </c>
      <c r="BX163" s="329">
        <v>1215.0</v>
      </c>
      <c r="BY163" s="234">
        <f t="shared" si="16"/>
        <v>0</v>
      </c>
      <c r="BZ163" s="234"/>
      <c r="CA163" s="234"/>
      <c r="CB163" s="234"/>
      <c r="CC163" s="234"/>
      <c r="CD163" s="234"/>
      <c r="CE163" s="234"/>
      <c r="CF163" s="234"/>
      <c r="CG163" s="234" t="str">
        <f t="shared" si="19"/>
        <v>Below 60</v>
      </c>
      <c r="CH163" s="234" t="str">
        <f t="shared" si="27"/>
        <v>Not 50%</v>
      </c>
      <c r="CI163" s="328">
        <f t="shared" si="20"/>
        <v>0.3333333333</v>
      </c>
      <c r="CJ163" s="339"/>
      <c r="CK163" s="339"/>
      <c r="CL163" s="339"/>
      <c r="CM163" s="331">
        <f t="shared" si="21"/>
        <v>102</v>
      </c>
      <c r="CN163" s="340"/>
      <c r="CO163" s="328"/>
      <c r="CP163" s="341"/>
      <c r="CQ163" s="344"/>
      <c r="CR163" s="328"/>
      <c r="CS163" s="328"/>
      <c r="CT163" s="328"/>
      <c r="CU163" s="328"/>
      <c r="CV163" s="328"/>
      <c r="CW163" s="328"/>
      <c r="CX163" s="288"/>
      <c r="CY163" s="328"/>
      <c r="CZ163" s="328"/>
    </row>
    <row r="164">
      <c r="A164" s="157" t="s">
        <v>185</v>
      </c>
      <c r="B164" s="157" t="s">
        <v>189</v>
      </c>
      <c r="C164" s="157" t="s">
        <v>281</v>
      </c>
      <c r="D164" s="157" t="s">
        <v>1016</v>
      </c>
      <c r="E164" s="157" t="s">
        <v>282</v>
      </c>
      <c r="F164" s="285">
        <v>45670.0</v>
      </c>
      <c r="G164" s="314">
        <v>0.0</v>
      </c>
      <c r="H164" s="314">
        <v>1.8E7</v>
      </c>
      <c r="I164" s="315">
        <v>1.291897231E7</v>
      </c>
      <c r="J164" s="315">
        <v>0.0</v>
      </c>
      <c r="K164" s="160">
        <v>12.0</v>
      </c>
      <c r="L164" s="160">
        <v>41.0</v>
      </c>
      <c r="M164" s="160">
        <v>29.0</v>
      </c>
      <c r="N164" s="160">
        <v>41.0</v>
      </c>
      <c r="O164" s="160">
        <v>0.0</v>
      </c>
      <c r="P164" s="315">
        <v>1832598.6</v>
      </c>
      <c r="Q164" s="315">
        <v>1.108637371E7</v>
      </c>
      <c r="R164" s="160">
        <v>9.0</v>
      </c>
      <c r="S164" s="160">
        <v>28.0</v>
      </c>
      <c r="T164" s="160">
        <v>37.0</v>
      </c>
      <c r="U164" s="160">
        <v>0.0</v>
      </c>
      <c r="V164" s="160">
        <v>75.0</v>
      </c>
      <c r="W164" s="160">
        <v>122.0</v>
      </c>
      <c r="X164" s="160">
        <v>70.0</v>
      </c>
      <c r="Y164" s="160">
        <v>1.0</v>
      </c>
      <c r="Z164" s="160">
        <v>149.0</v>
      </c>
      <c r="AA164" s="160">
        <v>0.0</v>
      </c>
      <c r="AB164" s="160">
        <v>0.0</v>
      </c>
      <c r="AC164" s="160">
        <v>0.0</v>
      </c>
      <c r="AD164" s="160">
        <v>0.0</v>
      </c>
      <c r="AE164" s="160">
        <v>602.0</v>
      </c>
      <c r="AF164" s="160">
        <v>873.0</v>
      </c>
      <c r="AG164" s="160">
        <v>270.0</v>
      </c>
      <c r="AH164" s="314">
        <f t="shared" si="2"/>
        <v>47848.04559</v>
      </c>
      <c r="AI164" s="314">
        <f t="shared" si="3"/>
        <v>3.233333333</v>
      </c>
      <c r="AJ164" s="346">
        <v>29375.0</v>
      </c>
      <c r="AK164" s="314">
        <f t="shared" si="63"/>
        <v>352500</v>
      </c>
      <c r="AL164" s="317">
        <v>82277.0</v>
      </c>
      <c r="AM164" s="318">
        <f t="shared" si="5"/>
        <v>0.03365414753</v>
      </c>
      <c r="AN164" s="314">
        <f t="shared" si="6"/>
        <v>349161.4138</v>
      </c>
      <c r="AO164" s="336">
        <f t="shared" ref="AO164:AO171" si="107">iferror(sum(I164:J164)/Sum(G164:H164),"")</f>
        <v>0.7177206839</v>
      </c>
      <c r="AP164" s="319">
        <v>0.0</v>
      </c>
      <c r="AQ164" s="160">
        <v>180.0</v>
      </c>
      <c r="AR164" s="160">
        <v>3091.0</v>
      </c>
      <c r="AS164" s="160">
        <v>913.66</v>
      </c>
      <c r="AT164" s="160">
        <v>28.0</v>
      </c>
      <c r="AU164" s="160">
        <v>22.0</v>
      </c>
      <c r="AV164" s="320">
        <v>37.0</v>
      </c>
      <c r="AW164" s="320">
        <v>4.0</v>
      </c>
      <c r="AX164" s="320">
        <v>0.0</v>
      </c>
      <c r="AY164" s="321">
        <f>iferror(VLOOKUP(C164,'ORDER BOOKING REPORT 2025-26'!C:O,13,0),"")</f>
        <v>12915876.4</v>
      </c>
      <c r="AZ164" s="322"/>
      <c r="BA164" s="157" t="str">
        <f t="shared" si="7"/>
        <v>Active</v>
      </c>
      <c r="BB164" s="157" t="str">
        <f t="shared" si="8"/>
        <v>Old</v>
      </c>
      <c r="BC164" s="157" t="str">
        <f t="shared" ref="BC164:BC171" si="108">IFS(AO164&lt;50%,"Below 50%",AO164&lt;70%,"50%-70%",AO164&lt;90%,"70%-90%",AO164&lt;100%,"90%-100%",AO164&gt;100%,"Above 100%")</f>
        <v>70%-90%</v>
      </c>
      <c r="BD164" s="223">
        <f t="shared" si="106"/>
        <v>12</v>
      </c>
      <c r="BE164" s="323">
        <v>1500000.0</v>
      </c>
      <c r="BF164" s="157">
        <f t="shared" si="10"/>
        <v>1</v>
      </c>
      <c r="BG164" s="157" t="s">
        <v>1019</v>
      </c>
      <c r="BH164" s="324"/>
      <c r="BI164" s="324"/>
      <c r="BJ164" s="325"/>
      <c r="BK164" s="326"/>
      <c r="BL164" s="326">
        <f t="shared" si="48"/>
        <v>0</v>
      </c>
      <c r="BM164" s="326">
        <f t="shared" si="12"/>
        <v>18000000</v>
      </c>
      <c r="BN164" s="326"/>
      <c r="BO164" s="327" t="str">
        <f>IFERROR(__xludf.DUMMYFUNCTION("IFERROR(ArrayFormula(SUM(VLOOKUP($C164,importrange(""1MwNMVzWE3QBVOyJjKr3eFX-Sq1Ng0Q1sghWJbgbE_8g"",""ORDER BOOKING REPORT 2024-25!C:CV""),{16,23,30},0))))"),"")</f>
        <v/>
      </c>
      <c r="BP164" s="327" t="str">
        <f>IFERROR(__xludf.DUMMYFUNCTION("IFERROR(ArrayFormula(SUM(VLOOKUP($C164,importrange(""1MwNMVzWE3QBVOyJjKr3eFX-Sq1Ng0Q1sghWJbgbE_8g"",""ORDER BOOKING REPORT 2024-25!C:CV""),{37,44,51},0))))"),"")</f>
        <v/>
      </c>
      <c r="BQ164" s="327" t="str">
        <f>IFERROR(__xludf.DUMMYFUNCTION("IFERROR(ArrayFormula(SUM(VLOOKUP($C164,importrange(""1MwNMVzWE3QBVOyJjKr3eFX-Sq1Ng0Q1sghWJbgbE_8g"",""ORDER BOOKING REPORT 2024-25!C:CV""),{58,65,72},0))))"),"")</f>
        <v/>
      </c>
      <c r="BR164" s="327" t="str">
        <f>IFERROR(__xludf.DUMMYFUNCTION("IFERROR(ArrayFormula(SUM(VLOOKUP($C164,importrange(""1MwNMVzWE3QBVOyJjKr3eFX-Sq1Ng0Q1sghWJbgbE_8g"",""ORDER BOOKING REPORT 2024-25!C:CV""),{79,86,93},0))))"),"")</f>
        <v/>
      </c>
      <c r="BS164" s="328">
        <f t="shared" si="13"/>
        <v>0.7175486889</v>
      </c>
      <c r="BT164" s="328">
        <f t="shared" si="14"/>
        <v>0.03366221436</v>
      </c>
      <c r="BU164" s="234">
        <f t="shared" si="15"/>
        <v>0</v>
      </c>
      <c r="BV164" s="329">
        <v>29375.0</v>
      </c>
      <c r="BW164" s="329" t="s">
        <v>1045</v>
      </c>
      <c r="BX164" s="329">
        <v>1217.0</v>
      </c>
      <c r="BY164" s="234">
        <f t="shared" si="16"/>
        <v>0</v>
      </c>
      <c r="BZ164" s="234"/>
      <c r="CA164" s="234"/>
      <c r="CB164" s="234"/>
      <c r="CC164" s="234"/>
      <c r="CD164" s="234"/>
      <c r="CE164" s="234"/>
      <c r="CF164" s="234"/>
      <c r="CG164" s="234" t="str">
        <f t="shared" si="19"/>
        <v>Below 60</v>
      </c>
      <c r="CH164" s="234" t="str">
        <f t="shared" si="27"/>
        <v>Business Achieved 50%</v>
      </c>
      <c r="CI164" s="328">
        <f t="shared" si="20"/>
        <v>0.9024390244</v>
      </c>
      <c r="CJ164" s="330">
        <f>IFERROR(__xludf.DUMMYFUNCTION("""COMPUTED_VALUE"""),589.0)</f>
        <v>589</v>
      </c>
      <c r="CK164" s="330">
        <f>IFERROR(__xludf.DUMMYFUNCTION("""COMPUTED_VALUE"""),13.0)</f>
        <v>13</v>
      </c>
      <c r="CL164" s="330">
        <f>IFERROR(__xludf.DUMMYFUNCTION("""COMPUTED_VALUE"""),0.0)</f>
        <v>0</v>
      </c>
      <c r="CM164" s="331">
        <f t="shared" si="21"/>
        <v>0</v>
      </c>
      <c r="CN164" s="337"/>
      <c r="CO164" s="160"/>
      <c r="CP164" s="334"/>
      <c r="CQ164" s="335"/>
      <c r="CR164" s="160"/>
      <c r="CS164" s="160"/>
      <c r="CT164" s="160"/>
      <c r="CU164" s="160"/>
      <c r="CV164" s="160"/>
      <c r="CW164" s="335"/>
      <c r="CX164" s="288"/>
      <c r="CY164" s="160"/>
      <c r="CZ164" s="160"/>
    </row>
    <row r="165">
      <c r="A165" s="157" t="s">
        <v>97</v>
      </c>
      <c r="B165" s="157" t="s">
        <v>101</v>
      </c>
      <c r="C165" s="157" t="s">
        <v>341</v>
      </c>
      <c r="D165" s="157" t="s">
        <v>1062</v>
      </c>
      <c r="E165" s="157" t="s">
        <v>105</v>
      </c>
      <c r="F165" s="338">
        <v>45694.0</v>
      </c>
      <c r="G165" s="314">
        <v>0.0</v>
      </c>
      <c r="H165" s="314">
        <v>5952000.0</v>
      </c>
      <c r="I165" s="315">
        <v>3321347.12</v>
      </c>
      <c r="J165" s="315">
        <v>0.0</v>
      </c>
      <c r="K165" s="160">
        <v>61.0</v>
      </c>
      <c r="L165" s="160">
        <v>70.0</v>
      </c>
      <c r="M165" s="160">
        <v>14.0</v>
      </c>
      <c r="N165" s="160">
        <v>75.0</v>
      </c>
      <c r="O165" s="160">
        <v>5.0</v>
      </c>
      <c r="P165" s="315">
        <v>2869328.12</v>
      </c>
      <c r="Q165" s="315">
        <v>452019.0</v>
      </c>
      <c r="R165" s="160">
        <v>38.0</v>
      </c>
      <c r="S165" s="160">
        <v>12.0</v>
      </c>
      <c r="T165" s="160">
        <v>50.0</v>
      </c>
      <c r="U165" s="160">
        <v>0.0</v>
      </c>
      <c r="V165" s="160">
        <v>10.0</v>
      </c>
      <c r="W165" s="160">
        <v>26.0</v>
      </c>
      <c r="X165" s="160">
        <v>6.0</v>
      </c>
      <c r="Y165" s="160">
        <v>1.0</v>
      </c>
      <c r="Z165" s="160">
        <v>54.0</v>
      </c>
      <c r="AA165" s="160">
        <v>0.0</v>
      </c>
      <c r="AB165" s="160">
        <v>0.0</v>
      </c>
      <c r="AC165" s="160">
        <v>0.0</v>
      </c>
      <c r="AD165" s="160">
        <v>0.0</v>
      </c>
      <c r="AE165" s="160">
        <v>618.0</v>
      </c>
      <c r="AF165" s="160">
        <v>698.0</v>
      </c>
      <c r="AG165" s="160">
        <v>107.0</v>
      </c>
      <c r="AH165" s="314">
        <f t="shared" si="2"/>
        <v>31040.62729</v>
      </c>
      <c r="AI165" s="314">
        <f t="shared" si="3"/>
        <v>6.523364486</v>
      </c>
      <c r="AJ165" s="346">
        <v>23000.0</v>
      </c>
      <c r="AK165" s="314">
        <f t="shared" si="63"/>
        <v>115000</v>
      </c>
      <c r="AL165" s="286">
        <v>43036.0</v>
      </c>
      <c r="AM165" s="318">
        <f t="shared" si="5"/>
        <v>0.04758189803</v>
      </c>
      <c r="AN165" s="314">
        <f t="shared" si="6"/>
        <v>66426.9424</v>
      </c>
      <c r="AO165" s="336">
        <f t="shared" si="107"/>
        <v>0.5580220296</v>
      </c>
      <c r="AP165" s="319">
        <v>0.0</v>
      </c>
      <c r="AQ165" s="160">
        <v>245.0</v>
      </c>
      <c r="AR165" s="160">
        <v>1023.0</v>
      </c>
      <c r="AS165" s="160">
        <v>0.0</v>
      </c>
      <c r="AT165" s="160">
        <v>12.0</v>
      </c>
      <c r="AU165" s="160">
        <v>0.0</v>
      </c>
      <c r="AV165" s="320">
        <v>50.0</v>
      </c>
      <c r="AW165" s="320">
        <v>20.0</v>
      </c>
      <c r="AX165" s="320">
        <v>5.0</v>
      </c>
      <c r="AY165" s="321">
        <f>iferror(VLOOKUP(C165,'ORDER BOOKING REPORT 2025-26'!C:O,13,0),"")</f>
        <v>2843665.68</v>
      </c>
      <c r="AZ165" s="322">
        <v>45899.0</v>
      </c>
      <c r="BA165" s="157" t="str">
        <f t="shared" si="7"/>
        <v>LEFT</v>
      </c>
      <c r="BB165" s="157" t="str">
        <f t="shared" si="8"/>
        <v>Old</v>
      </c>
      <c r="BC165" s="157" t="str">
        <f t="shared" si="108"/>
        <v>50%-70%</v>
      </c>
      <c r="BD165" s="223">
        <v>5.0</v>
      </c>
      <c r="BE165" s="326">
        <v>1333333.333</v>
      </c>
      <c r="BF165" s="157">
        <f t="shared" si="10"/>
        <v>2</v>
      </c>
      <c r="BG165" s="157" t="s">
        <v>1019</v>
      </c>
      <c r="BH165" s="324"/>
      <c r="BI165" s="324"/>
      <c r="BJ165" s="343"/>
      <c r="BK165" s="326"/>
      <c r="BL165" s="326">
        <f t="shared" si="48"/>
        <v>0</v>
      </c>
      <c r="BM165" s="326">
        <f t="shared" si="12"/>
        <v>5952000</v>
      </c>
      <c r="BN165" s="326"/>
      <c r="BO165" s="327" t="str">
        <f>IFERROR(__xludf.DUMMYFUNCTION("IFERROR(ArrayFormula(SUM(VLOOKUP($C165,importrange(""1MwNMVzWE3QBVOyJjKr3eFX-Sq1Ng0Q1sghWJbgbE_8g"",""ORDER BOOKING REPORT 2024-25!C:CV""),{16,23,30},0))))"),"")</f>
        <v/>
      </c>
      <c r="BP165" s="327" t="str">
        <f>IFERROR(__xludf.DUMMYFUNCTION("IFERROR(ArrayFormula(SUM(VLOOKUP($C165,importrange(""1MwNMVzWE3QBVOyJjKr3eFX-Sq1Ng0Q1sghWJbgbE_8g"",""ORDER BOOKING REPORT 2024-25!C:CV""),{37,44,51},0))))"),"")</f>
        <v/>
      </c>
      <c r="BQ165" s="327" t="str">
        <f>IFERROR(__xludf.DUMMYFUNCTION("IFERROR(ArrayFormula(SUM(VLOOKUP($C165,importrange(""1MwNMVzWE3QBVOyJjKr3eFX-Sq1Ng0Q1sghWJbgbE_8g"",""ORDER BOOKING REPORT 2024-25!C:CV""),{58,65,72},0))))"),"")</f>
        <v/>
      </c>
      <c r="BR165" s="327" t="str">
        <f>IFERROR(__xludf.DUMMYFUNCTION("IFERROR(ArrayFormula(SUM(VLOOKUP($C165,importrange(""1MwNMVzWE3QBVOyJjKr3eFX-Sq1Ng0Q1sghWJbgbE_8g"",""ORDER BOOKING REPORT 2024-25!C:CV""),{79,86,93},0))))"),"")</f>
        <v/>
      </c>
      <c r="BS165" s="328">
        <f t="shared" si="13"/>
        <v>0.4777664113</v>
      </c>
      <c r="BT165" s="328">
        <f t="shared" si="14"/>
        <v>0.05557474675</v>
      </c>
      <c r="BU165" s="234">
        <f t="shared" si="15"/>
        <v>0</v>
      </c>
      <c r="BV165" s="329"/>
      <c r="BW165" s="329"/>
      <c r="BX165" s="329"/>
      <c r="BY165" s="234">
        <f t="shared" si="16"/>
        <v>-23000</v>
      </c>
      <c r="BZ165" s="234"/>
      <c r="CA165" s="234">
        <f>BE165*5</f>
        <v>6666666.665</v>
      </c>
      <c r="CB165" s="234"/>
      <c r="CC165" s="234">
        <f>CA165-H165</f>
        <v>714666.665</v>
      </c>
      <c r="CD165" s="234"/>
      <c r="CE165" s="234"/>
      <c r="CF165" s="234"/>
      <c r="CG165" s="234" t="str">
        <f t="shared" si="19"/>
        <v> </v>
      </c>
      <c r="CH165" s="234" t="str">
        <f t="shared" si="27"/>
        <v>Business Achieved 50%</v>
      </c>
      <c r="CI165" s="328">
        <f t="shared" si="20"/>
        <v>0.6666666667</v>
      </c>
      <c r="CJ165" s="339">
        <f>IFERROR(__xludf.DUMMYFUNCTION("""COMPUTED_VALUE"""),541.0)</f>
        <v>541</v>
      </c>
      <c r="CK165" s="339">
        <f>IFERROR(__xludf.DUMMYFUNCTION("""COMPUTED_VALUE"""),77.0)</f>
        <v>77</v>
      </c>
      <c r="CL165" s="339">
        <f>IFERROR(__xludf.DUMMYFUNCTION("""COMPUTED_VALUE"""),0.0)</f>
        <v>0</v>
      </c>
      <c r="CM165" s="331">
        <f t="shared" si="21"/>
        <v>0</v>
      </c>
      <c r="CN165" s="340"/>
      <c r="CO165" s="328"/>
      <c r="CP165" s="341"/>
      <c r="CQ165" s="344"/>
      <c r="CR165" s="328"/>
      <c r="CS165" s="328"/>
      <c r="CT165" s="328"/>
      <c r="CU165" s="328"/>
      <c r="CV165" s="328"/>
      <c r="CW165" s="328"/>
      <c r="CX165" s="288"/>
      <c r="CY165" s="328"/>
      <c r="CZ165" s="328"/>
    </row>
    <row r="166">
      <c r="A166" s="157" t="s">
        <v>97</v>
      </c>
      <c r="B166" s="157" t="s">
        <v>101</v>
      </c>
      <c r="C166" s="157" t="s">
        <v>104</v>
      </c>
      <c r="D166" s="157" t="s">
        <v>1062</v>
      </c>
      <c r="E166" s="157" t="s">
        <v>105</v>
      </c>
      <c r="F166" s="338">
        <v>45719.0</v>
      </c>
      <c r="G166" s="314">
        <v>0.0</v>
      </c>
      <c r="H166" s="314">
        <v>1.586E7</v>
      </c>
      <c r="I166" s="315">
        <v>1.415497419E7</v>
      </c>
      <c r="J166" s="315">
        <v>0.0</v>
      </c>
      <c r="K166" s="160">
        <v>92.0</v>
      </c>
      <c r="L166" s="160">
        <v>75.0</v>
      </c>
      <c r="M166" s="160">
        <v>25.0</v>
      </c>
      <c r="N166" s="160">
        <v>117.0</v>
      </c>
      <c r="O166" s="160">
        <v>42.0</v>
      </c>
      <c r="P166" s="315">
        <v>1.20582154E7</v>
      </c>
      <c r="Q166" s="315">
        <v>2096758.79</v>
      </c>
      <c r="R166" s="160">
        <v>38.0</v>
      </c>
      <c r="S166" s="160">
        <v>24.0</v>
      </c>
      <c r="T166" s="160">
        <v>62.0</v>
      </c>
      <c r="U166" s="160">
        <v>0.0</v>
      </c>
      <c r="V166" s="160">
        <v>8.0</v>
      </c>
      <c r="W166" s="160">
        <v>29.0</v>
      </c>
      <c r="X166" s="160">
        <v>1.0</v>
      </c>
      <c r="Y166" s="160">
        <v>1.0</v>
      </c>
      <c r="Z166" s="160">
        <v>37.0</v>
      </c>
      <c r="AA166" s="160">
        <v>0.0</v>
      </c>
      <c r="AB166" s="160">
        <v>0.0</v>
      </c>
      <c r="AC166" s="160">
        <v>0.0</v>
      </c>
      <c r="AD166" s="160">
        <v>0.0</v>
      </c>
      <c r="AE166" s="160">
        <v>1801.0</v>
      </c>
      <c r="AF166" s="160">
        <v>1867.0</v>
      </c>
      <c r="AG166" s="160">
        <v>290.0</v>
      </c>
      <c r="AH166" s="314">
        <f t="shared" si="2"/>
        <v>48810.25583</v>
      </c>
      <c r="AI166" s="314">
        <f t="shared" si="3"/>
        <v>6.437931034</v>
      </c>
      <c r="AJ166" s="346">
        <v>23000.0</v>
      </c>
      <c r="AK166" s="314">
        <f t="shared" si="63"/>
        <v>276000</v>
      </c>
      <c r="AL166" s="286">
        <v>137518.0</v>
      </c>
      <c r="AM166" s="318">
        <f t="shared" si="5"/>
        <v>0.02921361738</v>
      </c>
      <c r="AN166" s="314">
        <f t="shared" si="6"/>
        <v>228306.0353</v>
      </c>
      <c r="AO166" s="336">
        <f t="shared" si="107"/>
        <v>0.8924952201</v>
      </c>
      <c r="AP166" s="319">
        <v>0.0</v>
      </c>
      <c r="AQ166" s="160">
        <v>400.0</v>
      </c>
      <c r="AR166" s="160">
        <v>2795.0</v>
      </c>
      <c r="AS166" s="160">
        <v>2623.96</v>
      </c>
      <c r="AT166" s="160">
        <v>24.0</v>
      </c>
      <c r="AU166" s="160">
        <v>35.0</v>
      </c>
      <c r="AV166" s="320">
        <v>62.0</v>
      </c>
      <c r="AW166" s="320">
        <v>14.0</v>
      </c>
      <c r="AX166" s="320">
        <v>41.0</v>
      </c>
      <c r="AY166" s="321">
        <f>iferror(VLOOKUP(C166,'ORDER BOOKING REPORT 2025-26'!C:O,13,0),"")</f>
        <v>12225774.77</v>
      </c>
      <c r="AZ166" s="322"/>
      <c r="BA166" s="157" t="str">
        <f t="shared" si="7"/>
        <v>Active</v>
      </c>
      <c r="BB166" s="157" t="str">
        <f t="shared" si="8"/>
        <v>Old</v>
      </c>
      <c r="BC166" s="157" t="str">
        <f t="shared" si="108"/>
        <v>70%-90%</v>
      </c>
      <c r="BD166" s="223">
        <f t="array" ref="BD166">Match($BD$2,{"Apr","May","Jun","Jul","Aug","Sep","Oct","Nov","Dec","Jan","Feb","Mar"},0)</f>
        <v>12</v>
      </c>
      <c r="BE166" s="326">
        <v>1333333.333</v>
      </c>
      <c r="BF166" s="157">
        <f t="shared" si="10"/>
        <v>1</v>
      </c>
      <c r="BG166" s="157" t="s">
        <v>1019</v>
      </c>
      <c r="BH166" s="324"/>
      <c r="BI166" s="324"/>
      <c r="BJ166" s="325"/>
      <c r="BK166" s="326"/>
      <c r="BL166" s="326">
        <f t="shared" si="48"/>
        <v>0</v>
      </c>
      <c r="BM166" s="326">
        <f t="shared" si="12"/>
        <v>15860000</v>
      </c>
      <c r="BN166" s="326"/>
      <c r="BO166" s="327" t="str">
        <f>IFERROR(__xludf.DUMMYFUNCTION("IFERROR(ArrayFormula(SUM(VLOOKUP($C166,importrange(""1MwNMVzWE3QBVOyJjKr3eFX-Sq1Ng0Q1sghWJbgbE_8g"",""ORDER BOOKING REPORT 2024-25!C:CV""),{16,23,30},0))))"),"")</f>
        <v/>
      </c>
      <c r="BP166" s="327" t="str">
        <f>IFERROR(__xludf.DUMMYFUNCTION("IFERROR(ArrayFormula(SUM(VLOOKUP($C166,importrange(""1MwNMVzWE3QBVOyJjKr3eFX-Sq1Ng0Q1sghWJbgbE_8g"",""ORDER BOOKING REPORT 2024-25!C:CV""),{37,44,51},0))))"),"")</f>
        <v/>
      </c>
      <c r="BQ166" s="327" t="str">
        <f>IFERROR(__xludf.DUMMYFUNCTION("IFERROR(ArrayFormula(SUM(VLOOKUP($C166,importrange(""1MwNMVzWE3QBVOyJjKr3eFX-Sq1Ng0Q1sghWJbgbE_8g"",""ORDER BOOKING REPORT 2024-25!C:CV""),{58,65,72},0))))"),"")</f>
        <v/>
      </c>
      <c r="BR166" s="327" t="str">
        <f>IFERROR(__xludf.DUMMYFUNCTION("IFERROR(ArrayFormula(SUM(VLOOKUP($C166,importrange(""1MwNMVzWE3QBVOyJjKr3eFX-Sq1Ng0Q1sghWJbgbE_8g"",""ORDER BOOKING REPORT 2024-25!C:CV""),{79,86,93},0))))"),"")</f>
        <v/>
      </c>
      <c r="BS166" s="328">
        <f t="shared" si="13"/>
        <v>0.7708559124</v>
      </c>
      <c r="BT166" s="328">
        <f t="shared" si="14"/>
        <v>0.03382345968</v>
      </c>
      <c r="BU166" s="234">
        <f t="shared" si="15"/>
        <v>0</v>
      </c>
      <c r="BV166" s="329"/>
      <c r="BW166" s="329"/>
      <c r="BX166" s="329"/>
      <c r="BY166" s="234">
        <f t="shared" si="16"/>
        <v>-23000</v>
      </c>
      <c r="BZ166" s="234"/>
      <c r="CA166" s="234"/>
      <c r="CB166" s="234"/>
      <c r="CC166" s="234"/>
      <c r="CD166" s="234"/>
      <c r="CE166" s="234"/>
      <c r="CF166" s="234"/>
      <c r="CG166" s="234" t="str">
        <f t="shared" si="19"/>
        <v> </v>
      </c>
      <c r="CH166" s="234" t="str">
        <f t="shared" si="27"/>
        <v>Business Achieved 50%</v>
      </c>
      <c r="CI166" s="328">
        <f t="shared" si="20"/>
        <v>0.5299145299</v>
      </c>
      <c r="CJ166" s="339">
        <f>IFERROR(__xludf.DUMMYFUNCTION("""COMPUTED_VALUE"""),1644.0)</f>
        <v>1644</v>
      </c>
      <c r="CK166" s="339">
        <f>IFERROR(__xludf.DUMMYFUNCTION("""COMPUTED_VALUE"""),157.0)</f>
        <v>157</v>
      </c>
      <c r="CL166" s="339">
        <f>IFERROR(__xludf.DUMMYFUNCTION("""COMPUTED_VALUE"""),0.0)</f>
        <v>0</v>
      </c>
      <c r="CM166" s="331">
        <f t="shared" si="21"/>
        <v>0</v>
      </c>
      <c r="CN166" s="340"/>
      <c r="CO166" s="328"/>
      <c r="CP166" s="341"/>
      <c r="CQ166" s="344"/>
      <c r="CR166" s="328"/>
      <c r="CS166" s="328"/>
      <c r="CT166" s="328"/>
      <c r="CU166" s="328"/>
      <c r="CV166" s="328"/>
      <c r="CW166" s="328"/>
      <c r="CX166" s="288"/>
      <c r="CY166" s="328"/>
      <c r="CZ166" s="328"/>
    </row>
    <row r="167">
      <c r="A167" s="157" t="s">
        <v>23</v>
      </c>
      <c r="B167" s="157" t="s">
        <v>30</v>
      </c>
      <c r="C167" s="157" t="s">
        <v>336</v>
      </c>
      <c r="D167" s="157" t="s">
        <v>30</v>
      </c>
      <c r="E167" s="157" t="s">
        <v>44</v>
      </c>
      <c r="F167" s="338">
        <v>45722.0</v>
      </c>
      <c r="G167" s="314">
        <v>0.0</v>
      </c>
      <c r="H167" s="314">
        <v>1.44E7</v>
      </c>
      <c r="I167" s="315">
        <v>3758218.79</v>
      </c>
      <c r="J167" s="315">
        <v>0.0</v>
      </c>
      <c r="K167" s="160">
        <v>62.0</v>
      </c>
      <c r="L167" s="160">
        <v>86.0</v>
      </c>
      <c r="M167" s="160">
        <v>26.0</v>
      </c>
      <c r="N167" s="160">
        <v>88.0</v>
      </c>
      <c r="O167" s="160">
        <v>2.0</v>
      </c>
      <c r="P167" s="315">
        <v>2989305.48</v>
      </c>
      <c r="Q167" s="315">
        <v>768913.31</v>
      </c>
      <c r="R167" s="160">
        <v>32.0</v>
      </c>
      <c r="S167" s="160">
        <v>19.0</v>
      </c>
      <c r="T167" s="160">
        <v>51.0</v>
      </c>
      <c r="U167" s="160">
        <v>0.0</v>
      </c>
      <c r="V167" s="160">
        <v>269.0</v>
      </c>
      <c r="W167" s="160">
        <v>625.0</v>
      </c>
      <c r="X167" s="160">
        <v>21.0</v>
      </c>
      <c r="Y167" s="160">
        <v>4.0</v>
      </c>
      <c r="Z167" s="160">
        <v>104.0</v>
      </c>
      <c r="AA167" s="160">
        <v>2.0</v>
      </c>
      <c r="AB167" s="160">
        <v>2.0</v>
      </c>
      <c r="AC167" s="160">
        <v>5.0</v>
      </c>
      <c r="AD167" s="160">
        <v>5.0</v>
      </c>
      <c r="AE167" s="160">
        <v>691.0</v>
      </c>
      <c r="AF167" s="160">
        <v>1427.0</v>
      </c>
      <c r="AG167" s="160">
        <v>169.0</v>
      </c>
      <c r="AH167" s="314">
        <f t="shared" si="2"/>
        <v>22237.98101</v>
      </c>
      <c r="AI167" s="314">
        <f t="shared" si="3"/>
        <v>8.443786982</v>
      </c>
      <c r="AJ167" s="316">
        <f>BV167</f>
        <v>27260</v>
      </c>
      <c r="AK167" s="314">
        <f t="shared" si="63"/>
        <v>190820</v>
      </c>
      <c r="AL167" s="286">
        <v>83225.0</v>
      </c>
      <c r="AM167" s="318">
        <f t="shared" si="5"/>
        <v>0.07291885207</v>
      </c>
      <c r="AN167" s="314">
        <f t="shared" si="6"/>
        <v>73690.56451</v>
      </c>
      <c r="AO167" s="336">
        <f t="shared" si="107"/>
        <v>0.260987416</v>
      </c>
      <c r="AP167" s="319">
        <v>0.0</v>
      </c>
      <c r="AQ167" s="160">
        <v>193.0</v>
      </c>
      <c r="AR167" s="160">
        <v>1673.0</v>
      </c>
      <c r="AS167" s="160">
        <v>0.0</v>
      </c>
      <c r="AT167" s="160">
        <v>19.0</v>
      </c>
      <c r="AU167" s="160">
        <v>0.0</v>
      </c>
      <c r="AV167" s="320">
        <v>51.0</v>
      </c>
      <c r="AW167" s="320">
        <v>35.0</v>
      </c>
      <c r="AX167" s="320">
        <v>2.0</v>
      </c>
      <c r="AY167" s="321">
        <f>iferror(VLOOKUP(C167,'ORDER BOOKING REPORT 2025-26'!C:O,13,0),"")</f>
        <v>3648199</v>
      </c>
      <c r="AZ167" s="322">
        <v>45961.0</v>
      </c>
      <c r="BA167" s="157" t="str">
        <f t="shared" si="7"/>
        <v>LEFT</v>
      </c>
      <c r="BB167" s="157" t="str">
        <f t="shared" si="8"/>
        <v>Old</v>
      </c>
      <c r="BC167" s="157" t="str">
        <f t="shared" si="108"/>
        <v>Below 50%</v>
      </c>
      <c r="BD167" s="223">
        <v>7.0</v>
      </c>
      <c r="BE167" s="323">
        <v>1200000.0</v>
      </c>
      <c r="BF167" s="157">
        <f t="shared" si="10"/>
        <v>7</v>
      </c>
      <c r="BG167" s="157" t="s">
        <v>1019</v>
      </c>
      <c r="BH167" s="324"/>
      <c r="BI167" s="324"/>
      <c r="BJ167" s="325"/>
      <c r="BK167" s="326"/>
      <c r="BL167" s="326">
        <f t="shared" si="48"/>
        <v>0</v>
      </c>
      <c r="BM167" s="326">
        <f t="shared" si="12"/>
        <v>14400000</v>
      </c>
      <c r="BN167" s="326"/>
      <c r="BO167" s="327" t="str">
        <f>IFERROR(__xludf.DUMMYFUNCTION("IFERROR(ArrayFormula(SUM(VLOOKUP($C167,importrange(""1MwNMVzWE3QBVOyJjKr3eFX-Sq1Ng0Q1sghWJbgbE_8g"",""ORDER BOOKING REPORT 2024-25!C:CV""),{16,23,30},0))))"),"")</f>
        <v/>
      </c>
      <c r="BP167" s="327" t="str">
        <f>IFERROR(__xludf.DUMMYFUNCTION("IFERROR(ArrayFormula(SUM(VLOOKUP($C167,importrange(""1MwNMVzWE3QBVOyJjKr3eFX-Sq1Ng0Q1sghWJbgbE_8g"",""ORDER BOOKING REPORT 2024-25!C:CV""),{37,44,51},0))))"),"")</f>
        <v/>
      </c>
      <c r="BQ167" s="327" t="str">
        <f>IFERROR(__xludf.DUMMYFUNCTION("IFERROR(ArrayFormula(SUM(VLOOKUP($C167,importrange(""1MwNMVzWE3QBVOyJjKr3eFX-Sq1Ng0Q1sghWJbgbE_8g"",""ORDER BOOKING REPORT 2024-25!C:CV""),{58,65,72},0))))"),"")</f>
        <v/>
      </c>
      <c r="BR167" s="327" t="str">
        <f>IFERROR(__xludf.DUMMYFUNCTION("IFERROR(ArrayFormula(SUM(VLOOKUP($C167,importrange(""1MwNMVzWE3QBVOyJjKr3eFX-Sq1Ng0Q1sghWJbgbE_8g"",""ORDER BOOKING REPORT 2024-25!C:CV""),{79,86,93},0))))"),"")</f>
        <v/>
      </c>
      <c r="BS167" s="328">
        <f t="shared" si="13"/>
        <v>0.2533471528</v>
      </c>
      <c r="BT167" s="328">
        <f t="shared" si="14"/>
        <v>0.07511788694</v>
      </c>
      <c r="BU167" s="234">
        <f t="shared" si="15"/>
        <v>0</v>
      </c>
      <c r="BV167" s="329">
        <v>27260.0</v>
      </c>
      <c r="BW167" s="329" t="s">
        <v>1045</v>
      </c>
      <c r="BX167" s="329">
        <v>1226.0</v>
      </c>
      <c r="BY167" s="234">
        <f t="shared" si="16"/>
        <v>0</v>
      </c>
      <c r="BZ167" s="234"/>
      <c r="CA167" s="234"/>
      <c r="CB167" s="234"/>
      <c r="CC167" s="234"/>
      <c r="CD167" s="234"/>
      <c r="CE167" s="234"/>
      <c r="CF167" s="234"/>
      <c r="CG167" s="234" t="str">
        <f t="shared" si="19"/>
        <v> </v>
      </c>
      <c r="CH167" s="234" t="str">
        <f t="shared" si="27"/>
        <v>Business Achieved 50%</v>
      </c>
      <c r="CI167" s="328">
        <f t="shared" si="20"/>
        <v>0.5795454545</v>
      </c>
      <c r="CJ167" s="339">
        <f>IFERROR(__xludf.DUMMYFUNCTION("""COMPUTED_VALUE"""),559.0)</f>
        <v>559</v>
      </c>
      <c r="CK167" s="339">
        <f>IFERROR(__xludf.DUMMYFUNCTION("""COMPUTED_VALUE"""),134.0)</f>
        <v>134</v>
      </c>
      <c r="CL167" s="339">
        <f>IFERROR(__xludf.DUMMYFUNCTION("""COMPUTED_VALUE"""),0.0)</f>
        <v>0</v>
      </c>
      <c r="CM167" s="331">
        <f t="shared" si="21"/>
        <v>-2</v>
      </c>
      <c r="CN167" s="340"/>
      <c r="CO167" s="328"/>
      <c r="CP167" s="341"/>
      <c r="CQ167" s="344"/>
      <c r="CR167" s="328"/>
      <c r="CS167" s="328"/>
      <c r="CT167" s="328"/>
      <c r="CU167" s="328"/>
      <c r="CV167" s="328"/>
      <c r="CW167" s="328"/>
      <c r="CX167" s="288"/>
      <c r="CY167" s="328"/>
      <c r="CZ167" s="328"/>
    </row>
    <row r="168">
      <c r="A168" s="348" t="s">
        <v>53</v>
      </c>
      <c r="B168" s="348" t="s">
        <v>56</v>
      </c>
      <c r="C168" s="348" t="s">
        <v>62</v>
      </c>
      <c r="D168" s="157" t="s">
        <v>1092</v>
      </c>
      <c r="E168" s="157" t="s">
        <v>63</v>
      </c>
      <c r="F168" s="285">
        <v>45733.0</v>
      </c>
      <c r="G168" s="314">
        <v>0.0</v>
      </c>
      <c r="H168" s="314">
        <v>1.75E7</v>
      </c>
      <c r="I168" s="315">
        <v>8305428.76</v>
      </c>
      <c r="J168" s="315">
        <v>0.0</v>
      </c>
      <c r="K168" s="160">
        <v>56.0</v>
      </c>
      <c r="L168" s="160">
        <v>92.0</v>
      </c>
      <c r="M168" s="160">
        <v>36.0</v>
      </c>
      <c r="N168" s="160">
        <v>92.0</v>
      </c>
      <c r="O168" s="160">
        <v>0.0</v>
      </c>
      <c r="P168" s="315">
        <v>3229622.76</v>
      </c>
      <c r="Q168" s="315">
        <v>5075806.0</v>
      </c>
      <c r="R168" s="160">
        <v>22.0</v>
      </c>
      <c r="S168" s="160">
        <v>36.0</v>
      </c>
      <c r="T168" s="160">
        <v>58.0</v>
      </c>
      <c r="U168" s="160">
        <v>0.0</v>
      </c>
      <c r="V168" s="160">
        <v>226.0</v>
      </c>
      <c r="W168" s="160">
        <v>642.0</v>
      </c>
      <c r="X168" s="160">
        <v>1.0</v>
      </c>
      <c r="Y168" s="160">
        <v>7.0</v>
      </c>
      <c r="Z168" s="160">
        <v>142.0</v>
      </c>
      <c r="AA168" s="160">
        <v>1.0</v>
      </c>
      <c r="AB168" s="160">
        <v>4.0</v>
      </c>
      <c r="AC168" s="160">
        <v>18.0</v>
      </c>
      <c r="AD168" s="160">
        <v>130.0</v>
      </c>
      <c r="AE168" s="160">
        <v>1166.0</v>
      </c>
      <c r="AF168" s="160">
        <v>2084.0</v>
      </c>
      <c r="AG168" s="160">
        <v>294.0</v>
      </c>
      <c r="AH168" s="314">
        <f t="shared" si="2"/>
        <v>28249.75769</v>
      </c>
      <c r="AI168" s="314">
        <f t="shared" si="3"/>
        <v>7.088435374</v>
      </c>
      <c r="AJ168" s="346">
        <v>33550.0</v>
      </c>
      <c r="AK168" s="314">
        <f t="shared" si="63"/>
        <v>402600</v>
      </c>
      <c r="AL168" s="317">
        <v>333495.0</v>
      </c>
      <c r="AM168" s="318">
        <f t="shared" si="5"/>
        <v>0.08862817577</v>
      </c>
      <c r="AN168" s="314">
        <f t="shared" si="6"/>
        <v>143197.0476</v>
      </c>
      <c r="AO168" s="336">
        <f t="shared" si="107"/>
        <v>0.4745959291</v>
      </c>
      <c r="AP168" s="319">
        <v>0.0</v>
      </c>
      <c r="AQ168" s="160">
        <v>261.0</v>
      </c>
      <c r="AR168" s="160">
        <v>2799.0</v>
      </c>
      <c r="AS168" s="160">
        <v>5073.69</v>
      </c>
      <c r="AT168" s="160">
        <v>36.0</v>
      </c>
      <c r="AU168" s="160">
        <v>55.0</v>
      </c>
      <c r="AV168" s="320">
        <v>58.0</v>
      </c>
      <c r="AW168" s="320">
        <v>34.0</v>
      </c>
      <c r="AX168" s="320">
        <v>0.0</v>
      </c>
      <c r="AY168" s="321">
        <f>iferror(VLOOKUP(C168,'ORDER BOOKING REPORT 2025-26'!C:O,13,0),"")</f>
        <v>6240886</v>
      </c>
      <c r="AZ168" s="322"/>
      <c r="BA168" s="157" t="str">
        <f t="shared" si="7"/>
        <v>Active</v>
      </c>
      <c r="BB168" s="157" t="str">
        <f t="shared" si="8"/>
        <v>Old</v>
      </c>
      <c r="BC168" s="157" t="str">
        <f t="shared" si="108"/>
        <v>Below 50%</v>
      </c>
      <c r="BD168" s="223">
        <f t="array" ref="BD168">Match($BD$2,{"Apr","May","Jun","Jul","Aug","Sep","Oct","Nov","Dec","Jan","Feb","Mar"},0)</f>
        <v>12</v>
      </c>
      <c r="BE168" s="326">
        <v>1500000.0</v>
      </c>
      <c r="BF168" s="157">
        <f t="shared" si="10"/>
        <v>0</v>
      </c>
      <c r="BG168" s="157" t="s">
        <v>1019</v>
      </c>
      <c r="BH168" s="324"/>
      <c r="BI168" s="324"/>
      <c r="BJ168" s="325"/>
      <c r="BK168" s="326"/>
      <c r="BL168" s="326">
        <f t="shared" si="48"/>
        <v>0</v>
      </c>
      <c r="BM168" s="326">
        <f t="shared" si="12"/>
        <v>17500000</v>
      </c>
      <c r="BN168" s="326"/>
      <c r="BO168" s="327" t="str">
        <f>IFERROR(__xludf.DUMMYFUNCTION("IFERROR(ArrayFormula(SUM(VLOOKUP($C168,importrange(""1MwNMVzWE3QBVOyJjKr3eFX-Sq1Ng0Q1sghWJbgbE_8g"",""ORDER BOOKING REPORT 2024-25!C:CV""),{16,23,30},0))))"),"")</f>
        <v/>
      </c>
      <c r="BP168" s="327" t="str">
        <f>IFERROR(__xludf.DUMMYFUNCTION("IFERROR(ArrayFormula(SUM(VLOOKUP($C168,importrange(""1MwNMVzWE3QBVOyJjKr3eFX-Sq1Ng0Q1sghWJbgbE_8g"",""ORDER BOOKING REPORT 2024-25!C:CV""),{37,44,51},0))))"),"")</f>
        <v/>
      </c>
      <c r="BQ168" s="327" t="str">
        <f>IFERROR(__xludf.DUMMYFUNCTION("IFERROR(ArrayFormula(SUM(VLOOKUP($C168,importrange(""1MwNMVzWE3QBVOyJjKr3eFX-Sq1Ng0Q1sghWJbgbE_8g"",""ORDER BOOKING REPORT 2024-25!C:CV""),{58,65,72},0))))"),"")</f>
        <v/>
      </c>
      <c r="BR168" s="327" t="str">
        <f>IFERROR(__xludf.DUMMYFUNCTION("IFERROR(ArrayFormula(SUM(VLOOKUP($C168,importrange(""1MwNMVzWE3QBVOyJjKr3eFX-Sq1Ng0Q1sghWJbgbE_8g"",""ORDER BOOKING REPORT 2024-25!C:CV""),{79,86,93},0))))"),"")</f>
        <v/>
      </c>
      <c r="BS168" s="328">
        <f t="shared" si="13"/>
        <v>0.3566220571</v>
      </c>
      <c r="BT168" s="328">
        <f t="shared" si="14"/>
        <v>0.1179471953</v>
      </c>
      <c r="BU168" s="234">
        <f t="shared" si="15"/>
        <v>0</v>
      </c>
      <c r="BV168" s="329"/>
      <c r="BW168" s="329"/>
      <c r="BX168" s="329"/>
      <c r="BY168" s="234">
        <f t="shared" si="16"/>
        <v>-33550</v>
      </c>
      <c r="BZ168" s="234"/>
      <c r="CA168" s="234"/>
      <c r="CB168" s="234"/>
      <c r="CC168" s="234"/>
      <c r="CD168" s="234"/>
      <c r="CE168" s="234"/>
      <c r="CF168" s="234"/>
      <c r="CG168" s="234" t="str">
        <f t="shared" si="19"/>
        <v> </v>
      </c>
      <c r="CH168" s="234" t="str">
        <f t="shared" si="27"/>
        <v>Business Achieved 50%</v>
      </c>
      <c r="CI168" s="328">
        <f t="shared" si="20"/>
        <v>0.6304347826</v>
      </c>
      <c r="CJ168" s="330">
        <f>IFERROR(__xludf.DUMMYFUNCTION("""COMPUTED_VALUE"""),951.0)</f>
        <v>951</v>
      </c>
      <c r="CK168" s="330">
        <f>IFERROR(__xludf.DUMMYFUNCTION("""COMPUTED_VALUE"""),215.0)</f>
        <v>215</v>
      </c>
      <c r="CL168" s="330">
        <f>IFERROR(__xludf.DUMMYFUNCTION("""COMPUTED_VALUE"""),0.0)</f>
        <v>0</v>
      </c>
      <c r="CM168" s="331">
        <f t="shared" si="21"/>
        <v>0</v>
      </c>
      <c r="CN168" s="337"/>
      <c r="CO168" s="160"/>
      <c r="CP168" s="334"/>
      <c r="CQ168" s="335"/>
      <c r="CR168" s="160"/>
      <c r="CS168" s="160"/>
      <c r="CT168" s="160"/>
      <c r="CU168" s="160"/>
      <c r="CV168" s="160"/>
      <c r="CW168" s="335"/>
      <c r="CX168" s="288"/>
      <c r="CY168" s="160"/>
      <c r="CZ168" s="160"/>
    </row>
    <row r="169">
      <c r="A169" s="157" t="s">
        <v>53</v>
      </c>
      <c r="B169" s="157" t="s">
        <v>56</v>
      </c>
      <c r="C169" s="157" t="s">
        <v>364</v>
      </c>
      <c r="D169" s="157" t="s">
        <v>1092</v>
      </c>
      <c r="E169" s="157" t="s">
        <v>365</v>
      </c>
      <c r="F169" s="285">
        <v>45735.0</v>
      </c>
      <c r="G169" s="314">
        <v>0.0</v>
      </c>
      <c r="H169" s="314">
        <v>2800000.0</v>
      </c>
      <c r="I169" s="315">
        <v>19908.0</v>
      </c>
      <c r="J169" s="315">
        <v>0.0</v>
      </c>
      <c r="K169" s="160">
        <v>33.0</v>
      </c>
      <c r="L169" s="160">
        <v>28.0</v>
      </c>
      <c r="M169" s="160">
        <v>4.0</v>
      </c>
      <c r="N169" s="160">
        <v>37.0</v>
      </c>
      <c r="O169" s="160">
        <v>9.0</v>
      </c>
      <c r="P169" s="315">
        <v>19908.0</v>
      </c>
      <c r="Q169" s="315">
        <v>0.0</v>
      </c>
      <c r="R169" s="160">
        <v>1.0</v>
      </c>
      <c r="S169" s="160">
        <v>0.0</v>
      </c>
      <c r="T169" s="160">
        <v>1.0</v>
      </c>
      <c r="U169" s="160">
        <v>0.0</v>
      </c>
      <c r="V169" s="160">
        <v>148.0</v>
      </c>
      <c r="W169" s="160">
        <v>358.0</v>
      </c>
      <c r="X169" s="160">
        <v>105.0</v>
      </c>
      <c r="Y169" s="160">
        <v>2.0</v>
      </c>
      <c r="Z169" s="160">
        <v>3.0</v>
      </c>
      <c r="AA169" s="160">
        <v>0.0</v>
      </c>
      <c r="AB169" s="160">
        <v>0.0</v>
      </c>
      <c r="AC169" s="160">
        <v>4.0</v>
      </c>
      <c r="AD169" s="160">
        <v>7.0</v>
      </c>
      <c r="AE169" s="160">
        <v>109.0</v>
      </c>
      <c r="AF169" s="160">
        <v>477.0</v>
      </c>
      <c r="AG169" s="160">
        <v>83.0</v>
      </c>
      <c r="AH169" s="314">
        <f t="shared" si="2"/>
        <v>239.8554217</v>
      </c>
      <c r="AI169" s="314">
        <f t="shared" si="3"/>
        <v>5.746987952</v>
      </c>
      <c r="AJ169" s="346">
        <v>25165.0</v>
      </c>
      <c r="AK169" s="314">
        <f t="shared" si="63"/>
        <v>88077.5</v>
      </c>
      <c r="AL169" s="317">
        <v>26514.0</v>
      </c>
      <c r="AM169" s="318">
        <f t="shared" si="5"/>
        <v>5.756052843</v>
      </c>
      <c r="AN169" s="314">
        <f t="shared" si="6"/>
        <v>19908</v>
      </c>
      <c r="AO169" s="336">
        <f t="shared" si="107"/>
        <v>0.00711</v>
      </c>
      <c r="AP169" s="319">
        <v>0.0</v>
      </c>
      <c r="AQ169" s="160">
        <v>1.0</v>
      </c>
      <c r="AR169" s="160">
        <v>679.0</v>
      </c>
      <c r="AS169" s="160">
        <v>0.0</v>
      </c>
      <c r="AT169" s="160">
        <v>0.0</v>
      </c>
      <c r="AU169" s="160">
        <v>0.0</v>
      </c>
      <c r="AV169" s="320">
        <v>1.0</v>
      </c>
      <c r="AW169" s="320">
        <v>27.0</v>
      </c>
      <c r="AX169" s="320">
        <v>9.0</v>
      </c>
      <c r="AY169" s="321">
        <f>iferror(VLOOKUP(C169,'ORDER BOOKING REPORT 2025-26'!C:O,13,0),"")</f>
        <v>0</v>
      </c>
      <c r="AZ169" s="322">
        <v>45853.0</v>
      </c>
      <c r="BA169" s="157" t="str">
        <f t="shared" si="7"/>
        <v>LEFT</v>
      </c>
      <c r="BB169" s="157" t="str">
        <f t="shared" si="8"/>
        <v>Old</v>
      </c>
      <c r="BC169" s="157" t="str">
        <f t="shared" si="108"/>
        <v>Below 50%</v>
      </c>
      <c r="BD169" s="223">
        <v>3.5</v>
      </c>
      <c r="BE169" s="326">
        <v>700000.0</v>
      </c>
      <c r="BF169" s="157">
        <f t="shared" si="10"/>
        <v>4</v>
      </c>
      <c r="BG169" s="157" t="s">
        <v>1019</v>
      </c>
      <c r="BH169" s="324"/>
      <c r="BI169" s="324"/>
      <c r="BJ169" s="343"/>
      <c r="BK169" s="326"/>
      <c r="BL169" s="326">
        <f t="shared" si="48"/>
        <v>0</v>
      </c>
      <c r="BM169" s="326">
        <f t="shared" si="12"/>
        <v>2800000</v>
      </c>
      <c r="BN169" s="326"/>
      <c r="BO169" s="327" t="str">
        <f>IFERROR(__xludf.DUMMYFUNCTION("IFERROR(ArrayFormula(SUM(VLOOKUP($C169,importrange(""1MwNMVzWE3QBVOyJjKr3eFX-Sq1Ng0Q1sghWJbgbE_8g"",""ORDER BOOKING REPORT 2024-25!C:CV""),{16,23,30},0))))"),"")</f>
        <v/>
      </c>
      <c r="BP169" s="327" t="str">
        <f>IFERROR(__xludf.DUMMYFUNCTION("IFERROR(ArrayFormula(SUM(VLOOKUP($C169,importrange(""1MwNMVzWE3QBVOyJjKr3eFX-Sq1Ng0Q1sghWJbgbE_8g"",""ORDER BOOKING REPORT 2024-25!C:CV""),{37,44,51},0))))"),"")</f>
        <v/>
      </c>
      <c r="BQ169" s="327" t="str">
        <f>IFERROR(__xludf.DUMMYFUNCTION("IFERROR(ArrayFormula(SUM(VLOOKUP($C169,importrange(""1MwNMVzWE3QBVOyJjKr3eFX-Sq1Ng0Q1sghWJbgbE_8g"",""ORDER BOOKING REPORT 2024-25!C:CV""),{58,65,72},0))))"),"")</f>
        <v/>
      </c>
      <c r="BR169" s="327" t="str">
        <f>IFERROR(__xludf.DUMMYFUNCTION("IFERROR(ArrayFormula(SUM(VLOOKUP($C169,importrange(""1MwNMVzWE3QBVOyJjKr3eFX-Sq1Ng0Q1sghWJbgbE_8g"",""ORDER BOOKING REPORT 2024-25!C:CV""),{79,86,93},0))))"),"")</f>
        <v/>
      </c>
      <c r="BS169" s="328">
        <f t="shared" si="13"/>
        <v>0</v>
      </c>
      <c r="BT169" s="328" t="str">
        <f t="shared" si="14"/>
        <v/>
      </c>
      <c r="BU169" s="234">
        <f t="shared" si="15"/>
        <v>0</v>
      </c>
      <c r="BV169" s="329">
        <v>25165.0</v>
      </c>
      <c r="BW169" s="329" t="s">
        <v>1045</v>
      </c>
      <c r="BX169" s="329">
        <v>1228.0</v>
      </c>
      <c r="BY169" s="234">
        <f t="shared" si="16"/>
        <v>0</v>
      </c>
      <c r="BZ169" s="234"/>
      <c r="CA169" s="234"/>
      <c r="CB169" s="234"/>
      <c r="CC169" s="234"/>
      <c r="CD169" s="234"/>
      <c r="CE169" s="234"/>
      <c r="CF169" s="234"/>
      <c r="CG169" s="234" t="str">
        <f t="shared" si="19"/>
        <v>Below 60</v>
      </c>
      <c r="CH169" s="234" t="str">
        <f t="shared" si="27"/>
        <v>Not 50%</v>
      </c>
      <c r="CI169" s="328">
        <f t="shared" si="20"/>
        <v>0.02702702703</v>
      </c>
      <c r="CJ169" s="330">
        <f>IFERROR(__xludf.DUMMYFUNCTION("""COMPUTED_VALUE"""),8.0)</f>
        <v>8</v>
      </c>
      <c r="CK169" s="330">
        <f>IFERROR(__xludf.DUMMYFUNCTION("""COMPUTED_VALUE"""),101.0)</f>
        <v>101</v>
      </c>
      <c r="CL169" s="330">
        <f>IFERROR(__xludf.DUMMYFUNCTION("""COMPUTED_VALUE"""),0.0)</f>
        <v>0</v>
      </c>
      <c r="CM169" s="331">
        <f t="shared" si="21"/>
        <v>0</v>
      </c>
      <c r="CN169" s="337"/>
      <c r="CO169" s="160"/>
      <c r="CP169" s="334"/>
      <c r="CQ169" s="335"/>
      <c r="CR169" s="160"/>
      <c r="CS169" s="160"/>
      <c r="CT169" s="160"/>
      <c r="CU169" s="160"/>
      <c r="CV169" s="160"/>
      <c r="CW169" s="335"/>
      <c r="CX169" s="288"/>
      <c r="CY169" s="160"/>
      <c r="CZ169" s="160"/>
    </row>
    <row r="170">
      <c r="A170" s="157" t="s">
        <v>53</v>
      </c>
      <c r="B170" s="157" t="s">
        <v>56</v>
      </c>
      <c r="C170" s="157" t="s">
        <v>377</v>
      </c>
      <c r="D170" s="157" t="s">
        <v>1092</v>
      </c>
      <c r="E170" s="157" t="s">
        <v>378</v>
      </c>
      <c r="F170" s="285">
        <v>45735.0</v>
      </c>
      <c r="G170" s="314">
        <v>0.0</v>
      </c>
      <c r="H170" s="314">
        <v>4900000.0</v>
      </c>
      <c r="I170" s="315">
        <v>967341.44</v>
      </c>
      <c r="J170" s="315">
        <v>0.0</v>
      </c>
      <c r="K170" s="160">
        <v>48.0</v>
      </c>
      <c r="L170" s="160">
        <v>74.0</v>
      </c>
      <c r="M170" s="160">
        <v>27.0</v>
      </c>
      <c r="N170" s="160">
        <v>75.0</v>
      </c>
      <c r="O170" s="160">
        <v>1.0</v>
      </c>
      <c r="P170" s="315">
        <v>149111.2</v>
      </c>
      <c r="Q170" s="315">
        <v>818230.24</v>
      </c>
      <c r="R170" s="160">
        <v>4.0</v>
      </c>
      <c r="S170" s="160">
        <v>27.0</v>
      </c>
      <c r="T170" s="160">
        <v>31.0</v>
      </c>
      <c r="U170" s="160">
        <v>0.0</v>
      </c>
      <c r="V170" s="160">
        <v>197.0</v>
      </c>
      <c r="W170" s="160">
        <v>612.0</v>
      </c>
      <c r="X170" s="160">
        <v>4.0</v>
      </c>
      <c r="Y170" s="160">
        <v>4.0</v>
      </c>
      <c r="Z170" s="160">
        <v>75.0</v>
      </c>
      <c r="AA170" s="160">
        <v>0.0</v>
      </c>
      <c r="AB170" s="160">
        <v>0.0</v>
      </c>
      <c r="AC170" s="160">
        <v>11.0</v>
      </c>
      <c r="AD170" s="160">
        <v>70.0</v>
      </c>
      <c r="AE170" s="160">
        <v>434.0</v>
      </c>
      <c r="AF170" s="160">
        <v>1191.0</v>
      </c>
      <c r="AG170" s="160">
        <v>153.0</v>
      </c>
      <c r="AH170" s="314">
        <f t="shared" si="2"/>
        <v>6322.493072</v>
      </c>
      <c r="AI170" s="314">
        <f t="shared" si="3"/>
        <v>7.784313725</v>
      </c>
      <c r="AJ170" s="346">
        <v>25165.0</v>
      </c>
      <c r="AK170" s="314">
        <f t="shared" si="63"/>
        <v>157484.1935</v>
      </c>
      <c r="AL170" s="317">
        <v>80854.0</v>
      </c>
      <c r="AM170" s="318">
        <f t="shared" si="5"/>
        <v>0.2463847652</v>
      </c>
      <c r="AN170" s="314">
        <f t="shared" si="6"/>
        <v>31204.56258</v>
      </c>
      <c r="AO170" s="336">
        <f t="shared" si="107"/>
        <v>0.1974166204</v>
      </c>
      <c r="AP170" s="319">
        <v>0.0</v>
      </c>
      <c r="AQ170" s="160">
        <v>58.0</v>
      </c>
      <c r="AR170" s="160">
        <v>1801.0</v>
      </c>
      <c r="AS170" s="160">
        <v>0.0</v>
      </c>
      <c r="AT170" s="160">
        <v>27.0</v>
      </c>
      <c r="AU170" s="160">
        <v>0.0</v>
      </c>
      <c r="AV170" s="320">
        <v>31.0</v>
      </c>
      <c r="AW170" s="320">
        <v>43.0</v>
      </c>
      <c r="AX170" s="320">
        <v>1.0</v>
      </c>
      <c r="AY170" s="321">
        <f>iferror(VLOOKUP(C170,'ORDER BOOKING REPORT 2025-26'!C:O,13,0),"")</f>
        <v>0</v>
      </c>
      <c r="AZ170" s="322">
        <v>45938.0</v>
      </c>
      <c r="BA170" s="157" t="str">
        <f t="shared" si="7"/>
        <v>LEFT</v>
      </c>
      <c r="BB170" s="157" t="str">
        <f t="shared" si="8"/>
        <v>Old</v>
      </c>
      <c r="BC170" s="157" t="str">
        <f t="shared" si="108"/>
        <v>Below 50%</v>
      </c>
      <c r="BD170" s="350">
        <f>8/31+6</f>
        <v>6.258064516</v>
      </c>
      <c r="BE170" s="323">
        <v>700000.0</v>
      </c>
      <c r="BF170" s="157">
        <f t="shared" si="10"/>
        <v>0</v>
      </c>
      <c r="BG170" s="157" t="s">
        <v>1019</v>
      </c>
      <c r="BH170" s="324"/>
      <c r="BI170" s="324"/>
      <c r="BJ170" s="325"/>
      <c r="BK170" s="326"/>
      <c r="BL170" s="326">
        <f t="shared" si="48"/>
        <v>0</v>
      </c>
      <c r="BM170" s="326">
        <f t="shared" si="12"/>
        <v>4900000</v>
      </c>
      <c r="BN170" s="326"/>
      <c r="BO170" s="327" t="str">
        <f>IFERROR(__xludf.DUMMYFUNCTION("IFERROR(ArrayFormula(SUM(VLOOKUP($C170,importrange(""1MwNMVzWE3QBVOyJjKr3eFX-Sq1Ng0Q1sghWJbgbE_8g"",""ORDER BOOKING REPORT 2024-25!C:CV""),{16,23,30},0))))"),"")</f>
        <v/>
      </c>
      <c r="BP170" s="327" t="str">
        <f>IFERROR(__xludf.DUMMYFUNCTION("IFERROR(ArrayFormula(SUM(VLOOKUP($C170,importrange(""1MwNMVzWE3QBVOyJjKr3eFX-Sq1Ng0Q1sghWJbgbE_8g"",""ORDER BOOKING REPORT 2024-25!C:CV""),{37,44,51},0))))"),"")</f>
        <v/>
      </c>
      <c r="BQ170" s="327" t="str">
        <f>IFERROR(__xludf.DUMMYFUNCTION("IFERROR(ArrayFormula(SUM(VLOOKUP($C170,importrange(""1MwNMVzWE3QBVOyJjKr3eFX-Sq1Ng0Q1sghWJbgbE_8g"",""ORDER BOOKING REPORT 2024-25!C:CV""),{58,65,72},0))))"),"")</f>
        <v/>
      </c>
      <c r="BR170" s="327" t="str">
        <f>IFERROR(__xludf.DUMMYFUNCTION("IFERROR(ArrayFormula(SUM(VLOOKUP($C170,importrange(""1MwNMVzWE3QBVOyJjKr3eFX-Sq1Ng0Q1sghWJbgbE_8g"",""ORDER BOOKING REPORT 2024-25!C:CV""),{79,86,93},0))))"),"")</f>
        <v/>
      </c>
      <c r="BS170" s="328">
        <f t="shared" si="13"/>
        <v>0</v>
      </c>
      <c r="BT170" s="328" t="str">
        <f t="shared" si="14"/>
        <v/>
      </c>
      <c r="BU170" s="234">
        <f t="shared" si="15"/>
        <v>0</v>
      </c>
      <c r="BV170" s="329">
        <v>25165.0</v>
      </c>
      <c r="BW170" s="329" t="s">
        <v>1045</v>
      </c>
      <c r="BX170" s="329">
        <v>1229.0</v>
      </c>
      <c r="BY170" s="234">
        <f t="shared" si="16"/>
        <v>0</v>
      </c>
      <c r="BZ170" s="234"/>
      <c r="CA170" s="234"/>
      <c r="CB170" s="234"/>
      <c r="CC170" s="234"/>
      <c r="CD170" s="234"/>
      <c r="CE170" s="234"/>
      <c r="CF170" s="234"/>
      <c r="CG170" s="234" t="str">
        <f t="shared" si="19"/>
        <v> </v>
      </c>
      <c r="CH170" s="234" t="str">
        <f t="shared" si="27"/>
        <v>Not 50%</v>
      </c>
      <c r="CI170" s="328">
        <f t="shared" si="20"/>
        <v>0.4133333333</v>
      </c>
      <c r="CJ170" s="330">
        <f>IFERROR(__xludf.DUMMYFUNCTION("""COMPUTED_VALUE"""),268.0)</f>
        <v>268</v>
      </c>
      <c r="CK170" s="330">
        <f>IFERROR(__xludf.DUMMYFUNCTION("""COMPUTED_VALUE"""),166.0)</f>
        <v>166</v>
      </c>
      <c r="CL170" s="330">
        <f>IFERROR(__xludf.DUMMYFUNCTION("""COMPUTED_VALUE"""),0.0)</f>
        <v>0</v>
      </c>
      <c r="CM170" s="331">
        <f t="shared" si="21"/>
        <v>0</v>
      </c>
      <c r="CN170" s="337"/>
      <c r="CO170" s="160"/>
      <c r="CP170" s="334"/>
      <c r="CQ170" s="335"/>
      <c r="CR170" s="160"/>
      <c r="CS170" s="160"/>
      <c r="CT170" s="160"/>
      <c r="CU170" s="160"/>
      <c r="CV170" s="160"/>
      <c r="CW170" s="335"/>
      <c r="CX170" s="288"/>
      <c r="CY170" s="160"/>
      <c r="CZ170" s="160"/>
    </row>
    <row r="171">
      <c r="A171" s="348" t="s">
        <v>23</v>
      </c>
      <c r="B171" s="348" t="s">
        <v>40</v>
      </c>
      <c r="C171" s="348" t="s">
        <v>38</v>
      </c>
      <c r="D171" s="157" t="s">
        <v>40</v>
      </c>
      <c r="E171" s="157" t="s">
        <v>39</v>
      </c>
      <c r="F171" s="285">
        <v>45736.0</v>
      </c>
      <c r="G171" s="314">
        <v>600000.0</v>
      </c>
      <c r="H171" s="314">
        <v>1.44E7</v>
      </c>
      <c r="I171" s="315">
        <v>4368641.58</v>
      </c>
      <c r="J171" s="315">
        <v>708570.13</v>
      </c>
      <c r="K171" s="160">
        <v>28.0</v>
      </c>
      <c r="L171" s="160">
        <v>43.0</v>
      </c>
      <c r="M171" s="160">
        <v>16.0</v>
      </c>
      <c r="N171" s="160">
        <v>44.0</v>
      </c>
      <c r="O171" s="160">
        <v>1.0</v>
      </c>
      <c r="P171" s="315">
        <v>823955.15</v>
      </c>
      <c r="Q171" s="315">
        <v>3544686.43</v>
      </c>
      <c r="R171" s="160">
        <v>6.0</v>
      </c>
      <c r="S171" s="160">
        <v>16.0</v>
      </c>
      <c r="T171" s="160">
        <v>22.0</v>
      </c>
      <c r="U171" s="160">
        <v>3.0</v>
      </c>
      <c r="V171" s="160">
        <v>316.0</v>
      </c>
      <c r="W171" s="160">
        <v>1031.0</v>
      </c>
      <c r="X171" s="160">
        <v>6.0</v>
      </c>
      <c r="Y171" s="160">
        <v>4.0</v>
      </c>
      <c r="Z171" s="160">
        <v>35.0</v>
      </c>
      <c r="AA171" s="160">
        <v>5.0</v>
      </c>
      <c r="AB171" s="160">
        <v>60.0</v>
      </c>
      <c r="AC171" s="160">
        <v>4.0</v>
      </c>
      <c r="AD171" s="160">
        <v>22.0</v>
      </c>
      <c r="AE171" s="160">
        <v>556.0</v>
      </c>
      <c r="AF171" s="160">
        <v>1704.0</v>
      </c>
      <c r="AG171" s="160">
        <v>284.0</v>
      </c>
      <c r="AH171" s="314">
        <f t="shared" si="2"/>
        <v>17877.50602</v>
      </c>
      <c r="AI171" s="314">
        <f t="shared" si="3"/>
        <v>6</v>
      </c>
      <c r="AJ171" s="316">
        <f>BV171</f>
        <v>27260</v>
      </c>
      <c r="AK171" s="314">
        <f t="shared" si="63"/>
        <v>327120</v>
      </c>
      <c r="AL171" s="286">
        <v>101232.0</v>
      </c>
      <c r="AM171" s="318">
        <f t="shared" si="5"/>
        <v>0.08436756717</v>
      </c>
      <c r="AN171" s="314">
        <f t="shared" si="6"/>
        <v>198574.6173</v>
      </c>
      <c r="AO171" s="336">
        <f t="shared" si="107"/>
        <v>0.3384807807</v>
      </c>
      <c r="AP171" s="319">
        <v>1.18</v>
      </c>
      <c r="AQ171" s="160">
        <v>110.0</v>
      </c>
      <c r="AR171" s="160">
        <v>2496.0</v>
      </c>
      <c r="AS171" s="160">
        <v>1343.04</v>
      </c>
      <c r="AT171" s="160">
        <v>16.0</v>
      </c>
      <c r="AU171" s="160">
        <v>31.0</v>
      </c>
      <c r="AV171" s="320">
        <v>22.0</v>
      </c>
      <c r="AW171" s="320">
        <v>21.0</v>
      </c>
      <c r="AX171" s="320">
        <v>1.0</v>
      </c>
      <c r="AY171" s="321">
        <f>iferror(VLOOKUP(C171,'ORDER BOOKING REPORT 2025-26'!C:O,13,0),"")</f>
        <v>4593238</v>
      </c>
      <c r="AZ171" s="322"/>
      <c r="BA171" s="157" t="str">
        <f t="shared" si="7"/>
        <v>Active</v>
      </c>
      <c r="BB171" s="157" t="str">
        <f t="shared" si="8"/>
        <v>Old</v>
      </c>
      <c r="BC171" s="157" t="str">
        <f t="shared" si="108"/>
        <v>Below 50%</v>
      </c>
      <c r="BD171" s="223">
        <f t="array" ref="BD171">Match($BD$2,{"Apr","May","Jun","Jul","Aug","Sep","Oct","Nov","Dec","Jan","Feb","Mar"},0)</f>
        <v>12</v>
      </c>
      <c r="BE171" s="323">
        <v>1250000.0</v>
      </c>
      <c r="BF171" s="157">
        <f t="shared" si="10"/>
        <v>0</v>
      </c>
      <c r="BG171" s="157" t="s">
        <v>1019</v>
      </c>
      <c r="BH171" s="324">
        <f>IFERROR(__xludf.DUMMYFUNCTION("""COMPUTED_VALUE"""),0.0)</f>
        <v>0</v>
      </c>
      <c r="BI171" s="324">
        <f>IFERROR(__xludf.DUMMYFUNCTION("""COMPUTED_VALUE"""),0.0)</f>
        <v>0</v>
      </c>
      <c r="BJ171" s="325"/>
      <c r="BK171" s="326">
        <v>50000.0</v>
      </c>
      <c r="BL171" s="326">
        <f t="shared" si="48"/>
        <v>600000</v>
      </c>
      <c r="BM171" s="326">
        <f t="shared" si="12"/>
        <v>15000000</v>
      </c>
      <c r="BN171" s="326"/>
      <c r="BO171" s="327">
        <f>IFERROR(__xludf.DUMMYFUNCTION("IFERROR(ArrayFormula(SUM(VLOOKUP($C171,importrange(""1MwNMVzWE3QBVOyJjKr3eFX-Sq1Ng0Q1sghWJbgbE_8g"",""ORDER BOOKING REPORT 2024-25!C:CV""),{16,23,30},0))))"),0.0)</f>
        <v>0</v>
      </c>
      <c r="BP171" s="327">
        <f>IFERROR(__xludf.DUMMYFUNCTION("IFERROR(ArrayFormula(SUM(VLOOKUP($C171,importrange(""1MwNMVzWE3QBVOyJjKr3eFX-Sq1Ng0Q1sghWJbgbE_8g"",""ORDER BOOKING REPORT 2024-25!C:CV""),{37,44,51},0))))"),0.0)</f>
        <v>0</v>
      </c>
      <c r="BQ171" s="327">
        <f>IFERROR(__xludf.DUMMYFUNCTION("IFERROR(ArrayFormula(SUM(VLOOKUP($C171,importrange(""1MwNMVzWE3QBVOyJjKr3eFX-Sq1Ng0Q1sghWJbgbE_8g"",""ORDER BOOKING REPORT 2024-25!C:CV""),{58,65,72},0))))"),0.0)</f>
        <v>0</v>
      </c>
      <c r="BR171" s="327">
        <f>IFERROR(__xludf.DUMMYFUNCTION("IFERROR(ArrayFormula(SUM(VLOOKUP($C171,importrange(""1MwNMVzWE3QBVOyJjKr3eFX-Sq1Ng0Q1sghWJbgbE_8g"",""ORDER BOOKING REPORT 2024-25!C:CV""),{79,86,93},0))))"),0.0)</f>
        <v>0</v>
      </c>
      <c r="BS171" s="328">
        <f t="shared" si="13"/>
        <v>0.3062158667</v>
      </c>
      <c r="BT171" s="328">
        <f t="shared" si="14"/>
        <v>0.09325708792</v>
      </c>
      <c r="BU171" s="234">
        <f t="shared" si="15"/>
        <v>0</v>
      </c>
      <c r="BV171" s="329">
        <v>27260.0</v>
      </c>
      <c r="BW171" s="329" t="s">
        <v>1045</v>
      </c>
      <c r="BX171" s="329">
        <v>1231.0</v>
      </c>
      <c r="BY171" s="234">
        <f t="shared" si="16"/>
        <v>0</v>
      </c>
      <c r="BZ171" s="234"/>
      <c r="CA171" s="234"/>
      <c r="CB171" s="234"/>
      <c r="CC171" s="234"/>
      <c r="CD171" s="234"/>
      <c r="CE171" s="234"/>
      <c r="CF171" s="234"/>
      <c r="CG171" s="234" t="str">
        <f t="shared" si="19"/>
        <v>Below 60</v>
      </c>
      <c r="CH171" s="234" t="str">
        <f t="shared" si="27"/>
        <v>Business Achieved 50%</v>
      </c>
      <c r="CI171" s="328">
        <f t="shared" si="20"/>
        <v>0.5</v>
      </c>
      <c r="CJ171" s="339">
        <f>IFERROR(__xludf.DUMMYFUNCTION("""COMPUTED_VALUE"""),471.0)</f>
        <v>471</v>
      </c>
      <c r="CK171" s="339">
        <f>IFERROR(__xludf.DUMMYFUNCTION("""COMPUTED_VALUE"""),85.0)</f>
        <v>85</v>
      </c>
      <c r="CL171" s="339">
        <f>IFERROR(__xludf.DUMMYFUNCTION("""COMPUTED_VALUE"""),0.0)</f>
        <v>0</v>
      </c>
      <c r="CM171" s="331">
        <f t="shared" si="21"/>
        <v>0</v>
      </c>
      <c r="CN171" s="340"/>
      <c r="CO171" s="328"/>
      <c r="CP171" s="341"/>
      <c r="CQ171" s="344"/>
      <c r="CR171" s="328"/>
      <c r="CS171" s="328"/>
      <c r="CT171" s="328"/>
      <c r="CU171" s="328"/>
      <c r="CV171" s="328"/>
      <c r="CW171" s="328"/>
      <c r="CX171" s="288"/>
      <c r="CY171" s="328"/>
      <c r="CZ171" s="328"/>
    </row>
    <row r="172">
      <c r="A172" s="157" t="s">
        <v>53</v>
      </c>
      <c r="B172" s="157" t="s">
        <v>56</v>
      </c>
      <c r="C172" s="157" t="s">
        <v>869</v>
      </c>
      <c r="D172" s="157" t="s">
        <v>1113</v>
      </c>
      <c r="E172" s="157" t="s">
        <v>1093</v>
      </c>
      <c r="F172" s="285">
        <v>45736.0</v>
      </c>
      <c r="G172" s="314">
        <v>0.0</v>
      </c>
      <c r="H172" s="314">
        <v>0.0</v>
      </c>
      <c r="I172" s="315">
        <v>0.0</v>
      </c>
      <c r="J172" s="315">
        <v>0.0</v>
      </c>
      <c r="K172" s="160">
        <v>29.0</v>
      </c>
      <c r="L172" s="160">
        <v>45.0</v>
      </c>
      <c r="M172" s="160">
        <v>16.0</v>
      </c>
      <c r="N172" s="160">
        <v>45.0</v>
      </c>
      <c r="O172" s="160">
        <v>0.0</v>
      </c>
      <c r="P172" s="315">
        <v>0.0</v>
      </c>
      <c r="Q172" s="315">
        <v>0.0</v>
      </c>
      <c r="R172" s="160">
        <v>0.0</v>
      </c>
      <c r="S172" s="160">
        <v>0.0</v>
      </c>
      <c r="T172" s="160">
        <v>0.0</v>
      </c>
      <c r="U172" s="160">
        <v>0.0</v>
      </c>
      <c r="V172" s="160">
        <v>119.0</v>
      </c>
      <c r="W172" s="160">
        <v>321.0</v>
      </c>
      <c r="X172" s="160">
        <v>1.0</v>
      </c>
      <c r="Y172" s="160">
        <v>5.0</v>
      </c>
      <c r="Z172" s="160">
        <v>36.0</v>
      </c>
      <c r="AA172" s="160">
        <v>0.0</v>
      </c>
      <c r="AB172" s="160">
        <v>0.0</v>
      </c>
      <c r="AC172" s="160">
        <v>19.0</v>
      </c>
      <c r="AD172" s="160">
        <v>57.0</v>
      </c>
      <c r="AE172" s="160">
        <v>117.0</v>
      </c>
      <c r="AF172" s="160">
        <v>531.0</v>
      </c>
      <c r="AG172" s="160">
        <v>132.0</v>
      </c>
      <c r="AH172" s="314">
        <f t="shared" si="2"/>
        <v>0</v>
      </c>
      <c r="AI172" s="314">
        <f t="shared" si="3"/>
        <v>4.022727273</v>
      </c>
      <c r="AJ172" s="346">
        <v>37740.0</v>
      </c>
      <c r="AK172" s="314">
        <f t="shared" si="63"/>
        <v>212602</v>
      </c>
      <c r="AL172" s="317">
        <v>89487.0</v>
      </c>
      <c r="AM172" s="318" t="str">
        <f t="shared" si="5"/>
        <v/>
      </c>
      <c r="AN172" s="314" t="str">
        <f t="shared" si="6"/>
        <v/>
      </c>
      <c r="AO172" s="286" t="s">
        <v>972</v>
      </c>
      <c r="AP172" s="319">
        <v>0.0</v>
      </c>
      <c r="AQ172" s="160">
        <v>0.0</v>
      </c>
      <c r="AR172" s="160">
        <v>1326.0</v>
      </c>
      <c r="AS172" s="160">
        <v>0.0</v>
      </c>
      <c r="AT172" s="160">
        <v>0.0</v>
      </c>
      <c r="AU172" s="160">
        <v>0.0</v>
      </c>
      <c r="AV172" s="320">
        <v>0.0</v>
      </c>
      <c r="AW172" s="320">
        <v>45.0</v>
      </c>
      <c r="AX172" s="320">
        <v>0.0</v>
      </c>
      <c r="AY172" s="321" t="str">
        <f>iferror(VLOOKUP(C172,'ORDER BOOKING REPORT 2025-26'!C:O,13,0),"")</f>
        <v/>
      </c>
      <c r="AZ172" s="322">
        <v>45919.0</v>
      </c>
      <c r="BA172" s="157" t="str">
        <f t="shared" si="7"/>
        <v>LEFT</v>
      </c>
      <c r="BB172" s="157" t="str">
        <f t="shared" si="8"/>
        <v>Old</v>
      </c>
      <c r="BC172" s="160" t="s">
        <v>972</v>
      </c>
      <c r="BD172" s="350">
        <f>19/30+5</f>
        <v>5.633333333</v>
      </c>
      <c r="BE172" s="323"/>
      <c r="BF172" s="157">
        <f t="shared" si="10"/>
        <v>16</v>
      </c>
      <c r="BG172" s="234" t="s">
        <v>188</v>
      </c>
      <c r="BH172" s="324"/>
      <c r="BI172" s="324"/>
      <c r="BJ172" s="325"/>
      <c r="BK172" s="326"/>
      <c r="BL172" s="326">
        <f t="shared" si="48"/>
        <v>0</v>
      </c>
      <c r="BM172" s="326">
        <f t="shared" si="12"/>
        <v>0</v>
      </c>
      <c r="BN172" s="326"/>
      <c r="BO172" s="327" t="str">
        <f>IFERROR(__xludf.DUMMYFUNCTION("IFERROR(ArrayFormula(SUM(VLOOKUP($C172,importrange(""1MwNMVzWE3QBVOyJjKr3eFX-Sq1Ng0Q1sghWJbgbE_8g"",""ORDER BOOKING REPORT 2024-25!C:CV""),{16,23,30},0))))"),"")</f>
        <v/>
      </c>
      <c r="BP172" s="327" t="str">
        <f>IFERROR(__xludf.DUMMYFUNCTION("IFERROR(ArrayFormula(SUM(VLOOKUP($C172,importrange(""1MwNMVzWE3QBVOyJjKr3eFX-Sq1Ng0Q1sghWJbgbE_8g"",""ORDER BOOKING REPORT 2024-25!C:CV""),{37,44,51},0))))"),"")</f>
        <v/>
      </c>
      <c r="BQ172" s="327" t="str">
        <f>IFERROR(__xludf.DUMMYFUNCTION("IFERROR(ArrayFormula(SUM(VLOOKUP($C172,importrange(""1MwNMVzWE3QBVOyJjKr3eFX-Sq1Ng0Q1sghWJbgbE_8g"",""ORDER BOOKING REPORT 2024-25!C:CV""),{58,65,72},0))))"),"")</f>
        <v/>
      </c>
      <c r="BR172" s="327" t="str">
        <f>IFERROR(__xludf.DUMMYFUNCTION("IFERROR(ArrayFormula(SUM(VLOOKUP($C172,importrange(""1MwNMVzWE3QBVOyJjKr3eFX-Sq1Ng0Q1sghWJbgbE_8g"",""ORDER BOOKING REPORT 2024-25!C:CV""),{79,86,93},0))))"),"")</f>
        <v/>
      </c>
      <c r="BS172" s="328" t="str">
        <f t="shared" si="13"/>
        <v/>
      </c>
      <c r="BT172" s="328" t="str">
        <f t="shared" si="14"/>
        <v/>
      </c>
      <c r="BU172" s="234">
        <f t="shared" si="15"/>
        <v>0</v>
      </c>
      <c r="BV172" s="329">
        <v>37740.0</v>
      </c>
      <c r="BW172" s="329" t="s">
        <v>1020</v>
      </c>
      <c r="BX172" s="329">
        <v>1230.0</v>
      </c>
      <c r="BY172" s="234">
        <f t="shared" si="16"/>
        <v>0</v>
      </c>
      <c r="BZ172" s="234"/>
      <c r="CA172" s="234"/>
      <c r="CB172" s="234"/>
      <c r="CC172" s="234"/>
      <c r="CD172" s="234"/>
      <c r="CE172" s="234"/>
      <c r="CF172" s="234"/>
      <c r="CG172" s="234" t="str">
        <f t="shared" si="19"/>
        <v>Below 60</v>
      </c>
      <c r="CH172" s="234" t="str">
        <f t="shared" si="27"/>
        <v>Not 50%</v>
      </c>
      <c r="CI172" s="328">
        <f t="shared" si="20"/>
        <v>0</v>
      </c>
      <c r="CJ172" s="330"/>
      <c r="CK172" s="330"/>
      <c r="CL172" s="330"/>
      <c r="CM172" s="331">
        <f t="shared" si="21"/>
        <v>117</v>
      </c>
      <c r="CN172" s="337"/>
      <c r="CO172" s="160"/>
      <c r="CP172" s="334"/>
      <c r="CQ172" s="335"/>
      <c r="CR172" s="160"/>
      <c r="CS172" s="160"/>
      <c r="CT172" s="160"/>
      <c r="CU172" s="160"/>
      <c r="CV172" s="160"/>
      <c r="CW172" s="335"/>
      <c r="CX172" s="288"/>
      <c r="CY172" s="160"/>
      <c r="CZ172" s="160"/>
    </row>
    <row r="173">
      <c r="A173" s="157" t="s">
        <v>97</v>
      </c>
      <c r="B173" s="157" t="s">
        <v>101</v>
      </c>
      <c r="C173" s="157" t="s">
        <v>342</v>
      </c>
      <c r="D173" s="157" t="s">
        <v>1062</v>
      </c>
      <c r="E173" s="157" t="s">
        <v>343</v>
      </c>
      <c r="F173" s="338">
        <v>45751.0</v>
      </c>
      <c r="G173" s="314">
        <v>0.0</v>
      </c>
      <c r="H173" s="314">
        <v>8397900.0</v>
      </c>
      <c r="I173" s="315">
        <v>2797611.01</v>
      </c>
      <c r="J173" s="315">
        <v>0.0</v>
      </c>
      <c r="K173" s="160">
        <v>203.0</v>
      </c>
      <c r="L173" s="160">
        <v>99.0</v>
      </c>
      <c r="M173" s="160">
        <v>28.0</v>
      </c>
      <c r="N173" s="160">
        <v>231.0</v>
      </c>
      <c r="O173" s="160">
        <v>132.0</v>
      </c>
      <c r="P173" s="315">
        <v>1759309.11</v>
      </c>
      <c r="Q173" s="315">
        <v>1038301.9</v>
      </c>
      <c r="R173" s="160">
        <v>29.0</v>
      </c>
      <c r="S173" s="160">
        <v>27.0</v>
      </c>
      <c r="T173" s="160">
        <v>56.0</v>
      </c>
      <c r="U173" s="160">
        <v>0.0</v>
      </c>
      <c r="V173" s="160">
        <v>72.0</v>
      </c>
      <c r="W173" s="160">
        <v>175.0</v>
      </c>
      <c r="X173" s="160">
        <v>0.0</v>
      </c>
      <c r="Y173" s="160">
        <v>2.0</v>
      </c>
      <c r="Z173" s="160">
        <v>68.0</v>
      </c>
      <c r="AA173" s="160">
        <v>0.0</v>
      </c>
      <c r="AB173" s="160">
        <v>0.0</v>
      </c>
      <c r="AC173" s="160">
        <v>0.0</v>
      </c>
      <c r="AD173" s="160">
        <v>0.0</v>
      </c>
      <c r="AE173" s="160">
        <v>490.0</v>
      </c>
      <c r="AF173" s="160">
        <v>733.0</v>
      </c>
      <c r="AG173" s="160">
        <v>95.0</v>
      </c>
      <c r="AH173" s="314">
        <f t="shared" si="2"/>
        <v>29448.53695</v>
      </c>
      <c r="AI173" s="314">
        <f t="shared" si="3"/>
        <v>7.715789474</v>
      </c>
      <c r="AJ173" s="316">
        <f>BV173</f>
        <v>37760</v>
      </c>
      <c r="AK173" s="314">
        <f t="shared" si="63"/>
        <v>165388.8</v>
      </c>
      <c r="AL173" s="286">
        <v>56084.0</v>
      </c>
      <c r="AM173" s="318">
        <f t="shared" si="5"/>
        <v>0.07916497297</v>
      </c>
      <c r="AN173" s="314">
        <f t="shared" si="6"/>
        <v>49957.33946</v>
      </c>
      <c r="AO173" s="336">
        <f>iferror(sum(I173:J173)/Sum(G173:H173),"")</f>
        <v>0.3331322128</v>
      </c>
      <c r="AP173" s="319">
        <v>0.0</v>
      </c>
      <c r="AQ173" s="160">
        <v>151.0</v>
      </c>
      <c r="AR173" s="160">
        <v>938.0</v>
      </c>
      <c r="AS173" s="160">
        <v>0.0</v>
      </c>
      <c r="AT173" s="160">
        <v>27.0</v>
      </c>
      <c r="AU173" s="160">
        <v>0.0</v>
      </c>
      <c r="AV173" s="320">
        <v>56.0</v>
      </c>
      <c r="AW173" s="320">
        <v>45.0</v>
      </c>
      <c r="AX173" s="320">
        <v>130.0</v>
      </c>
      <c r="AY173" s="321">
        <f>iferror(VLOOKUP(C173,'ORDER BOOKING REPORT 2025-26'!C:O,13,0),"")</f>
        <v>0</v>
      </c>
      <c r="AZ173" s="322">
        <v>45881.0</v>
      </c>
      <c r="BA173" s="157" t="str">
        <f t="shared" si="7"/>
        <v>LEFT</v>
      </c>
      <c r="BB173" s="157" t="str">
        <f t="shared" si="8"/>
        <v>New</v>
      </c>
      <c r="BC173" s="157" t="str">
        <f>IFS(AO173&lt;50%,"Below 50%",AO173&lt;70%,"50%-70%",AO173&lt;90%,"70%-90%",AO173&lt;100%,"90%-100%",AO173&gt;100%,"Above 100%")</f>
        <v>Below 50%</v>
      </c>
      <c r="BD173" s="223">
        <v>4.38</v>
      </c>
      <c r="BE173" s="326">
        <v>1881250.0</v>
      </c>
      <c r="BF173" s="157">
        <f t="shared" si="10"/>
        <v>1</v>
      </c>
      <c r="BG173" s="157" t="s">
        <v>1019</v>
      </c>
      <c r="BH173" s="324"/>
      <c r="BI173" s="324"/>
      <c r="BJ173" s="343"/>
      <c r="BK173" s="326"/>
      <c r="BL173" s="326">
        <f t="shared" si="48"/>
        <v>0</v>
      </c>
      <c r="BM173" s="326">
        <f t="shared" si="12"/>
        <v>8397900</v>
      </c>
      <c r="BN173" s="326"/>
      <c r="BO173" s="327" t="str">
        <f>IFERROR(__xludf.DUMMYFUNCTION("IFERROR(ArrayFormula(SUM(VLOOKUP($C173,importrange(""1MwNMVzWE3QBVOyJjKr3eFX-Sq1Ng0Q1sghWJbgbE_8g"",""ORDER BOOKING REPORT 2024-25!C:CV""),{16,23,30},0))))"),"")</f>
        <v/>
      </c>
      <c r="BP173" s="327" t="str">
        <f>IFERROR(__xludf.DUMMYFUNCTION("IFERROR(ArrayFormula(SUM(VLOOKUP($C173,importrange(""1MwNMVzWE3QBVOyJjKr3eFX-Sq1Ng0Q1sghWJbgbE_8g"",""ORDER BOOKING REPORT 2024-25!C:CV""),{37,44,51},0))))"),"")</f>
        <v/>
      </c>
      <c r="BQ173" s="327" t="str">
        <f>IFERROR(__xludf.DUMMYFUNCTION("IFERROR(ArrayFormula(SUM(VLOOKUP($C173,importrange(""1MwNMVzWE3QBVOyJjKr3eFX-Sq1Ng0Q1sghWJbgbE_8g"",""ORDER BOOKING REPORT 2024-25!C:CV""),{58,65,72},0))))"),"")</f>
        <v/>
      </c>
      <c r="BR173" s="327" t="str">
        <f>IFERROR(__xludf.DUMMYFUNCTION("IFERROR(ArrayFormula(SUM(VLOOKUP($C173,importrange(""1MwNMVzWE3QBVOyJjKr3eFX-Sq1Ng0Q1sghWJbgbE_8g"",""ORDER BOOKING REPORT 2024-25!C:CV""),{79,86,93},0))))"),"")</f>
        <v/>
      </c>
      <c r="BS173" s="328">
        <f t="shared" si="13"/>
        <v>0</v>
      </c>
      <c r="BT173" s="328" t="str">
        <f t="shared" si="14"/>
        <v/>
      </c>
      <c r="BU173" s="234">
        <f t="shared" si="15"/>
        <v>0</v>
      </c>
      <c r="BV173" s="329">
        <v>37760.0</v>
      </c>
      <c r="BW173" s="329" t="s">
        <v>1045</v>
      </c>
      <c r="BX173" s="329">
        <v>1237.0</v>
      </c>
      <c r="BY173" s="234">
        <f t="shared" si="16"/>
        <v>0</v>
      </c>
      <c r="BZ173" s="234"/>
      <c r="CA173" s="234">
        <f>BE173*BD173</f>
        <v>8239875</v>
      </c>
      <c r="CB173" s="234"/>
      <c r="CC173" s="234">
        <f>CA173-H173</f>
        <v>-158025</v>
      </c>
      <c r="CD173" s="234"/>
      <c r="CE173" s="234"/>
      <c r="CF173" s="234"/>
      <c r="CG173" s="234" t="str">
        <f t="shared" si="19"/>
        <v> </v>
      </c>
      <c r="CH173" s="234" t="str">
        <f t="shared" si="27"/>
        <v>Not 50%</v>
      </c>
      <c r="CI173" s="328">
        <f t="shared" si="20"/>
        <v>0.2424242424</v>
      </c>
      <c r="CJ173" s="339">
        <f>IFERROR(__xludf.DUMMYFUNCTION("""COMPUTED_VALUE"""),368.0)</f>
        <v>368</v>
      </c>
      <c r="CK173" s="339">
        <f>IFERROR(__xludf.DUMMYFUNCTION("""COMPUTED_VALUE"""),122.0)</f>
        <v>122</v>
      </c>
      <c r="CL173" s="339">
        <f>IFERROR(__xludf.DUMMYFUNCTION("""COMPUTED_VALUE"""),0.0)</f>
        <v>0</v>
      </c>
      <c r="CM173" s="331">
        <f t="shared" si="21"/>
        <v>0</v>
      </c>
      <c r="CN173" s="340"/>
      <c r="CO173" s="328"/>
      <c r="CP173" s="341"/>
      <c r="CQ173" s="344"/>
      <c r="CR173" s="328"/>
      <c r="CS173" s="328"/>
      <c r="CT173" s="328"/>
      <c r="CU173" s="328"/>
      <c r="CV173" s="328"/>
      <c r="CW173" s="328"/>
      <c r="CX173" s="288"/>
      <c r="CY173" s="328"/>
      <c r="CZ173" s="328"/>
    </row>
    <row r="174">
      <c r="A174" s="157" t="s">
        <v>53</v>
      </c>
      <c r="B174" s="157" t="s">
        <v>56</v>
      </c>
      <c r="C174" s="157" t="s">
        <v>870</v>
      </c>
      <c r="D174" s="157" t="s">
        <v>1092</v>
      </c>
      <c r="E174" s="157" t="s">
        <v>71</v>
      </c>
      <c r="F174" s="285">
        <v>45761.0</v>
      </c>
      <c r="G174" s="314">
        <v>0.0</v>
      </c>
      <c r="H174" s="314">
        <v>0.0</v>
      </c>
      <c r="I174" s="315">
        <v>0.0</v>
      </c>
      <c r="J174" s="315">
        <v>0.0</v>
      </c>
      <c r="K174" s="160">
        <v>7.0</v>
      </c>
      <c r="L174" s="160">
        <v>10.0</v>
      </c>
      <c r="M174" s="160">
        <v>3.0</v>
      </c>
      <c r="N174" s="160">
        <v>10.0</v>
      </c>
      <c r="O174" s="160">
        <v>0.0</v>
      </c>
      <c r="P174" s="315">
        <v>0.0</v>
      </c>
      <c r="Q174" s="315">
        <v>0.0</v>
      </c>
      <c r="R174" s="160">
        <v>0.0</v>
      </c>
      <c r="S174" s="160">
        <v>0.0</v>
      </c>
      <c r="T174" s="160">
        <v>0.0</v>
      </c>
      <c r="U174" s="160">
        <v>0.0</v>
      </c>
      <c r="V174" s="160">
        <v>7.0</v>
      </c>
      <c r="W174" s="160">
        <v>9.0</v>
      </c>
      <c r="X174" s="160">
        <v>0.0</v>
      </c>
      <c r="Y174" s="160">
        <v>2.0</v>
      </c>
      <c r="Z174" s="160">
        <v>3.0</v>
      </c>
      <c r="AA174" s="160">
        <v>0.0</v>
      </c>
      <c r="AB174" s="160">
        <v>0.0</v>
      </c>
      <c r="AC174" s="160">
        <v>4.0</v>
      </c>
      <c r="AD174" s="160">
        <v>6.0</v>
      </c>
      <c r="AE174" s="160">
        <v>11.0</v>
      </c>
      <c r="AF174" s="160">
        <v>29.0</v>
      </c>
      <c r="AG174" s="160">
        <v>9.0</v>
      </c>
      <c r="AH174" s="314">
        <f t="shared" si="2"/>
        <v>0</v>
      </c>
      <c r="AI174" s="314">
        <f t="shared" si="3"/>
        <v>3.222222222</v>
      </c>
      <c r="AJ174" s="346">
        <v>65000.0</v>
      </c>
      <c r="AK174" s="314">
        <f t="shared" si="63"/>
        <v>21450</v>
      </c>
      <c r="AL174" s="286">
        <v>2872.0</v>
      </c>
      <c r="AM174" s="318" t="str">
        <f t="shared" si="5"/>
        <v/>
      </c>
      <c r="AN174" s="314" t="str">
        <f t="shared" si="6"/>
        <v/>
      </c>
      <c r="AO174" s="286" t="s">
        <v>972</v>
      </c>
      <c r="AP174" s="319">
        <v>0.0</v>
      </c>
      <c r="AQ174" s="160">
        <v>0.0</v>
      </c>
      <c r="AR174" s="160">
        <v>89.0</v>
      </c>
      <c r="AS174" s="160">
        <v>0.0</v>
      </c>
      <c r="AT174" s="160">
        <v>0.0</v>
      </c>
      <c r="AU174" s="160">
        <v>0.0</v>
      </c>
      <c r="AV174" s="320">
        <v>0.0</v>
      </c>
      <c r="AW174" s="320">
        <v>10.0</v>
      </c>
      <c r="AX174" s="320">
        <v>0.0</v>
      </c>
      <c r="AY174" s="321" t="str">
        <f>iferror(VLOOKUP(C174,'ORDER BOOKING REPORT 2025-26'!C:O,13,0),"")</f>
        <v/>
      </c>
      <c r="AZ174" s="345">
        <v>45771.0</v>
      </c>
      <c r="BA174" s="157" t="str">
        <f t="shared" si="7"/>
        <v>LEFT</v>
      </c>
      <c r="BB174" s="157" t="str">
        <f t="shared" si="8"/>
        <v>New</v>
      </c>
      <c r="BC174" s="160" t="s">
        <v>972</v>
      </c>
      <c r="BD174" s="223">
        <v>0.33</v>
      </c>
      <c r="BE174" s="323"/>
      <c r="BF174" s="157">
        <f t="shared" si="10"/>
        <v>3</v>
      </c>
      <c r="BG174" s="234" t="s">
        <v>188</v>
      </c>
      <c r="BH174" s="324"/>
      <c r="BI174" s="324"/>
      <c r="BJ174" s="343">
        <f>10/30</f>
        <v>0.3333333333</v>
      </c>
      <c r="BK174" s="347"/>
      <c r="BL174" s="326">
        <f t="shared" si="48"/>
        <v>0</v>
      </c>
      <c r="BM174" s="326">
        <f t="shared" si="12"/>
        <v>0</v>
      </c>
      <c r="BN174" s="326"/>
      <c r="BO174" s="327" t="str">
        <f>IFERROR(__xludf.DUMMYFUNCTION("IFERROR(ArrayFormula(SUM(VLOOKUP($C174,importrange(""1MwNMVzWE3QBVOyJjKr3eFX-Sq1Ng0Q1sghWJbgbE_8g"",""ORDER BOOKING REPORT 2024-25!C:CV""),{16,23,30},0))))"),"")</f>
        <v/>
      </c>
      <c r="BP174" s="327" t="str">
        <f>IFERROR(__xludf.DUMMYFUNCTION("IFERROR(ArrayFormula(SUM(VLOOKUP($C174,importrange(""1MwNMVzWE3QBVOyJjKr3eFX-Sq1Ng0Q1sghWJbgbE_8g"",""ORDER BOOKING REPORT 2024-25!C:CV""),{37,44,51},0))))"),"")</f>
        <v/>
      </c>
      <c r="BQ174" s="327" t="str">
        <f>IFERROR(__xludf.DUMMYFUNCTION("IFERROR(ArrayFormula(SUM(VLOOKUP($C174,importrange(""1MwNMVzWE3QBVOyJjKr3eFX-Sq1Ng0Q1sghWJbgbE_8g"",""ORDER BOOKING REPORT 2024-25!C:CV""),{58,65,72},0))))"),"")</f>
        <v/>
      </c>
      <c r="BR174" s="327" t="str">
        <f>IFERROR(__xludf.DUMMYFUNCTION("IFERROR(ArrayFormula(SUM(VLOOKUP($C174,importrange(""1MwNMVzWE3QBVOyJjKr3eFX-Sq1Ng0Q1sghWJbgbE_8g"",""ORDER BOOKING REPORT 2024-25!C:CV""),{79,86,93},0))))"),"")</f>
        <v/>
      </c>
      <c r="BS174" s="328" t="str">
        <f t="shared" si="13"/>
        <v/>
      </c>
      <c r="BT174" s="328" t="str">
        <f t="shared" si="14"/>
        <v/>
      </c>
      <c r="BU174" s="234">
        <f t="shared" si="15"/>
        <v>0</v>
      </c>
      <c r="BV174" s="329"/>
      <c r="BW174" s="329"/>
      <c r="BX174" s="329"/>
      <c r="BY174" s="234">
        <f t="shared" si="16"/>
        <v>-65000</v>
      </c>
      <c r="BZ174" s="234"/>
      <c r="CA174" s="234"/>
      <c r="CB174" s="234"/>
      <c r="CC174" s="234"/>
      <c r="CD174" s="234"/>
      <c r="CE174" s="234"/>
      <c r="CF174" s="234"/>
      <c r="CG174" s="234" t="str">
        <f t="shared" si="19"/>
        <v>Below 60</v>
      </c>
      <c r="CH174" s="234" t="str">
        <f t="shared" si="27"/>
        <v>Not 50%</v>
      </c>
      <c r="CI174" s="328">
        <f t="shared" si="20"/>
        <v>0</v>
      </c>
      <c r="CJ174" s="330"/>
      <c r="CK174" s="330"/>
      <c r="CL174" s="330"/>
      <c r="CM174" s="331">
        <f t="shared" si="21"/>
        <v>11</v>
      </c>
      <c r="CN174" s="337"/>
      <c r="CO174" s="160"/>
      <c r="CP174" s="334"/>
      <c r="CQ174" s="335"/>
      <c r="CR174" s="160"/>
      <c r="CS174" s="160"/>
      <c r="CT174" s="160"/>
      <c r="CU174" s="160"/>
      <c r="CV174" s="160"/>
      <c r="CW174" s="160"/>
      <c r="CX174" s="288"/>
      <c r="CY174" s="160"/>
      <c r="CZ174" s="160"/>
    </row>
    <row r="175">
      <c r="A175" s="348" t="s">
        <v>47</v>
      </c>
      <c r="B175" s="348" t="s">
        <v>422</v>
      </c>
      <c r="C175" s="348" t="s">
        <v>871</v>
      </c>
      <c r="D175" s="157" t="s">
        <v>1094</v>
      </c>
      <c r="E175" s="157" t="s">
        <v>421</v>
      </c>
      <c r="F175" s="285">
        <v>45761.0</v>
      </c>
      <c r="G175" s="314">
        <v>0.0</v>
      </c>
      <c r="H175" s="314">
        <v>4000002.0</v>
      </c>
      <c r="I175" s="315">
        <v>2034331.4</v>
      </c>
      <c r="J175" s="315">
        <v>0.0</v>
      </c>
      <c r="K175" s="160">
        <v>15.0</v>
      </c>
      <c r="L175" s="160">
        <v>62.0</v>
      </c>
      <c r="M175" s="160">
        <v>47.0</v>
      </c>
      <c r="N175" s="160">
        <v>62.0</v>
      </c>
      <c r="O175" s="160">
        <v>0.0</v>
      </c>
      <c r="P175" s="315">
        <v>113798.22</v>
      </c>
      <c r="Q175" s="315">
        <v>1920533.18</v>
      </c>
      <c r="R175" s="160">
        <v>3.0</v>
      </c>
      <c r="S175" s="160">
        <v>45.0</v>
      </c>
      <c r="T175" s="160">
        <v>48.0</v>
      </c>
      <c r="U175" s="160">
        <v>0.0</v>
      </c>
      <c r="V175" s="160">
        <v>257.0</v>
      </c>
      <c r="W175" s="160">
        <v>655.0</v>
      </c>
      <c r="X175" s="160">
        <v>0.0</v>
      </c>
      <c r="Y175" s="160">
        <v>1.0</v>
      </c>
      <c r="Z175" s="160">
        <v>63.0</v>
      </c>
      <c r="AA175" s="160">
        <v>0.0</v>
      </c>
      <c r="AB175" s="160">
        <v>0.0</v>
      </c>
      <c r="AC175" s="160">
        <v>13.0</v>
      </c>
      <c r="AD175" s="160">
        <v>19.0</v>
      </c>
      <c r="AE175" s="160">
        <v>223.0</v>
      </c>
      <c r="AF175" s="160">
        <v>960.0</v>
      </c>
      <c r="AG175" s="160">
        <v>134.0</v>
      </c>
      <c r="AH175" s="314">
        <f t="shared" si="2"/>
        <v>15181.57761</v>
      </c>
      <c r="AI175" s="314">
        <f t="shared" si="3"/>
        <v>7.164179104</v>
      </c>
      <c r="AJ175" s="316">
        <f t="shared" ref="AJ175:AJ176" si="109">BV175</f>
        <v>24116</v>
      </c>
      <c r="AK175" s="314">
        <f t="shared" si="63"/>
        <v>138057.6172</v>
      </c>
      <c r="AL175" s="286">
        <v>50458.0</v>
      </c>
      <c r="AM175" s="318">
        <f t="shared" si="5"/>
        <v>0.09266711274</v>
      </c>
      <c r="AN175" s="314">
        <f t="shared" si="6"/>
        <v>42381.90417</v>
      </c>
      <c r="AO175" s="336">
        <f t="shared" ref="AO175:AO177" si="110">iferror(sum(I175:J175)/Sum(G175:H175),"")</f>
        <v>0.5085825957</v>
      </c>
      <c r="AP175" s="319">
        <v>0.0</v>
      </c>
      <c r="AQ175" s="160">
        <v>95.0</v>
      </c>
      <c r="AR175" s="160">
        <v>1337.0</v>
      </c>
      <c r="AS175" s="160">
        <v>0.0</v>
      </c>
      <c r="AT175" s="160">
        <v>45.0</v>
      </c>
      <c r="AU175" s="160">
        <v>0.0</v>
      </c>
      <c r="AV175" s="320">
        <v>48.0</v>
      </c>
      <c r="AW175" s="320">
        <v>14.0</v>
      </c>
      <c r="AX175" s="320">
        <v>0.0</v>
      </c>
      <c r="AY175" s="321">
        <f>iferror(VLOOKUP(C175,'ORDER BOOKING REPORT 2025-26'!C:O,13,0),"")</f>
        <v>1329861.17</v>
      </c>
      <c r="AZ175" s="322">
        <v>45938.0</v>
      </c>
      <c r="BA175" s="157" t="str">
        <f t="shared" si="7"/>
        <v>LEFT</v>
      </c>
      <c r="BB175" s="157" t="str">
        <f t="shared" si="8"/>
        <v>New</v>
      </c>
      <c r="BC175" s="157" t="str">
        <f t="shared" ref="BC175:BC177" si="111">IFS(AO175&lt;50%,"Below 50%",AO175&lt;70%,"50%-70%",AO175&lt;90%,"70%-90%",AO175&lt;100%,"90%-100%",AO175&gt;100%,"Above 100%")</f>
        <v>50%-70%</v>
      </c>
      <c r="BD175" s="350">
        <v>5.724731182795699</v>
      </c>
      <c r="BE175" s="323">
        <v>666667.0</v>
      </c>
      <c r="BF175" s="157">
        <f t="shared" si="10"/>
        <v>2</v>
      </c>
      <c r="BG175" s="157" t="s">
        <v>1019</v>
      </c>
      <c r="BH175" s="324"/>
      <c r="BI175" s="324"/>
      <c r="BJ175" s="343">
        <f>17/30</f>
        <v>0.5666666667</v>
      </c>
      <c r="BK175" s="326"/>
      <c r="BL175" s="326">
        <f t="shared" si="48"/>
        <v>0</v>
      </c>
      <c r="BM175" s="326">
        <f t="shared" si="12"/>
        <v>4000002</v>
      </c>
      <c r="BN175" s="326"/>
      <c r="BO175" s="327" t="str">
        <f>IFERROR(__xludf.DUMMYFUNCTION("IFERROR(ArrayFormula(SUM(VLOOKUP($C175,importrange(""1MwNMVzWE3QBVOyJjKr3eFX-Sq1Ng0Q1sghWJbgbE_8g"",""ORDER BOOKING REPORT 2024-25!C:CV""),{16,23,30},0))))"),"")</f>
        <v/>
      </c>
      <c r="BP175" s="327" t="str">
        <f>IFERROR(__xludf.DUMMYFUNCTION("IFERROR(ArrayFormula(SUM(VLOOKUP($C175,importrange(""1MwNMVzWE3QBVOyJjKr3eFX-Sq1Ng0Q1sghWJbgbE_8g"",""ORDER BOOKING REPORT 2024-25!C:CV""),{37,44,51},0))))"),"")</f>
        <v/>
      </c>
      <c r="BQ175" s="327" t="str">
        <f>IFERROR(__xludf.DUMMYFUNCTION("IFERROR(ArrayFormula(SUM(VLOOKUP($C175,importrange(""1MwNMVzWE3QBVOyJjKr3eFX-Sq1Ng0Q1sghWJbgbE_8g"",""ORDER BOOKING REPORT 2024-25!C:CV""),{58,65,72},0))))"),"")</f>
        <v/>
      </c>
      <c r="BR175" s="327" t="str">
        <f>IFERROR(__xludf.DUMMYFUNCTION("IFERROR(ArrayFormula(SUM(VLOOKUP($C175,importrange(""1MwNMVzWE3QBVOyJjKr3eFX-Sq1Ng0Q1sghWJbgbE_8g"",""ORDER BOOKING REPORT 2024-25!C:CV""),{79,86,93},0))))"),"")</f>
        <v/>
      </c>
      <c r="BS175" s="328">
        <f t="shared" si="13"/>
        <v>0.3324651263</v>
      </c>
      <c r="BT175" s="328">
        <f t="shared" si="14"/>
        <v>0.1417558625</v>
      </c>
      <c r="BU175" s="234">
        <f t="shared" si="15"/>
        <v>0</v>
      </c>
      <c r="BV175" s="329">
        <v>24116.0</v>
      </c>
      <c r="BW175" s="329" t="s">
        <v>1045</v>
      </c>
      <c r="BX175" s="329">
        <v>1238.0</v>
      </c>
      <c r="BY175" s="234">
        <f t="shared" si="16"/>
        <v>0</v>
      </c>
      <c r="BZ175" s="234"/>
      <c r="CA175" s="234"/>
      <c r="CB175" s="234"/>
      <c r="CC175" s="234"/>
      <c r="CD175" s="234"/>
      <c r="CE175" s="234"/>
      <c r="CF175" s="234"/>
      <c r="CG175" s="234" t="str">
        <f t="shared" si="19"/>
        <v> </v>
      </c>
      <c r="CH175" s="234" t="str">
        <f t="shared" si="27"/>
        <v>Business Achieved 50%</v>
      </c>
      <c r="CI175" s="328">
        <f t="shared" si="20"/>
        <v>0.7741935484</v>
      </c>
      <c r="CJ175" s="339">
        <f>IFERROR(__xludf.DUMMYFUNCTION("""COMPUTED_VALUE"""),187.0)</f>
        <v>187</v>
      </c>
      <c r="CK175" s="339">
        <f>IFERROR(__xludf.DUMMYFUNCTION("""COMPUTED_VALUE"""),36.0)</f>
        <v>36</v>
      </c>
      <c r="CL175" s="339">
        <f>IFERROR(__xludf.DUMMYFUNCTION("""COMPUTED_VALUE"""),0.0)</f>
        <v>0</v>
      </c>
      <c r="CM175" s="331">
        <f t="shared" si="21"/>
        <v>0</v>
      </c>
      <c r="CN175" s="340"/>
      <c r="CO175" s="328"/>
      <c r="CP175" s="341"/>
      <c r="CQ175" s="344"/>
      <c r="CR175" s="328"/>
      <c r="CS175" s="328"/>
      <c r="CT175" s="328"/>
      <c r="CU175" s="328"/>
      <c r="CV175" s="328"/>
      <c r="CW175" s="328"/>
      <c r="CX175" s="288"/>
      <c r="CY175" s="328"/>
      <c r="CZ175" s="328"/>
    </row>
    <row r="176">
      <c r="A176" s="348" t="s">
        <v>73</v>
      </c>
      <c r="B176" s="348" t="s">
        <v>76</v>
      </c>
      <c r="C176" s="348" t="s">
        <v>360</v>
      </c>
      <c r="D176" s="157" t="s">
        <v>76</v>
      </c>
      <c r="E176" s="157" t="s">
        <v>82</v>
      </c>
      <c r="F176" s="285">
        <v>45765.0</v>
      </c>
      <c r="G176" s="317">
        <v>1066669.0</v>
      </c>
      <c r="H176" s="314">
        <v>6400000.0</v>
      </c>
      <c r="I176" s="315">
        <v>2278492.45</v>
      </c>
      <c r="J176" s="315">
        <v>464935.15</v>
      </c>
      <c r="K176" s="160">
        <v>9.0</v>
      </c>
      <c r="L176" s="160">
        <v>21.0</v>
      </c>
      <c r="M176" s="160">
        <v>12.0</v>
      </c>
      <c r="N176" s="160">
        <v>21.0</v>
      </c>
      <c r="O176" s="160">
        <v>0.0</v>
      </c>
      <c r="P176" s="315">
        <v>1216855.95</v>
      </c>
      <c r="Q176" s="315">
        <v>1061636.5</v>
      </c>
      <c r="R176" s="160">
        <v>8.0</v>
      </c>
      <c r="S176" s="160">
        <v>11.0</v>
      </c>
      <c r="T176" s="160">
        <v>19.0</v>
      </c>
      <c r="U176" s="160">
        <v>3.0</v>
      </c>
      <c r="V176" s="160">
        <v>115.0</v>
      </c>
      <c r="W176" s="160">
        <v>340.0</v>
      </c>
      <c r="X176" s="160">
        <v>1.0</v>
      </c>
      <c r="Y176" s="160">
        <v>4.0</v>
      </c>
      <c r="Z176" s="160">
        <v>134.0</v>
      </c>
      <c r="AA176" s="160">
        <v>4.0</v>
      </c>
      <c r="AB176" s="160">
        <v>25.0</v>
      </c>
      <c r="AC176" s="160">
        <v>4.0</v>
      </c>
      <c r="AD176" s="160">
        <v>12.0</v>
      </c>
      <c r="AE176" s="160">
        <v>101.0</v>
      </c>
      <c r="AF176" s="160">
        <v>612.0</v>
      </c>
      <c r="AG176" s="160">
        <v>141.0</v>
      </c>
      <c r="AH176" s="314">
        <f t="shared" si="2"/>
        <v>19456.93333</v>
      </c>
      <c r="AI176" s="314">
        <f t="shared" si="3"/>
        <v>4.340425532</v>
      </c>
      <c r="AJ176" s="316">
        <f t="shared" si="109"/>
        <v>25690</v>
      </c>
      <c r="AK176" s="314">
        <f t="shared" si="63"/>
        <v>164416</v>
      </c>
      <c r="AL176" s="286">
        <v>38290.0</v>
      </c>
      <c r="AM176" s="318">
        <f t="shared" si="5"/>
        <v>0.07388786203</v>
      </c>
      <c r="AN176" s="314">
        <f t="shared" si="6"/>
        <v>119920.6553</v>
      </c>
      <c r="AO176" s="336">
        <f t="shared" si="110"/>
        <v>0.3674232245</v>
      </c>
      <c r="AP176" s="319">
        <v>0.44</v>
      </c>
      <c r="AQ176" s="160">
        <v>92.0</v>
      </c>
      <c r="AR176" s="160">
        <v>1240.0</v>
      </c>
      <c r="AS176" s="160">
        <v>0.0</v>
      </c>
      <c r="AT176" s="160">
        <v>11.0</v>
      </c>
      <c r="AU176" s="160">
        <v>0.0</v>
      </c>
      <c r="AV176" s="320">
        <v>19.0</v>
      </c>
      <c r="AW176" s="320">
        <v>2.0</v>
      </c>
      <c r="AX176" s="320">
        <v>0.0</v>
      </c>
      <c r="AY176" s="321">
        <f>iferror(VLOOKUP(C176,'ORDER BOOKING REPORT 2025-26'!C:O,13,0),"")</f>
        <v>2906031</v>
      </c>
      <c r="AZ176" s="322">
        <v>45944.0</v>
      </c>
      <c r="BA176" s="157" t="str">
        <f t="shared" si="7"/>
        <v>LEFT</v>
      </c>
      <c r="BB176" s="157" t="str">
        <f t="shared" si="8"/>
        <v>New</v>
      </c>
      <c r="BC176" s="157" t="str">
        <f t="shared" si="111"/>
        <v>Below 50%</v>
      </c>
      <c r="BD176" s="350">
        <f>(30-18)/30+6</f>
        <v>6.4</v>
      </c>
      <c r="BE176" s="326">
        <v>1166667.0</v>
      </c>
      <c r="BF176" s="157">
        <f t="shared" si="10"/>
        <v>1</v>
      </c>
      <c r="BG176" s="157" t="s">
        <v>1019</v>
      </c>
      <c r="BH176" s="324"/>
      <c r="BI176" s="324"/>
      <c r="BJ176" s="343">
        <f>12/30</f>
        <v>0.4</v>
      </c>
      <c r="BK176" s="326">
        <v>166667.0</v>
      </c>
      <c r="BL176" s="326">
        <f t="shared" si="48"/>
        <v>1066668.8</v>
      </c>
      <c r="BM176" s="326">
        <f t="shared" si="12"/>
        <v>7466668.8</v>
      </c>
      <c r="BN176" s="326"/>
      <c r="BO176" s="327" t="str">
        <f>IFERROR(__xludf.DUMMYFUNCTION("IFERROR(ArrayFormula(SUM(VLOOKUP($C176,importrange(""1MwNMVzWE3QBVOyJjKr3eFX-Sq1Ng0Q1sghWJbgbE_8g"",""ORDER BOOKING REPORT 2024-25!C:CV""),{16,23,30},0))))"),"")</f>
        <v/>
      </c>
      <c r="BP176" s="327" t="str">
        <f>IFERROR(__xludf.DUMMYFUNCTION("IFERROR(ArrayFormula(SUM(VLOOKUP($C176,importrange(""1MwNMVzWE3QBVOyJjKr3eFX-Sq1Ng0Q1sghWJbgbE_8g"",""ORDER BOOKING REPORT 2024-25!C:CV""),{37,44,51},0))))"),"")</f>
        <v/>
      </c>
      <c r="BQ176" s="327" t="str">
        <f>IFERROR(__xludf.DUMMYFUNCTION("IFERROR(ArrayFormula(SUM(VLOOKUP($C176,importrange(""1MwNMVzWE3QBVOyJjKr3eFX-Sq1Ng0Q1sghWJbgbE_8g"",""ORDER BOOKING REPORT 2024-25!C:CV""),{58,65,72},0))))"),"")</f>
        <v/>
      </c>
      <c r="BR176" s="327" t="str">
        <f>IFERROR(__xludf.DUMMYFUNCTION("IFERROR(ArrayFormula(SUM(VLOOKUP($C176,importrange(""1MwNMVzWE3QBVOyJjKr3eFX-Sq1Ng0Q1sghWJbgbE_8g"",""ORDER BOOKING REPORT 2024-25!C:CV""),{79,86,93},0))))"),"")</f>
        <v/>
      </c>
      <c r="BS176" s="328">
        <f t="shared" si="13"/>
        <v>0.3892004692</v>
      </c>
      <c r="BT176" s="328">
        <f t="shared" si="14"/>
        <v>0.06975355734</v>
      </c>
      <c r="BU176" s="234">
        <f t="shared" si="15"/>
        <v>-0.2</v>
      </c>
      <c r="BV176" s="329">
        <v>25690.0</v>
      </c>
      <c r="BW176" s="329" t="s">
        <v>1045</v>
      </c>
      <c r="BX176" s="329">
        <v>1239.0</v>
      </c>
      <c r="BY176" s="234">
        <f t="shared" si="16"/>
        <v>0</v>
      </c>
      <c r="BZ176" s="234"/>
      <c r="CA176" s="234"/>
      <c r="CB176" s="234"/>
      <c r="CC176" s="234"/>
      <c r="CD176" s="234"/>
      <c r="CE176" s="234"/>
      <c r="CF176" s="234"/>
      <c r="CG176" s="234" t="str">
        <f t="shared" si="19"/>
        <v>Below 60</v>
      </c>
      <c r="CH176" s="234" t="str">
        <f t="shared" si="27"/>
        <v>Business Achieved 50%</v>
      </c>
      <c r="CI176" s="328">
        <f t="shared" si="20"/>
        <v>0.9047619048</v>
      </c>
      <c r="CJ176" s="339">
        <f>IFERROR(__xludf.DUMMYFUNCTION("""COMPUTED_VALUE"""),97.0)</f>
        <v>97</v>
      </c>
      <c r="CK176" s="339">
        <f>IFERROR(__xludf.DUMMYFUNCTION("""COMPUTED_VALUE"""),4.0)</f>
        <v>4</v>
      </c>
      <c r="CL176" s="339">
        <f>IFERROR(__xludf.DUMMYFUNCTION("""COMPUTED_VALUE"""),0.0)</f>
        <v>0</v>
      </c>
      <c r="CM176" s="331">
        <f t="shared" si="21"/>
        <v>0</v>
      </c>
      <c r="CN176" s="340"/>
      <c r="CO176" s="328"/>
      <c r="CP176" s="341"/>
      <c r="CQ176" s="344"/>
      <c r="CR176" s="328"/>
      <c r="CS176" s="328"/>
      <c r="CT176" s="328"/>
      <c r="CU176" s="328"/>
      <c r="CV176" s="328"/>
      <c r="CW176" s="328"/>
      <c r="CX176" s="288"/>
      <c r="CY176" s="328"/>
      <c r="CZ176" s="328"/>
    </row>
    <row r="177">
      <c r="A177" s="157" t="s">
        <v>298</v>
      </c>
      <c r="B177" s="157" t="s">
        <v>301</v>
      </c>
      <c r="C177" s="157" t="s">
        <v>637</v>
      </c>
      <c r="D177" s="157" t="s">
        <v>1066</v>
      </c>
      <c r="E177" s="157" t="s">
        <v>317</v>
      </c>
      <c r="F177" s="342">
        <v>45778.0</v>
      </c>
      <c r="G177" s="314">
        <v>0.0</v>
      </c>
      <c r="H177" s="314">
        <v>1.32E7</v>
      </c>
      <c r="I177" s="315">
        <v>1.0664561E7</v>
      </c>
      <c r="J177" s="315">
        <v>0.0</v>
      </c>
      <c r="K177" s="160">
        <v>69.0</v>
      </c>
      <c r="L177" s="160">
        <v>94.0</v>
      </c>
      <c r="M177" s="160">
        <v>38.0</v>
      </c>
      <c r="N177" s="160">
        <v>107.0</v>
      </c>
      <c r="O177" s="160">
        <v>13.0</v>
      </c>
      <c r="P177" s="315">
        <v>4989012.9</v>
      </c>
      <c r="Q177" s="315">
        <v>5675548.1</v>
      </c>
      <c r="R177" s="160">
        <v>40.0</v>
      </c>
      <c r="S177" s="160">
        <v>30.0</v>
      </c>
      <c r="T177" s="160">
        <v>70.0</v>
      </c>
      <c r="U177" s="160">
        <v>0.0</v>
      </c>
      <c r="V177" s="160">
        <v>138.0</v>
      </c>
      <c r="W177" s="160">
        <v>357.0</v>
      </c>
      <c r="X177" s="160">
        <v>43.0</v>
      </c>
      <c r="Y177" s="160">
        <v>8.0</v>
      </c>
      <c r="Z177" s="160">
        <v>86.0</v>
      </c>
      <c r="AA177" s="160">
        <v>2.0</v>
      </c>
      <c r="AB177" s="160">
        <v>28.0</v>
      </c>
      <c r="AC177" s="160">
        <v>2.0</v>
      </c>
      <c r="AD177" s="160">
        <v>3.0</v>
      </c>
      <c r="AE177" s="160">
        <v>655.0</v>
      </c>
      <c r="AF177" s="160">
        <v>1129.0</v>
      </c>
      <c r="AG177" s="160">
        <v>248.0</v>
      </c>
      <c r="AH177" s="314">
        <f t="shared" si="2"/>
        <v>43002.2621</v>
      </c>
      <c r="AI177" s="314">
        <f t="shared" si="3"/>
        <v>4.552419355</v>
      </c>
      <c r="AJ177" s="316">
        <v>47173.0</v>
      </c>
      <c r="AK177" s="314">
        <f t="shared" si="63"/>
        <v>518903</v>
      </c>
      <c r="AL177" s="317">
        <v>94185.0</v>
      </c>
      <c r="AM177" s="318">
        <f t="shared" si="5"/>
        <v>0.05748834856</v>
      </c>
      <c r="AN177" s="314">
        <f t="shared" si="6"/>
        <v>152350.8714</v>
      </c>
      <c r="AO177" s="336">
        <f t="shared" si="110"/>
        <v>0.8079212879</v>
      </c>
      <c r="AP177" s="319">
        <v>0.0</v>
      </c>
      <c r="AQ177" s="160">
        <v>247.0</v>
      </c>
      <c r="AR177" s="160">
        <v>2016.0</v>
      </c>
      <c r="AS177" s="160">
        <v>1700.97</v>
      </c>
      <c r="AT177" s="160">
        <v>30.0</v>
      </c>
      <c r="AU177" s="160">
        <v>18.0</v>
      </c>
      <c r="AV177" s="320">
        <v>70.0</v>
      </c>
      <c r="AW177" s="320">
        <v>32.0</v>
      </c>
      <c r="AX177" s="320">
        <v>5.0</v>
      </c>
      <c r="AY177" s="321">
        <f>iferror(VLOOKUP(C177,'ORDER BOOKING REPORT 2025-26'!C:O,13,0),"")</f>
        <v>10577645</v>
      </c>
      <c r="AZ177" s="322"/>
      <c r="BA177" s="157" t="str">
        <f t="shared" si="7"/>
        <v>Active</v>
      </c>
      <c r="BB177" s="157" t="str">
        <f t="shared" si="8"/>
        <v>New</v>
      </c>
      <c r="BC177" s="157" t="str">
        <f t="shared" si="111"/>
        <v>70%-90%</v>
      </c>
      <c r="BD177" s="223">
        <v>11.0</v>
      </c>
      <c r="BE177" s="323">
        <v>1200000.0</v>
      </c>
      <c r="BF177" s="157">
        <f t="shared" si="10"/>
        <v>8</v>
      </c>
      <c r="BG177" s="157" t="s">
        <v>1019</v>
      </c>
      <c r="BH177" s="324"/>
      <c r="BI177" s="324"/>
      <c r="BJ177" s="325"/>
      <c r="BK177" s="326"/>
      <c r="BL177" s="326">
        <f t="shared" si="48"/>
        <v>0</v>
      </c>
      <c r="BM177" s="326">
        <f t="shared" si="12"/>
        <v>13200000</v>
      </c>
      <c r="BN177" s="326"/>
      <c r="BO177" s="327" t="str">
        <f>IFERROR(__xludf.DUMMYFUNCTION("IFERROR(ArrayFormula(SUM(VLOOKUP($C177,importrange(""1MwNMVzWE3QBVOyJjKr3eFX-Sq1Ng0Q1sghWJbgbE_8g"",""ORDER BOOKING REPORT 2024-25!C:CV""),{16,23,30},0))))"),"")</f>
        <v/>
      </c>
      <c r="BP177" s="327" t="str">
        <f>IFERROR(__xludf.DUMMYFUNCTION("IFERROR(ArrayFormula(SUM(VLOOKUP($C177,importrange(""1MwNMVzWE3QBVOyJjKr3eFX-Sq1Ng0Q1sghWJbgbE_8g"",""ORDER BOOKING REPORT 2024-25!C:CV""),{37,44,51},0))))"),"")</f>
        <v/>
      </c>
      <c r="BQ177" s="327" t="str">
        <f>IFERROR(__xludf.DUMMYFUNCTION("IFERROR(ArrayFormula(SUM(VLOOKUP($C177,importrange(""1MwNMVzWE3QBVOyJjKr3eFX-Sq1Ng0Q1sghWJbgbE_8g"",""ORDER BOOKING REPORT 2024-25!C:CV""),{58,65,72},0))))"),"")</f>
        <v/>
      </c>
      <c r="BR177" s="327" t="str">
        <f>IFERROR(__xludf.DUMMYFUNCTION("IFERROR(ArrayFormula(SUM(VLOOKUP($C177,importrange(""1MwNMVzWE3QBVOyJjKr3eFX-Sq1Ng0Q1sghWJbgbE_8g"",""ORDER BOOKING REPORT 2024-25!C:CV""),{79,86,93},0))))"),"")</f>
        <v/>
      </c>
      <c r="BS177" s="328">
        <f t="shared" si="13"/>
        <v>0.8013367424</v>
      </c>
      <c r="BT177" s="328">
        <f t="shared" si="14"/>
        <v>0.05796072755</v>
      </c>
      <c r="BU177" s="234">
        <f t="shared" si="15"/>
        <v>0</v>
      </c>
      <c r="BV177" s="329">
        <v>47173.0</v>
      </c>
      <c r="BW177" s="329" t="s">
        <v>1029</v>
      </c>
      <c r="BX177" s="329">
        <v>1242.0</v>
      </c>
      <c r="BY177" s="234">
        <f t="shared" si="16"/>
        <v>0</v>
      </c>
      <c r="BZ177" s="234"/>
      <c r="CA177" s="234"/>
      <c r="CB177" s="234"/>
      <c r="CC177" s="234"/>
      <c r="CD177" s="234"/>
      <c r="CE177" s="234"/>
      <c r="CF177" s="234"/>
      <c r="CG177" s="234" t="str">
        <f t="shared" si="19"/>
        <v> </v>
      </c>
      <c r="CH177" s="234" t="str">
        <f t="shared" si="27"/>
        <v>Business Achieved 50%</v>
      </c>
      <c r="CI177" s="328">
        <f t="shared" si="20"/>
        <v>0.6542056075</v>
      </c>
      <c r="CJ177" s="330">
        <f>IFERROR(__xludf.DUMMYFUNCTION("""COMPUTED_VALUE"""),548.0)</f>
        <v>548</v>
      </c>
      <c r="CK177" s="330">
        <f>IFERROR(__xludf.DUMMYFUNCTION("""COMPUTED_VALUE"""),107.0)</f>
        <v>107</v>
      </c>
      <c r="CL177" s="330">
        <f>IFERROR(__xludf.DUMMYFUNCTION("""COMPUTED_VALUE"""),0.0)</f>
        <v>0</v>
      </c>
      <c r="CM177" s="331">
        <f t="shared" si="21"/>
        <v>0</v>
      </c>
      <c r="CN177" s="337"/>
      <c r="CO177" s="160"/>
      <c r="CP177" s="334"/>
      <c r="CQ177" s="335"/>
      <c r="CR177" s="160"/>
      <c r="CS177" s="160"/>
      <c r="CT177" s="160"/>
      <c r="CU177" s="160"/>
      <c r="CV177" s="160"/>
      <c r="CW177" s="335"/>
      <c r="CX177" s="288"/>
      <c r="CY177" s="160"/>
      <c r="CZ177" s="160"/>
    </row>
    <row r="178">
      <c r="A178" s="157" t="s">
        <v>53</v>
      </c>
      <c r="B178" s="157" t="s">
        <v>61</v>
      </c>
      <c r="C178" s="157" t="s">
        <v>654</v>
      </c>
      <c r="D178" s="157" t="s">
        <v>1077</v>
      </c>
      <c r="E178" s="157" t="s">
        <v>1114</v>
      </c>
      <c r="F178" s="342">
        <v>45778.0</v>
      </c>
      <c r="G178" s="314">
        <v>0.0</v>
      </c>
      <c r="H178" s="314">
        <v>0.0</v>
      </c>
      <c r="I178" s="315">
        <v>0.0</v>
      </c>
      <c r="J178" s="315">
        <v>0.0</v>
      </c>
      <c r="K178" s="160">
        <v>58.0</v>
      </c>
      <c r="L178" s="160">
        <v>18.0</v>
      </c>
      <c r="M178" s="160">
        <v>0.0</v>
      </c>
      <c r="N178" s="160">
        <v>58.0</v>
      </c>
      <c r="O178" s="160">
        <v>40.0</v>
      </c>
      <c r="P178" s="315">
        <v>0.0</v>
      </c>
      <c r="Q178" s="315">
        <v>0.0</v>
      </c>
      <c r="R178" s="160">
        <v>0.0</v>
      </c>
      <c r="S178" s="160">
        <v>0.0</v>
      </c>
      <c r="T178" s="160">
        <v>0.0</v>
      </c>
      <c r="U178" s="160">
        <v>0.0</v>
      </c>
      <c r="V178" s="160">
        <v>22.0</v>
      </c>
      <c r="W178" s="160">
        <v>38.0</v>
      </c>
      <c r="X178" s="160">
        <v>77.0</v>
      </c>
      <c r="Y178" s="160">
        <v>10.0</v>
      </c>
      <c r="Z178" s="160">
        <v>51.0</v>
      </c>
      <c r="AA178" s="160">
        <v>0.0</v>
      </c>
      <c r="AB178" s="160">
        <v>0.0</v>
      </c>
      <c r="AC178" s="160">
        <v>11.0</v>
      </c>
      <c r="AD178" s="160">
        <v>25.0</v>
      </c>
      <c r="AE178" s="160">
        <v>52.0</v>
      </c>
      <c r="AF178" s="160">
        <v>166.0</v>
      </c>
      <c r="AG178" s="160">
        <v>78.0</v>
      </c>
      <c r="AH178" s="314">
        <f t="shared" si="2"/>
        <v>0</v>
      </c>
      <c r="AI178" s="314">
        <f t="shared" si="3"/>
        <v>2.128205128</v>
      </c>
      <c r="AJ178" s="316">
        <f t="shared" ref="AJ178:AJ179" si="112">BV178</f>
        <v>50860</v>
      </c>
      <c r="AK178" s="314">
        <f t="shared" si="63"/>
        <v>203440</v>
      </c>
      <c r="AL178" s="286">
        <v>170387.0</v>
      </c>
      <c r="AM178" s="318" t="str">
        <f t="shared" si="5"/>
        <v/>
      </c>
      <c r="AN178" s="314" t="str">
        <f t="shared" si="6"/>
        <v/>
      </c>
      <c r="AO178" s="286" t="s">
        <v>972</v>
      </c>
      <c r="AP178" s="319">
        <v>0.0</v>
      </c>
      <c r="AQ178" s="160">
        <v>0.0</v>
      </c>
      <c r="AR178" s="160">
        <v>819.0</v>
      </c>
      <c r="AS178" s="160">
        <v>0.0</v>
      </c>
      <c r="AT178" s="160">
        <v>0.0</v>
      </c>
      <c r="AU178" s="160">
        <v>0.0</v>
      </c>
      <c r="AV178" s="320">
        <v>0.0</v>
      </c>
      <c r="AW178" s="320">
        <v>18.0</v>
      </c>
      <c r="AX178" s="320">
        <v>40.0</v>
      </c>
      <c r="AY178" s="321" t="str">
        <f>iferror(VLOOKUP(C178,'ORDER BOOKING REPORT 2025-26'!C:O,13,0),"")</f>
        <v/>
      </c>
      <c r="AZ178" s="322">
        <v>45899.0</v>
      </c>
      <c r="BA178" s="157" t="str">
        <f t="shared" si="7"/>
        <v>LEFT</v>
      </c>
      <c r="BB178" s="157" t="str">
        <f t="shared" si="8"/>
        <v>New</v>
      </c>
      <c r="BC178" s="160" t="s">
        <v>972</v>
      </c>
      <c r="BD178" s="223">
        <v>4.0</v>
      </c>
      <c r="BE178" s="323"/>
      <c r="BF178" s="157">
        <f t="shared" si="10"/>
        <v>0</v>
      </c>
      <c r="BG178" s="234" t="s">
        <v>188</v>
      </c>
      <c r="BH178" s="324"/>
      <c r="BI178" s="324"/>
      <c r="BJ178" s="343"/>
      <c r="BK178" s="326"/>
      <c r="BL178" s="326">
        <f t="shared" si="48"/>
        <v>0</v>
      </c>
      <c r="BM178" s="326">
        <f t="shared" si="12"/>
        <v>0</v>
      </c>
      <c r="BN178" s="326"/>
      <c r="BO178" s="327" t="str">
        <f>IFERROR(__xludf.DUMMYFUNCTION("IFERROR(ArrayFormula(SUM(VLOOKUP($C178,importrange(""1MwNMVzWE3QBVOyJjKr3eFX-Sq1Ng0Q1sghWJbgbE_8g"",""ORDER BOOKING REPORT 2024-25!C:CV""),{16,23,30},0))))"),"")</f>
        <v/>
      </c>
      <c r="BP178" s="327" t="str">
        <f>IFERROR(__xludf.DUMMYFUNCTION("IFERROR(ArrayFormula(SUM(VLOOKUP($C178,importrange(""1MwNMVzWE3QBVOyJjKr3eFX-Sq1Ng0Q1sghWJbgbE_8g"",""ORDER BOOKING REPORT 2024-25!C:CV""),{37,44,51},0))))"),"")</f>
        <v/>
      </c>
      <c r="BQ178" s="327" t="str">
        <f>IFERROR(__xludf.DUMMYFUNCTION("IFERROR(ArrayFormula(SUM(VLOOKUP($C178,importrange(""1MwNMVzWE3QBVOyJjKr3eFX-Sq1Ng0Q1sghWJbgbE_8g"",""ORDER BOOKING REPORT 2024-25!C:CV""),{58,65,72},0))))"),"")</f>
        <v/>
      </c>
      <c r="BR178" s="327" t="str">
        <f>IFERROR(__xludf.DUMMYFUNCTION("IFERROR(ArrayFormula(SUM(VLOOKUP($C178,importrange(""1MwNMVzWE3QBVOyJjKr3eFX-Sq1Ng0Q1sghWJbgbE_8g"",""ORDER BOOKING REPORT 2024-25!C:CV""),{79,86,93},0))))"),"")</f>
        <v/>
      </c>
      <c r="BS178" s="328" t="str">
        <f t="shared" si="13"/>
        <v/>
      </c>
      <c r="BT178" s="328" t="str">
        <f t="shared" si="14"/>
        <v/>
      </c>
      <c r="BU178" s="234">
        <f t="shared" si="15"/>
        <v>0</v>
      </c>
      <c r="BV178" s="329">
        <v>50860.0</v>
      </c>
      <c r="BW178" s="329" t="s">
        <v>1017</v>
      </c>
      <c r="BX178" s="329">
        <v>1241.0</v>
      </c>
      <c r="BY178" s="234">
        <f t="shared" si="16"/>
        <v>0</v>
      </c>
      <c r="BZ178" s="234"/>
      <c r="CA178" s="234"/>
      <c r="CB178" s="234"/>
      <c r="CC178" s="234"/>
      <c r="CD178" s="234"/>
      <c r="CE178" s="234"/>
      <c r="CF178" s="234"/>
      <c r="CG178" s="234" t="str">
        <f t="shared" si="19"/>
        <v>Below 60</v>
      </c>
      <c r="CH178" s="234" t="str">
        <f t="shared" si="27"/>
        <v>Not 50%</v>
      </c>
      <c r="CI178" s="328">
        <f t="shared" si="20"/>
        <v>0</v>
      </c>
      <c r="CJ178" s="339"/>
      <c r="CK178" s="339"/>
      <c r="CL178" s="339"/>
      <c r="CM178" s="331">
        <f t="shared" si="21"/>
        <v>52</v>
      </c>
      <c r="CN178" s="340"/>
      <c r="CO178" s="328"/>
      <c r="CP178" s="341"/>
      <c r="CQ178" s="344"/>
      <c r="CR178" s="328"/>
      <c r="CS178" s="328"/>
      <c r="CT178" s="328"/>
      <c r="CU178" s="328"/>
      <c r="CV178" s="328"/>
      <c r="CW178" s="328"/>
      <c r="CX178" s="288"/>
      <c r="CY178" s="328"/>
      <c r="CZ178" s="328"/>
    </row>
    <row r="179">
      <c r="A179" s="157" t="s">
        <v>47</v>
      </c>
      <c r="B179" s="157" t="s">
        <v>50</v>
      </c>
      <c r="C179" s="157" t="s">
        <v>872</v>
      </c>
      <c r="D179" s="157" t="s">
        <v>1091</v>
      </c>
      <c r="E179" s="157" t="s">
        <v>1115</v>
      </c>
      <c r="F179" s="342">
        <v>45782.0</v>
      </c>
      <c r="G179" s="314">
        <v>0.0</v>
      </c>
      <c r="H179" s="314">
        <v>0.0</v>
      </c>
      <c r="I179" s="315">
        <v>0.0</v>
      </c>
      <c r="J179" s="315">
        <v>0.0</v>
      </c>
      <c r="K179" s="160">
        <v>4.0</v>
      </c>
      <c r="L179" s="160">
        <v>5.0</v>
      </c>
      <c r="M179" s="160">
        <v>1.0</v>
      </c>
      <c r="N179" s="160">
        <v>5.0</v>
      </c>
      <c r="O179" s="160">
        <v>0.0</v>
      </c>
      <c r="P179" s="315">
        <v>0.0</v>
      </c>
      <c r="Q179" s="315">
        <v>0.0</v>
      </c>
      <c r="R179" s="160">
        <v>0.0</v>
      </c>
      <c r="S179" s="160">
        <v>0.0</v>
      </c>
      <c r="T179" s="160">
        <v>0.0</v>
      </c>
      <c r="U179" s="160">
        <v>0.0</v>
      </c>
      <c r="V179" s="160">
        <v>13.0</v>
      </c>
      <c r="W179" s="160">
        <v>31.0</v>
      </c>
      <c r="X179" s="160">
        <v>0.0</v>
      </c>
      <c r="Y179" s="160">
        <v>4.0</v>
      </c>
      <c r="Z179" s="160">
        <v>70.0</v>
      </c>
      <c r="AA179" s="160">
        <v>0.0</v>
      </c>
      <c r="AB179" s="160">
        <v>0.0</v>
      </c>
      <c r="AC179" s="160">
        <v>188.0</v>
      </c>
      <c r="AD179" s="160">
        <v>1008.0</v>
      </c>
      <c r="AE179" s="160">
        <v>10.0</v>
      </c>
      <c r="AF179" s="160">
        <v>1119.0</v>
      </c>
      <c r="AG179" s="160">
        <v>253.0</v>
      </c>
      <c r="AH179" s="314">
        <f t="shared" si="2"/>
        <v>0</v>
      </c>
      <c r="AI179" s="314">
        <f t="shared" si="3"/>
        <v>4.422924901</v>
      </c>
      <c r="AJ179" s="316">
        <f t="shared" si="112"/>
        <v>64580</v>
      </c>
      <c r="AK179" s="314">
        <f t="shared" si="63"/>
        <v>710380</v>
      </c>
      <c r="AL179" s="286">
        <v>511859.0</v>
      </c>
      <c r="AM179" s="318" t="str">
        <f t="shared" si="5"/>
        <v/>
      </c>
      <c r="AN179" s="314" t="str">
        <f t="shared" si="6"/>
        <v/>
      </c>
      <c r="AO179" s="286" t="s">
        <v>972</v>
      </c>
      <c r="AP179" s="319">
        <v>0.0</v>
      </c>
      <c r="AQ179" s="160">
        <v>0.0</v>
      </c>
      <c r="AR179" s="160">
        <v>2838.0</v>
      </c>
      <c r="AS179" s="160">
        <v>5449.72</v>
      </c>
      <c r="AT179" s="160">
        <v>0.0</v>
      </c>
      <c r="AU179" s="160">
        <v>1090.0</v>
      </c>
      <c r="AV179" s="320">
        <v>0.0</v>
      </c>
      <c r="AW179" s="320">
        <v>5.0</v>
      </c>
      <c r="AX179" s="320">
        <v>0.0</v>
      </c>
      <c r="AY179" s="321" t="str">
        <f>iferror(VLOOKUP(C179,'ORDER BOOKING REPORT 2025-26'!C:O,13,0),"")</f>
        <v/>
      </c>
      <c r="AZ179" s="322"/>
      <c r="BA179" s="157" t="str">
        <f t="shared" si="7"/>
        <v>Active</v>
      </c>
      <c r="BB179" s="157" t="str">
        <f t="shared" si="8"/>
        <v>New</v>
      </c>
      <c r="BC179" s="160" t="s">
        <v>972</v>
      </c>
      <c r="BD179" s="223">
        <v>11.0</v>
      </c>
      <c r="BE179" s="323"/>
      <c r="BF179" s="157">
        <f t="shared" si="10"/>
        <v>1</v>
      </c>
      <c r="BG179" s="234" t="s">
        <v>188</v>
      </c>
      <c r="BH179" s="324"/>
      <c r="BI179" s="324"/>
      <c r="BJ179" s="325"/>
      <c r="BK179" s="326"/>
      <c r="BL179" s="326">
        <f t="shared" si="48"/>
        <v>0</v>
      </c>
      <c r="BM179" s="326">
        <f t="shared" si="12"/>
        <v>0</v>
      </c>
      <c r="BN179" s="326"/>
      <c r="BO179" s="327" t="str">
        <f>IFERROR(__xludf.DUMMYFUNCTION("IFERROR(ArrayFormula(SUM(VLOOKUP($C179,importrange(""1MwNMVzWE3QBVOyJjKr3eFX-Sq1Ng0Q1sghWJbgbE_8g"",""ORDER BOOKING REPORT 2024-25!C:CV""),{16,23,30},0))))"),"")</f>
        <v/>
      </c>
      <c r="BP179" s="327" t="str">
        <f>IFERROR(__xludf.DUMMYFUNCTION("IFERROR(ArrayFormula(SUM(VLOOKUP($C179,importrange(""1MwNMVzWE3QBVOyJjKr3eFX-Sq1Ng0Q1sghWJbgbE_8g"",""ORDER BOOKING REPORT 2024-25!C:CV""),{37,44,51},0))))"),"")</f>
        <v/>
      </c>
      <c r="BQ179" s="327" t="str">
        <f>IFERROR(__xludf.DUMMYFUNCTION("IFERROR(ArrayFormula(SUM(VLOOKUP($C179,importrange(""1MwNMVzWE3QBVOyJjKr3eFX-Sq1Ng0Q1sghWJbgbE_8g"",""ORDER BOOKING REPORT 2024-25!C:CV""),{58,65,72},0))))"),"")</f>
        <v/>
      </c>
      <c r="BR179" s="327" t="str">
        <f>IFERROR(__xludf.DUMMYFUNCTION("IFERROR(ArrayFormula(SUM(VLOOKUP($C179,importrange(""1MwNMVzWE3QBVOyJjKr3eFX-Sq1Ng0Q1sghWJbgbE_8g"",""ORDER BOOKING REPORT 2024-25!C:CV""),{79,86,93},0))))"),"")</f>
        <v/>
      </c>
      <c r="BS179" s="328" t="str">
        <f t="shared" si="13"/>
        <v/>
      </c>
      <c r="BT179" s="328" t="str">
        <f t="shared" si="14"/>
        <v/>
      </c>
      <c r="BU179" s="234">
        <f t="shared" si="15"/>
        <v>0</v>
      </c>
      <c r="BV179" s="329">
        <v>64580.0</v>
      </c>
      <c r="BW179" s="329" t="s">
        <v>1116</v>
      </c>
      <c r="BX179" s="329">
        <v>1243.0</v>
      </c>
      <c r="BY179" s="234">
        <f t="shared" si="16"/>
        <v>0</v>
      </c>
      <c r="BZ179" s="234"/>
      <c r="CA179" s="234"/>
      <c r="CB179" s="234"/>
      <c r="CC179" s="234"/>
      <c r="CD179" s="234"/>
      <c r="CE179" s="234"/>
      <c r="CF179" s="234"/>
      <c r="CG179" s="234" t="str">
        <f t="shared" si="19"/>
        <v>Below 60</v>
      </c>
      <c r="CH179" s="234" t="str">
        <f t="shared" si="27"/>
        <v>Not 50%</v>
      </c>
      <c r="CI179" s="328">
        <f t="shared" si="20"/>
        <v>0</v>
      </c>
      <c r="CJ179" s="339"/>
      <c r="CK179" s="339"/>
      <c r="CL179" s="339"/>
      <c r="CM179" s="331">
        <f t="shared" si="21"/>
        <v>10</v>
      </c>
      <c r="CN179" s="340"/>
      <c r="CO179" s="328"/>
      <c r="CP179" s="341"/>
      <c r="CQ179" s="344"/>
      <c r="CR179" s="328"/>
      <c r="CS179" s="328"/>
      <c r="CT179" s="328"/>
      <c r="CU179" s="328"/>
      <c r="CV179" s="328"/>
      <c r="CW179" s="328"/>
      <c r="CX179" s="288"/>
      <c r="CY179" s="328"/>
      <c r="CZ179" s="328"/>
    </row>
    <row r="180">
      <c r="A180" s="157" t="s">
        <v>185</v>
      </c>
      <c r="B180" s="157" t="s">
        <v>189</v>
      </c>
      <c r="C180" s="157" t="s">
        <v>283</v>
      </c>
      <c r="D180" s="157" t="s">
        <v>1016</v>
      </c>
      <c r="E180" s="157" t="s">
        <v>1117</v>
      </c>
      <c r="F180" s="342">
        <v>45784.0</v>
      </c>
      <c r="G180" s="314">
        <v>0.0</v>
      </c>
      <c r="H180" s="314">
        <v>2.75E7</v>
      </c>
      <c r="I180" s="315">
        <v>2.726609973E7</v>
      </c>
      <c r="J180" s="315">
        <v>0.0</v>
      </c>
      <c r="K180" s="160">
        <v>30.0</v>
      </c>
      <c r="L180" s="160">
        <v>51.0</v>
      </c>
      <c r="M180" s="160">
        <v>21.0</v>
      </c>
      <c r="N180" s="160">
        <v>51.0</v>
      </c>
      <c r="O180" s="160">
        <v>0.0</v>
      </c>
      <c r="P180" s="315">
        <v>1.96647653E7</v>
      </c>
      <c r="Q180" s="315">
        <v>7601334.43</v>
      </c>
      <c r="R180" s="160">
        <v>21.0</v>
      </c>
      <c r="S180" s="160">
        <v>21.0</v>
      </c>
      <c r="T180" s="160">
        <v>42.0</v>
      </c>
      <c r="U180" s="160">
        <v>0.0</v>
      </c>
      <c r="V180" s="160">
        <v>30.0</v>
      </c>
      <c r="W180" s="160">
        <v>122.0</v>
      </c>
      <c r="X180" s="160">
        <v>0.0</v>
      </c>
      <c r="Y180" s="160">
        <v>2.0</v>
      </c>
      <c r="Z180" s="160">
        <v>16.0</v>
      </c>
      <c r="AA180" s="160">
        <v>0.0</v>
      </c>
      <c r="AB180" s="160">
        <v>0.0</v>
      </c>
      <c r="AC180" s="160">
        <v>0.0</v>
      </c>
      <c r="AD180" s="160">
        <v>0.0</v>
      </c>
      <c r="AE180" s="160">
        <v>1340.0</v>
      </c>
      <c r="AF180" s="160">
        <v>1478.0</v>
      </c>
      <c r="AG180" s="160">
        <v>259.0</v>
      </c>
      <c r="AH180" s="314">
        <f t="shared" si="2"/>
        <v>105274.5163</v>
      </c>
      <c r="AI180" s="314">
        <f t="shared" si="3"/>
        <v>5.706563707</v>
      </c>
      <c r="AJ180" s="316">
        <v>25985.0</v>
      </c>
      <c r="AK180" s="314">
        <f t="shared" si="63"/>
        <v>285835</v>
      </c>
      <c r="AL180" s="317">
        <v>97883.0</v>
      </c>
      <c r="AM180" s="318">
        <f t="shared" si="5"/>
        <v>0.0140730799</v>
      </c>
      <c r="AN180" s="314">
        <f t="shared" si="6"/>
        <v>649192.8507</v>
      </c>
      <c r="AO180" s="336">
        <f t="shared" ref="AO180:AO182" si="113">iferror(sum(I180:J180)/Sum(G180:H180),"")</f>
        <v>0.9914945356</v>
      </c>
      <c r="AP180" s="319">
        <v>0.0</v>
      </c>
      <c r="AQ180" s="160">
        <v>429.0</v>
      </c>
      <c r="AR180" s="160">
        <v>2661.0</v>
      </c>
      <c r="AS180" s="160">
        <v>3253.13</v>
      </c>
      <c r="AT180" s="160">
        <v>21.0</v>
      </c>
      <c r="AU180" s="160">
        <v>64.0</v>
      </c>
      <c r="AV180" s="320">
        <v>42.0</v>
      </c>
      <c r="AW180" s="320">
        <v>9.0</v>
      </c>
      <c r="AX180" s="320">
        <v>0.0</v>
      </c>
      <c r="AY180" s="321">
        <f>iferror(VLOOKUP(C180,'ORDER BOOKING REPORT 2025-26'!C:O,13,0),"")</f>
        <v>29763299.36</v>
      </c>
      <c r="AZ180" s="322"/>
      <c r="BA180" s="157" t="str">
        <f t="shared" si="7"/>
        <v>Active</v>
      </c>
      <c r="BB180" s="157" t="str">
        <f t="shared" si="8"/>
        <v>New</v>
      </c>
      <c r="BC180" s="157" t="str">
        <f t="shared" ref="BC180:BC181" si="114">IFS(AO180&lt;50%,"Below 50%",AO180&lt;70%,"50%-70%",AO180&lt;90%,"70%-90%",AO180&lt;100%,"90%-100%",AO180&gt;100%,"Above 100%")</f>
        <v>90%-100%</v>
      </c>
      <c r="BD180" s="223">
        <v>11.0</v>
      </c>
      <c r="BE180" s="323">
        <v>2500000.0</v>
      </c>
      <c r="BF180" s="157">
        <f t="shared" si="10"/>
        <v>0</v>
      </c>
      <c r="BG180" s="157" t="s">
        <v>1019</v>
      </c>
      <c r="BH180" s="324"/>
      <c r="BI180" s="324"/>
      <c r="BJ180" s="325"/>
      <c r="BK180" s="326"/>
      <c r="BL180" s="326">
        <f t="shared" si="48"/>
        <v>0</v>
      </c>
      <c r="BM180" s="326">
        <f t="shared" si="12"/>
        <v>27500000</v>
      </c>
      <c r="BN180" s="326"/>
      <c r="BO180" s="327" t="str">
        <f>IFERROR(__xludf.DUMMYFUNCTION("IFERROR(ArrayFormula(SUM(VLOOKUP($C180,importrange(""1MwNMVzWE3QBVOyJjKr3eFX-Sq1Ng0Q1sghWJbgbE_8g"",""ORDER BOOKING REPORT 2024-25!C:CV""),{16,23,30},0))))"),"")</f>
        <v/>
      </c>
      <c r="BP180" s="327" t="str">
        <f>IFERROR(__xludf.DUMMYFUNCTION("IFERROR(ArrayFormula(SUM(VLOOKUP($C180,importrange(""1MwNMVzWE3QBVOyJjKr3eFX-Sq1Ng0Q1sghWJbgbE_8g"",""ORDER BOOKING REPORT 2024-25!C:CV""),{37,44,51},0))))"),"")</f>
        <v/>
      </c>
      <c r="BQ180" s="327" t="str">
        <f>IFERROR(__xludf.DUMMYFUNCTION("IFERROR(ArrayFormula(SUM(VLOOKUP($C180,importrange(""1MwNMVzWE3QBVOyJjKr3eFX-Sq1Ng0Q1sghWJbgbE_8g"",""ORDER BOOKING REPORT 2024-25!C:CV""),{58,65,72},0))))"),"")</f>
        <v/>
      </c>
      <c r="BR180" s="327" t="str">
        <f>IFERROR(__xludf.DUMMYFUNCTION("IFERROR(ArrayFormula(SUM(VLOOKUP($C180,importrange(""1MwNMVzWE3QBVOyJjKr3eFX-Sq1Ng0Q1sghWJbgbE_8g"",""ORDER BOOKING REPORT 2024-25!C:CV""),{79,86,93},0))))"),"")</f>
        <v/>
      </c>
      <c r="BS180" s="328">
        <f t="shared" si="13"/>
        <v>1.082301795</v>
      </c>
      <c r="BT180" s="328">
        <f t="shared" si="14"/>
        <v>0.01289232069</v>
      </c>
      <c r="BU180" s="234">
        <f t="shared" si="15"/>
        <v>0</v>
      </c>
      <c r="BV180" s="329">
        <v>25985.0</v>
      </c>
      <c r="BW180" s="329" t="s">
        <v>1045</v>
      </c>
      <c r="BX180" s="329">
        <v>1244.0</v>
      </c>
      <c r="BY180" s="234">
        <f t="shared" si="16"/>
        <v>0</v>
      </c>
      <c r="BZ180" s="234"/>
      <c r="CA180" s="234"/>
      <c r="CB180" s="234"/>
      <c r="CC180" s="234"/>
      <c r="CD180" s="234"/>
      <c r="CE180" s="234"/>
      <c r="CF180" s="234"/>
      <c r="CG180" s="234" t="str">
        <f t="shared" si="19"/>
        <v>Below 60</v>
      </c>
      <c r="CH180" s="234" t="str">
        <f t="shared" si="27"/>
        <v>Business Achieved 50%</v>
      </c>
      <c r="CI180" s="328">
        <f t="shared" si="20"/>
        <v>0.8235294118</v>
      </c>
      <c r="CJ180" s="330">
        <f>IFERROR(__xludf.DUMMYFUNCTION("""COMPUTED_VALUE"""),1182.0)</f>
        <v>1182</v>
      </c>
      <c r="CK180" s="330">
        <f>IFERROR(__xludf.DUMMYFUNCTION("""COMPUTED_VALUE"""),158.0)</f>
        <v>158</v>
      </c>
      <c r="CL180" s="330">
        <f>IFERROR(__xludf.DUMMYFUNCTION("""COMPUTED_VALUE"""),0.0)</f>
        <v>0</v>
      </c>
      <c r="CM180" s="331">
        <f t="shared" si="21"/>
        <v>0</v>
      </c>
      <c r="CN180" s="337"/>
      <c r="CO180" s="160"/>
      <c r="CP180" s="334"/>
      <c r="CQ180" s="335"/>
      <c r="CR180" s="160"/>
      <c r="CS180" s="160"/>
      <c r="CT180" s="160"/>
      <c r="CU180" s="160"/>
      <c r="CV180" s="160"/>
      <c r="CW180" s="335"/>
      <c r="CX180" s="288"/>
      <c r="CY180" s="160"/>
      <c r="CZ180" s="160"/>
    </row>
    <row r="181">
      <c r="A181" s="157" t="s">
        <v>53</v>
      </c>
      <c r="B181" s="157" t="s">
        <v>61</v>
      </c>
      <c r="C181" s="157" t="s">
        <v>375</v>
      </c>
      <c r="D181" s="157" t="s">
        <v>1077</v>
      </c>
      <c r="E181" s="157" t="s">
        <v>376</v>
      </c>
      <c r="F181" s="349">
        <v>45789.0</v>
      </c>
      <c r="G181" s="314">
        <v>0.0</v>
      </c>
      <c r="H181" s="314">
        <v>2700000.0</v>
      </c>
      <c r="I181" s="315">
        <v>1043511.67</v>
      </c>
      <c r="J181" s="315">
        <v>0.0</v>
      </c>
      <c r="K181" s="160">
        <v>91.0</v>
      </c>
      <c r="L181" s="160">
        <v>70.0</v>
      </c>
      <c r="M181" s="160">
        <v>7.0</v>
      </c>
      <c r="N181" s="160">
        <v>98.0</v>
      </c>
      <c r="O181" s="160">
        <v>28.0</v>
      </c>
      <c r="P181" s="315">
        <v>747318.26</v>
      </c>
      <c r="Q181" s="315">
        <v>296193.41</v>
      </c>
      <c r="R181" s="160">
        <v>13.0</v>
      </c>
      <c r="S181" s="160">
        <v>4.0</v>
      </c>
      <c r="T181" s="160">
        <v>17.0</v>
      </c>
      <c r="U181" s="160">
        <v>0.0</v>
      </c>
      <c r="V181" s="160">
        <v>67.0</v>
      </c>
      <c r="W181" s="160">
        <v>129.0</v>
      </c>
      <c r="X181" s="160">
        <v>236.0</v>
      </c>
      <c r="Y181" s="160">
        <v>3.0</v>
      </c>
      <c r="Z181" s="160">
        <v>26.0</v>
      </c>
      <c r="AA181" s="160">
        <v>0.0</v>
      </c>
      <c r="AB181" s="160">
        <v>0.0</v>
      </c>
      <c r="AC181" s="160">
        <v>3.0</v>
      </c>
      <c r="AD181" s="160">
        <v>9.0</v>
      </c>
      <c r="AE181" s="160">
        <v>332.0</v>
      </c>
      <c r="AF181" s="160">
        <v>496.0</v>
      </c>
      <c r="AG181" s="160">
        <v>99.0</v>
      </c>
      <c r="AH181" s="314">
        <f t="shared" si="2"/>
        <v>10540.52192</v>
      </c>
      <c r="AI181" s="314">
        <f t="shared" si="3"/>
        <v>5.01010101</v>
      </c>
      <c r="AJ181" s="316">
        <f>BV181</f>
        <v>30400</v>
      </c>
      <c r="AK181" s="314">
        <f t="shared" si="63"/>
        <v>140232.2581</v>
      </c>
      <c r="AL181" s="286">
        <v>41724.0</v>
      </c>
      <c r="AM181" s="318">
        <f t="shared" si="5"/>
        <v>0.1743691645</v>
      </c>
      <c r="AN181" s="314">
        <f t="shared" si="6"/>
        <v>61383.03941</v>
      </c>
      <c r="AO181" s="336">
        <f t="shared" si="113"/>
        <v>0.3864858037</v>
      </c>
      <c r="AP181" s="319">
        <v>0.0</v>
      </c>
      <c r="AQ181" s="160">
        <v>38.0</v>
      </c>
      <c r="AR181" s="160">
        <v>898.0</v>
      </c>
      <c r="AS181" s="160">
        <v>0.0</v>
      </c>
      <c r="AT181" s="160">
        <v>4.0</v>
      </c>
      <c r="AU181" s="160">
        <v>0.0</v>
      </c>
      <c r="AV181" s="320">
        <v>17.0</v>
      </c>
      <c r="AW181" s="320">
        <v>53.0</v>
      </c>
      <c r="AX181" s="320">
        <v>28.0</v>
      </c>
      <c r="AY181" s="321">
        <f>iferror(VLOOKUP(C181,'ORDER BOOKING REPORT 2025-26'!C:O,13,0),"")</f>
        <v>498089</v>
      </c>
      <c r="AZ181" s="322">
        <v>45930.0</v>
      </c>
      <c r="BA181" s="157" t="str">
        <f t="shared" si="7"/>
        <v>LEFT</v>
      </c>
      <c r="BB181" s="157" t="str">
        <f t="shared" si="8"/>
        <v>New</v>
      </c>
      <c r="BC181" s="157" t="str">
        <f t="shared" si="114"/>
        <v>Below 50%</v>
      </c>
      <c r="BD181" s="352">
        <v>4.612903225806452</v>
      </c>
      <c r="BE181" s="326">
        <v>500000.0</v>
      </c>
      <c r="BF181" s="157">
        <f t="shared" si="10"/>
        <v>3</v>
      </c>
      <c r="BG181" s="157" t="s">
        <v>1019</v>
      </c>
      <c r="BH181" s="324"/>
      <c r="BI181" s="324"/>
      <c r="BJ181" s="343">
        <f>19/31</f>
        <v>0.6129032258</v>
      </c>
      <c r="BK181" s="326"/>
      <c r="BL181" s="326">
        <f t="shared" si="48"/>
        <v>0</v>
      </c>
      <c r="BM181" s="326">
        <f t="shared" si="12"/>
        <v>2700000</v>
      </c>
      <c r="BN181" s="326"/>
      <c r="BO181" s="327" t="str">
        <f>IFERROR(__xludf.DUMMYFUNCTION("IFERROR(ArrayFormula(SUM(VLOOKUP($C181,importrange(""1MwNMVzWE3QBVOyJjKr3eFX-Sq1Ng0Q1sghWJbgbE_8g"",""ORDER BOOKING REPORT 2024-25!C:CV""),{16,23,30},0))))"),"")</f>
        <v/>
      </c>
      <c r="BP181" s="327" t="str">
        <f>IFERROR(__xludf.DUMMYFUNCTION("IFERROR(ArrayFormula(SUM(VLOOKUP($C181,importrange(""1MwNMVzWE3QBVOyJjKr3eFX-Sq1Ng0Q1sghWJbgbE_8g"",""ORDER BOOKING REPORT 2024-25!C:CV""),{37,44,51},0))))"),"")</f>
        <v/>
      </c>
      <c r="BQ181" s="327" t="str">
        <f>IFERROR(__xludf.DUMMYFUNCTION("IFERROR(ArrayFormula(SUM(VLOOKUP($C181,importrange(""1MwNMVzWE3QBVOyJjKr3eFX-Sq1Ng0Q1sghWJbgbE_8g"",""ORDER BOOKING REPORT 2024-25!C:CV""),{58,65,72},0))))"),"")</f>
        <v/>
      </c>
      <c r="BR181" s="327" t="str">
        <f>IFERROR(__xludf.DUMMYFUNCTION("IFERROR(ArrayFormula(SUM(VLOOKUP($C181,importrange(""1MwNMVzWE3QBVOyJjKr3eFX-Sq1Ng0Q1sghWJbgbE_8g"",""ORDER BOOKING REPORT 2024-25!C:CV""),{79,86,93},0))))"),"")</f>
        <v/>
      </c>
      <c r="BS181" s="328">
        <f t="shared" si="13"/>
        <v>0.1844774074</v>
      </c>
      <c r="BT181" s="328">
        <f t="shared" si="14"/>
        <v>0.3653087261</v>
      </c>
      <c r="BU181" s="234">
        <f t="shared" si="15"/>
        <v>0</v>
      </c>
      <c r="BV181" s="329">
        <v>30400.0</v>
      </c>
      <c r="BW181" s="329" t="s">
        <v>1029</v>
      </c>
      <c r="BX181" s="329">
        <v>1247.0</v>
      </c>
      <c r="BY181" s="234">
        <f t="shared" si="16"/>
        <v>0</v>
      </c>
      <c r="BZ181" s="234"/>
      <c r="CA181" s="234">
        <f>BE181*4</f>
        <v>2000000</v>
      </c>
      <c r="CB181" s="234"/>
      <c r="CC181" s="234">
        <f>CA181-H181</f>
        <v>-700000</v>
      </c>
      <c r="CD181" s="234"/>
      <c r="CE181" s="234"/>
      <c r="CF181" s="234"/>
      <c r="CG181" s="234" t="str">
        <f t="shared" si="19"/>
        <v> </v>
      </c>
      <c r="CH181" s="234" t="str">
        <f t="shared" si="27"/>
        <v>Not 50%</v>
      </c>
      <c r="CI181" s="328">
        <f t="shared" si="20"/>
        <v>0.1734693878</v>
      </c>
      <c r="CJ181" s="339">
        <f>IFERROR(__xludf.DUMMYFUNCTION("""COMPUTED_VALUE"""),162.0)</f>
        <v>162</v>
      </c>
      <c r="CK181" s="339">
        <f>IFERROR(__xludf.DUMMYFUNCTION("""COMPUTED_VALUE"""),170.0)</f>
        <v>170</v>
      </c>
      <c r="CL181" s="339">
        <f>IFERROR(__xludf.DUMMYFUNCTION("""COMPUTED_VALUE"""),0.0)</f>
        <v>0</v>
      </c>
      <c r="CM181" s="331">
        <f t="shared" si="21"/>
        <v>0</v>
      </c>
      <c r="CN181" s="340"/>
      <c r="CO181" s="328"/>
      <c r="CP181" s="341"/>
      <c r="CQ181" s="344"/>
      <c r="CR181" s="328"/>
      <c r="CS181" s="328"/>
      <c r="CT181" s="328"/>
      <c r="CU181" s="328"/>
      <c r="CV181" s="328"/>
      <c r="CW181" s="328"/>
      <c r="CX181" s="288"/>
      <c r="CY181" s="328"/>
      <c r="CZ181" s="328"/>
    </row>
    <row r="182">
      <c r="A182" s="157" t="s">
        <v>97</v>
      </c>
      <c r="B182" s="157" t="s">
        <v>101</v>
      </c>
      <c r="C182" s="157" t="s">
        <v>106</v>
      </c>
      <c r="D182" s="157" t="s">
        <v>1062</v>
      </c>
      <c r="E182" s="157" t="s">
        <v>107</v>
      </c>
      <c r="F182" s="349">
        <v>45793.0</v>
      </c>
      <c r="G182" s="314">
        <v>0.0</v>
      </c>
      <c r="H182" s="314">
        <v>1.4324E7</v>
      </c>
      <c r="I182" s="315">
        <v>1.06900302E7</v>
      </c>
      <c r="J182" s="315">
        <v>0.0</v>
      </c>
      <c r="K182" s="160">
        <v>41.0</v>
      </c>
      <c r="L182" s="160">
        <v>85.0</v>
      </c>
      <c r="M182" s="160">
        <v>44.0</v>
      </c>
      <c r="N182" s="160">
        <v>85.0</v>
      </c>
      <c r="O182" s="160">
        <v>0.0</v>
      </c>
      <c r="P182" s="315">
        <v>6784471.2</v>
      </c>
      <c r="Q182" s="315">
        <v>3905559.0</v>
      </c>
      <c r="R182" s="160">
        <v>27.0</v>
      </c>
      <c r="S182" s="160">
        <v>44.0</v>
      </c>
      <c r="T182" s="160">
        <v>71.0</v>
      </c>
      <c r="U182" s="160">
        <v>0.0</v>
      </c>
      <c r="V182" s="160">
        <v>5.0</v>
      </c>
      <c r="W182" s="160">
        <v>16.0</v>
      </c>
      <c r="X182" s="160">
        <v>0.0</v>
      </c>
      <c r="Y182" s="160">
        <v>1.0</v>
      </c>
      <c r="Z182" s="160">
        <v>27.0</v>
      </c>
      <c r="AA182" s="160">
        <v>0.0</v>
      </c>
      <c r="AB182" s="160">
        <v>0.0</v>
      </c>
      <c r="AC182" s="160">
        <v>0.0</v>
      </c>
      <c r="AD182" s="160">
        <v>0.0</v>
      </c>
      <c r="AE182" s="160">
        <v>1410.0</v>
      </c>
      <c r="AF182" s="160">
        <v>1453.0</v>
      </c>
      <c r="AG182" s="160">
        <v>251.0</v>
      </c>
      <c r="AH182" s="314">
        <f t="shared" si="2"/>
        <v>42589.76175</v>
      </c>
      <c r="AI182" s="314">
        <f t="shared" si="3"/>
        <v>5.788844622</v>
      </c>
      <c r="AJ182" s="346">
        <v>27000.0</v>
      </c>
      <c r="AK182" s="314">
        <f t="shared" si="63"/>
        <v>283064.5161</v>
      </c>
      <c r="AL182" s="286">
        <v>117490.0</v>
      </c>
      <c r="AM182" s="318">
        <f t="shared" si="5"/>
        <v>0.03746991436</v>
      </c>
      <c r="AN182" s="314">
        <f t="shared" si="6"/>
        <v>150563.8056</v>
      </c>
      <c r="AO182" s="336">
        <f t="shared" si="113"/>
        <v>0.7463020246</v>
      </c>
      <c r="AP182" s="319">
        <v>0.0</v>
      </c>
      <c r="AQ182" s="160">
        <v>383.0</v>
      </c>
      <c r="AR182" s="160">
        <v>2464.0</v>
      </c>
      <c r="AS182" s="160">
        <v>1927.13</v>
      </c>
      <c r="AT182" s="160">
        <v>44.0</v>
      </c>
      <c r="AU182" s="160">
        <v>23.0</v>
      </c>
      <c r="AV182" s="320">
        <v>71.0</v>
      </c>
      <c r="AW182" s="320">
        <v>14.0</v>
      </c>
      <c r="AX182" s="320">
        <v>0.0</v>
      </c>
      <c r="AY182" s="321">
        <f>iferror(VLOOKUP(C182,'ORDER BOOKING REPORT 2025-26'!C:O,13,0),"")</f>
        <v>8652964.23</v>
      </c>
      <c r="AZ182" s="322"/>
      <c r="BA182" s="157" t="str">
        <f t="shared" si="7"/>
        <v>Active</v>
      </c>
      <c r="BB182" s="157" t="str">
        <f t="shared" si="8"/>
        <v>New</v>
      </c>
      <c r="BC182" s="160" t="s">
        <v>972</v>
      </c>
      <c r="BD182" s="352">
        <f>(31-16)/31+3+1+1+1+1+1+1+1</f>
        <v>10.48387097</v>
      </c>
      <c r="BE182" s="326">
        <v>1384727.273</v>
      </c>
      <c r="BF182" s="157">
        <f t="shared" si="10"/>
        <v>0</v>
      </c>
      <c r="BG182" s="157" t="s">
        <v>1019</v>
      </c>
      <c r="BH182" s="324"/>
      <c r="BI182" s="324"/>
      <c r="BJ182" s="343">
        <f>15/31</f>
        <v>0.4838709677</v>
      </c>
      <c r="BK182" s="326"/>
      <c r="BL182" s="326">
        <f t="shared" si="48"/>
        <v>0</v>
      </c>
      <c r="BM182" s="326">
        <f t="shared" si="12"/>
        <v>14324000</v>
      </c>
      <c r="BN182" s="326"/>
      <c r="BO182" s="327" t="str">
        <f>IFERROR(__xludf.DUMMYFUNCTION("IFERROR(ArrayFormula(SUM(VLOOKUP($C182,importrange(""1MwNMVzWE3QBVOyJjKr3eFX-Sq1Ng0Q1sghWJbgbE_8g"",""ORDER BOOKING REPORT 2024-25!C:CV""),{16,23,30},0))))"),"")</f>
        <v/>
      </c>
      <c r="BP182" s="327" t="str">
        <f>IFERROR(__xludf.DUMMYFUNCTION("IFERROR(ArrayFormula(SUM(VLOOKUP($C182,importrange(""1MwNMVzWE3QBVOyJjKr3eFX-Sq1Ng0Q1sghWJbgbE_8g"",""ORDER BOOKING REPORT 2024-25!C:CV""),{37,44,51},0))))"),"")</f>
        <v/>
      </c>
      <c r="BQ182" s="327" t="str">
        <f>IFERROR(__xludf.DUMMYFUNCTION("IFERROR(ArrayFormula(SUM(VLOOKUP($C182,importrange(""1MwNMVzWE3QBVOyJjKr3eFX-Sq1Ng0Q1sghWJbgbE_8g"",""ORDER BOOKING REPORT 2024-25!C:CV""),{58,65,72},0))))"),"")</f>
        <v/>
      </c>
      <c r="BR182" s="327" t="str">
        <f>IFERROR(__xludf.DUMMYFUNCTION("IFERROR(ArrayFormula(SUM(VLOOKUP($C182,importrange(""1MwNMVzWE3QBVOyJjKr3eFX-Sq1Ng0Q1sghWJbgbE_8g"",""ORDER BOOKING REPORT 2024-25!C:CV""),{79,86,93},0))))"),"")</f>
        <v/>
      </c>
      <c r="BS182" s="328">
        <f t="shared" si="13"/>
        <v>0.6040885388</v>
      </c>
      <c r="BT182" s="328">
        <f t="shared" si="14"/>
        <v>0.04629101721</v>
      </c>
      <c r="BU182" s="234">
        <f t="shared" si="15"/>
        <v>0</v>
      </c>
      <c r="BV182" s="329"/>
      <c r="BW182" s="329"/>
      <c r="BX182" s="329"/>
      <c r="BY182" s="234">
        <f t="shared" si="16"/>
        <v>-27000</v>
      </c>
      <c r="BZ182" s="234"/>
      <c r="CA182" s="234"/>
      <c r="CB182" s="234"/>
      <c r="CC182" s="234"/>
      <c r="CD182" s="234"/>
      <c r="CE182" s="234"/>
      <c r="CF182" s="234"/>
      <c r="CG182" s="234" t="str">
        <f t="shared" si="19"/>
        <v> </v>
      </c>
      <c r="CH182" s="234" t="str">
        <f t="shared" si="27"/>
        <v>Business Achieved 50%</v>
      </c>
      <c r="CI182" s="328">
        <f t="shared" si="20"/>
        <v>0.8352941176</v>
      </c>
      <c r="CJ182" s="339">
        <f>IFERROR(__xludf.DUMMYFUNCTION("""COMPUTED_VALUE"""),1393.0)</f>
        <v>1393</v>
      </c>
      <c r="CK182" s="339">
        <f>IFERROR(__xludf.DUMMYFUNCTION("""COMPUTED_VALUE"""),17.0)</f>
        <v>17</v>
      </c>
      <c r="CL182" s="339">
        <f>IFERROR(__xludf.DUMMYFUNCTION("""COMPUTED_VALUE"""),0.0)</f>
        <v>0</v>
      </c>
      <c r="CM182" s="331">
        <f t="shared" si="21"/>
        <v>0</v>
      </c>
      <c r="CN182" s="340"/>
      <c r="CO182" s="328"/>
      <c r="CP182" s="341"/>
      <c r="CQ182" s="344"/>
      <c r="CR182" s="328"/>
      <c r="CS182" s="328"/>
      <c r="CT182" s="328"/>
      <c r="CU182" s="328"/>
      <c r="CV182" s="328"/>
      <c r="CW182" s="328"/>
      <c r="CX182" s="288"/>
      <c r="CY182" s="328"/>
      <c r="CZ182" s="328"/>
    </row>
    <row r="183">
      <c r="A183" s="157" t="s">
        <v>185</v>
      </c>
      <c r="B183" s="157" t="s">
        <v>189</v>
      </c>
      <c r="C183" s="157" t="s">
        <v>874</v>
      </c>
      <c r="D183" s="157" t="s">
        <v>1016</v>
      </c>
      <c r="E183" s="157" t="s">
        <v>1118</v>
      </c>
      <c r="F183" s="349">
        <v>45796.0</v>
      </c>
      <c r="G183" s="314">
        <v>0.0</v>
      </c>
      <c r="H183" s="314">
        <v>0.0</v>
      </c>
      <c r="I183" s="315">
        <v>0.0</v>
      </c>
      <c r="J183" s="315">
        <v>0.0</v>
      </c>
      <c r="K183" s="160">
        <v>0.0</v>
      </c>
      <c r="L183" s="160">
        <v>0.0</v>
      </c>
      <c r="M183" s="160">
        <v>0.0</v>
      </c>
      <c r="N183" s="160">
        <v>0.0</v>
      </c>
      <c r="O183" s="160">
        <v>0.0</v>
      </c>
      <c r="P183" s="315">
        <v>0.0</v>
      </c>
      <c r="Q183" s="315">
        <v>0.0</v>
      </c>
      <c r="R183" s="160">
        <v>0.0</v>
      </c>
      <c r="S183" s="160">
        <v>0.0</v>
      </c>
      <c r="T183" s="160">
        <v>0.0</v>
      </c>
      <c r="U183" s="160">
        <v>0.0</v>
      </c>
      <c r="V183" s="160">
        <v>0.0</v>
      </c>
      <c r="W183" s="160">
        <v>0.0</v>
      </c>
      <c r="X183" s="160">
        <v>0.0</v>
      </c>
      <c r="Y183" s="160">
        <v>0.0</v>
      </c>
      <c r="Z183" s="160">
        <v>0.0</v>
      </c>
      <c r="AA183" s="160">
        <v>0.0</v>
      </c>
      <c r="AB183" s="160">
        <v>0.0</v>
      </c>
      <c r="AC183" s="160">
        <v>1.0</v>
      </c>
      <c r="AD183" s="160">
        <v>1.0</v>
      </c>
      <c r="AE183" s="160">
        <v>0.0</v>
      </c>
      <c r="AF183" s="160">
        <v>1.0</v>
      </c>
      <c r="AG183" s="160">
        <v>1.0</v>
      </c>
      <c r="AH183" s="314">
        <f t="shared" si="2"/>
        <v>0</v>
      </c>
      <c r="AI183" s="314">
        <f t="shared" si="3"/>
        <v>1</v>
      </c>
      <c r="AJ183" s="346">
        <v>22000.0</v>
      </c>
      <c r="AK183" s="314">
        <f t="shared" si="63"/>
        <v>5720</v>
      </c>
      <c r="AL183" s="317"/>
      <c r="AM183" s="318" t="str">
        <f t="shared" si="5"/>
        <v/>
      </c>
      <c r="AN183" s="314" t="str">
        <f t="shared" si="6"/>
        <v/>
      </c>
      <c r="AO183" s="286" t="s">
        <v>972</v>
      </c>
      <c r="AP183" s="319">
        <v>0.0</v>
      </c>
      <c r="AQ183" s="160">
        <v>0.0</v>
      </c>
      <c r="AR183" s="160">
        <v>18.0</v>
      </c>
      <c r="AS183" s="160">
        <v>0.0</v>
      </c>
      <c r="AT183" s="160">
        <v>0.0</v>
      </c>
      <c r="AU183" s="160">
        <v>0.0</v>
      </c>
      <c r="AV183" s="320">
        <v>0.0</v>
      </c>
      <c r="AW183" s="320">
        <v>0.0</v>
      </c>
      <c r="AX183" s="320">
        <v>0.0</v>
      </c>
      <c r="AY183" s="321" t="str">
        <f>iferror(VLOOKUP(C183,'ORDER BOOKING REPORT 2025-26'!C:O,13,0),"")</f>
        <v/>
      </c>
      <c r="AZ183" s="345">
        <v>45804.0</v>
      </c>
      <c r="BA183" s="157" t="str">
        <f t="shared" si="7"/>
        <v>LEFT</v>
      </c>
      <c r="BB183" s="157" t="str">
        <f t="shared" si="8"/>
        <v>New</v>
      </c>
      <c r="BC183" s="160" t="s">
        <v>972</v>
      </c>
      <c r="BD183" s="223">
        <v>0.26</v>
      </c>
      <c r="BE183" s="323"/>
      <c r="BF183" s="157">
        <f t="shared" si="10"/>
        <v>0</v>
      </c>
      <c r="BG183" s="157" t="s">
        <v>1019</v>
      </c>
      <c r="BH183" s="324"/>
      <c r="BI183" s="324"/>
      <c r="BJ183" s="343">
        <f>8/31</f>
        <v>0.2580645161</v>
      </c>
      <c r="BK183" s="347"/>
      <c r="BL183" s="326">
        <f t="shared" si="48"/>
        <v>0</v>
      </c>
      <c r="BM183" s="326">
        <f t="shared" si="12"/>
        <v>0</v>
      </c>
      <c r="BN183" s="326"/>
      <c r="BO183" s="327" t="str">
        <f>IFERROR(__xludf.DUMMYFUNCTION("IFERROR(ArrayFormula(SUM(VLOOKUP($C183,importrange(""1MwNMVzWE3QBVOyJjKr3eFX-Sq1Ng0Q1sghWJbgbE_8g"",""ORDER BOOKING REPORT 2024-25!C:CV""),{16,23,30},0))))"),"")</f>
        <v/>
      </c>
      <c r="BP183" s="327" t="str">
        <f>IFERROR(__xludf.DUMMYFUNCTION("IFERROR(ArrayFormula(SUM(VLOOKUP($C183,importrange(""1MwNMVzWE3QBVOyJjKr3eFX-Sq1Ng0Q1sghWJbgbE_8g"",""ORDER BOOKING REPORT 2024-25!C:CV""),{37,44,51},0))))"),"")</f>
        <v/>
      </c>
      <c r="BQ183" s="327" t="str">
        <f>IFERROR(__xludf.DUMMYFUNCTION("IFERROR(ArrayFormula(SUM(VLOOKUP($C183,importrange(""1MwNMVzWE3QBVOyJjKr3eFX-Sq1Ng0Q1sghWJbgbE_8g"",""ORDER BOOKING REPORT 2024-25!C:CV""),{58,65,72},0))))"),"")</f>
        <v/>
      </c>
      <c r="BR183" s="327" t="str">
        <f>IFERROR(__xludf.DUMMYFUNCTION("IFERROR(ArrayFormula(SUM(VLOOKUP($C183,importrange(""1MwNMVzWE3QBVOyJjKr3eFX-Sq1Ng0Q1sghWJbgbE_8g"",""ORDER BOOKING REPORT 2024-25!C:CV""),{79,86,93},0))))"),"")</f>
        <v/>
      </c>
      <c r="BS183" s="328" t="str">
        <f t="shared" si="13"/>
        <v/>
      </c>
      <c r="BT183" s="328" t="str">
        <f t="shared" si="14"/>
        <v/>
      </c>
      <c r="BU183" s="234">
        <f t="shared" si="15"/>
        <v>0</v>
      </c>
      <c r="BV183" s="329"/>
      <c r="BW183" s="329"/>
      <c r="BX183" s="329"/>
      <c r="BY183" s="234">
        <f t="shared" si="16"/>
        <v>-22000</v>
      </c>
      <c r="BZ183" s="234"/>
      <c r="CA183" s="234"/>
      <c r="CB183" s="234"/>
      <c r="CC183" s="234"/>
      <c r="CD183" s="234"/>
      <c r="CE183" s="234"/>
      <c r="CF183" s="234"/>
      <c r="CG183" s="234" t="str">
        <f t="shared" si="19"/>
        <v>Below 60</v>
      </c>
      <c r="CH183" s="234" t="str">
        <f t="shared" si="27"/>
        <v>Not 50%</v>
      </c>
      <c r="CI183" s="328" t="str">
        <f t="shared" si="20"/>
        <v/>
      </c>
      <c r="CJ183" s="330"/>
      <c r="CK183" s="330"/>
      <c r="CL183" s="330"/>
      <c r="CM183" s="331">
        <f t="shared" si="21"/>
        <v>0</v>
      </c>
      <c r="CN183" s="337"/>
      <c r="CO183" s="160"/>
      <c r="CP183" s="334"/>
      <c r="CQ183" s="335"/>
      <c r="CR183" s="160"/>
      <c r="CS183" s="160"/>
      <c r="CT183" s="160"/>
      <c r="CU183" s="160"/>
      <c r="CV183" s="160"/>
      <c r="CW183" s="335"/>
      <c r="CX183" s="288"/>
      <c r="CY183" s="160"/>
      <c r="CZ183" s="160"/>
    </row>
    <row r="184">
      <c r="A184" s="157" t="s">
        <v>185</v>
      </c>
      <c r="B184" s="157" t="s">
        <v>212</v>
      </c>
      <c r="C184" s="157" t="s">
        <v>873</v>
      </c>
      <c r="D184" s="157" t="s">
        <v>1031</v>
      </c>
      <c r="E184" s="157" t="s">
        <v>219</v>
      </c>
      <c r="F184" s="349">
        <v>45797.0</v>
      </c>
      <c r="G184" s="314">
        <v>0.0</v>
      </c>
      <c r="H184" s="314">
        <v>0.0</v>
      </c>
      <c r="I184" s="315">
        <v>0.0</v>
      </c>
      <c r="J184" s="315">
        <v>0.0</v>
      </c>
      <c r="K184" s="160">
        <v>52.0</v>
      </c>
      <c r="L184" s="160">
        <v>58.0</v>
      </c>
      <c r="M184" s="160">
        <v>6.0</v>
      </c>
      <c r="N184" s="160">
        <v>58.0</v>
      </c>
      <c r="O184" s="160">
        <v>0.0</v>
      </c>
      <c r="P184" s="315">
        <v>0.0</v>
      </c>
      <c r="Q184" s="315">
        <v>0.0</v>
      </c>
      <c r="R184" s="160">
        <v>0.0</v>
      </c>
      <c r="S184" s="160">
        <v>0.0</v>
      </c>
      <c r="T184" s="160">
        <v>0.0</v>
      </c>
      <c r="U184" s="160">
        <v>0.0</v>
      </c>
      <c r="V184" s="160">
        <v>18.0</v>
      </c>
      <c r="W184" s="160">
        <v>40.0</v>
      </c>
      <c r="X184" s="160">
        <v>0.0</v>
      </c>
      <c r="Y184" s="160">
        <v>13.0</v>
      </c>
      <c r="Z184" s="160">
        <v>48.0</v>
      </c>
      <c r="AA184" s="160">
        <v>1.0</v>
      </c>
      <c r="AB184" s="160">
        <v>1.0</v>
      </c>
      <c r="AC184" s="160">
        <v>14.0</v>
      </c>
      <c r="AD184" s="160">
        <v>16.0</v>
      </c>
      <c r="AE184" s="160">
        <v>68.0</v>
      </c>
      <c r="AF184" s="160">
        <v>173.0</v>
      </c>
      <c r="AG184" s="160">
        <v>57.0</v>
      </c>
      <c r="AH184" s="314">
        <f t="shared" si="2"/>
        <v>0</v>
      </c>
      <c r="AI184" s="314">
        <f t="shared" si="3"/>
        <v>3.035087719</v>
      </c>
      <c r="AJ184" s="316">
        <v>119308.0</v>
      </c>
      <c r="AK184" s="314">
        <f t="shared" si="63"/>
        <v>280373.8</v>
      </c>
      <c r="AL184" s="317">
        <v>106425.0</v>
      </c>
      <c r="AM184" s="318" t="str">
        <f t="shared" si="5"/>
        <v/>
      </c>
      <c r="AN184" s="314" t="str">
        <f t="shared" si="6"/>
        <v/>
      </c>
      <c r="AO184" s="286" t="s">
        <v>972</v>
      </c>
      <c r="AP184" s="319">
        <v>0.0</v>
      </c>
      <c r="AQ184" s="160">
        <v>0.0</v>
      </c>
      <c r="AR184" s="160">
        <v>555.0</v>
      </c>
      <c r="AS184" s="160">
        <v>0.0</v>
      </c>
      <c r="AT184" s="160">
        <v>0.0</v>
      </c>
      <c r="AU184" s="160">
        <v>0.0</v>
      </c>
      <c r="AV184" s="320">
        <v>0.0</v>
      </c>
      <c r="AW184" s="320">
        <v>58.0</v>
      </c>
      <c r="AX184" s="320">
        <v>0.0</v>
      </c>
      <c r="AY184" s="321" t="str">
        <f>iferror(VLOOKUP(C184,'ORDER BOOKING REPORT 2025-26'!C:O,13,0),"")</f>
        <v/>
      </c>
      <c r="AZ184" s="353">
        <v>45899.0</v>
      </c>
      <c r="BA184" s="157" t="str">
        <f t="shared" si="7"/>
        <v>LEFT</v>
      </c>
      <c r="BB184" s="157" t="str">
        <f t="shared" si="8"/>
        <v>New</v>
      </c>
      <c r="BC184" s="160" t="s">
        <v>972</v>
      </c>
      <c r="BD184" s="223">
        <v>2.35</v>
      </c>
      <c r="BE184" s="323"/>
      <c r="BF184" s="157">
        <f t="shared" si="10"/>
        <v>6</v>
      </c>
      <c r="BG184" s="234" t="s">
        <v>188</v>
      </c>
      <c r="BH184" s="324"/>
      <c r="BI184" s="324"/>
      <c r="BJ184" s="343">
        <f t="shared" ref="BJ184:BJ185" si="115">11/31</f>
        <v>0.3548387097</v>
      </c>
      <c r="BK184" s="326"/>
      <c r="BL184" s="326">
        <f t="shared" si="48"/>
        <v>0</v>
      </c>
      <c r="BM184" s="326">
        <f t="shared" si="12"/>
        <v>0</v>
      </c>
      <c r="BN184" s="326"/>
      <c r="BO184" s="327" t="str">
        <f>IFERROR(__xludf.DUMMYFUNCTION("IFERROR(ArrayFormula(SUM(VLOOKUP($C184,importrange(""1MwNMVzWE3QBVOyJjKr3eFX-Sq1Ng0Q1sghWJbgbE_8g"",""ORDER BOOKING REPORT 2024-25!C:CV""),{16,23,30},0))))"),"")</f>
        <v/>
      </c>
      <c r="BP184" s="327" t="str">
        <f>IFERROR(__xludf.DUMMYFUNCTION("IFERROR(ArrayFormula(SUM(VLOOKUP($C184,importrange(""1MwNMVzWE3QBVOyJjKr3eFX-Sq1Ng0Q1sghWJbgbE_8g"",""ORDER BOOKING REPORT 2024-25!C:CV""),{37,44,51},0))))"),"")</f>
        <v/>
      </c>
      <c r="BQ184" s="327" t="str">
        <f>IFERROR(__xludf.DUMMYFUNCTION("IFERROR(ArrayFormula(SUM(VLOOKUP($C184,importrange(""1MwNMVzWE3QBVOyJjKr3eFX-Sq1Ng0Q1sghWJbgbE_8g"",""ORDER BOOKING REPORT 2024-25!C:CV""),{58,65,72},0))))"),"")</f>
        <v/>
      </c>
      <c r="BR184" s="327" t="str">
        <f>IFERROR(__xludf.DUMMYFUNCTION("IFERROR(ArrayFormula(SUM(VLOOKUP($C184,importrange(""1MwNMVzWE3QBVOyJjKr3eFX-Sq1Ng0Q1sghWJbgbE_8g"",""ORDER BOOKING REPORT 2024-25!C:CV""),{79,86,93},0))))"),"")</f>
        <v/>
      </c>
      <c r="BS184" s="328" t="str">
        <f t="shared" si="13"/>
        <v/>
      </c>
      <c r="BT184" s="328" t="str">
        <f t="shared" si="14"/>
        <v/>
      </c>
      <c r="BU184" s="234">
        <f t="shared" si="15"/>
        <v>0</v>
      </c>
      <c r="BV184" s="329">
        <v>119308.0</v>
      </c>
      <c r="BW184" s="329" t="s">
        <v>1023</v>
      </c>
      <c r="BX184" s="329">
        <v>1248.0</v>
      </c>
      <c r="BY184" s="234">
        <f t="shared" si="16"/>
        <v>0</v>
      </c>
      <c r="BZ184" s="234"/>
      <c r="CA184" s="234"/>
      <c r="CB184" s="234"/>
      <c r="CC184" s="234"/>
      <c r="CD184" s="234"/>
      <c r="CE184" s="234"/>
      <c r="CF184" s="234"/>
      <c r="CG184" s="234" t="str">
        <f t="shared" si="19"/>
        <v>Below 60</v>
      </c>
      <c r="CH184" s="234" t="str">
        <f t="shared" si="27"/>
        <v>Not 50%</v>
      </c>
      <c r="CI184" s="328">
        <f t="shared" si="20"/>
        <v>0</v>
      </c>
      <c r="CJ184" s="330"/>
      <c r="CK184" s="330"/>
      <c r="CL184" s="330"/>
      <c r="CM184" s="331">
        <f t="shared" si="21"/>
        <v>68</v>
      </c>
      <c r="CN184" s="337"/>
      <c r="CO184" s="160"/>
      <c r="CP184" s="334"/>
      <c r="CQ184" s="335"/>
      <c r="CR184" s="160"/>
      <c r="CS184" s="160"/>
      <c r="CT184" s="160"/>
      <c r="CU184" s="160"/>
      <c r="CV184" s="160"/>
      <c r="CW184" s="335"/>
      <c r="CX184" s="288"/>
      <c r="CY184" s="160"/>
      <c r="CZ184" s="160"/>
    </row>
    <row r="185">
      <c r="A185" s="348" t="s">
        <v>126</v>
      </c>
      <c r="B185" s="348" t="s">
        <v>130</v>
      </c>
      <c r="C185" s="348" t="s">
        <v>447</v>
      </c>
      <c r="D185" s="157" t="s">
        <v>130</v>
      </c>
      <c r="E185" s="157" t="s">
        <v>448</v>
      </c>
      <c r="F185" s="349">
        <v>45797.0</v>
      </c>
      <c r="G185" s="314">
        <v>0.0</v>
      </c>
      <c r="H185" s="314">
        <v>8400000.0</v>
      </c>
      <c r="I185" s="315">
        <v>2029047.22</v>
      </c>
      <c r="J185" s="315">
        <v>0.0</v>
      </c>
      <c r="K185" s="160">
        <v>29.0</v>
      </c>
      <c r="L185" s="160">
        <v>54.0</v>
      </c>
      <c r="M185" s="160">
        <v>25.0</v>
      </c>
      <c r="N185" s="160">
        <v>54.0</v>
      </c>
      <c r="O185" s="160">
        <v>0.0</v>
      </c>
      <c r="P185" s="315">
        <v>163525.33</v>
      </c>
      <c r="Q185" s="315">
        <v>1865521.89</v>
      </c>
      <c r="R185" s="160">
        <v>1.0</v>
      </c>
      <c r="S185" s="160">
        <v>25.0</v>
      </c>
      <c r="T185" s="160">
        <v>26.0</v>
      </c>
      <c r="U185" s="160">
        <v>0.0</v>
      </c>
      <c r="V185" s="160">
        <v>226.0</v>
      </c>
      <c r="W185" s="160">
        <v>743.0</v>
      </c>
      <c r="X185" s="160">
        <v>0.0</v>
      </c>
      <c r="Y185" s="160">
        <v>1.0</v>
      </c>
      <c r="Z185" s="160">
        <v>28.0</v>
      </c>
      <c r="AA185" s="160">
        <v>0.0</v>
      </c>
      <c r="AB185" s="160">
        <v>0.0</v>
      </c>
      <c r="AC185" s="160">
        <v>0.0</v>
      </c>
      <c r="AD185" s="160">
        <v>0.0</v>
      </c>
      <c r="AE185" s="160">
        <v>451.0</v>
      </c>
      <c r="AF185" s="160">
        <v>1222.0</v>
      </c>
      <c r="AG185" s="160">
        <v>179.0</v>
      </c>
      <c r="AH185" s="314">
        <f t="shared" si="2"/>
        <v>11335.45933</v>
      </c>
      <c r="AI185" s="314">
        <f t="shared" si="3"/>
        <v>6.826815642</v>
      </c>
      <c r="AJ185" s="316">
        <f>BV185</f>
        <v>33050</v>
      </c>
      <c r="AK185" s="314">
        <f t="shared" si="63"/>
        <v>243077.4194</v>
      </c>
      <c r="AL185" s="286">
        <v>83391.0</v>
      </c>
      <c r="AM185" s="318">
        <f t="shared" si="5"/>
        <v>0.1608973986</v>
      </c>
      <c r="AN185" s="314">
        <f t="shared" si="6"/>
        <v>78040.27769</v>
      </c>
      <c r="AO185" s="336">
        <f t="shared" ref="AO185:AO231" si="116">iferror(sum(I185:J185)/Sum(G185:H185),"")</f>
        <v>0.2415532405</v>
      </c>
      <c r="AP185" s="319">
        <v>0.0</v>
      </c>
      <c r="AQ185" s="160">
        <v>48.0</v>
      </c>
      <c r="AR185" s="160">
        <v>1776.0</v>
      </c>
      <c r="AS185" s="160">
        <v>0.0</v>
      </c>
      <c r="AT185" s="160">
        <v>25.0</v>
      </c>
      <c r="AU185" s="160">
        <v>0.0</v>
      </c>
      <c r="AV185" s="320">
        <v>26.0</v>
      </c>
      <c r="AW185" s="320">
        <v>28.0</v>
      </c>
      <c r="AX185" s="320">
        <v>0.0</v>
      </c>
      <c r="AY185" s="321">
        <f>iferror(VLOOKUP(C185,'ORDER BOOKING REPORT 2025-26'!C:O,13,0),"")</f>
        <v>1741639</v>
      </c>
      <c r="AZ185" s="322">
        <v>46022.0</v>
      </c>
      <c r="BA185" s="157" t="str">
        <f t="shared" si="7"/>
        <v>LEFT</v>
      </c>
      <c r="BB185" s="157" t="str">
        <f t="shared" si="8"/>
        <v>New</v>
      </c>
      <c r="BC185" s="157" t="str">
        <f t="shared" ref="BC185:BC189" si="117">IFS(AO185&lt;50%,"Below 50%",AO185&lt;70%,"50%-70%",AO185&lt;90%,"70%-90%",AO185&lt;100%,"90%-100%",AO185&gt;100%,"Above 100%")</f>
        <v>Below 50%</v>
      </c>
      <c r="BD185" s="352">
        <f>(31-20)/31+3+1+1+1+1</f>
        <v>7.35483871</v>
      </c>
      <c r="BE185" s="323">
        <v>1200000.0</v>
      </c>
      <c r="BF185" s="157">
        <f t="shared" si="10"/>
        <v>0</v>
      </c>
      <c r="BG185" s="157" t="s">
        <v>1019</v>
      </c>
      <c r="BH185" s="324"/>
      <c r="BI185" s="324"/>
      <c r="BJ185" s="343">
        <f t="shared" si="115"/>
        <v>0.3548387097</v>
      </c>
      <c r="BK185" s="326"/>
      <c r="BL185" s="326">
        <f t="shared" si="48"/>
        <v>0</v>
      </c>
      <c r="BM185" s="326">
        <f t="shared" si="12"/>
        <v>8400000</v>
      </c>
      <c r="BN185" s="326"/>
      <c r="BO185" s="327" t="str">
        <f>IFERROR(__xludf.DUMMYFUNCTION("IFERROR(ArrayFormula(SUM(VLOOKUP($C185,importrange(""1MwNMVzWE3QBVOyJjKr3eFX-Sq1Ng0Q1sghWJbgbE_8g"",""ORDER BOOKING REPORT 2024-25!C:CV""),{16,23,30},0))))"),"")</f>
        <v/>
      </c>
      <c r="BP185" s="327" t="str">
        <f>IFERROR(__xludf.DUMMYFUNCTION("IFERROR(ArrayFormula(SUM(VLOOKUP($C185,importrange(""1MwNMVzWE3QBVOyJjKr3eFX-Sq1Ng0Q1sghWJbgbE_8g"",""ORDER BOOKING REPORT 2024-25!C:CV""),{37,44,51},0))))"),"")</f>
        <v/>
      </c>
      <c r="BQ185" s="327" t="str">
        <f>IFERROR(__xludf.DUMMYFUNCTION("IFERROR(ArrayFormula(SUM(VLOOKUP($C185,importrange(""1MwNMVzWE3QBVOyJjKr3eFX-Sq1Ng0Q1sghWJbgbE_8g"",""ORDER BOOKING REPORT 2024-25!C:CV""),{58,65,72},0))))"),"")</f>
        <v/>
      </c>
      <c r="BR185" s="327" t="str">
        <f>IFERROR(__xludf.DUMMYFUNCTION("IFERROR(ArrayFormula(SUM(VLOOKUP($C185,importrange(""1MwNMVzWE3QBVOyJjKr3eFX-Sq1Ng0Q1sghWJbgbE_8g"",""ORDER BOOKING REPORT 2024-25!C:CV""),{79,86,93},0))))"),"")</f>
        <v/>
      </c>
      <c r="BS185" s="328">
        <f t="shared" si="13"/>
        <v>0.2073379762</v>
      </c>
      <c r="BT185" s="328">
        <f t="shared" si="14"/>
        <v>0.1874489601</v>
      </c>
      <c r="BU185" s="234">
        <f t="shared" si="15"/>
        <v>0</v>
      </c>
      <c r="BV185" s="329">
        <v>33050.0</v>
      </c>
      <c r="BW185" s="329" t="s">
        <v>1045</v>
      </c>
      <c r="BX185" s="329">
        <v>1246.0</v>
      </c>
      <c r="BY185" s="234">
        <f t="shared" si="16"/>
        <v>0</v>
      </c>
      <c r="BZ185" s="234"/>
      <c r="CA185" s="234"/>
      <c r="CB185" s="234"/>
      <c r="CC185" s="234"/>
      <c r="CD185" s="234"/>
      <c r="CE185" s="234"/>
      <c r="CF185" s="234"/>
      <c r="CG185" s="234" t="str">
        <f t="shared" si="19"/>
        <v>Below 60</v>
      </c>
      <c r="CH185" s="234" t="str">
        <f t="shared" si="27"/>
        <v>Not 50%</v>
      </c>
      <c r="CI185" s="328">
        <f t="shared" si="20"/>
        <v>0.4814814815</v>
      </c>
      <c r="CJ185" s="339">
        <f>IFERROR(__xludf.DUMMYFUNCTION("""COMPUTED_VALUE"""),281.0)</f>
        <v>281</v>
      </c>
      <c r="CK185" s="339">
        <f>IFERROR(__xludf.DUMMYFUNCTION("""COMPUTED_VALUE"""),170.0)</f>
        <v>170</v>
      </c>
      <c r="CL185" s="339">
        <f>IFERROR(__xludf.DUMMYFUNCTION("""COMPUTED_VALUE"""),0.0)</f>
        <v>0</v>
      </c>
      <c r="CM185" s="331">
        <f t="shared" si="21"/>
        <v>0</v>
      </c>
      <c r="CN185" s="340"/>
      <c r="CO185" s="328"/>
      <c r="CP185" s="341"/>
      <c r="CQ185" s="344"/>
      <c r="CR185" s="328"/>
      <c r="CS185" s="328"/>
      <c r="CT185" s="328"/>
      <c r="CU185" s="328"/>
      <c r="CV185" s="328"/>
      <c r="CW185" s="328"/>
      <c r="CX185" s="288"/>
      <c r="CY185" s="328"/>
      <c r="CZ185" s="328"/>
    </row>
    <row r="186">
      <c r="A186" s="157" t="s">
        <v>322</v>
      </c>
      <c r="B186" s="157" t="s">
        <v>325</v>
      </c>
      <c r="C186" s="157" t="s">
        <v>328</v>
      </c>
      <c r="D186" s="157" t="s">
        <v>1049</v>
      </c>
      <c r="E186" s="157" t="s">
        <v>329</v>
      </c>
      <c r="F186" s="338">
        <v>45810.0</v>
      </c>
      <c r="G186" s="314">
        <v>0.0</v>
      </c>
      <c r="H186" s="314">
        <v>8000000.0</v>
      </c>
      <c r="I186" s="315">
        <v>2939713.64</v>
      </c>
      <c r="J186" s="315">
        <v>0.0</v>
      </c>
      <c r="K186" s="160">
        <v>21.0</v>
      </c>
      <c r="L186" s="160">
        <v>44.0</v>
      </c>
      <c r="M186" s="160">
        <v>23.0</v>
      </c>
      <c r="N186" s="160">
        <v>44.0</v>
      </c>
      <c r="O186" s="160">
        <v>0.0</v>
      </c>
      <c r="P186" s="315">
        <v>925658.96</v>
      </c>
      <c r="Q186" s="315">
        <v>2014054.68</v>
      </c>
      <c r="R186" s="160">
        <v>14.0</v>
      </c>
      <c r="S186" s="160">
        <v>23.0</v>
      </c>
      <c r="T186" s="160">
        <v>37.0</v>
      </c>
      <c r="U186" s="160">
        <v>0.0</v>
      </c>
      <c r="V186" s="160">
        <v>124.0</v>
      </c>
      <c r="W186" s="160">
        <v>366.0</v>
      </c>
      <c r="X186" s="160">
        <v>2.0</v>
      </c>
      <c r="Y186" s="160">
        <v>1.0</v>
      </c>
      <c r="Z186" s="160">
        <v>93.0</v>
      </c>
      <c r="AA186" s="160">
        <v>0.0</v>
      </c>
      <c r="AB186" s="160">
        <v>0.0</v>
      </c>
      <c r="AC186" s="160">
        <v>1.0</v>
      </c>
      <c r="AD186" s="160">
        <v>2.0</v>
      </c>
      <c r="AE186" s="160">
        <v>461.0</v>
      </c>
      <c r="AF186" s="160">
        <v>922.0</v>
      </c>
      <c r="AG186" s="160">
        <v>229.0</v>
      </c>
      <c r="AH186" s="314">
        <f t="shared" si="2"/>
        <v>12837.17747</v>
      </c>
      <c r="AI186" s="314">
        <f t="shared" si="3"/>
        <v>4.026200873</v>
      </c>
      <c r="AJ186" s="346">
        <v>38285.0</v>
      </c>
      <c r="AK186" s="314">
        <f t="shared" si="63"/>
        <v>382850</v>
      </c>
      <c r="AL186" s="317">
        <v>97509.0</v>
      </c>
      <c r="AM186" s="318">
        <f t="shared" si="5"/>
        <v>0.1634033307</v>
      </c>
      <c r="AN186" s="314">
        <f t="shared" si="6"/>
        <v>79451.72</v>
      </c>
      <c r="AO186" s="336">
        <f t="shared" si="116"/>
        <v>0.367464205</v>
      </c>
      <c r="AP186" s="319">
        <v>0.0</v>
      </c>
      <c r="AQ186" s="160">
        <v>190.0</v>
      </c>
      <c r="AR186" s="160">
        <v>1800.0</v>
      </c>
      <c r="AS186" s="160">
        <v>1355.17</v>
      </c>
      <c r="AT186" s="160">
        <v>23.0</v>
      </c>
      <c r="AU186" s="160">
        <v>31.0</v>
      </c>
      <c r="AV186" s="320">
        <v>37.0</v>
      </c>
      <c r="AW186" s="320">
        <v>7.0</v>
      </c>
      <c r="AX186" s="320">
        <v>0.0</v>
      </c>
      <c r="AY186" s="321">
        <f>iferror(VLOOKUP(C186,'ORDER BOOKING REPORT 2025-26'!C:O,13,0),"")</f>
        <v>0</v>
      </c>
      <c r="AZ186" s="322"/>
      <c r="BA186" s="157" t="str">
        <f t="shared" si="7"/>
        <v>Active</v>
      </c>
      <c r="BB186" s="157" t="str">
        <f t="shared" si="8"/>
        <v>New</v>
      </c>
      <c r="BC186" s="157" t="str">
        <f t="shared" si="117"/>
        <v>Below 50%</v>
      </c>
      <c r="BD186" s="223">
        <v>10.0</v>
      </c>
      <c r="BE186" s="323">
        <v>800000.0</v>
      </c>
      <c r="BF186" s="157">
        <f t="shared" si="10"/>
        <v>0</v>
      </c>
      <c r="BG186" s="157" t="s">
        <v>1019</v>
      </c>
      <c r="BH186" s="324"/>
      <c r="BI186" s="324"/>
      <c r="BJ186" s="343"/>
      <c r="BK186" s="326"/>
      <c r="BL186" s="326">
        <f t="shared" si="48"/>
        <v>0</v>
      </c>
      <c r="BM186" s="326">
        <f t="shared" si="12"/>
        <v>8000000</v>
      </c>
      <c r="BN186" s="326"/>
      <c r="BO186" s="327" t="str">
        <f>IFERROR(__xludf.DUMMYFUNCTION("IFERROR(ArrayFormula(SUM(VLOOKUP($C186,importrange(""1MwNMVzWE3QBVOyJjKr3eFX-Sq1Ng0Q1sghWJbgbE_8g"",""ORDER BOOKING REPORT 2024-25!C:CV""),{16,23,30},0))))"),"")</f>
        <v/>
      </c>
      <c r="BP186" s="327" t="str">
        <f>IFERROR(__xludf.DUMMYFUNCTION("IFERROR(ArrayFormula(SUM(VLOOKUP($C186,importrange(""1MwNMVzWE3QBVOyJjKr3eFX-Sq1Ng0Q1sghWJbgbE_8g"",""ORDER BOOKING REPORT 2024-25!C:CV""),{37,44,51},0))))"),"")</f>
        <v/>
      </c>
      <c r="BQ186" s="327" t="str">
        <f>IFERROR(__xludf.DUMMYFUNCTION("IFERROR(ArrayFormula(SUM(VLOOKUP($C186,importrange(""1MwNMVzWE3QBVOyJjKr3eFX-Sq1Ng0Q1sghWJbgbE_8g"",""ORDER BOOKING REPORT 2024-25!C:CV""),{58,65,72},0))))"),"")</f>
        <v/>
      </c>
      <c r="BR186" s="327" t="str">
        <f>IFERROR(__xludf.DUMMYFUNCTION("IFERROR(ArrayFormula(SUM(VLOOKUP($C186,importrange(""1MwNMVzWE3QBVOyJjKr3eFX-Sq1Ng0Q1sghWJbgbE_8g"",""ORDER BOOKING REPORT 2024-25!C:CV""),{79,86,93},0))))"),"")</f>
        <v/>
      </c>
      <c r="BS186" s="328">
        <f t="shared" si="13"/>
        <v>0</v>
      </c>
      <c r="BT186" s="328" t="str">
        <f t="shared" si="14"/>
        <v/>
      </c>
      <c r="BU186" s="234">
        <f t="shared" si="15"/>
        <v>0</v>
      </c>
      <c r="BV186" s="329">
        <v>38285.0</v>
      </c>
      <c r="BW186" s="329" t="s">
        <v>1020</v>
      </c>
      <c r="BX186" s="329">
        <v>1261.0</v>
      </c>
      <c r="BY186" s="234">
        <f t="shared" si="16"/>
        <v>0</v>
      </c>
      <c r="BZ186" s="234"/>
      <c r="CA186" s="234"/>
      <c r="CB186" s="234"/>
      <c r="CC186" s="234"/>
      <c r="CD186" s="234"/>
      <c r="CE186" s="234"/>
      <c r="CF186" s="234"/>
      <c r="CG186" s="234" t="str">
        <f t="shared" si="19"/>
        <v>Below 60</v>
      </c>
      <c r="CH186" s="234" t="str">
        <f t="shared" si="27"/>
        <v>Business Achieved 50%</v>
      </c>
      <c r="CI186" s="328">
        <f t="shared" si="20"/>
        <v>0.8409090909</v>
      </c>
      <c r="CJ186" s="330">
        <f>IFERROR(__xludf.DUMMYFUNCTION("""COMPUTED_VALUE"""),446.0)</f>
        <v>446</v>
      </c>
      <c r="CK186" s="330">
        <f>IFERROR(__xludf.DUMMYFUNCTION("""COMPUTED_VALUE"""),15.0)</f>
        <v>15</v>
      </c>
      <c r="CL186" s="330">
        <f>IFERROR(__xludf.DUMMYFUNCTION("""COMPUTED_VALUE"""),0.0)</f>
        <v>0</v>
      </c>
      <c r="CM186" s="331">
        <f t="shared" si="21"/>
        <v>0</v>
      </c>
      <c r="CN186" s="337"/>
      <c r="CO186" s="160"/>
      <c r="CP186" s="334"/>
      <c r="CQ186" s="335"/>
      <c r="CR186" s="160"/>
      <c r="CS186" s="160"/>
      <c r="CT186" s="160"/>
      <c r="CU186" s="160"/>
      <c r="CV186" s="160"/>
      <c r="CW186" s="335"/>
      <c r="CX186" s="288"/>
      <c r="CY186" s="160"/>
      <c r="CZ186" s="160"/>
    </row>
    <row r="187">
      <c r="A187" s="157" t="s">
        <v>53</v>
      </c>
      <c r="B187" s="157" t="s">
        <v>56</v>
      </c>
      <c r="C187" s="157" t="s">
        <v>366</v>
      </c>
      <c r="D187" s="157" t="s">
        <v>1092</v>
      </c>
      <c r="E187" s="157" t="s">
        <v>71</v>
      </c>
      <c r="F187" s="338">
        <v>45812.0</v>
      </c>
      <c r="G187" s="314">
        <v>0.0</v>
      </c>
      <c r="H187" s="314">
        <v>500000.0</v>
      </c>
      <c r="I187" s="315">
        <v>50738.2</v>
      </c>
      <c r="J187" s="315">
        <v>0.0</v>
      </c>
      <c r="K187" s="160">
        <v>10.0</v>
      </c>
      <c r="L187" s="160">
        <v>12.0</v>
      </c>
      <c r="M187" s="160">
        <v>2.0</v>
      </c>
      <c r="N187" s="160">
        <v>12.0</v>
      </c>
      <c r="O187" s="160">
        <v>0.0</v>
      </c>
      <c r="P187" s="315">
        <v>28709.2</v>
      </c>
      <c r="Q187" s="315">
        <v>22029.0</v>
      </c>
      <c r="R187" s="160">
        <v>2.0</v>
      </c>
      <c r="S187" s="160">
        <v>2.0</v>
      </c>
      <c r="T187" s="160">
        <v>4.0</v>
      </c>
      <c r="U187" s="160">
        <v>0.0</v>
      </c>
      <c r="V187" s="160">
        <v>0.0</v>
      </c>
      <c r="W187" s="160">
        <v>0.0</v>
      </c>
      <c r="X187" s="160">
        <v>77.0</v>
      </c>
      <c r="Y187" s="160">
        <v>1.0</v>
      </c>
      <c r="Z187" s="160">
        <v>4.0</v>
      </c>
      <c r="AA187" s="160">
        <v>0.0</v>
      </c>
      <c r="AB187" s="160">
        <v>0.0</v>
      </c>
      <c r="AC187" s="160">
        <v>3.0</v>
      </c>
      <c r="AD187" s="160">
        <v>3.0</v>
      </c>
      <c r="AE187" s="160">
        <v>25.0</v>
      </c>
      <c r="AF187" s="160">
        <v>32.0</v>
      </c>
      <c r="AG187" s="160">
        <v>19.0</v>
      </c>
      <c r="AH187" s="314">
        <f t="shared" si="2"/>
        <v>2670.431579</v>
      </c>
      <c r="AI187" s="314">
        <f t="shared" si="3"/>
        <v>1.684210526</v>
      </c>
      <c r="AJ187" s="346">
        <v>24120.0</v>
      </c>
      <c r="AK187" s="314">
        <f t="shared" si="63"/>
        <v>24120</v>
      </c>
      <c r="AL187" s="317"/>
      <c r="AM187" s="318">
        <f t="shared" si="5"/>
        <v>0.475381468</v>
      </c>
      <c r="AN187" s="314">
        <f t="shared" si="6"/>
        <v>12684.55</v>
      </c>
      <c r="AO187" s="336">
        <f t="shared" si="116"/>
        <v>0.1014764</v>
      </c>
      <c r="AP187" s="319">
        <v>0.0</v>
      </c>
      <c r="AQ187" s="160">
        <v>4.0</v>
      </c>
      <c r="AR187" s="160">
        <v>214.0</v>
      </c>
      <c r="AS187" s="160">
        <v>0.0</v>
      </c>
      <c r="AT187" s="160">
        <v>2.0</v>
      </c>
      <c r="AU187" s="160">
        <v>0.0</v>
      </c>
      <c r="AV187" s="320">
        <v>4.0</v>
      </c>
      <c r="AW187" s="320">
        <v>8.0</v>
      </c>
      <c r="AX187" s="320">
        <v>0.0</v>
      </c>
      <c r="AY187" s="321">
        <f>iferror(VLOOKUP(C187,'ORDER BOOKING REPORT 2025-26'!C:O,13,0),"")</f>
        <v>0</v>
      </c>
      <c r="AZ187" s="322">
        <v>45849.0</v>
      </c>
      <c r="BA187" s="157" t="str">
        <f t="shared" si="7"/>
        <v>LEFT</v>
      </c>
      <c r="BB187" s="157" t="str">
        <f t="shared" si="8"/>
        <v>New</v>
      </c>
      <c r="BC187" s="157" t="str">
        <f t="shared" si="117"/>
        <v>Below 50%</v>
      </c>
      <c r="BD187" s="223">
        <v>1.0</v>
      </c>
      <c r="BE187" s="326"/>
      <c r="BF187" s="157">
        <f t="shared" si="10"/>
        <v>0</v>
      </c>
      <c r="BG187" s="157" t="s">
        <v>1019</v>
      </c>
      <c r="BH187" s="324"/>
      <c r="BI187" s="324"/>
      <c r="BJ187" s="343"/>
      <c r="BK187" s="326"/>
      <c r="BL187" s="326">
        <f t="shared" si="48"/>
        <v>0</v>
      </c>
      <c r="BM187" s="326">
        <f t="shared" si="12"/>
        <v>500000</v>
      </c>
      <c r="BN187" s="326"/>
      <c r="BO187" s="327" t="str">
        <f>IFERROR(__xludf.DUMMYFUNCTION("IFERROR(ArrayFormula(SUM(VLOOKUP($C187,importrange(""1MwNMVzWE3QBVOyJjKr3eFX-Sq1Ng0Q1sghWJbgbE_8g"",""ORDER BOOKING REPORT 2024-25!C:CV""),{16,23,30},0))))"),"")</f>
        <v/>
      </c>
      <c r="BP187" s="327" t="str">
        <f>IFERROR(__xludf.DUMMYFUNCTION("IFERROR(ArrayFormula(SUM(VLOOKUP($C187,importrange(""1MwNMVzWE3QBVOyJjKr3eFX-Sq1Ng0Q1sghWJbgbE_8g"",""ORDER BOOKING REPORT 2024-25!C:CV""),{37,44,51},0))))"),"")</f>
        <v/>
      </c>
      <c r="BQ187" s="327" t="str">
        <f>IFERROR(__xludf.DUMMYFUNCTION("IFERROR(ArrayFormula(SUM(VLOOKUP($C187,importrange(""1MwNMVzWE3QBVOyJjKr3eFX-Sq1Ng0Q1sghWJbgbE_8g"",""ORDER BOOKING REPORT 2024-25!C:CV""),{58,65,72},0))))"),"")</f>
        <v/>
      </c>
      <c r="BR187" s="327" t="str">
        <f>IFERROR(__xludf.DUMMYFUNCTION("IFERROR(ArrayFormula(SUM(VLOOKUP($C187,importrange(""1MwNMVzWE3QBVOyJjKr3eFX-Sq1Ng0Q1sghWJbgbE_8g"",""ORDER BOOKING REPORT 2024-25!C:CV""),{79,86,93},0))))"),"")</f>
        <v/>
      </c>
      <c r="BS187" s="328">
        <f t="shared" si="13"/>
        <v>0</v>
      </c>
      <c r="BT187" s="328" t="str">
        <f t="shared" si="14"/>
        <v/>
      </c>
      <c r="BU187" s="234">
        <f t="shared" si="15"/>
        <v>0</v>
      </c>
      <c r="BV187" s="329"/>
      <c r="BW187" s="329"/>
      <c r="BX187" s="329"/>
      <c r="BY187" s="234">
        <f t="shared" si="16"/>
        <v>-24120</v>
      </c>
      <c r="BZ187" s="234"/>
      <c r="CA187" s="234"/>
      <c r="CB187" s="234"/>
      <c r="CC187" s="234"/>
      <c r="CD187" s="234"/>
      <c r="CE187" s="234"/>
      <c r="CF187" s="234"/>
      <c r="CG187" s="234" t="str">
        <f t="shared" si="19"/>
        <v>Below 60</v>
      </c>
      <c r="CH187" s="234" t="str">
        <f t="shared" si="27"/>
        <v>Not 50%</v>
      </c>
      <c r="CI187" s="328">
        <f t="shared" si="20"/>
        <v>0.3333333333</v>
      </c>
      <c r="CJ187" s="330">
        <f>IFERROR(__xludf.DUMMYFUNCTION("""COMPUTED_VALUE"""),11.0)</f>
        <v>11</v>
      </c>
      <c r="CK187" s="330">
        <f>IFERROR(__xludf.DUMMYFUNCTION("""COMPUTED_VALUE"""),14.0)</f>
        <v>14</v>
      </c>
      <c r="CL187" s="330">
        <f>IFERROR(__xludf.DUMMYFUNCTION("""COMPUTED_VALUE"""),0.0)</f>
        <v>0</v>
      </c>
      <c r="CM187" s="331">
        <f t="shared" si="21"/>
        <v>0</v>
      </c>
      <c r="CN187" s="337"/>
      <c r="CO187" s="160"/>
      <c r="CP187" s="334"/>
      <c r="CQ187" s="335"/>
      <c r="CR187" s="160"/>
      <c r="CS187" s="160"/>
      <c r="CT187" s="160"/>
      <c r="CU187" s="160"/>
      <c r="CV187" s="160"/>
      <c r="CW187" s="335"/>
      <c r="CX187" s="288"/>
      <c r="CY187" s="160"/>
      <c r="CZ187" s="160"/>
    </row>
    <row r="188">
      <c r="A188" s="157" t="s">
        <v>185</v>
      </c>
      <c r="B188" s="157" t="s">
        <v>85</v>
      </c>
      <c r="C188" s="157" t="s">
        <v>395</v>
      </c>
      <c r="D188" s="157" t="s">
        <v>1058</v>
      </c>
      <c r="E188" s="157" t="s">
        <v>396</v>
      </c>
      <c r="F188" s="338">
        <v>45817.0</v>
      </c>
      <c r="G188" s="314">
        <v>0.0</v>
      </c>
      <c r="H188" s="314">
        <v>1.05E7</v>
      </c>
      <c r="I188" s="315">
        <v>463452.7</v>
      </c>
      <c r="J188" s="315">
        <v>0.0</v>
      </c>
      <c r="K188" s="160">
        <v>19.0</v>
      </c>
      <c r="L188" s="160">
        <v>28.0</v>
      </c>
      <c r="M188" s="160">
        <v>9.0</v>
      </c>
      <c r="N188" s="160">
        <v>28.0</v>
      </c>
      <c r="O188" s="160">
        <v>0.0</v>
      </c>
      <c r="P188" s="315">
        <v>58806.0</v>
      </c>
      <c r="Q188" s="315">
        <v>404646.7</v>
      </c>
      <c r="R188" s="160">
        <v>2.0</v>
      </c>
      <c r="S188" s="160">
        <v>5.0</v>
      </c>
      <c r="T188" s="160">
        <v>7.0</v>
      </c>
      <c r="U188" s="160">
        <v>0.0</v>
      </c>
      <c r="V188" s="160">
        <v>17.0</v>
      </c>
      <c r="W188" s="160">
        <v>68.0</v>
      </c>
      <c r="X188" s="160">
        <v>0.0</v>
      </c>
      <c r="Y188" s="160">
        <v>1.0</v>
      </c>
      <c r="Z188" s="160">
        <v>3.0</v>
      </c>
      <c r="AA188" s="160">
        <v>0.0</v>
      </c>
      <c r="AB188" s="160">
        <v>0.0</v>
      </c>
      <c r="AC188" s="160">
        <v>0.0</v>
      </c>
      <c r="AD188" s="160">
        <v>0.0</v>
      </c>
      <c r="AE188" s="160">
        <v>387.0</v>
      </c>
      <c r="AF188" s="160">
        <v>458.0</v>
      </c>
      <c r="AG188" s="160">
        <v>126.0</v>
      </c>
      <c r="AH188" s="314">
        <f t="shared" si="2"/>
        <v>3678.196032</v>
      </c>
      <c r="AI188" s="314">
        <f t="shared" si="3"/>
        <v>3.634920635</v>
      </c>
      <c r="AJ188" s="316">
        <f>BV188</f>
        <v>24116</v>
      </c>
      <c r="AK188" s="314">
        <f t="shared" si="63"/>
        <v>179664.2</v>
      </c>
      <c r="AL188" s="286">
        <v>72880.0</v>
      </c>
      <c r="AM188" s="318">
        <f t="shared" si="5"/>
        <v>0.5449190392</v>
      </c>
      <c r="AN188" s="314">
        <f t="shared" si="6"/>
        <v>66207.52857</v>
      </c>
      <c r="AO188" s="336">
        <f t="shared" si="116"/>
        <v>0.04413835238</v>
      </c>
      <c r="AP188" s="319">
        <v>0.0</v>
      </c>
      <c r="AQ188" s="160">
        <v>20.0</v>
      </c>
      <c r="AR188" s="160">
        <v>1367.0</v>
      </c>
      <c r="AS188" s="160">
        <v>0.0</v>
      </c>
      <c r="AT188" s="160">
        <v>5.0</v>
      </c>
      <c r="AU188" s="160">
        <v>0.0</v>
      </c>
      <c r="AV188" s="320">
        <v>7.0</v>
      </c>
      <c r="AW188" s="320">
        <v>21.0</v>
      </c>
      <c r="AX188" s="320">
        <v>0.0</v>
      </c>
      <c r="AY188" s="321">
        <f>iferror(VLOOKUP(C188,'ORDER BOOKING REPORT 2025-26'!C:O,13,0),"")</f>
        <v>531979</v>
      </c>
      <c r="AZ188" s="322">
        <v>46008.0</v>
      </c>
      <c r="BA188" s="157" t="str">
        <f t="shared" si="7"/>
        <v>LEFT</v>
      </c>
      <c r="BB188" s="157" t="str">
        <f t="shared" si="8"/>
        <v>New</v>
      </c>
      <c r="BC188" s="157" t="str">
        <f t="shared" si="117"/>
        <v>Below 50%</v>
      </c>
      <c r="BD188" s="223">
        <v>7.45</v>
      </c>
      <c r="BE188" s="323">
        <v>1500000.0</v>
      </c>
      <c r="BF188" s="157">
        <f t="shared" si="10"/>
        <v>4</v>
      </c>
      <c r="BG188" s="157" t="s">
        <v>1019</v>
      </c>
      <c r="BH188" s="324"/>
      <c r="BI188" s="324"/>
      <c r="BJ188" s="343">
        <f>14/31</f>
        <v>0.4516129032</v>
      </c>
      <c r="BK188" s="326"/>
      <c r="BL188" s="326">
        <f t="shared" si="48"/>
        <v>0</v>
      </c>
      <c r="BM188" s="326">
        <f t="shared" si="12"/>
        <v>10500000</v>
      </c>
      <c r="BN188" s="326"/>
      <c r="BO188" s="327" t="str">
        <f>IFERROR(__xludf.DUMMYFUNCTION("IFERROR(ArrayFormula(SUM(VLOOKUP($C188,importrange(""1MwNMVzWE3QBVOyJjKr3eFX-Sq1Ng0Q1sghWJbgbE_8g"",""ORDER BOOKING REPORT 2024-25!C:CV""),{16,23,30},0))))"),"")</f>
        <v/>
      </c>
      <c r="BP188" s="327" t="str">
        <f>IFERROR(__xludf.DUMMYFUNCTION("IFERROR(ArrayFormula(SUM(VLOOKUP($C188,importrange(""1MwNMVzWE3QBVOyJjKr3eFX-Sq1Ng0Q1sghWJbgbE_8g"",""ORDER BOOKING REPORT 2024-25!C:CV""),{37,44,51},0))))"),"")</f>
        <v/>
      </c>
      <c r="BQ188" s="327" t="str">
        <f>IFERROR(__xludf.DUMMYFUNCTION("IFERROR(ArrayFormula(SUM(VLOOKUP($C188,importrange(""1MwNMVzWE3QBVOyJjKr3eFX-Sq1Ng0Q1sghWJbgbE_8g"",""ORDER BOOKING REPORT 2024-25!C:CV""),{58,65,72},0))))"),"")</f>
        <v/>
      </c>
      <c r="BR188" s="327" t="str">
        <f>IFERROR(__xludf.DUMMYFUNCTION("IFERROR(ArrayFormula(SUM(VLOOKUP($C188,importrange(""1MwNMVzWE3QBVOyJjKr3eFX-Sq1Ng0Q1sghWJbgbE_8g"",""ORDER BOOKING REPORT 2024-25!C:CV""),{79,86,93},0))))"),"")</f>
        <v/>
      </c>
      <c r="BS188" s="328">
        <f t="shared" si="13"/>
        <v>0.05066466667</v>
      </c>
      <c r="BT188" s="328">
        <f t="shared" si="14"/>
        <v>0.474725882</v>
      </c>
      <c r="BU188" s="234">
        <f t="shared" si="15"/>
        <v>0</v>
      </c>
      <c r="BV188" s="329">
        <v>24116.0</v>
      </c>
      <c r="BW188" s="329" t="s">
        <v>1045</v>
      </c>
      <c r="BX188" s="329">
        <v>1252.0</v>
      </c>
      <c r="BY188" s="234">
        <f t="shared" si="16"/>
        <v>0</v>
      </c>
      <c r="BZ188" s="234"/>
      <c r="CA188" s="234"/>
      <c r="CB188" s="234"/>
      <c r="CC188" s="234"/>
      <c r="CD188" s="234"/>
      <c r="CE188" s="234"/>
      <c r="CF188" s="234"/>
      <c r="CG188" s="234" t="str">
        <f t="shared" si="19"/>
        <v>Below 60</v>
      </c>
      <c r="CH188" s="234" t="str">
        <f t="shared" si="27"/>
        <v>Not 50%</v>
      </c>
      <c r="CI188" s="328">
        <f t="shared" si="20"/>
        <v>0.25</v>
      </c>
      <c r="CJ188" s="339">
        <f>IFERROR(__xludf.DUMMYFUNCTION("""COMPUTED_VALUE"""),223.0)</f>
        <v>223</v>
      </c>
      <c r="CK188" s="339">
        <f>IFERROR(__xludf.DUMMYFUNCTION("""COMPUTED_VALUE"""),164.0)</f>
        <v>164</v>
      </c>
      <c r="CL188" s="339">
        <f>IFERROR(__xludf.DUMMYFUNCTION("""COMPUTED_VALUE"""),0.0)</f>
        <v>0</v>
      </c>
      <c r="CM188" s="331">
        <f t="shared" si="21"/>
        <v>0</v>
      </c>
      <c r="CN188" s="340"/>
      <c r="CO188" s="328"/>
      <c r="CP188" s="341"/>
      <c r="CQ188" s="344"/>
      <c r="CR188" s="328"/>
      <c r="CS188" s="328"/>
      <c r="CT188" s="328"/>
      <c r="CU188" s="328"/>
      <c r="CV188" s="328"/>
      <c r="CW188" s="328"/>
      <c r="CX188" s="288"/>
      <c r="CY188" s="328"/>
      <c r="CZ188" s="328"/>
    </row>
    <row r="189">
      <c r="A189" s="157" t="s">
        <v>185</v>
      </c>
      <c r="B189" s="157" t="s">
        <v>189</v>
      </c>
      <c r="C189" s="157" t="s">
        <v>285</v>
      </c>
      <c r="D189" s="157" t="s">
        <v>1016</v>
      </c>
      <c r="E189" s="157" t="s">
        <v>187</v>
      </c>
      <c r="F189" s="338">
        <v>45817.0</v>
      </c>
      <c r="G189" s="314">
        <v>0.0</v>
      </c>
      <c r="H189" s="314">
        <v>1.5E7</v>
      </c>
      <c r="I189" s="315">
        <v>4564361.21</v>
      </c>
      <c r="J189" s="315">
        <v>0.0</v>
      </c>
      <c r="K189" s="160">
        <v>49.0</v>
      </c>
      <c r="L189" s="160">
        <v>83.0</v>
      </c>
      <c r="M189" s="160">
        <v>34.0</v>
      </c>
      <c r="N189" s="160">
        <v>83.0</v>
      </c>
      <c r="O189" s="160">
        <v>0.0</v>
      </c>
      <c r="P189" s="315">
        <v>1313378.64</v>
      </c>
      <c r="Q189" s="315">
        <v>3250982.57</v>
      </c>
      <c r="R189" s="160">
        <v>10.0</v>
      </c>
      <c r="S189" s="160">
        <v>28.0</v>
      </c>
      <c r="T189" s="160">
        <v>38.0</v>
      </c>
      <c r="U189" s="160">
        <v>0.0</v>
      </c>
      <c r="V189" s="160">
        <v>216.0</v>
      </c>
      <c r="W189" s="160">
        <v>523.0</v>
      </c>
      <c r="X189" s="160">
        <v>0.0</v>
      </c>
      <c r="Y189" s="160">
        <v>2.0</v>
      </c>
      <c r="Z189" s="160">
        <v>23.0</v>
      </c>
      <c r="AA189" s="160">
        <v>0.0</v>
      </c>
      <c r="AB189" s="160">
        <v>0.0</v>
      </c>
      <c r="AC189" s="160">
        <v>0.0</v>
      </c>
      <c r="AD189" s="160">
        <v>0.0</v>
      </c>
      <c r="AE189" s="160">
        <v>642.0</v>
      </c>
      <c r="AF189" s="160">
        <v>1188.0</v>
      </c>
      <c r="AG189" s="160">
        <v>226.0</v>
      </c>
      <c r="AH189" s="314">
        <f t="shared" si="2"/>
        <v>20196.28854</v>
      </c>
      <c r="AI189" s="314">
        <f t="shared" si="3"/>
        <v>5.256637168</v>
      </c>
      <c r="AJ189" s="346">
        <v>32500.0</v>
      </c>
      <c r="AK189" s="314">
        <f t="shared" si="63"/>
        <v>325000</v>
      </c>
      <c r="AL189" s="317">
        <v>83867.0</v>
      </c>
      <c r="AM189" s="318">
        <f t="shared" si="5"/>
        <v>0.08957814274</v>
      </c>
      <c r="AN189" s="314">
        <f t="shared" si="6"/>
        <v>120114.7687</v>
      </c>
      <c r="AO189" s="336">
        <f t="shared" si="116"/>
        <v>0.3042907473</v>
      </c>
      <c r="AP189" s="319">
        <v>0.0</v>
      </c>
      <c r="AQ189" s="160">
        <v>120.0</v>
      </c>
      <c r="AR189" s="160">
        <v>2262.0</v>
      </c>
      <c r="AS189" s="160">
        <v>2463.6</v>
      </c>
      <c r="AT189" s="160">
        <v>28.0</v>
      </c>
      <c r="AU189" s="160">
        <v>30.0</v>
      </c>
      <c r="AV189" s="320">
        <v>38.0</v>
      </c>
      <c r="AW189" s="320">
        <v>45.0</v>
      </c>
      <c r="AX189" s="320">
        <v>0.0</v>
      </c>
      <c r="AY189" s="321">
        <f>iferror(VLOOKUP(C189,'ORDER BOOKING REPORT 2025-26'!C:O,13,0),"")</f>
        <v>4094227</v>
      </c>
      <c r="AZ189" s="322"/>
      <c r="BA189" s="157" t="str">
        <f t="shared" si="7"/>
        <v>Active</v>
      </c>
      <c r="BB189" s="157" t="str">
        <f t="shared" si="8"/>
        <v>New</v>
      </c>
      <c r="BC189" s="157" t="str">
        <f t="shared" si="117"/>
        <v>Below 50%</v>
      </c>
      <c r="BD189" s="223">
        <v>10.0</v>
      </c>
      <c r="BE189" s="323">
        <v>1500000.0</v>
      </c>
      <c r="BF189" s="157">
        <f t="shared" si="10"/>
        <v>6</v>
      </c>
      <c r="BG189" s="157" t="s">
        <v>1019</v>
      </c>
      <c r="BH189" s="324"/>
      <c r="BI189" s="324"/>
      <c r="BJ189" s="325"/>
      <c r="BK189" s="326"/>
      <c r="BL189" s="326">
        <f t="shared" si="48"/>
        <v>0</v>
      </c>
      <c r="BM189" s="326">
        <f t="shared" si="12"/>
        <v>15000000</v>
      </c>
      <c r="BN189" s="326"/>
      <c r="BO189" s="327" t="str">
        <f>IFERROR(__xludf.DUMMYFUNCTION("IFERROR(ArrayFormula(SUM(VLOOKUP($C189,importrange(""1MwNMVzWE3QBVOyJjKr3eFX-Sq1Ng0Q1sghWJbgbE_8g"",""ORDER BOOKING REPORT 2024-25!C:CV""),{16,23,30},0))))"),"")</f>
        <v/>
      </c>
      <c r="BP189" s="327" t="str">
        <f>IFERROR(__xludf.DUMMYFUNCTION("IFERROR(ArrayFormula(SUM(VLOOKUP($C189,importrange(""1MwNMVzWE3QBVOyJjKr3eFX-Sq1Ng0Q1sghWJbgbE_8g"",""ORDER BOOKING REPORT 2024-25!C:CV""),{37,44,51},0))))"),"")</f>
        <v/>
      </c>
      <c r="BQ189" s="327" t="str">
        <f>IFERROR(__xludf.DUMMYFUNCTION("IFERROR(ArrayFormula(SUM(VLOOKUP($C189,importrange(""1MwNMVzWE3QBVOyJjKr3eFX-Sq1Ng0Q1sghWJbgbE_8g"",""ORDER BOOKING REPORT 2024-25!C:CV""),{58,65,72},0))))"),"")</f>
        <v/>
      </c>
      <c r="BR189" s="327" t="str">
        <f>IFERROR(__xludf.DUMMYFUNCTION("IFERROR(ArrayFormula(SUM(VLOOKUP($C189,importrange(""1MwNMVzWE3QBVOyJjKr3eFX-Sq1Ng0Q1sghWJbgbE_8g"",""ORDER BOOKING REPORT 2024-25!C:CV""),{79,86,93},0))))"),"")</f>
        <v/>
      </c>
      <c r="BS189" s="328">
        <f t="shared" si="13"/>
        <v>0.2729484667</v>
      </c>
      <c r="BT189" s="328">
        <f t="shared" si="14"/>
        <v>0.0998642723</v>
      </c>
      <c r="BU189" s="234">
        <f t="shared" si="15"/>
        <v>0</v>
      </c>
      <c r="BV189" s="329">
        <v>32500.0</v>
      </c>
      <c r="BW189" s="329" t="s">
        <v>1029</v>
      </c>
      <c r="BX189" s="329">
        <v>1253.0</v>
      </c>
      <c r="BY189" s="234">
        <f t="shared" si="16"/>
        <v>0</v>
      </c>
      <c r="BZ189" s="234"/>
      <c r="CA189" s="234"/>
      <c r="CB189" s="234"/>
      <c r="CC189" s="234"/>
      <c r="CD189" s="234"/>
      <c r="CE189" s="234"/>
      <c r="CF189" s="234"/>
      <c r="CG189" s="234" t="str">
        <f t="shared" si="19"/>
        <v> </v>
      </c>
      <c r="CH189" s="234" t="str">
        <f t="shared" si="27"/>
        <v>Not 50%</v>
      </c>
      <c r="CI189" s="328">
        <f t="shared" si="20"/>
        <v>0.4578313253</v>
      </c>
      <c r="CJ189" s="330">
        <f>IFERROR(__xludf.DUMMYFUNCTION("""COMPUTED_VALUE"""),528.0)</f>
        <v>528</v>
      </c>
      <c r="CK189" s="330">
        <f>IFERROR(__xludf.DUMMYFUNCTION("""COMPUTED_VALUE"""),114.0)</f>
        <v>114</v>
      </c>
      <c r="CL189" s="330">
        <f>IFERROR(__xludf.DUMMYFUNCTION("""COMPUTED_VALUE"""),0.0)</f>
        <v>0</v>
      </c>
      <c r="CM189" s="331">
        <f t="shared" si="21"/>
        <v>0</v>
      </c>
      <c r="CN189" s="337"/>
      <c r="CO189" s="160"/>
      <c r="CP189" s="334"/>
      <c r="CQ189" s="335"/>
      <c r="CR189" s="160"/>
      <c r="CS189" s="160"/>
      <c r="CT189" s="160"/>
      <c r="CU189" s="160"/>
      <c r="CV189" s="160"/>
      <c r="CW189" s="335"/>
      <c r="CX189" s="288"/>
      <c r="CY189" s="160"/>
      <c r="CZ189" s="160"/>
    </row>
    <row r="190">
      <c r="A190" s="157" t="s">
        <v>185</v>
      </c>
      <c r="B190" s="157" t="s">
        <v>189</v>
      </c>
      <c r="C190" s="157" t="s">
        <v>408</v>
      </c>
      <c r="D190" s="157" t="s">
        <v>1016</v>
      </c>
      <c r="E190" s="157" t="s">
        <v>409</v>
      </c>
      <c r="F190" s="338">
        <v>45824.0</v>
      </c>
      <c r="G190" s="314">
        <v>0.0</v>
      </c>
      <c r="H190" s="314">
        <v>0.0</v>
      </c>
      <c r="I190" s="315">
        <v>1333155.7</v>
      </c>
      <c r="J190" s="315">
        <v>0.0</v>
      </c>
      <c r="K190" s="160">
        <v>12.0</v>
      </c>
      <c r="L190" s="160">
        <v>12.0</v>
      </c>
      <c r="M190" s="160">
        <v>0.0</v>
      </c>
      <c r="N190" s="160">
        <v>12.0</v>
      </c>
      <c r="O190" s="160">
        <v>0.0</v>
      </c>
      <c r="P190" s="315">
        <v>1333155.7</v>
      </c>
      <c r="Q190" s="315">
        <v>0.0</v>
      </c>
      <c r="R190" s="160">
        <v>7.0</v>
      </c>
      <c r="S190" s="160">
        <v>0.0</v>
      </c>
      <c r="T190" s="160">
        <v>7.0</v>
      </c>
      <c r="U190" s="160">
        <v>0.0</v>
      </c>
      <c r="V190" s="160">
        <v>2.0</v>
      </c>
      <c r="W190" s="160">
        <v>2.0</v>
      </c>
      <c r="X190" s="160">
        <v>0.0</v>
      </c>
      <c r="Y190" s="160">
        <v>0.0</v>
      </c>
      <c r="Z190" s="160">
        <v>0.0</v>
      </c>
      <c r="AA190" s="160">
        <v>0.0</v>
      </c>
      <c r="AB190" s="160">
        <v>0.0</v>
      </c>
      <c r="AC190" s="160">
        <v>0.0</v>
      </c>
      <c r="AD190" s="160">
        <v>0.0</v>
      </c>
      <c r="AE190" s="160">
        <v>13.0</v>
      </c>
      <c r="AF190" s="160">
        <v>15.0</v>
      </c>
      <c r="AG190" s="160">
        <v>13.0</v>
      </c>
      <c r="AH190" s="314">
        <f t="shared" si="2"/>
        <v>102550.4385</v>
      </c>
      <c r="AI190" s="314">
        <f t="shared" si="3"/>
        <v>1.153846154</v>
      </c>
      <c r="AJ190" s="346">
        <v>28850.0</v>
      </c>
      <c r="AK190" s="314">
        <f t="shared" si="63"/>
        <v>28273</v>
      </c>
      <c r="AL190" s="317"/>
      <c r="AM190" s="318">
        <f t="shared" si="5"/>
        <v>0.02120757538</v>
      </c>
      <c r="AN190" s="314">
        <f t="shared" si="6"/>
        <v>190450.8143</v>
      </c>
      <c r="AO190" s="336" t="str">
        <f t="shared" si="116"/>
        <v/>
      </c>
      <c r="AP190" s="319">
        <v>0.0</v>
      </c>
      <c r="AQ190" s="160">
        <v>11.0</v>
      </c>
      <c r="AR190" s="160">
        <v>125.0</v>
      </c>
      <c r="AS190" s="160">
        <v>0.0</v>
      </c>
      <c r="AT190" s="160">
        <v>0.0</v>
      </c>
      <c r="AU190" s="160">
        <v>0.0</v>
      </c>
      <c r="AV190" s="320">
        <v>7.0</v>
      </c>
      <c r="AW190" s="320">
        <v>5.0</v>
      </c>
      <c r="AX190" s="320">
        <v>0.0</v>
      </c>
      <c r="AY190" s="321">
        <f>iferror(VLOOKUP(C190,'ORDER BOOKING REPORT 2025-26'!C:O,13,0),"")</f>
        <v>0</v>
      </c>
      <c r="AZ190" s="322">
        <v>45852.0</v>
      </c>
      <c r="BA190" s="157" t="str">
        <f t="shared" si="7"/>
        <v>LEFT</v>
      </c>
      <c r="BB190" s="157" t="str">
        <f t="shared" si="8"/>
        <v>New</v>
      </c>
      <c r="BC190" s="160" t="s">
        <v>972</v>
      </c>
      <c r="BD190" s="223">
        <v>0.98</v>
      </c>
      <c r="BE190" s="323"/>
      <c r="BF190" s="157">
        <f t="shared" si="10"/>
        <v>0</v>
      </c>
      <c r="BG190" s="157" t="s">
        <v>1019</v>
      </c>
      <c r="BH190" s="324"/>
      <c r="BI190" s="324"/>
      <c r="BJ190" s="343">
        <f>(16/30)+(14/31)</f>
        <v>0.9849462366</v>
      </c>
      <c r="BK190" s="326"/>
      <c r="BL190" s="326">
        <f t="shared" si="48"/>
        <v>0</v>
      </c>
      <c r="BM190" s="326">
        <f t="shared" si="12"/>
        <v>0</v>
      </c>
      <c r="BN190" s="326"/>
      <c r="BO190" s="327" t="str">
        <f>IFERROR(__xludf.DUMMYFUNCTION("IFERROR(ArrayFormula(SUM(VLOOKUP($C190,importrange(""1MwNMVzWE3QBVOyJjKr3eFX-Sq1Ng0Q1sghWJbgbE_8g"",""ORDER BOOKING REPORT 2024-25!C:CV""),{16,23,30},0))))"),"")</f>
        <v/>
      </c>
      <c r="BP190" s="327" t="str">
        <f>IFERROR(__xludf.DUMMYFUNCTION("IFERROR(ArrayFormula(SUM(VLOOKUP($C190,importrange(""1MwNMVzWE3QBVOyJjKr3eFX-Sq1Ng0Q1sghWJbgbE_8g"",""ORDER BOOKING REPORT 2024-25!C:CV""),{37,44,51},0))))"),"")</f>
        <v/>
      </c>
      <c r="BQ190" s="327" t="str">
        <f>IFERROR(__xludf.DUMMYFUNCTION("IFERROR(ArrayFormula(SUM(VLOOKUP($C190,importrange(""1MwNMVzWE3QBVOyJjKr3eFX-Sq1Ng0Q1sghWJbgbE_8g"",""ORDER BOOKING REPORT 2024-25!C:CV""),{58,65,72},0))))"),"")</f>
        <v/>
      </c>
      <c r="BR190" s="327" t="str">
        <f>IFERROR(__xludf.DUMMYFUNCTION("IFERROR(ArrayFormula(SUM(VLOOKUP($C190,importrange(""1MwNMVzWE3QBVOyJjKr3eFX-Sq1Ng0Q1sghWJbgbE_8g"",""ORDER BOOKING REPORT 2024-25!C:CV""),{79,86,93},0))))"),"")</f>
        <v/>
      </c>
      <c r="BS190" s="328" t="str">
        <f t="shared" si="13"/>
        <v/>
      </c>
      <c r="BT190" s="328" t="str">
        <f t="shared" si="14"/>
        <v/>
      </c>
      <c r="BU190" s="234">
        <f t="shared" si="15"/>
        <v>0</v>
      </c>
      <c r="BV190" s="329">
        <v>28850.0</v>
      </c>
      <c r="BW190" s="329" t="s">
        <v>1029</v>
      </c>
      <c r="BX190" s="329">
        <v>1255.0</v>
      </c>
      <c r="BY190" s="234">
        <f t="shared" si="16"/>
        <v>0</v>
      </c>
      <c r="BZ190" s="234"/>
      <c r="CA190" s="234"/>
      <c r="CB190" s="234"/>
      <c r="CC190" s="234"/>
      <c r="CD190" s="234"/>
      <c r="CE190" s="234"/>
      <c r="CF190" s="234"/>
      <c r="CG190" s="234" t="str">
        <f t="shared" si="19"/>
        <v>Below 60</v>
      </c>
      <c r="CH190" s="234" t="str">
        <f t="shared" si="27"/>
        <v>Business Achieved 50%</v>
      </c>
      <c r="CI190" s="328">
        <f t="shared" si="20"/>
        <v>0.5833333333</v>
      </c>
      <c r="CJ190" s="330">
        <f>IFERROR(__xludf.DUMMYFUNCTION("""COMPUTED_VALUE"""),8.0)</f>
        <v>8</v>
      </c>
      <c r="CK190" s="330">
        <f>IFERROR(__xludf.DUMMYFUNCTION("""COMPUTED_VALUE"""),5.0)</f>
        <v>5</v>
      </c>
      <c r="CL190" s="330">
        <f>IFERROR(__xludf.DUMMYFUNCTION("""COMPUTED_VALUE"""),0.0)</f>
        <v>0</v>
      </c>
      <c r="CM190" s="331">
        <f t="shared" si="21"/>
        <v>0</v>
      </c>
      <c r="CN190" s="337"/>
      <c r="CO190" s="160"/>
      <c r="CP190" s="334"/>
      <c r="CQ190" s="335"/>
      <c r="CR190" s="160"/>
      <c r="CS190" s="160"/>
      <c r="CT190" s="160"/>
      <c r="CU190" s="160"/>
      <c r="CV190" s="160"/>
      <c r="CW190" s="335"/>
      <c r="CX190" s="288"/>
      <c r="CY190" s="160"/>
      <c r="CZ190" s="160"/>
    </row>
    <row r="191">
      <c r="A191" s="348" t="s">
        <v>185</v>
      </c>
      <c r="B191" s="348" t="s">
        <v>85</v>
      </c>
      <c r="C191" s="348" t="s">
        <v>397</v>
      </c>
      <c r="D191" s="157" t="s">
        <v>1058</v>
      </c>
      <c r="E191" s="157" t="s">
        <v>398</v>
      </c>
      <c r="F191" s="338">
        <v>45824.0</v>
      </c>
      <c r="G191" s="314">
        <v>0.0</v>
      </c>
      <c r="H191" s="314">
        <v>9000000.0</v>
      </c>
      <c r="I191" s="315">
        <v>523145.87</v>
      </c>
      <c r="J191" s="315">
        <v>0.0</v>
      </c>
      <c r="K191" s="160">
        <v>23.0</v>
      </c>
      <c r="L191" s="160">
        <v>36.0</v>
      </c>
      <c r="M191" s="160">
        <v>13.0</v>
      </c>
      <c r="N191" s="160">
        <v>36.0</v>
      </c>
      <c r="O191" s="160">
        <v>0.0</v>
      </c>
      <c r="P191" s="315">
        <v>134606.42</v>
      </c>
      <c r="Q191" s="315">
        <v>388539.45</v>
      </c>
      <c r="R191" s="160">
        <v>5.0</v>
      </c>
      <c r="S191" s="160">
        <v>13.0</v>
      </c>
      <c r="T191" s="160">
        <v>18.0</v>
      </c>
      <c r="U191" s="160">
        <v>0.0</v>
      </c>
      <c r="V191" s="160">
        <v>117.0</v>
      </c>
      <c r="W191" s="160">
        <v>399.0</v>
      </c>
      <c r="X191" s="160">
        <v>0.0</v>
      </c>
      <c r="Y191" s="160">
        <v>2.0</v>
      </c>
      <c r="Z191" s="160">
        <v>5.0</v>
      </c>
      <c r="AA191" s="160">
        <v>0.0</v>
      </c>
      <c r="AB191" s="160">
        <v>0.0</v>
      </c>
      <c r="AC191" s="160">
        <v>8.0</v>
      </c>
      <c r="AD191" s="160">
        <v>34.0</v>
      </c>
      <c r="AE191" s="160">
        <v>253.0</v>
      </c>
      <c r="AF191" s="160">
        <v>691.0</v>
      </c>
      <c r="AG191" s="160">
        <v>137.0</v>
      </c>
      <c r="AH191" s="314">
        <f t="shared" si="2"/>
        <v>3818.582993</v>
      </c>
      <c r="AI191" s="314">
        <f t="shared" si="3"/>
        <v>5.04379562</v>
      </c>
      <c r="AJ191" s="316">
        <f>BV191</f>
        <v>32500</v>
      </c>
      <c r="AK191" s="314">
        <f t="shared" si="63"/>
        <v>193916.6667</v>
      </c>
      <c r="AL191" s="286">
        <v>53947.0</v>
      </c>
      <c r="AM191" s="318">
        <f t="shared" si="5"/>
        <v>0.4737945588</v>
      </c>
      <c r="AN191" s="314">
        <f t="shared" si="6"/>
        <v>29063.65944</v>
      </c>
      <c r="AO191" s="336">
        <f t="shared" si="116"/>
        <v>0.05812731889</v>
      </c>
      <c r="AP191" s="319">
        <v>0.0</v>
      </c>
      <c r="AQ191" s="160">
        <v>36.0</v>
      </c>
      <c r="AR191" s="160">
        <v>1198.0</v>
      </c>
      <c r="AS191" s="160">
        <v>0.0</v>
      </c>
      <c r="AT191" s="160">
        <v>13.0</v>
      </c>
      <c r="AU191" s="160">
        <v>0.0</v>
      </c>
      <c r="AV191" s="320">
        <v>18.0</v>
      </c>
      <c r="AW191" s="320">
        <v>18.0</v>
      </c>
      <c r="AX191" s="320">
        <v>0.0</v>
      </c>
      <c r="AY191" s="321">
        <f>iferror(VLOOKUP(C191,'ORDER BOOKING REPORT 2025-26'!C:O,13,0),"")</f>
        <v>610578</v>
      </c>
      <c r="AZ191" s="322">
        <v>46009.0</v>
      </c>
      <c r="BA191" s="157" t="str">
        <f t="shared" si="7"/>
        <v>LEFT</v>
      </c>
      <c r="BB191" s="157" t="str">
        <f t="shared" si="8"/>
        <v>New</v>
      </c>
      <c r="BC191" s="157" t="str">
        <f>IFS(AO191&lt;50%,"Below 50%",AO191&lt;70%,"50%-70%",AO191&lt;90%,"70%-90%",AO191&lt;100%,"90%-100%",AO191&gt;100%,"Above 100%")</f>
        <v>Below 50%</v>
      </c>
      <c r="BD191" s="352">
        <f>(30-16)/30+2+1+1+1+0.5</f>
        <v>5.966666667</v>
      </c>
      <c r="BE191" s="323">
        <v>1500000.0</v>
      </c>
      <c r="BF191" s="157">
        <f t="shared" si="10"/>
        <v>0</v>
      </c>
      <c r="BG191" s="157" t="s">
        <v>1019</v>
      </c>
      <c r="BH191" s="324"/>
      <c r="BI191" s="324"/>
      <c r="BJ191" s="343">
        <f>(14/30)+(18/31)</f>
        <v>1.047311828</v>
      </c>
      <c r="BK191" s="326"/>
      <c r="BL191" s="326">
        <f t="shared" si="48"/>
        <v>0</v>
      </c>
      <c r="BM191" s="326">
        <f t="shared" si="12"/>
        <v>9000000</v>
      </c>
      <c r="BN191" s="326"/>
      <c r="BO191" s="327" t="str">
        <f>IFERROR(__xludf.DUMMYFUNCTION("IFERROR(ArrayFormula(SUM(VLOOKUP($C191,importrange(""1MwNMVzWE3QBVOyJjKr3eFX-Sq1Ng0Q1sghWJbgbE_8g"",""ORDER BOOKING REPORT 2024-25!C:CV""),{16,23,30},0))))"),"")</f>
        <v/>
      </c>
      <c r="BP191" s="327" t="str">
        <f>IFERROR(__xludf.DUMMYFUNCTION("IFERROR(ArrayFormula(SUM(VLOOKUP($C191,importrange(""1MwNMVzWE3QBVOyJjKr3eFX-Sq1Ng0Q1sghWJbgbE_8g"",""ORDER BOOKING REPORT 2024-25!C:CV""),{37,44,51},0))))"),"")</f>
        <v/>
      </c>
      <c r="BQ191" s="327" t="str">
        <f>IFERROR(__xludf.DUMMYFUNCTION("IFERROR(ArrayFormula(SUM(VLOOKUP($C191,importrange(""1MwNMVzWE3QBVOyJjKr3eFX-Sq1Ng0Q1sghWJbgbE_8g"",""ORDER BOOKING REPORT 2024-25!C:CV""),{58,65,72},0))))"),"")</f>
        <v/>
      </c>
      <c r="BR191" s="327" t="str">
        <f>IFERROR(__xludf.DUMMYFUNCTION("IFERROR(ArrayFormula(SUM(VLOOKUP($C191,importrange(""1MwNMVzWE3QBVOyJjKr3eFX-Sq1Ng0Q1sghWJbgbE_8g"",""ORDER BOOKING REPORT 2024-25!C:CV""),{79,86,93},0))))"),"")</f>
        <v/>
      </c>
      <c r="BS191" s="328">
        <f t="shared" si="13"/>
        <v>0.067842</v>
      </c>
      <c r="BT191" s="328">
        <f t="shared" si="14"/>
        <v>0.4059492263</v>
      </c>
      <c r="BU191" s="234">
        <f t="shared" si="15"/>
        <v>0</v>
      </c>
      <c r="BV191" s="329">
        <v>32500.0</v>
      </c>
      <c r="BW191" s="329" t="s">
        <v>1045</v>
      </c>
      <c r="BX191" s="329">
        <v>1256.0</v>
      </c>
      <c r="BY191" s="234">
        <f t="shared" si="16"/>
        <v>0</v>
      </c>
      <c r="BZ191" s="234"/>
      <c r="CA191" s="234"/>
      <c r="CB191" s="234"/>
      <c r="CC191" s="234"/>
      <c r="CD191" s="234"/>
      <c r="CE191" s="234"/>
      <c r="CF191" s="234"/>
      <c r="CG191" s="234" t="str">
        <f t="shared" si="19"/>
        <v>Below 60</v>
      </c>
      <c r="CH191" s="234" t="str">
        <f t="shared" si="27"/>
        <v>Business Achieved 50%</v>
      </c>
      <c r="CI191" s="328">
        <f t="shared" si="20"/>
        <v>0.5</v>
      </c>
      <c r="CJ191" s="339">
        <f>IFERROR(__xludf.DUMMYFUNCTION("""COMPUTED_VALUE"""),159.0)</f>
        <v>159</v>
      </c>
      <c r="CK191" s="339">
        <f>IFERROR(__xludf.DUMMYFUNCTION("""COMPUTED_VALUE"""),94.0)</f>
        <v>94</v>
      </c>
      <c r="CL191" s="339">
        <f>IFERROR(__xludf.DUMMYFUNCTION("""COMPUTED_VALUE"""),0.0)</f>
        <v>0</v>
      </c>
      <c r="CM191" s="331">
        <f t="shared" si="21"/>
        <v>0</v>
      </c>
      <c r="CN191" s="340"/>
      <c r="CO191" s="328"/>
      <c r="CP191" s="341"/>
      <c r="CQ191" s="344"/>
      <c r="CR191" s="328"/>
      <c r="CS191" s="328"/>
      <c r="CT191" s="328"/>
      <c r="CU191" s="328"/>
      <c r="CV191" s="328"/>
      <c r="CW191" s="328"/>
      <c r="CX191" s="288"/>
      <c r="CY191" s="328"/>
      <c r="CZ191" s="328"/>
    </row>
    <row r="192">
      <c r="A192" s="157" t="s">
        <v>23</v>
      </c>
      <c r="B192" s="157" t="s">
        <v>37</v>
      </c>
      <c r="C192" s="157" t="s">
        <v>875</v>
      </c>
      <c r="D192" s="157" t="s">
        <v>1110</v>
      </c>
      <c r="E192" s="157" t="s">
        <v>42</v>
      </c>
      <c r="F192" s="338">
        <v>45828.0</v>
      </c>
      <c r="G192" s="314">
        <v>0.0</v>
      </c>
      <c r="H192" s="314">
        <v>0.0</v>
      </c>
      <c r="I192" s="315">
        <v>0.0</v>
      </c>
      <c r="J192" s="315">
        <v>0.0</v>
      </c>
      <c r="K192" s="160">
        <v>0.0</v>
      </c>
      <c r="L192" s="160">
        <v>0.0</v>
      </c>
      <c r="M192" s="160">
        <v>0.0</v>
      </c>
      <c r="N192" s="160">
        <v>0.0</v>
      </c>
      <c r="O192" s="160">
        <v>0.0</v>
      </c>
      <c r="P192" s="315">
        <v>0.0</v>
      </c>
      <c r="Q192" s="315">
        <v>0.0</v>
      </c>
      <c r="R192" s="160">
        <v>0.0</v>
      </c>
      <c r="S192" s="160">
        <v>0.0</v>
      </c>
      <c r="T192" s="160">
        <v>0.0</v>
      </c>
      <c r="U192" s="160">
        <v>0.0</v>
      </c>
      <c r="V192" s="160">
        <v>1.0</v>
      </c>
      <c r="W192" s="160">
        <v>1.0</v>
      </c>
      <c r="X192" s="160">
        <v>0.0</v>
      </c>
      <c r="Y192" s="160">
        <v>0.0</v>
      </c>
      <c r="Z192" s="160">
        <v>0.0</v>
      </c>
      <c r="AA192" s="160">
        <v>0.0</v>
      </c>
      <c r="AB192" s="160">
        <v>0.0</v>
      </c>
      <c r="AC192" s="160">
        <v>0.0</v>
      </c>
      <c r="AD192" s="160">
        <v>0.0</v>
      </c>
      <c r="AE192" s="160">
        <v>0.0</v>
      </c>
      <c r="AF192" s="160">
        <v>1.0</v>
      </c>
      <c r="AG192" s="160">
        <v>1.0</v>
      </c>
      <c r="AH192" s="314">
        <f t="shared" si="2"/>
        <v>0</v>
      </c>
      <c r="AI192" s="314">
        <f t="shared" si="3"/>
        <v>1</v>
      </c>
      <c r="AJ192" s="346">
        <v>24120.0</v>
      </c>
      <c r="AK192" s="314">
        <f t="shared" si="63"/>
        <v>0</v>
      </c>
      <c r="AL192" s="286"/>
      <c r="AM192" s="318" t="str">
        <f t="shared" si="5"/>
        <v/>
      </c>
      <c r="AN192" s="314" t="str">
        <f t="shared" si="6"/>
        <v/>
      </c>
      <c r="AO192" s="336" t="str">
        <f t="shared" si="116"/>
        <v/>
      </c>
      <c r="AP192" s="319">
        <v>0.0</v>
      </c>
      <c r="AQ192" s="160">
        <v>0.0</v>
      </c>
      <c r="AR192" s="160">
        <v>4.0</v>
      </c>
      <c r="AS192" s="160">
        <v>0.0</v>
      </c>
      <c r="AT192" s="160">
        <v>0.0</v>
      </c>
      <c r="AU192" s="160">
        <v>0.0</v>
      </c>
      <c r="AV192" s="320">
        <v>0.0</v>
      </c>
      <c r="AW192" s="320">
        <v>0.0</v>
      </c>
      <c r="AX192" s="320">
        <v>0.0</v>
      </c>
      <c r="AY192" s="321" t="str">
        <f>iferror(VLOOKUP(C192,'ORDER BOOKING REPORT 2025-26'!C:O,13,0),"")</f>
        <v/>
      </c>
      <c r="AZ192" s="322">
        <v>45831.0</v>
      </c>
      <c r="BA192" s="157" t="str">
        <f t="shared" si="7"/>
        <v>LEFT</v>
      </c>
      <c r="BB192" s="157" t="str">
        <f t="shared" si="8"/>
        <v>New</v>
      </c>
      <c r="BC192" s="160" t="s">
        <v>972</v>
      </c>
      <c r="BD192" s="223">
        <v>0.0</v>
      </c>
      <c r="BE192" s="323"/>
      <c r="BF192" s="157">
        <f t="shared" si="10"/>
        <v>0</v>
      </c>
      <c r="BG192" s="157" t="s">
        <v>1019</v>
      </c>
      <c r="BH192" s="324"/>
      <c r="BI192" s="324"/>
      <c r="BJ192" s="343"/>
      <c r="BK192" s="326"/>
      <c r="BL192" s="326">
        <f t="shared" si="48"/>
        <v>0</v>
      </c>
      <c r="BM192" s="326">
        <f t="shared" si="12"/>
        <v>0</v>
      </c>
      <c r="BN192" s="326"/>
      <c r="BO192" s="327" t="str">
        <f>IFERROR(__xludf.DUMMYFUNCTION("IFERROR(ArrayFormula(SUM(VLOOKUP($C192,importrange(""1MwNMVzWE3QBVOyJjKr3eFX-Sq1Ng0Q1sghWJbgbE_8g"",""ORDER BOOKING REPORT 2024-25!C:CV""),{16,23,30},0))))"),"")</f>
        <v/>
      </c>
      <c r="BP192" s="327" t="str">
        <f>IFERROR(__xludf.DUMMYFUNCTION("IFERROR(ArrayFormula(SUM(VLOOKUP($C192,importrange(""1MwNMVzWE3QBVOyJjKr3eFX-Sq1Ng0Q1sghWJbgbE_8g"",""ORDER BOOKING REPORT 2024-25!C:CV""),{37,44,51},0))))"),"")</f>
        <v/>
      </c>
      <c r="BQ192" s="327" t="str">
        <f>IFERROR(__xludf.DUMMYFUNCTION("IFERROR(ArrayFormula(SUM(VLOOKUP($C192,importrange(""1MwNMVzWE3QBVOyJjKr3eFX-Sq1Ng0Q1sghWJbgbE_8g"",""ORDER BOOKING REPORT 2024-25!C:CV""),{58,65,72},0))))"),"")</f>
        <v/>
      </c>
      <c r="BR192" s="327" t="str">
        <f>IFERROR(__xludf.DUMMYFUNCTION("IFERROR(ArrayFormula(SUM(VLOOKUP($C192,importrange(""1MwNMVzWE3QBVOyJjKr3eFX-Sq1Ng0Q1sghWJbgbE_8g"",""ORDER BOOKING REPORT 2024-25!C:CV""),{79,86,93},0))))"),"")</f>
        <v/>
      </c>
      <c r="BS192" s="328" t="str">
        <f t="shared" si="13"/>
        <v/>
      </c>
      <c r="BT192" s="328" t="str">
        <f t="shared" si="14"/>
        <v/>
      </c>
      <c r="BU192" s="234">
        <f t="shared" si="15"/>
        <v>0</v>
      </c>
      <c r="BV192" s="329"/>
      <c r="BW192" s="329"/>
      <c r="BX192" s="329"/>
      <c r="BY192" s="234">
        <f t="shared" si="16"/>
        <v>-24120</v>
      </c>
      <c r="BZ192" s="234"/>
      <c r="CA192" s="234"/>
      <c r="CB192" s="234"/>
      <c r="CC192" s="234"/>
      <c r="CD192" s="234"/>
      <c r="CE192" s="234"/>
      <c r="CF192" s="234"/>
      <c r="CG192" s="234" t="str">
        <f t="shared" si="19"/>
        <v>Below 60</v>
      </c>
      <c r="CH192" s="234" t="str">
        <f t="shared" si="27"/>
        <v>Not 50%</v>
      </c>
      <c r="CI192" s="328" t="str">
        <f t="shared" si="20"/>
        <v/>
      </c>
      <c r="CJ192" s="339"/>
      <c r="CK192" s="339"/>
      <c r="CL192" s="339"/>
      <c r="CM192" s="331">
        <f t="shared" si="21"/>
        <v>0</v>
      </c>
      <c r="CN192" s="340"/>
      <c r="CO192" s="328"/>
      <c r="CP192" s="341"/>
      <c r="CQ192" s="344"/>
      <c r="CR192" s="328"/>
      <c r="CS192" s="328"/>
      <c r="CT192" s="328"/>
      <c r="CU192" s="328"/>
      <c r="CV192" s="328"/>
      <c r="CW192" s="328"/>
      <c r="CX192" s="288"/>
      <c r="CY192" s="328"/>
      <c r="CZ192" s="328"/>
    </row>
    <row r="193">
      <c r="A193" s="157" t="s">
        <v>23</v>
      </c>
      <c r="B193" s="157" t="s">
        <v>27</v>
      </c>
      <c r="C193" s="157" t="s">
        <v>337</v>
      </c>
      <c r="D193" s="157" t="s">
        <v>1073</v>
      </c>
      <c r="E193" s="157" t="s">
        <v>338</v>
      </c>
      <c r="F193" s="338">
        <v>45831.0</v>
      </c>
      <c r="G193" s="314">
        <v>150000.0</v>
      </c>
      <c r="H193" s="314">
        <v>3000000.0</v>
      </c>
      <c r="I193" s="315">
        <v>225872.96</v>
      </c>
      <c r="J193" s="315">
        <v>80988.16</v>
      </c>
      <c r="K193" s="160">
        <v>14.0</v>
      </c>
      <c r="L193" s="160">
        <v>23.0</v>
      </c>
      <c r="M193" s="160">
        <v>9.0</v>
      </c>
      <c r="N193" s="160">
        <v>23.0</v>
      </c>
      <c r="O193" s="160">
        <v>0.0</v>
      </c>
      <c r="P193" s="315">
        <v>6968.5</v>
      </c>
      <c r="Q193" s="315">
        <v>218904.46</v>
      </c>
      <c r="R193" s="160">
        <v>1.0</v>
      </c>
      <c r="S193" s="160">
        <v>9.0</v>
      </c>
      <c r="T193" s="160">
        <v>10.0</v>
      </c>
      <c r="U193" s="160">
        <v>1.0</v>
      </c>
      <c r="V193" s="160">
        <v>265.0</v>
      </c>
      <c r="W193" s="160">
        <v>517.0</v>
      </c>
      <c r="X193" s="160">
        <v>5.0</v>
      </c>
      <c r="Y193" s="160">
        <v>3.0</v>
      </c>
      <c r="Z193" s="160">
        <v>21.0</v>
      </c>
      <c r="AA193" s="160">
        <v>1.0</v>
      </c>
      <c r="AB193" s="160">
        <v>3.0</v>
      </c>
      <c r="AC193" s="160">
        <v>7.0</v>
      </c>
      <c r="AD193" s="160">
        <v>15.0</v>
      </c>
      <c r="AE193" s="160">
        <v>61.0</v>
      </c>
      <c r="AF193" s="160">
        <v>617.0</v>
      </c>
      <c r="AG193" s="160">
        <v>83.0</v>
      </c>
      <c r="AH193" s="314">
        <f t="shared" si="2"/>
        <v>3697.121928</v>
      </c>
      <c r="AI193" s="314">
        <f t="shared" si="3"/>
        <v>7.43373494</v>
      </c>
      <c r="AJ193" s="316">
        <f t="shared" ref="AJ193:AJ194" si="118">BV193</f>
        <v>24116</v>
      </c>
      <c r="AK193" s="314">
        <f t="shared" si="63"/>
        <v>90836.93333</v>
      </c>
      <c r="AL193" s="286">
        <v>13080.0</v>
      </c>
      <c r="AM193" s="318">
        <f t="shared" si="5"/>
        <v>0.3386448349</v>
      </c>
      <c r="AN193" s="314">
        <f t="shared" si="6"/>
        <v>22587.296</v>
      </c>
      <c r="AO193" s="336">
        <f t="shared" si="116"/>
        <v>0.09741622857</v>
      </c>
      <c r="AP193" s="319">
        <v>0.18</v>
      </c>
      <c r="AQ193" s="160">
        <v>19.0</v>
      </c>
      <c r="AR193" s="160">
        <v>657.0</v>
      </c>
      <c r="AS193" s="160">
        <v>0.0</v>
      </c>
      <c r="AT193" s="160">
        <v>9.0</v>
      </c>
      <c r="AU193" s="160">
        <v>0.0</v>
      </c>
      <c r="AV193" s="320">
        <v>10.0</v>
      </c>
      <c r="AW193" s="320">
        <v>13.0</v>
      </c>
      <c r="AX193" s="320">
        <v>0.0</v>
      </c>
      <c r="AY193" s="321">
        <f>iferror(VLOOKUP(C193,'ORDER BOOKING REPORT 2025-26'!C:O,13,0),"")</f>
        <v>129664</v>
      </c>
      <c r="AZ193" s="322">
        <v>45930.0</v>
      </c>
      <c r="BA193" s="157" t="str">
        <f t="shared" si="7"/>
        <v>LEFT</v>
      </c>
      <c r="BB193" s="157" t="str">
        <f t="shared" si="8"/>
        <v>New</v>
      </c>
      <c r="BC193" s="157" t="str">
        <f t="shared" ref="BC193:BC198" si="119">IFS(AO193&lt;50%,"Below 50%",AO193&lt;70%,"50%-70%",AO193&lt;90%,"70%-90%",AO193&lt;100%,"90%-100%",AO193&gt;100%,"Above 100%")</f>
        <v>Below 50%</v>
      </c>
      <c r="BD193" s="352">
        <f>(23/30)+3</f>
        <v>3.766666667</v>
      </c>
      <c r="BE193" s="326">
        <v>1000000.0</v>
      </c>
      <c r="BF193" s="157">
        <f t="shared" si="10"/>
        <v>0</v>
      </c>
      <c r="BG193" s="157" t="s">
        <v>1019</v>
      </c>
      <c r="BH193" s="324"/>
      <c r="BI193" s="324"/>
      <c r="BJ193" s="343">
        <f t="shared" ref="BJ193:BJ194" si="120">7/30</f>
        <v>0.2333333333</v>
      </c>
      <c r="BK193" s="326">
        <v>50000.0</v>
      </c>
      <c r="BL193" s="326">
        <f>BK193*3</f>
        <v>150000</v>
      </c>
      <c r="BM193" s="326">
        <f t="shared" si="12"/>
        <v>3150000</v>
      </c>
      <c r="BN193" s="326"/>
      <c r="BO193" s="327" t="str">
        <f>IFERROR(__xludf.DUMMYFUNCTION("IFERROR(ArrayFormula(SUM(VLOOKUP($C193,importrange(""1MwNMVzWE3QBVOyJjKr3eFX-Sq1Ng0Q1sghWJbgbE_8g"",""ORDER BOOKING REPORT 2024-25!C:CV""),{16,23,30},0))))"),"")</f>
        <v/>
      </c>
      <c r="BP193" s="327" t="str">
        <f>IFERROR(__xludf.DUMMYFUNCTION("IFERROR(ArrayFormula(SUM(VLOOKUP($C193,importrange(""1MwNMVzWE3QBVOyJjKr3eFX-Sq1Ng0Q1sghWJbgbE_8g"",""ORDER BOOKING REPORT 2024-25!C:CV""),{37,44,51},0))))"),"")</f>
        <v/>
      </c>
      <c r="BQ193" s="327" t="str">
        <f>IFERROR(__xludf.DUMMYFUNCTION("IFERROR(ArrayFormula(SUM(VLOOKUP($C193,importrange(""1MwNMVzWE3QBVOyJjKr3eFX-Sq1Ng0Q1sghWJbgbE_8g"",""ORDER BOOKING REPORT 2024-25!C:CV""),{58,65,72},0))))"),"")</f>
        <v/>
      </c>
      <c r="BR193" s="327" t="str">
        <f>IFERROR(__xludf.DUMMYFUNCTION("IFERROR(ArrayFormula(SUM(VLOOKUP($C193,importrange(""1MwNMVzWE3QBVOyJjKr3eFX-Sq1Ng0Q1sghWJbgbE_8g"",""ORDER BOOKING REPORT 2024-25!C:CV""),{79,86,93},0))))"),"")</f>
        <v/>
      </c>
      <c r="BS193" s="328">
        <f t="shared" si="13"/>
        <v>0.0411631746</v>
      </c>
      <c r="BT193" s="328">
        <f t="shared" si="14"/>
        <v>0.8014324202</v>
      </c>
      <c r="BU193" s="234">
        <f t="shared" si="15"/>
        <v>0</v>
      </c>
      <c r="BV193" s="329">
        <v>24116.0</v>
      </c>
      <c r="BW193" s="329" t="s">
        <v>1045</v>
      </c>
      <c r="BX193" s="329">
        <v>1259.0</v>
      </c>
      <c r="BY193" s="234">
        <f t="shared" si="16"/>
        <v>0</v>
      </c>
      <c r="BZ193" s="234"/>
      <c r="CA193" s="234">
        <f>BE193*BD193</f>
        <v>3766666.667</v>
      </c>
      <c r="CB193" s="234"/>
      <c r="CC193" s="234">
        <f>CA193-H193</f>
        <v>766666.6667</v>
      </c>
      <c r="CD193" s="234"/>
      <c r="CE193" s="234"/>
      <c r="CF193" s="234"/>
      <c r="CG193" s="234" t="str">
        <f t="shared" si="19"/>
        <v>Below 60</v>
      </c>
      <c r="CH193" s="234" t="str">
        <f t="shared" si="27"/>
        <v>Not 50%</v>
      </c>
      <c r="CI193" s="328">
        <f t="shared" si="20"/>
        <v>0.4347826087</v>
      </c>
      <c r="CJ193" s="339">
        <f>IFERROR(__xludf.DUMMYFUNCTION("""COMPUTED_VALUE"""),42.0)</f>
        <v>42</v>
      </c>
      <c r="CK193" s="339">
        <f>IFERROR(__xludf.DUMMYFUNCTION("""COMPUTED_VALUE"""),19.0)</f>
        <v>19</v>
      </c>
      <c r="CL193" s="339">
        <f>IFERROR(__xludf.DUMMYFUNCTION("""COMPUTED_VALUE"""),0.0)</f>
        <v>0</v>
      </c>
      <c r="CM193" s="331">
        <f t="shared" si="21"/>
        <v>0</v>
      </c>
      <c r="CN193" s="340"/>
      <c r="CO193" s="328"/>
      <c r="CP193" s="341"/>
      <c r="CQ193" s="344"/>
      <c r="CR193" s="328"/>
      <c r="CS193" s="328"/>
      <c r="CT193" s="328"/>
      <c r="CU193" s="328"/>
      <c r="CV193" s="328"/>
      <c r="CW193" s="328"/>
      <c r="CX193" s="288"/>
      <c r="CY193" s="328"/>
      <c r="CZ193" s="328"/>
    </row>
    <row r="194">
      <c r="A194" s="348" t="s">
        <v>185</v>
      </c>
      <c r="B194" s="348" t="s">
        <v>85</v>
      </c>
      <c r="C194" s="348" t="s">
        <v>399</v>
      </c>
      <c r="D194" s="157" t="s">
        <v>1058</v>
      </c>
      <c r="E194" s="157" t="s">
        <v>87</v>
      </c>
      <c r="F194" s="338">
        <v>45831.0</v>
      </c>
      <c r="G194" s="314">
        <v>0.0</v>
      </c>
      <c r="H194" s="314">
        <v>1.05E7</v>
      </c>
      <c r="I194" s="315">
        <v>1405374.08</v>
      </c>
      <c r="J194" s="315">
        <v>0.0</v>
      </c>
      <c r="K194" s="160">
        <v>103.0</v>
      </c>
      <c r="L194" s="160">
        <v>121.0</v>
      </c>
      <c r="M194" s="160">
        <v>20.0</v>
      </c>
      <c r="N194" s="160">
        <v>123.0</v>
      </c>
      <c r="O194" s="160">
        <v>2.0</v>
      </c>
      <c r="P194" s="315">
        <v>1115169.58</v>
      </c>
      <c r="Q194" s="315">
        <v>290204.5</v>
      </c>
      <c r="R194" s="160">
        <v>45.0</v>
      </c>
      <c r="S194" s="160">
        <v>17.0</v>
      </c>
      <c r="T194" s="160">
        <v>62.0</v>
      </c>
      <c r="U194" s="160">
        <v>0.0</v>
      </c>
      <c r="V194" s="160">
        <v>201.0</v>
      </c>
      <c r="W194" s="160">
        <v>624.0</v>
      </c>
      <c r="X194" s="160">
        <v>0.0</v>
      </c>
      <c r="Y194" s="160">
        <v>2.0</v>
      </c>
      <c r="Z194" s="160">
        <v>22.0</v>
      </c>
      <c r="AA194" s="160">
        <v>0.0</v>
      </c>
      <c r="AB194" s="160">
        <v>0.0</v>
      </c>
      <c r="AC194" s="160">
        <v>0.0</v>
      </c>
      <c r="AD194" s="160">
        <v>0.0</v>
      </c>
      <c r="AE194" s="160">
        <v>558.0</v>
      </c>
      <c r="AF194" s="160">
        <v>1204.0</v>
      </c>
      <c r="AG194" s="160">
        <v>159.0</v>
      </c>
      <c r="AH194" s="314">
        <f t="shared" si="2"/>
        <v>8838.830692</v>
      </c>
      <c r="AI194" s="314">
        <f t="shared" si="3"/>
        <v>7.572327044</v>
      </c>
      <c r="AJ194" s="316">
        <f t="shared" si="118"/>
        <v>27785</v>
      </c>
      <c r="AK194" s="314">
        <f t="shared" si="63"/>
        <v>184862.8667</v>
      </c>
      <c r="AL194" s="286">
        <v>96230.0</v>
      </c>
      <c r="AM194" s="318">
        <f t="shared" si="5"/>
        <v>0.200012844</v>
      </c>
      <c r="AN194" s="314">
        <f t="shared" si="6"/>
        <v>22667.32387</v>
      </c>
      <c r="AO194" s="336">
        <f t="shared" si="116"/>
        <v>0.1338451505</v>
      </c>
      <c r="AP194" s="319">
        <v>0.0</v>
      </c>
      <c r="AQ194" s="160">
        <v>378.0</v>
      </c>
      <c r="AR194" s="160">
        <v>1762.0</v>
      </c>
      <c r="AS194" s="160">
        <v>0.0</v>
      </c>
      <c r="AT194" s="160">
        <v>17.0</v>
      </c>
      <c r="AU194" s="160">
        <v>0.0</v>
      </c>
      <c r="AV194" s="320">
        <v>62.0</v>
      </c>
      <c r="AW194" s="320">
        <v>61.0</v>
      </c>
      <c r="AX194" s="320">
        <v>0.0</v>
      </c>
      <c r="AY194" s="321">
        <f>iferror(VLOOKUP(C194,'ORDER BOOKING REPORT 2025-26'!C:O,13,0),"")</f>
        <v>1367943</v>
      </c>
      <c r="AZ194" s="322">
        <v>46035.0</v>
      </c>
      <c r="BA194" s="157" t="str">
        <f t="shared" si="7"/>
        <v>LEFT</v>
      </c>
      <c r="BB194" s="157" t="str">
        <f t="shared" si="8"/>
        <v>New</v>
      </c>
      <c r="BC194" s="157" t="str">
        <f t="shared" si="119"/>
        <v>Below 50%</v>
      </c>
      <c r="BD194" s="352">
        <f>(30-23)/30+2+1+1+1+1+0.42</f>
        <v>6.653333333</v>
      </c>
      <c r="BE194" s="323">
        <v>1500000.0</v>
      </c>
      <c r="BF194" s="157">
        <f t="shared" si="10"/>
        <v>3</v>
      </c>
      <c r="BG194" s="157" t="s">
        <v>1019</v>
      </c>
      <c r="BH194" s="324"/>
      <c r="BI194" s="324"/>
      <c r="BJ194" s="343">
        <f t="shared" si="120"/>
        <v>0.2333333333</v>
      </c>
      <c r="BK194" s="326"/>
      <c r="BL194" s="326">
        <f>BK194*BD194</f>
        <v>0</v>
      </c>
      <c r="BM194" s="326">
        <f t="shared" si="12"/>
        <v>10500000</v>
      </c>
      <c r="BN194" s="326"/>
      <c r="BO194" s="327" t="str">
        <f>IFERROR(__xludf.DUMMYFUNCTION("IFERROR(ArrayFormula(SUM(VLOOKUP($C194,importrange(""1MwNMVzWE3QBVOyJjKr3eFX-Sq1Ng0Q1sghWJbgbE_8g"",""ORDER BOOKING REPORT 2024-25!C:CV""),{16,23,30},0))))"),"")</f>
        <v/>
      </c>
      <c r="BP194" s="327" t="str">
        <f>IFERROR(__xludf.DUMMYFUNCTION("IFERROR(ArrayFormula(SUM(VLOOKUP($C194,importrange(""1MwNMVzWE3QBVOyJjKr3eFX-Sq1Ng0Q1sghWJbgbE_8g"",""ORDER BOOKING REPORT 2024-25!C:CV""),{37,44,51},0))))"),"")</f>
        <v/>
      </c>
      <c r="BQ194" s="327" t="str">
        <f>IFERROR(__xludf.DUMMYFUNCTION("IFERROR(ArrayFormula(SUM(VLOOKUP($C194,importrange(""1MwNMVzWE3QBVOyJjKr3eFX-Sq1Ng0Q1sghWJbgbE_8g"",""ORDER BOOKING REPORT 2024-25!C:CV""),{58,65,72},0))))"),"")</f>
        <v/>
      </c>
      <c r="BR194" s="327" t="str">
        <f>IFERROR(__xludf.DUMMYFUNCTION("IFERROR(ArrayFormula(SUM(VLOOKUP($C194,importrange(""1MwNMVzWE3QBVOyJjKr3eFX-Sq1Ng0Q1sghWJbgbE_8g"",""ORDER BOOKING REPORT 2024-25!C:CV""),{79,86,93},0))))"),"")</f>
        <v/>
      </c>
      <c r="BS194" s="328">
        <f t="shared" si="13"/>
        <v>0.1302802857</v>
      </c>
      <c r="BT194" s="328">
        <f t="shared" si="14"/>
        <v>0.2054858036</v>
      </c>
      <c r="BU194" s="234">
        <f t="shared" si="15"/>
        <v>0</v>
      </c>
      <c r="BV194" s="329">
        <v>27785.0</v>
      </c>
      <c r="BW194" s="329" t="s">
        <v>1096</v>
      </c>
      <c r="BX194" s="329">
        <v>1257.0</v>
      </c>
      <c r="BY194" s="234">
        <f t="shared" si="16"/>
        <v>0</v>
      </c>
      <c r="BZ194" s="234"/>
      <c r="CA194" s="234"/>
      <c r="CB194" s="234"/>
      <c r="CC194" s="234"/>
      <c r="CD194" s="234"/>
      <c r="CE194" s="234"/>
      <c r="CF194" s="234"/>
      <c r="CG194" s="234" t="str">
        <f t="shared" si="19"/>
        <v> </v>
      </c>
      <c r="CH194" s="234" t="str">
        <f t="shared" si="27"/>
        <v>Business Achieved 50%</v>
      </c>
      <c r="CI194" s="328">
        <f t="shared" si="20"/>
        <v>0.5040650407</v>
      </c>
      <c r="CJ194" s="339">
        <f>IFERROR(__xludf.DUMMYFUNCTION("""COMPUTED_VALUE"""),356.0)</f>
        <v>356</v>
      </c>
      <c r="CK194" s="339">
        <f>IFERROR(__xludf.DUMMYFUNCTION("""COMPUTED_VALUE"""),202.0)</f>
        <v>202</v>
      </c>
      <c r="CL194" s="339">
        <f>IFERROR(__xludf.DUMMYFUNCTION("""COMPUTED_VALUE"""),0.0)</f>
        <v>0</v>
      </c>
      <c r="CM194" s="331">
        <f t="shared" si="21"/>
        <v>0</v>
      </c>
      <c r="CN194" s="340"/>
      <c r="CO194" s="328"/>
      <c r="CP194" s="341"/>
      <c r="CQ194" s="344"/>
      <c r="CR194" s="328"/>
      <c r="CS194" s="328"/>
      <c r="CT194" s="328"/>
      <c r="CU194" s="328"/>
      <c r="CV194" s="328"/>
      <c r="CW194" s="328"/>
      <c r="CX194" s="288"/>
      <c r="CY194" s="328"/>
      <c r="CZ194" s="328"/>
    </row>
    <row r="195">
      <c r="A195" s="157" t="s">
        <v>126</v>
      </c>
      <c r="B195" s="157" t="s">
        <v>130</v>
      </c>
      <c r="C195" s="157" t="s">
        <v>449</v>
      </c>
      <c r="D195" s="157" t="s">
        <v>130</v>
      </c>
      <c r="E195" s="157" t="s">
        <v>151</v>
      </c>
      <c r="F195" s="338">
        <v>45839.0</v>
      </c>
      <c r="G195" s="314">
        <v>7500000.0</v>
      </c>
      <c r="H195" s="314">
        <v>1.0E7</v>
      </c>
      <c r="I195" s="315">
        <v>256329.44</v>
      </c>
      <c r="J195" s="315">
        <v>0.0</v>
      </c>
      <c r="K195" s="160">
        <v>103.0</v>
      </c>
      <c r="L195" s="160">
        <v>137.0</v>
      </c>
      <c r="M195" s="160">
        <v>34.0</v>
      </c>
      <c r="N195" s="160">
        <v>137.0</v>
      </c>
      <c r="O195" s="160">
        <v>0.0</v>
      </c>
      <c r="P195" s="315">
        <v>232329.44</v>
      </c>
      <c r="Q195" s="315">
        <v>24000.0</v>
      </c>
      <c r="R195" s="160">
        <v>2.0</v>
      </c>
      <c r="S195" s="160">
        <v>1.0</v>
      </c>
      <c r="T195" s="160">
        <v>3.0</v>
      </c>
      <c r="U195" s="160">
        <v>0.0</v>
      </c>
      <c r="V195" s="160">
        <v>56.0</v>
      </c>
      <c r="W195" s="160">
        <v>78.0</v>
      </c>
      <c r="X195" s="160">
        <v>0.0</v>
      </c>
      <c r="Y195" s="160">
        <v>4.0</v>
      </c>
      <c r="Z195" s="160">
        <v>85.0</v>
      </c>
      <c r="AA195" s="160">
        <v>0.0</v>
      </c>
      <c r="AB195" s="160">
        <v>0.0</v>
      </c>
      <c r="AC195" s="160">
        <v>0.0</v>
      </c>
      <c r="AD195" s="160">
        <v>0.0</v>
      </c>
      <c r="AE195" s="160">
        <v>307.0</v>
      </c>
      <c r="AF195" s="160">
        <v>470.0</v>
      </c>
      <c r="AG195" s="160">
        <v>111.0</v>
      </c>
      <c r="AH195" s="314">
        <f t="shared" si="2"/>
        <v>2309.274234</v>
      </c>
      <c r="AI195" s="314">
        <f t="shared" si="3"/>
        <v>4.234234234</v>
      </c>
      <c r="AJ195" s="346">
        <v>99750.0</v>
      </c>
      <c r="AK195" s="314">
        <f t="shared" si="63"/>
        <v>478800</v>
      </c>
      <c r="AL195" s="286">
        <v>76262.0</v>
      </c>
      <c r="AM195" s="318">
        <f t="shared" si="5"/>
        <v>2.165424307</v>
      </c>
      <c r="AN195" s="314">
        <f t="shared" si="6"/>
        <v>85443.14667</v>
      </c>
      <c r="AO195" s="336">
        <f t="shared" si="116"/>
        <v>0.01464739657</v>
      </c>
      <c r="AP195" s="319">
        <v>0.0</v>
      </c>
      <c r="AQ195" s="160">
        <v>3.0</v>
      </c>
      <c r="AR195" s="160">
        <v>925.0</v>
      </c>
      <c r="AS195" s="160">
        <v>0.0</v>
      </c>
      <c r="AT195" s="160">
        <v>1.0</v>
      </c>
      <c r="AU195" s="160">
        <v>0.0</v>
      </c>
      <c r="AV195" s="320">
        <v>3.0</v>
      </c>
      <c r="AW195" s="320">
        <v>134.0</v>
      </c>
      <c r="AX195" s="320">
        <v>0.0</v>
      </c>
      <c r="AY195" s="321">
        <f>iferror(VLOOKUP(C195,'ORDER BOOKING REPORT 2025-26'!C:O,13,0),"")</f>
        <v>0</v>
      </c>
      <c r="AZ195" s="322">
        <v>45985.0</v>
      </c>
      <c r="BA195" s="157" t="str">
        <f t="shared" si="7"/>
        <v>LEFT</v>
      </c>
      <c r="BB195" s="157" t="str">
        <f t="shared" si="8"/>
        <v>New</v>
      </c>
      <c r="BC195" s="157" t="str">
        <f t="shared" si="119"/>
        <v>Below 50%</v>
      </c>
      <c r="BD195" s="223">
        <v>4.8</v>
      </c>
      <c r="BE195" s="323">
        <v>3500000.0</v>
      </c>
      <c r="BF195" s="157">
        <f t="shared" si="10"/>
        <v>33</v>
      </c>
      <c r="BG195" s="157" t="s">
        <v>1019</v>
      </c>
      <c r="BH195" s="324"/>
      <c r="BI195" s="324"/>
      <c r="BJ195" s="343"/>
      <c r="BK195" s="326">
        <v>1500000.0</v>
      </c>
      <c r="BL195" s="326">
        <f>BK195*5</f>
        <v>7500000</v>
      </c>
      <c r="BM195" s="326">
        <f t="shared" si="12"/>
        <v>17500000</v>
      </c>
      <c r="BN195" s="326"/>
      <c r="BO195" s="327" t="str">
        <f>IFERROR(__xludf.DUMMYFUNCTION("IFERROR(ArrayFormula(SUM(VLOOKUP($C195,importrange(""1MwNMVzWE3QBVOyJjKr3eFX-Sq1Ng0Q1sghWJbgbE_8g"",""ORDER BOOKING REPORT 2024-25!C:CV""),{16,23,30},0))))"),"")</f>
        <v/>
      </c>
      <c r="BP195" s="327" t="str">
        <f>IFERROR(__xludf.DUMMYFUNCTION("IFERROR(ArrayFormula(SUM(VLOOKUP($C195,importrange(""1MwNMVzWE3QBVOyJjKr3eFX-Sq1Ng0Q1sghWJbgbE_8g"",""ORDER BOOKING REPORT 2024-25!C:CV""),{37,44,51},0))))"),"")</f>
        <v/>
      </c>
      <c r="BQ195" s="327" t="str">
        <f>IFERROR(__xludf.DUMMYFUNCTION("IFERROR(ArrayFormula(SUM(VLOOKUP($C195,importrange(""1MwNMVzWE3QBVOyJjKr3eFX-Sq1Ng0Q1sghWJbgbE_8g"",""ORDER BOOKING REPORT 2024-25!C:CV""),{58,65,72},0))))"),"")</f>
        <v/>
      </c>
      <c r="BR195" s="327" t="str">
        <f>IFERROR(__xludf.DUMMYFUNCTION("IFERROR(ArrayFormula(SUM(VLOOKUP($C195,importrange(""1MwNMVzWE3QBVOyJjKr3eFX-Sq1Ng0Q1sghWJbgbE_8g"",""ORDER BOOKING REPORT 2024-25!C:CV""),{79,86,93},0))))"),"")</f>
        <v/>
      </c>
      <c r="BS195" s="328">
        <f t="shared" si="13"/>
        <v>0</v>
      </c>
      <c r="BT195" s="328" t="str">
        <f t="shared" si="14"/>
        <v/>
      </c>
      <c r="BU195" s="234">
        <f t="shared" si="15"/>
        <v>0</v>
      </c>
      <c r="BV195" s="329"/>
      <c r="BW195" s="329"/>
      <c r="BX195" s="329"/>
      <c r="BY195" s="234">
        <f t="shared" si="16"/>
        <v>-99750</v>
      </c>
      <c r="BZ195" s="234"/>
      <c r="CA195" s="234"/>
      <c r="CB195" s="234"/>
      <c r="CC195" s="234"/>
      <c r="CD195" s="234"/>
      <c r="CE195" s="234"/>
      <c r="CF195" s="234"/>
      <c r="CG195" s="234" t="str">
        <f t="shared" si="19"/>
        <v> </v>
      </c>
      <c r="CH195" s="234" t="str">
        <f t="shared" si="27"/>
        <v>Not 50%</v>
      </c>
      <c r="CI195" s="328">
        <f t="shared" si="20"/>
        <v>0.02189781022</v>
      </c>
      <c r="CJ195" s="339">
        <f>IFERROR(__xludf.DUMMYFUNCTION("""COMPUTED_VALUE"""),11.0)</f>
        <v>11</v>
      </c>
      <c r="CK195" s="339">
        <f>IFERROR(__xludf.DUMMYFUNCTION("""COMPUTED_VALUE"""),296.0)</f>
        <v>296</v>
      </c>
      <c r="CL195" s="339">
        <f>IFERROR(__xludf.DUMMYFUNCTION("""COMPUTED_VALUE"""),0.0)</f>
        <v>0</v>
      </c>
      <c r="CM195" s="331">
        <f t="shared" si="21"/>
        <v>0</v>
      </c>
      <c r="CN195" s="340"/>
      <c r="CO195" s="328"/>
      <c r="CP195" s="341"/>
      <c r="CQ195" s="344"/>
      <c r="CR195" s="328"/>
      <c r="CS195" s="328"/>
      <c r="CT195" s="328"/>
      <c r="CU195" s="328"/>
      <c r="CV195" s="328"/>
      <c r="CW195" s="328"/>
      <c r="CX195" s="288"/>
      <c r="CY195" s="328"/>
      <c r="CZ195" s="328"/>
    </row>
    <row r="196">
      <c r="A196" s="157" t="s">
        <v>126</v>
      </c>
      <c r="B196" s="157" t="s">
        <v>140</v>
      </c>
      <c r="C196" s="157" t="s">
        <v>173</v>
      </c>
      <c r="D196" s="157" t="s">
        <v>1061</v>
      </c>
      <c r="E196" s="157" t="s">
        <v>174</v>
      </c>
      <c r="F196" s="338">
        <v>45839.0</v>
      </c>
      <c r="G196" s="314">
        <v>0.0</v>
      </c>
      <c r="H196" s="314">
        <v>1.485E7</v>
      </c>
      <c r="I196" s="315">
        <v>6654740.52</v>
      </c>
      <c r="J196" s="315">
        <v>0.0</v>
      </c>
      <c r="K196" s="160">
        <v>73.0</v>
      </c>
      <c r="L196" s="160">
        <v>88.0</v>
      </c>
      <c r="M196" s="160">
        <v>15.0</v>
      </c>
      <c r="N196" s="160">
        <v>88.0</v>
      </c>
      <c r="O196" s="160">
        <v>0.0</v>
      </c>
      <c r="P196" s="315">
        <v>5697489.13</v>
      </c>
      <c r="Q196" s="315">
        <v>957251.39</v>
      </c>
      <c r="R196" s="160">
        <v>56.0</v>
      </c>
      <c r="S196" s="160">
        <v>15.0</v>
      </c>
      <c r="T196" s="160">
        <v>71.0</v>
      </c>
      <c r="U196" s="160">
        <v>0.0</v>
      </c>
      <c r="V196" s="160">
        <v>27.0</v>
      </c>
      <c r="W196" s="160">
        <v>119.0</v>
      </c>
      <c r="X196" s="160">
        <v>0.0</v>
      </c>
      <c r="Y196" s="160">
        <v>1.0</v>
      </c>
      <c r="Z196" s="160">
        <v>68.0</v>
      </c>
      <c r="AA196" s="160">
        <v>0.0</v>
      </c>
      <c r="AB196" s="160">
        <v>0.0</v>
      </c>
      <c r="AC196" s="160">
        <v>0.0</v>
      </c>
      <c r="AD196" s="160">
        <v>0.0</v>
      </c>
      <c r="AE196" s="160">
        <v>870.0</v>
      </c>
      <c r="AF196" s="160">
        <v>1057.0</v>
      </c>
      <c r="AG196" s="160">
        <v>213.0</v>
      </c>
      <c r="AH196" s="314">
        <f t="shared" si="2"/>
        <v>31242.91324</v>
      </c>
      <c r="AI196" s="314">
        <f t="shared" si="3"/>
        <v>4.962441315</v>
      </c>
      <c r="AJ196" s="346">
        <v>27800.0</v>
      </c>
      <c r="AK196" s="314">
        <f t="shared" si="63"/>
        <v>250200</v>
      </c>
      <c r="AL196" s="286">
        <v>106183.0</v>
      </c>
      <c r="AM196" s="318">
        <f t="shared" si="5"/>
        <v>0.05355325259</v>
      </c>
      <c r="AN196" s="314">
        <f t="shared" si="6"/>
        <v>93728.73972</v>
      </c>
      <c r="AO196" s="336">
        <f t="shared" si="116"/>
        <v>0.4481306747</v>
      </c>
      <c r="AP196" s="319">
        <v>0.0</v>
      </c>
      <c r="AQ196" s="160">
        <v>325.0</v>
      </c>
      <c r="AR196" s="160">
        <v>1973.0</v>
      </c>
      <c r="AS196" s="160">
        <v>2671.09</v>
      </c>
      <c r="AT196" s="160">
        <v>15.0</v>
      </c>
      <c r="AU196" s="160">
        <v>30.0</v>
      </c>
      <c r="AV196" s="320">
        <v>71.0</v>
      </c>
      <c r="AW196" s="320">
        <v>17.0</v>
      </c>
      <c r="AX196" s="320">
        <v>0.0</v>
      </c>
      <c r="AY196" s="321">
        <f>iferror(VLOOKUP(C196,'ORDER BOOKING REPORT 2025-26'!C:O,13,0),"")</f>
        <v>5604384</v>
      </c>
      <c r="AZ196" s="322"/>
      <c r="BA196" s="157" t="str">
        <f t="shared" si="7"/>
        <v>Active</v>
      </c>
      <c r="BB196" s="157" t="str">
        <f t="shared" si="8"/>
        <v>New</v>
      </c>
      <c r="BC196" s="157" t="str">
        <f t="shared" si="119"/>
        <v>Below 50%</v>
      </c>
      <c r="BD196" s="223">
        <v>9.0</v>
      </c>
      <c r="BE196" s="323">
        <v>1650000.0</v>
      </c>
      <c r="BF196" s="157">
        <f t="shared" si="10"/>
        <v>0</v>
      </c>
      <c r="BG196" s="157" t="s">
        <v>1019</v>
      </c>
      <c r="BH196" s="324"/>
      <c r="BI196" s="324"/>
      <c r="BJ196" s="325"/>
      <c r="BK196" s="326"/>
      <c r="BL196" s="326">
        <f t="shared" ref="BL196:BL223" si="121">BK196*BD196</f>
        <v>0</v>
      </c>
      <c r="BM196" s="326">
        <f t="shared" si="12"/>
        <v>14850000</v>
      </c>
      <c r="BN196" s="326"/>
      <c r="BO196" s="327" t="str">
        <f>IFERROR(__xludf.DUMMYFUNCTION("IFERROR(ArrayFormula(SUM(VLOOKUP($C196,importrange(""1MwNMVzWE3QBVOyJjKr3eFX-Sq1Ng0Q1sghWJbgbE_8g"",""ORDER BOOKING REPORT 2024-25!C:CV""),{16,23,30},0))))"),"")</f>
        <v/>
      </c>
      <c r="BP196" s="327" t="str">
        <f>IFERROR(__xludf.DUMMYFUNCTION("IFERROR(ArrayFormula(SUM(VLOOKUP($C196,importrange(""1MwNMVzWE3QBVOyJjKr3eFX-Sq1Ng0Q1sghWJbgbE_8g"",""ORDER BOOKING REPORT 2024-25!C:CV""),{37,44,51},0))))"),"")</f>
        <v/>
      </c>
      <c r="BQ196" s="327" t="str">
        <f>IFERROR(__xludf.DUMMYFUNCTION("IFERROR(ArrayFormula(SUM(VLOOKUP($C196,importrange(""1MwNMVzWE3QBVOyJjKr3eFX-Sq1Ng0Q1sghWJbgbE_8g"",""ORDER BOOKING REPORT 2024-25!C:CV""),{58,65,72},0))))"),"")</f>
        <v/>
      </c>
      <c r="BR196" s="327" t="str">
        <f>IFERROR(__xludf.DUMMYFUNCTION("IFERROR(ArrayFormula(SUM(VLOOKUP($C196,importrange(""1MwNMVzWE3QBVOyJjKr3eFX-Sq1Ng0Q1sghWJbgbE_8g"",""ORDER BOOKING REPORT 2024-25!C:CV""),{79,86,93},0))))"),"")</f>
        <v/>
      </c>
      <c r="BS196" s="328">
        <f t="shared" si="13"/>
        <v>0.377399596</v>
      </c>
      <c r="BT196" s="328">
        <f t="shared" si="14"/>
        <v>0.06359003951</v>
      </c>
      <c r="BU196" s="234">
        <f t="shared" si="15"/>
        <v>0</v>
      </c>
      <c r="BV196" s="329"/>
      <c r="BW196" s="329"/>
      <c r="BX196" s="329"/>
      <c r="BY196" s="234">
        <f t="shared" si="16"/>
        <v>-27800</v>
      </c>
      <c r="BZ196" s="234"/>
      <c r="CA196" s="234"/>
      <c r="CB196" s="234"/>
      <c r="CC196" s="234"/>
      <c r="CD196" s="234"/>
      <c r="CE196" s="234"/>
      <c r="CF196" s="234"/>
      <c r="CG196" s="234" t="str">
        <f t="shared" si="19"/>
        <v> </v>
      </c>
      <c r="CH196" s="234" t="str">
        <f t="shared" si="27"/>
        <v>Business Achieved 50%</v>
      </c>
      <c r="CI196" s="328">
        <f t="shared" si="20"/>
        <v>0.8068181818</v>
      </c>
      <c r="CJ196" s="339">
        <f>IFERROR(__xludf.DUMMYFUNCTION("""COMPUTED_VALUE"""),751.0)</f>
        <v>751</v>
      </c>
      <c r="CK196" s="339">
        <f>IFERROR(__xludf.DUMMYFUNCTION("""COMPUTED_VALUE"""),119.0)</f>
        <v>119</v>
      </c>
      <c r="CL196" s="339">
        <f>IFERROR(__xludf.DUMMYFUNCTION("""COMPUTED_VALUE"""),0.0)</f>
        <v>0</v>
      </c>
      <c r="CM196" s="331">
        <f t="shared" si="21"/>
        <v>0</v>
      </c>
      <c r="CN196" s="340"/>
      <c r="CO196" s="328"/>
      <c r="CP196" s="341"/>
      <c r="CQ196" s="344"/>
      <c r="CR196" s="328"/>
      <c r="CS196" s="328"/>
      <c r="CT196" s="328"/>
      <c r="CU196" s="328"/>
      <c r="CV196" s="328"/>
      <c r="CW196" s="328"/>
      <c r="CX196" s="288"/>
      <c r="CY196" s="328"/>
      <c r="CZ196" s="328"/>
    </row>
    <row r="197">
      <c r="A197" s="157" t="s">
        <v>97</v>
      </c>
      <c r="B197" s="157" t="s">
        <v>101</v>
      </c>
      <c r="C197" s="157" t="s">
        <v>344</v>
      </c>
      <c r="D197" s="157" t="s">
        <v>1062</v>
      </c>
      <c r="E197" s="157" t="s">
        <v>345</v>
      </c>
      <c r="F197" s="338">
        <v>45842.0</v>
      </c>
      <c r="G197" s="314">
        <v>0.0</v>
      </c>
      <c r="H197" s="314">
        <v>2860000.0</v>
      </c>
      <c r="I197" s="315">
        <v>0.0</v>
      </c>
      <c r="J197" s="315">
        <v>0.0</v>
      </c>
      <c r="K197" s="160">
        <v>22.0</v>
      </c>
      <c r="L197" s="160">
        <v>22.0</v>
      </c>
      <c r="M197" s="160">
        <v>0.0</v>
      </c>
      <c r="N197" s="160">
        <v>22.0</v>
      </c>
      <c r="O197" s="160">
        <v>0.0</v>
      </c>
      <c r="P197" s="315">
        <v>0.0</v>
      </c>
      <c r="Q197" s="315">
        <v>0.0</v>
      </c>
      <c r="R197" s="160">
        <v>0.0</v>
      </c>
      <c r="S197" s="160">
        <v>0.0</v>
      </c>
      <c r="T197" s="160">
        <v>0.0</v>
      </c>
      <c r="U197" s="160">
        <v>0.0</v>
      </c>
      <c r="V197" s="160">
        <v>10.0</v>
      </c>
      <c r="W197" s="160">
        <v>34.0</v>
      </c>
      <c r="X197" s="160">
        <v>0.0</v>
      </c>
      <c r="Y197" s="160">
        <v>3.0</v>
      </c>
      <c r="Z197" s="160">
        <v>7.0</v>
      </c>
      <c r="AA197" s="160">
        <v>0.0</v>
      </c>
      <c r="AB197" s="160">
        <v>0.0</v>
      </c>
      <c r="AC197" s="160">
        <v>0.0</v>
      </c>
      <c r="AD197" s="160">
        <v>0.0</v>
      </c>
      <c r="AE197" s="160">
        <v>97.0</v>
      </c>
      <c r="AF197" s="160">
        <v>138.0</v>
      </c>
      <c r="AG197" s="160">
        <v>47.0</v>
      </c>
      <c r="AH197" s="314">
        <f t="shared" si="2"/>
        <v>0</v>
      </c>
      <c r="AI197" s="314">
        <f t="shared" si="3"/>
        <v>2.936170213</v>
      </c>
      <c r="AJ197" s="346">
        <v>36190.0</v>
      </c>
      <c r="AK197" s="314">
        <f t="shared" si="63"/>
        <v>95300.33333</v>
      </c>
      <c r="AL197" s="286">
        <v>27268.0</v>
      </c>
      <c r="AM197" s="318" t="str">
        <f t="shared" si="5"/>
        <v/>
      </c>
      <c r="AN197" s="314" t="str">
        <f t="shared" si="6"/>
        <v/>
      </c>
      <c r="AO197" s="336">
        <f t="shared" si="116"/>
        <v>0</v>
      </c>
      <c r="AP197" s="319">
        <v>0.0</v>
      </c>
      <c r="AQ197" s="160">
        <v>0.0</v>
      </c>
      <c r="AR197" s="160">
        <v>384.0</v>
      </c>
      <c r="AS197" s="160">
        <v>0.0</v>
      </c>
      <c r="AT197" s="160">
        <v>0.0</v>
      </c>
      <c r="AU197" s="160">
        <v>0.0</v>
      </c>
      <c r="AV197" s="320">
        <v>0.0</v>
      </c>
      <c r="AW197" s="320">
        <v>22.0</v>
      </c>
      <c r="AX197" s="320">
        <v>0.0</v>
      </c>
      <c r="AY197" s="321">
        <f>iferror(VLOOKUP(C197,'ORDER BOOKING REPORT 2025-26'!C:O,13,0),"")</f>
        <v>0</v>
      </c>
      <c r="AZ197" s="322">
        <v>45911.0</v>
      </c>
      <c r="BA197" s="157" t="str">
        <f t="shared" si="7"/>
        <v>LEFT</v>
      </c>
      <c r="BB197" s="157" t="str">
        <f t="shared" si="8"/>
        <v>New</v>
      </c>
      <c r="BC197" s="157" t="str">
        <f t="shared" si="119"/>
        <v>Below 50%</v>
      </c>
      <c r="BD197" s="350">
        <f>(30-11)/30+2</f>
        <v>2.633333333</v>
      </c>
      <c r="BE197" s="326">
        <v>1097777.778</v>
      </c>
      <c r="BF197" s="157">
        <f t="shared" si="10"/>
        <v>0</v>
      </c>
      <c r="BG197" s="157" t="s">
        <v>1019</v>
      </c>
      <c r="BH197" s="324"/>
      <c r="BI197" s="324"/>
      <c r="BJ197" s="325">
        <f>30-11</f>
        <v>19</v>
      </c>
      <c r="BK197" s="326"/>
      <c r="BL197" s="326">
        <f t="shared" si="121"/>
        <v>0</v>
      </c>
      <c r="BM197" s="326">
        <f t="shared" si="12"/>
        <v>2860000</v>
      </c>
      <c r="BN197" s="326"/>
      <c r="BO197" s="327" t="str">
        <f>IFERROR(__xludf.DUMMYFUNCTION("IFERROR(ArrayFormula(SUM(VLOOKUP($C197,importrange(""1MwNMVzWE3QBVOyJjKr3eFX-Sq1Ng0Q1sghWJbgbE_8g"",""ORDER BOOKING REPORT 2024-25!C:CV""),{16,23,30},0))))"),"")</f>
        <v/>
      </c>
      <c r="BP197" s="327" t="str">
        <f>IFERROR(__xludf.DUMMYFUNCTION("IFERROR(ArrayFormula(SUM(VLOOKUP($C197,importrange(""1MwNMVzWE3QBVOyJjKr3eFX-Sq1Ng0Q1sghWJbgbE_8g"",""ORDER BOOKING REPORT 2024-25!C:CV""),{37,44,51},0))))"),"")</f>
        <v/>
      </c>
      <c r="BQ197" s="327" t="str">
        <f>IFERROR(__xludf.DUMMYFUNCTION("IFERROR(ArrayFormula(SUM(VLOOKUP($C197,importrange(""1MwNMVzWE3QBVOyJjKr3eFX-Sq1Ng0Q1sghWJbgbE_8g"",""ORDER BOOKING REPORT 2024-25!C:CV""),{58,65,72},0))))"),"")</f>
        <v/>
      </c>
      <c r="BR197" s="327" t="str">
        <f>IFERROR(__xludf.DUMMYFUNCTION("IFERROR(ArrayFormula(SUM(VLOOKUP($C197,importrange(""1MwNMVzWE3QBVOyJjKr3eFX-Sq1Ng0Q1sghWJbgbE_8g"",""ORDER BOOKING REPORT 2024-25!C:CV""),{79,86,93},0))))"),"")</f>
        <v/>
      </c>
      <c r="BS197" s="328">
        <f t="shared" si="13"/>
        <v>0</v>
      </c>
      <c r="BT197" s="328" t="str">
        <f t="shared" si="14"/>
        <v/>
      </c>
      <c r="BU197" s="234">
        <f t="shared" si="15"/>
        <v>0</v>
      </c>
      <c r="BV197" s="329"/>
      <c r="BW197" s="329"/>
      <c r="BX197" s="329"/>
      <c r="BY197" s="234">
        <f t="shared" si="16"/>
        <v>-36190</v>
      </c>
      <c r="BZ197" s="234"/>
      <c r="CA197" s="234">
        <f>BE197*BD197</f>
        <v>2890814.815</v>
      </c>
      <c r="CB197" s="234"/>
      <c r="CC197" s="234">
        <f>CA197-H197</f>
        <v>30814.8154</v>
      </c>
      <c r="CD197" s="234"/>
      <c r="CE197" s="234"/>
      <c r="CF197" s="234"/>
      <c r="CG197" s="234" t="str">
        <f t="shared" si="19"/>
        <v>Below 60</v>
      </c>
      <c r="CH197" s="234" t="str">
        <f t="shared" si="27"/>
        <v>Not 50%</v>
      </c>
      <c r="CI197" s="328">
        <f t="shared" si="20"/>
        <v>0</v>
      </c>
      <c r="CJ197" s="339">
        <f>IFERROR(__xludf.DUMMYFUNCTION("""COMPUTED_VALUE"""),0.0)</f>
        <v>0</v>
      </c>
      <c r="CK197" s="339">
        <f>IFERROR(__xludf.DUMMYFUNCTION("""COMPUTED_VALUE"""),97.0)</f>
        <v>97</v>
      </c>
      <c r="CL197" s="339">
        <f>IFERROR(__xludf.DUMMYFUNCTION("""COMPUTED_VALUE"""),0.0)</f>
        <v>0</v>
      </c>
      <c r="CM197" s="331">
        <f t="shared" si="21"/>
        <v>0</v>
      </c>
      <c r="CN197" s="340"/>
      <c r="CO197" s="328"/>
      <c r="CP197" s="341"/>
      <c r="CQ197" s="344"/>
      <c r="CR197" s="328"/>
      <c r="CS197" s="328"/>
      <c r="CT197" s="328"/>
      <c r="CU197" s="328"/>
      <c r="CV197" s="328"/>
      <c r="CW197" s="328"/>
      <c r="CX197" s="288"/>
      <c r="CY197" s="328"/>
      <c r="CZ197" s="328"/>
    </row>
    <row r="198">
      <c r="A198" s="157" t="s">
        <v>97</v>
      </c>
      <c r="B198" s="157" t="s">
        <v>101</v>
      </c>
      <c r="C198" s="157" t="s">
        <v>108</v>
      </c>
      <c r="D198" s="157" t="s">
        <v>1062</v>
      </c>
      <c r="E198" s="157" t="s">
        <v>105</v>
      </c>
      <c r="F198" s="354">
        <v>45842.0</v>
      </c>
      <c r="G198" s="314">
        <v>0.0</v>
      </c>
      <c r="H198" s="314">
        <v>1.52E7</v>
      </c>
      <c r="I198" s="315">
        <v>9683539.1</v>
      </c>
      <c r="J198" s="315">
        <v>0.0</v>
      </c>
      <c r="K198" s="160">
        <v>103.0</v>
      </c>
      <c r="L198" s="160">
        <v>122.0</v>
      </c>
      <c r="M198" s="160">
        <v>20.0</v>
      </c>
      <c r="N198" s="160">
        <v>123.0</v>
      </c>
      <c r="O198" s="160">
        <v>1.0</v>
      </c>
      <c r="P198" s="315">
        <v>9625657.1</v>
      </c>
      <c r="Q198" s="315">
        <v>57882.0</v>
      </c>
      <c r="R198" s="160">
        <v>17.0</v>
      </c>
      <c r="S198" s="160">
        <v>3.0</v>
      </c>
      <c r="T198" s="160">
        <v>20.0</v>
      </c>
      <c r="U198" s="160">
        <v>0.0</v>
      </c>
      <c r="V198" s="160">
        <v>147.0</v>
      </c>
      <c r="W198" s="160">
        <v>397.0</v>
      </c>
      <c r="X198" s="160">
        <v>0.0</v>
      </c>
      <c r="Y198" s="160">
        <v>3.0</v>
      </c>
      <c r="Z198" s="160">
        <v>34.0</v>
      </c>
      <c r="AA198" s="160">
        <v>0.0</v>
      </c>
      <c r="AB198" s="160">
        <v>0.0</v>
      </c>
      <c r="AC198" s="160">
        <v>0.0</v>
      </c>
      <c r="AD198" s="160">
        <v>0.0</v>
      </c>
      <c r="AE198" s="160">
        <v>861.0</v>
      </c>
      <c r="AF198" s="160">
        <v>1292.0</v>
      </c>
      <c r="AG198" s="160">
        <v>200.0</v>
      </c>
      <c r="AH198" s="314">
        <f t="shared" si="2"/>
        <v>48417.6955</v>
      </c>
      <c r="AI198" s="314">
        <f t="shared" si="3"/>
        <v>6.46</v>
      </c>
      <c r="AJ198" s="346">
        <v>48765.0</v>
      </c>
      <c r="AK198" s="314">
        <f t="shared" si="63"/>
        <v>438885</v>
      </c>
      <c r="AL198" s="286">
        <v>125514.0</v>
      </c>
      <c r="AM198" s="318">
        <f t="shared" si="5"/>
        <v>0.0582843725</v>
      </c>
      <c r="AN198" s="314">
        <f t="shared" si="6"/>
        <v>484176.955</v>
      </c>
      <c r="AO198" s="336">
        <f t="shared" si="116"/>
        <v>0.6370749408</v>
      </c>
      <c r="AP198" s="319">
        <v>0.0</v>
      </c>
      <c r="AQ198" s="160">
        <v>164.0</v>
      </c>
      <c r="AR198" s="160">
        <v>1841.0</v>
      </c>
      <c r="AS198" s="160">
        <v>3699.21</v>
      </c>
      <c r="AT198" s="160">
        <v>3.0</v>
      </c>
      <c r="AU198" s="160">
        <v>30.0</v>
      </c>
      <c r="AV198" s="320">
        <v>20.0</v>
      </c>
      <c r="AW198" s="320">
        <v>102.0</v>
      </c>
      <c r="AX198" s="320">
        <v>1.0</v>
      </c>
      <c r="AY198" s="321">
        <f>iferror(VLOOKUP(C198,'ORDER BOOKING REPORT 2025-26'!C:O,13,0),"")</f>
        <v>6241226</v>
      </c>
      <c r="AZ198" s="322"/>
      <c r="BA198" s="157" t="str">
        <f t="shared" si="7"/>
        <v>Active</v>
      </c>
      <c r="BB198" s="157" t="str">
        <f t="shared" si="8"/>
        <v>New</v>
      </c>
      <c r="BC198" s="157" t="str">
        <f t="shared" si="119"/>
        <v>50%-70%</v>
      </c>
      <c r="BD198" s="223">
        <v>9.0</v>
      </c>
      <c r="BE198" s="326">
        <v>1688888.889</v>
      </c>
      <c r="BF198" s="157">
        <f t="shared" si="10"/>
        <v>17</v>
      </c>
      <c r="BG198" s="157" t="s">
        <v>1019</v>
      </c>
      <c r="BH198" s="324"/>
      <c r="BI198" s="324"/>
      <c r="BJ198" s="325"/>
      <c r="BK198" s="326"/>
      <c r="BL198" s="326">
        <f t="shared" si="121"/>
        <v>0</v>
      </c>
      <c r="BM198" s="326">
        <f t="shared" si="12"/>
        <v>15200000</v>
      </c>
      <c r="BN198" s="326"/>
      <c r="BO198" s="327" t="str">
        <f>IFERROR(__xludf.DUMMYFUNCTION("IFERROR(ArrayFormula(SUM(VLOOKUP($C198,importrange(""1MwNMVzWE3QBVOyJjKr3eFX-Sq1Ng0Q1sghWJbgbE_8g"",""ORDER BOOKING REPORT 2024-25!C:CV""),{16,23,30},0))))"),"")</f>
        <v/>
      </c>
      <c r="BP198" s="327" t="str">
        <f>IFERROR(__xludf.DUMMYFUNCTION("IFERROR(ArrayFormula(SUM(VLOOKUP($C198,importrange(""1MwNMVzWE3QBVOyJjKr3eFX-Sq1Ng0Q1sghWJbgbE_8g"",""ORDER BOOKING REPORT 2024-25!C:CV""),{37,44,51},0))))"),"")</f>
        <v/>
      </c>
      <c r="BQ198" s="327" t="str">
        <f>IFERROR(__xludf.DUMMYFUNCTION("IFERROR(ArrayFormula(SUM(VLOOKUP($C198,importrange(""1MwNMVzWE3QBVOyJjKr3eFX-Sq1Ng0Q1sghWJbgbE_8g"",""ORDER BOOKING REPORT 2024-25!C:CV""),{58,65,72},0))))"),"")</f>
        <v/>
      </c>
      <c r="BR198" s="327" t="str">
        <f>IFERROR(__xludf.DUMMYFUNCTION("IFERROR(ArrayFormula(SUM(VLOOKUP($C198,importrange(""1MwNMVzWE3QBVOyJjKr3eFX-Sq1Ng0Q1sghWJbgbE_8g"",""ORDER BOOKING REPORT 2024-25!C:CV""),{79,86,93},0))))"),"")</f>
        <v/>
      </c>
      <c r="BS198" s="328">
        <f t="shared" si="13"/>
        <v>0.4106069737</v>
      </c>
      <c r="BT198" s="328">
        <f t="shared" si="14"/>
        <v>0.09043079036</v>
      </c>
      <c r="BU198" s="234">
        <f t="shared" si="15"/>
        <v>0</v>
      </c>
      <c r="BV198" s="329"/>
      <c r="BW198" s="329"/>
      <c r="BX198" s="329"/>
      <c r="BY198" s="234">
        <f t="shared" si="16"/>
        <v>-48765</v>
      </c>
      <c r="BZ198" s="234"/>
      <c r="CA198" s="234"/>
      <c r="CB198" s="234"/>
      <c r="CC198" s="234"/>
      <c r="CD198" s="234"/>
      <c r="CE198" s="234"/>
      <c r="CF198" s="234"/>
      <c r="CG198" s="234" t="str">
        <f t="shared" si="19"/>
        <v> </v>
      </c>
      <c r="CH198" s="234" t="str">
        <f t="shared" si="27"/>
        <v>Not 50%</v>
      </c>
      <c r="CI198" s="328">
        <f t="shared" si="20"/>
        <v>0.162601626</v>
      </c>
      <c r="CJ198" s="339">
        <f>IFERROR(__xludf.DUMMYFUNCTION("""COMPUTED_VALUE"""),379.0)</f>
        <v>379</v>
      </c>
      <c r="CK198" s="339">
        <f>IFERROR(__xludf.DUMMYFUNCTION("""COMPUTED_VALUE"""),482.0)</f>
        <v>482</v>
      </c>
      <c r="CL198" s="339">
        <f>IFERROR(__xludf.DUMMYFUNCTION("""COMPUTED_VALUE"""),0.0)</f>
        <v>0</v>
      </c>
      <c r="CM198" s="331">
        <f t="shared" si="21"/>
        <v>0</v>
      </c>
      <c r="CN198" s="340"/>
      <c r="CO198" s="328"/>
      <c r="CP198" s="341"/>
      <c r="CQ198" s="344"/>
      <c r="CR198" s="328"/>
      <c r="CS198" s="328"/>
      <c r="CT198" s="328"/>
      <c r="CU198" s="328"/>
      <c r="CV198" s="328"/>
      <c r="CW198" s="328"/>
      <c r="CX198" s="288"/>
      <c r="CY198" s="328"/>
      <c r="CZ198" s="328"/>
    </row>
    <row r="199">
      <c r="A199" s="157" t="s">
        <v>53</v>
      </c>
      <c r="B199" s="157" t="s">
        <v>61</v>
      </c>
      <c r="C199" s="157" t="s">
        <v>367</v>
      </c>
      <c r="D199" s="157" t="s">
        <v>1077</v>
      </c>
      <c r="E199" s="157" t="s">
        <v>368</v>
      </c>
      <c r="F199" s="354">
        <v>45845.0</v>
      </c>
      <c r="G199" s="314">
        <v>0.0</v>
      </c>
      <c r="H199" s="314">
        <v>0.0</v>
      </c>
      <c r="I199" s="315">
        <v>0.0</v>
      </c>
      <c r="J199" s="315">
        <v>0.0</v>
      </c>
      <c r="K199" s="160">
        <v>4.0</v>
      </c>
      <c r="L199" s="160">
        <v>4.0</v>
      </c>
      <c r="M199" s="160">
        <v>0.0</v>
      </c>
      <c r="N199" s="160">
        <v>4.0</v>
      </c>
      <c r="O199" s="160">
        <v>0.0</v>
      </c>
      <c r="P199" s="315">
        <v>0.0</v>
      </c>
      <c r="Q199" s="315">
        <v>0.0</v>
      </c>
      <c r="R199" s="160">
        <v>0.0</v>
      </c>
      <c r="S199" s="160">
        <v>0.0</v>
      </c>
      <c r="T199" s="160">
        <v>0.0</v>
      </c>
      <c r="U199" s="160">
        <v>0.0</v>
      </c>
      <c r="V199" s="160">
        <v>29.0</v>
      </c>
      <c r="W199" s="160">
        <v>85.0</v>
      </c>
      <c r="X199" s="160">
        <v>0.0</v>
      </c>
      <c r="Y199" s="160">
        <v>1.0</v>
      </c>
      <c r="Z199" s="160">
        <v>1.0</v>
      </c>
      <c r="AA199" s="160">
        <v>0.0</v>
      </c>
      <c r="AB199" s="160">
        <v>0.0</v>
      </c>
      <c r="AC199" s="160">
        <v>5.0</v>
      </c>
      <c r="AD199" s="160">
        <v>8.0</v>
      </c>
      <c r="AE199" s="160">
        <v>14.0</v>
      </c>
      <c r="AF199" s="160">
        <v>108.0</v>
      </c>
      <c r="AG199" s="160">
        <v>20.0</v>
      </c>
      <c r="AH199" s="314">
        <f t="shared" si="2"/>
        <v>0</v>
      </c>
      <c r="AI199" s="314">
        <f t="shared" si="3"/>
        <v>5.4</v>
      </c>
      <c r="AJ199" s="346">
        <v>37760.0</v>
      </c>
      <c r="AK199" s="314">
        <f t="shared" si="63"/>
        <v>26432</v>
      </c>
      <c r="AL199" s="286"/>
      <c r="AM199" s="318" t="str">
        <f t="shared" si="5"/>
        <v/>
      </c>
      <c r="AN199" s="314" t="str">
        <f t="shared" si="6"/>
        <v/>
      </c>
      <c r="AO199" s="336" t="str">
        <f t="shared" si="116"/>
        <v/>
      </c>
      <c r="AP199" s="319">
        <v>0.0</v>
      </c>
      <c r="AQ199" s="160">
        <v>0.0</v>
      </c>
      <c r="AR199" s="160">
        <v>170.0</v>
      </c>
      <c r="AS199" s="160">
        <v>0.0</v>
      </c>
      <c r="AT199" s="160">
        <v>0.0</v>
      </c>
      <c r="AU199" s="160">
        <v>0.0</v>
      </c>
      <c r="AV199" s="320">
        <v>0.0</v>
      </c>
      <c r="AW199" s="320">
        <v>4.0</v>
      </c>
      <c r="AX199" s="320">
        <v>0.0</v>
      </c>
      <c r="AY199" s="321">
        <f>iferror(VLOOKUP(C199,'ORDER BOOKING REPORT 2025-26'!C:O,13,0),"")</f>
        <v>0</v>
      </c>
      <c r="AZ199" s="353">
        <v>45869.0</v>
      </c>
      <c r="BA199" s="157" t="str">
        <f t="shared" si="7"/>
        <v>LEFT</v>
      </c>
      <c r="BB199" s="157" t="str">
        <f t="shared" si="8"/>
        <v>New</v>
      </c>
      <c r="BC199" s="160" t="s">
        <v>972</v>
      </c>
      <c r="BD199" s="223">
        <v>0.7</v>
      </c>
      <c r="BE199" s="323"/>
      <c r="BF199" s="157">
        <f t="shared" si="10"/>
        <v>0</v>
      </c>
      <c r="BG199" s="157" t="s">
        <v>1019</v>
      </c>
      <c r="BH199" s="324"/>
      <c r="BI199" s="324"/>
      <c r="BJ199" s="343"/>
      <c r="BK199" s="326"/>
      <c r="BL199" s="326">
        <f t="shared" si="121"/>
        <v>0</v>
      </c>
      <c r="BM199" s="326">
        <f t="shared" si="12"/>
        <v>0</v>
      </c>
      <c r="BN199" s="326"/>
      <c r="BO199" s="327" t="str">
        <f>IFERROR(__xludf.DUMMYFUNCTION("IFERROR(ArrayFormula(SUM(VLOOKUP($C199,importrange(""1MwNMVzWE3QBVOyJjKr3eFX-Sq1Ng0Q1sghWJbgbE_8g"",""ORDER BOOKING REPORT 2024-25!C:CV""),{16,23,30},0))))"),"")</f>
        <v/>
      </c>
      <c r="BP199" s="327" t="str">
        <f>IFERROR(__xludf.DUMMYFUNCTION("IFERROR(ArrayFormula(SUM(VLOOKUP($C199,importrange(""1MwNMVzWE3QBVOyJjKr3eFX-Sq1Ng0Q1sghWJbgbE_8g"",""ORDER BOOKING REPORT 2024-25!C:CV""),{37,44,51},0))))"),"")</f>
        <v/>
      </c>
      <c r="BQ199" s="327" t="str">
        <f>IFERROR(__xludf.DUMMYFUNCTION("IFERROR(ArrayFormula(SUM(VLOOKUP($C199,importrange(""1MwNMVzWE3QBVOyJjKr3eFX-Sq1Ng0Q1sghWJbgbE_8g"",""ORDER BOOKING REPORT 2024-25!C:CV""),{58,65,72},0))))"),"")</f>
        <v/>
      </c>
      <c r="BR199" s="327" t="str">
        <f>IFERROR(__xludf.DUMMYFUNCTION("IFERROR(ArrayFormula(SUM(VLOOKUP($C199,importrange(""1MwNMVzWE3QBVOyJjKr3eFX-Sq1Ng0Q1sghWJbgbE_8g"",""ORDER BOOKING REPORT 2024-25!C:CV""),{79,86,93},0))))"),"")</f>
        <v/>
      </c>
      <c r="BS199" s="328" t="str">
        <f t="shared" si="13"/>
        <v/>
      </c>
      <c r="BT199" s="328" t="str">
        <f t="shared" si="14"/>
        <v/>
      </c>
      <c r="BU199" s="234">
        <f t="shared" si="15"/>
        <v>0</v>
      </c>
      <c r="BV199" s="329"/>
      <c r="BW199" s="329"/>
      <c r="BX199" s="329"/>
      <c r="BY199" s="234">
        <f t="shared" si="16"/>
        <v>-37760</v>
      </c>
      <c r="BZ199" s="234"/>
      <c r="CA199" s="234"/>
      <c r="CB199" s="234"/>
      <c r="CC199" s="234"/>
      <c r="CD199" s="234"/>
      <c r="CE199" s="234"/>
      <c r="CF199" s="234"/>
      <c r="CG199" s="234" t="str">
        <f t="shared" si="19"/>
        <v>Below 60</v>
      </c>
      <c r="CH199" s="234" t="str">
        <f t="shared" si="27"/>
        <v>Not 50%</v>
      </c>
      <c r="CI199" s="328">
        <f t="shared" si="20"/>
        <v>0</v>
      </c>
      <c r="CJ199" s="339">
        <f>IFERROR(__xludf.DUMMYFUNCTION("""COMPUTED_VALUE"""),0.0)</f>
        <v>0</v>
      </c>
      <c r="CK199" s="339">
        <f>IFERROR(__xludf.DUMMYFUNCTION("""COMPUTED_VALUE"""),14.0)</f>
        <v>14</v>
      </c>
      <c r="CL199" s="339">
        <f>IFERROR(__xludf.DUMMYFUNCTION("""COMPUTED_VALUE"""),0.0)</f>
        <v>0</v>
      </c>
      <c r="CM199" s="331">
        <f t="shared" si="21"/>
        <v>0</v>
      </c>
      <c r="CN199" s="340"/>
      <c r="CO199" s="328"/>
      <c r="CP199" s="341"/>
      <c r="CQ199" s="344"/>
      <c r="CR199" s="328"/>
      <c r="CS199" s="328"/>
      <c r="CT199" s="328"/>
      <c r="CU199" s="328"/>
      <c r="CV199" s="328"/>
      <c r="CW199" s="328"/>
      <c r="CX199" s="288"/>
      <c r="CY199" s="328"/>
      <c r="CZ199" s="328"/>
    </row>
    <row r="200">
      <c r="A200" s="157" t="s">
        <v>185</v>
      </c>
      <c r="B200" s="157" t="s">
        <v>189</v>
      </c>
      <c r="C200" s="157" t="s">
        <v>286</v>
      </c>
      <c r="D200" s="157" t="s">
        <v>1016</v>
      </c>
      <c r="E200" s="157" t="s">
        <v>287</v>
      </c>
      <c r="F200" s="354">
        <v>45845.0</v>
      </c>
      <c r="G200" s="314">
        <v>0.0</v>
      </c>
      <c r="H200" s="314">
        <v>1.8E7</v>
      </c>
      <c r="I200" s="315">
        <v>1.468971778E7</v>
      </c>
      <c r="J200" s="315">
        <v>0.0</v>
      </c>
      <c r="K200" s="160">
        <v>40.0</v>
      </c>
      <c r="L200" s="160">
        <v>64.0</v>
      </c>
      <c r="M200" s="160">
        <v>24.0</v>
      </c>
      <c r="N200" s="160">
        <v>64.0</v>
      </c>
      <c r="O200" s="160">
        <v>0.0</v>
      </c>
      <c r="P200" s="315">
        <v>1.120648473E7</v>
      </c>
      <c r="Q200" s="315">
        <v>3483233.05</v>
      </c>
      <c r="R200" s="160">
        <v>24.0</v>
      </c>
      <c r="S200" s="160">
        <v>24.0</v>
      </c>
      <c r="T200" s="160">
        <v>48.0</v>
      </c>
      <c r="U200" s="160">
        <v>0.0</v>
      </c>
      <c r="V200" s="160">
        <v>51.0</v>
      </c>
      <c r="W200" s="160">
        <v>138.0</v>
      </c>
      <c r="X200" s="160">
        <v>0.0</v>
      </c>
      <c r="Y200" s="160">
        <v>2.0</v>
      </c>
      <c r="Z200" s="160">
        <v>17.0</v>
      </c>
      <c r="AA200" s="160">
        <v>0.0</v>
      </c>
      <c r="AB200" s="160">
        <v>0.0</v>
      </c>
      <c r="AC200" s="160">
        <v>0.0</v>
      </c>
      <c r="AD200" s="160">
        <v>0.0</v>
      </c>
      <c r="AE200" s="160">
        <v>892.0</v>
      </c>
      <c r="AF200" s="160">
        <v>1047.0</v>
      </c>
      <c r="AG200" s="160">
        <v>213.0</v>
      </c>
      <c r="AH200" s="314">
        <f t="shared" si="2"/>
        <v>68965.81117</v>
      </c>
      <c r="AI200" s="314">
        <f t="shared" si="3"/>
        <v>4.915492958</v>
      </c>
      <c r="AJ200" s="346">
        <v>24120.0</v>
      </c>
      <c r="AK200" s="314">
        <f t="shared" si="63"/>
        <v>217080</v>
      </c>
      <c r="AL200" s="317">
        <v>98112.0</v>
      </c>
      <c r="AM200" s="318">
        <f t="shared" si="5"/>
        <v>0.02145664095</v>
      </c>
      <c r="AN200" s="314">
        <f t="shared" si="6"/>
        <v>306035.7871</v>
      </c>
      <c r="AO200" s="336">
        <f t="shared" si="116"/>
        <v>0.8160954322</v>
      </c>
      <c r="AP200" s="319">
        <v>0.0</v>
      </c>
      <c r="AQ200" s="160">
        <v>168.0</v>
      </c>
      <c r="AR200" s="160">
        <v>2452.0</v>
      </c>
      <c r="AS200" s="160">
        <v>3945.54</v>
      </c>
      <c r="AT200" s="160">
        <v>24.0</v>
      </c>
      <c r="AU200" s="160">
        <v>62.0</v>
      </c>
      <c r="AV200" s="320">
        <v>48.0</v>
      </c>
      <c r="AW200" s="320">
        <v>16.0</v>
      </c>
      <c r="AX200" s="320">
        <v>0.0</v>
      </c>
      <c r="AY200" s="321">
        <f>iferror(VLOOKUP(C200,'ORDER BOOKING REPORT 2025-26'!C:O,13,0),"")</f>
        <v>17523182</v>
      </c>
      <c r="AZ200" s="322"/>
      <c r="BA200" s="157" t="str">
        <f t="shared" si="7"/>
        <v>Active</v>
      </c>
      <c r="BB200" s="157" t="str">
        <f t="shared" si="8"/>
        <v>New</v>
      </c>
      <c r="BC200" s="157" t="str">
        <f t="shared" ref="BC200:BC201" si="122">IFS(AO200&lt;50%,"Below 50%",AO200&lt;70%,"50%-70%",AO200&lt;90%,"70%-90%",AO200&lt;100%,"90%-100%",AO200&gt;100%,"Above 100%")</f>
        <v>70%-90%</v>
      </c>
      <c r="BD200" s="223">
        <v>9.0</v>
      </c>
      <c r="BE200" s="323">
        <v>2000000.0</v>
      </c>
      <c r="BF200" s="157">
        <f t="shared" si="10"/>
        <v>0</v>
      </c>
      <c r="BG200" s="157" t="s">
        <v>1019</v>
      </c>
      <c r="BH200" s="324"/>
      <c r="BI200" s="324"/>
      <c r="BJ200" s="325"/>
      <c r="BK200" s="326"/>
      <c r="BL200" s="326">
        <f t="shared" si="121"/>
        <v>0</v>
      </c>
      <c r="BM200" s="326">
        <f t="shared" si="12"/>
        <v>18000000</v>
      </c>
      <c r="BN200" s="326"/>
      <c r="BO200" s="327" t="str">
        <f>IFERROR(__xludf.DUMMYFUNCTION("IFERROR(ArrayFormula(SUM(VLOOKUP($C200,importrange(""1MwNMVzWE3QBVOyJjKr3eFX-Sq1Ng0Q1sghWJbgbE_8g"",""ORDER BOOKING REPORT 2024-25!C:CV""),{16,23,30},0))))"),"")</f>
        <v/>
      </c>
      <c r="BP200" s="327" t="str">
        <f>IFERROR(__xludf.DUMMYFUNCTION("IFERROR(ArrayFormula(SUM(VLOOKUP($C200,importrange(""1MwNMVzWE3QBVOyJjKr3eFX-Sq1Ng0Q1sghWJbgbE_8g"",""ORDER BOOKING REPORT 2024-25!C:CV""),{37,44,51},0))))"),"")</f>
        <v/>
      </c>
      <c r="BQ200" s="327" t="str">
        <f>IFERROR(__xludf.DUMMYFUNCTION("IFERROR(ArrayFormula(SUM(VLOOKUP($C200,importrange(""1MwNMVzWE3QBVOyJjKr3eFX-Sq1Ng0Q1sghWJbgbE_8g"",""ORDER BOOKING REPORT 2024-25!C:CV""),{58,65,72},0))))"),"")</f>
        <v/>
      </c>
      <c r="BR200" s="327" t="str">
        <f>IFERROR(__xludf.DUMMYFUNCTION("IFERROR(ArrayFormula(SUM(VLOOKUP($C200,importrange(""1MwNMVzWE3QBVOyJjKr3eFX-Sq1Ng0Q1sghWJbgbE_8g"",""ORDER BOOKING REPORT 2024-25!C:CV""),{79,86,93},0))))"),"")</f>
        <v/>
      </c>
      <c r="BS200" s="328">
        <f t="shared" si="13"/>
        <v>0.9735101111</v>
      </c>
      <c r="BT200" s="328">
        <f t="shared" si="14"/>
        <v>0.01798714412</v>
      </c>
      <c r="BU200" s="234">
        <f t="shared" si="15"/>
        <v>0</v>
      </c>
      <c r="BV200" s="329"/>
      <c r="BW200" s="329"/>
      <c r="BX200" s="329"/>
      <c r="BY200" s="234">
        <f t="shared" si="16"/>
        <v>-24120</v>
      </c>
      <c r="BZ200" s="234"/>
      <c r="CA200" s="234"/>
      <c r="CB200" s="234"/>
      <c r="CC200" s="234"/>
      <c r="CD200" s="234"/>
      <c r="CE200" s="234"/>
      <c r="CF200" s="234"/>
      <c r="CG200" s="234" t="str">
        <f t="shared" si="19"/>
        <v> </v>
      </c>
      <c r="CH200" s="234" t="str">
        <f t="shared" si="27"/>
        <v>Business Achieved 50%</v>
      </c>
      <c r="CI200" s="328">
        <f t="shared" si="20"/>
        <v>0.75</v>
      </c>
      <c r="CJ200" s="330">
        <f>IFERROR(__xludf.DUMMYFUNCTION("""COMPUTED_VALUE"""),786.0)</f>
        <v>786</v>
      </c>
      <c r="CK200" s="330">
        <f>IFERROR(__xludf.DUMMYFUNCTION("""COMPUTED_VALUE"""),106.0)</f>
        <v>106</v>
      </c>
      <c r="CL200" s="330">
        <f>IFERROR(__xludf.DUMMYFUNCTION("""COMPUTED_VALUE"""),0.0)</f>
        <v>0</v>
      </c>
      <c r="CM200" s="331">
        <f t="shared" si="21"/>
        <v>0</v>
      </c>
      <c r="CN200" s="337"/>
      <c r="CO200" s="160"/>
      <c r="CP200" s="334"/>
      <c r="CQ200" s="335"/>
      <c r="CR200" s="160"/>
      <c r="CS200" s="160"/>
      <c r="CT200" s="160"/>
      <c r="CU200" s="160"/>
      <c r="CV200" s="160"/>
      <c r="CW200" s="335"/>
      <c r="CX200" s="288"/>
      <c r="CY200" s="160"/>
      <c r="CZ200" s="160"/>
    </row>
    <row r="201">
      <c r="A201" s="157" t="s">
        <v>126</v>
      </c>
      <c r="B201" s="157" t="s">
        <v>130</v>
      </c>
      <c r="C201" s="157" t="s">
        <v>172</v>
      </c>
      <c r="D201" s="157" t="s">
        <v>130</v>
      </c>
      <c r="E201" s="157" t="s">
        <v>142</v>
      </c>
      <c r="F201" s="354">
        <v>45843.0</v>
      </c>
      <c r="G201" s="314">
        <v>0.0</v>
      </c>
      <c r="H201" s="314">
        <v>1.8E7</v>
      </c>
      <c r="I201" s="315">
        <v>6669494.85</v>
      </c>
      <c r="J201" s="315">
        <v>0.0</v>
      </c>
      <c r="K201" s="160">
        <v>38.0</v>
      </c>
      <c r="L201" s="160">
        <v>89.0</v>
      </c>
      <c r="M201" s="160">
        <v>56.0</v>
      </c>
      <c r="N201" s="160">
        <v>94.0</v>
      </c>
      <c r="O201" s="160">
        <v>5.0</v>
      </c>
      <c r="P201" s="315">
        <v>1654904.67</v>
      </c>
      <c r="Q201" s="315">
        <v>5014590.18</v>
      </c>
      <c r="R201" s="160">
        <v>15.0</v>
      </c>
      <c r="S201" s="160">
        <v>45.0</v>
      </c>
      <c r="T201" s="160">
        <v>60.0</v>
      </c>
      <c r="U201" s="160">
        <v>0.0</v>
      </c>
      <c r="V201" s="160">
        <v>52.0</v>
      </c>
      <c r="W201" s="160">
        <v>90.0</v>
      </c>
      <c r="X201" s="160">
        <v>3.0</v>
      </c>
      <c r="Y201" s="160">
        <v>4.0</v>
      </c>
      <c r="Z201" s="160">
        <v>128.0</v>
      </c>
      <c r="AA201" s="160">
        <v>0.0</v>
      </c>
      <c r="AB201" s="160">
        <v>0.0</v>
      </c>
      <c r="AC201" s="160">
        <v>1.0</v>
      </c>
      <c r="AD201" s="160">
        <v>2.0</v>
      </c>
      <c r="AE201" s="160">
        <v>665.0</v>
      </c>
      <c r="AF201" s="160">
        <v>885.0</v>
      </c>
      <c r="AG201" s="160">
        <v>201.0</v>
      </c>
      <c r="AH201" s="314">
        <f t="shared" si="2"/>
        <v>33181.56642</v>
      </c>
      <c r="AI201" s="314">
        <f t="shared" si="3"/>
        <v>4.402985075</v>
      </c>
      <c r="AJ201" s="346">
        <v>41430.0</v>
      </c>
      <c r="AK201" s="314">
        <f t="shared" si="63"/>
        <v>372870</v>
      </c>
      <c r="AL201" s="286">
        <v>127606.0</v>
      </c>
      <c r="AM201" s="318">
        <f t="shared" si="5"/>
        <v>0.07503956615</v>
      </c>
      <c r="AN201" s="314">
        <f t="shared" si="6"/>
        <v>111158.2475</v>
      </c>
      <c r="AO201" s="336">
        <f t="shared" si="116"/>
        <v>0.3705274917</v>
      </c>
      <c r="AP201" s="319">
        <v>0.0</v>
      </c>
      <c r="AQ201" s="160">
        <v>243.0</v>
      </c>
      <c r="AR201" s="160">
        <v>1977.0</v>
      </c>
      <c r="AS201" s="160">
        <v>3349.75</v>
      </c>
      <c r="AT201" s="160">
        <v>45.0</v>
      </c>
      <c r="AU201" s="160">
        <v>38.0</v>
      </c>
      <c r="AV201" s="320">
        <v>60.0</v>
      </c>
      <c r="AW201" s="320">
        <v>30.0</v>
      </c>
      <c r="AX201" s="320">
        <v>4.0</v>
      </c>
      <c r="AY201" s="321">
        <f>iferror(VLOOKUP(C201,'ORDER BOOKING REPORT 2025-26'!C:O,13,0),"")</f>
        <v>6525936</v>
      </c>
      <c r="AZ201" s="322"/>
      <c r="BA201" s="157" t="str">
        <f t="shared" si="7"/>
        <v>Active</v>
      </c>
      <c r="BB201" s="157" t="str">
        <f t="shared" si="8"/>
        <v>New</v>
      </c>
      <c r="BC201" s="157" t="str">
        <f t="shared" si="122"/>
        <v>Below 50%</v>
      </c>
      <c r="BD201" s="223">
        <v>9.0</v>
      </c>
      <c r="BE201" s="323">
        <v>2000000.0</v>
      </c>
      <c r="BF201" s="157">
        <f t="shared" si="10"/>
        <v>11</v>
      </c>
      <c r="BG201" s="157" t="s">
        <v>1019</v>
      </c>
      <c r="BH201" s="324"/>
      <c r="BI201" s="324"/>
      <c r="BJ201" s="325"/>
      <c r="BK201" s="326"/>
      <c r="BL201" s="326">
        <f t="shared" si="121"/>
        <v>0</v>
      </c>
      <c r="BM201" s="326">
        <f t="shared" si="12"/>
        <v>18000000</v>
      </c>
      <c r="BN201" s="326"/>
      <c r="BO201" s="327" t="str">
        <f>IFERROR(__xludf.DUMMYFUNCTION("IFERROR(ArrayFormula(SUM(VLOOKUP($C201,importrange(""1MwNMVzWE3QBVOyJjKr3eFX-Sq1Ng0Q1sghWJbgbE_8g"",""ORDER BOOKING REPORT 2024-25!C:CV""),{16,23,30},0))))"),"")</f>
        <v/>
      </c>
      <c r="BP201" s="327" t="str">
        <f>IFERROR(__xludf.DUMMYFUNCTION("IFERROR(ArrayFormula(SUM(VLOOKUP($C201,importrange(""1MwNMVzWE3QBVOyJjKr3eFX-Sq1Ng0Q1sghWJbgbE_8g"",""ORDER BOOKING REPORT 2024-25!C:CV""),{37,44,51},0))))"),"")</f>
        <v/>
      </c>
      <c r="BQ201" s="327" t="str">
        <f>IFERROR(__xludf.DUMMYFUNCTION("IFERROR(ArrayFormula(SUM(VLOOKUP($C201,importrange(""1MwNMVzWE3QBVOyJjKr3eFX-Sq1Ng0Q1sghWJbgbE_8g"",""ORDER BOOKING REPORT 2024-25!C:CV""),{58,65,72},0))))"),"")</f>
        <v/>
      </c>
      <c r="BR201" s="327" t="str">
        <f>IFERROR(__xludf.DUMMYFUNCTION("IFERROR(ArrayFormula(SUM(VLOOKUP($C201,importrange(""1MwNMVzWE3QBVOyJjKr3eFX-Sq1Ng0Q1sghWJbgbE_8g"",""ORDER BOOKING REPORT 2024-25!C:CV""),{79,86,93},0))))"),"")</f>
        <v/>
      </c>
      <c r="BS201" s="328">
        <f t="shared" si="13"/>
        <v>0.362552</v>
      </c>
      <c r="BT201" s="328">
        <f t="shared" si="14"/>
        <v>0.07669030159</v>
      </c>
      <c r="BU201" s="234">
        <f t="shared" si="15"/>
        <v>0</v>
      </c>
      <c r="BV201" s="329"/>
      <c r="BW201" s="329"/>
      <c r="BX201" s="329"/>
      <c r="BY201" s="234">
        <f t="shared" si="16"/>
        <v>-41430</v>
      </c>
      <c r="BZ201" s="234"/>
      <c r="CA201" s="234"/>
      <c r="CB201" s="234"/>
      <c r="CC201" s="234"/>
      <c r="CD201" s="234"/>
      <c r="CE201" s="234"/>
      <c r="CF201" s="234"/>
      <c r="CG201" s="234" t="str">
        <f t="shared" si="19"/>
        <v> </v>
      </c>
      <c r="CH201" s="234" t="str">
        <f t="shared" si="27"/>
        <v>Business Achieved 50%</v>
      </c>
      <c r="CI201" s="328">
        <f t="shared" si="20"/>
        <v>0.6382978723</v>
      </c>
      <c r="CJ201" s="339">
        <f>IFERROR(__xludf.DUMMYFUNCTION("""COMPUTED_VALUE"""),515.0)</f>
        <v>515</v>
      </c>
      <c r="CK201" s="339">
        <f>IFERROR(__xludf.DUMMYFUNCTION("""COMPUTED_VALUE"""),150.0)</f>
        <v>150</v>
      </c>
      <c r="CL201" s="339">
        <f>IFERROR(__xludf.DUMMYFUNCTION("""COMPUTED_VALUE"""),0.0)</f>
        <v>0</v>
      </c>
      <c r="CM201" s="331">
        <f t="shared" si="21"/>
        <v>0</v>
      </c>
      <c r="CN201" s="340"/>
      <c r="CO201" s="328"/>
      <c r="CP201" s="341"/>
      <c r="CQ201" s="344"/>
      <c r="CR201" s="328"/>
      <c r="CS201" s="328"/>
      <c r="CT201" s="328"/>
      <c r="CU201" s="328"/>
      <c r="CV201" s="328"/>
      <c r="CW201" s="328"/>
      <c r="CX201" s="288"/>
      <c r="CY201" s="328"/>
      <c r="CZ201" s="328"/>
    </row>
    <row r="202">
      <c r="A202" s="157" t="s">
        <v>97</v>
      </c>
      <c r="B202" s="157" t="s">
        <v>101</v>
      </c>
      <c r="C202" s="157" t="s">
        <v>876</v>
      </c>
      <c r="D202" s="157" t="s">
        <v>1062</v>
      </c>
      <c r="E202" s="157" t="s">
        <v>1063</v>
      </c>
      <c r="F202" s="355">
        <v>45859.0</v>
      </c>
      <c r="G202" s="314">
        <v>0.0</v>
      </c>
      <c r="H202" s="314">
        <v>0.0</v>
      </c>
      <c r="I202" s="315">
        <v>0.0</v>
      </c>
      <c r="J202" s="315">
        <v>0.0</v>
      </c>
      <c r="K202" s="160">
        <v>131.0</v>
      </c>
      <c r="L202" s="160">
        <v>205.0</v>
      </c>
      <c r="M202" s="160">
        <v>74.0</v>
      </c>
      <c r="N202" s="160">
        <v>205.0</v>
      </c>
      <c r="O202" s="160">
        <v>0.0</v>
      </c>
      <c r="P202" s="315">
        <v>0.0</v>
      </c>
      <c r="Q202" s="315">
        <v>0.0</v>
      </c>
      <c r="R202" s="160">
        <v>0.0</v>
      </c>
      <c r="S202" s="160">
        <v>0.0</v>
      </c>
      <c r="T202" s="160">
        <v>0.0</v>
      </c>
      <c r="U202" s="160">
        <v>0.0</v>
      </c>
      <c r="V202" s="160">
        <v>26.0</v>
      </c>
      <c r="W202" s="160">
        <v>53.0</v>
      </c>
      <c r="X202" s="160">
        <v>1.0</v>
      </c>
      <c r="Y202" s="160">
        <v>1.0</v>
      </c>
      <c r="Z202" s="160">
        <v>29.0</v>
      </c>
      <c r="AA202" s="160">
        <v>0.0</v>
      </c>
      <c r="AB202" s="160">
        <v>0.0</v>
      </c>
      <c r="AC202" s="160">
        <v>0.0</v>
      </c>
      <c r="AD202" s="160">
        <v>0.0</v>
      </c>
      <c r="AE202" s="160">
        <v>1030.0</v>
      </c>
      <c r="AF202" s="160">
        <v>1112.0</v>
      </c>
      <c r="AG202" s="160">
        <v>202.0</v>
      </c>
      <c r="AH202" s="314">
        <f t="shared" si="2"/>
        <v>0</v>
      </c>
      <c r="AI202" s="314">
        <f t="shared" si="3"/>
        <v>5.504950495</v>
      </c>
      <c r="AJ202" s="346">
        <v>51910.0</v>
      </c>
      <c r="AK202" s="314">
        <f t="shared" si="63"/>
        <v>433699.6774</v>
      </c>
      <c r="AL202" s="286">
        <v>101944.0</v>
      </c>
      <c r="AM202" s="318" t="str">
        <f t="shared" si="5"/>
        <v/>
      </c>
      <c r="AN202" s="314" t="str">
        <f t="shared" si="6"/>
        <v/>
      </c>
      <c r="AO202" s="336" t="str">
        <f t="shared" si="116"/>
        <v/>
      </c>
      <c r="AP202" s="319">
        <v>0.0</v>
      </c>
      <c r="AQ202" s="160">
        <v>0.0</v>
      </c>
      <c r="AR202" s="160">
        <v>2133.0</v>
      </c>
      <c r="AS202" s="160">
        <v>3455.14</v>
      </c>
      <c r="AT202" s="160">
        <v>0.0</v>
      </c>
      <c r="AU202" s="160">
        <v>17.0</v>
      </c>
      <c r="AV202" s="320">
        <v>0.0</v>
      </c>
      <c r="AW202" s="320">
        <v>205.0</v>
      </c>
      <c r="AX202" s="320">
        <v>0.0</v>
      </c>
      <c r="AY202" s="321" t="str">
        <f>iferror(VLOOKUP(C202,'ORDER BOOKING REPORT 2025-26'!C:O,13,0),"")</f>
        <v/>
      </c>
      <c r="AZ202" s="322"/>
      <c r="BA202" s="157" t="str">
        <f t="shared" si="7"/>
        <v>Active</v>
      </c>
      <c r="BB202" s="157" t="str">
        <f t="shared" si="8"/>
        <v>New</v>
      </c>
      <c r="BC202" s="160" t="s">
        <v>972</v>
      </c>
      <c r="BD202" s="350">
        <f>(11/31)+1+1+1+1+1+1+1+1</f>
        <v>8.35483871</v>
      </c>
      <c r="BE202" s="323"/>
      <c r="BF202" s="157">
        <f t="shared" si="10"/>
        <v>74</v>
      </c>
      <c r="BG202" s="157" t="s">
        <v>1019</v>
      </c>
      <c r="BH202" s="324"/>
      <c r="BI202" s="324"/>
      <c r="BJ202" s="325"/>
      <c r="BK202" s="326"/>
      <c r="BL202" s="326">
        <f t="shared" si="121"/>
        <v>0</v>
      </c>
      <c r="BM202" s="326">
        <f t="shared" si="12"/>
        <v>0</v>
      </c>
      <c r="BN202" s="326"/>
      <c r="BO202" s="327" t="str">
        <f>IFERROR(__xludf.DUMMYFUNCTION("IFERROR(ArrayFormula(SUM(VLOOKUP($C202,importrange(""1MwNMVzWE3QBVOyJjKr3eFX-Sq1Ng0Q1sghWJbgbE_8g"",""ORDER BOOKING REPORT 2024-25!C:CV""),{16,23,30},0))))"),"")</f>
        <v/>
      </c>
      <c r="BP202" s="327" t="str">
        <f>IFERROR(__xludf.DUMMYFUNCTION("IFERROR(ArrayFormula(SUM(VLOOKUP($C202,importrange(""1MwNMVzWE3QBVOyJjKr3eFX-Sq1Ng0Q1sghWJbgbE_8g"",""ORDER BOOKING REPORT 2024-25!C:CV""),{37,44,51},0))))"),"")</f>
        <v/>
      </c>
      <c r="BQ202" s="327" t="str">
        <f>IFERROR(__xludf.DUMMYFUNCTION("IFERROR(ArrayFormula(SUM(VLOOKUP($C202,importrange(""1MwNMVzWE3QBVOyJjKr3eFX-Sq1Ng0Q1sghWJbgbE_8g"",""ORDER BOOKING REPORT 2024-25!C:CV""),{58,65,72},0))))"),"")</f>
        <v/>
      </c>
      <c r="BR202" s="327" t="str">
        <f>IFERROR(__xludf.DUMMYFUNCTION("IFERROR(ArrayFormula(SUM(VLOOKUP($C202,importrange(""1MwNMVzWE3QBVOyJjKr3eFX-Sq1Ng0Q1sghWJbgbE_8g"",""ORDER BOOKING REPORT 2024-25!C:CV""),{79,86,93},0))))"),"")</f>
        <v/>
      </c>
      <c r="BS202" s="328" t="str">
        <f t="shared" si="13"/>
        <v/>
      </c>
      <c r="BT202" s="328" t="str">
        <f t="shared" si="14"/>
        <v/>
      </c>
      <c r="BU202" s="234">
        <f t="shared" si="15"/>
        <v>0</v>
      </c>
      <c r="BV202" s="329"/>
      <c r="BW202" s="329"/>
      <c r="BX202" s="329"/>
      <c r="BY202" s="234">
        <f t="shared" si="16"/>
        <v>-51910</v>
      </c>
      <c r="BZ202" s="234"/>
      <c r="CA202" s="234"/>
      <c r="CB202" s="234"/>
      <c r="CC202" s="234"/>
      <c r="CD202" s="234"/>
      <c r="CE202" s="234"/>
      <c r="CF202" s="234"/>
      <c r="CG202" s="234" t="str">
        <f t="shared" si="19"/>
        <v> </v>
      </c>
      <c r="CH202" s="234" t="str">
        <f t="shared" si="27"/>
        <v>Not 50%</v>
      </c>
      <c r="CI202" s="328">
        <f t="shared" si="20"/>
        <v>0</v>
      </c>
      <c r="CJ202" s="339"/>
      <c r="CK202" s="339"/>
      <c r="CL202" s="339"/>
      <c r="CM202" s="331">
        <f t="shared" si="21"/>
        <v>1030</v>
      </c>
      <c r="CN202" s="340"/>
      <c r="CO202" s="328"/>
      <c r="CP202" s="341"/>
      <c r="CQ202" s="344"/>
      <c r="CR202" s="328"/>
      <c r="CS202" s="328"/>
      <c r="CT202" s="328"/>
      <c r="CU202" s="328"/>
      <c r="CV202" s="328"/>
      <c r="CW202" s="328"/>
      <c r="CX202" s="288"/>
      <c r="CY202" s="328"/>
      <c r="CZ202" s="328"/>
    </row>
    <row r="203">
      <c r="A203" s="157" t="s">
        <v>298</v>
      </c>
      <c r="B203" s="157" t="s">
        <v>301</v>
      </c>
      <c r="C203" s="157" t="s">
        <v>877</v>
      </c>
      <c r="D203" s="157" t="s">
        <v>1066</v>
      </c>
      <c r="E203" s="157" t="s">
        <v>358</v>
      </c>
      <c r="F203" s="355">
        <v>45862.0</v>
      </c>
      <c r="G203" s="314">
        <v>0.0</v>
      </c>
      <c r="H203" s="314">
        <v>6000000.0</v>
      </c>
      <c r="I203" s="315">
        <v>542431.2</v>
      </c>
      <c r="J203" s="315">
        <v>0.0</v>
      </c>
      <c r="K203" s="160">
        <v>31.0</v>
      </c>
      <c r="L203" s="160">
        <v>44.0</v>
      </c>
      <c r="M203" s="160">
        <v>13.0</v>
      </c>
      <c r="N203" s="160">
        <v>44.0</v>
      </c>
      <c r="O203" s="160">
        <v>0.0</v>
      </c>
      <c r="P203" s="315">
        <v>284546.1</v>
      </c>
      <c r="Q203" s="315">
        <v>257885.1</v>
      </c>
      <c r="R203" s="160">
        <v>10.0</v>
      </c>
      <c r="S203" s="160">
        <v>12.0</v>
      </c>
      <c r="T203" s="160">
        <v>22.0</v>
      </c>
      <c r="U203" s="160">
        <v>0.0</v>
      </c>
      <c r="V203" s="160">
        <v>141.0</v>
      </c>
      <c r="W203" s="160">
        <v>382.0</v>
      </c>
      <c r="X203" s="160">
        <v>0.0</v>
      </c>
      <c r="Y203" s="160">
        <v>1.0</v>
      </c>
      <c r="Z203" s="160">
        <v>4.0</v>
      </c>
      <c r="AA203" s="160">
        <v>0.0</v>
      </c>
      <c r="AB203" s="160">
        <v>0.0</v>
      </c>
      <c r="AC203" s="160">
        <v>0.0</v>
      </c>
      <c r="AD203" s="160">
        <v>0.0</v>
      </c>
      <c r="AE203" s="160">
        <v>251.0</v>
      </c>
      <c r="AF203" s="160">
        <v>637.0</v>
      </c>
      <c r="AG203" s="160">
        <v>145.0</v>
      </c>
      <c r="AH203" s="314">
        <f t="shared" si="2"/>
        <v>3740.904828</v>
      </c>
      <c r="AI203" s="314">
        <f t="shared" si="3"/>
        <v>4.393103448</v>
      </c>
      <c r="AJ203" s="346">
        <v>39330.0</v>
      </c>
      <c r="AK203" s="314">
        <f t="shared" si="63"/>
        <v>248667.0968</v>
      </c>
      <c r="AL203" s="317">
        <v>92282.0</v>
      </c>
      <c r="AM203" s="318">
        <f t="shared" si="5"/>
        <v>0.6285573116</v>
      </c>
      <c r="AN203" s="314">
        <f t="shared" si="6"/>
        <v>24655.96364</v>
      </c>
      <c r="AO203" s="336">
        <f t="shared" si="116"/>
        <v>0.0904052</v>
      </c>
      <c r="AP203" s="319">
        <v>0.0</v>
      </c>
      <c r="AQ203" s="160">
        <v>43.0</v>
      </c>
      <c r="AR203" s="160">
        <v>1312.0</v>
      </c>
      <c r="AS203" s="160">
        <v>0.0</v>
      </c>
      <c r="AT203" s="160">
        <v>12.0</v>
      </c>
      <c r="AU203" s="160">
        <v>0.0</v>
      </c>
      <c r="AV203" s="320">
        <v>22.0</v>
      </c>
      <c r="AW203" s="320">
        <v>22.0</v>
      </c>
      <c r="AX203" s="320">
        <v>0.0</v>
      </c>
      <c r="AY203" s="321">
        <f>iferror(VLOOKUP(C203,'ORDER BOOKING REPORT 2025-26'!C:O,13,0),"")</f>
        <v>376313</v>
      </c>
      <c r="AZ203" s="322">
        <v>46053.0</v>
      </c>
      <c r="BA203" s="157" t="str">
        <f t="shared" si="7"/>
        <v>LEFT</v>
      </c>
      <c r="BB203" s="157" t="str">
        <f t="shared" si="8"/>
        <v>New</v>
      </c>
      <c r="BC203" s="157" t="str">
        <f t="shared" ref="BC203:BC205" si="123">IFS(AO203&lt;50%,"Below 50%",AO203&lt;70%,"50%-70%",AO203&lt;90%,"70%-90%",AO203&lt;100%,"90%-100%",AO203&gt;100%,"Above 100%")</f>
        <v>Below 50%</v>
      </c>
      <c r="BD203" s="350">
        <f>(10/31)+1+1+1+1+1+1</f>
        <v>6.322580645</v>
      </c>
      <c r="BE203" s="323">
        <v>1200000.0</v>
      </c>
      <c r="BF203" s="157">
        <f t="shared" si="10"/>
        <v>1</v>
      </c>
      <c r="BG203" s="157" t="s">
        <v>1019</v>
      </c>
      <c r="BH203" s="324"/>
      <c r="BI203" s="324"/>
      <c r="BJ203" s="325"/>
      <c r="BK203" s="326"/>
      <c r="BL203" s="326">
        <f t="shared" si="121"/>
        <v>0</v>
      </c>
      <c r="BM203" s="326">
        <f t="shared" si="12"/>
        <v>6000000</v>
      </c>
      <c r="BN203" s="326"/>
      <c r="BO203" s="327" t="str">
        <f>IFERROR(__xludf.DUMMYFUNCTION("IFERROR(ArrayFormula(SUM(VLOOKUP($C203,importrange(""1MwNMVzWE3QBVOyJjKr3eFX-Sq1Ng0Q1sghWJbgbE_8g"",""ORDER BOOKING REPORT 2024-25!C:CV""),{16,23,30},0))))"),"")</f>
        <v/>
      </c>
      <c r="BP203" s="327" t="str">
        <f>IFERROR(__xludf.DUMMYFUNCTION("IFERROR(ArrayFormula(SUM(VLOOKUP($C203,importrange(""1MwNMVzWE3QBVOyJjKr3eFX-Sq1Ng0Q1sghWJbgbE_8g"",""ORDER BOOKING REPORT 2024-25!C:CV""),{37,44,51},0))))"),"")</f>
        <v/>
      </c>
      <c r="BQ203" s="327" t="str">
        <f>IFERROR(__xludf.DUMMYFUNCTION("IFERROR(ArrayFormula(SUM(VLOOKUP($C203,importrange(""1MwNMVzWE3QBVOyJjKr3eFX-Sq1Ng0Q1sghWJbgbE_8g"",""ORDER BOOKING REPORT 2024-25!C:CV""),{58,65,72},0))))"),"")</f>
        <v/>
      </c>
      <c r="BR203" s="327" t="str">
        <f>IFERROR(__xludf.DUMMYFUNCTION("IFERROR(ArrayFormula(SUM(VLOOKUP($C203,importrange(""1MwNMVzWE3QBVOyJjKr3eFX-Sq1Ng0Q1sghWJbgbE_8g"",""ORDER BOOKING REPORT 2024-25!C:CV""),{79,86,93},0))))"),"")</f>
        <v/>
      </c>
      <c r="BS203" s="328">
        <f t="shared" si="13"/>
        <v>0.06271883333</v>
      </c>
      <c r="BT203" s="328">
        <f t="shared" si="14"/>
        <v>0.9060252948</v>
      </c>
      <c r="BU203" s="234">
        <f t="shared" si="15"/>
        <v>0</v>
      </c>
      <c r="BV203" s="329"/>
      <c r="BW203" s="329"/>
      <c r="BX203" s="329"/>
      <c r="BY203" s="234">
        <f t="shared" si="16"/>
        <v>-39330</v>
      </c>
      <c r="BZ203" s="234"/>
      <c r="CA203" s="234"/>
      <c r="CB203" s="234"/>
      <c r="CC203" s="234"/>
      <c r="CD203" s="234"/>
      <c r="CE203" s="234"/>
      <c r="CF203" s="234"/>
      <c r="CG203" s="234" t="str">
        <f t="shared" si="19"/>
        <v>Below 60</v>
      </c>
      <c r="CH203" s="234" t="str">
        <f t="shared" si="27"/>
        <v>Business Achieved 50%</v>
      </c>
      <c r="CI203" s="328">
        <f t="shared" si="20"/>
        <v>0.5</v>
      </c>
      <c r="CJ203" s="330">
        <f>IFERROR(__xludf.DUMMYFUNCTION("""COMPUTED_VALUE"""),146.0)</f>
        <v>146</v>
      </c>
      <c r="CK203" s="330">
        <f>IFERROR(__xludf.DUMMYFUNCTION("""COMPUTED_VALUE"""),105.0)</f>
        <v>105</v>
      </c>
      <c r="CL203" s="330">
        <f>IFERROR(__xludf.DUMMYFUNCTION("""COMPUTED_VALUE"""),0.0)</f>
        <v>0</v>
      </c>
      <c r="CM203" s="331">
        <f t="shared" si="21"/>
        <v>0</v>
      </c>
      <c r="CN203" s="337"/>
      <c r="CO203" s="160"/>
      <c r="CP203" s="334"/>
      <c r="CQ203" s="335"/>
      <c r="CR203" s="160"/>
      <c r="CS203" s="160"/>
      <c r="CT203" s="160"/>
      <c r="CU203" s="160"/>
      <c r="CV203" s="160"/>
      <c r="CW203" s="335"/>
      <c r="CX203" s="288"/>
      <c r="CY203" s="160"/>
      <c r="CZ203" s="160"/>
    </row>
    <row r="204">
      <c r="A204" s="348" t="s">
        <v>53</v>
      </c>
      <c r="B204" s="348" t="s">
        <v>56</v>
      </c>
      <c r="C204" s="348" t="s">
        <v>878</v>
      </c>
      <c r="D204" s="157" t="s">
        <v>1092</v>
      </c>
      <c r="E204" s="157" t="s">
        <v>380</v>
      </c>
      <c r="F204" s="355">
        <v>45862.0</v>
      </c>
      <c r="G204" s="314">
        <v>0.0</v>
      </c>
      <c r="H204" s="314">
        <v>2500000.0</v>
      </c>
      <c r="I204" s="315">
        <v>281491.7</v>
      </c>
      <c r="J204" s="315">
        <v>0.0</v>
      </c>
      <c r="K204" s="160">
        <v>0.0</v>
      </c>
      <c r="L204" s="160">
        <v>25.0</v>
      </c>
      <c r="M204" s="160">
        <v>25.0</v>
      </c>
      <c r="N204" s="160">
        <v>25.0</v>
      </c>
      <c r="O204" s="160">
        <v>0.0</v>
      </c>
      <c r="P204" s="315">
        <v>0.0</v>
      </c>
      <c r="Q204" s="315">
        <v>281491.7</v>
      </c>
      <c r="R204" s="160">
        <v>0.0</v>
      </c>
      <c r="S204" s="160">
        <v>25.0</v>
      </c>
      <c r="T204" s="160">
        <v>25.0</v>
      </c>
      <c r="U204" s="160">
        <v>0.0</v>
      </c>
      <c r="V204" s="160">
        <v>113.0</v>
      </c>
      <c r="W204" s="160">
        <v>346.0</v>
      </c>
      <c r="X204" s="160">
        <v>1.0</v>
      </c>
      <c r="Y204" s="160">
        <v>1.0</v>
      </c>
      <c r="Z204" s="160">
        <v>70.0</v>
      </c>
      <c r="AA204" s="160">
        <v>0.0</v>
      </c>
      <c r="AB204" s="160">
        <v>0.0</v>
      </c>
      <c r="AC204" s="160">
        <v>5.0</v>
      </c>
      <c r="AD204" s="160">
        <v>34.0</v>
      </c>
      <c r="AE204" s="160">
        <v>252.0</v>
      </c>
      <c r="AF204" s="160">
        <v>702.0</v>
      </c>
      <c r="AG204" s="160">
        <v>116.0</v>
      </c>
      <c r="AH204" s="314">
        <f t="shared" si="2"/>
        <v>2426.652586</v>
      </c>
      <c r="AI204" s="314">
        <f t="shared" si="3"/>
        <v>6.051724138</v>
      </c>
      <c r="AJ204" s="346">
        <v>25215.0</v>
      </c>
      <c r="AK204" s="314">
        <f t="shared" si="63"/>
        <v>121601.371</v>
      </c>
      <c r="AL204" s="317">
        <v>43729.0</v>
      </c>
      <c r="AM204" s="318">
        <f t="shared" si="5"/>
        <v>0.587336575</v>
      </c>
      <c r="AN204" s="314">
        <f t="shared" si="6"/>
        <v>11259.668</v>
      </c>
      <c r="AO204" s="336">
        <f t="shared" si="116"/>
        <v>0.11259668</v>
      </c>
      <c r="AP204" s="319">
        <v>0.0</v>
      </c>
      <c r="AQ204" s="160">
        <v>40.0</v>
      </c>
      <c r="AR204" s="160">
        <v>934.0</v>
      </c>
      <c r="AS204" s="160">
        <v>0.0</v>
      </c>
      <c r="AT204" s="160">
        <v>25.0</v>
      </c>
      <c r="AU204" s="160">
        <v>0.0</v>
      </c>
      <c r="AV204" s="320">
        <v>25.0</v>
      </c>
      <c r="AW204" s="320">
        <v>0.0</v>
      </c>
      <c r="AX204" s="320">
        <v>0.0</v>
      </c>
      <c r="AY204" s="321">
        <f>iferror(VLOOKUP(C204,'ORDER BOOKING REPORT 2025-26'!C:O,13,0),"")</f>
        <v>0</v>
      </c>
      <c r="AZ204" s="322">
        <v>46007.0</v>
      </c>
      <c r="BA204" s="157" t="str">
        <f t="shared" si="7"/>
        <v>LEFT</v>
      </c>
      <c r="BB204" s="157" t="str">
        <f t="shared" si="8"/>
        <v>New</v>
      </c>
      <c r="BC204" s="157" t="str">
        <f t="shared" si="123"/>
        <v>Below 50%</v>
      </c>
      <c r="BD204" s="350">
        <f>(10/31)+1+1+1+1+0.5</f>
        <v>4.822580645</v>
      </c>
      <c r="BE204" s="323">
        <v>500000.0</v>
      </c>
      <c r="BF204" s="157">
        <f t="shared" si="10"/>
        <v>0</v>
      </c>
      <c r="BG204" s="157" t="s">
        <v>1019</v>
      </c>
      <c r="BH204" s="324"/>
      <c r="BI204" s="324"/>
      <c r="BJ204" s="325"/>
      <c r="BK204" s="326"/>
      <c r="BL204" s="326">
        <f t="shared" si="121"/>
        <v>0</v>
      </c>
      <c r="BM204" s="326">
        <f t="shared" si="12"/>
        <v>2500000</v>
      </c>
      <c r="BN204" s="326"/>
      <c r="BO204" s="327" t="str">
        <f>IFERROR(__xludf.DUMMYFUNCTION("IFERROR(ArrayFormula(SUM(VLOOKUP($C204,importrange(""1MwNMVzWE3QBVOyJjKr3eFX-Sq1Ng0Q1sghWJbgbE_8g"",""ORDER BOOKING REPORT 2024-25!C:CV""),{16,23,30},0))))"),"")</f>
        <v/>
      </c>
      <c r="BP204" s="327" t="str">
        <f>IFERROR(__xludf.DUMMYFUNCTION("IFERROR(ArrayFormula(SUM(VLOOKUP($C204,importrange(""1MwNMVzWE3QBVOyJjKr3eFX-Sq1Ng0Q1sghWJbgbE_8g"",""ORDER BOOKING REPORT 2024-25!C:CV""),{37,44,51},0))))"),"")</f>
        <v/>
      </c>
      <c r="BQ204" s="327" t="str">
        <f>IFERROR(__xludf.DUMMYFUNCTION("IFERROR(ArrayFormula(SUM(VLOOKUP($C204,importrange(""1MwNMVzWE3QBVOyJjKr3eFX-Sq1Ng0Q1sghWJbgbE_8g"",""ORDER BOOKING REPORT 2024-25!C:CV""),{58,65,72},0))))"),"")</f>
        <v/>
      </c>
      <c r="BR204" s="327" t="str">
        <f>IFERROR(__xludf.DUMMYFUNCTION("IFERROR(ArrayFormula(SUM(VLOOKUP($C204,importrange(""1MwNMVzWE3QBVOyJjKr3eFX-Sq1Ng0Q1sghWJbgbE_8g"",""ORDER BOOKING REPORT 2024-25!C:CV""),{79,86,93},0))))"),"")</f>
        <v/>
      </c>
      <c r="BS204" s="328">
        <f t="shared" si="13"/>
        <v>0</v>
      </c>
      <c r="BT204" s="328" t="str">
        <f t="shared" si="14"/>
        <v/>
      </c>
      <c r="BU204" s="234">
        <f t="shared" si="15"/>
        <v>0</v>
      </c>
      <c r="BV204" s="329"/>
      <c r="BW204" s="329"/>
      <c r="BX204" s="329"/>
      <c r="BY204" s="234">
        <f t="shared" si="16"/>
        <v>-25215</v>
      </c>
      <c r="BZ204" s="234"/>
      <c r="CA204" s="234"/>
      <c r="CB204" s="234"/>
      <c r="CC204" s="234"/>
      <c r="CD204" s="234"/>
      <c r="CE204" s="234"/>
      <c r="CF204" s="234"/>
      <c r="CG204" s="234" t="str">
        <f t="shared" si="19"/>
        <v>Below 60</v>
      </c>
      <c r="CH204" s="234" t="str">
        <f t="shared" si="27"/>
        <v>Business Achieved 50%</v>
      </c>
      <c r="CI204" s="328">
        <f t="shared" si="20"/>
        <v>1</v>
      </c>
      <c r="CJ204" s="330">
        <f>IFERROR(__xludf.DUMMYFUNCTION("""COMPUTED_VALUE"""),252.0)</f>
        <v>252</v>
      </c>
      <c r="CK204" s="330">
        <f>IFERROR(__xludf.DUMMYFUNCTION("""COMPUTED_VALUE"""),0.0)</f>
        <v>0</v>
      </c>
      <c r="CL204" s="330">
        <f>IFERROR(__xludf.DUMMYFUNCTION("""COMPUTED_VALUE"""),0.0)</f>
        <v>0</v>
      </c>
      <c r="CM204" s="331">
        <f t="shared" si="21"/>
        <v>0</v>
      </c>
      <c r="CN204" s="337"/>
      <c r="CO204" s="160"/>
      <c r="CP204" s="334"/>
      <c r="CQ204" s="335"/>
      <c r="CR204" s="160"/>
      <c r="CS204" s="160"/>
      <c r="CT204" s="160"/>
      <c r="CU204" s="160"/>
      <c r="CV204" s="160"/>
      <c r="CW204" s="335"/>
      <c r="CX204" s="288"/>
      <c r="CY204" s="160"/>
      <c r="CZ204" s="160"/>
    </row>
    <row r="205">
      <c r="A205" s="348" t="s">
        <v>53</v>
      </c>
      <c r="B205" s="348" t="s">
        <v>56</v>
      </c>
      <c r="C205" s="348" t="s">
        <v>879</v>
      </c>
      <c r="D205" s="157" t="s">
        <v>1092</v>
      </c>
      <c r="E205" s="157" t="s">
        <v>65</v>
      </c>
      <c r="F205" s="355">
        <v>45861.0</v>
      </c>
      <c r="G205" s="314">
        <v>0.0</v>
      </c>
      <c r="H205" s="314">
        <v>2500000.0</v>
      </c>
      <c r="I205" s="315">
        <v>2995134.11</v>
      </c>
      <c r="J205" s="315">
        <v>0.0</v>
      </c>
      <c r="K205" s="160">
        <v>12.0</v>
      </c>
      <c r="L205" s="160">
        <v>38.0</v>
      </c>
      <c r="M205" s="160">
        <v>26.0</v>
      </c>
      <c r="N205" s="160">
        <v>38.0</v>
      </c>
      <c r="O205" s="160">
        <v>0.0</v>
      </c>
      <c r="P205" s="315">
        <v>385636.39</v>
      </c>
      <c r="Q205" s="315">
        <v>2609497.72</v>
      </c>
      <c r="R205" s="160">
        <v>6.0</v>
      </c>
      <c r="S205" s="160">
        <v>26.0</v>
      </c>
      <c r="T205" s="160">
        <v>32.0</v>
      </c>
      <c r="U205" s="160">
        <v>0.0</v>
      </c>
      <c r="V205" s="160">
        <v>266.0</v>
      </c>
      <c r="W205" s="160">
        <v>801.0</v>
      </c>
      <c r="X205" s="160">
        <v>6.0</v>
      </c>
      <c r="Y205" s="160">
        <v>2.0</v>
      </c>
      <c r="Z205" s="160">
        <v>103.0</v>
      </c>
      <c r="AA205" s="160">
        <v>0.0</v>
      </c>
      <c r="AB205" s="160">
        <v>0.0</v>
      </c>
      <c r="AC205" s="160">
        <v>2.0</v>
      </c>
      <c r="AD205" s="160">
        <v>5.0</v>
      </c>
      <c r="AE205" s="160">
        <v>339.0</v>
      </c>
      <c r="AF205" s="160">
        <v>1248.0</v>
      </c>
      <c r="AG205" s="160">
        <v>182.0</v>
      </c>
      <c r="AH205" s="314">
        <f t="shared" si="2"/>
        <v>16456.78082</v>
      </c>
      <c r="AI205" s="314">
        <f t="shared" si="3"/>
        <v>6.857142857</v>
      </c>
      <c r="AJ205" s="346">
        <v>24120.0</v>
      </c>
      <c r="AK205" s="314">
        <f t="shared" si="63"/>
        <v>199962.5806</v>
      </c>
      <c r="AL205" s="317">
        <v>88990.0</v>
      </c>
      <c r="AM205" s="318">
        <f t="shared" si="5"/>
        <v>0.09647400418</v>
      </c>
      <c r="AN205" s="314">
        <f t="shared" si="6"/>
        <v>93597.94094</v>
      </c>
      <c r="AO205" s="336">
        <f t="shared" si="116"/>
        <v>1.198053644</v>
      </c>
      <c r="AP205" s="319">
        <v>0.0</v>
      </c>
      <c r="AQ205" s="160">
        <v>93.0</v>
      </c>
      <c r="AR205" s="160">
        <v>1736.0</v>
      </c>
      <c r="AS205" s="160">
        <v>2311.29</v>
      </c>
      <c r="AT205" s="160">
        <v>26.0</v>
      </c>
      <c r="AU205" s="160">
        <v>61.0</v>
      </c>
      <c r="AV205" s="320">
        <v>32.0</v>
      </c>
      <c r="AW205" s="320">
        <v>6.0</v>
      </c>
      <c r="AX205" s="320">
        <v>0.0</v>
      </c>
      <c r="AY205" s="321">
        <f>iferror(VLOOKUP(C205,'ORDER BOOKING REPORT 2025-26'!C:O,13,0),"")</f>
        <v>1279491</v>
      </c>
      <c r="AZ205" s="322"/>
      <c r="BA205" s="157" t="str">
        <f t="shared" si="7"/>
        <v>Active</v>
      </c>
      <c r="BB205" s="157" t="str">
        <f t="shared" si="8"/>
        <v>New</v>
      </c>
      <c r="BC205" s="157" t="str">
        <f t="shared" si="123"/>
        <v>Above 100%</v>
      </c>
      <c r="BD205" s="350">
        <f>(9/31)+1+1+1+1+1+1+1+1</f>
        <v>8.290322581</v>
      </c>
      <c r="BE205" s="323">
        <v>500000.0</v>
      </c>
      <c r="BF205" s="157">
        <f t="shared" si="10"/>
        <v>0</v>
      </c>
      <c r="BG205" s="157" t="s">
        <v>1019</v>
      </c>
      <c r="BH205" s="324"/>
      <c r="BI205" s="324"/>
      <c r="BJ205" s="325"/>
      <c r="BK205" s="326"/>
      <c r="BL205" s="326">
        <f t="shared" si="121"/>
        <v>0</v>
      </c>
      <c r="BM205" s="326">
        <f t="shared" si="12"/>
        <v>2500000</v>
      </c>
      <c r="BN205" s="326"/>
      <c r="BO205" s="327" t="str">
        <f>IFERROR(__xludf.DUMMYFUNCTION("IFERROR(ArrayFormula(SUM(VLOOKUP($C205,importrange(""1MwNMVzWE3QBVOyJjKr3eFX-Sq1Ng0Q1sghWJbgbE_8g"",""ORDER BOOKING REPORT 2024-25!C:CV""),{16,23,30},0))))"),"")</f>
        <v/>
      </c>
      <c r="BP205" s="327" t="str">
        <f>IFERROR(__xludf.DUMMYFUNCTION("IFERROR(ArrayFormula(SUM(VLOOKUP($C205,importrange(""1MwNMVzWE3QBVOyJjKr3eFX-Sq1Ng0Q1sghWJbgbE_8g"",""ORDER BOOKING REPORT 2024-25!C:CV""),{37,44,51},0))))"),"")</f>
        <v/>
      </c>
      <c r="BQ205" s="327" t="str">
        <f>IFERROR(__xludf.DUMMYFUNCTION("IFERROR(ArrayFormula(SUM(VLOOKUP($C205,importrange(""1MwNMVzWE3QBVOyJjKr3eFX-Sq1Ng0Q1sghWJbgbE_8g"",""ORDER BOOKING REPORT 2024-25!C:CV""),{58,65,72},0))))"),"")</f>
        <v/>
      </c>
      <c r="BR205" s="327" t="str">
        <f>IFERROR(__xludf.DUMMYFUNCTION("IFERROR(ArrayFormula(SUM(VLOOKUP($C205,importrange(""1MwNMVzWE3QBVOyJjKr3eFX-Sq1Ng0Q1sghWJbgbE_8g"",""ORDER BOOKING REPORT 2024-25!C:CV""),{79,86,93},0))))"),"")</f>
        <v/>
      </c>
      <c r="BS205" s="328">
        <f t="shared" si="13"/>
        <v>0.5117964</v>
      </c>
      <c r="BT205" s="328">
        <f t="shared" si="14"/>
        <v>0.2258340079</v>
      </c>
      <c r="BU205" s="234">
        <f t="shared" si="15"/>
        <v>0</v>
      </c>
      <c r="BV205" s="329"/>
      <c r="BW205" s="329"/>
      <c r="BX205" s="329"/>
      <c r="BY205" s="234">
        <f t="shared" si="16"/>
        <v>-24120</v>
      </c>
      <c r="BZ205" s="234"/>
      <c r="CA205" s="234"/>
      <c r="CB205" s="234"/>
      <c r="CC205" s="234"/>
      <c r="CD205" s="234"/>
      <c r="CE205" s="234"/>
      <c r="CF205" s="234"/>
      <c r="CG205" s="234" t="str">
        <f t="shared" si="19"/>
        <v>Below 60</v>
      </c>
      <c r="CH205" s="234" t="str">
        <f t="shared" si="27"/>
        <v>Business Achieved 50%</v>
      </c>
      <c r="CI205" s="328">
        <f t="shared" si="20"/>
        <v>0.8421052632</v>
      </c>
      <c r="CJ205" s="330">
        <f>IFERROR(__xludf.DUMMYFUNCTION("""COMPUTED_VALUE"""),318.0)</f>
        <v>318</v>
      </c>
      <c r="CK205" s="330">
        <f>IFERROR(__xludf.DUMMYFUNCTION("""COMPUTED_VALUE"""),21.0)</f>
        <v>21</v>
      </c>
      <c r="CL205" s="330">
        <f>IFERROR(__xludf.DUMMYFUNCTION("""COMPUTED_VALUE"""),0.0)</f>
        <v>0</v>
      </c>
      <c r="CM205" s="331">
        <f t="shared" si="21"/>
        <v>0</v>
      </c>
      <c r="CN205" s="337"/>
      <c r="CO205" s="160"/>
      <c r="CP205" s="334"/>
      <c r="CQ205" s="335"/>
      <c r="CR205" s="160"/>
      <c r="CS205" s="160"/>
      <c r="CT205" s="160"/>
      <c r="CU205" s="160"/>
      <c r="CV205" s="160"/>
      <c r="CW205" s="335"/>
      <c r="CX205" s="288"/>
      <c r="CY205" s="160"/>
      <c r="CZ205" s="160"/>
    </row>
    <row r="206">
      <c r="A206" s="157" t="s">
        <v>23</v>
      </c>
      <c r="B206" s="157" t="s">
        <v>30</v>
      </c>
      <c r="C206" s="157" t="s">
        <v>880</v>
      </c>
      <c r="D206" s="157" t="s">
        <v>30</v>
      </c>
      <c r="E206" s="157" t="s">
        <v>340</v>
      </c>
      <c r="F206" s="338">
        <v>45873.0</v>
      </c>
      <c r="G206" s="314">
        <v>0.0</v>
      </c>
      <c r="H206" s="314">
        <v>0.0</v>
      </c>
      <c r="I206" s="315">
        <v>0.0</v>
      </c>
      <c r="J206" s="315">
        <v>0.0</v>
      </c>
      <c r="K206" s="160">
        <v>1.0</v>
      </c>
      <c r="L206" s="160">
        <v>2.0</v>
      </c>
      <c r="M206" s="160">
        <v>1.0</v>
      </c>
      <c r="N206" s="160">
        <v>2.0</v>
      </c>
      <c r="O206" s="160">
        <v>0.0</v>
      </c>
      <c r="P206" s="315">
        <v>0.0</v>
      </c>
      <c r="Q206" s="315">
        <v>0.0</v>
      </c>
      <c r="R206" s="160">
        <v>0.0</v>
      </c>
      <c r="S206" s="160">
        <v>0.0</v>
      </c>
      <c r="T206" s="160">
        <v>0.0</v>
      </c>
      <c r="U206" s="160">
        <v>0.0</v>
      </c>
      <c r="V206" s="160">
        <v>10.0</v>
      </c>
      <c r="W206" s="160">
        <v>12.0</v>
      </c>
      <c r="X206" s="160">
        <v>0.0</v>
      </c>
      <c r="Y206" s="160">
        <v>1.0</v>
      </c>
      <c r="Z206" s="160">
        <v>1.0</v>
      </c>
      <c r="AA206" s="160">
        <v>1.0</v>
      </c>
      <c r="AB206" s="160">
        <v>1.0</v>
      </c>
      <c r="AC206" s="160">
        <v>1.0</v>
      </c>
      <c r="AD206" s="160">
        <v>1.0</v>
      </c>
      <c r="AE206" s="160">
        <v>2.0</v>
      </c>
      <c r="AF206" s="160">
        <v>17.0</v>
      </c>
      <c r="AG206" s="160">
        <v>4.0</v>
      </c>
      <c r="AH206" s="314">
        <f t="shared" si="2"/>
        <v>0</v>
      </c>
      <c r="AI206" s="314">
        <f t="shared" si="3"/>
        <v>4.25</v>
      </c>
      <c r="AJ206" s="346">
        <v>34600.0</v>
      </c>
      <c r="AK206" s="314">
        <f t="shared" si="63"/>
        <v>18684</v>
      </c>
      <c r="AL206" s="286"/>
      <c r="AM206" s="318" t="str">
        <f t="shared" si="5"/>
        <v/>
      </c>
      <c r="AN206" s="314" t="str">
        <f t="shared" si="6"/>
        <v/>
      </c>
      <c r="AO206" s="336" t="str">
        <f t="shared" si="116"/>
        <v/>
      </c>
      <c r="AP206" s="319">
        <v>0.0</v>
      </c>
      <c r="AQ206" s="160">
        <v>0.0</v>
      </c>
      <c r="AR206" s="160">
        <v>44.0</v>
      </c>
      <c r="AS206" s="160">
        <v>0.0</v>
      </c>
      <c r="AT206" s="160">
        <v>0.0</v>
      </c>
      <c r="AU206" s="160">
        <v>0.0</v>
      </c>
      <c r="AV206" s="320">
        <v>0.0</v>
      </c>
      <c r="AW206" s="320">
        <v>2.0</v>
      </c>
      <c r="AX206" s="320">
        <v>0.0</v>
      </c>
      <c r="AY206" s="321" t="str">
        <f>iferror(VLOOKUP(C206,'ORDER BOOKING REPORT 2025-26'!C:O,13,0),"")</f>
        <v/>
      </c>
      <c r="AZ206" s="322">
        <v>45890.0</v>
      </c>
      <c r="BA206" s="157" t="str">
        <f t="shared" si="7"/>
        <v>LEFT</v>
      </c>
      <c r="BB206" s="157" t="str">
        <f t="shared" si="8"/>
        <v>New</v>
      </c>
      <c r="BC206" s="160" t="s">
        <v>972</v>
      </c>
      <c r="BD206" s="223">
        <v>0.54</v>
      </c>
      <c r="BE206" s="323"/>
      <c r="BF206" s="157">
        <f t="shared" si="10"/>
        <v>1</v>
      </c>
      <c r="BG206" s="157" t="s">
        <v>1019</v>
      </c>
      <c r="BH206" s="324"/>
      <c r="BI206" s="324"/>
      <c r="BJ206" s="343"/>
      <c r="BK206" s="326"/>
      <c r="BL206" s="326">
        <f t="shared" si="121"/>
        <v>0</v>
      </c>
      <c r="BM206" s="326">
        <f t="shared" si="12"/>
        <v>0</v>
      </c>
      <c r="BN206" s="326"/>
      <c r="BO206" s="327" t="str">
        <f>IFERROR(__xludf.DUMMYFUNCTION("IFERROR(ArrayFormula(SUM(VLOOKUP($C206,importrange(""1MwNMVzWE3QBVOyJjKr3eFX-Sq1Ng0Q1sghWJbgbE_8g"",""ORDER BOOKING REPORT 2024-25!C:CV""),{16,23,30},0))))"),"")</f>
        <v/>
      </c>
      <c r="BP206" s="327" t="str">
        <f>IFERROR(__xludf.DUMMYFUNCTION("IFERROR(ArrayFormula(SUM(VLOOKUP($C206,importrange(""1MwNMVzWE3QBVOyJjKr3eFX-Sq1Ng0Q1sghWJbgbE_8g"",""ORDER BOOKING REPORT 2024-25!C:CV""),{37,44,51},0))))"),"")</f>
        <v/>
      </c>
      <c r="BQ206" s="327" t="str">
        <f>IFERROR(__xludf.DUMMYFUNCTION("IFERROR(ArrayFormula(SUM(VLOOKUP($C206,importrange(""1MwNMVzWE3QBVOyJjKr3eFX-Sq1Ng0Q1sghWJbgbE_8g"",""ORDER BOOKING REPORT 2024-25!C:CV""),{58,65,72},0))))"),"")</f>
        <v/>
      </c>
      <c r="BR206" s="327" t="str">
        <f>IFERROR(__xludf.DUMMYFUNCTION("IFERROR(ArrayFormula(SUM(VLOOKUP($C206,importrange(""1MwNMVzWE3QBVOyJjKr3eFX-Sq1Ng0Q1sghWJbgbE_8g"",""ORDER BOOKING REPORT 2024-25!C:CV""),{79,86,93},0))))"),"")</f>
        <v/>
      </c>
      <c r="BS206" s="328" t="str">
        <f t="shared" si="13"/>
        <v/>
      </c>
      <c r="BT206" s="328" t="str">
        <f t="shared" si="14"/>
        <v/>
      </c>
      <c r="BU206" s="234">
        <f t="shared" si="15"/>
        <v>0</v>
      </c>
      <c r="BV206" s="329"/>
      <c r="BW206" s="329"/>
      <c r="BX206" s="329"/>
      <c r="BY206" s="234">
        <f t="shared" si="16"/>
        <v>-34600</v>
      </c>
      <c r="BZ206" s="234"/>
      <c r="CA206" s="234"/>
      <c r="CB206" s="234"/>
      <c r="CC206" s="234"/>
      <c r="CD206" s="234"/>
      <c r="CE206" s="234"/>
      <c r="CF206" s="234"/>
      <c r="CG206" s="234" t="str">
        <f t="shared" si="19"/>
        <v>Below 60</v>
      </c>
      <c r="CH206" s="234" t="str">
        <f t="shared" si="27"/>
        <v>Not 50%</v>
      </c>
      <c r="CI206" s="328">
        <f t="shared" si="20"/>
        <v>0</v>
      </c>
      <c r="CJ206" s="339"/>
      <c r="CK206" s="339"/>
      <c r="CL206" s="339"/>
      <c r="CM206" s="331">
        <f t="shared" si="21"/>
        <v>2</v>
      </c>
      <c r="CN206" s="340"/>
      <c r="CO206" s="328"/>
      <c r="CP206" s="341"/>
      <c r="CQ206" s="344"/>
      <c r="CR206" s="328"/>
      <c r="CS206" s="328"/>
      <c r="CT206" s="328"/>
      <c r="CU206" s="328"/>
      <c r="CV206" s="328"/>
      <c r="CW206" s="328"/>
      <c r="CX206" s="288"/>
      <c r="CY206" s="328"/>
      <c r="CZ206" s="328"/>
    </row>
    <row r="207">
      <c r="A207" s="157" t="s">
        <v>185</v>
      </c>
      <c r="B207" s="157" t="s">
        <v>189</v>
      </c>
      <c r="C207" s="157" t="s">
        <v>407</v>
      </c>
      <c r="D207" s="157" t="s">
        <v>1016</v>
      </c>
      <c r="E207" s="157" t="s">
        <v>187</v>
      </c>
      <c r="F207" s="338">
        <v>45876.0</v>
      </c>
      <c r="G207" s="314">
        <v>0.0</v>
      </c>
      <c r="H207" s="314">
        <v>6000000.0</v>
      </c>
      <c r="I207" s="315">
        <v>3410282.73</v>
      </c>
      <c r="J207" s="315">
        <v>0.0</v>
      </c>
      <c r="K207" s="160">
        <v>44.0</v>
      </c>
      <c r="L207" s="160">
        <v>60.0</v>
      </c>
      <c r="M207" s="160">
        <v>16.0</v>
      </c>
      <c r="N207" s="160">
        <v>60.0</v>
      </c>
      <c r="O207" s="160">
        <v>0.0</v>
      </c>
      <c r="P207" s="315">
        <v>2298822.61</v>
      </c>
      <c r="Q207" s="315">
        <v>1111460.12</v>
      </c>
      <c r="R207" s="160">
        <v>16.0</v>
      </c>
      <c r="S207" s="160">
        <v>13.0</v>
      </c>
      <c r="T207" s="160">
        <v>29.0</v>
      </c>
      <c r="U207" s="160">
        <v>0.0</v>
      </c>
      <c r="V207" s="160">
        <v>12.0</v>
      </c>
      <c r="W207" s="160">
        <v>30.0</v>
      </c>
      <c r="X207" s="160">
        <v>0.0</v>
      </c>
      <c r="Y207" s="160">
        <v>1.0</v>
      </c>
      <c r="Z207" s="160">
        <v>1.0</v>
      </c>
      <c r="AA207" s="160">
        <v>0.0</v>
      </c>
      <c r="AB207" s="160">
        <v>0.0</v>
      </c>
      <c r="AC207" s="160">
        <v>0.0</v>
      </c>
      <c r="AD207" s="160">
        <v>0.0</v>
      </c>
      <c r="AE207" s="160">
        <v>229.0</v>
      </c>
      <c r="AF207" s="160">
        <v>260.0</v>
      </c>
      <c r="AG207" s="160">
        <v>63.0</v>
      </c>
      <c r="AH207" s="314">
        <f t="shared" si="2"/>
        <v>54131.4719</v>
      </c>
      <c r="AI207" s="314">
        <f t="shared" si="3"/>
        <v>4.126984127</v>
      </c>
      <c r="AJ207" s="346">
        <v>33570.0</v>
      </c>
      <c r="AK207" s="314">
        <f t="shared" si="63"/>
        <v>93129.67742</v>
      </c>
      <c r="AL207" s="317">
        <v>41106.0</v>
      </c>
      <c r="AM207" s="318">
        <f t="shared" si="5"/>
        <v>0.03936203771</v>
      </c>
      <c r="AN207" s="314">
        <f t="shared" si="6"/>
        <v>117595.9562</v>
      </c>
      <c r="AO207" s="336">
        <f t="shared" si="116"/>
        <v>0.568380455</v>
      </c>
      <c r="AP207" s="319">
        <v>0.0</v>
      </c>
      <c r="AQ207" s="160">
        <v>58.0</v>
      </c>
      <c r="AR207" s="160">
        <v>680.0</v>
      </c>
      <c r="AS207" s="160">
        <v>0.0</v>
      </c>
      <c r="AT207" s="160">
        <v>13.0</v>
      </c>
      <c r="AU207" s="160">
        <v>0.0</v>
      </c>
      <c r="AV207" s="320">
        <v>29.0</v>
      </c>
      <c r="AW207" s="320">
        <v>31.0</v>
      </c>
      <c r="AX207" s="320">
        <v>0.0</v>
      </c>
      <c r="AY207" s="321">
        <f>iferror(VLOOKUP(C207,'ORDER BOOKING REPORT 2025-26'!C:O,13,0),"")</f>
        <v>2352532</v>
      </c>
      <c r="AZ207" s="322">
        <v>45971.0</v>
      </c>
      <c r="BA207" s="157" t="str">
        <f t="shared" si="7"/>
        <v>LEFT</v>
      </c>
      <c r="BB207" s="157" t="str">
        <f t="shared" si="8"/>
        <v>New</v>
      </c>
      <c r="BC207" s="157" t="str">
        <f t="shared" ref="BC207:BC243" si="124">IFS(AO207&lt;50%,"Below 50%",AO207&lt;70%,"50%-70%",AO207&lt;90%,"70%-90%",AO207&lt;100%,"90%-100%",AO207&gt;100%,"Above 100%")</f>
        <v>50%-70%</v>
      </c>
      <c r="BD207" s="352">
        <f>(24/31)+1+1</f>
        <v>2.774193548</v>
      </c>
      <c r="BE207" s="323">
        <v>1500000.0</v>
      </c>
      <c r="BF207" s="157">
        <f t="shared" si="10"/>
        <v>3</v>
      </c>
      <c r="BG207" s="157" t="s">
        <v>1019</v>
      </c>
      <c r="BH207" s="324"/>
      <c r="BI207" s="324"/>
      <c r="BJ207" s="356">
        <f>(31-7)/31</f>
        <v>0.7741935484</v>
      </c>
      <c r="BK207" s="326"/>
      <c r="BL207" s="326">
        <f t="shared" si="121"/>
        <v>0</v>
      </c>
      <c r="BM207" s="326">
        <f t="shared" si="12"/>
        <v>6000000</v>
      </c>
      <c r="BN207" s="326"/>
      <c r="BO207" s="327" t="str">
        <f>IFERROR(__xludf.DUMMYFUNCTION("IFERROR(ArrayFormula(SUM(VLOOKUP($C207,importrange(""1MwNMVzWE3QBVOyJjKr3eFX-Sq1Ng0Q1sghWJbgbE_8g"",""ORDER BOOKING REPORT 2024-25!C:CV""),{16,23,30},0))))"),"")</f>
        <v/>
      </c>
      <c r="BP207" s="327" t="str">
        <f>IFERROR(__xludf.DUMMYFUNCTION("IFERROR(ArrayFormula(SUM(VLOOKUP($C207,importrange(""1MwNMVzWE3QBVOyJjKr3eFX-Sq1Ng0Q1sghWJbgbE_8g"",""ORDER BOOKING REPORT 2024-25!C:CV""),{37,44,51},0))))"),"")</f>
        <v/>
      </c>
      <c r="BQ207" s="327" t="str">
        <f>IFERROR(__xludf.DUMMYFUNCTION("IFERROR(ArrayFormula(SUM(VLOOKUP($C207,importrange(""1MwNMVzWE3QBVOyJjKr3eFX-Sq1Ng0Q1sghWJbgbE_8g"",""ORDER BOOKING REPORT 2024-25!C:CV""),{58,65,72},0))))"),"")</f>
        <v/>
      </c>
      <c r="BR207" s="327" t="str">
        <f>IFERROR(__xludf.DUMMYFUNCTION("IFERROR(ArrayFormula(SUM(VLOOKUP($C207,importrange(""1MwNMVzWE3QBVOyJjKr3eFX-Sq1Ng0Q1sghWJbgbE_8g"",""ORDER BOOKING REPORT 2024-25!C:CV""),{79,86,93},0))))"),"")</f>
        <v/>
      </c>
      <c r="BS207" s="328">
        <f t="shared" si="13"/>
        <v>0.3920886667</v>
      </c>
      <c r="BT207" s="328">
        <f t="shared" si="14"/>
        <v>0.05706008565</v>
      </c>
      <c r="BU207" s="234">
        <f t="shared" si="15"/>
        <v>0</v>
      </c>
      <c r="BV207" s="329"/>
      <c r="BW207" s="329"/>
      <c r="BX207" s="329"/>
      <c r="BY207" s="234">
        <f t="shared" si="16"/>
        <v>-33570</v>
      </c>
      <c r="BZ207" s="234"/>
      <c r="CA207" s="234"/>
      <c r="CB207" s="234"/>
      <c r="CC207" s="234"/>
      <c r="CD207" s="234"/>
      <c r="CE207" s="234"/>
      <c r="CF207" s="234"/>
      <c r="CG207" s="234" t="str">
        <f t="shared" si="19"/>
        <v> </v>
      </c>
      <c r="CH207" s="234" t="str">
        <f t="shared" si="27"/>
        <v>Not 50%</v>
      </c>
      <c r="CI207" s="328">
        <f t="shared" si="20"/>
        <v>0.4833333333</v>
      </c>
      <c r="CJ207" s="330">
        <f>IFERROR(__xludf.DUMMYFUNCTION("""COMPUTED_VALUE"""),135.0)</f>
        <v>135</v>
      </c>
      <c r="CK207" s="330">
        <f>IFERROR(__xludf.DUMMYFUNCTION("""COMPUTED_VALUE"""),94.0)</f>
        <v>94</v>
      </c>
      <c r="CL207" s="330">
        <f>IFERROR(__xludf.DUMMYFUNCTION("""COMPUTED_VALUE"""),0.0)</f>
        <v>0</v>
      </c>
      <c r="CM207" s="331">
        <f t="shared" si="21"/>
        <v>0</v>
      </c>
      <c r="CN207" s="337"/>
      <c r="CO207" s="160"/>
      <c r="CP207" s="334"/>
      <c r="CQ207" s="335"/>
      <c r="CR207" s="160"/>
      <c r="CS207" s="160"/>
      <c r="CT207" s="160"/>
      <c r="CU207" s="160"/>
      <c r="CV207" s="160"/>
      <c r="CW207" s="335"/>
      <c r="CX207" s="288"/>
      <c r="CY207" s="160"/>
      <c r="CZ207" s="160"/>
    </row>
    <row r="208">
      <c r="A208" s="348" t="s">
        <v>23</v>
      </c>
      <c r="B208" s="348" t="s">
        <v>37</v>
      </c>
      <c r="C208" s="348" t="s">
        <v>41</v>
      </c>
      <c r="D208" s="157" t="s">
        <v>1110</v>
      </c>
      <c r="E208" s="157" t="s">
        <v>42</v>
      </c>
      <c r="F208" s="338">
        <v>45887.0</v>
      </c>
      <c r="G208" s="314">
        <v>0.0</v>
      </c>
      <c r="H208" s="314">
        <v>8903226.0</v>
      </c>
      <c r="I208" s="315">
        <v>6525450.81</v>
      </c>
      <c r="J208" s="315">
        <v>0.0</v>
      </c>
      <c r="K208" s="160">
        <v>114.0</v>
      </c>
      <c r="L208" s="160">
        <v>165.0</v>
      </c>
      <c r="M208" s="160">
        <v>53.0</v>
      </c>
      <c r="N208" s="160">
        <v>167.0</v>
      </c>
      <c r="O208" s="160">
        <v>2.0</v>
      </c>
      <c r="P208" s="315">
        <v>4184313.59</v>
      </c>
      <c r="Q208" s="315">
        <v>2341137.22</v>
      </c>
      <c r="R208" s="160">
        <v>70.0</v>
      </c>
      <c r="S208" s="160">
        <v>53.0</v>
      </c>
      <c r="T208" s="160">
        <v>123.0</v>
      </c>
      <c r="U208" s="160">
        <v>0.0</v>
      </c>
      <c r="V208" s="160">
        <v>112.0</v>
      </c>
      <c r="W208" s="160">
        <v>208.0</v>
      </c>
      <c r="X208" s="160">
        <v>1.0</v>
      </c>
      <c r="Y208" s="160">
        <v>5.0</v>
      </c>
      <c r="Z208" s="160">
        <v>66.0</v>
      </c>
      <c r="AA208" s="160">
        <v>1.0</v>
      </c>
      <c r="AB208" s="160">
        <v>2.0</v>
      </c>
      <c r="AC208" s="160">
        <v>0.0</v>
      </c>
      <c r="AD208" s="160">
        <v>0.0</v>
      </c>
      <c r="AE208" s="160">
        <v>1015.0</v>
      </c>
      <c r="AF208" s="160">
        <v>1291.0</v>
      </c>
      <c r="AG208" s="160">
        <v>184.0</v>
      </c>
      <c r="AH208" s="314">
        <f t="shared" si="2"/>
        <v>35464.40658</v>
      </c>
      <c r="AI208" s="314">
        <f t="shared" si="3"/>
        <v>7.016304348</v>
      </c>
      <c r="AJ208" s="316">
        <f>BV208</f>
        <v>28835</v>
      </c>
      <c r="AK208" s="314">
        <f t="shared" si="63"/>
        <v>213937.0968</v>
      </c>
      <c r="AL208" s="286">
        <v>98472.0</v>
      </c>
      <c r="AM208" s="318">
        <f t="shared" si="5"/>
        <v>0.04787548108</v>
      </c>
      <c r="AN208" s="314">
        <f t="shared" si="6"/>
        <v>53052.44561</v>
      </c>
      <c r="AO208" s="336">
        <f t="shared" si="116"/>
        <v>0.7329310533</v>
      </c>
      <c r="AP208" s="319">
        <v>0.0</v>
      </c>
      <c r="AQ208" s="160">
        <v>326.0</v>
      </c>
      <c r="AR208" s="160">
        <v>1750.0</v>
      </c>
      <c r="AS208" s="160">
        <v>3431.12</v>
      </c>
      <c r="AT208" s="160">
        <v>53.0</v>
      </c>
      <c r="AU208" s="160">
        <v>21.0</v>
      </c>
      <c r="AV208" s="320">
        <v>123.0</v>
      </c>
      <c r="AW208" s="320">
        <v>44.0</v>
      </c>
      <c r="AX208" s="320">
        <v>0.0</v>
      </c>
      <c r="AY208" s="321">
        <f>iferror(VLOOKUP(C208,'ORDER BOOKING REPORT 2025-26'!C:O,13,0),"")</f>
        <v>6391465</v>
      </c>
      <c r="AZ208" s="322"/>
      <c r="BA208" s="157" t="str">
        <f t="shared" si="7"/>
        <v>Active</v>
      </c>
      <c r="BB208" s="157" t="str">
        <f t="shared" si="8"/>
        <v>New</v>
      </c>
      <c r="BC208" s="157" t="str">
        <f t="shared" si="124"/>
        <v>70%-90%</v>
      </c>
      <c r="BD208" s="352">
        <f>(31-18)/31+1+1+1+1+1+1+1</f>
        <v>7.419354839</v>
      </c>
      <c r="BE208" s="326">
        <v>1200000.0</v>
      </c>
      <c r="BF208" s="157">
        <f t="shared" si="10"/>
        <v>0</v>
      </c>
      <c r="BG208" s="157" t="s">
        <v>1019</v>
      </c>
      <c r="BH208" s="324"/>
      <c r="BI208" s="324"/>
      <c r="BJ208" s="356">
        <f t="shared" ref="BJ208:BJ209" si="125">(31-18)/31</f>
        <v>0.4193548387</v>
      </c>
      <c r="BK208" s="326"/>
      <c r="BL208" s="326">
        <f t="shared" si="121"/>
        <v>0</v>
      </c>
      <c r="BM208" s="326">
        <f t="shared" si="12"/>
        <v>8903226</v>
      </c>
      <c r="BN208" s="326"/>
      <c r="BO208" s="327" t="str">
        <f>IFERROR(__xludf.DUMMYFUNCTION("IFERROR(ArrayFormula(SUM(VLOOKUP($C208,importrange(""1MwNMVzWE3QBVOyJjKr3eFX-Sq1Ng0Q1sghWJbgbE_8g"",""ORDER BOOKING REPORT 2024-25!C:CV""),{16,23,30},0))))"),"")</f>
        <v/>
      </c>
      <c r="BP208" s="327" t="str">
        <f>IFERROR(__xludf.DUMMYFUNCTION("IFERROR(ArrayFormula(SUM(VLOOKUP($C208,importrange(""1MwNMVzWE3QBVOyJjKr3eFX-Sq1Ng0Q1sghWJbgbE_8g"",""ORDER BOOKING REPORT 2024-25!C:CV""),{37,44,51},0))))"),"")</f>
        <v/>
      </c>
      <c r="BQ208" s="327" t="str">
        <f>IFERROR(__xludf.DUMMYFUNCTION("IFERROR(ArrayFormula(SUM(VLOOKUP($C208,importrange(""1MwNMVzWE3QBVOyJjKr3eFX-Sq1Ng0Q1sghWJbgbE_8g"",""ORDER BOOKING REPORT 2024-25!C:CV""),{58,65,72},0))))"),"")</f>
        <v/>
      </c>
      <c r="BR208" s="327" t="str">
        <f>IFERROR(__xludf.DUMMYFUNCTION("IFERROR(ArrayFormula(SUM(VLOOKUP($C208,importrange(""1MwNMVzWE3QBVOyJjKr3eFX-Sq1Ng0Q1sghWJbgbE_8g"",""ORDER BOOKING REPORT 2024-25!C:CV""),{79,86,93},0))))"),"")</f>
        <v/>
      </c>
      <c r="BS208" s="328">
        <f t="shared" si="13"/>
        <v>0.7178819228</v>
      </c>
      <c r="BT208" s="328">
        <f t="shared" si="14"/>
        <v>0.04887910624</v>
      </c>
      <c r="BU208" s="234">
        <f t="shared" si="15"/>
        <v>0</v>
      </c>
      <c r="BV208" s="329">
        <v>28835.0</v>
      </c>
      <c r="BW208" s="329"/>
      <c r="BX208" s="329"/>
      <c r="BY208" s="234">
        <f t="shared" si="16"/>
        <v>0</v>
      </c>
      <c r="BZ208" s="234"/>
      <c r="CA208" s="234"/>
      <c r="CB208" s="234"/>
      <c r="CC208" s="234"/>
      <c r="CD208" s="234"/>
      <c r="CE208" s="234"/>
      <c r="CF208" s="234"/>
      <c r="CG208" s="234" t="str">
        <f t="shared" si="19"/>
        <v> </v>
      </c>
      <c r="CH208" s="234" t="str">
        <f t="shared" si="27"/>
        <v>Business Achieved 50%</v>
      </c>
      <c r="CI208" s="328">
        <f t="shared" si="20"/>
        <v>0.7365269461</v>
      </c>
      <c r="CJ208" s="339">
        <f>IFERROR(__xludf.DUMMYFUNCTION("""COMPUTED_VALUE"""),925.0)</f>
        <v>925</v>
      </c>
      <c r="CK208" s="339">
        <f>IFERROR(__xludf.DUMMYFUNCTION("""COMPUTED_VALUE"""),90.0)</f>
        <v>90</v>
      </c>
      <c r="CL208" s="339">
        <f>IFERROR(__xludf.DUMMYFUNCTION("""COMPUTED_VALUE"""),0.0)</f>
        <v>0</v>
      </c>
      <c r="CM208" s="331">
        <f t="shared" si="21"/>
        <v>0</v>
      </c>
      <c r="CN208" s="340"/>
      <c r="CO208" s="328"/>
      <c r="CP208" s="341"/>
      <c r="CQ208" s="344"/>
      <c r="CR208" s="328"/>
      <c r="CS208" s="328"/>
      <c r="CT208" s="328"/>
      <c r="CU208" s="328"/>
      <c r="CV208" s="328"/>
      <c r="CW208" s="328"/>
      <c r="CX208" s="288"/>
      <c r="CY208" s="328"/>
      <c r="CZ208" s="328"/>
    </row>
    <row r="209">
      <c r="A209" s="157" t="s">
        <v>298</v>
      </c>
      <c r="B209" s="157" t="s">
        <v>301</v>
      </c>
      <c r="C209" s="157" t="s">
        <v>318</v>
      </c>
      <c r="D209" s="157" t="s">
        <v>1066</v>
      </c>
      <c r="E209" s="157" t="s">
        <v>319</v>
      </c>
      <c r="F209" s="338">
        <v>45887.0</v>
      </c>
      <c r="G209" s="314">
        <v>0.0</v>
      </c>
      <c r="H209" s="286">
        <v>6000000.0</v>
      </c>
      <c r="I209" s="315">
        <v>3134786.22</v>
      </c>
      <c r="J209" s="315">
        <v>0.0</v>
      </c>
      <c r="K209" s="160">
        <v>56.0</v>
      </c>
      <c r="L209" s="160">
        <v>67.0</v>
      </c>
      <c r="M209" s="160">
        <v>11.0</v>
      </c>
      <c r="N209" s="160">
        <v>67.0</v>
      </c>
      <c r="O209" s="160">
        <v>0.0</v>
      </c>
      <c r="P209" s="315">
        <v>1959838.6</v>
      </c>
      <c r="Q209" s="315">
        <v>1174947.62</v>
      </c>
      <c r="R209" s="160">
        <v>21.0</v>
      </c>
      <c r="S209" s="160">
        <v>8.0</v>
      </c>
      <c r="T209" s="160">
        <v>29.0</v>
      </c>
      <c r="U209" s="160">
        <v>0.0</v>
      </c>
      <c r="V209" s="160">
        <v>47.0</v>
      </c>
      <c r="W209" s="160">
        <v>61.0</v>
      </c>
      <c r="X209" s="160">
        <v>68.0</v>
      </c>
      <c r="Y209" s="160">
        <v>1.0</v>
      </c>
      <c r="Z209" s="160">
        <v>99.0</v>
      </c>
      <c r="AA209" s="160">
        <v>0.0</v>
      </c>
      <c r="AB209" s="160">
        <v>0.0</v>
      </c>
      <c r="AC209" s="160">
        <v>3.0</v>
      </c>
      <c r="AD209" s="160">
        <v>6.0</v>
      </c>
      <c r="AE209" s="160">
        <v>393.0</v>
      </c>
      <c r="AF209" s="160">
        <v>559.0</v>
      </c>
      <c r="AG209" s="160">
        <v>164.0</v>
      </c>
      <c r="AH209" s="314">
        <f t="shared" si="2"/>
        <v>19114.55012</v>
      </c>
      <c r="AI209" s="314">
        <f t="shared" si="3"/>
        <v>3.408536585</v>
      </c>
      <c r="AJ209" s="346">
        <v>40885.0</v>
      </c>
      <c r="AK209" s="314">
        <f t="shared" si="63"/>
        <v>303340.3226</v>
      </c>
      <c r="AL209" s="317">
        <v>147979.0</v>
      </c>
      <c r="AM209" s="318">
        <f t="shared" si="5"/>
        <v>0.143971324</v>
      </c>
      <c r="AN209" s="314">
        <f t="shared" si="6"/>
        <v>108096.0766</v>
      </c>
      <c r="AO209" s="336">
        <f t="shared" si="116"/>
        <v>0.52246437</v>
      </c>
      <c r="AP209" s="319">
        <v>0.0</v>
      </c>
      <c r="AQ209" s="160">
        <v>102.0</v>
      </c>
      <c r="AR209" s="160">
        <v>1774.0</v>
      </c>
      <c r="AS209" s="160">
        <v>3156.54</v>
      </c>
      <c r="AT209" s="160">
        <v>8.0</v>
      </c>
      <c r="AU209" s="160">
        <v>47.0</v>
      </c>
      <c r="AV209" s="320">
        <v>29.0</v>
      </c>
      <c r="AW209" s="320">
        <v>38.0</v>
      </c>
      <c r="AX209" s="320">
        <v>0.0</v>
      </c>
      <c r="AY209" s="321">
        <f>iferror(VLOOKUP(C209,'ORDER BOOKING REPORT 2025-26'!C:O,13,0),"")</f>
        <v>4631985</v>
      </c>
      <c r="AZ209" s="322"/>
      <c r="BA209" s="157" t="str">
        <f t="shared" si="7"/>
        <v>Active</v>
      </c>
      <c r="BB209" s="157" t="str">
        <f t="shared" si="8"/>
        <v>New</v>
      </c>
      <c r="BC209" s="157" t="str">
        <f t="shared" si="124"/>
        <v>50%-70%</v>
      </c>
      <c r="BD209" s="352">
        <f>(13/31)+1+1+1+1+1+1+1</f>
        <v>7.419354839</v>
      </c>
      <c r="BE209" s="323">
        <v>1200000.0</v>
      </c>
      <c r="BF209" s="157">
        <f t="shared" si="10"/>
        <v>3</v>
      </c>
      <c r="BG209" s="157" t="s">
        <v>1019</v>
      </c>
      <c r="BH209" s="324"/>
      <c r="BI209" s="324"/>
      <c r="BJ209" s="356">
        <f t="shared" si="125"/>
        <v>0.4193548387</v>
      </c>
      <c r="BK209" s="326"/>
      <c r="BL209" s="326">
        <f t="shared" si="121"/>
        <v>0</v>
      </c>
      <c r="BM209" s="326">
        <f t="shared" si="12"/>
        <v>6000000</v>
      </c>
      <c r="BN209" s="326"/>
      <c r="BO209" s="327" t="str">
        <f>IFERROR(__xludf.DUMMYFUNCTION("IFERROR(ArrayFormula(SUM(VLOOKUP($C209,importrange(""1MwNMVzWE3QBVOyJjKr3eFX-Sq1Ng0Q1sghWJbgbE_8g"",""ORDER BOOKING REPORT 2024-25!C:CV""),{16,23,30},0))))"),"")</f>
        <v/>
      </c>
      <c r="BP209" s="327" t="str">
        <f>IFERROR(__xludf.DUMMYFUNCTION("IFERROR(ArrayFormula(SUM(VLOOKUP($C209,importrange(""1MwNMVzWE3QBVOyJjKr3eFX-Sq1Ng0Q1sghWJbgbE_8g"",""ORDER BOOKING REPORT 2024-25!C:CV""),{37,44,51},0))))"),"")</f>
        <v/>
      </c>
      <c r="BQ209" s="327" t="str">
        <f>IFERROR(__xludf.DUMMYFUNCTION("IFERROR(ArrayFormula(SUM(VLOOKUP($C209,importrange(""1MwNMVzWE3QBVOyJjKr3eFX-Sq1Ng0Q1sghWJbgbE_8g"",""ORDER BOOKING REPORT 2024-25!C:CV""),{58,65,72},0))))"),"")</f>
        <v/>
      </c>
      <c r="BR209" s="327" t="str">
        <f>IFERROR(__xludf.DUMMYFUNCTION("IFERROR(ArrayFormula(SUM(VLOOKUP($C209,importrange(""1MwNMVzWE3QBVOyJjKr3eFX-Sq1Ng0Q1sghWJbgbE_8g"",""ORDER BOOKING REPORT 2024-25!C:CV""),{79,86,93},0))))"),"")</f>
        <v/>
      </c>
      <c r="BS209" s="328">
        <f t="shared" si="13"/>
        <v>0.7719975</v>
      </c>
      <c r="BT209" s="328">
        <f t="shared" si="14"/>
        <v>0.09743540244</v>
      </c>
      <c r="BU209" s="234">
        <f t="shared" si="15"/>
        <v>0</v>
      </c>
      <c r="BV209" s="329"/>
      <c r="BW209" s="329"/>
      <c r="BX209" s="329"/>
      <c r="BY209" s="234">
        <f t="shared" si="16"/>
        <v>-40885</v>
      </c>
      <c r="BZ209" s="234"/>
      <c r="CA209" s="234"/>
      <c r="CB209" s="234"/>
      <c r="CC209" s="234"/>
      <c r="CD209" s="234"/>
      <c r="CE209" s="234"/>
      <c r="CF209" s="234"/>
      <c r="CG209" s="234" t="str">
        <f t="shared" si="19"/>
        <v> </v>
      </c>
      <c r="CH209" s="234" t="str">
        <f t="shared" si="27"/>
        <v>Not 50%</v>
      </c>
      <c r="CI209" s="328">
        <f t="shared" si="20"/>
        <v>0.4328358209</v>
      </c>
      <c r="CJ209" s="330">
        <f>IFERROR(__xludf.DUMMYFUNCTION("""COMPUTED_VALUE"""),256.0)</f>
        <v>256</v>
      </c>
      <c r="CK209" s="330">
        <f>IFERROR(__xludf.DUMMYFUNCTION("""COMPUTED_VALUE"""),137.0)</f>
        <v>137</v>
      </c>
      <c r="CL209" s="330">
        <f>IFERROR(__xludf.DUMMYFUNCTION("""COMPUTED_VALUE"""),0.0)</f>
        <v>0</v>
      </c>
      <c r="CM209" s="331">
        <f t="shared" si="21"/>
        <v>0</v>
      </c>
      <c r="CN209" s="337"/>
      <c r="CO209" s="160"/>
      <c r="CP209" s="334"/>
      <c r="CQ209" s="335"/>
      <c r="CR209" s="160"/>
      <c r="CS209" s="160"/>
      <c r="CT209" s="160"/>
      <c r="CU209" s="160"/>
      <c r="CV209" s="160"/>
      <c r="CW209" s="335"/>
      <c r="CX209" s="288"/>
      <c r="CY209" s="160"/>
      <c r="CZ209" s="160"/>
    </row>
    <row r="210">
      <c r="A210" s="157" t="s">
        <v>97</v>
      </c>
      <c r="B210" s="157" t="s">
        <v>101</v>
      </c>
      <c r="C210" s="157" t="s">
        <v>351</v>
      </c>
      <c r="D210" s="157" t="s">
        <v>1062</v>
      </c>
      <c r="E210" s="157" t="s">
        <v>352</v>
      </c>
      <c r="F210" s="338">
        <v>45894.0</v>
      </c>
      <c r="G210" s="314">
        <v>0.0</v>
      </c>
      <c r="H210" s="314">
        <v>8164000.0</v>
      </c>
      <c r="I210" s="315">
        <v>1341417.0</v>
      </c>
      <c r="J210" s="315">
        <v>0.0</v>
      </c>
      <c r="K210" s="160">
        <v>44.0</v>
      </c>
      <c r="L210" s="160">
        <v>48.0</v>
      </c>
      <c r="M210" s="160">
        <v>4.0</v>
      </c>
      <c r="N210" s="160">
        <v>48.0</v>
      </c>
      <c r="O210" s="160">
        <v>0.0</v>
      </c>
      <c r="P210" s="315">
        <v>1268745.0</v>
      </c>
      <c r="Q210" s="315">
        <v>72672.0</v>
      </c>
      <c r="R210" s="160">
        <v>11.0</v>
      </c>
      <c r="S210" s="160">
        <v>1.0</v>
      </c>
      <c r="T210" s="160">
        <v>12.0</v>
      </c>
      <c r="U210" s="160">
        <v>0.0</v>
      </c>
      <c r="V210" s="160">
        <v>20.0</v>
      </c>
      <c r="W210" s="160">
        <v>96.0</v>
      </c>
      <c r="X210" s="160">
        <v>0.0</v>
      </c>
      <c r="Y210" s="160">
        <v>1.0</v>
      </c>
      <c r="Z210" s="160">
        <v>1.0</v>
      </c>
      <c r="AA210" s="160">
        <v>0.0</v>
      </c>
      <c r="AB210" s="160">
        <v>0.0</v>
      </c>
      <c r="AC210" s="160">
        <v>0.0</v>
      </c>
      <c r="AD210" s="160">
        <v>0.0</v>
      </c>
      <c r="AE210" s="160">
        <v>607.0</v>
      </c>
      <c r="AF210" s="160">
        <v>704.0</v>
      </c>
      <c r="AG210" s="160">
        <v>146.0</v>
      </c>
      <c r="AH210" s="314">
        <f t="shared" si="2"/>
        <v>9187.787671</v>
      </c>
      <c r="AI210" s="314">
        <f t="shared" si="3"/>
        <v>4.821917808</v>
      </c>
      <c r="AJ210" s="316">
        <f>BV210</f>
        <v>36190</v>
      </c>
      <c r="AK210" s="314">
        <f t="shared" si="63"/>
        <v>260334.5161</v>
      </c>
      <c r="AL210" s="286">
        <v>67204.0</v>
      </c>
      <c r="AM210" s="318">
        <f t="shared" si="5"/>
        <v>0.2441735241</v>
      </c>
      <c r="AN210" s="314">
        <f t="shared" si="6"/>
        <v>111784.75</v>
      </c>
      <c r="AO210" s="336">
        <f t="shared" si="116"/>
        <v>0.1643087947</v>
      </c>
      <c r="AP210" s="319">
        <v>0.0</v>
      </c>
      <c r="AQ210" s="160">
        <v>30.0</v>
      </c>
      <c r="AR210" s="160">
        <v>1250.0</v>
      </c>
      <c r="AS210" s="160">
        <v>1830.62</v>
      </c>
      <c r="AT210" s="160">
        <v>1.0</v>
      </c>
      <c r="AU210" s="160">
        <v>38.0</v>
      </c>
      <c r="AV210" s="320">
        <v>12.0</v>
      </c>
      <c r="AW210" s="320">
        <v>36.0</v>
      </c>
      <c r="AX210" s="320">
        <v>0.0</v>
      </c>
      <c r="AY210" s="321">
        <f>iferror(VLOOKUP(C210,'ORDER BOOKING REPORT 2025-26'!C:O,13,0),"")</f>
        <v>719293</v>
      </c>
      <c r="AZ210" s="353">
        <v>46112.0</v>
      </c>
      <c r="BA210" s="157" t="str">
        <f t="shared" si="7"/>
        <v>LEFT</v>
      </c>
      <c r="BB210" s="157" t="str">
        <f t="shared" si="8"/>
        <v>New</v>
      </c>
      <c r="BC210" s="157" t="str">
        <f t="shared" si="124"/>
        <v>Below 50%</v>
      </c>
      <c r="BD210" s="352">
        <f t="shared" ref="BD210:BD211" si="126">(6/31)+1+1+1+1+1+1+1</f>
        <v>7.193548387</v>
      </c>
      <c r="BE210" s="323">
        <v>1166286.0</v>
      </c>
      <c r="BF210" s="157">
        <f t="shared" si="10"/>
        <v>3</v>
      </c>
      <c r="BG210" s="157" t="s">
        <v>1019</v>
      </c>
      <c r="BH210" s="324"/>
      <c r="BI210" s="324"/>
      <c r="BJ210" s="356">
        <f t="shared" ref="BJ210:BJ211" si="127">(31-25)/31</f>
        <v>0.1935483871</v>
      </c>
      <c r="BK210" s="326"/>
      <c r="BL210" s="326">
        <f t="shared" si="121"/>
        <v>0</v>
      </c>
      <c r="BM210" s="326">
        <f t="shared" si="12"/>
        <v>8164000</v>
      </c>
      <c r="BN210" s="326"/>
      <c r="BO210" s="327" t="str">
        <f>IFERROR(__xludf.DUMMYFUNCTION("IFERROR(ArrayFormula(SUM(VLOOKUP($C210,importrange(""1MwNMVzWE3QBVOyJjKr3eFX-Sq1Ng0Q1sghWJbgbE_8g"",""ORDER BOOKING REPORT 2024-25!C:CV""),{16,23,30},0))))"),"")</f>
        <v/>
      </c>
      <c r="BP210" s="327" t="str">
        <f>IFERROR(__xludf.DUMMYFUNCTION("IFERROR(ArrayFormula(SUM(VLOOKUP($C210,importrange(""1MwNMVzWE3QBVOyJjKr3eFX-Sq1Ng0Q1sghWJbgbE_8g"",""ORDER BOOKING REPORT 2024-25!C:CV""),{37,44,51},0))))"),"")</f>
        <v/>
      </c>
      <c r="BQ210" s="327" t="str">
        <f>IFERROR(__xludf.DUMMYFUNCTION("IFERROR(ArrayFormula(SUM(VLOOKUP($C210,importrange(""1MwNMVzWE3QBVOyJjKr3eFX-Sq1Ng0Q1sghWJbgbE_8g"",""ORDER BOOKING REPORT 2024-25!C:CV""),{58,65,72},0))))"),"")</f>
        <v/>
      </c>
      <c r="BR210" s="327" t="str">
        <f>IFERROR(__xludf.DUMMYFUNCTION("IFERROR(ArrayFormula(SUM(VLOOKUP($C210,importrange(""1MwNMVzWE3QBVOyJjKr3eFX-Sq1Ng0Q1sghWJbgbE_8g"",""ORDER BOOKING REPORT 2024-25!C:CV""),{79,86,93},0))))"),"")</f>
        <v/>
      </c>
      <c r="BS210" s="328">
        <f t="shared" si="13"/>
        <v>0.08810546301</v>
      </c>
      <c r="BT210" s="328">
        <f t="shared" si="14"/>
        <v>0.4553617457</v>
      </c>
      <c r="BU210" s="234">
        <f t="shared" si="15"/>
        <v>0</v>
      </c>
      <c r="BV210" s="329">
        <v>36190.0</v>
      </c>
      <c r="BW210" s="329"/>
      <c r="BX210" s="329"/>
      <c r="BY210" s="234">
        <f t="shared" si="16"/>
        <v>0</v>
      </c>
      <c r="BZ210" s="234"/>
      <c r="CA210" s="234"/>
      <c r="CB210" s="234"/>
      <c r="CC210" s="234"/>
      <c r="CD210" s="234"/>
      <c r="CE210" s="234"/>
      <c r="CF210" s="234"/>
      <c r="CG210" s="234" t="str">
        <f t="shared" si="19"/>
        <v>Below 60</v>
      </c>
      <c r="CH210" s="234" t="str">
        <f t="shared" si="27"/>
        <v>Not 50%</v>
      </c>
      <c r="CI210" s="328">
        <f t="shared" si="20"/>
        <v>0.25</v>
      </c>
      <c r="CJ210" s="339">
        <f>IFERROR(__xludf.DUMMYFUNCTION("""COMPUTED_VALUE"""),229.0)</f>
        <v>229</v>
      </c>
      <c r="CK210" s="339">
        <f>IFERROR(__xludf.DUMMYFUNCTION("""COMPUTED_VALUE"""),378.0)</f>
        <v>378</v>
      </c>
      <c r="CL210" s="339">
        <f>IFERROR(__xludf.DUMMYFUNCTION("""COMPUTED_VALUE"""),0.0)</f>
        <v>0</v>
      </c>
      <c r="CM210" s="331">
        <f t="shared" si="21"/>
        <v>0</v>
      </c>
      <c r="CN210" s="340"/>
      <c r="CO210" s="328"/>
      <c r="CP210" s="341"/>
      <c r="CQ210" s="344"/>
      <c r="CR210" s="328"/>
      <c r="CS210" s="328"/>
      <c r="CT210" s="328"/>
      <c r="CU210" s="328"/>
      <c r="CV210" s="328"/>
      <c r="CW210" s="328"/>
      <c r="CX210" s="288"/>
      <c r="CY210" s="328"/>
      <c r="CZ210" s="328"/>
    </row>
    <row r="211">
      <c r="A211" s="157" t="s">
        <v>185</v>
      </c>
      <c r="B211" s="157" t="s">
        <v>189</v>
      </c>
      <c r="C211" s="157" t="s">
        <v>881</v>
      </c>
      <c r="D211" s="157" t="s">
        <v>1016</v>
      </c>
      <c r="E211" s="157" t="s">
        <v>289</v>
      </c>
      <c r="F211" s="338">
        <v>45894.0</v>
      </c>
      <c r="G211" s="314">
        <v>0.0</v>
      </c>
      <c r="H211" s="314">
        <v>1.05E7</v>
      </c>
      <c r="I211" s="315">
        <v>1885263.77</v>
      </c>
      <c r="J211" s="315">
        <v>0.0</v>
      </c>
      <c r="K211" s="160">
        <v>91.0</v>
      </c>
      <c r="L211" s="160">
        <v>95.0</v>
      </c>
      <c r="M211" s="160">
        <v>4.0</v>
      </c>
      <c r="N211" s="160">
        <v>95.0</v>
      </c>
      <c r="O211" s="160">
        <v>0.0</v>
      </c>
      <c r="P211" s="315">
        <v>1505337.97</v>
      </c>
      <c r="Q211" s="315">
        <v>379925.8</v>
      </c>
      <c r="R211" s="160">
        <v>29.0</v>
      </c>
      <c r="S211" s="160">
        <v>1.0</v>
      </c>
      <c r="T211" s="160">
        <v>30.0</v>
      </c>
      <c r="U211" s="160">
        <v>0.0</v>
      </c>
      <c r="V211" s="160">
        <v>9.0</v>
      </c>
      <c r="W211" s="160">
        <v>30.0</v>
      </c>
      <c r="X211" s="160">
        <v>0.0</v>
      </c>
      <c r="Y211" s="160">
        <v>1.0</v>
      </c>
      <c r="Z211" s="160">
        <v>34.0</v>
      </c>
      <c r="AA211" s="160">
        <v>0.0</v>
      </c>
      <c r="AB211" s="160">
        <v>0.0</v>
      </c>
      <c r="AC211" s="160">
        <v>0.0</v>
      </c>
      <c r="AD211" s="160">
        <v>0.0</v>
      </c>
      <c r="AE211" s="160">
        <v>640.0</v>
      </c>
      <c r="AF211" s="160">
        <v>704.0</v>
      </c>
      <c r="AG211" s="160">
        <v>152.0</v>
      </c>
      <c r="AH211" s="314">
        <f t="shared" si="2"/>
        <v>12403.05112</v>
      </c>
      <c r="AI211" s="314">
        <f t="shared" si="3"/>
        <v>4.631578947</v>
      </c>
      <c r="AJ211" s="346">
        <v>27260.0</v>
      </c>
      <c r="AK211" s="314">
        <f t="shared" si="63"/>
        <v>196096.129</v>
      </c>
      <c r="AL211" s="317">
        <v>32350.0</v>
      </c>
      <c r="AM211" s="318">
        <f t="shared" si="5"/>
        <v>0.1211746243</v>
      </c>
      <c r="AN211" s="314">
        <f t="shared" si="6"/>
        <v>62842.12567</v>
      </c>
      <c r="AO211" s="336">
        <f t="shared" si="116"/>
        <v>0.1795489305</v>
      </c>
      <c r="AP211" s="319">
        <v>0.0</v>
      </c>
      <c r="AQ211" s="160">
        <v>46.0</v>
      </c>
      <c r="AR211" s="160">
        <v>1333.0</v>
      </c>
      <c r="AS211" s="160">
        <v>2269.07</v>
      </c>
      <c r="AT211" s="160">
        <v>1.0</v>
      </c>
      <c r="AU211" s="160">
        <v>24.0</v>
      </c>
      <c r="AV211" s="320">
        <v>30.0</v>
      </c>
      <c r="AW211" s="320">
        <v>65.0</v>
      </c>
      <c r="AX211" s="320">
        <v>0.0</v>
      </c>
      <c r="AY211" s="321">
        <f>iferror(VLOOKUP(C211,'ORDER BOOKING REPORT 2025-26'!C:O,13,0),"")</f>
        <v>9923196.7</v>
      </c>
      <c r="AZ211" s="322"/>
      <c r="BA211" s="157" t="str">
        <f t="shared" si="7"/>
        <v>Active</v>
      </c>
      <c r="BB211" s="157" t="str">
        <f t="shared" si="8"/>
        <v>New</v>
      </c>
      <c r="BC211" s="157" t="str">
        <f t="shared" si="124"/>
        <v>Below 50%</v>
      </c>
      <c r="BD211" s="352">
        <f t="shared" si="126"/>
        <v>7.193548387</v>
      </c>
      <c r="BE211" s="323">
        <v>1500000.0</v>
      </c>
      <c r="BF211" s="157">
        <f t="shared" si="10"/>
        <v>3</v>
      </c>
      <c r="BG211" s="157" t="s">
        <v>1019</v>
      </c>
      <c r="BH211" s="324"/>
      <c r="BI211" s="324"/>
      <c r="BJ211" s="356">
        <f t="shared" si="127"/>
        <v>0.1935483871</v>
      </c>
      <c r="BK211" s="326"/>
      <c r="BL211" s="326">
        <f t="shared" si="121"/>
        <v>0</v>
      </c>
      <c r="BM211" s="326">
        <f t="shared" si="12"/>
        <v>10500000</v>
      </c>
      <c r="BN211" s="326"/>
      <c r="BO211" s="327" t="str">
        <f>IFERROR(__xludf.DUMMYFUNCTION("IFERROR(ArrayFormula(SUM(VLOOKUP($C211,importrange(""1MwNMVzWE3QBVOyJjKr3eFX-Sq1Ng0Q1sghWJbgbE_8g"",""ORDER BOOKING REPORT 2024-25!C:CV""),{16,23,30},0))))"),"")</f>
        <v/>
      </c>
      <c r="BP211" s="327" t="str">
        <f>IFERROR(__xludf.DUMMYFUNCTION("IFERROR(ArrayFormula(SUM(VLOOKUP($C211,importrange(""1MwNMVzWE3QBVOyJjKr3eFX-Sq1Ng0Q1sghWJbgbE_8g"",""ORDER BOOKING REPORT 2024-25!C:CV""),{37,44,51},0))))"),"")</f>
        <v/>
      </c>
      <c r="BQ211" s="327" t="str">
        <f>IFERROR(__xludf.DUMMYFUNCTION("IFERROR(ArrayFormula(SUM(VLOOKUP($C211,importrange(""1MwNMVzWE3QBVOyJjKr3eFX-Sq1Ng0Q1sghWJbgbE_8g"",""ORDER BOOKING REPORT 2024-25!C:CV""),{58,65,72},0))))"),"")</f>
        <v/>
      </c>
      <c r="BR211" s="327" t="str">
        <f>IFERROR(__xludf.DUMMYFUNCTION("IFERROR(ArrayFormula(SUM(VLOOKUP($C211,importrange(""1MwNMVzWE3QBVOyJjKr3eFX-Sq1Ng0Q1sghWJbgbE_8g"",""ORDER BOOKING REPORT 2024-25!C:CV""),{79,86,93},0))))"),"")</f>
        <v/>
      </c>
      <c r="BS211" s="328">
        <f t="shared" si="13"/>
        <v>0.9450663524</v>
      </c>
      <c r="BT211" s="328">
        <f t="shared" si="14"/>
        <v>0.02302142504</v>
      </c>
      <c r="BU211" s="234">
        <f t="shared" si="15"/>
        <v>0</v>
      </c>
      <c r="BV211" s="329"/>
      <c r="BW211" s="329"/>
      <c r="BX211" s="329"/>
      <c r="BY211" s="234">
        <f t="shared" si="16"/>
        <v>-27260</v>
      </c>
      <c r="BZ211" s="234"/>
      <c r="CA211" s="234"/>
      <c r="CB211" s="234"/>
      <c r="CC211" s="234"/>
      <c r="CD211" s="234"/>
      <c r="CE211" s="234"/>
      <c r="CF211" s="234"/>
      <c r="CG211" s="234" t="str">
        <f t="shared" si="19"/>
        <v> </v>
      </c>
      <c r="CH211" s="234" t="str">
        <f t="shared" si="27"/>
        <v>Not 50%</v>
      </c>
      <c r="CI211" s="328">
        <f t="shared" si="20"/>
        <v>0.3157894737</v>
      </c>
      <c r="CJ211" s="330">
        <f>IFERROR(__xludf.DUMMYFUNCTION("""COMPUTED_VALUE"""),272.0)</f>
        <v>272</v>
      </c>
      <c r="CK211" s="330">
        <f>IFERROR(__xludf.DUMMYFUNCTION("""COMPUTED_VALUE"""),368.0)</f>
        <v>368</v>
      </c>
      <c r="CL211" s="330">
        <f>IFERROR(__xludf.DUMMYFUNCTION("""COMPUTED_VALUE"""),0.0)</f>
        <v>0</v>
      </c>
      <c r="CM211" s="331">
        <f t="shared" si="21"/>
        <v>0</v>
      </c>
      <c r="CN211" s="337"/>
      <c r="CO211" s="160"/>
      <c r="CP211" s="334"/>
      <c r="CQ211" s="335"/>
      <c r="CR211" s="160"/>
      <c r="CS211" s="160"/>
      <c r="CT211" s="160"/>
      <c r="CU211" s="160"/>
      <c r="CV211" s="160"/>
      <c r="CW211" s="335"/>
      <c r="CX211" s="288"/>
      <c r="CY211" s="160"/>
      <c r="CZ211" s="160"/>
    </row>
    <row r="212">
      <c r="A212" s="157" t="s">
        <v>298</v>
      </c>
      <c r="B212" s="157" t="s">
        <v>301</v>
      </c>
      <c r="C212" s="157" t="s">
        <v>359</v>
      </c>
      <c r="D212" s="157" t="s">
        <v>1066</v>
      </c>
      <c r="E212" s="157" t="s">
        <v>317</v>
      </c>
      <c r="F212" s="338">
        <v>45910.0</v>
      </c>
      <c r="G212" s="314">
        <v>0.0</v>
      </c>
      <c r="H212" s="286">
        <v>6000000.0</v>
      </c>
      <c r="I212" s="315">
        <v>2538296.0</v>
      </c>
      <c r="J212" s="315">
        <v>0.0</v>
      </c>
      <c r="K212" s="160">
        <v>3.0</v>
      </c>
      <c r="L212" s="160">
        <v>91.0</v>
      </c>
      <c r="M212" s="160">
        <v>89.0</v>
      </c>
      <c r="N212" s="160">
        <v>92.0</v>
      </c>
      <c r="O212" s="160">
        <v>1.0</v>
      </c>
      <c r="P212" s="315">
        <v>-0.01</v>
      </c>
      <c r="Q212" s="315">
        <v>2538296.01</v>
      </c>
      <c r="R212" s="160">
        <v>0.0</v>
      </c>
      <c r="S212" s="160">
        <v>88.0</v>
      </c>
      <c r="T212" s="160">
        <v>88.0</v>
      </c>
      <c r="U212" s="160">
        <v>0.0</v>
      </c>
      <c r="V212" s="160">
        <v>190.0</v>
      </c>
      <c r="W212" s="160">
        <v>407.0</v>
      </c>
      <c r="X212" s="160">
        <v>0.0</v>
      </c>
      <c r="Y212" s="160">
        <v>5.0</v>
      </c>
      <c r="Z212" s="160">
        <v>32.0</v>
      </c>
      <c r="AA212" s="160">
        <v>0.0</v>
      </c>
      <c r="AB212" s="160">
        <v>0.0</v>
      </c>
      <c r="AC212" s="160">
        <v>4.0</v>
      </c>
      <c r="AD212" s="160">
        <v>28.0</v>
      </c>
      <c r="AE212" s="160">
        <v>571.0</v>
      </c>
      <c r="AF212" s="160">
        <v>1038.0</v>
      </c>
      <c r="AG212" s="160">
        <v>141.0</v>
      </c>
      <c r="AH212" s="314">
        <f t="shared" si="2"/>
        <v>18002.09929</v>
      </c>
      <c r="AI212" s="314">
        <f t="shared" si="3"/>
        <v>7.361702128</v>
      </c>
      <c r="AJ212" s="346">
        <v>40885.0</v>
      </c>
      <c r="AK212" s="314">
        <f t="shared" si="63"/>
        <v>272566.6667</v>
      </c>
      <c r="AL212" s="317">
        <v>51058.0</v>
      </c>
      <c r="AM212" s="318">
        <f t="shared" si="5"/>
        <v>0.1274968194</v>
      </c>
      <c r="AN212" s="314">
        <f t="shared" si="6"/>
        <v>28844.27273</v>
      </c>
      <c r="AO212" s="336">
        <f t="shared" si="116"/>
        <v>0.4230493333</v>
      </c>
      <c r="AP212" s="319">
        <v>0.0</v>
      </c>
      <c r="AQ212" s="160">
        <v>201.0</v>
      </c>
      <c r="AR212" s="160">
        <v>1292.0</v>
      </c>
      <c r="AS212" s="160">
        <v>2109.17</v>
      </c>
      <c r="AT212" s="160">
        <v>88.0</v>
      </c>
      <c r="AU212" s="160">
        <v>23.0</v>
      </c>
      <c r="AV212" s="320">
        <v>88.0</v>
      </c>
      <c r="AW212" s="320">
        <v>4.0</v>
      </c>
      <c r="AX212" s="320">
        <v>0.0</v>
      </c>
      <c r="AY212" s="321">
        <f>iferror(VLOOKUP(C212,'ORDER BOOKING REPORT 2025-26'!C:O,13,0),"")</f>
        <v>1646590</v>
      </c>
      <c r="AZ212" s="353">
        <v>46104.0</v>
      </c>
      <c r="BA212" s="157" t="str">
        <f t="shared" si="7"/>
        <v>LEFT</v>
      </c>
      <c r="BB212" s="157" t="str">
        <f t="shared" si="8"/>
        <v>New</v>
      </c>
      <c r="BC212" s="157" t="str">
        <f t="shared" si="124"/>
        <v>Below 50%</v>
      </c>
      <c r="BD212" s="352">
        <f>(30-10)/30+1+1+1+1+1+1</f>
        <v>6.666666667</v>
      </c>
      <c r="BE212" s="323">
        <v>1200000.0</v>
      </c>
      <c r="BF212" s="157">
        <f t="shared" si="10"/>
        <v>1</v>
      </c>
      <c r="BG212" s="157" t="s">
        <v>1019</v>
      </c>
      <c r="BH212" s="324"/>
      <c r="BI212" s="324"/>
      <c r="BJ212" s="356">
        <f>20/30</f>
        <v>0.6666666667</v>
      </c>
      <c r="BK212" s="326"/>
      <c r="BL212" s="326">
        <f t="shared" si="121"/>
        <v>0</v>
      </c>
      <c r="BM212" s="326">
        <f t="shared" si="12"/>
        <v>6000000</v>
      </c>
      <c r="BN212" s="326"/>
      <c r="BO212" s="327" t="str">
        <f>IFERROR(__xludf.DUMMYFUNCTION("IFERROR(ArrayFormula(SUM(VLOOKUP($C212,importrange(""1MwNMVzWE3QBVOyJjKr3eFX-Sq1Ng0Q1sghWJbgbE_8g"",""ORDER BOOKING REPORT 2024-25!C:CV""),{16,23,30},0))))"),"")</f>
        <v/>
      </c>
      <c r="BP212" s="327" t="str">
        <f>IFERROR(__xludf.DUMMYFUNCTION("IFERROR(ArrayFormula(SUM(VLOOKUP($C212,importrange(""1MwNMVzWE3QBVOyJjKr3eFX-Sq1Ng0Q1sghWJbgbE_8g"",""ORDER BOOKING REPORT 2024-25!C:CV""),{37,44,51},0))))"),"")</f>
        <v/>
      </c>
      <c r="BQ212" s="327" t="str">
        <f>IFERROR(__xludf.DUMMYFUNCTION("IFERROR(ArrayFormula(SUM(VLOOKUP($C212,importrange(""1MwNMVzWE3QBVOyJjKr3eFX-Sq1Ng0Q1sghWJbgbE_8g"",""ORDER BOOKING REPORT 2024-25!C:CV""),{58,65,72},0))))"),"")</f>
        <v/>
      </c>
      <c r="BR212" s="327" t="str">
        <f>IFERROR(__xludf.DUMMYFUNCTION("IFERROR(ArrayFormula(SUM(VLOOKUP($C212,importrange(""1MwNMVzWE3QBVOyJjKr3eFX-Sq1Ng0Q1sghWJbgbE_8g"",""ORDER BOOKING REPORT 2024-25!C:CV""),{79,86,93},0))))"),"")</f>
        <v/>
      </c>
      <c r="BS212" s="328">
        <f t="shared" si="13"/>
        <v>0.2744316667</v>
      </c>
      <c r="BT212" s="328">
        <f t="shared" si="14"/>
        <v>0.1965423491</v>
      </c>
      <c r="BU212" s="234">
        <f t="shared" si="15"/>
        <v>0</v>
      </c>
      <c r="BV212" s="329">
        <v>40885.0</v>
      </c>
      <c r="BW212" s="329"/>
      <c r="BX212" s="329"/>
      <c r="BY212" s="234">
        <f t="shared" si="16"/>
        <v>0</v>
      </c>
      <c r="BZ212" s="234"/>
      <c r="CA212" s="234"/>
      <c r="CB212" s="234"/>
      <c r="CC212" s="234"/>
      <c r="CD212" s="234"/>
      <c r="CE212" s="234"/>
      <c r="CF212" s="234"/>
      <c r="CG212" s="234" t="str">
        <f t="shared" si="19"/>
        <v> </v>
      </c>
      <c r="CH212" s="234" t="str">
        <f t="shared" si="27"/>
        <v>Business Achieved 50%</v>
      </c>
      <c r="CI212" s="328">
        <f t="shared" si="20"/>
        <v>0.9565217391</v>
      </c>
      <c r="CJ212" s="330">
        <f>IFERROR(__xludf.DUMMYFUNCTION("""COMPUTED_VALUE"""),564.0)</f>
        <v>564</v>
      </c>
      <c r="CK212" s="330">
        <f>IFERROR(__xludf.DUMMYFUNCTION("""COMPUTED_VALUE"""),7.0)</f>
        <v>7</v>
      </c>
      <c r="CL212" s="330">
        <f>IFERROR(__xludf.DUMMYFUNCTION("""COMPUTED_VALUE"""),0.0)</f>
        <v>0</v>
      </c>
      <c r="CM212" s="331">
        <f t="shared" si="21"/>
        <v>0</v>
      </c>
      <c r="CN212" s="337"/>
      <c r="CO212" s="160"/>
      <c r="CP212" s="334"/>
      <c r="CQ212" s="335"/>
      <c r="CR212" s="160"/>
      <c r="CS212" s="160"/>
      <c r="CT212" s="160"/>
      <c r="CU212" s="160"/>
      <c r="CV212" s="160"/>
      <c r="CW212" s="335"/>
      <c r="CX212" s="288"/>
      <c r="CY212" s="160"/>
      <c r="CZ212" s="160"/>
    </row>
    <row r="213">
      <c r="A213" s="348" t="s">
        <v>23</v>
      </c>
      <c r="B213" s="348" t="s">
        <v>30</v>
      </c>
      <c r="C213" s="348" t="s">
        <v>882</v>
      </c>
      <c r="D213" s="157" t="s">
        <v>30</v>
      </c>
      <c r="E213" s="157" t="s">
        <v>340</v>
      </c>
      <c r="F213" s="338">
        <v>45917.0</v>
      </c>
      <c r="G213" s="357">
        <v>0.0</v>
      </c>
      <c r="H213" s="314">
        <v>6520000.0</v>
      </c>
      <c r="I213" s="315">
        <v>219410.09</v>
      </c>
      <c r="J213" s="315">
        <v>0.0</v>
      </c>
      <c r="K213" s="160">
        <v>29.0</v>
      </c>
      <c r="L213" s="160">
        <v>42.0</v>
      </c>
      <c r="M213" s="160">
        <v>13.0</v>
      </c>
      <c r="N213" s="160">
        <v>42.0</v>
      </c>
      <c r="O213" s="160">
        <v>0.0</v>
      </c>
      <c r="P213" s="315">
        <v>51675.86</v>
      </c>
      <c r="Q213" s="315">
        <v>167734.23</v>
      </c>
      <c r="R213" s="160">
        <v>5.0</v>
      </c>
      <c r="S213" s="160">
        <v>13.0</v>
      </c>
      <c r="T213" s="160">
        <v>18.0</v>
      </c>
      <c r="U213" s="160">
        <v>0.0</v>
      </c>
      <c r="V213" s="160">
        <v>170.0</v>
      </c>
      <c r="W213" s="160">
        <v>577.0</v>
      </c>
      <c r="X213" s="160">
        <v>0.0</v>
      </c>
      <c r="Y213" s="160">
        <v>2.0</v>
      </c>
      <c r="Z213" s="160">
        <v>46.0</v>
      </c>
      <c r="AA213" s="160">
        <v>2.0</v>
      </c>
      <c r="AB213" s="160">
        <v>4.0</v>
      </c>
      <c r="AC213" s="160">
        <v>2.0</v>
      </c>
      <c r="AD213" s="160">
        <v>33.0</v>
      </c>
      <c r="AE213" s="160">
        <v>185.0</v>
      </c>
      <c r="AF213" s="160">
        <v>845.0</v>
      </c>
      <c r="AG213" s="160">
        <v>123.0</v>
      </c>
      <c r="AH213" s="314">
        <f t="shared" si="2"/>
        <v>1783.82187</v>
      </c>
      <c r="AI213" s="314">
        <f t="shared" si="3"/>
        <v>6.869918699</v>
      </c>
      <c r="AJ213" s="346">
        <v>32500.0</v>
      </c>
      <c r="AK213" s="314">
        <f t="shared" si="63"/>
        <v>176583.3333</v>
      </c>
      <c r="AL213" s="286">
        <v>38927.0</v>
      </c>
      <c r="AM213" s="318">
        <f t="shared" si="5"/>
        <v>0.9822261744</v>
      </c>
      <c r="AN213" s="314">
        <f t="shared" si="6"/>
        <v>12189.44944</v>
      </c>
      <c r="AO213" s="336">
        <f t="shared" si="116"/>
        <v>0.03365185429</v>
      </c>
      <c r="AP213" s="319">
        <v>0.0</v>
      </c>
      <c r="AQ213" s="160">
        <v>24.0</v>
      </c>
      <c r="AR213" s="160">
        <v>1078.0</v>
      </c>
      <c r="AS213" s="160">
        <v>567.99</v>
      </c>
      <c r="AT213" s="160">
        <v>13.0</v>
      </c>
      <c r="AU213" s="160">
        <v>14.0</v>
      </c>
      <c r="AV213" s="320">
        <v>18.0</v>
      </c>
      <c r="AW213" s="320">
        <v>24.0</v>
      </c>
      <c r="AX213" s="320">
        <v>0.0</v>
      </c>
      <c r="AY213" s="321">
        <f>iferror(VLOOKUP(C213,'ORDER BOOKING REPORT 2025-26'!C:O,13,0),"")</f>
        <v>157467</v>
      </c>
      <c r="AZ213" s="322">
        <v>46081.0</v>
      </c>
      <c r="BA213" s="157" t="str">
        <f t="shared" si="7"/>
        <v>LEFT</v>
      </c>
      <c r="BB213" s="157" t="str">
        <f t="shared" si="8"/>
        <v>New</v>
      </c>
      <c r="BC213" s="157" t="str">
        <f t="shared" si="124"/>
        <v>Below 50%</v>
      </c>
      <c r="BD213" s="352">
        <f>(30-17)/30+1+1+1+1+1</f>
        <v>5.433333333</v>
      </c>
      <c r="BE213" s="326">
        <v>1200000.0</v>
      </c>
      <c r="BF213" s="157"/>
      <c r="BG213" s="157" t="s">
        <v>1019</v>
      </c>
      <c r="BH213" s="324"/>
      <c r="BI213" s="324"/>
      <c r="BJ213" s="356">
        <f>13/30</f>
        <v>0.4333333333</v>
      </c>
      <c r="BK213" s="326"/>
      <c r="BL213" s="326">
        <f t="shared" si="121"/>
        <v>0</v>
      </c>
      <c r="BM213" s="326">
        <f t="shared" si="12"/>
        <v>6520000</v>
      </c>
      <c r="BN213" s="326"/>
      <c r="BO213" s="327" t="str">
        <f>IFERROR(__xludf.DUMMYFUNCTION("IFERROR(ArrayFormula(SUM(VLOOKUP($C213,importrange(""1MwNMVzWE3QBVOyJjKr3eFX-Sq1Ng0Q1sghWJbgbE_8g"",""ORDER BOOKING REPORT 2024-25!C:CV""),{16,23,30},0))))"),"")</f>
        <v/>
      </c>
      <c r="BP213" s="327" t="str">
        <f>IFERROR(__xludf.DUMMYFUNCTION("IFERROR(ArrayFormula(SUM(VLOOKUP($C213,importrange(""1MwNMVzWE3QBVOyJjKr3eFX-Sq1Ng0Q1sghWJbgbE_8g"",""ORDER BOOKING REPORT 2024-25!C:CV""),{37,44,51},0))))"),"")</f>
        <v/>
      </c>
      <c r="BQ213" s="327" t="str">
        <f>IFERROR(__xludf.DUMMYFUNCTION("IFERROR(ArrayFormula(SUM(VLOOKUP($C213,importrange(""1MwNMVzWE3QBVOyJjKr3eFX-Sq1Ng0Q1sghWJbgbE_8g"",""ORDER BOOKING REPORT 2024-25!C:CV""),{58,65,72},0))))"),"")</f>
        <v/>
      </c>
      <c r="BR213" s="327" t="str">
        <f>IFERROR(__xludf.DUMMYFUNCTION("IFERROR(ArrayFormula(SUM(VLOOKUP($C213,importrange(""1MwNMVzWE3QBVOyJjKr3eFX-Sq1Ng0Q1sghWJbgbE_8g"",""ORDER BOOKING REPORT 2024-25!C:CV""),{79,86,93},0))))"),"")</f>
        <v/>
      </c>
      <c r="BS213" s="328">
        <f t="shared" si="13"/>
        <v>0.02415138037</v>
      </c>
      <c r="BT213" s="328">
        <f t="shared" si="14"/>
        <v>1.368606332</v>
      </c>
      <c r="BU213" s="234">
        <f t="shared" si="15"/>
        <v>0</v>
      </c>
      <c r="BV213" s="329">
        <v>32500.0</v>
      </c>
      <c r="BW213" s="329"/>
      <c r="BX213" s="329"/>
      <c r="BY213" s="234">
        <f t="shared" si="16"/>
        <v>0</v>
      </c>
      <c r="BZ213" s="234"/>
      <c r="CA213" s="234"/>
      <c r="CB213" s="234"/>
      <c r="CC213" s="234"/>
      <c r="CD213" s="234"/>
      <c r="CE213" s="234"/>
      <c r="CF213" s="234"/>
      <c r="CG213" s="234" t="str">
        <f t="shared" si="19"/>
        <v>Below 60</v>
      </c>
      <c r="CH213" s="234" t="str">
        <f t="shared" si="27"/>
        <v>Not 50%</v>
      </c>
      <c r="CI213" s="328">
        <f t="shared" si="20"/>
        <v>0.4285714286</v>
      </c>
      <c r="CJ213" s="339">
        <f>IFERROR(__xludf.DUMMYFUNCTION("""COMPUTED_VALUE"""),97.0)</f>
        <v>97</v>
      </c>
      <c r="CK213" s="339">
        <f>IFERROR(__xludf.DUMMYFUNCTION("""COMPUTED_VALUE"""),88.0)</f>
        <v>88</v>
      </c>
      <c r="CL213" s="339">
        <f>IFERROR(__xludf.DUMMYFUNCTION("""COMPUTED_VALUE"""),0.0)</f>
        <v>0</v>
      </c>
      <c r="CM213" s="331">
        <f t="shared" si="21"/>
        <v>0</v>
      </c>
      <c r="CN213" s="340"/>
      <c r="CO213" s="328"/>
      <c r="CP213" s="341"/>
      <c r="CQ213" s="344"/>
      <c r="CR213" s="328"/>
      <c r="CS213" s="328"/>
      <c r="CT213" s="328"/>
      <c r="CU213" s="328"/>
      <c r="CV213" s="328"/>
      <c r="CW213" s="328"/>
      <c r="CX213" s="288"/>
      <c r="CY213" s="328"/>
      <c r="CZ213" s="328"/>
    </row>
    <row r="214">
      <c r="A214" s="157" t="s">
        <v>53</v>
      </c>
      <c r="B214" s="157" t="s">
        <v>61</v>
      </c>
      <c r="C214" s="157" t="s">
        <v>381</v>
      </c>
      <c r="D214" s="157" t="s">
        <v>1077</v>
      </c>
      <c r="E214" s="157" t="s">
        <v>382</v>
      </c>
      <c r="F214" s="338">
        <v>45922.0</v>
      </c>
      <c r="G214" s="357">
        <v>0.0</v>
      </c>
      <c r="H214" s="314">
        <v>4355555.0</v>
      </c>
      <c r="I214" s="315">
        <v>357731.03</v>
      </c>
      <c r="J214" s="315">
        <v>0.0</v>
      </c>
      <c r="K214" s="160">
        <v>14.0</v>
      </c>
      <c r="L214" s="160">
        <v>18.0</v>
      </c>
      <c r="M214" s="160">
        <v>4.0</v>
      </c>
      <c r="N214" s="160">
        <v>18.0</v>
      </c>
      <c r="O214" s="160">
        <v>0.0</v>
      </c>
      <c r="P214" s="315">
        <v>0.0</v>
      </c>
      <c r="Q214" s="315">
        <v>357731.03</v>
      </c>
      <c r="R214" s="160">
        <v>0.0</v>
      </c>
      <c r="S214" s="160">
        <v>2.0</v>
      </c>
      <c r="T214" s="160">
        <v>2.0</v>
      </c>
      <c r="U214" s="160">
        <v>0.0</v>
      </c>
      <c r="V214" s="160">
        <v>177.0</v>
      </c>
      <c r="W214" s="160">
        <v>350.0</v>
      </c>
      <c r="X214" s="160">
        <v>3.0</v>
      </c>
      <c r="Y214" s="160">
        <v>9.0</v>
      </c>
      <c r="Z214" s="160">
        <v>16.0</v>
      </c>
      <c r="AA214" s="160">
        <v>0.0</v>
      </c>
      <c r="AB214" s="160">
        <v>0.0</v>
      </c>
      <c r="AC214" s="160">
        <v>13.0</v>
      </c>
      <c r="AD214" s="160">
        <v>32.0</v>
      </c>
      <c r="AE214" s="160">
        <v>63.0</v>
      </c>
      <c r="AF214" s="160">
        <v>461.0</v>
      </c>
      <c r="AG214" s="160">
        <v>116.0</v>
      </c>
      <c r="AH214" s="314">
        <f t="shared" si="2"/>
        <v>3083.88819</v>
      </c>
      <c r="AI214" s="314">
        <f t="shared" si="3"/>
        <v>3.974137931</v>
      </c>
      <c r="AJ214" s="346">
        <v>41430.0</v>
      </c>
      <c r="AK214" s="314">
        <f t="shared" si="63"/>
        <v>218198</v>
      </c>
      <c r="AL214" s="286">
        <v>134566.0</v>
      </c>
      <c r="AM214" s="318">
        <f t="shared" si="5"/>
        <v>0.9861151827</v>
      </c>
      <c r="AN214" s="314">
        <f t="shared" si="6"/>
        <v>178865.515</v>
      </c>
      <c r="AO214" s="336">
        <f t="shared" si="116"/>
        <v>0.08213213471</v>
      </c>
      <c r="AP214" s="319">
        <v>0.0</v>
      </c>
      <c r="AQ214" s="160">
        <v>3.0</v>
      </c>
      <c r="AR214" s="160">
        <v>989.0</v>
      </c>
      <c r="AS214" s="160">
        <v>702.55</v>
      </c>
      <c r="AT214" s="160">
        <v>2.0</v>
      </c>
      <c r="AU214" s="160">
        <v>39.0</v>
      </c>
      <c r="AV214" s="320">
        <v>2.0</v>
      </c>
      <c r="AW214" s="320">
        <v>16.0</v>
      </c>
      <c r="AX214" s="320">
        <v>0.0</v>
      </c>
      <c r="AY214" s="321">
        <f>iferror(VLOOKUP(C214,'ORDER BOOKING REPORT 2025-26'!C:O,13,0),"")</f>
        <v>369596</v>
      </c>
      <c r="AZ214" s="322">
        <v>46077.0</v>
      </c>
      <c r="BA214" s="157" t="str">
        <f t="shared" si="7"/>
        <v>LEFT</v>
      </c>
      <c r="BB214" s="157" t="str">
        <f t="shared" si="8"/>
        <v>New</v>
      </c>
      <c r="BC214" s="157" t="str">
        <f t="shared" si="124"/>
        <v>Below 50%</v>
      </c>
      <c r="BD214" s="352">
        <f>(30-22)/30+1+1+1+1+1</f>
        <v>5.266666667</v>
      </c>
      <c r="BE214" s="323">
        <v>500000.0</v>
      </c>
      <c r="BF214" s="157"/>
      <c r="BG214" s="157" t="s">
        <v>1019</v>
      </c>
      <c r="BH214" s="324"/>
      <c r="BI214" s="324"/>
      <c r="BJ214" s="356">
        <f>8/30</f>
        <v>0.2666666667</v>
      </c>
      <c r="BK214" s="326"/>
      <c r="BL214" s="326">
        <f t="shared" si="121"/>
        <v>0</v>
      </c>
      <c r="BM214" s="326">
        <f t="shared" si="12"/>
        <v>4355555</v>
      </c>
      <c r="BN214" s="326"/>
      <c r="BO214" s="327" t="str">
        <f>IFERROR(__xludf.DUMMYFUNCTION("IFERROR(ArrayFormula(SUM(VLOOKUP($C214,importrange(""1MwNMVzWE3QBVOyJjKr3eFX-Sq1Ng0Q1sghWJbgbE_8g"",""ORDER BOOKING REPORT 2024-25!C:CV""),{16,23,30},0))))"),"")</f>
        <v/>
      </c>
      <c r="BP214" s="327" t="str">
        <f>IFERROR(__xludf.DUMMYFUNCTION("IFERROR(ArrayFormula(SUM(VLOOKUP($C214,importrange(""1MwNMVzWE3QBVOyJjKr3eFX-Sq1Ng0Q1sghWJbgbE_8g"",""ORDER BOOKING REPORT 2024-25!C:CV""),{37,44,51},0))))"),"")</f>
        <v/>
      </c>
      <c r="BQ214" s="327" t="str">
        <f>IFERROR(__xludf.DUMMYFUNCTION("IFERROR(ArrayFormula(SUM(VLOOKUP($C214,importrange(""1MwNMVzWE3QBVOyJjKr3eFX-Sq1Ng0Q1sghWJbgbE_8g"",""ORDER BOOKING REPORT 2024-25!C:CV""),{58,65,72},0))))"),"")</f>
        <v/>
      </c>
      <c r="BR214" s="327" t="str">
        <f>IFERROR(__xludf.DUMMYFUNCTION("IFERROR(ArrayFormula(SUM(VLOOKUP($C214,importrange(""1MwNMVzWE3QBVOyJjKr3eFX-Sq1Ng0Q1sghWJbgbE_8g"",""ORDER BOOKING REPORT 2024-25!C:CV""),{79,86,93},0))))"),"")</f>
        <v/>
      </c>
      <c r="BS214" s="328">
        <f t="shared" si="13"/>
        <v>0.08485623531</v>
      </c>
      <c r="BT214" s="328">
        <f t="shared" si="14"/>
        <v>0.9544583816</v>
      </c>
      <c r="BU214" s="234">
        <f t="shared" si="15"/>
        <v>0</v>
      </c>
      <c r="BV214" s="329">
        <v>41430.0</v>
      </c>
      <c r="BW214" s="329"/>
      <c r="BX214" s="329"/>
      <c r="BY214" s="234">
        <f t="shared" si="16"/>
        <v>0</v>
      </c>
      <c r="BZ214" s="234"/>
      <c r="CA214" s="234"/>
      <c r="CB214" s="234"/>
      <c r="CC214" s="234"/>
      <c r="CD214" s="234"/>
      <c r="CE214" s="234"/>
      <c r="CF214" s="234"/>
      <c r="CG214" s="234" t="str">
        <f t="shared" si="19"/>
        <v>Below 60</v>
      </c>
      <c r="CH214" s="234" t="str">
        <f t="shared" si="27"/>
        <v>Not 50%</v>
      </c>
      <c r="CI214" s="328">
        <f t="shared" si="20"/>
        <v>0.1111111111</v>
      </c>
      <c r="CJ214" s="339">
        <f>IFERROR(__xludf.DUMMYFUNCTION("""COMPUTED_VALUE"""),23.0)</f>
        <v>23</v>
      </c>
      <c r="CK214" s="339">
        <f>IFERROR(__xludf.DUMMYFUNCTION("""COMPUTED_VALUE"""),40.0)</f>
        <v>40</v>
      </c>
      <c r="CL214" s="339">
        <f>IFERROR(__xludf.DUMMYFUNCTION("""COMPUTED_VALUE"""),0.0)</f>
        <v>0</v>
      </c>
      <c r="CM214" s="331">
        <f t="shared" si="21"/>
        <v>0</v>
      </c>
      <c r="CN214" s="340"/>
      <c r="CO214" s="328"/>
      <c r="CP214" s="341"/>
      <c r="CQ214" s="344"/>
      <c r="CR214" s="328"/>
      <c r="CS214" s="328"/>
      <c r="CT214" s="328"/>
      <c r="CU214" s="328"/>
      <c r="CV214" s="328"/>
      <c r="CW214" s="328"/>
      <c r="CX214" s="288"/>
      <c r="CY214" s="328"/>
      <c r="CZ214" s="328"/>
    </row>
    <row r="215">
      <c r="A215" s="157" t="s">
        <v>298</v>
      </c>
      <c r="B215" s="157" t="s">
        <v>301</v>
      </c>
      <c r="C215" s="157" t="s">
        <v>320</v>
      </c>
      <c r="D215" s="157" t="s">
        <v>1066</v>
      </c>
      <c r="E215" s="157" t="s">
        <v>321</v>
      </c>
      <c r="F215" s="338">
        <v>45936.0</v>
      </c>
      <c r="G215" s="314">
        <v>0.0</v>
      </c>
      <c r="H215" s="314">
        <v>3600000.0</v>
      </c>
      <c r="I215" s="315">
        <v>431144.24</v>
      </c>
      <c r="J215" s="315">
        <v>0.0</v>
      </c>
      <c r="K215" s="160">
        <v>17.0</v>
      </c>
      <c r="L215" s="160">
        <v>41.0</v>
      </c>
      <c r="M215" s="160">
        <v>26.0</v>
      </c>
      <c r="N215" s="160">
        <v>43.0</v>
      </c>
      <c r="O215" s="160">
        <v>2.0</v>
      </c>
      <c r="P215" s="315">
        <v>57588.5</v>
      </c>
      <c r="Q215" s="315">
        <v>373555.74</v>
      </c>
      <c r="R215" s="160">
        <v>5.0</v>
      </c>
      <c r="S215" s="160">
        <v>26.0</v>
      </c>
      <c r="T215" s="160">
        <v>31.0</v>
      </c>
      <c r="U215" s="160">
        <v>0.0</v>
      </c>
      <c r="V215" s="160">
        <v>137.0</v>
      </c>
      <c r="W215" s="160">
        <v>440.0</v>
      </c>
      <c r="X215" s="160">
        <v>3.0</v>
      </c>
      <c r="Y215" s="160">
        <v>2.0</v>
      </c>
      <c r="Z215" s="160">
        <v>26.0</v>
      </c>
      <c r="AA215" s="160">
        <v>1.0</v>
      </c>
      <c r="AB215" s="160">
        <v>4.0</v>
      </c>
      <c r="AC215" s="160">
        <v>1.0</v>
      </c>
      <c r="AD215" s="160">
        <v>1.0</v>
      </c>
      <c r="AE215" s="160">
        <v>252.0</v>
      </c>
      <c r="AF215" s="160">
        <v>723.0</v>
      </c>
      <c r="AG215" s="160">
        <v>136.0</v>
      </c>
      <c r="AH215" s="314">
        <f t="shared" si="2"/>
        <v>3170.178235</v>
      </c>
      <c r="AI215" s="314">
        <f t="shared" si="3"/>
        <v>5.316176471</v>
      </c>
      <c r="AJ215" s="346">
        <v>34100.0</v>
      </c>
      <c r="AK215" s="314">
        <f t="shared" si="63"/>
        <v>198000</v>
      </c>
      <c r="AL215" s="317">
        <v>32515.0</v>
      </c>
      <c r="AM215" s="318">
        <f t="shared" si="5"/>
        <v>0.5346586562</v>
      </c>
      <c r="AN215" s="314">
        <f t="shared" si="6"/>
        <v>13907.87871</v>
      </c>
      <c r="AO215" s="336">
        <f t="shared" si="116"/>
        <v>0.1197622889</v>
      </c>
      <c r="AP215" s="319">
        <v>0.0</v>
      </c>
      <c r="AQ215" s="160">
        <v>43.0</v>
      </c>
      <c r="AR215" s="160">
        <v>1103.0</v>
      </c>
      <c r="AS215" s="160">
        <v>1947.71</v>
      </c>
      <c r="AT215" s="160">
        <v>26.0</v>
      </c>
      <c r="AU215" s="160">
        <v>48.0</v>
      </c>
      <c r="AV215" s="320">
        <v>31.0</v>
      </c>
      <c r="AW215" s="320">
        <v>10.0</v>
      </c>
      <c r="AX215" s="320">
        <v>2.0</v>
      </c>
      <c r="AY215" s="321">
        <f>iferror(VLOOKUP(C215,'ORDER BOOKING REPORT 2025-26'!C:O,13,0),"")</f>
        <v>351396</v>
      </c>
      <c r="AZ215" s="322"/>
      <c r="BA215" s="157" t="str">
        <f t="shared" si="7"/>
        <v>Active</v>
      </c>
      <c r="BB215" s="157" t="str">
        <f t="shared" si="8"/>
        <v>New</v>
      </c>
      <c r="BC215" s="157" t="str">
        <f t="shared" si="124"/>
        <v>Below 50%</v>
      </c>
      <c r="BD215" s="352">
        <f>(31-6)/31+1+1+1+1+1</f>
        <v>5.806451613</v>
      </c>
      <c r="BE215" s="323">
        <v>1200000.0</v>
      </c>
      <c r="BF215" s="157">
        <f>25/31</f>
        <v>0.8064516129</v>
      </c>
      <c r="BG215" s="157" t="s">
        <v>1019</v>
      </c>
      <c r="BH215" s="324"/>
      <c r="BI215" s="324"/>
      <c r="BJ215" s="356"/>
      <c r="BK215" s="326"/>
      <c r="BL215" s="326">
        <f t="shared" si="121"/>
        <v>0</v>
      </c>
      <c r="BM215" s="326">
        <f t="shared" si="12"/>
        <v>3600000</v>
      </c>
      <c r="BN215" s="326"/>
      <c r="BO215" s="327" t="str">
        <f>IFERROR(__xludf.DUMMYFUNCTION("IFERROR(ArrayFormula(SUM(VLOOKUP($C215,importrange(""1MwNMVzWE3QBVOyJjKr3eFX-Sq1Ng0Q1sghWJbgbE_8g"",""ORDER BOOKING REPORT 2024-25!C:CV""),{16,23,30},0))))"),"")</f>
        <v/>
      </c>
      <c r="BP215" s="327" t="str">
        <f>IFERROR(__xludf.DUMMYFUNCTION("IFERROR(ArrayFormula(SUM(VLOOKUP($C215,importrange(""1MwNMVzWE3QBVOyJjKr3eFX-Sq1Ng0Q1sghWJbgbE_8g"",""ORDER BOOKING REPORT 2024-25!C:CV""),{37,44,51},0))))"),"")</f>
        <v/>
      </c>
      <c r="BQ215" s="327" t="str">
        <f>IFERROR(__xludf.DUMMYFUNCTION("IFERROR(ArrayFormula(SUM(VLOOKUP($C215,importrange(""1MwNMVzWE3QBVOyJjKr3eFX-Sq1Ng0Q1sghWJbgbE_8g"",""ORDER BOOKING REPORT 2024-25!C:CV""),{58,65,72},0))))"),"")</f>
        <v/>
      </c>
      <c r="BR215" s="327" t="str">
        <f>IFERROR(__xludf.DUMMYFUNCTION("IFERROR(ArrayFormula(SUM(VLOOKUP($C215,importrange(""1MwNMVzWE3QBVOyJjKr3eFX-Sq1Ng0Q1sghWJbgbE_8g"",""ORDER BOOKING REPORT 2024-25!C:CV""),{79,86,93},0))))"),"")</f>
        <v/>
      </c>
      <c r="BS215" s="328">
        <f t="shared" si="13"/>
        <v>0.09761</v>
      </c>
      <c r="BT215" s="328">
        <f t="shared" si="14"/>
        <v>0.6559977917</v>
      </c>
      <c r="BU215" s="234">
        <f t="shared" si="15"/>
        <v>0</v>
      </c>
      <c r="BV215" s="329"/>
      <c r="BW215" s="329"/>
      <c r="BX215" s="329"/>
      <c r="BY215" s="234">
        <f t="shared" si="16"/>
        <v>-34100</v>
      </c>
      <c r="BZ215" s="234"/>
      <c r="CA215" s="234"/>
      <c r="CB215" s="234"/>
      <c r="CC215" s="234"/>
      <c r="CD215" s="234"/>
      <c r="CE215" s="234"/>
      <c r="CF215" s="234"/>
      <c r="CG215" s="234" t="str">
        <f t="shared" si="19"/>
        <v>Below 60</v>
      </c>
      <c r="CH215" s="234" t="str">
        <f t="shared" si="27"/>
        <v>Business Achieved 50%</v>
      </c>
      <c r="CI215" s="328">
        <f t="shared" si="20"/>
        <v>0.7209302326</v>
      </c>
      <c r="CJ215" s="330">
        <f>IFERROR(__xludf.DUMMYFUNCTION("""COMPUTED_VALUE"""),190.0)</f>
        <v>190</v>
      </c>
      <c r="CK215" s="330">
        <f>IFERROR(__xludf.DUMMYFUNCTION("""COMPUTED_VALUE"""),62.0)</f>
        <v>62</v>
      </c>
      <c r="CL215" s="330">
        <f>IFERROR(__xludf.DUMMYFUNCTION("""COMPUTED_VALUE"""),0.0)</f>
        <v>0</v>
      </c>
      <c r="CM215" s="331">
        <f t="shared" si="21"/>
        <v>0</v>
      </c>
      <c r="CN215" s="337"/>
      <c r="CO215" s="160"/>
      <c r="CP215" s="334"/>
      <c r="CQ215" s="335"/>
      <c r="CR215" s="160"/>
      <c r="CS215" s="160"/>
      <c r="CT215" s="160"/>
      <c r="CU215" s="160"/>
      <c r="CV215" s="160"/>
      <c r="CW215" s="335"/>
      <c r="CX215" s="288"/>
      <c r="CY215" s="160"/>
      <c r="CZ215" s="160"/>
    </row>
    <row r="216">
      <c r="A216" s="157" t="s">
        <v>97</v>
      </c>
      <c r="B216" s="157" t="s">
        <v>101</v>
      </c>
      <c r="C216" s="157" t="s">
        <v>109</v>
      </c>
      <c r="D216" s="157" t="s">
        <v>1062</v>
      </c>
      <c r="E216" s="157" t="s">
        <v>110</v>
      </c>
      <c r="F216" s="338">
        <v>45933.0</v>
      </c>
      <c r="G216" s="357">
        <v>0.0</v>
      </c>
      <c r="H216" s="314">
        <v>7500000.0</v>
      </c>
      <c r="I216" s="315">
        <v>3681893.4</v>
      </c>
      <c r="J216" s="315">
        <v>0.0</v>
      </c>
      <c r="K216" s="160">
        <v>46.0</v>
      </c>
      <c r="L216" s="160">
        <v>68.0</v>
      </c>
      <c r="M216" s="160">
        <v>23.0</v>
      </c>
      <c r="N216" s="160">
        <v>69.0</v>
      </c>
      <c r="O216" s="160">
        <v>1.0</v>
      </c>
      <c r="P216" s="315">
        <v>2836935.6</v>
      </c>
      <c r="Q216" s="315">
        <v>844957.8</v>
      </c>
      <c r="R216" s="160">
        <v>34.0</v>
      </c>
      <c r="S216" s="160">
        <v>21.0</v>
      </c>
      <c r="T216" s="160">
        <v>55.0</v>
      </c>
      <c r="U216" s="160">
        <v>0.0</v>
      </c>
      <c r="V216" s="160">
        <v>13.0</v>
      </c>
      <c r="W216" s="160">
        <v>58.0</v>
      </c>
      <c r="X216" s="160">
        <v>0.0</v>
      </c>
      <c r="Y216" s="160">
        <v>1.0</v>
      </c>
      <c r="Z216" s="160">
        <v>22.0</v>
      </c>
      <c r="AA216" s="160">
        <v>0.0</v>
      </c>
      <c r="AB216" s="160">
        <v>0.0</v>
      </c>
      <c r="AC216" s="160">
        <v>0.0</v>
      </c>
      <c r="AD216" s="160">
        <v>0.0</v>
      </c>
      <c r="AE216" s="160">
        <v>1011.0</v>
      </c>
      <c r="AF216" s="160">
        <v>1091.0</v>
      </c>
      <c r="AG216" s="160">
        <v>145.0</v>
      </c>
      <c r="AH216" s="314">
        <f t="shared" si="2"/>
        <v>25392.36828</v>
      </c>
      <c r="AI216" s="314">
        <f t="shared" si="3"/>
        <v>7.524137931</v>
      </c>
      <c r="AJ216" s="346">
        <v>27000.0</v>
      </c>
      <c r="AK216" s="314">
        <f t="shared" si="63"/>
        <v>159387.0968</v>
      </c>
      <c r="AL216" s="286">
        <v>76514.0</v>
      </c>
      <c r="AM216" s="318">
        <f t="shared" si="5"/>
        <v>0.06407059389</v>
      </c>
      <c r="AN216" s="314">
        <f t="shared" si="6"/>
        <v>66943.51636</v>
      </c>
      <c r="AO216" s="336">
        <f t="shared" si="116"/>
        <v>0.49091912</v>
      </c>
      <c r="AP216" s="319">
        <v>0.0</v>
      </c>
      <c r="AQ216" s="160">
        <v>171.0</v>
      </c>
      <c r="AR216" s="160">
        <v>1453.0</v>
      </c>
      <c r="AS216" s="160">
        <v>2581.89</v>
      </c>
      <c r="AT216" s="160">
        <v>21.0</v>
      </c>
      <c r="AU216" s="160">
        <v>38.0</v>
      </c>
      <c r="AV216" s="320">
        <v>55.0</v>
      </c>
      <c r="AW216" s="320">
        <v>13.0</v>
      </c>
      <c r="AX216" s="320">
        <v>1.0</v>
      </c>
      <c r="AY216" s="321">
        <f>iferror(VLOOKUP(C216,'ORDER BOOKING REPORT 2025-26'!C:O,13,0),"")</f>
        <v>3415793.84</v>
      </c>
      <c r="AZ216" s="322"/>
      <c r="BA216" s="157" t="str">
        <f t="shared" si="7"/>
        <v>Active</v>
      </c>
      <c r="BB216" s="157" t="str">
        <f t="shared" si="8"/>
        <v>New</v>
      </c>
      <c r="BC216" s="157" t="str">
        <f t="shared" si="124"/>
        <v>Below 50%</v>
      </c>
      <c r="BD216" s="352">
        <f>(31-3)/31+1+1+1+1+1</f>
        <v>5.903225806</v>
      </c>
      <c r="BE216" s="323">
        <v>1500000.0</v>
      </c>
      <c r="BF216" s="157">
        <f>28/31</f>
        <v>0.9032258065</v>
      </c>
      <c r="BG216" s="157" t="s">
        <v>1019</v>
      </c>
      <c r="BH216" s="324"/>
      <c r="BI216" s="324"/>
      <c r="BJ216" s="356"/>
      <c r="BK216" s="326"/>
      <c r="BL216" s="326">
        <f t="shared" si="121"/>
        <v>0</v>
      </c>
      <c r="BM216" s="326">
        <f t="shared" si="12"/>
        <v>7500000</v>
      </c>
      <c r="BN216" s="326"/>
      <c r="BO216" s="327" t="str">
        <f>IFERROR(__xludf.DUMMYFUNCTION("IFERROR(ArrayFormula(SUM(VLOOKUP($C216,importrange(""1MwNMVzWE3QBVOyJjKr3eFX-Sq1Ng0Q1sghWJbgbE_8g"",""ORDER BOOKING REPORT 2024-25!C:CV""),{16,23,30},0))))"),"")</f>
        <v/>
      </c>
      <c r="BP216" s="327" t="str">
        <f>IFERROR(__xludf.DUMMYFUNCTION("IFERROR(ArrayFormula(SUM(VLOOKUP($C216,importrange(""1MwNMVzWE3QBVOyJjKr3eFX-Sq1Ng0Q1sghWJbgbE_8g"",""ORDER BOOKING REPORT 2024-25!C:CV""),{37,44,51},0))))"),"")</f>
        <v/>
      </c>
      <c r="BQ216" s="327" t="str">
        <f>IFERROR(__xludf.DUMMYFUNCTION("IFERROR(ArrayFormula(SUM(VLOOKUP($C216,importrange(""1MwNMVzWE3QBVOyJjKr3eFX-Sq1Ng0Q1sghWJbgbE_8g"",""ORDER BOOKING REPORT 2024-25!C:CV""),{58,65,72},0))))"),"")</f>
        <v/>
      </c>
      <c r="BR216" s="327" t="str">
        <f>IFERROR(__xludf.DUMMYFUNCTION("IFERROR(ArrayFormula(SUM(VLOOKUP($C216,importrange(""1MwNMVzWE3QBVOyJjKr3eFX-Sq1Ng0Q1sghWJbgbE_8g"",""ORDER BOOKING REPORT 2024-25!C:CV""),{79,86,93},0))))"),"")</f>
        <v/>
      </c>
      <c r="BS216" s="328">
        <f t="shared" si="13"/>
        <v>0.4554391787</v>
      </c>
      <c r="BT216" s="328">
        <f t="shared" si="14"/>
        <v>0.06906186609</v>
      </c>
      <c r="BU216" s="234">
        <f t="shared" si="15"/>
        <v>0</v>
      </c>
      <c r="BV216" s="329"/>
      <c r="BW216" s="329"/>
      <c r="BX216" s="329"/>
      <c r="BY216" s="234">
        <f t="shared" si="16"/>
        <v>-27000</v>
      </c>
      <c r="BZ216" s="234"/>
      <c r="CA216" s="234"/>
      <c r="CB216" s="234"/>
      <c r="CC216" s="234"/>
      <c r="CD216" s="234"/>
      <c r="CE216" s="234"/>
      <c r="CF216" s="234"/>
      <c r="CG216" s="234" t="str">
        <f t="shared" si="19"/>
        <v> </v>
      </c>
      <c r="CH216" s="234" t="str">
        <f t="shared" si="27"/>
        <v>Business Achieved 50%</v>
      </c>
      <c r="CI216" s="328">
        <f t="shared" si="20"/>
        <v>0.7971014493</v>
      </c>
      <c r="CJ216" s="339">
        <f>IFERROR(__xludf.DUMMYFUNCTION("""COMPUTED_VALUE"""),921.0)</f>
        <v>921</v>
      </c>
      <c r="CK216" s="339">
        <f>IFERROR(__xludf.DUMMYFUNCTION("""COMPUTED_VALUE"""),90.0)</f>
        <v>90</v>
      </c>
      <c r="CL216" s="339">
        <f>IFERROR(__xludf.DUMMYFUNCTION("""COMPUTED_VALUE"""),0.0)</f>
        <v>0</v>
      </c>
      <c r="CM216" s="331">
        <f t="shared" si="21"/>
        <v>0</v>
      </c>
      <c r="CN216" s="340"/>
      <c r="CO216" s="328"/>
      <c r="CP216" s="341"/>
      <c r="CQ216" s="344"/>
      <c r="CR216" s="328"/>
      <c r="CS216" s="328"/>
      <c r="CT216" s="328"/>
      <c r="CU216" s="328"/>
      <c r="CV216" s="328"/>
      <c r="CW216" s="328"/>
      <c r="CX216" s="288"/>
      <c r="CY216" s="328"/>
      <c r="CZ216" s="328"/>
    </row>
    <row r="217">
      <c r="A217" s="157" t="s">
        <v>47</v>
      </c>
      <c r="B217" s="157" t="s">
        <v>422</v>
      </c>
      <c r="C217" s="157" t="s">
        <v>424</v>
      </c>
      <c r="D217" s="157" t="s">
        <v>1094</v>
      </c>
      <c r="E217" s="157" t="s">
        <v>425</v>
      </c>
      <c r="F217" s="338">
        <v>45944.0</v>
      </c>
      <c r="G217" s="357">
        <v>0.0</v>
      </c>
      <c r="H217" s="314">
        <v>0.0</v>
      </c>
      <c r="I217" s="315">
        <v>0.0</v>
      </c>
      <c r="J217" s="315">
        <v>0.0</v>
      </c>
      <c r="K217" s="160">
        <v>0.0</v>
      </c>
      <c r="L217" s="160">
        <v>0.0</v>
      </c>
      <c r="M217" s="160">
        <v>0.0</v>
      </c>
      <c r="N217" s="160">
        <v>0.0</v>
      </c>
      <c r="O217" s="160">
        <v>0.0</v>
      </c>
      <c r="P217" s="315">
        <v>0.0</v>
      </c>
      <c r="Q217" s="315">
        <v>0.0</v>
      </c>
      <c r="R217" s="160">
        <v>0.0</v>
      </c>
      <c r="S217" s="160">
        <v>0.0</v>
      </c>
      <c r="T217" s="160">
        <v>0.0</v>
      </c>
      <c r="U217" s="160">
        <v>0.0</v>
      </c>
      <c r="V217" s="160">
        <v>0.0</v>
      </c>
      <c r="W217" s="160">
        <v>0.0</v>
      </c>
      <c r="X217" s="160">
        <v>3.0</v>
      </c>
      <c r="Y217" s="160">
        <v>1.0</v>
      </c>
      <c r="Z217" s="160">
        <v>1.0</v>
      </c>
      <c r="AA217" s="160">
        <v>0.0</v>
      </c>
      <c r="AB217" s="160">
        <v>0.0</v>
      </c>
      <c r="AC217" s="160">
        <v>8.0</v>
      </c>
      <c r="AD217" s="160">
        <v>8.0</v>
      </c>
      <c r="AE217" s="160">
        <v>0.0</v>
      </c>
      <c r="AF217" s="160">
        <v>9.0</v>
      </c>
      <c r="AG217" s="160">
        <v>4.0</v>
      </c>
      <c r="AH217" s="314">
        <f t="shared" si="2"/>
        <v>0</v>
      </c>
      <c r="AI217" s="314">
        <f t="shared" si="3"/>
        <v>2.25</v>
      </c>
      <c r="AJ217" s="346">
        <v>24115.0</v>
      </c>
      <c r="AK217" s="314">
        <f t="shared" si="63"/>
        <v>13224.35484</v>
      </c>
      <c r="AL217" s="286"/>
      <c r="AM217" s="318" t="str">
        <f t="shared" si="5"/>
        <v/>
      </c>
      <c r="AN217" s="314" t="str">
        <f t="shared" si="6"/>
        <v/>
      </c>
      <c r="AO217" s="336" t="str">
        <f t="shared" si="116"/>
        <v/>
      </c>
      <c r="AP217" s="319">
        <v>0.0</v>
      </c>
      <c r="AQ217" s="160">
        <v>0.0</v>
      </c>
      <c r="AR217" s="160">
        <v>41.0</v>
      </c>
      <c r="AS217" s="160">
        <v>0.0</v>
      </c>
      <c r="AT217" s="160">
        <v>0.0</v>
      </c>
      <c r="AU217" s="160">
        <v>0.0</v>
      </c>
      <c r="AV217" s="320">
        <v>0.0</v>
      </c>
      <c r="AW217" s="320">
        <v>0.0</v>
      </c>
      <c r="AX217" s="320">
        <v>0.0</v>
      </c>
      <c r="AY217" s="321">
        <f>iferror(VLOOKUP(C217,'ORDER BOOKING REPORT 2025-26'!C:O,13,0),"")</f>
        <v>0</v>
      </c>
      <c r="AZ217" s="322">
        <v>45961.0</v>
      </c>
      <c r="BA217" s="157" t="str">
        <f t="shared" si="7"/>
        <v>LEFT</v>
      </c>
      <c r="BB217" s="157" t="str">
        <f t="shared" si="8"/>
        <v>New</v>
      </c>
      <c r="BC217" s="157" t="str">
        <f t="shared" si="124"/>
        <v>Below 50%</v>
      </c>
      <c r="BD217" s="352">
        <f>(31-14)/31</f>
        <v>0.5483870968</v>
      </c>
      <c r="BE217" s="323"/>
      <c r="BF217" s="157">
        <f>17/31</f>
        <v>0.5483870968</v>
      </c>
      <c r="BG217" s="157" t="s">
        <v>1019</v>
      </c>
      <c r="BH217" s="324"/>
      <c r="BI217" s="324"/>
      <c r="BJ217" s="356"/>
      <c r="BK217" s="326"/>
      <c r="BL217" s="326">
        <f t="shared" si="121"/>
        <v>0</v>
      </c>
      <c r="BM217" s="326">
        <f t="shared" si="12"/>
        <v>0</v>
      </c>
      <c r="BN217" s="326"/>
      <c r="BO217" s="327" t="str">
        <f>IFERROR(__xludf.DUMMYFUNCTION("IFERROR(ArrayFormula(SUM(VLOOKUP($C217,importrange(""1MwNMVzWE3QBVOyJjKr3eFX-Sq1Ng0Q1sghWJbgbE_8g"",""ORDER BOOKING REPORT 2024-25!C:CV""),{16,23,30},0))))"),"")</f>
        <v/>
      </c>
      <c r="BP217" s="327" t="str">
        <f>IFERROR(__xludf.DUMMYFUNCTION("IFERROR(ArrayFormula(SUM(VLOOKUP($C217,importrange(""1MwNMVzWE3QBVOyJjKr3eFX-Sq1Ng0Q1sghWJbgbE_8g"",""ORDER BOOKING REPORT 2024-25!C:CV""),{37,44,51},0))))"),"")</f>
        <v/>
      </c>
      <c r="BQ217" s="327" t="str">
        <f>IFERROR(__xludf.DUMMYFUNCTION("IFERROR(ArrayFormula(SUM(VLOOKUP($C217,importrange(""1MwNMVzWE3QBVOyJjKr3eFX-Sq1Ng0Q1sghWJbgbE_8g"",""ORDER BOOKING REPORT 2024-25!C:CV""),{58,65,72},0))))"),"")</f>
        <v/>
      </c>
      <c r="BR217" s="327" t="str">
        <f>IFERROR(__xludf.DUMMYFUNCTION("IFERROR(ArrayFormula(SUM(VLOOKUP($C217,importrange(""1MwNMVzWE3QBVOyJjKr3eFX-Sq1Ng0Q1sghWJbgbE_8g"",""ORDER BOOKING REPORT 2024-25!C:CV""),{79,86,93},0))))"),"")</f>
        <v/>
      </c>
      <c r="BS217" s="328" t="str">
        <f t="shared" si="13"/>
        <v/>
      </c>
      <c r="BT217" s="328" t="str">
        <f t="shared" si="14"/>
        <v/>
      </c>
      <c r="BU217" s="234">
        <f t="shared" si="15"/>
        <v>0</v>
      </c>
      <c r="BV217" s="329"/>
      <c r="BW217" s="329"/>
      <c r="BX217" s="329"/>
      <c r="BY217" s="234">
        <f t="shared" si="16"/>
        <v>-24115</v>
      </c>
      <c r="BZ217" s="234"/>
      <c r="CA217" s="234"/>
      <c r="CB217" s="234"/>
      <c r="CC217" s="234"/>
      <c r="CD217" s="234"/>
      <c r="CE217" s="234"/>
      <c r="CF217" s="234"/>
      <c r="CG217" s="234" t="str">
        <f t="shared" si="19"/>
        <v>Below 60</v>
      </c>
      <c r="CH217" s="234" t="str">
        <f t="shared" si="27"/>
        <v>Not 50%</v>
      </c>
      <c r="CI217" s="328" t="str">
        <f t="shared" si="20"/>
        <v/>
      </c>
      <c r="CJ217" s="339"/>
      <c r="CK217" s="339"/>
      <c r="CL217" s="339"/>
      <c r="CM217" s="331">
        <f t="shared" si="21"/>
        <v>0</v>
      </c>
      <c r="CN217" s="340"/>
      <c r="CO217" s="328"/>
      <c r="CP217" s="341"/>
      <c r="CQ217" s="344"/>
      <c r="CR217" s="328"/>
      <c r="CS217" s="328"/>
      <c r="CT217" s="328"/>
      <c r="CU217" s="328"/>
      <c r="CV217" s="328"/>
      <c r="CW217" s="328"/>
      <c r="CX217" s="288"/>
      <c r="CY217" s="328"/>
      <c r="CZ217" s="328"/>
    </row>
    <row r="218">
      <c r="A218" s="157" t="s">
        <v>126</v>
      </c>
      <c r="B218" s="157" t="s">
        <v>135</v>
      </c>
      <c r="C218" s="157" t="s">
        <v>175</v>
      </c>
      <c r="D218" s="157" t="s">
        <v>1042</v>
      </c>
      <c r="E218" s="157" t="s">
        <v>176</v>
      </c>
      <c r="F218" s="338">
        <v>45964.0</v>
      </c>
      <c r="G218" s="357">
        <v>0.0</v>
      </c>
      <c r="H218" s="314">
        <v>7000000.0</v>
      </c>
      <c r="I218" s="315">
        <v>1490819.6</v>
      </c>
      <c r="J218" s="315">
        <v>338105.43</v>
      </c>
      <c r="K218" s="160">
        <v>56.0</v>
      </c>
      <c r="L218" s="160">
        <v>80.0</v>
      </c>
      <c r="M218" s="160">
        <v>24.0</v>
      </c>
      <c r="N218" s="160">
        <v>80.0</v>
      </c>
      <c r="O218" s="160">
        <v>0.0</v>
      </c>
      <c r="P218" s="315">
        <v>829860.2</v>
      </c>
      <c r="Q218" s="315">
        <v>660959.4</v>
      </c>
      <c r="R218" s="160">
        <v>30.0</v>
      </c>
      <c r="S218" s="160">
        <v>23.0</v>
      </c>
      <c r="T218" s="160">
        <v>53.0</v>
      </c>
      <c r="U218" s="160">
        <v>1.0</v>
      </c>
      <c r="V218" s="160">
        <v>259.0</v>
      </c>
      <c r="W218" s="160">
        <v>366.0</v>
      </c>
      <c r="X218" s="160">
        <v>7.0</v>
      </c>
      <c r="Y218" s="160">
        <v>2.0</v>
      </c>
      <c r="Z218" s="160">
        <v>73.0</v>
      </c>
      <c r="AA218" s="160">
        <v>2.0</v>
      </c>
      <c r="AB218" s="160">
        <v>6.0</v>
      </c>
      <c r="AC218" s="160">
        <v>4.0</v>
      </c>
      <c r="AD218" s="160">
        <v>6.0</v>
      </c>
      <c r="AE218" s="160">
        <v>321.0</v>
      </c>
      <c r="AF218" s="160">
        <v>772.0</v>
      </c>
      <c r="AG218" s="160">
        <v>119.0</v>
      </c>
      <c r="AH218" s="314">
        <f t="shared" si="2"/>
        <v>15369.1179</v>
      </c>
      <c r="AI218" s="314">
        <f t="shared" si="3"/>
        <v>6.487394958</v>
      </c>
      <c r="AJ218" s="346">
        <v>36190.0</v>
      </c>
      <c r="AK218" s="314">
        <f t="shared" si="63"/>
        <v>177331</v>
      </c>
      <c r="AL218" s="286">
        <v>55544.0</v>
      </c>
      <c r="AM218" s="318">
        <f t="shared" si="5"/>
        <v>0.1273288933</v>
      </c>
      <c r="AN218" s="314">
        <f t="shared" si="6"/>
        <v>28128.6717</v>
      </c>
      <c r="AO218" s="336">
        <f t="shared" si="116"/>
        <v>0.2612750043</v>
      </c>
      <c r="AP218" s="319">
        <v>0.0</v>
      </c>
      <c r="AQ218" s="160">
        <v>106.0</v>
      </c>
      <c r="AR218" s="160">
        <v>1255.0</v>
      </c>
      <c r="AS218" s="160">
        <v>2269.46</v>
      </c>
      <c r="AT218" s="160">
        <v>23.0</v>
      </c>
      <c r="AU218" s="160">
        <v>28.0</v>
      </c>
      <c r="AV218" s="320">
        <v>53.0</v>
      </c>
      <c r="AW218" s="320">
        <v>27.0</v>
      </c>
      <c r="AX218" s="320">
        <v>0.0</v>
      </c>
      <c r="AY218" s="321">
        <f>iferror(VLOOKUP(C218,'ORDER BOOKING REPORT 2025-26'!C:O,13,0),"")</f>
        <v>1336548</v>
      </c>
      <c r="AZ218" s="322"/>
      <c r="BA218" s="157" t="str">
        <f t="shared" si="7"/>
        <v>Active</v>
      </c>
      <c r="BB218" s="157" t="str">
        <f t="shared" si="8"/>
        <v>New</v>
      </c>
      <c r="BC218" s="157" t="str">
        <f t="shared" si="124"/>
        <v>Below 50%</v>
      </c>
      <c r="BD218" s="352">
        <f t="shared" ref="BD218:BD219" si="128">(27/30)+1+1+1+1</f>
        <v>4.9</v>
      </c>
      <c r="BE218" s="323">
        <v>1400000.0</v>
      </c>
      <c r="BF218" s="157">
        <f t="shared" ref="BF218:BF220" si="129">30-3</f>
        <v>27</v>
      </c>
      <c r="BG218" s="157" t="s">
        <v>1019</v>
      </c>
      <c r="BH218" s="324"/>
      <c r="BI218" s="324"/>
      <c r="BJ218" s="356"/>
      <c r="BK218" s="326"/>
      <c r="BL218" s="326">
        <f t="shared" si="121"/>
        <v>0</v>
      </c>
      <c r="BM218" s="326">
        <f t="shared" si="12"/>
        <v>7000000</v>
      </c>
      <c r="BN218" s="326"/>
      <c r="BO218" s="327" t="str">
        <f>IFERROR(__xludf.DUMMYFUNCTION("IFERROR(ArrayFormula(SUM(VLOOKUP($C218,importrange(""1MwNMVzWE3QBVOyJjKr3eFX-Sq1Ng0Q1sghWJbgbE_8g"",""ORDER BOOKING REPORT 2024-25!C:CV""),{16,23,30},0))))"),"")</f>
        <v/>
      </c>
      <c r="BP218" s="327" t="str">
        <f>IFERROR(__xludf.DUMMYFUNCTION("IFERROR(ArrayFormula(SUM(VLOOKUP($C218,importrange(""1MwNMVzWE3QBVOyJjKr3eFX-Sq1Ng0Q1sghWJbgbE_8g"",""ORDER BOOKING REPORT 2024-25!C:CV""),{37,44,51},0))))"),"")</f>
        <v/>
      </c>
      <c r="BQ218" s="327" t="str">
        <f>IFERROR(__xludf.DUMMYFUNCTION("IFERROR(ArrayFormula(SUM(VLOOKUP($C218,importrange(""1MwNMVzWE3QBVOyJjKr3eFX-Sq1Ng0Q1sghWJbgbE_8g"",""ORDER BOOKING REPORT 2024-25!C:CV""),{58,65,72},0))))"),"")</f>
        <v/>
      </c>
      <c r="BR218" s="327" t="str">
        <f>IFERROR(__xludf.DUMMYFUNCTION("IFERROR(ArrayFormula(SUM(VLOOKUP($C218,importrange(""1MwNMVzWE3QBVOyJjKr3eFX-Sq1Ng0Q1sghWJbgbE_8g"",""ORDER BOOKING REPORT 2024-25!C:CV""),{79,86,93},0))))"),"")</f>
        <v/>
      </c>
      <c r="BS218" s="328">
        <f t="shared" si="13"/>
        <v>0.1909354286</v>
      </c>
      <c r="BT218" s="328">
        <f t="shared" si="14"/>
        <v>0.1742361666</v>
      </c>
      <c r="BU218" s="234">
        <f t="shared" si="15"/>
        <v>0</v>
      </c>
      <c r="BV218" s="329"/>
      <c r="BW218" s="329"/>
      <c r="BX218" s="329"/>
      <c r="BY218" s="234">
        <f t="shared" si="16"/>
        <v>-36190</v>
      </c>
      <c r="BZ218" s="234"/>
      <c r="CA218" s="234"/>
      <c r="CB218" s="234"/>
      <c r="CC218" s="234"/>
      <c r="CD218" s="234"/>
      <c r="CE218" s="234"/>
      <c r="CF218" s="234"/>
      <c r="CG218" s="234" t="str">
        <f t="shared" si="19"/>
        <v> </v>
      </c>
      <c r="CH218" s="234" t="str">
        <f t="shared" si="27"/>
        <v>Business Achieved 50%</v>
      </c>
      <c r="CI218" s="328">
        <f t="shared" si="20"/>
        <v>0.6625</v>
      </c>
      <c r="CJ218" s="339">
        <f>IFERROR(__xludf.DUMMYFUNCTION("""COMPUTED_VALUE"""),267.0)</f>
        <v>267</v>
      </c>
      <c r="CK218" s="339">
        <f>IFERROR(__xludf.DUMMYFUNCTION("""COMPUTED_VALUE"""),54.0)</f>
        <v>54</v>
      </c>
      <c r="CL218" s="339">
        <f>IFERROR(__xludf.DUMMYFUNCTION("""COMPUTED_VALUE"""),0.0)</f>
        <v>0</v>
      </c>
      <c r="CM218" s="331">
        <f t="shared" si="21"/>
        <v>0</v>
      </c>
      <c r="CN218" s="340"/>
      <c r="CO218" s="328"/>
      <c r="CP218" s="341"/>
      <c r="CQ218" s="344"/>
      <c r="CR218" s="328"/>
      <c r="CS218" s="328"/>
      <c r="CT218" s="328"/>
      <c r="CU218" s="328"/>
      <c r="CV218" s="328"/>
      <c r="CW218" s="328"/>
      <c r="CX218" s="288"/>
      <c r="CY218" s="328"/>
      <c r="CZ218" s="328"/>
    </row>
    <row r="219">
      <c r="A219" s="157" t="s">
        <v>126</v>
      </c>
      <c r="B219" s="157" t="s">
        <v>130</v>
      </c>
      <c r="C219" s="157" t="s">
        <v>177</v>
      </c>
      <c r="D219" s="157" t="s">
        <v>130</v>
      </c>
      <c r="E219" s="157" t="s">
        <v>178</v>
      </c>
      <c r="F219" s="338">
        <v>45964.0</v>
      </c>
      <c r="G219" s="314">
        <v>0.0</v>
      </c>
      <c r="H219" s="314">
        <v>1.0E7</v>
      </c>
      <c r="I219" s="315">
        <v>1256855.88</v>
      </c>
      <c r="J219" s="315">
        <v>0.0</v>
      </c>
      <c r="K219" s="160">
        <v>12.0</v>
      </c>
      <c r="L219" s="160">
        <v>49.0</v>
      </c>
      <c r="M219" s="160">
        <v>39.0</v>
      </c>
      <c r="N219" s="160">
        <v>51.0</v>
      </c>
      <c r="O219" s="160">
        <v>2.0</v>
      </c>
      <c r="P219" s="315">
        <v>85504.81</v>
      </c>
      <c r="Q219" s="315">
        <v>1171351.07</v>
      </c>
      <c r="R219" s="160">
        <v>5.0</v>
      </c>
      <c r="S219" s="160">
        <v>37.0</v>
      </c>
      <c r="T219" s="160">
        <v>42.0</v>
      </c>
      <c r="U219" s="160">
        <v>0.0</v>
      </c>
      <c r="V219" s="160">
        <v>61.0</v>
      </c>
      <c r="W219" s="160">
        <v>148.0</v>
      </c>
      <c r="X219" s="160">
        <v>4.0</v>
      </c>
      <c r="Y219" s="160">
        <v>5.0</v>
      </c>
      <c r="Z219" s="160">
        <v>75.0</v>
      </c>
      <c r="AA219" s="160">
        <v>0.0</v>
      </c>
      <c r="AB219" s="160">
        <v>0.0</v>
      </c>
      <c r="AC219" s="160">
        <v>23.0</v>
      </c>
      <c r="AD219" s="160">
        <v>93.0</v>
      </c>
      <c r="AE219" s="160">
        <v>250.0</v>
      </c>
      <c r="AF219" s="160">
        <v>566.0</v>
      </c>
      <c r="AG219" s="160">
        <v>122.0</v>
      </c>
      <c r="AH219" s="314">
        <f t="shared" si="2"/>
        <v>10302.09738</v>
      </c>
      <c r="AI219" s="314">
        <f t="shared" si="3"/>
        <v>4.639344262</v>
      </c>
      <c r="AJ219" s="346">
        <v>65825.0</v>
      </c>
      <c r="AK219" s="314">
        <f t="shared" si="63"/>
        <v>322542.5</v>
      </c>
      <c r="AL219" s="286">
        <v>50083.0</v>
      </c>
      <c r="AM219" s="318">
        <f t="shared" si="5"/>
        <v>0.2964743261</v>
      </c>
      <c r="AN219" s="314">
        <f t="shared" si="6"/>
        <v>29925.14</v>
      </c>
      <c r="AO219" s="336">
        <f t="shared" si="116"/>
        <v>0.125685588</v>
      </c>
      <c r="AP219" s="319">
        <v>0.0</v>
      </c>
      <c r="AQ219" s="160">
        <v>83.0</v>
      </c>
      <c r="AR219" s="160">
        <v>1119.0</v>
      </c>
      <c r="AS219" s="160">
        <v>2023.28</v>
      </c>
      <c r="AT219" s="160">
        <v>37.0</v>
      </c>
      <c r="AU219" s="160">
        <v>41.0</v>
      </c>
      <c r="AV219" s="320">
        <v>42.0</v>
      </c>
      <c r="AW219" s="320">
        <v>7.0</v>
      </c>
      <c r="AX219" s="320">
        <v>2.0</v>
      </c>
      <c r="AY219" s="321">
        <f>iferror(VLOOKUP(C219,'ORDER BOOKING REPORT 2025-26'!C:O,13,0),"")</f>
        <v>2027983</v>
      </c>
      <c r="AZ219" s="322"/>
      <c r="BA219" s="157" t="str">
        <f t="shared" si="7"/>
        <v>Active</v>
      </c>
      <c r="BB219" s="157" t="str">
        <f t="shared" si="8"/>
        <v>New</v>
      </c>
      <c r="BC219" s="157" t="str">
        <f t="shared" si="124"/>
        <v>Below 50%</v>
      </c>
      <c r="BD219" s="352">
        <f t="shared" si="128"/>
        <v>4.9</v>
      </c>
      <c r="BE219" s="323">
        <v>2000000.0</v>
      </c>
      <c r="BF219" s="157">
        <f t="shared" si="129"/>
        <v>27</v>
      </c>
      <c r="BG219" s="157" t="s">
        <v>1019</v>
      </c>
      <c r="BH219" s="324"/>
      <c r="BI219" s="324"/>
      <c r="BJ219" s="356"/>
      <c r="BK219" s="326"/>
      <c r="BL219" s="326">
        <f t="shared" si="121"/>
        <v>0</v>
      </c>
      <c r="BM219" s="326">
        <f t="shared" si="12"/>
        <v>10000000</v>
      </c>
      <c r="BN219" s="326"/>
      <c r="BO219" s="327" t="str">
        <f>IFERROR(__xludf.DUMMYFUNCTION("IFERROR(ArrayFormula(SUM(VLOOKUP($C219,importrange(""1MwNMVzWE3QBVOyJjKr3eFX-Sq1Ng0Q1sghWJbgbE_8g"",""ORDER BOOKING REPORT 2024-25!C:CV""),{16,23,30},0))))"),"")</f>
        <v/>
      </c>
      <c r="BP219" s="327" t="str">
        <f>IFERROR(__xludf.DUMMYFUNCTION("IFERROR(ArrayFormula(SUM(VLOOKUP($C219,importrange(""1MwNMVzWE3QBVOyJjKr3eFX-Sq1Ng0Q1sghWJbgbE_8g"",""ORDER BOOKING REPORT 2024-25!C:CV""),{37,44,51},0))))"),"")</f>
        <v/>
      </c>
      <c r="BQ219" s="327" t="str">
        <f>IFERROR(__xludf.DUMMYFUNCTION("IFERROR(ArrayFormula(SUM(VLOOKUP($C219,importrange(""1MwNMVzWE3QBVOyJjKr3eFX-Sq1Ng0Q1sghWJbgbE_8g"",""ORDER BOOKING REPORT 2024-25!C:CV""),{58,65,72},0))))"),"")</f>
        <v/>
      </c>
      <c r="BR219" s="327" t="str">
        <f>IFERROR(__xludf.DUMMYFUNCTION("IFERROR(ArrayFormula(SUM(VLOOKUP($C219,importrange(""1MwNMVzWE3QBVOyJjKr3eFX-Sq1Ng0Q1sghWJbgbE_8g"",""ORDER BOOKING REPORT 2024-25!C:CV""),{79,86,93},0))))"),"")</f>
        <v/>
      </c>
      <c r="BS219" s="328">
        <f t="shared" si="13"/>
        <v>0.2027983</v>
      </c>
      <c r="BT219" s="328">
        <f t="shared" si="14"/>
        <v>0.1837419249</v>
      </c>
      <c r="BU219" s="234">
        <f t="shared" si="15"/>
        <v>0</v>
      </c>
      <c r="BV219" s="329"/>
      <c r="BW219" s="329"/>
      <c r="BX219" s="329"/>
      <c r="BY219" s="234">
        <f t="shared" si="16"/>
        <v>-65825</v>
      </c>
      <c r="BZ219" s="234"/>
      <c r="CA219" s="234"/>
      <c r="CB219" s="234"/>
      <c r="CC219" s="234"/>
      <c r="CD219" s="234"/>
      <c r="CE219" s="234"/>
      <c r="CF219" s="234"/>
      <c r="CG219" s="234" t="str">
        <f t="shared" si="19"/>
        <v>Below 60</v>
      </c>
      <c r="CH219" s="234" t="str">
        <f t="shared" si="27"/>
        <v>Business Achieved 50%</v>
      </c>
      <c r="CI219" s="328">
        <f t="shared" si="20"/>
        <v>0.8235294118</v>
      </c>
      <c r="CJ219" s="339">
        <f>IFERROR(__xludf.DUMMYFUNCTION("""COMPUTED_VALUE"""),227.0)</f>
        <v>227</v>
      </c>
      <c r="CK219" s="339">
        <f>IFERROR(__xludf.DUMMYFUNCTION("""COMPUTED_VALUE"""),23.0)</f>
        <v>23</v>
      </c>
      <c r="CL219" s="339">
        <f>IFERROR(__xludf.DUMMYFUNCTION("""COMPUTED_VALUE"""),0.0)</f>
        <v>0</v>
      </c>
      <c r="CM219" s="331">
        <f t="shared" si="21"/>
        <v>0</v>
      </c>
      <c r="CN219" s="340"/>
      <c r="CO219" s="328"/>
      <c r="CP219" s="341"/>
      <c r="CQ219" s="344"/>
      <c r="CR219" s="328"/>
      <c r="CS219" s="328"/>
      <c r="CT219" s="328"/>
      <c r="CU219" s="328"/>
      <c r="CV219" s="328"/>
      <c r="CW219" s="328"/>
      <c r="CX219" s="288"/>
      <c r="CY219" s="328"/>
      <c r="CZ219" s="328"/>
    </row>
    <row r="220">
      <c r="A220" s="157" t="s">
        <v>53</v>
      </c>
      <c r="B220" s="157" t="s">
        <v>61</v>
      </c>
      <c r="C220" s="157" t="s">
        <v>884</v>
      </c>
      <c r="D220" s="157" t="s">
        <v>1077</v>
      </c>
      <c r="E220" s="157" t="s">
        <v>1119</v>
      </c>
      <c r="F220" s="338">
        <v>45964.0</v>
      </c>
      <c r="G220" s="314">
        <v>0.0</v>
      </c>
      <c r="H220" s="314">
        <v>500000.0</v>
      </c>
      <c r="I220" s="315">
        <v>0.0</v>
      </c>
      <c r="J220" s="315">
        <v>0.0</v>
      </c>
      <c r="K220" s="160">
        <v>5.0</v>
      </c>
      <c r="L220" s="160">
        <v>5.0</v>
      </c>
      <c r="M220" s="160">
        <v>0.0</v>
      </c>
      <c r="N220" s="160">
        <v>5.0</v>
      </c>
      <c r="O220" s="160">
        <v>0.0</v>
      </c>
      <c r="P220" s="315">
        <v>0.0</v>
      </c>
      <c r="Q220" s="315">
        <v>0.0</v>
      </c>
      <c r="R220" s="160">
        <v>0.0</v>
      </c>
      <c r="S220" s="160">
        <v>0.0</v>
      </c>
      <c r="T220" s="160">
        <v>0.0</v>
      </c>
      <c r="U220" s="160">
        <v>0.0</v>
      </c>
      <c r="V220" s="160">
        <v>21.0</v>
      </c>
      <c r="W220" s="160">
        <v>21.0</v>
      </c>
      <c r="X220" s="160">
        <v>0.0</v>
      </c>
      <c r="Y220" s="160">
        <v>0.0</v>
      </c>
      <c r="Z220" s="160">
        <v>0.0</v>
      </c>
      <c r="AA220" s="160">
        <v>0.0</v>
      </c>
      <c r="AB220" s="160">
        <v>0.0</v>
      </c>
      <c r="AC220" s="160">
        <v>1.0</v>
      </c>
      <c r="AD220" s="160">
        <v>2.0</v>
      </c>
      <c r="AE220" s="160">
        <v>5.0</v>
      </c>
      <c r="AF220" s="160">
        <v>28.0</v>
      </c>
      <c r="AG220" s="160">
        <v>6.0</v>
      </c>
      <c r="AH220" s="314">
        <f t="shared" si="2"/>
        <v>0</v>
      </c>
      <c r="AI220" s="314">
        <f t="shared" si="3"/>
        <v>4.666666667</v>
      </c>
      <c r="AJ220" s="346">
        <v>24115.0</v>
      </c>
      <c r="AK220" s="314">
        <f t="shared" si="63"/>
        <v>21703.5</v>
      </c>
      <c r="AL220" s="286"/>
      <c r="AM220" s="318" t="str">
        <f t="shared" si="5"/>
        <v/>
      </c>
      <c r="AN220" s="314" t="str">
        <f t="shared" si="6"/>
        <v/>
      </c>
      <c r="AO220" s="336">
        <f t="shared" si="116"/>
        <v>0</v>
      </c>
      <c r="AP220" s="319">
        <v>0.0</v>
      </c>
      <c r="AQ220" s="160">
        <v>0.0</v>
      </c>
      <c r="AR220" s="160">
        <v>48.0</v>
      </c>
      <c r="AS220" s="160">
        <v>0.0</v>
      </c>
      <c r="AT220" s="160">
        <v>0.0</v>
      </c>
      <c r="AU220" s="160">
        <v>0.0</v>
      </c>
      <c r="AV220" s="320">
        <v>0.0</v>
      </c>
      <c r="AW220" s="320">
        <v>5.0</v>
      </c>
      <c r="AX220" s="320">
        <v>0.0</v>
      </c>
      <c r="AY220" s="321" t="str">
        <f>iferror(VLOOKUP(C220,'ORDER BOOKING REPORT 2025-26'!C:O,13,0),"")</f>
        <v/>
      </c>
      <c r="AZ220" s="322">
        <v>45972.0</v>
      </c>
      <c r="BA220" s="157" t="str">
        <f t="shared" si="7"/>
        <v>LEFT</v>
      </c>
      <c r="BB220" s="157" t="str">
        <f t="shared" si="8"/>
        <v>New</v>
      </c>
      <c r="BC220" s="157" t="str">
        <f t="shared" si="124"/>
        <v>Below 50%</v>
      </c>
      <c r="BD220" s="352">
        <f>27/30</f>
        <v>0.9</v>
      </c>
      <c r="BE220" s="323"/>
      <c r="BF220" s="157">
        <f t="shared" si="129"/>
        <v>27</v>
      </c>
      <c r="BG220" s="157" t="s">
        <v>1019</v>
      </c>
      <c r="BH220" s="324"/>
      <c r="BI220" s="324"/>
      <c r="BJ220" s="356"/>
      <c r="BK220" s="326"/>
      <c r="BL220" s="326">
        <f t="shared" si="121"/>
        <v>0</v>
      </c>
      <c r="BM220" s="326">
        <f t="shared" si="12"/>
        <v>500000</v>
      </c>
      <c r="BN220" s="326"/>
      <c r="BO220" s="327" t="str">
        <f>IFERROR(__xludf.DUMMYFUNCTION("IFERROR(ArrayFormula(SUM(VLOOKUP($C220,importrange(""1MwNMVzWE3QBVOyJjKr3eFX-Sq1Ng0Q1sghWJbgbE_8g"",""ORDER BOOKING REPORT 2024-25!C:CV""),{16,23,30},0))))"),"")</f>
        <v/>
      </c>
      <c r="BP220" s="327" t="str">
        <f>IFERROR(__xludf.DUMMYFUNCTION("IFERROR(ArrayFormula(SUM(VLOOKUP($C220,importrange(""1MwNMVzWE3QBVOyJjKr3eFX-Sq1Ng0Q1sghWJbgbE_8g"",""ORDER BOOKING REPORT 2024-25!C:CV""),{37,44,51},0))))"),"")</f>
        <v/>
      </c>
      <c r="BQ220" s="327" t="str">
        <f>IFERROR(__xludf.DUMMYFUNCTION("IFERROR(ArrayFormula(SUM(VLOOKUP($C220,importrange(""1MwNMVzWE3QBVOyJjKr3eFX-Sq1Ng0Q1sghWJbgbE_8g"",""ORDER BOOKING REPORT 2024-25!C:CV""),{58,65,72},0))))"),"")</f>
        <v/>
      </c>
      <c r="BR220" s="327" t="str">
        <f>IFERROR(__xludf.DUMMYFUNCTION("IFERROR(ArrayFormula(SUM(VLOOKUP($C220,importrange(""1MwNMVzWE3QBVOyJjKr3eFX-Sq1Ng0Q1sghWJbgbE_8g"",""ORDER BOOKING REPORT 2024-25!C:CV""),{79,86,93},0))))"),"")</f>
        <v/>
      </c>
      <c r="BS220" s="328">
        <f t="shared" si="13"/>
        <v>0</v>
      </c>
      <c r="BT220" s="328" t="str">
        <f t="shared" si="14"/>
        <v/>
      </c>
      <c r="BU220" s="234">
        <f t="shared" si="15"/>
        <v>0</v>
      </c>
      <c r="BV220" s="329"/>
      <c r="BW220" s="329"/>
      <c r="BX220" s="329"/>
      <c r="BY220" s="234">
        <f t="shared" si="16"/>
        <v>-24115</v>
      </c>
      <c r="BZ220" s="234"/>
      <c r="CA220" s="234"/>
      <c r="CB220" s="234"/>
      <c r="CC220" s="234"/>
      <c r="CD220" s="234"/>
      <c r="CE220" s="234"/>
      <c r="CF220" s="234"/>
      <c r="CG220" s="234" t="str">
        <f t="shared" si="19"/>
        <v>Below 60</v>
      </c>
      <c r="CH220" s="234" t="str">
        <f t="shared" si="27"/>
        <v>Not 50%</v>
      </c>
      <c r="CI220" s="328">
        <f t="shared" si="20"/>
        <v>0</v>
      </c>
      <c r="CJ220" s="339"/>
      <c r="CK220" s="339"/>
      <c r="CL220" s="339"/>
      <c r="CM220" s="331">
        <f t="shared" si="21"/>
        <v>5</v>
      </c>
      <c r="CN220" s="340"/>
      <c r="CO220" s="328"/>
      <c r="CP220" s="341"/>
      <c r="CQ220" s="344"/>
      <c r="CR220" s="328"/>
      <c r="CS220" s="328"/>
      <c r="CT220" s="328"/>
      <c r="CU220" s="328"/>
      <c r="CV220" s="328"/>
      <c r="CW220" s="328"/>
      <c r="CX220" s="288"/>
      <c r="CY220" s="328"/>
      <c r="CZ220" s="328"/>
    </row>
    <row r="221">
      <c r="A221" s="157" t="s">
        <v>126</v>
      </c>
      <c r="B221" s="157" t="s">
        <v>135</v>
      </c>
      <c r="C221" s="157" t="s">
        <v>179</v>
      </c>
      <c r="D221" s="157" t="s">
        <v>1042</v>
      </c>
      <c r="E221" s="157" t="s">
        <v>180</v>
      </c>
      <c r="F221" s="338">
        <v>45971.0</v>
      </c>
      <c r="G221" s="314">
        <v>0.0</v>
      </c>
      <c r="H221" s="314">
        <v>6000000.0</v>
      </c>
      <c r="I221" s="315">
        <v>1311479.66</v>
      </c>
      <c r="J221" s="315">
        <v>0.0</v>
      </c>
      <c r="K221" s="160">
        <v>11.0</v>
      </c>
      <c r="L221" s="160">
        <v>30.0</v>
      </c>
      <c r="M221" s="160">
        <v>20.0</v>
      </c>
      <c r="N221" s="160">
        <v>31.0</v>
      </c>
      <c r="O221" s="160">
        <v>1.0</v>
      </c>
      <c r="P221" s="315">
        <v>105495.11</v>
      </c>
      <c r="Q221" s="315">
        <v>1205984.55</v>
      </c>
      <c r="R221" s="160">
        <v>3.0</v>
      </c>
      <c r="S221" s="160">
        <v>17.0</v>
      </c>
      <c r="T221" s="160">
        <v>20.0</v>
      </c>
      <c r="U221" s="160">
        <v>0.0</v>
      </c>
      <c r="V221" s="160">
        <v>109.0</v>
      </c>
      <c r="W221" s="160">
        <v>200.0</v>
      </c>
      <c r="X221" s="160">
        <v>11.0</v>
      </c>
      <c r="Y221" s="160">
        <v>1.0</v>
      </c>
      <c r="Z221" s="160">
        <v>27.0</v>
      </c>
      <c r="AA221" s="160">
        <v>0.0</v>
      </c>
      <c r="AB221" s="160">
        <v>0.0</v>
      </c>
      <c r="AC221" s="160">
        <v>0.0</v>
      </c>
      <c r="AD221" s="160">
        <v>0.0</v>
      </c>
      <c r="AE221" s="160">
        <v>81.0</v>
      </c>
      <c r="AF221" s="160">
        <v>308.0</v>
      </c>
      <c r="AG221" s="160">
        <v>87.0</v>
      </c>
      <c r="AH221" s="314">
        <f t="shared" si="2"/>
        <v>15074.47885</v>
      </c>
      <c r="AI221" s="314">
        <f t="shared" si="3"/>
        <v>3.540229885</v>
      </c>
      <c r="AJ221" s="346">
        <v>32500.0</v>
      </c>
      <c r="AK221" s="314">
        <f t="shared" si="63"/>
        <v>151666.6667</v>
      </c>
      <c r="AL221" s="286">
        <v>91451.0</v>
      </c>
      <c r="AM221" s="318">
        <f t="shared" si="5"/>
        <v>0.1853766201</v>
      </c>
      <c r="AN221" s="314">
        <f t="shared" si="6"/>
        <v>65573.983</v>
      </c>
      <c r="AO221" s="336">
        <f t="shared" si="116"/>
        <v>0.2185799433</v>
      </c>
      <c r="AP221" s="319">
        <v>0.0</v>
      </c>
      <c r="AQ221" s="160">
        <v>45.0</v>
      </c>
      <c r="AR221" s="160">
        <v>984.0</v>
      </c>
      <c r="AS221" s="160">
        <v>5126.7</v>
      </c>
      <c r="AT221" s="160">
        <v>17.0</v>
      </c>
      <c r="AU221" s="160">
        <v>171.0</v>
      </c>
      <c r="AV221" s="320">
        <v>20.0</v>
      </c>
      <c r="AW221" s="320">
        <v>10.0</v>
      </c>
      <c r="AX221" s="320">
        <v>1.0</v>
      </c>
      <c r="AY221" s="321">
        <f>iferror(VLOOKUP(C221,'ORDER BOOKING REPORT 2025-26'!C:O,13,0),"")</f>
        <v>1729053.55</v>
      </c>
      <c r="AZ221" s="322"/>
      <c r="BA221" s="157" t="str">
        <f t="shared" si="7"/>
        <v>Active</v>
      </c>
      <c r="BB221" s="157" t="str">
        <f t="shared" si="8"/>
        <v>New</v>
      </c>
      <c r="BC221" s="157" t="str">
        <f t="shared" si="124"/>
        <v>Below 50%</v>
      </c>
      <c r="BD221" s="352">
        <f>(20/30)+1+1+1+1</f>
        <v>4.666666667</v>
      </c>
      <c r="BE221" s="323">
        <v>1200000.0</v>
      </c>
      <c r="BF221" s="157"/>
      <c r="BG221" s="157" t="s">
        <v>1019</v>
      </c>
      <c r="BH221" s="324"/>
      <c r="BI221" s="324"/>
      <c r="BJ221" s="356"/>
      <c r="BK221" s="326"/>
      <c r="BL221" s="326">
        <f t="shared" si="121"/>
        <v>0</v>
      </c>
      <c r="BM221" s="326">
        <f t="shared" si="12"/>
        <v>6000000</v>
      </c>
      <c r="BN221" s="326"/>
      <c r="BO221" s="327" t="str">
        <f>IFERROR(__xludf.DUMMYFUNCTION("IFERROR(ArrayFormula(SUM(VLOOKUP($C221,importrange(""1MwNMVzWE3QBVOyJjKr3eFX-Sq1Ng0Q1sghWJbgbE_8g"",""ORDER BOOKING REPORT 2024-25!C:CV""),{16,23,30},0))))"),"")</f>
        <v/>
      </c>
      <c r="BP221" s="327" t="str">
        <f>IFERROR(__xludf.DUMMYFUNCTION("IFERROR(ArrayFormula(SUM(VLOOKUP($C221,importrange(""1MwNMVzWE3QBVOyJjKr3eFX-Sq1Ng0Q1sghWJbgbE_8g"",""ORDER BOOKING REPORT 2024-25!C:CV""),{37,44,51},0))))"),"")</f>
        <v/>
      </c>
      <c r="BQ221" s="327" t="str">
        <f>IFERROR(__xludf.DUMMYFUNCTION("IFERROR(ArrayFormula(SUM(VLOOKUP($C221,importrange(""1MwNMVzWE3QBVOyJjKr3eFX-Sq1Ng0Q1sghWJbgbE_8g"",""ORDER BOOKING REPORT 2024-25!C:CV""),{58,65,72},0))))"),"")</f>
        <v/>
      </c>
      <c r="BR221" s="327" t="str">
        <f>IFERROR(__xludf.DUMMYFUNCTION("IFERROR(ArrayFormula(SUM(VLOOKUP($C221,importrange(""1MwNMVzWE3QBVOyJjKr3eFX-Sq1Ng0Q1sghWJbgbE_8g"",""ORDER BOOKING REPORT 2024-25!C:CV""),{79,86,93},0))))"),"")</f>
        <v/>
      </c>
      <c r="BS221" s="328">
        <f t="shared" si="13"/>
        <v>0.2881755917</v>
      </c>
      <c r="BT221" s="328">
        <f t="shared" si="14"/>
        <v>0.1406073668</v>
      </c>
      <c r="BU221" s="234">
        <f t="shared" si="15"/>
        <v>0</v>
      </c>
      <c r="BV221" s="329"/>
      <c r="BW221" s="329"/>
      <c r="BX221" s="329"/>
      <c r="BY221" s="234">
        <f t="shared" si="16"/>
        <v>-32500</v>
      </c>
      <c r="BZ221" s="234"/>
      <c r="CA221" s="234"/>
      <c r="CB221" s="234"/>
      <c r="CC221" s="234"/>
      <c r="CD221" s="234"/>
      <c r="CE221" s="234"/>
      <c r="CF221" s="234"/>
      <c r="CG221" s="234" t="str">
        <f t="shared" si="19"/>
        <v>Below 60</v>
      </c>
      <c r="CH221" s="234" t="str">
        <f t="shared" si="27"/>
        <v>Business Achieved 50%</v>
      </c>
      <c r="CI221" s="328">
        <f t="shared" si="20"/>
        <v>0.6451612903</v>
      </c>
      <c r="CJ221" s="339">
        <f>IFERROR(__xludf.DUMMYFUNCTION("""COMPUTED_VALUE"""),61.0)</f>
        <v>61</v>
      </c>
      <c r="CK221" s="339">
        <f>IFERROR(__xludf.DUMMYFUNCTION("""COMPUTED_VALUE"""),20.0)</f>
        <v>20</v>
      </c>
      <c r="CL221" s="339">
        <f>IFERROR(__xludf.DUMMYFUNCTION("""COMPUTED_VALUE"""),0.0)</f>
        <v>0</v>
      </c>
      <c r="CM221" s="331">
        <f t="shared" si="21"/>
        <v>0</v>
      </c>
      <c r="CN221" s="340"/>
      <c r="CO221" s="328"/>
      <c r="CP221" s="341"/>
      <c r="CQ221" s="344"/>
      <c r="CR221" s="328"/>
      <c r="CS221" s="328"/>
      <c r="CT221" s="328"/>
      <c r="CU221" s="328"/>
      <c r="CV221" s="328"/>
      <c r="CW221" s="328"/>
      <c r="CX221" s="288"/>
      <c r="CY221" s="328"/>
      <c r="CZ221" s="328"/>
    </row>
    <row r="222">
      <c r="A222" s="157" t="s">
        <v>185</v>
      </c>
      <c r="B222" s="157" t="s">
        <v>85</v>
      </c>
      <c r="C222" s="157" t="s">
        <v>400</v>
      </c>
      <c r="D222" s="157" t="s">
        <v>1058</v>
      </c>
      <c r="E222" s="157" t="s">
        <v>398</v>
      </c>
      <c r="F222" s="338">
        <v>45855.0</v>
      </c>
      <c r="G222" s="314">
        <v>0.0</v>
      </c>
      <c r="H222" s="314">
        <v>1500000.0</v>
      </c>
      <c r="I222" s="315">
        <v>0.0</v>
      </c>
      <c r="J222" s="315">
        <v>0.0</v>
      </c>
      <c r="K222" s="160">
        <v>5.0</v>
      </c>
      <c r="L222" s="160">
        <v>6.0</v>
      </c>
      <c r="M222" s="160">
        <v>1.0</v>
      </c>
      <c r="N222" s="160">
        <v>6.0</v>
      </c>
      <c r="O222" s="160">
        <v>0.0</v>
      </c>
      <c r="P222" s="315">
        <v>0.0</v>
      </c>
      <c r="Q222" s="315">
        <v>0.0</v>
      </c>
      <c r="R222" s="160">
        <v>0.0</v>
      </c>
      <c r="S222" s="160">
        <v>0.0</v>
      </c>
      <c r="T222" s="160">
        <v>0.0</v>
      </c>
      <c r="U222" s="160">
        <v>0.0</v>
      </c>
      <c r="V222" s="160">
        <v>26.0</v>
      </c>
      <c r="W222" s="160">
        <v>66.0</v>
      </c>
      <c r="X222" s="160">
        <v>4.0</v>
      </c>
      <c r="Y222" s="160">
        <v>0.0</v>
      </c>
      <c r="Z222" s="160">
        <v>0.0</v>
      </c>
      <c r="AA222" s="160">
        <v>0.0</v>
      </c>
      <c r="AB222" s="160">
        <v>0.0</v>
      </c>
      <c r="AC222" s="160">
        <v>1.0</v>
      </c>
      <c r="AD222" s="160">
        <v>6.0</v>
      </c>
      <c r="AE222" s="160">
        <v>18.0</v>
      </c>
      <c r="AF222" s="160">
        <v>90.0</v>
      </c>
      <c r="AG222" s="160">
        <v>17.0</v>
      </c>
      <c r="AH222" s="314">
        <f t="shared" si="2"/>
        <v>0</v>
      </c>
      <c r="AI222" s="314">
        <f t="shared" si="3"/>
        <v>5.294117647</v>
      </c>
      <c r="AJ222" s="346">
        <v>48765.0</v>
      </c>
      <c r="AK222" s="314">
        <f t="shared" si="63"/>
        <v>47139.5</v>
      </c>
      <c r="AL222" s="286"/>
      <c r="AM222" s="318" t="str">
        <f t="shared" si="5"/>
        <v/>
      </c>
      <c r="AN222" s="314" t="str">
        <f t="shared" si="6"/>
        <v/>
      </c>
      <c r="AO222" s="336">
        <f t="shared" si="116"/>
        <v>0</v>
      </c>
      <c r="AP222" s="319">
        <v>0.0</v>
      </c>
      <c r="AQ222" s="160">
        <v>0.0</v>
      </c>
      <c r="AR222" s="160">
        <v>146.0</v>
      </c>
      <c r="AS222" s="160">
        <v>0.0</v>
      </c>
      <c r="AT222" s="160">
        <v>0.0</v>
      </c>
      <c r="AU222" s="160">
        <v>0.0</v>
      </c>
      <c r="AV222" s="320">
        <v>0.0</v>
      </c>
      <c r="AW222" s="320">
        <v>6.0</v>
      </c>
      <c r="AX222" s="320">
        <v>0.0</v>
      </c>
      <c r="AY222" s="321">
        <f>iferror(VLOOKUP(C222,'ORDER BOOKING REPORT 2025-26'!C:O,13,0),"")</f>
        <v>0</v>
      </c>
      <c r="AZ222" s="322">
        <v>46010.0</v>
      </c>
      <c r="BA222" s="157" t="str">
        <f t="shared" si="7"/>
        <v>LEFT</v>
      </c>
      <c r="BB222" s="157" t="str">
        <f t="shared" si="8"/>
        <v>New</v>
      </c>
      <c r="BC222" s="157" t="str">
        <f t="shared" si="124"/>
        <v>Below 50%</v>
      </c>
      <c r="BD222" s="352">
        <f>(30-19)/30+0.6</f>
        <v>0.9666666667</v>
      </c>
      <c r="BE222" s="323">
        <v>1500000.0</v>
      </c>
      <c r="BF222" s="157">
        <f>11/30</f>
        <v>0.3666666667</v>
      </c>
      <c r="BG222" s="157" t="s">
        <v>1019</v>
      </c>
      <c r="BH222" s="324"/>
      <c r="BI222" s="324"/>
      <c r="BJ222" s="356">
        <f>19/31</f>
        <v>0.6129032258</v>
      </c>
      <c r="BK222" s="326"/>
      <c r="BL222" s="326">
        <f t="shared" si="121"/>
        <v>0</v>
      </c>
      <c r="BM222" s="326">
        <f t="shared" si="12"/>
        <v>1500000</v>
      </c>
      <c r="BN222" s="326" t="s">
        <v>1120</v>
      </c>
      <c r="BO222" s="327" t="str">
        <f>IFERROR(__xludf.DUMMYFUNCTION("IFERROR(ArrayFormula(SUM(VLOOKUP($C222,importrange(""1MwNMVzWE3QBVOyJjKr3eFX-Sq1Ng0Q1sghWJbgbE_8g"",""ORDER BOOKING REPORT 2024-25!C:CV""),{16,23,30},0))))"),"")</f>
        <v/>
      </c>
      <c r="BP222" s="327" t="str">
        <f>IFERROR(__xludf.DUMMYFUNCTION("IFERROR(ArrayFormula(SUM(VLOOKUP($C222,importrange(""1MwNMVzWE3QBVOyJjKr3eFX-Sq1Ng0Q1sghWJbgbE_8g"",""ORDER BOOKING REPORT 2024-25!C:CV""),{37,44,51},0))))"),"")</f>
        <v/>
      </c>
      <c r="BQ222" s="327" t="str">
        <f>IFERROR(__xludf.DUMMYFUNCTION("IFERROR(ArrayFormula(SUM(VLOOKUP($C222,importrange(""1MwNMVzWE3QBVOyJjKr3eFX-Sq1Ng0Q1sghWJbgbE_8g"",""ORDER BOOKING REPORT 2024-25!C:CV""),{58,65,72},0))))"),"")</f>
        <v/>
      </c>
      <c r="BR222" s="327" t="str">
        <f>IFERROR(__xludf.DUMMYFUNCTION("IFERROR(ArrayFormula(SUM(VLOOKUP($C222,importrange(""1MwNMVzWE3QBVOyJjKr3eFX-Sq1Ng0Q1sghWJbgbE_8g"",""ORDER BOOKING REPORT 2024-25!C:CV""),{79,86,93},0))))"),"")</f>
        <v/>
      </c>
      <c r="BS222" s="328">
        <f t="shared" si="13"/>
        <v>0</v>
      </c>
      <c r="BT222" s="328" t="str">
        <f t="shared" si="14"/>
        <v/>
      </c>
      <c r="BU222" s="234">
        <f t="shared" si="15"/>
        <v>0</v>
      </c>
      <c r="BV222" s="329"/>
      <c r="BW222" s="329"/>
      <c r="BX222" s="329"/>
      <c r="BY222" s="234">
        <f t="shared" si="16"/>
        <v>-48765</v>
      </c>
      <c r="BZ222" s="234"/>
      <c r="CA222" s="234"/>
      <c r="CB222" s="234"/>
      <c r="CC222" s="234"/>
      <c r="CD222" s="234"/>
      <c r="CE222" s="234"/>
      <c r="CF222" s="234"/>
      <c r="CG222" s="234" t="str">
        <f t="shared" si="19"/>
        <v>Below 60</v>
      </c>
      <c r="CH222" s="234" t="str">
        <f t="shared" si="27"/>
        <v>Not 50%</v>
      </c>
      <c r="CI222" s="328">
        <f t="shared" si="20"/>
        <v>0</v>
      </c>
      <c r="CJ222" s="339">
        <f>IFERROR(__xludf.DUMMYFUNCTION("""COMPUTED_VALUE"""),0.0)</f>
        <v>0</v>
      </c>
      <c r="CK222" s="339">
        <f>IFERROR(__xludf.DUMMYFUNCTION("""COMPUTED_VALUE"""),18.0)</f>
        <v>18</v>
      </c>
      <c r="CL222" s="339">
        <f>IFERROR(__xludf.DUMMYFUNCTION("""COMPUTED_VALUE"""),0.0)</f>
        <v>0</v>
      </c>
      <c r="CM222" s="331">
        <f t="shared" si="21"/>
        <v>0</v>
      </c>
      <c r="CN222" s="340"/>
      <c r="CO222" s="328"/>
      <c r="CP222" s="341"/>
      <c r="CQ222" s="344"/>
      <c r="CR222" s="328"/>
      <c r="CS222" s="328"/>
      <c r="CT222" s="328"/>
      <c r="CU222" s="328"/>
      <c r="CV222" s="328"/>
      <c r="CW222" s="328"/>
      <c r="CX222" s="288"/>
      <c r="CY222" s="328"/>
      <c r="CZ222" s="328"/>
    </row>
    <row r="223">
      <c r="A223" s="157" t="s">
        <v>53</v>
      </c>
      <c r="B223" s="157" t="s">
        <v>61</v>
      </c>
      <c r="C223" s="157" t="s">
        <v>66</v>
      </c>
      <c r="D223" s="157" t="s">
        <v>1077</v>
      </c>
      <c r="E223" s="157" t="s">
        <v>67</v>
      </c>
      <c r="F223" s="338">
        <v>45979.0</v>
      </c>
      <c r="G223" s="314">
        <v>0.0</v>
      </c>
      <c r="H223" s="314">
        <v>3800000.0</v>
      </c>
      <c r="I223" s="315">
        <v>471673.53</v>
      </c>
      <c r="J223" s="315">
        <v>0.0</v>
      </c>
      <c r="K223" s="160">
        <v>33.0</v>
      </c>
      <c r="L223" s="160">
        <v>40.0</v>
      </c>
      <c r="M223" s="160">
        <v>7.0</v>
      </c>
      <c r="N223" s="160">
        <v>40.0</v>
      </c>
      <c r="O223" s="160">
        <v>0.0</v>
      </c>
      <c r="P223" s="315">
        <v>56896.77</v>
      </c>
      <c r="Q223" s="315">
        <v>414776.76</v>
      </c>
      <c r="R223" s="160">
        <v>2.0</v>
      </c>
      <c r="S223" s="160">
        <v>7.0</v>
      </c>
      <c r="T223" s="160">
        <v>9.0</v>
      </c>
      <c r="U223" s="160">
        <v>0.0</v>
      </c>
      <c r="V223" s="160">
        <v>153.0</v>
      </c>
      <c r="W223" s="160">
        <v>299.0</v>
      </c>
      <c r="X223" s="160">
        <v>2.0</v>
      </c>
      <c r="Y223" s="160">
        <v>3.0</v>
      </c>
      <c r="Z223" s="160">
        <v>87.0</v>
      </c>
      <c r="AA223" s="160">
        <v>0.0</v>
      </c>
      <c r="AB223" s="160">
        <v>0.0</v>
      </c>
      <c r="AC223" s="160">
        <v>2.0</v>
      </c>
      <c r="AD223" s="160">
        <v>2.0</v>
      </c>
      <c r="AE223" s="160">
        <v>213.0</v>
      </c>
      <c r="AF223" s="160">
        <v>601.0</v>
      </c>
      <c r="AG223" s="160">
        <v>99.0</v>
      </c>
      <c r="AH223" s="314">
        <f t="shared" si="2"/>
        <v>4764.379091</v>
      </c>
      <c r="AI223" s="314">
        <f t="shared" si="3"/>
        <v>6.070707071</v>
      </c>
      <c r="AJ223" s="346">
        <v>37740.0</v>
      </c>
      <c r="AK223" s="314">
        <f t="shared" si="63"/>
        <v>173604</v>
      </c>
      <c r="AL223" s="286">
        <v>25836.0</v>
      </c>
      <c r="AM223" s="318">
        <f t="shared" si="5"/>
        <v>0.4228348366</v>
      </c>
      <c r="AN223" s="314">
        <f t="shared" si="6"/>
        <v>52408.17</v>
      </c>
      <c r="AO223" s="336">
        <f t="shared" si="116"/>
        <v>0.1241246132</v>
      </c>
      <c r="AP223" s="319">
        <v>0.0</v>
      </c>
      <c r="AQ223" s="160">
        <v>20.0</v>
      </c>
      <c r="AR223" s="160">
        <v>920.0</v>
      </c>
      <c r="AS223" s="160">
        <v>1385.95</v>
      </c>
      <c r="AT223" s="160">
        <v>7.0</v>
      </c>
      <c r="AU223" s="160">
        <v>35.0</v>
      </c>
      <c r="AV223" s="320">
        <v>9.0</v>
      </c>
      <c r="AW223" s="320">
        <v>31.0</v>
      </c>
      <c r="AX223" s="320">
        <v>0.0</v>
      </c>
      <c r="AY223" s="321">
        <f>iferror(VLOOKUP(C223,'ORDER BOOKING REPORT 2025-26'!C:O,13,0),"")</f>
        <v>476505</v>
      </c>
      <c r="AZ223" s="322"/>
      <c r="BA223" s="157" t="str">
        <f t="shared" si="7"/>
        <v>Active</v>
      </c>
      <c r="BB223" s="157" t="str">
        <f t="shared" si="8"/>
        <v>New</v>
      </c>
      <c r="BC223" s="157" t="str">
        <f t="shared" si="124"/>
        <v>Below 50%</v>
      </c>
      <c r="BD223" s="352">
        <f>(30-12)/30+1+1+1+1</f>
        <v>4.6</v>
      </c>
      <c r="BE223" s="323">
        <v>1000000.0</v>
      </c>
      <c r="BF223" s="157">
        <f>12/30</f>
        <v>0.4</v>
      </c>
      <c r="BG223" s="157" t="s">
        <v>1019</v>
      </c>
      <c r="BH223" s="324"/>
      <c r="BI223" s="324"/>
      <c r="BJ223" s="356"/>
      <c r="BK223" s="326"/>
      <c r="BL223" s="326">
        <f t="shared" si="121"/>
        <v>0</v>
      </c>
      <c r="BM223" s="326">
        <f t="shared" si="12"/>
        <v>3800000</v>
      </c>
      <c r="BN223" s="326"/>
      <c r="BO223" s="327" t="str">
        <f>IFERROR(__xludf.DUMMYFUNCTION("IFERROR(ArrayFormula(SUM(VLOOKUP($C223,importrange(""1MwNMVzWE3QBVOyJjKr3eFX-Sq1Ng0Q1sghWJbgbE_8g"",""ORDER BOOKING REPORT 2024-25!C:CV""),{16,23,30},0))))"),"")</f>
        <v/>
      </c>
      <c r="BP223" s="327" t="str">
        <f>IFERROR(__xludf.DUMMYFUNCTION("IFERROR(ArrayFormula(SUM(VLOOKUP($C223,importrange(""1MwNMVzWE3QBVOyJjKr3eFX-Sq1Ng0Q1sghWJbgbE_8g"",""ORDER BOOKING REPORT 2024-25!C:CV""),{37,44,51},0))))"),"")</f>
        <v/>
      </c>
      <c r="BQ223" s="327" t="str">
        <f>IFERROR(__xludf.DUMMYFUNCTION("IFERROR(ArrayFormula(SUM(VLOOKUP($C223,importrange(""1MwNMVzWE3QBVOyJjKr3eFX-Sq1Ng0Q1sghWJbgbE_8g"",""ORDER BOOKING REPORT 2024-25!C:CV""),{58,65,72},0))))"),"")</f>
        <v/>
      </c>
      <c r="BR223" s="327" t="str">
        <f>IFERROR(__xludf.DUMMYFUNCTION("IFERROR(ArrayFormula(SUM(VLOOKUP($C223,importrange(""1MwNMVzWE3QBVOyJjKr3eFX-Sq1Ng0Q1sghWJbgbE_8g"",""ORDER BOOKING REPORT 2024-25!C:CV""),{79,86,93},0))))"),"")</f>
        <v/>
      </c>
      <c r="BS223" s="328">
        <f t="shared" si="13"/>
        <v>0.1253960526</v>
      </c>
      <c r="BT223" s="328">
        <f t="shared" si="14"/>
        <v>0.4185475493</v>
      </c>
      <c r="BU223" s="234">
        <f t="shared" si="15"/>
        <v>0</v>
      </c>
      <c r="BV223" s="329"/>
      <c r="BW223" s="329"/>
      <c r="BX223" s="329"/>
      <c r="BY223" s="234">
        <f t="shared" si="16"/>
        <v>-37740</v>
      </c>
      <c r="BZ223" s="234"/>
      <c r="CA223" s="234"/>
      <c r="CB223" s="234"/>
      <c r="CC223" s="234"/>
      <c r="CD223" s="234"/>
      <c r="CE223" s="234"/>
      <c r="CF223" s="234"/>
      <c r="CG223" s="234" t="str">
        <f t="shared" si="19"/>
        <v>Below 60</v>
      </c>
      <c r="CH223" s="234" t="str">
        <f t="shared" si="27"/>
        <v>Not 50%</v>
      </c>
      <c r="CI223" s="328">
        <f t="shared" si="20"/>
        <v>0.225</v>
      </c>
      <c r="CJ223" s="339">
        <f>IFERROR(__xludf.DUMMYFUNCTION("""COMPUTED_VALUE"""),133.0)</f>
        <v>133</v>
      </c>
      <c r="CK223" s="339">
        <f>IFERROR(__xludf.DUMMYFUNCTION("""COMPUTED_VALUE"""),80.0)</f>
        <v>80</v>
      </c>
      <c r="CL223" s="339">
        <f>IFERROR(__xludf.DUMMYFUNCTION("""COMPUTED_VALUE"""),0.0)</f>
        <v>0</v>
      </c>
      <c r="CM223" s="331">
        <f t="shared" si="21"/>
        <v>0</v>
      </c>
      <c r="CN223" s="340"/>
      <c r="CO223" s="328"/>
      <c r="CP223" s="341"/>
      <c r="CQ223" s="344"/>
      <c r="CR223" s="328"/>
      <c r="CS223" s="328"/>
      <c r="CT223" s="328"/>
      <c r="CU223" s="328"/>
      <c r="CV223" s="328"/>
      <c r="CW223" s="328"/>
      <c r="CX223" s="288"/>
      <c r="CY223" s="328"/>
      <c r="CZ223" s="328"/>
    </row>
    <row r="224">
      <c r="A224" s="157" t="s">
        <v>73</v>
      </c>
      <c r="B224" s="157" t="s">
        <v>76</v>
      </c>
      <c r="C224" s="320" t="s">
        <v>81</v>
      </c>
      <c r="D224" s="320" t="s">
        <v>76</v>
      </c>
      <c r="E224" s="320" t="s">
        <v>82</v>
      </c>
      <c r="F224" s="358">
        <v>45964.0</v>
      </c>
      <c r="G224" s="314">
        <v>2000000.0</v>
      </c>
      <c r="H224" s="314">
        <v>1500000.0</v>
      </c>
      <c r="I224" s="315">
        <v>813537.4</v>
      </c>
      <c r="J224" s="315">
        <v>1001151.83</v>
      </c>
      <c r="K224" s="160">
        <v>19.0</v>
      </c>
      <c r="L224" s="160">
        <v>26.0</v>
      </c>
      <c r="M224" s="160">
        <v>10.0</v>
      </c>
      <c r="N224" s="160">
        <v>29.0</v>
      </c>
      <c r="O224" s="160">
        <v>3.0</v>
      </c>
      <c r="P224" s="315">
        <v>407534.0</v>
      </c>
      <c r="Q224" s="315">
        <v>406003.4</v>
      </c>
      <c r="R224" s="160">
        <v>9.0</v>
      </c>
      <c r="S224" s="160">
        <v>7.0</v>
      </c>
      <c r="T224" s="160">
        <v>16.0</v>
      </c>
      <c r="U224" s="160">
        <v>4.0</v>
      </c>
      <c r="V224" s="160">
        <v>164.0</v>
      </c>
      <c r="W224" s="160">
        <v>276.0</v>
      </c>
      <c r="X224" s="160">
        <v>180.0</v>
      </c>
      <c r="Y224" s="160">
        <v>4.0</v>
      </c>
      <c r="Z224" s="160">
        <v>63.0</v>
      </c>
      <c r="AA224" s="160">
        <v>5.0</v>
      </c>
      <c r="AB224" s="160">
        <v>45.0</v>
      </c>
      <c r="AC224" s="160">
        <v>5.0</v>
      </c>
      <c r="AD224" s="160">
        <v>9.0</v>
      </c>
      <c r="AE224" s="160">
        <v>96.0</v>
      </c>
      <c r="AF224" s="160">
        <v>489.0</v>
      </c>
      <c r="AG224" s="160">
        <v>105.0</v>
      </c>
      <c r="AH224" s="314">
        <f t="shared" si="2"/>
        <v>17282.75457</v>
      </c>
      <c r="AI224" s="314">
        <f t="shared" si="3"/>
        <v>4.657142857</v>
      </c>
      <c r="AJ224" s="346">
        <v>27260.0</v>
      </c>
      <c r="AK224" s="314">
        <f t="shared" si="63"/>
        <v>133574</v>
      </c>
      <c r="AL224" s="286">
        <v>21673.0</v>
      </c>
      <c r="AM224" s="318">
        <f t="shared" si="5"/>
        <v>0.08555018536</v>
      </c>
      <c r="AN224" s="314">
        <f t="shared" si="6"/>
        <v>50846.0875</v>
      </c>
      <c r="AO224" s="336">
        <f t="shared" si="116"/>
        <v>0.5184826371</v>
      </c>
      <c r="AP224" s="319">
        <v>0.5</v>
      </c>
      <c r="AQ224" s="160">
        <v>38.0</v>
      </c>
      <c r="AR224" s="160">
        <v>794.0</v>
      </c>
      <c r="AS224" s="160">
        <v>987.21</v>
      </c>
      <c r="AT224" s="160">
        <v>7.0</v>
      </c>
      <c r="AU224" s="160">
        <v>38.0</v>
      </c>
      <c r="AV224" s="320">
        <v>16.0</v>
      </c>
      <c r="AW224" s="320">
        <v>10.0</v>
      </c>
      <c r="AX224" s="320">
        <v>3.0</v>
      </c>
      <c r="AY224" s="321">
        <f>iferror(VLOOKUP(C224,'ORDER BOOKING REPORT 2025-26'!C:O,13,0),"")</f>
        <v>1917915</v>
      </c>
      <c r="AZ224" s="322"/>
      <c r="BA224" s="157" t="str">
        <f t="shared" si="7"/>
        <v>Active</v>
      </c>
      <c r="BB224" s="157" t="str">
        <f t="shared" si="8"/>
        <v>New</v>
      </c>
      <c r="BC224" s="157" t="str">
        <f t="shared" si="124"/>
        <v>50%-70%</v>
      </c>
      <c r="BD224" s="352">
        <f>(27/30)+1+1+1+1</f>
        <v>4.9</v>
      </c>
      <c r="BE224" s="323">
        <v>700000.0</v>
      </c>
      <c r="BF224" s="157"/>
      <c r="BG224" s="157" t="s">
        <v>1019</v>
      </c>
      <c r="BH224" s="324"/>
      <c r="BI224" s="324"/>
      <c r="BJ224" s="356"/>
      <c r="BK224" s="326">
        <v>400000.0</v>
      </c>
      <c r="BL224" s="326">
        <f>BK224*5</f>
        <v>2000000</v>
      </c>
      <c r="BM224" s="326">
        <f t="shared" si="12"/>
        <v>3500000</v>
      </c>
      <c r="BN224" s="326"/>
      <c r="BO224" s="327"/>
      <c r="BP224" s="327"/>
      <c r="BQ224" s="327"/>
      <c r="BR224" s="327"/>
      <c r="BS224" s="328">
        <f t="shared" si="13"/>
        <v>0.5479757143</v>
      </c>
      <c r="BT224" s="328"/>
      <c r="BU224" s="234">
        <f t="shared" si="15"/>
        <v>0</v>
      </c>
      <c r="BV224" s="329"/>
      <c r="BW224" s="329"/>
      <c r="BX224" s="329"/>
      <c r="BY224" s="234">
        <f t="shared" si="16"/>
        <v>-27260</v>
      </c>
      <c r="BZ224" s="234"/>
      <c r="CA224" s="234"/>
      <c r="CB224" s="234"/>
      <c r="CC224" s="234"/>
      <c r="CD224" s="234"/>
      <c r="CE224" s="234"/>
      <c r="CF224" s="234"/>
      <c r="CG224" s="234" t="str">
        <f t="shared" si="19"/>
        <v>Below 60</v>
      </c>
      <c r="CH224" s="234" t="str">
        <f t="shared" si="27"/>
        <v>Business Achieved 50%</v>
      </c>
      <c r="CI224" s="328">
        <f t="shared" si="20"/>
        <v>0.5517241379</v>
      </c>
      <c r="CJ224" s="339">
        <f>IFERROR(__xludf.DUMMYFUNCTION("""COMPUTED_VALUE"""),66.0)</f>
        <v>66</v>
      </c>
      <c r="CK224" s="339">
        <f>IFERROR(__xludf.DUMMYFUNCTION("""COMPUTED_VALUE"""),30.0)</f>
        <v>30</v>
      </c>
      <c r="CL224" s="339">
        <f>IFERROR(__xludf.DUMMYFUNCTION("""COMPUTED_VALUE"""),0.0)</f>
        <v>0</v>
      </c>
      <c r="CM224" s="331">
        <f t="shared" si="21"/>
        <v>0</v>
      </c>
      <c r="CN224" s="340"/>
      <c r="CO224" s="328"/>
      <c r="CP224" s="341"/>
      <c r="CQ224" s="344"/>
      <c r="CR224" s="328"/>
      <c r="CS224" s="328"/>
      <c r="CT224" s="328"/>
      <c r="CU224" s="328"/>
      <c r="CV224" s="328"/>
      <c r="CW224" s="328"/>
      <c r="CX224" s="288"/>
      <c r="CY224" s="328"/>
      <c r="CZ224" s="328"/>
    </row>
    <row r="225">
      <c r="A225" s="157" t="s">
        <v>53</v>
      </c>
      <c r="B225" s="157" t="s">
        <v>56</v>
      </c>
      <c r="C225" s="157" t="s">
        <v>70</v>
      </c>
      <c r="D225" s="157" t="s">
        <v>1092</v>
      </c>
      <c r="E225" s="157" t="s">
        <v>71</v>
      </c>
      <c r="F225" s="338">
        <v>45992.0</v>
      </c>
      <c r="G225" s="314">
        <v>0.0</v>
      </c>
      <c r="H225" s="314">
        <v>2400000.0</v>
      </c>
      <c r="I225" s="315">
        <v>634214.71</v>
      </c>
      <c r="J225" s="315">
        <v>0.0</v>
      </c>
      <c r="K225" s="160">
        <v>10.0</v>
      </c>
      <c r="L225" s="160">
        <v>20.0</v>
      </c>
      <c r="M225" s="160">
        <v>10.0</v>
      </c>
      <c r="N225" s="160">
        <v>20.0</v>
      </c>
      <c r="O225" s="160">
        <v>0.0</v>
      </c>
      <c r="P225" s="315">
        <v>101158.23</v>
      </c>
      <c r="Q225" s="315">
        <v>533056.48</v>
      </c>
      <c r="R225" s="160">
        <v>1.0</v>
      </c>
      <c r="S225" s="160">
        <v>10.0</v>
      </c>
      <c r="T225" s="160">
        <v>11.0</v>
      </c>
      <c r="U225" s="160">
        <v>0.0</v>
      </c>
      <c r="V225" s="160">
        <v>288.0</v>
      </c>
      <c r="W225" s="160">
        <v>575.0</v>
      </c>
      <c r="X225" s="160">
        <v>7.0</v>
      </c>
      <c r="Y225" s="160">
        <v>3.0</v>
      </c>
      <c r="Z225" s="160">
        <v>33.0</v>
      </c>
      <c r="AA225" s="160">
        <v>0.0</v>
      </c>
      <c r="AB225" s="160">
        <v>0.0</v>
      </c>
      <c r="AC225" s="160">
        <v>3.0</v>
      </c>
      <c r="AD225" s="160">
        <v>13.0</v>
      </c>
      <c r="AE225" s="160">
        <v>96.0</v>
      </c>
      <c r="AF225" s="160">
        <v>717.0</v>
      </c>
      <c r="AG225" s="160">
        <v>91.0</v>
      </c>
      <c r="AH225" s="314">
        <f t="shared" si="2"/>
        <v>6969.392418</v>
      </c>
      <c r="AI225" s="314">
        <f t="shared" si="3"/>
        <v>7.879120879</v>
      </c>
      <c r="AJ225" s="346">
        <v>28834.0</v>
      </c>
      <c r="AK225" s="314">
        <f t="shared" si="63"/>
        <v>115336</v>
      </c>
      <c r="AL225" s="317">
        <v>38742.0</v>
      </c>
      <c r="AM225" s="318">
        <f t="shared" si="5"/>
        <v>0.2429429617</v>
      </c>
      <c r="AN225" s="314">
        <f t="shared" si="6"/>
        <v>57655.88273</v>
      </c>
      <c r="AO225" s="336">
        <f t="shared" si="116"/>
        <v>0.2642561292</v>
      </c>
      <c r="AP225" s="319">
        <v>0.0</v>
      </c>
      <c r="AQ225" s="160">
        <v>15.0</v>
      </c>
      <c r="AR225" s="160">
        <v>879.0</v>
      </c>
      <c r="AS225" s="160">
        <v>3258.35</v>
      </c>
      <c r="AT225" s="160">
        <v>10.0</v>
      </c>
      <c r="AU225" s="160">
        <v>163.0</v>
      </c>
      <c r="AV225" s="320">
        <v>11.0</v>
      </c>
      <c r="AW225" s="320">
        <v>9.0</v>
      </c>
      <c r="AX225" s="320">
        <v>0.0</v>
      </c>
      <c r="AY225" s="321">
        <f>iferror(VLOOKUP(C225,'ORDER BOOKING REPORT 2025-26'!C:O,13,0),"")</f>
        <v>0</v>
      </c>
      <c r="AZ225" s="322"/>
      <c r="BA225" s="157" t="str">
        <f t="shared" si="7"/>
        <v>Active</v>
      </c>
      <c r="BB225" s="157" t="str">
        <f t="shared" si="8"/>
        <v>New</v>
      </c>
      <c r="BC225" s="157" t="str">
        <f t="shared" si="124"/>
        <v>Below 50%</v>
      </c>
      <c r="BD225" s="357">
        <v>4.0</v>
      </c>
      <c r="BE225" s="323">
        <v>600000.0</v>
      </c>
      <c r="BF225" s="157"/>
      <c r="BG225" s="157" t="s">
        <v>1019</v>
      </c>
      <c r="BH225" s="324"/>
      <c r="BI225" s="324"/>
      <c r="BJ225" s="356"/>
      <c r="BK225" s="326"/>
      <c r="BL225" s="326">
        <f t="shared" ref="BL225:BL226" si="130">BK225*BD225</f>
        <v>0</v>
      </c>
      <c r="BM225" s="326">
        <f t="shared" si="12"/>
        <v>2400000</v>
      </c>
      <c r="BN225" s="326"/>
      <c r="BO225" s="327" t="str">
        <f>IFERROR(__xludf.DUMMYFUNCTION("IFERROR(ArrayFormula(SUM(VLOOKUP($C225,importrange(""1MwNMVzWE3QBVOyJjKr3eFX-Sq1Ng0Q1sghWJbgbE_8g"",""ORDER BOOKING REPORT 2024-25!C:CV""),{16,23,30},0))))"),"")</f>
        <v/>
      </c>
      <c r="BP225" s="327" t="str">
        <f>IFERROR(__xludf.DUMMYFUNCTION("IFERROR(ArrayFormula(SUM(VLOOKUP($C225,importrange(""1MwNMVzWE3QBVOyJjKr3eFX-Sq1Ng0Q1sghWJbgbE_8g"",""ORDER BOOKING REPORT 2024-25!C:CV""),{37,44,51},0))))"),"")</f>
        <v/>
      </c>
      <c r="BQ225" s="327" t="str">
        <f>IFERROR(__xludf.DUMMYFUNCTION("IFERROR(ArrayFormula(SUM(VLOOKUP($C225,importrange(""1MwNMVzWE3QBVOyJjKr3eFX-Sq1Ng0Q1sghWJbgbE_8g"",""ORDER BOOKING REPORT 2024-25!C:CV""),{58,65,72},0))))"),"")</f>
        <v/>
      </c>
      <c r="BR225" s="327" t="str">
        <f>IFERROR(__xludf.DUMMYFUNCTION("IFERROR(ArrayFormula(SUM(VLOOKUP($C225,importrange(""1MwNMVzWE3QBVOyJjKr3eFX-Sq1Ng0Q1sghWJbgbE_8g"",""ORDER BOOKING REPORT 2024-25!C:CV""),{79,86,93},0))))"),"")</f>
        <v/>
      </c>
      <c r="BS225" s="328">
        <f t="shared" si="13"/>
        <v>0</v>
      </c>
      <c r="BT225" s="328" t="str">
        <f t="shared" ref="BT225:BT243" si="131">iferror(sum(AK225:AL225)/AY225,"")</f>
        <v/>
      </c>
      <c r="BU225" s="234">
        <f t="shared" si="15"/>
        <v>0</v>
      </c>
      <c r="BV225" s="329"/>
      <c r="BW225" s="329"/>
      <c r="BX225" s="329"/>
      <c r="BY225" s="234">
        <f t="shared" si="16"/>
        <v>-28834</v>
      </c>
      <c r="BZ225" s="234"/>
      <c r="CA225" s="234"/>
      <c r="CB225" s="234"/>
      <c r="CC225" s="234"/>
      <c r="CD225" s="234"/>
      <c r="CE225" s="234"/>
      <c r="CF225" s="234"/>
      <c r="CG225" s="234" t="str">
        <f t="shared" si="19"/>
        <v>Below 60</v>
      </c>
      <c r="CH225" s="234" t="str">
        <f t="shared" si="27"/>
        <v>Business Achieved 50%</v>
      </c>
      <c r="CI225" s="328">
        <f t="shared" si="20"/>
        <v>0.55</v>
      </c>
      <c r="CJ225" s="330">
        <f>IFERROR(__xludf.DUMMYFUNCTION("""COMPUTED_VALUE"""),81.0)</f>
        <v>81</v>
      </c>
      <c r="CK225" s="330">
        <f>IFERROR(__xludf.DUMMYFUNCTION("""COMPUTED_VALUE"""),15.0)</f>
        <v>15</v>
      </c>
      <c r="CL225" s="330">
        <f>IFERROR(__xludf.DUMMYFUNCTION("""COMPUTED_VALUE"""),0.0)</f>
        <v>0</v>
      </c>
      <c r="CM225" s="331">
        <f t="shared" si="21"/>
        <v>0</v>
      </c>
      <c r="CN225" s="337"/>
      <c r="CO225" s="160"/>
      <c r="CP225" s="334"/>
      <c r="CQ225" s="335"/>
      <c r="CR225" s="160"/>
      <c r="CS225" s="160"/>
      <c r="CT225" s="160"/>
      <c r="CU225" s="160"/>
      <c r="CV225" s="160"/>
      <c r="CW225" s="335"/>
      <c r="CX225" s="288"/>
      <c r="CY225" s="160"/>
      <c r="CZ225" s="160"/>
    </row>
    <row r="226">
      <c r="A226" s="157" t="s">
        <v>53</v>
      </c>
      <c r="B226" s="157" t="s">
        <v>61</v>
      </c>
      <c r="C226" s="157" t="s">
        <v>68</v>
      </c>
      <c r="D226" s="157" t="s">
        <v>1077</v>
      </c>
      <c r="E226" s="157" t="s">
        <v>69</v>
      </c>
      <c r="F226" s="338">
        <v>45992.0</v>
      </c>
      <c r="G226" s="314">
        <v>0.0</v>
      </c>
      <c r="H226" s="314">
        <v>2000000.0</v>
      </c>
      <c r="I226" s="315">
        <v>0.0</v>
      </c>
      <c r="J226" s="315">
        <v>0.0</v>
      </c>
      <c r="K226" s="160">
        <v>37.0</v>
      </c>
      <c r="L226" s="160">
        <v>38.0</v>
      </c>
      <c r="M226" s="160">
        <v>2.0</v>
      </c>
      <c r="N226" s="160">
        <v>39.0</v>
      </c>
      <c r="O226" s="160">
        <v>1.0</v>
      </c>
      <c r="P226" s="315">
        <v>0.0</v>
      </c>
      <c r="Q226" s="315">
        <v>0.0</v>
      </c>
      <c r="R226" s="160">
        <v>0.0</v>
      </c>
      <c r="S226" s="160">
        <v>0.0</v>
      </c>
      <c r="T226" s="160">
        <v>0.0</v>
      </c>
      <c r="U226" s="160">
        <v>0.0</v>
      </c>
      <c r="V226" s="160">
        <v>168.0</v>
      </c>
      <c r="W226" s="160">
        <v>400.0</v>
      </c>
      <c r="X226" s="160">
        <v>3.0</v>
      </c>
      <c r="Y226" s="160">
        <v>2.0</v>
      </c>
      <c r="Z226" s="160">
        <v>6.0</v>
      </c>
      <c r="AA226" s="160">
        <v>0.0</v>
      </c>
      <c r="AB226" s="160">
        <v>0.0</v>
      </c>
      <c r="AC226" s="160">
        <v>5.0</v>
      </c>
      <c r="AD226" s="160">
        <v>8.0</v>
      </c>
      <c r="AE226" s="160">
        <v>85.0</v>
      </c>
      <c r="AF226" s="160">
        <v>499.0</v>
      </c>
      <c r="AG226" s="160">
        <v>91.0</v>
      </c>
      <c r="AH226" s="314">
        <f t="shared" si="2"/>
        <v>0</v>
      </c>
      <c r="AI226" s="314">
        <f t="shared" si="3"/>
        <v>5.483516484</v>
      </c>
      <c r="AJ226" s="346">
        <v>24116.0</v>
      </c>
      <c r="AK226" s="314">
        <f t="shared" si="63"/>
        <v>96464</v>
      </c>
      <c r="AL226" s="286">
        <v>38418.0</v>
      </c>
      <c r="AM226" s="318" t="str">
        <f t="shared" si="5"/>
        <v/>
      </c>
      <c r="AN226" s="314" t="str">
        <f t="shared" si="6"/>
        <v/>
      </c>
      <c r="AO226" s="336">
        <f t="shared" si="116"/>
        <v>0</v>
      </c>
      <c r="AP226" s="319">
        <v>0.0</v>
      </c>
      <c r="AQ226" s="160">
        <v>0.0</v>
      </c>
      <c r="AR226" s="160">
        <v>812.0</v>
      </c>
      <c r="AS226" s="160">
        <v>2250.49</v>
      </c>
      <c r="AT226" s="160">
        <v>0.0</v>
      </c>
      <c r="AU226" s="160">
        <v>59.0</v>
      </c>
      <c r="AV226" s="320">
        <v>0.0</v>
      </c>
      <c r="AW226" s="320">
        <v>38.0</v>
      </c>
      <c r="AX226" s="320">
        <v>1.0</v>
      </c>
      <c r="AY226" s="321">
        <f>iferror(VLOOKUP(C226,'ORDER BOOKING REPORT 2025-26'!C:O,13,0),"")</f>
        <v>0</v>
      </c>
      <c r="AZ226" s="322"/>
      <c r="BA226" s="157" t="str">
        <f t="shared" si="7"/>
        <v>Active</v>
      </c>
      <c r="BB226" s="157" t="str">
        <f t="shared" si="8"/>
        <v>New</v>
      </c>
      <c r="BC226" s="157" t="str">
        <f t="shared" si="124"/>
        <v>Below 50%</v>
      </c>
      <c r="BD226" s="357">
        <v>4.0</v>
      </c>
      <c r="BE226" s="323">
        <v>500000.0</v>
      </c>
      <c r="BF226" s="157"/>
      <c r="BG226" s="157" t="s">
        <v>1019</v>
      </c>
      <c r="BH226" s="324"/>
      <c r="BI226" s="324"/>
      <c r="BJ226" s="356"/>
      <c r="BK226" s="326"/>
      <c r="BL226" s="326">
        <f t="shared" si="130"/>
        <v>0</v>
      </c>
      <c r="BM226" s="326">
        <f t="shared" si="12"/>
        <v>2000000</v>
      </c>
      <c r="BN226" s="326"/>
      <c r="BO226" s="327" t="str">
        <f>IFERROR(__xludf.DUMMYFUNCTION("IFERROR(ArrayFormula(SUM(VLOOKUP($C226,importrange(""1MwNMVzWE3QBVOyJjKr3eFX-Sq1Ng0Q1sghWJbgbE_8g"",""ORDER BOOKING REPORT 2024-25!C:CV""),{16,23,30},0))))"),"")</f>
        <v/>
      </c>
      <c r="BP226" s="327" t="str">
        <f>IFERROR(__xludf.DUMMYFUNCTION("IFERROR(ArrayFormula(SUM(VLOOKUP($C226,importrange(""1MwNMVzWE3QBVOyJjKr3eFX-Sq1Ng0Q1sghWJbgbE_8g"",""ORDER BOOKING REPORT 2024-25!C:CV""),{37,44,51},0))))"),"")</f>
        <v/>
      </c>
      <c r="BQ226" s="327" t="str">
        <f>IFERROR(__xludf.DUMMYFUNCTION("IFERROR(ArrayFormula(SUM(VLOOKUP($C226,importrange(""1MwNMVzWE3QBVOyJjKr3eFX-Sq1Ng0Q1sghWJbgbE_8g"",""ORDER BOOKING REPORT 2024-25!C:CV""),{58,65,72},0))))"),"")</f>
        <v/>
      </c>
      <c r="BR226" s="327" t="str">
        <f>IFERROR(__xludf.DUMMYFUNCTION("IFERROR(ArrayFormula(SUM(VLOOKUP($C226,importrange(""1MwNMVzWE3QBVOyJjKr3eFX-Sq1Ng0Q1sghWJbgbE_8g"",""ORDER BOOKING REPORT 2024-25!C:CV""),{79,86,93},0))))"),"")</f>
        <v/>
      </c>
      <c r="BS226" s="328">
        <f t="shared" si="13"/>
        <v>0</v>
      </c>
      <c r="BT226" s="328" t="str">
        <f t="shared" si="131"/>
        <v/>
      </c>
      <c r="BU226" s="234">
        <f t="shared" si="15"/>
        <v>0</v>
      </c>
      <c r="BV226" s="329"/>
      <c r="BW226" s="329"/>
      <c r="BX226" s="329"/>
      <c r="BY226" s="234">
        <f t="shared" si="16"/>
        <v>-24116</v>
      </c>
      <c r="BZ226" s="234"/>
      <c r="CA226" s="234"/>
      <c r="CB226" s="234"/>
      <c r="CC226" s="234"/>
      <c r="CD226" s="234"/>
      <c r="CE226" s="234"/>
      <c r="CF226" s="234"/>
      <c r="CG226" s="234" t="str">
        <f t="shared" si="19"/>
        <v>Below 60</v>
      </c>
      <c r="CH226" s="234" t="str">
        <f t="shared" si="27"/>
        <v>Not 50%</v>
      </c>
      <c r="CI226" s="328">
        <f t="shared" si="20"/>
        <v>0</v>
      </c>
      <c r="CJ226" s="339">
        <f>IFERROR(__xludf.DUMMYFUNCTION("""COMPUTED_VALUE"""),0.0)</f>
        <v>0</v>
      </c>
      <c r="CK226" s="339">
        <f>IFERROR(__xludf.DUMMYFUNCTION("""COMPUTED_VALUE"""),85.0)</f>
        <v>85</v>
      </c>
      <c r="CL226" s="339">
        <f>IFERROR(__xludf.DUMMYFUNCTION("""COMPUTED_VALUE"""),0.0)</f>
        <v>0</v>
      </c>
      <c r="CM226" s="331">
        <f t="shared" si="21"/>
        <v>0</v>
      </c>
      <c r="CN226" s="340"/>
      <c r="CO226" s="328"/>
      <c r="CP226" s="341"/>
      <c r="CQ226" s="344"/>
      <c r="CR226" s="328"/>
      <c r="CS226" s="328"/>
      <c r="CT226" s="328"/>
      <c r="CU226" s="328"/>
      <c r="CV226" s="328"/>
      <c r="CW226" s="328"/>
      <c r="CX226" s="288"/>
      <c r="CY226" s="328"/>
      <c r="CZ226" s="328"/>
    </row>
    <row r="227">
      <c r="A227" s="157" t="s">
        <v>126</v>
      </c>
      <c r="B227" s="157" t="s">
        <v>135</v>
      </c>
      <c r="C227" s="157" t="s">
        <v>181</v>
      </c>
      <c r="D227" s="157" t="s">
        <v>1042</v>
      </c>
      <c r="E227" s="157" t="s">
        <v>182</v>
      </c>
      <c r="F227" s="338">
        <v>45999.0</v>
      </c>
      <c r="G227" s="314">
        <v>0.0</v>
      </c>
      <c r="H227" s="314">
        <v>6000000.0</v>
      </c>
      <c r="I227" s="315">
        <v>1356219.94</v>
      </c>
      <c r="J227" s="315">
        <v>0.0</v>
      </c>
      <c r="K227" s="160">
        <v>2.0</v>
      </c>
      <c r="L227" s="160">
        <v>30.0</v>
      </c>
      <c r="M227" s="160">
        <v>28.0</v>
      </c>
      <c r="N227" s="160">
        <v>30.0</v>
      </c>
      <c r="O227" s="160">
        <v>0.0</v>
      </c>
      <c r="P227" s="315">
        <v>0.01</v>
      </c>
      <c r="Q227" s="315">
        <v>1356219.93</v>
      </c>
      <c r="R227" s="160">
        <v>0.0</v>
      </c>
      <c r="S227" s="160">
        <v>28.0</v>
      </c>
      <c r="T227" s="160">
        <v>28.0</v>
      </c>
      <c r="U227" s="160">
        <v>0.0</v>
      </c>
      <c r="V227" s="160">
        <v>104.0</v>
      </c>
      <c r="W227" s="160">
        <v>239.0</v>
      </c>
      <c r="X227" s="160">
        <v>1.0</v>
      </c>
      <c r="Y227" s="160">
        <v>1.0</v>
      </c>
      <c r="Z227" s="160">
        <v>6.0</v>
      </c>
      <c r="AA227" s="160">
        <v>1.0</v>
      </c>
      <c r="AB227" s="160">
        <v>7.0</v>
      </c>
      <c r="AC227" s="160">
        <v>0.0</v>
      </c>
      <c r="AD227" s="160">
        <v>0.0</v>
      </c>
      <c r="AE227" s="160">
        <v>212.0</v>
      </c>
      <c r="AF227" s="160">
        <v>464.0</v>
      </c>
      <c r="AG227" s="160">
        <v>84.0</v>
      </c>
      <c r="AH227" s="314">
        <f t="shared" si="2"/>
        <v>16145.47548</v>
      </c>
      <c r="AI227" s="314">
        <f t="shared" si="3"/>
        <v>5.523809524</v>
      </c>
      <c r="AJ227" s="346">
        <v>32500.0</v>
      </c>
      <c r="AK227" s="314">
        <f t="shared" si="63"/>
        <v>121612.9032</v>
      </c>
      <c r="AL227" s="286">
        <v>48642.0</v>
      </c>
      <c r="AM227" s="318">
        <f t="shared" si="5"/>
        <v>0.1255363516</v>
      </c>
      <c r="AN227" s="314">
        <f t="shared" si="6"/>
        <v>48436.42643</v>
      </c>
      <c r="AO227" s="336">
        <f t="shared" si="116"/>
        <v>0.2260366567</v>
      </c>
      <c r="AP227" s="319">
        <v>0.0</v>
      </c>
      <c r="AQ227" s="160">
        <v>62.0</v>
      </c>
      <c r="AR227" s="160">
        <v>748.0</v>
      </c>
      <c r="AS227" s="160">
        <v>2705.63</v>
      </c>
      <c r="AT227" s="160">
        <v>28.0</v>
      </c>
      <c r="AU227" s="160">
        <v>90.0</v>
      </c>
      <c r="AV227" s="320">
        <v>28.0</v>
      </c>
      <c r="AW227" s="320">
        <v>2.0</v>
      </c>
      <c r="AX227" s="320">
        <v>0.0</v>
      </c>
      <c r="AY227" s="321">
        <f>iferror(VLOOKUP(C227,'ORDER BOOKING REPORT 2025-26'!C:O,13,0),"")</f>
        <v>839600</v>
      </c>
      <c r="AZ227" s="322"/>
      <c r="BA227" s="157" t="str">
        <f t="shared" si="7"/>
        <v>Active</v>
      </c>
      <c r="BB227" s="157" t="str">
        <f t="shared" si="8"/>
        <v>New</v>
      </c>
      <c r="BC227" s="157" t="str">
        <f t="shared" si="124"/>
        <v>Below 50%</v>
      </c>
      <c r="BD227" s="350">
        <f>(31-8)/31+1+1+1</f>
        <v>3.741935484</v>
      </c>
      <c r="BE227" s="323">
        <v>1500000.0</v>
      </c>
      <c r="BF227" s="359">
        <f>23/31</f>
        <v>0.7419354839</v>
      </c>
      <c r="BG227" s="157" t="s">
        <v>1019</v>
      </c>
      <c r="BH227" s="324"/>
      <c r="BI227" s="324"/>
      <c r="BJ227" s="356"/>
      <c r="BK227" s="326"/>
      <c r="BL227" s="326"/>
      <c r="BM227" s="326">
        <f t="shared" si="12"/>
        <v>6000000</v>
      </c>
      <c r="BN227" s="326"/>
      <c r="BO227" s="327" t="str">
        <f>IFERROR(__xludf.DUMMYFUNCTION("IFERROR(ArrayFormula(SUM(VLOOKUP($C227,importrange(""1MwNMVzWE3QBVOyJjKr3eFX-Sq1Ng0Q1sghWJbgbE_8g"",""ORDER BOOKING REPORT 2024-25!C:CV""),{16,23,30},0))))"),"")</f>
        <v/>
      </c>
      <c r="BP227" s="327" t="str">
        <f>IFERROR(__xludf.DUMMYFUNCTION("IFERROR(ArrayFormula(SUM(VLOOKUP($C227,importrange(""1MwNMVzWE3QBVOyJjKr3eFX-Sq1Ng0Q1sghWJbgbE_8g"",""ORDER BOOKING REPORT 2024-25!C:CV""),{37,44,51},0))))"),"")</f>
        <v/>
      </c>
      <c r="BQ227" s="327" t="str">
        <f>IFERROR(__xludf.DUMMYFUNCTION("IFERROR(ArrayFormula(SUM(VLOOKUP($C227,importrange(""1MwNMVzWE3QBVOyJjKr3eFX-Sq1Ng0Q1sghWJbgbE_8g"",""ORDER BOOKING REPORT 2024-25!C:CV""),{58,65,72},0))))"),"")</f>
        <v/>
      </c>
      <c r="BR227" s="327" t="str">
        <f>IFERROR(__xludf.DUMMYFUNCTION("IFERROR(ArrayFormula(SUM(VLOOKUP($C227,importrange(""1MwNMVzWE3QBVOyJjKr3eFX-Sq1Ng0Q1sghWJbgbE_8g"",""ORDER BOOKING REPORT 2024-25!C:CV""),{79,86,93},0))))"),"")</f>
        <v/>
      </c>
      <c r="BS227" s="328">
        <f t="shared" si="13"/>
        <v>0.1399333333</v>
      </c>
      <c r="BT227" s="328">
        <f t="shared" si="131"/>
        <v>0.202780971</v>
      </c>
      <c r="BU227" s="234">
        <f t="shared" si="15"/>
        <v>0</v>
      </c>
      <c r="BV227" s="329"/>
      <c r="BW227" s="329"/>
      <c r="BX227" s="329"/>
      <c r="BY227" s="234">
        <f t="shared" si="16"/>
        <v>-32500</v>
      </c>
      <c r="BZ227" s="234"/>
      <c r="CA227" s="234"/>
      <c r="CB227" s="234"/>
      <c r="CC227" s="234"/>
      <c r="CD227" s="234"/>
      <c r="CE227" s="234"/>
      <c r="CF227" s="234"/>
      <c r="CG227" s="234" t="str">
        <f t="shared" si="19"/>
        <v>Below 60</v>
      </c>
      <c r="CH227" s="234" t="str">
        <f t="shared" si="27"/>
        <v>Business Achieved 50%</v>
      </c>
      <c r="CI227" s="328">
        <f t="shared" si="20"/>
        <v>0.9333333333</v>
      </c>
      <c r="CJ227" s="339">
        <f>IFERROR(__xludf.DUMMYFUNCTION("""COMPUTED_VALUE"""),203.0)</f>
        <v>203</v>
      </c>
      <c r="CK227" s="339">
        <f>IFERROR(__xludf.DUMMYFUNCTION("""COMPUTED_VALUE"""),9.0)</f>
        <v>9</v>
      </c>
      <c r="CL227" s="339">
        <f>IFERROR(__xludf.DUMMYFUNCTION("""COMPUTED_VALUE"""),0.0)</f>
        <v>0</v>
      </c>
      <c r="CM227" s="331">
        <f t="shared" si="21"/>
        <v>0</v>
      </c>
      <c r="CN227" s="340"/>
      <c r="CO227" s="328"/>
      <c r="CP227" s="341"/>
      <c r="CQ227" s="344"/>
      <c r="CR227" s="328"/>
      <c r="CS227" s="328"/>
      <c r="CT227" s="328"/>
      <c r="CU227" s="328"/>
      <c r="CV227" s="328"/>
      <c r="CW227" s="328"/>
      <c r="CX227" s="288"/>
      <c r="CY227" s="328"/>
      <c r="CZ227" s="328"/>
    </row>
    <row r="228">
      <c r="A228" s="157" t="s">
        <v>23</v>
      </c>
      <c r="B228" s="157" t="s">
        <v>30</v>
      </c>
      <c r="C228" s="157" t="s">
        <v>43</v>
      </c>
      <c r="D228" s="157" t="s">
        <v>30</v>
      </c>
      <c r="E228" s="157" t="s">
        <v>44</v>
      </c>
      <c r="F228" s="338">
        <v>46002.0</v>
      </c>
      <c r="G228" s="314">
        <v>0.0</v>
      </c>
      <c r="H228" s="314">
        <v>4374194.0</v>
      </c>
      <c r="I228" s="315">
        <v>2874423.26</v>
      </c>
      <c r="J228" s="315">
        <v>0.0</v>
      </c>
      <c r="K228" s="160">
        <v>45.0</v>
      </c>
      <c r="L228" s="160">
        <v>71.0</v>
      </c>
      <c r="M228" s="160">
        <v>26.0</v>
      </c>
      <c r="N228" s="160">
        <v>71.0</v>
      </c>
      <c r="O228" s="160">
        <v>0.0</v>
      </c>
      <c r="P228" s="315">
        <v>2204610.66</v>
      </c>
      <c r="Q228" s="315">
        <v>669812.6</v>
      </c>
      <c r="R228" s="160">
        <v>25.0</v>
      </c>
      <c r="S228" s="160">
        <v>19.0</v>
      </c>
      <c r="T228" s="160">
        <v>44.0</v>
      </c>
      <c r="U228" s="160">
        <v>0.0</v>
      </c>
      <c r="V228" s="160">
        <v>86.0</v>
      </c>
      <c r="W228" s="160">
        <v>176.0</v>
      </c>
      <c r="X228" s="160">
        <v>1.0</v>
      </c>
      <c r="Y228" s="160">
        <v>2.0</v>
      </c>
      <c r="Z228" s="160">
        <v>66.0</v>
      </c>
      <c r="AA228" s="160">
        <v>0.0</v>
      </c>
      <c r="AB228" s="160">
        <v>0.0</v>
      </c>
      <c r="AC228" s="160">
        <v>0.0</v>
      </c>
      <c r="AD228" s="160">
        <v>0.0</v>
      </c>
      <c r="AE228" s="160">
        <v>412.0</v>
      </c>
      <c r="AF228" s="160">
        <v>654.0</v>
      </c>
      <c r="AG228" s="160">
        <v>90.0</v>
      </c>
      <c r="AH228" s="314">
        <f t="shared" si="2"/>
        <v>31938.03622</v>
      </c>
      <c r="AI228" s="314">
        <f t="shared" si="3"/>
        <v>7.266666667</v>
      </c>
      <c r="AJ228" s="346">
        <v>30405.0</v>
      </c>
      <c r="AK228" s="314">
        <f t="shared" si="63"/>
        <v>110831.129</v>
      </c>
      <c r="AL228" s="286">
        <v>35555.0</v>
      </c>
      <c r="AM228" s="318">
        <f t="shared" si="5"/>
        <v>0.05092713069</v>
      </c>
      <c r="AN228" s="314">
        <f t="shared" si="6"/>
        <v>65327.80136</v>
      </c>
      <c r="AO228" s="336">
        <f t="shared" si="116"/>
        <v>0.6571320934</v>
      </c>
      <c r="AP228" s="319">
        <v>0.0</v>
      </c>
      <c r="AQ228" s="160">
        <v>120.0</v>
      </c>
      <c r="AR228" s="160">
        <v>958.0</v>
      </c>
      <c r="AS228" s="160">
        <v>2629.45</v>
      </c>
      <c r="AT228" s="160">
        <v>19.0</v>
      </c>
      <c r="AU228" s="160">
        <v>37.0</v>
      </c>
      <c r="AV228" s="320">
        <v>44.0</v>
      </c>
      <c r="AW228" s="320">
        <v>27.0</v>
      </c>
      <c r="AX228" s="320">
        <v>0.0</v>
      </c>
      <c r="AY228" s="321">
        <f>iferror(VLOOKUP(C228,'ORDER BOOKING REPORT 2025-26'!C:O,13,0),"")</f>
        <v>2981160</v>
      </c>
      <c r="AZ228" s="322"/>
      <c r="BA228" s="157" t="str">
        <f t="shared" si="7"/>
        <v>Active</v>
      </c>
      <c r="BB228" s="157" t="str">
        <f t="shared" si="8"/>
        <v>New</v>
      </c>
      <c r="BC228" s="157" t="str">
        <f t="shared" si="124"/>
        <v>50%-70%</v>
      </c>
      <c r="BD228" s="350">
        <f>(31-11)/31+1+1+1</f>
        <v>3.64516129</v>
      </c>
      <c r="BE228" s="323">
        <v>1200000.0</v>
      </c>
      <c r="BF228" s="359">
        <f>20/31</f>
        <v>0.6451612903</v>
      </c>
      <c r="BG228" s="157" t="s">
        <v>1019</v>
      </c>
      <c r="BH228" s="324"/>
      <c r="BI228" s="324"/>
      <c r="BJ228" s="356"/>
      <c r="BK228" s="326"/>
      <c r="BL228" s="326"/>
      <c r="BM228" s="326">
        <f t="shared" si="12"/>
        <v>4374194</v>
      </c>
      <c r="BN228" s="326"/>
      <c r="BO228" s="327" t="str">
        <f>IFERROR(__xludf.DUMMYFUNCTION("IFERROR(ArrayFormula(SUM(VLOOKUP($C228,importrange(""1MwNMVzWE3QBVOyJjKr3eFX-Sq1Ng0Q1sghWJbgbE_8g"",""ORDER BOOKING REPORT 2024-25!C:CV""),{16,23,30},0))))"),"")</f>
        <v/>
      </c>
      <c r="BP228" s="327" t="str">
        <f>IFERROR(__xludf.DUMMYFUNCTION("IFERROR(ArrayFormula(SUM(VLOOKUP($C228,importrange(""1MwNMVzWE3QBVOyJjKr3eFX-Sq1Ng0Q1sghWJbgbE_8g"",""ORDER BOOKING REPORT 2024-25!C:CV""),{37,44,51},0))))"),"")</f>
        <v/>
      </c>
      <c r="BQ228" s="327" t="str">
        <f>IFERROR(__xludf.DUMMYFUNCTION("IFERROR(ArrayFormula(SUM(VLOOKUP($C228,importrange(""1MwNMVzWE3QBVOyJjKr3eFX-Sq1Ng0Q1sghWJbgbE_8g"",""ORDER BOOKING REPORT 2024-25!C:CV""),{58,65,72},0))))"),"")</f>
        <v/>
      </c>
      <c r="BR228" s="327" t="str">
        <f>IFERROR(__xludf.DUMMYFUNCTION("IFERROR(ArrayFormula(SUM(VLOOKUP($C228,importrange(""1MwNMVzWE3QBVOyJjKr3eFX-Sq1Ng0Q1sghWJbgbE_8g"",""ORDER BOOKING REPORT 2024-25!C:CV""),{79,86,93},0))))"),"")</f>
        <v/>
      </c>
      <c r="BS228" s="328">
        <f t="shared" si="13"/>
        <v>0.681533558</v>
      </c>
      <c r="BT228" s="328">
        <f t="shared" si="131"/>
        <v>0.04910374788</v>
      </c>
      <c r="BU228" s="234">
        <f t="shared" si="15"/>
        <v>0</v>
      </c>
      <c r="BV228" s="329"/>
      <c r="BW228" s="329"/>
      <c r="BX228" s="329"/>
      <c r="BY228" s="234">
        <f t="shared" si="16"/>
        <v>-30405</v>
      </c>
      <c r="BZ228" s="234"/>
      <c r="CA228" s="234"/>
      <c r="CB228" s="234"/>
      <c r="CC228" s="234"/>
      <c r="CD228" s="234"/>
      <c r="CE228" s="234"/>
      <c r="CF228" s="234"/>
      <c r="CG228" s="234" t="str">
        <f t="shared" si="19"/>
        <v> </v>
      </c>
      <c r="CH228" s="234" t="str">
        <f t="shared" si="27"/>
        <v>Business Achieved 50%</v>
      </c>
      <c r="CI228" s="328">
        <f t="shared" si="20"/>
        <v>0.6197183099</v>
      </c>
      <c r="CJ228" s="339">
        <f>IFERROR(__xludf.DUMMYFUNCTION("""COMPUTED_VALUE"""),303.0)</f>
        <v>303</v>
      </c>
      <c r="CK228" s="339">
        <f>IFERROR(__xludf.DUMMYFUNCTION("""COMPUTED_VALUE"""),109.0)</f>
        <v>109</v>
      </c>
      <c r="CL228" s="339">
        <f>IFERROR(__xludf.DUMMYFUNCTION("""COMPUTED_VALUE"""),0.0)</f>
        <v>0</v>
      </c>
      <c r="CM228" s="331">
        <f t="shared" si="21"/>
        <v>0</v>
      </c>
      <c r="CN228" s="340"/>
      <c r="CO228" s="328"/>
      <c r="CP228" s="341"/>
      <c r="CQ228" s="344"/>
      <c r="CR228" s="328"/>
      <c r="CS228" s="328"/>
      <c r="CT228" s="328"/>
      <c r="CU228" s="328"/>
      <c r="CV228" s="328"/>
      <c r="CW228" s="328"/>
      <c r="CX228" s="288"/>
      <c r="CY228" s="328"/>
      <c r="CZ228" s="328"/>
    </row>
    <row r="229">
      <c r="A229" s="157" t="s">
        <v>126</v>
      </c>
      <c r="B229" s="157" t="s">
        <v>135</v>
      </c>
      <c r="C229" s="157" t="s">
        <v>183</v>
      </c>
      <c r="D229" s="157" t="s">
        <v>1042</v>
      </c>
      <c r="E229" s="157" t="s">
        <v>184</v>
      </c>
      <c r="F229" s="338">
        <v>46023.0</v>
      </c>
      <c r="G229" s="314">
        <v>0.0</v>
      </c>
      <c r="H229" s="314">
        <v>4500000.0</v>
      </c>
      <c r="I229" s="315">
        <v>823085.16</v>
      </c>
      <c r="J229" s="315">
        <v>0.0</v>
      </c>
      <c r="K229" s="160">
        <v>21.0</v>
      </c>
      <c r="L229" s="160">
        <v>37.0</v>
      </c>
      <c r="M229" s="160">
        <v>17.0</v>
      </c>
      <c r="N229" s="160">
        <v>38.0</v>
      </c>
      <c r="O229" s="160">
        <v>1.0</v>
      </c>
      <c r="P229" s="315">
        <v>154068.72</v>
      </c>
      <c r="Q229" s="315">
        <v>669016.44</v>
      </c>
      <c r="R229" s="160">
        <v>6.0</v>
      </c>
      <c r="S229" s="160">
        <v>17.0</v>
      </c>
      <c r="T229" s="160">
        <v>23.0</v>
      </c>
      <c r="U229" s="160">
        <v>0.0</v>
      </c>
      <c r="V229" s="160">
        <v>108.0</v>
      </c>
      <c r="W229" s="160">
        <v>211.0</v>
      </c>
      <c r="X229" s="160">
        <v>1.0</v>
      </c>
      <c r="Y229" s="160">
        <v>2.0</v>
      </c>
      <c r="Z229" s="160">
        <v>24.0</v>
      </c>
      <c r="AA229" s="160">
        <v>0.0</v>
      </c>
      <c r="AB229" s="160">
        <v>0.0</v>
      </c>
      <c r="AC229" s="160">
        <v>0.0</v>
      </c>
      <c r="AD229" s="160">
        <v>0.0</v>
      </c>
      <c r="AE229" s="160">
        <v>135.0</v>
      </c>
      <c r="AF229" s="160">
        <v>370.0</v>
      </c>
      <c r="AG229" s="160">
        <v>72.0</v>
      </c>
      <c r="AH229" s="314">
        <f t="shared" si="2"/>
        <v>11431.73833</v>
      </c>
      <c r="AI229" s="314">
        <f t="shared" si="3"/>
        <v>5.138888889</v>
      </c>
      <c r="AJ229" s="346">
        <v>38285.0</v>
      </c>
      <c r="AK229" s="314">
        <f t="shared" si="63"/>
        <v>114855</v>
      </c>
      <c r="AL229" s="286">
        <v>37563.0</v>
      </c>
      <c r="AM229" s="318">
        <f t="shared" si="5"/>
        <v>0.1851788945</v>
      </c>
      <c r="AN229" s="314">
        <f t="shared" si="6"/>
        <v>35786.3113</v>
      </c>
      <c r="AO229" s="336">
        <f t="shared" si="116"/>
        <v>0.1829078133</v>
      </c>
      <c r="AP229" s="319">
        <v>0.0</v>
      </c>
      <c r="AQ229" s="160">
        <v>34.0</v>
      </c>
      <c r="AR229" s="160">
        <v>738.0</v>
      </c>
      <c r="AS229" s="160">
        <v>3036.37</v>
      </c>
      <c r="AT229" s="160">
        <v>17.0</v>
      </c>
      <c r="AU229" s="160">
        <v>82.0</v>
      </c>
      <c r="AV229" s="320">
        <v>23.0</v>
      </c>
      <c r="AW229" s="320">
        <v>14.0</v>
      </c>
      <c r="AX229" s="320">
        <v>1.0</v>
      </c>
      <c r="AY229" s="321">
        <f>iferror(VLOOKUP(C229,'ORDER BOOKING REPORT 2025-26'!C:O,13,0),"")</f>
        <v>822330</v>
      </c>
      <c r="AZ229" s="322"/>
      <c r="BA229" s="157" t="str">
        <f t="shared" si="7"/>
        <v>Active</v>
      </c>
      <c r="BB229" s="157" t="str">
        <f t="shared" si="8"/>
        <v>New</v>
      </c>
      <c r="BC229" s="157" t="str">
        <f t="shared" si="124"/>
        <v>Below 50%</v>
      </c>
      <c r="BD229" s="357">
        <v>3.0</v>
      </c>
      <c r="BE229" s="323">
        <v>1500000.0</v>
      </c>
      <c r="BF229" s="157"/>
      <c r="BG229" s="157" t="s">
        <v>1019</v>
      </c>
      <c r="BH229" s="324"/>
      <c r="BI229" s="324"/>
      <c r="BJ229" s="356"/>
      <c r="BK229" s="326"/>
      <c r="BL229" s="326"/>
      <c r="BM229" s="326">
        <f t="shared" si="12"/>
        <v>4500000</v>
      </c>
      <c r="BN229" s="326"/>
      <c r="BO229" s="327" t="str">
        <f>IFERROR(__xludf.DUMMYFUNCTION("IFERROR(ArrayFormula(SUM(VLOOKUP($C229,importrange(""1MwNMVzWE3QBVOyJjKr3eFX-Sq1Ng0Q1sghWJbgbE_8g"",""ORDER BOOKING REPORT 2024-25!C:CV""),{16,23,30},0))))"),"")</f>
        <v/>
      </c>
      <c r="BP229" s="327" t="str">
        <f>IFERROR(__xludf.DUMMYFUNCTION("IFERROR(ArrayFormula(SUM(VLOOKUP($C229,importrange(""1MwNMVzWE3QBVOyJjKr3eFX-Sq1Ng0Q1sghWJbgbE_8g"",""ORDER BOOKING REPORT 2024-25!C:CV""),{37,44,51},0))))"),"")</f>
        <v/>
      </c>
      <c r="BQ229" s="327" t="str">
        <f>IFERROR(__xludf.DUMMYFUNCTION("IFERROR(ArrayFormula(SUM(VLOOKUP($C229,importrange(""1MwNMVzWE3QBVOyJjKr3eFX-Sq1Ng0Q1sghWJbgbE_8g"",""ORDER BOOKING REPORT 2024-25!C:CV""),{58,65,72},0))))"),"")</f>
        <v/>
      </c>
      <c r="BR229" s="327" t="str">
        <f>IFERROR(__xludf.DUMMYFUNCTION("IFERROR(ArrayFormula(SUM(VLOOKUP($C229,importrange(""1MwNMVzWE3QBVOyJjKr3eFX-Sq1Ng0Q1sghWJbgbE_8g"",""ORDER BOOKING REPORT 2024-25!C:CV""),{79,86,93},0))))"),"")</f>
        <v/>
      </c>
      <c r="BS229" s="328">
        <f t="shared" si="13"/>
        <v>0.18274</v>
      </c>
      <c r="BT229" s="328">
        <f t="shared" si="131"/>
        <v>0.1853489475</v>
      </c>
      <c r="BU229" s="234">
        <f t="shared" si="15"/>
        <v>0</v>
      </c>
      <c r="BV229" s="329"/>
      <c r="BW229" s="329"/>
      <c r="BX229" s="329"/>
      <c r="BY229" s="234">
        <f t="shared" si="16"/>
        <v>-38285</v>
      </c>
      <c r="BZ229" s="234"/>
      <c r="CA229" s="234"/>
      <c r="CB229" s="234"/>
      <c r="CC229" s="234"/>
      <c r="CD229" s="234"/>
      <c r="CE229" s="234"/>
      <c r="CF229" s="234"/>
      <c r="CG229" s="234" t="str">
        <f t="shared" si="19"/>
        <v>Below 60</v>
      </c>
      <c r="CH229" s="234" t="str">
        <f t="shared" si="27"/>
        <v>Business Achieved 50%</v>
      </c>
      <c r="CI229" s="328">
        <f t="shared" si="20"/>
        <v>0.6052631579</v>
      </c>
      <c r="CJ229" s="339">
        <f>IFERROR(__xludf.DUMMYFUNCTION("""COMPUTED_VALUE"""),102.0)</f>
        <v>102</v>
      </c>
      <c r="CK229" s="339">
        <f>IFERROR(__xludf.DUMMYFUNCTION("""COMPUTED_VALUE"""),33.0)</f>
        <v>33</v>
      </c>
      <c r="CL229" s="339">
        <f>IFERROR(__xludf.DUMMYFUNCTION("""COMPUTED_VALUE"""),0.0)</f>
        <v>0</v>
      </c>
      <c r="CM229" s="331">
        <f t="shared" si="21"/>
        <v>0</v>
      </c>
      <c r="CN229" s="340"/>
      <c r="CO229" s="328"/>
      <c r="CP229" s="341"/>
      <c r="CQ229" s="344"/>
      <c r="CR229" s="328"/>
      <c r="CS229" s="328"/>
      <c r="CT229" s="328"/>
      <c r="CU229" s="328"/>
      <c r="CV229" s="328"/>
      <c r="CW229" s="328"/>
      <c r="CX229" s="288"/>
      <c r="CY229" s="328"/>
      <c r="CZ229" s="328"/>
    </row>
    <row r="230">
      <c r="A230" s="157" t="s">
        <v>322</v>
      </c>
      <c r="B230" s="157" t="s">
        <v>325</v>
      </c>
      <c r="C230" s="157" t="s">
        <v>332</v>
      </c>
      <c r="D230" s="157" t="s">
        <v>1049</v>
      </c>
      <c r="E230" s="157" t="s">
        <v>333</v>
      </c>
      <c r="F230" s="338">
        <v>46027.0</v>
      </c>
      <c r="G230" s="314">
        <v>0.0</v>
      </c>
      <c r="H230" s="314">
        <v>0.0</v>
      </c>
      <c r="I230" s="315">
        <v>604841.29</v>
      </c>
      <c r="J230" s="315">
        <v>0.0</v>
      </c>
      <c r="K230" s="160">
        <v>30.0</v>
      </c>
      <c r="L230" s="160">
        <v>69.0</v>
      </c>
      <c r="M230" s="160">
        <v>42.0</v>
      </c>
      <c r="N230" s="160">
        <v>72.0</v>
      </c>
      <c r="O230" s="160">
        <v>3.0</v>
      </c>
      <c r="P230" s="315">
        <v>46348.37</v>
      </c>
      <c r="Q230" s="315">
        <v>558492.92</v>
      </c>
      <c r="R230" s="160">
        <v>7.0</v>
      </c>
      <c r="S230" s="160">
        <v>39.0</v>
      </c>
      <c r="T230" s="160">
        <v>46.0</v>
      </c>
      <c r="U230" s="160">
        <v>0.0</v>
      </c>
      <c r="V230" s="160">
        <v>153.0</v>
      </c>
      <c r="W230" s="160">
        <v>251.0</v>
      </c>
      <c r="X230" s="160">
        <v>8.0</v>
      </c>
      <c r="Y230" s="160">
        <v>3.0</v>
      </c>
      <c r="Z230" s="160">
        <v>26.0</v>
      </c>
      <c r="AA230" s="160">
        <v>0.0</v>
      </c>
      <c r="AB230" s="160">
        <v>0.0</v>
      </c>
      <c r="AC230" s="160">
        <v>1.0</v>
      </c>
      <c r="AD230" s="160">
        <v>1.0</v>
      </c>
      <c r="AE230" s="160">
        <v>162.0</v>
      </c>
      <c r="AF230" s="160">
        <v>440.0</v>
      </c>
      <c r="AG230" s="160">
        <v>69.0</v>
      </c>
      <c r="AH230" s="314">
        <f t="shared" si="2"/>
        <v>8765.815797</v>
      </c>
      <c r="AI230" s="314">
        <f t="shared" si="3"/>
        <v>6.376811594</v>
      </c>
      <c r="AJ230" s="346">
        <v>46670.0</v>
      </c>
      <c r="AK230" s="314">
        <f t="shared" si="63"/>
        <v>133988.0645</v>
      </c>
      <c r="AL230" s="317">
        <v>39016.0</v>
      </c>
      <c r="AM230" s="318">
        <f t="shared" si="5"/>
        <v>0.2860321664</v>
      </c>
      <c r="AN230" s="314">
        <f t="shared" si="6"/>
        <v>13148.7237</v>
      </c>
      <c r="AO230" s="336" t="str">
        <f t="shared" si="116"/>
        <v/>
      </c>
      <c r="AP230" s="319">
        <v>0.0</v>
      </c>
      <c r="AQ230" s="160">
        <v>66.0</v>
      </c>
      <c r="AR230" s="160">
        <v>704.0</v>
      </c>
      <c r="AS230" s="160">
        <v>3809.94</v>
      </c>
      <c r="AT230" s="160">
        <v>39.0</v>
      </c>
      <c r="AU230" s="160">
        <v>55.0</v>
      </c>
      <c r="AV230" s="320">
        <v>46.0</v>
      </c>
      <c r="AW230" s="320">
        <v>23.0</v>
      </c>
      <c r="AX230" s="320">
        <v>3.0</v>
      </c>
      <c r="AY230" s="321">
        <f>iferror(VLOOKUP(C230,'ORDER BOOKING REPORT 2025-26'!C:O,13,0),"")</f>
        <v>314114</v>
      </c>
      <c r="AZ230" s="322"/>
      <c r="BA230" s="157" t="str">
        <f t="shared" si="7"/>
        <v>Active</v>
      </c>
      <c r="BB230" s="157" t="str">
        <f t="shared" si="8"/>
        <v>New</v>
      </c>
      <c r="BC230" s="157" t="str">
        <f t="shared" si="124"/>
        <v>Below 50%</v>
      </c>
      <c r="BD230" s="350">
        <f t="shared" ref="BD230:BD231" si="132">(31-4)/31+1+1</f>
        <v>2.870967742</v>
      </c>
      <c r="BE230" s="323">
        <v>800000.0</v>
      </c>
      <c r="BF230" s="359">
        <f t="shared" ref="BF230:BF231" si="133">26/31</f>
        <v>0.8387096774</v>
      </c>
      <c r="BG230" s="157" t="s">
        <v>1019</v>
      </c>
      <c r="BH230" s="324"/>
      <c r="BI230" s="324"/>
      <c r="BJ230" s="356"/>
      <c r="BK230" s="326"/>
      <c r="BL230" s="326"/>
      <c r="BM230" s="326">
        <f t="shared" si="12"/>
        <v>0</v>
      </c>
      <c r="BN230" s="326"/>
      <c r="BO230" s="327" t="str">
        <f>IFERROR(__xludf.DUMMYFUNCTION("IFERROR(ArrayFormula(SUM(VLOOKUP($C230,importrange(""1MwNMVzWE3QBVOyJjKr3eFX-Sq1Ng0Q1sghWJbgbE_8g"",""ORDER BOOKING REPORT 2024-25!C:CV""),{16,23,30},0))))"),"")</f>
        <v/>
      </c>
      <c r="BP230" s="327" t="str">
        <f>IFERROR(__xludf.DUMMYFUNCTION("IFERROR(ArrayFormula(SUM(VLOOKUP($C230,importrange(""1MwNMVzWE3QBVOyJjKr3eFX-Sq1Ng0Q1sghWJbgbE_8g"",""ORDER BOOKING REPORT 2024-25!C:CV""),{37,44,51},0))))"),"")</f>
        <v/>
      </c>
      <c r="BQ230" s="327" t="str">
        <f>IFERROR(__xludf.DUMMYFUNCTION("IFERROR(ArrayFormula(SUM(VLOOKUP($C230,importrange(""1MwNMVzWE3QBVOyJjKr3eFX-Sq1Ng0Q1sghWJbgbE_8g"",""ORDER BOOKING REPORT 2024-25!C:CV""),{58,65,72},0))))"),"")</f>
        <v/>
      </c>
      <c r="BR230" s="327" t="str">
        <f>IFERROR(__xludf.DUMMYFUNCTION("IFERROR(ArrayFormula(SUM(VLOOKUP($C230,importrange(""1MwNMVzWE3QBVOyJjKr3eFX-Sq1Ng0Q1sghWJbgbE_8g"",""ORDER BOOKING REPORT 2024-25!C:CV""),{79,86,93},0))))"),"")</f>
        <v/>
      </c>
      <c r="BS230" s="328" t="str">
        <f t="shared" si="13"/>
        <v/>
      </c>
      <c r="BT230" s="328">
        <f t="shared" si="131"/>
        <v>0.5507683978</v>
      </c>
      <c r="BU230" s="234">
        <f t="shared" si="15"/>
        <v>0</v>
      </c>
      <c r="BV230" s="329"/>
      <c r="BW230" s="329"/>
      <c r="BX230" s="329"/>
      <c r="BY230" s="234">
        <f t="shared" si="16"/>
        <v>-46670</v>
      </c>
      <c r="BZ230" s="234"/>
      <c r="CA230" s="234"/>
      <c r="CB230" s="234"/>
      <c r="CC230" s="234"/>
      <c r="CD230" s="234"/>
      <c r="CE230" s="234"/>
      <c r="CF230" s="234"/>
      <c r="CG230" s="234" t="str">
        <f t="shared" si="19"/>
        <v> </v>
      </c>
      <c r="CH230" s="234" t="str">
        <f t="shared" si="27"/>
        <v>Business Achieved 50%</v>
      </c>
      <c r="CI230" s="328">
        <f t="shared" si="20"/>
        <v>0.6388888889</v>
      </c>
      <c r="CJ230" s="330">
        <f>IFERROR(__xludf.DUMMYFUNCTION("""COMPUTED_VALUE"""),119.0)</f>
        <v>119</v>
      </c>
      <c r="CK230" s="330">
        <f>IFERROR(__xludf.DUMMYFUNCTION("""COMPUTED_VALUE"""),43.0)</f>
        <v>43</v>
      </c>
      <c r="CL230" s="330">
        <f>IFERROR(__xludf.DUMMYFUNCTION("""COMPUTED_VALUE"""),0.0)</f>
        <v>0</v>
      </c>
      <c r="CM230" s="331">
        <f t="shared" si="21"/>
        <v>0</v>
      </c>
      <c r="CN230" s="337"/>
      <c r="CO230" s="160"/>
      <c r="CP230" s="334"/>
      <c r="CQ230" s="335"/>
      <c r="CR230" s="160"/>
      <c r="CS230" s="160"/>
      <c r="CT230" s="160"/>
      <c r="CU230" s="160"/>
      <c r="CV230" s="160"/>
      <c r="CW230" s="335"/>
      <c r="CX230" s="288"/>
      <c r="CY230" s="160"/>
      <c r="CZ230" s="160"/>
    </row>
    <row r="231">
      <c r="A231" s="157" t="s">
        <v>322</v>
      </c>
      <c r="B231" s="157" t="s">
        <v>325</v>
      </c>
      <c r="C231" s="157" t="s">
        <v>330</v>
      </c>
      <c r="D231" s="157" t="s">
        <v>1049</v>
      </c>
      <c r="E231" s="157" t="s">
        <v>331</v>
      </c>
      <c r="F231" s="338">
        <v>46027.0</v>
      </c>
      <c r="G231" s="314">
        <v>0.0</v>
      </c>
      <c r="H231" s="314">
        <v>0.0</v>
      </c>
      <c r="I231" s="315">
        <v>0.0</v>
      </c>
      <c r="J231" s="315">
        <v>0.0</v>
      </c>
      <c r="K231" s="160">
        <v>3.0</v>
      </c>
      <c r="L231" s="160">
        <v>3.0</v>
      </c>
      <c r="M231" s="160">
        <v>0.0</v>
      </c>
      <c r="N231" s="160">
        <v>3.0</v>
      </c>
      <c r="O231" s="160">
        <v>0.0</v>
      </c>
      <c r="P231" s="315">
        <v>0.0</v>
      </c>
      <c r="Q231" s="315">
        <v>0.0</v>
      </c>
      <c r="R231" s="160">
        <v>0.0</v>
      </c>
      <c r="S231" s="160">
        <v>0.0</v>
      </c>
      <c r="T231" s="160">
        <v>0.0</v>
      </c>
      <c r="U231" s="160">
        <v>0.0</v>
      </c>
      <c r="V231" s="160">
        <v>51.0</v>
      </c>
      <c r="W231" s="160">
        <v>150.0</v>
      </c>
      <c r="X231" s="160">
        <v>0.0</v>
      </c>
      <c r="Y231" s="160">
        <v>1.0</v>
      </c>
      <c r="Z231" s="160">
        <v>29.0</v>
      </c>
      <c r="AA231" s="160">
        <v>0.0</v>
      </c>
      <c r="AB231" s="160">
        <v>0.0</v>
      </c>
      <c r="AC231" s="160">
        <v>0.0</v>
      </c>
      <c r="AD231" s="160">
        <v>0.0</v>
      </c>
      <c r="AE231" s="160">
        <v>11.0</v>
      </c>
      <c r="AF231" s="160">
        <v>190.0</v>
      </c>
      <c r="AG231" s="160">
        <v>53.0</v>
      </c>
      <c r="AH231" s="314">
        <f t="shared" si="2"/>
        <v>0</v>
      </c>
      <c r="AI231" s="314">
        <f t="shared" si="3"/>
        <v>3.58490566</v>
      </c>
      <c r="AJ231" s="346">
        <v>26215.0</v>
      </c>
      <c r="AK231" s="314">
        <f t="shared" si="63"/>
        <v>75262.41935</v>
      </c>
      <c r="AL231" s="317">
        <v>17653.0</v>
      </c>
      <c r="AM231" s="318" t="str">
        <f t="shared" si="5"/>
        <v/>
      </c>
      <c r="AN231" s="314" t="str">
        <f t="shared" si="6"/>
        <v/>
      </c>
      <c r="AO231" s="336" t="str">
        <f t="shared" si="116"/>
        <v/>
      </c>
      <c r="AP231" s="319">
        <v>0.0</v>
      </c>
      <c r="AQ231" s="160">
        <v>0.0</v>
      </c>
      <c r="AR231" s="160">
        <v>477.0</v>
      </c>
      <c r="AS231" s="160">
        <v>1900.57</v>
      </c>
      <c r="AT231" s="160">
        <v>0.0</v>
      </c>
      <c r="AU231" s="160">
        <v>634.0</v>
      </c>
      <c r="AV231" s="320">
        <v>0.0</v>
      </c>
      <c r="AW231" s="320">
        <v>3.0</v>
      </c>
      <c r="AX231" s="320">
        <v>0.0</v>
      </c>
      <c r="AY231" s="321">
        <f>iferror(VLOOKUP(C231,'ORDER BOOKING REPORT 2025-26'!C:O,13,0),"")</f>
        <v>0</v>
      </c>
      <c r="AZ231" s="322"/>
      <c r="BA231" s="157" t="str">
        <f t="shared" si="7"/>
        <v>Active</v>
      </c>
      <c r="BB231" s="157" t="str">
        <f t="shared" si="8"/>
        <v>New</v>
      </c>
      <c r="BC231" s="157" t="str">
        <f t="shared" si="124"/>
        <v>Below 50%</v>
      </c>
      <c r="BD231" s="350">
        <f t="shared" si="132"/>
        <v>2.870967742</v>
      </c>
      <c r="BE231" s="323">
        <v>800000.0</v>
      </c>
      <c r="BF231" s="359">
        <f t="shared" si="133"/>
        <v>0.8387096774</v>
      </c>
      <c r="BG231" s="157" t="s">
        <v>1019</v>
      </c>
      <c r="BH231" s="324"/>
      <c r="BI231" s="324"/>
      <c r="BJ231" s="356"/>
      <c r="BK231" s="326"/>
      <c r="BL231" s="326"/>
      <c r="BM231" s="326">
        <f t="shared" si="12"/>
        <v>0</v>
      </c>
      <c r="BN231" s="326"/>
      <c r="BO231" s="327" t="str">
        <f>IFERROR(__xludf.DUMMYFUNCTION("IFERROR(ArrayFormula(SUM(VLOOKUP($C231,importrange(""1MwNMVzWE3QBVOyJjKr3eFX-Sq1Ng0Q1sghWJbgbE_8g"",""ORDER BOOKING REPORT 2024-25!C:CV""),{16,23,30},0))))"),"")</f>
        <v/>
      </c>
      <c r="BP231" s="327" t="str">
        <f>IFERROR(__xludf.DUMMYFUNCTION("IFERROR(ArrayFormula(SUM(VLOOKUP($C231,importrange(""1MwNMVzWE3QBVOyJjKr3eFX-Sq1Ng0Q1sghWJbgbE_8g"",""ORDER BOOKING REPORT 2024-25!C:CV""),{37,44,51},0))))"),"")</f>
        <v/>
      </c>
      <c r="BQ231" s="327" t="str">
        <f>IFERROR(__xludf.DUMMYFUNCTION("IFERROR(ArrayFormula(SUM(VLOOKUP($C231,importrange(""1MwNMVzWE3QBVOyJjKr3eFX-Sq1Ng0Q1sghWJbgbE_8g"",""ORDER BOOKING REPORT 2024-25!C:CV""),{58,65,72},0))))"),"")</f>
        <v/>
      </c>
      <c r="BR231" s="327" t="str">
        <f>IFERROR(__xludf.DUMMYFUNCTION("IFERROR(ArrayFormula(SUM(VLOOKUP($C231,importrange(""1MwNMVzWE3QBVOyJjKr3eFX-Sq1Ng0Q1sghWJbgbE_8g"",""ORDER BOOKING REPORT 2024-25!C:CV""),{79,86,93},0))))"),"")</f>
        <v/>
      </c>
      <c r="BS231" s="328" t="str">
        <f t="shared" si="13"/>
        <v/>
      </c>
      <c r="BT231" s="328" t="str">
        <f t="shared" si="131"/>
        <v/>
      </c>
      <c r="BU231" s="234">
        <f t="shared" si="15"/>
        <v>0</v>
      </c>
      <c r="BV231" s="329"/>
      <c r="BW231" s="329"/>
      <c r="BX231" s="329"/>
      <c r="BY231" s="234">
        <f t="shared" si="16"/>
        <v>-26215</v>
      </c>
      <c r="BZ231" s="234"/>
      <c r="CA231" s="234"/>
      <c r="CB231" s="234"/>
      <c r="CC231" s="234"/>
      <c r="CD231" s="234"/>
      <c r="CE231" s="234"/>
      <c r="CF231" s="234"/>
      <c r="CG231" s="234" t="str">
        <f t="shared" si="19"/>
        <v>Below 60</v>
      </c>
      <c r="CH231" s="234" t="str">
        <f t="shared" si="27"/>
        <v>Not 50%</v>
      </c>
      <c r="CI231" s="328">
        <f t="shared" si="20"/>
        <v>0</v>
      </c>
      <c r="CJ231" s="330">
        <f>IFERROR(__xludf.DUMMYFUNCTION("""COMPUTED_VALUE"""),0.0)</f>
        <v>0</v>
      </c>
      <c r="CK231" s="330">
        <f>IFERROR(__xludf.DUMMYFUNCTION("""COMPUTED_VALUE"""),11.0)</f>
        <v>11</v>
      </c>
      <c r="CL231" s="330">
        <f>IFERROR(__xludf.DUMMYFUNCTION("""COMPUTED_VALUE"""),0.0)</f>
        <v>0</v>
      </c>
      <c r="CM231" s="331">
        <f t="shared" si="21"/>
        <v>0</v>
      </c>
      <c r="CN231" s="337"/>
      <c r="CO231" s="160"/>
      <c r="CP231" s="334"/>
      <c r="CQ231" s="335"/>
      <c r="CR231" s="160"/>
      <c r="CS231" s="160"/>
      <c r="CT231" s="160"/>
      <c r="CU231" s="160"/>
      <c r="CV231" s="160"/>
      <c r="CW231" s="335"/>
      <c r="CX231" s="288"/>
      <c r="CY231" s="160"/>
      <c r="CZ231" s="160"/>
    </row>
    <row r="232">
      <c r="A232" s="157"/>
      <c r="B232" s="157" t="s">
        <v>96</v>
      </c>
      <c r="C232" s="157" t="s">
        <v>885</v>
      </c>
      <c r="D232" s="157" t="s">
        <v>1101</v>
      </c>
      <c r="E232" s="157" t="s">
        <v>1121</v>
      </c>
      <c r="F232" s="338">
        <v>46041.0</v>
      </c>
      <c r="G232" s="314">
        <v>0.0</v>
      </c>
      <c r="H232" s="314">
        <v>0.0</v>
      </c>
      <c r="I232" s="315">
        <v>0.0</v>
      </c>
      <c r="J232" s="315">
        <v>0.0</v>
      </c>
      <c r="K232" s="160">
        <v>2.0</v>
      </c>
      <c r="L232" s="160">
        <v>1.0</v>
      </c>
      <c r="M232" s="160">
        <v>0.0</v>
      </c>
      <c r="N232" s="160">
        <v>2.0</v>
      </c>
      <c r="O232" s="160">
        <v>1.0</v>
      </c>
      <c r="P232" s="315">
        <v>0.0</v>
      </c>
      <c r="Q232" s="315">
        <v>0.0</v>
      </c>
      <c r="R232" s="160">
        <v>0.0</v>
      </c>
      <c r="S232" s="160">
        <v>0.0</v>
      </c>
      <c r="T232" s="160">
        <v>0.0</v>
      </c>
      <c r="U232" s="160">
        <v>0.0</v>
      </c>
      <c r="V232" s="160">
        <v>3.0</v>
      </c>
      <c r="W232" s="160">
        <v>5.0</v>
      </c>
      <c r="X232" s="160">
        <v>0.0</v>
      </c>
      <c r="Y232" s="160">
        <v>3.0</v>
      </c>
      <c r="Z232" s="160">
        <v>6.0</v>
      </c>
      <c r="AA232" s="160">
        <v>0.0</v>
      </c>
      <c r="AB232" s="160">
        <v>0.0</v>
      </c>
      <c r="AC232" s="160">
        <v>75.0</v>
      </c>
      <c r="AD232" s="160">
        <v>111.0</v>
      </c>
      <c r="AE232" s="160">
        <v>3.0</v>
      </c>
      <c r="AF232" s="160">
        <v>125.0</v>
      </c>
      <c r="AG232" s="160">
        <v>51.0</v>
      </c>
      <c r="AH232" s="314">
        <f t="shared" si="2"/>
        <v>0</v>
      </c>
      <c r="AI232" s="314">
        <f t="shared" si="3"/>
        <v>2.450980392</v>
      </c>
      <c r="AJ232" s="346">
        <v>195835.0</v>
      </c>
      <c r="AK232" s="314">
        <f t="shared" si="63"/>
        <v>473794.3548</v>
      </c>
      <c r="AL232" s="286">
        <v>108484.0</v>
      </c>
      <c r="AM232" s="318" t="str">
        <f t="shared" si="5"/>
        <v/>
      </c>
      <c r="AN232" s="314" t="str">
        <f t="shared" si="6"/>
        <v/>
      </c>
      <c r="AO232" s="286" t="s">
        <v>972</v>
      </c>
      <c r="AP232" s="319">
        <v>0.0</v>
      </c>
      <c r="AQ232" s="160">
        <v>0.0</v>
      </c>
      <c r="AR232" s="160">
        <v>596.0</v>
      </c>
      <c r="AS232" s="160">
        <v>4501.93</v>
      </c>
      <c r="AT232" s="160">
        <v>0.0</v>
      </c>
      <c r="AU232" s="160">
        <v>4502.0</v>
      </c>
      <c r="AV232" s="320">
        <v>0.0</v>
      </c>
      <c r="AW232" s="320">
        <v>1.0</v>
      </c>
      <c r="AX232" s="320">
        <v>1.0</v>
      </c>
      <c r="AY232" s="321" t="str">
        <f>iferror(VLOOKUP(C232,'ORDER BOOKING REPORT 2025-26'!C:O,13,0),"")</f>
        <v/>
      </c>
      <c r="AZ232" s="322"/>
      <c r="BA232" s="157" t="str">
        <f t="shared" si="7"/>
        <v>Active</v>
      </c>
      <c r="BB232" s="157" t="str">
        <f t="shared" si="8"/>
        <v>New</v>
      </c>
      <c r="BC232" s="157" t="str">
        <f t="shared" si="124"/>
        <v>Above 100%</v>
      </c>
      <c r="BD232" s="350">
        <f t="shared" ref="BD232:BD234" si="134">(31-18)/31+1+1</f>
        <v>2.419354839</v>
      </c>
      <c r="BE232" s="323"/>
      <c r="BF232" s="359">
        <f>12/31</f>
        <v>0.3870967742</v>
      </c>
      <c r="BG232" s="157" t="s">
        <v>188</v>
      </c>
      <c r="BH232" s="324"/>
      <c r="BI232" s="324"/>
      <c r="BJ232" s="356"/>
      <c r="BK232" s="326"/>
      <c r="BL232" s="326"/>
      <c r="BM232" s="326">
        <f t="shared" si="12"/>
        <v>0</v>
      </c>
      <c r="BN232" s="326"/>
      <c r="BO232" s="327" t="str">
        <f>IFERROR(__xludf.DUMMYFUNCTION("IFERROR(ArrayFormula(SUM(VLOOKUP($C232,importrange(""1MwNMVzWE3QBVOyJjKr3eFX-Sq1Ng0Q1sghWJbgbE_8g"",""ORDER BOOKING REPORT 2024-25!C:CV""),{16,23,30},0))))"),"")</f>
        <v/>
      </c>
      <c r="BP232" s="327" t="str">
        <f>IFERROR(__xludf.DUMMYFUNCTION("IFERROR(ArrayFormula(SUM(VLOOKUP($C232,importrange(""1MwNMVzWE3QBVOyJjKr3eFX-Sq1Ng0Q1sghWJbgbE_8g"",""ORDER BOOKING REPORT 2024-25!C:CV""),{37,44,51},0))))"),"")</f>
        <v/>
      </c>
      <c r="BQ232" s="327" t="str">
        <f>IFERROR(__xludf.DUMMYFUNCTION("IFERROR(ArrayFormula(SUM(VLOOKUP($C232,importrange(""1MwNMVzWE3QBVOyJjKr3eFX-Sq1Ng0Q1sghWJbgbE_8g"",""ORDER BOOKING REPORT 2024-25!C:CV""),{58,65,72},0))))"),"")</f>
        <v/>
      </c>
      <c r="BR232" s="327" t="str">
        <f>IFERROR(__xludf.DUMMYFUNCTION("IFERROR(ArrayFormula(SUM(VLOOKUP($C232,importrange(""1MwNMVzWE3QBVOyJjKr3eFX-Sq1Ng0Q1sghWJbgbE_8g"",""ORDER BOOKING REPORT 2024-25!C:CV""),{79,86,93},0))))"),"")</f>
        <v/>
      </c>
      <c r="BS232" s="328" t="str">
        <f t="shared" si="13"/>
        <v/>
      </c>
      <c r="BT232" s="328" t="str">
        <f t="shared" si="131"/>
        <v/>
      </c>
      <c r="BU232" s="234">
        <f t="shared" si="15"/>
        <v>0</v>
      </c>
      <c r="BV232" s="329"/>
      <c r="BW232" s="329"/>
      <c r="BX232" s="329"/>
      <c r="BY232" s="234">
        <f t="shared" si="16"/>
        <v>-195835</v>
      </c>
      <c r="BZ232" s="234"/>
      <c r="CA232" s="234"/>
      <c r="CB232" s="234"/>
      <c r="CC232" s="234"/>
      <c r="CD232" s="234"/>
      <c r="CE232" s="234"/>
      <c r="CF232" s="234"/>
      <c r="CG232" s="234" t="str">
        <f t="shared" si="19"/>
        <v>Below 60</v>
      </c>
      <c r="CH232" s="234" t="str">
        <f t="shared" si="27"/>
        <v>Not 50%</v>
      </c>
      <c r="CI232" s="328">
        <f t="shared" si="20"/>
        <v>0</v>
      </c>
      <c r="CJ232" s="339"/>
      <c r="CK232" s="339"/>
      <c r="CL232" s="339"/>
      <c r="CM232" s="331">
        <f t="shared" si="21"/>
        <v>3</v>
      </c>
      <c r="CN232" s="340"/>
      <c r="CO232" s="328"/>
      <c r="CP232" s="341"/>
      <c r="CQ232" s="344"/>
      <c r="CR232" s="328"/>
      <c r="CS232" s="328"/>
      <c r="CT232" s="328"/>
      <c r="CU232" s="328"/>
      <c r="CV232" s="328"/>
      <c r="CW232" s="328"/>
      <c r="CX232" s="288"/>
      <c r="CY232" s="328"/>
      <c r="CZ232" s="328"/>
    </row>
    <row r="233">
      <c r="A233" s="157" t="s">
        <v>885</v>
      </c>
      <c r="B233" s="157" t="s">
        <v>96</v>
      </c>
      <c r="C233" s="157" t="s">
        <v>94</v>
      </c>
      <c r="D233" s="157" t="s">
        <v>1101</v>
      </c>
      <c r="E233" s="157" t="s">
        <v>95</v>
      </c>
      <c r="F233" s="338">
        <v>46041.0</v>
      </c>
      <c r="G233" s="314">
        <v>0.0</v>
      </c>
      <c r="H233" s="314">
        <v>0.0</v>
      </c>
      <c r="I233" s="315">
        <v>0.0</v>
      </c>
      <c r="J233" s="315">
        <v>0.0</v>
      </c>
      <c r="K233" s="160">
        <v>3.0</v>
      </c>
      <c r="L233" s="160">
        <v>3.0</v>
      </c>
      <c r="M233" s="160">
        <v>0.0</v>
      </c>
      <c r="N233" s="160">
        <v>3.0</v>
      </c>
      <c r="O233" s="160">
        <v>0.0</v>
      </c>
      <c r="P233" s="315">
        <v>0.0</v>
      </c>
      <c r="Q233" s="315">
        <v>0.0</v>
      </c>
      <c r="R233" s="160">
        <v>0.0</v>
      </c>
      <c r="S233" s="160">
        <v>0.0</v>
      </c>
      <c r="T233" s="160">
        <v>0.0</v>
      </c>
      <c r="U233" s="160">
        <v>0.0</v>
      </c>
      <c r="V233" s="160">
        <v>29.0</v>
      </c>
      <c r="W233" s="160">
        <v>37.0</v>
      </c>
      <c r="X233" s="160">
        <v>2.0</v>
      </c>
      <c r="Y233" s="160">
        <v>2.0</v>
      </c>
      <c r="Z233" s="160">
        <v>2.0</v>
      </c>
      <c r="AA233" s="160">
        <v>0.0</v>
      </c>
      <c r="AB233" s="160">
        <v>0.0</v>
      </c>
      <c r="AC233" s="160">
        <v>65.0</v>
      </c>
      <c r="AD233" s="160">
        <v>181.0</v>
      </c>
      <c r="AE233" s="160">
        <v>4.0</v>
      </c>
      <c r="AF233" s="160">
        <v>224.0</v>
      </c>
      <c r="AG233" s="160">
        <v>52.0</v>
      </c>
      <c r="AH233" s="314">
        <f t="shared" si="2"/>
        <v>0</v>
      </c>
      <c r="AI233" s="314">
        <f t="shared" si="3"/>
        <v>4.307692308</v>
      </c>
      <c r="AJ233" s="346">
        <v>68112.0</v>
      </c>
      <c r="AK233" s="314">
        <f t="shared" si="63"/>
        <v>164787.0968</v>
      </c>
      <c r="AL233" s="286">
        <v>29385.0</v>
      </c>
      <c r="AM233" s="318" t="str">
        <f t="shared" si="5"/>
        <v/>
      </c>
      <c r="AN233" s="314" t="str">
        <f t="shared" si="6"/>
        <v/>
      </c>
      <c r="AO233" s="286" t="s">
        <v>972</v>
      </c>
      <c r="AP233" s="319">
        <v>0.0</v>
      </c>
      <c r="AQ233" s="160">
        <v>0.0</v>
      </c>
      <c r="AR233" s="160">
        <v>559.0</v>
      </c>
      <c r="AS233" s="160">
        <v>3124.4</v>
      </c>
      <c r="AT233" s="160">
        <v>0.0</v>
      </c>
      <c r="AU233" s="160">
        <v>1041.0</v>
      </c>
      <c r="AV233" s="320">
        <v>0.0</v>
      </c>
      <c r="AW233" s="320">
        <v>3.0</v>
      </c>
      <c r="AX233" s="320">
        <v>0.0</v>
      </c>
      <c r="AY233" s="321">
        <f>iferror(VLOOKUP(C233,'ORDER BOOKING REPORT 2025-26'!C:O,13,0),"")</f>
        <v>0</v>
      </c>
      <c r="AZ233" s="322"/>
      <c r="BA233" s="157" t="str">
        <f t="shared" si="7"/>
        <v>Active</v>
      </c>
      <c r="BB233" s="157" t="str">
        <f t="shared" si="8"/>
        <v>New</v>
      </c>
      <c r="BC233" s="157" t="str">
        <f t="shared" si="124"/>
        <v>Above 100%</v>
      </c>
      <c r="BD233" s="350">
        <f t="shared" si="134"/>
        <v>2.419354839</v>
      </c>
      <c r="BE233" s="323"/>
      <c r="BF233" s="157"/>
      <c r="BG233" s="157" t="s">
        <v>1019</v>
      </c>
      <c r="BH233" s="324"/>
      <c r="BI233" s="324"/>
      <c r="BJ233" s="356"/>
      <c r="BK233" s="326"/>
      <c r="BL233" s="326"/>
      <c r="BM233" s="326">
        <f t="shared" si="12"/>
        <v>0</v>
      </c>
      <c r="BN233" s="326"/>
      <c r="BO233" s="327" t="str">
        <f>IFERROR(__xludf.DUMMYFUNCTION("IFERROR(ArrayFormula(SUM(VLOOKUP($C233,importrange(""1MwNMVzWE3QBVOyJjKr3eFX-Sq1Ng0Q1sghWJbgbE_8g"",""ORDER BOOKING REPORT 2024-25!C:CV""),{16,23,30},0))))"),"")</f>
        <v/>
      </c>
      <c r="BP233" s="327" t="str">
        <f>IFERROR(__xludf.DUMMYFUNCTION("IFERROR(ArrayFormula(SUM(VLOOKUP($C233,importrange(""1MwNMVzWE3QBVOyJjKr3eFX-Sq1Ng0Q1sghWJbgbE_8g"",""ORDER BOOKING REPORT 2024-25!C:CV""),{37,44,51},0))))"),"")</f>
        <v/>
      </c>
      <c r="BQ233" s="327" t="str">
        <f>IFERROR(__xludf.DUMMYFUNCTION("IFERROR(ArrayFormula(SUM(VLOOKUP($C233,importrange(""1MwNMVzWE3QBVOyJjKr3eFX-Sq1Ng0Q1sghWJbgbE_8g"",""ORDER BOOKING REPORT 2024-25!C:CV""),{58,65,72},0))))"),"")</f>
        <v/>
      </c>
      <c r="BR233" s="327" t="str">
        <f>IFERROR(__xludf.DUMMYFUNCTION("IFERROR(ArrayFormula(SUM(VLOOKUP($C233,importrange(""1MwNMVzWE3QBVOyJjKr3eFX-Sq1Ng0Q1sghWJbgbE_8g"",""ORDER BOOKING REPORT 2024-25!C:CV""),{79,86,93},0))))"),"")</f>
        <v/>
      </c>
      <c r="BS233" s="328" t="str">
        <f t="shared" si="13"/>
        <v/>
      </c>
      <c r="BT233" s="328" t="str">
        <f t="shared" si="131"/>
        <v/>
      </c>
      <c r="BU233" s="234">
        <f t="shared" si="15"/>
        <v>0</v>
      </c>
      <c r="BV233" s="329"/>
      <c r="BW233" s="329"/>
      <c r="BX233" s="329"/>
      <c r="BY233" s="234">
        <f t="shared" si="16"/>
        <v>-68112</v>
      </c>
      <c r="BZ233" s="234"/>
      <c r="CA233" s="234"/>
      <c r="CB233" s="234"/>
      <c r="CC233" s="234"/>
      <c r="CD233" s="234"/>
      <c r="CE233" s="234"/>
      <c r="CF233" s="234"/>
      <c r="CG233" s="234" t="str">
        <f t="shared" si="19"/>
        <v>Below 60</v>
      </c>
      <c r="CH233" s="234" t="str">
        <f t="shared" si="27"/>
        <v>Not 50%</v>
      </c>
      <c r="CI233" s="328">
        <f t="shared" si="20"/>
        <v>0</v>
      </c>
      <c r="CJ233" s="339"/>
      <c r="CK233" s="339"/>
      <c r="CL233" s="339"/>
      <c r="CM233" s="331">
        <f t="shared" si="21"/>
        <v>4</v>
      </c>
      <c r="CN233" s="340"/>
      <c r="CO233" s="328"/>
      <c r="CP233" s="341"/>
      <c r="CQ233" s="344"/>
      <c r="CR233" s="328"/>
      <c r="CS233" s="328"/>
      <c r="CT233" s="328"/>
      <c r="CU233" s="328"/>
      <c r="CV233" s="328"/>
      <c r="CW233" s="328"/>
      <c r="CX233" s="288"/>
      <c r="CY233" s="328"/>
      <c r="CZ233" s="328"/>
    </row>
    <row r="234">
      <c r="A234" s="157" t="s">
        <v>185</v>
      </c>
      <c r="B234" s="157" t="s">
        <v>189</v>
      </c>
      <c r="C234" s="157" t="s">
        <v>886</v>
      </c>
      <c r="D234" s="157" t="s">
        <v>1016</v>
      </c>
      <c r="E234" s="157" t="s">
        <v>291</v>
      </c>
      <c r="F234" s="338">
        <v>46041.0</v>
      </c>
      <c r="G234" s="314">
        <v>0.0</v>
      </c>
      <c r="H234" s="314">
        <v>0.0</v>
      </c>
      <c r="I234" s="315">
        <v>3270193.24</v>
      </c>
      <c r="J234" s="315">
        <v>0.0</v>
      </c>
      <c r="K234" s="160">
        <v>46.0</v>
      </c>
      <c r="L234" s="160">
        <v>59.0</v>
      </c>
      <c r="M234" s="160">
        <v>15.0</v>
      </c>
      <c r="N234" s="160">
        <v>61.0</v>
      </c>
      <c r="O234" s="160">
        <v>2.0</v>
      </c>
      <c r="P234" s="315">
        <v>2400552.54</v>
      </c>
      <c r="Q234" s="315">
        <v>869640.7</v>
      </c>
      <c r="R234" s="160">
        <v>23.0</v>
      </c>
      <c r="S234" s="160">
        <v>8.0</v>
      </c>
      <c r="T234" s="160">
        <v>31.0</v>
      </c>
      <c r="U234" s="160">
        <v>0.0</v>
      </c>
      <c r="V234" s="160">
        <v>5.0</v>
      </c>
      <c r="W234" s="160">
        <v>6.0</v>
      </c>
      <c r="X234" s="160">
        <v>0.0</v>
      </c>
      <c r="Y234" s="160">
        <v>2.0</v>
      </c>
      <c r="Z234" s="160">
        <v>3.0</v>
      </c>
      <c r="AA234" s="160">
        <v>1.0</v>
      </c>
      <c r="AB234" s="160">
        <v>1.0</v>
      </c>
      <c r="AC234" s="160">
        <v>0.0</v>
      </c>
      <c r="AD234" s="160">
        <v>0.0</v>
      </c>
      <c r="AE234" s="160">
        <v>127.0</v>
      </c>
      <c r="AF234" s="160">
        <v>137.0</v>
      </c>
      <c r="AG234" s="160">
        <v>49.0</v>
      </c>
      <c r="AH234" s="314">
        <f t="shared" si="2"/>
        <v>66738.63755</v>
      </c>
      <c r="AI234" s="314">
        <f t="shared" si="3"/>
        <v>2.795918367</v>
      </c>
      <c r="AJ234" s="346">
        <v>35650.0</v>
      </c>
      <c r="AK234" s="314">
        <f t="shared" si="63"/>
        <v>86250</v>
      </c>
      <c r="AL234" s="317">
        <v>34636.0</v>
      </c>
      <c r="AM234" s="318">
        <f t="shared" si="5"/>
        <v>0.03696601122</v>
      </c>
      <c r="AN234" s="314">
        <f t="shared" si="6"/>
        <v>105490.1045</v>
      </c>
      <c r="AO234" s="336" t="str">
        <f t="shared" ref="AO234:AO243" si="135">iferror(sum(I234:J234)/Sum(G234:H234),"")</f>
        <v/>
      </c>
      <c r="AP234" s="319">
        <v>0.0</v>
      </c>
      <c r="AQ234" s="160">
        <v>46.0</v>
      </c>
      <c r="AR234" s="160">
        <v>537.0</v>
      </c>
      <c r="AS234" s="160">
        <v>3958.43</v>
      </c>
      <c r="AT234" s="160">
        <v>8.0</v>
      </c>
      <c r="AU234" s="160">
        <v>67.0</v>
      </c>
      <c r="AV234" s="320">
        <v>31.0</v>
      </c>
      <c r="AW234" s="320">
        <v>28.0</v>
      </c>
      <c r="AX234" s="320">
        <v>2.0</v>
      </c>
      <c r="AY234" s="321">
        <f>iferror(VLOOKUP(C234,'ORDER BOOKING REPORT 2025-26'!C:O,13,0),"")</f>
        <v>3174003</v>
      </c>
      <c r="AZ234" s="322"/>
      <c r="BA234" s="157" t="str">
        <f t="shared" si="7"/>
        <v>Active</v>
      </c>
      <c r="BB234" s="157" t="str">
        <f t="shared" si="8"/>
        <v>New</v>
      </c>
      <c r="BC234" s="157" t="str">
        <f t="shared" si="124"/>
        <v>Below 50%</v>
      </c>
      <c r="BD234" s="350">
        <f t="shared" si="134"/>
        <v>2.419354839</v>
      </c>
      <c r="BE234" s="323">
        <v>1500000.0</v>
      </c>
      <c r="BF234" s="157"/>
      <c r="BG234" s="157" t="s">
        <v>1019</v>
      </c>
      <c r="BH234" s="324"/>
      <c r="BI234" s="324"/>
      <c r="BJ234" s="356"/>
      <c r="BK234" s="326"/>
      <c r="BL234" s="326"/>
      <c r="BM234" s="326">
        <f t="shared" si="12"/>
        <v>0</v>
      </c>
      <c r="BN234" s="326"/>
      <c r="BO234" s="327" t="str">
        <f>IFERROR(__xludf.DUMMYFUNCTION("IFERROR(ArrayFormula(SUM(VLOOKUP($C234,importrange(""1MwNMVzWE3QBVOyJjKr3eFX-Sq1Ng0Q1sghWJbgbE_8g"",""ORDER BOOKING REPORT 2024-25!C:CV""),{16,23,30},0))))"),"")</f>
        <v/>
      </c>
      <c r="BP234" s="327" t="str">
        <f>IFERROR(__xludf.DUMMYFUNCTION("IFERROR(ArrayFormula(SUM(VLOOKUP($C234,importrange(""1MwNMVzWE3QBVOyJjKr3eFX-Sq1Ng0Q1sghWJbgbE_8g"",""ORDER BOOKING REPORT 2024-25!C:CV""),{37,44,51},0))))"),"")</f>
        <v/>
      </c>
      <c r="BQ234" s="327" t="str">
        <f>IFERROR(__xludf.DUMMYFUNCTION("IFERROR(ArrayFormula(SUM(VLOOKUP($C234,importrange(""1MwNMVzWE3QBVOyJjKr3eFX-Sq1Ng0Q1sghWJbgbE_8g"",""ORDER BOOKING REPORT 2024-25!C:CV""),{58,65,72},0))))"),"")</f>
        <v/>
      </c>
      <c r="BR234" s="327" t="str">
        <f>IFERROR(__xludf.DUMMYFUNCTION("IFERROR(ArrayFormula(SUM(VLOOKUP($C234,importrange(""1MwNMVzWE3QBVOyJjKr3eFX-Sq1Ng0Q1sghWJbgbE_8g"",""ORDER BOOKING REPORT 2024-25!C:CV""),{79,86,93},0))))"),"")</f>
        <v/>
      </c>
      <c r="BS234" s="328" t="str">
        <f t="shared" si="13"/>
        <v/>
      </c>
      <c r="BT234" s="328">
        <f t="shared" si="131"/>
        <v>0.0380862904</v>
      </c>
      <c r="BU234" s="234">
        <f t="shared" si="15"/>
        <v>0</v>
      </c>
      <c r="BV234" s="329"/>
      <c r="BW234" s="329"/>
      <c r="BX234" s="329"/>
      <c r="BY234" s="234">
        <f t="shared" si="16"/>
        <v>-35650</v>
      </c>
      <c r="BZ234" s="234"/>
      <c r="CA234" s="234"/>
      <c r="CB234" s="234"/>
      <c r="CC234" s="234"/>
      <c r="CD234" s="234"/>
      <c r="CE234" s="234"/>
      <c r="CF234" s="234"/>
      <c r="CG234" s="234" t="str">
        <f t="shared" si="19"/>
        <v> </v>
      </c>
      <c r="CH234" s="234" t="str">
        <f t="shared" si="27"/>
        <v>Business Achieved 50%</v>
      </c>
      <c r="CI234" s="328">
        <f t="shared" si="20"/>
        <v>0.5081967213</v>
      </c>
      <c r="CJ234" s="330">
        <f>IFERROR(__xludf.DUMMYFUNCTION("""COMPUTED_VALUE"""),48.0)</f>
        <v>48</v>
      </c>
      <c r="CK234" s="330">
        <f>IFERROR(__xludf.DUMMYFUNCTION("""COMPUTED_VALUE"""),79.0)</f>
        <v>79</v>
      </c>
      <c r="CL234" s="330">
        <f>IFERROR(__xludf.DUMMYFUNCTION("""COMPUTED_VALUE"""),0.0)</f>
        <v>0</v>
      </c>
      <c r="CM234" s="331">
        <f t="shared" si="21"/>
        <v>0</v>
      </c>
      <c r="CN234" s="337"/>
      <c r="CO234" s="160"/>
      <c r="CP234" s="334"/>
      <c r="CQ234" s="335"/>
      <c r="CR234" s="160"/>
      <c r="CS234" s="160"/>
      <c r="CT234" s="160"/>
      <c r="CU234" s="160"/>
      <c r="CV234" s="160"/>
      <c r="CW234" s="335"/>
      <c r="CX234" s="288"/>
      <c r="CY234" s="160"/>
      <c r="CZ234" s="160"/>
    </row>
    <row r="235">
      <c r="A235" s="157" t="s">
        <v>53</v>
      </c>
      <c r="B235" s="157" t="s">
        <v>61</v>
      </c>
      <c r="C235" s="157" t="s">
        <v>383</v>
      </c>
      <c r="D235" s="157" t="s">
        <v>1077</v>
      </c>
      <c r="E235" s="157" t="s">
        <v>384</v>
      </c>
      <c r="F235" s="338">
        <v>46043.0</v>
      </c>
      <c r="G235" s="314">
        <v>0.0</v>
      </c>
      <c r="H235" s="314">
        <v>1412903.0</v>
      </c>
      <c r="I235" s="315">
        <v>0.0</v>
      </c>
      <c r="J235" s="315">
        <v>0.0</v>
      </c>
      <c r="K235" s="160">
        <v>79.0</v>
      </c>
      <c r="L235" s="160">
        <v>47.0</v>
      </c>
      <c r="M235" s="160">
        <v>0.0</v>
      </c>
      <c r="N235" s="160">
        <v>79.0</v>
      </c>
      <c r="O235" s="160">
        <v>32.0</v>
      </c>
      <c r="P235" s="315">
        <v>0.0</v>
      </c>
      <c r="Q235" s="315">
        <v>0.0</v>
      </c>
      <c r="R235" s="160">
        <v>0.0</v>
      </c>
      <c r="S235" s="160">
        <v>0.0</v>
      </c>
      <c r="T235" s="160">
        <v>0.0</v>
      </c>
      <c r="U235" s="160">
        <v>0.0</v>
      </c>
      <c r="V235" s="160">
        <v>95.0</v>
      </c>
      <c r="W235" s="160">
        <v>172.0</v>
      </c>
      <c r="X235" s="160">
        <v>489.0</v>
      </c>
      <c r="Y235" s="160">
        <v>2.0</v>
      </c>
      <c r="Z235" s="160">
        <v>24.0</v>
      </c>
      <c r="AA235" s="160">
        <v>0.0</v>
      </c>
      <c r="AB235" s="160">
        <v>0.0</v>
      </c>
      <c r="AC235" s="160">
        <v>2.0</v>
      </c>
      <c r="AD235" s="160">
        <v>4.0</v>
      </c>
      <c r="AE235" s="160">
        <v>108.0</v>
      </c>
      <c r="AF235" s="160">
        <v>308.0</v>
      </c>
      <c r="AG235" s="160">
        <v>49.0</v>
      </c>
      <c r="AH235" s="314">
        <f t="shared" si="2"/>
        <v>0</v>
      </c>
      <c r="AI235" s="314">
        <f t="shared" si="3"/>
        <v>6.285714286</v>
      </c>
      <c r="AJ235" s="346">
        <v>40380.0</v>
      </c>
      <c r="AK235" s="314">
        <f t="shared" si="63"/>
        <v>95088.3871</v>
      </c>
      <c r="AL235" s="286">
        <v>35918.0</v>
      </c>
      <c r="AM235" s="318" t="str">
        <f t="shared" si="5"/>
        <v/>
      </c>
      <c r="AN235" s="314" t="str">
        <f t="shared" si="6"/>
        <v/>
      </c>
      <c r="AO235" s="336">
        <f t="shared" si="135"/>
        <v>0</v>
      </c>
      <c r="AP235" s="319">
        <v>0.0</v>
      </c>
      <c r="AQ235" s="160">
        <v>0.0</v>
      </c>
      <c r="AR235" s="160">
        <v>496.0</v>
      </c>
      <c r="AS235" s="160">
        <v>3623.38</v>
      </c>
      <c r="AT235" s="160">
        <v>0.0</v>
      </c>
      <c r="AU235" s="160">
        <v>77.0</v>
      </c>
      <c r="AV235" s="320">
        <v>0.0</v>
      </c>
      <c r="AW235" s="320">
        <v>47.0</v>
      </c>
      <c r="AX235" s="320">
        <v>32.0</v>
      </c>
      <c r="AY235" s="321">
        <f>iferror(VLOOKUP(C235,'ORDER BOOKING REPORT 2025-26'!C:O,13,0),"")</f>
        <v>0</v>
      </c>
      <c r="AZ235" s="353">
        <v>46112.0</v>
      </c>
      <c r="BA235" s="157" t="str">
        <f t="shared" si="7"/>
        <v>LEFT</v>
      </c>
      <c r="BB235" s="157" t="str">
        <f t="shared" si="8"/>
        <v>New</v>
      </c>
      <c r="BC235" s="157" t="str">
        <f t="shared" si="124"/>
        <v>Below 50%</v>
      </c>
      <c r="BD235" s="350">
        <f>(31-20)/31+1+1</f>
        <v>2.35483871</v>
      </c>
      <c r="BE235" s="323">
        <v>600000.0</v>
      </c>
      <c r="BF235" s="157"/>
      <c r="BG235" s="157" t="s">
        <v>1019</v>
      </c>
      <c r="BH235" s="324"/>
      <c r="BI235" s="324"/>
      <c r="BJ235" s="356"/>
      <c r="BK235" s="326"/>
      <c r="BL235" s="326"/>
      <c r="BM235" s="326">
        <f t="shared" si="12"/>
        <v>1412903</v>
      </c>
      <c r="BN235" s="326"/>
      <c r="BO235" s="327" t="str">
        <f>IFERROR(__xludf.DUMMYFUNCTION("IFERROR(ArrayFormula(SUM(VLOOKUP($C235,importrange(""1MwNMVzWE3QBVOyJjKr3eFX-Sq1Ng0Q1sghWJbgbE_8g"",""ORDER BOOKING REPORT 2024-25!C:CV""),{16,23,30},0))))"),"")</f>
        <v/>
      </c>
      <c r="BP235" s="327" t="str">
        <f>IFERROR(__xludf.DUMMYFUNCTION("IFERROR(ArrayFormula(SUM(VLOOKUP($C235,importrange(""1MwNMVzWE3QBVOyJjKr3eFX-Sq1Ng0Q1sghWJbgbE_8g"",""ORDER BOOKING REPORT 2024-25!C:CV""),{37,44,51},0))))"),"")</f>
        <v/>
      </c>
      <c r="BQ235" s="327" t="str">
        <f>IFERROR(__xludf.DUMMYFUNCTION("IFERROR(ArrayFormula(SUM(VLOOKUP($C235,importrange(""1MwNMVzWE3QBVOyJjKr3eFX-Sq1Ng0Q1sghWJbgbE_8g"",""ORDER BOOKING REPORT 2024-25!C:CV""),{58,65,72},0))))"),"")</f>
        <v/>
      </c>
      <c r="BR235" s="327" t="str">
        <f>IFERROR(__xludf.DUMMYFUNCTION("IFERROR(ArrayFormula(SUM(VLOOKUP($C235,importrange(""1MwNMVzWE3QBVOyJjKr3eFX-Sq1Ng0Q1sghWJbgbE_8g"",""ORDER BOOKING REPORT 2024-25!C:CV""),{79,86,93},0))))"),"")</f>
        <v/>
      </c>
      <c r="BS235" s="328">
        <f t="shared" si="13"/>
        <v>0</v>
      </c>
      <c r="BT235" s="328" t="str">
        <f t="shared" si="131"/>
        <v/>
      </c>
      <c r="BU235" s="234">
        <f t="shared" si="15"/>
        <v>0</v>
      </c>
      <c r="BV235" s="329"/>
      <c r="BW235" s="329"/>
      <c r="BX235" s="329"/>
      <c r="BY235" s="234">
        <f t="shared" si="16"/>
        <v>-40380</v>
      </c>
      <c r="BZ235" s="234"/>
      <c r="CA235" s="234"/>
      <c r="CB235" s="234"/>
      <c r="CC235" s="234"/>
      <c r="CD235" s="234"/>
      <c r="CE235" s="234"/>
      <c r="CF235" s="234"/>
      <c r="CG235" s="234" t="str">
        <f t="shared" si="19"/>
        <v> </v>
      </c>
      <c r="CH235" s="234" t="str">
        <f t="shared" si="27"/>
        <v>Not 50%</v>
      </c>
      <c r="CI235" s="328">
        <f t="shared" si="20"/>
        <v>0</v>
      </c>
      <c r="CJ235" s="339">
        <f>IFERROR(__xludf.DUMMYFUNCTION("""COMPUTED_VALUE"""),0.0)</f>
        <v>0</v>
      </c>
      <c r="CK235" s="339">
        <f>IFERROR(__xludf.DUMMYFUNCTION("""COMPUTED_VALUE"""),108.0)</f>
        <v>108</v>
      </c>
      <c r="CL235" s="339">
        <f>IFERROR(__xludf.DUMMYFUNCTION("""COMPUTED_VALUE"""),0.0)</f>
        <v>0</v>
      </c>
      <c r="CM235" s="331">
        <f t="shared" si="21"/>
        <v>0</v>
      </c>
      <c r="CN235" s="340"/>
      <c r="CO235" s="328"/>
      <c r="CP235" s="341"/>
      <c r="CQ235" s="344"/>
      <c r="CR235" s="328"/>
      <c r="CS235" s="328"/>
      <c r="CT235" s="328"/>
      <c r="CU235" s="328"/>
      <c r="CV235" s="328"/>
      <c r="CW235" s="328"/>
      <c r="CX235" s="288"/>
      <c r="CY235" s="328"/>
      <c r="CZ235" s="328"/>
    </row>
    <row r="236">
      <c r="A236" s="157" t="s">
        <v>23</v>
      </c>
      <c r="B236" s="157" t="s">
        <v>30</v>
      </c>
      <c r="C236" s="157" t="s">
        <v>45</v>
      </c>
      <c r="D236" s="157" t="s">
        <v>30</v>
      </c>
      <c r="E236" s="157" t="s">
        <v>46</v>
      </c>
      <c r="F236" s="285">
        <v>46069.0</v>
      </c>
      <c r="G236" s="314">
        <v>0.0</v>
      </c>
      <c r="H236" s="314">
        <v>1714286.0</v>
      </c>
      <c r="I236" s="315">
        <v>835665.65</v>
      </c>
      <c r="J236" s="315">
        <v>0.0</v>
      </c>
      <c r="K236" s="160">
        <v>20.0</v>
      </c>
      <c r="L236" s="160">
        <v>25.0</v>
      </c>
      <c r="M236" s="160">
        <v>7.0</v>
      </c>
      <c r="N236" s="160">
        <v>27.0</v>
      </c>
      <c r="O236" s="160">
        <v>2.0</v>
      </c>
      <c r="P236" s="315">
        <v>381581.43</v>
      </c>
      <c r="Q236" s="315">
        <v>454084.22</v>
      </c>
      <c r="R236" s="160">
        <v>7.0</v>
      </c>
      <c r="S236" s="160">
        <v>6.0</v>
      </c>
      <c r="T236" s="160">
        <v>13.0</v>
      </c>
      <c r="U236" s="160">
        <v>0.0</v>
      </c>
      <c r="V236" s="160">
        <v>89.0</v>
      </c>
      <c r="W236" s="160">
        <v>167.0</v>
      </c>
      <c r="X236" s="160">
        <v>9.0</v>
      </c>
      <c r="Y236" s="160">
        <v>4.0</v>
      </c>
      <c r="Z236" s="160">
        <v>18.0</v>
      </c>
      <c r="AA236" s="160">
        <v>1.0</v>
      </c>
      <c r="AB236" s="160">
        <v>1.0</v>
      </c>
      <c r="AC236" s="160">
        <v>1.0</v>
      </c>
      <c r="AD236" s="160">
        <v>1.0</v>
      </c>
      <c r="AE236" s="160">
        <v>62.0</v>
      </c>
      <c r="AF236" s="160">
        <v>249.0</v>
      </c>
      <c r="AG236" s="160">
        <v>31.0</v>
      </c>
      <c r="AH236" s="314">
        <f t="shared" si="2"/>
        <v>26956.95645</v>
      </c>
      <c r="AI236" s="314">
        <f t="shared" si="3"/>
        <v>8.032258065</v>
      </c>
      <c r="AJ236" s="346">
        <v>31455.0</v>
      </c>
      <c r="AK236" s="314">
        <f t="shared" si="63"/>
        <v>46059.10714</v>
      </c>
      <c r="AL236" s="286">
        <v>23587.0</v>
      </c>
      <c r="AM236" s="318">
        <f t="shared" si="5"/>
        <v>0.08334207245</v>
      </c>
      <c r="AN236" s="314">
        <f t="shared" si="6"/>
        <v>64281.97308</v>
      </c>
      <c r="AO236" s="336">
        <f t="shared" si="135"/>
        <v>0.4874715479</v>
      </c>
      <c r="AP236" s="319">
        <v>0.0</v>
      </c>
      <c r="AQ236" s="160">
        <v>41.0</v>
      </c>
      <c r="AR236" s="160">
        <v>336.0</v>
      </c>
      <c r="AS236" s="160">
        <v>3694.69</v>
      </c>
      <c r="AT236" s="160">
        <v>6.0</v>
      </c>
      <c r="AU236" s="160">
        <v>148.0</v>
      </c>
      <c r="AV236" s="320">
        <v>13.0</v>
      </c>
      <c r="AW236" s="320">
        <v>12.0</v>
      </c>
      <c r="AX236" s="320">
        <v>2.0</v>
      </c>
      <c r="AY236" s="321">
        <f>iferror(VLOOKUP(C236,'ORDER BOOKING REPORT 2025-26'!C:O,13,0),"")</f>
        <v>716782</v>
      </c>
      <c r="AZ236" s="322"/>
      <c r="BA236" s="157" t="str">
        <f t="shared" si="7"/>
        <v>Active</v>
      </c>
      <c r="BB236" s="157" t="str">
        <f t="shared" si="8"/>
        <v>New</v>
      </c>
      <c r="BC236" s="157" t="str">
        <f t="shared" si="124"/>
        <v>Below 50%</v>
      </c>
      <c r="BD236" s="350">
        <f>(28-15)/28+1</f>
        <v>1.464285714</v>
      </c>
      <c r="BE236" s="323">
        <v>1200000.0</v>
      </c>
      <c r="BF236" s="359">
        <f>13/28</f>
        <v>0.4642857143</v>
      </c>
      <c r="BG236" s="157" t="s">
        <v>1019</v>
      </c>
      <c r="BH236" s="324"/>
      <c r="BI236" s="324"/>
      <c r="BJ236" s="356"/>
      <c r="BK236" s="326"/>
      <c r="BL236" s="326"/>
      <c r="BM236" s="326">
        <f t="shared" si="12"/>
        <v>1714286</v>
      </c>
      <c r="BN236" s="326"/>
      <c r="BO236" s="327" t="str">
        <f>IFERROR(__xludf.DUMMYFUNCTION("IFERROR(ArrayFormula(SUM(VLOOKUP($C236,importrange(""1MwNMVzWE3QBVOyJjKr3eFX-Sq1Ng0Q1sghWJbgbE_8g"",""ORDER BOOKING REPORT 2024-25!C:CV""),{16,23,30},0))))"),"")</f>
        <v/>
      </c>
      <c r="BP236" s="327" t="str">
        <f>IFERROR(__xludf.DUMMYFUNCTION("IFERROR(ArrayFormula(SUM(VLOOKUP($C236,importrange(""1MwNMVzWE3QBVOyJjKr3eFX-Sq1Ng0Q1sghWJbgbE_8g"",""ORDER BOOKING REPORT 2024-25!C:CV""),{37,44,51},0))))"),"")</f>
        <v/>
      </c>
      <c r="BQ236" s="327" t="str">
        <f>IFERROR(__xludf.DUMMYFUNCTION("IFERROR(ArrayFormula(SUM(VLOOKUP($C236,importrange(""1MwNMVzWE3QBVOyJjKr3eFX-Sq1Ng0Q1sghWJbgbE_8g"",""ORDER BOOKING REPORT 2024-25!C:CV""),{58,65,72},0))))"),"")</f>
        <v/>
      </c>
      <c r="BR236" s="327" t="str">
        <f>IFERROR(__xludf.DUMMYFUNCTION("IFERROR(ArrayFormula(SUM(VLOOKUP($C236,importrange(""1MwNMVzWE3QBVOyJjKr3eFX-Sq1Ng0Q1sghWJbgbE_8g"",""ORDER BOOKING REPORT 2024-25!C:CV""),{79,86,93},0))))"),"")</f>
        <v/>
      </c>
      <c r="BS236" s="328">
        <f t="shared" si="13"/>
        <v>0.4181227636</v>
      </c>
      <c r="BT236" s="328">
        <f t="shared" si="131"/>
        <v>0.09716497784</v>
      </c>
      <c r="BU236" s="234">
        <f t="shared" si="15"/>
        <v>0</v>
      </c>
      <c r="BV236" s="329"/>
      <c r="BW236" s="329"/>
      <c r="BX236" s="329"/>
      <c r="BY236" s="234">
        <f t="shared" si="16"/>
        <v>-31455</v>
      </c>
      <c r="BZ236" s="234"/>
      <c r="CA236" s="234"/>
      <c r="CB236" s="234"/>
      <c r="CC236" s="234"/>
      <c r="CD236" s="234"/>
      <c r="CE236" s="234"/>
      <c r="CF236" s="234"/>
      <c r="CG236" s="234" t="str">
        <f t="shared" si="19"/>
        <v>Below 60</v>
      </c>
      <c r="CH236" s="234" t="str">
        <f t="shared" si="27"/>
        <v>Not 50%</v>
      </c>
      <c r="CI236" s="328">
        <f t="shared" si="20"/>
        <v>0.4814814815</v>
      </c>
      <c r="CJ236" s="339">
        <f>IFERROR(__xludf.DUMMYFUNCTION("""COMPUTED_VALUE"""),39.0)</f>
        <v>39</v>
      </c>
      <c r="CK236" s="339">
        <f>IFERROR(__xludf.DUMMYFUNCTION("""COMPUTED_VALUE"""),23.0)</f>
        <v>23</v>
      </c>
      <c r="CL236" s="339">
        <f>IFERROR(__xludf.DUMMYFUNCTION("""COMPUTED_VALUE"""),0.0)</f>
        <v>0</v>
      </c>
      <c r="CM236" s="331">
        <f t="shared" si="21"/>
        <v>0</v>
      </c>
      <c r="CN236" s="340"/>
      <c r="CO236" s="328"/>
      <c r="CP236" s="341"/>
      <c r="CQ236" s="344"/>
      <c r="CR236" s="328"/>
      <c r="CS236" s="328"/>
      <c r="CT236" s="328"/>
      <c r="CU236" s="328"/>
      <c r="CV236" s="328"/>
      <c r="CW236" s="328"/>
      <c r="CX236" s="288"/>
      <c r="CY236" s="328"/>
      <c r="CZ236" s="328"/>
    </row>
    <row r="237">
      <c r="A237" s="157" t="s">
        <v>185</v>
      </c>
      <c r="B237" s="157" t="s">
        <v>85</v>
      </c>
      <c r="C237" s="157" t="s">
        <v>92</v>
      </c>
      <c r="D237" s="157" t="s">
        <v>1058</v>
      </c>
      <c r="E237" s="157" t="s">
        <v>93</v>
      </c>
      <c r="F237" s="285">
        <v>46084.0</v>
      </c>
      <c r="G237" s="314">
        <v>0.0</v>
      </c>
      <c r="H237" s="314">
        <v>0.0</v>
      </c>
      <c r="I237" s="315">
        <v>96357.7</v>
      </c>
      <c r="J237" s="315">
        <v>0.0</v>
      </c>
      <c r="K237" s="160">
        <v>34.0</v>
      </c>
      <c r="L237" s="160">
        <v>40.0</v>
      </c>
      <c r="M237" s="160">
        <v>8.0</v>
      </c>
      <c r="N237" s="160">
        <v>42.0</v>
      </c>
      <c r="O237" s="160">
        <v>2.0</v>
      </c>
      <c r="P237" s="315">
        <v>8981.5</v>
      </c>
      <c r="Q237" s="315">
        <v>87376.2</v>
      </c>
      <c r="R237" s="160">
        <v>1.0</v>
      </c>
      <c r="S237" s="160">
        <v>5.0</v>
      </c>
      <c r="T237" s="160">
        <v>6.0</v>
      </c>
      <c r="U237" s="160">
        <v>0.0</v>
      </c>
      <c r="V237" s="160">
        <v>63.0</v>
      </c>
      <c r="W237" s="160">
        <v>112.0</v>
      </c>
      <c r="X237" s="160">
        <v>13.0</v>
      </c>
      <c r="Y237" s="160">
        <v>0.0</v>
      </c>
      <c r="Z237" s="160">
        <v>0.0</v>
      </c>
      <c r="AA237" s="160">
        <v>0.0</v>
      </c>
      <c r="AB237" s="160">
        <v>0.0</v>
      </c>
      <c r="AC237" s="160">
        <v>0.0</v>
      </c>
      <c r="AD237" s="160">
        <v>0.0</v>
      </c>
      <c r="AE237" s="160">
        <v>66.0</v>
      </c>
      <c r="AF237" s="160">
        <v>178.0</v>
      </c>
      <c r="AG237" s="160">
        <v>20.0</v>
      </c>
      <c r="AH237" s="314">
        <f t="shared" si="2"/>
        <v>4817.885</v>
      </c>
      <c r="AI237" s="314">
        <f t="shared" si="3"/>
        <v>8.9</v>
      </c>
      <c r="AJ237" s="346">
        <v>34620.0</v>
      </c>
      <c r="AK237" s="314">
        <f t="shared" si="63"/>
        <v>32386.45161</v>
      </c>
      <c r="AL237" s="286">
        <v>13673.0</v>
      </c>
      <c r="AM237" s="318">
        <f t="shared" si="5"/>
        <v>0.4780048882</v>
      </c>
      <c r="AN237" s="314">
        <f t="shared" si="6"/>
        <v>16059.61667</v>
      </c>
      <c r="AO237" s="336" t="str">
        <f t="shared" si="135"/>
        <v/>
      </c>
      <c r="AP237" s="319">
        <v>0.0</v>
      </c>
      <c r="AQ237" s="160">
        <v>8.0</v>
      </c>
      <c r="AR237" s="160">
        <v>184.0</v>
      </c>
      <c r="AS237" s="160">
        <v>1968.64</v>
      </c>
      <c r="AT237" s="160">
        <v>5.0</v>
      </c>
      <c r="AU237" s="160">
        <v>49.0</v>
      </c>
      <c r="AV237" s="320">
        <v>6.0</v>
      </c>
      <c r="AW237" s="320">
        <v>34.0</v>
      </c>
      <c r="AX237" s="320">
        <v>2.0</v>
      </c>
      <c r="AY237" s="321">
        <f>iferror(VLOOKUP(C237,'ORDER BOOKING REPORT 2025-26'!C:O,13,0),"")</f>
        <v>96360</v>
      </c>
      <c r="AZ237" s="322"/>
      <c r="BA237" s="157" t="str">
        <f t="shared" si="7"/>
        <v>Active</v>
      </c>
      <c r="BB237" s="157" t="str">
        <f t="shared" si="8"/>
        <v>New</v>
      </c>
      <c r="BC237" s="157" t="str">
        <f t="shared" si="124"/>
        <v>Below 50%</v>
      </c>
      <c r="BD237" s="350">
        <f>(31-2)/31</f>
        <v>0.935483871</v>
      </c>
      <c r="BE237" s="323"/>
      <c r="BF237" s="359"/>
      <c r="BG237" s="157" t="s">
        <v>1019</v>
      </c>
      <c r="BH237" s="324"/>
      <c r="BI237" s="324"/>
      <c r="BJ237" s="356"/>
      <c r="BK237" s="326"/>
      <c r="BL237" s="326"/>
      <c r="BM237" s="326">
        <f t="shared" si="12"/>
        <v>0</v>
      </c>
      <c r="BN237" s="326"/>
      <c r="BO237" s="327" t="str">
        <f>IFERROR(__xludf.DUMMYFUNCTION("IFERROR(ArrayFormula(SUM(VLOOKUP($C237,importrange(""1MwNMVzWE3QBVOyJjKr3eFX-Sq1Ng0Q1sghWJbgbE_8g"",""ORDER BOOKING REPORT 2024-25!C:CV""),{16,23,30},0))))"),"")</f>
        <v/>
      </c>
      <c r="BP237" s="327" t="str">
        <f>IFERROR(__xludf.DUMMYFUNCTION("IFERROR(ArrayFormula(SUM(VLOOKUP($C237,importrange(""1MwNMVzWE3QBVOyJjKr3eFX-Sq1Ng0Q1sghWJbgbE_8g"",""ORDER BOOKING REPORT 2024-25!C:CV""),{37,44,51},0))))"),"")</f>
        <v/>
      </c>
      <c r="BQ237" s="327" t="str">
        <f>IFERROR(__xludf.DUMMYFUNCTION("IFERROR(ArrayFormula(SUM(VLOOKUP($C237,importrange(""1MwNMVzWE3QBVOyJjKr3eFX-Sq1Ng0Q1sghWJbgbE_8g"",""ORDER BOOKING REPORT 2024-25!C:CV""),{58,65,72},0))))"),"")</f>
        <v/>
      </c>
      <c r="BR237" s="327" t="str">
        <f>IFERROR(__xludf.DUMMYFUNCTION("IFERROR(ArrayFormula(SUM(VLOOKUP($C237,importrange(""1MwNMVzWE3QBVOyJjKr3eFX-Sq1Ng0Q1sghWJbgbE_8g"",""ORDER BOOKING REPORT 2024-25!C:CV""),{79,86,93},0))))"),"")</f>
        <v/>
      </c>
      <c r="BS237" s="328" t="str">
        <f t="shared" si="13"/>
        <v/>
      </c>
      <c r="BT237" s="328">
        <f t="shared" si="131"/>
        <v>0.4779934788</v>
      </c>
      <c r="BU237" s="234">
        <f t="shared" si="15"/>
        <v>0</v>
      </c>
      <c r="BV237" s="329"/>
      <c r="BW237" s="329"/>
      <c r="BX237" s="329"/>
      <c r="BY237" s="234"/>
      <c r="BZ237" s="234"/>
      <c r="CA237" s="234"/>
      <c r="CB237" s="234"/>
      <c r="CC237" s="234"/>
      <c r="CD237" s="234"/>
      <c r="CE237" s="234"/>
      <c r="CF237" s="234"/>
      <c r="CG237" s="234"/>
      <c r="CH237" s="234"/>
      <c r="CI237" s="328"/>
      <c r="CJ237" s="339">
        <f>IFERROR(__xludf.DUMMYFUNCTION("""COMPUTED_VALUE"""),9.0)</f>
        <v>9</v>
      </c>
      <c r="CK237" s="339">
        <f>IFERROR(__xludf.DUMMYFUNCTION("""COMPUTED_VALUE"""),57.0)</f>
        <v>57</v>
      </c>
      <c r="CL237" s="339">
        <f>IFERROR(__xludf.DUMMYFUNCTION("""COMPUTED_VALUE"""),0.0)</f>
        <v>0</v>
      </c>
      <c r="CM237" s="331">
        <f t="shared" si="21"/>
        <v>0</v>
      </c>
      <c r="CN237" s="340"/>
      <c r="CO237" s="328"/>
      <c r="CP237" s="341"/>
      <c r="CQ237" s="344"/>
      <c r="CR237" s="328"/>
      <c r="CS237" s="328"/>
      <c r="CT237" s="328"/>
      <c r="CU237" s="328"/>
      <c r="CV237" s="328"/>
      <c r="CW237" s="328"/>
      <c r="CX237" s="288"/>
      <c r="CY237" s="328"/>
      <c r="CZ237" s="328"/>
    </row>
    <row r="238">
      <c r="A238" s="157" t="s">
        <v>73</v>
      </c>
      <c r="B238" s="157" t="s">
        <v>76</v>
      </c>
      <c r="C238" s="157" t="s">
        <v>83</v>
      </c>
      <c r="D238" s="157" t="s">
        <v>76</v>
      </c>
      <c r="E238" s="157" t="s">
        <v>75</v>
      </c>
      <c r="F238" s="285">
        <v>46086.0</v>
      </c>
      <c r="G238" s="314">
        <v>0.0</v>
      </c>
      <c r="H238" s="314">
        <v>700000.0</v>
      </c>
      <c r="I238" s="315">
        <v>50841.5</v>
      </c>
      <c r="J238" s="315">
        <v>0.0</v>
      </c>
      <c r="K238" s="160">
        <v>6.0</v>
      </c>
      <c r="L238" s="160">
        <v>7.0</v>
      </c>
      <c r="M238" s="160">
        <v>1.0</v>
      </c>
      <c r="N238" s="160">
        <v>7.0</v>
      </c>
      <c r="O238" s="160">
        <v>0.0</v>
      </c>
      <c r="P238" s="315">
        <v>22461.5</v>
      </c>
      <c r="Q238" s="315">
        <v>28380.0</v>
      </c>
      <c r="R238" s="160">
        <v>1.0</v>
      </c>
      <c r="S238" s="160">
        <v>1.0</v>
      </c>
      <c r="T238" s="160">
        <v>2.0</v>
      </c>
      <c r="U238" s="160">
        <v>0.0</v>
      </c>
      <c r="V238" s="160">
        <v>48.0</v>
      </c>
      <c r="W238" s="160">
        <v>59.0</v>
      </c>
      <c r="X238" s="160">
        <v>5.0</v>
      </c>
      <c r="Y238" s="160">
        <v>1.0</v>
      </c>
      <c r="Z238" s="160">
        <v>2.0</v>
      </c>
      <c r="AA238" s="160">
        <v>0.0</v>
      </c>
      <c r="AB238" s="160">
        <v>0.0</v>
      </c>
      <c r="AC238" s="160">
        <v>0.0</v>
      </c>
      <c r="AD238" s="160">
        <v>0.0</v>
      </c>
      <c r="AE238" s="160">
        <v>12.0</v>
      </c>
      <c r="AF238" s="160">
        <v>73.0</v>
      </c>
      <c r="AG238" s="160">
        <v>13.0</v>
      </c>
      <c r="AH238" s="314">
        <f t="shared" si="2"/>
        <v>3910.884615</v>
      </c>
      <c r="AI238" s="314">
        <f t="shared" si="3"/>
        <v>5.615384615</v>
      </c>
      <c r="AJ238" s="346">
        <v>27260.0</v>
      </c>
      <c r="AK238" s="314">
        <f t="shared" si="63"/>
        <v>23742.58065</v>
      </c>
      <c r="AL238" s="286">
        <v>4450.0</v>
      </c>
      <c r="AM238" s="318">
        <f t="shared" si="5"/>
        <v>0.5545190572</v>
      </c>
      <c r="AN238" s="314">
        <f t="shared" si="6"/>
        <v>25420.75</v>
      </c>
      <c r="AO238" s="336">
        <f t="shared" si="135"/>
        <v>0.07263071429</v>
      </c>
      <c r="AP238" s="319">
        <v>0.0</v>
      </c>
      <c r="AQ238" s="160">
        <v>2.0</v>
      </c>
      <c r="AR238" s="160">
        <v>123.0</v>
      </c>
      <c r="AS238" s="160">
        <v>628.78</v>
      </c>
      <c r="AT238" s="160">
        <v>1.0</v>
      </c>
      <c r="AU238" s="160">
        <v>90.0</v>
      </c>
      <c r="AV238" s="320">
        <v>2.0</v>
      </c>
      <c r="AW238" s="320">
        <v>5.0</v>
      </c>
      <c r="AX238" s="320">
        <v>0.0</v>
      </c>
      <c r="AY238" s="321">
        <f>iferror(VLOOKUP(C238,'ORDER BOOKING REPORT 2025-26'!C:O,13,0),"")</f>
        <v>0</v>
      </c>
      <c r="AZ238" s="322"/>
      <c r="BA238" s="157" t="str">
        <f t="shared" si="7"/>
        <v>Active</v>
      </c>
      <c r="BB238" s="157" t="str">
        <f t="shared" si="8"/>
        <v>New</v>
      </c>
      <c r="BC238" s="157" t="str">
        <f t="shared" si="124"/>
        <v>Below 50%</v>
      </c>
      <c r="BD238" s="350">
        <f>(31-4)/31</f>
        <v>0.8709677419</v>
      </c>
      <c r="BE238" s="323">
        <v>700000.0</v>
      </c>
      <c r="BF238" s="359"/>
      <c r="BG238" s="157" t="s">
        <v>1019</v>
      </c>
      <c r="BH238" s="324"/>
      <c r="BI238" s="324"/>
      <c r="BJ238" s="356"/>
      <c r="BK238" s="326"/>
      <c r="BL238" s="326"/>
      <c r="BM238" s="326">
        <f t="shared" si="12"/>
        <v>700000</v>
      </c>
      <c r="BN238" s="326"/>
      <c r="BO238" s="327" t="str">
        <f>IFERROR(__xludf.DUMMYFUNCTION("IFERROR(ArrayFormula(SUM(VLOOKUP($C238,importrange(""1MwNMVzWE3QBVOyJjKr3eFX-Sq1Ng0Q1sghWJbgbE_8g"",""ORDER BOOKING REPORT 2024-25!C:CV""),{16,23,30},0))))"),"")</f>
        <v/>
      </c>
      <c r="BP238" s="327" t="str">
        <f>IFERROR(__xludf.DUMMYFUNCTION("IFERROR(ArrayFormula(SUM(VLOOKUP($C238,importrange(""1MwNMVzWE3QBVOyJjKr3eFX-Sq1Ng0Q1sghWJbgbE_8g"",""ORDER BOOKING REPORT 2024-25!C:CV""),{37,44,51},0))))"),"")</f>
        <v/>
      </c>
      <c r="BQ238" s="327" t="str">
        <f>IFERROR(__xludf.DUMMYFUNCTION("IFERROR(ArrayFormula(SUM(VLOOKUP($C238,importrange(""1MwNMVzWE3QBVOyJjKr3eFX-Sq1Ng0Q1sghWJbgbE_8g"",""ORDER BOOKING REPORT 2024-25!C:CV""),{58,65,72},0))))"),"")</f>
        <v/>
      </c>
      <c r="BR238" s="327" t="str">
        <f>IFERROR(__xludf.DUMMYFUNCTION("IFERROR(ArrayFormula(SUM(VLOOKUP($C238,importrange(""1MwNMVzWE3QBVOyJjKr3eFX-Sq1Ng0Q1sghWJbgbE_8g"",""ORDER BOOKING REPORT 2024-25!C:CV""),{79,86,93},0))))"),"")</f>
        <v/>
      </c>
      <c r="BS238" s="328">
        <f t="shared" si="13"/>
        <v>0</v>
      </c>
      <c r="BT238" s="328" t="str">
        <f t="shared" si="131"/>
        <v/>
      </c>
      <c r="BU238" s="234">
        <f t="shared" si="15"/>
        <v>0</v>
      </c>
      <c r="BV238" s="329"/>
      <c r="BW238" s="329"/>
      <c r="BX238" s="329"/>
      <c r="BY238" s="234"/>
      <c r="BZ238" s="234"/>
      <c r="CA238" s="234"/>
      <c r="CB238" s="234"/>
      <c r="CC238" s="234"/>
      <c r="CD238" s="234"/>
      <c r="CE238" s="234"/>
      <c r="CF238" s="234"/>
      <c r="CG238" s="234"/>
      <c r="CH238" s="234"/>
      <c r="CI238" s="328"/>
      <c r="CJ238" s="339">
        <f>IFERROR(__xludf.DUMMYFUNCTION("""COMPUTED_VALUE"""),4.0)</f>
        <v>4</v>
      </c>
      <c r="CK238" s="339">
        <f>IFERROR(__xludf.DUMMYFUNCTION("""COMPUTED_VALUE"""),8.0)</f>
        <v>8</v>
      </c>
      <c r="CL238" s="339">
        <f>IFERROR(__xludf.DUMMYFUNCTION("""COMPUTED_VALUE"""),0.0)</f>
        <v>0</v>
      </c>
      <c r="CM238" s="331">
        <f t="shared" si="21"/>
        <v>0</v>
      </c>
      <c r="CN238" s="340"/>
      <c r="CO238" s="328"/>
      <c r="CP238" s="341"/>
      <c r="CQ238" s="344"/>
      <c r="CR238" s="328"/>
      <c r="CS238" s="328"/>
      <c r="CT238" s="328"/>
      <c r="CU238" s="328"/>
      <c r="CV238" s="328"/>
      <c r="CW238" s="328"/>
      <c r="CX238" s="288"/>
      <c r="CY238" s="328"/>
      <c r="CZ238" s="328"/>
    </row>
    <row r="239">
      <c r="A239" s="157" t="s">
        <v>185</v>
      </c>
      <c r="B239" s="157" t="s">
        <v>189</v>
      </c>
      <c r="C239" s="157" t="s">
        <v>292</v>
      </c>
      <c r="D239" s="157" t="s">
        <v>1016</v>
      </c>
      <c r="E239" s="157" t="s">
        <v>293</v>
      </c>
      <c r="F239" s="285">
        <v>46087.0</v>
      </c>
      <c r="G239" s="314">
        <v>0.0</v>
      </c>
      <c r="H239" s="314">
        <v>0.0</v>
      </c>
      <c r="I239" s="315">
        <v>0.0</v>
      </c>
      <c r="J239" s="315">
        <v>0.0</v>
      </c>
      <c r="K239" s="160">
        <v>14.0</v>
      </c>
      <c r="L239" s="160">
        <v>17.0</v>
      </c>
      <c r="M239" s="160">
        <v>4.0</v>
      </c>
      <c r="N239" s="160">
        <v>18.0</v>
      </c>
      <c r="O239" s="160">
        <v>1.0</v>
      </c>
      <c r="P239" s="315">
        <v>0.0</v>
      </c>
      <c r="Q239" s="315">
        <v>0.0</v>
      </c>
      <c r="R239" s="160">
        <v>0.0</v>
      </c>
      <c r="S239" s="160">
        <v>0.0</v>
      </c>
      <c r="T239" s="160">
        <v>0.0</v>
      </c>
      <c r="U239" s="160">
        <v>0.0</v>
      </c>
      <c r="V239" s="160">
        <v>34.0</v>
      </c>
      <c r="W239" s="160">
        <v>59.0</v>
      </c>
      <c r="X239" s="160">
        <v>6.0</v>
      </c>
      <c r="Y239" s="160">
        <v>3.0</v>
      </c>
      <c r="Z239" s="160">
        <v>4.0</v>
      </c>
      <c r="AA239" s="160">
        <v>0.0</v>
      </c>
      <c r="AB239" s="160">
        <v>0.0</v>
      </c>
      <c r="AC239" s="160">
        <v>0.0</v>
      </c>
      <c r="AD239" s="160">
        <v>0.0</v>
      </c>
      <c r="AE239" s="160">
        <v>29.0</v>
      </c>
      <c r="AF239" s="160">
        <v>92.0</v>
      </c>
      <c r="AG239" s="160">
        <v>18.0</v>
      </c>
      <c r="AH239" s="314">
        <f t="shared" si="2"/>
        <v>0</v>
      </c>
      <c r="AI239" s="314">
        <f t="shared" si="3"/>
        <v>5.111111111</v>
      </c>
      <c r="AJ239" s="346">
        <v>42480.0</v>
      </c>
      <c r="AK239" s="314">
        <f t="shared" si="63"/>
        <v>35628.3871</v>
      </c>
      <c r="AL239" s="317">
        <v>9540.0</v>
      </c>
      <c r="AM239" s="318" t="str">
        <f t="shared" si="5"/>
        <v/>
      </c>
      <c r="AN239" s="314" t="str">
        <f t="shared" si="6"/>
        <v/>
      </c>
      <c r="AO239" s="336" t="str">
        <f t="shared" si="135"/>
        <v/>
      </c>
      <c r="AP239" s="319">
        <v>0.0</v>
      </c>
      <c r="AQ239" s="160">
        <v>0.0</v>
      </c>
      <c r="AR239" s="160">
        <v>135.0</v>
      </c>
      <c r="AS239" s="160">
        <v>589.05</v>
      </c>
      <c r="AT239" s="160">
        <v>0.0</v>
      </c>
      <c r="AU239" s="160">
        <v>35.0</v>
      </c>
      <c r="AV239" s="320">
        <v>0.0</v>
      </c>
      <c r="AW239" s="320">
        <v>17.0</v>
      </c>
      <c r="AX239" s="320">
        <v>1.0</v>
      </c>
      <c r="AY239" s="321">
        <f>iferror(VLOOKUP(C239,'ORDER BOOKING REPORT 2025-26'!C:O,13,0),"")</f>
        <v>0</v>
      </c>
      <c r="AZ239" s="322"/>
      <c r="BA239" s="157" t="str">
        <f t="shared" si="7"/>
        <v>Active</v>
      </c>
      <c r="BB239" s="157" t="str">
        <f t="shared" si="8"/>
        <v>New</v>
      </c>
      <c r="BC239" s="157" t="str">
        <f t="shared" si="124"/>
        <v>Below 50%</v>
      </c>
      <c r="BD239" s="350">
        <f>(31-5)/31</f>
        <v>0.8387096774</v>
      </c>
      <c r="BE239" s="323"/>
      <c r="BF239" s="359"/>
      <c r="BG239" s="157" t="s">
        <v>1019</v>
      </c>
      <c r="BH239" s="324"/>
      <c r="BI239" s="324"/>
      <c r="BJ239" s="356"/>
      <c r="BK239" s="326"/>
      <c r="BL239" s="326"/>
      <c r="BM239" s="326">
        <f t="shared" si="12"/>
        <v>0</v>
      </c>
      <c r="BN239" s="326"/>
      <c r="BO239" s="327" t="str">
        <f>IFERROR(__xludf.DUMMYFUNCTION("IFERROR(ArrayFormula(SUM(VLOOKUP($C239,importrange(""1MwNMVzWE3QBVOyJjKr3eFX-Sq1Ng0Q1sghWJbgbE_8g"",""ORDER BOOKING REPORT 2024-25!C:CV""),{16,23,30},0))))"),"")</f>
        <v/>
      </c>
      <c r="BP239" s="327" t="str">
        <f>IFERROR(__xludf.DUMMYFUNCTION("IFERROR(ArrayFormula(SUM(VLOOKUP($C239,importrange(""1MwNMVzWE3QBVOyJjKr3eFX-Sq1Ng0Q1sghWJbgbE_8g"",""ORDER BOOKING REPORT 2024-25!C:CV""),{37,44,51},0))))"),"")</f>
        <v/>
      </c>
      <c r="BQ239" s="327" t="str">
        <f>IFERROR(__xludf.DUMMYFUNCTION("IFERROR(ArrayFormula(SUM(VLOOKUP($C239,importrange(""1MwNMVzWE3QBVOyJjKr3eFX-Sq1Ng0Q1sghWJbgbE_8g"",""ORDER BOOKING REPORT 2024-25!C:CV""),{58,65,72},0))))"),"")</f>
        <v/>
      </c>
      <c r="BR239" s="327" t="str">
        <f>IFERROR(__xludf.DUMMYFUNCTION("IFERROR(ArrayFormula(SUM(VLOOKUP($C239,importrange(""1MwNMVzWE3QBVOyJjKr3eFX-Sq1Ng0Q1sghWJbgbE_8g"",""ORDER BOOKING REPORT 2024-25!C:CV""),{79,86,93},0))))"),"")</f>
        <v/>
      </c>
      <c r="BS239" s="328" t="str">
        <f t="shared" si="13"/>
        <v/>
      </c>
      <c r="BT239" s="328" t="str">
        <f t="shared" si="131"/>
        <v/>
      </c>
      <c r="BU239" s="234">
        <f t="shared" si="15"/>
        <v>0</v>
      </c>
      <c r="BV239" s="329"/>
      <c r="BW239" s="329"/>
      <c r="BX239" s="329"/>
      <c r="BY239" s="234"/>
      <c r="BZ239" s="234"/>
      <c r="CA239" s="234"/>
      <c r="CB239" s="234"/>
      <c r="CC239" s="234"/>
      <c r="CD239" s="234"/>
      <c r="CE239" s="234"/>
      <c r="CF239" s="234"/>
      <c r="CG239" s="234"/>
      <c r="CH239" s="234"/>
      <c r="CI239" s="328"/>
      <c r="CJ239" s="339">
        <f>IFERROR(__xludf.DUMMYFUNCTION("""COMPUTED_VALUE"""),0.0)</f>
        <v>0</v>
      </c>
      <c r="CK239" s="339">
        <f>IFERROR(__xludf.DUMMYFUNCTION("""COMPUTED_VALUE"""),29.0)</f>
        <v>29</v>
      </c>
      <c r="CL239" s="339">
        <f>IFERROR(__xludf.DUMMYFUNCTION("""COMPUTED_VALUE"""),0.0)</f>
        <v>0</v>
      </c>
      <c r="CM239" s="331">
        <f t="shared" si="21"/>
        <v>0</v>
      </c>
      <c r="CN239" s="340"/>
      <c r="CO239" s="328"/>
      <c r="CP239" s="341"/>
      <c r="CQ239" s="344"/>
      <c r="CR239" s="328"/>
      <c r="CS239" s="328"/>
      <c r="CT239" s="328"/>
      <c r="CU239" s="328"/>
      <c r="CV239" s="328"/>
      <c r="CW239" s="344"/>
      <c r="CX239" s="288"/>
      <c r="CY239" s="328"/>
      <c r="CZ239" s="328"/>
    </row>
    <row r="240">
      <c r="A240" s="157" t="s">
        <v>185</v>
      </c>
      <c r="B240" s="157" t="s">
        <v>222</v>
      </c>
      <c r="C240" s="157" t="s">
        <v>294</v>
      </c>
      <c r="D240" s="157" t="s">
        <v>1122</v>
      </c>
      <c r="E240" s="157" t="s">
        <v>295</v>
      </c>
      <c r="F240" s="285">
        <v>46093.0</v>
      </c>
      <c r="G240" s="314">
        <v>0.0</v>
      </c>
      <c r="H240" s="314">
        <v>0.0</v>
      </c>
      <c r="I240" s="315">
        <v>0.0</v>
      </c>
      <c r="J240" s="315">
        <v>0.0</v>
      </c>
      <c r="K240" s="160">
        <v>19.0</v>
      </c>
      <c r="L240" s="160">
        <v>19.0</v>
      </c>
      <c r="M240" s="160">
        <v>0.0</v>
      </c>
      <c r="N240" s="160">
        <v>19.0</v>
      </c>
      <c r="O240" s="160">
        <v>0.0</v>
      </c>
      <c r="P240" s="315">
        <v>0.0</v>
      </c>
      <c r="Q240" s="315">
        <v>0.0</v>
      </c>
      <c r="R240" s="160">
        <v>0.0</v>
      </c>
      <c r="S240" s="160">
        <v>0.0</v>
      </c>
      <c r="T240" s="160">
        <v>0.0</v>
      </c>
      <c r="U240" s="160">
        <v>0.0</v>
      </c>
      <c r="V240" s="160">
        <v>23.0</v>
      </c>
      <c r="W240" s="160">
        <v>30.0</v>
      </c>
      <c r="X240" s="160">
        <v>4.0</v>
      </c>
      <c r="Y240" s="160">
        <v>0.0</v>
      </c>
      <c r="Z240" s="160">
        <v>0.0</v>
      </c>
      <c r="AA240" s="160">
        <v>0.0</v>
      </c>
      <c r="AB240" s="160">
        <v>0.0</v>
      </c>
      <c r="AC240" s="160">
        <v>0.0</v>
      </c>
      <c r="AD240" s="160">
        <v>0.0</v>
      </c>
      <c r="AE240" s="160">
        <v>19.0</v>
      </c>
      <c r="AF240" s="160">
        <v>53.0</v>
      </c>
      <c r="AG240" s="160">
        <v>16.0</v>
      </c>
      <c r="AH240" s="314">
        <f t="shared" si="2"/>
        <v>0</v>
      </c>
      <c r="AI240" s="314">
        <f t="shared" si="3"/>
        <v>3.3125</v>
      </c>
      <c r="AJ240" s="346">
        <v>20000.0</v>
      </c>
      <c r="AK240" s="314">
        <f t="shared" si="63"/>
        <v>12903.22581</v>
      </c>
      <c r="AL240" s="317"/>
      <c r="AM240" s="318" t="str">
        <f t="shared" si="5"/>
        <v/>
      </c>
      <c r="AN240" s="314" t="str">
        <f t="shared" si="6"/>
        <v/>
      </c>
      <c r="AO240" s="336" t="str">
        <f t="shared" si="135"/>
        <v/>
      </c>
      <c r="AP240" s="319">
        <v>0.0</v>
      </c>
      <c r="AQ240" s="160">
        <v>0.0</v>
      </c>
      <c r="AR240" s="160">
        <v>147.0</v>
      </c>
      <c r="AS240" s="160">
        <v>773.05</v>
      </c>
      <c r="AT240" s="160">
        <v>0.0</v>
      </c>
      <c r="AU240" s="160">
        <v>41.0</v>
      </c>
      <c r="AV240" s="320">
        <v>0.0</v>
      </c>
      <c r="AW240" s="320">
        <v>19.0</v>
      </c>
      <c r="AX240" s="320">
        <v>1.0</v>
      </c>
      <c r="AY240" s="321">
        <f>iferror(VLOOKUP(C240,'ORDER BOOKING REPORT 2025-26'!C:O,13,0),"")</f>
        <v>0</v>
      </c>
      <c r="AZ240" s="322"/>
      <c r="BA240" s="157" t="str">
        <f t="shared" si="7"/>
        <v>Active</v>
      </c>
      <c r="BB240" s="157" t="str">
        <f t="shared" si="8"/>
        <v>New</v>
      </c>
      <c r="BC240" s="157" t="str">
        <f t="shared" si="124"/>
        <v>Below 50%</v>
      </c>
      <c r="BD240" s="350">
        <f>(31-11)/31</f>
        <v>0.6451612903</v>
      </c>
      <c r="BE240" s="323"/>
      <c r="BF240" s="359"/>
      <c r="BG240" s="157" t="s">
        <v>1019</v>
      </c>
      <c r="BH240" s="324"/>
      <c r="BI240" s="324"/>
      <c r="BJ240" s="356"/>
      <c r="BK240" s="326"/>
      <c r="BL240" s="326"/>
      <c r="BM240" s="326">
        <f t="shared" si="12"/>
        <v>0</v>
      </c>
      <c r="BN240" s="326"/>
      <c r="BO240" s="327" t="str">
        <f>IFERROR(__xludf.DUMMYFUNCTION("IFERROR(ArrayFormula(SUM(VLOOKUP($C240,importrange(""1MwNMVzWE3QBVOyJjKr3eFX-Sq1Ng0Q1sghWJbgbE_8g"",""ORDER BOOKING REPORT 2024-25!C:CV""),{16,23,30},0))))"),"")</f>
        <v/>
      </c>
      <c r="BP240" s="327" t="str">
        <f>IFERROR(__xludf.DUMMYFUNCTION("IFERROR(ArrayFormula(SUM(VLOOKUP($C240,importrange(""1MwNMVzWE3QBVOyJjKr3eFX-Sq1Ng0Q1sghWJbgbE_8g"",""ORDER BOOKING REPORT 2024-25!C:CV""),{37,44,51},0))))"),"")</f>
        <v/>
      </c>
      <c r="BQ240" s="327" t="str">
        <f>IFERROR(__xludf.DUMMYFUNCTION("IFERROR(ArrayFormula(SUM(VLOOKUP($C240,importrange(""1MwNMVzWE3QBVOyJjKr3eFX-Sq1Ng0Q1sghWJbgbE_8g"",""ORDER BOOKING REPORT 2024-25!C:CV""),{58,65,72},0))))"),"")</f>
        <v/>
      </c>
      <c r="BR240" s="327" t="str">
        <f>IFERROR(__xludf.DUMMYFUNCTION("IFERROR(ArrayFormula(SUM(VLOOKUP($C240,importrange(""1MwNMVzWE3QBVOyJjKr3eFX-Sq1Ng0Q1sghWJbgbE_8g"",""ORDER BOOKING REPORT 2024-25!C:CV""),{79,86,93},0))))"),"")</f>
        <v/>
      </c>
      <c r="BS240" s="328" t="str">
        <f t="shared" si="13"/>
        <v/>
      </c>
      <c r="BT240" s="328" t="str">
        <f t="shared" si="131"/>
        <v/>
      </c>
      <c r="BU240" s="234">
        <f t="shared" si="15"/>
        <v>0</v>
      </c>
      <c r="BV240" s="329"/>
      <c r="BW240" s="329"/>
      <c r="BX240" s="329"/>
      <c r="BY240" s="234"/>
      <c r="BZ240" s="234"/>
      <c r="CA240" s="234"/>
      <c r="CB240" s="234"/>
      <c r="CC240" s="234"/>
      <c r="CD240" s="234"/>
      <c r="CE240" s="234"/>
      <c r="CF240" s="234"/>
      <c r="CG240" s="234"/>
      <c r="CH240" s="234"/>
      <c r="CI240" s="328"/>
      <c r="CJ240" s="339">
        <f>IFERROR(__xludf.DUMMYFUNCTION("""COMPUTED_VALUE"""),0.0)</f>
        <v>0</v>
      </c>
      <c r="CK240" s="339">
        <f>IFERROR(__xludf.DUMMYFUNCTION("""COMPUTED_VALUE"""),19.0)</f>
        <v>19</v>
      </c>
      <c r="CL240" s="339">
        <f>IFERROR(__xludf.DUMMYFUNCTION("""COMPUTED_VALUE"""),0.0)</f>
        <v>0</v>
      </c>
      <c r="CM240" s="331">
        <f t="shared" si="21"/>
        <v>0</v>
      </c>
      <c r="CN240" s="340"/>
      <c r="CO240" s="328"/>
      <c r="CP240" s="341"/>
      <c r="CQ240" s="344"/>
      <c r="CR240" s="328"/>
      <c r="CS240" s="328"/>
      <c r="CT240" s="328"/>
      <c r="CU240" s="328"/>
      <c r="CV240" s="328"/>
      <c r="CW240" s="344"/>
      <c r="CX240" s="288"/>
      <c r="CY240" s="328"/>
      <c r="CZ240" s="328"/>
    </row>
    <row r="241">
      <c r="A241" s="157" t="s">
        <v>885</v>
      </c>
      <c r="B241" s="157" t="s">
        <v>96</v>
      </c>
      <c r="C241" s="157" t="s">
        <v>887</v>
      </c>
      <c r="D241" s="157" t="s">
        <v>1101</v>
      </c>
      <c r="E241" s="157" t="s">
        <v>1123</v>
      </c>
      <c r="F241" s="285">
        <v>46090.0</v>
      </c>
      <c r="G241" s="314">
        <v>0.0</v>
      </c>
      <c r="H241" s="314">
        <v>0.0</v>
      </c>
      <c r="I241" s="315">
        <v>0.0</v>
      </c>
      <c r="J241" s="315">
        <v>0.0</v>
      </c>
      <c r="K241" s="160">
        <v>0.0</v>
      </c>
      <c r="L241" s="160">
        <v>0.0</v>
      </c>
      <c r="M241" s="160">
        <v>0.0</v>
      </c>
      <c r="N241" s="160">
        <v>0.0</v>
      </c>
      <c r="O241" s="160">
        <v>0.0</v>
      </c>
      <c r="P241" s="315">
        <v>0.0</v>
      </c>
      <c r="Q241" s="315">
        <v>0.0</v>
      </c>
      <c r="R241" s="160">
        <v>0.0</v>
      </c>
      <c r="S241" s="160">
        <v>0.0</v>
      </c>
      <c r="T241" s="160">
        <v>0.0</v>
      </c>
      <c r="U241" s="160">
        <v>0.0</v>
      </c>
      <c r="V241" s="160">
        <v>0.0</v>
      </c>
      <c r="W241" s="160">
        <v>0.0</v>
      </c>
      <c r="X241" s="160">
        <v>0.0</v>
      </c>
      <c r="Y241" s="160">
        <v>0.0</v>
      </c>
      <c r="Z241" s="160">
        <v>0.0</v>
      </c>
      <c r="AA241" s="160">
        <v>0.0</v>
      </c>
      <c r="AB241" s="160">
        <v>0.0</v>
      </c>
      <c r="AC241" s="160">
        <v>8.0</v>
      </c>
      <c r="AD241" s="160">
        <v>25.0</v>
      </c>
      <c r="AE241" s="160">
        <v>0.0</v>
      </c>
      <c r="AF241" s="160">
        <v>25.0</v>
      </c>
      <c r="AG241" s="160">
        <v>11.0</v>
      </c>
      <c r="AH241" s="314">
        <f t="shared" si="2"/>
        <v>0</v>
      </c>
      <c r="AI241" s="314">
        <f t="shared" si="3"/>
        <v>2.272727273</v>
      </c>
      <c r="AJ241" s="346">
        <v>38810.0</v>
      </c>
      <c r="AK241" s="314">
        <f t="shared" si="63"/>
        <v>28794.51613</v>
      </c>
      <c r="AL241" s="286">
        <v>2988.0</v>
      </c>
      <c r="AM241" s="318" t="str">
        <f t="shared" si="5"/>
        <v/>
      </c>
      <c r="AN241" s="314" t="str">
        <f t="shared" si="6"/>
        <v/>
      </c>
      <c r="AO241" s="336" t="str">
        <f t="shared" si="135"/>
        <v/>
      </c>
      <c r="AP241" s="319">
        <v>0.0</v>
      </c>
      <c r="AQ241" s="160">
        <v>0.0</v>
      </c>
      <c r="AR241" s="160">
        <v>150.0</v>
      </c>
      <c r="AS241" s="160">
        <v>318.37</v>
      </c>
      <c r="AT241" s="160">
        <v>0.0</v>
      </c>
      <c r="AU241" s="160">
        <v>0.0</v>
      </c>
      <c r="AV241" s="320">
        <v>0.0</v>
      </c>
      <c r="AW241" s="320">
        <v>0.0</v>
      </c>
      <c r="AX241" s="320">
        <v>0.0</v>
      </c>
      <c r="AY241" s="321" t="str">
        <f>iferror(VLOOKUP(C241,'ORDER BOOKING REPORT 2025-26'!C:O,13,0),"")</f>
        <v/>
      </c>
      <c r="AZ241" s="322"/>
      <c r="BA241" s="157" t="str">
        <f t="shared" si="7"/>
        <v>Active</v>
      </c>
      <c r="BB241" s="157" t="str">
        <f t="shared" si="8"/>
        <v>New</v>
      </c>
      <c r="BC241" s="157" t="str">
        <f t="shared" si="124"/>
        <v>Below 50%</v>
      </c>
      <c r="BD241" s="350">
        <f>(31-8)/31</f>
        <v>0.7419354839</v>
      </c>
      <c r="BE241" s="323"/>
      <c r="BF241" s="359"/>
      <c r="BG241" s="157" t="s">
        <v>1019</v>
      </c>
      <c r="BH241" s="324"/>
      <c r="BI241" s="324"/>
      <c r="BJ241" s="356"/>
      <c r="BK241" s="326"/>
      <c r="BL241" s="326"/>
      <c r="BM241" s="326">
        <f t="shared" si="12"/>
        <v>0</v>
      </c>
      <c r="BN241" s="326"/>
      <c r="BO241" s="327" t="str">
        <f>IFERROR(__xludf.DUMMYFUNCTION("IFERROR(ArrayFormula(SUM(VLOOKUP($C241,importrange(""1MwNMVzWE3QBVOyJjKr3eFX-Sq1Ng0Q1sghWJbgbE_8g"",""ORDER BOOKING REPORT 2024-25!C:CV""),{16,23,30},0))))"),"")</f>
        <v/>
      </c>
      <c r="BP241" s="327" t="str">
        <f>IFERROR(__xludf.DUMMYFUNCTION("IFERROR(ArrayFormula(SUM(VLOOKUP($C241,importrange(""1MwNMVzWE3QBVOyJjKr3eFX-Sq1Ng0Q1sghWJbgbE_8g"",""ORDER BOOKING REPORT 2024-25!C:CV""),{37,44,51},0))))"),"")</f>
        <v/>
      </c>
      <c r="BQ241" s="327" t="str">
        <f>IFERROR(__xludf.DUMMYFUNCTION("IFERROR(ArrayFormula(SUM(VLOOKUP($C241,importrange(""1MwNMVzWE3QBVOyJjKr3eFX-Sq1Ng0Q1sghWJbgbE_8g"",""ORDER BOOKING REPORT 2024-25!C:CV""),{58,65,72},0))))"),"")</f>
        <v/>
      </c>
      <c r="BR241" s="327" t="str">
        <f>IFERROR(__xludf.DUMMYFUNCTION("IFERROR(ArrayFormula(SUM(VLOOKUP($C241,importrange(""1MwNMVzWE3QBVOyJjKr3eFX-Sq1Ng0Q1sghWJbgbE_8g"",""ORDER BOOKING REPORT 2024-25!C:CV""),{79,86,93},0))))"),"")</f>
        <v/>
      </c>
      <c r="BS241" s="328" t="str">
        <f t="shared" si="13"/>
        <v/>
      </c>
      <c r="BT241" s="328" t="str">
        <f t="shared" si="131"/>
        <v/>
      </c>
      <c r="BU241" s="234">
        <f t="shared" si="15"/>
        <v>0</v>
      </c>
      <c r="BV241" s="329"/>
      <c r="BW241" s="329"/>
      <c r="BX241" s="329"/>
      <c r="BY241" s="234"/>
      <c r="BZ241" s="234"/>
      <c r="CA241" s="234"/>
      <c r="CB241" s="234"/>
      <c r="CC241" s="234"/>
      <c r="CD241" s="234"/>
      <c r="CE241" s="234"/>
      <c r="CF241" s="234"/>
      <c r="CG241" s="234"/>
      <c r="CH241" s="234"/>
      <c r="CI241" s="328"/>
      <c r="CJ241" s="339"/>
      <c r="CK241" s="339"/>
      <c r="CL241" s="339"/>
      <c r="CM241" s="331">
        <f t="shared" si="21"/>
        <v>0</v>
      </c>
      <c r="CN241" s="340"/>
      <c r="CO241" s="328"/>
      <c r="CP241" s="341"/>
      <c r="CQ241" s="344"/>
      <c r="CR241" s="328"/>
      <c r="CS241" s="328"/>
      <c r="CT241" s="328"/>
      <c r="CU241" s="328"/>
      <c r="CV241" s="328"/>
      <c r="CW241" s="328"/>
      <c r="CX241" s="288"/>
      <c r="CY241" s="328"/>
      <c r="CZ241" s="328"/>
    </row>
    <row r="242">
      <c r="A242" s="157" t="s">
        <v>53</v>
      </c>
      <c r="B242" s="157" t="s">
        <v>61</v>
      </c>
      <c r="C242" s="157" t="s">
        <v>72</v>
      </c>
      <c r="D242" s="157" t="s">
        <v>1077</v>
      </c>
      <c r="E242" s="157" t="s">
        <v>67</v>
      </c>
      <c r="F242" s="285">
        <v>46099.0</v>
      </c>
      <c r="G242" s="314">
        <v>0.0</v>
      </c>
      <c r="H242" s="314">
        <v>200000.0</v>
      </c>
      <c r="I242" s="315">
        <v>0.0</v>
      </c>
      <c r="J242" s="315">
        <v>0.0</v>
      </c>
      <c r="K242" s="160">
        <v>11.0</v>
      </c>
      <c r="L242" s="160">
        <v>9.0</v>
      </c>
      <c r="M242" s="160">
        <v>0.0</v>
      </c>
      <c r="N242" s="160">
        <v>11.0</v>
      </c>
      <c r="O242" s="160">
        <v>2.0</v>
      </c>
      <c r="P242" s="315">
        <v>0.0</v>
      </c>
      <c r="Q242" s="315">
        <v>0.0</v>
      </c>
      <c r="R242" s="160">
        <v>0.0</v>
      </c>
      <c r="S242" s="160">
        <v>0.0</v>
      </c>
      <c r="T242" s="160">
        <v>0.0</v>
      </c>
      <c r="U242" s="160">
        <v>0.0</v>
      </c>
      <c r="V242" s="160">
        <v>32.0</v>
      </c>
      <c r="W242" s="160">
        <v>32.0</v>
      </c>
      <c r="X242" s="160">
        <v>26.0</v>
      </c>
      <c r="Y242" s="160">
        <v>1.0</v>
      </c>
      <c r="Z242" s="160">
        <v>1.0</v>
      </c>
      <c r="AA242" s="160">
        <v>0.0</v>
      </c>
      <c r="AB242" s="160">
        <v>0.0</v>
      </c>
      <c r="AC242" s="160">
        <v>1.0</v>
      </c>
      <c r="AD242" s="160">
        <v>1.0</v>
      </c>
      <c r="AE242" s="160">
        <v>9.0</v>
      </c>
      <c r="AF242" s="160">
        <v>43.0</v>
      </c>
      <c r="AG242" s="160">
        <v>7.0</v>
      </c>
      <c r="AH242" s="314">
        <f t="shared" si="2"/>
        <v>0</v>
      </c>
      <c r="AI242" s="314">
        <f t="shared" si="3"/>
        <v>6.142857143</v>
      </c>
      <c r="AJ242" s="346">
        <v>33050.0</v>
      </c>
      <c r="AK242" s="314">
        <f t="shared" si="63"/>
        <v>14925.80645</v>
      </c>
      <c r="AL242" s="286">
        <v>8652.0</v>
      </c>
      <c r="AM242" s="318" t="str">
        <f t="shared" si="5"/>
        <v/>
      </c>
      <c r="AN242" s="314" t="str">
        <f t="shared" si="6"/>
        <v/>
      </c>
      <c r="AO242" s="336">
        <f t="shared" si="135"/>
        <v>0</v>
      </c>
      <c r="AP242" s="319">
        <v>0.0</v>
      </c>
      <c r="AQ242" s="160">
        <v>0.0</v>
      </c>
      <c r="AR242" s="160">
        <v>68.0</v>
      </c>
      <c r="AS242" s="160">
        <v>909.81</v>
      </c>
      <c r="AT242" s="160">
        <v>0.0</v>
      </c>
      <c r="AU242" s="160">
        <v>101.0</v>
      </c>
      <c r="AV242" s="320">
        <v>0.0</v>
      </c>
      <c r="AW242" s="320">
        <v>9.0</v>
      </c>
      <c r="AX242" s="320">
        <v>2.0</v>
      </c>
      <c r="AY242" s="321">
        <f>iferror(VLOOKUP(C242,'ORDER BOOKING REPORT 2025-26'!C:O,13,0),"")</f>
        <v>0</v>
      </c>
      <c r="AZ242" s="322"/>
      <c r="BA242" s="157" t="str">
        <f t="shared" si="7"/>
        <v>Active</v>
      </c>
      <c r="BB242" s="157" t="str">
        <f t="shared" si="8"/>
        <v>New</v>
      </c>
      <c r="BC242" s="157" t="str">
        <f t="shared" si="124"/>
        <v>Below 50%</v>
      </c>
      <c r="BD242" s="350">
        <f>(31-17)/31</f>
        <v>0.4516129032</v>
      </c>
      <c r="BE242" s="323">
        <v>200000.0</v>
      </c>
      <c r="BF242" s="359"/>
      <c r="BG242" s="157" t="s">
        <v>1019</v>
      </c>
      <c r="BH242" s="324"/>
      <c r="BI242" s="324"/>
      <c r="BJ242" s="356"/>
      <c r="BK242" s="326"/>
      <c r="BL242" s="326"/>
      <c r="BM242" s="326">
        <f t="shared" si="12"/>
        <v>200000</v>
      </c>
      <c r="BN242" s="326"/>
      <c r="BO242" s="327" t="str">
        <f>IFERROR(__xludf.DUMMYFUNCTION("IFERROR(ArrayFormula(SUM(VLOOKUP($C242,importrange(""1MwNMVzWE3QBVOyJjKr3eFX-Sq1Ng0Q1sghWJbgbE_8g"",""ORDER BOOKING REPORT 2024-25!C:CV""),{16,23,30},0))))"),"")</f>
        <v/>
      </c>
      <c r="BP242" s="327" t="str">
        <f>IFERROR(__xludf.DUMMYFUNCTION("IFERROR(ArrayFormula(SUM(VLOOKUP($C242,importrange(""1MwNMVzWE3QBVOyJjKr3eFX-Sq1Ng0Q1sghWJbgbE_8g"",""ORDER BOOKING REPORT 2024-25!C:CV""),{37,44,51},0))))"),"")</f>
        <v/>
      </c>
      <c r="BQ242" s="327" t="str">
        <f>IFERROR(__xludf.DUMMYFUNCTION("IFERROR(ArrayFormula(SUM(VLOOKUP($C242,importrange(""1MwNMVzWE3QBVOyJjKr3eFX-Sq1Ng0Q1sghWJbgbE_8g"",""ORDER BOOKING REPORT 2024-25!C:CV""),{58,65,72},0))))"),"")</f>
        <v/>
      </c>
      <c r="BR242" s="327" t="str">
        <f>IFERROR(__xludf.DUMMYFUNCTION("IFERROR(ArrayFormula(SUM(VLOOKUP($C242,importrange(""1MwNMVzWE3QBVOyJjKr3eFX-Sq1Ng0Q1sghWJbgbE_8g"",""ORDER BOOKING REPORT 2024-25!C:CV""),{79,86,93},0))))"),"")</f>
        <v/>
      </c>
      <c r="BS242" s="328">
        <f t="shared" si="13"/>
        <v>0</v>
      </c>
      <c r="BT242" s="328" t="str">
        <f t="shared" si="131"/>
        <v/>
      </c>
      <c r="BU242" s="234">
        <f t="shared" si="15"/>
        <v>0</v>
      </c>
      <c r="BV242" s="329"/>
      <c r="BW242" s="329"/>
      <c r="BX242" s="329"/>
      <c r="BY242" s="234"/>
      <c r="BZ242" s="234"/>
      <c r="CA242" s="234"/>
      <c r="CB242" s="234"/>
      <c r="CC242" s="234"/>
      <c r="CD242" s="234"/>
      <c r="CE242" s="234"/>
      <c r="CF242" s="234"/>
      <c r="CG242" s="234"/>
      <c r="CH242" s="234"/>
      <c r="CI242" s="328"/>
      <c r="CJ242" s="339">
        <f>IFERROR(__xludf.DUMMYFUNCTION("""COMPUTED_VALUE"""),0.0)</f>
        <v>0</v>
      </c>
      <c r="CK242" s="339">
        <f>IFERROR(__xludf.DUMMYFUNCTION("""COMPUTED_VALUE"""),9.0)</f>
        <v>9</v>
      </c>
      <c r="CL242" s="339">
        <f>IFERROR(__xludf.DUMMYFUNCTION("""COMPUTED_VALUE"""),0.0)</f>
        <v>0</v>
      </c>
      <c r="CM242" s="331">
        <f t="shared" si="21"/>
        <v>0</v>
      </c>
      <c r="CN242" s="340"/>
      <c r="CO242" s="328"/>
      <c r="CP242" s="341"/>
      <c r="CQ242" s="344"/>
      <c r="CR242" s="328"/>
      <c r="CS242" s="328"/>
      <c r="CT242" s="328"/>
      <c r="CU242" s="328"/>
      <c r="CV242" s="328"/>
      <c r="CW242" s="328"/>
      <c r="CX242" s="288"/>
      <c r="CY242" s="328"/>
      <c r="CZ242" s="328"/>
    </row>
    <row r="243">
      <c r="A243" s="157" t="s">
        <v>185</v>
      </c>
      <c r="B243" s="157" t="s">
        <v>189</v>
      </c>
      <c r="C243" s="157" t="s">
        <v>296</v>
      </c>
      <c r="D243" s="157" t="s">
        <v>1016</v>
      </c>
      <c r="E243" s="157" t="s">
        <v>297</v>
      </c>
      <c r="F243" s="285">
        <v>46101.0</v>
      </c>
      <c r="G243" s="314">
        <v>0.0</v>
      </c>
      <c r="H243" s="314">
        <v>0.0</v>
      </c>
      <c r="I243" s="315">
        <v>0.0</v>
      </c>
      <c r="J243" s="315">
        <v>0.0</v>
      </c>
      <c r="K243" s="160">
        <v>0.0</v>
      </c>
      <c r="L243" s="160">
        <v>0.0</v>
      </c>
      <c r="M243" s="160">
        <v>0.0</v>
      </c>
      <c r="N243" s="160">
        <v>14.0</v>
      </c>
      <c r="O243" s="160">
        <v>14.0</v>
      </c>
      <c r="P243" s="315">
        <v>0.0</v>
      </c>
      <c r="Q243" s="315">
        <v>0.0</v>
      </c>
      <c r="R243" s="160">
        <v>0.0</v>
      </c>
      <c r="S243" s="160">
        <v>0.0</v>
      </c>
      <c r="T243" s="160">
        <v>0.0</v>
      </c>
      <c r="U243" s="160">
        <v>0.0</v>
      </c>
      <c r="V243" s="160">
        <v>0.0</v>
      </c>
      <c r="W243" s="160">
        <v>0.0</v>
      </c>
      <c r="X243" s="160">
        <v>0.0</v>
      </c>
      <c r="Y243" s="160">
        <v>1.0</v>
      </c>
      <c r="Z243" s="160">
        <v>1.0</v>
      </c>
      <c r="AA243" s="160">
        <v>0.0</v>
      </c>
      <c r="AB243" s="160">
        <v>0.0</v>
      </c>
      <c r="AC243" s="160">
        <v>0.0</v>
      </c>
      <c r="AD243" s="160">
        <v>0.0</v>
      </c>
      <c r="AE243" s="160">
        <v>0.0</v>
      </c>
      <c r="AF243" s="160">
        <v>0.0</v>
      </c>
      <c r="AG243" s="160">
        <v>10.0</v>
      </c>
      <c r="AH243" s="314">
        <f t="shared" si="2"/>
        <v>0</v>
      </c>
      <c r="AI243" s="314">
        <f t="shared" si="3"/>
        <v>0</v>
      </c>
      <c r="AJ243" s="346">
        <v>36715.0</v>
      </c>
      <c r="AK243" s="314">
        <f t="shared" si="63"/>
        <v>14212.25806</v>
      </c>
      <c r="AL243" s="317">
        <v>5285.0</v>
      </c>
      <c r="AM243" s="318" t="str">
        <f t="shared" si="5"/>
        <v/>
      </c>
      <c r="AN243" s="314" t="str">
        <f t="shared" si="6"/>
        <v/>
      </c>
      <c r="AO243" s="336" t="str">
        <f t="shared" si="135"/>
        <v/>
      </c>
      <c r="AP243" s="319">
        <v>0.0</v>
      </c>
      <c r="AQ243" s="160">
        <v>0.0</v>
      </c>
      <c r="AR243" s="160">
        <v>28.0</v>
      </c>
      <c r="AS243" s="160">
        <v>305.61</v>
      </c>
      <c r="AT243" s="160">
        <v>0.0</v>
      </c>
      <c r="AU243" s="160">
        <v>0.0</v>
      </c>
      <c r="AV243" s="320">
        <v>0.0</v>
      </c>
      <c r="AW243" s="320">
        <v>0.0</v>
      </c>
      <c r="AX243" s="320">
        <v>14.0</v>
      </c>
      <c r="AY243" s="321">
        <f>iferror(VLOOKUP(C243,'ORDER BOOKING REPORT 2025-26'!C:O,13,0),"")</f>
        <v>0</v>
      </c>
      <c r="AZ243" s="322"/>
      <c r="BA243" s="157" t="str">
        <f t="shared" si="7"/>
        <v>Active</v>
      </c>
      <c r="BB243" s="157" t="str">
        <f t="shared" si="8"/>
        <v>New</v>
      </c>
      <c r="BC243" s="157" t="str">
        <f t="shared" si="124"/>
        <v>Below 50%</v>
      </c>
      <c r="BD243" s="350">
        <f>(31-19)/31</f>
        <v>0.3870967742</v>
      </c>
      <c r="BE243" s="323"/>
      <c r="BF243" s="359"/>
      <c r="BG243" s="157" t="s">
        <v>1019</v>
      </c>
      <c r="BH243" s="324"/>
      <c r="BI243" s="324"/>
      <c r="BJ243" s="356"/>
      <c r="BK243" s="326"/>
      <c r="BL243" s="326"/>
      <c r="BM243" s="326">
        <f t="shared" si="12"/>
        <v>0</v>
      </c>
      <c r="BN243" s="326"/>
      <c r="BO243" s="327" t="str">
        <f>IFERROR(__xludf.DUMMYFUNCTION("IFERROR(ArrayFormula(SUM(VLOOKUP($C243,importrange(""1MwNMVzWE3QBVOyJjKr3eFX-Sq1Ng0Q1sghWJbgbE_8g"",""ORDER BOOKING REPORT 2024-25!C:CV""),{16,23,30},0))))"),"")</f>
        <v/>
      </c>
      <c r="BP243" s="327" t="str">
        <f>IFERROR(__xludf.DUMMYFUNCTION("IFERROR(ArrayFormula(SUM(VLOOKUP($C243,importrange(""1MwNMVzWE3QBVOyJjKr3eFX-Sq1Ng0Q1sghWJbgbE_8g"",""ORDER BOOKING REPORT 2024-25!C:CV""),{37,44,51},0))))"),"")</f>
        <v/>
      </c>
      <c r="BQ243" s="327" t="str">
        <f>IFERROR(__xludf.DUMMYFUNCTION("IFERROR(ArrayFormula(SUM(VLOOKUP($C243,importrange(""1MwNMVzWE3QBVOyJjKr3eFX-Sq1Ng0Q1sghWJbgbE_8g"",""ORDER BOOKING REPORT 2024-25!C:CV""),{58,65,72},0))))"),"")</f>
        <v/>
      </c>
      <c r="BR243" s="327" t="str">
        <f>IFERROR(__xludf.DUMMYFUNCTION("IFERROR(ArrayFormula(SUM(VLOOKUP($C243,importrange(""1MwNMVzWE3QBVOyJjKr3eFX-Sq1Ng0Q1sghWJbgbE_8g"",""ORDER BOOKING REPORT 2024-25!C:CV""),{79,86,93},0))))"),"")</f>
        <v/>
      </c>
      <c r="BS243" s="328" t="str">
        <f t="shared" si="13"/>
        <v/>
      </c>
      <c r="BT243" s="328" t="str">
        <f t="shared" si="131"/>
        <v/>
      </c>
      <c r="BU243" s="234">
        <f t="shared" si="15"/>
        <v>0</v>
      </c>
      <c r="BV243" s="329"/>
      <c r="BW243" s="329"/>
      <c r="BX243" s="329"/>
      <c r="BY243" s="234"/>
      <c r="BZ243" s="234"/>
      <c r="CA243" s="234"/>
      <c r="CB243" s="234"/>
      <c r="CC243" s="234"/>
      <c r="CD243" s="234"/>
      <c r="CE243" s="234"/>
      <c r="CF243" s="234"/>
      <c r="CG243" s="234"/>
      <c r="CH243" s="234"/>
      <c r="CI243" s="328"/>
      <c r="CJ243" s="339">
        <f>IFERROR(__xludf.DUMMYFUNCTION("""COMPUTED_VALUE"""),0.0)</f>
        <v>0</v>
      </c>
      <c r="CK243" s="339">
        <f>IFERROR(__xludf.DUMMYFUNCTION("""COMPUTED_VALUE"""),0.0)</f>
        <v>0</v>
      </c>
      <c r="CL243" s="339">
        <f>IFERROR(__xludf.DUMMYFUNCTION("""COMPUTED_VALUE"""),0.0)</f>
        <v>0</v>
      </c>
      <c r="CM243" s="331">
        <f t="shared" si="21"/>
        <v>0</v>
      </c>
      <c r="CN243" s="340"/>
      <c r="CO243" s="328"/>
      <c r="CP243" s="341"/>
      <c r="CQ243" s="344"/>
      <c r="CR243" s="328"/>
      <c r="CS243" s="328"/>
      <c r="CT243" s="328"/>
      <c r="CU243" s="328"/>
      <c r="CV243" s="328"/>
      <c r="CW243" s="344"/>
      <c r="CX243" s="288"/>
      <c r="CY243" s="328"/>
      <c r="CZ243" s="328"/>
    </row>
  </sheetData>
  <customSheetViews>
    <customSheetView guid="{6F39B726-1519-493A-B9B9-FBC9C930E6F0}" filter="1" showAutoFilter="1">
      <autoFilter ref="$A$2:$CF$243">
        <filterColumn colId="7">
          <filters>
            <filter val="19599996"/>
            <filter val="26499996"/>
            <filter val="4900000"/>
            <filter val="150000000"/>
            <filter val="20000004"/>
            <filter val="14400000"/>
            <filter val="6520000"/>
            <filter val="14850000"/>
            <filter val="23499996"/>
            <filter val="27999996"/>
            <filter val="9999996"/>
            <filter val="4355555"/>
            <filter val="4374194"/>
            <filter val="21120000"/>
            <filter val="16000000"/>
            <filter val="21500004"/>
            <filter val="2000000"/>
            <filter val="0"/>
            <filter val="45600000"/>
            <filter val="200000"/>
            <filter val="6400000"/>
            <filter val="30000000"/>
            <filter val="8000000"/>
            <filter val="48000000"/>
            <filter val="27500000"/>
            <filter val="23375000"/>
            <filter val="15860000"/>
            <filter val="15000003"/>
            <filter val="81999996"/>
            <filter val="17800000"/>
            <filter val="46400004"/>
            <filter val="32472000"/>
            <filter val="4000002"/>
            <filter val="8164000"/>
            <filter val="21600000"/>
            <filter val="16500000"/>
            <filter val="54000000"/>
            <filter val="16666670"/>
            <filter val="24999996"/>
            <filter val="102000000"/>
            <filter val="11200000"/>
            <filter val="14000004"/>
            <filter val="89000004"/>
            <filter val="11800000"/>
            <filter val="9940000"/>
            <filter val="1412903"/>
            <filter val="29799996"/>
            <filter val="15599997"/>
            <filter val="15600000"/>
            <filter val="17500000"/>
            <filter val="60600000"/>
            <filter val="78696000"/>
            <filter val="14324000"/>
            <filter val="63999996"/>
            <filter val="23600004"/>
            <filter val="19800000"/>
            <filter val="10500000"/>
            <filter val="5833331"/>
            <filter val="12650000"/>
            <filter val="42000000"/>
            <filter val="20400000"/>
            <filter val="16800000"/>
            <filter val="1500000"/>
            <filter val="23400000"/>
            <filter val="15200000"/>
            <filter val="12665002"/>
            <filter val="18999996"/>
            <filter val="12500004"/>
            <filter val="3800000"/>
            <filter val="22299996"/>
            <filter val="40599996"/>
            <filter val="700000"/>
            <filter val="21999996"/>
            <filter val="31500000"/>
            <filter val="39999996"/>
            <filter val="7000000"/>
            <filter val="2500000"/>
            <filter val="8903226"/>
            <filter val="1714286"/>
            <filter val="25200000"/>
            <filter val="45999996"/>
            <filter val="18000000"/>
          </filters>
        </filterColumn>
        <filterColumn colId="51">
          <filters blank="1">
            <filter val="28-Feb-26"/>
            <filter val="08-Oct-25"/>
            <filter val="05-Jan-26"/>
            <filter val="10-Mar-26"/>
            <filter val="24-Feb-26"/>
            <filter val="23-Mar-26"/>
            <filter val="31-Mar-26"/>
            <filter val="31-Dec-25"/>
            <filter val="19-Dec-25"/>
            <filter val="31-Jan-26"/>
            <filter val="17-Dec-25"/>
            <filter val="13-Aug-25"/>
            <filter val="20-Nov-25"/>
            <filter val="31-Aug-25"/>
            <filter val="06-Aug-25"/>
            <filter val="08-Aug-25"/>
            <filter val="24-Nov-25"/>
            <filter val="31-May-25"/>
            <filter val="11-Nov-25"/>
            <filter val="31-Oct-25"/>
            <filter val="13-Jan-26"/>
            <filter val="14-Oct-25"/>
            <filter val="13-Oct-25"/>
            <filter val="08-Jan-26"/>
            <filter val="15-Jul-25"/>
            <filter val="30-Jun-25"/>
            <filter val="16-Dec-25"/>
            <filter val="11-Jul-25"/>
            <filter val="18-Dec-25"/>
            <filter val="13-Sep-25"/>
            <filter val="11-Sep-25"/>
            <filter val="30-Nov-25"/>
            <filter val="18-Aug-25"/>
            <filter val="12-Aug-25"/>
            <filter val="10-Nov-25"/>
          </filters>
        </filterColumn>
        <filterColumn colId="1">
          <filters>
            <filter val="Bihar"/>
            <filter val="Delhi"/>
            <filter val="Gujarat"/>
            <filter val="Telangana"/>
            <filter val="Madhya Pradesh"/>
            <filter val="Andhra Pradesh"/>
            <filter val="Tamil Nadu"/>
            <filter val="Karnataka"/>
            <filter val="Odisha"/>
            <filter val="Maharashtra 2"/>
            <filter val="West Bengal"/>
            <filter val="Maharashtra"/>
            <filter val="Chattisgarh"/>
            <filter val="JAMMU AND KASHMIR"/>
            <filter val="East U.P"/>
            <filter val="West U.P"/>
            <filter val="Rajasthan"/>
            <filter val="Jharkhand"/>
            <filter val="Haryana"/>
            <filter val="Uttarakhand"/>
            <filter val="North East"/>
            <filter val="Delhi NCR"/>
          </filters>
        </filterColumn>
        <filterColumn colId="58">
          <filters>
            <filter val="Secondary"/>
          </filters>
        </filterColumn>
      </autoFilter>
    </customSheetView>
    <customSheetView guid="{4D1B4C31-C4EA-4951-9FAC-8F1A6BB219DA}" filter="1" showAutoFilter="1">
      <autoFilter ref="$A$1:$CF$243"/>
    </customSheetView>
    <customSheetView guid="{6F89D02B-F1BE-4BF9-BE0C-E7946ACCB294}" filter="1" showAutoFilter="1">
      <autoFilter ref="$A$2:$CF$243">
        <filterColumn colId="51">
          <filters blank="1">
            <filter val="28-Feb-26"/>
            <filter val="08-Oct-25"/>
            <filter val="05-Jan-26"/>
            <filter val="10-Mar-26"/>
            <filter val="24-Feb-26"/>
            <filter val="23-Mar-26"/>
            <filter val="31-Mar-26"/>
            <filter val="31-Dec-25"/>
            <filter val="19-Dec-25"/>
            <filter val="31-Jan-26"/>
            <filter val="17-Dec-25"/>
            <filter val="20-Nov-25"/>
            <filter val="24-Nov-25"/>
            <filter val="11-Nov-25"/>
            <filter val="31-Oct-25"/>
            <filter val="13-Jan-26"/>
            <filter val="14-Oct-25"/>
            <filter val="13-Oct-25"/>
            <filter val="08-Jan-26"/>
            <filter val="16-Dec-25"/>
            <filter val="18-Dec-25"/>
            <filter val="30-Nov-25"/>
            <filter val="10-Nov-25"/>
          </filters>
        </filterColumn>
      </autoFilter>
    </customSheetView>
    <customSheetView guid="{64A5E8A5-3E79-4C35-8C24-CDFEB0868C3E}" filter="1" showAutoFilter="1">
      <autoFilter ref="$A$2:$BM$243">
        <filterColumn colId="5">
          <filters>
            <filter val="01-Jan-26"/>
            <filter val="05-Jan-26"/>
            <filter val="04-Jun-25"/>
            <filter val="07-Jul-25"/>
            <filter val="05-Jul-25"/>
            <filter val="12-Mar-26"/>
            <filter val="02-Jun-25"/>
            <filter val="6-Mar-26"/>
            <filter val="18-Mar-26"/>
            <filter val="04-Apr-25"/>
            <filter val="23-Jun-25"/>
            <filter val="12-May-25"/>
            <filter val="16-May-25"/>
            <filter val="01-Dec-25"/>
            <filter val="25-Aug-25"/>
            <filter val="07-Aug-25"/>
            <filter val="18-Aug-25"/>
            <filter val="10-Sep-25"/>
            <filter val="06-Oct-25"/>
            <filter val="21-Jan-26"/>
            <filter val="03-Oct-25"/>
            <filter val="23-Jul-25"/>
            <filter val="20-Jun-25"/>
            <filter val="21-Jul-25"/>
            <filter val="18-Apr-25"/>
            <filter val="19-May-25"/>
            <filter val="5-Mar-26"/>
            <filter val="14-Oct-25"/>
            <filter val="04-Jul-25"/>
            <filter val="18-Nov-25"/>
            <filter val="10-Nov-25"/>
            <filter val="08-Dec-25"/>
            <filter val="11-Dec-25"/>
            <filter val="04-Aug-25"/>
            <filter val="20-May-25"/>
            <filter val="3-Mar-26"/>
            <filter val="05-May-25"/>
            <filter val="01-May-25"/>
            <filter val="20-Mar-26"/>
            <filter val="20-Mar-25"/>
            <filter val="24-Jul-25"/>
            <filter val="22-Sep-25"/>
            <filter val="09-Jun-25"/>
            <filter val="17-Jul-25"/>
            <filter val="16-Jun-25"/>
            <filter val="19-Jan-26"/>
            <filter val="14-Apr-25"/>
            <filter val="9-Mar-26"/>
            <filter val="16-Feb-26"/>
            <filter val="17-Sep-25"/>
            <filter val="07-May-25"/>
            <filter val="03-Nov-25"/>
          </filters>
        </filterColumn>
      </autoFilter>
    </customSheetView>
    <customSheetView guid="{C199CCD7-6433-40FD-8D7D-9D7834937DE4}" filter="1" showAutoFilter="1">
      <autoFilter ref="$A$2:$CF$243">
        <filterColumn colId="51">
          <filters blank="1">
            <filter val="28-Feb-26"/>
            <filter val="08-Oct-25"/>
            <filter val="05-Jan-26"/>
            <filter val="10-Mar-26"/>
            <filter val="24-Feb-26"/>
            <filter val="23-Mar-26"/>
            <filter val="30-Apr-25"/>
            <filter val="07-Apr-25"/>
            <filter val="31-Mar-26"/>
            <filter val="31-Dec-25"/>
            <filter val="19-Dec-25"/>
            <filter val="18-Jul-25"/>
            <filter val="31-Jan-26"/>
            <filter val="17-Dec-25"/>
            <filter val="14-Jul-25"/>
            <filter val="12-Apr-25"/>
            <filter val="11-Jun-25"/>
            <filter val="24-May-25"/>
            <filter val="20-Nov-25"/>
            <filter val="08-May-25"/>
            <filter val="17-May-25"/>
            <filter val="24-Nov-25"/>
            <filter val="11-Nov-25"/>
            <filter val="31-Oct-25"/>
            <filter val="27-Apr-25"/>
            <filter val="13-Jan-26"/>
            <filter val="14-Oct-25"/>
            <filter val="13-Oct-25"/>
            <filter val="08-Jan-26"/>
            <filter val="16-Dec-25"/>
            <filter val="24-Apr-25"/>
            <filter val="23-Jun-25"/>
            <filter val="18-Dec-25"/>
            <filter val="19-Sep-25"/>
            <filter val="13-Sep-25"/>
            <filter val="15-Apr-25"/>
            <filter val="21-Aug-25"/>
            <filter val="30-Nov-25"/>
            <filter val="27-May-25"/>
            <filter val="10-Nov-25"/>
          </filters>
        </filterColumn>
        <filterColumn colId="1">
          <filters>
            <filter val="Bihar"/>
            <filter val="Delhi"/>
            <filter val="Gujarat"/>
            <filter val="Telangana"/>
            <filter val="Madhya Pradesh"/>
            <filter val="Andhra Pradesh"/>
            <filter val="Tamil Nadu"/>
            <filter val="Karnataka"/>
            <filter val="Odisha"/>
            <filter val="Maharashtra 2"/>
            <filter val="West Bengal"/>
            <filter val="Maharashtra"/>
            <filter val="Chattisgarh"/>
            <filter val="JAMMU AND KASHMIR"/>
            <filter val="East U.P"/>
            <filter val="Punjab"/>
            <filter val="West U.P"/>
            <filter val="Rajasthan"/>
            <filter val="Jharkhand"/>
            <filter val="Haryana"/>
            <filter val="Himachal Pradesh"/>
            <filter val="Uttarakhand"/>
            <filter val="North East"/>
            <filter val="Delhi NCR"/>
          </filters>
        </filterColumn>
        <filterColumn colId="83">
          <filters blank="1">
            <filter val="179"/>
            <filter val="181"/>
            <filter val="170"/>
            <filter val="183"/>
            <filter val="184"/>
            <filter val="174"/>
            <filter val="197"/>
            <filter val="164"/>
          </filters>
        </filterColumn>
      </autoFilter>
    </customSheetView>
  </customSheetViews>
  <mergeCells count="2">
    <mergeCell ref="BO1:BR1"/>
    <mergeCell ref="CD1:CE1"/>
  </mergeCells>
  <conditionalFormatting sqref="BS2">
    <cfRule type="cellIs" dxfId="1" priority="1" operator="lessThan">
      <formula>"50%"</formula>
    </cfRule>
  </conditionalFormatting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25"/>
    <col customWidth="1" min="2" max="9" width="4.88"/>
    <col customWidth="1" min="10" max="10" width="2.25"/>
    <col customWidth="1" min="11" max="11" width="18.63"/>
    <col customWidth="1" min="12" max="26" width="10.0"/>
    <col customWidth="1" hidden="1" min="27" max="33" width="10.0"/>
    <col customWidth="1" min="34" max="44" width="10.0"/>
  </cols>
  <sheetData>
    <row r="1">
      <c r="A1" s="360" t="str">
        <f>IFERROR(__xludf.DUMMYFUNCTION("IMPORTRANGE(""https://docs.google.com/spreadsheets/d/1cYgADU_WB8oDaNyyWCQloNC5_tbNbr162ngkm8_F2Ws/edit?gid=214428032#gid=214428032"",""Pscode 8 (25-26)!O3:Az37"")"),"Category Wise Report (Apr'25-Mar'26) (Number of Dealers)")</f>
        <v>Category Wise Report (Apr'25-Mar'26) (Number of Dealers)</v>
      </c>
      <c r="B1" s="34"/>
      <c r="C1" s="34"/>
      <c r="D1" s="34"/>
      <c r="E1" s="34"/>
      <c r="F1" s="34"/>
      <c r="G1" s="34"/>
      <c r="H1" s="34"/>
      <c r="I1" s="35"/>
      <c r="J1" s="361"/>
      <c r="K1" s="360" t="str">
        <f>IFERROR(__xludf.DUMMYFUNCTION("""COMPUTED_VALUE"""),"Category Wise Report (Apr'25-Mar'26) (Order Booked)")</f>
        <v>Category Wise Report (Apr'25-Mar'26) (Order Booked)</v>
      </c>
      <c r="L1" s="34"/>
      <c r="M1" s="34"/>
      <c r="N1" s="34"/>
      <c r="O1" s="34"/>
      <c r="P1" s="34"/>
      <c r="Q1" s="34"/>
      <c r="R1" s="34"/>
      <c r="S1" s="35"/>
      <c r="T1" s="124"/>
      <c r="U1" s="124"/>
      <c r="V1" s="124"/>
      <c r="W1" s="124"/>
      <c r="X1" s="124"/>
      <c r="Y1" s="124"/>
      <c r="Z1" s="124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2"/>
      <c r="AO1" s="362"/>
      <c r="AP1" s="362"/>
      <c r="AQ1" s="362"/>
      <c r="AR1" s="362"/>
    </row>
    <row r="2">
      <c r="A2" s="363"/>
      <c r="B2" s="364"/>
      <c r="C2" s="364"/>
      <c r="D2" s="364"/>
      <c r="E2" s="364"/>
      <c r="F2" s="364"/>
      <c r="G2" s="364"/>
      <c r="H2" s="364"/>
      <c r="I2" s="364"/>
      <c r="J2" s="361"/>
      <c r="K2" s="124"/>
      <c r="L2" s="124"/>
      <c r="M2" s="124"/>
      <c r="N2" s="124"/>
      <c r="O2" s="124"/>
      <c r="P2" s="124"/>
      <c r="Q2" s="124"/>
      <c r="R2" s="12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164"/>
      <c r="AK2" s="164"/>
      <c r="AL2" s="164"/>
      <c r="AM2" s="164"/>
      <c r="AN2" s="164"/>
      <c r="AO2" s="164"/>
      <c r="AP2" s="164"/>
      <c r="AQ2" s="164"/>
      <c r="AR2" s="164"/>
    </row>
    <row r="3">
      <c r="A3" s="365" t="str">
        <f>IFERROR(__xludf.DUMMYFUNCTION("""COMPUTED_VALUE"""),"Total")</f>
        <v>Total</v>
      </c>
      <c r="B3" s="366">
        <f>IFERROR(__xludf.DUMMYFUNCTION("""COMPUTED_VALUE"""),163.0)</f>
        <v>163</v>
      </c>
      <c r="C3" s="366">
        <f>IFERROR(__xludf.DUMMYFUNCTION("""COMPUTED_VALUE"""),309.0)</f>
        <v>309</v>
      </c>
      <c r="D3" s="366">
        <f>IFERROR(__xludf.DUMMYFUNCTION("""COMPUTED_VALUE"""),418.0)</f>
        <v>418</v>
      </c>
      <c r="E3" s="366">
        <f>IFERROR(__xludf.DUMMYFUNCTION("""COMPUTED_VALUE"""),339.0)</f>
        <v>339</v>
      </c>
      <c r="F3" s="366">
        <f>IFERROR(__xludf.DUMMYFUNCTION("""COMPUTED_VALUE"""),910.0)</f>
        <v>910</v>
      </c>
      <c r="G3" s="366">
        <f>IFERROR(__xludf.DUMMYFUNCTION("""COMPUTED_VALUE"""),1867.0)</f>
        <v>1867</v>
      </c>
      <c r="H3" s="366">
        <f>IFERROR(__xludf.DUMMYFUNCTION("""COMPUTED_VALUE"""),5071.0)</f>
        <v>5071</v>
      </c>
      <c r="I3" s="366">
        <f>IFERROR(__xludf.DUMMYFUNCTION("""COMPUTED_VALUE"""),9077.0)</f>
        <v>9077</v>
      </c>
      <c r="J3" s="361"/>
      <c r="K3" s="367" t="str">
        <f>IFERROR(__xludf.DUMMYFUNCTION("""COMPUTED_VALUE"""),"Total")</f>
        <v>Total</v>
      </c>
      <c r="L3" s="368">
        <f>IFERROR(__xludf.DUMMYFUNCTION("""COMPUTED_VALUE"""),5.920578938000002E8)</f>
        <v>592057893.8</v>
      </c>
      <c r="M3" s="368">
        <f>IFERROR(__xludf.DUMMYFUNCTION("""COMPUTED_VALUE"""),4.232734457199999E8)</f>
        <v>423273445.7</v>
      </c>
      <c r="N3" s="368">
        <f>IFERROR(__xludf.DUMMYFUNCTION("""COMPUTED_VALUE"""),3.2186453888E8)</f>
        <v>321864538.9</v>
      </c>
      <c r="O3" s="368">
        <f>IFERROR(__xludf.DUMMYFUNCTION("""COMPUTED_VALUE"""),1.7625731299999997E8)</f>
        <v>176257313</v>
      </c>
      <c r="P3" s="368">
        <f>IFERROR(__xludf.DUMMYFUNCTION("""COMPUTED_VALUE"""),3.0534523384000003E8)</f>
        <v>305345233.8</v>
      </c>
      <c r="Q3" s="368">
        <f>IFERROR(__xludf.DUMMYFUNCTION("""COMPUTED_VALUE"""),3.016795815599999E8)</f>
        <v>301679581.6</v>
      </c>
      <c r="R3" s="368">
        <f>IFERROR(__xludf.DUMMYFUNCTION("""COMPUTED_VALUE"""),1.9043488665E8)</f>
        <v>190434886.7</v>
      </c>
      <c r="S3" s="368">
        <f>IFERROR(__xludf.DUMMYFUNCTION("""COMPUTED_VALUE"""),2.31091289345E9)</f>
        <v>2310912893</v>
      </c>
      <c r="T3" s="368">
        <f>IFERROR(__xludf.DUMMYFUNCTION("""COMPUTED_VALUE"""),254589.94088906024)</f>
        <v>254589.9409</v>
      </c>
      <c r="U3" s="368">
        <f>IFERROR(__xludf.DUMMYFUNCTION("""COMPUTED_VALUE"""),21215.828407421686)</f>
        <v>21215.82841</v>
      </c>
      <c r="V3" s="368">
        <f>IFERROR(__xludf.DUMMYFUNCTION("""COMPUTED_VALUE"""),148.0)</f>
        <v>148</v>
      </c>
      <c r="W3" s="368">
        <f>IFERROR(__xludf.DUMMYFUNCTION("""COMPUTED_VALUE"""),12.0)</f>
        <v>12</v>
      </c>
      <c r="X3" s="368">
        <f>IFERROR(__xludf.DUMMYFUNCTION("""COMPUTED_VALUE"""),4006.0)</f>
        <v>4006</v>
      </c>
      <c r="Y3" s="368">
        <f>IFERROR(__xludf.DUMMYFUNCTION("""COMPUTED_VALUE"""),61.33108108108108)</f>
        <v>61.33108108</v>
      </c>
      <c r="Z3" s="368">
        <f>IFERROR(__xludf.DUMMYFUNCTION("""COMPUTED_VALUE"""),27.06756756756757)</f>
        <v>27.06756757</v>
      </c>
      <c r="AA3" s="364"/>
      <c r="AB3" s="364"/>
      <c r="AC3" s="364"/>
      <c r="AD3" s="364"/>
      <c r="AE3" s="369">
        <f>IFERROR(__xludf.DUMMYFUNCTION("""COMPUTED_VALUE"""),148.0)</f>
        <v>148</v>
      </c>
      <c r="AF3" s="369">
        <f>IFERROR(__xludf.DUMMYFUNCTION("""COMPUTED_VALUE"""),12.0)</f>
        <v>12</v>
      </c>
      <c r="AG3" s="364"/>
      <c r="AH3" s="364"/>
      <c r="AI3" s="364"/>
      <c r="AJ3" s="364"/>
      <c r="AK3" s="364"/>
      <c r="AL3" s="364"/>
      <c r="AM3" s="364"/>
      <c r="AN3" s="364"/>
      <c r="AO3" s="364"/>
      <c r="AP3" s="364"/>
      <c r="AQ3" s="364"/>
      <c r="AR3" s="364"/>
    </row>
    <row r="4">
      <c r="A4" s="370" t="str">
        <f>IFERROR(__xludf.DUMMYFUNCTION("""COMPUTED_VALUE"""),"State")</f>
        <v>State</v>
      </c>
      <c r="B4" s="371" t="str">
        <f>IFERROR(__xludf.DUMMYFUNCTION("""COMPUTED_VALUE"""),"A+                (20 + Lacs)")</f>
        <v>A+                (20 + Lacs)</v>
      </c>
      <c r="C4" s="371" t="str">
        <f>IFERROR(__xludf.DUMMYFUNCTION("""COMPUTED_VALUE"""),"A                  (10-20 Lacs)")</f>
        <v>A                  (10-20 Lacs)</v>
      </c>
      <c r="D4" s="371" t="str">
        <f>IFERROR(__xludf.DUMMYFUNCTION("""COMPUTED_VALUE"""),"B              (6-9.99 Lacs)")</f>
        <v>B              (6-9.99 Lacs)</v>
      </c>
      <c r="E4" s="371" t="str">
        <f>IFERROR(__xludf.DUMMYFUNCTION("""COMPUTED_VALUE"""),"C (4.50-5.99 Lacs)")</f>
        <v>C (4.50-5.99 Lacs)</v>
      </c>
      <c r="F4" s="371" t="str">
        <f>IFERROR(__xludf.DUMMYFUNCTION("""COMPUTED_VALUE"""),"D (2.5-4.49 Lacs)")</f>
        <v>D (2.5-4.49 Lacs)</v>
      </c>
      <c r="G4" s="371" t="str">
        <f>IFERROR(__xludf.DUMMYFUNCTION("""COMPUTED_VALUE"""),"E (1-2.49 Lacs)")</f>
        <v>E (1-2.49 Lacs)</v>
      </c>
      <c r="H4" s="371" t="str">
        <f>IFERROR(__xludf.DUMMYFUNCTION("""COMPUTED_VALUE"""),"Business Below 1 Lac")</f>
        <v>Business Below 1 Lac</v>
      </c>
      <c r="I4" s="372" t="str">
        <f>IFERROR(__xludf.DUMMYFUNCTION("""COMPUTED_VALUE"""),"Total")</f>
        <v>Total</v>
      </c>
      <c r="J4" s="373"/>
      <c r="K4" s="370" t="str">
        <f>IFERROR(__xludf.DUMMYFUNCTION("""COMPUTED_VALUE"""),"State")</f>
        <v>State</v>
      </c>
      <c r="L4" s="374" t="str">
        <f>IFERROR(__xludf.DUMMYFUNCTION("""COMPUTED_VALUE"""),"A+                                    (20 + Lacs)")</f>
        <v>A+                                    (20 + Lacs)</v>
      </c>
      <c r="M4" s="371" t="str">
        <f>IFERROR(__xludf.DUMMYFUNCTION("""COMPUTED_VALUE"""),"A                                    (10-20 Lacs)")</f>
        <v>A                                    (10-20 Lacs)</v>
      </c>
      <c r="N4" s="371" t="str">
        <f>IFERROR(__xludf.DUMMYFUNCTION("""COMPUTED_VALUE"""),"B                                                 (6-9.99 Lacs)")</f>
        <v>B                                                 (6-9.99 Lacs)</v>
      </c>
      <c r="O4" s="371" t="str">
        <f>IFERROR(__xludf.DUMMYFUNCTION("""COMPUTED_VALUE"""),"C                        (4.50-5.99 Lacs)")</f>
        <v>C                        (4.50-5.99 Lacs)</v>
      </c>
      <c r="P4" s="371" t="str">
        <f>IFERROR(__xludf.DUMMYFUNCTION("""COMPUTED_VALUE"""),"D         (2.5-4.49 Lacs)")</f>
        <v>D         (2.5-4.49 Lacs)</v>
      </c>
      <c r="Q4" s="371" t="str">
        <f>IFERROR(__xludf.DUMMYFUNCTION("""COMPUTED_VALUE"""),"E                (1-2.49 Lacs)")</f>
        <v>E                (1-2.49 Lacs)</v>
      </c>
      <c r="R4" s="371" t="str">
        <f>IFERROR(__xludf.DUMMYFUNCTION("""COMPUTED_VALUE"""),"Business Below 1 Lacs")</f>
        <v>Business Below 1 Lacs</v>
      </c>
      <c r="S4" s="372" t="str">
        <f>IFERROR(__xludf.DUMMYFUNCTION("""COMPUTED_VALUE"""),"Total")</f>
        <v>Total</v>
      </c>
      <c r="T4" s="372" t="str">
        <f>IFERROR(__xludf.DUMMYFUNCTION("""COMPUTED_VALUE"""),"Business Average Per Retailer")</f>
        <v>Business Average Per Retailer</v>
      </c>
      <c r="U4" s="372" t="str">
        <f>IFERROR(__xludf.DUMMYFUNCTION("""COMPUTED_VALUE"""),"Average retailer Business Per Month")</f>
        <v>Average retailer Business Per Month</v>
      </c>
      <c r="V4" s="372" t="str">
        <f>IFERROR(__xludf.DUMMYFUNCTION("""COMPUTED_VALUE"""),"Total Team Active Members Secondary")</f>
        <v>Total Team Active Members Secondary</v>
      </c>
      <c r="W4" s="372" t="str">
        <f>IFERROR(__xludf.DUMMYFUNCTION("""COMPUTED_VALUE"""),"Total Team Active Members Primary")</f>
        <v>Total Team Active Members Primary</v>
      </c>
      <c r="X4" s="372" t="str">
        <f>IFERROR(__xludf.DUMMYFUNCTION("""COMPUTED_VALUE"""),"Dealer Above 1 Lacs")</f>
        <v>Dealer Above 1 Lacs</v>
      </c>
      <c r="Y4" s="372" t="str">
        <f>IFERROR(__xludf.DUMMYFUNCTION("""COMPUTED_VALUE"""),"Average Dealer Handled by Member")</f>
        <v>Average Dealer Handled by Member</v>
      </c>
      <c r="Z4" s="372" t="str">
        <f>IFERROR(__xludf.DUMMYFUNCTION("""COMPUTED_VALUE"""),"Active Dealer Above 1 lacs average Team member")</f>
        <v>Active Dealer Above 1 lacs average Team member</v>
      </c>
      <c r="AA4" s="375"/>
      <c r="AB4" s="375"/>
      <c r="AC4" s="375"/>
      <c r="AD4" s="375" t="str">
        <f>IFERROR(__xludf.DUMMYFUNCTION("""COMPUTED_VALUE"""),"State")</f>
        <v>State</v>
      </c>
      <c r="AE4" s="375" t="str">
        <f>IFERROR(__xludf.DUMMYFUNCTION("""COMPUTED_VALUE"""),"Secon")</f>
        <v>Secon</v>
      </c>
      <c r="AF4" s="375" t="str">
        <f>IFERROR(__xludf.DUMMYFUNCTION("""COMPUTED_VALUE"""),"prima")</f>
        <v>prima</v>
      </c>
      <c r="AG4" s="375"/>
      <c r="AH4" s="375"/>
      <c r="AI4" s="375"/>
      <c r="AJ4" s="375"/>
      <c r="AK4" s="375"/>
      <c r="AL4" s="375"/>
      <c r="AM4" s="375"/>
      <c r="AN4" s="375"/>
      <c r="AO4" s="375"/>
      <c r="AP4" s="375"/>
      <c r="AQ4" s="375"/>
      <c r="AR4" s="375"/>
    </row>
    <row r="5">
      <c r="A5" s="367" t="str">
        <f>IFERROR(__xludf.DUMMYFUNCTION("""COMPUTED_VALUE"""),"ANDHRA PRADESH")</f>
        <v>ANDHRA PRADESH</v>
      </c>
      <c r="B5" s="376">
        <f>IFERROR(__xludf.DUMMYFUNCTION("""COMPUTED_VALUE"""),0.0)</f>
        <v>0</v>
      </c>
      <c r="C5" s="376">
        <f>IFERROR(__xludf.DUMMYFUNCTION("""COMPUTED_VALUE"""),1.0)</f>
        <v>1</v>
      </c>
      <c r="D5" s="376">
        <f>IFERROR(__xludf.DUMMYFUNCTION("""COMPUTED_VALUE"""),3.0)</f>
        <v>3</v>
      </c>
      <c r="E5" s="376">
        <f>IFERROR(__xludf.DUMMYFUNCTION("""COMPUTED_VALUE"""),3.0)</f>
        <v>3</v>
      </c>
      <c r="F5" s="376">
        <f>IFERROR(__xludf.DUMMYFUNCTION("""COMPUTED_VALUE"""),21.0)</f>
        <v>21</v>
      </c>
      <c r="G5" s="376">
        <f>IFERROR(__xludf.DUMMYFUNCTION("""COMPUTED_VALUE"""),63.0)</f>
        <v>63</v>
      </c>
      <c r="H5" s="376">
        <f>IFERROR(__xludf.DUMMYFUNCTION("""COMPUTED_VALUE"""),253.0)</f>
        <v>253</v>
      </c>
      <c r="I5" s="376">
        <f>IFERROR(__xludf.DUMMYFUNCTION("""COMPUTED_VALUE"""),344.0)</f>
        <v>344</v>
      </c>
      <c r="J5" s="377"/>
      <c r="K5" s="367" t="str">
        <f>IFERROR(__xludf.DUMMYFUNCTION("""COMPUTED_VALUE"""),"ANDHRA PRADESH")</f>
        <v>ANDHRA PRADESH</v>
      </c>
      <c r="L5" s="378">
        <f>IFERROR(__xludf.DUMMYFUNCTION("""COMPUTED_VALUE"""),0.0)</f>
        <v>0</v>
      </c>
      <c r="M5" s="378">
        <f>IFERROR(__xludf.DUMMYFUNCTION("""COMPUTED_VALUE"""),1323174.85)</f>
        <v>1323174.85</v>
      </c>
      <c r="N5" s="378">
        <f>IFERROR(__xludf.DUMMYFUNCTION("""COMPUTED_VALUE"""),2049967.0)</f>
        <v>2049967</v>
      </c>
      <c r="O5" s="378">
        <f>IFERROR(__xludf.DUMMYFUNCTION("""COMPUTED_VALUE"""),1537353.3199999998)</f>
        <v>1537353.32</v>
      </c>
      <c r="P5" s="378">
        <f>IFERROR(__xludf.DUMMYFUNCTION("""COMPUTED_VALUE"""),6670682.250000002)</f>
        <v>6670682.25</v>
      </c>
      <c r="Q5" s="378">
        <f>IFERROR(__xludf.DUMMYFUNCTION("""COMPUTED_VALUE"""),9943794.810000002)</f>
        <v>9943794.81</v>
      </c>
      <c r="R5" s="378">
        <f>IFERROR(__xludf.DUMMYFUNCTION("""COMPUTED_VALUE"""),8416875.870000003)</f>
        <v>8416875.87</v>
      </c>
      <c r="S5" s="378">
        <f>IFERROR(__xludf.DUMMYFUNCTION("""COMPUTED_VALUE"""),2.994184810000001E7)</f>
        <v>29941848.1</v>
      </c>
      <c r="T5" s="378">
        <f>IFERROR(__xludf.DUMMYFUNCTION("""COMPUTED_VALUE"""),87040.25610465118)</f>
        <v>87040.2561</v>
      </c>
      <c r="U5" s="378">
        <f>IFERROR(__xludf.DUMMYFUNCTION("""COMPUTED_VALUE"""),7253.354675387599)</f>
        <v>7253.354675</v>
      </c>
      <c r="V5" s="378">
        <f>IFERROR(__xludf.DUMMYFUNCTION("""COMPUTED_VALUE"""),3.0)</f>
        <v>3</v>
      </c>
      <c r="W5" s="378">
        <f>IFERROR(__xludf.DUMMYFUNCTION("""COMPUTED_VALUE"""),0.0)</f>
        <v>0</v>
      </c>
      <c r="X5" s="378">
        <f>IFERROR(__xludf.DUMMYFUNCTION("""COMPUTED_VALUE"""),91.0)</f>
        <v>91</v>
      </c>
      <c r="Y5" s="378">
        <f>IFERROR(__xludf.DUMMYFUNCTION("""COMPUTED_VALUE"""),114.66666666666667)</f>
        <v>114.6666667</v>
      </c>
      <c r="Z5" s="378">
        <f>IFERROR(__xludf.DUMMYFUNCTION("""COMPUTED_VALUE"""),30.333333333333332)</f>
        <v>30.33333333</v>
      </c>
      <c r="AA5" s="379"/>
      <c r="AB5" s="379"/>
      <c r="AC5" s="379"/>
      <c r="AD5" s="380" t="str">
        <f>IFERROR(__xludf.DUMMYFUNCTION("""COMPUTED_VALUE"""),"Andhra Pradesh")</f>
        <v>Andhra Pradesh</v>
      </c>
      <c r="AE5" s="380">
        <f>IFERROR(__xludf.DUMMYFUNCTION("""COMPUTED_VALUE"""),3.0)</f>
        <v>3</v>
      </c>
      <c r="AF5" s="380">
        <f>IFERROR(__xludf.DUMMYFUNCTION("""COMPUTED_VALUE"""),0.0)</f>
        <v>0</v>
      </c>
      <c r="AG5" s="380" t="str">
        <f>IFERROR(__xludf.DUMMYFUNCTION("""COMPUTED_VALUE"""),"Sandeep Dadheech")</f>
        <v>Sandeep Dadheech</v>
      </c>
      <c r="AH5" s="380">
        <f>IFERROR(__xludf.DUMMYFUNCTION("""COMPUTED_VALUE"""),73.0)</f>
        <v>73</v>
      </c>
      <c r="AI5" s="379"/>
      <c r="AJ5" s="379"/>
      <c r="AK5" s="379"/>
      <c r="AL5" s="379"/>
      <c r="AM5" s="379"/>
      <c r="AN5" s="379"/>
      <c r="AO5" s="379"/>
      <c r="AP5" s="379"/>
      <c r="AQ5" s="379"/>
      <c r="AR5" s="379"/>
    </row>
    <row r="6">
      <c r="A6" s="367" t="str">
        <f>IFERROR(__xludf.DUMMYFUNCTION("""COMPUTED_VALUE"""),"ARUNACHAL PRADESH")</f>
        <v>ARUNACHAL PRADESH</v>
      </c>
      <c r="B6" s="376">
        <f>IFERROR(__xludf.DUMMYFUNCTION("""COMPUTED_VALUE"""),0.0)</f>
        <v>0</v>
      </c>
      <c r="C6" s="376">
        <f>IFERROR(__xludf.DUMMYFUNCTION("""COMPUTED_VALUE"""),0.0)</f>
        <v>0</v>
      </c>
      <c r="D6" s="376">
        <f>IFERROR(__xludf.DUMMYFUNCTION("""COMPUTED_VALUE"""),2.0)</f>
        <v>2</v>
      </c>
      <c r="E6" s="376">
        <f>IFERROR(__xludf.DUMMYFUNCTION("""COMPUTED_VALUE"""),0.0)</f>
        <v>0</v>
      </c>
      <c r="F6" s="376">
        <f>IFERROR(__xludf.DUMMYFUNCTION("""COMPUTED_VALUE"""),1.0)</f>
        <v>1</v>
      </c>
      <c r="G6" s="376">
        <f>IFERROR(__xludf.DUMMYFUNCTION("""COMPUTED_VALUE"""),2.0)</f>
        <v>2</v>
      </c>
      <c r="H6" s="376">
        <f>IFERROR(__xludf.DUMMYFUNCTION("""COMPUTED_VALUE"""),0.0)</f>
        <v>0</v>
      </c>
      <c r="I6" s="376">
        <f>IFERROR(__xludf.DUMMYFUNCTION("""COMPUTED_VALUE"""),5.0)</f>
        <v>5</v>
      </c>
      <c r="J6" s="377"/>
      <c r="K6" s="367" t="str">
        <f>IFERROR(__xludf.DUMMYFUNCTION("""COMPUTED_VALUE"""),"ARUNACHAL PRADESH")</f>
        <v>ARUNACHAL PRADESH</v>
      </c>
      <c r="L6" s="378">
        <f>IFERROR(__xludf.DUMMYFUNCTION("""COMPUTED_VALUE"""),0.0)</f>
        <v>0</v>
      </c>
      <c r="M6" s="378">
        <f>IFERROR(__xludf.DUMMYFUNCTION("""COMPUTED_VALUE"""),0.0)</f>
        <v>0</v>
      </c>
      <c r="N6" s="378">
        <f>IFERROR(__xludf.DUMMYFUNCTION("""COMPUTED_VALUE"""),1520484.75)</f>
        <v>1520484.75</v>
      </c>
      <c r="O6" s="378">
        <f>IFERROR(__xludf.DUMMYFUNCTION("""COMPUTED_VALUE"""),0.0)</f>
        <v>0</v>
      </c>
      <c r="P6" s="378">
        <f>IFERROR(__xludf.DUMMYFUNCTION("""COMPUTED_VALUE"""),346815.04)</f>
        <v>346815.04</v>
      </c>
      <c r="Q6" s="378">
        <f>IFERROR(__xludf.DUMMYFUNCTION("""COMPUTED_VALUE"""),325711.4)</f>
        <v>325711.4</v>
      </c>
      <c r="R6" s="378">
        <f>IFERROR(__xludf.DUMMYFUNCTION("""COMPUTED_VALUE"""),0.0)</f>
        <v>0</v>
      </c>
      <c r="S6" s="378">
        <f>IFERROR(__xludf.DUMMYFUNCTION("""COMPUTED_VALUE"""),2193011.19)</f>
        <v>2193011.19</v>
      </c>
      <c r="T6" s="378">
        <f>IFERROR(__xludf.DUMMYFUNCTION("""COMPUTED_VALUE"""),438602.238)</f>
        <v>438602.238</v>
      </c>
      <c r="U6" s="378">
        <f>IFERROR(__xludf.DUMMYFUNCTION("""COMPUTED_VALUE"""),36550.1865)</f>
        <v>36550.1865</v>
      </c>
      <c r="V6" s="378"/>
      <c r="W6" s="378"/>
      <c r="X6" s="378">
        <f>IFERROR(__xludf.DUMMYFUNCTION("""COMPUTED_VALUE"""),5.0)</f>
        <v>5</v>
      </c>
      <c r="Y6" s="378"/>
      <c r="Z6" s="378"/>
      <c r="AA6" s="379"/>
      <c r="AB6" s="379"/>
      <c r="AC6" s="379"/>
      <c r="AD6" s="380" t="str">
        <f>IFERROR(__xludf.DUMMYFUNCTION("""COMPUTED_VALUE"""),"Bihar")</f>
        <v>Bihar</v>
      </c>
      <c r="AE6" s="380">
        <f>IFERROR(__xludf.DUMMYFUNCTION("""COMPUTED_VALUE"""),8.0)</f>
        <v>8</v>
      </c>
      <c r="AF6" s="380">
        <f>IFERROR(__xludf.DUMMYFUNCTION("""COMPUTED_VALUE"""),1.0)</f>
        <v>1</v>
      </c>
      <c r="AG6" s="380" t="str">
        <f>IFERROR(__xludf.DUMMYFUNCTION("""COMPUTED_VALUE"""),"Syed Aqil Rizvi")</f>
        <v>Syed Aqil Rizvi</v>
      </c>
      <c r="AH6" s="380">
        <f>IFERROR(__xludf.DUMMYFUNCTION("""COMPUTED_VALUE"""),30.0)</f>
        <v>30</v>
      </c>
      <c r="AI6" s="379"/>
      <c r="AJ6" s="379"/>
      <c r="AK6" s="379"/>
      <c r="AL6" s="379"/>
      <c r="AM6" s="379"/>
      <c r="AN6" s="379"/>
      <c r="AO6" s="379"/>
      <c r="AP6" s="379"/>
      <c r="AQ6" s="379"/>
      <c r="AR6" s="379"/>
    </row>
    <row r="7">
      <c r="A7" s="367" t="str">
        <f>IFERROR(__xludf.DUMMYFUNCTION("""COMPUTED_VALUE"""),"ASSAM")</f>
        <v>ASSAM</v>
      </c>
      <c r="B7" s="376">
        <f>IFERROR(__xludf.DUMMYFUNCTION("""COMPUTED_VALUE"""),6.0)</f>
        <v>6</v>
      </c>
      <c r="C7" s="376">
        <f>IFERROR(__xludf.DUMMYFUNCTION("""COMPUTED_VALUE"""),15.0)</f>
        <v>15</v>
      </c>
      <c r="D7" s="376">
        <f>IFERROR(__xludf.DUMMYFUNCTION("""COMPUTED_VALUE"""),21.0)</f>
        <v>21</v>
      </c>
      <c r="E7" s="376">
        <f>IFERROR(__xludf.DUMMYFUNCTION("""COMPUTED_VALUE"""),11.0)</f>
        <v>11</v>
      </c>
      <c r="F7" s="376">
        <f>IFERROR(__xludf.DUMMYFUNCTION("""COMPUTED_VALUE"""),38.0)</f>
        <v>38</v>
      </c>
      <c r="G7" s="376">
        <f>IFERROR(__xludf.DUMMYFUNCTION("""COMPUTED_VALUE"""),48.0)</f>
        <v>48</v>
      </c>
      <c r="H7" s="376">
        <f>IFERROR(__xludf.DUMMYFUNCTION("""COMPUTED_VALUE"""),69.0)</f>
        <v>69</v>
      </c>
      <c r="I7" s="376">
        <f>IFERROR(__xludf.DUMMYFUNCTION("""COMPUTED_VALUE"""),208.0)</f>
        <v>208</v>
      </c>
      <c r="J7" s="377"/>
      <c r="K7" s="367" t="str">
        <f>IFERROR(__xludf.DUMMYFUNCTION("""COMPUTED_VALUE"""),"ASSAM")</f>
        <v>ASSAM</v>
      </c>
      <c r="L7" s="378">
        <f>IFERROR(__xludf.DUMMYFUNCTION("""COMPUTED_VALUE"""),1.82365198E7)</f>
        <v>18236519.8</v>
      </c>
      <c r="M7" s="378">
        <f>IFERROR(__xludf.DUMMYFUNCTION("""COMPUTED_VALUE"""),2.140003438E7)</f>
        <v>21400034.38</v>
      </c>
      <c r="N7" s="378">
        <f>IFERROR(__xludf.DUMMYFUNCTION("""COMPUTED_VALUE"""),1.5837621340000002E7)</f>
        <v>15837621.34</v>
      </c>
      <c r="O7" s="378">
        <f>IFERROR(__xludf.DUMMYFUNCTION("""COMPUTED_VALUE"""),5379006.350000001)</f>
        <v>5379006.35</v>
      </c>
      <c r="P7" s="378">
        <f>IFERROR(__xludf.DUMMYFUNCTION("""COMPUTED_VALUE"""),1.3378414410000002E7)</f>
        <v>13378414.41</v>
      </c>
      <c r="Q7" s="378">
        <f>IFERROR(__xludf.DUMMYFUNCTION("""COMPUTED_VALUE"""),8392867.459999999)</f>
        <v>8392867.46</v>
      </c>
      <c r="R7" s="378">
        <f>IFERROR(__xludf.DUMMYFUNCTION("""COMPUTED_VALUE"""),3303866.3500000006)</f>
        <v>3303866.35</v>
      </c>
      <c r="S7" s="378">
        <f>IFERROR(__xludf.DUMMYFUNCTION("""COMPUTED_VALUE"""),8.592833008999999E7)</f>
        <v>85928330.09</v>
      </c>
      <c r="T7" s="378">
        <f>IFERROR(__xludf.DUMMYFUNCTION("""COMPUTED_VALUE"""),413116.9715865384)</f>
        <v>413116.9716</v>
      </c>
      <c r="U7" s="378">
        <f>IFERROR(__xludf.DUMMYFUNCTION("""COMPUTED_VALUE"""),34426.414298878204)</f>
        <v>34426.4143</v>
      </c>
      <c r="V7" s="378">
        <f>IFERROR(__xludf.DUMMYFUNCTION("""COMPUTED_VALUE"""),5.0)</f>
        <v>5</v>
      </c>
      <c r="W7" s="378"/>
      <c r="X7" s="378">
        <f>IFERROR(__xludf.DUMMYFUNCTION("""COMPUTED_VALUE"""),139.0)</f>
        <v>139</v>
      </c>
      <c r="Y7" s="378">
        <f>IFERROR(__xludf.DUMMYFUNCTION("""COMPUTED_VALUE"""),41.6)</f>
        <v>41.6</v>
      </c>
      <c r="Z7" s="378">
        <f>IFERROR(__xludf.DUMMYFUNCTION("""COMPUTED_VALUE"""),27.8)</f>
        <v>27.8</v>
      </c>
      <c r="AA7" s="379"/>
      <c r="AB7" s="379"/>
      <c r="AC7" s="379"/>
      <c r="AD7" s="380" t="str">
        <f>IFERROR(__xludf.DUMMYFUNCTION("""COMPUTED_VALUE"""),"Chattisgarh")</f>
        <v>Chattisgarh</v>
      </c>
      <c r="AE7" s="380">
        <f>IFERROR(__xludf.DUMMYFUNCTION("""COMPUTED_VALUE"""),2.0)</f>
        <v>2</v>
      </c>
      <c r="AF7" s="380">
        <f>IFERROR(__xludf.DUMMYFUNCTION("""COMPUTED_VALUE"""),0.0)</f>
        <v>0</v>
      </c>
      <c r="AG7" s="380" t="str">
        <f>IFERROR(__xludf.DUMMYFUNCTION("""COMPUTED_VALUE"""),"Lalan Kumar")</f>
        <v>Lalan Kumar</v>
      </c>
      <c r="AH7" s="380">
        <f>IFERROR(__xludf.DUMMYFUNCTION("""COMPUTED_VALUE"""),12.0)</f>
        <v>12</v>
      </c>
      <c r="AI7" s="379"/>
      <c r="AJ7" s="379"/>
      <c r="AK7" s="379"/>
      <c r="AL7" s="379"/>
      <c r="AM7" s="379"/>
      <c r="AN7" s="379"/>
      <c r="AO7" s="379"/>
      <c r="AP7" s="379"/>
      <c r="AQ7" s="379"/>
      <c r="AR7" s="379"/>
    </row>
    <row r="8">
      <c r="A8" s="367" t="str">
        <f>IFERROR(__xludf.DUMMYFUNCTION("""COMPUTED_VALUE"""),"BIHAR")</f>
        <v>BIHAR</v>
      </c>
      <c r="B8" s="376">
        <f>IFERROR(__xludf.DUMMYFUNCTION("""COMPUTED_VALUE"""),22.0)</f>
        <v>22</v>
      </c>
      <c r="C8" s="376">
        <f>IFERROR(__xludf.DUMMYFUNCTION("""COMPUTED_VALUE"""),23.0)</f>
        <v>23</v>
      </c>
      <c r="D8" s="376">
        <f>IFERROR(__xludf.DUMMYFUNCTION("""COMPUTED_VALUE"""),38.0)</f>
        <v>38</v>
      </c>
      <c r="E8" s="376">
        <f>IFERROR(__xludf.DUMMYFUNCTION("""COMPUTED_VALUE"""),29.0)</f>
        <v>29</v>
      </c>
      <c r="F8" s="376">
        <f>IFERROR(__xludf.DUMMYFUNCTION("""COMPUTED_VALUE"""),73.0)</f>
        <v>73</v>
      </c>
      <c r="G8" s="376">
        <f>IFERROR(__xludf.DUMMYFUNCTION("""COMPUTED_VALUE"""),126.0)</f>
        <v>126</v>
      </c>
      <c r="H8" s="376">
        <f>IFERROR(__xludf.DUMMYFUNCTION("""COMPUTED_VALUE"""),215.0)</f>
        <v>215</v>
      </c>
      <c r="I8" s="376">
        <f>IFERROR(__xludf.DUMMYFUNCTION("""COMPUTED_VALUE"""),526.0)</f>
        <v>526</v>
      </c>
      <c r="J8" s="377"/>
      <c r="K8" s="367" t="str">
        <f>IFERROR(__xludf.DUMMYFUNCTION("""COMPUTED_VALUE"""),"BIHAR")</f>
        <v>BIHAR</v>
      </c>
      <c r="L8" s="378">
        <f>IFERROR(__xludf.DUMMYFUNCTION("""COMPUTED_VALUE"""),6.968340594E7)</f>
        <v>69683405.94</v>
      </c>
      <c r="M8" s="378">
        <f>IFERROR(__xludf.DUMMYFUNCTION("""COMPUTED_VALUE"""),2.9347921360000003E7)</f>
        <v>29347921.36</v>
      </c>
      <c r="N8" s="378">
        <f>IFERROR(__xludf.DUMMYFUNCTION("""COMPUTED_VALUE"""),2.936538931E7)</f>
        <v>29365389.31</v>
      </c>
      <c r="O8" s="378">
        <f>IFERROR(__xludf.DUMMYFUNCTION("""COMPUTED_VALUE"""),1.51280784E7)</f>
        <v>15128078.4</v>
      </c>
      <c r="P8" s="378">
        <f>IFERROR(__xludf.DUMMYFUNCTION("""COMPUTED_VALUE"""),2.5081423509999994E7)</f>
        <v>25081423.51</v>
      </c>
      <c r="Q8" s="378">
        <f>IFERROR(__xludf.DUMMYFUNCTION("""COMPUTED_VALUE"""),2.078894502000001E7)</f>
        <v>20788945.02</v>
      </c>
      <c r="R8" s="378">
        <f>IFERROR(__xludf.DUMMYFUNCTION("""COMPUTED_VALUE"""),1.012286346E7)</f>
        <v>10122863.46</v>
      </c>
      <c r="S8" s="378">
        <f>IFERROR(__xludf.DUMMYFUNCTION("""COMPUTED_VALUE"""),1.99518027E8)</f>
        <v>199518027</v>
      </c>
      <c r="T8" s="378">
        <f>IFERROR(__xludf.DUMMYFUNCTION("""COMPUTED_VALUE"""),379311.8384030418)</f>
        <v>379311.8384</v>
      </c>
      <c r="U8" s="378">
        <f>IFERROR(__xludf.DUMMYFUNCTION("""COMPUTED_VALUE"""),31609.319866920152)</f>
        <v>31609.31987</v>
      </c>
      <c r="V8" s="378">
        <f>IFERROR(__xludf.DUMMYFUNCTION("""COMPUTED_VALUE"""),8.0)</f>
        <v>8</v>
      </c>
      <c r="W8" s="378">
        <f>IFERROR(__xludf.DUMMYFUNCTION("""COMPUTED_VALUE"""),1.0)</f>
        <v>1</v>
      </c>
      <c r="X8" s="378">
        <f>IFERROR(__xludf.DUMMYFUNCTION("""COMPUTED_VALUE"""),311.0)</f>
        <v>311</v>
      </c>
      <c r="Y8" s="378">
        <f>IFERROR(__xludf.DUMMYFUNCTION("""COMPUTED_VALUE"""),65.75)</f>
        <v>65.75</v>
      </c>
      <c r="Z8" s="378">
        <f>IFERROR(__xludf.DUMMYFUNCTION("""COMPUTED_VALUE"""),38.875)</f>
        <v>38.875</v>
      </c>
      <c r="AA8" s="379"/>
      <c r="AB8" s="379"/>
      <c r="AC8" s="379"/>
      <c r="AD8" s="380" t="str">
        <f>IFERROR(__xludf.DUMMYFUNCTION("""COMPUTED_VALUE"""),"Delhi")</f>
        <v>Delhi</v>
      </c>
      <c r="AE8" s="380">
        <f>IFERROR(__xludf.DUMMYFUNCTION("""COMPUTED_VALUE"""),2.0)</f>
        <v>2</v>
      </c>
      <c r="AF8" s="380">
        <f>IFERROR(__xludf.DUMMYFUNCTION("""COMPUTED_VALUE"""),0.0)</f>
        <v>0</v>
      </c>
      <c r="AG8" s="380" t="str">
        <f>IFERROR(__xludf.DUMMYFUNCTION("""COMPUTED_VALUE"""),"Sunil Patel")</f>
        <v>Sunil Patel</v>
      </c>
      <c r="AH8" s="380">
        <f>IFERROR(__xludf.DUMMYFUNCTION("""COMPUTED_VALUE"""),5.0)</f>
        <v>5</v>
      </c>
      <c r="AI8" s="379"/>
      <c r="AJ8" s="379"/>
      <c r="AK8" s="379"/>
      <c r="AL8" s="379"/>
      <c r="AM8" s="379"/>
      <c r="AN8" s="379"/>
      <c r="AO8" s="379"/>
      <c r="AP8" s="379"/>
      <c r="AQ8" s="379"/>
      <c r="AR8" s="379"/>
    </row>
    <row r="9">
      <c r="A9" s="367" t="str">
        <f>IFERROR(__xludf.DUMMYFUNCTION("""COMPUTED_VALUE"""),"CHATTISGARH")</f>
        <v>CHATTISGARH</v>
      </c>
      <c r="B9" s="376">
        <f>IFERROR(__xludf.DUMMYFUNCTION("""COMPUTED_VALUE"""),0.0)</f>
        <v>0</v>
      </c>
      <c r="C9" s="376">
        <f>IFERROR(__xludf.DUMMYFUNCTION("""COMPUTED_VALUE"""),3.0)</f>
        <v>3</v>
      </c>
      <c r="D9" s="376">
        <f>IFERROR(__xludf.DUMMYFUNCTION("""COMPUTED_VALUE"""),2.0)</f>
        <v>2</v>
      </c>
      <c r="E9" s="376">
        <f>IFERROR(__xludf.DUMMYFUNCTION("""COMPUTED_VALUE"""),3.0)</f>
        <v>3</v>
      </c>
      <c r="F9" s="376">
        <f>IFERROR(__xludf.DUMMYFUNCTION("""COMPUTED_VALUE"""),18.0)</f>
        <v>18</v>
      </c>
      <c r="G9" s="376">
        <f>IFERROR(__xludf.DUMMYFUNCTION("""COMPUTED_VALUE"""),44.0)</f>
        <v>44</v>
      </c>
      <c r="H9" s="376">
        <f>IFERROR(__xludf.DUMMYFUNCTION("""COMPUTED_VALUE"""),127.0)</f>
        <v>127</v>
      </c>
      <c r="I9" s="376">
        <f>IFERROR(__xludf.DUMMYFUNCTION("""COMPUTED_VALUE"""),197.0)</f>
        <v>197</v>
      </c>
      <c r="J9" s="377"/>
      <c r="K9" s="367" t="str">
        <f>IFERROR(__xludf.DUMMYFUNCTION("""COMPUTED_VALUE"""),"CHATTISGARH")</f>
        <v>CHATTISGARH</v>
      </c>
      <c r="L9" s="378">
        <f>IFERROR(__xludf.DUMMYFUNCTION("""COMPUTED_VALUE"""),0.0)</f>
        <v>0</v>
      </c>
      <c r="M9" s="378">
        <f>IFERROR(__xludf.DUMMYFUNCTION("""COMPUTED_VALUE"""),4446412.59)</f>
        <v>4446412.59</v>
      </c>
      <c r="N9" s="378">
        <f>IFERROR(__xludf.DUMMYFUNCTION("""COMPUTED_VALUE"""),1677317.7999999998)</f>
        <v>1677317.8</v>
      </c>
      <c r="O9" s="378">
        <f>IFERROR(__xludf.DUMMYFUNCTION("""COMPUTED_VALUE"""),1551940.49)</f>
        <v>1551940.49</v>
      </c>
      <c r="P9" s="378">
        <f>IFERROR(__xludf.DUMMYFUNCTION("""COMPUTED_VALUE"""),6325091.100000001)</f>
        <v>6325091.1</v>
      </c>
      <c r="Q9" s="378">
        <f>IFERROR(__xludf.DUMMYFUNCTION("""COMPUTED_VALUE"""),6440489.240000001)</f>
        <v>6440489.24</v>
      </c>
      <c r="R9" s="378">
        <f>IFERROR(__xludf.DUMMYFUNCTION("""COMPUTED_VALUE"""),5631585.979999997)</f>
        <v>5631585.98</v>
      </c>
      <c r="S9" s="378">
        <f>IFERROR(__xludf.DUMMYFUNCTION("""COMPUTED_VALUE"""),2.60728372E7)</f>
        <v>26072837.2</v>
      </c>
      <c r="T9" s="378">
        <f>IFERROR(__xludf.DUMMYFUNCTION("""COMPUTED_VALUE"""),132349.4274111675)</f>
        <v>132349.4274</v>
      </c>
      <c r="U9" s="378">
        <f>IFERROR(__xludf.DUMMYFUNCTION("""COMPUTED_VALUE"""),11029.118950930626)</f>
        <v>11029.11895</v>
      </c>
      <c r="V9" s="378">
        <f>IFERROR(__xludf.DUMMYFUNCTION("""COMPUTED_VALUE"""),2.0)</f>
        <v>2</v>
      </c>
      <c r="W9" s="378">
        <f>IFERROR(__xludf.DUMMYFUNCTION("""COMPUTED_VALUE"""),0.0)</f>
        <v>0</v>
      </c>
      <c r="X9" s="378">
        <f>IFERROR(__xludf.DUMMYFUNCTION("""COMPUTED_VALUE"""),70.0)</f>
        <v>70</v>
      </c>
      <c r="Y9" s="378">
        <f>IFERROR(__xludf.DUMMYFUNCTION("""COMPUTED_VALUE"""),98.5)</f>
        <v>98.5</v>
      </c>
      <c r="Z9" s="378">
        <f>IFERROR(__xludf.DUMMYFUNCTION("""COMPUTED_VALUE"""),35.0)</f>
        <v>35</v>
      </c>
      <c r="AA9" s="379"/>
      <c r="AB9" s="379"/>
      <c r="AC9" s="379"/>
      <c r="AD9" s="380" t="str">
        <f>IFERROR(__xludf.DUMMYFUNCTION("""COMPUTED_VALUE"""),"Delhi NCR")</f>
        <v>Delhi NCR</v>
      </c>
      <c r="AE9" s="380">
        <f>IFERROR(__xludf.DUMMYFUNCTION("""COMPUTED_VALUE"""),1.0)</f>
        <v>1</v>
      </c>
      <c r="AF9" s="380">
        <f>IFERROR(__xludf.DUMMYFUNCTION("""COMPUTED_VALUE"""),0.0)</f>
        <v>0</v>
      </c>
      <c r="AG9" s="380" t="str">
        <f>IFERROR(__xludf.DUMMYFUNCTION("""COMPUTED_VALUE"""),"Biju C.O")</f>
        <v>Biju C.O</v>
      </c>
      <c r="AH9" s="380">
        <f>IFERROR(__xludf.DUMMYFUNCTION("""COMPUTED_VALUE"""),7.0)</f>
        <v>7</v>
      </c>
      <c r="AI9" s="379"/>
      <c r="AJ9" s="379"/>
      <c r="AK9" s="379"/>
      <c r="AL9" s="379"/>
      <c r="AM9" s="379"/>
      <c r="AN9" s="379"/>
      <c r="AO9" s="379"/>
      <c r="AP9" s="379"/>
      <c r="AQ9" s="379"/>
      <c r="AR9" s="379"/>
    </row>
    <row r="10">
      <c r="A10" s="367" t="str">
        <f>IFERROR(__xludf.DUMMYFUNCTION("""COMPUTED_VALUE"""),"DELHI")</f>
        <v>DELHI</v>
      </c>
      <c r="B10" s="376">
        <f>IFERROR(__xludf.DUMMYFUNCTION("""COMPUTED_VALUE"""),0.0)</f>
        <v>0</v>
      </c>
      <c r="C10" s="376">
        <f>IFERROR(__xludf.DUMMYFUNCTION("""COMPUTED_VALUE"""),0.0)</f>
        <v>0</v>
      </c>
      <c r="D10" s="376">
        <f>IFERROR(__xludf.DUMMYFUNCTION("""COMPUTED_VALUE"""),3.0)</f>
        <v>3</v>
      </c>
      <c r="E10" s="376">
        <f>IFERROR(__xludf.DUMMYFUNCTION("""COMPUTED_VALUE"""),3.0)</f>
        <v>3</v>
      </c>
      <c r="F10" s="376">
        <f>IFERROR(__xludf.DUMMYFUNCTION("""COMPUTED_VALUE"""),9.0)</f>
        <v>9</v>
      </c>
      <c r="G10" s="376">
        <f>IFERROR(__xludf.DUMMYFUNCTION("""COMPUTED_VALUE"""),29.0)</f>
        <v>29</v>
      </c>
      <c r="H10" s="376">
        <f>IFERROR(__xludf.DUMMYFUNCTION("""COMPUTED_VALUE"""),72.0)</f>
        <v>72</v>
      </c>
      <c r="I10" s="376">
        <f>IFERROR(__xludf.DUMMYFUNCTION("""COMPUTED_VALUE"""),116.0)</f>
        <v>116</v>
      </c>
      <c r="J10" s="377"/>
      <c r="K10" s="367" t="str">
        <f>IFERROR(__xludf.DUMMYFUNCTION("""COMPUTED_VALUE"""),"DELHI")</f>
        <v>DELHI</v>
      </c>
      <c r="L10" s="378">
        <f>IFERROR(__xludf.DUMMYFUNCTION("""COMPUTED_VALUE"""),0.0)</f>
        <v>0</v>
      </c>
      <c r="M10" s="378">
        <f>IFERROR(__xludf.DUMMYFUNCTION("""COMPUTED_VALUE"""),0.0)</f>
        <v>0</v>
      </c>
      <c r="N10" s="378">
        <f>IFERROR(__xludf.DUMMYFUNCTION("""COMPUTED_VALUE"""),2435345.89)</f>
        <v>2435345.89</v>
      </c>
      <c r="O10" s="378">
        <f>IFERROR(__xludf.DUMMYFUNCTION("""COMPUTED_VALUE"""),1444719.0899999999)</f>
        <v>1444719.09</v>
      </c>
      <c r="P10" s="378">
        <f>IFERROR(__xludf.DUMMYFUNCTION("""COMPUTED_VALUE"""),2733379.89)</f>
        <v>2733379.89</v>
      </c>
      <c r="Q10" s="378">
        <f>IFERROR(__xludf.DUMMYFUNCTION("""COMPUTED_VALUE"""),4073705.4500000007)</f>
        <v>4073705.45</v>
      </c>
      <c r="R10" s="378">
        <f>IFERROR(__xludf.DUMMYFUNCTION("""COMPUTED_VALUE"""),3524177.9899999998)</f>
        <v>3524177.99</v>
      </c>
      <c r="S10" s="378">
        <f>IFERROR(__xludf.DUMMYFUNCTION("""COMPUTED_VALUE"""),1.421132831E7)</f>
        <v>14211328.31</v>
      </c>
      <c r="T10" s="378">
        <f>IFERROR(__xludf.DUMMYFUNCTION("""COMPUTED_VALUE"""),122511.45094827587)</f>
        <v>122511.4509</v>
      </c>
      <c r="U10" s="378">
        <f>IFERROR(__xludf.DUMMYFUNCTION("""COMPUTED_VALUE"""),10209.28757902299)</f>
        <v>10209.28758</v>
      </c>
      <c r="V10" s="378">
        <f>IFERROR(__xludf.DUMMYFUNCTION("""COMPUTED_VALUE"""),2.0)</f>
        <v>2</v>
      </c>
      <c r="W10" s="378">
        <f>IFERROR(__xludf.DUMMYFUNCTION("""COMPUTED_VALUE"""),0.0)</f>
        <v>0</v>
      </c>
      <c r="X10" s="378">
        <f>IFERROR(__xludf.DUMMYFUNCTION("""COMPUTED_VALUE"""),44.0)</f>
        <v>44</v>
      </c>
      <c r="Y10" s="378">
        <f>IFERROR(__xludf.DUMMYFUNCTION("""COMPUTED_VALUE"""),58.0)</f>
        <v>58</v>
      </c>
      <c r="Z10" s="378">
        <f>IFERROR(__xludf.DUMMYFUNCTION("""COMPUTED_VALUE"""),22.0)</f>
        <v>22</v>
      </c>
      <c r="AA10" s="379"/>
      <c r="AB10" s="379"/>
      <c r="AC10" s="379"/>
      <c r="AD10" s="380" t="str">
        <f>IFERROR(__xludf.DUMMYFUNCTION("""COMPUTED_VALUE"""),"East U.P")</f>
        <v>East U.P</v>
      </c>
      <c r="AE10" s="380">
        <f>IFERROR(__xludf.DUMMYFUNCTION("""COMPUTED_VALUE"""),15.0)</f>
        <v>15</v>
      </c>
      <c r="AF10" s="380">
        <f>IFERROR(__xludf.DUMMYFUNCTION("""COMPUTED_VALUE"""),0.0)</f>
        <v>0</v>
      </c>
      <c r="AG10" s="380" t="str">
        <f>IFERROR(__xludf.DUMMYFUNCTION("""COMPUTED_VALUE"""),"Nasir Hussain Khan")</f>
        <v>Nasir Hussain Khan</v>
      </c>
      <c r="AH10" s="380">
        <f>IFERROR(__xludf.DUMMYFUNCTION("""COMPUTED_VALUE"""),5.0)</f>
        <v>5</v>
      </c>
      <c r="AI10" s="379"/>
      <c r="AJ10" s="379"/>
      <c r="AK10" s="379"/>
      <c r="AL10" s="379"/>
      <c r="AM10" s="379"/>
      <c r="AN10" s="379"/>
      <c r="AO10" s="379"/>
      <c r="AP10" s="379"/>
      <c r="AQ10" s="379"/>
      <c r="AR10" s="379"/>
    </row>
    <row r="11">
      <c r="A11" s="367" t="str">
        <f>IFERROR(__xludf.DUMMYFUNCTION("""COMPUTED_VALUE"""),"Delhi NCR")</f>
        <v>Delhi NCR</v>
      </c>
      <c r="B11" s="376">
        <f>IFERROR(__xludf.DUMMYFUNCTION("""COMPUTED_VALUE"""),0.0)</f>
        <v>0</v>
      </c>
      <c r="C11" s="376">
        <f>IFERROR(__xludf.DUMMYFUNCTION("""COMPUTED_VALUE"""),1.0)</f>
        <v>1</v>
      </c>
      <c r="D11" s="376">
        <f>IFERROR(__xludf.DUMMYFUNCTION("""COMPUTED_VALUE"""),1.0)</f>
        <v>1</v>
      </c>
      <c r="E11" s="376">
        <f>IFERROR(__xludf.DUMMYFUNCTION("""COMPUTED_VALUE"""),0.0)</f>
        <v>0</v>
      </c>
      <c r="F11" s="376">
        <f>IFERROR(__xludf.DUMMYFUNCTION("""COMPUTED_VALUE"""),4.0)</f>
        <v>4</v>
      </c>
      <c r="G11" s="376">
        <f>IFERROR(__xludf.DUMMYFUNCTION("""COMPUTED_VALUE"""),3.0)</f>
        <v>3</v>
      </c>
      <c r="H11" s="376">
        <f>IFERROR(__xludf.DUMMYFUNCTION("""COMPUTED_VALUE"""),12.0)</f>
        <v>12</v>
      </c>
      <c r="I11" s="376">
        <f>IFERROR(__xludf.DUMMYFUNCTION("""COMPUTED_VALUE"""),21.0)</f>
        <v>21</v>
      </c>
      <c r="J11" s="377"/>
      <c r="K11" s="367" t="str">
        <f>IFERROR(__xludf.DUMMYFUNCTION("""COMPUTED_VALUE"""),"Delhi NCR")</f>
        <v>Delhi NCR</v>
      </c>
      <c r="L11" s="378">
        <f>IFERROR(__xludf.DUMMYFUNCTION("""COMPUTED_VALUE"""),0.0)</f>
        <v>0</v>
      </c>
      <c r="M11" s="378">
        <f>IFERROR(__xludf.DUMMYFUNCTION("""COMPUTED_VALUE"""),1462831.28)</f>
        <v>1462831.28</v>
      </c>
      <c r="N11" s="378">
        <f>IFERROR(__xludf.DUMMYFUNCTION("""COMPUTED_VALUE"""),614615.17)</f>
        <v>614615.17</v>
      </c>
      <c r="O11" s="378">
        <f>IFERROR(__xludf.DUMMYFUNCTION("""COMPUTED_VALUE"""),0.0)</f>
        <v>0</v>
      </c>
      <c r="P11" s="378">
        <f>IFERROR(__xludf.DUMMYFUNCTION("""COMPUTED_VALUE"""),1310349.5500000003)</f>
        <v>1310349.55</v>
      </c>
      <c r="Q11" s="378">
        <f>IFERROR(__xludf.DUMMYFUNCTION("""COMPUTED_VALUE"""),469105.69999999995)</f>
        <v>469105.7</v>
      </c>
      <c r="R11" s="378">
        <f>IFERROR(__xludf.DUMMYFUNCTION("""COMPUTED_VALUE"""),390396.67)</f>
        <v>390396.67</v>
      </c>
      <c r="S11" s="378">
        <f>IFERROR(__xludf.DUMMYFUNCTION("""COMPUTED_VALUE"""),4247298.37)</f>
        <v>4247298.37</v>
      </c>
      <c r="T11" s="378">
        <f>IFERROR(__xludf.DUMMYFUNCTION("""COMPUTED_VALUE"""),202252.30333333334)</f>
        <v>202252.3033</v>
      </c>
      <c r="U11" s="378">
        <f>IFERROR(__xludf.DUMMYFUNCTION("""COMPUTED_VALUE"""),16854.35861111111)</f>
        <v>16854.35861</v>
      </c>
      <c r="V11" s="378">
        <f>IFERROR(__xludf.DUMMYFUNCTION("""COMPUTED_VALUE"""),1.0)</f>
        <v>1</v>
      </c>
      <c r="W11" s="378">
        <f>IFERROR(__xludf.DUMMYFUNCTION("""COMPUTED_VALUE"""),0.0)</f>
        <v>0</v>
      </c>
      <c r="X11" s="378">
        <f>IFERROR(__xludf.DUMMYFUNCTION("""COMPUTED_VALUE"""),9.0)</f>
        <v>9</v>
      </c>
      <c r="Y11" s="378">
        <f>IFERROR(__xludf.DUMMYFUNCTION("""COMPUTED_VALUE"""),21.0)</f>
        <v>21</v>
      </c>
      <c r="Z11" s="378">
        <f>IFERROR(__xludf.DUMMYFUNCTION("""COMPUTED_VALUE"""),9.0)</f>
        <v>9</v>
      </c>
      <c r="AA11" s="379"/>
      <c r="AB11" s="379"/>
      <c r="AC11" s="379"/>
      <c r="AD11" s="380" t="str">
        <f>IFERROR(__xludf.DUMMYFUNCTION("""COMPUTED_VALUE"""),"Gujarat")</f>
        <v>Gujarat</v>
      </c>
      <c r="AE11" s="380">
        <f>IFERROR(__xludf.DUMMYFUNCTION("""COMPUTED_VALUE"""),5.0)</f>
        <v>5</v>
      </c>
      <c r="AF11" s="380">
        <f>IFERROR(__xludf.DUMMYFUNCTION("""COMPUTED_VALUE"""),0.0)</f>
        <v>0</v>
      </c>
      <c r="AG11" s="380" t="str">
        <f>IFERROR(__xludf.DUMMYFUNCTION("""COMPUTED_VALUE"""),"Anant Singh")</f>
        <v>Anant Singh</v>
      </c>
      <c r="AH11" s="380">
        <f>IFERROR(__xludf.DUMMYFUNCTION("""COMPUTED_VALUE"""),10.0)</f>
        <v>10</v>
      </c>
      <c r="AI11" s="379"/>
      <c r="AJ11" s="379"/>
      <c r="AK11" s="379"/>
      <c r="AL11" s="379"/>
      <c r="AM11" s="379"/>
      <c r="AN11" s="379"/>
      <c r="AO11" s="379"/>
      <c r="AP11" s="379"/>
      <c r="AQ11" s="379"/>
      <c r="AR11" s="379"/>
    </row>
    <row r="12">
      <c r="A12" s="367" t="str">
        <f>IFERROR(__xludf.DUMMYFUNCTION("""COMPUTED_VALUE"""),"East U.P")</f>
        <v>East U.P</v>
      </c>
      <c r="B12" s="376">
        <f>IFERROR(__xludf.DUMMYFUNCTION("""COMPUTED_VALUE"""),16.0)</f>
        <v>16</v>
      </c>
      <c r="C12" s="376">
        <f>IFERROR(__xludf.DUMMYFUNCTION("""COMPUTED_VALUE"""),39.0)</f>
        <v>39</v>
      </c>
      <c r="D12" s="376">
        <f>IFERROR(__xludf.DUMMYFUNCTION("""COMPUTED_VALUE"""),51.0)</f>
        <v>51</v>
      </c>
      <c r="E12" s="376">
        <f>IFERROR(__xludf.DUMMYFUNCTION("""COMPUTED_VALUE"""),39.0)</f>
        <v>39</v>
      </c>
      <c r="F12" s="376">
        <f>IFERROR(__xludf.DUMMYFUNCTION("""COMPUTED_VALUE"""),127.0)</f>
        <v>127</v>
      </c>
      <c r="G12" s="376">
        <f>IFERROR(__xludf.DUMMYFUNCTION("""COMPUTED_VALUE"""),261.0)</f>
        <v>261</v>
      </c>
      <c r="H12" s="376">
        <f>IFERROR(__xludf.DUMMYFUNCTION("""COMPUTED_VALUE"""),546.0)</f>
        <v>546</v>
      </c>
      <c r="I12" s="376">
        <f>IFERROR(__xludf.DUMMYFUNCTION("""COMPUTED_VALUE"""),1079.0)</f>
        <v>1079</v>
      </c>
      <c r="J12" s="377"/>
      <c r="K12" s="367" t="str">
        <f>IFERROR(__xludf.DUMMYFUNCTION("""COMPUTED_VALUE"""),"East U.P")</f>
        <v>East U.P</v>
      </c>
      <c r="L12" s="378">
        <f>IFERROR(__xludf.DUMMYFUNCTION("""COMPUTED_VALUE"""),4.7699374419999994E7)</f>
        <v>47699374.42</v>
      </c>
      <c r="M12" s="378">
        <f>IFERROR(__xludf.DUMMYFUNCTION("""COMPUTED_VALUE"""),5.2849705440000005E7)</f>
        <v>52849705.44</v>
      </c>
      <c r="N12" s="378">
        <f>IFERROR(__xludf.DUMMYFUNCTION("""COMPUTED_VALUE"""),3.9826381220000006E7)</f>
        <v>39826381.22</v>
      </c>
      <c r="O12" s="378">
        <f>IFERROR(__xludf.DUMMYFUNCTION("""COMPUTED_VALUE"""),2.048157025E7)</f>
        <v>20481570.25</v>
      </c>
      <c r="P12" s="378">
        <f>IFERROR(__xludf.DUMMYFUNCTION("""COMPUTED_VALUE"""),4.276991252000002E7)</f>
        <v>42769912.52</v>
      </c>
      <c r="Q12" s="378">
        <f>IFERROR(__xludf.DUMMYFUNCTION("""COMPUTED_VALUE"""),4.289694853999999E7)</f>
        <v>42896948.54</v>
      </c>
      <c r="R12" s="378">
        <f>IFERROR(__xludf.DUMMYFUNCTION("""COMPUTED_VALUE"""),2.2025283989999995E7)</f>
        <v>22025283.99</v>
      </c>
      <c r="S12" s="378">
        <f>IFERROR(__xludf.DUMMYFUNCTION("""COMPUTED_VALUE"""),2.6854917638E8)</f>
        <v>268549176.4</v>
      </c>
      <c r="T12" s="378">
        <f>IFERROR(__xludf.DUMMYFUNCTION("""COMPUTED_VALUE"""),248887.09581093604)</f>
        <v>248887.0958</v>
      </c>
      <c r="U12" s="378">
        <f>IFERROR(__xludf.DUMMYFUNCTION("""COMPUTED_VALUE"""),20740.591317578004)</f>
        <v>20740.59132</v>
      </c>
      <c r="V12" s="378">
        <f>IFERROR(__xludf.DUMMYFUNCTION("""COMPUTED_VALUE"""),15.0)</f>
        <v>15</v>
      </c>
      <c r="W12" s="378">
        <f>IFERROR(__xludf.DUMMYFUNCTION("""COMPUTED_VALUE"""),0.0)</f>
        <v>0</v>
      </c>
      <c r="X12" s="378">
        <f>IFERROR(__xludf.DUMMYFUNCTION("""COMPUTED_VALUE"""),533.0)</f>
        <v>533</v>
      </c>
      <c r="Y12" s="378">
        <f>IFERROR(__xludf.DUMMYFUNCTION("""COMPUTED_VALUE"""),71.93333333333334)</f>
        <v>71.93333333</v>
      </c>
      <c r="Z12" s="378">
        <f>IFERROR(__xludf.DUMMYFUNCTION("""COMPUTED_VALUE"""),35.53333333333333)</f>
        <v>35.53333333</v>
      </c>
      <c r="AA12" s="379"/>
      <c r="AB12" s="379"/>
      <c r="AC12" s="379"/>
      <c r="AD12" s="380" t="str">
        <f>IFERROR(__xludf.DUMMYFUNCTION("""COMPUTED_VALUE"""),"Haryana")</f>
        <v>Haryana</v>
      </c>
      <c r="AE12" s="380">
        <f>IFERROR(__xludf.DUMMYFUNCTION("""COMPUTED_VALUE"""),4.0)</f>
        <v>4</v>
      </c>
      <c r="AF12" s="380">
        <f>IFERROR(__xludf.DUMMYFUNCTION("""COMPUTED_VALUE"""),0.0)</f>
        <v>0</v>
      </c>
      <c r="AG12" s="380" t="str">
        <f>IFERROR(__xludf.DUMMYFUNCTION("""COMPUTED_VALUE"""),"Pawan Sharma")</f>
        <v>Pawan Sharma</v>
      </c>
      <c r="AH12" s="380">
        <f>IFERROR(__xludf.DUMMYFUNCTION("""COMPUTED_VALUE"""),10.0)</f>
        <v>10</v>
      </c>
      <c r="AI12" s="379"/>
      <c r="AJ12" s="379"/>
      <c r="AK12" s="379"/>
      <c r="AL12" s="379"/>
      <c r="AM12" s="379"/>
      <c r="AN12" s="379"/>
      <c r="AO12" s="379"/>
      <c r="AP12" s="379"/>
      <c r="AQ12" s="379"/>
      <c r="AR12" s="379"/>
    </row>
    <row r="13">
      <c r="A13" s="367" t="str">
        <f>IFERROR(__xludf.DUMMYFUNCTION("""COMPUTED_VALUE"""),"GOA")</f>
        <v>GOA</v>
      </c>
      <c r="B13" s="376">
        <f>IFERROR(__xludf.DUMMYFUNCTION("""COMPUTED_VALUE"""),0.0)</f>
        <v>0</v>
      </c>
      <c r="C13" s="376">
        <f>IFERROR(__xludf.DUMMYFUNCTION("""COMPUTED_VALUE"""),0.0)</f>
        <v>0</v>
      </c>
      <c r="D13" s="376">
        <f>IFERROR(__xludf.DUMMYFUNCTION("""COMPUTED_VALUE"""),0.0)</f>
        <v>0</v>
      </c>
      <c r="E13" s="376">
        <f>IFERROR(__xludf.DUMMYFUNCTION("""COMPUTED_VALUE"""),0.0)</f>
        <v>0</v>
      </c>
      <c r="F13" s="376">
        <f>IFERROR(__xludf.DUMMYFUNCTION("""COMPUTED_VALUE"""),1.0)</f>
        <v>1</v>
      </c>
      <c r="G13" s="376">
        <f>IFERROR(__xludf.DUMMYFUNCTION("""COMPUTED_VALUE"""),0.0)</f>
        <v>0</v>
      </c>
      <c r="H13" s="376">
        <f>IFERROR(__xludf.DUMMYFUNCTION("""COMPUTED_VALUE"""),0.0)</f>
        <v>0</v>
      </c>
      <c r="I13" s="376">
        <f>IFERROR(__xludf.DUMMYFUNCTION("""COMPUTED_VALUE"""),1.0)</f>
        <v>1</v>
      </c>
      <c r="J13" s="377"/>
      <c r="K13" s="367" t="str">
        <f>IFERROR(__xludf.DUMMYFUNCTION("""COMPUTED_VALUE"""),"GOA")</f>
        <v>GOA</v>
      </c>
      <c r="L13" s="378">
        <f>IFERROR(__xludf.DUMMYFUNCTION("""COMPUTED_VALUE"""),0.0)</f>
        <v>0</v>
      </c>
      <c r="M13" s="378">
        <f>IFERROR(__xludf.DUMMYFUNCTION("""COMPUTED_VALUE"""),0.0)</f>
        <v>0</v>
      </c>
      <c r="N13" s="378">
        <f>IFERROR(__xludf.DUMMYFUNCTION("""COMPUTED_VALUE"""),0.0)</f>
        <v>0</v>
      </c>
      <c r="O13" s="378">
        <f>IFERROR(__xludf.DUMMYFUNCTION("""COMPUTED_VALUE"""),0.0)</f>
        <v>0</v>
      </c>
      <c r="P13" s="378">
        <f>IFERROR(__xludf.DUMMYFUNCTION("""COMPUTED_VALUE"""),252566.6)</f>
        <v>252566.6</v>
      </c>
      <c r="Q13" s="378">
        <f>IFERROR(__xludf.DUMMYFUNCTION("""COMPUTED_VALUE"""),0.0)</f>
        <v>0</v>
      </c>
      <c r="R13" s="378">
        <f>IFERROR(__xludf.DUMMYFUNCTION("""COMPUTED_VALUE"""),0.0)</f>
        <v>0</v>
      </c>
      <c r="S13" s="378">
        <f>IFERROR(__xludf.DUMMYFUNCTION("""COMPUTED_VALUE"""),252566.6)</f>
        <v>252566.6</v>
      </c>
      <c r="T13" s="378">
        <f>IFERROR(__xludf.DUMMYFUNCTION("""COMPUTED_VALUE"""),252566.6)</f>
        <v>252566.6</v>
      </c>
      <c r="U13" s="378">
        <f>IFERROR(__xludf.DUMMYFUNCTION("""COMPUTED_VALUE"""),21047.216666666667)</f>
        <v>21047.21667</v>
      </c>
      <c r="V13" s="378"/>
      <c r="W13" s="378"/>
      <c r="X13" s="378">
        <f>IFERROR(__xludf.DUMMYFUNCTION("""COMPUTED_VALUE"""),1.0)</f>
        <v>1</v>
      </c>
      <c r="Y13" s="378"/>
      <c r="Z13" s="378"/>
      <c r="AA13" s="379"/>
      <c r="AB13" s="379"/>
      <c r="AC13" s="379"/>
      <c r="AD13" s="380" t="str">
        <f>IFERROR(__xludf.DUMMYFUNCTION("""COMPUTED_VALUE"""),"Himachal Pradesh")</f>
        <v>Himachal Pradesh</v>
      </c>
      <c r="AE13" s="380">
        <f>IFERROR(__xludf.DUMMYFUNCTION("""COMPUTED_VALUE"""),0.0)</f>
        <v>0</v>
      </c>
      <c r="AF13" s="380">
        <f>IFERROR(__xludf.DUMMYFUNCTION("""COMPUTED_VALUE"""),2.0)</f>
        <v>2</v>
      </c>
      <c r="AG13" s="380" t="str">
        <f>IFERROR(__xludf.DUMMYFUNCTION("""COMPUTED_VALUE"""),"Sulinder Pal")</f>
        <v>Sulinder Pal</v>
      </c>
      <c r="AH13" s="380">
        <f>IFERROR(__xludf.DUMMYFUNCTION("""COMPUTED_VALUE"""),5.0)</f>
        <v>5</v>
      </c>
      <c r="AI13" s="379"/>
      <c r="AJ13" s="379"/>
      <c r="AK13" s="379"/>
      <c r="AL13" s="379"/>
      <c r="AM13" s="379"/>
      <c r="AN13" s="379"/>
      <c r="AO13" s="379"/>
      <c r="AP13" s="379"/>
      <c r="AQ13" s="379"/>
      <c r="AR13" s="379"/>
    </row>
    <row r="14">
      <c r="A14" s="367" t="str">
        <f>IFERROR(__xludf.DUMMYFUNCTION("""COMPUTED_VALUE"""),"GUJARAT")</f>
        <v>GUJARAT</v>
      </c>
      <c r="B14" s="376">
        <f>IFERROR(__xludf.DUMMYFUNCTION("""COMPUTED_VALUE"""),1.0)</f>
        <v>1</v>
      </c>
      <c r="C14" s="376">
        <f>IFERROR(__xludf.DUMMYFUNCTION("""COMPUTED_VALUE"""),0.0)</f>
        <v>0</v>
      </c>
      <c r="D14" s="376">
        <f>IFERROR(__xludf.DUMMYFUNCTION("""COMPUTED_VALUE"""),2.0)</f>
        <v>2</v>
      </c>
      <c r="E14" s="376">
        <f>IFERROR(__xludf.DUMMYFUNCTION("""COMPUTED_VALUE"""),0.0)</f>
        <v>0</v>
      </c>
      <c r="F14" s="376">
        <f>IFERROR(__xludf.DUMMYFUNCTION("""COMPUTED_VALUE"""),12.0)</f>
        <v>12</v>
      </c>
      <c r="G14" s="376">
        <f>IFERROR(__xludf.DUMMYFUNCTION("""COMPUTED_VALUE"""),18.0)</f>
        <v>18</v>
      </c>
      <c r="H14" s="376">
        <f>IFERROR(__xludf.DUMMYFUNCTION("""COMPUTED_VALUE"""),227.0)</f>
        <v>227</v>
      </c>
      <c r="I14" s="376">
        <f>IFERROR(__xludf.DUMMYFUNCTION("""COMPUTED_VALUE"""),260.0)</f>
        <v>260</v>
      </c>
      <c r="J14" s="377"/>
      <c r="K14" s="367" t="str">
        <f>IFERROR(__xludf.DUMMYFUNCTION("""COMPUTED_VALUE"""),"GUJARAT")</f>
        <v>GUJARAT</v>
      </c>
      <c r="L14" s="378">
        <f>IFERROR(__xludf.DUMMYFUNCTION("""COMPUTED_VALUE"""),2400841.0)</f>
        <v>2400841</v>
      </c>
      <c r="M14" s="378">
        <f>IFERROR(__xludf.DUMMYFUNCTION("""COMPUTED_VALUE"""),0.0)</f>
        <v>0</v>
      </c>
      <c r="N14" s="378">
        <f>IFERROR(__xludf.DUMMYFUNCTION("""COMPUTED_VALUE"""),1788613.56)</f>
        <v>1788613.56</v>
      </c>
      <c r="O14" s="378">
        <f>IFERROR(__xludf.DUMMYFUNCTION("""COMPUTED_VALUE"""),0.0)</f>
        <v>0</v>
      </c>
      <c r="P14" s="378">
        <f>IFERROR(__xludf.DUMMYFUNCTION("""COMPUTED_VALUE"""),4147730.46)</f>
        <v>4147730.46</v>
      </c>
      <c r="Q14" s="378">
        <f>IFERROR(__xludf.DUMMYFUNCTION("""COMPUTED_VALUE"""),2580848.69)</f>
        <v>2580848.69</v>
      </c>
      <c r="R14" s="378">
        <f>IFERROR(__xludf.DUMMYFUNCTION("""COMPUTED_VALUE"""),5631596.120000004)</f>
        <v>5631596.12</v>
      </c>
      <c r="S14" s="378">
        <f>IFERROR(__xludf.DUMMYFUNCTION("""COMPUTED_VALUE"""),1.6549629830000002E7)</f>
        <v>16549629.83</v>
      </c>
      <c r="T14" s="378">
        <f>IFERROR(__xludf.DUMMYFUNCTION("""COMPUTED_VALUE"""),63652.42242307693)</f>
        <v>63652.42242</v>
      </c>
      <c r="U14" s="378">
        <f>IFERROR(__xludf.DUMMYFUNCTION("""COMPUTED_VALUE"""),5304.368535256411)</f>
        <v>5304.368535</v>
      </c>
      <c r="V14" s="378">
        <f>IFERROR(__xludf.DUMMYFUNCTION("""COMPUTED_VALUE"""),5.0)</f>
        <v>5</v>
      </c>
      <c r="W14" s="378">
        <f>IFERROR(__xludf.DUMMYFUNCTION("""COMPUTED_VALUE"""),0.0)</f>
        <v>0</v>
      </c>
      <c r="X14" s="378">
        <f>IFERROR(__xludf.DUMMYFUNCTION("""COMPUTED_VALUE"""),33.0)</f>
        <v>33</v>
      </c>
      <c r="Y14" s="378">
        <f>IFERROR(__xludf.DUMMYFUNCTION("""COMPUTED_VALUE"""),52.0)</f>
        <v>52</v>
      </c>
      <c r="Z14" s="378">
        <f>IFERROR(__xludf.DUMMYFUNCTION("""COMPUTED_VALUE"""),6.6)</f>
        <v>6.6</v>
      </c>
      <c r="AA14" s="379"/>
      <c r="AB14" s="379"/>
      <c r="AC14" s="379"/>
      <c r="AD14" s="380" t="str">
        <f>IFERROR(__xludf.DUMMYFUNCTION("""COMPUTED_VALUE"""),"JAMMU AND KASHMIR")</f>
        <v>JAMMU AND KASHMIR</v>
      </c>
      <c r="AE14" s="380">
        <f>IFERROR(__xludf.DUMMYFUNCTION("""COMPUTED_VALUE"""),5.0)</f>
        <v>5</v>
      </c>
      <c r="AF14" s="380">
        <f>IFERROR(__xludf.DUMMYFUNCTION("""COMPUTED_VALUE"""),0.0)</f>
        <v>0</v>
      </c>
      <c r="AG14" s="379"/>
      <c r="AH14" s="380">
        <f>IFERROR(__xludf.DUMMYFUNCTION("""COMPUTED_VALUE"""),0.0)</f>
        <v>0</v>
      </c>
      <c r="AI14" s="379"/>
      <c r="AJ14" s="379"/>
      <c r="AK14" s="379"/>
      <c r="AL14" s="379"/>
      <c r="AM14" s="379"/>
      <c r="AN14" s="379"/>
      <c r="AO14" s="379"/>
      <c r="AP14" s="379"/>
      <c r="AQ14" s="379"/>
      <c r="AR14" s="379"/>
    </row>
    <row r="15">
      <c r="A15" s="367" t="str">
        <f>IFERROR(__xludf.DUMMYFUNCTION("""COMPUTED_VALUE"""),"HARYANA")</f>
        <v>HARYANA</v>
      </c>
      <c r="B15" s="376">
        <f>IFERROR(__xludf.DUMMYFUNCTION("""COMPUTED_VALUE"""),0.0)</f>
        <v>0</v>
      </c>
      <c r="C15" s="376">
        <f>IFERROR(__xludf.DUMMYFUNCTION("""COMPUTED_VALUE"""),4.0)</f>
        <v>4</v>
      </c>
      <c r="D15" s="376">
        <f>IFERROR(__xludf.DUMMYFUNCTION("""COMPUTED_VALUE"""),3.0)</f>
        <v>3</v>
      </c>
      <c r="E15" s="376">
        <f>IFERROR(__xludf.DUMMYFUNCTION("""COMPUTED_VALUE"""),1.0)</f>
        <v>1</v>
      </c>
      <c r="F15" s="376">
        <f>IFERROR(__xludf.DUMMYFUNCTION("""COMPUTED_VALUE"""),8.0)</f>
        <v>8</v>
      </c>
      <c r="G15" s="376">
        <f>IFERROR(__xludf.DUMMYFUNCTION("""COMPUTED_VALUE"""),13.0)</f>
        <v>13</v>
      </c>
      <c r="H15" s="376">
        <f>IFERROR(__xludf.DUMMYFUNCTION("""COMPUTED_VALUE"""),110.0)</f>
        <v>110</v>
      </c>
      <c r="I15" s="376">
        <f>IFERROR(__xludf.DUMMYFUNCTION("""COMPUTED_VALUE"""),139.0)</f>
        <v>139</v>
      </c>
      <c r="J15" s="377"/>
      <c r="K15" s="367" t="str">
        <f>IFERROR(__xludf.DUMMYFUNCTION("""COMPUTED_VALUE"""),"HARYANA")</f>
        <v>HARYANA</v>
      </c>
      <c r="L15" s="378">
        <f>IFERROR(__xludf.DUMMYFUNCTION("""COMPUTED_VALUE"""),0.0)</f>
        <v>0</v>
      </c>
      <c r="M15" s="378">
        <f>IFERROR(__xludf.DUMMYFUNCTION("""COMPUTED_VALUE"""),4757802.720000001)</f>
        <v>4757802.72</v>
      </c>
      <c r="N15" s="378">
        <f>IFERROR(__xludf.DUMMYFUNCTION("""COMPUTED_VALUE"""),2139910.4099999997)</f>
        <v>2139910.41</v>
      </c>
      <c r="O15" s="378">
        <f>IFERROR(__xludf.DUMMYFUNCTION("""COMPUTED_VALUE"""),561687.64)</f>
        <v>561687.64</v>
      </c>
      <c r="P15" s="378">
        <f>IFERROR(__xludf.DUMMYFUNCTION("""COMPUTED_VALUE"""),2747111.33)</f>
        <v>2747111.33</v>
      </c>
      <c r="Q15" s="378">
        <f>IFERROR(__xludf.DUMMYFUNCTION("""COMPUTED_VALUE"""),1947103.28)</f>
        <v>1947103.28</v>
      </c>
      <c r="R15" s="378">
        <f>IFERROR(__xludf.DUMMYFUNCTION("""COMPUTED_VALUE"""),2853340.71)</f>
        <v>2853340.71</v>
      </c>
      <c r="S15" s="378">
        <f>IFERROR(__xludf.DUMMYFUNCTION("""COMPUTED_VALUE"""),1.500695609E7)</f>
        <v>15006956.09</v>
      </c>
      <c r="T15" s="378">
        <f>IFERROR(__xludf.DUMMYFUNCTION("""COMPUTED_VALUE"""),107963.71287769784)</f>
        <v>107963.7129</v>
      </c>
      <c r="U15" s="378">
        <f>IFERROR(__xludf.DUMMYFUNCTION("""COMPUTED_VALUE"""),8996.976073141486)</f>
        <v>8996.976073</v>
      </c>
      <c r="V15" s="378">
        <f>IFERROR(__xludf.DUMMYFUNCTION("""COMPUTED_VALUE"""),4.0)</f>
        <v>4</v>
      </c>
      <c r="W15" s="378">
        <f>IFERROR(__xludf.DUMMYFUNCTION("""COMPUTED_VALUE"""),0.0)</f>
        <v>0</v>
      </c>
      <c r="X15" s="378">
        <f>IFERROR(__xludf.DUMMYFUNCTION("""COMPUTED_VALUE"""),29.0)</f>
        <v>29</v>
      </c>
      <c r="Y15" s="378">
        <f>IFERROR(__xludf.DUMMYFUNCTION("""COMPUTED_VALUE"""),34.75)</f>
        <v>34.75</v>
      </c>
      <c r="Z15" s="378">
        <f>IFERROR(__xludf.DUMMYFUNCTION("""COMPUTED_VALUE"""),7.25)</f>
        <v>7.25</v>
      </c>
      <c r="AA15" s="379"/>
      <c r="AB15" s="379"/>
      <c r="AC15" s="379"/>
      <c r="AD15" s="380" t="str">
        <f>IFERROR(__xludf.DUMMYFUNCTION("""COMPUTED_VALUE"""),"Jharkhand")</f>
        <v>Jharkhand</v>
      </c>
      <c r="AE15" s="380">
        <f>IFERROR(__xludf.DUMMYFUNCTION("""COMPUTED_VALUE"""),7.0)</f>
        <v>7</v>
      </c>
      <c r="AF15" s="380">
        <f>IFERROR(__xludf.DUMMYFUNCTION("""COMPUTED_VALUE"""),1.0)</f>
        <v>1</v>
      </c>
      <c r="AG15" s="380" t="str">
        <f>IFERROR(__xludf.DUMMYFUNCTION("""COMPUTED_VALUE"""),"Prashant Onam Naik")</f>
        <v>Prashant Onam Naik</v>
      </c>
      <c r="AH15" s="380">
        <f>IFERROR(__xludf.DUMMYFUNCTION("""COMPUTED_VALUE"""),2.0)</f>
        <v>2</v>
      </c>
      <c r="AI15" s="379"/>
      <c r="AJ15" s="379"/>
      <c r="AK15" s="379"/>
      <c r="AL15" s="379"/>
      <c r="AM15" s="379"/>
      <c r="AN15" s="379"/>
      <c r="AO15" s="379"/>
      <c r="AP15" s="379"/>
      <c r="AQ15" s="379"/>
      <c r="AR15" s="379"/>
    </row>
    <row r="16">
      <c r="A16" s="367" t="str">
        <f>IFERROR(__xludf.DUMMYFUNCTION("""COMPUTED_VALUE"""),"HIMACHAL PRADESH")</f>
        <v>HIMACHAL PRADESH</v>
      </c>
      <c r="B16" s="376">
        <f>IFERROR(__xludf.DUMMYFUNCTION("""COMPUTED_VALUE"""),0.0)</f>
        <v>0</v>
      </c>
      <c r="C16" s="376">
        <f>IFERROR(__xludf.DUMMYFUNCTION("""COMPUTED_VALUE"""),0.0)</f>
        <v>0</v>
      </c>
      <c r="D16" s="376">
        <f>IFERROR(__xludf.DUMMYFUNCTION("""COMPUTED_VALUE"""),0.0)</f>
        <v>0</v>
      </c>
      <c r="E16" s="376">
        <f>IFERROR(__xludf.DUMMYFUNCTION("""COMPUTED_VALUE"""),1.0)</f>
        <v>1</v>
      </c>
      <c r="F16" s="376">
        <f>IFERROR(__xludf.DUMMYFUNCTION("""COMPUTED_VALUE"""),1.0)</f>
        <v>1</v>
      </c>
      <c r="G16" s="376">
        <f>IFERROR(__xludf.DUMMYFUNCTION("""COMPUTED_VALUE"""),6.0)</f>
        <v>6</v>
      </c>
      <c r="H16" s="376">
        <f>IFERROR(__xludf.DUMMYFUNCTION("""COMPUTED_VALUE"""),81.0)</f>
        <v>81</v>
      </c>
      <c r="I16" s="376">
        <f>IFERROR(__xludf.DUMMYFUNCTION("""COMPUTED_VALUE"""),89.0)</f>
        <v>89</v>
      </c>
      <c r="J16" s="377"/>
      <c r="K16" s="367" t="str">
        <f>IFERROR(__xludf.DUMMYFUNCTION("""COMPUTED_VALUE"""),"HIMACHAL PRADESH")</f>
        <v>HIMACHAL PRADESH</v>
      </c>
      <c r="L16" s="378">
        <f>IFERROR(__xludf.DUMMYFUNCTION("""COMPUTED_VALUE"""),0.0)</f>
        <v>0</v>
      </c>
      <c r="M16" s="378">
        <f>IFERROR(__xludf.DUMMYFUNCTION("""COMPUTED_VALUE"""),0.0)</f>
        <v>0</v>
      </c>
      <c r="N16" s="378">
        <f>IFERROR(__xludf.DUMMYFUNCTION("""COMPUTED_VALUE"""),0.0)</f>
        <v>0</v>
      </c>
      <c r="O16" s="378">
        <f>IFERROR(__xludf.DUMMYFUNCTION("""COMPUTED_VALUE"""),519152.85)</f>
        <v>519152.85</v>
      </c>
      <c r="P16" s="378">
        <f>IFERROR(__xludf.DUMMYFUNCTION("""COMPUTED_VALUE"""),281924.61)</f>
        <v>281924.61</v>
      </c>
      <c r="Q16" s="378">
        <f>IFERROR(__xludf.DUMMYFUNCTION("""COMPUTED_VALUE"""),943950.3300000001)</f>
        <v>943950.33</v>
      </c>
      <c r="R16" s="378">
        <f>IFERROR(__xludf.DUMMYFUNCTION("""COMPUTED_VALUE"""),2567006.83)</f>
        <v>2567006.83</v>
      </c>
      <c r="S16" s="378">
        <f>IFERROR(__xludf.DUMMYFUNCTION("""COMPUTED_VALUE"""),4312034.62)</f>
        <v>4312034.62</v>
      </c>
      <c r="T16" s="378">
        <f>IFERROR(__xludf.DUMMYFUNCTION("""COMPUTED_VALUE"""),48449.82719101124)</f>
        <v>48449.82719</v>
      </c>
      <c r="U16" s="378">
        <f>IFERROR(__xludf.DUMMYFUNCTION("""COMPUTED_VALUE"""),4037.4855992509365)</f>
        <v>4037.485599</v>
      </c>
      <c r="V16" s="378">
        <f>IFERROR(__xludf.DUMMYFUNCTION("""COMPUTED_VALUE"""),0.0)</f>
        <v>0</v>
      </c>
      <c r="W16" s="378">
        <f>IFERROR(__xludf.DUMMYFUNCTION("""COMPUTED_VALUE"""),2.0)</f>
        <v>2</v>
      </c>
      <c r="X16" s="378">
        <f>IFERROR(__xludf.DUMMYFUNCTION("""COMPUTED_VALUE"""),8.0)</f>
        <v>8</v>
      </c>
      <c r="Y16" s="378"/>
      <c r="Z16" s="378"/>
      <c r="AA16" s="379"/>
      <c r="AB16" s="379"/>
      <c r="AC16" s="379"/>
      <c r="AD16" s="380" t="str">
        <f>IFERROR(__xludf.DUMMYFUNCTION("""COMPUTED_VALUE"""),"Karnataka")</f>
        <v>Karnataka</v>
      </c>
      <c r="AE16" s="380">
        <f>IFERROR(__xludf.DUMMYFUNCTION("""COMPUTED_VALUE"""),2.0)</f>
        <v>2</v>
      </c>
      <c r="AF16" s="380">
        <f>IFERROR(__xludf.DUMMYFUNCTION("""COMPUTED_VALUE"""),2.0)</f>
        <v>2</v>
      </c>
      <c r="AG16" s="379"/>
      <c r="AH16" s="380">
        <f>IFERROR(__xludf.DUMMYFUNCTION("""COMPUTED_VALUE"""),0.0)</f>
        <v>0</v>
      </c>
      <c r="AI16" s="379"/>
      <c r="AJ16" s="379"/>
      <c r="AK16" s="379"/>
      <c r="AL16" s="379"/>
      <c r="AM16" s="379"/>
      <c r="AN16" s="379"/>
      <c r="AO16" s="379"/>
      <c r="AP16" s="379"/>
      <c r="AQ16" s="379"/>
      <c r="AR16" s="379"/>
    </row>
    <row r="17">
      <c r="A17" s="367" t="str">
        <f>IFERROR(__xludf.DUMMYFUNCTION("""COMPUTED_VALUE"""),"JAMMU AND KASHMIR")</f>
        <v>JAMMU AND KASHMIR</v>
      </c>
      <c r="B17" s="376">
        <f>IFERROR(__xludf.DUMMYFUNCTION("""COMPUTED_VALUE"""),2.0)</f>
        <v>2</v>
      </c>
      <c r="C17" s="376">
        <f>IFERROR(__xludf.DUMMYFUNCTION("""COMPUTED_VALUE"""),1.0)</f>
        <v>1</v>
      </c>
      <c r="D17" s="376">
        <f>IFERROR(__xludf.DUMMYFUNCTION("""COMPUTED_VALUE"""),6.0)</f>
        <v>6</v>
      </c>
      <c r="E17" s="376">
        <f>IFERROR(__xludf.DUMMYFUNCTION("""COMPUTED_VALUE"""),4.0)</f>
        <v>4</v>
      </c>
      <c r="F17" s="376">
        <f>IFERROR(__xludf.DUMMYFUNCTION("""COMPUTED_VALUE"""),11.0)</f>
        <v>11</v>
      </c>
      <c r="G17" s="376">
        <f>IFERROR(__xludf.DUMMYFUNCTION("""COMPUTED_VALUE"""),25.0)</f>
        <v>25</v>
      </c>
      <c r="H17" s="376">
        <f>IFERROR(__xludf.DUMMYFUNCTION("""COMPUTED_VALUE"""),45.0)</f>
        <v>45</v>
      </c>
      <c r="I17" s="376">
        <f>IFERROR(__xludf.DUMMYFUNCTION("""COMPUTED_VALUE"""),94.0)</f>
        <v>94</v>
      </c>
      <c r="J17" s="377"/>
      <c r="K17" s="367" t="str">
        <f>IFERROR(__xludf.DUMMYFUNCTION("""COMPUTED_VALUE"""),"JAMMU AND KASHMIR")</f>
        <v>JAMMU AND KASHMIR</v>
      </c>
      <c r="L17" s="378">
        <f>IFERROR(__xludf.DUMMYFUNCTION("""COMPUTED_VALUE"""),5564674.800000001)</f>
        <v>5564674.8</v>
      </c>
      <c r="M17" s="378">
        <f>IFERROR(__xludf.DUMMYFUNCTION("""COMPUTED_VALUE"""),1388634.6)</f>
        <v>1388634.6</v>
      </c>
      <c r="N17" s="378">
        <f>IFERROR(__xludf.DUMMYFUNCTION("""COMPUTED_VALUE"""),4722122.39)</f>
        <v>4722122.39</v>
      </c>
      <c r="O17" s="378">
        <f>IFERROR(__xludf.DUMMYFUNCTION("""COMPUTED_VALUE"""),1948579.35)</f>
        <v>1948579.35</v>
      </c>
      <c r="P17" s="378">
        <f>IFERROR(__xludf.DUMMYFUNCTION("""COMPUTED_VALUE"""),3633885.0300000003)</f>
        <v>3633885.03</v>
      </c>
      <c r="Q17" s="378">
        <f>IFERROR(__xludf.DUMMYFUNCTION("""COMPUTED_VALUE"""),4109208.6500000004)</f>
        <v>4109208.65</v>
      </c>
      <c r="R17" s="378">
        <f>IFERROR(__xludf.DUMMYFUNCTION("""COMPUTED_VALUE"""),2171130.8199999994)</f>
        <v>2171130.82</v>
      </c>
      <c r="S17" s="378">
        <f>IFERROR(__xludf.DUMMYFUNCTION("""COMPUTED_VALUE"""),2.353823564E7)</f>
        <v>23538235.64</v>
      </c>
      <c r="T17" s="378">
        <f>IFERROR(__xludf.DUMMYFUNCTION("""COMPUTED_VALUE"""),250406.76212765957)</f>
        <v>250406.7621</v>
      </c>
      <c r="U17" s="378">
        <f>IFERROR(__xludf.DUMMYFUNCTION("""COMPUTED_VALUE"""),20867.230177304966)</f>
        <v>20867.23018</v>
      </c>
      <c r="V17" s="378">
        <f>IFERROR(__xludf.DUMMYFUNCTION("""COMPUTED_VALUE"""),5.0)</f>
        <v>5</v>
      </c>
      <c r="W17" s="378">
        <f>IFERROR(__xludf.DUMMYFUNCTION("""COMPUTED_VALUE"""),0.0)</f>
        <v>0</v>
      </c>
      <c r="X17" s="378">
        <f>IFERROR(__xludf.DUMMYFUNCTION("""COMPUTED_VALUE"""),49.0)</f>
        <v>49</v>
      </c>
      <c r="Y17" s="378">
        <f>IFERROR(__xludf.DUMMYFUNCTION("""COMPUTED_VALUE"""),18.8)</f>
        <v>18.8</v>
      </c>
      <c r="Z17" s="378">
        <f>IFERROR(__xludf.DUMMYFUNCTION("""COMPUTED_VALUE"""),9.8)</f>
        <v>9.8</v>
      </c>
      <c r="AA17" s="379"/>
      <c r="AB17" s="379"/>
      <c r="AC17" s="379"/>
      <c r="AD17" s="380" t="str">
        <f>IFERROR(__xludf.DUMMYFUNCTION("""COMPUTED_VALUE"""),"Kerala")</f>
        <v>Kerala</v>
      </c>
      <c r="AE17" s="380">
        <f>IFERROR(__xludf.DUMMYFUNCTION("""COMPUTED_VALUE"""),7.0)</f>
        <v>7</v>
      </c>
      <c r="AF17" s="380">
        <f>IFERROR(__xludf.DUMMYFUNCTION("""COMPUTED_VALUE"""),0.0)</f>
        <v>0</v>
      </c>
      <c r="AG17" s="379"/>
      <c r="AH17" s="380">
        <f>IFERROR(__xludf.DUMMYFUNCTION("""COMPUTED_VALUE"""),0.0)</f>
        <v>0</v>
      </c>
      <c r="AI17" s="379"/>
      <c r="AJ17" s="379"/>
      <c r="AK17" s="379"/>
      <c r="AL17" s="379"/>
      <c r="AM17" s="379"/>
      <c r="AN17" s="379"/>
      <c r="AO17" s="379"/>
      <c r="AP17" s="379"/>
      <c r="AQ17" s="379"/>
      <c r="AR17" s="379"/>
    </row>
    <row r="18">
      <c r="A18" s="367" t="str">
        <f>IFERROR(__xludf.DUMMYFUNCTION("""COMPUTED_VALUE"""),"JHARKHAND")</f>
        <v>JHARKHAND</v>
      </c>
      <c r="B18" s="376">
        <f>IFERROR(__xludf.DUMMYFUNCTION("""COMPUTED_VALUE"""),10.0)</f>
        <v>10</v>
      </c>
      <c r="C18" s="376">
        <f>IFERROR(__xludf.DUMMYFUNCTION("""COMPUTED_VALUE"""),39.0)</f>
        <v>39</v>
      </c>
      <c r="D18" s="376">
        <f>IFERROR(__xludf.DUMMYFUNCTION("""COMPUTED_VALUE"""),31.0)</f>
        <v>31</v>
      </c>
      <c r="E18" s="376">
        <f>IFERROR(__xludf.DUMMYFUNCTION("""COMPUTED_VALUE"""),29.0)</f>
        <v>29</v>
      </c>
      <c r="F18" s="376">
        <f>IFERROR(__xludf.DUMMYFUNCTION("""COMPUTED_VALUE"""),57.0)</f>
        <v>57</v>
      </c>
      <c r="G18" s="376">
        <f>IFERROR(__xludf.DUMMYFUNCTION("""COMPUTED_VALUE"""),81.0)</f>
        <v>81</v>
      </c>
      <c r="H18" s="376">
        <f>IFERROR(__xludf.DUMMYFUNCTION("""COMPUTED_VALUE"""),121.0)</f>
        <v>121</v>
      </c>
      <c r="I18" s="376">
        <f>IFERROR(__xludf.DUMMYFUNCTION("""COMPUTED_VALUE"""),368.0)</f>
        <v>368</v>
      </c>
      <c r="J18" s="377"/>
      <c r="K18" s="367" t="str">
        <f>IFERROR(__xludf.DUMMYFUNCTION("""COMPUTED_VALUE"""),"JHARKHAND")</f>
        <v>JHARKHAND</v>
      </c>
      <c r="L18" s="378">
        <f>IFERROR(__xludf.DUMMYFUNCTION("""COMPUTED_VALUE"""),3.1616672789999995E7)</f>
        <v>31616672.79</v>
      </c>
      <c r="M18" s="378">
        <f>IFERROR(__xludf.DUMMYFUNCTION("""COMPUTED_VALUE"""),5.544772638999999E7)</f>
        <v>55447726.39</v>
      </c>
      <c r="N18" s="378">
        <f>IFERROR(__xludf.DUMMYFUNCTION("""COMPUTED_VALUE"""),2.4532037720000006E7)</f>
        <v>24532037.72</v>
      </c>
      <c r="O18" s="378">
        <f>IFERROR(__xludf.DUMMYFUNCTION("""COMPUTED_VALUE"""),1.515625001E7)</f>
        <v>15156250.01</v>
      </c>
      <c r="P18" s="378">
        <f>IFERROR(__xludf.DUMMYFUNCTION("""COMPUTED_VALUE"""),1.955079601E7)</f>
        <v>19550796.01</v>
      </c>
      <c r="Q18" s="378">
        <f>IFERROR(__xludf.DUMMYFUNCTION("""COMPUTED_VALUE"""),1.3317103269999998E7)</f>
        <v>13317103.27</v>
      </c>
      <c r="R18" s="378">
        <f>IFERROR(__xludf.DUMMYFUNCTION("""COMPUTED_VALUE"""),5382972.489999995)</f>
        <v>5382972.49</v>
      </c>
      <c r="S18" s="378">
        <f>IFERROR(__xludf.DUMMYFUNCTION("""COMPUTED_VALUE"""),1.6500355868E8)</f>
        <v>165003558.7</v>
      </c>
      <c r="T18" s="378">
        <f>IFERROR(__xludf.DUMMYFUNCTION("""COMPUTED_VALUE"""),448379.2355434783)</f>
        <v>448379.2355</v>
      </c>
      <c r="U18" s="378">
        <f>IFERROR(__xludf.DUMMYFUNCTION("""COMPUTED_VALUE"""),37364.93629528986)</f>
        <v>37364.9363</v>
      </c>
      <c r="V18" s="378">
        <f>IFERROR(__xludf.DUMMYFUNCTION("""COMPUTED_VALUE"""),7.0)</f>
        <v>7</v>
      </c>
      <c r="W18" s="378">
        <f>IFERROR(__xludf.DUMMYFUNCTION("""COMPUTED_VALUE"""),1.0)</f>
        <v>1</v>
      </c>
      <c r="X18" s="378">
        <f>IFERROR(__xludf.DUMMYFUNCTION("""COMPUTED_VALUE"""),247.0)</f>
        <v>247</v>
      </c>
      <c r="Y18" s="378">
        <f>IFERROR(__xludf.DUMMYFUNCTION("""COMPUTED_VALUE"""),52.57142857142857)</f>
        <v>52.57142857</v>
      </c>
      <c r="Z18" s="378">
        <f>IFERROR(__xludf.DUMMYFUNCTION("""COMPUTED_VALUE"""),35.285714285714285)</f>
        <v>35.28571429</v>
      </c>
      <c r="AA18" s="379"/>
      <c r="AB18" s="379"/>
      <c r="AC18" s="379"/>
      <c r="AD18" s="380" t="str">
        <f>IFERROR(__xludf.DUMMYFUNCTION("""COMPUTED_VALUE"""),"Madhya Pradesh")</f>
        <v>Madhya Pradesh</v>
      </c>
      <c r="AE18" s="380">
        <f>IFERROR(__xludf.DUMMYFUNCTION("""COMPUTED_VALUE"""),10.0)</f>
        <v>10</v>
      </c>
      <c r="AF18" s="380">
        <f>IFERROR(__xludf.DUMMYFUNCTION("""COMPUTED_VALUE"""),0.0)</f>
        <v>0</v>
      </c>
      <c r="AG18" s="379"/>
      <c r="AH18" s="380">
        <f>IFERROR(__xludf.DUMMYFUNCTION("""COMPUTED_VALUE"""),0.0)</f>
        <v>0</v>
      </c>
      <c r="AI18" s="379"/>
      <c r="AJ18" s="379"/>
      <c r="AK18" s="379"/>
      <c r="AL18" s="379"/>
      <c r="AM18" s="379"/>
      <c r="AN18" s="379"/>
      <c r="AO18" s="379"/>
      <c r="AP18" s="379"/>
      <c r="AQ18" s="379"/>
      <c r="AR18" s="379"/>
    </row>
    <row r="19">
      <c r="A19" s="367" t="str">
        <f>IFERROR(__xludf.DUMMYFUNCTION("""COMPUTED_VALUE"""),"KARNATAKA")</f>
        <v>KARNATAKA</v>
      </c>
      <c r="B19" s="376">
        <f>IFERROR(__xludf.DUMMYFUNCTION("""COMPUTED_VALUE"""),0.0)</f>
        <v>0</v>
      </c>
      <c r="C19" s="376">
        <f>IFERROR(__xludf.DUMMYFUNCTION("""COMPUTED_VALUE"""),0.0)</f>
        <v>0</v>
      </c>
      <c r="D19" s="376">
        <f>IFERROR(__xludf.DUMMYFUNCTION("""COMPUTED_VALUE"""),0.0)</f>
        <v>0</v>
      </c>
      <c r="E19" s="376">
        <f>IFERROR(__xludf.DUMMYFUNCTION("""COMPUTED_VALUE"""),0.0)</f>
        <v>0</v>
      </c>
      <c r="F19" s="376">
        <f>IFERROR(__xludf.DUMMYFUNCTION("""COMPUTED_VALUE"""),0.0)</f>
        <v>0</v>
      </c>
      <c r="G19" s="376">
        <f>IFERROR(__xludf.DUMMYFUNCTION("""COMPUTED_VALUE"""),1.0)</f>
        <v>1</v>
      </c>
      <c r="H19" s="376">
        <f>IFERROR(__xludf.DUMMYFUNCTION("""COMPUTED_VALUE"""),5.0)</f>
        <v>5</v>
      </c>
      <c r="I19" s="376">
        <f>IFERROR(__xludf.DUMMYFUNCTION("""COMPUTED_VALUE"""),6.0)</f>
        <v>6</v>
      </c>
      <c r="J19" s="377"/>
      <c r="K19" s="367" t="str">
        <f>IFERROR(__xludf.DUMMYFUNCTION("""COMPUTED_VALUE"""),"KARNATAKA")</f>
        <v>KARNATAKA</v>
      </c>
      <c r="L19" s="378">
        <f>IFERROR(__xludf.DUMMYFUNCTION("""COMPUTED_VALUE"""),0.0)</f>
        <v>0</v>
      </c>
      <c r="M19" s="378">
        <f>IFERROR(__xludf.DUMMYFUNCTION("""COMPUTED_VALUE"""),0.0)</f>
        <v>0</v>
      </c>
      <c r="N19" s="378">
        <f>IFERROR(__xludf.DUMMYFUNCTION("""COMPUTED_VALUE"""),0.0)</f>
        <v>0</v>
      </c>
      <c r="O19" s="378">
        <f>IFERROR(__xludf.DUMMYFUNCTION("""COMPUTED_VALUE"""),0.0)</f>
        <v>0</v>
      </c>
      <c r="P19" s="378">
        <f>IFERROR(__xludf.DUMMYFUNCTION("""COMPUTED_VALUE"""),0.0)</f>
        <v>0</v>
      </c>
      <c r="Q19" s="378">
        <f>IFERROR(__xludf.DUMMYFUNCTION("""COMPUTED_VALUE"""),229683.9)</f>
        <v>229683.9</v>
      </c>
      <c r="R19" s="378">
        <f>IFERROR(__xludf.DUMMYFUNCTION("""COMPUTED_VALUE"""),216834.04)</f>
        <v>216834.04</v>
      </c>
      <c r="S19" s="378">
        <f>IFERROR(__xludf.DUMMYFUNCTION("""COMPUTED_VALUE"""),446517.94)</f>
        <v>446517.94</v>
      </c>
      <c r="T19" s="378">
        <f>IFERROR(__xludf.DUMMYFUNCTION("""COMPUTED_VALUE"""),74419.65666666666)</f>
        <v>74419.65667</v>
      </c>
      <c r="U19" s="378">
        <f>IFERROR(__xludf.DUMMYFUNCTION("""COMPUTED_VALUE"""),6201.638055555555)</f>
        <v>6201.638056</v>
      </c>
      <c r="V19" s="378">
        <f>IFERROR(__xludf.DUMMYFUNCTION("""COMPUTED_VALUE"""),2.0)</f>
        <v>2</v>
      </c>
      <c r="W19" s="378">
        <f>IFERROR(__xludf.DUMMYFUNCTION("""COMPUTED_VALUE"""),2.0)</f>
        <v>2</v>
      </c>
      <c r="X19" s="378">
        <f>IFERROR(__xludf.DUMMYFUNCTION("""COMPUTED_VALUE"""),1.0)</f>
        <v>1</v>
      </c>
      <c r="Y19" s="378">
        <f>IFERROR(__xludf.DUMMYFUNCTION("""COMPUTED_VALUE"""),3.0)</f>
        <v>3</v>
      </c>
      <c r="Z19" s="378">
        <f>IFERROR(__xludf.DUMMYFUNCTION("""COMPUTED_VALUE"""),0.5)</f>
        <v>0.5</v>
      </c>
      <c r="AA19" s="379"/>
      <c r="AB19" s="379"/>
      <c r="AC19" s="379"/>
      <c r="AD19" s="380" t="str">
        <f>IFERROR(__xludf.DUMMYFUNCTION("""COMPUTED_VALUE"""),"Maharashtra")</f>
        <v>Maharashtra</v>
      </c>
      <c r="AE19" s="380">
        <f>IFERROR(__xludf.DUMMYFUNCTION("""COMPUTED_VALUE"""),12.0)</f>
        <v>12</v>
      </c>
      <c r="AF19" s="380">
        <f>IFERROR(__xludf.DUMMYFUNCTION("""COMPUTED_VALUE"""),0.0)</f>
        <v>0</v>
      </c>
      <c r="AG19" s="379"/>
      <c r="AH19" s="380">
        <f>IFERROR(__xludf.DUMMYFUNCTION("""COMPUTED_VALUE"""),0.0)</f>
        <v>0</v>
      </c>
      <c r="AI19" s="379"/>
      <c r="AJ19" s="379"/>
      <c r="AK19" s="379"/>
      <c r="AL19" s="379"/>
      <c r="AM19" s="379"/>
      <c r="AN19" s="379"/>
      <c r="AO19" s="379"/>
      <c r="AP19" s="379"/>
      <c r="AQ19" s="379"/>
      <c r="AR19" s="379"/>
    </row>
    <row r="20">
      <c r="A20" s="367" t="str">
        <f>IFERROR(__xludf.DUMMYFUNCTION("""COMPUTED_VALUE"""),"KERALA")</f>
        <v>KERALA</v>
      </c>
      <c r="B20" s="376">
        <f>IFERROR(__xludf.DUMMYFUNCTION("""COMPUTED_VALUE"""),2.0)</f>
        <v>2</v>
      </c>
      <c r="C20" s="376">
        <f>IFERROR(__xludf.DUMMYFUNCTION("""COMPUTED_VALUE"""),7.0)</f>
        <v>7</v>
      </c>
      <c r="D20" s="376">
        <f>IFERROR(__xludf.DUMMYFUNCTION("""COMPUTED_VALUE"""),17.0)</f>
        <v>17</v>
      </c>
      <c r="E20" s="376">
        <f>IFERROR(__xludf.DUMMYFUNCTION("""COMPUTED_VALUE"""),12.0)</f>
        <v>12</v>
      </c>
      <c r="F20" s="376">
        <f>IFERROR(__xludf.DUMMYFUNCTION("""COMPUTED_VALUE"""),25.0)</f>
        <v>25</v>
      </c>
      <c r="G20" s="376">
        <f>IFERROR(__xludf.DUMMYFUNCTION("""COMPUTED_VALUE"""),115.0)</f>
        <v>115</v>
      </c>
      <c r="H20" s="376">
        <f>IFERROR(__xludf.DUMMYFUNCTION("""COMPUTED_VALUE"""),272.0)</f>
        <v>272</v>
      </c>
      <c r="I20" s="376">
        <f>IFERROR(__xludf.DUMMYFUNCTION("""COMPUTED_VALUE"""),450.0)</f>
        <v>450</v>
      </c>
      <c r="J20" s="377"/>
      <c r="K20" s="367" t="str">
        <f>IFERROR(__xludf.DUMMYFUNCTION("""COMPUTED_VALUE"""),"KERALA")</f>
        <v>KERALA</v>
      </c>
      <c r="L20" s="378">
        <f>IFERROR(__xludf.DUMMYFUNCTION("""COMPUTED_VALUE"""),1.2611971E7)</f>
        <v>12611971</v>
      </c>
      <c r="M20" s="378">
        <f>IFERROR(__xludf.DUMMYFUNCTION("""COMPUTED_VALUE"""),8058381.67)</f>
        <v>8058381.67</v>
      </c>
      <c r="N20" s="378">
        <f>IFERROR(__xludf.DUMMYFUNCTION("""COMPUTED_VALUE"""),1.2607135310000002E7)</f>
        <v>12607135.31</v>
      </c>
      <c r="O20" s="378">
        <f>IFERROR(__xludf.DUMMYFUNCTION("""COMPUTED_VALUE"""),6308835.92)</f>
        <v>6308835.92</v>
      </c>
      <c r="P20" s="378">
        <f>IFERROR(__xludf.DUMMYFUNCTION("""COMPUTED_VALUE"""),8109533.1899999995)</f>
        <v>8109533.19</v>
      </c>
      <c r="Q20" s="378">
        <f>IFERROR(__xludf.DUMMYFUNCTION("""COMPUTED_VALUE"""),1.7690465909999996E7)</f>
        <v>17690465.91</v>
      </c>
      <c r="R20" s="378">
        <f>IFERROR(__xludf.DUMMYFUNCTION("""COMPUTED_VALUE"""),1.0850909860000005E7)</f>
        <v>10850909.86</v>
      </c>
      <c r="S20" s="378">
        <f>IFERROR(__xludf.DUMMYFUNCTION("""COMPUTED_VALUE"""),7.623723286E7)</f>
        <v>76237232.86</v>
      </c>
      <c r="T20" s="378">
        <f>IFERROR(__xludf.DUMMYFUNCTION("""COMPUTED_VALUE"""),169416.07302222223)</f>
        <v>169416.073</v>
      </c>
      <c r="U20" s="378">
        <f>IFERROR(__xludf.DUMMYFUNCTION("""COMPUTED_VALUE"""),14118.006085185187)</f>
        <v>14118.00609</v>
      </c>
      <c r="V20" s="378">
        <f>IFERROR(__xludf.DUMMYFUNCTION("""COMPUTED_VALUE"""),7.0)</f>
        <v>7</v>
      </c>
      <c r="W20" s="378">
        <f>IFERROR(__xludf.DUMMYFUNCTION("""COMPUTED_VALUE"""),0.0)</f>
        <v>0</v>
      </c>
      <c r="X20" s="378">
        <f>IFERROR(__xludf.DUMMYFUNCTION("""COMPUTED_VALUE"""),178.0)</f>
        <v>178</v>
      </c>
      <c r="Y20" s="378">
        <f>IFERROR(__xludf.DUMMYFUNCTION("""COMPUTED_VALUE"""),64.28571428571429)</f>
        <v>64.28571429</v>
      </c>
      <c r="Z20" s="378">
        <f>IFERROR(__xludf.DUMMYFUNCTION("""COMPUTED_VALUE"""),25.428571428571427)</f>
        <v>25.42857143</v>
      </c>
      <c r="AA20" s="379"/>
      <c r="AB20" s="379"/>
      <c r="AC20" s="379"/>
      <c r="AD20" s="380" t="str">
        <f>IFERROR(__xludf.DUMMYFUNCTION("""COMPUTED_VALUE"""),"Maharashtra 2")</f>
        <v>Maharashtra 2</v>
      </c>
      <c r="AE20" s="380">
        <f>IFERROR(__xludf.DUMMYFUNCTION("""COMPUTED_VALUE"""),3.0)</f>
        <v>3</v>
      </c>
      <c r="AF20" s="380">
        <f>IFERROR(__xludf.DUMMYFUNCTION("""COMPUTED_VALUE"""),0.0)</f>
        <v>0</v>
      </c>
      <c r="AG20" s="379"/>
      <c r="AH20" s="380">
        <f>IFERROR(__xludf.DUMMYFUNCTION("""COMPUTED_VALUE"""),0.0)</f>
        <v>0</v>
      </c>
      <c r="AI20" s="379"/>
      <c r="AJ20" s="379"/>
      <c r="AK20" s="379"/>
      <c r="AL20" s="379"/>
      <c r="AM20" s="379"/>
      <c r="AN20" s="379"/>
      <c r="AO20" s="379"/>
      <c r="AP20" s="379"/>
      <c r="AQ20" s="379"/>
      <c r="AR20" s="379"/>
    </row>
    <row r="21">
      <c r="A21" s="367" t="str">
        <f>IFERROR(__xludf.DUMMYFUNCTION("""COMPUTED_VALUE"""),"MADHYA PRADESH")</f>
        <v>MADHYA PRADESH</v>
      </c>
      <c r="B21" s="376">
        <f>IFERROR(__xludf.DUMMYFUNCTION("""COMPUTED_VALUE"""),7.0)</f>
        <v>7</v>
      </c>
      <c r="C21" s="376">
        <f>IFERROR(__xludf.DUMMYFUNCTION("""COMPUTED_VALUE"""),21.0)</f>
        <v>21</v>
      </c>
      <c r="D21" s="376">
        <f>IFERROR(__xludf.DUMMYFUNCTION("""COMPUTED_VALUE"""),31.0)</f>
        <v>31</v>
      </c>
      <c r="E21" s="376">
        <f>IFERROR(__xludf.DUMMYFUNCTION("""COMPUTED_VALUE"""),23.0)</f>
        <v>23</v>
      </c>
      <c r="F21" s="376">
        <f>IFERROR(__xludf.DUMMYFUNCTION("""COMPUTED_VALUE"""),62.0)</f>
        <v>62</v>
      </c>
      <c r="G21" s="376">
        <f>IFERROR(__xludf.DUMMYFUNCTION("""COMPUTED_VALUE"""),122.0)</f>
        <v>122</v>
      </c>
      <c r="H21" s="376">
        <f>IFERROR(__xludf.DUMMYFUNCTION("""COMPUTED_VALUE"""),289.0)</f>
        <v>289</v>
      </c>
      <c r="I21" s="376">
        <f>IFERROR(__xludf.DUMMYFUNCTION("""COMPUTED_VALUE"""),555.0)</f>
        <v>555</v>
      </c>
      <c r="J21" s="377"/>
      <c r="K21" s="367" t="str">
        <f>IFERROR(__xludf.DUMMYFUNCTION("""COMPUTED_VALUE"""),"MADHYA PRADESH")</f>
        <v>MADHYA PRADESH</v>
      </c>
      <c r="L21" s="378">
        <f>IFERROR(__xludf.DUMMYFUNCTION("""COMPUTED_VALUE"""),2.194508644E7)</f>
        <v>21945086.44</v>
      </c>
      <c r="M21" s="378">
        <f>IFERROR(__xludf.DUMMYFUNCTION("""COMPUTED_VALUE"""),2.843115814E7)</f>
        <v>28431158.14</v>
      </c>
      <c r="N21" s="378">
        <f>IFERROR(__xludf.DUMMYFUNCTION("""COMPUTED_VALUE"""),2.300244447E7)</f>
        <v>23002444.47</v>
      </c>
      <c r="O21" s="378">
        <f>IFERROR(__xludf.DUMMYFUNCTION("""COMPUTED_VALUE"""),1.209936896E7)</f>
        <v>12099368.96</v>
      </c>
      <c r="P21" s="378">
        <f>IFERROR(__xludf.DUMMYFUNCTION("""COMPUTED_VALUE"""),2.0323153330000002E7)</f>
        <v>20323153.33</v>
      </c>
      <c r="Q21" s="378">
        <f>IFERROR(__xludf.DUMMYFUNCTION("""COMPUTED_VALUE"""),1.92094436E7)</f>
        <v>19209443.6</v>
      </c>
      <c r="R21" s="378">
        <f>IFERROR(__xludf.DUMMYFUNCTION("""COMPUTED_VALUE"""),9769022.099999994)</f>
        <v>9769022.1</v>
      </c>
      <c r="S21" s="378">
        <f>IFERROR(__xludf.DUMMYFUNCTION("""COMPUTED_VALUE"""),1.3477967704E8)</f>
        <v>134779677</v>
      </c>
      <c r="T21" s="378">
        <f>IFERROR(__xludf.DUMMYFUNCTION("""COMPUTED_VALUE"""),242846.26493693693)</f>
        <v>242846.2649</v>
      </c>
      <c r="U21" s="378">
        <f>IFERROR(__xludf.DUMMYFUNCTION("""COMPUTED_VALUE"""),20237.188744744744)</f>
        <v>20237.18874</v>
      </c>
      <c r="V21" s="378">
        <f>IFERROR(__xludf.DUMMYFUNCTION("""COMPUTED_VALUE"""),10.0)</f>
        <v>10</v>
      </c>
      <c r="W21" s="378">
        <f>IFERROR(__xludf.DUMMYFUNCTION("""COMPUTED_VALUE"""),0.0)</f>
        <v>0</v>
      </c>
      <c r="X21" s="378">
        <f>IFERROR(__xludf.DUMMYFUNCTION("""COMPUTED_VALUE"""),266.0)</f>
        <v>266</v>
      </c>
      <c r="Y21" s="378">
        <f>IFERROR(__xludf.DUMMYFUNCTION("""COMPUTED_VALUE"""),55.5)</f>
        <v>55.5</v>
      </c>
      <c r="Z21" s="378">
        <f>IFERROR(__xludf.DUMMYFUNCTION("""COMPUTED_VALUE"""),26.6)</f>
        <v>26.6</v>
      </c>
      <c r="AA21" s="379"/>
      <c r="AB21" s="379"/>
      <c r="AC21" s="379"/>
      <c r="AD21" s="380" t="str">
        <f>IFERROR(__xludf.DUMMYFUNCTION("""COMPUTED_VALUE"""),"North East")</f>
        <v>North East</v>
      </c>
      <c r="AE21" s="380">
        <f>IFERROR(__xludf.DUMMYFUNCTION("""COMPUTED_VALUE"""),7.0)</f>
        <v>7</v>
      </c>
      <c r="AF21" s="380">
        <f>IFERROR(__xludf.DUMMYFUNCTION("""COMPUTED_VALUE"""),0.0)</f>
        <v>0</v>
      </c>
      <c r="AG21" s="379"/>
      <c r="AH21" s="380">
        <f>IFERROR(__xludf.DUMMYFUNCTION("""COMPUTED_VALUE"""),0.0)</f>
        <v>0</v>
      </c>
      <c r="AI21" s="379"/>
      <c r="AJ21" s="379"/>
      <c r="AK21" s="379"/>
      <c r="AL21" s="379"/>
      <c r="AM21" s="379"/>
      <c r="AN21" s="379"/>
      <c r="AO21" s="379"/>
      <c r="AP21" s="379"/>
      <c r="AQ21" s="379"/>
      <c r="AR21" s="379"/>
    </row>
    <row r="22">
      <c r="A22" s="367" t="str">
        <f>IFERROR(__xludf.DUMMYFUNCTION("""COMPUTED_VALUE"""),"MAHARASHTRA")</f>
        <v>MAHARASHTRA</v>
      </c>
      <c r="B22" s="376">
        <f>IFERROR(__xludf.DUMMYFUNCTION("""COMPUTED_VALUE"""),5.0)</f>
        <v>5</v>
      </c>
      <c r="C22" s="376">
        <f>IFERROR(__xludf.DUMMYFUNCTION("""COMPUTED_VALUE"""),17.0)</f>
        <v>17</v>
      </c>
      <c r="D22" s="376">
        <f>IFERROR(__xludf.DUMMYFUNCTION("""COMPUTED_VALUE"""),29.0)</f>
        <v>29</v>
      </c>
      <c r="E22" s="376">
        <f>IFERROR(__xludf.DUMMYFUNCTION("""COMPUTED_VALUE"""),25.0)</f>
        <v>25</v>
      </c>
      <c r="F22" s="376">
        <f>IFERROR(__xludf.DUMMYFUNCTION("""COMPUTED_VALUE"""),72.0)</f>
        <v>72</v>
      </c>
      <c r="G22" s="376">
        <f>IFERROR(__xludf.DUMMYFUNCTION("""COMPUTED_VALUE"""),172.0)</f>
        <v>172</v>
      </c>
      <c r="H22" s="376">
        <f>IFERROR(__xludf.DUMMYFUNCTION("""COMPUTED_VALUE"""),616.0)</f>
        <v>616</v>
      </c>
      <c r="I22" s="376">
        <f>IFERROR(__xludf.DUMMYFUNCTION("""COMPUTED_VALUE"""),936.0)</f>
        <v>936</v>
      </c>
      <c r="J22" s="377"/>
      <c r="K22" s="367" t="str">
        <f>IFERROR(__xludf.DUMMYFUNCTION("""COMPUTED_VALUE"""),"MAHARASHTRA")</f>
        <v>MAHARASHTRA</v>
      </c>
      <c r="L22" s="378">
        <f>IFERROR(__xludf.DUMMYFUNCTION("""COMPUTED_VALUE"""),1.700909639E7)</f>
        <v>17009096.39</v>
      </c>
      <c r="M22" s="378">
        <f>IFERROR(__xludf.DUMMYFUNCTION("""COMPUTED_VALUE"""),2.30269233E7)</f>
        <v>23026923.3</v>
      </c>
      <c r="N22" s="378">
        <f>IFERROR(__xludf.DUMMYFUNCTION("""COMPUTED_VALUE"""),2.259394077E7)</f>
        <v>22593940.77</v>
      </c>
      <c r="O22" s="378">
        <f>IFERROR(__xludf.DUMMYFUNCTION("""COMPUTED_VALUE"""),1.3050028740000002E7)</f>
        <v>13050028.74</v>
      </c>
      <c r="P22" s="378">
        <f>IFERROR(__xludf.DUMMYFUNCTION("""COMPUTED_VALUE"""),2.409450599E7)</f>
        <v>24094505.99</v>
      </c>
      <c r="Q22" s="378">
        <f>IFERROR(__xludf.DUMMYFUNCTION("""COMPUTED_VALUE"""),2.8038348539999973E7)</f>
        <v>28038348.54</v>
      </c>
      <c r="R22" s="378">
        <f>IFERROR(__xludf.DUMMYFUNCTION("""COMPUTED_VALUE"""),2.0466583719999976E7)</f>
        <v>20466583.72</v>
      </c>
      <c r="S22" s="378">
        <f>IFERROR(__xludf.DUMMYFUNCTION("""COMPUTED_VALUE"""),1.4827942744999993E8)</f>
        <v>148279427.5</v>
      </c>
      <c r="T22" s="378">
        <f>IFERROR(__xludf.DUMMYFUNCTION("""COMPUTED_VALUE"""),158418.1917200854)</f>
        <v>158418.1917</v>
      </c>
      <c r="U22" s="378">
        <f>IFERROR(__xludf.DUMMYFUNCTION("""COMPUTED_VALUE"""),13201.515976673783)</f>
        <v>13201.51598</v>
      </c>
      <c r="V22" s="378">
        <f>IFERROR(__xludf.DUMMYFUNCTION("""COMPUTED_VALUE"""),16.0)</f>
        <v>16</v>
      </c>
      <c r="W22" s="378"/>
      <c r="X22" s="378">
        <f>IFERROR(__xludf.DUMMYFUNCTION("""COMPUTED_VALUE"""),320.0)</f>
        <v>320</v>
      </c>
      <c r="Y22" s="378">
        <f>IFERROR(__xludf.DUMMYFUNCTION("""COMPUTED_VALUE"""),58.5)</f>
        <v>58.5</v>
      </c>
      <c r="Z22" s="378">
        <f>IFERROR(__xludf.DUMMYFUNCTION("""COMPUTED_VALUE"""),20.0)</f>
        <v>20</v>
      </c>
      <c r="AA22" s="379"/>
      <c r="AB22" s="379"/>
      <c r="AC22" s="379"/>
      <c r="AD22" s="380" t="str">
        <f>IFERROR(__xludf.DUMMYFUNCTION("""COMPUTED_VALUE"""),"Odisha")</f>
        <v>Odisha</v>
      </c>
      <c r="AE22" s="380">
        <f>IFERROR(__xludf.DUMMYFUNCTION("""COMPUTED_VALUE"""),6.0)</f>
        <v>6</v>
      </c>
      <c r="AF22" s="380">
        <f>IFERROR(__xludf.DUMMYFUNCTION("""COMPUTED_VALUE"""),0.0)</f>
        <v>0</v>
      </c>
      <c r="AG22" s="379"/>
      <c r="AH22" s="380">
        <f>IFERROR(__xludf.DUMMYFUNCTION("""COMPUTED_VALUE"""),0.0)</f>
        <v>0</v>
      </c>
      <c r="AI22" s="379"/>
      <c r="AJ22" s="379"/>
      <c r="AK22" s="379"/>
      <c r="AL22" s="379"/>
      <c r="AM22" s="379"/>
      <c r="AN22" s="379"/>
      <c r="AO22" s="379"/>
      <c r="AP22" s="379"/>
      <c r="AQ22" s="379"/>
      <c r="AR22" s="379"/>
    </row>
    <row r="23">
      <c r="A23" s="367" t="str">
        <f>IFERROR(__xludf.DUMMYFUNCTION("""COMPUTED_VALUE"""),"MEGHALAYA")</f>
        <v>MEGHALAYA</v>
      </c>
      <c r="B23" s="376">
        <f>IFERROR(__xludf.DUMMYFUNCTION("""COMPUTED_VALUE"""),0.0)</f>
        <v>0</v>
      </c>
      <c r="C23" s="376">
        <f>IFERROR(__xludf.DUMMYFUNCTION("""COMPUTED_VALUE"""),0.0)</f>
        <v>0</v>
      </c>
      <c r="D23" s="376">
        <f>IFERROR(__xludf.DUMMYFUNCTION("""COMPUTED_VALUE"""),0.0)</f>
        <v>0</v>
      </c>
      <c r="E23" s="376">
        <f>IFERROR(__xludf.DUMMYFUNCTION("""COMPUTED_VALUE"""),1.0)</f>
        <v>1</v>
      </c>
      <c r="F23" s="376">
        <f>IFERROR(__xludf.DUMMYFUNCTION("""COMPUTED_VALUE"""),0.0)</f>
        <v>0</v>
      </c>
      <c r="G23" s="376">
        <f>IFERROR(__xludf.DUMMYFUNCTION("""COMPUTED_VALUE"""),3.0)</f>
        <v>3</v>
      </c>
      <c r="H23" s="376">
        <f>IFERROR(__xludf.DUMMYFUNCTION("""COMPUTED_VALUE"""),3.0)</f>
        <v>3</v>
      </c>
      <c r="I23" s="376">
        <f>IFERROR(__xludf.DUMMYFUNCTION("""COMPUTED_VALUE"""),7.0)</f>
        <v>7</v>
      </c>
      <c r="J23" s="377"/>
      <c r="K23" s="367" t="str">
        <f>IFERROR(__xludf.DUMMYFUNCTION("""COMPUTED_VALUE"""),"MEGHALAYA")</f>
        <v>MEGHALAYA</v>
      </c>
      <c r="L23" s="378">
        <f>IFERROR(__xludf.DUMMYFUNCTION("""COMPUTED_VALUE"""),0.0)</f>
        <v>0</v>
      </c>
      <c r="M23" s="378">
        <f>IFERROR(__xludf.DUMMYFUNCTION("""COMPUTED_VALUE"""),0.0)</f>
        <v>0</v>
      </c>
      <c r="N23" s="378">
        <f>IFERROR(__xludf.DUMMYFUNCTION("""COMPUTED_VALUE"""),0.0)</f>
        <v>0</v>
      </c>
      <c r="O23" s="378">
        <f>IFERROR(__xludf.DUMMYFUNCTION("""COMPUTED_VALUE"""),545089.5)</f>
        <v>545089.5</v>
      </c>
      <c r="P23" s="378">
        <f>IFERROR(__xludf.DUMMYFUNCTION("""COMPUTED_VALUE"""),0.0)</f>
        <v>0</v>
      </c>
      <c r="Q23" s="378">
        <f>IFERROR(__xludf.DUMMYFUNCTION("""COMPUTED_VALUE"""),364022.16000000003)</f>
        <v>364022.16</v>
      </c>
      <c r="R23" s="378">
        <f>IFERROR(__xludf.DUMMYFUNCTION("""COMPUTED_VALUE"""),133967.32)</f>
        <v>133967.32</v>
      </c>
      <c r="S23" s="378">
        <f>IFERROR(__xludf.DUMMYFUNCTION("""COMPUTED_VALUE"""),1043078.98)</f>
        <v>1043078.98</v>
      </c>
      <c r="T23" s="378">
        <f>IFERROR(__xludf.DUMMYFUNCTION("""COMPUTED_VALUE"""),149011.28285714285)</f>
        <v>149011.2829</v>
      </c>
      <c r="U23" s="378">
        <f>IFERROR(__xludf.DUMMYFUNCTION("""COMPUTED_VALUE"""),12417.606904761904)</f>
        <v>12417.6069</v>
      </c>
      <c r="V23" s="378"/>
      <c r="W23" s="378"/>
      <c r="X23" s="378">
        <f>IFERROR(__xludf.DUMMYFUNCTION("""COMPUTED_VALUE"""),4.0)</f>
        <v>4</v>
      </c>
      <c r="Y23" s="378"/>
      <c r="Z23" s="378"/>
      <c r="AA23" s="379"/>
      <c r="AB23" s="379"/>
      <c r="AC23" s="379"/>
      <c r="AD23" s="380" t="str">
        <f>IFERROR(__xludf.DUMMYFUNCTION("""COMPUTED_VALUE"""),"Punjab")</f>
        <v>Punjab</v>
      </c>
      <c r="AE23" s="380">
        <f>IFERROR(__xludf.DUMMYFUNCTION("""COMPUTED_VALUE"""),2.0)</f>
        <v>2</v>
      </c>
      <c r="AF23" s="380">
        <f>IFERROR(__xludf.DUMMYFUNCTION("""COMPUTED_VALUE"""),1.0)</f>
        <v>1</v>
      </c>
      <c r="AG23" s="379"/>
      <c r="AH23" s="380">
        <f>IFERROR(__xludf.DUMMYFUNCTION("""COMPUTED_VALUE"""),0.0)</f>
        <v>0</v>
      </c>
      <c r="AI23" s="379"/>
      <c r="AJ23" s="379"/>
      <c r="AK23" s="379"/>
      <c r="AL23" s="379"/>
      <c r="AM23" s="379"/>
      <c r="AN23" s="379"/>
      <c r="AO23" s="379"/>
      <c r="AP23" s="379"/>
      <c r="AQ23" s="379"/>
      <c r="AR23" s="379"/>
    </row>
    <row r="24">
      <c r="A24" s="367" t="str">
        <f>IFERROR(__xludf.DUMMYFUNCTION("""COMPUTED_VALUE"""),"MIZORAM")</f>
        <v>MIZORAM</v>
      </c>
      <c r="B24" s="376">
        <f>IFERROR(__xludf.DUMMYFUNCTION("""COMPUTED_VALUE"""),0.0)</f>
        <v>0</v>
      </c>
      <c r="C24" s="376">
        <f>IFERROR(__xludf.DUMMYFUNCTION("""COMPUTED_VALUE"""),0.0)</f>
        <v>0</v>
      </c>
      <c r="D24" s="376">
        <f>IFERROR(__xludf.DUMMYFUNCTION("""COMPUTED_VALUE"""),0.0)</f>
        <v>0</v>
      </c>
      <c r="E24" s="376">
        <f>IFERROR(__xludf.DUMMYFUNCTION("""COMPUTED_VALUE"""),0.0)</f>
        <v>0</v>
      </c>
      <c r="F24" s="376">
        <f>IFERROR(__xludf.DUMMYFUNCTION("""COMPUTED_VALUE"""),1.0)</f>
        <v>1</v>
      </c>
      <c r="G24" s="376">
        <f>IFERROR(__xludf.DUMMYFUNCTION("""COMPUTED_VALUE"""),0.0)</f>
        <v>0</v>
      </c>
      <c r="H24" s="376">
        <f>IFERROR(__xludf.DUMMYFUNCTION("""COMPUTED_VALUE"""),0.0)</f>
        <v>0</v>
      </c>
      <c r="I24" s="376">
        <f>IFERROR(__xludf.DUMMYFUNCTION("""COMPUTED_VALUE"""),1.0)</f>
        <v>1</v>
      </c>
      <c r="J24" s="377"/>
      <c r="K24" s="367" t="str">
        <f>IFERROR(__xludf.DUMMYFUNCTION("""COMPUTED_VALUE"""),"MIZORAM")</f>
        <v>MIZORAM</v>
      </c>
      <c r="L24" s="378">
        <f>IFERROR(__xludf.DUMMYFUNCTION("""COMPUTED_VALUE"""),0.0)</f>
        <v>0</v>
      </c>
      <c r="M24" s="378">
        <f>IFERROR(__xludf.DUMMYFUNCTION("""COMPUTED_VALUE"""),0.0)</f>
        <v>0</v>
      </c>
      <c r="N24" s="378">
        <f>IFERROR(__xludf.DUMMYFUNCTION("""COMPUTED_VALUE"""),0.0)</f>
        <v>0</v>
      </c>
      <c r="O24" s="378">
        <f>IFERROR(__xludf.DUMMYFUNCTION("""COMPUTED_VALUE"""),0.0)</f>
        <v>0</v>
      </c>
      <c r="P24" s="378">
        <f>IFERROR(__xludf.DUMMYFUNCTION("""COMPUTED_VALUE"""),391689.52)</f>
        <v>391689.52</v>
      </c>
      <c r="Q24" s="378">
        <f>IFERROR(__xludf.DUMMYFUNCTION("""COMPUTED_VALUE"""),0.0)</f>
        <v>0</v>
      </c>
      <c r="R24" s="378">
        <f>IFERROR(__xludf.DUMMYFUNCTION("""COMPUTED_VALUE"""),0.0)</f>
        <v>0</v>
      </c>
      <c r="S24" s="378">
        <f>IFERROR(__xludf.DUMMYFUNCTION("""COMPUTED_VALUE"""),391689.52)</f>
        <v>391689.52</v>
      </c>
      <c r="T24" s="378">
        <f>IFERROR(__xludf.DUMMYFUNCTION("""COMPUTED_VALUE"""),391689.52)</f>
        <v>391689.52</v>
      </c>
      <c r="U24" s="378">
        <f>IFERROR(__xludf.DUMMYFUNCTION("""COMPUTED_VALUE"""),32640.793333333335)</f>
        <v>32640.79333</v>
      </c>
      <c r="V24" s="378"/>
      <c r="W24" s="378"/>
      <c r="X24" s="378">
        <f>IFERROR(__xludf.DUMMYFUNCTION("""COMPUTED_VALUE"""),1.0)</f>
        <v>1</v>
      </c>
      <c r="Y24" s="378"/>
      <c r="Z24" s="378"/>
      <c r="AA24" s="379"/>
      <c r="AB24" s="379"/>
      <c r="AC24" s="379"/>
      <c r="AD24" s="380" t="str">
        <f>IFERROR(__xludf.DUMMYFUNCTION("""COMPUTED_VALUE"""),"Rajasthan")</f>
        <v>Rajasthan</v>
      </c>
      <c r="AE24" s="380">
        <f>IFERROR(__xludf.DUMMYFUNCTION("""COMPUTED_VALUE"""),5.0)</f>
        <v>5</v>
      </c>
      <c r="AF24" s="380">
        <f>IFERROR(__xludf.DUMMYFUNCTION("""COMPUTED_VALUE"""),1.0)</f>
        <v>1</v>
      </c>
      <c r="AG24" s="379"/>
      <c r="AH24" s="380">
        <f>IFERROR(__xludf.DUMMYFUNCTION("""COMPUTED_VALUE"""),0.0)</f>
        <v>0</v>
      </c>
      <c r="AI24" s="379"/>
      <c r="AJ24" s="379"/>
      <c r="AK24" s="379"/>
      <c r="AL24" s="379"/>
      <c r="AM24" s="379"/>
      <c r="AN24" s="379"/>
      <c r="AO24" s="379"/>
      <c r="AP24" s="379"/>
      <c r="AQ24" s="379"/>
      <c r="AR24" s="379"/>
    </row>
    <row r="25">
      <c r="A25" s="367" t="str">
        <f>IFERROR(__xludf.DUMMYFUNCTION("""COMPUTED_VALUE"""),"NAGALAND")</f>
        <v>NAGALAND</v>
      </c>
      <c r="B25" s="376">
        <f>IFERROR(__xludf.DUMMYFUNCTION("""COMPUTED_VALUE"""),0.0)</f>
        <v>0</v>
      </c>
      <c r="C25" s="376">
        <f>IFERROR(__xludf.DUMMYFUNCTION("""COMPUTED_VALUE"""),1.0)</f>
        <v>1</v>
      </c>
      <c r="D25" s="376">
        <f>IFERROR(__xludf.DUMMYFUNCTION("""COMPUTED_VALUE"""),2.0)</f>
        <v>2</v>
      </c>
      <c r="E25" s="376">
        <f>IFERROR(__xludf.DUMMYFUNCTION("""COMPUTED_VALUE"""),0.0)</f>
        <v>0</v>
      </c>
      <c r="F25" s="376">
        <f>IFERROR(__xludf.DUMMYFUNCTION("""COMPUTED_VALUE"""),1.0)</f>
        <v>1</v>
      </c>
      <c r="G25" s="376">
        <f>IFERROR(__xludf.DUMMYFUNCTION("""COMPUTED_VALUE"""),2.0)</f>
        <v>2</v>
      </c>
      <c r="H25" s="376">
        <f>IFERROR(__xludf.DUMMYFUNCTION("""COMPUTED_VALUE"""),4.0)</f>
        <v>4</v>
      </c>
      <c r="I25" s="376">
        <f>IFERROR(__xludf.DUMMYFUNCTION("""COMPUTED_VALUE"""),10.0)</f>
        <v>10</v>
      </c>
      <c r="J25" s="377"/>
      <c r="K25" s="367" t="str">
        <f>IFERROR(__xludf.DUMMYFUNCTION("""COMPUTED_VALUE"""),"NAGALAND")</f>
        <v>NAGALAND</v>
      </c>
      <c r="L25" s="378">
        <f>IFERROR(__xludf.DUMMYFUNCTION("""COMPUTED_VALUE"""),0.0)</f>
        <v>0</v>
      </c>
      <c r="M25" s="378">
        <f>IFERROR(__xludf.DUMMYFUNCTION("""COMPUTED_VALUE"""),1404951.75)</f>
        <v>1404951.75</v>
      </c>
      <c r="N25" s="378">
        <f>IFERROR(__xludf.DUMMYFUNCTION("""COMPUTED_VALUE"""),1456602.7200000002)</f>
        <v>1456602.72</v>
      </c>
      <c r="O25" s="378">
        <f>IFERROR(__xludf.DUMMYFUNCTION("""COMPUTED_VALUE"""),0.0)</f>
        <v>0</v>
      </c>
      <c r="P25" s="378">
        <f>IFERROR(__xludf.DUMMYFUNCTION("""COMPUTED_VALUE"""),328279.0)</f>
        <v>328279</v>
      </c>
      <c r="Q25" s="378">
        <f>IFERROR(__xludf.DUMMYFUNCTION("""COMPUTED_VALUE"""),390507.65)</f>
        <v>390507.65</v>
      </c>
      <c r="R25" s="378">
        <f>IFERROR(__xludf.DUMMYFUNCTION("""COMPUTED_VALUE"""),324107.92)</f>
        <v>324107.92</v>
      </c>
      <c r="S25" s="378">
        <f>IFERROR(__xludf.DUMMYFUNCTION("""COMPUTED_VALUE"""),3904449.04)</f>
        <v>3904449.04</v>
      </c>
      <c r="T25" s="378">
        <f>IFERROR(__xludf.DUMMYFUNCTION("""COMPUTED_VALUE"""),390444.904)</f>
        <v>390444.904</v>
      </c>
      <c r="U25" s="378">
        <f>IFERROR(__xludf.DUMMYFUNCTION("""COMPUTED_VALUE"""),32537.07533333333)</f>
        <v>32537.07533</v>
      </c>
      <c r="V25" s="378"/>
      <c r="W25" s="378"/>
      <c r="X25" s="378">
        <f>IFERROR(__xludf.DUMMYFUNCTION("""COMPUTED_VALUE"""),6.0)</f>
        <v>6</v>
      </c>
      <c r="Y25" s="378"/>
      <c r="Z25" s="378"/>
      <c r="AA25" s="379"/>
      <c r="AB25" s="379"/>
      <c r="AC25" s="379"/>
      <c r="AD25" s="380" t="str">
        <f>IFERROR(__xludf.DUMMYFUNCTION("""COMPUTED_VALUE"""),"Tamil Nadu")</f>
        <v>Tamil Nadu</v>
      </c>
      <c r="AE25" s="380">
        <f>IFERROR(__xludf.DUMMYFUNCTION("""COMPUTED_VALUE"""),4.0)</f>
        <v>4</v>
      </c>
      <c r="AF25" s="380">
        <f>IFERROR(__xludf.DUMMYFUNCTION("""COMPUTED_VALUE"""),0.0)</f>
        <v>0</v>
      </c>
      <c r="AG25" s="379"/>
      <c r="AH25" s="380">
        <f>IFERROR(__xludf.DUMMYFUNCTION("""COMPUTED_VALUE"""),0.0)</f>
        <v>0</v>
      </c>
      <c r="AI25" s="379"/>
      <c r="AJ25" s="379"/>
      <c r="AK25" s="379"/>
      <c r="AL25" s="379"/>
      <c r="AM25" s="379"/>
      <c r="AN25" s="379"/>
      <c r="AO25" s="379"/>
      <c r="AP25" s="379"/>
      <c r="AQ25" s="379"/>
      <c r="AR25" s="379"/>
    </row>
    <row r="26">
      <c r="A26" s="367" t="str">
        <f>IFERROR(__xludf.DUMMYFUNCTION("""COMPUTED_VALUE"""),"ODISHA")</f>
        <v>ODISHA</v>
      </c>
      <c r="B26" s="376">
        <f>IFERROR(__xludf.DUMMYFUNCTION("""COMPUTED_VALUE"""),15.0)</f>
        <v>15</v>
      </c>
      <c r="C26" s="376">
        <f>IFERROR(__xludf.DUMMYFUNCTION("""COMPUTED_VALUE"""),24.0)</f>
        <v>24</v>
      </c>
      <c r="D26" s="376">
        <f>IFERROR(__xludf.DUMMYFUNCTION("""COMPUTED_VALUE"""),28.0)</f>
        <v>28</v>
      </c>
      <c r="E26" s="376">
        <f>IFERROR(__xludf.DUMMYFUNCTION("""COMPUTED_VALUE"""),24.0)</f>
        <v>24</v>
      </c>
      <c r="F26" s="376">
        <f>IFERROR(__xludf.DUMMYFUNCTION("""COMPUTED_VALUE"""),51.0)</f>
        <v>51</v>
      </c>
      <c r="G26" s="376">
        <f>IFERROR(__xludf.DUMMYFUNCTION("""COMPUTED_VALUE"""),80.0)</f>
        <v>80</v>
      </c>
      <c r="H26" s="376">
        <f>IFERROR(__xludf.DUMMYFUNCTION("""COMPUTED_VALUE"""),94.0)</f>
        <v>94</v>
      </c>
      <c r="I26" s="376">
        <f>IFERROR(__xludf.DUMMYFUNCTION("""COMPUTED_VALUE"""),316.0)</f>
        <v>316</v>
      </c>
      <c r="J26" s="377"/>
      <c r="K26" s="367" t="str">
        <f>IFERROR(__xludf.DUMMYFUNCTION("""COMPUTED_VALUE"""),"ODISHA")</f>
        <v>ODISHA</v>
      </c>
      <c r="L26" s="378">
        <f>IFERROR(__xludf.DUMMYFUNCTION("""COMPUTED_VALUE"""),6.110429416000001E7)</f>
        <v>61104294.16</v>
      </c>
      <c r="M26" s="378">
        <f>IFERROR(__xludf.DUMMYFUNCTION("""COMPUTED_VALUE"""),3.432555955E7)</f>
        <v>34325559.55</v>
      </c>
      <c r="N26" s="378">
        <f>IFERROR(__xludf.DUMMYFUNCTION("""COMPUTED_VALUE"""),2.251260245E7)</f>
        <v>22512602.45</v>
      </c>
      <c r="O26" s="378">
        <f>IFERROR(__xludf.DUMMYFUNCTION("""COMPUTED_VALUE"""),1.2397561760000002E7)</f>
        <v>12397561.76</v>
      </c>
      <c r="P26" s="378">
        <f>IFERROR(__xludf.DUMMYFUNCTION("""COMPUTED_VALUE"""),1.6802510549999997E7)</f>
        <v>16802510.55</v>
      </c>
      <c r="Q26" s="378">
        <f>IFERROR(__xludf.DUMMYFUNCTION("""COMPUTED_VALUE"""),1.333542935E7)</f>
        <v>13335429.35</v>
      </c>
      <c r="R26" s="378">
        <f>IFERROR(__xludf.DUMMYFUNCTION("""COMPUTED_VALUE"""),4299428.039999998)</f>
        <v>4299428.04</v>
      </c>
      <c r="S26" s="378">
        <f>IFERROR(__xludf.DUMMYFUNCTION("""COMPUTED_VALUE"""),1.6477738586E8)</f>
        <v>164777385.9</v>
      </c>
      <c r="T26" s="378">
        <f>IFERROR(__xludf.DUMMYFUNCTION("""COMPUTED_VALUE"""),521447.423607595)</f>
        <v>521447.4236</v>
      </c>
      <c r="U26" s="378">
        <f>IFERROR(__xludf.DUMMYFUNCTION("""COMPUTED_VALUE"""),43453.95196729958)</f>
        <v>43453.95197</v>
      </c>
      <c r="V26" s="378">
        <f>IFERROR(__xludf.DUMMYFUNCTION("""COMPUTED_VALUE"""),6.0)</f>
        <v>6</v>
      </c>
      <c r="W26" s="378">
        <f>IFERROR(__xludf.DUMMYFUNCTION("""COMPUTED_VALUE"""),0.0)</f>
        <v>0</v>
      </c>
      <c r="X26" s="378">
        <f>IFERROR(__xludf.DUMMYFUNCTION("""COMPUTED_VALUE"""),222.0)</f>
        <v>222</v>
      </c>
      <c r="Y26" s="378">
        <f>IFERROR(__xludf.DUMMYFUNCTION("""COMPUTED_VALUE"""),52.666666666666664)</f>
        <v>52.66666667</v>
      </c>
      <c r="Z26" s="378">
        <f>IFERROR(__xludf.DUMMYFUNCTION("""COMPUTED_VALUE"""),37.0)</f>
        <v>37</v>
      </c>
      <c r="AA26" s="379"/>
      <c r="AB26" s="379"/>
      <c r="AC26" s="379"/>
      <c r="AD26" s="380" t="str">
        <f>IFERROR(__xludf.DUMMYFUNCTION("""COMPUTED_VALUE"""),"Telangana")</f>
        <v>Telangana</v>
      </c>
      <c r="AE26" s="380">
        <f>IFERROR(__xludf.DUMMYFUNCTION("""COMPUTED_VALUE"""),3.0)</f>
        <v>3</v>
      </c>
      <c r="AF26" s="380">
        <f>IFERROR(__xludf.DUMMYFUNCTION("""COMPUTED_VALUE"""),0.0)</f>
        <v>0</v>
      </c>
      <c r="AG26" s="379"/>
      <c r="AH26" s="380">
        <f>IFERROR(__xludf.DUMMYFUNCTION("""COMPUTED_VALUE"""),0.0)</f>
        <v>0</v>
      </c>
      <c r="AI26" s="379"/>
      <c r="AJ26" s="379"/>
      <c r="AK26" s="379"/>
      <c r="AL26" s="379"/>
      <c r="AM26" s="379"/>
      <c r="AN26" s="379"/>
      <c r="AO26" s="379"/>
      <c r="AP26" s="379"/>
      <c r="AQ26" s="379"/>
      <c r="AR26" s="379"/>
    </row>
    <row r="27">
      <c r="A27" s="367" t="str">
        <f>IFERROR(__xludf.DUMMYFUNCTION("""COMPUTED_VALUE"""),"PONDICHERRY")</f>
        <v>PONDICHERRY</v>
      </c>
      <c r="B27" s="376">
        <f>IFERROR(__xludf.DUMMYFUNCTION("""COMPUTED_VALUE"""),0.0)</f>
        <v>0</v>
      </c>
      <c r="C27" s="376">
        <f>IFERROR(__xludf.DUMMYFUNCTION("""COMPUTED_VALUE"""),0.0)</f>
        <v>0</v>
      </c>
      <c r="D27" s="376">
        <f>IFERROR(__xludf.DUMMYFUNCTION("""COMPUTED_VALUE"""),0.0)</f>
        <v>0</v>
      </c>
      <c r="E27" s="376">
        <f>IFERROR(__xludf.DUMMYFUNCTION("""COMPUTED_VALUE"""),0.0)</f>
        <v>0</v>
      </c>
      <c r="F27" s="376">
        <f>IFERROR(__xludf.DUMMYFUNCTION("""COMPUTED_VALUE"""),0.0)</f>
        <v>0</v>
      </c>
      <c r="G27" s="376">
        <f>IFERROR(__xludf.DUMMYFUNCTION("""COMPUTED_VALUE"""),1.0)</f>
        <v>1</v>
      </c>
      <c r="H27" s="376">
        <f>IFERROR(__xludf.DUMMYFUNCTION("""COMPUTED_VALUE"""),3.0)</f>
        <v>3</v>
      </c>
      <c r="I27" s="376">
        <f>IFERROR(__xludf.DUMMYFUNCTION("""COMPUTED_VALUE"""),4.0)</f>
        <v>4</v>
      </c>
      <c r="J27" s="377"/>
      <c r="K27" s="367" t="str">
        <f>IFERROR(__xludf.DUMMYFUNCTION("""COMPUTED_VALUE"""),"PONDICHERRY")</f>
        <v>PONDICHERRY</v>
      </c>
      <c r="L27" s="378">
        <f>IFERROR(__xludf.DUMMYFUNCTION("""COMPUTED_VALUE"""),0.0)</f>
        <v>0</v>
      </c>
      <c r="M27" s="378">
        <f>IFERROR(__xludf.DUMMYFUNCTION("""COMPUTED_VALUE"""),0.0)</f>
        <v>0</v>
      </c>
      <c r="N27" s="378">
        <f>IFERROR(__xludf.DUMMYFUNCTION("""COMPUTED_VALUE"""),0.0)</f>
        <v>0</v>
      </c>
      <c r="O27" s="378">
        <f>IFERROR(__xludf.DUMMYFUNCTION("""COMPUTED_VALUE"""),0.0)</f>
        <v>0</v>
      </c>
      <c r="P27" s="378">
        <f>IFERROR(__xludf.DUMMYFUNCTION("""COMPUTED_VALUE"""),0.0)</f>
        <v>0</v>
      </c>
      <c r="Q27" s="378">
        <f>IFERROR(__xludf.DUMMYFUNCTION("""COMPUTED_VALUE"""),137298.0)</f>
        <v>137298</v>
      </c>
      <c r="R27" s="378">
        <f>IFERROR(__xludf.DUMMYFUNCTION("""COMPUTED_VALUE"""),174386.19999999998)</f>
        <v>174386.2</v>
      </c>
      <c r="S27" s="378">
        <f>IFERROR(__xludf.DUMMYFUNCTION("""COMPUTED_VALUE"""),311684.19999999995)</f>
        <v>311684.2</v>
      </c>
      <c r="T27" s="378">
        <f>IFERROR(__xludf.DUMMYFUNCTION("""COMPUTED_VALUE"""),77921.04999999999)</f>
        <v>77921.05</v>
      </c>
      <c r="U27" s="378">
        <f>IFERROR(__xludf.DUMMYFUNCTION("""COMPUTED_VALUE"""),6493.420833333333)</f>
        <v>6493.420833</v>
      </c>
      <c r="V27" s="378"/>
      <c r="W27" s="378"/>
      <c r="X27" s="378">
        <f>IFERROR(__xludf.DUMMYFUNCTION("""COMPUTED_VALUE"""),1.0)</f>
        <v>1</v>
      </c>
      <c r="Y27" s="378"/>
      <c r="Z27" s="378"/>
      <c r="AA27" s="379"/>
      <c r="AB27" s="379"/>
      <c r="AC27" s="379"/>
      <c r="AD27" s="380" t="str">
        <f>IFERROR(__xludf.DUMMYFUNCTION("""COMPUTED_VALUE"""),"Uttarakhand")</f>
        <v>Uttarakhand</v>
      </c>
      <c r="AE27" s="380">
        <f>IFERROR(__xludf.DUMMYFUNCTION("""COMPUTED_VALUE"""),2.0)</f>
        <v>2</v>
      </c>
      <c r="AF27" s="380">
        <f>IFERROR(__xludf.DUMMYFUNCTION("""COMPUTED_VALUE"""),0.0)</f>
        <v>0</v>
      </c>
      <c r="AG27" s="379"/>
      <c r="AH27" s="380">
        <f>IFERROR(__xludf.DUMMYFUNCTION("""COMPUTED_VALUE"""),0.0)</f>
        <v>0</v>
      </c>
      <c r="AI27" s="379"/>
      <c r="AJ27" s="379"/>
      <c r="AK27" s="379"/>
      <c r="AL27" s="379"/>
      <c r="AM27" s="379"/>
      <c r="AN27" s="379"/>
      <c r="AO27" s="379"/>
      <c r="AP27" s="379"/>
      <c r="AQ27" s="379"/>
      <c r="AR27" s="379"/>
    </row>
    <row r="28">
      <c r="A28" s="367" t="str">
        <f>IFERROR(__xludf.DUMMYFUNCTION("""COMPUTED_VALUE"""),"PUNJAB")</f>
        <v>PUNJAB</v>
      </c>
      <c r="B28" s="376">
        <f>IFERROR(__xludf.DUMMYFUNCTION("""COMPUTED_VALUE"""),0.0)</f>
        <v>0</v>
      </c>
      <c r="C28" s="376">
        <f>IFERROR(__xludf.DUMMYFUNCTION("""COMPUTED_VALUE"""),0.0)</f>
        <v>0</v>
      </c>
      <c r="D28" s="376">
        <f>IFERROR(__xludf.DUMMYFUNCTION("""COMPUTED_VALUE"""),1.0)</f>
        <v>1</v>
      </c>
      <c r="E28" s="376">
        <f>IFERROR(__xludf.DUMMYFUNCTION("""COMPUTED_VALUE"""),2.0)</f>
        <v>2</v>
      </c>
      <c r="F28" s="376">
        <f>IFERROR(__xludf.DUMMYFUNCTION("""COMPUTED_VALUE"""),5.0)</f>
        <v>5</v>
      </c>
      <c r="G28" s="376">
        <f>IFERROR(__xludf.DUMMYFUNCTION("""COMPUTED_VALUE"""),34.0)</f>
        <v>34</v>
      </c>
      <c r="H28" s="376">
        <f>IFERROR(__xludf.DUMMYFUNCTION("""COMPUTED_VALUE"""),136.0)</f>
        <v>136</v>
      </c>
      <c r="I28" s="376">
        <f>IFERROR(__xludf.DUMMYFUNCTION("""COMPUTED_VALUE"""),178.0)</f>
        <v>178</v>
      </c>
      <c r="J28" s="377"/>
      <c r="K28" s="367" t="str">
        <f>IFERROR(__xludf.DUMMYFUNCTION("""COMPUTED_VALUE"""),"PUNJAB")</f>
        <v>PUNJAB</v>
      </c>
      <c r="L28" s="378">
        <f>IFERROR(__xludf.DUMMYFUNCTION("""COMPUTED_VALUE"""),0.0)</f>
        <v>0</v>
      </c>
      <c r="M28" s="378">
        <f>IFERROR(__xludf.DUMMYFUNCTION("""COMPUTED_VALUE"""),0.0)</f>
        <v>0</v>
      </c>
      <c r="N28" s="378">
        <f>IFERROR(__xludf.DUMMYFUNCTION("""COMPUTED_VALUE"""),622437.91)</f>
        <v>622437.91</v>
      </c>
      <c r="O28" s="378">
        <f>IFERROR(__xludf.DUMMYFUNCTION("""COMPUTED_VALUE"""),989778.52)</f>
        <v>989778.52</v>
      </c>
      <c r="P28" s="378">
        <f>IFERROR(__xludf.DUMMYFUNCTION("""COMPUTED_VALUE"""),1588391.0499999998)</f>
        <v>1588391.05</v>
      </c>
      <c r="Q28" s="378">
        <f>IFERROR(__xludf.DUMMYFUNCTION("""COMPUTED_VALUE"""),5060233.869999998)</f>
        <v>5060233.87</v>
      </c>
      <c r="R28" s="378">
        <f>IFERROR(__xludf.DUMMYFUNCTION("""COMPUTED_VALUE"""),5341590.500000002)</f>
        <v>5341590.5</v>
      </c>
      <c r="S28" s="378">
        <f>IFERROR(__xludf.DUMMYFUNCTION("""COMPUTED_VALUE"""),1.360243185E7)</f>
        <v>13602431.85</v>
      </c>
      <c r="T28" s="378">
        <f>IFERROR(__xludf.DUMMYFUNCTION("""COMPUTED_VALUE"""),76418.15646067416)</f>
        <v>76418.15646</v>
      </c>
      <c r="U28" s="378">
        <f>IFERROR(__xludf.DUMMYFUNCTION("""COMPUTED_VALUE"""),6368.17970505618)</f>
        <v>6368.179705</v>
      </c>
      <c r="V28" s="378">
        <f>IFERROR(__xludf.DUMMYFUNCTION("""COMPUTED_VALUE"""),2.0)</f>
        <v>2</v>
      </c>
      <c r="W28" s="378">
        <f>IFERROR(__xludf.DUMMYFUNCTION("""COMPUTED_VALUE"""),1.0)</f>
        <v>1</v>
      </c>
      <c r="X28" s="378">
        <f>IFERROR(__xludf.DUMMYFUNCTION("""COMPUTED_VALUE"""),42.0)</f>
        <v>42</v>
      </c>
      <c r="Y28" s="378">
        <f>IFERROR(__xludf.DUMMYFUNCTION("""COMPUTED_VALUE"""),89.0)</f>
        <v>89</v>
      </c>
      <c r="Z28" s="378">
        <f>IFERROR(__xludf.DUMMYFUNCTION("""COMPUTED_VALUE"""),21.0)</f>
        <v>21</v>
      </c>
      <c r="AA28" s="379"/>
      <c r="AB28" s="379"/>
      <c r="AC28" s="379"/>
      <c r="AD28" s="380" t="str">
        <f>IFERROR(__xludf.DUMMYFUNCTION("""COMPUTED_VALUE"""),"West Bengal")</f>
        <v>West Bengal</v>
      </c>
      <c r="AE28" s="380">
        <f>IFERROR(__xludf.DUMMYFUNCTION("""COMPUTED_VALUE"""),28.0)</f>
        <v>28</v>
      </c>
      <c r="AF28" s="380">
        <f>IFERROR(__xludf.DUMMYFUNCTION("""COMPUTED_VALUE"""),4.0)</f>
        <v>4</v>
      </c>
      <c r="AG28" s="379"/>
      <c r="AH28" s="380">
        <f>IFERROR(__xludf.DUMMYFUNCTION("""COMPUTED_VALUE"""),0.0)</f>
        <v>0</v>
      </c>
      <c r="AI28" s="379"/>
      <c r="AJ28" s="379"/>
      <c r="AK28" s="379"/>
      <c r="AL28" s="379"/>
      <c r="AM28" s="379"/>
      <c r="AN28" s="379"/>
      <c r="AO28" s="379"/>
      <c r="AP28" s="379"/>
      <c r="AQ28" s="379"/>
      <c r="AR28" s="379"/>
    </row>
    <row r="29">
      <c r="A29" s="367" t="str">
        <f>IFERROR(__xludf.DUMMYFUNCTION("""COMPUTED_VALUE"""),"RAJASTHAN")</f>
        <v>RAJASTHAN</v>
      </c>
      <c r="B29" s="376">
        <f>IFERROR(__xludf.DUMMYFUNCTION("""COMPUTED_VALUE"""),0.0)</f>
        <v>0</v>
      </c>
      <c r="C29" s="376">
        <f>IFERROR(__xludf.DUMMYFUNCTION("""COMPUTED_VALUE"""),2.0)</f>
        <v>2</v>
      </c>
      <c r="D29" s="376">
        <f>IFERROR(__xludf.DUMMYFUNCTION("""COMPUTED_VALUE"""),1.0)</f>
        <v>1</v>
      </c>
      <c r="E29" s="376">
        <f>IFERROR(__xludf.DUMMYFUNCTION("""COMPUTED_VALUE"""),4.0)</f>
        <v>4</v>
      </c>
      <c r="F29" s="376">
        <f>IFERROR(__xludf.DUMMYFUNCTION("""COMPUTED_VALUE"""),13.0)</f>
        <v>13</v>
      </c>
      <c r="G29" s="376">
        <f>IFERROR(__xludf.DUMMYFUNCTION("""COMPUTED_VALUE"""),38.0)</f>
        <v>38</v>
      </c>
      <c r="H29" s="376">
        <f>IFERROR(__xludf.DUMMYFUNCTION("""COMPUTED_VALUE"""),235.0)</f>
        <v>235</v>
      </c>
      <c r="I29" s="376">
        <f>IFERROR(__xludf.DUMMYFUNCTION("""COMPUTED_VALUE"""),293.0)</f>
        <v>293</v>
      </c>
      <c r="J29" s="377"/>
      <c r="K29" s="367" t="str">
        <f>IFERROR(__xludf.DUMMYFUNCTION("""COMPUTED_VALUE"""),"RAJASTHAN")</f>
        <v>RAJASTHAN</v>
      </c>
      <c r="L29" s="378">
        <f>IFERROR(__xludf.DUMMYFUNCTION("""COMPUTED_VALUE"""),0.0)</f>
        <v>0</v>
      </c>
      <c r="M29" s="378">
        <f>IFERROR(__xludf.DUMMYFUNCTION("""COMPUTED_VALUE"""),2113743.75)</f>
        <v>2113743.75</v>
      </c>
      <c r="N29" s="378">
        <f>IFERROR(__xludf.DUMMYFUNCTION("""COMPUTED_VALUE"""),882287.24)</f>
        <v>882287.24</v>
      </c>
      <c r="O29" s="378">
        <f>IFERROR(__xludf.DUMMYFUNCTION("""COMPUTED_VALUE"""),2130494.1100000003)</f>
        <v>2130494.11</v>
      </c>
      <c r="P29" s="378">
        <f>IFERROR(__xludf.DUMMYFUNCTION("""COMPUTED_VALUE"""),4317835.92)</f>
        <v>4317835.92</v>
      </c>
      <c r="Q29" s="378">
        <f>IFERROR(__xludf.DUMMYFUNCTION("""COMPUTED_VALUE"""),5751280.180000001)</f>
        <v>5751280.18</v>
      </c>
      <c r="R29" s="378">
        <f>IFERROR(__xludf.DUMMYFUNCTION("""COMPUTED_VALUE"""),7761772.310000001)</f>
        <v>7761772.31</v>
      </c>
      <c r="S29" s="378">
        <f>IFERROR(__xludf.DUMMYFUNCTION("""COMPUTED_VALUE"""),2.295741351E7)</f>
        <v>22957413.51</v>
      </c>
      <c r="T29" s="378">
        <f>IFERROR(__xludf.DUMMYFUNCTION("""COMPUTED_VALUE"""),78352.9471331058)</f>
        <v>78352.94713</v>
      </c>
      <c r="U29" s="378">
        <f>IFERROR(__xludf.DUMMYFUNCTION("""COMPUTED_VALUE"""),6529.41226109215)</f>
        <v>6529.412261</v>
      </c>
      <c r="V29" s="378">
        <f>IFERROR(__xludf.DUMMYFUNCTION("""COMPUTED_VALUE"""),5.0)</f>
        <v>5</v>
      </c>
      <c r="W29" s="378">
        <f>IFERROR(__xludf.DUMMYFUNCTION("""COMPUTED_VALUE"""),1.0)</f>
        <v>1</v>
      </c>
      <c r="X29" s="378">
        <f>IFERROR(__xludf.DUMMYFUNCTION("""COMPUTED_VALUE"""),58.0)</f>
        <v>58</v>
      </c>
      <c r="Y29" s="378">
        <f>IFERROR(__xludf.DUMMYFUNCTION("""COMPUTED_VALUE"""),58.6)</f>
        <v>58.6</v>
      </c>
      <c r="Z29" s="378">
        <f>IFERROR(__xludf.DUMMYFUNCTION("""COMPUTED_VALUE"""),11.6)</f>
        <v>11.6</v>
      </c>
      <c r="AA29" s="379"/>
      <c r="AB29" s="379"/>
      <c r="AC29" s="379"/>
      <c r="AD29" s="380" t="str">
        <f>IFERROR(__xludf.DUMMYFUNCTION("""COMPUTED_VALUE"""),"West U.P")</f>
        <v>West U.P</v>
      </c>
      <c r="AE29" s="380">
        <f>IFERROR(__xludf.DUMMYFUNCTION("""COMPUTED_VALUE"""),5.0)</f>
        <v>5</v>
      </c>
      <c r="AF29" s="380">
        <f>IFERROR(__xludf.DUMMYFUNCTION("""COMPUTED_VALUE"""),0.0)</f>
        <v>0</v>
      </c>
      <c r="AG29" s="379"/>
      <c r="AH29" s="380">
        <f>IFERROR(__xludf.DUMMYFUNCTION("""COMPUTED_VALUE"""),0.0)</f>
        <v>0</v>
      </c>
      <c r="AI29" s="379"/>
      <c r="AJ29" s="379"/>
      <c r="AK29" s="379"/>
      <c r="AL29" s="379"/>
      <c r="AM29" s="379"/>
      <c r="AN29" s="379"/>
      <c r="AO29" s="379"/>
      <c r="AP29" s="379"/>
      <c r="AQ29" s="379"/>
      <c r="AR29" s="379"/>
    </row>
    <row r="30">
      <c r="A30" s="367" t="str">
        <f>IFERROR(__xludf.DUMMYFUNCTION("""COMPUTED_VALUE"""),"TAMIL NADU")</f>
        <v>TAMIL NADU</v>
      </c>
      <c r="B30" s="376">
        <f>IFERROR(__xludf.DUMMYFUNCTION("""COMPUTED_VALUE"""),1.0)</f>
        <v>1</v>
      </c>
      <c r="C30" s="376">
        <f>IFERROR(__xludf.DUMMYFUNCTION("""COMPUTED_VALUE"""),6.0)</f>
        <v>6</v>
      </c>
      <c r="D30" s="376">
        <f>IFERROR(__xludf.DUMMYFUNCTION("""COMPUTED_VALUE"""),7.0)</f>
        <v>7</v>
      </c>
      <c r="E30" s="376">
        <f>IFERROR(__xludf.DUMMYFUNCTION("""COMPUTED_VALUE"""),15.0)</f>
        <v>15</v>
      </c>
      <c r="F30" s="376">
        <f>IFERROR(__xludf.DUMMYFUNCTION("""COMPUTED_VALUE"""),28.0)</f>
        <v>28</v>
      </c>
      <c r="G30" s="376">
        <f>IFERROR(__xludf.DUMMYFUNCTION("""COMPUTED_VALUE"""),65.0)</f>
        <v>65</v>
      </c>
      <c r="H30" s="376">
        <f>IFERROR(__xludf.DUMMYFUNCTION("""COMPUTED_VALUE"""),355.0)</f>
        <v>355</v>
      </c>
      <c r="I30" s="376">
        <f>IFERROR(__xludf.DUMMYFUNCTION("""COMPUTED_VALUE"""),477.0)</f>
        <v>477</v>
      </c>
      <c r="J30" s="377"/>
      <c r="K30" s="367" t="str">
        <f>IFERROR(__xludf.DUMMYFUNCTION("""COMPUTED_VALUE"""),"TAMIL NADU")</f>
        <v>TAMIL NADU</v>
      </c>
      <c r="L30" s="378">
        <f>IFERROR(__xludf.DUMMYFUNCTION("""COMPUTED_VALUE"""),2760933.4)</f>
        <v>2760933.4</v>
      </c>
      <c r="M30" s="378">
        <f>IFERROR(__xludf.DUMMYFUNCTION("""COMPUTED_VALUE"""),8086921.21)</f>
        <v>8086921.21</v>
      </c>
      <c r="N30" s="378">
        <f>IFERROR(__xludf.DUMMYFUNCTION("""COMPUTED_VALUE"""),4966505.51)</f>
        <v>4966505.51</v>
      </c>
      <c r="O30" s="378">
        <f>IFERROR(__xludf.DUMMYFUNCTION("""COMPUTED_VALUE"""),7824630.420000001)</f>
        <v>7824630.42</v>
      </c>
      <c r="P30" s="378">
        <f>IFERROR(__xludf.DUMMYFUNCTION("""COMPUTED_VALUE"""),8738661.62)</f>
        <v>8738661.62</v>
      </c>
      <c r="Q30" s="378">
        <f>IFERROR(__xludf.DUMMYFUNCTION("""COMPUTED_VALUE"""),1.029242453E7)</f>
        <v>10292424.53</v>
      </c>
      <c r="R30" s="378">
        <f>IFERROR(__xludf.DUMMYFUNCTION("""COMPUTED_VALUE"""),1.0689536319999997E7)</f>
        <v>10689536.32</v>
      </c>
      <c r="S30" s="378">
        <f>IFERROR(__xludf.DUMMYFUNCTION("""COMPUTED_VALUE"""),5.335961300999999E7)</f>
        <v>53359613.01</v>
      </c>
      <c r="T30" s="378">
        <f>IFERROR(__xludf.DUMMYFUNCTION("""COMPUTED_VALUE"""),111865.0167924528)</f>
        <v>111865.0168</v>
      </c>
      <c r="U30" s="378">
        <f>IFERROR(__xludf.DUMMYFUNCTION("""COMPUTED_VALUE"""),9322.084732704401)</f>
        <v>9322.084733</v>
      </c>
      <c r="V30" s="378">
        <f>IFERROR(__xludf.DUMMYFUNCTION("""COMPUTED_VALUE"""),4.0)</f>
        <v>4</v>
      </c>
      <c r="W30" s="378">
        <f>IFERROR(__xludf.DUMMYFUNCTION("""COMPUTED_VALUE"""),0.0)</f>
        <v>0</v>
      </c>
      <c r="X30" s="378">
        <f>IFERROR(__xludf.DUMMYFUNCTION("""COMPUTED_VALUE"""),122.0)</f>
        <v>122</v>
      </c>
      <c r="Y30" s="378">
        <f>IFERROR(__xludf.DUMMYFUNCTION("""COMPUTED_VALUE"""),119.25)</f>
        <v>119.25</v>
      </c>
      <c r="Z30" s="378">
        <f>IFERROR(__xludf.DUMMYFUNCTION("""COMPUTED_VALUE"""),30.5)</f>
        <v>30.5</v>
      </c>
      <c r="AA30" s="379"/>
      <c r="AB30" s="379"/>
      <c r="AC30" s="379"/>
      <c r="AD30" s="379"/>
      <c r="AE30" s="379"/>
      <c r="AF30" s="379"/>
      <c r="AG30" s="379"/>
      <c r="AH30" s="380">
        <f>IFERROR(__xludf.DUMMYFUNCTION("""COMPUTED_VALUE"""),0.0)</f>
        <v>0</v>
      </c>
      <c r="AI30" s="379"/>
      <c r="AJ30" s="379"/>
      <c r="AK30" s="379"/>
      <c r="AL30" s="379"/>
      <c r="AM30" s="379"/>
      <c r="AN30" s="379"/>
      <c r="AO30" s="379"/>
      <c r="AP30" s="379"/>
      <c r="AQ30" s="379"/>
      <c r="AR30" s="379"/>
    </row>
    <row r="31">
      <c r="A31" s="367" t="str">
        <f>IFERROR(__xludf.DUMMYFUNCTION("""COMPUTED_VALUE"""),"TELANGANA")</f>
        <v>TELANGANA</v>
      </c>
      <c r="B31" s="376">
        <f>IFERROR(__xludf.DUMMYFUNCTION("""COMPUTED_VALUE"""),0.0)</f>
        <v>0</v>
      </c>
      <c r="C31" s="376">
        <f>IFERROR(__xludf.DUMMYFUNCTION("""COMPUTED_VALUE"""),1.0)</f>
        <v>1</v>
      </c>
      <c r="D31" s="376">
        <f>IFERROR(__xludf.DUMMYFUNCTION("""COMPUTED_VALUE"""),6.0)</f>
        <v>6</v>
      </c>
      <c r="E31" s="376">
        <f>IFERROR(__xludf.DUMMYFUNCTION("""COMPUTED_VALUE"""),8.0)</f>
        <v>8</v>
      </c>
      <c r="F31" s="376">
        <f>IFERROR(__xludf.DUMMYFUNCTION("""COMPUTED_VALUE"""),21.0)</f>
        <v>21</v>
      </c>
      <c r="G31" s="376">
        <f>IFERROR(__xludf.DUMMYFUNCTION("""COMPUTED_VALUE"""),61.0)</f>
        <v>61</v>
      </c>
      <c r="H31" s="376">
        <f>IFERROR(__xludf.DUMMYFUNCTION("""COMPUTED_VALUE"""),263.0)</f>
        <v>263</v>
      </c>
      <c r="I31" s="376">
        <f>IFERROR(__xludf.DUMMYFUNCTION("""COMPUTED_VALUE"""),360.0)</f>
        <v>360</v>
      </c>
      <c r="J31" s="377"/>
      <c r="K31" s="367" t="str">
        <f>IFERROR(__xludf.DUMMYFUNCTION("""COMPUTED_VALUE"""),"TELANGANA")</f>
        <v>TELANGANA</v>
      </c>
      <c r="L31" s="378">
        <f>IFERROR(__xludf.DUMMYFUNCTION("""COMPUTED_VALUE"""),0.0)</f>
        <v>0</v>
      </c>
      <c r="M31" s="378">
        <f>IFERROR(__xludf.DUMMYFUNCTION("""COMPUTED_VALUE"""),1049972.01)</f>
        <v>1049972.01</v>
      </c>
      <c r="N31" s="378">
        <f>IFERROR(__xludf.DUMMYFUNCTION("""COMPUTED_VALUE"""),4633555.33)</f>
        <v>4633555.33</v>
      </c>
      <c r="O31" s="378">
        <f>IFERROR(__xludf.DUMMYFUNCTION("""COMPUTED_VALUE"""),4273389.47)</f>
        <v>4273389.47</v>
      </c>
      <c r="P31" s="378">
        <f>IFERROR(__xludf.DUMMYFUNCTION("""COMPUTED_VALUE"""),7288862.359999999)</f>
        <v>7288862.36</v>
      </c>
      <c r="Q31" s="378">
        <f>IFERROR(__xludf.DUMMYFUNCTION("""COMPUTED_VALUE"""),1.0200386530000001E7)</f>
        <v>10200386.53</v>
      </c>
      <c r="R31" s="378">
        <f>IFERROR(__xludf.DUMMYFUNCTION("""COMPUTED_VALUE"""),9705971.290000007)</f>
        <v>9705971.29</v>
      </c>
      <c r="S31" s="378">
        <f>IFERROR(__xludf.DUMMYFUNCTION("""COMPUTED_VALUE"""),3.715213699000001E7)</f>
        <v>37152136.99</v>
      </c>
      <c r="T31" s="378">
        <f>IFERROR(__xludf.DUMMYFUNCTION("""COMPUTED_VALUE"""),103200.3805277778)</f>
        <v>103200.3805</v>
      </c>
      <c r="U31" s="378">
        <f>IFERROR(__xludf.DUMMYFUNCTION("""COMPUTED_VALUE"""),8600.03171064815)</f>
        <v>8600.031711</v>
      </c>
      <c r="V31" s="378">
        <f>IFERROR(__xludf.DUMMYFUNCTION("""COMPUTED_VALUE"""),3.0)</f>
        <v>3</v>
      </c>
      <c r="W31" s="378">
        <f>IFERROR(__xludf.DUMMYFUNCTION("""COMPUTED_VALUE"""),0.0)</f>
        <v>0</v>
      </c>
      <c r="X31" s="378">
        <f>IFERROR(__xludf.DUMMYFUNCTION("""COMPUTED_VALUE"""),97.0)</f>
        <v>97</v>
      </c>
      <c r="Y31" s="378">
        <f>IFERROR(__xludf.DUMMYFUNCTION("""COMPUTED_VALUE"""),120.0)</f>
        <v>120</v>
      </c>
      <c r="Z31" s="378">
        <f>IFERROR(__xludf.DUMMYFUNCTION("""COMPUTED_VALUE"""),32.333333333333336)</f>
        <v>32.33333333</v>
      </c>
      <c r="AA31" s="379"/>
      <c r="AB31" s="379"/>
      <c r="AC31" s="379"/>
      <c r="AD31" s="379"/>
      <c r="AE31" s="379"/>
      <c r="AF31" s="379"/>
      <c r="AG31" s="379"/>
      <c r="AH31" s="380">
        <f>IFERROR(__xludf.DUMMYFUNCTION("""COMPUTED_VALUE"""),0.0)</f>
        <v>0</v>
      </c>
      <c r="AI31" s="379"/>
      <c r="AJ31" s="379"/>
      <c r="AK31" s="379"/>
      <c r="AL31" s="379"/>
      <c r="AM31" s="379"/>
      <c r="AN31" s="379"/>
      <c r="AO31" s="379"/>
      <c r="AP31" s="379"/>
      <c r="AQ31" s="379"/>
      <c r="AR31" s="379"/>
    </row>
    <row r="32">
      <c r="A32" s="367" t="str">
        <f>IFERROR(__xludf.DUMMYFUNCTION("""COMPUTED_VALUE"""),"TRIPURA")</f>
        <v>TRIPURA</v>
      </c>
      <c r="B32" s="376">
        <f>IFERROR(__xludf.DUMMYFUNCTION("""COMPUTED_VALUE"""),1.0)</f>
        <v>1</v>
      </c>
      <c r="C32" s="376">
        <f>IFERROR(__xludf.DUMMYFUNCTION("""COMPUTED_VALUE"""),0.0)</f>
        <v>0</v>
      </c>
      <c r="D32" s="376">
        <f>IFERROR(__xludf.DUMMYFUNCTION("""COMPUTED_VALUE"""),0.0)</f>
        <v>0</v>
      </c>
      <c r="E32" s="376">
        <f>IFERROR(__xludf.DUMMYFUNCTION("""COMPUTED_VALUE"""),3.0)</f>
        <v>3</v>
      </c>
      <c r="F32" s="376">
        <f>IFERROR(__xludf.DUMMYFUNCTION("""COMPUTED_VALUE"""),11.0)</f>
        <v>11</v>
      </c>
      <c r="G32" s="376">
        <f>IFERROR(__xludf.DUMMYFUNCTION("""COMPUTED_VALUE"""),13.0)</f>
        <v>13</v>
      </c>
      <c r="H32" s="376">
        <f>IFERROR(__xludf.DUMMYFUNCTION("""COMPUTED_VALUE"""),26.0)</f>
        <v>26</v>
      </c>
      <c r="I32" s="376">
        <f>IFERROR(__xludf.DUMMYFUNCTION("""COMPUTED_VALUE"""),54.0)</f>
        <v>54</v>
      </c>
      <c r="J32" s="377"/>
      <c r="K32" s="367" t="str">
        <f>IFERROR(__xludf.DUMMYFUNCTION("""COMPUTED_VALUE"""),"TRIPURA")</f>
        <v>TRIPURA</v>
      </c>
      <c r="L32" s="378">
        <f>IFERROR(__xludf.DUMMYFUNCTION("""COMPUTED_VALUE"""),3754522.2)</f>
        <v>3754522.2</v>
      </c>
      <c r="M32" s="378">
        <f>IFERROR(__xludf.DUMMYFUNCTION("""COMPUTED_VALUE"""),0.0)</f>
        <v>0</v>
      </c>
      <c r="N32" s="378">
        <f>IFERROR(__xludf.DUMMYFUNCTION("""COMPUTED_VALUE"""),0.0)</f>
        <v>0</v>
      </c>
      <c r="O32" s="378">
        <f>IFERROR(__xludf.DUMMYFUNCTION("""COMPUTED_VALUE"""),1490344.61)</f>
        <v>1490344.61</v>
      </c>
      <c r="P32" s="378">
        <f>IFERROR(__xludf.DUMMYFUNCTION("""COMPUTED_VALUE"""),3667403.91)</f>
        <v>3667403.91</v>
      </c>
      <c r="Q32" s="378">
        <f>IFERROR(__xludf.DUMMYFUNCTION("""COMPUTED_VALUE"""),2172794.2399999998)</f>
        <v>2172794.24</v>
      </c>
      <c r="R32" s="378">
        <f>IFERROR(__xludf.DUMMYFUNCTION("""COMPUTED_VALUE"""),1200514.7200000002)</f>
        <v>1200514.72</v>
      </c>
      <c r="S32" s="378">
        <f>IFERROR(__xludf.DUMMYFUNCTION("""COMPUTED_VALUE"""),1.2285579680000002E7)</f>
        <v>12285579.68</v>
      </c>
      <c r="T32" s="378">
        <f>IFERROR(__xludf.DUMMYFUNCTION("""COMPUTED_VALUE"""),227510.73481481484)</f>
        <v>227510.7348</v>
      </c>
      <c r="U32" s="378">
        <f>IFERROR(__xludf.DUMMYFUNCTION("""COMPUTED_VALUE"""),18959.22790123457)</f>
        <v>18959.2279</v>
      </c>
      <c r="V32" s="378">
        <f>IFERROR(__xludf.DUMMYFUNCTION("""COMPUTED_VALUE"""),1.0)</f>
        <v>1</v>
      </c>
      <c r="W32" s="378"/>
      <c r="X32" s="378">
        <f>IFERROR(__xludf.DUMMYFUNCTION("""COMPUTED_VALUE"""),28.0)</f>
        <v>28</v>
      </c>
      <c r="Y32" s="378">
        <f>IFERROR(__xludf.DUMMYFUNCTION("""COMPUTED_VALUE"""),54.0)</f>
        <v>54</v>
      </c>
      <c r="Z32" s="378">
        <f>IFERROR(__xludf.DUMMYFUNCTION("""COMPUTED_VALUE"""),28.0)</f>
        <v>28</v>
      </c>
      <c r="AA32" s="379"/>
      <c r="AB32" s="379"/>
      <c r="AC32" s="379"/>
      <c r="AD32" s="379"/>
      <c r="AE32" s="379"/>
      <c r="AF32" s="379"/>
      <c r="AG32" s="379"/>
      <c r="AH32" s="379"/>
      <c r="AI32" s="379"/>
      <c r="AJ32" s="379"/>
      <c r="AK32" s="379"/>
      <c r="AL32" s="379"/>
      <c r="AM32" s="379"/>
      <c r="AN32" s="379"/>
      <c r="AO32" s="379"/>
      <c r="AP32" s="379"/>
      <c r="AQ32" s="379"/>
      <c r="AR32" s="379"/>
    </row>
    <row r="33">
      <c r="A33" s="367" t="str">
        <f>IFERROR(__xludf.DUMMYFUNCTION("""COMPUTED_VALUE"""),"UTTARAKHAND")</f>
        <v>UTTARAKHAND</v>
      </c>
      <c r="B33" s="376">
        <f>IFERROR(__xludf.DUMMYFUNCTION("""COMPUTED_VALUE"""),0.0)</f>
        <v>0</v>
      </c>
      <c r="C33" s="376">
        <f>IFERROR(__xludf.DUMMYFUNCTION("""COMPUTED_VALUE"""),1.0)</f>
        <v>1</v>
      </c>
      <c r="D33" s="376">
        <f>IFERROR(__xludf.DUMMYFUNCTION("""COMPUTED_VALUE"""),2.0)</f>
        <v>2</v>
      </c>
      <c r="E33" s="376">
        <f>IFERROR(__xludf.DUMMYFUNCTION("""COMPUTED_VALUE"""),2.0)</f>
        <v>2</v>
      </c>
      <c r="F33" s="376">
        <f>IFERROR(__xludf.DUMMYFUNCTION("""COMPUTED_VALUE"""),3.0)</f>
        <v>3</v>
      </c>
      <c r="G33" s="376">
        <f>IFERROR(__xludf.DUMMYFUNCTION("""COMPUTED_VALUE"""),22.0)</f>
        <v>22</v>
      </c>
      <c r="H33" s="376">
        <f>IFERROR(__xludf.DUMMYFUNCTION("""COMPUTED_VALUE"""),174.0)</f>
        <v>174</v>
      </c>
      <c r="I33" s="376">
        <f>IFERROR(__xludf.DUMMYFUNCTION("""COMPUTED_VALUE"""),204.0)</f>
        <v>204</v>
      </c>
      <c r="J33" s="377"/>
      <c r="K33" s="367" t="str">
        <f>IFERROR(__xludf.DUMMYFUNCTION("""COMPUTED_VALUE"""),"UTTARAKHAND")</f>
        <v>UTTARAKHAND</v>
      </c>
      <c r="L33" s="378">
        <f>IFERROR(__xludf.DUMMYFUNCTION("""COMPUTED_VALUE"""),0.0)</f>
        <v>0</v>
      </c>
      <c r="M33" s="378">
        <f>IFERROR(__xludf.DUMMYFUNCTION("""COMPUTED_VALUE"""),1014913.83)</f>
        <v>1014913.83</v>
      </c>
      <c r="N33" s="378">
        <f>IFERROR(__xludf.DUMMYFUNCTION("""COMPUTED_VALUE"""),1477309.8)</f>
        <v>1477309.8</v>
      </c>
      <c r="O33" s="378">
        <f>IFERROR(__xludf.DUMMYFUNCTION("""COMPUTED_VALUE"""),1020215.31)</f>
        <v>1020215.31</v>
      </c>
      <c r="P33" s="378">
        <f>IFERROR(__xludf.DUMMYFUNCTION("""COMPUTED_VALUE"""),945857.38)</f>
        <v>945857.38</v>
      </c>
      <c r="Q33" s="378">
        <f>IFERROR(__xludf.DUMMYFUNCTION("""COMPUTED_VALUE"""),3278627.5000000005)</f>
        <v>3278627.5</v>
      </c>
      <c r="R33" s="378">
        <f>IFERROR(__xludf.DUMMYFUNCTION("""COMPUTED_VALUE"""),6007297.459999997)</f>
        <v>6007297.46</v>
      </c>
      <c r="S33" s="378">
        <f>IFERROR(__xludf.DUMMYFUNCTION("""COMPUTED_VALUE"""),1.3744221279999997E7)</f>
        <v>13744221.28</v>
      </c>
      <c r="T33" s="378">
        <f>IFERROR(__xludf.DUMMYFUNCTION("""COMPUTED_VALUE"""),67373.63372549019)</f>
        <v>67373.63373</v>
      </c>
      <c r="U33" s="378">
        <f>IFERROR(__xludf.DUMMYFUNCTION("""COMPUTED_VALUE"""),5614.469477124182)</f>
        <v>5614.469477</v>
      </c>
      <c r="V33" s="378">
        <f>IFERROR(__xludf.DUMMYFUNCTION("""COMPUTED_VALUE"""),2.0)</f>
        <v>2</v>
      </c>
      <c r="W33" s="378">
        <f>IFERROR(__xludf.DUMMYFUNCTION("""COMPUTED_VALUE"""),0.0)</f>
        <v>0</v>
      </c>
      <c r="X33" s="378">
        <f>IFERROR(__xludf.DUMMYFUNCTION("""COMPUTED_VALUE"""),30.0)</f>
        <v>30</v>
      </c>
      <c r="Y33" s="378">
        <f>IFERROR(__xludf.DUMMYFUNCTION("""COMPUTED_VALUE"""),102.0)</f>
        <v>102</v>
      </c>
      <c r="Z33" s="378">
        <f>IFERROR(__xludf.DUMMYFUNCTION("""COMPUTED_VALUE"""),15.0)</f>
        <v>15</v>
      </c>
      <c r="AA33" s="379"/>
      <c r="AB33" s="379"/>
      <c r="AC33" s="379"/>
      <c r="AD33" s="379"/>
      <c r="AE33" s="379"/>
      <c r="AF33" s="379"/>
      <c r="AG33" s="379"/>
      <c r="AH33" s="379"/>
      <c r="AI33" s="379"/>
      <c r="AJ33" s="379"/>
      <c r="AK33" s="379"/>
      <c r="AL33" s="379"/>
      <c r="AM33" s="379"/>
      <c r="AN33" s="379"/>
      <c r="AO33" s="379"/>
      <c r="AP33" s="379"/>
      <c r="AQ33" s="379"/>
      <c r="AR33" s="379"/>
    </row>
    <row r="34">
      <c r="A34" s="367" t="str">
        <f>IFERROR(__xludf.DUMMYFUNCTION("""COMPUTED_VALUE"""),"WEST BENGAL")</f>
        <v>WEST BENGAL</v>
      </c>
      <c r="B34" s="376">
        <f>IFERROR(__xludf.DUMMYFUNCTION("""COMPUTED_VALUE"""),74.0)</f>
        <v>74</v>
      </c>
      <c r="C34" s="376">
        <f>IFERROR(__xludf.DUMMYFUNCTION("""COMPUTED_VALUE"""),98.0)</f>
        <v>98</v>
      </c>
      <c r="D34" s="376">
        <f>IFERROR(__xludf.DUMMYFUNCTION("""COMPUTED_VALUE"""),117.0)</f>
        <v>117</v>
      </c>
      <c r="E34" s="376">
        <f>IFERROR(__xludf.DUMMYFUNCTION("""COMPUTED_VALUE"""),76.0)</f>
        <v>76</v>
      </c>
      <c r="F34" s="376">
        <f>IFERROR(__xludf.DUMMYFUNCTION("""COMPUTED_VALUE"""),199.0)</f>
        <v>199</v>
      </c>
      <c r="G34" s="376">
        <f>IFERROR(__xludf.DUMMYFUNCTION("""COMPUTED_VALUE"""),339.0)</f>
        <v>339</v>
      </c>
      <c r="H34" s="376">
        <f>IFERROR(__xludf.DUMMYFUNCTION("""COMPUTED_VALUE"""),501.0)</f>
        <v>501</v>
      </c>
      <c r="I34" s="376">
        <f>IFERROR(__xludf.DUMMYFUNCTION("""COMPUTED_VALUE"""),1404.0)</f>
        <v>1404</v>
      </c>
      <c r="J34" s="377"/>
      <c r="K34" s="367" t="str">
        <f>IFERROR(__xludf.DUMMYFUNCTION("""COMPUTED_VALUE"""),"WEST BENGAL")</f>
        <v>WEST BENGAL</v>
      </c>
      <c r="L34" s="378">
        <f>IFERROR(__xludf.DUMMYFUNCTION("""COMPUTED_VALUE"""),2.9524965245000017E8)</f>
        <v>295249652.5</v>
      </c>
      <c r="M34" s="378">
        <f>IFERROR(__xludf.DUMMYFUNCTION("""COMPUTED_VALUE"""),1.3722185286999997E8)</f>
        <v>137221852.9</v>
      </c>
      <c r="N34" s="378">
        <f>IFERROR(__xludf.DUMMYFUNCTION("""COMPUTED_VALUE"""),9.016632222999997E7)</f>
        <v>90166322.23</v>
      </c>
      <c r="O34" s="378">
        <f>IFERROR(__xludf.DUMMYFUNCTION("""COMPUTED_VALUE"""),3.970626094999999E7)</f>
        <v>39706260.95</v>
      </c>
      <c r="P34" s="378">
        <f>IFERROR(__xludf.DUMMYFUNCTION("""COMPUTED_VALUE"""),6.735138522999997E7)</f>
        <v>67351385.23</v>
      </c>
      <c r="Q34" s="378">
        <f>IFERROR(__xludf.DUMMYFUNCTION("""COMPUTED_VALUE"""),5.6585486769999914E7)</f>
        <v>56585486.77</v>
      </c>
      <c r="R34" s="378">
        <f>IFERROR(__xludf.DUMMYFUNCTION("""COMPUTED_VALUE"""),2.3347376640000008E7)</f>
        <v>23347376.64</v>
      </c>
      <c r="S34" s="378">
        <f>IFERROR(__xludf.DUMMYFUNCTION("""COMPUTED_VALUE"""),7.0962833714E8)</f>
        <v>709628337.1</v>
      </c>
      <c r="T34" s="378">
        <f>IFERROR(__xludf.DUMMYFUNCTION("""COMPUTED_VALUE"""),505433.2885612536)</f>
        <v>505433.2886</v>
      </c>
      <c r="U34" s="378">
        <f>IFERROR(__xludf.DUMMYFUNCTION("""COMPUTED_VALUE"""),42119.4407134378)</f>
        <v>42119.44071</v>
      </c>
      <c r="V34" s="378">
        <f>IFERROR(__xludf.DUMMYFUNCTION("""COMPUTED_VALUE"""),28.0)</f>
        <v>28</v>
      </c>
      <c r="W34" s="378">
        <f>IFERROR(__xludf.DUMMYFUNCTION("""COMPUTED_VALUE"""),4.0)</f>
        <v>4</v>
      </c>
      <c r="X34" s="378">
        <f>IFERROR(__xludf.DUMMYFUNCTION("""COMPUTED_VALUE"""),903.0)</f>
        <v>903</v>
      </c>
      <c r="Y34" s="378">
        <f>IFERROR(__xludf.DUMMYFUNCTION("""COMPUTED_VALUE"""),50.142857142857146)</f>
        <v>50.14285714</v>
      </c>
      <c r="Z34" s="378">
        <f>IFERROR(__xludf.DUMMYFUNCTION("""COMPUTED_VALUE"""),32.25)</f>
        <v>32.25</v>
      </c>
      <c r="AA34" s="379"/>
      <c r="AB34" s="379"/>
      <c r="AC34" s="379"/>
      <c r="AD34" s="379"/>
      <c r="AE34" s="379"/>
      <c r="AF34" s="379"/>
      <c r="AG34" s="379"/>
      <c r="AH34" s="379"/>
      <c r="AI34" s="379"/>
      <c r="AJ34" s="379"/>
      <c r="AK34" s="379"/>
      <c r="AL34" s="379"/>
      <c r="AM34" s="379"/>
      <c r="AN34" s="379"/>
      <c r="AO34" s="379"/>
      <c r="AP34" s="379"/>
      <c r="AQ34" s="379"/>
      <c r="AR34" s="379"/>
    </row>
    <row r="35">
      <c r="A35" s="217" t="str">
        <f>IFERROR(__xludf.DUMMYFUNCTION("""COMPUTED_VALUE"""),"West U.P")</f>
        <v>West U.P</v>
      </c>
      <c r="B35" s="217">
        <f>IFERROR(__xludf.DUMMYFUNCTION("""COMPUTED_VALUE"""),1.0)</f>
        <v>1</v>
      </c>
      <c r="C35" s="217">
        <f>IFERROR(__xludf.DUMMYFUNCTION("""COMPUTED_VALUE"""),5.0)</f>
        <v>5</v>
      </c>
      <c r="D35" s="217">
        <f>IFERROR(__xludf.DUMMYFUNCTION("""COMPUTED_VALUE"""),14.0)</f>
        <v>14</v>
      </c>
      <c r="E35" s="217">
        <f>IFERROR(__xludf.DUMMYFUNCTION("""COMPUTED_VALUE"""),21.0)</f>
        <v>21</v>
      </c>
      <c r="F35" s="217">
        <f>IFERROR(__xludf.DUMMYFUNCTION("""COMPUTED_VALUE"""),37.0)</f>
        <v>37</v>
      </c>
      <c r="G35" s="217">
        <f>IFERROR(__xludf.DUMMYFUNCTION("""COMPUTED_VALUE"""),80.0)</f>
        <v>80</v>
      </c>
      <c r="H35" s="217">
        <f>IFERROR(__xludf.DUMMYFUNCTION("""COMPUTED_VALUE"""),217.0)</f>
        <v>217</v>
      </c>
      <c r="I35" s="217">
        <f>IFERROR(__xludf.DUMMYFUNCTION("""COMPUTED_VALUE"""),375.0)</f>
        <v>375</v>
      </c>
      <c r="J35" s="381"/>
      <c r="K35" s="367" t="str">
        <f>IFERROR(__xludf.DUMMYFUNCTION("""COMPUTED_VALUE"""),"West U.P")</f>
        <v>West U.P</v>
      </c>
      <c r="L35" s="378">
        <f>IFERROR(__xludf.DUMMYFUNCTION("""COMPUTED_VALUE"""),2420849.01)</f>
        <v>2420849.01</v>
      </c>
      <c r="M35" s="378">
        <f>IFERROR(__xludf.DUMMYFUNCTION("""COMPUTED_VALUE"""),6114824.03)</f>
        <v>6114824.03</v>
      </c>
      <c r="N35" s="378">
        <f>IFERROR(__xludf.DUMMYFUNCTION("""COMPUTED_VALUE"""),1.043358858E7)</f>
        <v>10433588.58</v>
      </c>
      <c r="O35" s="378">
        <f>IFERROR(__xludf.DUMMYFUNCTION("""COMPUTED_VALUE"""),1.071297698E7)</f>
        <v>10712976.98</v>
      </c>
      <c r="P35" s="378">
        <f>IFERROR(__xludf.DUMMYFUNCTION("""COMPUTED_VALUE"""),1.2167082480000002E7)</f>
        <v>12167082.48</v>
      </c>
      <c r="Q35" s="378">
        <f>IFERROR(__xludf.DUMMYFUNCTION("""COMPUTED_VALUE"""),1.2713366989999998E7)</f>
        <v>12713366.99</v>
      </c>
      <c r="R35" s="378">
        <f>IFERROR(__xludf.DUMMYFUNCTION("""COMPUTED_VALUE"""),8124490.929999999)</f>
        <v>8124490.93</v>
      </c>
      <c r="S35" s="378">
        <f>IFERROR(__xludf.DUMMYFUNCTION("""COMPUTED_VALUE"""),6.268717899999999E7)</f>
        <v>62687179</v>
      </c>
      <c r="T35" s="378">
        <f>IFERROR(__xludf.DUMMYFUNCTION("""COMPUTED_VALUE"""),167165.81066666666)</f>
        <v>167165.8107</v>
      </c>
      <c r="U35" s="378">
        <f>IFERROR(__xludf.DUMMYFUNCTION("""COMPUTED_VALUE"""),13930.484222222221)</f>
        <v>13930.48422</v>
      </c>
      <c r="V35" s="378">
        <f>IFERROR(__xludf.DUMMYFUNCTION("""COMPUTED_VALUE"""),5.0)</f>
        <v>5</v>
      </c>
      <c r="W35" s="378">
        <f>IFERROR(__xludf.DUMMYFUNCTION("""COMPUTED_VALUE"""),0.0)</f>
        <v>0</v>
      </c>
      <c r="X35" s="378">
        <f>IFERROR(__xludf.DUMMYFUNCTION("""COMPUTED_VALUE"""),158.0)</f>
        <v>158</v>
      </c>
      <c r="Y35" s="378">
        <f>IFERROR(__xludf.DUMMYFUNCTION("""COMPUTED_VALUE"""),75.0)</f>
        <v>75</v>
      </c>
      <c r="Z35" s="378">
        <f>IFERROR(__xludf.DUMMYFUNCTION("""COMPUTED_VALUE"""),31.6)</f>
        <v>31.6</v>
      </c>
      <c r="AA35" s="379"/>
      <c r="AB35" s="379"/>
      <c r="AC35" s="379"/>
      <c r="AD35" s="379"/>
      <c r="AE35" s="379"/>
      <c r="AF35" s="379"/>
      <c r="AG35" s="379"/>
      <c r="AH35" s="379"/>
      <c r="AI35" s="379"/>
      <c r="AJ35" s="379"/>
      <c r="AK35" s="379"/>
      <c r="AL35" s="379"/>
      <c r="AM35" s="379"/>
      <c r="AN35" s="379"/>
      <c r="AO35" s="379"/>
      <c r="AP35" s="379"/>
      <c r="AQ35" s="379"/>
      <c r="AR35" s="379"/>
    </row>
    <row r="36">
      <c r="A36" s="217"/>
      <c r="B36" s="217"/>
      <c r="C36" s="217"/>
      <c r="D36" s="217"/>
      <c r="E36" s="217"/>
      <c r="F36" s="217"/>
      <c r="G36" s="217"/>
      <c r="H36" s="217"/>
      <c r="I36" s="217"/>
      <c r="J36" s="381"/>
      <c r="K36" s="367"/>
      <c r="L36" s="378"/>
      <c r="M36" s="378"/>
      <c r="N36" s="378"/>
      <c r="O36" s="378"/>
      <c r="P36" s="378"/>
      <c r="Q36" s="378"/>
      <c r="R36" s="378"/>
      <c r="S36" s="376"/>
      <c r="T36" s="376"/>
      <c r="U36" s="376"/>
      <c r="V36" s="376"/>
      <c r="W36" s="376"/>
      <c r="X36" s="376"/>
      <c r="Y36" s="376"/>
      <c r="Z36" s="376"/>
      <c r="AA36" s="379"/>
      <c r="AB36" s="379"/>
      <c r="AC36" s="379"/>
      <c r="AD36" s="379"/>
      <c r="AE36" s="379"/>
      <c r="AF36" s="379"/>
      <c r="AG36" s="379"/>
      <c r="AH36" s="379"/>
      <c r="AI36" s="379"/>
      <c r="AJ36" s="379"/>
      <c r="AK36" s="379"/>
      <c r="AL36" s="379"/>
      <c r="AM36" s="379"/>
      <c r="AN36" s="379"/>
      <c r="AO36" s="379"/>
      <c r="AP36" s="379"/>
      <c r="AQ36" s="379"/>
      <c r="AR36" s="379"/>
    </row>
    <row r="37">
      <c r="J37" s="381"/>
    </row>
    <row r="38">
      <c r="J38" s="381"/>
    </row>
    <row r="39">
      <c r="J39" s="381"/>
    </row>
    <row r="40">
      <c r="J40" s="381"/>
    </row>
  </sheetData>
  <mergeCells count="2">
    <mergeCell ref="A1:I1"/>
    <mergeCell ref="K1:S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5.13"/>
    <col customWidth="1" min="2" max="2" width="44.13"/>
    <col customWidth="1" min="3" max="3" width="14.88"/>
    <col customWidth="1" min="4" max="4" width="12.5"/>
    <col hidden="1" min="5" max="6" width="12.63"/>
    <col customWidth="1" min="7" max="7" width="12.0"/>
    <col customWidth="1" min="8" max="8" width="10.13"/>
    <col customWidth="1" min="9" max="9" width="10.25"/>
    <col customWidth="1" min="10" max="10" width="21.88"/>
    <col customWidth="1" min="11" max="11" width="13.5"/>
    <col customWidth="1" hidden="1" min="12" max="12" width="8.13"/>
  </cols>
  <sheetData>
    <row r="1">
      <c r="A1" s="382" t="s">
        <v>1124</v>
      </c>
    </row>
    <row r="2">
      <c r="A2" s="383"/>
      <c r="B2" s="384" t="s">
        <v>1125</v>
      </c>
      <c r="C2" s="384"/>
      <c r="I2" s="265"/>
      <c r="J2" s="385" t="s">
        <v>1126</v>
      </c>
      <c r="K2" s="386">
        <f>counta(B6:B1503)</f>
        <v>256</v>
      </c>
      <c r="L2" s="166"/>
    </row>
    <row r="3">
      <c r="I3" s="265"/>
      <c r="J3" s="265"/>
      <c r="L3" s="166"/>
    </row>
    <row r="4">
      <c r="B4" s="387" t="s">
        <v>963</v>
      </c>
      <c r="C4" s="388">
        <f t="shared" ref="C4:I4" si="1">SUM(C6:C1503)</f>
        <v>2310913869</v>
      </c>
      <c r="D4" s="388">
        <f t="shared" si="1"/>
        <v>436</v>
      </c>
      <c r="E4" s="388">
        <f t="shared" si="1"/>
        <v>0</v>
      </c>
      <c r="F4" s="388">
        <f t="shared" si="1"/>
        <v>0</v>
      </c>
      <c r="G4" s="388">
        <f t="shared" si="1"/>
        <v>957431671.4</v>
      </c>
      <c r="H4" s="388">
        <f t="shared" si="1"/>
        <v>79785972.62</v>
      </c>
      <c r="I4" s="388">
        <f t="shared" si="1"/>
        <v>2636015483</v>
      </c>
      <c r="J4" s="389"/>
      <c r="K4" s="390">
        <f>(C4-I4)</f>
        <v>-325101614</v>
      </c>
      <c r="L4" s="391">
        <f>K4/C4</f>
        <v>-0.140680974</v>
      </c>
    </row>
    <row r="5">
      <c r="A5" s="392" t="s">
        <v>1127</v>
      </c>
      <c r="B5" s="393" t="s">
        <v>1128</v>
      </c>
      <c r="C5" s="394" t="s">
        <v>480</v>
      </c>
      <c r="D5" s="395" t="s">
        <v>1129</v>
      </c>
      <c r="E5" s="396" t="s">
        <v>1130</v>
      </c>
      <c r="F5" s="397" t="s">
        <v>892</v>
      </c>
      <c r="G5" s="398" t="s">
        <v>1131</v>
      </c>
      <c r="H5" s="397" t="s">
        <v>1132</v>
      </c>
      <c r="I5" s="172" t="s">
        <v>1133</v>
      </c>
      <c r="J5" s="399" t="s">
        <v>1013</v>
      </c>
      <c r="K5" s="399" t="s">
        <v>1134</v>
      </c>
      <c r="L5" s="399" t="s">
        <v>1135</v>
      </c>
    </row>
    <row r="6">
      <c r="A6" s="75">
        <f t="array" ref="A6:A261">SEQUENCE(COUNTA(B6:B1503),1)</f>
        <v>1</v>
      </c>
      <c r="B6" s="75" t="str">
        <f>IFERROR(__xludf.DUMMYFUNCTION("query(Sheet98!A3:J1503,""SELECT B,C,D,E,F,G,H,I,J WHERE F CONTAINS '""&amp;C2&amp;""'"")"),"360.INC")</f>
        <v>360.INC</v>
      </c>
      <c r="C6" s="400">
        <f>IFERROR(__xludf.DUMMYFUNCTION("""COMPUTED_VALUE"""),29853.0)</f>
        <v>29853</v>
      </c>
      <c r="D6" s="400">
        <f>IFERROR(__xludf.DUMMYFUNCTION("""COMPUTED_VALUE"""),1.0)</f>
        <v>1</v>
      </c>
      <c r="E6" s="400" t="str">
        <f>IFERROR(__xludf.DUMMYFUNCTION("""COMPUTED_VALUE"""),"Arun kumar.S")</f>
        <v>Arun kumar.S</v>
      </c>
      <c r="F6" s="400" t="str">
        <f>IFERROR(__xludf.DUMMYFUNCTION("""COMPUTED_VALUE"""),"TAMIL NADU")</f>
        <v>TAMIL NADU</v>
      </c>
      <c r="G6" s="280">
        <f>IFERROR(__xludf.DUMMYFUNCTION("""COMPUTED_VALUE"""),29853.0)</f>
        <v>29853</v>
      </c>
      <c r="H6" s="190">
        <f>IFERROR(__xludf.DUMMYFUNCTION("""COMPUTED_VALUE"""),2487.75)</f>
        <v>2487.75</v>
      </c>
      <c r="I6" s="195">
        <f>IFERROR(__xludf.DUMMYFUNCTION("""COMPUTED_VALUE"""),0.0)</f>
        <v>0</v>
      </c>
      <c r="J6" s="195"/>
      <c r="K6" s="75">
        <f t="shared" ref="K6:K223" si="2">iferror(C6-I6,"")</f>
        <v>29853</v>
      </c>
      <c r="L6" s="262">
        <f t="shared" ref="L6:L223" si="3">K6/C6</f>
        <v>1</v>
      </c>
    </row>
    <row r="7">
      <c r="A7" s="217">
        <v>2.0</v>
      </c>
      <c r="B7" s="75" t="str">
        <f>IFERROR(__xludf.DUMMYFUNCTION("""COMPUTED_VALUE"""),"A N Marketing")</f>
        <v>A N Marketing</v>
      </c>
      <c r="C7" s="400">
        <f>IFERROR(__xludf.DUMMYFUNCTION("""COMPUTED_VALUE"""),1.3202741E7)</f>
        <v>13202741</v>
      </c>
      <c r="D7" s="400">
        <f>IFERROR(__xludf.DUMMYFUNCTION("""COMPUTED_VALUE"""),2.0)</f>
        <v>2</v>
      </c>
      <c r="E7" s="400" t="str">
        <f>IFERROR(__xludf.DUMMYFUNCTION("""COMPUTED_VALUE"""),"Ashok Kumar, Ravi Kumar Verma")</f>
        <v>Ashok Kumar, Ravi Kumar Verma</v>
      </c>
      <c r="F7" s="400" t="str">
        <f>IFERROR(__xludf.DUMMYFUNCTION("""COMPUTED_VALUE"""),"East U.P")</f>
        <v>East U.P</v>
      </c>
      <c r="G7" s="280">
        <f>IFERROR(__xludf.DUMMYFUNCTION("""COMPUTED_VALUE"""),6601370.5)</f>
        <v>6601370.5</v>
      </c>
      <c r="H7" s="190">
        <f>IFERROR(__xludf.DUMMYFUNCTION("""COMPUTED_VALUE"""),550114.2083333334)</f>
        <v>550114.2083</v>
      </c>
      <c r="I7" s="195">
        <f>IFERROR(__xludf.DUMMYFUNCTION("""COMPUTED_VALUE"""),1.4632903E7)</f>
        <v>14632903</v>
      </c>
      <c r="J7" s="195"/>
      <c r="K7" s="75">
        <f t="shared" si="2"/>
        <v>-1430162</v>
      </c>
      <c r="L7" s="262">
        <f t="shared" si="3"/>
        <v>-0.1083231126</v>
      </c>
    </row>
    <row r="8">
      <c r="A8" s="75">
        <v>3.0</v>
      </c>
      <c r="B8" s="75" t="str">
        <f>IFERROR(__xludf.DUMMYFUNCTION("""COMPUTED_VALUE"""),"A.V Traders")</f>
        <v>A.V Traders</v>
      </c>
      <c r="C8" s="400">
        <f>IFERROR(__xludf.DUMMYFUNCTION("""COMPUTED_VALUE"""),134033.0)</f>
        <v>134033</v>
      </c>
      <c r="D8" s="400">
        <f>IFERROR(__xludf.DUMMYFUNCTION("""COMPUTED_VALUE"""),1.0)</f>
        <v>1</v>
      </c>
      <c r="E8" s="400" t="str">
        <f>IFERROR(__xludf.DUMMYFUNCTION("""COMPUTED_VALUE"""),"Karuppasamy R")</f>
        <v>Karuppasamy R</v>
      </c>
      <c r="F8" s="400" t="str">
        <f>IFERROR(__xludf.DUMMYFUNCTION("""COMPUTED_VALUE"""),"TAMIL NADU")</f>
        <v>TAMIL NADU</v>
      </c>
      <c r="G8" s="280">
        <f>IFERROR(__xludf.DUMMYFUNCTION("""COMPUTED_VALUE"""),134033.0)</f>
        <v>134033</v>
      </c>
      <c r="H8" s="190">
        <f>IFERROR(__xludf.DUMMYFUNCTION("""COMPUTED_VALUE"""),11169.416666666666)</f>
        <v>11169.41667</v>
      </c>
      <c r="I8" s="195">
        <f>IFERROR(__xludf.DUMMYFUNCTION("""COMPUTED_VALUE"""),0.0)</f>
        <v>0</v>
      </c>
      <c r="J8" s="195"/>
      <c r="K8" s="75">
        <f t="shared" si="2"/>
        <v>134033</v>
      </c>
      <c r="L8" s="262">
        <f t="shared" si="3"/>
        <v>1</v>
      </c>
    </row>
    <row r="9">
      <c r="A9" s="75">
        <v>4.0</v>
      </c>
      <c r="B9" s="75" t="str">
        <f>IFERROR(__xludf.DUMMYFUNCTION("""COMPUTED_VALUE"""),"Aarya Agro Industries")</f>
        <v>Aarya Agro Industries</v>
      </c>
      <c r="C9" s="400">
        <f>IFERROR(__xludf.DUMMYFUNCTION("""COMPUTED_VALUE"""),1363370.0)</f>
        <v>1363370</v>
      </c>
      <c r="D9" s="400">
        <f>IFERROR(__xludf.DUMMYFUNCTION("""COMPUTED_VALUE"""),1.0)</f>
        <v>1</v>
      </c>
      <c r="E9" s="400" t="str">
        <f>IFERROR(__xludf.DUMMYFUNCTION("""COMPUTED_VALUE"""),"Syed Sohel Hashmi")</f>
        <v>Syed Sohel Hashmi</v>
      </c>
      <c r="F9" s="400" t="str">
        <f>IFERROR(__xludf.DUMMYFUNCTION("""COMPUTED_VALUE"""),"MAHARASHTRA")</f>
        <v>MAHARASHTRA</v>
      </c>
      <c r="G9" s="280">
        <f>IFERROR(__xludf.DUMMYFUNCTION("""COMPUTED_VALUE"""),1363370.0)</f>
        <v>1363370</v>
      </c>
      <c r="H9" s="190">
        <f>IFERROR(__xludf.DUMMYFUNCTION("""COMPUTED_VALUE"""),113614.16666666667)</f>
        <v>113614.1667</v>
      </c>
      <c r="I9" s="195">
        <f>IFERROR(__xludf.DUMMYFUNCTION("""COMPUTED_VALUE"""),3791318.0)</f>
        <v>3791318</v>
      </c>
      <c r="J9" s="195"/>
      <c r="K9" s="75">
        <f t="shared" si="2"/>
        <v>-2427948</v>
      </c>
      <c r="L9" s="262">
        <f t="shared" si="3"/>
        <v>-1.780843058</v>
      </c>
    </row>
    <row r="10">
      <c r="A10" s="75">
        <v>5.0</v>
      </c>
      <c r="B10" s="75" t="str">
        <f>IFERROR(__xludf.DUMMYFUNCTION("""COMPUTED_VALUE"""),"Adinath Enterprises")</f>
        <v>Adinath Enterprises</v>
      </c>
      <c r="C10" s="400">
        <f>IFERROR(__xludf.DUMMYFUNCTION("""COMPUTED_VALUE"""),1227277.0)</f>
        <v>1227277</v>
      </c>
      <c r="D10" s="400">
        <f>IFERROR(__xludf.DUMMYFUNCTION("""COMPUTED_VALUE"""),2.0)</f>
        <v>2</v>
      </c>
      <c r="E10" s="400" t="str">
        <f>IFERROR(__xludf.DUMMYFUNCTION("""COMPUTED_VALUE"""),"Tejas Lunawat, ANAND BHAGWAN MORE")</f>
        <v>Tejas Lunawat, ANAND BHAGWAN MORE</v>
      </c>
      <c r="F10" s="400" t="str">
        <f>IFERROR(__xludf.DUMMYFUNCTION("""COMPUTED_VALUE"""),"MAHARASHTRA")</f>
        <v>MAHARASHTRA</v>
      </c>
      <c r="G10" s="280">
        <f>IFERROR(__xludf.DUMMYFUNCTION("""COMPUTED_VALUE"""),613638.5)</f>
        <v>613638.5</v>
      </c>
      <c r="H10" s="190">
        <f>IFERROR(__xludf.DUMMYFUNCTION("""COMPUTED_VALUE"""),51136.541666666664)</f>
        <v>51136.54167</v>
      </c>
      <c r="I10" s="195">
        <f>IFERROR(__xludf.DUMMYFUNCTION("""COMPUTED_VALUE"""),2638056.0)</f>
        <v>2638056</v>
      </c>
      <c r="J10" s="195"/>
      <c r="K10" s="75">
        <f t="shared" si="2"/>
        <v>-1410779</v>
      </c>
      <c r="L10" s="262">
        <f t="shared" si="3"/>
        <v>-1.149519628</v>
      </c>
    </row>
    <row r="11">
      <c r="A11" s="75">
        <v>6.0</v>
      </c>
      <c r="B11" s="75" t="str">
        <f>IFERROR(__xludf.DUMMYFUNCTION("""COMPUTED_VALUE"""),"Aditi Enterprise")</f>
        <v>Aditi Enterprise</v>
      </c>
      <c r="C11" s="400">
        <f>IFERROR(__xludf.DUMMYFUNCTION("""COMPUTED_VALUE"""),611952.0)</f>
        <v>611952</v>
      </c>
      <c r="D11" s="400">
        <f>IFERROR(__xludf.DUMMYFUNCTION("""COMPUTED_VALUE"""),1.0)</f>
        <v>1</v>
      </c>
      <c r="E11" s="400" t="str">
        <f>IFERROR(__xludf.DUMMYFUNCTION("""COMPUTED_VALUE"""),"Arvind Kumar")</f>
        <v>Arvind Kumar</v>
      </c>
      <c r="F11" s="400" t="str">
        <f>IFERROR(__xludf.DUMMYFUNCTION("""COMPUTED_VALUE"""),"HIMACHAL PRADESH")</f>
        <v>HIMACHAL PRADESH</v>
      </c>
      <c r="G11" s="280">
        <f>IFERROR(__xludf.DUMMYFUNCTION("""COMPUTED_VALUE"""),611952.0)</f>
        <v>611952</v>
      </c>
      <c r="H11" s="190">
        <f>IFERROR(__xludf.DUMMYFUNCTION("""COMPUTED_VALUE"""),50996.0)</f>
        <v>50996</v>
      </c>
      <c r="I11" s="195">
        <f>IFERROR(__xludf.DUMMYFUNCTION("""COMPUTED_VALUE"""),3215982.0)</f>
        <v>3215982</v>
      </c>
      <c r="J11" s="195"/>
      <c r="K11" s="75">
        <f t="shared" si="2"/>
        <v>-2604030</v>
      </c>
      <c r="L11" s="262">
        <f t="shared" si="3"/>
        <v>-4.255284728</v>
      </c>
    </row>
    <row r="12">
      <c r="A12" s="75">
        <v>7.0</v>
      </c>
      <c r="B12" s="195" t="str">
        <f>IFERROR(__xludf.DUMMYFUNCTION("""COMPUTED_VALUE"""),"Aggarwal sales agency")</f>
        <v>Aggarwal sales agency</v>
      </c>
      <c r="C12" s="400">
        <f>IFERROR(__xludf.DUMMYFUNCTION("""COMPUTED_VALUE"""),2662773.0)</f>
        <v>2662773</v>
      </c>
      <c r="D12" s="400">
        <f>IFERROR(__xludf.DUMMYFUNCTION("""COMPUTED_VALUE"""),1.0)</f>
        <v>1</v>
      </c>
      <c r="E12" s="400" t="str">
        <f>IFERROR(__xludf.DUMMYFUNCTION("""COMPUTED_VALUE"""),"Amit Tangri")</f>
        <v>Amit Tangri</v>
      </c>
      <c r="F12" s="400" t="str">
        <f>IFERROR(__xludf.DUMMYFUNCTION("""COMPUTED_VALUE"""),"PUNJAB")</f>
        <v>PUNJAB</v>
      </c>
      <c r="G12" s="280">
        <f>IFERROR(__xludf.DUMMYFUNCTION("""COMPUTED_VALUE"""),2662773.0)</f>
        <v>2662773</v>
      </c>
      <c r="H12" s="190">
        <f>IFERROR(__xludf.DUMMYFUNCTION("""COMPUTED_VALUE"""),221897.75)</f>
        <v>221897.75</v>
      </c>
      <c r="I12" s="195">
        <f>IFERROR(__xludf.DUMMYFUNCTION("""COMPUTED_VALUE"""),3474582.0)</f>
        <v>3474582</v>
      </c>
      <c r="J12" s="195"/>
      <c r="K12" s="75">
        <f t="shared" si="2"/>
        <v>-811809</v>
      </c>
      <c r="L12" s="262">
        <f t="shared" si="3"/>
        <v>-0.3048735285</v>
      </c>
    </row>
    <row r="13">
      <c r="A13" s="75">
        <v>8.0</v>
      </c>
      <c r="B13" s="75" t="str">
        <f>IFERROR(__xludf.DUMMYFUNCTION("""COMPUTED_VALUE"""),"Agrasen Trading Corporation")</f>
        <v>Agrasen Trading Corporation</v>
      </c>
      <c r="C13" s="400">
        <f>IFERROR(__xludf.DUMMYFUNCTION("""COMPUTED_VALUE"""),1.1935496E7)</f>
        <v>11935496</v>
      </c>
      <c r="D13" s="400">
        <f>IFERROR(__xludf.DUMMYFUNCTION("""COMPUTED_VALUE"""),3.0)</f>
        <v>3</v>
      </c>
      <c r="E13" s="400" t="str">
        <f>IFERROR(__xludf.DUMMYFUNCTION("""COMPUTED_VALUE"""),"Rajan Srivastava, Sandeep Kanaujiya, Roshan Srivastava")</f>
        <v>Rajan Srivastava, Sandeep Kanaujiya, Roshan Srivastava</v>
      </c>
      <c r="F13" s="400" t="str">
        <f>IFERROR(__xludf.DUMMYFUNCTION("""COMPUTED_VALUE"""),"East U.P")</f>
        <v>East U.P</v>
      </c>
      <c r="G13" s="280">
        <f>IFERROR(__xludf.DUMMYFUNCTION("""COMPUTED_VALUE"""),3978498.6666666665)</f>
        <v>3978498.667</v>
      </c>
      <c r="H13" s="190">
        <f>IFERROR(__xludf.DUMMYFUNCTION("""COMPUTED_VALUE"""),331541.55555555556)</f>
        <v>331541.5556</v>
      </c>
      <c r="I13" s="195">
        <f>IFERROR(__xludf.DUMMYFUNCTION("""COMPUTED_VALUE"""),9511528.0)</f>
        <v>9511528</v>
      </c>
      <c r="J13" s="195"/>
      <c r="K13" s="75">
        <f t="shared" si="2"/>
        <v>2423968</v>
      </c>
      <c r="L13" s="262">
        <f t="shared" si="3"/>
        <v>0.2030890044</v>
      </c>
    </row>
    <row r="14">
      <c r="A14" s="75">
        <v>9.0</v>
      </c>
      <c r="B14" s="75" t="str">
        <f>IFERROR(__xludf.DUMMYFUNCTION("""COMPUTED_VALUE"""),"Ajit Trading co")</f>
        <v>Ajit Trading co</v>
      </c>
      <c r="C14" s="400">
        <f>IFERROR(__xludf.DUMMYFUNCTION("""COMPUTED_VALUE"""),1576832.0)</f>
        <v>1576832</v>
      </c>
      <c r="D14" s="400">
        <f>IFERROR(__xludf.DUMMYFUNCTION("""COMPUTED_VALUE"""),2.0)</f>
        <v>2</v>
      </c>
      <c r="E14" s="400" t="str">
        <f>IFERROR(__xludf.DUMMYFUNCTION("""COMPUTED_VALUE"""),"Jagdish Palani, Dhaval Parmar")</f>
        <v>Jagdish Palani, Dhaval Parmar</v>
      </c>
      <c r="F14" s="400" t="str">
        <f>IFERROR(__xludf.DUMMYFUNCTION("""COMPUTED_VALUE"""),"GUJARAT")</f>
        <v>GUJARAT</v>
      </c>
      <c r="G14" s="280">
        <f>IFERROR(__xludf.DUMMYFUNCTION("""COMPUTED_VALUE"""),788416.0)</f>
        <v>788416</v>
      </c>
      <c r="H14" s="190">
        <f>IFERROR(__xludf.DUMMYFUNCTION("""COMPUTED_VALUE"""),65701.33333333333)</f>
        <v>65701.33333</v>
      </c>
      <c r="I14" s="195">
        <f>IFERROR(__xludf.DUMMYFUNCTION("""COMPUTED_VALUE"""),2784239.0)</f>
        <v>2784239</v>
      </c>
      <c r="J14" s="195"/>
      <c r="K14" s="75">
        <f t="shared" si="2"/>
        <v>-1207407</v>
      </c>
      <c r="L14" s="262">
        <f t="shared" si="3"/>
        <v>-0.7657169565</v>
      </c>
    </row>
    <row r="15">
      <c r="A15" s="75">
        <v>10.0</v>
      </c>
      <c r="B15" s="75" t="str">
        <f>IFERROR(__xludf.DUMMYFUNCTION("""COMPUTED_VALUE"""),"ALLIED TRADES CORPORATION")</f>
        <v>ALLIED TRADES CORPORATION</v>
      </c>
      <c r="C15" s="400">
        <f>IFERROR(__xludf.DUMMYFUNCTION("""COMPUTED_VALUE"""),1146093.0)</f>
        <v>1146093</v>
      </c>
      <c r="D15" s="400">
        <f>IFERROR(__xludf.DUMMYFUNCTION("""COMPUTED_VALUE"""),1.0)</f>
        <v>1</v>
      </c>
      <c r="E15" s="400" t="str">
        <f>IFERROR(__xludf.DUMMYFUNCTION("""COMPUTED_VALUE"""),"Litan Saha")</f>
        <v>Litan Saha</v>
      </c>
      <c r="F15" s="400" t="str">
        <f>IFERROR(__xludf.DUMMYFUNCTION("""COMPUTED_VALUE"""),"TRIPURA")</f>
        <v>TRIPURA</v>
      </c>
      <c r="G15" s="280">
        <f>IFERROR(__xludf.DUMMYFUNCTION("""COMPUTED_VALUE"""),1146093.0)</f>
        <v>1146093</v>
      </c>
      <c r="H15" s="190">
        <f>IFERROR(__xludf.DUMMYFUNCTION("""COMPUTED_VALUE"""),95507.75)</f>
        <v>95507.75</v>
      </c>
      <c r="I15" s="195">
        <f>IFERROR(__xludf.DUMMYFUNCTION("""COMPUTED_VALUE"""),1931048.0)</f>
        <v>1931048</v>
      </c>
      <c r="J15" s="195"/>
      <c r="K15" s="75">
        <f t="shared" si="2"/>
        <v>-784955</v>
      </c>
      <c r="L15" s="262">
        <f t="shared" si="3"/>
        <v>-0.6848964264</v>
      </c>
    </row>
    <row r="16">
      <c r="A16" s="75">
        <v>11.0</v>
      </c>
      <c r="B16" s="75" t="str">
        <f>IFERROR(__xludf.DUMMYFUNCTION("""COMPUTED_VALUE"""),"Anand Sanitaryware")</f>
        <v>Anand Sanitaryware</v>
      </c>
      <c r="C16" s="400">
        <f>IFERROR(__xludf.DUMMYFUNCTION("""COMPUTED_VALUE"""),8.3087607E7)</f>
        <v>83087607</v>
      </c>
      <c r="D16" s="400">
        <f>IFERROR(__xludf.DUMMYFUNCTION("""COMPUTED_VALUE"""),2.0)</f>
        <v>2</v>
      </c>
      <c r="E16" s="400" t="str">
        <f>IFERROR(__xludf.DUMMYFUNCTION("""COMPUTED_VALUE"""),"Pramod Kumar, Vijay Kumar")</f>
        <v>Pramod Kumar, Vijay Kumar</v>
      </c>
      <c r="F16" s="400" t="str">
        <f>IFERROR(__xludf.DUMMYFUNCTION("""COMPUTED_VALUE"""),"BIHAR")</f>
        <v>BIHAR</v>
      </c>
      <c r="G16" s="280">
        <f>IFERROR(__xludf.DUMMYFUNCTION("""COMPUTED_VALUE"""),4.15438035E7)</f>
        <v>41543803.5</v>
      </c>
      <c r="H16" s="190">
        <f>IFERROR(__xludf.DUMMYFUNCTION("""COMPUTED_VALUE"""),3461983.625)</f>
        <v>3461983.625</v>
      </c>
      <c r="I16" s="195">
        <f>IFERROR(__xludf.DUMMYFUNCTION("""COMPUTED_VALUE"""),9.4814985E7)</f>
        <v>94814985</v>
      </c>
      <c r="J16" s="195"/>
      <c r="K16" s="75">
        <f t="shared" si="2"/>
        <v>-11727378</v>
      </c>
      <c r="L16" s="262">
        <f t="shared" si="3"/>
        <v>-0.1411447317</v>
      </c>
    </row>
    <row r="17">
      <c r="A17" s="75">
        <v>12.0</v>
      </c>
      <c r="B17" s="75" t="str">
        <f>IFERROR(__xludf.DUMMYFUNCTION("""COMPUTED_VALUE"""),"Anik Traders")</f>
        <v>Anik Traders</v>
      </c>
      <c r="C17" s="400">
        <f>IFERROR(__xludf.DUMMYFUNCTION("""COMPUTED_VALUE"""),4368644.0)</f>
        <v>4368644</v>
      </c>
      <c r="D17" s="400">
        <f>IFERROR(__xludf.DUMMYFUNCTION("""COMPUTED_VALUE"""),1.0)</f>
        <v>1</v>
      </c>
      <c r="E17" s="400" t="str">
        <f>IFERROR(__xludf.DUMMYFUNCTION("""COMPUTED_VALUE"""),"Ravi (Faridabad)")</f>
        <v>Ravi (Faridabad)</v>
      </c>
      <c r="F17" s="400" t="str">
        <f>IFERROR(__xludf.DUMMYFUNCTION("""COMPUTED_VALUE"""),"Delhi NCR")</f>
        <v>Delhi NCR</v>
      </c>
      <c r="G17" s="280">
        <f>IFERROR(__xludf.DUMMYFUNCTION("""COMPUTED_VALUE"""),4368644.0)</f>
        <v>4368644</v>
      </c>
      <c r="H17" s="190">
        <f>IFERROR(__xludf.DUMMYFUNCTION("""COMPUTED_VALUE"""),364053.6666666667)</f>
        <v>364053.6667</v>
      </c>
      <c r="I17" s="195">
        <f>IFERROR(__xludf.DUMMYFUNCTION("""COMPUTED_VALUE"""),4161737.0)</f>
        <v>4161737</v>
      </c>
      <c r="J17" s="195"/>
      <c r="K17" s="75">
        <f t="shared" si="2"/>
        <v>206907</v>
      </c>
      <c r="L17" s="262">
        <f t="shared" si="3"/>
        <v>0.04736183585</v>
      </c>
    </row>
    <row r="18">
      <c r="A18" s="75">
        <v>13.0</v>
      </c>
      <c r="B18" s="75" t="str">
        <f>IFERROR(__xludf.DUMMYFUNCTION("""COMPUTED_VALUE"""),"ANISH ENTERPRISE")</f>
        <v>ANISH ENTERPRISE</v>
      </c>
      <c r="C18" s="400">
        <f>IFERROR(__xludf.DUMMYFUNCTION("""COMPUTED_VALUE"""),281552.0)</f>
        <v>281552</v>
      </c>
      <c r="D18" s="400">
        <f>IFERROR(__xludf.DUMMYFUNCTION("""COMPUTED_VALUE"""),1.0)</f>
        <v>1</v>
      </c>
      <c r="E18" s="400" t="str">
        <f>IFERROR(__xludf.DUMMYFUNCTION("""COMPUTED_VALUE"""),"Sujan Ghata")</f>
        <v>Sujan Ghata</v>
      </c>
      <c r="F18" s="400" t="str">
        <f>IFERROR(__xludf.DUMMYFUNCTION("""COMPUTED_VALUE"""),"WEST BENGAL")</f>
        <v>WEST BENGAL</v>
      </c>
      <c r="G18" s="280">
        <f>IFERROR(__xludf.DUMMYFUNCTION("""COMPUTED_VALUE"""),281552.0)</f>
        <v>281552</v>
      </c>
      <c r="H18" s="190">
        <f>IFERROR(__xludf.DUMMYFUNCTION("""COMPUTED_VALUE"""),23462.666666666668)</f>
        <v>23462.66667</v>
      </c>
      <c r="I18" s="195">
        <f>IFERROR(__xludf.DUMMYFUNCTION("""COMPUTED_VALUE"""),165616.0)</f>
        <v>165616</v>
      </c>
      <c r="J18" s="195"/>
      <c r="K18" s="75">
        <f t="shared" si="2"/>
        <v>115936</v>
      </c>
      <c r="L18" s="262">
        <f t="shared" si="3"/>
        <v>0.4117747343</v>
      </c>
    </row>
    <row r="19">
      <c r="A19" s="75">
        <v>14.0</v>
      </c>
      <c r="B19" s="75" t="str">
        <f>IFERROR(__xludf.DUMMYFUNCTION("""COMPUTED_VALUE"""),"Ankit enterprise")</f>
        <v>Ankit enterprise</v>
      </c>
      <c r="C19" s="400">
        <f>IFERROR(__xludf.DUMMYFUNCTION("""COMPUTED_VALUE"""),197927.0)</f>
        <v>197927</v>
      </c>
      <c r="D19" s="400">
        <f>IFERROR(__xludf.DUMMYFUNCTION("""COMPUTED_VALUE"""),1.0)</f>
        <v>1</v>
      </c>
      <c r="E19" s="400" t="str">
        <f>IFERROR(__xludf.DUMMYFUNCTION("""COMPUTED_VALUE"""),"Arvind Kumar")</f>
        <v>Arvind Kumar</v>
      </c>
      <c r="F19" s="400" t="str">
        <f>IFERROR(__xludf.DUMMYFUNCTION("""COMPUTED_VALUE"""),"HIMACHAL PRADESH")</f>
        <v>HIMACHAL PRADESH</v>
      </c>
      <c r="G19" s="280">
        <f>IFERROR(__xludf.DUMMYFUNCTION("""COMPUTED_VALUE"""),197927.0)</f>
        <v>197927</v>
      </c>
      <c r="H19" s="190">
        <f>IFERROR(__xludf.DUMMYFUNCTION("""COMPUTED_VALUE"""),16493.916666666668)</f>
        <v>16493.91667</v>
      </c>
      <c r="I19" s="195">
        <f>IFERROR(__xludf.DUMMYFUNCTION("""COMPUTED_VALUE"""),888252.0)</f>
        <v>888252</v>
      </c>
      <c r="J19" s="195"/>
      <c r="K19" s="75">
        <f t="shared" si="2"/>
        <v>-690325</v>
      </c>
      <c r="L19" s="262">
        <f t="shared" si="3"/>
        <v>-3.487775796</v>
      </c>
    </row>
    <row r="20">
      <c r="A20" s="75">
        <v>15.0</v>
      </c>
      <c r="B20" s="75" t="str">
        <f>IFERROR(__xludf.DUMMYFUNCTION("""COMPUTED_VALUE"""),"Aradhana Enterprises")</f>
        <v>Aradhana Enterprises</v>
      </c>
      <c r="C20" s="400">
        <f>IFERROR(__xludf.DUMMYFUNCTION("""COMPUTED_VALUE"""),2191507.0)</f>
        <v>2191507</v>
      </c>
      <c r="D20" s="400">
        <f>IFERROR(__xludf.DUMMYFUNCTION("""COMPUTED_VALUE"""),2.0)</f>
        <v>2</v>
      </c>
      <c r="E20" s="400" t="str">
        <f>IFERROR(__xludf.DUMMYFUNCTION("""COMPUTED_VALUE"""),"Roshan Srivastava, Rajan Srivastava")</f>
        <v>Roshan Srivastava, Rajan Srivastava</v>
      </c>
      <c r="F20" s="400" t="str">
        <f>IFERROR(__xludf.DUMMYFUNCTION("""COMPUTED_VALUE"""),"East U.P")</f>
        <v>East U.P</v>
      </c>
      <c r="G20" s="280">
        <f>IFERROR(__xludf.DUMMYFUNCTION("""COMPUTED_VALUE"""),1095753.5)</f>
        <v>1095753.5</v>
      </c>
      <c r="H20" s="190">
        <f>IFERROR(__xludf.DUMMYFUNCTION("""COMPUTED_VALUE"""),91312.79166666667)</f>
        <v>91312.79167</v>
      </c>
      <c r="I20" s="195">
        <f>IFERROR(__xludf.DUMMYFUNCTION("""COMPUTED_VALUE"""),2224050.0)</f>
        <v>2224050</v>
      </c>
      <c r="J20" s="195"/>
      <c r="K20" s="75">
        <f t="shared" si="2"/>
        <v>-32543</v>
      </c>
      <c r="L20" s="262">
        <f t="shared" si="3"/>
        <v>-0.01484959893</v>
      </c>
    </row>
    <row r="21">
      <c r="A21" s="75">
        <v>16.0</v>
      </c>
      <c r="B21" s="75" t="str">
        <f>IFERROR(__xludf.DUMMYFUNCTION("""COMPUTED_VALUE"""),"ARADHYA KEDIA DISTRIBUTION HOUSE PVT. LTD. (Closed)")</f>
        <v>ARADHYA KEDIA DISTRIBUTION HOUSE PVT. LTD. (Closed)</v>
      </c>
      <c r="C21" s="400">
        <f>IFERROR(__xludf.DUMMYFUNCTION("""COMPUTED_VALUE"""),2.1533704E8)</f>
        <v>215337040</v>
      </c>
      <c r="D21" s="400">
        <f>IFERROR(__xludf.DUMMYFUNCTION("""COMPUTED_VALUE"""),12.0)</f>
        <v>12</v>
      </c>
      <c r="E21" s="400" t="str">
        <f>IFERROR(__xludf.DUMMYFUNCTION("""COMPUTED_VALUE"""),"Akash Santra, Biswajit Roy, Christopher Swamy, Gonesh Dey, Rajesh Chakraborty, Roni Gupta, Sarbjit Singh Chawla, Sudip Guha Roy, Sudipta Thom, Sujit Das, Surojit Mondal, Sudip Sarkar")</f>
        <v>Akash Santra, Biswajit Roy, Christopher Swamy, Gonesh Dey, Rajesh Chakraborty, Roni Gupta, Sarbjit Singh Chawla, Sudip Guha Roy, Sudipta Thom, Sujit Das, Surojit Mondal, Sudip Sarkar</v>
      </c>
      <c r="F21" s="400" t="str">
        <f>IFERROR(__xludf.DUMMYFUNCTION("""COMPUTED_VALUE"""),"WEST BENGAL")</f>
        <v>WEST BENGAL</v>
      </c>
      <c r="G21" s="280">
        <f>IFERROR(__xludf.DUMMYFUNCTION("""COMPUTED_VALUE"""),1.7944753333333332E7)</f>
        <v>17944753.33</v>
      </c>
      <c r="H21" s="190">
        <f>IFERROR(__xludf.DUMMYFUNCTION("""COMPUTED_VALUE"""),1495396.111111111)</f>
        <v>1495396.111</v>
      </c>
      <c r="I21" s="195">
        <f>IFERROR(__xludf.DUMMYFUNCTION("""COMPUTED_VALUE"""),5.3596782E7)</f>
        <v>53596782</v>
      </c>
      <c r="J21" s="195"/>
      <c r="K21" s="75">
        <f t="shared" si="2"/>
        <v>161740258</v>
      </c>
      <c r="L21" s="262">
        <f t="shared" si="3"/>
        <v>0.75110282</v>
      </c>
    </row>
    <row r="22">
      <c r="A22" s="75">
        <v>17.0</v>
      </c>
      <c r="B22" s="75" t="str">
        <f>IFERROR(__xludf.DUMMYFUNCTION("""COMPUTED_VALUE"""),"ARIHANT TILES &amp; SANITATION")</f>
        <v>ARIHANT TILES &amp; SANITATION</v>
      </c>
      <c r="C22" s="400">
        <f>IFERROR(__xludf.DUMMYFUNCTION("""COMPUTED_VALUE"""),2796317.0)</f>
        <v>2796317</v>
      </c>
      <c r="D22" s="400">
        <f>IFERROR(__xludf.DUMMYFUNCTION("""COMPUTED_VALUE"""),7.0)</f>
        <v>7</v>
      </c>
      <c r="E22" s="400" t="str">
        <f>IFERROR(__xludf.DUMMYFUNCTION("""COMPUTED_VALUE"""),"Monmon Paul, Mrityunjoy Das, Sujan Ghata, Sushanta Barman, Vikash Kumar Paswan, Sudip Banerjee, Anirban Biswas")</f>
        <v>Monmon Paul, Mrityunjoy Das, Sujan Ghata, Sushanta Barman, Vikash Kumar Paswan, Sudip Banerjee, Anirban Biswas</v>
      </c>
      <c r="F22" s="400" t="str">
        <f>IFERROR(__xludf.DUMMYFUNCTION("""COMPUTED_VALUE"""),"WEST BENGAL")</f>
        <v>WEST BENGAL</v>
      </c>
      <c r="G22" s="280">
        <f>IFERROR(__xludf.DUMMYFUNCTION("""COMPUTED_VALUE"""),399473.85714285716)</f>
        <v>399473.8571</v>
      </c>
      <c r="H22" s="190">
        <f>IFERROR(__xludf.DUMMYFUNCTION("""COMPUTED_VALUE"""),33289.4880952381)</f>
        <v>33289.4881</v>
      </c>
      <c r="I22" s="195">
        <f>IFERROR(__xludf.DUMMYFUNCTION("""COMPUTED_VALUE"""),1.0464984E7)</f>
        <v>10464984</v>
      </c>
      <c r="J22" s="195"/>
      <c r="K22" s="75">
        <f t="shared" si="2"/>
        <v>-7668667</v>
      </c>
      <c r="L22" s="262">
        <f t="shared" si="3"/>
        <v>-2.742416901</v>
      </c>
    </row>
    <row r="23">
      <c r="A23" s="75">
        <v>18.0</v>
      </c>
      <c r="B23" s="75" t="str">
        <f>IFERROR(__xludf.DUMMYFUNCTION("""COMPUTED_VALUE"""),"Arora hardware store")</f>
        <v>Arora hardware store</v>
      </c>
      <c r="C23" s="400">
        <f>IFERROR(__xludf.DUMMYFUNCTION("""COMPUTED_VALUE"""),1037017.0)</f>
        <v>1037017</v>
      </c>
      <c r="D23" s="400">
        <f>IFERROR(__xludf.DUMMYFUNCTION("""COMPUTED_VALUE"""),1.0)</f>
        <v>1</v>
      </c>
      <c r="E23" s="400" t="str">
        <f>IFERROR(__xludf.DUMMYFUNCTION("""COMPUTED_VALUE"""),"Ashutosh Kumar (Rudrapur)")</f>
        <v>Ashutosh Kumar (Rudrapur)</v>
      </c>
      <c r="F23" s="400" t="str">
        <f>IFERROR(__xludf.DUMMYFUNCTION("""COMPUTED_VALUE"""),"UTTARAKHAND")</f>
        <v>UTTARAKHAND</v>
      </c>
      <c r="G23" s="280">
        <f>IFERROR(__xludf.DUMMYFUNCTION("""COMPUTED_VALUE"""),1037017.0)</f>
        <v>1037017</v>
      </c>
      <c r="H23" s="190">
        <f>IFERROR(__xludf.DUMMYFUNCTION("""COMPUTED_VALUE"""),86418.08333333333)</f>
        <v>86418.08333</v>
      </c>
      <c r="I23" s="195">
        <f>IFERROR(__xludf.DUMMYFUNCTION("""COMPUTED_VALUE"""),184950.0)</f>
        <v>184950</v>
      </c>
      <c r="J23" s="195"/>
      <c r="K23" s="75">
        <f t="shared" si="2"/>
        <v>852067</v>
      </c>
      <c r="L23" s="262">
        <f t="shared" si="3"/>
        <v>0.8216519112</v>
      </c>
    </row>
    <row r="24">
      <c r="A24" s="75">
        <v>19.0</v>
      </c>
      <c r="B24" s="75" t="str">
        <f>IFERROR(__xludf.DUMMYFUNCTION("""COMPUTED_VALUE"""),"Asheema Trading Co.")</f>
        <v>Asheema Trading Co.</v>
      </c>
      <c r="C24" s="400">
        <f>IFERROR(__xludf.DUMMYFUNCTION("""COMPUTED_VALUE"""),8112650.0)</f>
        <v>8112650</v>
      </c>
      <c r="D24" s="400">
        <f>IFERROR(__xludf.DUMMYFUNCTION("""COMPUTED_VALUE"""),2.0)</f>
        <v>2</v>
      </c>
      <c r="E24" s="400" t="str">
        <f>IFERROR(__xludf.DUMMYFUNCTION("""COMPUTED_VALUE"""),"Siddharth Srivastava, Vishal Dheer")</f>
        <v>Siddharth Srivastava, Vishal Dheer</v>
      </c>
      <c r="F24" s="400" t="str">
        <f>IFERROR(__xludf.DUMMYFUNCTION("""COMPUTED_VALUE"""),"East U.P")</f>
        <v>East U.P</v>
      </c>
      <c r="G24" s="280">
        <f>IFERROR(__xludf.DUMMYFUNCTION("""COMPUTED_VALUE"""),4056325.0)</f>
        <v>4056325</v>
      </c>
      <c r="H24" s="190">
        <f>IFERROR(__xludf.DUMMYFUNCTION("""COMPUTED_VALUE"""),338027.0833333333)</f>
        <v>338027.0833</v>
      </c>
      <c r="I24" s="195">
        <f>IFERROR(__xludf.DUMMYFUNCTION("""COMPUTED_VALUE"""),4458418.0)</f>
        <v>4458418</v>
      </c>
      <c r="J24" s="195"/>
      <c r="K24" s="75">
        <f t="shared" si="2"/>
        <v>3654232</v>
      </c>
      <c r="L24" s="262">
        <f t="shared" si="3"/>
        <v>0.4504362939</v>
      </c>
    </row>
    <row r="25">
      <c r="A25" s="75">
        <v>20.0</v>
      </c>
      <c r="B25" s="75" t="str">
        <f>IFERROR(__xludf.DUMMYFUNCTION("""COMPUTED_VALUE"""),"ASHISH BATH GALAXY")</f>
        <v>ASHISH BATH GALAXY</v>
      </c>
      <c r="C25" s="400">
        <f>IFERROR(__xludf.DUMMYFUNCTION("""COMPUTED_VALUE"""),250417.0)</f>
        <v>250417</v>
      </c>
      <c r="D25" s="400">
        <f>IFERROR(__xludf.DUMMYFUNCTION("""COMPUTED_VALUE"""),2.0)</f>
        <v>2</v>
      </c>
      <c r="E25" s="400" t="str">
        <f>IFERROR(__xludf.DUMMYFUNCTION("""COMPUTED_VALUE"""),"Sudip Guha Roy, Sujit Das")</f>
        <v>Sudip Guha Roy, Sujit Das</v>
      </c>
      <c r="F25" s="400" t="str">
        <f>IFERROR(__xludf.DUMMYFUNCTION("""COMPUTED_VALUE"""),"WEST BENGAL")</f>
        <v>WEST BENGAL</v>
      </c>
      <c r="G25" s="280">
        <f>IFERROR(__xludf.DUMMYFUNCTION("""COMPUTED_VALUE"""),125208.5)</f>
        <v>125208.5</v>
      </c>
      <c r="H25" s="190">
        <f>IFERROR(__xludf.DUMMYFUNCTION("""COMPUTED_VALUE"""),10434.041666666666)</f>
        <v>10434.04167</v>
      </c>
      <c r="I25" s="195">
        <f>IFERROR(__xludf.DUMMYFUNCTION("""COMPUTED_VALUE"""),3.4187182E7)</f>
        <v>34187182</v>
      </c>
      <c r="J25" s="195"/>
      <c r="K25" s="75">
        <f t="shared" si="2"/>
        <v>-33936765</v>
      </c>
      <c r="L25" s="262">
        <f t="shared" si="3"/>
        <v>-135.521011</v>
      </c>
    </row>
    <row r="26">
      <c r="A26" s="75">
        <v>21.0</v>
      </c>
      <c r="B26" s="75" t="str">
        <f>IFERROR(__xludf.DUMMYFUNCTION("""COMPUTED_VALUE"""),"Ashu sales corporation")</f>
        <v>Ashu sales corporation</v>
      </c>
      <c r="C26" s="400">
        <f>IFERROR(__xludf.DUMMYFUNCTION("""COMPUTED_VALUE"""),234193.0)</f>
        <v>234193</v>
      </c>
      <c r="D26" s="400">
        <f>IFERROR(__xludf.DUMMYFUNCTION("""COMPUTED_VALUE"""),2.0)</f>
        <v>2</v>
      </c>
      <c r="E26" s="400" t="str">
        <f>IFERROR(__xludf.DUMMYFUNCTION("""COMPUTED_VALUE"""),"prashant Singh Chauhan, Vikas Kumar (Bareilly)")</f>
        <v>prashant Singh Chauhan, Vikas Kumar (Bareilly)</v>
      </c>
      <c r="F26" s="400" t="str">
        <f>IFERROR(__xludf.DUMMYFUNCTION("""COMPUTED_VALUE"""),"East U.P")</f>
        <v>East U.P</v>
      </c>
      <c r="G26" s="280">
        <f>IFERROR(__xludf.DUMMYFUNCTION("""COMPUTED_VALUE"""),117096.5)</f>
        <v>117096.5</v>
      </c>
      <c r="H26" s="190">
        <f>IFERROR(__xludf.DUMMYFUNCTION("""COMPUTED_VALUE"""),9758.041666666666)</f>
        <v>9758.041667</v>
      </c>
      <c r="I26" s="195">
        <f>IFERROR(__xludf.DUMMYFUNCTION("""COMPUTED_VALUE"""),226632.0)</f>
        <v>226632</v>
      </c>
      <c r="J26" s="195"/>
      <c r="K26" s="75">
        <f t="shared" si="2"/>
        <v>7561</v>
      </c>
      <c r="L26" s="262">
        <f t="shared" si="3"/>
        <v>0.03228533731</v>
      </c>
    </row>
    <row r="27">
      <c r="A27" s="75">
        <v>22.0</v>
      </c>
      <c r="B27" s="75" t="str">
        <f>IFERROR(__xludf.DUMMYFUNCTION("""COMPUTED_VALUE"""),"Avanti sales and agencies")</f>
        <v>Avanti sales and agencies</v>
      </c>
      <c r="C27" s="400">
        <f>IFERROR(__xludf.DUMMYFUNCTION("""COMPUTED_VALUE"""),1.0588063E7)</f>
        <v>10588063</v>
      </c>
      <c r="D27" s="400">
        <f>IFERROR(__xludf.DUMMYFUNCTION("""COMPUTED_VALUE"""),1.0)</f>
        <v>1</v>
      </c>
      <c r="E27" s="400" t="str">
        <f>IFERROR(__xludf.DUMMYFUNCTION("""COMPUTED_VALUE"""),"Rinku")</f>
        <v>Rinku</v>
      </c>
      <c r="F27" s="400" t="str">
        <f>IFERROR(__xludf.DUMMYFUNCTION("""COMPUTED_VALUE"""),"West U.P")</f>
        <v>West U.P</v>
      </c>
      <c r="G27" s="280">
        <f>IFERROR(__xludf.DUMMYFUNCTION("""COMPUTED_VALUE"""),1.0588063E7)</f>
        <v>10588063</v>
      </c>
      <c r="H27" s="190">
        <f>IFERROR(__xludf.DUMMYFUNCTION("""COMPUTED_VALUE"""),882338.5833333334)</f>
        <v>882338.5833</v>
      </c>
      <c r="I27" s="195">
        <f>IFERROR(__xludf.DUMMYFUNCTION("""COMPUTED_VALUE"""),8994899.0)</f>
        <v>8994899</v>
      </c>
      <c r="J27" s="195"/>
      <c r="K27" s="75">
        <f t="shared" si="2"/>
        <v>1593164</v>
      </c>
      <c r="L27" s="262">
        <f t="shared" si="3"/>
        <v>0.1504679373</v>
      </c>
    </row>
    <row r="28">
      <c r="A28" s="75">
        <v>23.0</v>
      </c>
      <c r="B28" s="75" t="str">
        <f>IFERROR(__xludf.DUMMYFUNCTION("""COMPUTED_VALUE"""),"Avirasico International")</f>
        <v>Avirasico International</v>
      </c>
      <c r="C28" s="400">
        <f>IFERROR(__xludf.DUMMYFUNCTION("""COMPUTED_VALUE"""),1.67976175E8)</f>
        <v>167976175</v>
      </c>
      <c r="D28" s="400">
        <f>IFERROR(__xludf.DUMMYFUNCTION("""COMPUTED_VALUE"""),9.0)</f>
        <v>9</v>
      </c>
      <c r="E28" s="400" t="str">
        <f>IFERROR(__xludf.DUMMYFUNCTION("""COMPUTED_VALUE"""),"Debasish Adhikary, Monmon Paul, Mrityunjoy Das, Sujan Ghata, Sushanta Barman, Suven Sengupta, Vikash Kumar Paswan, Sudip Banerjee, Anirban Biswas")</f>
        <v>Debasish Adhikary, Monmon Paul, Mrityunjoy Das, Sujan Ghata, Sushanta Barman, Suven Sengupta, Vikash Kumar Paswan, Sudip Banerjee, Anirban Biswas</v>
      </c>
      <c r="F28" s="400" t="str">
        <f>IFERROR(__xludf.DUMMYFUNCTION("""COMPUTED_VALUE"""),"WEST BENGAL")</f>
        <v>WEST BENGAL</v>
      </c>
      <c r="G28" s="280">
        <f>IFERROR(__xludf.DUMMYFUNCTION("""COMPUTED_VALUE"""),1.8664019444444444E7)</f>
        <v>18664019.44</v>
      </c>
      <c r="H28" s="190">
        <f>IFERROR(__xludf.DUMMYFUNCTION("""COMPUTED_VALUE"""),1555334.9537037036)</f>
        <v>1555334.954</v>
      </c>
      <c r="I28" s="195">
        <f>IFERROR(__xludf.DUMMYFUNCTION("""COMPUTED_VALUE"""),1.5857802E8)</f>
        <v>158578020</v>
      </c>
      <c r="J28" s="195"/>
      <c r="K28" s="75">
        <f t="shared" si="2"/>
        <v>9398155</v>
      </c>
      <c r="L28" s="262">
        <f t="shared" si="3"/>
        <v>0.05594933329</v>
      </c>
    </row>
    <row r="29">
      <c r="A29" s="75">
        <v>24.0</v>
      </c>
      <c r="B29" s="75" t="str">
        <f>IFERROR(__xludf.DUMMYFUNCTION("""COMPUTED_VALUE"""),"AYAN ENTERPRISE")</f>
        <v>AYAN ENTERPRISE</v>
      </c>
      <c r="C29" s="400">
        <f>IFERROR(__xludf.DUMMYFUNCTION("""COMPUTED_VALUE"""),17561.0)</f>
        <v>17561</v>
      </c>
      <c r="D29" s="400">
        <f>IFERROR(__xludf.DUMMYFUNCTION("""COMPUTED_VALUE"""),1.0)</f>
        <v>1</v>
      </c>
      <c r="E29" s="400" t="str">
        <f>IFERROR(__xludf.DUMMYFUNCTION("""COMPUTED_VALUE"""),"Debasish Adhikary")</f>
        <v>Debasish Adhikary</v>
      </c>
      <c r="F29" s="400" t="str">
        <f>IFERROR(__xludf.DUMMYFUNCTION("""COMPUTED_VALUE"""),"WEST BENGAL")</f>
        <v>WEST BENGAL</v>
      </c>
      <c r="G29" s="280">
        <f>IFERROR(__xludf.DUMMYFUNCTION("""COMPUTED_VALUE"""),17561.0)</f>
        <v>17561</v>
      </c>
      <c r="H29" s="190">
        <f>IFERROR(__xludf.DUMMYFUNCTION("""COMPUTED_VALUE"""),1463.4166666666667)</f>
        <v>1463.416667</v>
      </c>
      <c r="I29" s="195">
        <f>IFERROR(__xludf.DUMMYFUNCTION("""COMPUTED_VALUE"""),1560856.0)</f>
        <v>1560856</v>
      </c>
      <c r="J29" s="195"/>
      <c r="K29" s="75">
        <f t="shared" si="2"/>
        <v>-1543295</v>
      </c>
      <c r="L29" s="262">
        <f t="shared" si="3"/>
        <v>-87.88195433</v>
      </c>
    </row>
    <row r="30">
      <c r="A30" s="75">
        <v>25.0</v>
      </c>
      <c r="B30" s="75" t="str">
        <f>IFERROR(__xludf.DUMMYFUNCTION("""COMPUTED_VALUE"""),"B S Enterprises")</f>
        <v>B S Enterprises</v>
      </c>
      <c r="C30" s="400">
        <f>IFERROR(__xludf.DUMMYFUNCTION("""COMPUTED_VALUE"""),4892846.0)</f>
        <v>4892846</v>
      </c>
      <c r="D30" s="400">
        <f>IFERROR(__xludf.DUMMYFUNCTION("""COMPUTED_VALUE"""),1.0)</f>
        <v>1</v>
      </c>
      <c r="E30" s="400" t="str">
        <f>IFERROR(__xludf.DUMMYFUNCTION("""COMPUTED_VALUE"""),"Rajan Srivastava")</f>
        <v>Rajan Srivastava</v>
      </c>
      <c r="F30" s="400" t="str">
        <f>IFERROR(__xludf.DUMMYFUNCTION("""COMPUTED_VALUE"""),"East U.P")</f>
        <v>East U.P</v>
      </c>
      <c r="G30" s="280">
        <f>IFERROR(__xludf.DUMMYFUNCTION("""COMPUTED_VALUE"""),4892846.0)</f>
        <v>4892846</v>
      </c>
      <c r="H30" s="190">
        <f>IFERROR(__xludf.DUMMYFUNCTION("""COMPUTED_VALUE"""),407737.1666666667)</f>
        <v>407737.1667</v>
      </c>
      <c r="I30" s="195">
        <f>IFERROR(__xludf.DUMMYFUNCTION("""COMPUTED_VALUE"""),4690240.0)</f>
        <v>4690240</v>
      </c>
      <c r="J30" s="195"/>
      <c r="K30" s="75">
        <f t="shared" si="2"/>
        <v>202606</v>
      </c>
      <c r="L30" s="262">
        <f t="shared" si="3"/>
        <v>0.04140861985</v>
      </c>
    </row>
    <row r="31">
      <c r="A31" s="75">
        <v>26.0</v>
      </c>
      <c r="B31" s="75" t="str">
        <f>IFERROR(__xludf.DUMMYFUNCTION("""COMPUTED_VALUE"""),"B.R. Associate")</f>
        <v>B.R. Associate</v>
      </c>
      <c r="C31" s="400">
        <f>IFERROR(__xludf.DUMMYFUNCTION("""COMPUTED_VALUE"""),6961370.0)</f>
        <v>6961370</v>
      </c>
      <c r="D31" s="400">
        <f>IFERROR(__xludf.DUMMYFUNCTION("""COMPUTED_VALUE"""),2.0)</f>
        <v>2</v>
      </c>
      <c r="E31" s="400" t="str">
        <f>IFERROR(__xludf.DUMMYFUNCTION("""COMPUTED_VALUE"""),"Akash kumar gulhare, Pradeep Rajak")</f>
        <v>Akash kumar gulhare, Pradeep Rajak</v>
      </c>
      <c r="F31" s="400" t="str">
        <f>IFERROR(__xludf.DUMMYFUNCTION("""COMPUTED_VALUE"""),"CHATTISGARH")</f>
        <v>CHATTISGARH</v>
      </c>
      <c r="G31" s="280">
        <f>IFERROR(__xludf.DUMMYFUNCTION("""COMPUTED_VALUE"""),3480685.0)</f>
        <v>3480685</v>
      </c>
      <c r="H31" s="190">
        <f>IFERROR(__xludf.DUMMYFUNCTION("""COMPUTED_VALUE"""),290057.0833333333)</f>
        <v>290057.0833</v>
      </c>
      <c r="I31" s="195">
        <f>IFERROR(__xludf.DUMMYFUNCTION("""COMPUTED_VALUE"""),7709321.0)</f>
        <v>7709321</v>
      </c>
      <c r="J31" s="195"/>
      <c r="K31" s="75">
        <f t="shared" si="2"/>
        <v>-747951</v>
      </c>
      <c r="L31" s="262">
        <f t="shared" si="3"/>
        <v>-0.1074430751</v>
      </c>
    </row>
    <row r="32">
      <c r="A32" s="75">
        <v>27.0</v>
      </c>
      <c r="B32" s="75" t="str">
        <f>IFERROR(__xludf.DUMMYFUNCTION("""COMPUTED_VALUE"""),"Baba Enterprises")</f>
        <v>Baba Enterprises</v>
      </c>
      <c r="C32" s="400">
        <f>IFERROR(__xludf.DUMMYFUNCTION("""COMPUTED_VALUE"""),1.7398744E7)</f>
        <v>17398744</v>
      </c>
      <c r="D32" s="400">
        <f>IFERROR(__xludf.DUMMYFUNCTION("""COMPUTED_VALUE"""),1.0)</f>
        <v>1</v>
      </c>
      <c r="E32" s="400" t="str">
        <f>IFERROR(__xludf.DUMMYFUNCTION("""COMPUTED_VALUE"""),"Ashutosh Kumar")</f>
        <v>Ashutosh Kumar</v>
      </c>
      <c r="F32" s="400" t="str">
        <f>IFERROR(__xludf.DUMMYFUNCTION("""COMPUTED_VALUE"""),"JHARKHAND")</f>
        <v>JHARKHAND</v>
      </c>
      <c r="G32" s="280">
        <f>IFERROR(__xludf.DUMMYFUNCTION("""COMPUTED_VALUE"""),1.7398744E7)</f>
        <v>17398744</v>
      </c>
      <c r="H32" s="190">
        <f>IFERROR(__xludf.DUMMYFUNCTION("""COMPUTED_VALUE"""),1449895.3333333333)</f>
        <v>1449895.333</v>
      </c>
      <c r="I32" s="195">
        <f>IFERROR(__xludf.DUMMYFUNCTION("""COMPUTED_VALUE"""),2.9805293E7)</f>
        <v>29805293</v>
      </c>
      <c r="J32" s="195"/>
      <c r="K32" s="75">
        <f t="shared" si="2"/>
        <v>-12406549</v>
      </c>
      <c r="L32" s="262">
        <f t="shared" si="3"/>
        <v>-0.7130715298</v>
      </c>
    </row>
    <row r="33">
      <c r="A33" s="75">
        <v>28.0</v>
      </c>
      <c r="B33" s="75" t="str">
        <f>IFERROR(__xludf.DUMMYFUNCTION("""COMPUTED_VALUE"""),"Bajrang Home Innovations")</f>
        <v>Bajrang Home Innovations</v>
      </c>
      <c r="C33" s="400">
        <f>IFERROR(__xludf.DUMMYFUNCTION("""COMPUTED_VALUE"""),1.3733298E7)</f>
        <v>13733298</v>
      </c>
      <c r="D33" s="400">
        <f>IFERROR(__xludf.DUMMYFUNCTION("""COMPUTED_VALUE"""),2.0)</f>
        <v>2</v>
      </c>
      <c r="E33" s="400" t="str">
        <f>IFERROR(__xludf.DUMMYFUNCTION("""COMPUTED_VALUE"""),"Dasari Adiseshu, Jithender Reddy Katukuri")</f>
        <v>Dasari Adiseshu, Jithender Reddy Katukuri</v>
      </c>
      <c r="F33" s="400" t="str">
        <f>IFERROR(__xludf.DUMMYFUNCTION("""COMPUTED_VALUE"""),"TELANGANA")</f>
        <v>TELANGANA</v>
      </c>
      <c r="G33" s="280">
        <f>IFERROR(__xludf.DUMMYFUNCTION("""COMPUTED_VALUE"""),6866649.0)</f>
        <v>6866649</v>
      </c>
      <c r="H33" s="190">
        <f>IFERROR(__xludf.DUMMYFUNCTION("""COMPUTED_VALUE"""),572220.75)</f>
        <v>572220.75</v>
      </c>
      <c r="I33" s="195">
        <f>IFERROR(__xludf.DUMMYFUNCTION("""COMPUTED_VALUE"""),2.0710844E7)</f>
        <v>20710844</v>
      </c>
      <c r="J33" s="195"/>
      <c r="K33" s="75">
        <f t="shared" si="2"/>
        <v>-6977546</v>
      </c>
      <c r="L33" s="262">
        <f t="shared" si="3"/>
        <v>-0.508075045</v>
      </c>
    </row>
    <row r="34">
      <c r="A34" s="75">
        <v>29.0</v>
      </c>
      <c r="B34" s="75" t="str">
        <f>IFERROR(__xludf.DUMMYFUNCTION("""COMPUTED_VALUE"""),"Balaji Enterprises")</f>
        <v>Balaji Enterprises</v>
      </c>
      <c r="C34" s="400">
        <f>IFERROR(__xludf.DUMMYFUNCTION("""COMPUTED_VALUE"""),249956.0)</f>
        <v>249956</v>
      </c>
      <c r="D34" s="400">
        <f>IFERROR(__xludf.DUMMYFUNCTION("""COMPUTED_VALUE"""),1.0)</f>
        <v>1</v>
      </c>
      <c r="E34" s="400" t="str">
        <f>IFERROR(__xludf.DUMMYFUNCTION("""COMPUTED_VALUE"""),"Vikash Gour")</f>
        <v>Vikash Gour</v>
      </c>
      <c r="F34" s="400" t="str">
        <f>IFERROR(__xludf.DUMMYFUNCTION("""COMPUTED_VALUE"""),"RAJASTHAN")</f>
        <v>RAJASTHAN</v>
      </c>
      <c r="G34" s="280">
        <f>IFERROR(__xludf.DUMMYFUNCTION("""COMPUTED_VALUE"""),249956.0)</f>
        <v>249956</v>
      </c>
      <c r="H34" s="190">
        <f>IFERROR(__xludf.DUMMYFUNCTION("""COMPUTED_VALUE"""),20829.666666666668)</f>
        <v>20829.66667</v>
      </c>
      <c r="I34" s="195">
        <f>IFERROR(__xludf.DUMMYFUNCTION("""COMPUTED_VALUE"""),1531583.0)</f>
        <v>1531583</v>
      </c>
      <c r="J34" s="195"/>
      <c r="K34" s="75">
        <f t="shared" si="2"/>
        <v>-1281627</v>
      </c>
      <c r="L34" s="262">
        <f t="shared" si="3"/>
        <v>-5.127410424</v>
      </c>
    </row>
    <row r="35">
      <c r="A35" s="75">
        <v>30.0</v>
      </c>
      <c r="B35" s="75" t="str">
        <f>IFERROR(__xludf.DUMMYFUNCTION("""COMPUTED_VALUE"""),"Basuki Comotrade Pvt Ltd")</f>
        <v>Basuki Comotrade Pvt Ltd</v>
      </c>
      <c r="C35" s="400">
        <f>IFERROR(__xludf.DUMMYFUNCTION("""COMPUTED_VALUE"""),3.1816176E7)</f>
        <v>31816176</v>
      </c>
      <c r="D35" s="400">
        <f>IFERROR(__xludf.DUMMYFUNCTION("""COMPUTED_VALUE"""),1.0)</f>
        <v>1</v>
      </c>
      <c r="E35" s="400" t="str">
        <f>IFERROR(__xludf.DUMMYFUNCTION("""COMPUTED_VALUE"""),"SHYAM KUMAR MISHRA")</f>
        <v>SHYAM KUMAR MISHRA</v>
      </c>
      <c r="F35" s="400" t="str">
        <f>IFERROR(__xludf.DUMMYFUNCTION("""COMPUTED_VALUE"""),"JHARKHAND")</f>
        <v>JHARKHAND</v>
      </c>
      <c r="G35" s="280">
        <f>IFERROR(__xludf.DUMMYFUNCTION("""COMPUTED_VALUE"""),3.1816176E7)</f>
        <v>31816176</v>
      </c>
      <c r="H35" s="190">
        <f>IFERROR(__xludf.DUMMYFUNCTION("""COMPUTED_VALUE"""),2651348.0)</f>
        <v>2651348</v>
      </c>
      <c r="I35" s="195">
        <f>IFERROR(__xludf.DUMMYFUNCTION("""COMPUTED_VALUE"""),3.5301275E7)</f>
        <v>35301275</v>
      </c>
      <c r="J35" s="195"/>
      <c r="K35" s="75">
        <f t="shared" si="2"/>
        <v>-3485099</v>
      </c>
      <c r="L35" s="262">
        <f t="shared" si="3"/>
        <v>-0.1095385882</v>
      </c>
    </row>
    <row r="36">
      <c r="A36" s="75">
        <v>31.0</v>
      </c>
      <c r="B36" s="75" t="str">
        <f>IFERROR(__xludf.DUMMYFUNCTION("""COMPUTED_VALUE"""),"Batra Enterprises")</f>
        <v>Batra Enterprises</v>
      </c>
      <c r="C36" s="400">
        <f>IFERROR(__xludf.DUMMYFUNCTION("""COMPUTED_VALUE"""),212905.0)</f>
        <v>212905</v>
      </c>
      <c r="D36" s="400">
        <f>IFERROR(__xludf.DUMMYFUNCTION("""COMPUTED_VALUE"""),1.0)</f>
        <v>1</v>
      </c>
      <c r="E36" s="400" t="str">
        <f>IFERROR(__xludf.DUMMYFUNCTION("""COMPUTED_VALUE"""),"Prashant Kumar")</f>
        <v>Prashant Kumar</v>
      </c>
      <c r="F36" s="400" t="str">
        <f>IFERROR(__xludf.DUMMYFUNCTION("""COMPUTED_VALUE"""),"West U.P")</f>
        <v>West U.P</v>
      </c>
      <c r="G36" s="280">
        <f>IFERROR(__xludf.DUMMYFUNCTION("""COMPUTED_VALUE"""),212905.0)</f>
        <v>212905</v>
      </c>
      <c r="H36" s="190">
        <f>IFERROR(__xludf.DUMMYFUNCTION("""COMPUTED_VALUE"""),17742.083333333332)</f>
        <v>17742.08333</v>
      </c>
      <c r="I36" s="195">
        <f>IFERROR(__xludf.DUMMYFUNCTION("""COMPUTED_VALUE"""),0.0)</f>
        <v>0</v>
      </c>
      <c r="J36" s="195" t="str">
        <f>IFERROR(__xludf.DUMMYFUNCTION("""COMPUTED_VALUE"""),"OLD STOCK")</f>
        <v>OLD STOCK</v>
      </c>
      <c r="K36" s="75">
        <f t="shared" si="2"/>
        <v>212905</v>
      </c>
      <c r="L36" s="262">
        <f t="shared" si="3"/>
        <v>1</v>
      </c>
    </row>
    <row r="37">
      <c r="A37" s="75">
        <v>32.0</v>
      </c>
      <c r="B37" s="75" t="str">
        <f>IFERROR(__xludf.DUMMYFUNCTION("""COMPUTED_VALUE"""),"Beharilall Madanlall")</f>
        <v>Beharilall Madanlall</v>
      </c>
      <c r="C37" s="400">
        <f>IFERROR(__xludf.DUMMYFUNCTION("""COMPUTED_VALUE"""),8333.0)</f>
        <v>8333</v>
      </c>
      <c r="D37" s="400">
        <f>IFERROR(__xludf.DUMMYFUNCTION("""COMPUTED_VALUE"""),1.0)</f>
        <v>1</v>
      </c>
      <c r="E37" s="400" t="str">
        <f>IFERROR(__xludf.DUMMYFUNCTION("""COMPUTED_VALUE"""),"Malay Paul")</f>
        <v>Malay Paul</v>
      </c>
      <c r="F37" s="400" t="str">
        <f>IFERROR(__xludf.DUMMYFUNCTION("""COMPUTED_VALUE"""),"WEST BENGAL")</f>
        <v>WEST BENGAL</v>
      </c>
      <c r="G37" s="280">
        <f>IFERROR(__xludf.DUMMYFUNCTION("""COMPUTED_VALUE"""),8333.0)</f>
        <v>8333</v>
      </c>
      <c r="H37" s="190">
        <f>IFERROR(__xludf.DUMMYFUNCTION("""COMPUTED_VALUE"""),694.4166666666666)</f>
        <v>694.4166667</v>
      </c>
      <c r="I37" s="195">
        <f>IFERROR(__xludf.DUMMYFUNCTION("""COMPUTED_VALUE"""),1709375.0)</f>
        <v>1709375</v>
      </c>
      <c r="J37" s="195"/>
      <c r="K37" s="75">
        <f t="shared" si="2"/>
        <v>-1701042</v>
      </c>
      <c r="L37" s="262">
        <f t="shared" si="3"/>
        <v>-204.1332053</v>
      </c>
    </row>
    <row r="38">
      <c r="A38" s="75">
        <v>33.0</v>
      </c>
      <c r="B38" s="75" t="str">
        <f>IFERROR(__xludf.DUMMYFUNCTION("""COMPUTED_VALUE"""),"Bhagwati Enterprise")</f>
        <v>Bhagwati Enterprise</v>
      </c>
      <c r="C38" s="400">
        <f>IFERROR(__xludf.DUMMYFUNCTION("""COMPUTED_VALUE"""),122055.0)</f>
        <v>122055</v>
      </c>
      <c r="D38" s="400">
        <f>IFERROR(__xludf.DUMMYFUNCTION("""COMPUTED_VALUE"""),2.0)</f>
        <v>2</v>
      </c>
      <c r="E38" s="400" t="str">
        <f>IFERROR(__xludf.DUMMYFUNCTION("""COMPUTED_VALUE"""),"Arif Khan, Durgesh Kumar Jangid")</f>
        <v>Arif Khan, Durgesh Kumar Jangid</v>
      </c>
      <c r="F38" s="400" t="str">
        <f>IFERROR(__xludf.DUMMYFUNCTION("""COMPUTED_VALUE"""),"RAJASTHAN")</f>
        <v>RAJASTHAN</v>
      </c>
      <c r="G38" s="280">
        <f>IFERROR(__xludf.DUMMYFUNCTION("""COMPUTED_VALUE"""),61027.5)</f>
        <v>61027.5</v>
      </c>
      <c r="H38" s="190">
        <f>IFERROR(__xludf.DUMMYFUNCTION("""COMPUTED_VALUE"""),5085.625)</f>
        <v>5085.625</v>
      </c>
      <c r="I38" s="195">
        <f>IFERROR(__xludf.DUMMYFUNCTION("""COMPUTED_VALUE"""),0.0)</f>
        <v>0</v>
      </c>
      <c r="J38" s="195"/>
      <c r="K38" s="75">
        <f t="shared" si="2"/>
        <v>122055</v>
      </c>
      <c r="L38" s="262">
        <f t="shared" si="3"/>
        <v>1</v>
      </c>
    </row>
    <row r="39">
      <c r="A39" s="75">
        <v>34.0</v>
      </c>
      <c r="B39" s="75" t="str">
        <f>IFERROR(__xludf.DUMMYFUNCTION("""COMPUTED_VALUE"""),"Bir gita enterprises")</f>
        <v>Bir gita enterprises</v>
      </c>
      <c r="C39" s="400">
        <f>IFERROR(__xludf.DUMMYFUNCTION("""COMPUTED_VALUE"""),217852.0)</f>
        <v>217852</v>
      </c>
      <c r="D39" s="400">
        <f>IFERROR(__xludf.DUMMYFUNCTION("""COMPUTED_VALUE"""),1.0)</f>
        <v>1</v>
      </c>
      <c r="E39" s="400" t="str">
        <f>IFERROR(__xludf.DUMMYFUNCTION("""COMPUTED_VALUE"""),"Gaurav Kumar")</f>
        <v>Gaurav Kumar</v>
      </c>
      <c r="F39" s="400" t="str">
        <f>IFERROR(__xludf.DUMMYFUNCTION("""COMPUTED_VALUE"""),"BIHAR")</f>
        <v>BIHAR</v>
      </c>
      <c r="G39" s="280">
        <f>IFERROR(__xludf.DUMMYFUNCTION("""COMPUTED_VALUE"""),217852.0)</f>
        <v>217852</v>
      </c>
      <c r="H39" s="190">
        <f>IFERROR(__xludf.DUMMYFUNCTION("""COMPUTED_VALUE"""),18154.333333333332)</f>
        <v>18154.33333</v>
      </c>
      <c r="I39" s="195">
        <f>IFERROR(__xludf.DUMMYFUNCTION("""COMPUTED_VALUE"""),0.0)</f>
        <v>0</v>
      </c>
      <c r="J39" s="195"/>
      <c r="K39" s="75">
        <f t="shared" si="2"/>
        <v>217852</v>
      </c>
      <c r="L39" s="262">
        <f t="shared" si="3"/>
        <v>1</v>
      </c>
    </row>
    <row r="40">
      <c r="A40" s="75">
        <v>35.0</v>
      </c>
      <c r="B40" s="75" t="str">
        <f>IFERROR(__xludf.DUMMYFUNCTION("""COMPUTED_VALUE"""),"Brothers Hardware")</f>
        <v>Brothers Hardware</v>
      </c>
      <c r="C40" s="400">
        <f>IFERROR(__xludf.DUMMYFUNCTION("""COMPUTED_VALUE"""),44969.0)</f>
        <v>44969</v>
      </c>
      <c r="D40" s="400">
        <f>IFERROR(__xludf.DUMMYFUNCTION("""COMPUTED_VALUE"""),1.0)</f>
        <v>1</v>
      </c>
      <c r="E40" s="400" t="str">
        <f>IFERROR(__xludf.DUMMYFUNCTION("""COMPUTED_VALUE"""),"Malay Paul")</f>
        <v>Malay Paul</v>
      </c>
      <c r="F40" s="400" t="str">
        <f>IFERROR(__xludf.DUMMYFUNCTION("""COMPUTED_VALUE"""),"WEST BENGAL")</f>
        <v>WEST BENGAL</v>
      </c>
      <c r="G40" s="280">
        <f>IFERROR(__xludf.DUMMYFUNCTION("""COMPUTED_VALUE"""),44969.0)</f>
        <v>44969</v>
      </c>
      <c r="H40" s="190">
        <f>IFERROR(__xludf.DUMMYFUNCTION("""COMPUTED_VALUE"""),3747.4166666666665)</f>
        <v>3747.416667</v>
      </c>
      <c r="I40" s="195">
        <f>IFERROR(__xludf.DUMMYFUNCTION("""COMPUTED_VALUE"""),0.0)</f>
        <v>0</v>
      </c>
      <c r="J40" s="195"/>
      <c r="K40" s="75">
        <f t="shared" si="2"/>
        <v>44969</v>
      </c>
      <c r="L40" s="262">
        <f t="shared" si="3"/>
        <v>1</v>
      </c>
    </row>
    <row r="41">
      <c r="A41" s="75">
        <v>36.0</v>
      </c>
      <c r="B41" s="75" t="str">
        <f>IFERROR(__xludf.DUMMYFUNCTION("""COMPUTED_VALUE"""),"C K Trading Company")</f>
        <v>C K Trading Company</v>
      </c>
      <c r="C41" s="400">
        <f>IFERROR(__xludf.DUMMYFUNCTION("""COMPUTED_VALUE"""),1224093.0)</f>
        <v>1224093</v>
      </c>
      <c r="D41" s="400">
        <f>IFERROR(__xludf.DUMMYFUNCTION("""COMPUTED_VALUE"""),1.0)</f>
        <v>1</v>
      </c>
      <c r="E41" s="400" t="str">
        <f>IFERROR(__xludf.DUMMYFUNCTION("""COMPUTED_VALUE"""),"Siddharth Shanker Singh")</f>
        <v>Siddharth Shanker Singh</v>
      </c>
      <c r="F41" s="400" t="str">
        <f>IFERROR(__xludf.DUMMYFUNCTION("""COMPUTED_VALUE"""),"East U.P")</f>
        <v>East U.P</v>
      </c>
      <c r="G41" s="280">
        <f>IFERROR(__xludf.DUMMYFUNCTION("""COMPUTED_VALUE"""),1224093.0)</f>
        <v>1224093</v>
      </c>
      <c r="H41" s="190">
        <f>IFERROR(__xludf.DUMMYFUNCTION("""COMPUTED_VALUE"""),102007.75)</f>
        <v>102007.75</v>
      </c>
      <c r="I41" s="195">
        <f>IFERROR(__xludf.DUMMYFUNCTION("""COMPUTED_VALUE"""),6331650.0)</f>
        <v>6331650</v>
      </c>
      <c r="J41" s="195"/>
      <c r="K41" s="75">
        <f t="shared" si="2"/>
        <v>-5107557</v>
      </c>
      <c r="L41" s="262">
        <f t="shared" si="3"/>
        <v>-4.172523656</v>
      </c>
    </row>
    <row r="42">
      <c r="A42" s="75">
        <v>37.0</v>
      </c>
      <c r="B42" s="75" t="str">
        <f>IFERROR(__xludf.DUMMYFUNCTION("""COMPUTED_VALUE"""),"C S Salve Enterprises")</f>
        <v>C S Salve Enterprises</v>
      </c>
      <c r="C42" s="400">
        <f>IFERROR(__xludf.DUMMYFUNCTION("""COMPUTED_VALUE"""),59645.0)</f>
        <v>59645</v>
      </c>
      <c r="D42" s="400">
        <f>IFERROR(__xludf.DUMMYFUNCTION("""COMPUTED_VALUE"""),1.0)</f>
        <v>1</v>
      </c>
      <c r="E42" s="400" t="str">
        <f>IFERROR(__xludf.DUMMYFUNCTION("""COMPUTED_VALUE"""),"ANAND BHAGWAN MORE")</f>
        <v>ANAND BHAGWAN MORE</v>
      </c>
      <c r="F42" s="400" t="str">
        <f>IFERROR(__xludf.DUMMYFUNCTION("""COMPUTED_VALUE"""),"MAHARASHTRA")</f>
        <v>MAHARASHTRA</v>
      </c>
      <c r="G42" s="280">
        <f>IFERROR(__xludf.DUMMYFUNCTION("""COMPUTED_VALUE"""),59645.0)</f>
        <v>59645</v>
      </c>
      <c r="H42" s="190">
        <f>IFERROR(__xludf.DUMMYFUNCTION("""COMPUTED_VALUE"""),4970.416666666667)</f>
        <v>4970.416667</v>
      </c>
      <c r="I42" s="195">
        <f>IFERROR(__xludf.DUMMYFUNCTION("""COMPUTED_VALUE"""),0.0)</f>
        <v>0</v>
      </c>
      <c r="J42" s="195"/>
      <c r="K42" s="75">
        <f t="shared" si="2"/>
        <v>59645</v>
      </c>
      <c r="L42" s="262">
        <f t="shared" si="3"/>
        <v>1</v>
      </c>
    </row>
    <row r="43">
      <c r="A43" s="75">
        <v>38.0</v>
      </c>
      <c r="B43" s="75" t="str">
        <f>IFERROR(__xludf.DUMMYFUNCTION("""COMPUTED_VALUE"""),"Century Hardware")</f>
        <v>Century Hardware</v>
      </c>
      <c r="C43" s="400">
        <f>IFERROR(__xludf.DUMMYFUNCTION("""COMPUTED_VALUE"""),362791.0)</f>
        <v>362791</v>
      </c>
      <c r="D43" s="400">
        <f>IFERROR(__xludf.DUMMYFUNCTION("""COMPUTED_VALUE"""),1.0)</f>
        <v>1</v>
      </c>
      <c r="E43" s="400" t="str">
        <f>IFERROR(__xludf.DUMMYFUNCTION("""COMPUTED_VALUE"""),"Dinesh Kumar Kaushik")</f>
        <v>Dinesh Kumar Kaushik</v>
      </c>
      <c r="F43" s="400" t="str">
        <f>IFERROR(__xludf.DUMMYFUNCTION("""COMPUTED_VALUE"""),"RAJASTHAN")</f>
        <v>RAJASTHAN</v>
      </c>
      <c r="G43" s="280">
        <f>IFERROR(__xludf.DUMMYFUNCTION("""COMPUTED_VALUE"""),362791.0)</f>
        <v>362791</v>
      </c>
      <c r="H43" s="190">
        <f>IFERROR(__xludf.DUMMYFUNCTION("""COMPUTED_VALUE"""),30232.583333333332)</f>
        <v>30232.58333</v>
      </c>
      <c r="I43" s="195">
        <f>IFERROR(__xludf.DUMMYFUNCTION("""COMPUTED_VALUE"""),701767.0)</f>
        <v>701767</v>
      </c>
      <c r="J43" s="195"/>
      <c r="K43" s="75">
        <f t="shared" si="2"/>
        <v>-338976</v>
      </c>
      <c r="L43" s="262">
        <f t="shared" si="3"/>
        <v>-0.9343561444</v>
      </c>
    </row>
    <row r="44">
      <c r="A44" s="75">
        <v>39.0</v>
      </c>
      <c r="B44" s="75" t="str">
        <f>IFERROR(__xludf.DUMMYFUNCTION("""COMPUTED_VALUE"""),"Chabra hardware and bath assets")</f>
        <v>Chabra hardware and bath assets</v>
      </c>
      <c r="C44" s="400">
        <f>IFERROR(__xludf.DUMMYFUNCTION("""COMPUTED_VALUE"""),1012674.0)</f>
        <v>1012674</v>
      </c>
      <c r="D44" s="400">
        <f>IFERROR(__xludf.DUMMYFUNCTION("""COMPUTED_VALUE"""),1.0)</f>
        <v>1</v>
      </c>
      <c r="E44" s="400" t="str">
        <f>IFERROR(__xludf.DUMMYFUNCTION("""COMPUTED_VALUE"""),"Ashutosh Kumar (Rudrapur)")</f>
        <v>Ashutosh Kumar (Rudrapur)</v>
      </c>
      <c r="F44" s="400" t="str">
        <f>IFERROR(__xludf.DUMMYFUNCTION("""COMPUTED_VALUE"""),"UTTARAKHAND")</f>
        <v>UTTARAKHAND</v>
      </c>
      <c r="G44" s="280">
        <f>IFERROR(__xludf.DUMMYFUNCTION("""COMPUTED_VALUE"""),1012674.0)</f>
        <v>1012674</v>
      </c>
      <c r="H44" s="190">
        <f>IFERROR(__xludf.DUMMYFUNCTION("""COMPUTED_VALUE"""),84389.5)</f>
        <v>84389.5</v>
      </c>
      <c r="I44" s="195">
        <f>IFERROR(__xludf.DUMMYFUNCTION("""COMPUTED_VALUE"""),328029.0)</f>
        <v>328029</v>
      </c>
      <c r="J44" s="195"/>
      <c r="K44" s="75">
        <f t="shared" si="2"/>
        <v>684645</v>
      </c>
      <c r="L44" s="262">
        <f t="shared" si="3"/>
        <v>0.6760764076</v>
      </c>
    </row>
    <row r="45">
      <c r="A45" s="75">
        <v>40.0</v>
      </c>
      <c r="B45" s="75" t="str">
        <f>IFERROR(__xludf.DUMMYFUNCTION("""COMPUTED_VALUE"""),"Chaitanya enterprises")</f>
        <v>Chaitanya enterprises</v>
      </c>
      <c r="C45" s="400">
        <f>IFERROR(__xludf.DUMMYFUNCTION("""COMPUTED_VALUE"""),823091.0)</f>
        <v>823091</v>
      </c>
      <c r="D45" s="400">
        <f>IFERROR(__xludf.DUMMYFUNCTION("""COMPUTED_VALUE"""),1.0)</f>
        <v>1</v>
      </c>
      <c r="E45" s="400" t="str">
        <f>IFERROR(__xludf.DUMMYFUNCTION("""COMPUTED_VALUE"""),"Shubham Shukla")</f>
        <v>Shubham Shukla</v>
      </c>
      <c r="F45" s="400" t="str">
        <f>IFERROR(__xludf.DUMMYFUNCTION("""COMPUTED_VALUE"""),"MADHYA PRADESH")</f>
        <v>MADHYA PRADESH</v>
      </c>
      <c r="G45" s="280">
        <f>IFERROR(__xludf.DUMMYFUNCTION("""COMPUTED_VALUE"""),823091.0)</f>
        <v>823091</v>
      </c>
      <c r="H45" s="190">
        <f>IFERROR(__xludf.DUMMYFUNCTION("""COMPUTED_VALUE"""),68590.91666666667)</f>
        <v>68590.91667</v>
      </c>
      <c r="I45" s="195">
        <f>IFERROR(__xludf.DUMMYFUNCTION("""COMPUTED_VALUE"""),3562649.0)</f>
        <v>3562649</v>
      </c>
      <c r="J45" s="195"/>
      <c r="K45" s="75">
        <f t="shared" si="2"/>
        <v>-2739558</v>
      </c>
      <c r="L45" s="262">
        <f t="shared" si="3"/>
        <v>-3.328378029</v>
      </c>
    </row>
    <row r="46">
      <c r="A46" s="75">
        <v>41.0</v>
      </c>
      <c r="B46" s="75" t="str">
        <f>IFERROR(__xludf.DUMMYFUNCTION("""COMPUTED_VALUE"""),"CHANDIMATA ENTERPRISE")</f>
        <v>CHANDIMATA ENTERPRISE</v>
      </c>
      <c r="C46" s="400">
        <f>IFERROR(__xludf.DUMMYFUNCTION("""COMPUTED_VALUE"""),3797967.0)</f>
        <v>3797967</v>
      </c>
      <c r="D46" s="400">
        <f>IFERROR(__xludf.DUMMYFUNCTION("""COMPUTED_VALUE"""),1.0)</f>
        <v>1</v>
      </c>
      <c r="E46" s="400" t="str">
        <f>IFERROR(__xludf.DUMMYFUNCTION("""COMPUTED_VALUE"""),"Litan Saha")</f>
        <v>Litan Saha</v>
      </c>
      <c r="F46" s="400" t="str">
        <f>IFERROR(__xludf.DUMMYFUNCTION("""COMPUTED_VALUE"""),"TRIPURA")</f>
        <v>TRIPURA</v>
      </c>
      <c r="G46" s="280">
        <f>IFERROR(__xludf.DUMMYFUNCTION("""COMPUTED_VALUE"""),3797967.0)</f>
        <v>3797967</v>
      </c>
      <c r="H46" s="190">
        <f>IFERROR(__xludf.DUMMYFUNCTION("""COMPUTED_VALUE"""),316497.25)</f>
        <v>316497.25</v>
      </c>
      <c r="I46" s="195">
        <f>IFERROR(__xludf.DUMMYFUNCTION("""COMPUTED_VALUE"""),1676552.0)</f>
        <v>1676552</v>
      </c>
      <c r="J46" s="195"/>
      <c r="K46" s="75">
        <f t="shared" si="2"/>
        <v>2121415</v>
      </c>
      <c r="L46" s="262">
        <f t="shared" si="3"/>
        <v>0.558565938</v>
      </c>
    </row>
    <row r="47">
      <c r="A47" s="75">
        <v>42.0</v>
      </c>
      <c r="B47" s="75" t="str">
        <f>IFERROR(__xludf.DUMMYFUNCTION("""COMPUTED_VALUE"""),"CHANDRA SANITARY")</f>
        <v>CHANDRA SANITARY</v>
      </c>
      <c r="C47" s="400">
        <f>IFERROR(__xludf.DUMMYFUNCTION("""COMPUTED_VALUE"""),4918952.0)</f>
        <v>4918952</v>
      </c>
      <c r="D47" s="400">
        <f>IFERROR(__xludf.DUMMYFUNCTION("""COMPUTED_VALUE"""),1.0)</f>
        <v>1</v>
      </c>
      <c r="E47" s="400" t="str">
        <f>IFERROR(__xludf.DUMMYFUNCTION("""COMPUTED_VALUE"""),"Sandeep Mishra")</f>
        <v>Sandeep Mishra</v>
      </c>
      <c r="F47" s="400" t="str">
        <f>IFERROR(__xludf.DUMMYFUNCTION("""COMPUTED_VALUE"""),"CHATTISGARH")</f>
        <v>CHATTISGARH</v>
      </c>
      <c r="G47" s="280">
        <f>IFERROR(__xludf.DUMMYFUNCTION("""COMPUTED_VALUE"""),4918952.0)</f>
        <v>4918952</v>
      </c>
      <c r="H47" s="190">
        <f>IFERROR(__xludf.DUMMYFUNCTION("""COMPUTED_VALUE"""),409912.6666666667)</f>
        <v>409912.6667</v>
      </c>
      <c r="I47" s="195">
        <f>IFERROR(__xludf.DUMMYFUNCTION("""COMPUTED_VALUE"""),4095760.0)</f>
        <v>4095760</v>
      </c>
      <c r="J47" s="195"/>
      <c r="K47" s="75">
        <f t="shared" si="2"/>
        <v>823192</v>
      </c>
      <c r="L47" s="262">
        <f t="shared" si="3"/>
        <v>0.1673510943</v>
      </c>
    </row>
    <row r="48">
      <c r="A48" s="75">
        <v>43.0</v>
      </c>
      <c r="B48" s="75" t="str">
        <f>IFERROR(__xludf.DUMMYFUNCTION("""COMPUTED_VALUE"""),"Chandra Sen Kesharwani")</f>
        <v>Chandra Sen Kesharwani</v>
      </c>
      <c r="C48" s="400">
        <f>IFERROR(__xludf.DUMMYFUNCTION("""COMPUTED_VALUE"""),1.1330364E7)</f>
        <v>11330364</v>
      </c>
      <c r="D48" s="400">
        <f>IFERROR(__xludf.DUMMYFUNCTION("""COMPUTED_VALUE"""),1.0)</f>
        <v>1</v>
      </c>
      <c r="E48" s="400" t="str">
        <f>IFERROR(__xludf.DUMMYFUNCTION("""COMPUTED_VALUE"""),"Siddharth Shanker Singh")</f>
        <v>Siddharth Shanker Singh</v>
      </c>
      <c r="F48" s="400" t="str">
        <f>IFERROR(__xludf.DUMMYFUNCTION("""COMPUTED_VALUE"""),"East U.P")</f>
        <v>East U.P</v>
      </c>
      <c r="G48" s="280">
        <f>IFERROR(__xludf.DUMMYFUNCTION("""COMPUTED_VALUE"""),1.1330364E7)</f>
        <v>11330364</v>
      </c>
      <c r="H48" s="190">
        <f>IFERROR(__xludf.DUMMYFUNCTION("""COMPUTED_VALUE"""),944197.0)</f>
        <v>944197</v>
      </c>
      <c r="I48" s="195">
        <f>IFERROR(__xludf.DUMMYFUNCTION("""COMPUTED_VALUE"""),4886804.0)</f>
        <v>4886804</v>
      </c>
      <c r="J48" s="195"/>
      <c r="K48" s="75">
        <f t="shared" si="2"/>
        <v>6443560</v>
      </c>
      <c r="L48" s="262">
        <f t="shared" si="3"/>
        <v>0.5686984107</v>
      </c>
    </row>
    <row r="49">
      <c r="A49" s="75">
        <v>44.0</v>
      </c>
      <c r="B49" s="75" t="str">
        <f>IFERROR(__xludf.DUMMYFUNCTION("""COMPUTED_VALUE"""),"CHARBHUJA ELECTRIC HARDWARE AND PLUMBING")</f>
        <v>CHARBHUJA ELECTRIC HARDWARE AND PLUMBING</v>
      </c>
      <c r="C49" s="400">
        <f>IFERROR(__xludf.DUMMYFUNCTION("""COMPUTED_VALUE"""),773635.0)</f>
        <v>773635</v>
      </c>
      <c r="D49" s="400">
        <f>IFERROR(__xludf.DUMMYFUNCTION("""COMPUTED_VALUE"""),2.0)</f>
        <v>2</v>
      </c>
      <c r="E49" s="400" t="str">
        <f>IFERROR(__xludf.DUMMYFUNCTION("""COMPUTED_VALUE"""),"Chandrakant Mandave, Praveen Pandey")</f>
        <v>Chandrakant Mandave, Praveen Pandey</v>
      </c>
      <c r="F49" s="400" t="str">
        <f>IFERROR(__xludf.DUMMYFUNCTION("""COMPUTED_VALUE"""),"MAHARASHTRA")</f>
        <v>MAHARASHTRA</v>
      </c>
      <c r="G49" s="280">
        <f>IFERROR(__xludf.DUMMYFUNCTION("""COMPUTED_VALUE"""),386817.5)</f>
        <v>386817.5</v>
      </c>
      <c r="H49" s="190">
        <f>IFERROR(__xludf.DUMMYFUNCTION("""COMPUTED_VALUE"""),32234.791666666668)</f>
        <v>32234.79167</v>
      </c>
      <c r="I49" s="195">
        <f>IFERROR(__xludf.DUMMYFUNCTION("""COMPUTED_VALUE"""),938197.0)</f>
        <v>938197</v>
      </c>
      <c r="J49" s="195"/>
      <c r="K49" s="75">
        <f t="shared" si="2"/>
        <v>-164562</v>
      </c>
      <c r="L49" s="262">
        <f t="shared" si="3"/>
        <v>-0.2127127134</v>
      </c>
    </row>
    <row r="50">
      <c r="A50" s="75">
        <v>45.0</v>
      </c>
      <c r="B50" s="75" t="str">
        <f>IFERROR(__xludf.DUMMYFUNCTION("""COMPUTED_VALUE"""),"Chawla ispat pvt.ltd")</f>
        <v>Chawla ispat pvt.ltd</v>
      </c>
      <c r="C50" s="400">
        <f>IFERROR(__xludf.DUMMYFUNCTION("""COMPUTED_VALUE"""),494517.0)</f>
        <v>494517</v>
      </c>
      <c r="D50" s="400">
        <f>IFERROR(__xludf.DUMMYFUNCTION("""COMPUTED_VALUE"""),1.0)</f>
        <v>1</v>
      </c>
      <c r="E50" s="400" t="str">
        <f>IFERROR(__xludf.DUMMYFUNCTION("""COMPUTED_VALUE"""),"Ashutosh Kumar (Rudrapur)")</f>
        <v>Ashutosh Kumar (Rudrapur)</v>
      </c>
      <c r="F50" s="400" t="str">
        <f>IFERROR(__xludf.DUMMYFUNCTION("""COMPUTED_VALUE"""),"UTTARAKHAND")</f>
        <v>UTTARAKHAND</v>
      </c>
      <c r="G50" s="280">
        <f>IFERROR(__xludf.DUMMYFUNCTION("""COMPUTED_VALUE"""),494517.0)</f>
        <v>494517</v>
      </c>
      <c r="H50" s="190">
        <f>IFERROR(__xludf.DUMMYFUNCTION("""COMPUTED_VALUE"""),41209.75)</f>
        <v>41209.75</v>
      </c>
      <c r="I50" s="195">
        <f>IFERROR(__xludf.DUMMYFUNCTION("""COMPUTED_VALUE"""),1550168.0)</f>
        <v>1550168</v>
      </c>
      <c r="J50" s="195"/>
      <c r="K50" s="75">
        <f t="shared" si="2"/>
        <v>-1055651</v>
      </c>
      <c r="L50" s="262">
        <f t="shared" si="3"/>
        <v>-2.134711243</v>
      </c>
    </row>
    <row r="51">
      <c r="A51" s="75">
        <v>46.0</v>
      </c>
      <c r="B51" s="75" t="str">
        <f>IFERROR(__xludf.DUMMYFUNCTION("""COMPUTED_VALUE"""),"CHHINAMASTIKE SANITATION PVT. LTD. ( PREVIOUSLY BALAJEE ENT., DEOGHAR)")</f>
        <v>CHHINAMASTIKE SANITATION PVT. LTD. ( PREVIOUSLY BALAJEE ENT., DEOGHAR)</v>
      </c>
      <c r="C51" s="400">
        <f>IFERROR(__xludf.DUMMYFUNCTION("""COMPUTED_VALUE"""),6.8777079E7)</f>
        <v>68777079</v>
      </c>
      <c r="D51" s="400">
        <f>IFERROR(__xludf.DUMMYFUNCTION("""COMPUTED_VALUE"""),2.0)</f>
        <v>2</v>
      </c>
      <c r="E51" s="400" t="str">
        <f>IFERROR(__xludf.DUMMYFUNCTION("""COMPUTED_VALUE"""),"Rakesh Kumar Sinha, SRAVAN KUMAR SHARMA")</f>
        <v>Rakesh Kumar Sinha, SRAVAN KUMAR SHARMA</v>
      </c>
      <c r="F51" s="400" t="str">
        <f>IFERROR(__xludf.DUMMYFUNCTION("""COMPUTED_VALUE"""),"JHARKHAND")</f>
        <v>JHARKHAND</v>
      </c>
      <c r="G51" s="280">
        <f>IFERROR(__xludf.DUMMYFUNCTION("""COMPUTED_VALUE"""),3.43885395E7)</f>
        <v>34388539.5</v>
      </c>
      <c r="H51" s="190">
        <f>IFERROR(__xludf.DUMMYFUNCTION("""COMPUTED_VALUE"""),2865711.625)</f>
        <v>2865711.625</v>
      </c>
      <c r="I51" s="195">
        <f>IFERROR(__xludf.DUMMYFUNCTION("""COMPUTED_VALUE"""),1.0041969E8)</f>
        <v>100419690</v>
      </c>
      <c r="J51" s="195"/>
      <c r="K51" s="75">
        <f t="shared" si="2"/>
        <v>-31642611</v>
      </c>
      <c r="L51" s="262">
        <f t="shared" si="3"/>
        <v>-0.4600749474</v>
      </c>
    </row>
    <row r="52">
      <c r="A52" s="75">
        <v>47.0</v>
      </c>
      <c r="B52" s="75" t="str">
        <f>IFERROR(__xludf.DUMMYFUNCTION("""COMPUTED_VALUE"""),"COOCH BEHAR STORES")</f>
        <v>COOCH BEHAR STORES</v>
      </c>
      <c r="C52" s="400">
        <f>IFERROR(__xludf.DUMMYFUNCTION("""COMPUTED_VALUE"""),335900.0)</f>
        <v>335900</v>
      </c>
      <c r="D52" s="400">
        <f>IFERROR(__xludf.DUMMYFUNCTION("""COMPUTED_VALUE"""),1.0)</f>
        <v>1</v>
      </c>
      <c r="E52" s="400" t="str">
        <f>IFERROR(__xludf.DUMMYFUNCTION("""COMPUTED_VALUE"""),"Malay Paul")</f>
        <v>Malay Paul</v>
      </c>
      <c r="F52" s="400" t="str">
        <f>IFERROR(__xludf.DUMMYFUNCTION("""COMPUTED_VALUE"""),"WEST BENGAL")</f>
        <v>WEST BENGAL</v>
      </c>
      <c r="G52" s="280">
        <f>IFERROR(__xludf.DUMMYFUNCTION("""COMPUTED_VALUE"""),335900.0)</f>
        <v>335900</v>
      </c>
      <c r="H52" s="190">
        <f>IFERROR(__xludf.DUMMYFUNCTION("""COMPUTED_VALUE"""),27991.666666666668)</f>
        <v>27991.66667</v>
      </c>
      <c r="I52" s="195">
        <f>IFERROR(__xludf.DUMMYFUNCTION("""COMPUTED_VALUE"""),1065762.0)</f>
        <v>1065762</v>
      </c>
      <c r="J52" s="195"/>
      <c r="K52" s="75">
        <f t="shared" si="2"/>
        <v>-729862</v>
      </c>
      <c r="L52" s="262">
        <f t="shared" si="3"/>
        <v>-2.172855016</v>
      </c>
    </row>
    <row r="53">
      <c r="A53" s="75">
        <v>48.0</v>
      </c>
      <c r="B53" s="75" t="str">
        <f>IFERROR(__xludf.DUMMYFUNCTION("""COMPUTED_VALUE"""),"Daksh Polymers")</f>
        <v>Daksh Polymers</v>
      </c>
      <c r="C53" s="400">
        <f>IFERROR(__xludf.DUMMYFUNCTION("""COMPUTED_VALUE"""),371000.0)</f>
        <v>371000</v>
      </c>
      <c r="D53" s="400">
        <f>IFERROR(__xludf.DUMMYFUNCTION("""COMPUTED_VALUE"""),2.0)</f>
        <v>2</v>
      </c>
      <c r="E53" s="400" t="str">
        <f>IFERROR(__xludf.DUMMYFUNCTION("""COMPUTED_VALUE"""),"Arif Khan, Durgesh Kumar Jangid")</f>
        <v>Arif Khan, Durgesh Kumar Jangid</v>
      </c>
      <c r="F53" s="400" t="str">
        <f>IFERROR(__xludf.DUMMYFUNCTION("""COMPUTED_VALUE"""),"RAJASTHAN")</f>
        <v>RAJASTHAN</v>
      </c>
      <c r="G53" s="280">
        <f>IFERROR(__xludf.DUMMYFUNCTION("""COMPUTED_VALUE"""),185500.0)</f>
        <v>185500</v>
      </c>
      <c r="H53" s="190">
        <f>IFERROR(__xludf.DUMMYFUNCTION("""COMPUTED_VALUE"""),15458.333333333334)</f>
        <v>15458.33333</v>
      </c>
      <c r="I53" s="195">
        <f>IFERROR(__xludf.DUMMYFUNCTION("""COMPUTED_VALUE"""),286475.0)</f>
        <v>286475</v>
      </c>
      <c r="J53" s="195"/>
      <c r="K53" s="75">
        <f t="shared" si="2"/>
        <v>84525</v>
      </c>
      <c r="L53" s="262">
        <f t="shared" si="3"/>
        <v>0.2278301887</v>
      </c>
    </row>
    <row r="54">
      <c r="A54" s="75">
        <v>49.0</v>
      </c>
      <c r="B54" s="75" t="str">
        <f>IFERROR(__xludf.DUMMYFUNCTION("""COMPUTED_VALUE"""),"Dakshita Enterprises")</f>
        <v>Dakshita Enterprises</v>
      </c>
      <c r="C54" s="400">
        <f>IFERROR(__xludf.DUMMYFUNCTION("""COMPUTED_VALUE"""),6613036.0)</f>
        <v>6613036</v>
      </c>
      <c r="D54" s="400">
        <f>IFERROR(__xludf.DUMMYFUNCTION("""COMPUTED_VALUE"""),2.0)</f>
        <v>2</v>
      </c>
      <c r="E54" s="400" t="str">
        <f>IFERROR(__xludf.DUMMYFUNCTION("""COMPUTED_VALUE"""),"Siddharth Srivastava, Vishal Dheer")</f>
        <v>Siddharth Srivastava, Vishal Dheer</v>
      </c>
      <c r="F54" s="400" t="str">
        <f>IFERROR(__xludf.DUMMYFUNCTION("""COMPUTED_VALUE"""),"East U.P")</f>
        <v>East U.P</v>
      </c>
      <c r="G54" s="280">
        <f>IFERROR(__xludf.DUMMYFUNCTION("""COMPUTED_VALUE"""),3306518.0)</f>
        <v>3306518</v>
      </c>
      <c r="H54" s="190">
        <f>IFERROR(__xludf.DUMMYFUNCTION("""COMPUTED_VALUE"""),275543.1666666667)</f>
        <v>275543.1667</v>
      </c>
      <c r="I54" s="195">
        <f>IFERROR(__xludf.DUMMYFUNCTION("""COMPUTED_VALUE"""),5675158.0)</f>
        <v>5675158</v>
      </c>
      <c r="J54" s="195"/>
      <c r="K54" s="75">
        <f t="shared" si="2"/>
        <v>937878</v>
      </c>
      <c r="L54" s="262">
        <f t="shared" si="3"/>
        <v>0.1418226061</v>
      </c>
    </row>
    <row r="55">
      <c r="A55" s="75">
        <v>50.0</v>
      </c>
      <c r="B55" s="75" t="str">
        <f>IFERROR(__xludf.DUMMYFUNCTION("""COMPUTED_VALUE"""),"Das Enterprise")</f>
        <v>Das Enterprise</v>
      </c>
      <c r="C55" s="400">
        <f>IFERROR(__xludf.DUMMYFUNCTION("""COMPUTED_VALUE"""),4449517.0)</f>
        <v>4449517</v>
      </c>
      <c r="D55" s="400">
        <f>IFERROR(__xludf.DUMMYFUNCTION("""COMPUTED_VALUE"""),2.0)</f>
        <v>2</v>
      </c>
      <c r="E55" s="400" t="str">
        <f>IFERROR(__xludf.DUMMYFUNCTION("""COMPUTED_VALUE"""),"Rajat Chowdhury, Vikash Kumar Paswan")</f>
        <v>Rajat Chowdhury, Vikash Kumar Paswan</v>
      </c>
      <c r="F55" s="400" t="str">
        <f>IFERROR(__xludf.DUMMYFUNCTION("""COMPUTED_VALUE"""),"WEST BENGAL")</f>
        <v>WEST BENGAL</v>
      </c>
      <c r="G55" s="280">
        <f>IFERROR(__xludf.DUMMYFUNCTION("""COMPUTED_VALUE"""),2224758.5)</f>
        <v>2224758.5</v>
      </c>
      <c r="H55" s="190">
        <f>IFERROR(__xludf.DUMMYFUNCTION("""COMPUTED_VALUE"""),185396.54166666666)</f>
        <v>185396.5417</v>
      </c>
      <c r="I55" s="195">
        <f>IFERROR(__xludf.DUMMYFUNCTION("""COMPUTED_VALUE"""),2.3703489E7)</f>
        <v>23703489</v>
      </c>
      <c r="J55" s="195"/>
      <c r="K55" s="75">
        <f t="shared" si="2"/>
        <v>-19253972</v>
      </c>
      <c r="L55" s="262">
        <f t="shared" si="3"/>
        <v>-4.327204953</v>
      </c>
    </row>
    <row r="56">
      <c r="A56" s="75">
        <v>51.0</v>
      </c>
      <c r="B56" s="75" t="str">
        <f>IFERROR(__xludf.DUMMYFUNCTION("""COMPUTED_VALUE"""),"DD PRAYAG POLYMERS")</f>
        <v>DD PRAYAG POLYMERS</v>
      </c>
      <c r="C56" s="400">
        <f>IFERROR(__xludf.DUMMYFUNCTION("""COMPUTED_VALUE"""),15141.0)</f>
        <v>15141</v>
      </c>
      <c r="D56" s="400">
        <f>IFERROR(__xludf.DUMMYFUNCTION("""COMPUTED_VALUE"""),1.0)</f>
        <v>1</v>
      </c>
      <c r="E56" s="400" t="str">
        <f>IFERROR(__xludf.DUMMYFUNCTION("""COMPUTED_VALUE"""),"Arun kumar.S")</f>
        <v>Arun kumar.S</v>
      </c>
      <c r="F56" s="400" t="str">
        <f>IFERROR(__xludf.DUMMYFUNCTION("""COMPUTED_VALUE"""),"TAMIL NADU")</f>
        <v>TAMIL NADU</v>
      </c>
      <c r="G56" s="280">
        <f>IFERROR(__xludf.DUMMYFUNCTION("""COMPUTED_VALUE"""),15141.0)</f>
        <v>15141</v>
      </c>
      <c r="H56" s="190">
        <f>IFERROR(__xludf.DUMMYFUNCTION("""COMPUTED_VALUE"""),1261.75)</f>
        <v>1261.75</v>
      </c>
      <c r="I56" s="195">
        <f>IFERROR(__xludf.DUMMYFUNCTION("""COMPUTED_VALUE"""),0.0)</f>
        <v>0</v>
      </c>
      <c r="J56" s="195"/>
      <c r="K56" s="75">
        <f t="shared" si="2"/>
        <v>15141</v>
      </c>
      <c r="L56" s="262">
        <f t="shared" si="3"/>
        <v>1</v>
      </c>
    </row>
    <row r="57">
      <c r="A57" s="75">
        <v>52.0</v>
      </c>
      <c r="B57" s="75" t="str">
        <f>IFERROR(__xludf.DUMMYFUNCTION("""COMPUTED_VALUE"""),"Deepak Sanitary &amp; Electric store")</f>
        <v>Deepak Sanitary &amp; Electric store</v>
      </c>
      <c r="C57" s="400">
        <f>IFERROR(__xludf.DUMMYFUNCTION("""COMPUTED_VALUE"""),260406.0)</f>
        <v>260406</v>
      </c>
      <c r="D57" s="400">
        <f>IFERROR(__xludf.DUMMYFUNCTION("""COMPUTED_VALUE"""),2.0)</f>
        <v>2</v>
      </c>
      <c r="E57" s="400" t="str">
        <f>IFERROR(__xludf.DUMMYFUNCTION("""COMPUTED_VALUE"""),"Prashant Kumar, Tarun Giri")</f>
        <v>Prashant Kumar, Tarun Giri</v>
      </c>
      <c r="F57" s="400" t="str">
        <f>IFERROR(__xludf.DUMMYFUNCTION("""COMPUTED_VALUE"""),"West U.P")</f>
        <v>West U.P</v>
      </c>
      <c r="G57" s="280">
        <f>IFERROR(__xludf.DUMMYFUNCTION("""COMPUTED_VALUE"""),130203.0)</f>
        <v>130203</v>
      </c>
      <c r="H57" s="190">
        <f>IFERROR(__xludf.DUMMYFUNCTION("""COMPUTED_VALUE"""),10850.25)</f>
        <v>10850.25</v>
      </c>
      <c r="I57" s="195">
        <f>IFERROR(__xludf.DUMMYFUNCTION("""COMPUTED_VALUE"""),706480.0)</f>
        <v>706480</v>
      </c>
      <c r="J57" s="195"/>
      <c r="K57" s="75">
        <f t="shared" si="2"/>
        <v>-446074</v>
      </c>
      <c r="L57" s="262">
        <f t="shared" si="3"/>
        <v>-1.712994324</v>
      </c>
    </row>
    <row r="58">
      <c r="A58" s="75">
        <v>53.0</v>
      </c>
      <c r="B58" s="75" t="str">
        <f>IFERROR(__xludf.DUMMYFUNCTION("""COMPUTED_VALUE"""),"Deepak trading company")</f>
        <v>Deepak trading company</v>
      </c>
      <c r="C58" s="400">
        <f>IFERROR(__xludf.DUMMYFUNCTION("""COMPUTED_VALUE"""),135424.0)</f>
        <v>135424</v>
      </c>
      <c r="D58" s="400">
        <f>IFERROR(__xludf.DUMMYFUNCTION("""COMPUTED_VALUE"""),1.0)</f>
        <v>1</v>
      </c>
      <c r="E58" s="400" t="str">
        <f>IFERROR(__xludf.DUMMYFUNCTION("""COMPUTED_VALUE"""),"Rounak Mehla")</f>
        <v>Rounak Mehla</v>
      </c>
      <c r="F58" s="400" t="str">
        <f>IFERROR(__xludf.DUMMYFUNCTION("""COMPUTED_VALUE"""),"HARYANA")</f>
        <v>HARYANA</v>
      </c>
      <c r="G58" s="280">
        <f>IFERROR(__xludf.DUMMYFUNCTION("""COMPUTED_VALUE"""),135424.0)</f>
        <v>135424</v>
      </c>
      <c r="H58" s="190">
        <f>IFERROR(__xludf.DUMMYFUNCTION("""COMPUTED_VALUE"""),11285.333333333334)</f>
        <v>11285.33333</v>
      </c>
      <c r="I58" s="195">
        <f>IFERROR(__xludf.DUMMYFUNCTION("""COMPUTED_VALUE"""),924444.0)</f>
        <v>924444</v>
      </c>
      <c r="J58" s="195"/>
      <c r="K58" s="75">
        <f t="shared" si="2"/>
        <v>-789020</v>
      </c>
      <c r="L58" s="262">
        <f t="shared" si="3"/>
        <v>-5.826293715</v>
      </c>
    </row>
    <row r="59">
      <c r="A59" s="75">
        <v>54.0</v>
      </c>
      <c r="B59" s="75" t="str">
        <f>IFERROR(__xludf.DUMMYFUNCTION("""COMPUTED_VALUE"""),"Dev Trading")</f>
        <v>Dev Trading</v>
      </c>
      <c r="C59" s="400">
        <f>IFERROR(__xludf.DUMMYFUNCTION("""COMPUTED_VALUE"""),281928.0)</f>
        <v>281928</v>
      </c>
      <c r="D59" s="400">
        <f>IFERROR(__xludf.DUMMYFUNCTION("""COMPUTED_VALUE"""),1.0)</f>
        <v>1</v>
      </c>
      <c r="E59" s="400" t="str">
        <f>IFERROR(__xludf.DUMMYFUNCTION("""COMPUTED_VALUE"""),"Jagdish Palani")</f>
        <v>Jagdish Palani</v>
      </c>
      <c r="F59" s="400" t="str">
        <f>IFERROR(__xludf.DUMMYFUNCTION("""COMPUTED_VALUE"""),"GUJARAT")</f>
        <v>GUJARAT</v>
      </c>
      <c r="G59" s="280">
        <f>IFERROR(__xludf.DUMMYFUNCTION("""COMPUTED_VALUE"""),281928.0)</f>
        <v>281928</v>
      </c>
      <c r="H59" s="190">
        <f>IFERROR(__xludf.DUMMYFUNCTION("""COMPUTED_VALUE"""),23494.0)</f>
        <v>23494</v>
      </c>
      <c r="I59" s="195">
        <f>IFERROR(__xludf.DUMMYFUNCTION("""COMPUTED_VALUE"""),0.0)</f>
        <v>0</v>
      </c>
      <c r="J59" s="195"/>
      <c r="K59" s="75">
        <f t="shared" si="2"/>
        <v>281928</v>
      </c>
      <c r="L59" s="262">
        <f t="shared" si="3"/>
        <v>1</v>
      </c>
    </row>
    <row r="60">
      <c r="A60" s="75">
        <v>55.0</v>
      </c>
      <c r="B60" s="75" t="str">
        <f>IFERROR(__xludf.DUMMYFUNCTION("""COMPUTED_VALUE"""),"Devender Iron Store")</f>
        <v>Devender Iron Store</v>
      </c>
      <c r="C60" s="400">
        <f>IFERROR(__xludf.DUMMYFUNCTION("""COMPUTED_VALUE"""),993727.0)</f>
        <v>993727</v>
      </c>
      <c r="D60" s="400">
        <f>IFERROR(__xludf.DUMMYFUNCTION("""COMPUTED_VALUE"""),1.0)</f>
        <v>1</v>
      </c>
      <c r="E60" s="400" t="str">
        <f>IFERROR(__xludf.DUMMYFUNCTION("""COMPUTED_VALUE"""),"RAVI KUMAR .")</f>
        <v>RAVI KUMAR .</v>
      </c>
      <c r="F60" s="400" t="str">
        <f>IFERROR(__xludf.DUMMYFUNCTION("""COMPUTED_VALUE"""),"HARYANA")</f>
        <v>HARYANA</v>
      </c>
      <c r="G60" s="280">
        <f>IFERROR(__xludf.DUMMYFUNCTION("""COMPUTED_VALUE"""),993727.0)</f>
        <v>993727</v>
      </c>
      <c r="H60" s="190">
        <f>IFERROR(__xludf.DUMMYFUNCTION("""COMPUTED_VALUE"""),82810.58333333333)</f>
        <v>82810.58333</v>
      </c>
      <c r="I60" s="195">
        <f>IFERROR(__xludf.DUMMYFUNCTION("""COMPUTED_VALUE"""),1543844.0)</f>
        <v>1543844</v>
      </c>
      <c r="J60" s="195"/>
      <c r="K60" s="75">
        <f t="shared" si="2"/>
        <v>-550117</v>
      </c>
      <c r="L60" s="262">
        <f t="shared" si="3"/>
        <v>-0.553589668</v>
      </c>
    </row>
    <row r="61">
      <c r="A61" s="75">
        <v>56.0</v>
      </c>
      <c r="B61" s="75" t="str">
        <f>IFERROR(__xludf.DUMMYFUNCTION("""COMPUTED_VALUE"""),"Divekar Marketing Associates")</f>
        <v>Divekar Marketing Associates</v>
      </c>
      <c r="C61" s="400">
        <f>IFERROR(__xludf.DUMMYFUNCTION("""COMPUTED_VALUE"""),2.6863056E7)</f>
        <v>26863056</v>
      </c>
      <c r="D61" s="400">
        <f>IFERROR(__xludf.DUMMYFUNCTION("""COMPUTED_VALUE"""),3.0)</f>
        <v>3</v>
      </c>
      <c r="E61" s="400" t="str">
        <f>IFERROR(__xludf.DUMMYFUNCTION("""COMPUTED_VALUE"""),"Amey Deodhar, Kunal Sanjay Sasane, RAMESH PARSHURAM OAK")</f>
        <v>Amey Deodhar, Kunal Sanjay Sasane, RAMESH PARSHURAM OAK</v>
      </c>
      <c r="F61" s="400" t="str">
        <f>IFERROR(__xludf.DUMMYFUNCTION("""COMPUTED_VALUE"""),"MAHARASHTRA")</f>
        <v>MAHARASHTRA</v>
      </c>
      <c r="G61" s="280">
        <f>IFERROR(__xludf.DUMMYFUNCTION("""COMPUTED_VALUE"""),8954352.0)</f>
        <v>8954352</v>
      </c>
      <c r="H61" s="190">
        <f>IFERROR(__xludf.DUMMYFUNCTION("""COMPUTED_VALUE"""),746196.0)</f>
        <v>746196</v>
      </c>
      <c r="I61" s="195">
        <f>IFERROR(__xludf.DUMMYFUNCTION("""COMPUTED_VALUE"""),2.3677113E7)</f>
        <v>23677113</v>
      </c>
      <c r="J61" s="195"/>
      <c r="K61" s="75">
        <f t="shared" si="2"/>
        <v>3185943</v>
      </c>
      <c r="L61" s="262">
        <f t="shared" si="3"/>
        <v>0.1185994252</v>
      </c>
    </row>
    <row r="62">
      <c r="A62" s="75">
        <v>57.0</v>
      </c>
      <c r="B62" s="75" t="str">
        <f>IFERROR(__xludf.DUMMYFUNCTION("""COMPUTED_VALUE"""),"DIVEKAR SALES CORPORATION")</f>
        <v>DIVEKAR SALES CORPORATION</v>
      </c>
      <c r="C62" s="400">
        <f>IFERROR(__xludf.DUMMYFUNCTION("""COMPUTED_VALUE"""),522924.0)</f>
        <v>522924</v>
      </c>
      <c r="D62" s="400">
        <f>IFERROR(__xludf.DUMMYFUNCTION("""COMPUTED_VALUE"""),2.0)</f>
        <v>2</v>
      </c>
      <c r="E62" s="400" t="str">
        <f>IFERROR(__xludf.DUMMYFUNCTION("""COMPUTED_VALUE"""),"Amey Deodhar, Kunal Sanjay Sasane")</f>
        <v>Amey Deodhar, Kunal Sanjay Sasane</v>
      </c>
      <c r="F62" s="400" t="str">
        <f>IFERROR(__xludf.DUMMYFUNCTION("""COMPUTED_VALUE"""),"MAHARASHTRA")</f>
        <v>MAHARASHTRA</v>
      </c>
      <c r="G62" s="280">
        <f>IFERROR(__xludf.DUMMYFUNCTION("""COMPUTED_VALUE"""),261462.0)</f>
        <v>261462</v>
      </c>
      <c r="H62" s="190">
        <f>IFERROR(__xludf.DUMMYFUNCTION("""COMPUTED_VALUE"""),21788.5)</f>
        <v>21788.5</v>
      </c>
      <c r="I62" s="195">
        <f>IFERROR(__xludf.DUMMYFUNCTION("""COMPUTED_VALUE"""),0.0)</f>
        <v>0</v>
      </c>
      <c r="J62" s="195"/>
      <c r="K62" s="75">
        <f t="shared" si="2"/>
        <v>522924</v>
      </c>
      <c r="L62" s="262">
        <f t="shared" si="3"/>
        <v>1</v>
      </c>
    </row>
    <row r="63">
      <c r="A63" s="75">
        <v>58.0</v>
      </c>
      <c r="B63" s="75" t="str">
        <f>IFERROR(__xludf.DUMMYFUNCTION("""COMPUTED_VALUE"""),"Divya Enterprises")</f>
        <v>Divya Enterprises</v>
      </c>
      <c r="C63" s="400">
        <f>IFERROR(__xludf.DUMMYFUNCTION("""COMPUTED_VALUE"""),2349271.0)</f>
        <v>2349271</v>
      </c>
      <c r="D63" s="400">
        <f>IFERROR(__xludf.DUMMYFUNCTION("""COMPUTED_VALUE"""),2.0)</f>
        <v>2</v>
      </c>
      <c r="E63" s="400" t="str">
        <f>IFERROR(__xludf.DUMMYFUNCTION("""COMPUTED_VALUE"""),"Shiv Kumar Patel, Pradeep Kumar Dwivedi")</f>
        <v>Shiv Kumar Patel, Pradeep Kumar Dwivedi</v>
      </c>
      <c r="F63" s="400" t="str">
        <f>IFERROR(__xludf.DUMMYFUNCTION("""COMPUTED_VALUE"""),"MADHYA PRADESH")</f>
        <v>MADHYA PRADESH</v>
      </c>
      <c r="G63" s="280">
        <f>IFERROR(__xludf.DUMMYFUNCTION("""COMPUTED_VALUE"""),1174635.5)</f>
        <v>1174635.5</v>
      </c>
      <c r="H63" s="190">
        <f>IFERROR(__xludf.DUMMYFUNCTION("""COMPUTED_VALUE"""),97886.29166666667)</f>
        <v>97886.29167</v>
      </c>
      <c r="I63" s="195">
        <f>IFERROR(__xludf.DUMMYFUNCTION("""COMPUTED_VALUE"""),3998197.0)</f>
        <v>3998197</v>
      </c>
      <c r="J63" s="195"/>
      <c r="K63" s="75">
        <f t="shared" si="2"/>
        <v>-1648926</v>
      </c>
      <c r="L63" s="262">
        <f t="shared" si="3"/>
        <v>-0.701888373</v>
      </c>
    </row>
    <row r="64">
      <c r="A64" s="75">
        <v>59.0</v>
      </c>
      <c r="B64" s="75" t="str">
        <f>IFERROR(__xludf.DUMMYFUNCTION("""COMPUTED_VALUE"""),"Dreamwall colours")</f>
        <v>Dreamwall colours</v>
      </c>
      <c r="C64" s="400">
        <f>IFERROR(__xludf.DUMMYFUNCTION("""COMPUTED_VALUE"""),5808691.0)</f>
        <v>5808691</v>
      </c>
      <c r="D64" s="400">
        <f>IFERROR(__xludf.DUMMYFUNCTION("""COMPUTED_VALUE"""),1.0)</f>
        <v>1</v>
      </c>
      <c r="E64" s="400" t="str">
        <f>IFERROR(__xludf.DUMMYFUNCTION("""COMPUTED_VALUE"""),"Manish Gupta")</f>
        <v>Manish Gupta</v>
      </c>
      <c r="F64" s="400" t="str">
        <f>IFERROR(__xludf.DUMMYFUNCTION("""COMPUTED_VALUE"""),"DELHI")</f>
        <v>DELHI</v>
      </c>
      <c r="G64" s="280">
        <f>IFERROR(__xludf.DUMMYFUNCTION("""COMPUTED_VALUE"""),5808691.0)</f>
        <v>5808691</v>
      </c>
      <c r="H64" s="190">
        <f>IFERROR(__xludf.DUMMYFUNCTION("""COMPUTED_VALUE"""),484057.5833333333)</f>
        <v>484057.5833</v>
      </c>
      <c r="I64" s="195">
        <f>IFERROR(__xludf.DUMMYFUNCTION("""COMPUTED_VALUE"""),4179570.0)</f>
        <v>4179570</v>
      </c>
      <c r="J64" s="195"/>
      <c r="K64" s="75">
        <f t="shared" si="2"/>
        <v>1629121</v>
      </c>
      <c r="L64" s="262">
        <f t="shared" si="3"/>
        <v>0.2804626722</v>
      </c>
    </row>
    <row r="65">
      <c r="A65" s="75">
        <v>60.0</v>
      </c>
      <c r="B65" s="75" t="str">
        <f>IFERROR(__xludf.DUMMYFUNCTION("""COMPUTED_VALUE"""),"Durga Mechinery Store")</f>
        <v>Durga Mechinery Store</v>
      </c>
      <c r="C65" s="400">
        <f>IFERROR(__xludf.DUMMYFUNCTION("""COMPUTED_VALUE"""),1823166.0)</f>
        <v>1823166</v>
      </c>
      <c r="D65" s="400">
        <f>IFERROR(__xludf.DUMMYFUNCTION("""COMPUTED_VALUE"""),1.0)</f>
        <v>1</v>
      </c>
      <c r="E65" s="400" t="str">
        <f>IFERROR(__xludf.DUMMYFUNCTION("""COMPUTED_VALUE"""),"Ravi Kumar Verma")</f>
        <v>Ravi Kumar Verma</v>
      </c>
      <c r="F65" s="400" t="str">
        <f>IFERROR(__xludf.DUMMYFUNCTION("""COMPUTED_VALUE"""),"East U.P")</f>
        <v>East U.P</v>
      </c>
      <c r="G65" s="280">
        <f>IFERROR(__xludf.DUMMYFUNCTION("""COMPUTED_VALUE"""),1823166.0)</f>
        <v>1823166</v>
      </c>
      <c r="H65" s="190">
        <f>IFERROR(__xludf.DUMMYFUNCTION("""COMPUTED_VALUE"""),151930.5)</f>
        <v>151930.5</v>
      </c>
      <c r="I65" s="195">
        <f>IFERROR(__xludf.DUMMYFUNCTION("""COMPUTED_VALUE"""),1863251.0)</f>
        <v>1863251</v>
      </c>
      <c r="J65" s="195"/>
      <c r="K65" s="75">
        <f t="shared" si="2"/>
        <v>-40085</v>
      </c>
      <c r="L65" s="262">
        <f t="shared" si="3"/>
        <v>-0.02198647847</v>
      </c>
    </row>
    <row r="66">
      <c r="A66" s="75">
        <v>61.0</v>
      </c>
      <c r="B66" s="75" t="str">
        <f>IFERROR(__xludf.DUMMYFUNCTION("""COMPUTED_VALUE"""),"Durga sanitary and tiles")</f>
        <v>Durga sanitary and tiles</v>
      </c>
      <c r="C66" s="400">
        <f>IFERROR(__xludf.DUMMYFUNCTION("""COMPUTED_VALUE"""),75318.0)</f>
        <v>75318</v>
      </c>
      <c r="D66" s="400">
        <f>IFERROR(__xludf.DUMMYFUNCTION("""COMPUTED_VALUE"""),1.0)</f>
        <v>1</v>
      </c>
      <c r="E66" s="400" t="str">
        <f>IFERROR(__xludf.DUMMYFUNCTION("""COMPUTED_VALUE"""),"Rounak Mehla")</f>
        <v>Rounak Mehla</v>
      </c>
      <c r="F66" s="400" t="str">
        <f>IFERROR(__xludf.DUMMYFUNCTION("""COMPUTED_VALUE"""),"HARYANA")</f>
        <v>HARYANA</v>
      </c>
      <c r="G66" s="280">
        <f>IFERROR(__xludf.DUMMYFUNCTION("""COMPUTED_VALUE"""),75318.0)</f>
        <v>75318</v>
      </c>
      <c r="H66" s="190">
        <f>IFERROR(__xludf.DUMMYFUNCTION("""COMPUTED_VALUE"""),6276.5)</f>
        <v>6276.5</v>
      </c>
      <c r="I66" s="195">
        <f>IFERROR(__xludf.DUMMYFUNCTION("""COMPUTED_VALUE"""),286709.0)</f>
        <v>286709</v>
      </c>
      <c r="J66" s="195"/>
      <c r="K66" s="75">
        <f t="shared" si="2"/>
        <v>-211391</v>
      </c>
      <c r="L66" s="262">
        <f t="shared" si="3"/>
        <v>-2.806646486</v>
      </c>
    </row>
    <row r="67">
      <c r="A67" s="75">
        <v>62.0</v>
      </c>
      <c r="B67" s="75" t="str">
        <f>IFERROR(__xludf.DUMMYFUNCTION("""COMPUTED_VALUE"""),"FRIENDS ELECTRICALS AND PLUMBING")</f>
        <v>FRIENDS ELECTRICALS AND PLUMBING</v>
      </c>
      <c r="C67" s="400">
        <f>IFERROR(__xludf.DUMMYFUNCTION("""COMPUTED_VALUE"""),812155.0)</f>
        <v>812155</v>
      </c>
      <c r="D67" s="400">
        <f>IFERROR(__xludf.DUMMYFUNCTION("""COMPUTED_VALUE"""),1.0)</f>
        <v>1</v>
      </c>
      <c r="E67" s="400" t="str">
        <f>IFERROR(__xludf.DUMMYFUNCTION("""COMPUTED_VALUE"""),"D. Chand Basha")</f>
        <v>D. Chand Basha</v>
      </c>
      <c r="F67" s="400" t="str">
        <f>IFERROR(__xludf.DUMMYFUNCTION("""COMPUTED_VALUE"""),"ANDHRA PRADESH")</f>
        <v>ANDHRA PRADESH</v>
      </c>
      <c r="G67" s="280">
        <f>IFERROR(__xludf.DUMMYFUNCTION("""COMPUTED_VALUE"""),812155.0)</f>
        <v>812155</v>
      </c>
      <c r="H67" s="190">
        <f>IFERROR(__xludf.DUMMYFUNCTION("""COMPUTED_VALUE"""),67679.58333333333)</f>
        <v>67679.58333</v>
      </c>
      <c r="I67" s="195">
        <f>IFERROR(__xludf.DUMMYFUNCTION("""COMPUTED_VALUE"""),2800163.0)</f>
        <v>2800163</v>
      </c>
      <c r="J67" s="195"/>
      <c r="K67" s="75">
        <f t="shared" si="2"/>
        <v>-1988008</v>
      </c>
      <c r="L67" s="262">
        <f t="shared" si="3"/>
        <v>-2.447818458</v>
      </c>
    </row>
    <row r="68">
      <c r="A68" s="75">
        <v>63.0</v>
      </c>
      <c r="B68" s="75" t="str">
        <f>IFERROR(__xludf.DUMMYFUNCTION("""COMPUTED_VALUE"""),"G S TRADERS")</f>
        <v>G S TRADERS</v>
      </c>
      <c r="C68" s="400">
        <f>IFERROR(__xludf.DUMMYFUNCTION("""COMPUTED_VALUE"""),1875168.0)</f>
        <v>1875168</v>
      </c>
      <c r="D68" s="400">
        <f>IFERROR(__xludf.DUMMYFUNCTION("""COMPUTED_VALUE"""),1.0)</f>
        <v>1</v>
      </c>
      <c r="E68" s="400" t="str">
        <f>IFERROR(__xludf.DUMMYFUNCTION("""COMPUTED_VALUE"""),"Tafazul Nazir")</f>
        <v>Tafazul Nazir</v>
      </c>
      <c r="F68" s="400" t="str">
        <f>IFERROR(__xludf.DUMMYFUNCTION("""COMPUTED_VALUE"""),"JAMMU AND KASHMIR")</f>
        <v>JAMMU AND KASHMIR</v>
      </c>
      <c r="G68" s="280">
        <f>IFERROR(__xludf.DUMMYFUNCTION("""COMPUTED_VALUE"""),1875168.0)</f>
        <v>1875168</v>
      </c>
      <c r="H68" s="190">
        <f>IFERROR(__xludf.DUMMYFUNCTION("""COMPUTED_VALUE"""),156264.0)</f>
        <v>156264</v>
      </c>
      <c r="I68" s="195">
        <f>IFERROR(__xludf.DUMMYFUNCTION("""COMPUTED_VALUE"""),3214047.0)</f>
        <v>3214047</v>
      </c>
      <c r="J68" s="195"/>
      <c r="K68" s="75">
        <f t="shared" si="2"/>
        <v>-1338879</v>
      </c>
      <c r="L68" s="262">
        <f t="shared" si="3"/>
        <v>-0.7140048252</v>
      </c>
    </row>
    <row r="69">
      <c r="A69" s="75">
        <v>64.0</v>
      </c>
      <c r="B69" s="75" t="str">
        <f>IFERROR(__xludf.DUMMYFUNCTION("""COMPUTED_VALUE"""),"G.H. BROTHERS")</f>
        <v>G.H. BROTHERS</v>
      </c>
      <c r="C69" s="400">
        <f>IFERROR(__xludf.DUMMYFUNCTION("""COMPUTED_VALUE"""),6072.0)</f>
        <v>6072</v>
      </c>
      <c r="D69" s="400">
        <f>IFERROR(__xludf.DUMMYFUNCTION("""COMPUTED_VALUE"""),1.0)</f>
        <v>1</v>
      </c>
      <c r="E69" s="400" t="str">
        <f>IFERROR(__xludf.DUMMYFUNCTION("""COMPUTED_VALUE"""),"Basit Ahmad Pala")</f>
        <v>Basit Ahmad Pala</v>
      </c>
      <c r="F69" s="400" t="str">
        <f>IFERROR(__xludf.DUMMYFUNCTION("""COMPUTED_VALUE"""),"JAMMU AND KASHMIR")</f>
        <v>JAMMU AND KASHMIR</v>
      </c>
      <c r="G69" s="280">
        <f>IFERROR(__xludf.DUMMYFUNCTION("""COMPUTED_VALUE"""),6072.0)</f>
        <v>6072</v>
      </c>
      <c r="H69" s="190">
        <f>IFERROR(__xludf.DUMMYFUNCTION("""COMPUTED_VALUE"""),506.0)</f>
        <v>506</v>
      </c>
      <c r="I69" s="195">
        <f>IFERROR(__xludf.DUMMYFUNCTION("""COMPUTED_VALUE"""),0.0)</f>
        <v>0</v>
      </c>
      <c r="J69" s="195"/>
      <c r="K69" s="75">
        <f t="shared" si="2"/>
        <v>6072</v>
      </c>
      <c r="L69" s="262">
        <f t="shared" si="3"/>
        <v>1</v>
      </c>
    </row>
    <row r="70">
      <c r="A70" s="75">
        <v>65.0</v>
      </c>
      <c r="B70" s="75" t="str">
        <f>IFERROR(__xludf.DUMMYFUNCTION("""COMPUTED_VALUE"""),"GANIE TRADING HUB")</f>
        <v>GANIE TRADING HUB</v>
      </c>
      <c r="C70" s="400">
        <f>IFERROR(__xludf.DUMMYFUNCTION("""COMPUTED_VALUE"""),498473.0)</f>
        <v>498473</v>
      </c>
      <c r="D70" s="400">
        <f>IFERROR(__xludf.DUMMYFUNCTION("""COMPUTED_VALUE"""),2.0)</f>
        <v>2</v>
      </c>
      <c r="E70" s="400" t="str">
        <f>IFERROR(__xludf.DUMMYFUNCTION("""COMPUTED_VALUE"""),"Irfan Ahmad Wani, Basit Ahmad Pala")</f>
        <v>Irfan Ahmad Wani, Basit Ahmad Pala</v>
      </c>
      <c r="F70" s="400" t="str">
        <f>IFERROR(__xludf.DUMMYFUNCTION("""COMPUTED_VALUE"""),"JAMMU AND KASHMIR")</f>
        <v>JAMMU AND KASHMIR</v>
      </c>
      <c r="G70" s="280">
        <f>IFERROR(__xludf.DUMMYFUNCTION("""COMPUTED_VALUE"""),249236.5)</f>
        <v>249236.5</v>
      </c>
      <c r="H70" s="190">
        <f>IFERROR(__xludf.DUMMYFUNCTION("""COMPUTED_VALUE"""),20769.708333333332)</f>
        <v>20769.70833</v>
      </c>
      <c r="I70" s="195">
        <f>IFERROR(__xludf.DUMMYFUNCTION("""COMPUTED_VALUE"""),650534.0)</f>
        <v>650534</v>
      </c>
      <c r="J70" s="195"/>
      <c r="K70" s="75">
        <f t="shared" si="2"/>
        <v>-152061</v>
      </c>
      <c r="L70" s="262">
        <f t="shared" si="3"/>
        <v>-0.3050536338</v>
      </c>
    </row>
    <row r="71">
      <c r="A71" s="75">
        <v>66.0</v>
      </c>
      <c r="B71" s="75" t="str">
        <f>IFERROR(__xludf.DUMMYFUNCTION("""COMPUTED_VALUE"""),"Godara traders")</f>
        <v>Godara traders</v>
      </c>
      <c r="C71" s="400">
        <f>IFERROR(__xludf.DUMMYFUNCTION("""COMPUTED_VALUE"""),19908.0)</f>
        <v>19908</v>
      </c>
      <c r="D71" s="400">
        <f>IFERROR(__xludf.DUMMYFUNCTION("""COMPUTED_VALUE"""),1.0)</f>
        <v>1</v>
      </c>
      <c r="E71" s="400" t="str">
        <f>IFERROR(__xludf.DUMMYFUNCTION("""COMPUTED_VALUE"""),"Ranveer Singh")</f>
        <v>Ranveer Singh</v>
      </c>
      <c r="F71" s="400" t="str">
        <f>IFERROR(__xludf.DUMMYFUNCTION("""COMPUTED_VALUE"""),"RAJASTHAN")</f>
        <v>RAJASTHAN</v>
      </c>
      <c r="G71" s="280">
        <f>IFERROR(__xludf.DUMMYFUNCTION("""COMPUTED_VALUE"""),19908.0)</f>
        <v>19908</v>
      </c>
      <c r="H71" s="190">
        <f>IFERROR(__xludf.DUMMYFUNCTION("""COMPUTED_VALUE"""),1659.0)</f>
        <v>1659</v>
      </c>
      <c r="I71" s="195">
        <f>IFERROR(__xludf.DUMMYFUNCTION("""COMPUTED_VALUE"""),0.0)</f>
        <v>0</v>
      </c>
      <c r="J71" s="195"/>
      <c r="K71" s="75">
        <f t="shared" si="2"/>
        <v>19908</v>
      </c>
      <c r="L71" s="262">
        <f t="shared" si="3"/>
        <v>1</v>
      </c>
    </row>
    <row r="72">
      <c r="A72" s="75">
        <v>67.0</v>
      </c>
      <c r="B72" s="75" t="str">
        <f>IFERROR(__xludf.DUMMYFUNCTION("""COMPUTED_VALUE"""),"GOLDKINGSON WELMADE PVT LTD")</f>
        <v>GOLDKINGSON WELMADE PVT LTD</v>
      </c>
      <c r="C72" s="400">
        <f>IFERROR(__xludf.DUMMYFUNCTION("""COMPUTED_VALUE"""),4233284.0)</f>
        <v>4233284</v>
      </c>
      <c r="D72" s="400">
        <f>IFERROR(__xludf.DUMMYFUNCTION("""COMPUTED_VALUE"""),2.0)</f>
        <v>2</v>
      </c>
      <c r="E72" s="400" t="str">
        <f>IFERROR(__xludf.DUMMYFUNCTION("""COMPUTED_VALUE"""),"Ashokraj A., M. Raman")</f>
        <v>Ashokraj A., M. Raman</v>
      </c>
      <c r="F72" s="400" t="str">
        <f>IFERROR(__xludf.DUMMYFUNCTION("""COMPUTED_VALUE"""),"TAMIL NADU")</f>
        <v>TAMIL NADU</v>
      </c>
      <c r="G72" s="280">
        <f>IFERROR(__xludf.DUMMYFUNCTION("""COMPUTED_VALUE"""),2116642.0)</f>
        <v>2116642</v>
      </c>
      <c r="H72" s="190">
        <f>IFERROR(__xludf.DUMMYFUNCTION("""COMPUTED_VALUE"""),176386.83333333334)</f>
        <v>176386.8333</v>
      </c>
      <c r="I72" s="195">
        <f>IFERROR(__xludf.DUMMYFUNCTION("""COMPUTED_VALUE"""),0.0)</f>
        <v>0</v>
      </c>
      <c r="J72" s="195"/>
      <c r="K72" s="75">
        <f t="shared" si="2"/>
        <v>4233284</v>
      </c>
      <c r="L72" s="262">
        <f t="shared" si="3"/>
        <v>1</v>
      </c>
    </row>
    <row r="73">
      <c r="A73" s="75">
        <v>68.0</v>
      </c>
      <c r="B73" s="75" t="str">
        <f>IFERROR(__xludf.DUMMYFUNCTION("""COMPUTED_VALUE"""),"Gopal Pipe Corporation")</f>
        <v>Gopal Pipe Corporation</v>
      </c>
      <c r="C73" s="400">
        <f>IFERROR(__xludf.DUMMYFUNCTION("""COMPUTED_VALUE"""),4666.0)</f>
        <v>4666</v>
      </c>
      <c r="D73" s="400">
        <f>IFERROR(__xludf.DUMMYFUNCTION("""COMPUTED_VALUE"""),1.0)</f>
        <v>1</v>
      </c>
      <c r="E73" s="400" t="str">
        <f>IFERROR(__xludf.DUMMYFUNCTION("""COMPUTED_VALUE"""),"AMAN KHAN")</f>
        <v>AMAN KHAN</v>
      </c>
      <c r="F73" s="400" t="str">
        <f>IFERROR(__xludf.DUMMYFUNCTION("""COMPUTED_VALUE"""),"East U.P")</f>
        <v>East U.P</v>
      </c>
      <c r="G73" s="280">
        <f>IFERROR(__xludf.DUMMYFUNCTION("""COMPUTED_VALUE"""),4666.0)</f>
        <v>4666</v>
      </c>
      <c r="H73" s="190">
        <f>IFERROR(__xludf.DUMMYFUNCTION("""COMPUTED_VALUE"""),388.8333333333333)</f>
        <v>388.8333333</v>
      </c>
      <c r="I73" s="195">
        <f>IFERROR(__xludf.DUMMYFUNCTION("""COMPUTED_VALUE"""),1579409.0)</f>
        <v>1579409</v>
      </c>
      <c r="J73" s="195"/>
      <c r="K73" s="75">
        <f t="shared" si="2"/>
        <v>-1574743</v>
      </c>
      <c r="L73" s="262">
        <f t="shared" si="3"/>
        <v>-337.4931419</v>
      </c>
    </row>
    <row r="74">
      <c r="A74" s="75">
        <v>69.0</v>
      </c>
      <c r="B74" s="75" t="str">
        <f>IFERROR(__xludf.DUMMYFUNCTION("""COMPUTED_VALUE"""),"Gorakhpur Marble Woks")</f>
        <v>Gorakhpur Marble Woks</v>
      </c>
      <c r="C74" s="400">
        <f>IFERROR(__xludf.DUMMYFUNCTION("""COMPUTED_VALUE"""),2.2044599E7)</f>
        <v>22044599</v>
      </c>
      <c r="D74" s="400">
        <f>IFERROR(__xludf.DUMMYFUNCTION("""COMPUTED_VALUE"""),2.0)</f>
        <v>2</v>
      </c>
      <c r="E74" s="400" t="str">
        <f>IFERROR(__xludf.DUMMYFUNCTION("""COMPUTED_VALUE"""),"Hemant kumar srivastava, Rohit Kumar")</f>
        <v>Hemant kumar srivastava, Rohit Kumar</v>
      </c>
      <c r="F74" s="400" t="str">
        <f>IFERROR(__xludf.DUMMYFUNCTION("""COMPUTED_VALUE"""),"East U.P")</f>
        <v>East U.P</v>
      </c>
      <c r="G74" s="280">
        <f>IFERROR(__xludf.DUMMYFUNCTION("""COMPUTED_VALUE"""),1.10222995E7)</f>
        <v>11022299.5</v>
      </c>
      <c r="H74" s="190">
        <f>IFERROR(__xludf.DUMMYFUNCTION("""COMPUTED_VALUE"""),918524.9583333334)</f>
        <v>918524.9583</v>
      </c>
      <c r="I74" s="195">
        <f>IFERROR(__xludf.DUMMYFUNCTION("""COMPUTED_VALUE"""),2.0803397E7)</f>
        <v>20803397</v>
      </c>
      <c r="J74" s="195"/>
      <c r="K74" s="75">
        <f t="shared" si="2"/>
        <v>1241202</v>
      </c>
      <c r="L74" s="262">
        <f t="shared" si="3"/>
        <v>0.05630413146</v>
      </c>
    </row>
    <row r="75">
      <c r="A75" s="75">
        <v>70.0</v>
      </c>
      <c r="B75" s="75" t="str">
        <f>IFERROR(__xludf.DUMMYFUNCTION("""COMPUTED_VALUE"""),"Govind Hardware")</f>
        <v>Govind Hardware</v>
      </c>
      <c r="C75" s="400">
        <f>IFERROR(__xludf.DUMMYFUNCTION("""COMPUTED_VALUE"""),1231220.0)</f>
        <v>1231220</v>
      </c>
      <c r="D75" s="400">
        <f>IFERROR(__xludf.DUMMYFUNCTION("""COMPUTED_VALUE"""),2.0)</f>
        <v>2</v>
      </c>
      <c r="E75" s="400" t="str">
        <f>IFERROR(__xludf.DUMMYFUNCTION("""COMPUTED_VALUE"""),"Rajan Srivastava, Sandeep Kanaujiya")</f>
        <v>Rajan Srivastava, Sandeep Kanaujiya</v>
      </c>
      <c r="F75" s="400" t="str">
        <f>IFERROR(__xludf.DUMMYFUNCTION("""COMPUTED_VALUE"""),"East U.P")</f>
        <v>East U.P</v>
      </c>
      <c r="G75" s="280">
        <f>IFERROR(__xludf.DUMMYFUNCTION("""COMPUTED_VALUE"""),615610.0)</f>
        <v>615610</v>
      </c>
      <c r="H75" s="190">
        <f>IFERROR(__xludf.DUMMYFUNCTION("""COMPUTED_VALUE"""),51300.833333333336)</f>
        <v>51300.83333</v>
      </c>
      <c r="I75" s="195">
        <f>IFERROR(__xludf.DUMMYFUNCTION("""COMPUTED_VALUE"""),3293298.0)</f>
        <v>3293298</v>
      </c>
      <c r="J75" s="195"/>
      <c r="K75" s="75">
        <f t="shared" si="2"/>
        <v>-2062078</v>
      </c>
      <c r="L75" s="262">
        <f t="shared" si="3"/>
        <v>-1.67482497</v>
      </c>
    </row>
    <row r="76">
      <c r="A76" s="75">
        <v>71.0</v>
      </c>
      <c r="B76" s="75" t="str">
        <f>IFERROR(__xludf.DUMMYFUNCTION("""COMPUTED_VALUE"""),"Goyal Sanitation")</f>
        <v>Goyal Sanitation</v>
      </c>
      <c r="C76" s="400">
        <f>IFERROR(__xludf.DUMMYFUNCTION("""COMPUTED_VALUE"""),4235901.0)</f>
        <v>4235901</v>
      </c>
      <c r="D76" s="400">
        <f>IFERROR(__xludf.DUMMYFUNCTION("""COMPUTED_VALUE"""),1.0)</f>
        <v>1</v>
      </c>
      <c r="E76" s="400" t="str">
        <f>IFERROR(__xludf.DUMMYFUNCTION("""COMPUTED_VALUE"""),"Amit Tangri")</f>
        <v>Amit Tangri</v>
      </c>
      <c r="F76" s="400" t="str">
        <f>IFERROR(__xludf.DUMMYFUNCTION("""COMPUTED_VALUE"""),"PUNJAB")</f>
        <v>PUNJAB</v>
      </c>
      <c r="G76" s="280">
        <f>IFERROR(__xludf.DUMMYFUNCTION("""COMPUTED_VALUE"""),4235901.0)</f>
        <v>4235901</v>
      </c>
      <c r="H76" s="190">
        <f>IFERROR(__xludf.DUMMYFUNCTION("""COMPUTED_VALUE"""),352991.75)</f>
        <v>352991.75</v>
      </c>
      <c r="I76" s="195">
        <f>IFERROR(__xludf.DUMMYFUNCTION("""COMPUTED_VALUE"""),4758273.0)</f>
        <v>4758273</v>
      </c>
      <c r="J76" s="195"/>
      <c r="K76" s="75">
        <f t="shared" si="2"/>
        <v>-522372</v>
      </c>
      <c r="L76" s="262">
        <f t="shared" si="3"/>
        <v>-0.1233201626</v>
      </c>
    </row>
    <row r="77">
      <c r="A77" s="75">
        <v>72.0</v>
      </c>
      <c r="B77" s="75" t="str">
        <f>IFERROR(__xludf.DUMMYFUNCTION("""COMPUTED_VALUE"""),"Grahaa Priya enterprise")</f>
        <v>Grahaa Priya enterprise</v>
      </c>
      <c r="C77" s="400">
        <f>IFERROR(__xludf.DUMMYFUNCTION("""COMPUTED_VALUE"""),1.0612589E7)</f>
        <v>10612589</v>
      </c>
      <c r="D77" s="400">
        <f>IFERROR(__xludf.DUMMYFUNCTION("""COMPUTED_VALUE"""),5.0)</f>
        <v>5</v>
      </c>
      <c r="E77" s="400" t="str">
        <f>IFERROR(__xludf.DUMMYFUNCTION("""COMPUTED_VALUE"""),"Ganesh Kumar, Karuppasamy R, Saibulla S., V. Rajesh, K Suresh Kumar")</f>
        <v>Ganesh Kumar, Karuppasamy R, Saibulla S., V. Rajesh, K Suresh Kumar</v>
      </c>
      <c r="F77" s="400" t="str">
        <f>IFERROR(__xludf.DUMMYFUNCTION("""COMPUTED_VALUE"""),"TAMIL NADU")</f>
        <v>TAMIL NADU</v>
      </c>
      <c r="G77" s="280">
        <f>IFERROR(__xludf.DUMMYFUNCTION("""COMPUTED_VALUE"""),2122517.8)</f>
        <v>2122517.8</v>
      </c>
      <c r="H77" s="190">
        <f>IFERROR(__xludf.DUMMYFUNCTION("""COMPUTED_VALUE"""),176876.4833333333)</f>
        <v>176876.4833</v>
      </c>
      <c r="I77" s="195">
        <f>IFERROR(__xludf.DUMMYFUNCTION("""COMPUTED_VALUE"""),9.403148E7)</f>
        <v>94031480</v>
      </c>
      <c r="J77" s="195"/>
      <c r="K77" s="75">
        <f t="shared" si="2"/>
        <v>-83418891</v>
      </c>
      <c r="L77" s="262">
        <f t="shared" si="3"/>
        <v>-7.860371395</v>
      </c>
    </row>
    <row r="78">
      <c r="A78" s="75">
        <v>73.0</v>
      </c>
      <c r="B78" s="75" t="str">
        <f>IFERROR(__xludf.DUMMYFUNCTION("""COMPUTED_VALUE"""),"Gupta hardware store")</f>
        <v>Gupta hardware store</v>
      </c>
      <c r="C78" s="400">
        <f>IFERROR(__xludf.DUMMYFUNCTION("""COMPUTED_VALUE"""),530952.0)</f>
        <v>530952</v>
      </c>
      <c r="D78" s="400">
        <f>IFERROR(__xludf.DUMMYFUNCTION("""COMPUTED_VALUE"""),1.0)</f>
        <v>1</v>
      </c>
      <c r="E78" s="400" t="str">
        <f>IFERROR(__xludf.DUMMYFUNCTION("""COMPUTED_VALUE"""),"NIkhil Patial")</f>
        <v>NIkhil Patial</v>
      </c>
      <c r="F78" s="400" t="str">
        <f>IFERROR(__xludf.DUMMYFUNCTION("""COMPUTED_VALUE"""),"HIMACHAL PRADESH")</f>
        <v>HIMACHAL PRADESH</v>
      </c>
      <c r="G78" s="280">
        <f>IFERROR(__xludf.DUMMYFUNCTION("""COMPUTED_VALUE"""),530952.0)</f>
        <v>530952</v>
      </c>
      <c r="H78" s="190">
        <f>IFERROR(__xludf.DUMMYFUNCTION("""COMPUTED_VALUE"""),44246.0)</f>
        <v>44246</v>
      </c>
      <c r="I78" s="195">
        <f>IFERROR(__xludf.DUMMYFUNCTION("""COMPUTED_VALUE"""),581768.0)</f>
        <v>581768</v>
      </c>
      <c r="J78" s="195"/>
      <c r="K78" s="75">
        <f t="shared" si="2"/>
        <v>-50816</v>
      </c>
      <c r="L78" s="262">
        <f t="shared" si="3"/>
        <v>-0.09570733324</v>
      </c>
    </row>
    <row r="79">
      <c r="A79" s="75">
        <v>74.0</v>
      </c>
      <c r="B79" s="75" t="str">
        <f>IFERROR(__xludf.DUMMYFUNCTION("""COMPUTED_VALUE"""),"Gupta Traders")</f>
        <v>Gupta Traders</v>
      </c>
      <c r="C79" s="400">
        <f>IFERROR(__xludf.DUMMYFUNCTION("""COMPUTED_VALUE"""),1214994.0)</f>
        <v>1214994</v>
      </c>
      <c r="D79" s="400">
        <f>IFERROR(__xludf.DUMMYFUNCTION("""COMPUTED_VALUE"""),1.0)</f>
        <v>1</v>
      </c>
      <c r="E79" s="400" t="str">
        <f>IFERROR(__xludf.DUMMYFUNCTION("""COMPUTED_VALUE"""),"Pradeep Kumar")</f>
        <v>Pradeep Kumar</v>
      </c>
      <c r="F79" s="400" t="str">
        <f>IFERROR(__xludf.DUMMYFUNCTION("""COMPUTED_VALUE"""),"BIHAR")</f>
        <v>BIHAR</v>
      </c>
      <c r="G79" s="280">
        <f>IFERROR(__xludf.DUMMYFUNCTION("""COMPUTED_VALUE"""),1214994.0)</f>
        <v>1214994</v>
      </c>
      <c r="H79" s="190">
        <f>IFERROR(__xludf.DUMMYFUNCTION("""COMPUTED_VALUE"""),101249.5)</f>
        <v>101249.5</v>
      </c>
      <c r="I79" s="195">
        <f>IFERROR(__xludf.DUMMYFUNCTION("""COMPUTED_VALUE"""),3223644.0)</f>
        <v>3223644</v>
      </c>
      <c r="J79" s="195"/>
      <c r="K79" s="75">
        <f t="shared" si="2"/>
        <v>-2008650</v>
      </c>
      <c r="L79" s="262">
        <f t="shared" si="3"/>
        <v>-1.653218041</v>
      </c>
    </row>
    <row r="80">
      <c r="A80" s="75">
        <v>75.0</v>
      </c>
      <c r="B80" s="75" t="str">
        <f>IFERROR(__xludf.DUMMYFUNCTION("""COMPUTED_VALUE"""),"Gupta tube company")</f>
        <v>Gupta tube company</v>
      </c>
      <c r="C80" s="400">
        <f>IFERROR(__xludf.DUMMYFUNCTION("""COMPUTED_VALUE"""),91031.0)</f>
        <v>91031</v>
      </c>
      <c r="D80" s="400">
        <f>IFERROR(__xludf.DUMMYFUNCTION("""COMPUTED_VALUE"""),1.0)</f>
        <v>1</v>
      </c>
      <c r="E80" s="400" t="str">
        <f>IFERROR(__xludf.DUMMYFUNCTION("""COMPUTED_VALUE"""),"Rounak Mehla")</f>
        <v>Rounak Mehla</v>
      </c>
      <c r="F80" s="400" t="str">
        <f>IFERROR(__xludf.DUMMYFUNCTION("""COMPUTED_VALUE"""),"HARYANA")</f>
        <v>HARYANA</v>
      </c>
      <c r="G80" s="280">
        <f>IFERROR(__xludf.DUMMYFUNCTION("""COMPUTED_VALUE"""),91031.0)</f>
        <v>91031</v>
      </c>
      <c r="H80" s="190">
        <f>IFERROR(__xludf.DUMMYFUNCTION("""COMPUTED_VALUE"""),7585.916666666667)</f>
        <v>7585.916667</v>
      </c>
      <c r="I80" s="195">
        <f>IFERROR(__xludf.DUMMYFUNCTION("""COMPUTED_VALUE"""),0.0)</f>
        <v>0</v>
      </c>
      <c r="J80" s="195" t="str">
        <f>IFERROR(__xludf.DUMMYFUNCTION("""COMPUTED_VALUE"""),"As Discssed With Pawan Sir he informed that team members was updated wrong orders. Team member name Rounak Mehla")</f>
        <v>As Discssed With Pawan Sir he informed that team members was updated wrong orders. Team member name Rounak Mehla</v>
      </c>
      <c r="K80" s="75">
        <f t="shared" si="2"/>
        <v>91031</v>
      </c>
      <c r="L80" s="262">
        <f t="shared" si="3"/>
        <v>1</v>
      </c>
    </row>
    <row r="81">
      <c r="A81" s="75">
        <v>76.0</v>
      </c>
      <c r="B81" s="75" t="str">
        <f>IFERROR(__xludf.DUMMYFUNCTION("""COMPUTED_VALUE"""),"Harsh trading company")</f>
        <v>Harsh trading company</v>
      </c>
      <c r="C81" s="400">
        <f>IFERROR(__xludf.DUMMYFUNCTION("""COMPUTED_VALUE"""),260220.0)</f>
        <v>260220</v>
      </c>
      <c r="D81" s="400">
        <f>IFERROR(__xludf.DUMMYFUNCTION("""COMPUTED_VALUE"""),1.0)</f>
        <v>1</v>
      </c>
      <c r="E81" s="400" t="str">
        <f>IFERROR(__xludf.DUMMYFUNCTION("""COMPUTED_VALUE"""),"Jagdev")</f>
        <v>Jagdev</v>
      </c>
      <c r="F81" s="400" t="str">
        <f>IFERROR(__xludf.DUMMYFUNCTION("""COMPUTED_VALUE"""),"West U.P")</f>
        <v>West U.P</v>
      </c>
      <c r="G81" s="280">
        <f>IFERROR(__xludf.DUMMYFUNCTION("""COMPUTED_VALUE"""),260220.0)</f>
        <v>260220</v>
      </c>
      <c r="H81" s="190">
        <f>IFERROR(__xludf.DUMMYFUNCTION("""COMPUTED_VALUE"""),21685.0)</f>
        <v>21685</v>
      </c>
      <c r="I81" s="195">
        <f>IFERROR(__xludf.DUMMYFUNCTION("""COMPUTED_VALUE"""),742855.0)</f>
        <v>742855</v>
      </c>
      <c r="J81" s="195"/>
      <c r="K81" s="75">
        <f t="shared" si="2"/>
        <v>-482635</v>
      </c>
      <c r="L81" s="262">
        <f t="shared" si="3"/>
        <v>-1.854719084</v>
      </c>
    </row>
    <row r="82">
      <c r="A82" s="75">
        <v>77.0</v>
      </c>
      <c r="B82" s="75" t="str">
        <f>IFERROR(__xludf.DUMMYFUNCTION("""COMPUTED_VALUE"""),"Hemang Sales Agency")</f>
        <v>Hemang Sales Agency</v>
      </c>
      <c r="C82" s="400">
        <f>IFERROR(__xludf.DUMMYFUNCTION("""COMPUTED_VALUE"""),14305.0)</f>
        <v>14305</v>
      </c>
      <c r="D82" s="400">
        <f>IFERROR(__xludf.DUMMYFUNCTION("""COMPUTED_VALUE"""),1.0)</f>
        <v>1</v>
      </c>
      <c r="E82" s="400" t="str">
        <f>IFERROR(__xludf.DUMMYFUNCTION("""COMPUTED_VALUE"""),"Devdutt Joshi")</f>
        <v>Devdutt Joshi</v>
      </c>
      <c r="F82" s="400" t="str">
        <f>IFERROR(__xludf.DUMMYFUNCTION("""COMPUTED_VALUE"""),"GUJARAT")</f>
        <v>GUJARAT</v>
      </c>
      <c r="G82" s="280">
        <f>IFERROR(__xludf.DUMMYFUNCTION("""COMPUTED_VALUE"""),14305.0)</f>
        <v>14305</v>
      </c>
      <c r="H82" s="190">
        <f>IFERROR(__xludf.DUMMYFUNCTION("""COMPUTED_VALUE"""),1192.0833333333333)</f>
        <v>1192.083333</v>
      </c>
      <c r="I82" s="195">
        <f>IFERROR(__xludf.DUMMYFUNCTION("""COMPUTED_VALUE"""),1542587.0)</f>
        <v>1542587</v>
      </c>
      <c r="J82" s="195"/>
      <c r="K82" s="75">
        <f t="shared" si="2"/>
        <v>-1528282</v>
      </c>
      <c r="L82" s="262">
        <f t="shared" si="3"/>
        <v>-106.8355121</v>
      </c>
    </row>
    <row r="83">
      <c r="A83" s="75">
        <v>78.0</v>
      </c>
      <c r="B83" s="75" t="str">
        <f>IFERROR(__xludf.DUMMYFUNCTION("""COMPUTED_VALUE"""),"HINDUSTAN ENTERPRISES")</f>
        <v>HINDUSTAN ENTERPRISES</v>
      </c>
      <c r="C83" s="400">
        <f>IFERROR(__xludf.DUMMYFUNCTION("""COMPUTED_VALUE"""),4884663.0)</f>
        <v>4884663</v>
      </c>
      <c r="D83" s="400">
        <f>IFERROR(__xludf.DUMMYFUNCTION("""COMPUTED_VALUE"""),1.0)</f>
        <v>1</v>
      </c>
      <c r="E83" s="400" t="str">
        <f>IFERROR(__xludf.DUMMYFUNCTION("""COMPUTED_VALUE"""),"Adarsh Gaurav")</f>
        <v>Adarsh Gaurav</v>
      </c>
      <c r="F83" s="400" t="str">
        <f>IFERROR(__xludf.DUMMYFUNCTION("""COMPUTED_VALUE"""),"BIHAR")</f>
        <v>BIHAR</v>
      </c>
      <c r="G83" s="280">
        <f>IFERROR(__xludf.DUMMYFUNCTION("""COMPUTED_VALUE"""),4884663.0)</f>
        <v>4884663</v>
      </c>
      <c r="H83" s="190">
        <f>IFERROR(__xludf.DUMMYFUNCTION("""COMPUTED_VALUE"""),407055.25)</f>
        <v>407055.25</v>
      </c>
      <c r="I83" s="195">
        <f>IFERROR(__xludf.DUMMYFUNCTION("""COMPUTED_VALUE"""),4318039.0)</f>
        <v>4318039</v>
      </c>
      <c r="J83" s="195"/>
      <c r="K83" s="75">
        <f t="shared" si="2"/>
        <v>566624</v>
      </c>
      <c r="L83" s="262">
        <f t="shared" si="3"/>
        <v>0.116000633</v>
      </c>
    </row>
    <row r="84">
      <c r="A84" s="75">
        <v>79.0</v>
      </c>
      <c r="B84" s="75" t="str">
        <f>IFERROR(__xludf.DUMMYFUNCTION("""COMPUTED_VALUE"""),"INDIRA ENTERPRISE")</f>
        <v>INDIRA ENTERPRISE</v>
      </c>
      <c r="C84" s="400">
        <f>IFERROR(__xludf.DUMMYFUNCTION("""COMPUTED_VALUE"""),1.2145243E7)</f>
        <v>12145243</v>
      </c>
      <c r="D84" s="400">
        <f>IFERROR(__xludf.DUMMYFUNCTION("""COMPUTED_VALUE"""),2.0)</f>
        <v>2</v>
      </c>
      <c r="E84" s="400" t="str">
        <f>IFERROR(__xludf.DUMMYFUNCTION("""COMPUTED_VALUE"""),"ATANU PAUL, Sushanta Barman")</f>
        <v>ATANU PAUL, Sushanta Barman</v>
      </c>
      <c r="F84" s="400" t="str">
        <f>IFERROR(__xludf.DUMMYFUNCTION("""COMPUTED_VALUE"""),"WEST BENGAL")</f>
        <v>WEST BENGAL</v>
      </c>
      <c r="G84" s="280">
        <f>IFERROR(__xludf.DUMMYFUNCTION("""COMPUTED_VALUE"""),6072621.5)</f>
        <v>6072621.5</v>
      </c>
      <c r="H84" s="190">
        <f>IFERROR(__xludf.DUMMYFUNCTION("""COMPUTED_VALUE"""),506051.7916666667)</f>
        <v>506051.7917</v>
      </c>
      <c r="I84" s="195">
        <f>IFERROR(__xludf.DUMMYFUNCTION("""COMPUTED_VALUE"""),3677915.0)</f>
        <v>3677915</v>
      </c>
      <c r="J84" s="195"/>
      <c r="K84" s="75">
        <f t="shared" si="2"/>
        <v>8467328</v>
      </c>
      <c r="L84" s="262">
        <f t="shared" si="3"/>
        <v>0.6971723826</v>
      </c>
    </row>
    <row r="85">
      <c r="A85" s="75">
        <v>80.0</v>
      </c>
      <c r="B85" s="75" t="str">
        <f>IFERROR(__xludf.DUMMYFUNCTION("""COMPUTED_VALUE"""),"Jagdamba Enterprises")</f>
        <v>Jagdamba Enterprises</v>
      </c>
      <c r="C85" s="400">
        <f>IFERROR(__xludf.DUMMYFUNCTION("""COMPUTED_VALUE"""),281486.0)</f>
        <v>281486</v>
      </c>
      <c r="D85" s="400">
        <f>IFERROR(__xludf.DUMMYFUNCTION("""COMPUTED_VALUE"""),1.0)</f>
        <v>1</v>
      </c>
      <c r="E85" s="400" t="str">
        <f>IFERROR(__xludf.DUMMYFUNCTION("""COMPUTED_VALUE"""),"KARAN SINGH PANWAR")</f>
        <v>KARAN SINGH PANWAR</v>
      </c>
      <c r="F85" s="400" t="str">
        <f>IFERROR(__xludf.DUMMYFUNCTION("""COMPUTED_VALUE"""),"RAJASTHAN")</f>
        <v>RAJASTHAN</v>
      </c>
      <c r="G85" s="280">
        <f>IFERROR(__xludf.DUMMYFUNCTION("""COMPUTED_VALUE"""),281486.0)</f>
        <v>281486</v>
      </c>
      <c r="H85" s="190">
        <f>IFERROR(__xludf.DUMMYFUNCTION("""COMPUTED_VALUE"""),23457.166666666668)</f>
        <v>23457.16667</v>
      </c>
      <c r="I85" s="195">
        <f>IFERROR(__xludf.DUMMYFUNCTION("""COMPUTED_VALUE"""),1062482.0)</f>
        <v>1062482</v>
      </c>
      <c r="J85" s="195"/>
      <c r="K85" s="75">
        <f t="shared" si="2"/>
        <v>-780996</v>
      </c>
      <c r="L85" s="262">
        <f t="shared" si="3"/>
        <v>-2.774546514</v>
      </c>
    </row>
    <row r="86">
      <c r="A86" s="75">
        <v>81.0</v>
      </c>
      <c r="B86" s="75" t="str">
        <f>IFERROR(__xludf.DUMMYFUNCTION("""COMPUTED_VALUE"""),"Jagdamba Traders")</f>
        <v>Jagdamba Traders</v>
      </c>
      <c r="C86" s="400">
        <f>IFERROR(__xludf.DUMMYFUNCTION("""COMPUTED_VALUE"""),6196995.0)</f>
        <v>6196995</v>
      </c>
      <c r="D86" s="400">
        <f>IFERROR(__xludf.DUMMYFUNCTION("""COMPUTED_VALUE"""),1.0)</f>
        <v>1</v>
      </c>
      <c r="E86" s="400" t="str">
        <f>IFERROR(__xludf.DUMMYFUNCTION("""COMPUTED_VALUE"""),"Prasun Chatterjee")</f>
        <v>Prasun Chatterjee</v>
      </c>
      <c r="F86" s="400" t="str">
        <f>IFERROR(__xludf.DUMMYFUNCTION("""COMPUTED_VALUE"""),"DELHI")</f>
        <v>DELHI</v>
      </c>
      <c r="G86" s="280">
        <f>IFERROR(__xludf.DUMMYFUNCTION("""COMPUTED_VALUE"""),6196995.0)</f>
        <v>6196995</v>
      </c>
      <c r="H86" s="190">
        <f>IFERROR(__xludf.DUMMYFUNCTION("""COMPUTED_VALUE"""),516416.25)</f>
        <v>516416.25</v>
      </c>
      <c r="I86" s="195">
        <f>IFERROR(__xludf.DUMMYFUNCTION("""COMPUTED_VALUE"""),3234997.0)</f>
        <v>3234997</v>
      </c>
      <c r="J86" s="195"/>
      <c r="K86" s="75">
        <f t="shared" si="2"/>
        <v>2961998</v>
      </c>
      <c r="L86" s="262">
        <f t="shared" si="3"/>
        <v>0.4779732758</v>
      </c>
    </row>
    <row r="87">
      <c r="A87" s="75">
        <v>82.0</v>
      </c>
      <c r="B87" s="75" t="str">
        <f>IFERROR(__xludf.DUMMYFUNCTION("""COMPUTED_VALUE"""),"Jai Durga Traders")</f>
        <v>Jai Durga Traders</v>
      </c>
      <c r="C87" s="400">
        <f>IFERROR(__xludf.DUMMYFUNCTION("""COMPUTED_VALUE"""),1.4192565E7)</f>
        <v>14192565</v>
      </c>
      <c r="D87" s="400">
        <f>IFERROR(__xludf.DUMMYFUNCTION("""COMPUTED_VALUE"""),1.0)</f>
        <v>1</v>
      </c>
      <c r="E87" s="400" t="str">
        <f>IFERROR(__xludf.DUMMYFUNCTION("""COMPUTED_VALUE"""),"Nitin prasad baghel")</f>
        <v>Nitin prasad baghel</v>
      </c>
      <c r="F87" s="400" t="str">
        <f>IFERROR(__xludf.DUMMYFUNCTION("""COMPUTED_VALUE"""),"CHATTISGARH")</f>
        <v>CHATTISGARH</v>
      </c>
      <c r="G87" s="280">
        <f>IFERROR(__xludf.DUMMYFUNCTION("""COMPUTED_VALUE"""),1.4192565E7)</f>
        <v>14192565</v>
      </c>
      <c r="H87" s="190">
        <f>IFERROR(__xludf.DUMMYFUNCTION("""COMPUTED_VALUE"""),1182713.75)</f>
        <v>1182713.75</v>
      </c>
      <c r="I87" s="195">
        <f>IFERROR(__xludf.DUMMYFUNCTION("""COMPUTED_VALUE"""),1.9428874E7)</f>
        <v>19428874</v>
      </c>
      <c r="J87" s="195"/>
      <c r="K87" s="75">
        <f t="shared" si="2"/>
        <v>-5236309</v>
      </c>
      <c r="L87" s="262">
        <f t="shared" si="3"/>
        <v>-0.3689473326</v>
      </c>
    </row>
    <row r="88">
      <c r="A88" s="75">
        <v>83.0</v>
      </c>
      <c r="B88" s="75" t="str">
        <f>IFERROR(__xludf.DUMMYFUNCTION("""COMPUTED_VALUE"""),"Jai Hanuman Piping Systems")</f>
        <v>Jai Hanuman Piping Systems</v>
      </c>
      <c r="C88" s="400">
        <f>IFERROR(__xludf.DUMMYFUNCTION("""COMPUTED_VALUE"""),1.2070659E7)</f>
        <v>12070659</v>
      </c>
      <c r="D88" s="400">
        <f>IFERROR(__xludf.DUMMYFUNCTION("""COMPUTED_VALUE"""),3.0)</f>
        <v>3</v>
      </c>
      <c r="E88" s="400" t="str">
        <f>IFERROR(__xludf.DUMMYFUNCTION("""COMPUTED_VALUE"""),"Rajan Srivastava, Sandeep Kanaujiya, Roshan Srivastava")</f>
        <v>Rajan Srivastava, Sandeep Kanaujiya, Roshan Srivastava</v>
      </c>
      <c r="F88" s="400" t="str">
        <f>IFERROR(__xludf.DUMMYFUNCTION("""COMPUTED_VALUE"""),"East U.P")</f>
        <v>East U.P</v>
      </c>
      <c r="G88" s="280">
        <f>IFERROR(__xludf.DUMMYFUNCTION("""COMPUTED_VALUE"""),4023553.0)</f>
        <v>4023553</v>
      </c>
      <c r="H88" s="190">
        <f>IFERROR(__xludf.DUMMYFUNCTION("""COMPUTED_VALUE"""),335296.0833333333)</f>
        <v>335296.0833</v>
      </c>
      <c r="I88" s="195">
        <f>IFERROR(__xludf.DUMMYFUNCTION("""COMPUTED_VALUE"""),9304003.0)</f>
        <v>9304003</v>
      </c>
      <c r="J88" s="195"/>
      <c r="K88" s="75">
        <f t="shared" si="2"/>
        <v>2766656</v>
      </c>
      <c r="L88" s="262">
        <f t="shared" si="3"/>
        <v>0.22920505</v>
      </c>
    </row>
    <row r="89">
      <c r="A89" s="75">
        <v>84.0</v>
      </c>
      <c r="B89" s="75" t="str">
        <f>IFERROR(__xludf.DUMMYFUNCTION("""COMPUTED_VALUE"""),"Jain Agencies")</f>
        <v>Jain Agencies</v>
      </c>
      <c r="C89" s="400">
        <f>IFERROR(__xludf.DUMMYFUNCTION("""COMPUTED_VALUE"""),1081453.0)</f>
        <v>1081453</v>
      </c>
      <c r="D89" s="400">
        <f>IFERROR(__xludf.DUMMYFUNCTION("""COMPUTED_VALUE"""),2.0)</f>
        <v>2</v>
      </c>
      <c r="E89" s="400" t="str">
        <f>IFERROR(__xludf.DUMMYFUNCTION("""COMPUTED_VALUE"""),"Rajan Srivastava, Roshan Srivastava")</f>
        <v>Rajan Srivastava, Roshan Srivastava</v>
      </c>
      <c r="F89" s="400" t="str">
        <f>IFERROR(__xludf.DUMMYFUNCTION("""COMPUTED_VALUE"""),"East U.P")</f>
        <v>East U.P</v>
      </c>
      <c r="G89" s="280">
        <f>IFERROR(__xludf.DUMMYFUNCTION("""COMPUTED_VALUE"""),540726.5)</f>
        <v>540726.5</v>
      </c>
      <c r="H89" s="190">
        <f>IFERROR(__xludf.DUMMYFUNCTION("""COMPUTED_VALUE"""),45060.541666666664)</f>
        <v>45060.54167</v>
      </c>
      <c r="I89" s="195">
        <f>IFERROR(__xludf.DUMMYFUNCTION("""COMPUTED_VALUE"""),1090819.0)</f>
        <v>1090819</v>
      </c>
      <c r="J89" s="195"/>
      <c r="K89" s="75">
        <f t="shared" si="2"/>
        <v>-9366</v>
      </c>
      <c r="L89" s="262">
        <f t="shared" si="3"/>
        <v>-0.008660570547</v>
      </c>
    </row>
    <row r="90">
      <c r="A90" s="75">
        <v>85.0</v>
      </c>
      <c r="B90" s="75" t="str">
        <f>IFERROR(__xludf.DUMMYFUNCTION("""COMPUTED_VALUE"""),"Jaiswal Enterprise")</f>
        <v>Jaiswal Enterprise</v>
      </c>
      <c r="C90" s="400">
        <f>IFERROR(__xludf.DUMMYFUNCTION("""COMPUTED_VALUE"""),77738.0)</f>
        <v>77738</v>
      </c>
      <c r="D90" s="400">
        <f>IFERROR(__xludf.DUMMYFUNCTION("""COMPUTED_VALUE"""),1.0)</f>
        <v>1</v>
      </c>
      <c r="E90" s="400" t="str">
        <f>IFERROR(__xludf.DUMMYFUNCTION("""COMPUTED_VALUE"""),"Santanu Kalita")</f>
        <v>Santanu Kalita</v>
      </c>
      <c r="F90" s="400" t="str">
        <f>IFERROR(__xludf.DUMMYFUNCTION("""COMPUTED_VALUE"""),"ASSAM")</f>
        <v>ASSAM</v>
      </c>
      <c r="G90" s="280">
        <f>IFERROR(__xludf.DUMMYFUNCTION("""COMPUTED_VALUE"""),77738.0)</f>
        <v>77738</v>
      </c>
      <c r="H90" s="190">
        <f>IFERROR(__xludf.DUMMYFUNCTION("""COMPUTED_VALUE"""),6478.166666666667)</f>
        <v>6478.166667</v>
      </c>
      <c r="I90" s="195">
        <f>IFERROR(__xludf.DUMMYFUNCTION("""COMPUTED_VALUE"""),0.0)</f>
        <v>0</v>
      </c>
      <c r="J90" s="195"/>
      <c r="K90" s="75">
        <f t="shared" si="2"/>
        <v>77738</v>
      </c>
      <c r="L90" s="262">
        <f t="shared" si="3"/>
        <v>1</v>
      </c>
    </row>
    <row r="91">
      <c r="A91" s="75">
        <v>86.0</v>
      </c>
      <c r="B91" s="75" t="str">
        <f>IFERROR(__xludf.DUMMYFUNCTION("""COMPUTED_VALUE"""),"Jaiswal paint and sanitary store")</f>
        <v>Jaiswal paint and sanitary store</v>
      </c>
      <c r="C91" s="400">
        <f>IFERROR(__xludf.DUMMYFUNCTION("""COMPUTED_VALUE"""),1.2834544E7)</f>
        <v>12834544</v>
      </c>
      <c r="D91" s="400">
        <f>IFERROR(__xludf.DUMMYFUNCTION("""COMPUTED_VALUE"""),1.0)</f>
        <v>1</v>
      </c>
      <c r="E91" s="400" t="str">
        <f>IFERROR(__xludf.DUMMYFUNCTION("""COMPUTED_VALUE"""),"Vishal Kumar Gaurav")</f>
        <v>Vishal Kumar Gaurav</v>
      </c>
      <c r="F91" s="400" t="str">
        <f>IFERROR(__xludf.DUMMYFUNCTION("""COMPUTED_VALUE"""),"East U.P")</f>
        <v>East U.P</v>
      </c>
      <c r="G91" s="280">
        <f>IFERROR(__xludf.DUMMYFUNCTION("""COMPUTED_VALUE"""),1.2834544E7)</f>
        <v>12834544</v>
      </c>
      <c r="H91" s="190">
        <f>IFERROR(__xludf.DUMMYFUNCTION("""COMPUTED_VALUE"""),1069545.3333333333)</f>
        <v>1069545.333</v>
      </c>
      <c r="I91" s="195">
        <f>IFERROR(__xludf.DUMMYFUNCTION("""COMPUTED_VALUE"""),1.6165894E7)</f>
        <v>16165894</v>
      </c>
      <c r="J91" s="195"/>
      <c r="K91" s="75">
        <f t="shared" si="2"/>
        <v>-3331350</v>
      </c>
      <c r="L91" s="262">
        <f t="shared" si="3"/>
        <v>-0.2595612279</v>
      </c>
    </row>
    <row r="92">
      <c r="A92" s="75">
        <v>87.0</v>
      </c>
      <c r="B92" s="75" t="str">
        <f>IFERROR(__xludf.DUMMYFUNCTION("""COMPUTED_VALUE"""),"Jindal Enterprises")</f>
        <v>Jindal Enterprises</v>
      </c>
      <c r="C92" s="400">
        <f>IFERROR(__xludf.DUMMYFUNCTION("""COMPUTED_VALUE"""),3739110.0)</f>
        <v>3739110</v>
      </c>
      <c r="D92" s="400">
        <f>IFERROR(__xludf.DUMMYFUNCTION("""COMPUTED_VALUE"""),2.0)</f>
        <v>2</v>
      </c>
      <c r="E92" s="400" t="str">
        <f>IFERROR(__xludf.DUMMYFUNCTION("""COMPUTED_VALUE"""),"ANAND BHAGWAN MORE, Tejas Lunawat")</f>
        <v>ANAND BHAGWAN MORE, Tejas Lunawat</v>
      </c>
      <c r="F92" s="400" t="str">
        <f>IFERROR(__xludf.DUMMYFUNCTION("""COMPUTED_VALUE"""),"MAHARASHTRA")</f>
        <v>MAHARASHTRA</v>
      </c>
      <c r="G92" s="280">
        <f>IFERROR(__xludf.DUMMYFUNCTION("""COMPUTED_VALUE"""),1869555.0)</f>
        <v>1869555</v>
      </c>
      <c r="H92" s="190">
        <f>IFERROR(__xludf.DUMMYFUNCTION("""COMPUTED_VALUE"""),155796.25)</f>
        <v>155796.25</v>
      </c>
      <c r="I92" s="195">
        <f>IFERROR(__xludf.DUMMYFUNCTION("""COMPUTED_VALUE"""),5268262.0)</f>
        <v>5268262</v>
      </c>
      <c r="J92" s="195"/>
      <c r="K92" s="75">
        <f t="shared" si="2"/>
        <v>-1529152</v>
      </c>
      <c r="L92" s="262">
        <f t="shared" si="3"/>
        <v>-0.4089614908</v>
      </c>
    </row>
    <row r="93">
      <c r="A93" s="75">
        <v>88.0</v>
      </c>
      <c r="B93" s="75" t="str">
        <f>IFERROR(__xludf.DUMMYFUNCTION("""COMPUTED_VALUE"""),"JK sanitaries")</f>
        <v>JK sanitaries</v>
      </c>
      <c r="C93" s="400">
        <f>IFERROR(__xludf.DUMMYFUNCTION("""COMPUTED_VALUE"""),1382205.0)</f>
        <v>1382205</v>
      </c>
      <c r="D93" s="400">
        <f>IFERROR(__xludf.DUMMYFUNCTION("""COMPUTED_VALUE"""),1.0)</f>
        <v>1</v>
      </c>
      <c r="E93" s="400" t="str">
        <f>IFERROR(__xludf.DUMMYFUNCTION("""COMPUTED_VALUE"""),"Tafazul Nazir")</f>
        <v>Tafazul Nazir</v>
      </c>
      <c r="F93" s="400" t="str">
        <f>IFERROR(__xludf.DUMMYFUNCTION("""COMPUTED_VALUE"""),"JAMMU AND KASHMIR")</f>
        <v>JAMMU AND KASHMIR</v>
      </c>
      <c r="G93" s="280">
        <f>IFERROR(__xludf.DUMMYFUNCTION("""COMPUTED_VALUE"""),1382205.0)</f>
        <v>1382205</v>
      </c>
      <c r="H93" s="190">
        <f>IFERROR(__xludf.DUMMYFUNCTION("""COMPUTED_VALUE"""),115183.75)</f>
        <v>115183.75</v>
      </c>
      <c r="I93" s="195">
        <f>IFERROR(__xludf.DUMMYFUNCTION("""COMPUTED_VALUE"""),901105.0)</f>
        <v>901105</v>
      </c>
      <c r="J93" s="195"/>
      <c r="K93" s="75">
        <f t="shared" si="2"/>
        <v>481100</v>
      </c>
      <c r="L93" s="262">
        <f t="shared" si="3"/>
        <v>0.3480670378</v>
      </c>
    </row>
    <row r="94">
      <c r="A94" s="75">
        <v>89.0</v>
      </c>
      <c r="B94" s="75" t="str">
        <f>IFERROR(__xludf.DUMMYFUNCTION("""COMPUTED_VALUE"""),"JVM ENTERPRISES")</f>
        <v>JVM ENTERPRISES</v>
      </c>
      <c r="C94" s="400">
        <f>IFERROR(__xludf.DUMMYFUNCTION("""COMPUTED_VALUE"""),2.3418841E7)</f>
        <v>23418841</v>
      </c>
      <c r="D94" s="400">
        <f>IFERROR(__xludf.DUMMYFUNCTION("""COMPUTED_VALUE"""),4.0)</f>
        <v>4</v>
      </c>
      <c r="E94" s="400" t="str">
        <f>IFERROR(__xludf.DUMMYFUNCTION("""COMPUTED_VALUE"""),"Ajay Morthad, Dasari Adiseshu, Jithender Reddy Katukuri, Suresh Kumar Nair")</f>
        <v>Ajay Morthad, Dasari Adiseshu, Jithender Reddy Katukuri, Suresh Kumar Nair</v>
      </c>
      <c r="F94" s="400" t="str">
        <f>IFERROR(__xludf.DUMMYFUNCTION("""COMPUTED_VALUE"""),"TELANGANA")</f>
        <v>TELANGANA</v>
      </c>
      <c r="G94" s="280">
        <f>IFERROR(__xludf.DUMMYFUNCTION("""COMPUTED_VALUE"""),5854710.25)</f>
        <v>5854710.25</v>
      </c>
      <c r="H94" s="190">
        <f>IFERROR(__xludf.DUMMYFUNCTION("""COMPUTED_VALUE"""),487892.5208333333)</f>
        <v>487892.5208</v>
      </c>
      <c r="I94" s="195">
        <f>IFERROR(__xludf.DUMMYFUNCTION("""COMPUTED_VALUE"""),2.0607921E7)</f>
        <v>20607921</v>
      </c>
      <c r="J94" s="195"/>
      <c r="K94" s="75">
        <f t="shared" si="2"/>
        <v>2810920</v>
      </c>
      <c r="L94" s="262">
        <f t="shared" si="3"/>
        <v>0.1200281432</v>
      </c>
    </row>
    <row r="95">
      <c r="A95" s="75">
        <v>90.0</v>
      </c>
      <c r="B95" s="75" t="str">
        <f>IFERROR(__xludf.DUMMYFUNCTION("""COMPUTED_VALUE"""),"K T SUPPLIERS")</f>
        <v>K T SUPPLIERS</v>
      </c>
      <c r="C95" s="400">
        <f>IFERROR(__xludf.DUMMYFUNCTION("""COMPUTED_VALUE"""),117986.0)</f>
        <v>117986</v>
      </c>
      <c r="D95" s="400">
        <f>IFERROR(__xludf.DUMMYFUNCTION("""COMPUTED_VALUE"""),1.0)</f>
        <v>1</v>
      </c>
      <c r="E95" s="400" t="str">
        <f>IFERROR(__xludf.DUMMYFUNCTION("""COMPUTED_VALUE"""),"Malay Paul")</f>
        <v>Malay Paul</v>
      </c>
      <c r="F95" s="400" t="str">
        <f>IFERROR(__xludf.DUMMYFUNCTION("""COMPUTED_VALUE"""),"WEST BENGAL")</f>
        <v>WEST BENGAL</v>
      </c>
      <c r="G95" s="280">
        <f>IFERROR(__xludf.DUMMYFUNCTION("""COMPUTED_VALUE"""),117986.0)</f>
        <v>117986</v>
      </c>
      <c r="H95" s="190">
        <f>IFERROR(__xludf.DUMMYFUNCTION("""COMPUTED_VALUE"""),9832.166666666666)</f>
        <v>9832.166667</v>
      </c>
      <c r="I95" s="195">
        <f>IFERROR(__xludf.DUMMYFUNCTION("""COMPUTED_VALUE"""),687755.0)</f>
        <v>687755</v>
      </c>
      <c r="J95" s="195"/>
      <c r="K95" s="75">
        <f t="shared" si="2"/>
        <v>-569769</v>
      </c>
      <c r="L95" s="262">
        <f t="shared" si="3"/>
        <v>-4.829123794</v>
      </c>
    </row>
    <row r="96">
      <c r="A96" s="75">
        <v>91.0</v>
      </c>
      <c r="B96" s="75" t="str">
        <f>IFERROR(__xludf.DUMMYFUNCTION("""COMPUTED_VALUE"""),"Kashmir sanitary &amp; cement")</f>
        <v>Kashmir sanitary &amp; cement</v>
      </c>
      <c r="C96" s="400">
        <f>IFERROR(__xludf.DUMMYFUNCTION("""COMPUTED_VALUE"""),1857778.0)</f>
        <v>1857778</v>
      </c>
      <c r="D96" s="400">
        <f>IFERROR(__xludf.DUMMYFUNCTION("""COMPUTED_VALUE"""),2.0)</f>
        <v>2</v>
      </c>
      <c r="E96" s="400" t="str">
        <f>IFERROR(__xludf.DUMMYFUNCTION("""COMPUTED_VALUE"""),"Irfan Ahmad Wani, Basit Ahmad Pala")</f>
        <v>Irfan Ahmad Wani, Basit Ahmad Pala</v>
      </c>
      <c r="F96" s="400" t="str">
        <f>IFERROR(__xludf.DUMMYFUNCTION("""COMPUTED_VALUE"""),"JAMMU AND KASHMIR")</f>
        <v>JAMMU AND KASHMIR</v>
      </c>
      <c r="G96" s="280">
        <f>IFERROR(__xludf.DUMMYFUNCTION("""COMPUTED_VALUE"""),928889.0)</f>
        <v>928889</v>
      </c>
      <c r="H96" s="190">
        <f>IFERROR(__xludf.DUMMYFUNCTION("""COMPUTED_VALUE"""),77407.41666666667)</f>
        <v>77407.41667</v>
      </c>
      <c r="I96" s="195">
        <f>IFERROR(__xludf.DUMMYFUNCTION("""COMPUTED_VALUE"""),1347096.0)</f>
        <v>1347096</v>
      </c>
      <c r="J96" s="195"/>
      <c r="K96" s="75">
        <f t="shared" si="2"/>
        <v>510682</v>
      </c>
      <c r="L96" s="262">
        <f t="shared" si="3"/>
        <v>0.2748886035</v>
      </c>
    </row>
    <row r="97">
      <c r="A97" s="75">
        <v>92.0</v>
      </c>
      <c r="B97" s="75" t="str">
        <f>IFERROR(__xludf.DUMMYFUNCTION("""COMPUTED_VALUE"""),"Kaysons trading co")</f>
        <v>Kaysons trading co</v>
      </c>
      <c r="C97" s="400">
        <f>IFERROR(__xludf.DUMMYFUNCTION("""COMPUTED_VALUE"""),522491.0)</f>
        <v>522491</v>
      </c>
      <c r="D97" s="400">
        <f>IFERROR(__xludf.DUMMYFUNCTION("""COMPUTED_VALUE"""),1.0)</f>
        <v>1</v>
      </c>
      <c r="E97" s="400" t="str">
        <f>IFERROR(__xludf.DUMMYFUNCTION("""COMPUTED_VALUE"""),"Tafazul Nazir")</f>
        <v>Tafazul Nazir</v>
      </c>
      <c r="F97" s="400" t="str">
        <f>IFERROR(__xludf.DUMMYFUNCTION("""COMPUTED_VALUE"""),"JAMMU AND KASHMIR")</f>
        <v>JAMMU AND KASHMIR</v>
      </c>
      <c r="G97" s="280">
        <f>IFERROR(__xludf.DUMMYFUNCTION("""COMPUTED_VALUE"""),522491.0)</f>
        <v>522491</v>
      </c>
      <c r="H97" s="190">
        <f>IFERROR(__xludf.DUMMYFUNCTION("""COMPUTED_VALUE"""),43540.916666666664)</f>
        <v>43540.91667</v>
      </c>
      <c r="I97" s="195">
        <f>IFERROR(__xludf.DUMMYFUNCTION("""COMPUTED_VALUE"""),409756.0)</f>
        <v>409756</v>
      </c>
      <c r="J97" s="195"/>
      <c r="K97" s="75">
        <f t="shared" si="2"/>
        <v>112735</v>
      </c>
      <c r="L97" s="262">
        <f t="shared" si="3"/>
        <v>0.2157644821</v>
      </c>
    </row>
    <row r="98">
      <c r="A98" s="75">
        <v>93.0</v>
      </c>
      <c r="B98" s="75" t="str">
        <f>IFERROR(__xludf.DUMMYFUNCTION("""COMPUTED_VALUE"""),"Kirodiwal Udhyog")</f>
        <v>Kirodiwal Udhyog</v>
      </c>
      <c r="C98" s="400">
        <f>IFERROR(__xludf.DUMMYFUNCTION("""COMPUTED_VALUE"""),2838606.0)</f>
        <v>2838606</v>
      </c>
      <c r="D98" s="400">
        <f>IFERROR(__xludf.DUMMYFUNCTION("""COMPUTED_VALUE"""),1.0)</f>
        <v>1</v>
      </c>
      <c r="E98" s="400" t="str">
        <f>IFERROR(__xludf.DUMMYFUNCTION("""COMPUTED_VALUE"""),"SHOYKARAN NAI")</f>
        <v>SHOYKARAN NAI</v>
      </c>
      <c r="F98" s="400" t="str">
        <f>IFERROR(__xludf.DUMMYFUNCTION("""COMPUTED_VALUE"""),"RAJASTHAN")</f>
        <v>RAJASTHAN</v>
      </c>
      <c r="G98" s="280">
        <f>IFERROR(__xludf.DUMMYFUNCTION("""COMPUTED_VALUE"""),2838606.0)</f>
        <v>2838606</v>
      </c>
      <c r="H98" s="190">
        <f>IFERROR(__xludf.DUMMYFUNCTION("""COMPUTED_VALUE"""),236550.5)</f>
        <v>236550.5</v>
      </c>
      <c r="I98" s="195">
        <f>IFERROR(__xludf.DUMMYFUNCTION("""COMPUTED_VALUE"""),4914537.0)</f>
        <v>4914537</v>
      </c>
      <c r="J98" s="195"/>
      <c r="K98" s="75">
        <f t="shared" si="2"/>
        <v>-2075931</v>
      </c>
      <c r="L98" s="262">
        <f t="shared" si="3"/>
        <v>-0.7313205848</v>
      </c>
    </row>
    <row r="99">
      <c r="A99" s="75">
        <v>94.0</v>
      </c>
      <c r="B99" s="75" t="str">
        <f>IFERROR(__xludf.DUMMYFUNCTION("""COMPUTED_VALUE"""),"Kites Ceramic Zone")</f>
        <v>Kites Ceramic Zone</v>
      </c>
      <c r="C99" s="400">
        <f>IFERROR(__xludf.DUMMYFUNCTION("""COMPUTED_VALUE"""),2887832.0)</f>
        <v>2887832</v>
      </c>
      <c r="D99" s="400">
        <f>IFERROR(__xludf.DUMMYFUNCTION("""COMPUTED_VALUE"""),1.0)</f>
        <v>1</v>
      </c>
      <c r="E99" s="400" t="str">
        <f>IFERROR(__xludf.DUMMYFUNCTION("""COMPUTED_VALUE"""),"Kanhaiya Lal Salvi")</f>
        <v>Kanhaiya Lal Salvi</v>
      </c>
      <c r="F99" s="400" t="str">
        <f>IFERROR(__xludf.DUMMYFUNCTION("""COMPUTED_VALUE"""),"RAJASTHAN")</f>
        <v>RAJASTHAN</v>
      </c>
      <c r="G99" s="280">
        <f>IFERROR(__xludf.DUMMYFUNCTION("""COMPUTED_VALUE"""),2887832.0)</f>
        <v>2887832</v>
      </c>
      <c r="H99" s="190">
        <f>IFERROR(__xludf.DUMMYFUNCTION("""COMPUTED_VALUE"""),240652.66666666666)</f>
        <v>240652.6667</v>
      </c>
      <c r="I99" s="195">
        <f>IFERROR(__xludf.DUMMYFUNCTION("""COMPUTED_VALUE"""),3236849.0)</f>
        <v>3236849</v>
      </c>
      <c r="J99" s="195"/>
      <c r="K99" s="75">
        <f t="shared" si="2"/>
        <v>-349017</v>
      </c>
      <c r="L99" s="262">
        <f t="shared" si="3"/>
        <v>-0.1208577923</v>
      </c>
    </row>
    <row r="100">
      <c r="A100" s="75">
        <v>95.0</v>
      </c>
      <c r="B100" s="75" t="str">
        <f>IFERROR(__xludf.DUMMYFUNCTION("""COMPUTED_VALUE"""),"Kriestall Solvochem Pvt Ltd")</f>
        <v>Kriestall Solvochem Pvt Ltd</v>
      </c>
      <c r="C100" s="400">
        <f>IFERROR(__xludf.DUMMYFUNCTION("""COMPUTED_VALUE"""),586248.0)</f>
        <v>586248</v>
      </c>
      <c r="D100" s="400">
        <f>IFERROR(__xludf.DUMMYFUNCTION("""COMPUTED_VALUE"""),1.0)</f>
        <v>1</v>
      </c>
      <c r="E100" s="400" t="str">
        <f>IFERROR(__xludf.DUMMYFUNCTION("""COMPUTED_VALUE"""),"Sandeep Amrut Sonawane")</f>
        <v>Sandeep Amrut Sonawane</v>
      </c>
      <c r="F100" s="400" t="str">
        <f>IFERROR(__xludf.DUMMYFUNCTION("""COMPUTED_VALUE"""),"MAHARASHTRA")</f>
        <v>MAHARASHTRA</v>
      </c>
      <c r="G100" s="280">
        <f>IFERROR(__xludf.DUMMYFUNCTION("""COMPUTED_VALUE"""),586248.0)</f>
        <v>586248</v>
      </c>
      <c r="H100" s="190">
        <f>IFERROR(__xludf.DUMMYFUNCTION("""COMPUTED_VALUE"""),48854.0)</f>
        <v>48854</v>
      </c>
      <c r="I100" s="195">
        <f>IFERROR(__xludf.DUMMYFUNCTION("""COMPUTED_VALUE"""),26916.0)</f>
        <v>26916</v>
      </c>
      <c r="J100" s="195"/>
      <c r="K100" s="75">
        <f t="shared" si="2"/>
        <v>559332</v>
      </c>
      <c r="L100" s="262">
        <f t="shared" si="3"/>
        <v>0.9540876899</v>
      </c>
    </row>
    <row r="101">
      <c r="A101" s="75">
        <v>96.0</v>
      </c>
      <c r="B101" s="75" t="str">
        <f>IFERROR(__xludf.DUMMYFUNCTION("""COMPUTED_VALUE"""),"Krishna Ply And Hardware")</f>
        <v>Krishna Ply And Hardware</v>
      </c>
      <c r="C101" s="400">
        <f>IFERROR(__xludf.DUMMYFUNCTION("""COMPUTED_VALUE"""),52315.0)</f>
        <v>52315</v>
      </c>
      <c r="D101" s="400">
        <f>IFERROR(__xludf.DUMMYFUNCTION("""COMPUTED_VALUE"""),1.0)</f>
        <v>1</v>
      </c>
      <c r="E101" s="400" t="str">
        <f>IFERROR(__xludf.DUMMYFUNCTION("""COMPUTED_VALUE"""),"Devdutt Joshi")</f>
        <v>Devdutt Joshi</v>
      </c>
      <c r="F101" s="400" t="str">
        <f>IFERROR(__xludf.DUMMYFUNCTION("""COMPUTED_VALUE"""),"GUJARAT")</f>
        <v>GUJARAT</v>
      </c>
      <c r="G101" s="280">
        <f>IFERROR(__xludf.DUMMYFUNCTION("""COMPUTED_VALUE"""),52315.0)</f>
        <v>52315</v>
      </c>
      <c r="H101" s="190">
        <f>IFERROR(__xludf.DUMMYFUNCTION("""COMPUTED_VALUE"""),4359.583333333333)</f>
        <v>4359.583333</v>
      </c>
      <c r="I101" s="195">
        <f>IFERROR(__xludf.DUMMYFUNCTION("""COMPUTED_VALUE"""),188518.0)</f>
        <v>188518</v>
      </c>
      <c r="J101" s="195"/>
      <c r="K101" s="75">
        <f t="shared" si="2"/>
        <v>-136203</v>
      </c>
      <c r="L101" s="262">
        <f t="shared" si="3"/>
        <v>-2.603517156</v>
      </c>
    </row>
    <row r="102">
      <c r="A102" s="75">
        <v>97.0</v>
      </c>
      <c r="B102" s="75" t="str">
        <f>IFERROR(__xludf.DUMMYFUNCTION("""COMPUTED_VALUE"""),"Kriti marketing")</f>
        <v>Kriti marketing</v>
      </c>
      <c r="C102" s="400">
        <f>IFERROR(__xludf.DUMMYFUNCTION("""COMPUTED_VALUE"""),256772.0)</f>
        <v>256772</v>
      </c>
      <c r="D102" s="400">
        <f>IFERROR(__xludf.DUMMYFUNCTION("""COMPUTED_VALUE"""),2.0)</f>
        <v>2</v>
      </c>
      <c r="E102" s="400" t="str">
        <f>IFERROR(__xludf.DUMMYFUNCTION("""COMPUTED_VALUE"""),"Shiv Kumar Patel, Pradeep Kumar Dwivedi")</f>
        <v>Shiv Kumar Patel, Pradeep Kumar Dwivedi</v>
      </c>
      <c r="F102" s="400" t="str">
        <f>IFERROR(__xludf.DUMMYFUNCTION("""COMPUTED_VALUE"""),"MADHYA PRADESH")</f>
        <v>MADHYA PRADESH</v>
      </c>
      <c r="G102" s="280">
        <f>IFERROR(__xludf.DUMMYFUNCTION("""COMPUTED_VALUE"""),128386.0)</f>
        <v>128386</v>
      </c>
      <c r="H102" s="190">
        <f>IFERROR(__xludf.DUMMYFUNCTION("""COMPUTED_VALUE"""),10698.833333333334)</f>
        <v>10698.83333</v>
      </c>
      <c r="I102" s="195">
        <f>IFERROR(__xludf.DUMMYFUNCTION("""COMPUTED_VALUE"""),1005230.0)</f>
        <v>1005230</v>
      </c>
      <c r="J102" s="195"/>
      <c r="K102" s="75">
        <f t="shared" si="2"/>
        <v>-748458</v>
      </c>
      <c r="L102" s="262">
        <f t="shared" si="3"/>
        <v>-2.914873896</v>
      </c>
    </row>
    <row r="103">
      <c r="A103" s="75">
        <v>98.0</v>
      </c>
      <c r="B103" s="75" t="str">
        <f>IFERROR(__xludf.DUMMYFUNCTION("""COMPUTED_VALUE"""),"Kureshi Sanitaryware")</f>
        <v>Kureshi Sanitaryware</v>
      </c>
      <c r="C103" s="400">
        <f>IFERROR(__xludf.DUMMYFUNCTION("""COMPUTED_VALUE"""),14359.0)</f>
        <v>14359</v>
      </c>
      <c r="D103" s="400">
        <f>IFERROR(__xludf.DUMMYFUNCTION("""COMPUTED_VALUE"""),1.0)</f>
        <v>1</v>
      </c>
      <c r="E103" s="400" t="str">
        <f>IFERROR(__xludf.DUMMYFUNCTION("""COMPUTED_VALUE"""),"Pawan Kumar.")</f>
        <v>Pawan Kumar.</v>
      </c>
      <c r="F103" s="400" t="str">
        <f>IFERROR(__xludf.DUMMYFUNCTION("""COMPUTED_VALUE"""),"RAJASTHAN")</f>
        <v>RAJASTHAN</v>
      </c>
      <c r="G103" s="280">
        <f>IFERROR(__xludf.DUMMYFUNCTION("""COMPUTED_VALUE"""),14359.0)</f>
        <v>14359</v>
      </c>
      <c r="H103" s="190">
        <f>IFERROR(__xludf.DUMMYFUNCTION("""COMPUTED_VALUE"""),1196.5833333333333)</f>
        <v>1196.583333</v>
      </c>
      <c r="I103" s="195">
        <f>IFERROR(__xludf.DUMMYFUNCTION("""COMPUTED_VALUE"""),0.0)</f>
        <v>0</v>
      </c>
      <c r="J103" s="195"/>
      <c r="K103" s="75">
        <f t="shared" si="2"/>
        <v>14359</v>
      </c>
      <c r="L103" s="262">
        <f t="shared" si="3"/>
        <v>1</v>
      </c>
    </row>
    <row r="104">
      <c r="A104" s="75">
        <v>99.0</v>
      </c>
      <c r="B104" s="75" t="str">
        <f>IFERROR(__xludf.DUMMYFUNCTION("""COMPUTED_VALUE"""),"Lakshmi engineering works")</f>
        <v>Lakshmi engineering works</v>
      </c>
      <c r="C104" s="400">
        <f>IFERROR(__xludf.DUMMYFUNCTION("""COMPUTED_VALUE"""),7212473.0)</f>
        <v>7212473</v>
      </c>
      <c r="D104" s="400">
        <f>IFERROR(__xludf.DUMMYFUNCTION("""COMPUTED_VALUE"""),1.0)</f>
        <v>1</v>
      </c>
      <c r="E104" s="400" t="str">
        <f>IFERROR(__xludf.DUMMYFUNCTION("""COMPUTED_VALUE"""),"Rajat Chowdhury")</f>
        <v>Rajat Chowdhury</v>
      </c>
      <c r="F104" s="400" t="str">
        <f>IFERROR(__xludf.DUMMYFUNCTION("""COMPUTED_VALUE"""),"WEST BENGAL")</f>
        <v>WEST BENGAL</v>
      </c>
      <c r="G104" s="280">
        <f>IFERROR(__xludf.DUMMYFUNCTION("""COMPUTED_VALUE"""),7212473.0)</f>
        <v>7212473</v>
      </c>
      <c r="H104" s="190">
        <f>IFERROR(__xludf.DUMMYFUNCTION("""COMPUTED_VALUE"""),601039.4166666666)</f>
        <v>601039.4167</v>
      </c>
      <c r="I104" s="195">
        <f>IFERROR(__xludf.DUMMYFUNCTION("""COMPUTED_VALUE"""),1.3231693E7)</f>
        <v>13231693</v>
      </c>
      <c r="J104" s="195"/>
      <c r="K104" s="75">
        <f t="shared" si="2"/>
        <v>-6019220</v>
      </c>
      <c r="L104" s="262">
        <f t="shared" si="3"/>
        <v>-0.8345570236</v>
      </c>
    </row>
    <row r="105">
      <c r="A105" s="75">
        <v>100.0</v>
      </c>
      <c r="B105" s="75" t="str">
        <f>IFERROR(__xludf.DUMMYFUNCTION("""COMPUTED_VALUE"""),"Lalta Prasad Ram Dayal")</f>
        <v>Lalta Prasad Ram Dayal</v>
      </c>
      <c r="C105" s="400">
        <f>IFERROR(__xludf.DUMMYFUNCTION("""COMPUTED_VALUE"""),5.1350587E7)</f>
        <v>51350587</v>
      </c>
      <c r="D105" s="400">
        <f>IFERROR(__xludf.DUMMYFUNCTION("""COMPUTED_VALUE"""),5.0)</f>
        <v>5</v>
      </c>
      <c r="E105" s="400" t="str">
        <f>IFERROR(__xludf.DUMMYFUNCTION("""COMPUTED_VALUE"""),"Arun Sharma, Deependra Singh, Om dutt Dwivedi, Ravi Kumar Verma, Jitendra Kumar Yadav")</f>
        <v>Arun Sharma, Deependra Singh, Om dutt Dwivedi, Ravi Kumar Verma, Jitendra Kumar Yadav</v>
      </c>
      <c r="F105" s="400" t="str">
        <f>IFERROR(__xludf.DUMMYFUNCTION("""COMPUTED_VALUE"""),"East U.P")</f>
        <v>East U.P</v>
      </c>
      <c r="G105" s="280">
        <f>IFERROR(__xludf.DUMMYFUNCTION("""COMPUTED_VALUE"""),1.02701174E7)</f>
        <v>10270117.4</v>
      </c>
      <c r="H105" s="190">
        <f>IFERROR(__xludf.DUMMYFUNCTION("""COMPUTED_VALUE"""),855843.1166666667)</f>
        <v>855843.1167</v>
      </c>
      <c r="I105" s="195">
        <f>IFERROR(__xludf.DUMMYFUNCTION("""COMPUTED_VALUE"""),5.4422822E7)</f>
        <v>54422822</v>
      </c>
      <c r="J105" s="195"/>
      <c r="K105" s="75">
        <f t="shared" si="2"/>
        <v>-3072235</v>
      </c>
      <c r="L105" s="262">
        <f t="shared" si="3"/>
        <v>-0.05982862474</v>
      </c>
    </row>
    <row r="106">
      <c r="A106" s="75">
        <v>101.0</v>
      </c>
      <c r="B106" s="75" t="str">
        <f>IFERROR(__xludf.DUMMYFUNCTION("""COMPUTED_VALUE"""),"LAXMI STORES")</f>
        <v>LAXMI STORES</v>
      </c>
      <c r="C106" s="400">
        <f>IFERROR(__xludf.DUMMYFUNCTION("""COMPUTED_VALUE"""),8138869.0)</f>
        <v>8138869</v>
      </c>
      <c r="D106" s="400">
        <f>IFERROR(__xludf.DUMMYFUNCTION("""COMPUTED_VALUE"""),2.0)</f>
        <v>2</v>
      </c>
      <c r="E106" s="400" t="str">
        <f>IFERROR(__xludf.DUMMYFUNCTION("""COMPUTED_VALUE"""),"Gonesh Dey, Rajesh Chakraborty")</f>
        <v>Gonesh Dey, Rajesh Chakraborty</v>
      </c>
      <c r="F106" s="400" t="str">
        <f>IFERROR(__xludf.DUMMYFUNCTION("""COMPUTED_VALUE"""),"WEST BENGAL")</f>
        <v>WEST BENGAL</v>
      </c>
      <c r="G106" s="280">
        <f>IFERROR(__xludf.DUMMYFUNCTION("""COMPUTED_VALUE"""),4069434.5)</f>
        <v>4069434.5</v>
      </c>
      <c r="H106" s="190">
        <f>IFERROR(__xludf.DUMMYFUNCTION("""COMPUTED_VALUE"""),339119.5416666667)</f>
        <v>339119.5417</v>
      </c>
      <c r="I106" s="195">
        <f>IFERROR(__xludf.DUMMYFUNCTION("""COMPUTED_VALUE"""),1.2952764E7)</f>
        <v>12952764</v>
      </c>
      <c r="J106" s="195"/>
      <c r="K106" s="75">
        <f t="shared" si="2"/>
        <v>-4813895</v>
      </c>
      <c r="L106" s="262">
        <f t="shared" si="3"/>
        <v>-0.591469773</v>
      </c>
    </row>
    <row r="107">
      <c r="A107" s="75">
        <v>102.0</v>
      </c>
      <c r="B107" s="75" t="str">
        <f>IFERROR(__xludf.DUMMYFUNCTION("""COMPUTED_VALUE"""),"Liberty agencies")</f>
        <v>Liberty agencies</v>
      </c>
      <c r="C107" s="400">
        <f>IFERROR(__xludf.DUMMYFUNCTION("""COMPUTED_VALUE"""),4882722.0)</f>
        <v>4882722</v>
      </c>
      <c r="D107" s="400">
        <f>IFERROR(__xludf.DUMMYFUNCTION("""COMPUTED_VALUE"""),1.0)</f>
        <v>1</v>
      </c>
      <c r="E107" s="400" t="str">
        <f>IFERROR(__xludf.DUMMYFUNCTION("""COMPUTED_VALUE"""),"Shivam Chauhan")</f>
        <v>Shivam Chauhan</v>
      </c>
      <c r="F107" s="400" t="str">
        <f>IFERROR(__xludf.DUMMYFUNCTION("""COMPUTED_VALUE"""),"UTTARAKHAND")</f>
        <v>UTTARAKHAND</v>
      </c>
      <c r="G107" s="280">
        <f>IFERROR(__xludf.DUMMYFUNCTION("""COMPUTED_VALUE"""),4882722.0)</f>
        <v>4882722</v>
      </c>
      <c r="H107" s="190">
        <f>IFERROR(__xludf.DUMMYFUNCTION("""COMPUTED_VALUE"""),406893.5)</f>
        <v>406893.5</v>
      </c>
      <c r="I107" s="195">
        <f>IFERROR(__xludf.DUMMYFUNCTION("""COMPUTED_VALUE"""),4515144.0)</f>
        <v>4515144</v>
      </c>
      <c r="J107" s="195"/>
      <c r="K107" s="75">
        <f t="shared" si="2"/>
        <v>367578</v>
      </c>
      <c r="L107" s="262">
        <f t="shared" si="3"/>
        <v>0.0752813697</v>
      </c>
    </row>
    <row r="108">
      <c r="A108" s="75">
        <v>103.0</v>
      </c>
      <c r="B108" s="75" t="str">
        <f>IFERROR(__xludf.DUMMYFUNCTION("""COMPUTED_VALUE"""),"Lohia &amp; Sons")</f>
        <v>Lohia &amp; Sons</v>
      </c>
      <c r="C108" s="400">
        <f>IFERROR(__xludf.DUMMYFUNCTION("""COMPUTED_VALUE"""),2.5572235E7)</f>
        <v>25572235</v>
      </c>
      <c r="D108" s="400">
        <f>IFERROR(__xludf.DUMMYFUNCTION("""COMPUTED_VALUE"""),3.0)</f>
        <v>3</v>
      </c>
      <c r="E108" s="400" t="str">
        <f>IFERROR(__xludf.DUMMYFUNCTION("""COMPUTED_VALUE"""),"Prashant Kumar, Ravinder Puri, Tarun Giri")</f>
        <v>Prashant Kumar, Ravinder Puri, Tarun Giri</v>
      </c>
      <c r="F108" s="400" t="str">
        <f>IFERROR(__xludf.DUMMYFUNCTION("""COMPUTED_VALUE"""),"West U.P")</f>
        <v>West U.P</v>
      </c>
      <c r="G108" s="280">
        <f>IFERROR(__xludf.DUMMYFUNCTION("""COMPUTED_VALUE"""),8524078.333333334)</f>
        <v>8524078.333</v>
      </c>
      <c r="H108" s="190">
        <f>IFERROR(__xludf.DUMMYFUNCTION("""COMPUTED_VALUE"""),710339.8611111111)</f>
        <v>710339.8611</v>
      </c>
      <c r="I108" s="195">
        <f>IFERROR(__xludf.DUMMYFUNCTION("""COMPUTED_VALUE"""),2.4771644E7)</f>
        <v>24771644</v>
      </c>
      <c r="J108" s="195"/>
      <c r="K108" s="75">
        <f t="shared" si="2"/>
        <v>800591</v>
      </c>
      <c r="L108" s="262">
        <f t="shared" si="3"/>
        <v>0.03130704062</v>
      </c>
    </row>
    <row r="109">
      <c r="A109" s="75">
        <v>104.0</v>
      </c>
      <c r="B109" s="75" t="str">
        <f>IFERROR(__xludf.DUMMYFUNCTION("""COMPUTED_VALUE"""),"M K Trading Company")</f>
        <v>M K Trading Company</v>
      </c>
      <c r="C109" s="400">
        <f>IFERROR(__xludf.DUMMYFUNCTION("""COMPUTED_VALUE"""),5577985.0)</f>
        <v>5577985</v>
      </c>
      <c r="D109" s="400">
        <f>IFERROR(__xludf.DUMMYFUNCTION("""COMPUTED_VALUE"""),1.0)</f>
        <v>1</v>
      </c>
      <c r="E109" s="400" t="str">
        <f>IFERROR(__xludf.DUMMYFUNCTION("""COMPUTED_VALUE"""),"Rajan Srivastava")</f>
        <v>Rajan Srivastava</v>
      </c>
      <c r="F109" s="400" t="str">
        <f>IFERROR(__xludf.DUMMYFUNCTION("""COMPUTED_VALUE"""),"MADHYA PRADESH")</f>
        <v>MADHYA PRADESH</v>
      </c>
      <c r="G109" s="280">
        <f>IFERROR(__xludf.DUMMYFUNCTION("""COMPUTED_VALUE"""),5577985.0)</f>
        <v>5577985</v>
      </c>
      <c r="H109" s="190">
        <f>IFERROR(__xludf.DUMMYFUNCTION("""COMPUTED_VALUE"""),464832.0833333333)</f>
        <v>464832.0833</v>
      </c>
      <c r="I109" s="195">
        <f>IFERROR(__xludf.DUMMYFUNCTION("""COMPUTED_VALUE"""),8318384.0)</f>
        <v>8318384</v>
      </c>
      <c r="J109" s="195"/>
      <c r="K109" s="75">
        <f t="shared" si="2"/>
        <v>-2740399</v>
      </c>
      <c r="L109" s="262">
        <f t="shared" si="3"/>
        <v>-0.4912883416</v>
      </c>
    </row>
    <row r="110">
      <c r="A110" s="75">
        <v>105.0</v>
      </c>
      <c r="B110" s="75" t="str">
        <f>IFERROR(__xludf.DUMMYFUNCTION("""COMPUTED_VALUE"""),"Magadh Tubewell")</f>
        <v>Magadh Tubewell</v>
      </c>
      <c r="C110" s="400">
        <f>IFERROR(__xludf.DUMMYFUNCTION("""COMPUTED_VALUE"""),6585390.0)</f>
        <v>6585390</v>
      </c>
      <c r="D110" s="400">
        <f>IFERROR(__xludf.DUMMYFUNCTION("""COMPUTED_VALUE"""),1.0)</f>
        <v>1</v>
      </c>
      <c r="E110" s="400" t="str">
        <f>IFERROR(__xludf.DUMMYFUNCTION("""COMPUTED_VALUE"""),"AVINASH KUMAR")</f>
        <v>AVINASH KUMAR</v>
      </c>
      <c r="F110" s="400" t="str">
        <f>IFERROR(__xludf.DUMMYFUNCTION("""COMPUTED_VALUE"""),"BIHAR")</f>
        <v>BIHAR</v>
      </c>
      <c r="G110" s="280">
        <f>IFERROR(__xludf.DUMMYFUNCTION("""COMPUTED_VALUE"""),6585390.0)</f>
        <v>6585390</v>
      </c>
      <c r="H110" s="190">
        <f>IFERROR(__xludf.DUMMYFUNCTION("""COMPUTED_VALUE"""),548782.5)</f>
        <v>548782.5</v>
      </c>
      <c r="I110" s="195">
        <f>IFERROR(__xludf.DUMMYFUNCTION("""COMPUTED_VALUE"""),7016469.0)</f>
        <v>7016469</v>
      </c>
      <c r="J110" s="195"/>
      <c r="K110" s="75">
        <f t="shared" si="2"/>
        <v>-431079</v>
      </c>
      <c r="L110" s="262">
        <f t="shared" si="3"/>
        <v>-0.06545990442</v>
      </c>
    </row>
    <row r="111">
      <c r="A111" s="75">
        <v>106.0</v>
      </c>
      <c r="B111" s="75" t="str">
        <f>IFERROR(__xludf.DUMMYFUNCTION("""COMPUTED_VALUE"""),"Magic trading company")</f>
        <v>Magic trading company</v>
      </c>
      <c r="C111" s="400">
        <f>IFERROR(__xludf.DUMMYFUNCTION("""COMPUTED_VALUE"""),4047121.0)</f>
        <v>4047121</v>
      </c>
      <c r="D111" s="400">
        <f>IFERROR(__xludf.DUMMYFUNCTION("""COMPUTED_VALUE"""),2.0)</f>
        <v>2</v>
      </c>
      <c r="E111" s="400" t="str">
        <f>IFERROR(__xludf.DUMMYFUNCTION("""COMPUTED_VALUE"""),"Chandrakant Mandave, Praveen Pandey")</f>
        <v>Chandrakant Mandave, Praveen Pandey</v>
      </c>
      <c r="F111" s="400" t="str">
        <f>IFERROR(__xludf.DUMMYFUNCTION("""COMPUTED_VALUE"""),"MAHARASHTRA")</f>
        <v>MAHARASHTRA</v>
      </c>
      <c r="G111" s="280">
        <f>IFERROR(__xludf.DUMMYFUNCTION("""COMPUTED_VALUE"""),2023560.5)</f>
        <v>2023560.5</v>
      </c>
      <c r="H111" s="190">
        <f>IFERROR(__xludf.DUMMYFUNCTION("""COMPUTED_VALUE"""),168630.04166666666)</f>
        <v>168630.0417</v>
      </c>
      <c r="I111" s="195">
        <f>IFERROR(__xludf.DUMMYFUNCTION("""COMPUTED_VALUE"""),1899990.0)</f>
        <v>1899990</v>
      </c>
      <c r="J111" s="195"/>
      <c r="K111" s="75">
        <f t="shared" si="2"/>
        <v>2147131</v>
      </c>
      <c r="L111" s="262">
        <f t="shared" si="3"/>
        <v>0.5305329393</v>
      </c>
    </row>
    <row r="112">
      <c r="A112" s="75">
        <v>107.0</v>
      </c>
      <c r="B112" s="75" t="str">
        <f>IFERROR(__xludf.DUMMYFUNCTION("""COMPUTED_VALUE"""),"MAHABIR SALES CORPORATION")</f>
        <v>MAHABIR SALES CORPORATION</v>
      </c>
      <c r="C112" s="400">
        <f>IFERROR(__xludf.DUMMYFUNCTION("""COMPUTED_VALUE"""),2.6268083E7)</f>
        <v>26268083</v>
      </c>
      <c r="D112" s="400">
        <f>IFERROR(__xludf.DUMMYFUNCTION("""COMPUTED_VALUE"""),5.0)</f>
        <v>5</v>
      </c>
      <c r="E112" s="400" t="str">
        <f>IFERROR(__xludf.DUMMYFUNCTION("""COMPUTED_VALUE"""),"ATANU PAUL, Debasish Adhikary, Indrajit Ghosh, Sujan Ghata, Suven Sengupta")</f>
        <v>ATANU PAUL, Debasish Adhikary, Indrajit Ghosh, Sujan Ghata, Suven Sengupta</v>
      </c>
      <c r="F112" s="400" t="str">
        <f>IFERROR(__xludf.DUMMYFUNCTION("""COMPUTED_VALUE"""),"WEST BENGAL")</f>
        <v>WEST BENGAL</v>
      </c>
      <c r="G112" s="280">
        <f>IFERROR(__xludf.DUMMYFUNCTION("""COMPUTED_VALUE"""),5253616.6)</f>
        <v>5253616.6</v>
      </c>
      <c r="H112" s="190">
        <f>IFERROR(__xludf.DUMMYFUNCTION("""COMPUTED_VALUE"""),437801.3833333333)</f>
        <v>437801.3833</v>
      </c>
      <c r="I112" s="195">
        <f>IFERROR(__xludf.DUMMYFUNCTION("""COMPUTED_VALUE"""),3.4710851E7)</f>
        <v>34710851</v>
      </c>
      <c r="J112" s="195"/>
      <c r="K112" s="75">
        <f t="shared" si="2"/>
        <v>-8442768</v>
      </c>
      <c r="L112" s="262">
        <f t="shared" si="3"/>
        <v>-0.3214078469</v>
      </c>
    </row>
    <row r="113">
      <c r="A113" s="75">
        <v>108.0</v>
      </c>
      <c r="B113" s="75" t="str">
        <f>IFERROR(__xludf.DUMMYFUNCTION("""COMPUTED_VALUE"""),"MAHADEV HARDWARE")</f>
        <v>MAHADEV HARDWARE</v>
      </c>
      <c r="C113" s="400">
        <f>IFERROR(__xludf.DUMMYFUNCTION("""COMPUTED_VALUE"""),8777500.0)</f>
        <v>8777500</v>
      </c>
      <c r="D113" s="400">
        <f>IFERROR(__xludf.DUMMYFUNCTION("""COMPUTED_VALUE"""),1.0)</f>
        <v>1</v>
      </c>
      <c r="E113" s="400" t="str">
        <f>IFERROR(__xludf.DUMMYFUNCTION("""COMPUTED_VALUE"""),"Pradeep Kumar")</f>
        <v>Pradeep Kumar</v>
      </c>
      <c r="F113" s="400" t="str">
        <f>IFERROR(__xludf.DUMMYFUNCTION("""COMPUTED_VALUE"""),"BIHAR")</f>
        <v>BIHAR</v>
      </c>
      <c r="G113" s="280">
        <f>IFERROR(__xludf.DUMMYFUNCTION("""COMPUTED_VALUE"""),8777500.0)</f>
        <v>8777500</v>
      </c>
      <c r="H113" s="190">
        <f>IFERROR(__xludf.DUMMYFUNCTION("""COMPUTED_VALUE"""),731458.3333333334)</f>
        <v>731458.3333</v>
      </c>
      <c r="I113" s="195">
        <f>IFERROR(__xludf.DUMMYFUNCTION("""COMPUTED_VALUE"""),1.4295635E7)</f>
        <v>14295635</v>
      </c>
      <c r="J113" s="195"/>
      <c r="K113" s="75">
        <f t="shared" si="2"/>
        <v>-5518135</v>
      </c>
      <c r="L113" s="262">
        <f t="shared" si="3"/>
        <v>-0.6286681857</v>
      </c>
    </row>
    <row r="114">
      <c r="A114" s="75">
        <v>109.0</v>
      </c>
      <c r="B114" s="75" t="str">
        <f>IFERROR(__xludf.DUMMYFUNCTION("""COMPUTED_VALUE"""),"MAHADEV TRADERS")</f>
        <v>MAHADEV TRADERS</v>
      </c>
      <c r="C114" s="400">
        <f>IFERROR(__xludf.DUMMYFUNCTION("""COMPUTED_VALUE"""),801558.0)</f>
        <v>801558</v>
      </c>
      <c r="D114" s="400">
        <f>IFERROR(__xludf.DUMMYFUNCTION("""COMPUTED_VALUE"""),1.0)</f>
        <v>1</v>
      </c>
      <c r="E114" s="400" t="str">
        <f>IFERROR(__xludf.DUMMYFUNCTION("""COMPUTED_VALUE"""),"Pawan Kumar.")</f>
        <v>Pawan Kumar.</v>
      </c>
      <c r="F114" s="400" t="str">
        <f>IFERROR(__xludf.DUMMYFUNCTION("""COMPUTED_VALUE"""),"RAJASTHAN")</f>
        <v>RAJASTHAN</v>
      </c>
      <c r="G114" s="280">
        <f>IFERROR(__xludf.DUMMYFUNCTION("""COMPUTED_VALUE"""),801558.0)</f>
        <v>801558</v>
      </c>
      <c r="H114" s="190">
        <f>IFERROR(__xludf.DUMMYFUNCTION("""COMPUTED_VALUE"""),66796.5)</f>
        <v>66796.5</v>
      </c>
      <c r="I114" s="195">
        <f>IFERROR(__xludf.DUMMYFUNCTION("""COMPUTED_VALUE"""),1436911.0)</f>
        <v>1436911</v>
      </c>
      <c r="J114" s="195"/>
      <c r="K114" s="75">
        <f t="shared" si="2"/>
        <v>-635353</v>
      </c>
      <c r="L114" s="262">
        <f t="shared" si="3"/>
        <v>-0.7926475689</v>
      </c>
    </row>
    <row r="115">
      <c r="A115" s="75">
        <v>110.0</v>
      </c>
      <c r="B115" s="75" t="str">
        <f>IFERROR(__xludf.DUMMYFUNCTION("""COMPUTED_VALUE"""),"Mahaveer sanitary ware &amp; Hardware store")</f>
        <v>Mahaveer sanitary ware &amp; Hardware store</v>
      </c>
      <c r="C115" s="400">
        <f>IFERROR(__xludf.DUMMYFUNCTION("""COMPUTED_VALUE"""),1027714.0)</f>
        <v>1027714</v>
      </c>
      <c r="D115" s="400">
        <f>IFERROR(__xludf.DUMMYFUNCTION("""COMPUTED_VALUE"""),2.0)</f>
        <v>2</v>
      </c>
      <c r="E115" s="400" t="str">
        <f>IFERROR(__xludf.DUMMYFUNCTION("""COMPUTED_VALUE"""),"Prashant Kumar, Tarun Giri")</f>
        <v>Prashant Kumar, Tarun Giri</v>
      </c>
      <c r="F115" s="400" t="str">
        <f>IFERROR(__xludf.DUMMYFUNCTION("""COMPUTED_VALUE"""),"West U.P")</f>
        <v>West U.P</v>
      </c>
      <c r="G115" s="280">
        <f>IFERROR(__xludf.DUMMYFUNCTION("""COMPUTED_VALUE"""),513857.0)</f>
        <v>513857</v>
      </c>
      <c r="H115" s="190">
        <f>IFERROR(__xludf.DUMMYFUNCTION("""COMPUTED_VALUE"""),42821.416666666664)</f>
        <v>42821.41667</v>
      </c>
      <c r="I115" s="195">
        <f>IFERROR(__xludf.DUMMYFUNCTION("""COMPUTED_VALUE"""),3017580.0)</f>
        <v>3017580</v>
      </c>
      <c r="J115" s="195"/>
      <c r="K115" s="75">
        <f t="shared" si="2"/>
        <v>-1989866</v>
      </c>
      <c r="L115" s="262">
        <f t="shared" si="3"/>
        <v>-1.936205987</v>
      </c>
    </row>
    <row r="116">
      <c r="A116" s="75">
        <v>111.0</v>
      </c>
      <c r="B116" s="75" t="str">
        <f>IFERROR(__xludf.DUMMYFUNCTION("""COMPUTED_VALUE"""),"Mahesh pipe")</f>
        <v>Mahesh pipe</v>
      </c>
      <c r="C116" s="400">
        <f>IFERROR(__xludf.DUMMYFUNCTION("""COMPUTED_VALUE"""),546971.0)</f>
        <v>546971</v>
      </c>
      <c r="D116" s="400">
        <f>IFERROR(__xludf.DUMMYFUNCTION("""COMPUTED_VALUE"""),1.0)</f>
        <v>1</v>
      </c>
      <c r="E116" s="400" t="str">
        <f>IFERROR(__xludf.DUMMYFUNCTION("""COMPUTED_VALUE"""),"A.Prasath")</f>
        <v>A.Prasath</v>
      </c>
      <c r="F116" s="400" t="str">
        <f>IFERROR(__xludf.DUMMYFUNCTION("""COMPUTED_VALUE"""),"TAMIL NADU")</f>
        <v>TAMIL NADU</v>
      </c>
      <c r="G116" s="280">
        <f>IFERROR(__xludf.DUMMYFUNCTION("""COMPUTED_VALUE"""),546971.0)</f>
        <v>546971</v>
      </c>
      <c r="H116" s="190">
        <f>IFERROR(__xludf.DUMMYFUNCTION("""COMPUTED_VALUE"""),45580.916666666664)</f>
        <v>45580.91667</v>
      </c>
      <c r="I116" s="195">
        <f>IFERROR(__xludf.DUMMYFUNCTION("""COMPUTED_VALUE"""),0.0)</f>
        <v>0</v>
      </c>
      <c r="J116" s="195"/>
      <c r="K116" s="75">
        <f t="shared" si="2"/>
        <v>546971</v>
      </c>
      <c r="L116" s="262">
        <f t="shared" si="3"/>
        <v>1</v>
      </c>
    </row>
    <row r="117">
      <c r="A117" s="75">
        <v>112.0</v>
      </c>
      <c r="B117" s="75" t="str">
        <f>IFERROR(__xludf.DUMMYFUNCTION("""COMPUTED_VALUE"""),"MAIYA HARDWARE STORE")</f>
        <v>MAIYA HARDWARE STORE</v>
      </c>
      <c r="C117" s="400">
        <f>IFERROR(__xludf.DUMMYFUNCTION("""COMPUTED_VALUE"""),2526864.0)</f>
        <v>2526864</v>
      </c>
      <c r="D117" s="400">
        <f>IFERROR(__xludf.DUMMYFUNCTION("""COMPUTED_VALUE"""),1.0)</f>
        <v>1</v>
      </c>
      <c r="E117" s="400" t="str">
        <f>IFERROR(__xludf.DUMMYFUNCTION("""COMPUTED_VALUE"""),"Vishant Bandhral")</f>
        <v>Vishant Bandhral</v>
      </c>
      <c r="F117" s="400" t="str">
        <f>IFERROR(__xludf.DUMMYFUNCTION("""COMPUTED_VALUE"""),"JAMMU AND KASHMIR")</f>
        <v>JAMMU AND KASHMIR</v>
      </c>
      <c r="G117" s="280">
        <f>IFERROR(__xludf.DUMMYFUNCTION("""COMPUTED_VALUE"""),2526864.0)</f>
        <v>2526864</v>
      </c>
      <c r="H117" s="190">
        <f>IFERROR(__xludf.DUMMYFUNCTION("""COMPUTED_VALUE"""),210572.0)</f>
        <v>210572</v>
      </c>
      <c r="I117" s="195">
        <f>IFERROR(__xludf.DUMMYFUNCTION("""COMPUTED_VALUE"""),3236117.0)</f>
        <v>3236117</v>
      </c>
      <c r="J117" s="195"/>
      <c r="K117" s="75">
        <f t="shared" si="2"/>
        <v>-709253</v>
      </c>
      <c r="L117" s="262">
        <f t="shared" si="3"/>
        <v>-0.2806850705</v>
      </c>
    </row>
    <row r="118">
      <c r="A118" s="75">
        <v>113.0</v>
      </c>
      <c r="B118" s="75" t="str">
        <f>IFERROR(__xludf.DUMMYFUNCTION("""COMPUTED_VALUE"""),"Maji Trading")</f>
        <v>Maji Trading</v>
      </c>
      <c r="C118" s="400">
        <f>IFERROR(__xludf.DUMMYFUNCTION("""COMPUTED_VALUE"""),1.12256025E8)</f>
        <v>112256025</v>
      </c>
      <c r="D118" s="400">
        <f>IFERROR(__xludf.DUMMYFUNCTION("""COMPUTED_VALUE"""),6.0)</f>
        <v>6</v>
      </c>
      <c r="E118" s="400" t="str">
        <f>IFERROR(__xludf.DUMMYFUNCTION("""COMPUTED_VALUE"""),"Monmon Paul, Soumen Ghosh, Sourav Samanta, Subhajit Koley, Sujan Ghata, Susovan Singha")</f>
        <v>Monmon Paul, Soumen Ghosh, Sourav Samanta, Subhajit Koley, Sujan Ghata, Susovan Singha</v>
      </c>
      <c r="F118" s="400" t="str">
        <f>IFERROR(__xludf.DUMMYFUNCTION("""COMPUTED_VALUE"""),"WEST BENGAL")</f>
        <v>WEST BENGAL</v>
      </c>
      <c r="G118" s="280">
        <f>IFERROR(__xludf.DUMMYFUNCTION("""COMPUTED_VALUE"""),1.87093375E7)</f>
        <v>18709337.5</v>
      </c>
      <c r="H118" s="190">
        <f>IFERROR(__xludf.DUMMYFUNCTION("""COMPUTED_VALUE"""),1559111.4583333333)</f>
        <v>1559111.458</v>
      </c>
      <c r="I118" s="195">
        <f>IFERROR(__xludf.DUMMYFUNCTION("""COMPUTED_VALUE"""),1.22640927E8)</f>
        <v>122640927</v>
      </c>
      <c r="J118" s="195"/>
      <c r="K118" s="75">
        <f t="shared" si="2"/>
        <v>-10384902</v>
      </c>
      <c r="L118" s="262">
        <f t="shared" si="3"/>
        <v>-0.09251086523</v>
      </c>
    </row>
    <row r="119">
      <c r="A119" s="75">
        <v>114.0</v>
      </c>
      <c r="B119" s="75" t="str">
        <f>IFERROR(__xludf.DUMMYFUNCTION("""COMPUTED_VALUE"""),"Makaan Group")</f>
        <v>Makaan Group</v>
      </c>
      <c r="C119" s="400">
        <f>IFERROR(__xludf.DUMMYFUNCTION("""COMPUTED_VALUE"""),105439.0)</f>
        <v>105439</v>
      </c>
      <c r="D119" s="400">
        <f>IFERROR(__xludf.DUMMYFUNCTION("""COMPUTED_VALUE"""),1.0)</f>
        <v>1</v>
      </c>
      <c r="E119" s="400" t="str">
        <f>IFERROR(__xludf.DUMMYFUNCTION("""COMPUTED_VALUE"""),"Dinesh Kumar Kaushik")</f>
        <v>Dinesh Kumar Kaushik</v>
      </c>
      <c r="F119" s="400" t="str">
        <f>IFERROR(__xludf.DUMMYFUNCTION("""COMPUTED_VALUE"""),"RAJASTHAN")</f>
        <v>RAJASTHAN</v>
      </c>
      <c r="G119" s="280">
        <f>IFERROR(__xludf.DUMMYFUNCTION("""COMPUTED_VALUE"""),105439.0)</f>
        <v>105439</v>
      </c>
      <c r="H119" s="190">
        <f>IFERROR(__xludf.DUMMYFUNCTION("""COMPUTED_VALUE"""),8786.583333333334)</f>
        <v>8786.583333</v>
      </c>
      <c r="I119" s="195">
        <f>IFERROR(__xludf.DUMMYFUNCTION("""COMPUTED_VALUE"""),814919.0)</f>
        <v>814919</v>
      </c>
      <c r="J119" s="195"/>
      <c r="K119" s="75">
        <f t="shared" si="2"/>
        <v>-709480</v>
      </c>
      <c r="L119" s="262">
        <f t="shared" si="3"/>
        <v>-6.728819507</v>
      </c>
    </row>
    <row r="120">
      <c r="A120" s="75">
        <v>115.0</v>
      </c>
      <c r="B120" s="75" t="str">
        <f>IFERROR(__xludf.DUMMYFUNCTION("""COMPUTED_VALUE"""),"Manoj Enterprises")</f>
        <v>Manoj Enterprises</v>
      </c>
      <c r="C120" s="400">
        <f>IFERROR(__xludf.DUMMYFUNCTION("""COMPUTED_VALUE"""),3.5852493E7)</f>
        <v>35852493</v>
      </c>
      <c r="D120" s="400">
        <f>IFERROR(__xludf.DUMMYFUNCTION("""COMPUTED_VALUE"""),4.0)</f>
        <v>4</v>
      </c>
      <c r="E120" s="400" t="str">
        <f>IFERROR(__xludf.DUMMYFUNCTION("""COMPUTED_VALUE"""),"Ajeet Yadav, Paramjeet, Prasun Chatterjee, Rajan Srivastava")</f>
        <v>Ajeet Yadav, Paramjeet, Prasun Chatterjee, Rajan Srivastava</v>
      </c>
      <c r="F120" s="400" t="str">
        <f>IFERROR(__xludf.DUMMYFUNCTION("""COMPUTED_VALUE"""),"East U.P")</f>
        <v>East U.P</v>
      </c>
      <c r="G120" s="280">
        <f>IFERROR(__xludf.DUMMYFUNCTION("""COMPUTED_VALUE"""),8963123.25)</f>
        <v>8963123.25</v>
      </c>
      <c r="H120" s="190">
        <f>IFERROR(__xludf.DUMMYFUNCTION("""COMPUTED_VALUE"""),746926.9375)</f>
        <v>746926.9375</v>
      </c>
      <c r="I120" s="195">
        <f>IFERROR(__xludf.DUMMYFUNCTION("""COMPUTED_VALUE"""),3.8014938E7)</f>
        <v>38014938</v>
      </c>
      <c r="J120" s="195"/>
      <c r="K120" s="75">
        <f t="shared" si="2"/>
        <v>-2162445</v>
      </c>
      <c r="L120" s="262">
        <f t="shared" si="3"/>
        <v>-0.06031505257</v>
      </c>
    </row>
    <row r="121">
      <c r="A121" s="75">
        <v>116.0</v>
      </c>
      <c r="B121" s="75" t="str">
        <f>IFERROR(__xludf.DUMMYFUNCTION("""COMPUTED_VALUE"""),"Mansi trading company")</f>
        <v>Mansi trading company</v>
      </c>
      <c r="C121" s="400">
        <f>IFERROR(__xludf.DUMMYFUNCTION("""COMPUTED_VALUE"""),267354.0)</f>
        <v>267354</v>
      </c>
      <c r="D121" s="400">
        <f>IFERROR(__xludf.DUMMYFUNCTION("""COMPUTED_VALUE"""),1.0)</f>
        <v>1</v>
      </c>
      <c r="E121" s="400" t="str">
        <f>IFERROR(__xludf.DUMMYFUNCTION("""COMPUTED_VALUE"""),"Ravinder Puri")</f>
        <v>Ravinder Puri</v>
      </c>
      <c r="F121" s="400" t="str">
        <f>IFERROR(__xludf.DUMMYFUNCTION("""COMPUTED_VALUE"""),"West U.P")</f>
        <v>West U.P</v>
      </c>
      <c r="G121" s="280">
        <f>IFERROR(__xludf.DUMMYFUNCTION("""COMPUTED_VALUE"""),267354.0)</f>
        <v>267354</v>
      </c>
      <c r="H121" s="190">
        <f>IFERROR(__xludf.DUMMYFUNCTION("""COMPUTED_VALUE"""),22279.5)</f>
        <v>22279.5</v>
      </c>
      <c r="I121" s="195">
        <f>IFERROR(__xludf.DUMMYFUNCTION("""COMPUTED_VALUE"""),676675.0)</f>
        <v>676675</v>
      </c>
      <c r="J121" s="195"/>
      <c r="K121" s="75">
        <f t="shared" si="2"/>
        <v>-409321</v>
      </c>
      <c r="L121" s="262">
        <f t="shared" si="3"/>
        <v>-1.531007578</v>
      </c>
    </row>
    <row r="122">
      <c r="A122" s="75">
        <v>117.0</v>
      </c>
      <c r="B122" s="75" t="str">
        <f>IFERROR(__xludf.DUMMYFUNCTION("""COMPUTED_VALUE"""),"Master Plumbing and Hardware")</f>
        <v>Master Plumbing and Hardware</v>
      </c>
      <c r="C122" s="400">
        <f>IFERROR(__xludf.DUMMYFUNCTION("""COMPUTED_VALUE"""),60041.0)</f>
        <v>60041</v>
      </c>
      <c r="D122" s="400">
        <f>IFERROR(__xludf.DUMMYFUNCTION("""COMPUTED_VALUE"""),1.0)</f>
        <v>1</v>
      </c>
      <c r="E122" s="400" t="str">
        <f>IFERROR(__xludf.DUMMYFUNCTION("""COMPUTED_VALUE"""),"Chandrakant Mandave")</f>
        <v>Chandrakant Mandave</v>
      </c>
      <c r="F122" s="400" t="str">
        <f>IFERROR(__xludf.DUMMYFUNCTION("""COMPUTED_VALUE"""),"MAHARASHTRA")</f>
        <v>MAHARASHTRA</v>
      </c>
      <c r="G122" s="280">
        <f>IFERROR(__xludf.DUMMYFUNCTION("""COMPUTED_VALUE"""),60041.0)</f>
        <v>60041</v>
      </c>
      <c r="H122" s="190">
        <f>IFERROR(__xludf.DUMMYFUNCTION("""COMPUTED_VALUE"""),5003.416666666667)</f>
        <v>5003.416667</v>
      </c>
      <c r="I122" s="195">
        <f>IFERROR(__xludf.DUMMYFUNCTION("""COMPUTED_VALUE"""),405924.0)</f>
        <v>405924</v>
      </c>
      <c r="J122" s="195"/>
      <c r="K122" s="75">
        <f t="shared" si="2"/>
        <v>-345883</v>
      </c>
      <c r="L122" s="262">
        <f t="shared" si="3"/>
        <v>-5.760780134</v>
      </c>
    </row>
    <row r="123">
      <c r="A123" s="75">
        <v>118.0</v>
      </c>
      <c r="B123" s="75" t="str">
        <f>IFERROR(__xludf.DUMMYFUNCTION("""COMPUTED_VALUE"""),"Meera Associates")</f>
        <v>Meera Associates</v>
      </c>
      <c r="C123" s="400">
        <f>IFERROR(__xludf.DUMMYFUNCTION("""COMPUTED_VALUE"""),6885325.0)</f>
        <v>6885325</v>
      </c>
      <c r="D123" s="400">
        <f>IFERROR(__xludf.DUMMYFUNCTION("""COMPUTED_VALUE"""),2.0)</f>
        <v>2</v>
      </c>
      <c r="E123" s="400" t="str">
        <f>IFERROR(__xludf.DUMMYFUNCTION("""COMPUTED_VALUE"""),"Arijit Roychowdhury, Hrusikesh Satapathy")</f>
        <v>Arijit Roychowdhury, Hrusikesh Satapathy</v>
      </c>
      <c r="F123" s="400" t="str">
        <f>IFERROR(__xludf.DUMMYFUNCTION("""COMPUTED_VALUE"""),"ODISHA")</f>
        <v>ODISHA</v>
      </c>
      <c r="G123" s="280">
        <f>IFERROR(__xludf.DUMMYFUNCTION("""COMPUTED_VALUE"""),3442662.5)</f>
        <v>3442662.5</v>
      </c>
      <c r="H123" s="190">
        <f>IFERROR(__xludf.DUMMYFUNCTION("""COMPUTED_VALUE"""),286888.5416666667)</f>
        <v>286888.5417</v>
      </c>
      <c r="I123" s="195">
        <f>IFERROR(__xludf.DUMMYFUNCTION("""COMPUTED_VALUE"""),1.3106843E7)</f>
        <v>13106843</v>
      </c>
      <c r="J123" s="195"/>
      <c r="K123" s="75">
        <f t="shared" si="2"/>
        <v>-6221518</v>
      </c>
      <c r="L123" s="262">
        <f t="shared" si="3"/>
        <v>-0.9035910433</v>
      </c>
    </row>
    <row r="124">
      <c r="A124" s="75">
        <v>119.0</v>
      </c>
      <c r="B124" s="75" t="str">
        <f>IFERROR(__xludf.DUMMYFUNCTION("""COMPUTED_VALUE"""),"Mehta Ceramics")</f>
        <v>Mehta Ceramics</v>
      </c>
      <c r="C124" s="400">
        <f>IFERROR(__xludf.DUMMYFUNCTION("""COMPUTED_VALUE"""),962155.0)</f>
        <v>962155</v>
      </c>
      <c r="D124" s="400">
        <f>IFERROR(__xludf.DUMMYFUNCTION("""COMPUTED_VALUE"""),1.0)</f>
        <v>1</v>
      </c>
      <c r="E124" s="400" t="str">
        <f>IFERROR(__xludf.DUMMYFUNCTION("""COMPUTED_VALUE"""),"Chandrakant Mandave")</f>
        <v>Chandrakant Mandave</v>
      </c>
      <c r="F124" s="400" t="str">
        <f>IFERROR(__xludf.DUMMYFUNCTION("""COMPUTED_VALUE"""),"MAHARASHTRA")</f>
        <v>MAHARASHTRA</v>
      </c>
      <c r="G124" s="280">
        <f>IFERROR(__xludf.DUMMYFUNCTION("""COMPUTED_VALUE"""),962155.0)</f>
        <v>962155</v>
      </c>
      <c r="H124" s="190">
        <f>IFERROR(__xludf.DUMMYFUNCTION("""COMPUTED_VALUE"""),80179.58333333333)</f>
        <v>80179.58333</v>
      </c>
      <c r="I124" s="195">
        <f>IFERROR(__xludf.DUMMYFUNCTION("""COMPUTED_VALUE"""),1015879.0)</f>
        <v>1015879</v>
      </c>
      <c r="J124" s="195"/>
      <c r="K124" s="75">
        <f t="shared" si="2"/>
        <v>-53724</v>
      </c>
      <c r="L124" s="262">
        <f t="shared" si="3"/>
        <v>-0.05583715721</v>
      </c>
    </row>
    <row r="125">
      <c r="A125" s="75">
        <v>120.0</v>
      </c>
      <c r="B125" s="75" t="str">
        <f>IFERROR(__xludf.DUMMYFUNCTION("""COMPUTED_VALUE"""),"Milan marketing")</f>
        <v>Milan marketing</v>
      </c>
      <c r="C125" s="400">
        <f>IFERROR(__xludf.DUMMYFUNCTION("""COMPUTED_VALUE"""),7713616.0)</f>
        <v>7713616</v>
      </c>
      <c r="D125" s="400">
        <f>IFERROR(__xludf.DUMMYFUNCTION("""COMPUTED_VALUE"""),1.0)</f>
        <v>1</v>
      </c>
      <c r="E125" s="400" t="str">
        <f>IFERROR(__xludf.DUMMYFUNCTION("""COMPUTED_VALUE"""),"J.Kamal Kishore")</f>
        <v>J.Kamal Kishore</v>
      </c>
      <c r="F125" s="400" t="str">
        <f>IFERROR(__xludf.DUMMYFUNCTION("""COMPUTED_VALUE"""),"ANDHRA PRADESH")</f>
        <v>ANDHRA PRADESH</v>
      </c>
      <c r="G125" s="280">
        <f>IFERROR(__xludf.DUMMYFUNCTION("""COMPUTED_VALUE"""),7713616.0)</f>
        <v>7713616</v>
      </c>
      <c r="H125" s="190">
        <f>IFERROR(__xludf.DUMMYFUNCTION("""COMPUTED_VALUE"""),642801.3333333334)</f>
        <v>642801.3333</v>
      </c>
      <c r="I125" s="195">
        <f>IFERROR(__xludf.DUMMYFUNCTION("""COMPUTED_VALUE"""),6204669.0)</f>
        <v>6204669</v>
      </c>
      <c r="J125" s="195"/>
      <c r="K125" s="75">
        <f t="shared" si="2"/>
        <v>1508947</v>
      </c>
      <c r="L125" s="262">
        <f t="shared" si="3"/>
        <v>0.1956212236</v>
      </c>
    </row>
    <row r="126">
      <c r="A126" s="75">
        <v>121.0</v>
      </c>
      <c r="B126" s="75" t="str">
        <f>IFERROR(__xludf.DUMMYFUNCTION("""COMPUTED_VALUE"""),"Mittal Agencies")</f>
        <v>Mittal Agencies</v>
      </c>
      <c r="C126" s="400">
        <f>IFERROR(__xludf.DUMMYFUNCTION("""COMPUTED_VALUE"""),4.0061292E7)</f>
        <v>40061292</v>
      </c>
      <c r="D126" s="400">
        <f>IFERROR(__xludf.DUMMYFUNCTION("""COMPUTED_VALUE"""),2.0)</f>
        <v>2</v>
      </c>
      <c r="E126" s="400" t="str">
        <f>IFERROR(__xludf.DUMMYFUNCTION("""COMPUTED_VALUE"""),"Prabhakar Pratap Singh, Saurav Kumar")</f>
        <v>Prabhakar Pratap Singh, Saurav Kumar</v>
      </c>
      <c r="F126" s="400" t="str">
        <f>IFERROR(__xludf.DUMMYFUNCTION("""COMPUTED_VALUE"""),"BIHAR")</f>
        <v>BIHAR</v>
      </c>
      <c r="G126" s="280">
        <f>IFERROR(__xludf.DUMMYFUNCTION("""COMPUTED_VALUE"""),2.0030646E7)</f>
        <v>20030646</v>
      </c>
      <c r="H126" s="190">
        <f>IFERROR(__xludf.DUMMYFUNCTION("""COMPUTED_VALUE"""),1669220.5)</f>
        <v>1669220.5</v>
      </c>
      <c r="I126" s="195">
        <f>IFERROR(__xludf.DUMMYFUNCTION("""COMPUTED_VALUE"""),6.83211E7)</f>
        <v>68321100</v>
      </c>
      <c r="J126" s="195"/>
      <c r="K126" s="75">
        <f t="shared" si="2"/>
        <v>-28259808</v>
      </c>
      <c r="L126" s="262">
        <f t="shared" si="3"/>
        <v>-0.7054142937</v>
      </c>
    </row>
    <row r="127">
      <c r="A127" s="75">
        <v>122.0</v>
      </c>
      <c r="B127" s="75" t="str">
        <f>IFERROR(__xludf.DUMMYFUNCTION("""COMPUTED_VALUE"""),"MK Traders")</f>
        <v>MK Traders</v>
      </c>
      <c r="C127" s="400">
        <f>IFERROR(__xludf.DUMMYFUNCTION("""COMPUTED_VALUE"""),247176.0)</f>
        <v>247176</v>
      </c>
      <c r="D127" s="400">
        <f>IFERROR(__xludf.DUMMYFUNCTION("""COMPUTED_VALUE"""),2.0)</f>
        <v>2</v>
      </c>
      <c r="E127" s="400" t="str">
        <f>IFERROR(__xludf.DUMMYFUNCTION("""COMPUTED_VALUE"""),"RAVI KUMAR ., Shanker Singh")</f>
        <v>RAVI KUMAR ., Shanker Singh</v>
      </c>
      <c r="F127" s="400" t="str">
        <f>IFERROR(__xludf.DUMMYFUNCTION("""COMPUTED_VALUE"""),"HARYANA")</f>
        <v>HARYANA</v>
      </c>
      <c r="G127" s="280">
        <f>IFERROR(__xludf.DUMMYFUNCTION("""COMPUTED_VALUE"""),123588.0)</f>
        <v>123588</v>
      </c>
      <c r="H127" s="190">
        <f>IFERROR(__xludf.DUMMYFUNCTION("""COMPUTED_VALUE"""),10299.0)</f>
        <v>10299</v>
      </c>
      <c r="I127" s="195">
        <f>IFERROR(__xludf.DUMMYFUNCTION("""COMPUTED_VALUE"""),0.0)</f>
        <v>0</v>
      </c>
      <c r="J127" s="195" t="str">
        <f>IFERROR(__xludf.DUMMYFUNCTION("""COMPUTED_VALUE"""),"As Discssed With Pawan Sir he informed that team members was updated wrong orders. Team Member name Shanker Singh &amp; Ravi he has updated only 7000 rs orders")</f>
        <v>As Discssed With Pawan Sir he informed that team members was updated wrong orders. Team Member name Shanker Singh &amp; Ravi he has updated only 7000 rs orders</v>
      </c>
      <c r="K127" s="75">
        <f t="shared" si="2"/>
        <v>247176</v>
      </c>
      <c r="L127" s="262">
        <f t="shared" si="3"/>
        <v>1</v>
      </c>
    </row>
    <row r="128">
      <c r="A128" s="75">
        <v>123.0</v>
      </c>
      <c r="B128" s="75" t="str">
        <f>IFERROR(__xludf.DUMMYFUNCTION("""COMPUTED_VALUE"""),"MOHAN LAL AND SONS")</f>
        <v>MOHAN LAL AND SONS</v>
      </c>
      <c r="C128" s="400">
        <f>IFERROR(__xludf.DUMMYFUNCTION("""COMPUTED_VALUE"""),223814.0)</f>
        <v>223814</v>
      </c>
      <c r="D128" s="400">
        <f>IFERROR(__xludf.DUMMYFUNCTION("""COMPUTED_VALUE"""),1.0)</f>
        <v>1</v>
      </c>
      <c r="E128" s="400" t="str">
        <f>IFERROR(__xludf.DUMMYFUNCTION("""COMPUTED_VALUE"""),"Shivam Chauhan")</f>
        <v>Shivam Chauhan</v>
      </c>
      <c r="F128" s="400" t="str">
        <f>IFERROR(__xludf.DUMMYFUNCTION("""COMPUTED_VALUE"""),"UTTARAKHAND")</f>
        <v>UTTARAKHAND</v>
      </c>
      <c r="G128" s="280">
        <f>IFERROR(__xludf.DUMMYFUNCTION("""COMPUTED_VALUE"""),223814.0)</f>
        <v>223814</v>
      </c>
      <c r="H128" s="190">
        <f>IFERROR(__xludf.DUMMYFUNCTION("""COMPUTED_VALUE"""),18651.166666666668)</f>
        <v>18651.16667</v>
      </c>
      <c r="I128" s="195">
        <f>IFERROR(__xludf.DUMMYFUNCTION("""COMPUTED_VALUE"""),0.0)</f>
        <v>0</v>
      </c>
      <c r="J128" s="195"/>
      <c r="K128" s="75">
        <f t="shared" si="2"/>
        <v>223814</v>
      </c>
      <c r="L128" s="262">
        <f t="shared" si="3"/>
        <v>1</v>
      </c>
    </row>
    <row r="129">
      <c r="A129" s="75">
        <v>124.0</v>
      </c>
      <c r="B129" s="75" t="str">
        <f>IFERROR(__xludf.DUMMYFUNCTION("""COMPUTED_VALUE"""),"Ms AUM SAI ENTERPRISES")</f>
        <v>Ms AUM SAI ENTERPRISES</v>
      </c>
      <c r="C129" s="400">
        <f>IFERROR(__xludf.DUMMYFUNCTION("""COMPUTED_VALUE"""),67220.0)</f>
        <v>67220</v>
      </c>
      <c r="D129" s="400">
        <f>IFERROR(__xludf.DUMMYFUNCTION("""COMPUTED_VALUE"""),1.0)</f>
        <v>1</v>
      </c>
      <c r="E129" s="400" t="str">
        <f>IFERROR(__xludf.DUMMYFUNCTION("""COMPUTED_VALUE"""),"Vishant Bandhral")</f>
        <v>Vishant Bandhral</v>
      </c>
      <c r="F129" s="400" t="str">
        <f>IFERROR(__xludf.DUMMYFUNCTION("""COMPUTED_VALUE"""),"JAMMU AND KASHMIR")</f>
        <v>JAMMU AND KASHMIR</v>
      </c>
      <c r="G129" s="280">
        <f>IFERROR(__xludf.DUMMYFUNCTION("""COMPUTED_VALUE"""),67220.0)</f>
        <v>67220</v>
      </c>
      <c r="H129" s="190">
        <f>IFERROR(__xludf.DUMMYFUNCTION("""COMPUTED_VALUE"""),5601.666666666667)</f>
        <v>5601.666667</v>
      </c>
      <c r="I129" s="195">
        <f>IFERROR(__xludf.DUMMYFUNCTION("""COMPUTED_VALUE"""),0.0)</f>
        <v>0</v>
      </c>
      <c r="J129" s="195" t="str">
        <f>IFERROR(__xludf.DUMMYFUNCTION("""COMPUTED_VALUE"""),"OLD STOCK")</f>
        <v>OLD STOCK</v>
      </c>
      <c r="K129" s="75">
        <f t="shared" si="2"/>
        <v>67220</v>
      </c>
      <c r="L129" s="262">
        <f t="shared" si="3"/>
        <v>1</v>
      </c>
    </row>
    <row r="130">
      <c r="A130" s="75">
        <v>125.0</v>
      </c>
      <c r="B130" s="75" t="str">
        <f>IFERROR(__xludf.DUMMYFUNCTION("""COMPUTED_VALUE"""),"Ms Dimple sanitary and paint store")</f>
        <v>Ms Dimple sanitary and paint store</v>
      </c>
      <c r="C130" s="400">
        <f>IFERROR(__xludf.DUMMYFUNCTION("""COMPUTED_VALUE"""),2916876.0)</f>
        <v>2916876</v>
      </c>
      <c r="D130" s="400">
        <f>IFERROR(__xludf.DUMMYFUNCTION("""COMPUTED_VALUE"""),1.0)</f>
        <v>1</v>
      </c>
      <c r="E130" s="400" t="str">
        <f>IFERROR(__xludf.DUMMYFUNCTION("""COMPUTED_VALUE"""),"PAWAN KUMAR")</f>
        <v>PAWAN KUMAR</v>
      </c>
      <c r="F130" s="400" t="str">
        <f>IFERROR(__xludf.DUMMYFUNCTION("""COMPUTED_VALUE"""),"JAMMU AND KASHMIR")</f>
        <v>JAMMU AND KASHMIR</v>
      </c>
      <c r="G130" s="280">
        <f>IFERROR(__xludf.DUMMYFUNCTION("""COMPUTED_VALUE"""),2916876.0)</f>
        <v>2916876</v>
      </c>
      <c r="H130" s="190">
        <f>IFERROR(__xludf.DUMMYFUNCTION("""COMPUTED_VALUE"""),243073.0)</f>
        <v>243073</v>
      </c>
      <c r="I130" s="195">
        <f>IFERROR(__xludf.DUMMYFUNCTION("""COMPUTED_VALUE"""),0.0)</f>
        <v>0</v>
      </c>
      <c r="J130" s="195"/>
      <c r="K130" s="75">
        <f t="shared" si="2"/>
        <v>2916876</v>
      </c>
      <c r="L130" s="262">
        <f t="shared" si="3"/>
        <v>1</v>
      </c>
    </row>
    <row r="131">
      <c r="A131" s="75">
        <v>126.0</v>
      </c>
      <c r="B131" s="75" t="str">
        <f>IFERROR(__xludf.DUMMYFUNCTION("""COMPUTED_VALUE"""),"MS Haider TRADING HUB")</f>
        <v>MS Haider TRADING HUB</v>
      </c>
      <c r="C131" s="400">
        <f>IFERROR(__xludf.DUMMYFUNCTION("""COMPUTED_VALUE"""),50843.0)</f>
        <v>50843</v>
      </c>
      <c r="D131" s="400">
        <f>IFERROR(__xludf.DUMMYFUNCTION("""COMPUTED_VALUE"""),1.0)</f>
        <v>1</v>
      </c>
      <c r="E131" s="400" t="str">
        <f>IFERROR(__xludf.DUMMYFUNCTION("""COMPUTED_VALUE"""),"Deep Kumar")</f>
        <v>Deep Kumar</v>
      </c>
      <c r="F131" s="400" t="str">
        <f>IFERROR(__xludf.DUMMYFUNCTION("""COMPUTED_VALUE"""),"JAMMU AND KASHMIR")</f>
        <v>JAMMU AND KASHMIR</v>
      </c>
      <c r="G131" s="280">
        <f>IFERROR(__xludf.DUMMYFUNCTION("""COMPUTED_VALUE"""),50843.0)</f>
        <v>50843</v>
      </c>
      <c r="H131" s="190">
        <f>IFERROR(__xludf.DUMMYFUNCTION("""COMPUTED_VALUE"""),4236.916666666667)</f>
        <v>4236.916667</v>
      </c>
      <c r="I131" s="195">
        <f>IFERROR(__xludf.DUMMYFUNCTION("""COMPUTED_VALUE"""),951105.0)</f>
        <v>951105</v>
      </c>
      <c r="J131" s="195"/>
      <c r="K131" s="75">
        <f t="shared" si="2"/>
        <v>-900262</v>
      </c>
      <c r="L131" s="262">
        <f t="shared" si="3"/>
        <v>-17.70670495</v>
      </c>
    </row>
    <row r="132">
      <c r="A132" s="75">
        <v>127.0</v>
      </c>
      <c r="B132" s="75" t="str">
        <f>IFERROR(__xludf.DUMMYFUNCTION("""COMPUTED_VALUE"""),"Ms vashnavi Enterprise")</f>
        <v>Ms vashnavi Enterprise</v>
      </c>
      <c r="C132" s="400">
        <f>IFERROR(__xludf.DUMMYFUNCTION("""COMPUTED_VALUE"""),5678294.0)</f>
        <v>5678294</v>
      </c>
      <c r="D132" s="400">
        <f>IFERROR(__xludf.DUMMYFUNCTION("""COMPUTED_VALUE"""),2.0)</f>
        <v>2</v>
      </c>
      <c r="E132" s="400" t="str">
        <f>IFERROR(__xludf.DUMMYFUNCTION("""COMPUTED_VALUE"""),"PAWAN KUMAR, Vishant Bandhral")</f>
        <v>PAWAN KUMAR, Vishant Bandhral</v>
      </c>
      <c r="F132" s="400" t="str">
        <f>IFERROR(__xludf.DUMMYFUNCTION("""COMPUTED_VALUE"""),"JAMMU AND KASHMIR")</f>
        <v>JAMMU AND KASHMIR</v>
      </c>
      <c r="G132" s="280">
        <f>IFERROR(__xludf.DUMMYFUNCTION("""COMPUTED_VALUE"""),2839147.0)</f>
        <v>2839147</v>
      </c>
      <c r="H132" s="190">
        <f>IFERROR(__xludf.DUMMYFUNCTION("""COMPUTED_VALUE"""),236595.58333333334)</f>
        <v>236595.5833</v>
      </c>
      <c r="I132" s="195">
        <f>IFERROR(__xludf.DUMMYFUNCTION("""COMPUTED_VALUE"""),3528840.0)</f>
        <v>3528840</v>
      </c>
      <c r="J132" s="195"/>
      <c r="K132" s="75">
        <f t="shared" si="2"/>
        <v>2149454</v>
      </c>
      <c r="L132" s="262">
        <f t="shared" si="3"/>
        <v>0.3785386949</v>
      </c>
    </row>
    <row r="133">
      <c r="A133" s="75">
        <v>128.0</v>
      </c>
      <c r="B133" s="75" t="str">
        <f>IFERROR(__xludf.DUMMYFUNCTION("""COMPUTED_VALUE"""),"N G Enterprises")</f>
        <v>N G Enterprises</v>
      </c>
      <c r="C133" s="400">
        <f>IFERROR(__xludf.DUMMYFUNCTION("""COMPUTED_VALUE"""),1.1807578E7)</f>
        <v>11807578</v>
      </c>
      <c r="D133" s="400">
        <f>IFERROR(__xludf.DUMMYFUNCTION("""COMPUTED_VALUE"""),1.0)</f>
        <v>1</v>
      </c>
      <c r="E133" s="400" t="str">
        <f>IFERROR(__xludf.DUMMYFUNCTION("""COMPUTED_VALUE"""),"Kumar Avinish")</f>
        <v>Kumar Avinish</v>
      </c>
      <c r="F133" s="400" t="str">
        <f>IFERROR(__xludf.DUMMYFUNCTION("""COMPUTED_VALUE"""),"BIHAR")</f>
        <v>BIHAR</v>
      </c>
      <c r="G133" s="280">
        <f>IFERROR(__xludf.DUMMYFUNCTION("""COMPUTED_VALUE"""),1.1807578E7)</f>
        <v>11807578</v>
      </c>
      <c r="H133" s="190">
        <f>IFERROR(__xludf.DUMMYFUNCTION("""COMPUTED_VALUE"""),983964.8333333334)</f>
        <v>983964.8333</v>
      </c>
      <c r="I133" s="195">
        <f>IFERROR(__xludf.DUMMYFUNCTION("""COMPUTED_VALUE"""),1.3757445E7)</f>
        <v>13757445</v>
      </c>
      <c r="J133" s="195"/>
      <c r="K133" s="75">
        <f t="shared" si="2"/>
        <v>-1949867</v>
      </c>
      <c r="L133" s="262">
        <f t="shared" si="3"/>
        <v>-0.1651369146</v>
      </c>
    </row>
    <row r="134">
      <c r="A134" s="75">
        <v>129.0</v>
      </c>
      <c r="B134" s="75" t="str">
        <f>IFERROR(__xludf.DUMMYFUNCTION("""COMPUTED_VALUE"""),"Narayan Machinery Stores")</f>
        <v>Narayan Machinery Stores</v>
      </c>
      <c r="C134" s="400">
        <f>IFERROR(__xludf.DUMMYFUNCTION("""COMPUTED_VALUE"""),429985.0)</f>
        <v>429985</v>
      </c>
      <c r="D134" s="400">
        <f>IFERROR(__xludf.DUMMYFUNCTION("""COMPUTED_VALUE"""),1.0)</f>
        <v>1</v>
      </c>
      <c r="E134" s="400" t="str">
        <f>IFERROR(__xludf.DUMMYFUNCTION("""COMPUTED_VALUE"""),"Siddharth Shanker Singh")</f>
        <v>Siddharth Shanker Singh</v>
      </c>
      <c r="F134" s="400" t="str">
        <f>IFERROR(__xludf.DUMMYFUNCTION("""COMPUTED_VALUE"""),"East U.P")</f>
        <v>East U.P</v>
      </c>
      <c r="G134" s="280">
        <f>IFERROR(__xludf.DUMMYFUNCTION("""COMPUTED_VALUE"""),429985.0)</f>
        <v>429985</v>
      </c>
      <c r="H134" s="190">
        <f>IFERROR(__xludf.DUMMYFUNCTION("""COMPUTED_VALUE"""),35832.083333333336)</f>
        <v>35832.08333</v>
      </c>
      <c r="I134" s="195">
        <f>IFERROR(__xludf.DUMMYFUNCTION("""COMPUTED_VALUE"""),265674.0)</f>
        <v>265674</v>
      </c>
      <c r="J134" s="195"/>
      <c r="K134" s="75">
        <f t="shared" si="2"/>
        <v>164311</v>
      </c>
      <c r="L134" s="262">
        <f t="shared" si="3"/>
        <v>0.3821319348</v>
      </c>
    </row>
    <row r="135">
      <c r="A135" s="75">
        <v>130.0</v>
      </c>
      <c r="B135" s="75" t="str">
        <f>IFERROR(__xludf.DUMMYFUNCTION("""COMPUTED_VALUE"""),"National Casting &amp; Metals")</f>
        <v>National Casting &amp; Metals</v>
      </c>
      <c r="C135" s="400">
        <f>IFERROR(__xludf.DUMMYFUNCTION("""COMPUTED_VALUE"""),5.2797514E7)</f>
        <v>52797514</v>
      </c>
      <c r="D135" s="400">
        <f>IFERROR(__xludf.DUMMYFUNCTION("""COMPUTED_VALUE"""),3.0)</f>
        <v>3</v>
      </c>
      <c r="E135" s="400" t="str">
        <f>IFERROR(__xludf.DUMMYFUNCTION("""COMPUTED_VALUE"""),"Nikhil Kumar, Sudhanshu Kumar, Vikash Kumar Singh")</f>
        <v>Nikhil Kumar, Sudhanshu Kumar, Vikash Kumar Singh</v>
      </c>
      <c r="F135" s="400" t="str">
        <f>IFERROR(__xludf.DUMMYFUNCTION("""COMPUTED_VALUE"""),"JHARKHAND")</f>
        <v>JHARKHAND</v>
      </c>
      <c r="G135" s="280">
        <f>IFERROR(__xludf.DUMMYFUNCTION("""COMPUTED_VALUE"""),1.7599171333333332E7)</f>
        <v>17599171.33</v>
      </c>
      <c r="H135" s="190">
        <f>IFERROR(__xludf.DUMMYFUNCTION("""COMPUTED_VALUE"""),1466597.611111111)</f>
        <v>1466597.611</v>
      </c>
      <c r="I135" s="195">
        <f>IFERROR(__xludf.DUMMYFUNCTION("""COMPUTED_VALUE"""),6.6499737E7)</f>
        <v>66499737</v>
      </c>
      <c r="J135" s="195"/>
      <c r="K135" s="75">
        <f t="shared" si="2"/>
        <v>-13702223</v>
      </c>
      <c r="L135" s="262">
        <f t="shared" si="3"/>
        <v>-0.2595240185</v>
      </c>
    </row>
    <row r="136">
      <c r="A136" s="75">
        <v>131.0</v>
      </c>
      <c r="B136" s="75" t="str">
        <f>IFERROR(__xludf.DUMMYFUNCTION("""COMPUTED_VALUE"""),"National Machinery Stores")</f>
        <v>National Machinery Stores</v>
      </c>
      <c r="C136" s="400">
        <f>IFERROR(__xludf.DUMMYFUNCTION("""COMPUTED_VALUE"""),100021.0)</f>
        <v>100021</v>
      </c>
      <c r="D136" s="400">
        <f>IFERROR(__xludf.DUMMYFUNCTION("""COMPUTED_VALUE"""),1.0)</f>
        <v>1</v>
      </c>
      <c r="E136" s="400" t="str">
        <f>IFERROR(__xludf.DUMMYFUNCTION("""COMPUTED_VALUE"""),"Prabhakar Pratap Singh")</f>
        <v>Prabhakar Pratap Singh</v>
      </c>
      <c r="F136" s="400" t="str">
        <f>IFERROR(__xludf.DUMMYFUNCTION("""COMPUTED_VALUE"""),"BIHAR")</f>
        <v>BIHAR</v>
      </c>
      <c r="G136" s="280">
        <f>IFERROR(__xludf.DUMMYFUNCTION("""COMPUTED_VALUE"""),100021.0)</f>
        <v>100021</v>
      </c>
      <c r="H136" s="190">
        <f>IFERROR(__xludf.DUMMYFUNCTION("""COMPUTED_VALUE"""),8335.083333333334)</f>
        <v>8335.083333</v>
      </c>
      <c r="I136" s="195">
        <f>IFERROR(__xludf.DUMMYFUNCTION("""COMPUTED_VALUE"""),7162627.0)</f>
        <v>7162627</v>
      </c>
      <c r="J136" s="195"/>
      <c r="K136" s="75">
        <f t="shared" si="2"/>
        <v>-7062606</v>
      </c>
      <c r="L136" s="262">
        <f t="shared" si="3"/>
        <v>-70.61123164</v>
      </c>
    </row>
    <row r="137">
      <c r="A137" s="75">
        <v>132.0</v>
      </c>
      <c r="B137" s="75" t="str">
        <f>IFERROR(__xludf.DUMMYFUNCTION("""COMPUTED_VALUE"""),"Naveen Enterprises")</f>
        <v>Naveen Enterprises</v>
      </c>
      <c r="C137" s="400">
        <f>IFERROR(__xludf.DUMMYFUNCTION("""COMPUTED_VALUE"""),156525.0)</f>
        <v>156525</v>
      </c>
      <c r="D137" s="400">
        <f>IFERROR(__xludf.DUMMYFUNCTION("""COMPUTED_VALUE"""),1.0)</f>
        <v>1</v>
      </c>
      <c r="E137" s="400" t="str">
        <f>IFERROR(__xludf.DUMMYFUNCTION("""COMPUTED_VALUE"""),"SHOYKARAN NAI")</f>
        <v>SHOYKARAN NAI</v>
      </c>
      <c r="F137" s="400" t="str">
        <f>IFERROR(__xludf.DUMMYFUNCTION("""COMPUTED_VALUE"""),"RAJASTHAN")</f>
        <v>RAJASTHAN</v>
      </c>
      <c r="G137" s="280">
        <f>IFERROR(__xludf.DUMMYFUNCTION("""COMPUTED_VALUE"""),156525.0)</f>
        <v>156525</v>
      </c>
      <c r="H137" s="190">
        <f>IFERROR(__xludf.DUMMYFUNCTION("""COMPUTED_VALUE"""),13043.75)</f>
        <v>13043.75</v>
      </c>
      <c r="I137" s="195">
        <f>IFERROR(__xludf.DUMMYFUNCTION("""COMPUTED_VALUE"""),0.0)</f>
        <v>0</v>
      </c>
      <c r="J137" s="195"/>
      <c r="K137" s="75">
        <f t="shared" si="2"/>
        <v>156525</v>
      </c>
      <c r="L137" s="262">
        <f t="shared" si="3"/>
        <v>1</v>
      </c>
    </row>
    <row r="138">
      <c r="A138" s="75">
        <v>133.0</v>
      </c>
      <c r="B138" s="75" t="str">
        <f>IFERROR(__xludf.DUMMYFUNCTION("""COMPUTED_VALUE"""),"NAVRANG INDUSTRIES INDIA")</f>
        <v>NAVRANG INDUSTRIES INDIA</v>
      </c>
      <c r="C138" s="400">
        <f>IFERROR(__xludf.DUMMYFUNCTION("""COMPUTED_VALUE"""),81999.0)</f>
        <v>81999</v>
      </c>
      <c r="D138" s="400">
        <f>IFERROR(__xludf.DUMMYFUNCTION("""COMPUTED_VALUE"""),1.0)</f>
        <v>1</v>
      </c>
      <c r="E138" s="400" t="str">
        <f>IFERROR(__xludf.DUMMYFUNCTION("""COMPUTED_VALUE"""),"Siddharth Shanker Singh")</f>
        <v>Siddharth Shanker Singh</v>
      </c>
      <c r="F138" s="400" t="str">
        <f>IFERROR(__xludf.DUMMYFUNCTION("""COMPUTED_VALUE"""),"East U.P")</f>
        <v>East U.P</v>
      </c>
      <c r="G138" s="280">
        <f>IFERROR(__xludf.DUMMYFUNCTION("""COMPUTED_VALUE"""),81999.0)</f>
        <v>81999</v>
      </c>
      <c r="H138" s="190">
        <f>IFERROR(__xludf.DUMMYFUNCTION("""COMPUTED_VALUE"""),6833.25)</f>
        <v>6833.25</v>
      </c>
      <c r="I138" s="195">
        <f>IFERROR(__xludf.DUMMYFUNCTION("""COMPUTED_VALUE"""),0.0)</f>
        <v>0</v>
      </c>
      <c r="J138" s="195" t="str">
        <f>IFERROR(__xludf.DUMMYFUNCTION("""COMPUTED_VALUE"""),"OLD STOCK")</f>
        <v>OLD STOCK</v>
      </c>
      <c r="K138" s="75">
        <f t="shared" si="2"/>
        <v>81999</v>
      </c>
      <c r="L138" s="262">
        <f t="shared" si="3"/>
        <v>1</v>
      </c>
    </row>
    <row r="139">
      <c r="A139" s="75">
        <v>134.0</v>
      </c>
      <c r="B139" s="75" t="str">
        <f>IFERROR(__xludf.DUMMYFUNCTION("""COMPUTED_VALUE"""),"NAYRA ENTERPRISES")</f>
        <v>NAYRA ENTERPRISES</v>
      </c>
      <c r="C139" s="400">
        <f>IFERROR(__xludf.DUMMYFUNCTION("""COMPUTED_VALUE"""),634223.0)</f>
        <v>634223</v>
      </c>
      <c r="D139" s="400">
        <f>IFERROR(__xludf.DUMMYFUNCTION("""COMPUTED_VALUE"""),1.0)</f>
        <v>1</v>
      </c>
      <c r="E139" s="400" t="str">
        <f>IFERROR(__xludf.DUMMYFUNCTION("""COMPUTED_VALUE"""),"Manish Kumar Trivedi")</f>
        <v>Manish Kumar Trivedi</v>
      </c>
      <c r="F139" s="400" t="str">
        <f>IFERROR(__xludf.DUMMYFUNCTION("""COMPUTED_VALUE"""),"RAJASTHAN")</f>
        <v>RAJASTHAN</v>
      </c>
      <c r="G139" s="280">
        <f>IFERROR(__xludf.DUMMYFUNCTION("""COMPUTED_VALUE"""),634223.0)</f>
        <v>634223</v>
      </c>
      <c r="H139" s="190">
        <f>IFERROR(__xludf.DUMMYFUNCTION("""COMPUTED_VALUE"""),52851.916666666664)</f>
        <v>52851.91667</v>
      </c>
      <c r="I139" s="195">
        <f>IFERROR(__xludf.DUMMYFUNCTION("""COMPUTED_VALUE"""),4556895.0)</f>
        <v>4556895</v>
      </c>
      <c r="J139" s="195"/>
      <c r="K139" s="75">
        <f t="shared" si="2"/>
        <v>-3922672</v>
      </c>
      <c r="L139" s="262">
        <f t="shared" si="3"/>
        <v>-6.185004328</v>
      </c>
    </row>
    <row r="140">
      <c r="A140" s="75">
        <v>135.0</v>
      </c>
      <c r="B140" s="75" t="str">
        <f>IFERROR(__xludf.DUMMYFUNCTION("""COMPUTED_VALUE"""),"Neelkanth Building Materials")</f>
        <v>Neelkanth Building Materials</v>
      </c>
      <c r="C140" s="400">
        <f>IFERROR(__xludf.DUMMYFUNCTION("""COMPUTED_VALUE"""),135738.0)</f>
        <v>135738</v>
      </c>
      <c r="D140" s="400">
        <f>IFERROR(__xludf.DUMMYFUNCTION("""COMPUTED_VALUE"""),2.0)</f>
        <v>2</v>
      </c>
      <c r="E140" s="400" t="str">
        <f>IFERROR(__xludf.DUMMYFUNCTION("""COMPUTED_VALUE"""),"Jagdish Palani, Dhaval Parmar")</f>
        <v>Jagdish Palani, Dhaval Parmar</v>
      </c>
      <c r="F140" s="400" t="str">
        <f>IFERROR(__xludf.DUMMYFUNCTION("""COMPUTED_VALUE"""),"GUJARAT")</f>
        <v>GUJARAT</v>
      </c>
      <c r="G140" s="280">
        <f>IFERROR(__xludf.DUMMYFUNCTION("""COMPUTED_VALUE"""),67869.0)</f>
        <v>67869</v>
      </c>
      <c r="H140" s="190">
        <f>IFERROR(__xludf.DUMMYFUNCTION("""COMPUTED_VALUE"""),5655.75)</f>
        <v>5655.75</v>
      </c>
      <c r="I140" s="195">
        <f>IFERROR(__xludf.DUMMYFUNCTION("""COMPUTED_VALUE"""),1022646.0)</f>
        <v>1022646</v>
      </c>
      <c r="J140" s="195"/>
      <c r="K140" s="75">
        <f t="shared" si="2"/>
        <v>-886908</v>
      </c>
      <c r="L140" s="262">
        <f t="shared" si="3"/>
        <v>-6.533969854</v>
      </c>
    </row>
    <row r="141">
      <c r="A141" s="75">
        <v>136.0</v>
      </c>
      <c r="B141" s="75" t="str">
        <f>IFERROR(__xludf.DUMMYFUNCTION("""COMPUTED_VALUE"""),"NEST MARKETING")</f>
        <v>NEST MARKETING</v>
      </c>
      <c r="C141" s="400">
        <f>IFERROR(__xludf.DUMMYFUNCTION("""COMPUTED_VALUE"""),3292530.0)</f>
        <v>3292530</v>
      </c>
      <c r="D141" s="400">
        <f>IFERROR(__xludf.DUMMYFUNCTION("""COMPUTED_VALUE"""),2.0)</f>
        <v>2</v>
      </c>
      <c r="E141" s="400" t="str">
        <f>IFERROR(__xludf.DUMMYFUNCTION("""COMPUTED_VALUE"""),"Mithun N., SREERAJ PV")</f>
        <v>Mithun N., SREERAJ PV</v>
      </c>
      <c r="F141" s="400" t="str">
        <f>IFERROR(__xludf.DUMMYFUNCTION("""COMPUTED_VALUE"""),"KERALA")</f>
        <v>KERALA</v>
      </c>
      <c r="G141" s="280">
        <f>IFERROR(__xludf.DUMMYFUNCTION("""COMPUTED_VALUE"""),1646265.0)</f>
        <v>1646265</v>
      </c>
      <c r="H141" s="190">
        <f>IFERROR(__xludf.DUMMYFUNCTION("""COMPUTED_VALUE"""),137188.75)</f>
        <v>137188.75</v>
      </c>
      <c r="I141" s="195">
        <f>IFERROR(__xludf.DUMMYFUNCTION("""COMPUTED_VALUE"""),5091021.0)</f>
        <v>5091021</v>
      </c>
      <c r="J141" s="195"/>
      <c r="K141" s="75">
        <f t="shared" si="2"/>
        <v>-1798491</v>
      </c>
      <c r="L141" s="262">
        <f t="shared" si="3"/>
        <v>-0.5462337473</v>
      </c>
    </row>
    <row r="142">
      <c r="A142" s="75">
        <v>137.0</v>
      </c>
      <c r="B142" s="75" t="str">
        <f>IFERROR(__xludf.DUMMYFUNCTION("""COMPUTED_VALUE"""),"New Bharat Pipe")</f>
        <v>New Bharat Pipe</v>
      </c>
      <c r="C142" s="400">
        <f>IFERROR(__xludf.DUMMYFUNCTION("""COMPUTED_VALUE"""),2.4267827E7)</f>
        <v>24267827</v>
      </c>
      <c r="D142" s="400">
        <f>IFERROR(__xludf.DUMMYFUNCTION("""COMPUTED_VALUE"""),3.0)</f>
        <v>3</v>
      </c>
      <c r="E142" s="400" t="str">
        <f>IFERROR(__xludf.DUMMYFUNCTION("""COMPUTED_VALUE"""),"ARUPANANDA MANDAL, Rajkumar Dari, JAHIR ABBAS HALDER")</f>
        <v>ARUPANANDA MANDAL, Rajkumar Dari, JAHIR ABBAS HALDER</v>
      </c>
      <c r="F142" s="400" t="str">
        <f>IFERROR(__xludf.DUMMYFUNCTION("""COMPUTED_VALUE"""),"WEST BENGAL")</f>
        <v>WEST BENGAL</v>
      </c>
      <c r="G142" s="280">
        <f>IFERROR(__xludf.DUMMYFUNCTION("""COMPUTED_VALUE"""),8089275.666666667)</f>
        <v>8089275.667</v>
      </c>
      <c r="H142" s="190">
        <f>IFERROR(__xludf.DUMMYFUNCTION("""COMPUTED_VALUE"""),674106.3055555556)</f>
        <v>674106.3056</v>
      </c>
      <c r="I142" s="195">
        <f>IFERROR(__xludf.DUMMYFUNCTION("""COMPUTED_VALUE"""),1.1959312E7)</f>
        <v>11959312</v>
      </c>
      <c r="J142" s="195"/>
      <c r="K142" s="75">
        <f t="shared" si="2"/>
        <v>12308515</v>
      </c>
      <c r="L142" s="262">
        <f t="shared" si="3"/>
        <v>0.5071947727</v>
      </c>
    </row>
    <row r="143">
      <c r="A143" s="75">
        <v>138.0</v>
      </c>
      <c r="B143" s="75" t="str">
        <f>IFERROR(__xludf.DUMMYFUNCTION("""COMPUTED_VALUE"""),"New Chirag Katna Traders")</f>
        <v>New Chirag Katna Traders</v>
      </c>
      <c r="C143" s="400">
        <f>IFERROR(__xludf.DUMMYFUNCTION("""COMPUTED_VALUE"""),2034320.0)</f>
        <v>2034320</v>
      </c>
      <c r="D143" s="400">
        <f>IFERROR(__xludf.DUMMYFUNCTION("""COMPUTED_VALUE"""),1.0)</f>
        <v>1</v>
      </c>
      <c r="E143" s="400" t="str">
        <f>IFERROR(__xludf.DUMMYFUNCTION("""COMPUTED_VALUE"""),"Jagdeep Singh")</f>
        <v>Jagdeep Singh</v>
      </c>
      <c r="F143" s="400" t="str">
        <f>IFERROR(__xludf.DUMMYFUNCTION("""COMPUTED_VALUE"""),"HIMACHAL PRADESH")</f>
        <v>HIMACHAL PRADESH</v>
      </c>
      <c r="G143" s="280">
        <f>IFERROR(__xludf.DUMMYFUNCTION("""COMPUTED_VALUE"""),2034320.0)</f>
        <v>2034320</v>
      </c>
      <c r="H143" s="190">
        <f>IFERROR(__xludf.DUMMYFUNCTION("""COMPUTED_VALUE"""),169526.66666666666)</f>
        <v>169526.6667</v>
      </c>
      <c r="I143" s="195">
        <f>IFERROR(__xludf.DUMMYFUNCTION("""COMPUTED_VALUE"""),1.125621E7)</f>
        <v>11256210</v>
      </c>
      <c r="J143" s="195"/>
      <c r="K143" s="75">
        <f t="shared" si="2"/>
        <v>-9221890</v>
      </c>
      <c r="L143" s="262">
        <f t="shared" si="3"/>
        <v>-4.533156042</v>
      </c>
    </row>
    <row r="144">
      <c r="A144" s="75">
        <v>139.0</v>
      </c>
      <c r="B144" s="75" t="str">
        <f>IFERROR(__xludf.DUMMYFUNCTION("""COMPUTED_VALUE"""),"New Ravi Trading Co.")</f>
        <v>New Ravi Trading Co.</v>
      </c>
      <c r="C144" s="400">
        <f>IFERROR(__xludf.DUMMYFUNCTION("""COMPUTED_VALUE"""),1.1788178E7)</f>
        <v>11788178</v>
      </c>
      <c r="D144" s="400">
        <f>IFERROR(__xludf.DUMMYFUNCTION("""COMPUTED_VALUE"""),1.0)</f>
        <v>1</v>
      </c>
      <c r="E144" s="400" t="str">
        <f>IFERROR(__xludf.DUMMYFUNCTION("""COMPUTED_VALUE"""),"Vishal Dheer")</f>
        <v>Vishal Dheer</v>
      </c>
      <c r="F144" s="400" t="str">
        <f>IFERROR(__xludf.DUMMYFUNCTION("""COMPUTED_VALUE"""),"East U.P")</f>
        <v>East U.P</v>
      </c>
      <c r="G144" s="280">
        <f>IFERROR(__xludf.DUMMYFUNCTION("""COMPUTED_VALUE"""),1.1788178E7)</f>
        <v>11788178</v>
      </c>
      <c r="H144" s="190">
        <f>IFERROR(__xludf.DUMMYFUNCTION("""COMPUTED_VALUE"""),982348.1666666666)</f>
        <v>982348.1667</v>
      </c>
      <c r="I144" s="195">
        <f>IFERROR(__xludf.DUMMYFUNCTION("""COMPUTED_VALUE"""),2.0713818E7)</f>
        <v>20713818</v>
      </c>
      <c r="J144" s="195"/>
      <c r="K144" s="75">
        <f t="shared" si="2"/>
        <v>-8925640</v>
      </c>
      <c r="L144" s="262">
        <f t="shared" si="3"/>
        <v>-0.7571687499</v>
      </c>
    </row>
    <row r="145">
      <c r="A145" s="75">
        <v>140.0</v>
      </c>
      <c r="B145" s="75" t="str">
        <f>IFERROR(__xludf.DUMMYFUNCTION("""COMPUTED_VALUE"""),"Nexus distributors")</f>
        <v>Nexus distributors</v>
      </c>
      <c r="C145" s="400">
        <f>IFERROR(__xludf.DUMMYFUNCTION("""COMPUTED_VALUE"""),4343991.0)</f>
        <v>4343991</v>
      </c>
      <c r="D145" s="400">
        <f>IFERROR(__xludf.DUMMYFUNCTION("""COMPUTED_VALUE"""),1.0)</f>
        <v>1</v>
      </c>
      <c r="E145" s="400" t="str">
        <f>IFERROR(__xludf.DUMMYFUNCTION("""COMPUTED_VALUE"""),"Girish B")</f>
        <v>Girish B</v>
      </c>
      <c r="F145" s="400" t="str">
        <f>IFERROR(__xludf.DUMMYFUNCTION("""COMPUTED_VALUE"""),"KERALA")</f>
        <v>KERALA</v>
      </c>
      <c r="G145" s="280">
        <f>IFERROR(__xludf.DUMMYFUNCTION("""COMPUTED_VALUE"""),4343991.0)</f>
        <v>4343991</v>
      </c>
      <c r="H145" s="190">
        <f>IFERROR(__xludf.DUMMYFUNCTION("""COMPUTED_VALUE"""),361999.25)</f>
        <v>361999.25</v>
      </c>
      <c r="I145" s="195">
        <f>IFERROR(__xludf.DUMMYFUNCTION("""COMPUTED_VALUE"""),1.2898025E7)</f>
        <v>12898025</v>
      </c>
      <c r="J145" s="195"/>
      <c r="K145" s="75">
        <f t="shared" si="2"/>
        <v>-8554034</v>
      </c>
      <c r="L145" s="262">
        <f t="shared" si="3"/>
        <v>-1.969164761</v>
      </c>
    </row>
    <row r="146">
      <c r="A146" s="75">
        <v>141.0</v>
      </c>
      <c r="B146" s="75" t="str">
        <f>IFERROR(__xludf.DUMMYFUNCTION("""COMPUTED_VALUE"""),"Nitin traders")</f>
        <v>Nitin traders</v>
      </c>
      <c r="C146" s="400">
        <f>IFERROR(__xludf.DUMMYFUNCTION("""COMPUTED_VALUE"""),1.0572078E7)</f>
        <v>10572078</v>
      </c>
      <c r="D146" s="400">
        <f>IFERROR(__xludf.DUMMYFUNCTION("""COMPUTED_VALUE"""),1.0)</f>
        <v>1</v>
      </c>
      <c r="E146" s="400" t="str">
        <f>IFERROR(__xludf.DUMMYFUNCTION("""COMPUTED_VALUE"""),"Jagdev")</f>
        <v>Jagdev</v>
      </c>
      <c r="F146" s="400" t="str">
        <f>IFERROR(__xludf.DUMMYFUNCTION("""COMPUTED_VALUE"""),"West U.P")</f>
        <v>West U.P</v>
      </c>
      <c r="G146" s="280">
        <f>IFERROR(__xludf.DUMMYFUNCTION("""COMPUTED_VALUE"""),1.0572078E7)</f>
        <v>10572078</v>
      </c>
      <c r="H146" s="190">
        <f>IFERROR(__xludf.DUMMYFUNCTION("""COMPUTED_VALUE"""),881006.5)</f>
        <v>881006.5</v>
      </c>
      <c r="I146" s="195">
        <f>IFERROR(__xludf.DUMMYFUNCTION("""COMPUTED_VALUE"""),1.0250536E7)</f>
        <v>10250536</v>
      </c>
      <c r="J146" s="195"/>
      <c r="K146" s="75">
        <f t="shared" si="2"/>
        <v>321542</v>
      </c>
      <c r="L146" s="262">
        <f t="shared" si="3"/>
        <v>0.03041426671</v>
      </c>
    </row>
    <row r="147">
      <c r="A147" s="75">
        <v>142.0</v>
      </c>
      <c r="B147" s="75" t="str">
        <f>IFERROR(__xludf.DUMMYFUNCTION("""COMPUTED_VALUE"""),"Nomani Hardware")</f>
        <v>Nomani Hardware</v>
      </c>
      <c r="C147" s="400">
        <f>IFERROR(__xludf.DUMMYFUNCTION("""COMPUTED_VALUE"""),296822.0)</f>
        <v>296822</v>
      </c>
      <c r="D147" s="400">
        <f>IFERROR(__xludf.DUMMYFUNCTION("""COMPUTED_VALUE"""),1.0)</f>
        <v>1</v>
      </c>
      <c r="E147" s="400" t="str">
        <f>IFERROR(__xludf.DUMMYFUNCTION("""COMPUTED_VALUE"""),"Sandeep Amrut Sonawane")</f>
        <v>Sandeep Amrut Sonawane</v>
      </c>
      <c r="F147" s="400" t="str">
        <f>IFERROR(__xludf.DUMMYFUNCTION("""COMPUTED_VALUE"""),"MAHARASHTRA")</f>
        <v>MAHARASHTRA</v>
      </c>
      <c r="G147" s="280">
        <f>IFERROR(__xludf.DUMMYFUNCTION("""COMPUTED_VALUE"""),296822.0)</f>
        <v>296822</v>
      </c>
      <c r="H147" s="190">
        <f>IFERROR(__xludf.DUMMYFUNCTION("""COMPUTED_VALUE"""),24735.166666666668)</f>
        <v>24735.16667</v>
      </c>
      <c r="I147" s="195">
        <f>IFERROR(__xludf.DUMMYFUNCTION("""COMPUTED_VALUE"""),0.0)</f>
        <v>0</v>
      </c>
      <c r="J147" s="195"/>
      <c r="K147" s="75">
        <f t="shared" si="2"/>
        <v>296822</v>
      </c>
      <c r="L147" s="262">
        <f t="shared" si="3"/>
        <v>1</v>
      </c>
    </row>
    <row r="148">
      <c r="A148" s="75">
        <v>143.0</v>
      </c>
      <c r="B148" s="75" t="str">
        <f>IFERROR(__xludf.DUMMYFUNCTION("""COMPUTED_VALUE"""),"Om marketing")</f>
        <v>Om marketing</v>
      </c>
      <c r="C148" s="400">
        <f>IFERROR(__xludf.DUMMYFUNCTION("""COMPUTED_VALUE"""),503049.0)</f>
        <v>503049</v>
      </c>
      <c r="D148" s="400">
        <f>IFERROR(__xludf.DUMMYFUNCTION("""COMPUTED_VALUE"""),2.0)</f>
        <v>2</v>
      </c>
      <c r="E148" s="400" t="str">
        <f>IFERROR(__xludf.DUMMYFUNCTION("""COMPUTED_VALUE"""),"K.Hussain Babu, S.Tirumala Rao")</f>
        <v>K.Hussain Babu, S.Tirumala Rao</v>
      </c>
      <c r="F148" s="400" t="str">
        <f>IFERROR(__xludf.DUMMYFUNCTION("""COMPUTED_VALUE"""),"ANDHRA PRADESH")</f>
        <v>ANDHRA PRADESH</v>
      </c>
      <c r="G148" s="280">
        <f>IFERROR(__xludf.DUMMYFUNCTION("""COMPUTED_VALUE"""),251524.5)</f>
        <v>251524.5</v>
      </c>
      <c r="H148" s="190">
        <f>IFERROR(__xludf.DUMMYFUNCTION("""COMPUTED_VALUE"""),20960.375)</f>
        <v>20960.375</v>
      </c>
      <c r="I148" s="195">
        <f>IFERROR(__xludf.DUMMYFUNCTION("""COMPUTED_VALUE"""),0.0)</f>
        <v>0</v>
      </c>
      <c r="J148" s="195" t="str">
        <f>IFERROR(__xludf.DUMMYFUNCTION("""COMPUTED_VALUE"""),"OLD STOCK")</f>
        <v>OLD STOCK</v>
      </c>
      <c r="K148" s="75">
        <f t="shared" si="2"/>
        <v>503049</v>
      </c>
      <c r="L148" s="262">
        <f t="shared" si="3"/>
        <v>1</v>
      </c>
    </row>
    <row r="149">
      <c r="A149" s="75">
        <v>144.0</v>
      </c>
      <c r="B149" s="75" t="str">
        <f>IFERROR(__xludf.DUMMYFUNCTION("""COMPUTED_VALUE"""),"Om Sales")</f>
        <v>Om Sales</v>
      </c>
      <c r="C149" s="400">
        <f>IFERROR(__xludf.DUMMYFUNCTION("""COMPUTED_VALUE"""),244185.0)</f>
        <v>244185</v>
      </c>
      <c r="D149" s="400">
        <f>IFERROR(__xludf.DUMMYFUNCTION("""COMPUTED_VALUE"""),1.0)</f>
        <v>1</v>
      </c>
      <c r="E149" s="400" t="str">
        <f>IFERROR(__xludf.DUMMYFUNCTION("""COMPUTED_VALUE"""),"Bhavesh N Ranpara")</f>
        <v>Bhavesh N Ranpara</v>
      </c>
      <c r="F149" s="400" t="str">
        <f>IFERROR(__xludf.DUMMYFUNCTION("""COMPUTED_VALUE"""),"GUJARAT")</f>
        <v>GUJARAT</v>
      </c>
      <c r="G149" s="280">
        <f>IFERROR(__xludf.DUMMYFUNCTION("""COMPUTED_VALUE"""),244185.0)</f>
        <v>244185</v>
      </c>
      <c r="H149" s="190">
        <f>IFERROR(__xludf.DUMMYFUNCTION("""COMPUTED_VALUE"""),20348.75)</f>
        <v>20348.75</v>
      </c>
      <c r="I149" s="195">
        <f>IFERROR(__xludf.DUMMYFUNCTION("""COMPUTED_VALUE"""),3315244.0)</f>
        <v>3315244</v>
      </c>
      <c r="J149" s="195"/>
      <c r="K149" s="75">
        <f t="shared" si="2"/>
        <v>-3071059</v>
      </c>
      <c r="L149" s="262">
        <f t="shared" si="3"/>
        <v>-12.57677171</v>
      </c>
    </row>
    <row r="150">
      <c r="A150" s="75">
        <v>145.0</v>
      </c>
      <c r="B150" s="75" t="str">
        <f>IFERROR(__xludf.DUMMYFUNCTION("""COMPUTED_VALUE"""),"P S Corporation(Calicut)")</f>
        <v>P S Corporation(Calicut)</v>
      </c>
      <c r="C150" s="400">
        <f>IFERROR(__xludf.DUMMYFUNCTION("""COMPUTED_VALUE"""),1.2971351E7)</f>
        <v>12971351</v>
      </c>
      <c r="D150" s="400">
        <f>IFERROR(__xludf.DUMMYFUNCTION("""COMPUTED_VALUE"""),6.0)</f>
        <v>6</v>
      </c>
      <c r="E150" s="400" t="str">
        <f>IFERROR(__xludf.DUMMYFUNCTION("""COMPUTED_VALUE"""),"Ameerali Ek (Off Roll), Arjunkumar K M, Mithun N., Ravi Kumar P (Off Roll), Shafeeq Parengal, SREERAJ PV")</f>
        <v>Ameerali Ek (Off Roll), Arjunkumar K M, Mithun N., Ravi Kumar P (Off Roll), Shafeeq Parengal, SREERAJ PV</v>
      </c>
      <c r="F150" s="400" t="str">
        <f>IFERROR(__xludf.DUMMYFUNCTION("""COMPUTED_VALUE"""),"KERALA")</f>
        <v>KERALA</v>
      </c>
      <c r="G150" s="280">
        <f>IFERROR(__xludf.DUMMYFUNCTION("""COMPUTED_VALUE"""),2161891.8333333335)</f>
        <v>2161891.833</v>
      </c>
      <c r="H150" s="190">
        <f>IFERROR(__xludf.DUMMYFUNCTION("""COMPUTED_VALUE"""),180157.65277777778)</f>
        <v>180157.6528</v>
      </c>
      <c r="I150" s="195">
        <f>IFERROR(__xludf.DUMMYFUNCTION("""COMPUTED_VALUE"""),7781388.0)</f>
        <v>7781388</v>
      </c>
      <c r="J150" s="195"/>
      <c r="K150" s="75">
        <f t="shared" si="2"/>
        <v>5189963</v>
      </c>
      <c r="L150" s="262">
        <f t="shared" si="3"/>
        <v>0.4001096725</v>
      </c>
    </row>
    <row r="151">
      <c r="A151" s="75">
        <v>146.0</v>
      </c>
      <c r="B151" s="75" t="str">
        <f>IFERROR(__xludf.DUMMYFUNCTION("""COMPUTED_VALUE"""),"Paras Agencies")</f>
        <v>Paras Agencies</v>
      </c>
      <c r="C151" s="400">
        <f>IFERROR(__xludf.DUMMYFUNCTION("""COMPUTED_VALUE"""),1132066.0)</f>
        <v>1132066</v>
      </c>
      <c r="D151" s="400">
        <f>IFERROR(__xludf.DUMMYFUNCTION("""COMPUTED_VALUE"""),1.0)</f>
        <v>1</v>
      </c>
      <c r="E151" s="400" t="str">
        <f>IFERROR(__xludf.DUMMYFUNCTION("""COMPUTED_VALUE"""),"Shivam Chauhan")</f>
        <v>Shivam Chauhan</v>
      </c>
      <c r="F151" s="400" t="str">
        <f>IFERROR(__xludf.DUMMYFUNCTION("""COMPUTED_VALUE"""),"UTTARAKHAND")</f>
        <v>UTTARAKHAND</v>
      </c>
      <c r="G151" s="280">
        <f>IFERROR(__xludf.DUMMYFUNCTION("""COMPUTED_VALUE"""),1132066.0)</f>
        <v>1132066</v>
      </c>
      <c r="H151" s="190">
        <f>IFERROR(__xludf.DUMMYFUNCTION("""COMPUTED_VALUE"""),94338.83333333333)</f>
        <v>94338.83333</v>
      </c>
      <c r="I151" s="195">
        <f>IFERROR(__xludf.DUMMYFUNCTION("""COMPUTED_VALUE"""),2346630.0)</f>
        <v>2346630</v>
      </c>
      <c r="J151" s="195"/>
      <c r="K151" s="75">
        <f t="shared" si="2"/>
        <v>-1214564</v>
      </c>
      <c r="L151" s="262">
        <f t="shared" si="3"/>
        <v>-1.072873843</v>
      </c>
    </row>
    <row r="152">
      <c r="A152" s="75">
        <v>147.0</v>
      </c>
      <c r="B152" s="75" t="str">
        <f>IFERROR(__xludf.DUMMYFUNCTION("""COMPUTED_VALUE"""),"Paras Traders")</f>
        <v>Paras Traders</v>
      </c>
      <c r="C152" s="400">
        <f>IFERROR(__xludf.DUMMYFUNCTION("""COMPUTED_VALUE"""),431142.0)</f>
        <v>431142</v>
      </c>
      <c r="D152" s="400">
        <f>IFERROR(__xludf.DUMMYFUNCTION("""COMPUTED_VALUE"""),1.0)</f>
        <v>1</v>
      </c>
      <c r="E152" s="400" t="str">
        <f>IFERROR(__xludf.DUMMYFUNCTION("""COMPUTED_VALUE"""),"Swapnil Rajput")</f>
        <v>Swapnil Rajput</v>
      </c>
      <c r="F152" s="400" t="str">
        <f>IFERROR(__xludf.DUMMYFUNCTION("""COMPUTED_VALUE"""),"MAHARASHTRA")</f>
        <v>MAHARASHTRA</v>
      </c>
      <c r="G152" s="280">
        <f>IFERROR(__xludf.DUMMYFUNCTION("""COMPUTED_VALUE"""),431142.0)</f>
        <v>431142</v>
      </c>
      <c r="H152" s="190">
        <f>IFERROR(__xludf.DUMMYFUNCTION("""COMPUTED_VALUE"""),35928.5)</f>
        <v>35928.5</v>
      </c>
      <c r="I152" s="195">
        <f>IFERROR(__xludf.DUMMYFUNCTION("""COMPUTED_VALUE"""),557461.0)</f>
        <v>557461</v>
      </c>
      <c r="J152" s="195"/>
      <c r="K152" s="75">
        <f t="shared" si="2"/>
        <v>-126319</v>
      </c>
      <c r="L152" s="262">
        <f t="shared" si="3"/>
        <v>-0.2929869973</v>
      </c>
    </row>
    <row r="153">
      <c r="A153" s="75">
        <v>148.0</v>
      </c>
      <c r="B153" s="75" t="str">
        <f>IFERROR(__xludf.DUMMYFUNCTION("""COMPUTED_VALUE"""),"Parvarika sales private limited")</f>
        <v>Parvarika sales private limited</v>
      </c>
      <c r="C153" s="400">
        <f>IFERROR(__xludf.DUMMYFUNCTION("""COMPUTED_VALUE"""),163363.0)</f>
        <v>163363</v>
      </c>
      <c r="D153" s="400">
        <f>IFERROR(__xludf.DUMMYFUNCTION("""COMPUTED_VALUE"""),1.0)</f>
        <v>1</v>
      </c>
      <c r="E153" s="400" t="str">
        <f>IFERROR(__xludf.DUMMYFUNCTION("""COMPUTED_VALUE"""),"Tarun Giri")</f>
        <v>Tarun Giri</v>
      </c>
      <c r="F153" s="400" t="str">
        <f>IFERROR(__xludf.DUMMYFUNCTION("""COMPUTED_VALUE"""),"West U.P")</f>
        <v>West U.P</v>
      </c>
      <c r="G153" s="280">
        <f>IFERROR(__xludf.DUMMYFUNCTION("""COMPUTED_VALUE"""),163363.0)</f>
        <v>163363</v>
      </c>
      <c r="H153" s="190">
        <f>IFERROR(__xludf.DUMMYFUNCTION("""COMPUTED_VALUE"""),13613.583333333334)</f>
        <v>13613.58333</v>
      </c>
      <c r="I153" s="195">
        <f>IFERROR(__xludf.DUMMYFUNCTION("""COMPUTED_VALUE"""),809570.0)</f>
        <v>809570</v>
      </c>
      <c r="J153" s="195"/>
      <c r="K153" s="75">
        <f t="shared" si="2"/>
        <v>-646207</v>
      </c>
      <c r="L153" s="262">
        <f t="shared" si="3"/>
        <v>-3.955650912</v>
      </c>
    </row>
    <row r="154">
      <c r="A154" s="75">
        <v>149.0</v>
      </c>
      <c r="B154" s="75" t="str">
        <f>IFERROR(__xludf.DUMMYFUNCTION("""COMPUTED_VALUE"""),"Patel Associates")</f>
        <v>Patel Associates</v>
      </c>
      <c r="C154" s="400">
        <f>IFERROR(__xludf.DUMMYFUNCTION("""COMPUTED_VALUE"""),24003.0)</f>
        <v>24003</v>
      </c>
      <c r="D154" s="400">
        <f>IFERROR(__xludf.DUMMYFUNCTION("""COMPUTED_VALUE"""),1.0)</f>
        <v>1</v>
      </c>
      <c r="E154" s="400" t="str">
        <f>IFERROR(__xludf.DUMMYFUNCTION("""COMPUTED_VALUE"""),"Devdutt Joshi")</f>
        <v>Devdutt Joshi</v>
      </c>
      <c r="F154" s="400" t="str">
        <f>IFERROR(__xludf.DUMMYFUNCTION("""COMPUTED_VALUE"""),"GUJARAT")</f>
        <v>GUJARAT</v>
      </c>
      <c r="G154" s="280">
        <f>IFERROR(__xludf.DUMMYFUNCTION("""COMPUTED_VALUE"""),24003.0)</f>
        <v>24003</v>
      </c>
      <c r="H154" s="190">
        <f>IFERROR(__xludf.DUMMYFUNCTION("""COMPUTED_VALUE"""),2000.25)</f>
        <v>2000.25</v>
      </c>
      <c r="I154" s="195">
        <f>IFERROR(__xludf.DUMMYFUNCTION("""COMPUTED_VALUE"""),0.0)</f>
        <v>0</v>
      </c>
      <c r="J154" s="195"/>
      <c r="K154" s="75">
        <f t="shared" si="2"/>
        <v>24003</v>
      </c>
      <c r="L154" s="262">
        <f t="shared" si="3"/>
        <v>1</v>
      </c>
    </row>
    <row r="155">
      <c r="A155" s="75">
        <v>150.0</v>
      </c>
      <c r="B155" s="75" t="str">
        <f>IFERROR(__xludf.DUMMYFUNCTION("""COMPUTED_VALUE"""),"Payal sanitations")</f>
        <v>Payal sanitations</v>
      </c>
      <c r="C155" s="400">
        <f>IFERROR(__xludf.DUMMYFUNCTION("""COMPUTED_VALUE"""),30216.0)</f>
        <v>30216</v>
      </c>
      <c r="D155" s="400">
        <f>IFERROR(__xludf.DUMMYFUNCTION("""COMPUTED_VALUE"""),1.0)</f>
        <v>1</v>
      </c>
      <c r="E155" s="400" t="str">
        <f>IFERROR(__xludf.DUMMYFUNCTION("""COMPUTED_VALUE"""),"Vikash Gour")</f>
        <v>Vikash Gour</v>
      </c>
      <c r="F155" s="400" t="str">
        <f>IFERROR(__xludf.DUMMYFUNCTION("""COMPUTED_VALUE"""),"RAJASTHAN")</f>
        <v>RAJASTHAN</v>
      </c>
      <c r="G155" s="280">
        <f>IFERROR(__xludf.DUMMYFUNCTION("""COMPUTED_VALUE"""),30216.0)</f>
        <v>30216</v>
      </c>
      <c r="H155" s="190">
        <f>IFERROR(__xludf.DUMMYFUNCTION("""COMPUTED_VALUE"""),2518.0)</f>
        <v>2518</v>
      </c>
      <c r="I155" s="195">
        <f>IFERROR(__xludf.DUMMYFUNCTION("""COMPUTED_VALUE"""),0.0)</f>
        <v>0</v>
      </c>
      <c r="J155" s="195"/>
      <c r="K155" s="75">
        <f t="shared" si="2"/>
        <v>30216</v>
      </c>
      <c r="L155" s="262">
        <f t="shared" si="3"/>
        <v>1</v>
      </c>
    </row>
    <row r="156">
      <c r="A156" s="75">
        <v>151.0</v>
      </c>
      <c r="B156" s="75" t="str">
        <f>IFERROR(__xludf.DUMMYFUNCTION("""COMPUTED_VALUE"""),"Perfect Sanitary")</f>
        <v>Perfect Sanitary</v>
      </c>
      <c r="C156" s="400">
        <f>IFERROR(__xludf.DUMMYFUNCTION("""COMPUTED_VALUE"""),2939676.0)</f>
        <v>2939676</v>
      </c>
      <c r="D156" s="400">
        <f>IFERROR(__xludf.DUMMYFUNCTION("""COMPUTED_VALUE"""),1.0)</f>
        <v>1</v>
      </c>
      <c r="E156" s="400" t="str">
        <f>IFERROR(__xludf.DUMMYFUNCTION("""COMPUTED_VALUE"""),"Rathod Vijaybhai")</f>
        <v>Rathod Vijaybhai</v>
      </c>
      <c r="F156" s="400" t="str">
        <f>IFERROR(__xludf.DUMMYFUNCTION("""COMPUTED_VALUE"""),"GUJARAT")</f>
        <v>GUJARAT</v>
      </c>
      <c r="G156" s="280">
        <f>IFERROR(__xludf.DUMMYFUNCTION("""COMPUTED_VALUE"""),2939676.0)</f>
        <v>2939676</v>
      </c>
      <c r="H156" s="190">
        <f>IFERROR(__xludf.DUMMYFUNCTION("""COMPUTED_VALUE"""),244973.0)</f>
        <v>244973</v>
      </c>
      <c r="I156" s="195">
        <f>IFERROR(__xludf.DUMMYFUNCTION("""COMPUTED_VALUE"""),4525430.0)</f>
        <v>4525430</v>
      </c>
      <c r="J156" s="195"/>
      <c r="K156" s="75">
        <f t="shared" si="2"/>
        <v>-1585754</v>
      </c>
      <c r="L156" s="262">
        <f t="shared" si="3"/>
        <v>-0.5394315564</v>
      </c>
    </row>
    <row r="157">
      <c r="A157" s="75">
        <v>152.0</v>
      </c>
      <c r="B157" s="75" t="str">
        <f>IFERROR(__xludf.DUMMYFUNCTION("""COMPUTED_VALUE"""),"Pooja Trading Company")</f>
        <v>Pooja Trading Company</v>
      </c>
      <c r="C157" s="400">
        <f>IFERROR(__xludf.DUMMYFUNCTION("""COMPUTED_VALUE"""),2666823.0)</f>
        <v>2666823</v>
      </c>
      <c r="D157" s="400">
        <f>IFERROR(__xludf.DUMMYFUNCTION("""COMPUTED_VALUE"""),1.0)</f>
        <v>1</v>
      </c>
      <c r="E157" s="400" t="str">
        <f>IFERROR(__xludf.DUMMYFUNCTION("""COMPUTED_VALUE"""),"Ashutosh Kumar (Rudrapur)")</f>
        <v>Ashutosh Kumar (Rudrapur)</v>
      </c>
      <c r="F157" s="400" t="str">
        <f>IFERROR(__xludf.DUMMYFUNCTION("""COMPUTED_VALUE"""),"UTTARAKHAND")</f>
        <v>UTTARAKHAND</v>
      </c>
      <c r="G157" s="280">
        <f>IFERROR(__xludf.DUMMYFUNCTION("""COMPUTED_VALUE"""),2666823.0)</f>
        <v>2666823</v>
      </c>
      <c r="H157" s="190">
        <f>IFERROR(__xludf.DUMMYFUNCTION("""COMPUTED_VALUE"""),222235.25)</f>
        <v>222235.25</v>
      </c>
      <c r="I157" s="195">
        <f>IFERROR(__xludf.DUMMYFUNCTION("""COMPUTED_VALUE"""),5906328.0)</f>
        <v>5906328</v>
      </c>
      <c r="J157" s="195"/>
      <c r="K157" s="75">
        <f t="shared" si="2"/>
        <v>-3239505</v>
      </c>
      <c r="L157" s="262">
        <f t="shared" si="3"/>
        <v>-1.214743161</v>
      </c>
    </row>
    <row r="158">
      <c r="A158" s="75">
        <v>153.0</v>
      </c>
      <c r="B158" s="75" t="str">
        <f>IFERROR(__xludf.DUMMYFUNCTION("""COMPUTED_VALUE"""),"Pradeep traders")</f>
        <v>Pradeep traders</v>
      </c>
      <c r="C158" s="400">
        <f>IFERROR(__xludf.DUMMYFUNCTION("""COMPUTED_VALUE"""),4697439.0)</f>
        <v>4697439</v>
      </c>
      <c r="D158" s="400">
        <f>IFERROR(__xludf.DUMMYFUNCTION("""COMPUTED_VALUE"""),1.0)</f>
        <v>1</v>
      </c>
      <c r="E158" s="400" t="str">
        <f>IFERROR(__xludf.DUMMYFUNCTION("""COMPUTED_VALUE"""),"Om dutt Dwivedi")</f>
        <v>Om dutt Dwivedi</v>
      </c>
      <c r="F158" s="400" t="str">
        <f>IFERROR(__xludf.DUMMYFUNCTION("""COMPUTED_VALUE"""),"East U.P")</f>
        <v>East U.P</v>
      </c>
      <c r="G158" s="280">
        <f>IFERROR(__xludf.DUMMYFUNCTION("""COMPUTED_VALUE"""),4697439.0)</f>
        <v>4697439</v>
      </c>
      <c r="H158" s="190">
        <f>IFERROR(__xludf.DUMMYFUNCTION("""COMPUTED_VALUE"""),391453.25)</f>
        <v>391453.25</v>
      </c>
      <c r="I158" s="195">
        <f>IFERROR(__xludf.DUMMYFUNCTION("""COMPUTED_VALUE"""),4473560.0)</f>
        <v>4473560</v>
      </c>
      <c r="J158" s="195"/>
      <c r="K158" s="75">
        <f t="shared" si="2"/>
        <v>223879</v>
      </c>
      <c r="L158" s="262">
        <f t="shared" si="3"/>
        <v>0.04765979931</v>
      </c>
    </row>
    <row r="159">
      <c r="A159" s="75">
        <v>154.0</v>
      </c>
      <c r="B159" s="75" t="str">
        <f>IFERROR(__xludf.DUMMYFUNCTION("""COMPUTED_VALUE"""),"Prakash Agencies")</f>
        <v>Prakash Agencies</v>
      </c>
      <c r="C159" s="400">
        <f>IFERROR(__xludf.DUMMYFUNCTION("""COMPUTED_VALUE"""),728279.0)</f>
        <v>728279</v>
      </c>
      <c r="D159" s="400">
        <f>IFERROR(__xludf.DUMMYFUNCTION("""COMPUTED_VALUE"""),1.0)</f>
        <v>1</v>
      </c>
      <c r="E159" s="400" t="str">
        <f>IFERROR(__xludf.DUMMYFUNCTION("""COMPUTED_VALUE"""),"Sunil Kumar")</f>
        <v>Sunil Kumar</v>
      </c>
      <c r="F159" s="400" t="str">
        <f>IFERROR(__xludf.DUMMYFUNCTION("""COMPUTED_VALUE"""),"MADHYA PRADESH")</f>
        <v>MADHYA PRADESH</v>
      </c>
      <c r="G159" s="280">
        <f>IFERROR(__xludf.DUMMYFUNCTION("""COMPUTED_VALUE"""),728279.0)</f>
        <v>728279</v>
      </c>
      <c r="H159" s="190">
        <f>IFERROR(__xludf.DUMMYFUNCTION("""COMPUTED_VALUE"""),60689.916666666664)</f>
        <v>60689.91667</v>
      </c>
      <c r="I159" s="195">
        <f>IFERROR(__xludf.DUMMYFUNCTION("""COMPUTED_VALUE"""),2422955.0)</f>
        <v>2422955</v>
      </c>
      <c r="J159" s="195"/>
      <c r="K159" s="75">
        <f t="shared" si="2"/>
        <v>-1694676</v>
      </c>
      <c r="L159" s="262">
        <f t="shared" si="3"/>
        <v>-2.32695986</v>
      </c>
    </row>
    <row r="160">
      <c r="A160" s="75">
        <v>155.0</v>
      </c>
      <c r="B160" s="75" t="str">
        <f>IFERROR(__xludf.DUMMYFUNCTION("""COMPUTED_VALUE"""),"PRAYAG DISTRIBUTORS")</f>
        <v>PRAYAG DISTRIBUTORS</v>
      </c>
      <c r="C160" s="400">
        <f>IFERROR(__xludf.DUMMYFUNCTION("""COMPUTED_VALUE"""),1.235478E7)</f>
        <v>12354780</v>
      </c>
      <c r="D160" s="400">
        <f>IFERROR(__xludf.DUMMYFUNCTION("""COMPUTED_VALUE"""),1.0)</f>
        <v>1</v>
      </c>
      <c r="E160" s="400" t="str">
        <f>IFERROR(__xludf.DUMMYFUNCTION("""COMPUTED_VALUE"""),"Gulab singh")</f>
        <v>Gulab singh</v>
      </c>
      <c r="F160" s="400" t="str">
        <f>IFERROR(__xludf.DUMMYFUNCTION("""COMPUTED_VALUE"""),"HARYANA")</f>
        <v>HARYANA</v>
      </c>
      <c r="G160" s="280">
        <f>IFERROR(__xludf.DUMMYFUNCTION("""COMPUTED_VALUE"""),1.235478E7)</f>
        <v>12354780</v>
      </c>
      <c r="H160" s="190">
        <f>IFERROR(__xludf.DUMMYFUNCTION("""COMPUTED_VALUE"""),1029565.0)</f>
        <v>1029565</v>
      </c>
      <c r="I160" s="195">
        <f>IFERROR(__xludf.DUMMYFUNCTION("""COMPUTED_VALUE"""),3.1508554E7)</f>
        <v>31508554</v>
      </c>
      <c r="J160" s="195"/>
      <c r="K160" s="75">
        <f t="shared" si="2"/>
        <v>-19153774</v>
      </c>
      <c r="L160" s="262">
        <f t="shared" si="3"/>
        <v>-1.550312834</v>
      </c>
    </row>
    <row r="161">
      <c r="A161" s="75">
        <v>156.0</v>
      </c>
      <c r="B161" s="75" t="str">
        <f>IFERROR(__xludf.DUMMYFUNCTION("""COMPUTED_VALUE"""),"PRAYAG MARKETING")</f>
        <v>PRAYAG MARKETING</v>
      </c>
      <c r="C161" s="400">
        <f>IFERROR(__xludf.DUMMYFUNCTION("""COMPUTED_VALUE"""),5501183.0)</f>
        <v>5501183</v>
      </c>
      <c r="D161" s="400">
        <f>IFERROR(__xludf.DUMMYFUNCTION("""COMPUTED_VALUE"""),1.0)</f>
        <v>1</v>
      </c>
      <c r="E161" s="400" t="str">
        <f>IFERROR(__xludf.DUMMYFUNCTION("""COMPUTED_VALUE"""),"Ravi Kumar P (Off Roll)")</f>
        <v>Ravi Kumar P (Off Roll)</v>
      </c>
      <c r="F161" s="400" t="str">
        <f>IFERROR(__xludf.DUMMYFUNCTION("""COMPUTED_VALUE"""),"KERALA")</f>
        <v>KERALA</v>
      </c>
      <c r="G161" s="280">
        <f>IFERROR(__xludf.DUMMYFUNCTION("""COMPUTED_VALUE"""),5501183.0)</f>
        <v>5501183</v>
      </c>
      <c r="H161" s="190">
        <f>IFERROR(__xludf.DUMMYFUNCTION("""COMPUTED_VALUE"""),458431.9166666667)</f>
        <v>458431.9167</v>
      </c>
      <c r="I161" s="195">
        <f>IFERROR(__xludf.DUMMYFUNCTION("""COMPUTED_VALUE"""),3542903.0)</f>
        <v>3542903</v>
      </c>
      <c r="J161" s="195"/>
      <c r="K161" s="75">
        <f t="shared" si="2"/>
        <v>1958280</v>
      </c>
      <c r="L161" s="262">
        <f t="shared" si="3"/>
        <v>0.3559743422</v>
      </c>
    </row>
    <row r="162">
      <c r="A162" s="75">
        <v>157.0</v>
      </c>
      <c r="B162" s="75" t="str">
        <f>IFERROR(__xludf.DUMMYFUNCTION("""COMPUTED_VALUE"""),"PRAYAG SALE CORPORATION NE")</f>
        <v>PRAYAG SALE CORPORATION NE</v>
      </c>
      <c r="C162" s="400">
        <f>IFERROR(__xludf.DUMMYFUNCTION("""COMPUTED_VALUE"""),8.7379115E7)</f>
        <v>87379115</v>
      </c>
      <c r="D162" s="400">
        <f>IFERROR(__xludf.DUMMYFUNCTION("""COMPUTED_VALUE"""),6.0)</f>
        <v>6</v>
      </c>
      <c r="E162" s="400" t="str">
        <f>IFERROR(__xludf.DUMMYFUNCTION("""COMPUTED_VALUE"""),"Dikart Kumar Borah, Litan Saha, Santanu Kalita, Tankeswor Barman, NARAYAN BAISHYA, Dipak Sharma")</f>
        <v>Dikart Kumar Borah, Litan Saha, Santanu Kalita, Tankeswor Barman, NARAYAN BAISHYA, Dipak Sharma</v>
      </c>
      <c r="F162" s="400" t="str">
        <f>IFERROR(__xludf.DUMMYFUNCTION("""COMPUTED_VALUE"""),"ASSAM")</f>
        <v>ASSAM</v>
      </c>
      <c r="G162" s="280">
        <f>IFERROR(__xludf.DUMMYFUNCTION("""COMPUTED_VALUE"""),1.4563185833333334E7)</f>
        <v>14563185.83</v>
      </c>
      <c r="H162" s="190">
        <f>IFERROR(__xludf.DUMMYFUNCTION("""COMPUTED_VALUE"""),1213598.8194444445)</f>
        <v>1213598.819</v>
      </c>
      <c r="I162" s="195">
        <f>IFERROR(__xludf.DUMMYFUNCTION("""COMPUTED_VALUE"""),8.8213972E7)</f>
        <v>88213972</v>
      </c>
      <c r="J162" s="195"/>
      <c r="K162" s="75">
        <f t="shared" si="2"/>
        <v>-834857</v>
      </c>
      <c r="L162" s="262">
        <f t="shared" si="3"/>
        <v>-0.009554422702</v>
      </c>
    </row>
    <row r="163">
      <c r="A163" s="75">
        <v>158.0</v>
      </c>
      <c r="B163" s="75" t="str">
        <f>IFERROR(__xludf.DUMMYFUNCTION("""COMPUTED_VALUE"""),"Prayag Sales Corporation")</f>
        <v>Prayag Sales Corporation</v>
      </c>
      <c r="C163" s="400">
        <f>IFERROR(__xludf.DUMMYFUNCTION("""COMPUTED_VALUE"""),6.2976466E7)</f>
        <v>62976466</v>
      </c>
      <c r="D163" s="400">
        <f>IFERROR(__xludf.DUMMYFUNCTION("""COMPUTED_VALUE"""),6.0)</f>
        <v>6</v>
      </c>
      <c r="E163" s="400" t="str">
        <f>IFERROR(__xludf.DUMMYFUNCTION("""COMPUTED_VALUE"""),"Arijit Roychowdhury, Hrusikesh Satapathy, Kailash Ch. Ghadei, Manas Ranjan Das, Pravat Kumar Dash, Sasikant Prasad")</f>
        <v>Arijit Roychowdhury, Hrusikesh Satapathy, Kailash Ch. Ghadei, Manas Ranjan Das, Pravat Kumar Dash, Sasikant Prasad</v>
      </c>
      <c r="F163" s="400" t="str">
        <f>IFERROR(__xludf.DUMMYFUNCTION("""COMPUTED_VALUE"""),"ODISHA")</f>
        <v>ODISHA</v>
      </c>
      <c r="G163" s="280">
        <f>IFERROR(__xludf.DUMMYFUNCTION("""COMPUTED_VALUE"""),1.0496077666666666E7)</f>
        <v>10496077.67</v>
      </c>
      <c r="H163" s="190">
        <f>IFERROR(__xludf.DUMMYFUNCTION("""COMPUTED_VALUE"""),874673.1388888889)</f>
        <v>874673.1389</v>
      </c>
      <c r="I163" s="195">
        <f>IFERROR(__xludf.DUMMYFUNCTION("""COMPUTED_VALUE"""),5.7962412E7)</f>
        <v>57962412</v>
      </c>
      <c r="J163" s="195"/>
      <c r="K163" s="75">
        <f t="shared" si="2"/>
        <v>5014054</v>
      </c>
      <c r="L163" s="262">
        <f t="shared" si="3"/>
        <v>0.07961790044</v>
      </c>
    </row>
    <row r="164">
      <c r="A164" s="75">
        <v>159.0</v>
      </c>
      <c r="B164" s="75" t="str">
        <f>IFERROR(__xludf.DUMMYFUNCTION("""COMPUTED_VALUE"""),"Prayag Syndicate")</f>
        <v>Prayag Syndicate</v>
      </c>
      <c r="C164" s="400">
        <f>IFERROR(__xludf.DUMMYFUNCTION("""COMPUTED_VALUE"""),4.704165E7)</f>
        <v>47041650</v>
      </c>
      <c r="D164" s="400">
        <f>IFERROR(__xludf.DUMMYFUNCTION("""COMPUTED_VALUE"""),7.0)</f>
        <v>7</v>
      </c>
      <c r="E164" s="400" t="str">
        <f>IFERROR(__xludf.DUMMYFUNCTION("""COMPUTED_VALUE"""),"Ameerali Ek (Off Roll), Arjunkumar K M, MOHAMMED HASHIR PACHEERI, PRATHEESH CC, Riyas V, Shafeeq Parengal, Jijo")</f>
        <v>Ameerali Ek (Off Roll), Arjunkumar K M, MOHAMMED HASHIR PACHEERI, PRATHEESH CC, Riyas V, Shafeeq Parengal, Jijo</v>
      </c>
      <c r="F164" s="400" t="str">
        <f>IFERROR(__xludf.DUMMYFUNCTION("""COMPUTED_VALUE"""),"KERALA")</f>
        <v>KERALA</v>
      </c>
      <c r="G164" s="280">
        <f>IFERROR(__xludf.DUMMYFUNCTION("""COMPUTED_VALUE"""),6720235.714285715)</f>
        <v>6720235.714</v>
      </c>
      <c r="H164" s="190">
        <f>IFERROR(__xludf.DUMMYFUNCTION("""COMPUTED_VALUE"""),560019.6428571428)</f>
        <v>560019.6429</v>
      </c>
      <c r="I164" s="389">
        <f>IFERROR(__xludf.DUMMYFUNCTION("""COMPUTED_VALUE"""),4.6314657E7)</f>
        <v>46314657</v>
      </c>
      <c r="J164" s="195"/>
      <c r="K164" s="75">
        <f t="shared" si="2"/>
        <v>726993</v>
      </c>
      <c r="L164" s="262">
        <f t="shared" si="3"/>
        <v>0.01545424108</v>
      </c>
    </row>
    <row r="165">
      <c r="A165" s="75">
        <v>160.0</v>
      </c>
      <c r="B165" s="75" t="str">
        <f>IFERROR(__xludf.DUMMYFUNCTION("""COMPUTED_VALUE"""),"Prem Kumar &amp; Sons")</f>
        <v>Prem Kumar &amp; Sons</v>
      </c>
      <c r="C165" s="400">
        <f>IFERROR(__xludf.DUMMYFUNCTION("""COMPUTED_VALUE"""),6639261.0)</f>
        <v>6639261</v>
      </c>
      <c r="D165" s="400">
        <f>IFERROR(__xludf.DUMMYFUNCTION("""COMPUTED_VALUE"""),1.0)</f>
        <v>1</v>
      </c>
      <c r="E165" s="400" t="str">
        <f>IFERROR(__xludf.DUMMYFUNCTION("""COMPUTED_VALUE"""),"Ranjit Kumar")</f>
        <v>Ranjit Kumar</v>
      </c>
      <c r="F165" s="400" t="str">
        <f>IFERROR(__xludf.DUMMYFUNCTION("""COMPUTED_VALUE"""),"PUNJAB")</f>
        <v>PUNJAB</v>
      </c>
      <c r="G165" s="280">
        <f>IFERROR(__xludf.DUMMYFUNCTION("""COMPUTED_VALUE"""),6639261.0)</f>
        <v>6639261</v>
      </c>
      <c r="H165" s="190">
        <f>IFERROR(__xludf.DUMMYFUNCTION("""COMPUTED_VALUE"""),553271.75)</f>
        <v>553271.75</v>
      </c>
      <c r="I165" s="195">
        <f>IFERROR(__xludf.DUMMYFUNCTION("""COMPUTED_VALUE"""),8319260.0)</f>
        <v>8319260</v>
      </c>
      <c r="J165" s="195"/>
      <c r="K165" s="75">
        <f t="shared" si="2"/>
        <v>-1679999</v>
      </c>
      <c r="L165" s="262">
        <f t="shared" si="3"/>
        <v>-0.2530400597</v>
      </c>
    </row>
    <row r="166">
      <c r="A166" s="75">
        <v>161.0</v>
      </c>
      <c r="B166" s="75" t="str">
        <f>IFERROR(__xludf.DUMMYFUNCTION("""COMPUTED_VALUE"""),"Premier Distributors")</f>
        <v>Premier Distributors</v>
      </c>
      <c r="C166" s="400">
        <f>IFERROR(__xludf.DUMMYFUNCTION("""COMPUTED_VALUE"""),940090.0)</f>
        <v>940090</v>
      </c>
      <c r="D166" s="400">
        <f>IFERROR(__xludf.DUMMYFUNCTION("""COMPUTED_VALUE"""),1.0)</f>
        <v>1</v>
      </c>
      <c r="E166" s="400" t="str">
        <f>IFERROR(__xludf.DUMMYFUNCTION("""COMPUTED_VALUE"""),"Ravi Kumar P (Off Roll)")</f>
        <v>Ravi Kumar P (Off Roll)</v>
      </c>
      <c r="F166" s="400" t="str">
        <f>IFERROR(__xludf.DUMMYFUNCTION("""COMPUTED_VALUE"""),"KERALA")</f>
        <v>KERALA</v>
      </c>
      <c r="G166" s="280">
        <f>IFERROR(__xludf.DUMMYFUNCTION("""COMPUTED_VALUE"""),940090.0)</f>
        <v>940090</v>
      </c>
      <c r="H166" s="190">
        <f>IFERROR(__xludf.DUMMYFUNCTION("""COMPUTED_VALUE"""),78340.83333333333)</f>
        <v>78340.83333</v>
      </c>
      <c r="I166" s="195">
        <f>IFERROR(__xludf.DUMMYFUNCTION("""COMPUTED_VALUE"""),0.0)</f>
        <v>0</v>
      </c>
      <c r="J166" s="195"/>
      <c r="K166" s="75">
        <f t="shared" si="2"/>
        <v>940090</v>
      </c>
      <c r="L166" s="262">
        <f t="shared" si="3"/>
        <v>1</v>
      </c>
    </row>
    <row r="167">
      <c r="A167" s="75">
        <v>162.0</v>
      </c>
      <c r="B167" s="75" t="str">
        <f>IFERROR(__xludf.DUMMYFUNCTION("""COMPUTED_VALUE"""),"Progressive Marketing")</f>
        <v>Progressive Marketing</v>
      </c>
      <c r="C167" s="400">
        <f>IFERROR(__xludf.DUMMYFUNCTION("""COMPUTED_VALUE"""),7.4779191E7)</f>
        <v>74779191</v>
      </c>
      <c r="D167" s="400">
        <f>IFERROR(__xludf.DUMMYFUNCTION("""COMPUTED_VALUE"""),5.0)</f>
        <v>5</v>
      </c>
      <c r="E167" s="400" t="str">
        <f>IFERROR(__xludf.DUMMYFUNCTION("""COMPUTED_VALUE"""),"Faraz Khan, Jitender Birla, Manoj Yadav, Neel Kamal choure, Saqib juned")</f>
        <v>Faraz Khan, Jitender Birla, Manoj Yadav, Neel Kamal choure, Saqib juned</v>
      </c>
      <c r="F167" s="400" t="str">
        <f>IFERROR(__xludf.DUMMYFUNCTION("""COMPUTED_VALUE"""),"MADHYA PRADESH")</f>
        <v>MADHYA PRADESH</v>
      </c>
      <c r="G167" s="280">
        <f>IFERROR(__xludf.DUMMYFUNCTION("""COMPUTED_VALUE"""),1.49558382E7)</f>
        <v>14955838.2</v>
      </c>
      <c r="H167" s="190">
        <f>IFERROR(__xludf.DUMMYFUNCTION("""COMPUTED_VALUE"""),1246319.8499999999)</f>
        <v>1246319.85</v>
      </c>
      <c r="I167" s="195">
        <f>IFERROR(__xludf.DUMMYFUNCTION("""COMPUTED_VALUE"""),8.2622975E7)</f>
        <v>82622975</v>
      </c>
      <c r="J167" s="195"/>
      <c r="K167" s="75">
        <f t="shared" si="2"/>
        <v>-7843784</v>
      </c>
      <c r="L167" s="262">
        <f t="shared" si="3"/>
        <v>-0.1048926031</v>
      </c>
    </row>
    <row r="168">
      <c r="A168" s="75">
        <v>163.0</v>
      </c>
      <c r="B168" s="75" t="str">
        <f>IFERROR(__xludf.DUMMYFUNCTION("""COMPUTED_VALUE"""),"R M D Traders")</f>
        <v>R M D Traders</v>
      </c>
      <c r="C168" s="400">
        <f>IFERROR(__xludf.DUMMYFUNCTION("""COMPUTED_VALUE"""),454622.0)</f>
        <v>454622</v>
      </c>
      <c r="D168" s="400">
        <f>IFERROR(__xludf.DUMMYFUNCTION("""COMPUTED_VALUE"""),1.0)</f>
        <v>1</v>
      </c>
      <c r="E168" s="400" t="str">
        <f>IFERROR(__xludf.DUMMYFUNCTION("""COMPUTED_VALUE"""),"Madan Joshi")</f>
        <v>Madan Joshi</v>
      </c>
      <c r="F168" s="400" t="str">
        <f>IFERROR(__xludf.DUMMYFUNCTION("""COMPUTED_VALUE"""),"RAJASTHAN")</f>
        <v>RAJASTHAN</v>
      </c>
      <c r="G168" s="280">
        <f>IFERROR(__xludf.DUMMYFUNCTION("""COMPUTED_VALUE"""),454622.0)</f>
        <v>454622</v>
      </c>
      <c r="H168" s="190">
        <f>IFERROR(__xludf.DUMMYFUNCTION("""COMPUTED_VALUE"""),37885.166666666664)</f>
        <v>37885.16667</v>
      </c>
      <c r="I168" s="195">
        <f>IFERROR(__xludf.DUMMYFUNCTION("""COMPUTED_VALUE"""),0.0)</f>
        <v>0</v>
      </c>
      <c r="J168" s="195"/>
      <c r="K168" s="75">
        <f t="shared" si="2"/>
        <v>454622</v>
      </c>
      <c r="L168" s="262">
        <f t="shared" si="3"/>
        <v>1</v>
      </c>
    </row>
    <row r="169">
      <c r="A169" s="75">
        <v>164.0</v>
      </c>
      <c r="B169" s="75" t="str">
        <f>IFERROR(__xludf.DUMMYFUNCTION("""COMPUTED_VALUE"""),"R R Porwal And Sons")</f>
        <v>R R Porwal And Sons</v>
      </c>
      <c r="C169" s="400">
        <f>IFERROR(__xludf.DUMMYFUNCTION("""COMPUTED_VALUE"""),4.1577206E7)</f>
        <v>41577206</v>
      </c>
      <c r="D169" s="400">
        <f>IFERROR(__xludf.DUMMYFUNCTION("""COMPUTED_VALUE"""),7.0)</f>
        <v>7</v>
      </c>
      <c r="E169" s="400" t="str">
        <f>IFERROR(__xludf.DUMMYFUNCTION("""COMPUTED_VALUE"""),"ANAND BHAGWAN MORE, Chandrakant Mandave, Sandeep Amrut Sonawane, Tejas Lunawat, Tushar Ravindra Kanthale, Amey Deodhar, Praveen Pandey")</f>
        <v>ANAND BHAGWAN MORE, Chandrakant Mandave, Sandeep Amrut Sonawane, Tejas Lunawat, Tushar Ravindra Kanthale, Amey Deodhar, Praveen Pandey</v>
      </c>
      <c r="F169" s="400" t="str">
        <f>IFERROR(__xludf.DUMMYFUNCTION("""COMPUTED_VALUE"""),"MAHARASHTRA")</f>
        <v>MAHARASHTRA</v>
      </c>
      <c r="G169" s="280">
        <f>IFERROR(__xludf.DUMMYFUNCTION("""COMPUTED_VALUE"""),5939600.857142857)</f>
        <v>5939600.857</v>
      </c>
      <c r="H169" s="190">
        <f>IFERROR(__xludf.DUMMYFUNCTION("""COMPUTED_VALUE"""),494966.7380952381)</f>
        <v>494966.7381</v>
      </c>
      <c r="I169" s="195">
        <f>IFERROR(__xludf.DUMMYFUNCTION("""COMPUTED_VALUE"""),3.1594213E7)</f>
        <v>31594213</v>
      </c>
      <c r="J169" s="195"/>
      <c r="K169" s="75">
        <f t="shared" si="2"/>
        <v>9982993</v>
      </c>
      <c r="L169" s="262">
        <f t="shared" si="3"/>
        <v>0.2401073559</v>
      </c>
    </row>
    <row r="170">
      <c r="A170" s="75">
        <v>165.0</v>
      </c>
      <c r="B170" s="75" t="str">
        <f>IFERROR(__xludf.DUMMYFUNCTION("""COMPUTED_VALUE"""),"R R Traders")</f>
        <v>R R Traders</v>
      </c>
      <c r="C170" s="400">
        <f>IFERROR(__xludf.DUMMYFUNCTION("""COMPUTED_VALUE"""),1227418.0)</f>
        <v>1227418</v>
      </c>
      <c r="D170" s="400">
        <f>IFERROR(__xludf.DUMMYFUNCTION("""COMPUTED_VALUE"""),1.0)</f>
        <v>1</v>
      </c>
      <c r="E170" s="400" t="str">
        <f>IFERROR(__xludf.DUMMYFUNCTION("""COMPUTED_VALUE"""),"Vikas Kumar (Bareilly)")</f>
        <v>Vikas Kumar (Bareilly)</v>
      </c>
      <c r="F170" s="400" t="str">
        <f>IFERROR(__xludf.DUMMYFUNCTION("""COMPUTED_VALUE"""),"East U.P")</f>
        <v>East U.P</v>
      </c>
      <c r="G170" s="280">
        <f>IFERROR(__xludf.DUMMYFUNCTION("""COMPUTED_VALUE"""),1227418.0)</f>
        <v>1227418</v>
      </c>
      <c r="H170" s="190">
        <f>IFERROR(__xludf.DUMMYFUNCTION("""COMPUTED_VALUE"""),102284.83333333333)</f>
        <v>102284.8333</v>
      </c>
      <c r="I170" s="195">
        <f>IFERROR(__xludf.DUMMYFUNCTION("""COMPUTED_VALUE"""),3474723.0)</f>
        <v>3474723</v>
      </c>
      <c r="J170" s="195"/>
      <c r="K170" s="75">
        <f t="shared" si="2"/>
        <v>-2247305</v>
      </c>
      <c r="L170" s="262">
        <f t="shared" si="3"/>
        <v>-1.830920681</v>
      </c>
    </row>
    <row r="171">
      <c r="A171" s="75">
        <v>166.0</v>
      </c>
      <c r="B171" s="75" t="str">
        <f>IFERROR(__xludf.DUMMYFUNCTION("""COMPUTED_VALUE"""),"R.R.TRADERS")</f>
        <v>R.R.TRADERS</v>
      </c>
      <c r="C171" s="400">
        <f>IFERROR(__xludf.DUMMYFUNCTION("""COMPUTED_VALUE"""),168146.0)</f>
        <v>168146</v>
      </c>
      <c r="D171" s="400">
        <f>IFERROR(__xludf.DUMMYFUNCTION("""COMPUTED_VALUE"""),2.0)</f>
        <v>2</v>
      </c>
      <c r="E171" s="400" t="str">
        <f>IFERROR(__xludf.DUMMYFUNCTION("""COMPUTED_VALUE"""),"Neel Kamal choure, Vikas Kumar (Bareilly)")</f>
        <v>Neel Kamal choure, Vikas Kumar (Bareilly)</v>
      </c>
      <c r="F171" s="400" t="str">
        <f>IFERROR(__xludf.DUMMYFUNCTION("""COMPUTED_VALUE"""),"MADHYA PRADESH")</f>
        <v>MADHYA PRADESH</v>
      </c>
      <c r="G171" s="280">
        <f>IFERROR(__xludf.DUMMYFUNCTION("""COMPUTED_VALUE"""),84073.0)</f>
        <v>84073</v>
      </c>
      <c r="H171" s="190">
        <f>IFERROR(__xludf.DUMMYFUNCTION("""COMPUTED_VALUE"""),7006.083333333333)</f>
        <v>7006.083333</v>
      </c>
      <c r="I171" s="195">
        <f>IFERROR(__xludf.DUMMYFUNCTION("""COMPUTED_VALUE"""),1293981.0)</f>
        <v>1293981</v>
      </c>
      <c r="J171" s="195"/>
      <c r="K171" s="75">
        <f t="shared" si="2"/>
        <v>-1125835</v>
      </c>
      <c r="L171" s="262">
        <f t="shared" si="3"/>
        <v>-6.695580032</v>
      </c>
    </row>
    <row r="172">
      <c r="A172" s="75">
        <v>167.0</v>
      </c>
      <c r="B172" s="75" t="str">
        <f>IFERROR(__xludf.DUMMYFUNCTION("""COMPUTED_VALUE"""),"Radhaa Marketing")</f>
        <v>Radhaa Marketing</v>
      </c>
      <c r="C172" s="400">
        <f>IFERROR(__xludf.DUMMYFUNCTION("""COMPUTED_VALUE"""),6336642.0)</f>
        <v>6336642</v>
      </c>
      <c r="D172" s="400">
        <f>IFERROR(__xludf.DUMMYFUNCTION("""COMPUTED_VALUE"""),2.0)</f>
        <v>2</v>
      </c>
      <c r="E172" s="400" t="str">
        <f>IFERROR(__xludf.DUMMYFUNCTION("""COMPUTED_VALUE"""),"Siddharth Srivastava, Vishal Dheer")</f>
        <v>Siddharth Srivastava, Vishal Dheer</v>
      </c>
      <c r="F172" s="400" t="str">
        <f>IFERROR(__xludf.DUMMYFUNCTION("""COMPUTED_VALUE"""),"East U.P")</f>
        <v>East U.P</v>
      </c>
      <c r="G172" s="280">
        <f>IFERROR(__xludf.DUMMYFUNCTION("""COMPUTED_VALUE"""),3168321.0)</f>
        <v>3168321</v>
      </c>
      <c r="H172" s="190">
        <f>IFERROR(__xludf.DUMMYFUNCTION("""COMPUTED_VALUE"""),264026.75)</f>
        <v>264026.75</v>
      </c>
      <c r="I172" s="195">
        <f>IFERROR(__xludf.DUMMYFUNCTION("""COMPUTED_VALUE"""),4900827.0)</f>
        <v>4900827</v>
      </c>
      <c r="J172" s="195"/>
      <c r="K172" s="75">
        <f t="shared" si="2"/>
        <v>1435815</v>
      </c>
      <c r="L172" s="262">
        <f t="shared" si="3"/>
        <v>0.2265892566</v>
      </c>
    </row>
    <row r="173">
      <c r="A173" s="75">
        <v>168.0</v>
      </c>
      <c r="B173" s="75" t="str">
        <f>IFERROR(__xludf.DUMMYFUNCTION("""COMPUTED_VALUE"""),"Raghunath ji")</f>
        <v>Raghunath ji</v>
      </c>
      <c r="C173" s="400">
        <f>IFERROR(__xludf.DUMMYFUNCTION("""COMPUTED_VALUE"""),1921866.0)</f>
        <v>1921866</v>
      </c>
      <c r="D173" s="400">
        <f>IFERROR(__xludf.DUMMYFUNCTION("""COMPUTED_VALUE"""),1.0)</f>
        <v>1</v>
      </c>
      <c r="E173" s="400" t="str">
        <f>IFERROR(__xludf.DUMMYFUNCTION("""COMPUTED_VALUE"""),"Hemant kumar srivastava")</f>
        <v>Hemant kumar srivastava</v>
      </c>
      <c r="F173" s="400" t="str">
        <f>IFERROR(__xludf.DUMMYFUNCTION("""COMPUTED_VALUE"""),"East U.P")</f>
        <v>East U.P</v>
      </c>
      <c r="G173" s="280">
        <f>IFERROR(__xludf.DUMMYFUNCTION("""COMPUTED_VALUE"""),1921866.0)</f>
        <v>1921866</v>
      </c>
      <c r="H173" s="190">
        <f>IFERROR(__xludf.DUMMYFUNCTION("""COMPUTED_VALUE"""),160155.5)</f>
        <v>160155.5</v>
      </c>
      <c r="I173" s="195">
        <f>IFERROR(__xludf.DUMMYFUNCTION("""COMPUTED_VALUE"""),2168385.0)</f>
        <v>2168385</v>
      </c>
      <c r="J173" s="195"/>
      <c r="K173" s="75">
        <f t="shared" si="2"/>
        <v>-246519</v>
      </c>
      <c r="L173" s="262">
        <f t="shared" si="3"/>
        <v>-0.1282706495</v>
      </c>
    </row>
    <row r="174">
      <c r="A174" s="75">
        <v>169.0</v>
      </c>
      <c r="B174" s="75" t="str">
        <f>IFERROR(__xludf.DUMMYFUNCTION("""COMPUTED_VALUE"""),"RAINBOW POLYTECH PRODUCTS")</f>
        <v>RAINBOW POLYTECH PRODUCTS</v>
      </c>
      <c r="C174" s="400">
        <f>IFERROR(__xludf.DUMMYFUNCTION("""COMPUTED_VALUE"""),3702576.0)</f>
        <v>3702576</v>
      </c>
      <c r="D174" s="400">
        <f>IFERROR(__xludf.DUMMYFUNCTION("""COMPUTED_VALUE"""),2.0)</f>
        <v>2</v>
      </c>
      <c r="E174" s="400" t="str">
        <f>IFERROR(__xludf.DUMMYFUNCTION("""COMPUTED_VALUE"""),"K.Hussain Babu, S.Tirumala Rao")</f>
        <v>K.Hussain Babu, S.Tirumala Rao</v>
      </c>
      <c r="F174" s="400" t="str">
        <f>IFERROR(__xludf.DUMMYFUNCTION("""COMPUTED_VALUE"""),"ANDHRA PRADESH")</f>
        <v>ANDHRA PRADESH</v>
      </c>
      <c r="G174" s="280">
        <f>IFERROR(__xludf.DUMMYFUNCTION("""COMPUTED_VALUE"""),1851288.0)</f>
        <v>1851288</v>
      </c>
      <c r="H174" s="190">
        <f>IFERROR(__xludf.DUMMYFUNCTION("""COMPUTED_VALUE"""),154274.0)</f>
        <v>154274</v>
      </c>
      <c r="I174" s="195">
        <f>IFERROR(__xludf.DUMMYFUNCTION("""COMPUTED_VALUE"""),606232.0)</f>
        <v>606232</v>
      </c>
      <c r="J174" s="195"/>
      <c r="K174" s="75">
        <f t="shared" si="2"/>
        <v>3096344</v>
      </c>
      <c r="L174" s="262">
        <f t="shared" si="3"/>
        <v>0.8362675067</v>
      </c>
    </row>
    <row r="175">
      <c r="A175" s="75">
        <v>170.0</v>
      </c>
      <c r="B175" s="75" t="str">
        <f>IFERROR(__xludf.DUMMYFUNCTION("""COMPUTED_VALUE"""),"Raj kumar kamal kumar")</f>
        <v>Raj kumar kamal kumar</v>
      </c>
      <c r="C175" s="400">
        <f>IFERROR(__xludf.DUMMYFUNCTION("""COMPUTED_VALUE"""),1.0900547E7)</f>
        <v>10900547</v>
      </c>
      <c r="D175" s="400">
        <f>IFERROR(__xludf.DUMMYFUNCTION("""COMPUTED_VALUE"""),2.0)</f>
        <v>2</v>
      </c>
      <c r="E175" s="400" t="str">
        <f>IFERROR(__xludf.DUMMYFUNCTION("""COMPUTED_VALUE"""),"Hemant kumar srivastava, Rohit Kumar")</f>
        <v>Hemant kumar srivastava, Rohit Kumar</v>
      </c>
      <c r="F175" s="400" t="str">
        <f>IFERROR(__xludf.DUMMYFUNCTION("""COMPUTED_VALUE"""),"East U.P")</f>
        <v>East U.P</v>
      </c>
      <c r="G175" s="280">
        <f>IFERROR(__xludf.DUMMYFUNCTION("""COMPUTED_VALUE"""),5450273.5)</f>
        <v>5450273.5</v>
      </c>
      <c r="H175" s="190">
        <f>IFERROR(__xludf.DUMMYFUNCTION("""COMPUTED_VALUE"""),454189.4583333333)</f>
        <v>454189.4583</v>
      </c>
      <c r="I175" s="195">
        <f>IFERROR(__xludf.DUMMYFUNCTION("""COMPUTED_VALUE"""),1.0431613E7)</f>
        <v>10431613</v>
      </c>
      <c r="J175" s="195"/>
      <c r="K175" s="75">
        <f t="shared" si="2"/>
        <v>468934</v>
      </c>
      <c r="L175" s="262">
        <f t="shared" si="3"/>
        <v>0.04301930903</v>
      </c>
    </row>
    <row r="176">
      <c r="A176" s="75">
        <v>171.0</v>
      </c>
      <c r="B176" s="75" t="str">
        <f>IFERROR(__xludf.DUMMYFUNCTION("""COMPUTED_VALUE"""),"Rajendra prasad and company")</f>
        <v>Rajendra prasad and company</v>
      </c>
      <c r="C176" s="400">
        <f>IFERROR(__xludf.DUMMYFUNCTION("""COMPUTED_VALUE"""),500076.0)</f>
        <v>500076</v>
      </c>
      <c r="D176" s="400">
        <f>IFERROR(__xludf.DUMMYFUNCTION("""COMPUTED_VALUE"""),1.0)</f>
        <v>1</v>
      </c>
      <c r="E176" s="400" t="str">
        <f>IFERROR(__xludf.DUMMYFUNCTION("""COMPUTED_VALUE"""),"Jagdev")</f>
        <v>Jagdev</v>
      </c>
      <c r="F176" s="400" t="str">
        <f>IFERROR(__xludf.DUMMYFUNCTION("""COMPUTED_VALUE"""),"West U.P")</f>
        <v>West U.P</v>
      </c>
      <c r="G176" s="280">
        <f>IFERROR(__xludf.DUMMYFUNCTION("""COMPUTED_VALUE"""),500076.0)</f>
        <v>500076</v>
      </c>
      <c r="H176" s="190">
        <f>IFERROR(__xludf.DUMMYFUNCTION("""COMPUTED_VALUE"""),41673.0)</f>
        <v>41673</v>
      </c>
      <c r="I176" s="195">
        <f>IFERROR(__xludf.DUMMYFUNCTION("""COMPUTED_VALUE"""),353465.0)</f>
        <v>353465</v>
      </c>
      <c r="J176" s="195"/>
      <c r="K176" s="75">
        <f t="shared" si="2"/>
        <v>146611</v>
      </c>
      <c r="L176" s="262">
        <f t="shared" si="3"/>
        <v>0.293177437</v>
      </c>
    </row>
    <row r="177">
      <c r="A177" s="75">
        <v>172.0</v>
      </c>
      <c r="B177" s="75" t="str">
        <f>IFERROR(__xludf.DUMMYFUNCTION("""COMPUTED_VALUE"""),"Ram enterprises")</f>
        <v>Ram enterprises</v>
      </c>
      <c r="C177" s="400">
        <f>IFERROR(__xludf.DUMMYFUNCTION("""COMPUTED_VALUE"""),653609.0)</f>
        <v>653609</v>
      </c>
      <c r="D177" s="400">
        <f>IFERROR(__xludf.DUMMYFUNCTION("""COMPUTED_VALUE"""),2.0)</f>
        <v>2</v>
      </c>
      <c r="E177" s="400" t="str">
        <f>IFERROR(__xludf.DUMMYFUNCTION("""COMPUTED_VALUE"""),"Karuppasamy R, Saibulla S.")</f>
        <v>Karuppasamy R, Saibulla S.</v>
      </c>
      <c r="F177" s="400" t="str">
        <f>IFERROR(__xludf.DUMMYFUNCTION("""COMPUTED_VALUE"""),"TAMIL NADU")</f>
        <v>TAMIL NADU</v>
      </c>
      <c r="G177" s="280">
        <f>IFERROR(__xludf.DUMMYFUNCTION("""COMPUTED_VALUE"""),326804.5)</f>
        <v>326804.5</v>
      </c>
      <c r="H177" s="190">
        <f>IFERROR(__xludf.DUMMYFUNCTION("""COMPUTED_VALUE"""),27233.708333333332)</f>
        <v>27233.70833</v>
      </c>
      <c r="I177" s="195">
        <f>IFERROR(__xludf.DUMMYFUNCTION("""COMPUTED_VALUE"""),0.0)</f>
        <v>0</v>
      </c>
      <c r="J177" s="195"/>
      <c r="K177" s="75">
        <f t="shared" si="2"/>
        <v>653609</v>
      </c>
      <c r="L177" s="262">
        <f t="shared" si="3"/>
        <v>1</v>
      </c>
    </row>
    <row r="178">
      <c r="A178" s="75">
        <v>173.0</v>
      </c>
      <c r="B178" s="75" t="str">
        <f>IFERROR(__xludf.DUMMYFUNCTION("""COMPUTED_VALUE"""),"RAMKRISHNA TRADING AND CO")</f>
        <v>RAMKRISHNA TRADING AND CO</v>
      </c>
      <c r="C178" s="400">
        <f>IFERROR(__xludf.DUMMYFUNCTION("""COMPUTED_VALUE"""),2248680.0)</f>
        <v>2248680</v>
      </c>
      <c r="D178" s="400">
        <f>IFERROR(__xludf.DUMMYFUNCTION("""COMPUTED_VALUE"""),1.0)</f>
        <v>1</v>
      </c>
      <c r="E178" s="400" t="str">
        <f>IFERROR(__xludf.DUMMYFUNCTION("""COMPUTED_VALUE"""),"Litan Saha")</f>
        <v>Litan Saha</v>
      </c>
      <c r="F178" s="400" t="str">
        <f>IFERROR(__xludf.DUMMYFUNCTION("""COMPUTED_VALUE"""),"TRIPURA")</f>
        <v>TRIPURA</v>
      </c>
      <c r="G178" s="280">
        <f>IFERROR(__xludf.DUMMYFUNCTION("""COMPUTED_VALUE"""),2248680.0)</f>
        <v>2248680</v>
      </c>
      <c r="H178" s="190">
        <f>IFERROR(__xludf.DUMMYFUNCTION("""COMPUTED_VALUE"""),187390.0)</f>
        <v>187390</v>
      </c>
      <c r="I178" s="195">
        <f>IFERROR(__xludf.DUMMYFUNCTION("""COMPUTED_VALUE"""),0.0)</f>
        <v>0</v>
      </c>
      <c r="J178" s="195"/>
      <c r="K178" s="75">
        <f t="shared" si="2"/>
        <v>2248680</v>
      </c>
      <c r="L178" s="262">
        <f t="shared" si="3"/>
        <v>1</v>
      </c>
    </row>
    <row r="179">
      <c r="A179" s="75">
        <v>174.0</v>
      </c>
      <c r="B179" s="75" t="str">
        <f>IFERROR(__xludf.DUMMYFUNCTION("""COMPUTED_VALUE"""),"Ramswarup &amp; Sons")</f>
        <v>Ramswarup &amp; Sons</v>
      </c>
      <c r="C179" s="400">
        <f>IFERROR(__xludf.DUMMYFUNCTION("""COMPUTED_VALUE"""),1729318.0)</f>
        <v>1729318</v>
      </c>
      <c r="D179" s="400">
        <f>IFERROR(__xludf.DUMMYFUNCTION("""COMPUTED_VALUE"""),1.0)</f>
        <v>1</v>
      </c>
      <c r="E179" s="400" t="str">
        <f>IFERROR(__xludf.DUMMYFUNCTION("""COMPUTED_VALUE"""),"Malay Paul")</f>
        <v>Malay Paul</v>
      </c>
      <c r="F179" s="400" t="str">
        <f>IFERROR(__xludf.DUMMYFUNCTION("""COMPUTED_VALUE"""),"WEST BENGAL")</f>
        <v>WEST BENGAL</v>
      </c>
      <c r="G179" s="280">
        <f>IFERROR(__xludf.DUMMYFUNCTION("""COMPUTED_VALUE"""),1729318.0)</f>
        <v>1729318</v>
      </c>
      <c r="H179" s="190">
        <f>IFERROR(__xludf.DUMMYFUNCTION("""COMPUTED_VALUE"""),144109.83333333334)</f>
        <v>144109.8333</v>
      </c>
      <c r="I179" s="195">
        <f>IFERROR(__xludf.DUMMYFUNCTION("""COMPUTED_VALUE"""),3419711.0)</f>
        <v>3419711</v>
      </c>
      <c r="J179" s="195"/>
      <c r="K179" s="75">
        <f t="shared" si="2"/>
        <v>-1690393</v>
      </c>
      <c r="L179" s="262">
        <f t="shared" si="3"/>
        <v>-0.9774911266</v>
      </c>
    </row>
    <row r="180">
      <c r="A180" s="75">
        <v>175.0</v>
      </c>
      <c r="B180" s="75" t="str">
        <f>IFERROR(__xludf.DUMMYFUNCTION("""COMPUTED_VALUE"""),"Rani Satee Sales")</f>
        <v>Rani Satee Sales</v>
      </c>
      <c r="C180" s="400">
        <f>IFERROR(__xludf.DUMMYFUNCTION("""COMPUTED_VALUE"""),43595.0)</f>
        <v>43595</v>
      </c>
      <c r="D180" s="400">
        <f>IFERROR(__xludf.DUMMYFUNCTION("""COMPUTED_VALUE"""),1.0)</f>
        <v>1</v>
      </c>
      <c r="E180" s="400" t="str">
        <f>IFERROR(__xludf.DUMMYFUNCTION("""COMPUTED_VALUE"""),"Sasikant Prasad")</f>
        <v>Sasikant Prasad</v>
      </c>
      <c r="F180" s="400" t="str">
        <f>IFERROR(__xludf.DUMMYFUNCTION("""COMPUTED_VALUE"""),"ODISHA")</f>
        <v>ODISHA</v>
      </c>
      <c r="G180" s="280">
        <f>IFERROR(__xludf.DUMMYFUNCTION("""COMPUTED_VALUE"""),43595.0)</f>
        <v>43595</v>
      </c>
      <c r="H180" s="190">
        <f>IFERROR(__xludf.DUMMYFUNCTION("""COMPUTED_VALUE"""),3632.9166666666665)</f>
        <v>3632.916667</v>
      </c>
      <c r="I180" s="195">
        <f>IFERROR(__xludf.DUMMYFUNCTION("""COMPUTED_VALUE"""),0.0)</f>
        <v>0</v>
      </c>
      <c r="J180" s="195"/>
      <c r="K180" s="75">
        <f t="shared" si="2"/>
        <v>43595</v>
      </c>
      <c r="L180" s="262">
        <f t="shared" si="3"/>
        <v>1</v>
      </c>
    </row>
    <row r="181">
      <c r="A181" s="75">
        <v>176.0</v>
      </c>
      <c r="B181" s="75" t="str">
        <f>IFERROR(__xludf.DUMMYFUNCTION("""COMPUTED_VALUE"""),"Rathi sales corporation")</f>
        <v>Rathi sales corporation</v>
      </c>
      <c r="C181" s="400">
        <f>IFERROR(__xludf.DUMMYFUNCTION("""COMPUTED_VALUE"""),540530.0)</f>
        <v>540530</v>
      </c>
      <c r="D181" s="400">
        <f>IFERROR(__xludf.DUMMYFUNCTION("""COMPUTED_VALUE"""),2.0)</f>
        <v>2</v>
      </c>
      <c r="E181" s="400" t="str">
        <f>IFERROR(__xludf.DUMMYFUNCTION("""COMPUTED_VALUE"""),"Akash Deep, Ankit Kumar")</f>
        <v>Akash Deep, Ankit Kumar</v>
      </c>
      <c r="F181" s="400" t="str">
        <f>IFERROR(__xludf.DUMMYFUNCTION("""COMPUTED_VALUE"""),"West U.P")</f>
        <v>West U.P</v>
      </c>
      <c r="G181" s="280">
        <f>IFERROR(__xludf.DUMMYFUNCTION("""COMPUTED_VALUE"""),270265.0)</f>
        <v>270265</v>
      </c>
      <c r="H181" s="190">
        <f>IFERROR(__xludf.DUMMYFUNCTION("""COMPUTED_VALUE"""),22522.083333333332)</f>
        <v>22522.08333</v>
      </c>
      <c r="I181" s="195">
        <f>IFERROR(__xludf.DUMMYFUNCTION("""COMPUTED_VALUE"""),2324400.0)</f>
        <v>2324400</v>
      </c>
      <c r="J181" s="195"/>
      <c r="K181" s="75">
        <f t="shared" si="2"/>
        <v>-1783870</v>
      </c>
      <c r="L181" s="262">
        <f t="shared" si="3"/>
        <v>-3.300223854</v>
      </c>
    </row>
    <row r="182">
      <c r="A182" s="75">
        <v>177.0</v>
      </c>
      <c r="B182" s="75" t="str">
        <f>IFERROR(__xludf.DUMMYFUNCTION("""COMPUTED_VALUE"""),"Ratnam Enterprises")</f>
        <v>Ratnam Enterprises</v>
      </c>
      <c r="C182" s="400">
        <f>IFERROR(__xludf.DUMMYFUNCTION("""COMPUTED_VALUE"""),1.0192538E7)</f>
        <v>10192538</v>
      </c>
      <c r="D182" s="400">
        <f>IFERROR(__xludf.DUMMYFUNCTION("""COMPUTED_VALUE"""),2.0)</f>
        <v>2</v>
      </c>
      <c r="E182" s="400" t="str">
        <f>IFERROR(__xludf.DUMMYFUNCTION("""COMPUTED_VALUE"""),"Arijit Roychowdhury, Hrusikesh Satapathy")</f>
        <v>Arijit Roychowdhury, Hrusikesh Satapathy</v>
      </c>
      <c r="F182" s="400" t="str">
        <f>IFERROR(__xludf.DUMMYFUNCTION("""COMPUTED_VALUE"""),"ODISHA")</f>
        <v>ODISHA</v>
      </c>
      <c r="G182" s="280">
        <f>IFERROR(__xludf.DUMMYFUNCTION("""COMPUTED_VALUE"""),5096269.0)</f>
        <v>5096269</v>
      </c>
      <c r="H182" s="190">
        <f>IFERROR(__xludf.DUMMYFUNCTION("""COMPUTED_VALUE"""),424689.0833333333)</f>
        <v>424689.0833</v>
      </c>
      <c r="I182" s="195">
        <f>IFERROR(__xludf.DUMMYFUNCTION("""COMPUTED_VALUE"""),1.2820376E7)</f>
        <v>12820376</v>
      </c>
      <c r="J182" s="195"/>
      <c r="K182" s="75">
        <f t="shared" si="2"/>
        <v>-2627838</v>
      </c>
      <c r="L182" s="262">
        <f t="shared" si="3"/>
        <v>-0.2578197893</v>
      </c>
    </row>
    <row r="183">
      <c r="A183" s="75">
        <v>178.0</v>
      </c>
      <c r="B183" s="75" t="str">
        <f>IFERROR(__xludf.DUMMYFUNCTION("""COMPUTED_VALUE"""),"Rayban Corporation")</f>
        <v>Rayban Corporation</v>
      </c>
      <c r="C183" s="400">
        <f>IFERROR(__xludf.DUMMYFUNCTION("""COMPUTED_VALUE"""),4686681.0)</f>
        <v>4686681</v>
      </c>
      <c r="D183" s="400">
        <f>IFERROR(__xludf.DUMMYFUNCTION("""COMPUTED_VALUE"""),2.0)</f>
        <v>2</v>
      </c>
      <c r="E183" s="400" t="str">
        <f>IFERROR(__xludf.DUMMYFUNCTION("""COMPUTED_VALUE"""),"Jitender Birla, Saqib juned")</f>
        <v>Jitender Birla, Saqib juned</v>
      </c>
      <c r="F183" s="400" t="str">
        <f>IFERROR(__xludf.DUMMYFUNCTION("""COMPUTED_VALUE"""),"MADHYA PRADESH")</f>
        <v>MADHYA PRADESH</v>
      </c>
      <c r="G183" s="280">
        <f>IFERROR(__xludf.DUMMYFUNCTION("""COMPUTED_VALUE"""),2343340.5)</f>
        <v>2343340.5</v>
      </c>
      <c r="H183" s="190">
        <f>IFERROR(__xludf.DUMMYFUNCTION("""COMPUTED_VALUE"""),195278.375)</f>
        <v>195278.375</v>
      </c>
      <c r="I183" s="195">
        <f>IFERROR(__xludf.DUMMYFUNCTION("""COMPUTED_VALUE"""),4461397.0)</f>
        <v>4461397</v>
      </c>
      <c r="J183" s="195"/>
      <c r="K183" s="75">
        <f t="shared" si="2"/>
        <v>225284</v>
      </c>
      <c r="L183" s="262">
        <f t="shared" si="3"/>
        <v>0.04806898528</v>
      </c>
    </row>
    <row r="184">
      <c r="A184" s="75">
        <v>179.0</v>
      </c>
      <c r="B184" s="75" t="str">
        <f>IFERROR(__xludf.DUMMYFUNCTION("""COMPUTED_VALUE"""),"Rehan marketing")</f>
        <v>Rehan marketing</v>
      </c>
      <c r="C184" s="400">
        <f>IFERROR(__xludf.DUMMYFUNCTION("""COMPUTED_VALUE"""),1074169.0)</f>
        <v>1074169</v>
      </c>
      <c r="D184" s="400">
        <f>IFERROR(__xludf.DUMMYFUNCTION("""COMPUTED_VALUE"""),1.0)</f>
        <v>1</v>
      </c>
      <c r="E184" s="400" t="str">
        <f>IFERROR(__xludf.DUMMYFUNCTION("""COMPUTED_VALUE"""),"Chandrakant Mandave")</f>
        <v>Chandrakant Mandave</v>
      </c>
      <c r="F184" s="400" t="str">
        <f>IFERROR(__xludf.DUMMYFUNCTION("""COMPUTED_VALUE"""),"MAHARASHTRA")</f>
        <v>MAHARASHTRA</v>
      </c>
      <c r="G184" s="280">
        <f>IFERROR(__xludf.DUMMYFUNCTION("""COMPUTED_VALUE"""),1074169.0)</f>
        <v>1074169</v>
      </c>
      <c r="H184" s="190">
        <f>IFERROR(__xludf.DUMMYFUNCTION("""COMPUTED_VALUE"""),89514.08333333333)</f>
        <v>89514.08333</v>
      </c>
      <c r="I184" s="195">
        <f>IFERROR(__xludf.DUMMYFUNCTION("""COMPUTED_VALUE"""),741725.0)</f>
        <v>741725</v>
      </c>
      <c r="J184" s="195"/>
      <c r="K184" s="75">
        <f t="shared" si="2"/>
        <v>332444</v>
      </c>
      <c r="L184" s="262">
        <f t="shared" si="3"/>
        <v>0.3094894751</v>
      </c>
    </row>
    <row r="185">
      <c r="A185" s="75">
        <v>180.0</v>
      </c>
      <c r="B185" s="75" t="str">
        <f>IFERROR(__xludf.DUMMYFUNCTION("""COMPUTED_VALUE"""),"Rhythm traders")</f>
        <v>Rhythm traders</v>
      </c>
      <c r="C185" s="400">
        <f>IFERROR(__xludf.DUMMYFUNCTION("""COMPUTED_VALUE"""),64592.0)</f>
        <v>64592</v>
      </c>
      <c r="D185" s="400">
        <f>IFERROR(__xludf.DUMMYFUNCTION("""COMPUTED_VALUE"""),1.0)</f>
        <v>1</v>
      </c>
      <c r="E185" s="400" t="str">
        <f>IFERROR(__xludf.DUMMYFUNCTION("""COMPUTED_VALUE"""),"Amit Tangri")</f>
        <v>Amit Tangri</v>
      </c>
      <c r="F185" s="400" t="str">
        <f>IFERROR(__xludf.DUMMYFUNCTION("""COMPUTED_VALUE"""),"PUNJAB")</f>
        <v>PUNJAB</v>
      </c>
      <c r="G185" s="280">
        <f>IFERROR(__xludf.DUMMYFUNCTION("""COMPUTED_VALUE"""),64592.0)</f>
        <v>64592</v>
      </c>
      <c r="H185" s="190">
        <f>IFERROR(__xludf.DUMMYFUNCTION("""COMPUTED_VALUE"""),5382.666666666667)</f>
        <v>5382.666667</v>
      </c>
      <c r="I185" s="195">
        <f>IFERROR(__xludf.DUMMYFUNCTION("""COMPUTED_VALUE"""),798985.0)</f>
        <v>798985</v>
      </c>
      <c r="J185" s="195"/>
      <c r="K185" s="75">
        <f t="shared" si="2"/>
        <v>-734393</v>
      </c>
      <c r="L185" s="262">
        <f t="shared" si="3"/>
        <v>-11.36972071</v>
      </c>
    </row>
    <row r="186">
      <c r="A186" s="75">
        <v>181.0</v>
      </c>
      <c r="B186" s="75" t="str">
        <f>IFERROR(__xludf.DUMMYFUNCTION("""COMPUTED_VALUE"""),"Rohit industries")</f>
        <v>Rohit industries</v>
      </c>
      <c r="C186" s="400">
        <f>IFERROR(__xludf.DUMMYFUNCTION("""COMPUTED_VALUE"""),193491.0)</f>
        <v>193491</v>
      </c>
      <c r="D186" s="400">
        <f>IFERROR(__xludf.DUMMYFUNCTION("""COMPUTED_VALUE"""),1.0)</f>
        <v>1</v>
      </c>
      <c r="E186" s="400" t="str">
        <f>IFERROR(__xludf.DUMMYFUNCTION("""COMPUTED_VALUE"""),"Ashutosh Kumar (Rudrapur)")</f>
        <v>Ashutosh Kumar (Rudrapur)</v>
      </c>
      <c r="F186" s="400" t="str">
        <f>IFERROR(__xludf.DUMMYFUNCTION("""COMPUTED_VALUE"""),"UTTARAKHAND")</f>
        <v>UTTARAKHAND</v>
      </c>
      <c r="G186" s="280">
        <f>IFERROR(__xludf.DUMMYFUNCTION("""COMPUTED_VALUE"""),193491.0)</f>
        <v>193491</v>
      </c>
      <c r="H186" s="190">
        <f>IFERROR(__xludf.DUMMYFUNCTION("""COMPUTED_VALUE"""),16124.25)</f>
        <v>16124.25</v>
      </c>
      <c r="I186" s="195">
        <f>IFERROR(__xludf.DUMMYFUNCTION("""COMPUTED_VALUE"""),1161254.0)</f>
        <v>1161254</v>
      </c>
      <c r="J186" s="195"/>
      <c r="K186" s="75">
        <f t="shared" si="2"/>
        <v>-967763</v>
      </c>
      <c r="L186" s="262">
        <f t="shared" si="3"/>
        <v>-5.001591805</v>
      </c>
    </row>
    <row r="187">
      <c r="A187" s="75">
        <v>182.0</v>
      </c>
      <c r="B187" s="75" t="str">
        <f>IFERROR(__xludf.DUMMYFUNCTION("""COMPUTED_VALUE"""),"Rohit traders")</f>
        <v>Rohit traders</v>
      </c>
      <c r="C187" s="400">
        <f>IFERROR(__xludf.DUMMYFUNCTION("""COMPUTED_VALUE"""),832900.0)</f>
        <v>832900</v>
      </c>
      <c r="D187" s="400">
        <f>IFERROR(__xludf.DUMMYFUNCTION("""COMPUTED_VALUE"""),1.0)</f>
        <v>1</v>
      </c>
      <c r="E187" s="400" t="str">
        <f>IFERROR(__xludf.DUMMYFUNCTION("""COMPUTED_VALUE"""),"prashant Singh Chauhan")</f>
        <v>prashant Singh Chauhan</v>
      </c>
      <c r="F187" s="400" t="str">
        <f>IFERROR(__xludf.DUMMYFUNCTION("""COMPUTED_VALUE"""),"East U.P")</f>
        <v>East U.P</v>
      </c>
      <c r="G187" s="280">
        <f>IFERROR(__xludf.DUMMYFUNCTION("""COMPUTED_VALUE"""),832900.0)</f>
        <v>832900</v>
      </c>
      <c r="H187" s="190">
        <f>IFERROR(__xludf.DUMMYFUNCTION("""COMPUTED_VALUE"""),69408.33333333333)</f>
        <v>69408.33333</v>
      </c>
      <c r="I187" s="195">
        <f>IFERROR(__xludf.DUMMYFUNCTION("""COMPUTED_VALUE"""),867297.0)</f>
        <v>867297</v>
      </c>
      <c r="J187" s="195"/>
      <c r="K187" s="75">
        <f t="shared" si="2"/>
        <v>-34397</v>
      </c>
      <c r="L187" s="262">
        <f t="shared" si="3"/>
        <v>-0.04129787489</v>
      </c>
    </row>
    <row r="188">
      <c r="A188" s="75">
        <v>183.0</v>
      </c>
      <c r="B188" s="75" t="str">
        <f>IFERROR(__xludf.DUMMYFUNCTION("""COMPUTED_VALUE"""),"Roy Enterprise")</f>
        <v>Roy Enterprise</v>
      </c>
      <c r="C188" s="400">
        <f>IFERROR(__xludf.DUMMYFUNCTION("""COMPUTED_VALUE"""),9904147.0)</f>
        <v>9904147</v>
      </c>
      <c r="D188" s="400">
        <f>IFERROR(__xludf.DUMMYFUNCTION("""COMPUTED_VALUE"""),2.0)</f>
        <v>2</v>
      </c>
      <c r="E188" s="400" t="str">
        <f>IFERROR(__xludf.DUMMYFUNCTION("""COMPUTED_VALUE"""),"Sushanta Barman, Sujan Ghata")</f>
        <v>Sushanta Barman, Sujan Ghata</v>
      </c>
      <c r="F188" s="400" t="str">
        <f>IFERROR(__xludf.DUMMYFUNCTION("""COMPUTED_VALUE"""),"WEST BENGAL")</f>
        <v>WEST BENGAL</v>
      </c>
      <c r="G188" s="280">
        <f>IFERROR(__xludf.DUMMYFUNCTION("""COMPUTED_VALUE"""),4952073.5)</f>
        <v>4952073.5</v>
      </c>
      <c r="H188" s="190">
        <f>IFERROR(__xludf.DUMMYFUNCTION("""COMPUTED_VALUE"""),412672.7916666667)</f>
        <v>412672.7917</v>
      </c>
      <c r="I188" s="195">
        <f>IFERROR(__xludf.DUMMYFUNCTION("""COMPUTED_VALUE"""),8242167.0)</f>
        <v>8242167</v>
      </c>
      <c r="J188" s="195"/>
      <c r="K188" s="75">
        <f t="shared" si="2"/>
        <v>1661980</v>
      </c>
      <c r="L188" s="262">
        <f t="shared" si="3"/>
        <v>0.1678064754</v>
      </c>
    </row>
    <row r="189">
      <c r="A189" s="75">
        <v>184.0</v>
      </c>
      <c r="B189" s="75" t="str">
        <f>IFERROR(__xludf.DUMMYFUNCTION("""COMPUTED_VALUE"""),"Ruby pipe syndicate")</f>
        <v>Ruby pipe syndicate</v>
      </c>
      <c r="C189" s="400">
        <f>IFERROR(__xludf.DUMMYFUNCTION("""COMPUTED_VALUE"""),4590.0)</f>
        <v>4590</v>
      </c>
      <c r="D189" s="400">
        <f>IFERROR(__xludf.DUMMYFUNCTION("""COMPUTED_VALUE"""),1.0)</f>
        <v>1</v>
      </c>
      <c r="E189" s="400" t="str">
        <f>IFERROR(__xludf.DUMMYFUNCTION("""COMPUTED_VALUE"""),"Devdutt Joshi")</f>
        <v>Devdutt Joshi</v>
      </c>
      <c r="F189" s="400" t="str">
        <f>IFERROR(__xludf.DUMMYFUNCTION("""COMPUTED_VALUE"""),"GUJARAT")</f>
        <v>GUJARAT</v>
      </c>
      <c r="G189" s="280">
        <f>IFERROR(__xludf.DUMMYFUNCTION("""COMPUTED_VALUE"""),4590.0)</f>
        <v>4590</v>
      </c>
      <c r="H189" s="190">
        <f>IFERROR(__xludf.DUMMYFUNCTION("""COMPUTED_VALUE"""),382.5)</f>
        <v>382.5</v>
      </c>
      <c r="I189" s="195">
        <f>IFERROR(__xludf.DUMMYFUNCTION("""COMPUTED_VALUE"""),0.0)</f>
        <v>0</v>
      </c>
      <c r="J189" s="195"/>
      <c r="K189" s="75">
        <f t="shared" si="2"/>
        <v>4590</v>
      </c>
      <c r="L189" s="262">
        <f t="shared" si="3"/>
        <v>1</v>
      </c>
    </row>
    <row r="190">
      <c r="A190" s="75">
        <v>185.0</v>
      </c>
      <c r="B190" s="75" t="str">
        <f>IFERROR(__xludf.DUMMYFUNCTION("""COMPUTED_VALUE"""),"Rudra Electricals")</f>
        <v>Rudra Electricals</v>
      </c>
      <c r="C190" s="400">
        <f>IFERROR(__xludf.DUMMYFUNCTION("""COMPUTED_VALUE"""),818220.0)</f>
        <v>818220</v>
      </c>
      <c r="D190" s="400">
        <f>IFERROR(__xludf.DUMMYFUNCTION("""COMPUTED_VALUE"""),1.0)</f>
        <v>1</v>
      </c>
      <c r="E190" s="400" t="str">
        <f>IFERROR(__xludf.DUMMYFUNCTION("""COMPUTED_VALUE"""),"C Navaneetha Krishnan")</f>
        <v>C Navaneetha Krishnan</v>
      </c>
      <c r="F190" s="400" t="str">
        <f>IFERROR(__xludf.DUMMYFUNCTION("""COMPUTED_VALUE"""),"TAMIL NADU")</f>
        <v>TAMIL NADU</v>
      </c>
      <c r="G190" s="280">
        <f>IFERROR(__xludf.DUMMYFUNCTION("""COMPUTED_VALUE"""),818220.0)</f>
        <v>818220</v>
      </c>
      <c r="H190" s="190">
        <f>IFERROR(__xludf.DUMMYFUNCTION("""COMPUTED_VALUE"""),68185.0)</f>
        <v>68185</v>
      </c>
      <c r="I190" s="195">
        <f>IFERROR(__xludf.DUMMYFUNCTION("""COMPUTED_VALUE"""),0.0)</f>
        <v>0</v>
      </c>
      <c r="J190" s="195"/>
      <c r="K190" s="75">
        <f t="shared" si="2"/>
        <v>818220</v>
      </c>
      <c r="L190" s="262">
        <f t="shared" si="3"/>
        <v>1</v>
      </c>
    </row>
    <row r="191">
      <c r="A191" s="75">
        <v>186.0</v>
      </c>
      <c r="B191" s="75" t="str">
        <f>IFERROR(__xludf.DUMMYFUNCTION("""COMPUTED_VALUE"""),"S S SANITATION")</f>
        <v>S S SANITATION</v>
      </c>
      <c r="C191" s="400">
        <f>IFERROR(__xludf.DUMMYFUNCTION("""COMPUTED_VALUE"""),5529426.0)</f>
        <v>5529426</v>
      </c>
      <c r="D191" s="400">
        <f>IFERROR(__xludf.DUMMYFUNCTION("""COMPUTED_VALUE"""),1.0)</f>
        <v>1</v>
      </c>
      <c r="E191" s="400" t="str">
        <f>IFERROR(__xludf.DUMMYFUNCTION("""COMPUTED_VALUE"""),"Manish Gupta")</f>
        <v>Manish Gupta</v>
      </c>
      <c r="F191" s="400" t="str">
        <f>IFERROR(__xludf.DUMMYFUNCTION("""COMPUTED_VALUE"""),"West U.P")</f>
        <v>West U.P</v>
      </c>
      <c r="G191" s="280">
        <f>IFERROR(__xludf.DUMMYFUNCTION("""COMPUTED_VALUE"""),5529426.0)</f>
        <v>5529426</v>
      </c>
      <c r="H191" s="190">
        <f>IFERROR(__xludf.DUMMYFUNCTION("""COMPUTED_VALUE"""),460785.5)</f>
        <v>460785.5</v>
      </c>
      <c r="I191" s="195">
        <f>IFERROR(__xludf.DUMMYFUNCTION("""COMPUTED_VALUE"""),5731081.0)</f>
        <v>5731081</v>
      </c>
      <c r="J191" s="195"/>
      <c r="K191" s="75">
        <f t="shared" si="2"/>
        <v>-201655</v>
      </c>
      <c r="L191" s="262">
        <f t="shared" si="3"/>
        <v>-0.03646942739</v>
      </c>
    </row>
    <row r="192">
      <c r="A192" s="75">
        <v>187.0</v>
      </c>
      <c r="B192" s="75" t="str">
        <f>IFERROR(__xludf.DUMMYFUNCTION("""COMPUTED_VALUE"""),"S. P. ENTERPRISES")</f>
        <v>S. P. ENTERPRISES</v>
      </c>
      <c r="C192" s="400">
        <f>IFERROR(__xludf.DUMMYFUNCTION("""COMPUTED_VALUE"""),669195.0)</f>
        <v>669195</v>
      </c>
      <c r="D192" s="400">
        <f>IFERROR(__xludf.DUMMYFUNCTION("""COMPUTED_VALUE"""),2.0)</f>
        <v>2</v>
      </c>
      <c r="E192" s="400" t="str">
        <f>IFERROR(__xludf.DUMMYFUNCTION("""COMPUTED_VALUE"""),"Chandrakant Mandave, Praveen Pandey")</f>
        <v>Chandrakant Mandave, Praveen Pandey</v>
      </c>
      <c r="F192" s="400" t="str">
        <f>IFERROR(__xludf.DUMMYFUNCTION("""COMPUTED_VALUE"""),"MAHARASHTRA")</f>
        <v>MAHARASHTRA</v>
      </c>
      <c r="G192" s="280">
        <f>IFERROR(__xludf.DUMMYFUNCTION("""COMPUTED_VALUE"""),334597.5)</f>
        <v>334597.5</v>
      </c>
      <c r="H192" s="190">
        <f>IFERROR(__xludf.DUMMYFUNCTION("""COMPUTED_VALUE"""),27883.125)</f>
        <v>27883.125</v>
      </c>
      <c r="I192" s="195">
        <f>IFERROR(__xludf.DUMMYFUNCTION("""COMPUTED_VALUE"""),1043467.0)</f>
        <v>1043467</v>
      </c>
      <c r="J192" s="195"/>
      <c r="K192" s="75">
        <f t="shared" si="2"/>
        <v>-374272</v>
      </c>
      <c r="L192" s="262">
        <f t="shared" si="3"/>
        <v>-0.5592869044</v>
      </c>
    </row>
    <row r="193">
      <c r="A193" s="75">
        <v>188.0</v>
      </c>
      <c r="B193" s="75" t="str">
        <f>IFERROR(__xludf.DUMMYFUNCTION("""COMPUTED_VALUE"""),"S.P. Brothers &amp; Sons")</f>
        <v>S.P. Brothers &amp; Sons</v>
      </c>
      <c r="C193" s="400">
        <f>IFERROR(__xludf.DUMMYFUNCTION("""COMPUTED_VALUE"""),120868.0)</f>
        <v>120868</v>
      </c>
      <c r="D193" s="400">
        <f>IFERROR(__xludf.DUMMYFUNCTION("""COMPUTED_VALUE"""),2.0)</f>
        <v>2</v>
      </c>
      <c r="E193" s="400" t="str">
        <f>IFERROR(__xludf.DUMMYFUNCTION("""COMPUTED_VALUE"""),"Suven Sengupta, Vikash Kumar Paswan")</f>
        <v>Suven Sengupta, Vikash Kumar Paswan</v>
      </c>
      <c r="F193" s="400" t="str">
        <f>IFERROR(__xludf.DUMMYFUNCTION("""COMPUTED_VALUE"""),"WEST BENGAL")</f>
        <v>WEST BENGAL</v>
      </c>
      <c r="G193" s="280">
        <f>IFERROR(__xludf.DUMMYFUNCTION("""COMPUTED_VALUE"""),60434.0)</f>
        <v>60434</v>
      </c>
      <c r="H193" s="190">
        <f>IFERROR(__xludf.DUMMYFUNCTION("""COMPUTED_VALUE"""),5036.166666666667)</f>
        <v>5036.166667</v>
      </c>
      <c r="I193" s="195">
        <f>IFERROR(__xludf.DUMMYFUNCTION("""COMPUTED_VALUE"""),50740.0)</f>
        <v>50740</v>
      </c>
      <c r="J193" s="195"/>
      <c r="K193" s="75">
        <f t="shared" si="2"/>
        <v>70128</v>
      </c>
      <c r="L193" s="262">
        <f t="shared" si="3"/>
        <v>0.5802031969</v>
      </c>
    </row>
    <row r="194">
      <c r="A194" s="75">
        <v>189.0</v>
      </c>
      <c r="B194" s="75" t="str">
        <f>IFERROR(__xludf.DUMMYFUNCTION("""COMPUTED_VALUE"""),"SAI SRINIVASA ENTERPRISES")</f>
        <v>SAI SRINIVASA ENTERPRISES</v>
      </c>
      <c r="C194" s="400">
        <f>IFERROR(__xludf.DUMMYFUNCTION("""COMPUTED_VALUE"""),376065.0)</f>
        <v>376065</v>
      </c>
      <c r="D194" s="400">
        <f>IFERROR(__xludf.DUMMYFUNCTION("""COMPUTED_VALUE"""),2.0)</f>
        <v>2</v>
      </c>
      <c r="E194" s="400" t="str">
        <f>IFERROR(__xludf.DUMMYFUNCTION("""COMPUTED_VALUE"""),"Shaik Jani basha, Taninki Ramesh Babu")</f>
        <v>Shaik Jani basha, Taninki Ramesh Babu</v>
      </c>
      <c r="F194" s="400" t="str">
        <f>IFERROR(__xludf.DUMMYFUNCTION("""COMPUTED_VALUE"""),"ANDHRA PRADESH")</f>
        <v>ANDHRA PRADESH</v>
      </c>
      <c r="G194" s="280">
        <f>IFERROR(__xludf.DUMMYFUNCTION("""COMPUTED_VALUE"""),188032.5)</f>
        <v>188032.5</v>
      </c>
      <c r="H194" s="190">
        <f>IFERROR(__xludf.DUMMYFUNCTION("""COMPUTED_VALUE"""),15669.375)</f>
        <v>15669.375</v>
      </c>
      <c r="I194" s="195">
        <f>IFERROR(__xludf.DUMMYFUNCTION("""COMPUTED_VALUE"""),178587.0)</f>
        <v>178587</v>
      </c>
      <c r="J194" s="195"/>
      <c r="K194" s="75">
        <f t="shared" si="2"/>
        <v>197478</v>
      </c>
      <c r="L194" s="262">
        <f t="shared" si="3"/>
        <v>0.5251166687</v>
      </c>
    </row>
    <row r="195">
      <c r="A195" s="75">
        <v>190.0</v>
      </c>
      <c r="B195" s="75" t="str">
        <f>IFERROR(__xludf.DUMMYFUNCTION("""COMPUTED_VALUE"""),"SAINTHIA PAINTS HOUSE")</f>
        <v>SAINTHIA PAINTS HOUSE</v>
      </c>
      <c r="C195" s="400">
        <f>IFERROR(__xludf.DUMMYFUNCTION("""COMPUTED_VALUE"""),297782.0)</f>
        <v>297782</v>
      </c>
      <c r="D195" s="400">
        <f>IFERROR(__xludf.DUMMYFUNCTION("""COMPUTED_VALUE"""),1.0)</f>
        <v>1</v>
      </c>
      <c r="E195" s="400" t="str">
        <f>IFERROR(__xludf.DUMMYFUNCTION("""COMPUTED_VALUE"""),"Sudip Sarkar")</f>
        <v>Sudip Sarkar</v>
      </c>
      <c r="F195" s="400" t="str">
        <f>IFERROR(__xludf.DUMMYFUNCTION("""COMPUTED_VALUE"""),"WEST BENGAL")</f>
        <v>WEST BENGAL</v>
      </c>
      <c r="G195" s="280">
        <f>IFERROR(__xludf.DUMMYFUNCTION("""COMPUTED_VALUE"""),297782.0)</f>
        <v>297782</v>
      </c>
      <c r="H195" s="190">
        <f>IFERROR(__xludf.DUMMYFUNCTION("""COMPUTED_VALUE"""),24815.166666666668)</f>
        <v>24815.16667</v>
      </c>
      <c r="I195" s="195">
        <f>IFERROR(__xludf.DUMMYFUNCTION("""COMPUTED_VALUE"""),4.0481453E7)</f>
        <v>40481453</v>
      </c>
      <c r="J195" s="195"/>
      <c r="K195" s="75">
        <f t="shared" si="2"/>
        <v>-40183671</v>
      </c>
      <c r="L195" s="262">
        <f t="shared" si="3"/>
        <v>-134.9432504</v>
      </c>
    </row>
    <row r="196">
      <c r="A196" s="75">
        <v>191.0</v>
      </c>
      <c r="B196" s="75" t="str">
        <f>IFERROR(__xludf.DUMMYFUNCTION("""COMPUTED_VALUE"""),"SALROO SANITARY AND HARDWARE STORE")</f>
        <v>SALROO SANITARY AND HARDWARE STORE</v>
      </c>
      <c r="C196" s="400">
        <f>IFERROR(__xludf.DUMMYFUNCTION("""COMPUTED_VALUE"""),729707.0)</f>
        <v>729707</v>
      </c>
      <c r="D196" s="400">
        <f>IFERROR(__xludf.DUMMYFUNCTION("""COMPUTED_VALUE"""),2.0)</f>
        <v>2</v>
      </c>
      <c r="E196" s="400" t="str">
        <f>IFERROR(__xludf.DUMMYFUNCTION("""COMPUTED_VALUE"""),"Irfan Ahmad Wani, Basit Ahmad Pala")</f>
        <v>Irfan Ahmad Wani, Basit Ahmad Pala</v>
      </c>
      <c r="F196" s="400" t="str">
        <f>IFERROR(__xludf.DUMMYFUNCTION("""COMPUTED_VALUE"""),"JAMMU AND KASHMIR")</f>
        <v>JAMMU AND KASHMIR</v>
      </c>
      <c r="G196" s="280">
        <f>IFERROR(__xludf.DUMMYFUNCTION("""COMPUTED_VALUE"""),364853.5)</f>
        <v>364853.5</v>
      </c>
      <c r="H196" s="190">
        <f>IFERROR(__xludf.DUMMYFUNCTION("""COMPUTED_VALUE"""),30404.458333333332)</f>
        <v>30404.45833</v>
      </c>
      <c r="I196" s="195">
        <f>IFERROR(__xludf.DUMMYFUNCTION("""COMPUTED_VALUE"""),909549.0)</f>
        <v>909549</v>
      </c>
      <c r="J196" s="195"/>
      <c r="K196" s="75">
        <f t="shared" si="2"/>
        <v>-179842</v>
      </c>
      <c r="L196" s="262">
        <f t="shared" si="3"/>
        <v>-0.2464578249</v>
      </c>
    </row>
    <row r="197">
      <c r="A197" s="75">
        <v>192.0</v>
      </c>
      <c r="B197" s="75" t="str">
        <f>IFERROR(__xludf.DUMMYFUNCTION("""COMPUTED_VALUE"""),"SAPPHIRE SALES CORPORATION PRIVATE LIMITED")</f>
        <v>SAPPHIRE SALES CORPORATION PRIVATE LIMITED</v>
      </c>
      <c r="C197" s="400">
        <f>IFERROR(__xludf.DUMMYFUNCTION("""COMPUTED_VALUE"""),2846089.0)</f>
        <v>2846089</v>
      </c>
      <c r="D197" s="400">
        <f>IFERROR(__xludf.DUMMYFUNCTION("""COMPUTED_VALUE"""),2.0)</f>
        <v>2</v>
      </c>
      <c r="E197" s="400" t="str">
        <f>IFERROR(__xludf.DUMMYFUNCTION("""COMPUTED_VALUE"""),"ANAND BHAGWAN MORE, Tushar Ravindra Kanthale")</f>
        <v>ANAND BHAGWAN MORE, Tushar Ravindra Kanthale</v>
      </c>
      <c r="F197" s="400" t="str">
        <f>IFERROR(__xludf.DUMMYFUNCTION("""COMPUTED_VALUE"""),"MAHARASHTRA")</f>
        <v>MAHARASHTRA</v>
      </c>
      <c r="G197" s="280">
        <f>IFERROR(__xludf.DUMMYFUNCTION("""COMPUTED_VALUE"""),1423044.5)</f>
        <v>1423044.5</v>
      </c>
      <c r="H197" s="190">
        <f>IFERROR(__xludf.DUMMYFUNCTION("""COMPUTED_VALUE"""),118587.04166666667)</f>
        <v>118587.0417</v>
      </c>
      <c r="I197" s="195">
        <f>IFERROR(__xludf.DUMMYFUNCTION("""COMPUTED_VALUE"""),5357935.0)</f>
        <v>5357935</v>
      </c>
      <c r="J197" s="195"/>
      <c r="K197" s="75">
        <f t="shared" si="2"/>
        <v>-2511846</v>
      </c>
      <c r="L197" s="262">
        <f t="shared" si="3"/>
        <v>-0.8825605946</v>
      </c>
    </row>
    <row r="198">
      <c r="A198" s="75">
        <v>193.0</v>
      </c>
      <c r="B198" s="75" t="str">
        <f>IFERROR(__xludf.DUMMYFUNCTION("""COMPUTED_VALUE"""),"SASTHA PIPE TRADERS")</f>
        <v>SASTHA PIPE TRADERS</v>
      </c>
      <c r="C198" s="400">
        <f>IFERROR(__xludf.DUMMYFUNCTION("""COMPUTED_VALUE"""),9588896.0)</f>
        <v>9588896</v>
      </c>
      <c r="D198" s="400">
        <f>IFERROR(__xludf.DUMMYFUNCTION("""COMPUTED_VALUE"""),4.0)</f>
        <v>4</v>
      </c>
      <c r="E198" s="400" t="str">
        <f>IFERROR(__xludf.DUMMYFUNCTION("""COMPUTED_VALUE"""),"Dinesh Kumar, Karuppasamy R, Saibulla S., Ganesh Kumar")</f>
        <v>Dinesh Kumar, Karuppasamy R, Saibulla S., Ganesh Kumar</v>
      </c>
      <c r="F198" s="400" t="str">
        <f>IFERROR(__xludf.DUMMYFUNCTION("""COMPUTED_VALUE"""),"TAMIL NADU")</f>
        <v>TAMIL NADU</v>
      </c>
      <c r="G198" s="280">
        <f>IFERROR(__xludf.DUMMYFUNCTION("""COMPUTED_VALUE"""),2397224.0)</f>
        <v>2397224</v>
      </c>
      <c r="H198" s="190">
        <f>IFERROR(__xludf.DUMMYFUNCTION("""COMPUTED_VALUE"""),199768.66666666666)</f>
        <v>199768.6667</v>
      </c>
      <c r="I198" s="195">
        <f>IFERROR(__xludf.DUMMYFUNCTION("""COMPUTED_VALUE"""),0.0)</f>
        <v>0</v>
      </c>
      <c r="J198" s="195"/>
      <c r="K198" s="75">
        <f t="shared" si="2"/>
        <v>9588896</v>
      </c>
      <c r="L198" s="262">
        <f t="shared" si="3"/>
        <v>1</v>
      </c>
    </row>
    <row r="199">
      <c r="A199" s="75">
        <v>194.0</v>
      </c>
      <c r="B199" s="75" t="str">
        <f>IFERROR(__xludf.DUMMYFUNCTION("""COMPUTED_VALUE"""),"Satya Traders")</f>
        <v>Satya Traders</v>
      </c>
      <c r="C199" s="400">
        <f>IFERROR(__xludf.DUMMYFUNCTION("""COMPUTED_VALUE"""),117261.0)</f>
        <v>117261</v>
      </c>
      <c r="D199" s="400">
        <f>IFERROR(__xludf.DUMMYFUNCTION("""COMPUTED_VALUE"""),1.0)</f>
        <v>1</v>
      </c>
      <c r="E199" s="400" t="str">
        <f>IFERROR(__xludf.DUMMYFUNCTION("""COMPUTED_VALUE"""),"Ravinder Puri")</f>
        <v>Ravinder Puri</v>
      </c>
      <c r="F199" s="400" t="str">
        <f>IFERROR(__xludf.DUMMYFUNCTION("""COMPUTED_VALUE"""),"West U.P")</f>
        <v>West U.P</v>
      </c>
      <c r="G199" s="280">
        <f>IFERROR(__xludf.DUMMYFUNCTION("""COMPUTED_VALUE"""),117261.0)</f>
        <v>117261</v>
      </c>
      <c r="H199" s="190">
        <f>IFERROR(__xludf.DUMMYFUNCTION("""COMPUTED_VALUE"""),9771.75)</f>
        <v>9771.75</v>
      </c>
      <c r="I199" s="195">
        <f>IFERROR(__xludf.DUMMYFUNCTION("""COMPUTED_VALUE"""),0.0)</f>
        <v>0</v>
      </c>
      <c r="J199" s="195" t="str">
        <f>IFERROR(__xludf.DUMMYFUNCTION("""COMPUTED_VALUE"""),"OLD STOCK")</f>
        <v>OLD STOCK</v>
      </c>
      <c r="K199" s="75">
        <f t="shared" si="2"/>
        <v>117261</v>
      </c>
      <c r="L199" s="262">
        <f t="shared" si="3"/>
        <v>1</v>
      </c>
    </row>
    <row r="200">
      <c r="A200" s="75">
        <v>195.0</v>
      </c>
      <c r="B200" s="75" t="str">
        <f>IFERROR(__xludf.DUMMYFUNCTION("""COMPUTED_VALUE"""),"Saurabh sanitary store")</f>
        <v>Saurabh sanitary store</v>
      </c>
      <c r="C200" s="400">
        <f>IFERROR(__xludf.DUMMYFUNCTION("""COMPUTED_VALUE"""),671537.0)</f>
        <v>671537</v>
      </c>
      <c r="D200" s="400">
        <f>IFERROR(__xludf.DUMMYFUNCTION("""COMPUTED_VALUE"""),1.0)</f>
        <v>1</v>
      </c>
      <c r="E200" s="400" t="str">
        <f>IFERROR(__xludf.DUMMYFUNCTION("""COMPUTED_VALUE"""),"Ravinder Puri")</f>
        <v>Ravinder Puri</v>
      </c>
      <c r="F200" s="400" t="str">
        <f>IFERROR(__xludf.DUMMYFUNCTION("""COMPUTED_VALUE"""),"West U.P")</f>
        <v>West U.P</v>
      </c>
      <c r="G200" s="280">
        <f>IFERROR(__xludf.DUMMYFUNCTION("""COMPUTED_VALUE"""),671537.0)</f>
        <v>671537</v>
      </c>
      <c r="H200" s="190">
        <f>IFERROR(__xludf.DUMMYFUNCTION("""COMPUTED_VALUE"""),55961.416666666664)</f>
        <v>55961.41667</v>
      </c>
      <c r="I200" s="195">
        <f>IFERROR(__xludf.DUMMYFUNCTION("""COMPUTED_VALUE"""),639380.0)</f>
        <v>639380</v>
      </c>
      <c r="J200" s="195"/>
      <c r="K200" s="75">
        <f t="shared" si="2"/>
        <v>32157</v>
      </c>
      <c r="L200" s="262">
        <f t="shared" si="3"/>
        <v>0.04788567123</v>
      </c>
    </row>
    <row r="201">
      <c r="A201" s="75">
        <v>196.0</v>
      </c>
      <c r="B201" s="75" t="str">
        <f>IFERROR(__xludf.DUMMYFUNCTION("""COMPUTED_VALUE"""),"Sawariya Trading company")</f>
        <v>Sawariya Trading company</v>
      </c>
      <c r="C201" s="400">
        <f>IFERROR(__xludf.DUMMYFUNCTION("""COMPUTED_VALUE"""),1.2693344E7)</f>
        <v>12693344</v>
      </c>
      <c r="D201" s="400">
        <f>IFERROR(__xludf.DUMMYFUNCTION("""COMPUTED_VALUE"""),1.0)</f>
        <v>1</v>
      </c>
      <c r="E201" s="400" t="str">
        <f>IFERROR(__xludf.DUMMYFUNCTION("""COMPUTED_VALUE"""),"AMAN KHAN")</f>
        <v>AMAN KHAN</v>
      </c>
      <c r="F201" s="400" t="str">
        <f>IFERROR(__xludf.DUMMYFUNCTION("""COMPUTED_VALUE"""),"MADHYA PRADESH")</f>
        <v>MADHYA PRADESH</v>
      </c>
      <c r="G201" s="280">
        <f>IFERROR(__xludf.DUMMYFUNCTION("""COMPUTED_VALUE"""),1.2693344E7)</f>
        <v>12693344</v>
      </c>
      <c r="H201" s="190">
        <f>IFERROR(__xludf.DUMMYFUNCTION("""COMPUTED_VALUE"""),1057778.6666666667)</f>
        <v>1057778.667</v>
      </c>
      <c r="I201" s="195">
        <f>IFERROR(__xludf.DUMMYFUNCTION("""COMPUTED_VALUE"""),1.6146891E7)</f>
        <v>16146891</v>
      </c>
      <c r="J201" s="195"/>
      <c r="K201" s="75">
        <f t="shared" si="2"/>
        <v>-3453547</v>
      </c>
      <c r="L201" s="262">
        <f t="shared" si="3"/>
        <v>-0.2720754279</v>
      </c>
    </row>
    <row r="202">
      <c r="A202" s="75">
        <v>197.0</v>
      </c>
      <c r="B202" s="75" t="str">
        <f>IFERROR(__xludf.DUMMYFUNCTION("""COMPUTED_VALUE"""),"SB ENTERPRISES")</f>
        <v>SB ENTERPRISES</v>
      </c>
      <c r="C202" s="400">
        <f>IFERROR(__xludf.DUMMYFUNCTION("""COMPUTED_VALUE"""),5.8622466E7)</f>
        <v>58622466</v>
      </c>
      <c r="D202" s="400">
        <f>IFERROR(__xludf.DUMMYFUNCTION("""COMPUTED_VALUE"""),2.0)</f>
        <v>2</v>
      </c>
      <c r="E202" s="400" t="str">
        <f>IFERROR(__xludf.DUMMYFUNCTION("""COMPUTED_VALUE"""),"Pravat Kumar Dash, Sunil Kumar Pani")</f>
        <v>Pravat Kumar Dash, Sunil Kumar Pani</v>
      </c>
      <c r="F202" s="400" t="str">
        <f>IFERROR(__xludf.DUMMYFUNCTION("""COMPUTED_VALUE"""),"ODISHA")</f>
        <v>ODISHA</v>
      </c>
      <c r="G202" s="280">
        <f>IFERROR(__xludf.DUMMYFUNCTION("""COMPUTED_VALUE"""),2.9311233E7)</f>
        <v>29311233</v>
      </c>
      <c r="H202" s="190">
        <f>IFERROR(__xludf.DUMMYFUNCTION("""COMPUTED_VALUE"""),2442602.75)</f>
        <v>2442602.75</v>
      </c>
      <c r="I202" s="195">
        <f>IFERROR(__xludf.DUMMYFUNCTION("""COMPUTED_VALUE"""),5.6839866E7)</f>
        <v>56839866</v>
      </c>
      <c r="J202" s="195"/>
      <c r="K202" s="75">
        <f t="shared" si="2"/>
        <v>1782600</v>
      </c>
      <c r="L202" s="262">
        <f t="shared" si="3"/>
        <v>0.03040813739</v>
      </c>
    </row>
    <row r="203">
      <c r="A203" s="75">
        <v>198.0</v>
      </c>
      <c r="B203" s="75" t="str">
        <f>IFERROR(__xludf.DUMMYFUNCTION("""COMPUTED_VALUE"""),"Sewa bath solutions")</f>
        <v>Sewa bath solutions</v>
      </c>
      <c r="C203" s="400">
        <f>IFERROR(__xludf.DUMMYFUNCTION("""COMPUTED_VALUE"""),3.3348041E7)</f>
        <v>33348041</v>
      </c>
      <c r="D203" s="400">
        <f>IFERROR(__xludf.DUMMYFUNCTION("""COMPUTED_VALUE"""),4.0)</f>
        <v>4</v>
      </c>
      <c r="E203" s="400" t="str">
        <f>IFERROR(__xludf.DUMMYFUNCTION("""COMPUTED_VALUE"""),"Jitender Birla, Saqib juned, Rajesh Patel, Sunil Kumar")</f>
        <v>Jitender Birla, Saqib juned, Rajesh Patel, Sunil Kumar</v>
      </c>
      <c r="F203" s="400" t="str">
        <f>IFERROR(__xludf.DUMMYFUNCTION("""COMPUTED_VALUE"""),"MADHYA PRADESH")</f>
        <v>MADHYA PRADESH</v>
      </c>
      <c r="G203" s="280">
        <f>IFERROR(__xludf.DUMMYFUNCTION("""COMPUTED_VALUE"""),8337010.25)</f>
        <v>8337010.25</v>
      </c>
      <c r="H203" s="190">
        <f>IFERROR(__xludf.DUMMYFUNCTION("""COMPUTED_VALUE"""),694750.8541666666)</f>
        <v>694750.8542</v>
      </c>
      <c r="I203" s="195">
        <f>IFERROR(__xludf.DUMMYFUNCTION("""COMPUTED_VALUE"""),5.7527745E7)</f>
        <v>57527745</v>
      </c>
      <c r="J203" s="195"/>
      <c r="K203" s="75">
        <f t="shared" si="2"/>
        <v>-24179704</v>
      </c>
      <c r="L203" s="262">
        <f t="shared" si="3"/>
        <v>-0.7250711968</v>
      </c>
    </row>
    <row r="204">
      <c r="A204" s="75">
        <v>199.0</v>
      </c>
      <c r="B204" s="75" t="str">
        <f>IFERROR(__xludf.DUMMYFUNCTION("""COMPUTED_VALUE"""),"Shabir and sons")</f>
        <v>Shabir and sons</v>
      </c>
      <c r="C204" s="400">
        <f>IFERROR(__xludf.DUMMYFUNCTION("""COMPUTED_VALUE"""),1426019.0)</f>
        <v>1426019</v>
      </c>
      <c r="D204" s="400">
        <f>IFERROR(__xludf.DUMMYFUNCTION("""COMPUTED_VALUE"""),1.0)</f>
        <v>1</v>
      </c>
      <c r="E204" s="400" t="str">
        <f>IFERROR(__xludf.DUMMYFUNCTION("""COMPUTED_VALUE"""),"Tafazul Nazir")</f>
        <v>Tafazul Nazir</v>
      </c>
      <c r="F204" s="400" t="str">
        <f>IFERROR(__xludf.DUMMYFUNCTION("""COMPUTED_VALUE"""),"JAMMU AND KASHMIR")</f>
        <v>JAMMU AND KASHMIR</v>
      </c>
      <c r="G204" s="280">
        <f>IFERROR(__xludf.DUMMYFUNCTION("""COMPUTED_VALUE"""),1426019.0)</f>
        <v>1426019</v>
      </c>
      <c r="H204" s="190">
        <f>IFERROR(__xludf.DUMMYFUNCTION("""COMPUTED_VALUE"""),118834.91666666667)</f>
        <v>118834.9167</v>
      </c>
      <c r="I204" s="195">
        <f>IFERROR(__xludf.DUMMYFUNCTION("""COMPUTED_VALUE"""),2036321.0)</f>
        <v>2036321</v>
      </c>
      <c r="J204" s="195"/>
      <c r="K204" s="75">
        <f t="shared" si="2"/>
        <v>-610302</v>
      </c>
      <c r="L204" s="262">
        <f t="shared" si="3"/>
        <v>-0.4279760648</v>
      </c>
    </row>
    <row r="205">
      <c r="A205" s="75">
        <v>200.0</v>
      </c>
      <c r="B205" s="75" t="str">
        <f>IFERROR(__xludf.DUMMYFUNCTION("""COMPUTED_VALUE"""),"Shiv Sales")</f>
        <v>Shiv Sales</v>
      </c>
      <c r="C205" s="400">
        <f>IFERROR(__xludf.DUMMYFUNCTION("""COMPUTED_VALUE"""),8389165.0)</f>
        <v>8389165</v>
      </c>
      <c r="D205" s="400">
        <f>IFERROR(__xludf.DUMMYFUNCTION("""COMPUTED_VALUE"""),1.0)</f>
        <v>1</v>
      </c>
      <c r="E205" s="400" t="str">
        <f>IFERROR(__xludf.DUMMYFUNCTION("""COMPUTED_VALUE"""),"Dipak Sharma")</f>
        <v>Dipak Sharma</v>
      </c>
      <c r="F205" s="400" t="str">
        <f>IFERROR(__xludf.DUMMYFUNCTION("""COMPUTED_VALUE"""),"ASSAM")</f>
        <v>ASSAM</v>
      </c>
      <c r="G205" s="280">
        <f>IFERROR(__xludf.DUMMYFUNCTION("""COMPUTED_VALUE"""),8389165.0)</f>
        <v>8389165</v>
      </c>
      <c r="H205" s="190">
        <f>IFERROR(__xludf.DUMMYFUNCTION("""COMPUTED_VALUE"""),699097.0833333334)</f>
        <v>699097.0833</v>
      </c>
      <c r="I205" s="195">
        <f>IFERROR(__xludf.DUMMYFUNCTION("""COMPUTED_VALUE"""),1.071829E7)</f>
        <v>10718290</v>
      </c>
      <c r="J205" s="195"/>
      <c r="K205" s="75">
        <f t="shared" si="2"/>
        <v>-2329125</v>
      </c>
      <c r="L205" s="262">
        <f t="shared" si="3"/>
        <v>-0.2776349017</v>
      </c>
    </row>
    <row r="206">
      <c r="A206" s="75">
        <v>201.0</v>
      </c>
      <c r="B206" s="75" t="str">
        <f>IFERROR(__xludf.DUMMYFUNCTION("""COMPUTED_VALUE"""),"Shiv shakti fitting &amp;Hardware")</f>
        <v>Shiv shakti fitting &amp;Hardware</v>
      </c>
      <c r="C206" s="400">
        <f>IFERROR(__xludf.DUMMYFUNCTION("""COMPUTED_VALUE"""),5318795.0)</f>
        <v>5318795</v>
      </c>
      <c r="D206" s="400">
        <f>IFERROR(__xludf.DUMMYFUNCTION("""COMPUTED_VALUE"""),1.0)</f>
        <v>1</v>
      </c>
      <c r="E206" s="400" t="str">
        <f>IFERROR(__xludf.DUMMYFUNCTION("""COMPUTED_VALUE"""),"Dinesh Kumar Kaushik")</f>
        <v>Dinesh Kumar Kaushik</v>
      </c>
      <c r="F206" s="400" t="str">
        <f>IFERROR(__xludf.DUMMYFUNCTION("""COMPUTED_VALUE"""),"RAJASTHAN")</f>
        <v>RAJASTHAN</v>
      </c>
      <c r="G206" s="280">
        <f>IFERROR(__xludf.DUMMYFUNCTION("""COMPUTED_VALUE"""),5318795.0)</f>
        <v>5318795</v>
      </c>
      <c r="H206" s="190">
        <f>IFERROR(__xludf.DUMMYFUNCTION("""COMPUTED_VALUE"""),443232.9166666667)</f>
        <v>443232.9167</v>
      </c>
      <c r="I206" s="195">
        <f>IFERROR(__xludf.DUMMYFUNCTION("""COMPUTED_VALUE"""),8042875.0)</f>
        <v>8042875</v>
      </c>
      <c r="J206" s="195"/>
      <c r="K206" s="75">
        <f t="shared" si="2"/>
        <v>-2724080</v>
      </c>
      <c r="L206" s="262">
        <f t="shared" si="3"/>
        <v>-0.5121611192</v>
      </c>
    </row>
    <row r="207">
      <c r="A207" s="75">
        <v>202.0</v>
      </c>
      <c r="B207" s="75" t="str">
        <f>IFERROR(__xludf.DUMMYFUNCTION("""COMPUTED_VALUE"""),"Shivam Traders")</f>
        <v>Shivam Traders</v>
      </c>
      <c r="C207" s="400">
        <f>IFERROR(__xludf.DUMMYFUNCTION("""COMPUTED_VALUE"""),3960404.0)</f>
        <v>3960404</v>
      </c>
      <c r="D207" s="400">
        <f>IFERROR(__xludf.DUMMYFUNCTION("""COMPUTED_VALUE"""),1.0)</f>
        <v>1</v>
      </c>
      <c r="E207" s="400" t="str">
        <f>IFERROR(__xludf.DUMMYFUNCTION("""COMPUTED_VALUE"""),"PAWAN KUMAR")</f>
        <v>PAWAN KUMAR</v>
      </c>
      <c r="F207" s="400" t="str">
        <f>IFERROR(__xludf.DUMMYFUNCTION("""COMPUTED_VALUE"""),"JAMMU AND KASHMIR")</f>
        <v>JAMMU AND KASHMIR</v>
      </c>
      <c r="G207" s="280">
        <f>IFERROR(__xludf.DUMMYFUNCTION("""COMPUTED_VALUE"""),3960404.0)</f>
        <v>3960404</v>
      </c>
      <c r="H207" s="190">
        <f>IFERROR(__xludf.DUMMYFUNCTION("""COMPUTED_VALUE"""),330033.6666666667)</f>
        <v>330033.6667</v>
      </c>
      <c r="I207" s="195">
        <f>IFERROR(__xludf.DUMMYFUNCTION("""COMPUTED_VALUE"""),4270799.0)</f>
        <v>4270799</v>
      </c>
      <c r="J207" s="195"/>
      <c r="K207" s="75">
        <f t="shared" si="2"/>
        <v>-310395</v>
      </c>
      <c r="L207" s="262">
        <f t="shared" si="3"/>
        <v>-0.07837457997</v>
      </c>
    </row>
    <row r="208">
      <c r="A208" s="75">
        <v>203.0</v>
      </c>
      <c r="B208" s="75" t="str">
        <f>IFERROR(__xludf.DUMMYFUNCTION("""COMPUTED_VALUE"""),"Shivanjali Sales Corporation")</f>
        <v>Shivanjali Sales Corporation</v>
      </c>
      <c r="C208" s="400">
        <f>IFERROR(__xludf.DUMMYFUNCTION("""COMPUTED_VALUE"""),4927448.0)</f>
        <v>4927448</v>
      </c>
      <c r="D208" s="400">
        <f>IFERROR(__xludf.DUMMYFUNCTION("""COMPUTED_VALUE"""),2.0)</f>
        <v>2</v>
      </c>
      <c r="E208" s="400" t="str">
        <f>IFERROR(__xludf.DUMMYFUNCTION("""COMPUTED_VALUE"""),"Pradip Laxman Biradar, Rahul Ramchandra Bhosale")</f>
        <v>Pradip Laxman Biradar, Rahul Ramchandra Bhosale</v>
      </c>
      <c r="F208" s="400" t="str">
        <f>IFERROR(__xludf.DUMMYFUNCTION("""COMPUTED_VALUE"""),"MAHARASHTRA")</f>
        <v>MAHARASHTRA</v>
      </c>
      <c r="G208" s="280">
        <f>IFERROR(__xludf.DUMMYFUNCTION("""COMPUTED_VALUE"""),2463724.0)</f>
        <v>2463724</v>
      </c>
      <c r="H208" s="190">
        <f>IFERROR(__xludf.DUMMYFUNCTION("""COMPUTED_VALUE"""),205310.33333333334)</f>
        <v>205310.3333</v>
      </c>
      <c r="I208" s="195">
        <f>IFERROR(__xludf.DUMMYFUNCTION("""COMPUTED_VALUE"""),3751505.0)</f>
        <v>3751505</v>
      </c>
      <c r="J208" s="195"/>
      <c r="K208" s="75">
        <f t="shared" si="2"/>
        <v>1175943</v>
      </c>
      <c r="L208" s="262">
        <f t="shared" si="3"/>
        <v>0.2386515291</v>
      </c>
    </row>
    <row r="209">
      <c r="A209" s="75">
        <v>204.0</v>
      </c>
      <c r="B209" s="75" t="str">
        <f>IFERROR(__xludf.DUMMYFUNCTION("""COMPUTED_VALUE"""),"Shree Ambey Hardware")</f>
        <v>Shree Ambey Hardware</v>
      </c>
      <c r="C209" s="400">
        <f>IFERROR(__xludf.DUMMYFUNCTION("""COMPUTED_VALUE"""),111210.0)</f>
        <v>111210</v>
      </c>
      <c r="D209" s="400">
        <f>IFERROR(__xludf.DUMMYFUNCTION("""COMPUTED_VALUE"""),1.0)</f>
        <v>1</v>
      </c>
      <c r="E209" s="400" t="str">
        <f>IFERROR(__xludf.DUMMYFUNCTION("""COMPUTED_VALUE"""),"Dinesh Kumar Kaushik")</f>
        <v>Dinesh Kumar Kaushik</v>
      </c>
      <c r="F209" s="400" t="str">
        <f>IFERROR(__xludf.DUMMYFUNCTION("""COMPUTED_VALUE"""),"RAJASTHAN")</f>
        <v>RAJASTHAN</v>
      </c>
      <c r="G209" s="280">
        <f>IFERROR(__xludf.DUMMYFUNCTION("""COMPUTED_VALUE"""),111210.0)</f>
        <v>111210</v>
      </c>
      <c r="H209" s="190">
        <f>IFERROR(__xludf.DUMMYFUNCTION("""COMPUTED_VALUE"""),9267.5)</f>
        <v>9267.5</v>
      </c>
      <c r="I209" s="195">
        <f>IFERROR(__xludf.DUMMYFUNCTION("""COMPUTED_VALUE"""),556220.0)</f>
        <v>556220</v>
      </c>
      <c r="J209" s="195"/>
      <c r="K209" s="75">
        <f t="shared" si="2"/>
        <v>-445010</v>
      </c>
      <c r="L209" s="262">
        <f t="shared" si="3"/>
        <v>-4.00152864</v>
      </c>
    </row>
    <row r="210">
      <c r="A210" s="75">
        <v>205.0</v>
      </c>
      <c r="B210" s="75" t="str">
        <f>IFERROR(__xludf.DUMMYFUNCTION("""COMPUTED_VALUE"""),"Shree Ambica Enterprise")</f>
        <v>Shree Ambica Enterprise</v>
      </c>
      <c r="C210" s="400">
        <f>IFERROR(__xludf.DUMMYFUNCTION("""COMPUTED_VALUE"""),1102188.0)</f>
        <v>1102188</v>
      </c>
      <c r="D210" s="400">
        <f>IFERROR(__xludf.DUMMYFUNCTION("""COMPUTED_VALUE"""),1.0)</f>
        <v>1</v>
      </c>
      <c r="E210" s="400" t="str">
        <f>IFERROR(__xludf.DUMMYFUNCTION("""COMPUTED_VALUE"""),"Devdutt Joshi")</f>
        <v>Devdutt Joshi</v>
      </c>
      <c r="F210" s="400" t="str">
        <f>IFERROR(__xludf.DUMMYFUNCTION("""COMPUTED_VALUE"""),"GUJARAT")</f>
        <v>GUJARAT</v>
      </c>
      <c r="G210" s="280">
        <f>IFERROR(__xludf.DUMMYFUNCTION("""COMPUTED_VALUE"""),1102188.0)</f>
        <v>1102188</v>
      </c>
      <c r="H210" s="190">
        <f>IFERROR(__xludf.DUMMYFUNCTION("""COMPUTED_VALUE"""),91849.0)</f>
        <v>91849</v>
      </c>
      <c r="I210" s="195">
        <f>IFERROR(__xludf.DUMMYFUNCTION("""COMPUTED_VALUE"""),899082.0)</f>
        <v>899082</v>
      </c>
      <c r="J210" s="195"/>
      <c r="K210" s="75">
        <f t="shared" si="2"/>
        <v>203106</v>
      </c>
      <c r="L210" s="262">
        <f t="shared" si="3"/>
        <v>0.1842752779</v>
      </c>
    </row>
    <row r="211">
      <c r="A211" s="75">
        <v>206.0</v>
      </c>
      <c r="B211" s="75" t="str">
        <f>IFERROR(__xludf.DUMMYFUNCTION("""COMPUTED_VALUE"""),"Shree Ganesh Pipe")</f>
        <v>Shree Ganesh Pipe</v>
      </c>
      <c r="C211" s="400">
        <f>IFERROR(__xludf.DUMMYFUNCTION("""COMPUTED_VALUE"""),1959497.0)</f>
        <v>1959497</v>
      </c>
      <c r="D211" s="400">
        <f>IFERROR(__xludf.DUMMYFUNCTION("""COMPUTED_VALUE"""),1.0)</f>
        <v>1</v>
      </c>
      <c r="E211" s="400" t="str">
        <f>IFERROR(__xludf.DUMMYFUNCTION("""COMPUTED_VALUE"""),"Gaurav Kumar")</f>
        <v>Gaurav Kumar</v>
      </c>
      <c r="F211" s="400" t="str">
        <f>IFERROR(__xludf.DUMMYFUNCTION("""COMPUTED_VALUE"""),"BIHAR")</f>
        <v>BIHAR</v>
      </c>
      <c r="G211" s="280">
        <f>IFERROR(__xludf.DUMMYFUNCTION("""COMPUTED_VALUE"""),1959497.0)</f>
        <v>1959497</v>
      </c>
      <c r="H211" s="190">
        <f>IFERROR(__xludf.DUMMYFUNCTION("""COMPUTED_VALUE"""),163291.41666666666)</f>
        <v>163291.4167</v>
      </c>
      <c r="I211" s="195">
        <f>IFERROR(__xludf.DUMMYFUNCTION("""COMPUTED_VALUE"""),4780340.0)</f>
        <v>4780340</v>
      </c>
      <c r="J211" s="195"/>
      <c r="K211" s="75">
        <f t="shared" si="2"/>
        <v>-2820843</v>
      </c>
      <c r="L211" s="262">
        <f t="shared" si="3"/>
        <v>-1.439575054</v>
      </c>
    </row>
    <row r="212">
      <c r="A212" s="75">
        <v>207.0</v>
      </c>
      <c r="B212" s="75" t="str">
        <f>IFERROR(__xludf.DUMMYFUNCTION("""COMPUTED_VALUE"""),"Shree Laxmi Traders")</f>
        <v>Shree Laxmi Traders</v>
      </c>
      <c r="C212" s="400">
        <f>IFERROR(__xludf.DUMMYFUNCTION("""COMPUTED_VALUE"""),462407.0)</f>
        <v>462407</v>
      </c>
      <c r="D212" s="400">
        <f>IFERROR(__xludf.DUMMYFUNCTION("""COMPUTED_VALUE"""),1.0)</f>
        <v>1</v>
      </c>
      <c r="E212" s="400" t="str">
        <f>IFERROR(__xludf.DUMMYFUNCTION("""COMPUTED_VALUE"""),"Kumar Avinish")</f>
        <v>Kumar Avinish</v>
      </c>
      <c r="F212" s="400" t="str">
        <f>IFERROR(__xludf.DUMMYFUNCTION("""COMPUTED_VALUE"""),"BIHAR")</f>
        <v>BIHAR</v>
      </c>
      <c r="G212" s="280">
        <f>IFERROR(__xludf.DUMMYFUNCTION("""COMPUTED_VALUE"""),462407.0)</f>
        <v>462407</v>
      </c>
      <c r="H212" s="190">
        <f>IFERROR(__xludf.DUMMYFUNCTION("""COMPUTED_VALUE"""),38533.916666666664)</f>
        <v>38533.91667</v>
      </c>
      <c r="I212" s="195">
        <f>IFERROR(__xludf.DUMMYFUNCTION("""COMPUTED_VALUE"""),2438784.0)</f>
        <v>2438784</v>
      </c>
      <c r="J212" s="195"/>
      <c r="K212" s="75">
        <f t="shared" si="2"/>
        <v>-1976377</v>
      </c>
      <c r="L212" s="262">
        <f t="shared" si="3"/>
        <v>-4.27410701</v>
      </c>
    </row>
    <row r="213">
      <c r="A213" s="75">
        <v>208.0</v>
      </c>
      <c r="B213" s="75" t="str">
        <f>IFERROR(__xludf.DUMMYFUNCTION("""COMPUTED_VALUE"""),"Shree Mahadev Traders")</f>
        <v>Shree Mahadev Traders</v>
      </c>
      <c r="C213" s="400">
        <f>IFERROR(__xludf.DUMMYFUNCTION("""COMPUTED_VALUE"""),1.6104172E7)</f>
        <v>16104172</v>
      </c>
      <c r="D213" s="400">
        <f>IFERROR(__xludf.DUMMYFUNCTION("""COMPUTED_VALUE"""),1.0)</f>
        <v>1</v>
      </c>
      <c r="E213" s="400" t="str">
        <f>IFERROR(__xludf.DUMMYFUNCTION("""COMPUTED_VALUE"""),"Ram Shankar Mishra")</f>
        <v>Ram Shankar Mishra</v>
      </c>
      <c r="F213" s="400" t="str">
        <f>IFERROR(__xludf.DUMMYFUNCTION("""COMPUTED_VALUE"""),"BIHAR")</f>
        <v>BIHAR</v>
      </c>
      <c r="G213" s="280">
        <f>IFERROR(__xludf.DUMMYFUNCTION("""COMPUTED_VALUE"""),1.6104172E7)</f>
        <v>16104172</v>
      </c>
      <c r="H213" s="190">
        <f>IFERROR(__xludf.DUMMYFUNCTION("""COMPUTED_VALUE"""),1342014.3333333333)</f>
        <v>1342014.333</v>
      </c>
      <c r="I213" s="195">
        <f>IFERROR(__xludf.DUMMYFUNCTION("""COMPUTED_VALUE"""),2.0530007E7)</f>
        <v>20530007</v>
      </c>
      <c r="J213" s="195"/>
      <c r="K213" s="75">
        <f t="shared" si="2"/>
        <v>-4425835</v>
      </c>
      <c r="L213" s="262">
        <f t="shared" si="3"/>
        <v>-0.2748253682</v>
      </c>
    </row>
    <row r="214">
      <c r="A214" s="75">
        <v>209.0</v>
      </c>
      <c r="B214" s="75" t="str">
        <f>IFERROR(__xludf.DUMMYFUNCTION("""COMPUTED_VALUE"""),"Shree Prayag Marketing")</f>
        <v>Shree Prayag Marketing</v>
      </c>
      <c r="C214" s="400">
        <f>IFERROR(__xludf.DUMMYFUNCTION("""COMPUTED_VALUE"""),1.6007175E7)</f>
        <v>16007175</v>
      </c>
      <c r="D214" s="400">
        <f>IFERROR(__xludf.DUMMYFUNCTION("""COMPUTED_VALUE"""),1.0)</f>
        <v>1</v>
      </c>
      <c r="E214" s="400" t="str">
        <f>IFERROR(__xludf.DUMMYFUNCTION("""COMPUTED_VALUE"""),"K.V.THAMIZHSELVAN")</f>
        <v>K.V.THAMIZHSELVAN</v>
      </c>
      <c r="F214" s="400" t="str">
        <f>IFERROR(__xludf.DUMMYFUNCTION("""COMPUTED_VALUE"""),"TAMIL NADU")</f>
        <v>TAMIL NADU</v>
      </c>
      <c r="G214" s="280">
        <f>IFERROR(__xludf.DUMMYFUNCTION("""COMPUTED_VALUE"""),1.6007175E7)</f>
        <v>16007175</v>
      </c>
      <c r="H214" s="190">
        <f>IFERROR(__xludf.DUMMYFUNCTION("""COMPUTED_VALUE"""),1333931.25)</f>
        <v>1333931.25</v>
      </c>
      <c r="I214" s="195">
        <f>IFERROR(__xludf.DUMMYFUNCTION("""COMPUTED_VALUE"""),1135530.0)</f>
        <v>1135530</v>
      </c>
      <c r="J214" s="195"/>
      <c r="K214" s="75">
        <f t="shared" si="2"/>
        <v>14871645</v>
      </c>
      <c r="L214" s="262">
        <f t="shared" si="3"/>
        <v>0.9290611866</v>
      </c>
    </row>
    <row r="215">
      <c r="A215" s="75">
        <v>210.0</v>
      </c>
      <c r="B215" s="75" t="str">
        <f>IFERROR(__xludf.DUMMYFUNCTION("""COMPUTED_VALUE"""),"Shree Ram Marketing")</f>
        <v>Shree Ram Marketing</v>
      </c>
      <c r="C215" s="400">
        <f>IFERROR(__xludf.DUMMYFUNCTION("""COMPUTED_VALUE"""),363210.0)</f>
        <v>363210</v>
      </c>
      <c r="D215" s="400">
        <f>IFERROR(__xludf.DUMMYFUNCTION("""COMPUTED_VALUE"""),1.0)</f>
        <v>1</v>
      </c>
      <c r="E215" s="400" t="str">
        <f>IFERROR(__xludf.DUMMYFUNCTION("""COMPUTED_VALUE"""),"Santanu Kalita")</f>
        <v>Santanu Kalita</v>
      </c>
      <c r="F215" s="400" t="str">
        <f>IFERROR(__xludf.DUMMYFUNCTION("""COMPUTED_VALUE"""),"ASSAM")</f>
        <v>ASSAM</v>
      </c>
      <c r="G215" s="280">
        <f>IFERROR(__xludf.DUMMYFUNCTION("""COMPUTED_VALUE"""),363210.0)</f>
        <v>363210</v>
      </c>
      <c r="H215" s="190">
        <f>IFERROR(__xludf.DUMMYFUNCTION("""COMPUTED_VALUE"""),30267.5)</f>
        <v>30267.5</v>
      </c>
      <c r="I215" s="195">
        <f>IFERROR(__xludf.DUMMYFUNCTION("""COMPUTED_VALUE"""),1.4354964E7)</f>
        <v>14354964</v>
      </c>
      <c r="J215" s="195"/>
      <c r="K215" s="75">
        <f t="shared" si="2"/>
        <v>-13991754</v>
      </c>
      <c r="L215" s="262">
        <f t="shared" si="3"/>
        <v>-38.52249112</v>
      </c>
    </row>
    <row r="216">
      <c r="A216" s="75">
        <v>211.0</v>
      </c>
      <c r="B216" s="75" t="str">
        <f>IFERROR(__xludf.DUMMYFUNCTION("""COMPUTED_VALUE"""),"Shree Ram Traders")</f>
        <v>Shree Ram Traders</v>
      </c>
      <c r="C216" s="400">
        <f>IFERROR(__xludf.DUMMYFUNCTION("""COMPUTED_VALUE"""),1970477.0)</f>
        <v>1970477</v>
      </c>
      <c r="D216" s="400">
        <f>IFERROR(__xludf.DUMMYFUNCTION("""COMPUTED_VALUE"""),1.0)</f>
        <v>1</v>
      </c>
      <c r="E216" s="400" t="str">
        <f>IFERROR(__xludf.DUMMYFUNCTION("""COMPUTED_VALUE"""),"Santosh Kumar dixit")</f>
        <v>Santosh Kumar dixit</v>
      </c>
      <c r="F216" s="400" t="str">
        <f>IFERROR(__xludf.DUMMYFUNCTION("""COMPUTED_VALUE"""),"East U.P")</f>
        <v>East U.P</v>
      </c>
      <c r="G216" s="280">
        <f>IFERROR(__xludf.DUMMYFUNCTION("""COMPUTED_VALUE"""),1970477.0)</f>
        <v>1970477</v>
      </c>
      <c r="H216" s="190">
        <f>IFERROR(__xludf.DUMMYFUNCTION("""COMPUTED_VALUE"""),164206.41666666666)</f>
        <v>164206.4167</v>
      </c>
      <c r="I216" s="195">
        <f>IFERROR(__xludf.DUMMYFUNCTION("""COMPUTED_VALUE"""),3259808.0)</f>
        <v>3259808</v>
      </c>
      <c r="J216" s="195"/>
      <c r="K216" s="75">
        <f t="shared" si="2"/>
        <v>-1289331</v>
      </c>
      <c r="L216" s="262">
        <f t="shared" si="3"/>
        <v>-0.6543243083</v>
      </c>
    </row>
    <row r="217">
      <c r="A217" s="75">
        <v>212.0</v>
      </c>
      <c r="B217" s="75" t="str">
        <f>IFERROR(__xludf.DUMMYFUNCTION("""COMPUTED_VALUE"""),"Shree vagheswari Enterprise")</f>
        <v>Shree vagheswari Enterprise</v>
      </c>
      <c r="C217" s="400">
        <f>IFERROR(__xludf.DUMMYFUNCTION("""COMPUTED_VALUE"""),259197.0)</f>
        <v>259197</v>
      </c>
      <c r="D217" s="400">
        <f>IFERROR(__xludf.DUMMYFUNCTION("""COMPUTED_VALUE"""),1.0)</f>
        <v>1</v>
      </c>
      <c r="E217" s="400" t="str">
        <f>IFERROR(__xludf.DUMMYFUNCTION("""COMPUTED_VALUE"""),"Devdutt Joshi")</f>
        <v>Devdutt Joshi</v>
      </c>
      <c r="F217" s="400" t="str">
        <f>IFERROR(__xludf.DUMMYFUNCTION("""COMPUTED_VALUE"""),"GUJARAT")</f>
        <v>GUJARAT</v>
      </c>
      <c r="G217" s="280">
        <f>IFERROR(__xludf.DUMMYFUNCTION("""COMPUTED_VALUE"""),259197.0)</f>
        <v>259197</v>
      </c>
      <c r="H217" s="190">
        <f>IFERROR(__xludf.DUMMYFUNCTION("""COMPUTED_VALUE"""),21599.75)</f>
        <v>21599.75</v>
      </c>
      <c r="I217" s="195">
        <f>IFERROR(__xludf.DUMMYFUNCTION("""COMPUTED_VALUE"""),225016.0)</f>
        <v>225016</v>
      </c>
      <c r="J217" s="195"/>
      <c r="K217" s="75">
        <f t="shared" si="2"/>
        <v>34181</v>
      </c>
      <c r="L217" s="262">
        <f t="shared" si="3"/>
        <v>0.1318726683</v>
      </c>
    </row>
    <row r="218">
      <c r="A218" s="75">
        <v>213.0</v>
      </c>
      <c r="B218" s="75" t="str">
        <f>IFERROR(__xludf.DUMMYFUNCTION("""COMPUTED_VALUE"""),"SHREE VYANKATESH ENTERPRISES")</f>
        <v>SHREE VYANKATESH ENTERPRISES</v>
      </c>
      <c r="C218" s="400">
        <f>IFERROR(__xludf.DUMMYFUNCTION("""COMPUTED_VALUE"""),2.3370182E7)</f>
        <v>23370182</v>
      </c>
      <c r="D218" s="400">
        <f>IFERROR(__xludf.DUMMYFUNCTION("""COMPUTED_VALUE"""),2.0)</f>
        <v>2</v>
      </c>
      <c r="E218" s="400" t="str">
        <f>IFERROR(__xludf.DUMMYFUNCTION("""COMPUTED_VALUE"""),"Amit Damodhar Jadhav, Vijay Dnyaneshwar")</f>
        <v>Amit Damodhar Jadhav, Vijay Dnyaneshwar</v>
      </c>
      <c r="F218" s="400" t="str">
        <f>IFERROR(__xludf.DUMMYFUNCTION("""COMPUTED_VALUE"""),"MAHARASHTRA")</f>
        <v>MAHARASHTRA</v>
      </c>
      <c r="G218" s="280">
        <f>IFERROR(__xludf.DUMMYFUNCTION("""COMPUTED_VALUE"""),1.1685091E7)</f>
        <v>11685091</v>
      </c>
      <c r="H218" s="190">
        <f>IFERROR(__xludf.DUMMYFUNCTION("""COMPUTED_VALUE"""),973757.5833333334)</f>
        <v>973757.5833</v>
      </c>
      <c r="I218" s="195">
        <f>IFERROR(__xludf.DUMMYFUNCTION("""COMPUTED_VALUE"""),1.7408198E7)</f>
        <v>17408198</v>
      </c>
      <c r="J218" s="195"/>
      <c r="K218" s="75">
        <f t="shared" si="2"/>
        <v>5961984</v>
      </c>
      <c r="L218" s="262">
        <f t="shared" si="3"/>
        <v>0.2551107219</v>
      </c>
    </row>
    <row r="219">
      <c r="A219" s="75">
        <v>214.0</v>
      </c>
      <c r="B219" s="75" t="str">
        <f>IFERROR(__xludf.DUMMYFUNCTION("""COMPUTED_VALUE"""),"Shri Balaji Sanitary and Pipe Store")</f>
        <v>Shri Balaji Sanitary and Pipe Store</v>
      </c>
      <c r="C219" s="400">
        <f>IFERROR(__xludf.DUMMYFUNCTION("""COMPUTED_VALUE"""),3174873.0)</f>
        <v>3174873</v>
      </c>
      <c r="D219" s="400">
        <f>IFERROR(__xludf.DUMMYFUNCTION("""COMPUTED_VALUE"""),1.0)</f>
        <v>1</v>
      </c>
      <c r="E219" s="400" t="str">
        <f>IFERROR(__xludf.DUMMYFUNCTION("""COMPUTED_VALUE"""),"Siddharth Srivastava")</f>
        <v>Siddharth Srivastava</v>
      </c>
      <c r="F219" s="400" t="str">
        <f>IFERROR(__xludf.DUMMYFUNCTION("""COMPUTED_VALUE"""),"East U.P")</f>
        <v>East U.P</v>
      </c>
      <c r="G219" s="280">
        <f>IFERROR(__xludf.DUMMYFUNCTION("""COMPUTED_VALUE"""),3174873.0)</f>
        <v>3174873</v>
      </c>
      <c r="H219" s="190">
        <f>IFERROR(__xludf.DUMMYFUNCTION("""COMPUTED_VALUE"""),264572.75)</f>
        <v>264572.75</v>
      </c>
      <c r="I219" s="195">
        <f>IFERROR(__xludf.DUMMYFUNCTION("""COMPUTED_VALUE"""),2723702.0)</f>
        <v>2723702</v>
      </c>
      <c r="J219" s="195"/>
      <c r="K219" s="75">
        <f t="shared" si="2"/>
        <v>451171</v>
      </c>
      <c r="L219" s="262">
        <f t="shared" si="3"/>
        <v>0.1421067866</v>
      </c>
    </row>
    <row r="220">
      <c r="A220" s="75">
        <v>215.0</v>
      </c>
      <c r="B220" s="75" t="str">
        <f>IFERROR(__xludf.DUMMYFUNCTION("""COMPUTED_VALUE"""),"Shri Lakshman Enterprises (Converted as a Retailer)")</f>
        <v>Shri Lakshman Enterprises (Converted as a Retailer)</v>
      </c>
      <c r="C220" s="400">
        <f>IFERROR(__xludf.DUMMYFUNCTION("""COMPUTED_VALUE"""),29117.0)</f>
        <v>29117</v>
      </c>
      <c r="D220" s="400">
        <f>IFERROR(__xludf.DUMMYFUNCTION("""COMPUTED_VALUE"""),1.0)</f>
        <v>1</v>
      </c>
      <c r="E220" s="400" t="str">
        <f>IFERROR(__xludf.DUMMYFUNCTION("""COMPUTED_VALUE"""),"Dinesh Kumar")</f>
        <v>Dinesh Kumar</v>
      </c>
      <c r="F220" s="400" t="str">
        <f>IFERROR(__xludf.DUMMYFUNCTION("""COMPUTED_VALUE"""),"TAMIL NADU")</f>
        <v>TAMIL NADU</v>
      </c>
      <c r="G220" s="280">
        <f>IFERROR(__xludf.DUMMYFUNCTION("""COMPUTED_VALUE"""),29117.0)</f>
        <v>29117</v>
      </c>
      <c r="H220" s="190">
        <f>IFERROR(__xludf.DUMMYFUNCTION("""COMPUTED_VALUE"""),2426.4166666666665)</f>
        <v>2426.416667</v>
      </c>
      <c r="I220" s="195">
        <f>IFERROR(__xludf.DUMMYFUNCTION("""COMPUTED_VALUE"""),0.0)</f>
        <v>0</v>
      </c>
      <c r="J220" s="195"/>
      <c r="K220" s="75">
        <f t="shared" si="2"/>
        <v>29117</v>
      </c>
      <c r="L220" s="262">
        <f t="shared" si="3"/>
        <v>1</v>
      </c>
    </row>
    <row r="221">
      <c r="A221" s="75">
        <v>216.0</v>
      </c>
      <c r="B221" s="75" t="str">
        <f>IFERROR(__xludf.DUMMYFUNCTION("""COMPUTED_VALUE"""),"SHRI SHYAMA SANITATION")</f>
        <v>SHRI SHYAMA SANITATION</v>
      </c>
      <c r="C221" s="400">
        <f>IFERROR(__xludf.DUMMYFUNCTION("""COMPUTED_VALUE"""),286857.0)</f>
        <v>286857</v>
      </c>
      <c r="D221" s="400">
        <f>IFERROR(__xludf.DUMMYFUNCTION("""COMPUTED_VALUE"""),1.0)</f>
        <v>1</v>
      </c>
      <c r="E221" s="400" t="str">
        <f>IFERROR(__xludf.DUMMYFUNCTION("""COMPUTED_VALUE"""),"Shivam Chauhan")</f>
        <v>Shivam Chauhan</v>
      </c>
      <c r="F221" s="400" t="str">
        <f>IFERROR(__xludf.DUMMYFUNCTION("""COMPUTED_VALUE"""),"UTTARAKHAND")</f>
        <v>UTTARAKHAND</v>
      </c>
      <c r="G221" s="280">
        <f>IFERROR(__xludf.DUMMYFUNCTION("""COMPUTED_VALUE"""),286857.0)</f>
        <v>286857</v>
      </c>
      <c r="H221" s="190">
        <f>IFERROR(__xludf.DUMMYFUNCTION("""COMPUTED_VALUE"""),23904.75)</f>
        <v>23904.75</v>
      </c>
      <c r="I221" s="195">
        <f>IFERROR(__xludf.DUMMYFUNCTION("""COMPUTED_VALUE"""),3065716.0)</f>
        <v>3065716</v>
      </c>
      <c r="J221" s="195"/>
      <c r="K221" s="75">
        <f t="shared" si="2"/>
        <v>-2778859</v>
      </c>
      <c r="L221" s="262">
        <f t="shared" si="3"/>
        <v>-9.687262294</v>
      </c>
    </row>
    <row r="222">
      <c r="A222" s="75">
        <v>217.0</v>
      </c>
      <c r="B222" s="75" t="str">
        <f>IFERROR(__xludf.DUMMYFUNCTION("""COMPUTED_VALUE"""),"Shri sitaram enterprise")</f>
        <v>Shri sitaram enterprise</v>
      </c>
      <c r="C222" s="400">
        <f>IFERROR(__xludf.DUMMYFUNCTION("""COMPUTED_VALUE"""),158214.0)</f>
        <v>158214</v>
      </c>
      <c r="D222" s="400">
        <f>IFERROR(__xludf.DUMMYFUNCTION("""COMPUTED_VALUE"""),2.0)</f>
        <v>2</v>
      </c>
      <c r="E222" s="400" t="str">
        <f>IFERROR(__xludf.DUMMYFUNCTION("""COMPUTED_VALUE"""),"Arun Sharma, Deependra Singh")</f>
        <v>Arun Sharma, Deependra Singh</v>
      </c>
      <c r="F222" s="400" t="str">
        <f>IFERROR(__xludf.DUMMYFUNCTION("""COMPUTED_VALUE"""),"East U.P")</f>
        <v>East U.P</v>
      </c>
      <c r="G222" s="280">
        <f>IFERROR(__xludf.DUMMYFUNCTION("""COMPUTED_VALUE"""),79107.0)</f>
        <v>79107</v>
      </c>
      <c r="H222" s="190">
        <f>IFERROR(__xludf.DUMMYFUNCTION("""COMPUTED_VALUE"""),6592.25)</f>
        <v>6592.25</v>
      </c>
      <c r="I222" s="195">
        <f>IFERROR(__xludf.DUMMYFUNCTION("""COMPUTED_VALUE"""),0.0)</f>
        <v>0</v>
      </c>
      <c r="J222" s="195" t="str">
        <f>IFERROR(__xludf.DUMMYFUNCTION("""COMPUTED_VALUE"""),"OLD STOCK")</f>
        <v>OLD STOCK</v>
      </c>
      <c r="K222" s="75">
        <f t="shared" si="2"/>
        <v>158214</v>
      </c>
      <c r="L222" s="262">
        <f t="shared" si="3"/>
        <v>1</v>
      </c>
    </row>
    <row r="223">
      <c r="A223" s="75">
        <v>218.0</v>
      </c>
      <c r="B223" s="75" t="str">
        <f>IFERROR(__xludf.DUMMYFUNCTION("""COMPUTED_VALUE"""),"Shri vinayak pipes")</f>
        <v>Shri vinayak pipes</v>
      </c>
      <c r="C223" s="400">
        <f>IFERROR(__xludf.DUMMYFUNCTION("""COMPUTED_VALUE"""),52267.0)</f>
        <v>52267</v>
      </c>
      <c r="D223" s="400">
        <f>IFERROR(__xludf.DUMMYFUNCTION("""COMPUTED_VALUE"""),1.0)</f>
        <v>1</v>
      </c>
      <c r="E223" s="400" t="str">
        <f>IFERROR(__xludf.DUMMYFUNCTION("""COMPUTED_VALUE"""),"Ashutosh Kumar (Rudrapur)")</f>
        <v>Ashutosh Kumar (Rudrapur)</v>
      </c>
      <c r="F223" s="400" t="str">
        <f>IFERROR(__xludf.DUMMYFUNCTION("""COMPUTED_VALUE"""),"UTTARAKHAND")</f>
        <v>UTTARAKHAND</v>
      </c>
      <c r="G223" s="280">
        <f>IFERROR(__xludf.DUMMYFUNCTION("""COMPUTED_VALUE"""),52267.0)</f>
        <v>52267</v>
      </c>
      <c r="H223" s="190">
        <f>IFERROR(__xludf.DUMMYFUNCTION("""COMPUTED_VALUE"""),4355.583333333333)</f>
        <v>4355.583333</v>
      </c>
      <c r="I223" s="195">
        <f>IFERROR(__xludf.DUMMYFUNCTION("""COMPUTED_VALUE"""),255329.0)</f>
        <v>255329</v>
      </c>
      <c r="J223" s="195"/>
      <c r="K223" s="75">
        <f t="shared" si="2"/>
        <v>-203062</v>
      </c>
      <c r="L223" s="262">
        <f t="shared" si="3"/>
        <v>-3.885090019</v>
      </c>
    </row>
    <row r="224">
      <c r="A224" s="75">
        <v>219.0</v>
      </c>
      <c r="B224" s="75" t="str">
        <f>IFERROR(__xludf.DUMMYFUNCTION("""COMPUTED_VALUE"""),"SIDDHI VINAYAK TILES AND SANITARY")</f>
        <v>SIDDHI VINAYAK TILES AND SANITARY</v>
      </c>
      <c r="C224" s="400">
        <f>IFERROR(__xludf.DUMMYFUNCTION("""COMPUTED_VALUE"""),151431.0)</f>
        <v>151431</v>
      </c>
      <c r="D224" s="400">
        <f>IFERROR(__xludf.DUMMYFUNCTION("""COMPUTED_VALUE"""),1.0)</f>
        <v>1</v>
      </c>
      <c r="E224" s="400" t="str">
        <f>IFERROR(__xludf.DUMMYFUNCTION("""COMPUTED_VALUE"""),"Pawan Kumar.")</f>
        <v>Pawan Kumar.</v>
      </c>
      <c r="F224" s="400" t="str">
        <f>IFERROR(__xludf.DUMMYFUNCTION("""COMPUTED_VALUE"""),"RAJASTHAN")</f>
        <v>RAJASTHAN</v>
      </c>
      <c r="G224" s="280">
        <f>IFERROR(__xludf.DUMMYFUNCTION("""COMPUTED_VALUE"""),151431.0)</f>
        <v>151431</v>
      </c>
      <c r="H224" s="190">
        <f>IFERROR(__xludf.DUMMYFUNCTION("""COMPUTED_VALUE"""),12619.25)</f>
        <v>12619.25</v>
      </c>
      <c r="I224" s="195">
        <f>IFERROR(__xludf.DUMMYFUNCTION("""COMPUTED_VALUE"""),197171.0)</f>
        <v>197171</v>
      </c>
      <c r="J224" s="195"/>
      <c r="K224" s="75"/>
      <c r="L224" s="262"/>
    </row>
    <row r="225">
      <c r="A225" s="75">
        <v>220.0</v>
      </c>
      <c r="B225" s="75" t="str">
        <f>IFERROR(__xludf.DUMMYFUNCTION("""COMPUTED_VALUE"""),"SIDHI BINAYAK ENTERPRISE")</f>
        <v>SIDHI BINAYAK ENTERPRISE</v>
      </c>
      <c r="C225" s="400">
        <f>IFERROR(__xludf.DUMMYFUNCTION("""COMPUTED_VALUE"""),1898288.0)</f>
        <v>1898288</v>
      </c>
      <c r="D225" s="400">
        <f>IFERROR(__xludf.DUMMYFUNCTION("""COMPUTED_VALUE"""),2.0)</f>
        <v>2</v>
      </c>
      <c r="E225" s="400" t="str">
        <f>IFERROR(__xludf.DUMMYFUNCTION("""COMPUTED_VALUE"""),"Sudip Banerjee, Anirban Biswas")</f>
        <v>Sudip Banerjee, Anirban Biswas</v>
      </c>
      <c r="F225" s="400" t="str">
        <f>IFERROR(__xludf.DUMMYFUNCTION("""COMPUTED_VALUE"""),"WEST BENGAL")</f>
        <v>WEST BENGAL</v>
      </c>
      <c r="G225" s="280">
        <f>IFERROR(__xludf.DUMMYFUNCTION("""COMPUTED_VALUE"""),949144.0)</f>
        <v>949144</v>
      </c>
      <c r="H225" s="190">
        <f>IFERROR(__xludf.DUMMYFUNCTION("""COMPUTED_VALUE"""),79095.33333333333)</f>
        <v>79095.33333</v>
      </c>
      <c r="I225" s="195">
        <f>IFERROR(__xludf.DUMMYFUNCTION("""COMPUTED_VALUE"""),1.0229352E7)</f>
        <v>10229352</v>
      </c>
      <c r="J225" s="195"/>
      <c r="K225" s="75"/>
      <c r="L225" s="262"/>
    </row>
    <row r="226">
      <c r="A226" s="75">
        <v>221.0</v>
      </c>
      <c r="B226" s="75" t="str">
        <f>IFERROR(__xludf.DUMMYFUNCTION("""COMPUTED_VALUE"""),"Singhal Tiles Agency")</f>
        <v>Singhal Tiles Agency</v>
      </c>
      <c r="C226" s="400">
        <f>IFERROR(__xludf.DUMMYFUNCTION("""COMPUTED_VALUE"""),8025287.0)</f>
        <v>8025287</v>
      </c>
      <c r="D226" s="400">
        <f>IFERROR(__xludf.DUMMYFUNCTION("""COMPUTED_VALUE"""),1.0)</f>
        <v>1</v>
      </c>
      <c r="E226" s="400" t="str">
        <f>IFERROR(__xludf.DUMMYFUNCTION("""COMPUTED_VALUE"""),"Vikash Gour")</f>
        <v>Vikash Gour</v>
      </c>
      <c r="F226" s="400" t="str">
        <f>IFERROR(__xludf.DUMMYFUNCTION("""COMPUTED_VALUE"""),"RAJASTHAN")</f>
        <v>RAJASTHAN</v>
      </c>
      <c r="G226" s="280">
        <f>IFERROR(__xludf.DUMMYFUNCTION("""COMPUTED_VALUE"""),8025287.0)</f>
        <v>8025287</v>
      </c>
      <c r="H226" s="190">
        <f>IFERROR(__xludf.DUMMYFUNCTION("""COMPUTED_VALUE"""),668773.9166666666)</f>
        <v>668773.9167</v>
      </c>
      <c r="I226" s="195">
        <f>IFERROR(__xludf.DUMMYFUNCTION("""COMPUTED_VALUE"""),5353126.0)</f>
        <v>5353126</v>
      </c>
      <c r="J226" s="195"/>
      <c r="K226" s="75"/>
      <c r="L226" s="262"/>
    </row>
    <row r="227">
      <c r="A227" s="75">
        <v>222.0</v>
      </c>
      <c r="B227" s="75" t="str">
        <f>IFERROR(__xludf.DUMMYFUNCTION("""COMPUTED_VALUE"""),"SRI GANESH SANITARY HOUSE")</f>
        <v>SRI GANESH SANITARY HOUSE</v>
      </c>
      <c r="C227" s="400">
        <f>IFERROR(__xludf.DUMMYFUNCTION("""COMPUTED_VALUE"""),12350.0)</f>
        <v>12350</v>
      </c>
      <c r="D227" s="400">
        <f>IFERROR(__xludf.DUMMYFUNCTION("""COMPUTED_VALUE"""),1.0)</f>
        <v>1</v>
      </c>
      <c r="E227" s="400" t="str">
        <f>IFERROR(__xludf.DUMMYFUNCTION("""COMPUTED_VALUE"""),"Suven Sengupta")</f>
        <v>Suven Sengupta</v>
      </c>
      <c r="F227" s="400" t="str">
        <f>IFERROR(__xludf.DUMMYFUNCTION("""COMPUTED_VALUE"""),"WEST BENGAL")</f>
        <v>WEST BENGAL</v>
      </c>
      <c r="G227" s="280">
        <f>IFERROR(__xludf.DUMMYFUNCTION("""COMPUTED_VALUE"""),12350.0)</f>
        <v>12350</v>
      </c>
      <c r="H227" s="190">
        <f>IFERROR(__xludf.DUMMYFUNCTION("""COMPUTED_VALUE"""),1029.1666666666667)</f>
        <v>1029.166667</v>
      </c>
      <c r="I227" s="195">
        <f>IFERROR(__xludf.DUMMYFUNCTION("""COMPUTED_VALUE"""),0.0)</f>
        <v>0</v>
      </c>
      <c r="J227" s="195"/>
      <c r="K227" s="75"/>
      <c r="L227" s="262"/>
    </row>
    <row r="228">
      <c r="A228" s="75">
        <v>223.0</v>
      </c>
      <c r="B228" s="75" t="str">
        <f>IFERROR(__xludf.DUMMYFUNCTION("""COMPUTED_VALUE"""),"Sri Lakshmi Lalitha Agencies")</f>
        <v>Sri Lakshmi Lalitha Agencies</v>
      </c>
      <c r="C228" s="400">
        <f>IFERROR(__xludf.DUMMYFUNCTION("""COMPUTED_VALUE"""),807548.0)</f>
        <v>807548</v>
      </c>
      <c r="D228" s="400">
        <f>IFERROR(__xludf.DUMMYFUNCTION("""COMPUTED_VALUE"""),1.0)</f>
        <v>1</v>
      </c>
      <c r="E228" s="400" t="str">
        <f>IFERROR(__xludf.DUMMYFUNCTION("""COMPUTED_VALUE"""),"Shaik Jani basha")</f>
        <v>Shaik Jani basha</v>
      </c>
      <c r="F228" s="400" t="str">
        <f>IFERROR(__xludf.DUMMYFUNCTION("""COMPUTED_VALUE"""),"ANDHRA PRADESH")</f>
        <v>ANDHRA PRADESH</v>
      </c>
      <c r="G228" s="280">
        <f>IFERROR(__xludf.DUMMYFUNCTION("""COMPUTED_VALUE"""),807548.0)</f>
        <v>807548</v>
      </c>
      <c r="H228" s="190">
        <f>IFERROR(__xludf.DUMMYFUNCTION("""COMPUTED_VALUE"""),67295.66666666667)</f>
        <v>67295.66667</v>
      </c>
      <c r="I228" s="195">
        <f>IFERROR(__xludf.DUMMYFUNCTION("""COMPUTED_VALUE"""),2.1178557E7)</f>
        <v>21178557</v>
      </c>
      <c r="J228" s="195"/>
      <c r="K228" s="75"/>
      <c r="L228" s="262"/>
    </row>
    <row r="229">
      <c r="A229" s="75">
        <v>224.0</v>
      </c>
      <c r="B229" s="75" t="str">
        <f>IFERROR(__xludf.DUMMYFUNCTION("""COMPUTED_VALUE"""),"Sriram Packaging")</f>
        <v>Sriram Packaging</v>
      </c>
      <c r="C229" s="400">
        <f>IFERROR(__xludf.DUMMYFUNCTION("""COMPUTED_VALUE"""),2.6057263E7)</f>
        <v>26057263</v>
      </c>
      <c r="D229" s="400">
        <f>IFERROR(__xludf.DUMMYFUNCTION("""COMPUTED_VALUE"""),2.0)</f>
        <v>2</v>
      </c>
      <c r="E229" s="400" t="str">
        <f>IFERROR(__xludf.DUMMYFUNCTION("""COMPUTED_VALUE"""),"Pravat Kumar Dash, Arijit Roychowdhury")</f>
        <v>Pravat Kumar Dash, Arijit Roychowdhury</v>
      </c>
      <c r="F229" s="400" t="str">
        <f>IFERROR(__xludf.DUMMYFUNCTION("""COMPUTED_VALUE"""),"ODISHA")</f>
        <v>ODISHA</v>
      </c>
      <c r="G229" s="280">
        <f>IFERROR(__xludf.DUMMYFUNCTION("""COMPUTED_VALUE"""),1.30286315E7)</f>
        <v>13028631.5</v>
      </c>
      <c r="H229" s="190">
        <f>IFERROR(__xludf.DUMMYFUNCTION("""COMPUTED_VALUE"""),1085719.2916666667)</f>
        <v>1085719.292</v>
      </c>
      <c r="I229" s="195">
        <f>IFERROR(__xludf.DUMMYFUNCTION("""COMPUTED_VALUE"""),2.5318405E7)</f>
        <v>25318405</v>
      </c>
      <c r="J229" s="195"/>
      <c r="K229" s="75"/>
      <c r="L229" s="262"/>
    </row>
    <row r="230">
      <c r="A230" s="75">
        <v>225.0</v>
      </c>
      <c r="B230" s="75" t="str">
        <f>IFERROR(__xludf.DUMMYFUNCTION("""COMPUTED_VALUE"""),"Structos")</f>
        <v>Structos</v>
      </c>
      <c r="C230" s="400">
        <f>IFERROR(__xludf.DUMMYFUNCTION("""COMPUTED_VALUE"""),936872.0)</f>
        <v>936872</v>
      </c>
      <c r="D230" s="400">
        <f>IFERROR(__xludf.DUMMYFUNCTION("""COMPUTED_VALUE"""),1.0)</f>
        <v>1</v>
      </c>
      <c r="E230" s="400" t="str">
        <f>IFERROR(__xludf.DUMMYFUNCTION("""COMPUTED_VALUE"""),"NIkhil Patial")</f>
        <v>NIkhil Patial</v>
      </c>
      <c r="F230" s="400" t="str">
        <f>IFERROR(__xludf.DUMMYFUNCTION("""COMPUTED_VALUE"""),"HIMACHAL PRADESH")</f>
        <v>HIMACHAL PRADESH</v>
      </c>
      <c r="G230" s="280">
        <f>IFERROR(__xludf.DUMMYFUNCTION("""COMPUTED_VALUE"""),936872.0)</f>
        <v>936872</v>
      </c>
      <c r="H230" s="190">
        <f>IFERROR(__xludf.DUMMYFUNCTION("""COMPUTED_VALUE"""),78072.66666666667)</f>
        <v>78072.66667</v>
      </c>
      <c r="I230" s="195">
        <f>IFERROR(__xludf.DUMMYFUNCTION("""COMPUTED_VALUE"""),1299213.0)</f>
        <v>1299213</v>
      </c>
      <c r="J230" s="195"/>
      <c r="K230" s="75"/>
      <c r="L230" s="262"/>
    </row>
    <row r="231">
      <c r="A231" s="75">
        <v>226.0</v>
      </c>
      <c r="B231" s="75" t="str">
        <f>IFERROR(__xludf.DUMMYFUNCTION("""COMPUTED_VALUE"""),"Subham Enterprise")</f>
        <v>Subham Enterprise</v>
      </c>
      <c r="C231" s="400">
        <f>IFERROR(__xludf.DUMMYFUNCTION("""COMPUTED_VALUE"""),5.9323714E7)</f>
        <v>59323714</v>
      </c>
      <c r="D231" s="400">
        <f>IFERROR(__xludf.DUMMYFUNCTION("""COMPUTED_VALUE"""),5.0)</f>
        <v>5</v>
      </c>
      <c r="E231" s="400" t="str">
        <f>IFERROR(__xludf.DUMMYFUNCTION("""COMPUTED_VALUE"""),"Debasish Adhikary, RUDRAPRAKASH JANA, Shuvadip Ghosh, Soumen Ghosh, Susovan Singha")</f>
        <v>Debasish Adhikary, RUDRAPRAKASH JANA, Shuvadip Ghosh, Soumen Ghosh, Susovan Singha</v>
      </c>
      <c r="F231" s="400" t="str">
        <f>IFERROR(__xludf.DUMMYFUNCTION("""COMPUTED_VALUE"""),"WEST BENGAL")</f>
        <v>WEST BENGAL</v>
      </c>
      <c r="G231" s="280">
        <f>IFERROR(__xludf.DUMMYFUNCTION("""COMPUTED_VALUE"""),1.18647428E7)</f>
        <v>11864742.8</v>
      </c>
      <c r="H231" s="190">
        <f>IFERROR(__xludf.DUMMYFUNCTION("""COMPUTED_VALUE"""),988728.5666666668)</f>
        <v>988728.5667</v>
      </c>
      <c r="I231" s="195">
        <f>IFERROR(__xludf.DUMMYFUNCTION("""COMPUTED_VALUE"""),8.3209896E7)</f>
        <v>83209896</v>
      </c>
      <c r="J231" s="195"/>
      <c r="K231" s="75"/>
      <c r="L231" s="262"/>
    </row>
    <row r="232">
      <c r="A232" s="75">
        <v>227.0</v>
      </c>
      <c r="B232" s="75" t="str">
        <f>IFERROR(__xludf.DUMMYFUNCTION("""COMPUTED_VALUE"""),"Sumit paint and hardware")</f>
        <v>Sumit paint and hardware</v>
      </c>
      <c r="C232" s="400">
        <f>IFERROR(__xludf.DUMMYFUNCTION("""COMPUTED_VALUE"""),902393.0)</f>
        <v>902393</v>
      </c>
      <c r="D232" s="400">
        <f>IFERROR(__xludf.DUMMYFUNCTION("""COMPUTED_VALUE"""),1.0)</f>
        <v>1</v>
      </c>
      <c r="E232" s="400" t="str">
        <f>IFERROR(__xludf.DUMMYFUNCTION("""COMPUTED_VALUE"""),"Prasun Chatterjee")</f>
        <v>Prasun Chatterjee</v>
      </c>
      <c r="F232" s="400" t="str">
        <f>IFERROR(__xludf.DUMMYFUNCTION("""COMPUTED_VALUE"""),"DELHI")</f>
        <v>DELHI</v>
      </c>
      <c r="G232" s="280">
        <f>IFERROR(__xludf.DUMMYFUNCTION("""COMPUTED_VALUE"""),902393.0)</f>
        <v>902393</v>
      </c>
      <c r="H232" s="190">
        <f>IFERROR(__xludf.DUMMYFUNCTION("""COMPUTED_VALUE"""),75199.41666666667)</f>
        <v>75199.41667</v>
      </c>
      <c r="I232" s="195">
        <f>IFERROR(__xludf.DUMMYFUNCTION("""COMPUTED_VALUE"""),1956284.0)</f>
        <v>1956284</v>
      </c>
      <c r="J232" s="195"/>
      <c r="K232" s="75"/>
      <c r="L232" s="262"/>
    </row>
    <row r="233">
      <c r="A233" s="75">
        <v>228.0</v>
      </c>
      <c r="B233" s="75" t="str">
        <f>IFERROR(__xludf.DUMMYFUNCTION("""COMPUTED_VALUE"""),"SUN AGENCY")</f>
        <v>SUN AGENCY</v>
      </c>
      <c r="C233" s="400">
        <f>IFERROR(__xludf.DUMMYFUNCTION("""COMPUTED_VALUE"""),9112440.0)</f>
        <v>9112440</v>
      </c>
      <c r="D233" s="400">
        <f>IFERROR(__xludf.DUMMYFUNCTION("""COMPUTED_VALUE"""),3.0)</f>
        <v>3</v>
      </c>
      <c r="E233" s="400" t="str">
        <f>IFERROR(__xludf.DUMMYFUNCTION("""COMPUTED_VALUE"""),"Ashokraj A., M. Raman, S. Thiyagarajan")</f>
        <v>Ashokraj A., M. Raman, S. Thiyagarajan</v>
      </c>
      <c r="F233" s="400" t="str">
        <f>IFERROR(__xludf.DUMMYFUNCTION("""COMPUTED_VALUE"""),"TAMIL NADU")</f>
        <v>TAMIL NADU</v>
      </c>
      <c r="G233" s="280">
        <f>IFERROR(__xludf.DUMMYFUNCTION("""COMPUTED_VALUE"""),3037480.0)</f>
        <v>3037480</v>
      </c>
      <c r="H233" s="190">
        <f>IFERROR(__xludf.DUMMYFUNCTION("""COMPUTED_VALUE"""),253123.33333333334)</f>
        <v>253123.3333</v>
      </c>
      <c r="I233" s="195">
        <f>IFERROR(__xludf.DUMMYFUNCTION("""COMPUTED_VALUE"""),0.0)</f>
        <v>0</v>
      </c>
      <c r="J233" s="195"/>
      <c r="K233" s="75"/>
      <c r="L233" s="262"/>
    </row>
    <row r="234">
      <c r="A234" s="75">
        <v>229.0</v>
      </c>
      <c r="B234" s="75" t="str">
        <f>IFERROR(__xludf.DUMMYFUNCTION("""COMPUTED_VALUE"""),"SUN TRADERS")</f>
        <v>SUN TRADERS</v>
      </c>
      <c r="C234" s="400">
        <f>IFERROR(__xludf.DUMMYFUNCTION("""COMPUTED_VALUE"""),33935.0)</f>
        <v>33935</v>
      </c>
      <c r="D234" s="400">
        <f>IFERROR(__xludf.DUMMYFUNCTION("""COMPUTED_VALUE"""),1.0)</f>
        <v>1</v>
      </c>
      <c r="E234" s="400" t="str">
        <f>IFERROR(__xludf.DUMMYFUNCTION("""COMPUTED_VALUE"""),"M. Raman")</f>
        <v>M. Raman</v>
      </c>
      <c r="F234" s="400" t="str">
        <f>IFERROR(__xludf.DUMMYFUNCTION("""COMPUTED_VALUE"""),"TAMIL NADU")</f>
        <v>TAMIL NADU</v>
      </c>
      <c r="G234" s="280">
        <f>IFERROR(__xludf.DUMMYFUNCTION("""COMPUTED_VALUE"""),33935.0)</f>
        <v>33935</v>
      </c>
      <c r="H234" s="190">
        <f>IFERROR(__xludf.DUMMYFUNCTION("""COMPUTED_VALUE"""),2827.9166666666665)</f>
        <v>2827.916667</v>
      </c>
      <c r="I234" s="195">
        <f>IFERROR(__xludf.DUMMYFUNCTION("""COMPUTED_VALUE"""),0.0)</f>
        <v>0</v>
      </c>
      <c r="J234" s="195"/>
      <c r="K234" s="75"/>
      <c r="L234" s="262"/>
    </row>
    <row r="235">
      <c r="A235" s="75">
        <v>230.0</v>
      </c>
      <c r="B235" s="75" t="str">
        <f>IFERROR(__xludf.DUMMYFUNCTION("""COMPUTED_VALUE"""),"Sunil iron and machinery store")</f>
        <v>Sunil iron and machinery store</v>
      </c>
      <c r="C235" s="400">
        <f>IFERROR(__xludf.DUMMYFUNCTION("""COMPUTED_VALUE"""),280112.0)</f>
        <v>280112</v>
      </c>
      <c r="D235" s="400">
        <f>IFERROR(__xludf.DUMMYFUNCTION("""COMPUTED_VALUE"""),2.0)</f>
        <v>2</v>
      </c>
      <c r="E235" s="400" t="str">
        <f>IFERROR(__xludf.DUMMYFUNCTION("""COMPUTED_VALUE"""),"RAVI KUMAR ., Shanker Singh")</f>
        <v>RAVI KUMAR ., Shanker Singh</v>
      </c>
      <c r="F235" s="400" t="str">
        <f>IFERROR(__xludf.DUMMYFUNCTION("""COMPUTED_VALUE"""),"HARYANA")</f>
        <v>HARYANA</v>
      </c>
      <c r="G235" s="280">
        <f>IFERROR(__xludf.DUMMYFUNCTION("""COMPUTED_VALUE"""),140056.0)</f>
        <v>140056</v>
      </c>
      <c r="H235" s="190">
        <f>IFERROR(__xludf.DUMMYFUNCTION("""COMPUTED_VALUE"""),11671.333333333334)</f>
        <v>11671.33333</v>
      </c>
      <c r="I235" s="195">
        <f>IFERROR(__xludf.DUMMYFUNCTION("""COMPUTED_VALUE"""),256015.0)</f>
        <v>256015</v>
      </c>
      <c r="J235" s="195"/>
      <c r="K235" s="75"/>
      <c r="L235" s="262"/>
    </row>
    <row r="236">
      <c r="A236" s="75">
        <v>231.0</v>
      </c>
      <c r="B236" s="75" t="str">
        <f>IFERROR(__xludf.DUMMYFUNCTION("""COMPUTED_VALUE"""),"Supreme syndicate")</f>
        <v>Supreme syndicate</v>
      </c>
      <c r="C236" s="400">
        <f>IFERROR(__xludf.DUMMYFUNCTION("""COMPUTED_VALUE"""),536141.0)</f>
        <v>536141</v>
      </c>
      <c r="D236" s="400">
        <f>IFERROR(__xludf.DUMMYFUNCTION("""COMPUTED_VALUE"""),1.0)</f>
        <v>1</v>
      </c>
      <c r="E236" s="400" t="str">
        <f>IFERROR(__xludf.DUMMYFUNCTION("""COMPUTED_VALUE"""),"Sujan Ghata")</f>
        <v>Sujan Ghata</v>
      </c>
      <c r="F236" s="400" t="str">
        <f>IFERROR(__xludf.DUMMYFUNCTION("""COMPUTED_VALUE"""),"WEST BENGAL")</f>
        <v>WEST BENGAL</v>
      </c>
      <c r="G236" s="280">
        <f>IFERROR(__xludf.DUMMYFUNCTION("""COMPUTED_VALUE"""),536141.0)</f>
        <v>536141</v>
      </c>
      <c r="H236" s="190">
        <f>IFERROR(__xludf.DUMMYFUNCTION("""COMPUTED_VALUE"""),44678.416666666664)</f>
        <v>44678.41667</v>
      </c>
      <c r="I236" s="195">
        <f>IFERROR(__xludf.DUMMYFUNCTION("""COMPUTED_VALUE"""),2958618.0)</f>
        <v>2958618</v>
      </c>
      <c r="J236" s="195"/>
      <c r="K236" s="75"/>
      <c r="L236" s="262"/>
    </row>
    <row r="237">
      <c r="A237" s="75">
        <v>232.0</v>
      </c>
      <c r="B237" s="75" t="str">
        <f>IFERROR(__xludf.DUMMYFUNCTION("""COMPUTED_VALUE"""),"SURAJ SANITATION")</f>
        <v>SURAJ SANITATION</v>
      </c>
      <c r="C237" s="400">
        <f>IFERROR(__xludf.DUMMYFUNCTION("""COMPUTED_VALUE"""),432708.0)</f>
        <v>432708</v>
      </c>
      <c r="D237" s="400">
        <f>IFERROR(__xludf.DUMMYFUNCTION("""COMPUTED_VALUE"""),1.0)</f>
        <v>1</v>
      </c>
      <c r="E237" s="400" t="str">
        <f>IFERROR(__xludf.DUMMYFUNCTION("""COMPUTED_VALUE"""),"Sujan Ghata")</f>
        <v>Sujan Ghata</v>
      </c>
      <c r="F237" s="400" t="str">
        <f>IFERROR(__xludf.DUMMYFUNCTION("""COMPUTED_VALUE"""),"WEST BENGAL")</f>
        <v>WEST BENGAL</v>
      </c>
      <c r="G237" s="280">
        <f>IFERROR(__xludf.DUMMYFUNCTION("""COMPUTED_VALUE"""),432708.0)</f>
        <v>432708</v>
      </c>
      <c r="H237" s="190">
        <f>IFERROR(__xludf.DUMMYFUNCTION("""COMPUTED_VALUE"""),36059.0)</f>
        <v>36059</v>
      </c>
      <c r="I237" s="195">
        <f>IFERROR(__xludf.DUMMYFUNCTION("""COMPUTED_VALUE"""),1473869.0)</f>
        <v>1473869</v>
      </c>
      <c r="J237" s="195"/>
      <c r="K237" s="75"/>
      <c r="L237" s="262"/>
    </row>
    <row r="238">
      <c r="A238" s="75">
        <v>233.0</v>
      </c>
      <c r="B238" s="75" t="str">
        <f>IFERROR(__xludf.DUMMYFUNCTION("""COMPUTED_VALUE"""),"Suresh Behari &amp; Co.")</f>
        <v>Suresh Behari &amp; Co.</v>
      </c>
      <c r="C238" s="400">
        <f>IFERROR(__xludf.DUMMYFUNCTION("""COMPUTED_VALUE"""),1.0577133E7)</f>
        <v>10577133</v>
      </c>
      <c r="D238" s="400">
        <f>IFERROR(__xludf.DUMMYFUNCTION("""COMPUTED_VALUE"""),3.0)</f>
        <v>3</v>
      </c>
      <c r="E238" s="400" t="str">
        <f>IFERROR(__xludf.DUMMYFUNCTION("""COMPUTED_VALUE"""),"Ankur Srivastava, Arun Sharma, Deependra Singh")</f>
        <v>Ankur Srivastava, Arun Sharma, Deependra Singh</v>
      </c>
      <c r="F238" s="400" t="str">
        <f>IFERROR(__xludf.DUMMYFUNCTION("""COMPUTED_VALUE"""),"East U.P")</f>
        <v>East U.P</v>
      </c>
      <c r="G238" s="280">
        <f>IFERROR(__xludf.DUMMYFUNCTION("""COMPUTED_VALUE"""),3525711.0)</f>
        <v>3525711</v>
      </c>
      <c r="H238" s="190">
        <f>IFERROR(__xludf.DUMMYFUNCTION("""COMPUTED_VALUE"""),293809.25)</f>
        <v>293809.25</v>
      </c>
      <c r="I238" s="195">
        <f>IFERROR(__xludf.DUMMYFUNCTION("""COMPUTED_VALUE"""),1.1682112E7)</f>
        <v>11682112</v>
      </c>
      <c r="J238" s="195"/>
      <c r="K238" s="75"/>
      <c r="L238" s="262"/>
    </row>
    <row r="239">
      <c r="A239" s="75">
        <v>234.0</v>
      </c>
      <c r="B239" s="75" t="str">
        <f>IFERROR(__xludf.DUMMYFUNCTION("""COMPUTED_VALUE"""),"Surya Distributors")</f>
        <v>Surya Distributors</v>
      </c>
      <c r="C239" s="400">
        <f>IFERROR(__xludf.DUMMYFUNCTION("""COMPUTED_VALUE"""),4608.0)</f>
        <v>4608</v>
      </c>
      <c r="D239" s="400">
        <f>IFERROR(__xludf.DUMMYFUNCTION("""COMPUTED_VALUE"""),1.0)</f>
        <v>1</v>
      </c>
      <c r="E239" s="400" t="str">
        <f>IFERROR(__xludf.DUMMYFUNCTION("""COMPUTED_VALUE"""),"Ravi Kumar P (Off Roll)")</f>
        <v>Ravi Kumar P (Off Roll)</v>
      </c>
      <c r="F239" s="400" t="str">
        <f>IFERROR(__xludf.DUMMYFUNCTION("""COMPUTED_VALUE"""),"KERALA")</f>
        <v>KERALA</v>
      </c>
      <c r="G239" s="280">
        <f>IFERROR(__xludf.DUMMYFUNCTION("""COMPUTED_VALUE"""),4608.0)</f>
        <v>4608</v>
      </c>
      <c r="H239" s="190">
        <f>IFERROR(__xludf.DUMMYFUNCTION("""COMPUTED_VALUE"""),384.0)</f>
        <v>384</v>
      </c>
      <c r="I239" s="195">
        <f>IFERROR(__xludf.DUMMYFUNCTION("""COMPUTED_VALUE"""),0.0)</f>
        <v>0</v>
      </c>
      <c r="J239" s="195"/>
      <c r="K239" s="75"/>
      <c r="L239" s="262"/>
    </row>
    <row r="240">
      <c r="A240" s="75">
        <v>235.0</v>
      </c>
      <c r="B240" s="75" t="str">
        <f>IFERROR(__xludf.DUMMYFUNCTION("""COMPUTED_VALUE"""),"Suvidha traders")</f>
        <v>Suvidha traders</v>
      </c>
      <c r="C240" s="400">
        <f>IFERROR(__xludf.DUMMYFUNCTION("""COMPUTED_VALUE"""),1.2699304E7)</f>
        <v>12699304</v>
      </c>
      <c r="D240" s="400">
        <f>IFERROR(__xludf.DUMMYFUNCTION("""COMPUTED_VALUE"""),1.0)</f>
        <v>1</v>
      </c>
      <c r="E240" s="400" t="str">
        <f>IFERROR(__xludf.DUMMYFUNCTION("""COMPUTED_VALUE"""),"Gaurav Kumar")</f>
        <v>Gaurav Kumar</v>
      </c>
      <c r="F240" s="400" t="str">
        <f>IFERROR(__xludf.DUMMYFUNCTION("""COMPUTED_VALUE"""),"BIHAR")</f>
        <v>BIHAR</v>
      </c>
      <c r="G240" s="280">
        <f>IFERROR(__xludf.DUMMYFUNCTION("""COMPUTED_VALUE"""),1.2699304E7)</f>
        <v>12699304</v>
      </c>
      <c r="H240" s="190">
        <f>IFERROR(__xludf.DUMMYFUNCTION("""COMPUTED_VALUE"""),1058275.3333333333)</f>
        <v>1058275.333</v>
      </c>
      <c r="I240" s="195">
        <f>IFERROR(__xludf.DUMMYFUNCTION("""COMPUTED_VALUE"""),2544106.0)</f>
        <v>2544106</v>
      </c>
      <c r="J240" s="195"/>
      <c r="K240" s="75"/>
      <c r="L240" s="262"/>
    </row>
    <row r="241">
      <c r="A241" s="75">
        <v>236.0</v>
      </c>
      <c r="B241" s="75" t="str">
        <f>IFERROR(__xludf.DUMMYFUNCTION("""COMPUTED_VALUE"""),"SWASTIK IMPACT")</f>
        <v>SWASTIK IMPACT</v>
      </c>
      <c r="C241" s="400">
        <f>IFERROR(__xludf.DUMMYFUNCTION("""COMPUTED_VALUE"""),2299652.0)</f>
        <v>2299652</v>
      </c>
      <c r="D241" s="400">
        <f>IFERROR(__xludf.DUMMYFUNCTION("""COMPUTED_VALUE"""),1.0)</f>
        <v>1</v>
      </c>
      <c r="E241" s="400" t="str">
        <f>IFERROR(__xludf.DUMMYFUNCTION("""COMPUTED_VALUE"""),"ATANU PAUL")</f>
        <v>ATANU PAUL</v>
      </c>
      <c r="F241" s="400" t="str">
        <f>IFERROR(__xludf.DUMMYFUNCTION("""COMPUTED_VALUE"""),"WEST BENGAL")</f>
        <v>WEST BENGAL</v>
      </c>
      <c r="G241" s="280">
        <f>IFERROR(__xludf.DUMMYFUNCTION("""COMPUTED_VALUE"""),2299652.0)</f>
        <v>2299652</v>
      </c>
      <c r="H241" s="190">
        <f>IFERROR(__xludf.DUMMYFUNCTION("""COMPUTED_VALUE"""),191637.66666666666)</f>
        <v>191637.6667</v>
      </c>
      <c r="I241" s="195">
        <f>IFERROR(__xludf.DUMMYFUNCTION("""COMPUTED_VALUE"""),2569185.0)</f>
        <v>2569185</v>
      </c>
      <c r="J241" s="195"/>
      <c r="K241" s="75"/>
      <c r="L241" s="262"/>
    </row>
    <row r="242">
      <c r="A242" s="75">
        <v>237.0</v>
      </c>
      <c r="B242" s="75" t="str">
        <f>IFERROR(__xludf.DUMMYFUNCTION("""COMPUTED_VALUE"""),"Taj iron")</f>
        <v>Taj iron</v>
      </c>
      <c r="C242" s="400">
        <f>IFERROR(__xludf.DUMMYFUNCTION("""COMPUTED_VALUE"""),39836.0)</f>
        <v>39836</v>
      </c>
      <c r="D242" s="400">
        <f>IFERROR(__xludf.DUMMYFUNCTION("""COMPUTED_VALUE"""),1.0)</f>
        <v>1</v>
      </c>
      <c r="E242" s="400" t="str">
        <f>IFERROR(__xludf.DUMMYFUNCTION("""COMPUTED_VALUE"""),"Tafazul Nazir")</f>
        <v>Tafazul Nazir</v>
      </c>
      <c r="F242" s="400" t="str">
        <f>IFERROR(__xludf.DUMMYFUNCTION("""COMPUTED_VALUE"""),"JAMMU AND KASHMIR")</f>
        <v>JAMMU AND KASHMIR</v>
      </c>
      <c r="G242" s="280">
        <f>IFERROR(__xludf.DUMMYFUNCTION("""COMPUTED_VALUE"""),39836.0)</f>
        <v>39836</v>
      </c>
      <c r="H242" s="190">
        <f>IFERROR(__xludf.DUMMYFUNCTION("""COMPUTED_VALUE"""),3319.6666666666665)</f>
        <v>3319.666667</v>
      </c>
      <c r="I242" s="195">
        <f>IFERROR(__xludf.DUMMYFUNCTION("""COMPUTED_VALUE"""),271937.0)</f>
        <v>271937</v>
      </c>
      <c r="J242" s="195"/>
      <c r="K242" s="75"/>
      <c r="L242" s="262"/>
    </row>
    <row r="243">
      <c r="A243" s="75">
        <v>238.0</v>
      </c>
      <c r="B243" s="75" t="str">
        <f>IFERROR(__xludf.DUMMYFUNCTION("""COMPUTED_VALUE"""),"Tapan Smiriti Hardware")</f>
        <v>Tapan Smiriti Hardware</v>
      </c>
      <c r="C243" s="75">
        <f>IFERROR(__xludf.DUMMYFUNCTION("""COMPUTED_VALUE"""),6389451.0)</f>
        <v>6389451</v>
      </c>
      <c r="D243" s="75">
        <f>IFERROR(__xludf.DUMMYFUNCTION("""COMPUTED_VALUE"""),2.0)</f>
        <v>2</v>
      </c>
      <c r="E243" s="75" t="str">
        <f>IFERROR(__xludf.DUMMYFUNCTION("""COMPUTED_VALUE"""),"Roni Gupta, Sudipta Thom")</f>
        <v>Roni Gupta, Sudipta Thom</v>
      </c>
      <c r="F243" s="75" t="str">
        <f>IFERROR(__xludf.DUMMYFUNCTION("""COMPUTED_VALUE"""),"WEST BENGAL")</f>
        <v>WEST BENGAL</v>
      </c>
      <c r="G243" s="190">
        <f>IFERROR(__xludf.DUMMYFUNCTION("""COMPUTED_VALUE"""),3194725.5)</f>
        <v>3194725.5</v>
      </c>
      <c r="H243" s="190">
        <f>IFERROR(__xludf.DUMMYFUNCTION("""COMPUTED_VALUE"""),266227.125)</f>
        <v>266227.125</v>
      </c>
      <c r="I243" s="195">
        <f>IFERROR(__xludf.DUMMYFUNCTION("""COMPUTED_VALUE"""),4.0946603E7)</f>
        <v>40946603</v>
      </c>
      <c r="J243" s="195"/>
      <c r="K243" s="75"/>
      <c r="L243" s="166"/>
    </row>
    <row r="244">
      <c r="A244" s="75">
        <v>239.0</v>
      </c>
      <c r="B244" s="75" t="str">
        <f>IFERROR(__xludf.DUMMYFUNCTION("""COMPUTED_VALUE"""),"Unique Pipe &amp; Sanitation")</f>
        <v>Unique Pipe &amp; Sanitation</v>
      </c>
      <c r="C244" s="75">
        <f>IFERROR(__xludf.DUMMYFUNCTION("""COMPUTED_VALUE"""),4.2331872E7)</f>
        <v>42331872</v>
      </c>
      <c r="D244" s="75">
        <f>IFERROR(__xludf.DUMMYFUNCTION("""COMPUTED_VALUE"""),3.0)</f>
        <v>3</v>
      </c>
      <c r="E244" s="75" t="str">
        <f>IFERROR(__xludf.DUMMYFUNCTION("""COMPUTED_VALUE"""),"Priyabrata Biswas, SUMANTA SINGHA, Debasish Adhikary")</f>
        <v>Priyabrata Biswas, SUMANTA SINGHA, Debasish Adhikary</v>
      </c>
      <c r="F244" s="75" t="str">
        <f>IFERROR(__xludf.DUMMYFUNCTION("""COMPUTED_VALUE"""),"WEST BENGAL")</f>
        <v>WEST BENGAL</v>
      </c>
      <c r="G244" s="190">
        <f>IFERROR(__xludf.DUMMYFUNCTION("""COMPUTED_VALUE"""),1.4110624E7)</f>
        <v>14110624</v>
      </c>
      <c r="H244" s="190">
        <f>IFERROR(__xludf.DUMMYFUNCTION("""COMPUTED_VALUE"""),1175885.3333333333)</f>
        <v>1175885.333</v>
      </c>
      <c r="I244" s="195">
        <f>IFERROR(__xludf.DUMMYFUNCTION("""COMPUTED_VALUE"""),3.0765897E7)</f>
        <v>30765897</v>
      </c>
      <c r="J244" s="195"/>
      <c r="K244" s="75"/>
      <c r="L244" s="166"/>
    </row>
    <row r="245">
      <c r="A245" s="75">
        <v>240.0</v>
      </c>
      <c r="B245" s="75" t="str">
        <f>IFERROR(__xludf.DUMMYFUNCTION("""COMPUTED_VALUE"""),"Unique Sanitaion")</f>
        <v>Unique Sanitaion</v>
      </c>
      <c r="C245" s="75">
        <f>IFERROR(__xludf.DUMMYFUNCTION("""COMPUTED_VALUE"""),4956931.0)</f>
        <v>4956931</v>
      </c>
      <c r="D245" s="75">
        <f>IFERROR(__xludf.DUMMYFUNCTION("""COMPUTED_VALUE"""),2.0)</f>
        <v>2</v>
      </c>
      <c r="E245" s="75" t="str">
        <f>IFERROR(__xludf.DUMMYFUNCTION("""COMPUTED_VALUE"""),"Priyabrata Biswas, SUMANTA SINGHA")</f>
        <v>Priyabrata Biswas, SUMANTA SINGHA</v>
      </c>
      <c r="F245" s="75" t="str">
        <f>IFERROR(__xludf.DUMMYFUNCTION("""COMPUTED_VALUE"""),"WEST BENGAL")</f>
        <v>WEST BENGAL</v>
      </c>
      <c r="G245" s="190">
        <f>IFERROR(__xludf.DUMMYFUNCTION("""COMPUTED_VALUE"""),2478465.5)</f>
        <v>2478465.5</v>
      </c>
      <c r="H245" s="190">
        <f>IFERROR(__xludf.DUMMYFUNCTION("""COMPUTED_VALUE"""),206538.79166666666)</f>
        <v>206538.7917</v>
      </c>
      <c r="I245" s="195">
        <f>IFERROR(__xludf.DUMMYFUNCTION("""COMPUTED_VALUE"""),7135522.0)</f>
        <v>7135522</v>
      </c>
      <c r="J245" s="195"/>
      <c r="K245" s="75"/>
      <c r="L245" s="166"/>
    </row>
    <row r="246">
      <c r="A246" s="75">
        <v>241.0</v>
      </c>
      <c r="B246" s="75" t="str">
        <f>IFERROR(__xludf.DUMMYFUNCTION("""COMPUTED_VALUE"""),"Universal Pipe")</f>
        <v>Universal Pipe</v>
      </c>
      <c r="C246" s="75">
        <f>IFERROR(__xludf.DUMMYFUNCTION("""COMPUTED_VALUE"""),9914664.0)</f>
        <v>9914664</v>
      </c>
      <c r="D246" s="75">
        <f>IFERROR(__xludf.DUMMYFUNCTION("""COMPUTED_VALUE"""),2.0)</f>
        <v>2</v>
      </c>
      <c r="E246" s="75" t="str">
        <f>IFERROR(__xludf.DUMMYFUNCTION("""COMPUTED_VALUE"""),"Devdutt Joshi, Jagdish Palani")</f>
        <v>Devdutt Joshi, Jagdish Palani</v>
      </c>
      <c r="F246" s="75" t="str">
        <f>IFERROR(__xludf.DUMMYFUNCTION("""COMPUTED_VALUE"""),"GUJARAT")</f>
        <v>GUJARAT</v>
      </c>
      <c r="G246" s="190">
        <f>IFERROR(__xludf.DUMMYFUNCTION("""COMPUTED_VALUE"""),4957332.0)</f>
        <v>4957332</v>
      </c>
      <c r="H246" s="190">
        <f>IFERROR(__xludf.DUMMYFUNCTION("""COMPUTED_VALUE"""),413111.0)</f>
        <v>413111</v>
      </c>
      <c r="I246" s="195">
        <f>IFERROR(__xludf.DUMMYFUNCTION("""COMPUTED_VALUE"""),1.1374597E7)</f>
        <v>11374597</v>
      </c>
      <c r="J246" s="195"/>
      <c r="K246" s="75"/>
      <c r="L246" s="166"/>
    </row>
    <row r="247">
      <c r="A247" s="75">
        <v>242.0</v>
      </c>
      <c r="B247" s="75" t="str">
        <f>IFERROR(__xludf.DUMMYFUNCTION("""COMPUTED_VALUE"""),"Usha Sri Steel Syndicate")</f>
        <v>Usha Sri Steel Syndicate</v>
      </c>
      <c r="C247" s="75">
        <f>IFERROR(__xludf.DUMMYFUNCTION("""COMPUTED_VALUE"""),957256.0)</f>
        <v>957256</v>
      </c>
      <c r="D247" s="75">
        <f>IFERROR(__xludf.DUMMYFUNCTION("""COMPUTED_VALUE"""),1.0)</f>
        <v>1</v>
      </c>
      <c r="E247" s="75" t="str">
        <f>IFERROR(__xludf.DUMMYFUNCTION("""COMPUTED_VALUE"""),"Taninki Ramesh Babu")</f>
        <v>Taninki Ramesh Babu</v>
      </c>
      <c r="F247" s="75" t="str">
        <f>IFERROR(__xludf.DUMMYFUNCTION("""COMPUTED_VALUE"""),"ANDHRA PRADESH")</f>
        <v>ANDHRA PRADESH</v>
      </c>
      <c r="G247" s="190">
        <f>IFERROR(__xludf.DUMMYFUNCTION("""COMPUTED_VALUE"""),957256.0)</f>
        <v>957256</v>
      </c>
      <c r="H247" s="190">
        <f>IFERROR(__xludf.DUMMYFUNCTION("""COMPUTED_VALUE"""),79771.33333333333)</f>
        <v>79771.33333</v>
      </c>
      <c r="I247" s="195">
        <f>IFERROR(__xludf.DUMMYFUNCTION("""COMPUTED_VALUE"""),611538.0)</f>
        <v>611538</v>
      </c>
      <c r="J247" s="195"/>
      <c r="K247" s="75"/>
      <c r="L247" s="166"/>
    </row>
    <row r="248">
      <c r="A248" s="75">
        <v>243.0</v>
      </c>
      <c r="B248" s="75" t="str">
        <f>IFERROR(__xludf.DUMMYFUNCTION("""COMPUTED_VALUE"""),"Vas infrastructure")</f>
        <v>Vas infrastructure</v>
      </c>
      <c r="C248" s="75">
        <f>IFERROR(__xludf.DUMMYFUNCTION("""COMPUTED_VALUE"""),20130.0)</f>
        <v>20130</v>
      </c>
      <c r="D248" s="75">
        <f>IFERROR(__xludf.DUMMYFUNCTION("""COMPUTED_VALUE"""),1.0)</f>
        <v>1</v>
      </c>
      <c r="E248" s="75" t="str">
        <f>IFERROR(__xludf.DUMMYFUNCTION("""COMPUTED_VALUE"""),"Arif Khan")</f>
        <v>Arif Khan</v>
      </c>
      <c r="F248" s="75" t="str">
        <f>IFERROR(__xludf.DUMMYFUNCTION("""COMPUTED_VALUE"""),"RAJASTHAN")</f>
        <v>RAJASTHAN</v>
      </c>
      <c r="G248" s="190">
        <f>IFERROR(__xludf.DUMMYFUNCTION("""COMPUTED_VALUE"""),20130.0)</f>
        <v>20130</v>
      </c>
      <c r="H248" s="190">
        <f>IFERROR(__xludf.DUMMYFUNCTION("""COMPUTED_VALUE"""),1677.5)</f>
        <v>1677.5</v>
      </c>
      <c r="I248" s="195">
        <f>IFERROR(__xludf.DUMMYFUNCTION("""COMPUTED_VALUE"""),0.0)</f>
        <v>0</v>
      </c>
      <c r="J248" s="195"/>
      <c r="K248" s="75"/>
      <c r="L248" s="166"/>
    </row>
    <row r="249">
      <c r="A249" s="75">
        <v>244.0</v>
      </c>
      <c r="B249" s="75" t="str">
        <f>IFERROR(__xludf.DUMMYFUNCTION("""COMPUTED_VALUE"""),"VGS Prayag P Ltd")</f>
        <v>VGS Prayag P Ltd</v>
      </c>
      <c r="C249" s="75">
        <f>IFERROR(__xludf.DUMMYFUNCTION("""COMPUTED_VALUE"""),1679766.0)</f>
        <v>1679766</v>
      </c>
      <c r="D249" s="75">
        <f>IFERROR(__xludf.DUMMYFUNCTION("""COMPUTED_VALUE"""),4.0)</f>
        <v>4</v>
      </c>
      <c r="E249" s="75" t="str">
        <f>IFERROR(__xludf.DUMMYFUNCTION("""COMPUTED_VALUE"""),"Ashokraj A., M. Raman, S. Thiyagarajan, V. Rajesh")</f>
        <v>Ashokraj A., M. Raman, S. Thiyagarajan, V. Rajesh</v>
      </c>
      <c r="F249" s="75" t="str">
        <f>IFERROR(__xludf.DUMMYFUNCTION("""COMPUTED_VALUE"""),"TAMIL NADU")</f>
        <v>TAMIL NADU</v>
      </c>
      <c r="G249" s="190">
        <f>IFERROR(__xludf.DUMMYFUNCTION("""COMPUTED_VALUE"""),419941.5)</f>
        <v>419941.5</v>
      </c>
      <c r="H249" s="190">
        <f>IFERROR(__xludf.DUMMYFUNCTION("""COMPUTED_VALUE"""),34995.125)</f>
        <v>34995.125</v>
      </c>
      <c r="I249" s="195">
        <f>IFERROR(__xludf.DUMMYFUNCTION("""COMPUTED_VALUE"""),0.0)</f>
        <v>0</v>
      </c>
      <c r="J249" s="195"/>
      <c r="K249" s="75"/>
      <c r="L249" s="166"/>
    </row>
    <row r="250">
      <c r="A250" s="75">
        <v>245.0</v>
      </c>
      <c r="B250" s="75" t="str">
        <f>IFERROR(__xludf.DUMMYFUNCTION("""COMPUTED_VALUE"""),"Vidhya sales")</f>
        <v>Vidhya sales</v>
      </c>
      <c r="C250" s="75">
        <f>IFERROR(__xludf.DUMMYFUNCTION("""COMPUTED_VALUE"""),6092128.0)</f>
        <v>6092128</v>
      </c>
      <c r="D250" s="75">
        <f>IFERROR(__xludf.DUMMYFUNCTION("""COMPUTED_VALUE"""),2.0)</f>
        <v>2</v>
      </c>
      <c r="E250" s="75" t="str">
        <f>IFERROR(__xludf.DUMMYFUNCTION("""COMPUTED_VALUE"""),"Akash Deep, Ankit Kumar")</f>
        <v>Akash Deep, Ankit Kumar</v>
      </c>
      <c r="F250" s="75" t="str">
        <f>IFERROR(__xludf.DUMMYFUNCTION("""COMPUTED_VALUE"""),"West U.P")</f>
        <v>West U.P</v>
      </c>
      <c r="G250" s="190">
        <f>IFERROR(__xludf.DUMMYFUNCTION("""COMPUTED_VALUE"""),3046064.0)</f>
        <v>3046064</v>
      </c>
      <c r="H250" s="190">
        <f>IFERROR(__xludf.DUMMYFUNCTION("""COMPUTED_VALUE"""),253838.66666666666)</f>
        <v>253838.6667</v>
      </c>
      <c r="I250" s="195">
        <f>IFERROR(__xludf.DUMMYFUNCTION("""COMPUTED_VALUE"""),6837376.0)</f>
        <v>6837376</v>
      </c>
      <c r="J250" s="195"/>
      <c r="K250" s="75"/>
      <c r="L250" s="166"/>
    </row>
    <row r="251">
      <c r="A251" s="75">
        <v>246.0</v>
      </c>
      <c r="B251" s="75" t="str">
        <f>IFERROR(__xludf.DUMMYFUNCTION("""COMPUTED_VALUE"""),"VIJAY AGENCIES")</f>
        <v>VIJAY AGENCIES</v>
      </c>
      <c r="C251" s="75">
        <f>IFERROR(__xludf.DUMMYFUNCTION("""COMPUTED_VALUE"""),3279593.0)</f>
        <v>3279593</v>
      </c>
      <c r="D251" s="75">
        <f>IFERROR(__xludf.DUMMYFUNCTION("""COMPUTED_VALUE"""),2.0)</f>
        <v>2</v>
      </c>
      <c r="E251" s="75" t="str">
        <f>IFERROR(__xludf.DUMMYFUNCTION("""COMPUTED_VALUE"""),"Shaik Jani basha, Unnam Nivas")</f>
        <v>Shaik Jani basha, Unnam Nivas</v>
      </c>
      <c r="F251" s="75" t="str">
        <f>IFERROR(__xludf.DUMMYFUNCTION("""COMPUTED_VALUE"""),"ANDHRA PRADESH")</f>
        <v>ANDHRA PRADESH</v>
      </c>
      <c r="G251" s="190">
        <f>IFERROR(__xludf.DUMMYFUNCTION("""COMPUTED_VALUE"""),1639796.5)</f>
        <v>1639796.5</v>
      </c>
      <c r="H251" s="190">
        <f>IFERROR(__xludf.DUMMYFUNCTION("""COMPUTED_VALUE"""),136649.70833333334)</f>
        <v>136649.7083</v>
      </c>
      <c r="I251" s="195">
        <f>IFERROR(__xludf.DUMMYFUNCTION("""COMPUTED_VALUE"""),4134791.0)</f>
        <v>4134791</v>
      </c>
      <c r="J251" s="195"/>
      <c r="K251" s="75"/>
      <c r="L251" s="166"/>
    </row>
    <row r="252">
      <c r="A252" s="75">
        <v>247.0</v>
      </c>
      <c r="B252" s="75" t="str">
        <f>IFERROR(__xludf.DUMMYFUNCTION("""COMPUTED_VALUE"""),"VIJAY BELTING STORE")</f>
        <v>VIJAY BELTING STORE</v>
      </c>
      <c r="C252" s="75">
        <f>IFERROR(__xludf.DUMMYFUNCTION("""COMPUTED_VALUE"""),3260842.0)</f>
        <v>3260842</v>
      </c>
      <c r="D252" s="75">
        <f>IFERROR(__xludf.DUMMYFUNCTION("""COMPUTED_VALUE"""),1.0)</f>
        <v>1</v>
      </c>
      <c r="E252" s="75" t="str">
        <f>IFERROR(__xludf.DUMMYFUNCTION("""COMPUTED_VALUE"""),"Gaurav Kumar")</f>
        <v>Gaurav Kumar</v>
      </c>
      <c r="F252" s="75" t="str">
        <f>IFERROR(__xludf.DUMMYFUNCTION("""COMPUTED_VALUE"""),"BIHAR")</f>
        <v>BIHAR</v>
      </c>
      <c r="G252" s="190">
        <f>IFERROR(__xludf.DUMMYFUNCTION("""COMPUTED_VALUE"""),3260842.0)</f>
        <v>3260842</v>
      </c>
      <c r="H252" s="190">
        <f>IFERROR(__xludf.DUMMYFUNCTION("""COMPUTED_VALUE"""),271736.8333333333)</f>
        <v>271736.8333</v>
      </c>
      <c r="I252" s="195">
        <f>IFERROR(__xludf.DUMMYFUNCTION("""COMPUTED_VALUE"""),585487.0)</f>
        <v>585487</v>
      </c>
      <c r="J252" s="195"/>
      <c r="K252" s="75"/>
      <c r="L252" s="166"/>
    </row>
    <row r="253">
      <c r="A253" s="75">
        <v>248.0</v>
      </c>
      <c r="B253" s="75" t="str">
        <f>IFERROR(__xludf.DUMMYFUNCTION("""COMPUTED_VALUE"""),"Vijay Enterprises")</f>
        <v>Vijay Enterprises</v>
      </c>
      <c r="C253" s="75">
        <f>IFERROR(__xludf.DUMMYFUNCTION("""COMPUTED_VALUE"""),829405.0)</f>
        <v>829405</v>
      </c>
      <c r="D253" s="75">
        <f>IFERROR(__xludf.DUMMYFUNCTION("""COMPUTED_VALUE"""),2.0)</f>
        <v>2</v>
      </c>
      <c r="E253" s="75" t="str">
        <f>IFERROR(__xludf.DUMMYFUNCTION("""COMPUTED_VALUE"""),"CHANGAL CHANDEEP, Ishant")</f>
        <v>CHANGAL CHANDEEP, Ishant</v>
      </c>
      <c r="F253" s="75" t="str">
        <f>IFERROR(__xludf.DUMMYFUNCTION("""COMPUTED_VALUE"""),"HARYANA")</f>
        <v>HARYANA</v>
      </c>
      <c r="G253" s="190">
        <f>IFERROR(__xludf.DUMMYFUNCTION("""COMPUTED_VALUE"""),414702.5)</f>
        <v>414702.5</v>
      </c>
      <c r="H253" s="190">
        <f>IFERROR(__xludf.DUMMYFUNCTION("""COMPUTED_VALUE"""),34558.541666666664)</f>
        <v>34558.54167</v>
      </c>
      <c r="I253" s="195">
        <f>IFERROR(__xludf.DUMMYFUNCTION("""COMPUTED_VALUE"""),4938902.0)</f>
        <v>4938902</v>
      </c>
      <c r="J253" s="195"/>
      <c r="K253" s="75"/>
      <c r="L253" s="166"/>
    </row>
    <row r="254">
      <c r="A254" s="75">
        <v>249.0</v>
      </c>
      <c r="B254" s="75" t="str">
        <f>IFERROR(__xludf.DUMMYFUNCTION("""COMPUTED_VALUE"""),"Vijaya Sai Agencies")</f>
        <v>Vijaya Sai Agencies</v>
      </c>
      <c r="C254" s="75">
        <f>IFERROR(__xludf.DUMMYFUNCTION("""COMPUTED_VALUE"""),1.1790027E7)</f>
        <v>11790027</v>
      </c>
      <c r="D254" s="75">
        <f>IFERROR(__xludf.DUMMYFUNCTION("""COMPUTED_VALUE"""),2.0)</f>
        <v>2</v>
      </c>
      <c r="E254" s="75" t="str">
        <f>IFERROR(__xludf.DUMMYFUNCTION("""COMPUTED_VALUE"""),"Shaik Jani basha, Taninki Ramesh Babu")</f>
        <v>Shaik Jani basha, Taninki Ramesh Babu</v>
      </c>
      <c r="F254" s="75" t="str">
        <f>IFERROR(__xludf.DUMMYFUNCTION("""COMPUTED_VALUE"""),"ANDHRA PRADESH")</f>
        <v>ANDHRA PRADESH</v>
      </c>
      <c r="G254" s="190">
        <f>IFERROR(__xludf.DUMMYFUNCTION("""COMPUTED_VALUE"""),5895013.5)</f>
        <v>5895013.5</v>
      </c>
      <c r="H254" s="190">
        <f>IFERROR(__xludf.DUMMYFUNCTION("""COMPUTED_VALUE"""),491251.125)</f>
        <v>491251.125</v>
      </c>
      <c r="I254" s="195">
        <f>IFERROR(__xludf.DUMMYFUNCTION("""COMPUTED_VALUE"""),1.1637189E7)</f>
        <v>11637189</v>
      </c>
      <c r="J254" s="195"/>
      <c r="K254" s="75"/>
      <c r="L254" s="166"/>
    </row>
    <row r="255">
      <c r="A255" s="75">
        <v>250.0</v>
      </c>
      <c r="B255" s="75" t="str">
        <f>IFERROR(__xludf.DUMMYFUNCTION("""COMPUTED_VALUE"""),"Vinod Traders")</f>
        <v>Vinod Traders</v>
      </c>
      <c r="C255" s="75">
        <f>IFERROR(__xludf.DUMMYFUNCTION("""COMPUTED_VALUE"""),219412.0)</f>
        <v>219412</v>
      </c>
      <c r="D255" s="75">
        <f>IFERROR(__xludf.DUMMYFUNCTION("""COMPUTED_VALUE"""),1.0)</f>
        <v>1</v>
      </c>
      <c r="E255" s="75" t="str">
        <f>IFERROR(__xludf.DUMMYFUNCTION("""COMPUTED_VALUE"""),"ADITYA YADAV")</f>
        <v>ADITYA YADAV</v>
      </c>
      <c r="F255" s="75" t="str">
        <f>IFERROR(__xludf.DUMMYFUNCTION("""COMPUTED_VALUE"""),"West U.P")</f>
        <v>West U.P</v>
      </c>
      <c r="G255" s="190">
        <f>IFERROR(__xludf.DUMMYFUNCTION("""COMPUTED_VALUE"""),219412.0)</f>
        <v>219412</v>
      </c>
      <c r="H255" s="190">
        <f>IFERROR(__xludf.DUMMYFUNCTION("""COMPUTED_VALUE"""),18284.333333333332)</f>
        <v>18284.33333</v>
      </c>
      <c r="I255" s="195">
        <f>IFERROR(__xludf.DUMMYFUNCTION("""COMPUTED_VALUE"""),958811.0)</f>
        <v>958811</v>
      </c>
      <c r="J255" s="195"/>
      <c r="K255" s="75"/>
      <c r="L255" s="166"/>
    </row>
    <row r="256">
      <c r="A256" s="75">
        <v>251.0</v>
      </c>
      <c r="B256" s="75" t="str">
        <f>IFERROR(__xludf.DUMMYFUNCTION("""COMPUTED_VALUE"""),"Vishal Enterprise")</f>
        <v>Vishal Enterprise</v>
      </c>
      <c r="C256" s="75">
        <f>IFERROR(__xludf.DUMMYFUNCTION("""COMPUTED_VALUE"""),2344187.0)</f>
        <v>2344187</v>
      </c>
      <c r="D256" s="75">
        <f>IFERROR(__xludf.DUMMYFUNCTION("""COMPUTED_VALUE"""),2.0)</f>
        <v>2</v>
      </c>
      <c r="E256" s="75" t="str">
        <f>IFERROR(__xludf.DUMMYFUNCTION("""COMPUTED_VALUE"""),"Dipak Sharma, Santanu Kalita")</f>
        <v>Dipak Sharma, Santanu Kalita</v>
      </c>
      <c r="F256" s="75" t="str">
        <f>IFERROR(__xludf.DUMMYFUNCTION("""COMPUTED_VALUE"""),"ASSAM")</f>
        <v>ASSAM</v>
      </c>
      <c r="G256" s="190">
        <f>IFERROR(__xludf.DUMMYFUNCTION("""COMPUTED_VALUE"""),1172093.5)</f>
        <v>1172093.5</v>
      </c>
      <c r="H256" s="190">
        <f>IFERROR(__xludf.DUMMYFUNCTION("""COMPUTED_VALUE"""),97674.45833333333)</f>
        <v>97674.45833</v>
      </c>
      <c r="I256" s="195">
        <f>IFERROR(__xludf.DUMMYFUNCTION("""COMPUTED_VALUE"""),924575.0)</f>
        <v>924575</v>
      </c>
      <c r="J256" s="195"/>
      <c r="K256" s="75"/>
      <c r="L256" s="166"/>
    </row>
    <row r="257">
      <c r="A257" s="75">
        <v>252.0</v>
      </c>
      <c r="B257" s="75" t="str">
        <f>IFERROR(__xludf.DUMMYFUNCTION("""COMPUTED_VALUE"""),"Vyankatesh Traders")</f>
        <v>Vyankatesh Traders</v>
      </c>
      <c r="C257" s="75">
        <f>IFERROR(__xludf.DUMMYFUNCTION("""COMPUTED_VALUE"""),5923941.0)</f>
        <v>5923941</v>
      </c>
      <c r="D257" s="75">
        <f>IFERROR(__xludf.DUMMYFUNCTION("""COMPUTED_VALUE"""),1.0)</f>
        <v>1</v>
      </c>
      <c r="E257" s="75" t="str">
        <f>IFERROR(__xludf.DUMMYFUNCTION("""COMPUTED_VALUE"""),"Syed Sohel Hashmi")</f>
        <v>Syed Sohel Hashmi</v>
      </c>
      <c r="F257" s="75" t="str">
        <f>IFERROR(__xludf.DUMMYFUNCTION("""COMPUTED_VALUE"""),"MAHARASHTRA")</f>
        <v>MAHARASHTRA</v>
      </c>
      <c r="G257" s="190">
        <f>IFERROR(__xludf.DUMMYFUNCTION("""COMPUTED_VALUE"""),5923941.0)</f>
        <v>5923941</v>
      </c>
      <c r="H257" s="190">
        <f>IFERROR(__xludf.DUMMYFUNCTION("""COMPUTED_VALUE"""),493661.75)</f>
        <v>493661.75</v>
      </c>
      <c r="I257" s="195">
        <f>IFERROR(__xludf.DUMMYFUNCTION("""COMPUTED_VALUE"""),4795987.0)</f>
        <v>4795987</v>
      </c>
      <c r="J257" s="195"/>
      <c r="K257" s="75"/>
      <c r="L257" s="166"/>
    </row>
    <row r="258">
      <c r="A258" s="75">
        <v>253.0</v>
      </c>
      <c r="B258" s="75" t="str">
        <f>IFERROR(__xludf.DUMMYFUNCTION("""COMPUTED_VALUE"""),"Wahid Marketing")</f>
        <v>Wahid Marketing</v>
      </c>
      <c r="C258" s="75">
        <f>IFERROR(__xludf.DUMMYFUNCTION("""COMPUTED_VALUE"""),2.765761E7)</f>
        <v>27657610</v>
      </c>
      <c r="D258" s="75">
        <f>IFERROR(__xludf.DUMMYFUNCTION("""COMPUTED_VALUE"""),3.0)</f>
        <v>3</v>
      </c>
      <c r="E258" s="75" t="str">
        <f>IFERROR(__xludf.DUMMYFUNCTION("""COMPUTED_VALUE"""),"Dhiraj Ravindra Patle, Himanshu Sable, Nandkishor Upadhyay")</f>
        <v>Dhiraj Ravindra Patle, Himanshu Sable, Nandkishor Upadhyay</v>
      </c>
      <c r="F258" s="75" t="str">
        <f>IFERROR(__xludf.DUMMYFUNCTION("""COMPUTED_VALUE"""),"MAHARASHTRA")</f>
        <v>MAHARASHTRA</v>
      </c>
      <c r="G258" s="190">
        <f>IFERROR(__xludf.DUMMYFUNCTION("""COMPUTED_VALUE"""),9219203.333333334)</f>
        <v>9219203.333</v>
      </c>
      <c r="H258" s="190">
        <f>IFERROR(__xludf.DUMMYFUNCTION("""COMPUTED_VALUE"""),768266.9444444445)</f>
        <v>768266.9444</v>
      </c>
      <c r="I258" s="195">
        <f>IFERROR(__xludf.DUMMYFUNCTION("""COMPUTED_VALUE"""),4.2661375E7)</f>
        <v>42661375</v>
      </c>
      <c r="J258" s="195"/>
      <c r="K258" s="75"/>
      <c r="L258" s="166"/>
    </row>
    <row r="259">
      <c r="A259" s="75">
        <v>254.0</v>
      </c>
      <c r="B259" s="75" t="str">
        <f>IFERROR(__xludf.DUMMYFUNCTION("""COMPUTED_VALUE"""),"Warsi Sales Corporation")</f>
        <v>Warsi Sales Corporation</v>
      </c>
      <c r="C259" s="75">
        <f>IFERROR(__xludf.DUMMYFUNCTION("""COMPUTED_VALUE"""),1.7064796E7)</f>
        <v>17064796</v>
      </c>
      <c r="D259" s="75">
        <f>IFERROR(__xludf.DUMMYFUNCTION("""COMPUTED_VALUE"""),2.0)</f>
        <v>2</v>
      </c>
      <c r="E259" s="75" t="str">
        <f>IFERROR(__xludf.DUMMYFUNCTION("""COMPUTED_VALUE"""),"Ravi Kumar Verma, Wasim Ahmad")</f>
        <v>Ravi Kumar Verma, Wasim Ahmad</v>
      </c>
      <c r="F259" s="75" t="str">
        <f>IFERROR(__xludf.DUMMYFUNCTION("""COMPUTED_VALUE"""),"East U.P")</f>
        <v>East U.P</v>
      </c>
      <c r="G259" s="190">
        <f>IFERROR(__xludf.DUMMYFUNCTION("""COMPUTED_VALUE"""),8532398.0)</f>
        <v>8532398</v>
      </c>
      <c r="H259" s="190">
        <f>IFERROR(__xludf.DUMMYFUNCTION("""COMPUTED_VALUE"""),711033.1666666666)</f>
        <v>711033.1667</v>
      </c>
      <c r="I259" s="195">
        <f>IFERROR(__xludf.DUMMYFUNCTION("""COMPUTED_VALUE"""),2.1616667E7)</f>
        <v>21616667</v>
      </c>
      <c r="J259" s="195"/>
      <c r="K259" s="75"/>
      <c r="L259" s="166"/>
    </row>
    <row r="260">
      <c r="A260" s="75">
        <v>255.0</v>
      </c>
      <c r="B260" s="75" t="str">
        <f>IFERROR(__xludf.DUMMYFUNCTION("""COMPUTED_VALUE"""),"Y A Traders")</f>
        <v>Y A Traders</v>
      </c>
      <c r="C260" s="75">
        <f>IFERROR(__xludf.DUMMYFUNCTION("""COMPUTED_VALUE"""),2318128.0)</f>
        <v>2318128</v>
      </c>
      <c r="D260" s="75">
        <f>IFERROR(__xludf.DUMMYFUNCTION("""COMPUTED_VALUE"""),1.0)</f>
        <v>1</v>
      </c>
      <c r="E260" s="75" t="str">
        <f>IFERROR(__xludf.DUMMYFUNCTION("""COMPUTED_VALUE"""),"Girish B")</f>
        <v>Girish B</v>
      </c>
      <c r="F260" s="75" t="str">
        <f>IFERROR(__xludf.DUMMYFUNCTION("""COMPUTED_VALUE"""),"KERALA")</f>
        <v>KERALA</v>
      </c>
      <c r="G260" s="190">
        <f>IFERROR(__xludf.DUMMYFUNCTION("""COMPUTED_VALUE"""),2318128.0)</f>
        <v>2318128</v>
      </c>
      <c r="H260" s="190">
        <f>IFERROR(__xludf.DUMMYFUNCTION("""COMPUTED_VALUE"""),193177.33333333334)</f>
        <v>193177.3333</v>
      </c>
      <c r="I260" s="195">
        <f>IFERROR(__xludf.DUMMYFUNCTION("""COMPUTED_VALUE"""),0.0)</f>
        <v>0</v>
      </c>
      <c r="J260" s="195"/>
      <c r="K260" s="75"/>
      <c r="L260" s="166"/>
    </row>
    <row r="261">
      <c r="A261" s="75">
        <v>256.0</v>
      </c>
      <c r="B261" s="75" t="str">
        <f>IFERROR(__xludf.DUMMYFUNCTION("""COMPUTED_VALUE"""),"Yash Enterprise")</f>
        <v>Yash Enterprise</v>
      </c>
      <c r="C261" s="75">
        <f>IFERROR(__xludf.DUMMYFUNCTION("""COMPUTED_VALUE"""),1761980.0)</f>
        <v>1761980</v>
      </c>
      <c r="D261" s="75">
        <f>IFERROR(__xludf.DUMMYFUNCTION("""COMPUTED_VALUE"""),1.0)</f>
        <v>1</v>
      </c>
      <c r="E261" s="75" t="str">
        <f>IFERROR(__xludf.DUMMYFUNCTION("""COMPUTED_VALUE"""),"Ashutosh Kumar (Rudrapur)")</f>
        <v>Ashutosh Kumar (Rudrapur)</v>
      </c>
      <c r="F261" s="75" t="str">
        <f>IFERROR(__xludf.DUMMYFUNCTION("""COMPUTED_VALUE"""),"UTTARAKHAND")</f>
        <v>UTTARAKHAND</v>
      </c>
      <c r="G261" s="190">
        <f>IFERROR(__xludf.DUMMYFUNCTION("""COMPUTED_VALUE"""),1761980.0)</f>
        <v>1761980</v>
      </c>
      <c r="H261" s="190">
        <f>IFERROR(__xludf.DUMMYFUNCTION("""COMPUTED_VALUE"""),146831.66666666666)</f>
        <v>146831.6667</v>
      </c>
      <c r="I261" s="195">
        <f>IFERROR(__xludf.DUMMYFUNCTION("""COMPUTED_VALUE"""),562190.0)</f>
        <v>562190</v>
      </c>
      <c r="J261" s="195"/>
      <c r="K261" s="75"/>
      <c r="L261" s="166"/>
    </row>
    <row r="262">
      <c r="I262" s="265"/>
      <c r="J262" s="265"/>
      <c r="L262" s="166"/>
    </row>
    <row r="263">
      <c r="I263" s="265"/>
      <c r="J263" s="265"/>
      <c r="L263" s="166"/>
    </row>
    <row r="264">
      <c r="I264" s="265"/>
      <c r="J264" s="265"/>
      <c r="L264" s="166"/>
    </row>
    <row r="265">
      <c r="I265" s="265"/>
      <c r="J265" s="265"/>
      <c r="L265" s="166"/>
    </row>
    <row r="266">
      <c r="I266" s="265"/>
      <c r="J266" s="265"/>
      <c r="L266" s="166"/>
    </row>
    <row r="267">
      <c r="I267" s="265"/>
      <c r="J267" s="265"/>
      <c r="L267" s="166"/>
    </row>
    <row r="268">
      <c r="I268" s="265"/>
      <c r="J268" s="265"/>
      <c r="L268" s="166"/>
    </row>
    <row r="269">
      <c r="I269" s="265"/>
      <c r="J269" s="265"/>
      <c r="L269" s="166"/>
    </row>
    <row r="270">
      <c r="I270" s="265"/>
      <c r="J270" s="265"/>
      <c r="L270" s="166"/>
    </row>
    <row r="271">
      <c r="I271" s="265"/>
      <c r="J271" s="265"/>
      <c r="L271" s="166"/>
    </row>
    <row r="272">
      <c r="I272" s="265"/>
      <c r="J272" s="265"/>
      <c r="L272" s="166"/>
    </row>
    <row r="273">
      <c r="I273" s="265"/>
      <c r="J273" s="265"/>
      <c r="L273" s="166"/>
    </row>
    <row r="274">
      <c r="I274" s="265"/>
      <c r="J274" s="265"/>
      <c r="L274" s="166"/>
    </row>
    <row r="275">
      <c r="I275" s="265"/>
      <c r="J275" s="265"/>
      <c r="L275" s="166"/>
    </row>
    <row r="276">
      <c r="I276" s="265"/>
      <c r="J276" s="265"/>
      <c r="L276" s="166"/>
    </row>
    <row r="277">
      <c r="I277" s="265"/>
      <c r="J277" s="265"/>
      <c r="L277" s="166"/>
    </row>
    <row r="278">
      <c r="I278" s="265"/>
      <c r="J278" s="265"/>
      <c r="L278" s="166"/>
    </row>
    <row r="279">
      <c r="I279" s="265"/>
      <c r="J279" s="265"/>
      <c r="L279" s="166"/>
    </row>
    <row r="280">
      <c r="I280" s="265"/>
      <c r="J280" s="265"/>
      <c r="L280" s="166"/>
    </row>
    <row r="281">
      <c r="I281" s="265"/>
      <c r="J281" s="265"/>
      <c r="L281" s="166"/>
    </row>
    <row r="282">
      <c r="I282" s="265"/>
      <c r="J282" s="265"/>
      <c r="L282" s="166"/>
    </row>
    <row r="283">
      <c r="I283" s="265"/>
      <c r="J283" s="265"/>
      <c r="L283" s="166"/>
    </row>
    <row r="284">
      <c r="I284" s="265"/>
      <c r="J284" s="265"/>
      <c r="L284" s="166"/>
    </row>
    <row r="285">
      <c r="I285" s="265"/>
      <c r="J285" s="265"/>
      <c r="L285" s="166"/>
    </row>
    <row r="286">
      <c r="I286" s="265"/>
      <c r="J286" s="265"/>
      <c r="L286" s="166"/>
    </row>
    <row r="287">
      <c r="I287" s="265"/>
      <c r="J287" s="265"/>
      <c r="L287" s="166"/>
    </row>
    <row r="288">
      <c r="I288" s="265"/>
      <c r="J288" s="265"/>
      <c r="L288" s="166"/>
    </row>
    <row r="289">
      <c r="I289" s="265"/>
      <c r="J289" s="265"/>
      <c r="L289" s="166"/>
    </row>
    <row r="290">
      <c r="I290" s="265"/>
      <c r="J290" s="265"/>
      <c r="L290" s="166"/>
    </row>
    <row r="291">
      <c r="I291" s="265"/>
      <c r="J291" s="265"/>
      <c r="L291" s="166"/>
    </row>
    <row r="292">
      <c r="I292" s="265"/>
      <c r="J292" s="265"/>
      <c r="L292" s="166"/>
    </row>
    <row r="293">
      <c r="I293" s="265"/>
      <c r="J293" s="265"/>
      <c r="L293" s="166"/>
    </row>
    <row r="294">
      <c r="I294" s="265"/>
      <c r="J294" s="265"/>
      <c r="L294" s="166"/>
    </row>
    <row r="295">
      <c r="I295" s="265"/>
      <c r="J295" s="265"/>
      <c r="L295" s="166"/>
    </row>
    <row r="296">
      <c r="I296" s="265"/>
      <c r="J296" s="265"/>
      <c r="L296" s="166"/>
    </row>
    <row r="297">
      <c r="I297" s="265"/>
      <c r="J297" s="265"/>
      <c r="L297" s="166"/>
    </row>
    <row r="298">
      <c r="I298" s="265"/>
      <c r="J298" s="265"/>
      <c r="L298" s="166"/>
    </row>
    <row r="299">
      <c r="I299" s="265"/>
      <c r="J299" s="265"/>
      <c r="L299" s="166"/>
    </row>
    <row r="300">
      <c r="I300" s="265"/>
      <c r="J300" s="265"/>
      <c r="L300" s="166"/>
    </row>
    <row r="301">
      <c r="I301" s="265"/>
      <c r="J301" s="265"/>
      <c r="L301" s="166"/>
    </row>
    <row r="302">
      <c r="I302" s="265"/>
      <c r="J302" s="265"/>
      <c r="L302" s="166"/>
    </row>
    <row r="303">
      <c r="I303" s="265"/>
      <c r="J303" s="265"/>
      <c r="L303" s="166"/>
    </row>
    <row r="304">
      <c r="I304" s="265"/>
      <c r="J304" s="265"/>
      <c r="L304" s="166"/>
    </row>
    <row r="305">
      <c r="I305" s="265"/>
      <c r="J305" s="265"/>
      <c r="L305" s="166"/>
    </row>
    <row r="306">
      <c r="I306" s="265"/>
      <c r="J306" s="265"/>
      <c r="L306" s="166"/>
    </row>
    <row r="307">
      <c r="I307" s="265"/>
      <c r="J307" s="265"/>
      <c r="L307" s="166"/>
    </row>
    <row r="308">
      <c r="I308" s="265"/>
      <c r="J308" s="265"/>
      <c r="L308" s="166"/>
    </row>
    <row r="309">
      <c r="I309" s="265"/>
      <c r="J309" s="265"/>
      <c r="L309" s="166"/>
    </row>
    <row r="310">
      <c r="I310" s="265"/>
      <c r="J310" s="265"/>
      <c r="L310" s="166"/>
    </row>
    <row r="311">
      <c r="I311" s="265"/>
      <c r="J311" s="265"/>
      <c r="L311" s="166"/>
    </row>
    <row r="312">
      <c r="I312" s="265"/>
      <c r="J312" s="265"/>
      <c r="L312" s="166"/>
    </row>
    <row r="313">
      <c r="I313" s="265"/>
      <c r="J313" s="265"/>
      <c r="L313" s="166"/>
    </row>
    <row r="314">
      <c r="I314" s="265"/>
      <c r="J314" s="265"/>
      <c r="L314" s="166"/>
    </row>
    <row r="315">
      <c r="I315" s="265"/>
      <c r="J315" s="265"/>
      <c r="L315" s="166"/>
    </row>
    <row r="316">
      <c r="I316" s="265"/>
      <c r="J316" s="265"/>
      <c r="L316" s="166"/>
    </row>
    <row r="317">
      <c r="I317" s="265"/>
      <c r="J317" s="265"/>
      <c r="L317" s="166"/>
    </row>
    <row r="318">
      <c r="I318" s="265"/>
      <c r="J318" s="265"/>
      <c r="L318" s="166"/>
    </row>
    <row r="319">
      <c r="I319" s="265"/>
      <c r="J319" s="265"/>
      <c r="L319" s="166"/>
    </row>
    <row r="320">
      <c r="I320" s="265"/>
      <c r="J320" s="265"/>
      <c r="L320" s="166"/>
    </row>
    <row r="321">
      <c r="I321" s="265"/>
      <c r="J321" s="265"/>
      <c r="L321" s="166"/>
    </row>
    <row r="322">
      <c r="I322" s="265"/>
      <c r="J322" s="265"/>
      <c r="L322" s="166"/>
    </row>
    <row r="323">
      <c r="I323" s="265"/>
      <c r="J323" s="265"/>
      <c r="L323" s="166"/>
    </row>
    <row r="324">
      <c r="I324" s="265"/>
      <c r="J324" s="265"/>
      <c r="L324" s="166"/>
    </row>
    <row r="325">
      <c r="I325" s="265"/>
      <c r="J325" s="265"/>
      <c r="L325" s="166"/>
    </row>
    <row r="326">
      <c r="I326" s="265"/>
      <c r="J326" s="265"/>
      <c r="L326" s="166"/>
    </row>
    <row r="327">
      <c r="I327" s="265"/>
      <c r="J327" s="265"/>
      <c r="L327" s="166"/>
    </row>
    <row r="328">
      <c r="I328" s="265"/>
      <c r="J328" s="265"/>
      <c r="L328" s="166"/>
    </row>
    <row r="329">
      <c r="I329" s="265"/>
      <c r="J329" s="265"/>
      <c r="L329" s="166"/>
    </row>
    <row r="330">
      <c r="I330" s="265"/>
      <c r="J330" s="265"/>
      <c r="L330" s="166"/>
    </row>
    <row r="331">
      <c r="I331" s="265"/>
      <c r="J331" s="265"/>
      <c r="L331" s="166"/>
    </row>
    <row r="332">
      <c r="I332" s="265"/>
      <c r="J332" s="265"/>
      <c r="L332" s="166"/>
    </row>
    <row r="333">
      <c r="I333" s="265"/>
      <c r="J333" s="265"/>
      <c r="L333" s="166"/>
    </row>
    <row r="334">
      <c r="I334" s="265"/>
      <c r="J334" s="265"/>
      <c r="L334" s="166"/>
    </row>
    <row r="335">
      <c r="I335" s="265"/>
      <c r="J335" s="265"/>
      <c r="L335" s="166"/>
    </row>
    <row r="336">
      <c r="I336" s="265"/>
      <c r="J336" s="265"/>
      <c r="L336" s="166"/>
    </row>
    <row r="337">
      <c r="I337" s="265"/>
      <c r="J337" s="265"/>
      <c r="L337" s="166"/>
    </row>
    <row r="338">
      <c r="I338" s="265"/>
      <c r="J338" s="265"/>
      <c r="L338" s="166"/>
    </row>
    <row r="339">
      <c r="I339" s="265"/>
      <c r="J339" s="265"/>
      <c r="L339" s="166"/>
    </row>
    <row r="340">
      <c r="I340" s="265"/>
      <c r="J340" s="265"/>
      <c r="L340" s="166"/>
    </row>
    <row r="341">
      <c r="I341" s="265"/>
      <c r="J341" s="265"/>
      <c r="L341" s="166"/>
    </row>
    <row r="342">
      <c r="I342" s="265"/>
      <c r="J342" s="265"/>
      <c r="L342" s="166"/>
    </row>
    <row r="343">
      <c r="I343" s="265"/>
      <c r="J343" s="265"/>
      <c r="L343" s="166"/>
    </row>
    <row r="344">
      <c r="I344" s="265"/>
      <c r="J344" s="265"/>
      <c r="L344" s="166"/>
    </row>
    <row r="345">
      <c r="I345" s="265"/>
      <c r="J345" s="265"/>
      <c r="L345" s="166"/>
    </row>
    <row r="346">
      <c r="I346" s="265"/>
      <c r="J346" s="265"/>
      <c r="L346" s="166"/>
    </row>
    <row r="347">
      <c r="I347" s="265"/>
      <c r="J347" s="265"/>
      <c r="L347" s="166"/>
    </row>
    <row r="348">
      <c r="I348" s="265"/>
      <c r="J348" s="265"/>
      <c r="L348" s="166"/>
    </row>
    <row r="349">
      <c r="I349" s="265"/>
      <c r="J349" s="265"/>
      <c r="L349" s="166"/>
    </row>
    <row r="350">
      <c r="I350" s="265"/>
      <c r="J350" s="265"/>
      <c r="L350" s="166"/>
    </row>
    <row r="351">
      <c r="I351" s="265"/>
      <c r="J351" s="265"/>
      <c r="L351" s="166"/>
    </row>
    <row r="352">
      <c r="I352" s="265"/>
      <c r="J352" s="265"/>
      <c r="L352" s="166"/>
    </row>
    <row r="353">
      <c r="I353" s="265"/>
      <c r="J353" s="265"/>
      <c r="L353" s="166"/>
    </row>
    <row r="354">
      <c r="I354" s="265"/>
      <c r="J354" s="265"/>
      <c r="L354" s="166"/>
    </row>
    <row r="355">
      <c r="I355" s="265"/>
      <c r="J355" s="265"/>
      <c r="L355" s="166"/>
    </row>
    <row r="356">
      <c r="I356" s="265"/>
      <c r="J356" s="265"/>
      <c r="L356" s="166"/>
    </row>
    <row r="357">
      <c r="I357" s="265"/>
      <c r="J357" s="265"/>
      <c r="L357" s="166"/>
    </row>
    <row r="358">
      <c r="I358" s="265"/>
      <c r="J358" s="265"/>
      <c r="L358" s="166"/>
    </row>
    <row r="359">
      <c r="I359" s="265"/>
      <c r="J359" s="265"/>
      <c r="L359" s="166"/>
    </row>
    <row r="360">
      <c r="I360" s="265"/>
      <c r="J360" s="265"/>
      <c r="L360" s="166"/>
    </row>
    <row r="361">
      <c r="I361" s="265"/>
      <c r="J361" s="265"/>
      <c r="L361" s="166"/>
    </row>
    <row r="362">
      <c r="I362" s="265"/>
      <c r="J362" s="265"/>
      <c r="L362" s="166"/>
    </row>
    <row r="363">
      <c r="I363" s="265"/>
      <c r="J363" s="265"/>
      <c r="L363" s="166"/>
    </row>
    <row r="364">
      <c r="I364" s="265"/>
      <c r="J364" s="265"/>
      <c r="L364" s="166"/>
    </row>
    <row r="365">
      <c r="I365" s="265"/>
      <c r="J365" s="265"/>
      <c r="L365" s="166"/>
    </row>
    <row r="366">
      <c r="I366" s="265"/>
      <c r="J366" s="265"/>
      <c r="L366" s="166"/>
    </row>
    <row r="367">
      <c r="I367" s="265"/>
      <c r="J367" s="265"/>
      <c r="L367" s="166"/>
    </row>
    <row r="368">
      <c r="I368" s="265"/>
      <c r="J368" s="265"/>
      <c r="L368" s="166"/>
    </row>
    <row r="369">
      <c r="I369" s="265"/>
      <c r="J369" s="265"/>
      <c r="L369" s="166"/>
    </row>
    <row r="370">
      <c r="I370" s="265"/>
      <c r="J370" s="265"/>
      <c r="L370" s="166"/>
    </row>
    <row r="371">
      <c r="I371" s="265"/>
      <c r="J371" s="265"/>
      <c r="L371" s="166"/>
    </row>
    <row r="372">
      <c r="I372" s="265"/>
      <c r="J372" s="265"/>
      <c r="L372" s="166"/>
    </row>
    <row r="373">
      <c r="I373" s="265"/>
      <c r="J373" s="265"/>
      <c r="L373" s="166"/>
    </row>
    <row r="374">
      <c r="I374" s="265"/>
      <c r="J374" s="265"/>
      <c r="L374" s="166"/>
    </row>
    <row r="375">
      <c r="I375" s="265"/>
      <c r="J375" s="265"/>
      <c r="L375" s="166"/>
    </row>
    <row r="376">
      <c r="I376" s="265"/>
      <c r="J376" s="265"/>
      <c r="L376" s="166"/>
    </row>
    <row r="377">
      <c r="I377" s="265"/>
      <c r="J377" s="265"/>
      <c r="L377" s="166"/>
    </row>
    <row r="378">
      <c r="I378" s="265"/>
      <c r="J378" s="265"/>
      <c r="L378" s="166"/>
    </row>
    <row r="379">
      <c r="I379" s="265"/>
      <c r="J379" s="265"/>
      <c r="L379" s="166"/>
    </row>
    <row r="380">
      <c r="I380" s="265"/>
      <c r="J380" s="265"/>
      <c r="L380" s="166"/>
    </row>
    <row r="381">
      <c r="I381" s="265"/>
      <c r="J381" s="265"/>
      <c r="L381" s="166"/>
    </row>
    <row r="382">
      <c r="I382" s="265"/>
      <c r="J382" s="265"/>
      <c r="L382" s="166"/>
    </row>
    <row r="383">
      <c r="I383" s="265"/>
      <c r="J383" s="265"/>
      <c r="L383" s="166"/>
    </row>
    <row r="384">
      <c r="I384" s="265"/>
      <c r="J384" s="265"/>
      <c r="L384" s="166"/>
    </row>
    <row r="385">
      <c r="I385" s="265"/>
      <c r="J385" s="265"/>
      <c r="L385" s="166"/>
    </row>
    <row r="386">
      <c r="I386" s="265"/>
      <c r="J386" s="265"/>
      <c r="L386" s="166"/>
    </row>
    <row r="387">
      <c r="I387" s="265"/>
      <c r="J387" s="265"/>
      <c r="L387" s="166"/>
    </row>
    <row r="388">
      <c r="I388" s="265"/>
      <c r="J388" s="265"/>
      <c r="L388" s="166"/>
    </row>
    <row r="389">
      <c r="I389" s="265"/>
      <c r="J389" s="265"/>
      <c r="L389" s="166"/>
    </row>
    <row r="390">
      <c r="I390" s="265"/>
      <c r="J390" s="265"/>
      <c r="L390" s="166"/>
    </row>
    <row r="391">
      <c r="I391" s="265"/>
      <c r="J391" s="265"/>
      <c r="L391" s="166"/>
    </row>
    <row r="392">
      <c r="I392" s="265"/>
      <c r="J392" s="265"/>
      <c r="L392" s="166"/>
    </row>
    <row r="393">
      <c r="I393" s="265"/>
      <c r="J393" s="265"/>
      <c r="L393" s="166"/>
    </row>
    <row r="394">
      <c r="I394" s="265"/>
      <c r="J394" s="265"/>
      <c r="L394" s="166"/>
    </row>
    <row r="395">
      <c r="I395" s="265"/>
      <c r="J395" s="265"/>
      <c r="L395" s="166"/>
    </row>
    <row r="396">
      <c r="I396" s="265"/>
      <c r="J396" s="265"/>
      <c r="L396" s="166"/>
    </row>
    <row r="397">
      <c r="I397" s="265"/>
      <c r="J397" s="265"/>
      <c r="L397" s="166"/>
    </row>
    <row r="398">
      <c r="I398" s="265"/>
      <c r="J398" s="265"/>
      <c r="L398" s="166"/>
    </row>
    <row r="399">
      <c r="I399" s="265"/>
      <c r="J399" s="265"/>
      <c r="L399" s="166"/>
    </row>
    <row r="400">
      <c r="I400" s="265"/>
      <c r="J400" s="265"/>
      <c r="L400" s="166"/>
    </row>
    <row r="401">
      <c r="I401" s="265"/>
      <c r="J401" s="265"/>
      <c r="L401" s="166"/>
    </row>
    <row r="402">
      <c r="I402" s="265"/>
      <c r="J402" s="265"/>
      <c r="L402" s="166"/>
    </row>
    <row r="403">
      <c r="I403" s="265"/>
      <c r="J403" s="265"/>
      <c r="L403" s="166"/>
    </row>
    <row r="404">
      <c r="I404" s="265"/>
      <c r="J404" s="265"/>
      <c r="L404" s="166"/>
    </row>
    <row r="405">
      <c r="I405" s="265"/>
      <c r="J405" s="265"/>
      <c r="L405" s="166"/>
    </row>
    <row r="406">
      <c r="I406" s="265"/>
      <c r="J406" s="265"/>
      <c r="L406" s="166"/>
    </row>
    <row r="407">
      <c r="I407" s="265"/>
      <c r="J407" s="265"/>
      <c r="L407" s="166"/>
    </row>
    <row r="408">
      <c r="I408" s="265"/>
      <c r="J408" s="265"/>
      <c r="L408" s="166"/>
    </row>
    <row r="409">
      <c r="I409" s="265"/>
      <c r="J409" s="265"/>
      <c r="L409" s="166"/>
    </row>
    <row r="410">
      <c r="I410" s="265"/>
      <c r="J410" s="265"/>
      <c r="L410" s="166"/>
    </row>
    <row r="411">
      <c r="I411" s="265"/>
      <c r="J411" s="265"/>
      <c r="L411" s="166"/>
    </row>
    <row r="412">
      <c r="I412" s="265"/>
      <c r="J412" s="265"/>
      <c r="L412" s="166"/>
    </row>
    <row r="413">
      <c r="I413" s="265"/>
      <c r="J413" s="265"/>
      <c r="L413" s="166"/>
    </row>
    <row r="414">
      <c r="I414" s="265"/>
      <c r="J414" s="265"/>
      <c r="L414" s="166"/>
    </row>
    <row r="415">
      <c r="I415" s="265"/>
      <c r="J415" s="265"/>
      <c r="L415" s="166"/>
    </row>
    <row r="416">
      <c r="I416" s="265"/>
      <c r="J416" s="265"/>
      <c r="L416" s="166"/>
    </row>
    <row r="417">
      <c r="I417" s="265"/>
      <c r="J417" s="265"/>
      <c r="L417" s="166"/>
    </row>
    <row r="418">
      <c r="I418" s="265"/>
      <c r="J418" s="265"/>
      <c r="L418" s="166"/>
    </row>
    <row r="419">
      <c r="I419" s="265"/>
      <c r="J419" s="265"/>
      <c r="L419" s="166"/>
    </row>
    <row r="420">
      <c r="I420" s="265"/>
      <c r="J420" s="265"/>
      <c r="L420" s="166"/>
    </row>
    <row r="421">
      <c r="I421" s="265"/>
      <c r="J421" s="265"/>
      <c r="L421" s="166"/>
    </row>
    <row r="422">
      <c r="I422" s="265"/>
      <c r="J422" s="265"/>
      <c r="L422" s="166"/>
    </row>
    <row r="423">
      <c r="I423" s="265"/>
      <c r="J423" s="265"/>
      <c r="L423" s="166"/>
    </row>
    <row r="424">
      <c r="I424" s="265"/>
      <c r="J424" s="265"/>
      <c r="L424" s="166"/>
    </row>
    <row r="425">
      <c r="I425" s="265"/>
      <c r="J425" s="265"/>
      <c r="L425" s="166"/>
    </row>
    <row r="426">
      <c r="I426" s="265"/>
      <c r="J426" s="265"/>
      <c r="L426" s="166"/>
    </row>
    <row r="427">
      <c r="I427" s="265"/>
      <c r="J427" s="265"/>
      <c r="L427" s="166"/>
    </row>
    <row r="428">
      <c r="I428" s="265"/>
      <c r="J428" s="265"/>
      <c r="L428" s="166"/>
    </row>
    <row r="429">
      <c r="I429" s="265"/>
      <c r="J429" s="265"/>
      <c r="L429" s="166"/>
    </row>
    <row r="430">
      <c r="I430" s="265"/>
      <c r="J430" s="265"/>
      <c r="L430" s="166"/>
    </row>
    <row r="431">
      <c r="I431" s="265"/>
      <c r="J431" s="265"/>
      <c r="L431" s="166"/>
    </row>
    <row r="432">
      <c r="I432" s="265"/>
      <c r="J432" s="265"/>
      <c r="L432" s="166"/>
    </row>
    <row r="433">
      <c r="I433" s="265"/>
      <c r="J433" s="265"/>
      <c r="L433" s="166"/>
    </row>
    <row r="434">
      <c r="I434" s="265"/>
      <c r="J434" s="265"/>
      <c r="L434" s="166"/>
    </row>
    <row r="435">
      <c r="I435" s="265"/>
      <c r="J435" s="265"/>
      <c r="L435" s="166"/>
    </row>
    <row r="436">
      <c r="I436" s="265"/>
      <c r="J436" s="265"/>
      <c r="L436" s="166"/>
    </row>
    <row r="437">
      <c r="I437" s="265"/>
      <c r="J437" s="265"/>
      <c r="L437" s="166"/>
    </row>
    <row r="438">
      <c r="I438" s="265"/>
      <c r="J438" s="265"/>
      <c r="L438" s="166"/>
    </row>
    <row r="439">
      <c r="I439" s="265"/>
      <c r="J439" s="265"/>
      <c r="L439" s="166"/>
    </row>
    <row r="440">
      <c r="I440" s="265"/>
      <c r="J440" s="265"/>
      <c r="L440" s="166"/>
    </row>
    <row r="441">
      <c r="I441" s="265"/>
      <c r="J441" s="265"/>
      <c r="L441" s="166"/>
    </row>
    <row r="442">
      <c r="I442" s="265"/>
      <c r="J442" s="265"/>
      <c r="L442" s="166"/>
    </row>
    <row r="443">
      <c r="I443" s="265"/>
      <c r="J443" s="265"/>
      <c r="L443" s="166"/>
    </row>
    <row r="444">
      <c r="I444" s="265"/>
      <c r="J444" s="265"/>
      <c r="L444" s="166"/>
    </row>
    <row r="445">
      <c r="I445" s="265"/>
      <c r="J445" s="265"/>
      <c r="L445" s="166"/>
    </row>
    <row r="446">
      <c r="I446" s="265"/>
      <c r="J446" s="265"/>
      <c r="L446" s="166"/>
    </row>
    <row r="447">
      <c r="I447" s="265"/>
      <c r="J447" s="265"/>
      <c r="L447" s="166"/>
    </row>
    <row r="448">
      <c r="I448" s="265"/>
      <c r="J448" s="265"/>
      <c r="L448" s="166"/>
    </row>
    <row r="449">
      <c r="I449" s="265"/>
      <c r="J449" s="265"/>
      <c r="L449" s="166"/>
    </row>
    <row r="450">
      <c r="I450" s="265"/>
      <c r="J450" s="265"/>
      <c r="L450" s="166"/>
    </row>
    <row r="451">
      <c r="I451" s="265"/>
      <c r="J451" s="265"/>
      <c r="L451" s="166"/>
    </row>
    <row r="452">
      <c r="I452" s="265"/>
      <c r="J452" s="265"/>
      <c r="L452" s="166"/>
    </row>
    <row r="453">
      <c r="I453" s="265"/>
      <c r="J453" s="265"/>
      <c r="L453" s="166"/>
    </row>
    <row r="454">
      <c r="I454" s="265"/>
      <c r="J454" s="265"/>
      <c r="L454" s="166"/>
    </row>
    <row r="455">
      <c r="I455" s="265"/>
      <c r="J455" s="265"/>
      <c r="L455" s="166"/>
    </row>
    <row r="456">
      <c r="I456" s="265"/>
      <c r="J456" s="265"/>
      <c r="L456" s="166"/>
    </row>
    <row r="457">
      <c r="I457" s="265"/>
      <c r="J457" s="265"/>
      <c r="L457" s="166"/>
    </row>
    <row r="458">
      <c r="I458" s="265"/>
      <c r="J458" s="265"/>
      <c r="L458" s="166"/>
    </row>
    <row r="459">
      <c r="I459" s="265"/>
      <c r="J459" s="265"/>
      <c r="L459" s="166"/>
    </row>
    <row r="460">
      <c r="I460" s="265"/>
      <c r="J460" s="265"/>
      <c r="L460" s="166"/>
    </row>
    <row r="461">
      <c r="I461" s="265"/>
      <c r="J461" s="265"/>
      <c r="L461" s="166"/>
    </row>
    <row r="462">
      <c r="I462" s="265"/>
      <c r="J462" s="265"/>
      <c r="L462" s="166"/>
    </row>
    <row r="463">
      <c r="I463" s="265"/>
      <c r="J463" s="265"/>
      <c r="L463" s="166"/>
    </row>
    <row r="464">
      <c r="I464" s="265"/>
      <c r="J464" s="265"/>
      <c r="L464" s="166"/>
    </row>
    <row r="465">
      <c r="I465" s="265"/>
      <c r="J465" s="265"/>
      <c r="L465" s="166"/>
    </row>
    <row r="466">
      <c r="I466" s="265"/>
      <c r="J466" s="265"/>
      <c r="L466" s="166"/>
    </row>
    <row r="467">
      <c r="I467" s="265"/>
      <c r="J467" s="265"/>
      <c r="L467" s="166"/>
    </row>
    <row r="468">
      <c r="I468" s="265"/>
      <c r="J468" s="265"/>
      <c r="L468" s="166"/>
    </row>
    <row r="469">
      <c r="I469" s="265"/>
      <c r="J469" s="265"/>
      <c r="L469" s="166"/>
    </row>
    <row r="470">
      <c r="I470" s="265"/>
      <c r="J470" s="265"/>
      <c r="L470" s="166"/>
    </row>
    <row r="471">
      <c r="I471" s="265"/>
      <c r="J471" s="265"/>
      <c r="L471" s="166"/>
    </row>
    <row r="472">
      <c r="I472" s="265"/>
      <c r="J472" s="265"/>
      <c r="L472" s="166"/>
    </row>
    <row r="473">
      <c r="I473" s="265"/>
      <c r="J473" s="265"/>
      <c r="L473" s="166"/>
    </row>
    <row r="474">
      <c r="I474" s="265"/>
      <c r="J474" s="265"/>
      <c r="L474" s="166"/>
    </row>
    <row r="475">
      <c r="I475" s="265"/>
      <c r="J475" s="265"/>
      <c r="L475" s="166"/>
    </row>
    <row r="476">
      <c r="I476" s="265"/>
      <c r="J476" s="265"/>
      <c r="L476" s="166"/>
    </row>
    <row r="477">
      <c r="I477" s="265"/>
      <c r="J477" s="265"/>
      <c r="L477" s="166"/>
    </row>
    <row r="478">
      <c r="I478" s="265"/>
      <c r="J478" s="265"/>
      <c r="L478" s="166"/>
    </row>
    <row r="479">
      <c r="I479" s="265"/>
      <c r="J479" s="265"/>
      <c r="L479" s="166"/>
    </row>
    <row r="480">
      <c r="I480" s="265"/>
      <c r="J480" s="265"/>
      <c r="L480" s="166"/>
    </row>
    <row r="481">
      <c r="I481" s="265"/>
      <c r="J481" s="265"/>
      <c r="L481" s="166"/>
    </row>
    <row r="482">
      <c r="I482" s="265"/>
      <c r="J482" s="265"/>
      <c r="L482" s="166"/>
    </row>
    <row r="483">
      <c r="I483" s="265"/>
      <c r="J483" s="265"/>
      <c r="L483" s="166"/>
    </row>
    <row r="484">
      <c r="I484" s="265"/>
      <c r="J484" s="265"/>
      <c r="L484" s="166"/>
    </row>
    <row r="485">
      <c r="I485" s="265"/>
      <c r="J485" s="265"/>
      <c r="L485" s="166"/>
    </row>
    <row r="486">
      <c r="I486" s="265"/>
      <c r="J486" s="265"/>
      <c r="L486" s="166"/>
    </row>
    <row r="487">
      <c r="I487" s="265"/>
      <c r="J487" s="265"/>
      <c r="L487" s="166"/>
    </row>
    <row r="488">
      <c r="I488" s="265"/>
      <c r="J488" s="265"/>
      <c r="L488" s="166"/>
    </row>
    <row r="489">
      <c r="I489" s="265"/>
      <c r="J489" s="265"/>
      <c r="L489" s="166"/>
    </row>
    <row r="490">
      <c r="I490" s="265"/>
      <c r="J490" s="265"/>
      <c r="L490" s="166"/>
    </row>
    <row r="491">
      <c r="I491" s="265"/>
      <c r="J491" s="265"/>
      <c r="L491" s="166"/>
    </row>
    <row r="492">
      <c r="I492" s="265"/>
      <c r="J492" s="265"/>
      <c r="L492" s="166"/>
    </row>
    <row r="493">
      <c r="I493" s="265"/>
      <c r="J493" s="265"/>
      <c r="L493" s="166"/>
    </row>
    <row r="494">
      <c r="I494" s="265"/>
      <c r="J494" s="265"/>
      <c r="L494" s="166"/>
    </row>
    <row r="495">
      <c r="I495" s="265"/>
      <c r="J495" s="265"/>
      <c r="L495" s="166"/>
    </row>
    <row r="496">
      <c r="I496" s="265"/>
      <c r="J496" s="265"/>
      <c r="L496" s="166"/>
    </row>
    <row r="497">
      <c r="I497" s="265"/>
      <c r="J497" s="265"/>
      <c r="L497" s="166"/>
    </row>
    <row r="498">
      <c r="I498" s="265"/>
      <c r="J498" s="265"/>
      <c r="L498" s="166"/>
    </row>
    <row r="499">
      <c r="I499" s="265"/>
      <c r="J499" s="265"/>
      <c r="L499" s="166"/>
    </row>
    <row r="500">
      <c r="I500" s="265"/>
      <c r="J500" s="265"/>
      <c r="L500" s="166"/>
    </row>
    <row r="501">
      <c r="I501" s="265"/>
      <c r="J501" s="265"/>
      <c r="L501" s="166"/>
    </row>
    <row r="502">
      <c r="I502" s="265"/>
      <c r="J502" s="265"/>
      <c r="L502" s="166"/>
    </row>
    <row r="503">
      <c r="I503" s="265"/>
      <c r="J503" s="265"/>
      <c r="L503" s="166"/>
    </row>
    <row r="504">
      <c r="I504" s="265"/>
      <c r="J504" s="265"/>
      <c r="L504" s="166"/>
    </row>
    <row r="505">
      <c r="I505" s="265"/>
      <c r="J505" s="265"/>
      <c r="L505" s="166"/>
    </row>
    <row r="506">
      <c r="I506" s="265"/>
      <c r="J506" s="265"/>
      <c r="L506" s="166"/>
    </row>
    <row r="507">
      <c r="I507" s="265"/>
      <c r="J507" s="265"/>
      <c r="L507" s="166"/>
    </row>
    <row r="508">
      <c r="I508" s="265"/>
      <c r="J508" s="265"/>
      <c r="L508" s="166"/>
    </row>
    <row r="509">
      <c r="I509" s="265"/>
      <c r="J509" s="265"/>
      <c r="L509" s="166"/>
    </row>
    <row r="510">
      <c r="I510" s="265"/>
      <c r="J510" s="265"/>
      <c r="L510" s="166"/>
    </row>
    <row r="511">
      <c r="I511" s="265"/>
      <c r="J511" s="265"/>
      <c r="L511" s="166"/>
    </row>
    <row r="512">
      <c r="I512" s="265"/>
      <c r="J512" s="265"/>
      <c r="L512" s="166"/>
    </row>
    <row r="513">
      <c r="I513" s="265"/>
      <c r="J513" s="265"/>
      <c r="L513" s="166"/>
    </row>
    <row r="514">
      <c r="I514" s="265"/>
      <c r="J514" s="265"/>
      <c r="L514" s="166"/>
    </row>
    <row r="515">
      <c r="I515" s="265"/>
      <c r="J515" s="265"/>
      <c r="L515" s="166"/>
    </row>
    <row r="516">
      <c r="I516" s="265"/>
      <c r="J516" s="265"/>
      <c r="L516" s="166"/>
    </row>
    <row r="517">
      <c r="I517" s="265"/>
      <c r="J517" s="265"/>
      <c r="L517" s="166"/>
    </row>
    <row r="518">
      <c r="I518" s="265"/>
      <c r="J518" s="265"/>
      <c r="L518" s="166"/>
    </row>
    <row r="519">
      <c r="I519" s="265"/>
      <c r="J519" s="265"/>
      <c r="L519" s="166"/>
    </row>
    <row r="520">
      <c r="I520" s="265"/>
      <c r="J520" s="265"/>
      <c r="L520" s="166"/>
    </row>
    <row r="521">
      <c r="I521" s="265"/>
      <c r="J521" s="265"/>
      <c r="L521" s="166"/>
    </row>
    <row r="522">
      <c r="I522" s="265"/>
      <c r="J522" s="265"/>
      <c r="L522" s="166"/>
    </row>
    <row r="523">
      <c r="I523" s="265"/>
      <c r="J523" s="265"/>
      <c r="L523" s="166"/>
    </row>
    <row r="524">
      <c r="I524" s="265"/>
      <c r="J524" s="265"/>
      <c r="L524" s="166"/>
    </row>
    <row r="525">
      <c r="I525" s="265"/>
      <c r="J525" s="265"/>
      <c r="L525" s="166"/>
    </row>
    <row r="526">
      <c r="I526" s="265"/>
      <c r="J526" s="265"/>
      <c r="L526" s="166"/>
    </row>
    <row r="527">
      <c r="I527" s="265"/>
      <c r="J527" s="265"/>
      <c r="L527" s="166"/>
    </row>
    <row r="528">
      <c r="I528" s="265"/>
      <c r="J528" s="265"/>
      <c r="L528" s="166"/>
    </row>
    <row r="529">
      <c r="I529" s="265"/>
      <c r="J529" s="265"/>
      <c r="L529" s="166"/>
    </row>
    <row r="530">
      <c r="I530" s="265"/>
      <c r="J530" s="265"/>
      <c r="L530" s="166"/>
    </row>
    <row r="531">
      <c r="I531" s="265"/>
      <c r="J531" s="265"/>
      <c r="L531" s="166"/>
    </row>
    <row r="532">
      <c r="I532" s="265"/>
      <c r="J532" s="265"/>
      <c r="L532" s="166"/>
    </row>
    <row r="533">
      <c r="I533" s="265"/>
      <c r="J533" s="265"/>
      <c r="L533" s="166"/>
    </row>
    <row r="534">
      <c r="I534" s="265"/>
      <c r="J534" s="265"/>
      <c r="L534" s="166"/>
    </row>
    <row r="535">
      <c r="I535" s="265"/>
      <c r="J535" s="265"/>
      <c r="L535" s="166"/>
    </row>
    <row r="536">
      <c r="I536" s="265"/>
      <c r="J536" s="265"/>
      <c r="L536" s="166"/>
    </row>
    <row r="537">
      <c r="I537" s="265"/>
      <c r="J537" s="265"/>
      <c r="L537" s="166"/>
    </row>
    <row r="538">
      <c r="I538" s="265"/>
      <c r="J538" s="265"/>
      <c r="L538" s="166"/>
    </row>
    <row r="539">
      <c r="I539" s="265"/>
      <c r="J539" s="265"/>
      <c r="L539" s="166"/>
    </row>
    <row r="540">
      <c r="I540" s="265"/>
      <c r="J540" s="265"/>
      <c r="L540" s="166"/>
    </row>
    <row r="541">
      <c r="I541" s="265"/>
      <c r="J541" s="265"/>
      <c r="L541" s="166"/>
    </row>
    <row r="542">
      <c r="I542" s="265"/>
      <c r="J542" s="265"/>
      <c r="L542" s="166"/>
    </row>
    <row r="543">
      <c r="I543" s="265"/>
      <c r="J543" s="265"/>
      <c r="L543" s="166"/>
    </row>
    <row r="544">
      <c r="I544" s="265"/>
      <c r="J544" s="265"/>
      <c r="L544" s="166"/>
    </row>
    <row r="545">
      <c r="I545" s="265"/>
      <c r="J545" s="265"/>
      <c r="L545" s="166"/>
    </row>
    <row r="546">
      <c r="I546" s="265"/>
      <c r="J546" s="265"/>
      <c r="L546" s="166"/>
    </row>
    <row r="547">
      <c r="I547" s="265"/>
      <c r="J547" s="265"/>
      <c r="L547" s="166"/>
    </row>
    <row r="548">
      <c r="I548" s="265"/>
      <c r="J548" s="265"/>
      <c r="L548" s="166"/>
    </row>
    <row r="549">
      <c r="I549" s="265"/>
      <c r="J549" s="265"/>
      <c r="L549" s="166"/>
    </row>
    <row r="550">
      <c r="I550" s="265"/>
      <c r="J550" s="265"/>
      <c r="L550" s="166"/>
    </row>
    <row r="551">
      <c r="I551" s="265"/>
      <c r="J551" s="265"/>
      <c r="L551" s="166"/>
    </row>
    <row r="552">
      <c r="I552" s="265"/>
      <c r="J552" s="265"/>
      <c r="L552" s="166"/>
    </row>
    <row r="553">
      <c r="I553" s="265"/>
      <c r="J553" s="265"/>
      <c r="L553" s="166"/>
    </row>
    <row r="554">
      <c r="I554" s="265"/>
      <c r="J554" s="265"/>
      <c r="L554" s="166"/>
    </row>
    <row r="555">
      <c r="I555" s="265"/>
      <c r="J555" s="265"/>
      <c r="L555" s="166"/>
    </row>
    <row r="556">
      <c r="I556" s="265"/>
      <c r="J556" s="265"/>
      <c r="L556" s="166"/>
    </row>
    <row r="557">
      <c r="I557" s="265"/>
      <c r="J557" s="265"/>
      <c r="L557" s="166"/>
    </row>
    <row r="558">
      <c r="I558" s="265"/>
      <c r="J558" s="265"/>
      <c r="L558" s="166"/>
    </row>
    <row r="559">
      <c r="I559" s="265"/>
      <c r="J559" s="265"/>
      <c r="L559" s="166"/>
    </row>
    <row r="560">
      <c r="I560" s="265"/>
      <c r="J560" s="265"/>
      <c r="L560" s="166"/>
    </row>
    <row r="561">
      <c r="I561" s="265"/>
      <c r="J561" s="265"/>
      <c r="L561" s="166"/>
    </row>
    <row r="562">
      <c r="I562" s="265"/>
      <c r="J562" s="265"/>
      <c r="L562" s="166"/>
    </row>
    <row r="563">
      <c r="I563" s="265"/>
      <c r="J563" s="265"/>
      <c r="L563" s="166"/>
    </row>
    <row r="564">
      <c r="I564" s="265"/>
      <c r="J564" s="265"/>
      <c r="L564" s="166"/>
    </row>
    <row r="565">
      <c r="I565" s="265"/>
      <c r="J565" s="265"/>
      <c r="L565" s="166"/>
    </row>
    <row r="566">
      <c r="I566" s="265"/>
      <c r="J566" s="265"/>
      <c r="L566" s="166"/>
    </row>
    <row r="567">
      <c r="I567" s="265"/>
      <c r="J567" s="265"/>
      <c r="L567" s="166"/>
    </row>
    <row r="568">
      <c r="I568" s="265"/>
      <c r="J568" s="265"/>
      <c r="L568" s="166"/>
    </row>
    <row r="569">
      <c r="I569" s="265"/>
      <c r="J569" s="265"/>
      <c r="L569" s="166"/>
    </row>
    <row r="570">
      <c r="I570" s="265"/>
      <c r="J570" s="265"/>
      <c r="L570" s="166"/>
    </row>
    <row r="571">
      <c r="I571" s="265"/>
      <c r="J571" s="265"/>
      <c r="L571" s="166"/>
    </row>
    <row r="572">
      <c r="I572" s="265"/>
      <c r="J572" s="265"/>
      <c r="L572" s="166"/>
    </row>
    <row r="573">
      <c r="I573" s="265"/>
      <c r="J573" s="265"/>
      <c r="L573" s="166"/>
    </row>
    <row r="574">
      <c r="I574" s="265"/>
      <c r="J574" s="265"/>
      <c r="L574" s="166"/>
    </row>
    <row r="575">
      <c r="I575" s="265"/>
      <c r="J575" s="265"/>
      <c r="L575" s="166"/>
    </row>
    <row r="576">
      <c r="I576" s="265"/>
      <c r="J576" s="265"/>
      <c r="L576" s="166"/>
    </row>
    <row r="577">
      <c r="I577" s="265"/>
      <c r="J577" s="265"/>
      <c r="L577" s="166"/>
    </row>
    <row r="578">
      <c r="I578" s="265"/>
      <c r="J578" s="265"/>
      <c r="L578" s="166"/>
    </row>
    <row r="579">
      <c r="I579" s="265"/>
      <c r="J579" s="265"/>
      <c r="L579" s="166"/>
    </row>
    <row r="580">
      <c r="I580" s="265"/>
      <c r="J580" s="265"/>
      <c r="L580" s="166"/>
    </row>
    <row r="581">
      <c r="I581" s="265"/>
      <c r="J581" s="265"/>
      <c r="L581" s="166"/>
    </row>
    <row r="582">
      <c r="I582" s="265"/>
      <c r="J582" s="265"/>
      <c r="L582" s="166"/>
    </row>
    <row r="583">
      <c r="I583" s="265"/>
      <c r="J583" s="265"/>
      <c r="L583" s="166"/>
    </row>
    <row r="584">
      <c r="I584" s="265"/>
      <c r="J584" s="265"/>
      <c r="L584" s="166"/>
    </row>
    <row r="585">
      <c r="I585" s="265"/>
      <c r="J585" s="265"/>
      <c r="L585" s="166"/>
    </row>
    <row r="586">
      <c r="I586" s="265"/>
      <c r="J586" s="265"/>
      <c r="L586" s="166"/>
    </row>
    <row r="587">
      <c r="I587" s="265"/>
      <c r="J587" s="265"/>
      <c r="L587" s="166"/>
    </row>
    <row r="588">
      <c r="I588" s="265"/>
      <c r="J588" s="265"/>
      <c r="L588" s="166"/>
    </row>
    <row r="589">
      <c r="I589" s="265"/>
      <c r="J589" s="265"/>
      <c r="L589" s="166"/>
    </row>
    <row r="590">
      <c r="I590" s="265"/>
      <c r="J590" s="265"/>
      <c r="L590" s="166"/>
    </row>
    <row r="591">
      <c r="I591" s="265"/>
      <c r="J591" s="265"/>
      <c r="L591" s="166"/>
    </row>
    <row r="592">
      <c r="I592" s="265"/>
      <c r="J592" s="265"/>
      <c r="L592" s="166"/>
    </row>
    <row r="593">
      <c r="I593" s="265"/>
      <c r="J593" s="265"/>
      <c r="L593" s="166"/>
    </row>
    <row r="594">
      <c r="I594" s="265"/>
      <c r="J594" s="265"/>
      <c r="L594" s="166"/>
    </row>
    <row r="595">
      <c r="I595" s="265"/>
      <c r="J595" s="265"/>
      <c r="L595" s="166"/>
    </row>
    <row r="596">
      <c r="I596" s="265"/>
      <c r="J596" s="265"/>
      <c r="L596" s="166"/>
    </row>
    <row r="597">
      <c r="I597" s="265"/>
      <c r="J597" s="265"/>
      <c r="L597" s="166"/>
    </row>
    <row r="598">
      <c r="I598" s="265"/>
      <c r="J598" s="265"/>
      <c r="L598" s="166"/>
    </row>
    <row r="599">
      <c r="I599" s="265"/>
      <c r="J599" s="265"/>
      <c r="L599" s="166"/>
    </row>
    <row r="600">
      <c r="I600" s="265"/>
      <c r="J600" s="265"/>
      <c r="L600" s="166"/>
    </row>
    <row r="601">
      <c r="I601" s="265"/>
      <c r="J601" s="265"/>
      <c r="L601" s="166"/>
    </row>
    <row r="602">
      <c r="I602" s="265"/>
      <c r="J602" s="265"/>
      <c r="L602" s="166"/>
    </row>
    <row r="603">
      <c r="I603" s="265"/>
      <c r="J603" s="265"/>
      <c r="L603" s="166"/>
    </row>
    <row r="604">
      <c r="I604" s="265"/>
      <c r="J604" s="265"/>
      <c r="L604" s="166"/>
    </row>
    <row r="605">
      <c r="I605" s="265"/>
      <c r="J605" s="265"/>
      <c r="L605" s="166"/>
    </row>
    <row r="606">
      <c r="I606" s="265"/>
      <c r="J606" s="265"/>
      <c r="L606" s="166"/>
    </row>
    <row r="607">
      <c r="I607" s="265"/>
      <c r="J607" s="265"/>
      <c r="L607" s="166"/>
    </row>
    <row r="608">
      <c r="I608" s="265"/>
      <c r="J608" s="265"/>
      <c r="L608" s="166"/>
    </row>
    <row r="609">
      <c r="I609" s="265"/>
      <c r="J609" s="265"/>
      <c r="L609" s="166"/>
    </row>
    <row r="610">
      <c r="I610" s="265"/>
      <c r="J610" s="265"/>
      <c r="L610" s="166"/>
    </row>
    <row r="611">
      <c r="I611" s="265"/>
      <c r="J611" s="265"/>
      <c r="L611" s="166"/>
    </row>
    <row r="612">
      <c r="I612" s="265"/>
      <c r="J612" s="265"/>
      <c r="L612" s="166"/>
    </row>
    <row r="613">
      <c r="I613" s="265"/>
      <c r="J613" s="265"/>
      <c r="L613" s="166"/>
    </row>
    <row r="614">
      <c r="I614" s="265"/>
      <c r="J614" s="265"/>
      <c r="L614" s="166"/>
    </row>
    <row r="615">
      <c r="I615" s="265"/>
      <c r="J615" s="265"/>
      <c r="L615" s="166"/>
    </row>
    <row r="616">
      <c r="I616" s="265"/>
      <c r="J616" s="265"/>
      <c r="L616" s="166"/>
    </row>
    <row r="617">
      <c r="I617" s="265"/>
      <c r="J617" s="265"/>
      <c r="L617" s="166"/>
    </row>
    <row r="618">
      <c r="I618" s="265"/>
      <c r="J618" s="265"/>
      <c r="L618" s="166"/>
    </row>
    <row r="619">
      <c r="I619" s="265"/>
      <c r="J619" s="265"/>
      <c r="L619" s="166"/>
    </row>
    <row r="620">
      <c r="I620" s="265"/>
      <c r="J620" s="265"/>
      <c r="L620" s="166"/>
    </row>
    <row r="621">
      <c r="I621" s="265"/>
      <c r="J621" s="265"/>
      <c r="L621" s="166"/>
    </row>
    <row r="622">
      <c r="I622" s="265"/>
      <c r="J622" s="265"/>
      <c r="L622" s="166"/>
    </row>
    <row r="623">
      <c r="I623" s="265"/>
      <c r="J623" s="265"/>
      <c r="L623" s="166"/>
    </row>
    <row r="624">
      <c r="I624" s="265"/>
      <c r="J624" s="265"/>
      <c r="L624" s="166"/>
    </row>
    <row r="625">
      <c r="I625" s="265"/>
      <c r="J625" s="265"/>
      <c r="L625" s="166"/>
    </row>
    <row r="626">
      <c r="I626" s="265"/>
      <c r="J626" s="265"/>
      <c r="L626" s="166"/>
    </row>
    <row r="627">
      <c r="I627" s="265"/>
      <c r="J627" s="265"/>
      <c r="L627" s="166"/>
    </row>
    <row r="628">
      <c r="I628" s="265"/>
      <c r="J628" s="265"/>
      <c r="L628" s="166"/>
    </row>
    <row r="629">
      <c r="I629" s="265"/>
      <c r="J629" s="265"/>
      <c r="L629" s="166"/>
    </row>
    <row r="630">
      <c r="I630" s="265"/>
      <c r="J630" s="265"/>
      <c r="L630" s="166"/>
    </row>
    <row r="631">
      <c r="I631" s="265"/>
      <c r="J631" s="265"/>
      <c r="L631" s="166"/>
    </row>
    <row r="632">
      <c r="I632" s="265"/>
      <c r="J632" s="265"/>
      <c r="L632" s="166"/>
    </row>
    <row r="633">
      <c r="I633" s="265"/>
      <c r="J633" s="265"/>
      <c r="L633" s="166"/>
    </row>
    <row r="634">
      <c r="I634" s="265"/>
      <c r="J634" s="265"/>
      <c r="L634" s="166"/>
    </row>
    <row r="635">
      <c r="I635" s="265"/>
      <c r="J635" s="265"/>
      <c r="L635" s="166"/>
    </row>
    <row r="636">
      <c r="I636" s="265"/>
      <c r="J636" s="265"/>
      <c r="L636" s="166"/>
    </row>
    <row r="637">
      <c r="I637" s="265"/>
      <c r="J637" s="265"/>
      <c r="L637" s="166"/>
    </row>
    <row r="638">
      <c r="I638" s="265"/>
      <c r="J638" s="265"/>
      <c r="L638" s="166"/>
    </row>
    <row r="639">
      <c r="I639" s="265"/>
      <c r="J639" s="265"/>
      <c r="L639" s="166"/>
    </row>
    <row r="640">
      <c r="I640" s="265"/>
      <c r="J640" s="265"/>
      <c r="L640" s="166"/>
    </row>
    <row r="641">
      <c r="I641" s="265"/>
      <c r="J641" s="265"/>
      <c r="L641" s="166"/>
    </row>
    <row r="642">
      <c r="I642" s="265"/>
      <c r="J642" s="265"/>
      <c r="L642" s="166"/>
    </row>
    <row r="643">
      <c r="I643" s="265"/>
      <c r="J643" s="265"/>
      <c r="L643" s="166"/>
    </row>
    <row r="644">
      <c r="I644" s="265"/>
      <c r="J644" s="265"/>
      <c r="L644" s="166"/>
    </row>
    <row r="645">
      <c r="I645" s="265"/>
      <c r="J645" s="265"/>
      <c r="L645" s="166"/>
    </row>
    <row r="646">
      <c r="I646" s="265"/>
      <c r="J646" s="265"/>
      <c r="L646" s="166"/>
    </row>
    <row r="647">
      <c r="I647" s="265"/>
      <c r="J647" s="265"/>
      <c r="L647" s="166"/>
    </row>
    <row r="648">
      <c r="I648" s="265"/>
      <c r="J648" s="265"/>
      <c r="L648" s="166"/>
    </row>
    <row r="649">
      <c r="I649" s="265"/>
      <c r="J649" s="265"/>
      <c r="L649" s="166"/>
    </row>
    <row r="650">
      <c r="I650" s="265"/>
      <c r="J650" s="265"/>
      <c r="L650" s="166"/>
    </row>
    <row r="651">
      <c r="I651" s="265"/>
      <c r="J651" s="265"/>
      <c r="L651" s="166"/>
    </row>
    <row r="652">
      <c r="I652" s="265"/>
      <c r="J652" s="265"/>
      <c r="L652" s="166"/>
    </row>
    <row r="653">
      <c r="I653" s="265"/>
      <c r="J653" s="265"/>
      <c r="L653" s="166"/>
    </row>
    <row r="654">
      <c r="I654" s="265"/>
      <c r="J654" s="265"/>
      <c r="L654" s="166"/>
    </row>
    <row r="655">
      <c r="I655" s="265"/>
      <c r="J655" s="265"/>
      <c r="L655" s="166"/>
    </row>
    <row r="656">
      <c r="I656" s="265"/>
      <c r="J656" s="265"/>
      <c r="L656" s="166"/>
    </row>
    <row r="657">
      <c r="I657" s="265"/>
      <c r="J657" s="265"/>
      <c r="L657" s="166"/>
    </row>
    <row r="658">
      <c r="I658" s="265"/>
      <c r="J658" s="265"/>
      <c r="L658" s="166"/>
    </row>
    <row r="659">
      <c r="I659" s="265"/>
      <c r="J659" s="265"/>
      <c r="L659" s="166"/>
    </row>
    <row r="660">
      <c r="I660" s="265"/>
      <c r="J660" s="265"/>
      <c r="L660" s="166"/>
    </row>
    <row r="661">
      <c r="I661" s="265"/>
      <c r="J661" s="265"/>
      <c r="L661" s="166"/>
    </row>
    <row r="662">
      <c r="I662" s="265"/>
      <c r="J662" s="265"/>
      <c r="L662" s="166"/>
    </row>
    <row r="663">
      <c r="I663" s="265"/>
      <c r="J663" s="265"/>
      <c r="L663" s="166"/>
    </row>
    <row r="664">
      <c r="I664" s="265"/>
      <c r="J664" s="265"/>
      <c r="L664" s="166"/>
    </row>
    <row r="665">
      <c r="I665" s="265"/>
      <c r="J665" s="265"/>
      <c r="L665" s="166"/>
    </row>
    <row r="666">
      <c r="I666" s="265"/>
      <c r="J666" s="265"/>
      <c r="L666" s="166"/>
    </row>
    <row r="667">
      <c r="I667" s="265"/>
      <c r="J667" s="265"/>
      <c r="L667" s="166"/>
    </row>
    <row r="668">
      <c r="I668" s="265"/>
      <c r="J668" s="265"/>
      <c r="L668" s="166"/>
    </row>
    <row r="669">
      <c r="I669" s="265"/>
      <c r="J669" s="265"/>
      <c r="L669" s="166"/>
    </row>
    <row r="670">
      <c r="I670" s="265"/>
      <c r="J670" s="265"/>
      <c r="L670" s="166"/>
    </row>
    <row r="671">
      <c r="I671" s="265"/>
      <c r="J671" s="265"/>
      <c r="L671" s="166"/>
    </row>
    <row r="672">
      <c r="I672" s="265"/>
      <c r="J672" s="265"/>
      <c r="L672" s="166"/>
    </row>
    <row r="673">
      <c r="I673" s="265"/>
      <c r="J673" s="265"/>
      <c r="L673" s="166"/>
    </row>
    <row r="674">
      <c r="I674" s="265"/>
      <c r="J674" s="265"/>
      <c r="L674" s="166"/>
    </row>
    <row r="675">
      <c r="I675" s="265"/>
      <c r="J675" s="265"/>
      <c r="L675" s="166"/>
    </row>
    <row r="676">
      <c r="I676" s="265"/>
      <c r="J676" s="265"/>
      <c r="L676" s="166"/>
    </row>
    <row r="677">
      <c r="I677" s="265"/>
      <c r="J677" s="265"/>
      <c r="L677" s="166"/>
    </row>
    <row r="678">
      <c r="I678" s="265"/>
      <c r="J678" s="265"/>
      <c r="L678" s="166"/>
    </row>
    <row r="679">
      <c r="I679" s="265"/>
      <c r="J679" s="265"/>
      <c r="L679" s="166"/>
    </row>
    <row r="680">
      <c r="I680" s="265"/>
      <c r="J680" s="265"/>
      <c r="L680" s="166"/>
    </row>
    <row r="681">
      <c r="I681" s="265"/>
      <c r="J681" s="265"/>
      <c r="L681" s="166"/>
    </row>
    <row r="682">
      <c r="I682" s="265"/>
      <c r="J682" s="265"/>
      <c r="L682" s="166"/>
    </row>
    <row r="683">
      <c r="I683" s="265"/>
      <c r="J683" s="265"/>
      <c r="L683" s="166"/>
    </row>
    <row r="684">
      <c r="I684" s="265"/>
      <c r="J684" s="265"/>
      <c r="L684" s="166"/>
    </row>
    <row r="685">
      <c r="I685" s="265"/>
      <c r="J685" s="265"/>
      <c r="L685" s="166"/>
    </row>
    <row r="686">
      <c r="I686" s="265"/>
      <c r="J686" s="265"/>
      <c r="L686" s="166"/>
    </row>
    <row r="687">
      <c r="I687" s="265"/>
      <c r="J687" s="265"/>
      <c r="L687" s="166"/>
    </row>
    <row r="688">
      <c r="I688" s="265"/>
      <c r="J688" s="265"/>
      <c r="L688" s="166"/>
    </row>
    <row r="689">
      <c r="I689" s="265"/>
      <c r="J689" s="265"/>
      <c r="L689" s="166"/>
    </row>
    <row r="690">
      <c r="I690" s="265"/>
      <c r="J690" s="265"/>
      <c r="L690" s="166"/>
    </row>
    <row r="691">
      <c r="I691" s="265"/>
      <c r="J691" s="265"/>
      <c r="L691" s="166"/>
    </row>
    <row r="692">
      <c r="I692" s="265"/>
      <c r="J692" s="265"/>
      <c r="L692" s="166"/>
    </row>
    <row r="693">
      <c r="I693" s="265"/>
      <c r="J693" s="265"/>
      <c r="L693" s="166"/>
    </row>
    <row r="694">
      <c r="I694" s="265"/>
      <c r="J694" s="265"/>
      <c r="L694" s="166"/>
    </row>
    <row r="695">
      <c r="I695" s="265"/>
      <c r="J695" s="265"/>
      <c r="L695" s="166"/>
    </row>
    <row r="696">
      <c r="I696" s="265"/>
      <c r="J696" s="265"/>
      <c r="L696" s="166"/>
    </row>
    <row r="697">
      <c r="I697" s="265"/>
      <c r="J697" s="265"/>
      <c r="L697" s="166"/>
    </row>
    <row r="698">
      <c r="I698" s="265"/>
      <c r="J698" s="265"/>
      <c r="L698" s="166"/>
    </row>
    <row r="699">
      <c r="I699" s="265"/>
      <c r="J699" s="265"/>
      <c r="L699" s="166"/>
    </row>
    <row r="700">
      <c r="I700" s="265"/>
      <c r="J700" s="265"/>
      <c r="L700" s="166"/>
    </row>
    <row r="701">
      <c r="I701" s="265"/>
      <c r="J701" s="265"/>
      <c r="L701" s="166"/>
    </row>
    <row r="702">
      <c r="I702" s="265"/>
      <c r="J702" s="265"/>
      <c r="L702" s="166"/>
    </row>
    <row r="703">
      <c r="I703" s="265"/>
      <c r="J703" s="265"/>
      <c r="L703" s="166"/>
    </row>
    <row r="704">
      <c r="I704" s="265"/>
      <c r="J704" s="265"/>
      <c r="L704" s="166"/>
    </row>
    <row r="705">
      <c r="I705" s="265"/>
      <c r="J705" s="265"/>
      <c r="L705" s="166"/>
    </row>
    <row r="706">
      <c r="I706" s="265"/>
      <c r="J706" s="265"/>
      <c r="L706" s="166"/>
    </row>
    <row r="707">
      <c r="I707" s="265"/>
      <c r="J707" s="265"/>
      <c r="L707" s="166"/>
    </row>
    <row r="708">
      <c r="I708" s="265"/>
      <c r="J708" s="265"/>
      <c r="L708" s="166"/>
    </row>
    <row r="709">
      <c r="I709" s="265"/>
      <c r="J709" s="265"/>
      <c r="L709" s="166"/>
    </row>
    <row r="710">
      <c r="I710" s="265"/>
      <c r="J710" s="265"/>
      <c r="L710" s="166"/>
    </row>
    <row r="711">
      <c r="I711" s="265"/>
      <c r="J711" s="265"/>
      <c r="L711" s="166"/>
    </row>
    <row r="712">
      <c r="I712" s="265"/>
      <c r="J712" s="265"/>
      <c r="L712" s="166"/>
    </row>
    <row r="713">
      <c r="I713" s="265"/>
      <c r="J713" s="265"/>
      <c r="L713" s="166"/>
    </row>
    <row r="714">
      <c r="I714" s="265"/>
      <c r="J714" s="265"/>
      <c r="L714" s="166"/>
    </row>
    <row r="715">
      <c r="I715" s="265"/>
      <c r="J715" s="265"/>
      <c r="L715" s="166"/>
    </row>
    <row r="716">
      <c r="I716" s="265"/>
      <c r="J716" s="265"/>
      <c r="L716" s="166"/>
    </row>
    <row r="717">
      <c r="I717" s="265"/>
      <c r="J717" s="265"/>
      <c r="L717" s="166"/>
    </row>
    <row r="718">
      <c r="I718" s="265"/>
      <c r="J718" s="265"/>
      <c r="L718" s="166"/>
    </row>
    <row r="719">
      <c r="I719" s="265"/>
      <c r="J719" s="265"/>
      <c r="L719" s="166"/>
    </row>
    <row r="720">
      <c r="I720" s="265"/>
      <c r="J720" s="265"/>
      <c r="L720" s="166"/>
    </row>
    <row r="721">
      <c r="I721" s="265"/>
      <c r="J721" s="265"/>
      <c r="L721" s="166"/>
    </row>
    <row r="722">
      <c r="I722" s="265"/>
      <c r="J722" s="265"/>
      <c r="L722" s="166"/>
    </row>
    <row r="723">
      <c r="I723" s="265"/>
      <c r="J723" s="265"/>
      <c r="L723" s="166"/>
    </row>
    <row r="724">
      <c r="I724" s="265"/>
      <c r="J724" s="265"/>
      <c r="L724" s="166"/>
    </row>
    <row r="725">
      <c r="I725" s="265"/>
      <c r="J725" s="265"/>
      <c r="L725" s="166"/>
    </row>
    <row r="726">
      <c r="I726" s="265"/>
      <c r="J726" s="265"/>
      <c r="L726" s="166"/>
    </row>
    <row r="727">
      <c r="I727" s="265"/>
      <c r="J727" s="265"/>
      <c r="L727" s="166"/>
    </row>
    <row r="728">
      <c r="I728" s="265"/>
      <c r="J728" s="265"/>
      <c r="L728" s="166"/>
    </row>
    <row r="729">
      <c r="I729" s="265"/>
      <c r="J729" s="265"/>
      <c r="L729" s="166"/>
    </row>
    <row r="730">
      <c r="I730" s="265"/>
      <c r="J730" s="265"/>
      <c r="L730" s="166"/>
    </row>
    <row r="731">
      <c r="I731" s="265"/>
      <c r="J731" s="265"/>
      <c r="L731" s="166"/>
    </row>
    <row r="732">
      <c r="I732" s="265"/>
      <c r="J732" s="265"/>
      <c r="L732" s="166"/>
    </row>
    <row r="733">
      <c r="I733" s="265"/>
      <c r="J733" s="265"/>
      <c r="L733" s="166"/>
    </row>
    <row r="734">
      <c r="I734" s="265"/>
      <c r="J734" s="265"/>
      <c r="L734" s="166"/>
    </row>
    <row r="735">
      <c r="I735" s="265"/>
      <c r="J735" s="265"/>
      <c r="L735" s="166"/>
    </row>
    <row r="736">
      <c r="I736" s="265"/>
      <c r="J736" s="265"/>
      <c r="L736" s="166"/>
    </row>
    <row r="737">
      <c r="I737" s="265"/>
      <c r="J737" s="265"/>
      <c r="L737" s="166"/>
    </row>
    <row r="738">
      <c r="I738" s="265"/>
      <c r="J738" s="265"/>
      <c r="L738" s="166"/>
    </row>
    <row r="739">
      <c r="I739" s="265"/>
      <c r="J739" s="265"/>
      <c r="L739" s="166"/>
    </row>
    <row r="740">
      <c r="I740" s="265"/>
      <c r="J740" s="265"/>
      <c r="L740" s="166"/>
    </row>
    <row r="741">
      <c r="I741" s="265"/>
      <c r="J741" s="265"/>
      <c r="L741" s="166"/>
    </row>
    <row r="742">
      <c r="I742" s="265"/>
      <c r="J742" s="265"/>
      <c r="L742" s="166"/>
    </row>
    <row r="743">
      <c r="I743" s="265"/>
      <c r="J743" s="265"/>
      <c r="L743" s="166"/>
    </row>
    <row r="744">
      <c r="I744" s="265"/>
      <c r="J744" s="265"/>
      <c r="L744" s="166"/>
    </row>
    <row r="745">
      <c r="I745" s="265"/>
      <c r="J745" s="265"/>
      <c r="L745" s="166"/>
    </row>
    <row r="746">
      <c r="I746" s="265"/>
      <c r="J746" s="265"/>
      <c r="L746" s="166"/>
    </row>
    <row r="747">
      <c r="I747" s="265"/>
      <c r="J747" s="265"/>
      <c r="L747" s="166"/>
    </row>
    <row r="748">
      <c r="I748" s="265"/>
      <c r="J748" s="265"/>
      <c r="L748" s="166"/>
    </row>
    <row r="749">
      <c r="I749" s="265"/>
      <c r="J749" s="265"/>
      <c r="L749" s="166"/>
    </row>
    <row r="750">
      <c r="I750" s="265"/>
      <c r="J750" s="265"/>
      <c r="L750" s="166"/>
    </row>
    <row r="751">
      <c r="I751" s="265"/>
      <c r="J751" s="265"/>
      <c r="L751" s="166"/>
    </row>
    <row r="752">
      <c r="I752" s="265"/>
      <c r="J752" s="265"/>
      <c r="L752" s="166"/>
    </row>
    <row r="753">
      <c r="I753" s="265"/>
      <c r="J753" s="265"/>
      <c r="L753" s="166"/>
    </row>
    <row r="754">
      <c r="I754" s="265"/>
      <c r="J754" s="265"/>
      <c r="L754" s="166"/>
    </row>
    <row r="755">
      <c r="I755" s="265"/>
      <c r="J755" s="265"/>
      <c r="L755" s="166"/>
    </row>
    <row r="756">
      <c r="I756" s="265"/>
      <c r="J756" s="265"/>
      <c r="L756" s="166"/>
    </row>
    <row r="757">
      <c r="I757" s="265"/>
      <c r="J757" s="265"/>
      <c r="L757" s="166"/>
    </row>
    <row r="758">
      <c r="I758" s="265"/>
      <c r="J758" s="265"/>
      <c r="L758" s="166"/>
    </row>
    <row r="759">
      <c r="I759" s="265"/>
      <c r="J759" s="265"/>
      <c r="L759" s="166"/>
    </row>
    <row r="760">
      <c r="I760" s="265"/>
      <c r="J760" s="265"/>
      <c r="L760" s="166"/>
    </row>
    <row r="761">
      <c r="I761" s="265"/>
      <c r="J761" s="265"/>
      <c r="L761" s="166"/>
    </row>
    <row r="762">
      <c r="I762" s="265"/>
      <c r="J762" s="265"/>
      <c r="L762" s="166"/>
    </row>
    <row r="763">
      <c r="I763" s="265"/>
      <c r="J763" s="265"/>
      <c r="L763" s="166"/>
    </row>
    <row r="764">
      <c r="I764" s="265"/>
      <c r="J764" s="265"/>
      <c r="L764" s="166"/>
    </row>
    <row r="765">
      <c r="I765" s="265"/>
      <c r="J765" s="265"/>
      <c r="L765" s="166"/>
    </row>
    <row r="766">
      <c r="I766" s="265"/>
      <c r="J766" s="265"/>
      <c r="L766" s="166"/>
    </row>
    <row r="767">
      <c r="I767" s="265"/>
      <c r="J767" s="265"/>
      <c r="L767" s="166"/>
    </row>
    <row r="768">
      <c r="I768" s="265"/>
      <c r="J768" s="265"/>
      <c r="L768" s="166"/>
    </row>
    <row r="769">
      <c r="I769" s="265"/>
      <c r="J769" s="265"/>
      <c r="L769" s="166"/>
    </row>
    <row r="770">
      <c r="I770" s="265"/>
      <c r="J770" s="265"/>
      <c r="L770" s="166"/>
    </row>
    <row r="771">
      <c r="I771" s="265"/>
      <c r="J771" s="265"/>
      <c r="L771" s="166"/>
    </row>
    <row r="772">
      <c r="I772" s="265"/>
      <c r="J772" s="265"/>
      <c r="L772" s="166"/>
    </row>
    <row r="773">
      <c r="I773" s="265"/>
      <c r="J773" s="265"/>
      <c r="L773" s="166"/>
    </row>
    <row r="774">
      <c r="I774" s="265"/>
      <c r="J774" s="265"/>
      <c r="L774" s="166"/>
    </row>
    <row r="775">
      <c r="I775" s="265"/>
      <c r="J775" s="265"/>
      <c r="L775" s="166"/>
    </row>
    <row r="776">
      <c r="I776" s="265"/>
      <c r="J776" s="265"/>
      <c r="L776" s="166"/>
    </row>
    <row r="777">
      <c r="I777" s="265"/>
      <c r="J777" s="265"/>
      <c r="L777" s="166"/>
    </row>
    <row r="778">
      <c r="I778" s="265"/>
      <c r="J778" s="265"/>
      <c r="L778" s="166"/>
    </row>
    <row r="779">
      <c r="I779" s="265"/>
      <c r="J779" s="265"/>
      <c r="L779" s="166"/>
    </row>
    <row r="780">
      <c r="I780" s="265"/>
      <c r="J780" s="265"/>
      <c r="L780" s="166"/>
    </row>
    <row r="781">
      <c r="I781" s="265"/>
      <c r="J781" s="265"/>
      <c r="L781" s="166"/>
    </row>
    <row r="782">
      <c r="I782" s="265"/>
      <c r="J782" s="265"/>
      <c r="L782" s="166"/>
    </row>
    <row r="783">
      <c r="I783" s="265"/>
      <c r="J783" s="265"/>
      <c r="L783" s="166"/>
    </row>
    <row r="784">
      <c r="I784" s="265"/>
      <c r="J784" s="265"/>
      <c r="L784" s="166"/>
    </row>
    <row r="785">
      <c r="I785" s="265"/>
      <c r="J785" s="265"/>
      <c r="L785" s="166"/>
    </row>
    <row r="786">
      <c r="I786" s="265"/>
      <c r="J786" s="265"/>
      <c r="L786" s="166"/>
    </row>
    <row r="787">
      <c r="I787" s="265"/>
      <c r="J787" s="265"/>
      <c r="L787" s="166"/>
    </row>
    <row r="788">
      <c r="I788" s="265"/>
      <c r="J788" s="265"/>
      <c r="L788" s="166"/>
    </row>
    <row r="789">
      <c r="I789" s="265"/>
      <c r="J789" s="265"/>
      <c r="L789" s="166"/>
    </row>
    <row r="790">
      <c r="I790" s="265"/>
      <c r="J790" s="265"/>
      <c r="L790" s="166"/>
    </row>
    <row r="791">
      <c r="I791" s="265"/>
      <c r="J791" s="265"/>
      <c r="L791" s="166"/>
    </row>
    <row r="792">
      <c r="I792" s="265"/>
      <c r="J792" s="265"/>
      <c r="L792" s="166"/>
    </row>
    <row r="793">
      <c r="I793" s="265"/>
      <c r="J793" s="265"/>
      <c r="L793" s="166"/>
    </row>
    <row r="794">
      <c r="I794" s="265"/>
      <c r="J794" s="265"/>
      <c r="L794" s="166"/>
    </row>
    <row r="795">
      <c r="I795" s="265"/>
      <c r="J795" s="265"/>
      <c r="L795" s="166"/>
    </row>
    <row r="796">
      <c r="I796" s="265"/>
      <c r="J796" s="265"/>
      <c r="L796" s="166"/>
    </row>
    <row r="797">
      <c r="I797" s="265"/>
      <c r="J797" s="265"/>
      <c r="L797" s="166"/>
    </row>
    <row r="798">
      <c r="I798" s="265"/>
      <c r="J798" s="265"/>
      <c r="L798" s="166"/>
    </row>
    <row r="799">
      <c r="I799" s="265"/>
      <c r="J799" s="265"/>
      <c r="L799" s="166"/>
    </row>
    <row r="800">
      <c r="I800" s="265"/>
      <c r="J800" s="265"/>
      <c r="L800" s="166"/>
    </row>
    <row r="801">
      <c r="I801" s="265"/>
      <c r="J801" s="265"/>
      <c r="L801" s="166"/>
    </row>
    <row r="802">
      <c r="I802" s="265"/>
      <c r="J802" s="265"/>
      <c r="L802" s="166"/>
    </row>
    <row r="803">
      <c r="I803" s="265"/>
      <c r="J803" s="265"/>
      <c r="L803" s="166"/>
    </row>
    <row r="804">
      <c r="I804" s="265"/>
      <c r="J804" s="265"/>
      <c r="L804" s="166"/>
    </row>
    <row r="805">
      <c r="I805" s="265"/>
      <c r="J805" s="265"/>
      <c r="L805" s="166"/>
    </row>
    <row r="806">
      <c r="I806" s="265"/>
      <c r="J806" s="265"/>
      <c r="L806" s="166"/>
    </row>
    <row r="807">
      <c r="I807" s="265"/>
      <c r="J807" s="265"/>
      <c r="L807" s="166"/>
    </row>
    <row r="808">
      <c r="I808" s="265"/>
      <c r="J808" s="265"/>
      <c r="L808" s="166"/>
    </row>
    <row r="809">
      <c r="I809" s="265"/>
      <c r="J809" s="265"/>
      <c r="L809" s="166"/>
    </row>
    <row r="810">
      <c r="I810" s="265"/>
      <c r="J810" s="265"/>
      <c r="L810" s="166"/>
    </row>
    <row r="811">
      <c r="I811" s="265"/>
      <c r="J811" s="265"/>
      <c r="L811" s="166"/>
    </row>
    <row r="812">
      <c r="I812" s="265"/>
      <c r="J812" s="265"/>
      <c r="L812" s="166"/>
    </row>
    <row r="813">
      <c r="I813" s="265"/>
      <c r="J813" s="265"/>
      <c r="L813" s="166"/>
    </row>
    <row r="814">
      <c r="I814" s="265"/>
      <c r="J814" s="265"/>
      <c r="L814" s="166"/>
    </row>
    <row r="815">
      <c r="I815" s="265"/>
      <c r="J815" s="265"/>
      <c r="L815" s="166"/>
    </row>
    <row r="816">
      <c r="I816" s="265"/>
      <c r="J816" s="265"/>
      <c r="L816" s="166"/>
    </row>
    <row r="817">
      <c r="I817" s="265"/>
      <c r="J817" s="265"/>
      <c r="L817" s="166"/>
    </row>
    <row r="818">
      <c r="I818" s="265"/>
      <c r="J818" s="265"/>
      <c r="L818" s="166"/>
    </row>
    <row r="819">
      <c r="I819" s="265"/>
      <c r="J819" s="265"/>
      <c r="L819" s="166"/>
    </row>
    <row r="820">
      <c r="I820" s="265"/>
      <c r="J820" s="265"/>
      <c r="L820" s="166"/>
    </row>
    <row r="821">
      <c r="I821" s="265"/>
      <c r="J821" s="265"/>
      <c r="L821" s="166"/>
    </row>
    <row r="822">
      <c r="I822" s="265"/>
      <c r="J822" s="265"/>
      <c r="L822" s="166"/>
    </row>
    <row r="823">
      <c r="I823" s="265"/>
      <c r="J823" s="265"/>
      <c r="L823" s="166"/>
    </row>
    <row r="824">
      <c r="I824" s="265"/>
      <c r="J824" s="265"/>
      <c r="L824" s="166"/>
    </row>
    <row r="825">
      <c r="I825" s="265"/>
      <c r="J825" s="265"/>
      <c r="L825" s="166"/>
    </row>
    <row r="826">
      <c r="I826" s="265"/>
      <c r="J826" s="265"/>
      <c r="L826" s="166"/>
    </row>
    <row r="827">
      <c r="I827" s="265"/>
      <c r="J827" s="265"/>
      <c r="L827" s="166"/>
    </row>
    <row r="828">
      <c r="I828" s="265"/>
      <c r="J828" s="265"/>
      <c r="L828" s="166"/>
    </row>
    <row r="829">
      <c r="I829" s="265"/>
      <c r="J829" s="265"/>
      <c r="L829" s="166"/>
    </row>
    <row r="830">
      <c r="I830" s="265"/>
      <c r="J830" s="265"/>
      <c r="L830" s="166"/>
    </row>
    <row r="831">
      <c r="I831" s="265"/>
      <c r="J831" s="265"/>
      <c r="L831" s="166"/>
    </row>
    <row r="832">
      <c r="I832" s="265"/>
      <c r="J832" s="265"/>
      <c r="L832" s="166"/>
    </row>
    <row r="833">
      <c r="I833" s="265"/>
      <c r="J833" s="265"/>
      <c r="L833" s="166"/>
    </row>
    <row r="834">
      <c r="I834" s="265"/>
      <c r="J834" s="265"/>
      <c r="L834" s="166"/>
    </row>
    <row r="835">
      <c r="I835" s="265"/>
      <c r="J835" s="265"/>
      <c r="L835" s="166"/>
    </row>
    <row r="836">
      <c r="I836" s="265"/>
      <c r="J836" s="265"/>
      <c r="L836" s="166"/>
    </row>
    <row r="837">
      <c r="I837" s="265"/>
      <c r="J837" s="265"/>
      <c r="L837" s="166"/>
    </row>
    <row r="838">
      <c r="I838" s="265"/>
      <c r="J838" s="265"/>
      <c r="L838" s="166"/>
    </row>
    <row r="839">
      <c r="I839" s="265"/>
      <c r="J839" s="265"/>
      <c r="L839" s="166"/>
    </row>
    <row r="840">
      <c r="I840" s="265"/>
      <c r="J840" s="265"/>
      <c r="L840" s="166"/>
    </row>
    <row r="841">
      <c r="I841" s="265"/>
      <c r="J841" s="265"/>
      <c r="L841" s="166"/>
    </row>
    <row r="842">
      <c r="I842" s="265"/>
      <c r="J842" s="265"/>
      <c r="L842" s="166"/>
    </row>
    <row r="843">
      <c r="I843" s="265"/>
      <c r="J843" s="265"/>
      <c r="L843" s="166"/>
    </row>
    <row r="844">
      <c r="I844" s="265"/>
      <c r="J844" s="265"/>
      <c r="L844" s="166"/>
    </row>
    <row r="845">
      <c r="I845" s="265"/>
      <c r="J845" s="265"/>
      <c r="L845" s="166"/>
    </row>
    <row r="846">
      <c r="I846" s="265"/>
      <c r="J846" s="265"/>
      <c r="L846" s="166"/>
    </row>
    <row r="847">
      <c r="I847" s="265"/>
      <c r="J847" s="265"/>
      <c r="L847" s="166"/>
    </row>
    <row r="848">
      <c r="I848" s="265"/>
      <c r="J848" s="265"/>
      <c r="L848" s="166"/>
    </row>
    <row r="849">
      <c r="I849" s="265"/>
      <c r="J849" s="265"/>
      <c r="L849" s="166"/>
    </row>
    <row r="850">
      <c r="I850" s="265"/>
      <c r="J850" s="265"/>
      <c r="L850" s="166"/>
    </row>
    <row r="851">
      <c r="I851" s="265"/>
      <c r="J851" s="265"/>
      <c r="L851" s="166"/>
    </row>
    <row r="852">
      <c r="I852" s="265"/>
      <c r="J852" s="265"/>
      <c r="L852" s="166"/>
    </row>
    <row r="853">
      <c r="I853" s="265"/>
      <c r="J853" s="265"/>
      <c r="L853" s="166"/>
    </row>
    <row r="854">
      <c r="I854" s="265"/>
      <c r="J854" s="265"/>
      <c r="L854" s="166"/>
    </row>
    <row r="855">
      <c r="I855" s="265"/>
      <c r="J855" s="265"/>
      <c r="L855" s="166"/>
    </row>
    <row r="856">
      <c r="I856" s="265"/>
      <c r="J856" s="265"/>
      <c r="L856" s="166"/>
    </row>
    <row r="857">
      <c r="I857" s="265"/>
      <c r="J857" s="265"/>
      <c r="L857" s="166"/>
    </row>
    <row r="858">
      <c r="I858" s="265"/>
      <c r="J858" s="265"/>
      <c r="L858" s="166"/>
    </row>
    <row r="859">
      <c r="I859" s="265"/>
      <c r="J859" s="265"/>
      <c r="L859" s="166"/>
    </row>
    <row r="860">
      <c r="I860" s="265"/>
      <c r="J860" s="265"/>
      <c r="L860" s="166"/>
    </row>
    <row r="861">
      <c r="I861" s="265"/>
      <c r="J861" s="265"/>
      <c r="L861" s="166"/>
    </row>
    <row r="862">
      <c r="I862" s="265"/>
      <c r="J862" s="265"/>
      <c r="L862" s="166"/>
    </row>
    <row r="863">
      <c r="I863" s="265"/>
      <c r="J863" s="265"/>
      <c r="L863" s="166"/>
    </row>
    <row r="864">
      <c r="I864" s="265"/>
      <c r="J864" s="265"/>
      <c r="L864" s="166"/>
    </row>
    <row r="865">
      <c r="I865" s="265"/>
      <c r="J865" s="265"/>
      <c r="L865" s="166"/>
    </row>
    <row r="866">
      <c r="I866" s="265"/>
      <c r="J866" s="265"/>
      <c r="L866" s="166"/>
    </row>
    <row r="867">
      <c r="I867" s="265"/>
      <c r="J867" s="265"/>
      <c r="L867" s="166"/>
    </row>
    <row r="868">
      <c r="I868" s="265"/>
      <c r="J868" s="265"/>
      <c r="L868" s="166"/>
    </row>
    <row r="869">
      <c r="I869" s="265"/>
      <c r="J869" s="265"/>
      <c r="L869" s="166"/>
    </row>
    <row r="870">
      <c r="I870" s="265"/>
      <c r="J870" s="265"/>
      <c r="L870" s="166"/>
    </row>
    <row r="871">
      <c r="I871" s="265"/>
      <c r="J871" s="265"/>
      <c r="L871" s="166"/>
    </row>
    <row r="872">
      <c r="I872" s="265"/>
      <c r="J872" s="265"/>
      <c r="L872" s="166"/>
    </row>
    <row r="873">
      <c r="I873" s="265"/>
      <c r="J873" s="265"/>
      <c r="L873" s="166"/>
    </row>
    <row r="874">
      <c r="I874" s="265"/>
      <c r="J874" s="265"/>
      <c r="L874" s="166"/>
    </row>
    <row r="875">
      <c r="I875" s="265"/>
      <c r="J875" s="265"/>
      <c r="L875" s="166"/>
    </row>
    <row r="876">
      <c r="I876" s="265"/>
      <c r="J876" s="265"/>
      <c r="L876" s="166"/>
    </row>
    <row r="877">
      <c r="I877" s="265"/>
      <c r="J877" s="265"/>
      <c r="L877" s="166"/>
    </row>
    <row r="878">
      <c r="I878" s="265"/>
      <c r="J878" s="265"/>
      <c r="L878" s="166"/>
    </row>
    <row r="879">
      <c r="I879" s="265"/>
      <c r="J879" s="265"/>
      <c r="L879" s="166"/>
    </row>
    <row r="880">
      <c r="I880" s="265"/>
      <c r="J880" s="265"/>
      <c r="L880" s="166"/>
    </row>
    <row r="881">
      <c r="I881" s="265"/>
      <c r="J881" s="265"/>
      <c r="L881" s="166"/>
    </row>
    <row r="882">
      <c r="I882" s="265"/>
      <c r="J882" s="265"/>
      <c r="L882" s="166"/>
    </row>
    <row r="883">
      <c r="I883" s="265"/>
      <c r="J883" s="265"/>
      <c r="L883" s="166"/>
    </row>
    <row r="884">
      <c r="I884" s="265"/>
      <c r="J884" s="265"/>
      <c r="L884" s="166"/>
    </row>
    <row r="885">
      <c r="I885" s="265"/>
      <c r="J885" s="265"/>
      <c r="L885" s="166"/>
    </row>
    <row r="886">
      <c r="I886" s="265"/>
      <c r="J886" s="265"/>
      <c r="L886" s="166"/>
    </row>
    <row r="887">
      <c r="I887" s="265"/>
      <c r="J887" s="265"/>
      <c r="L887" s="166"/>
    </row>
    <row r="888">
      <c r="I888" s="265"/>
      <c r="J888" s="265"/>
      <c r="L888" s="166"/>
    </row>
    <row r="889">
      <c r="I889" s="265"/>
      <c r="J889" s="265"/>
      <c r="L889" s="166"/>
    </row>
    <row r="890">
      <c r="I890" s="265"/>
      <c r="J890" s="265"/>
      <c r="L890" s="166"/>
    </row>
    <row r="891">
      <c r="I891" s="265"/>
      <c r="J891" s="265"/>
      <c r="L891" s="166"/>
    </row>
    <row r="892">
      <c r="I892" s="265"/>
      <c r="J892" s="265"/>
      <c r="L892" s="166"/>
    </row>
    <row r="893">
      <c r="I893" s="265"/>
      <c r="J893" s="265"/>
      <c r="L893" s="166"/>
    </row>
    <row r="894">
      <c r="I894" s="265"/>
      <c r="J894" s="265"/>
      <c r="L894" s="166"/>
    </row>
    <row r="895">
      <c r="I895" s="265"/>
      <c r="J895" s="265"/>
      <c r="L895" s="166"/>
    </row>
    <row r="896">
      <c r="I896" s="265"/>
      <c r="J896" s="265"/>
      <c r="L896" s="166"/>
    </row>
    <row r="897">
      <c r="I897" s="265"/>
      <c r="J897" s="265"/>
      <c r="L897" s="166"/>
    </row>
    <row r="898">
      <c r="I898" s="265"/>
      <c r="J898" s="265"/>
      <c r="L898" s="166"/>
    </row>
    <row r="899">
      <c r="I899" s="265"/>
      <c r="J899" s="265"/>
      <c r="L899" s="166"/>
    </row>
    <row r="900">
      <c r="I900" s="265"/>
      <c r="J900" s="265"/>
      <c r="L900" s="166"/>
    </row>
    <row r="901">
      <c r="I901" s="265"/>
      <c r="J901" s="265"/>
      <c r="L901" s="166"/>
    </row>
    <row r="902">
      <c r="I902" s="265"/>
      <c r="J902" s="265"/>
      <c r="L902" s="166"/>
    </row>
    <row r="903">
      <c r="I903" s="265"/>
      <c r="J903" s="265"/>
      <c r="L903" s="166"/>
    </row>
    <row r="904">
      <c r="I904" s="265"/>
      <c r="J904" s="265"/>
      <c r="L904" s="166"/>
    </row>
    <row r="905">
      <c r="I905" s="265"/>
      <c r="J905" s="265"/>
      <c r="L905" s="166"/>
    </row>
    <row r="906">
      <c r="I906" s="265"/>
      <c r="J906" s="265"/>
      <c r="L906" s="166"/>
    </row>
    <row r="907">
      <c r="I907" s="265"/>
      <c r="J907" s="265"/>
      <c r="L907" s="166"/>
    </row>
    <row r="908">
      <c r="I908" s="265"/>
      <c r="J908" s="265"/>
      <c r="L908" s="166"/>
    </row>
    <row r="909">
      <c r="I909" s="265"/>
      <c r="J909" s="265"/>
      <c r="L909" s="166"/>
    </row>
    <row r="910">
      <c r="I910" s="265"/>
      <c r="J910" s="265"/>
      <c r="L910" s="166"/>
    </row>
    <row r="911">
      <c r="I911" s="265"/>
      <c r="J911" s="265"/>
      <c r="L911" s="166"/>
    </row>
    <row r="912">
      <c r="I912" s="265"/>
      <c r="J912" s="265"/>
      <c r="L912" s="166"/>
    </row>
    <row r="913">
      <c r="I913" s="265"/>
      <c r="J913" s="265"/>
      <c r="L913" s="166"/>
    </row>
    <row r="914">
      <c r="I914" s="265"/>
      <c r="J914" s="265"/>
      <c r="L914" s="166"/>
    </row>
    <row r="915">
      <c r="I915" s="265"/>
      <c r="J915" s="265"/>
      <c r="L915" s="166"/>
    </row>
    <row r="916">
      <c r="I916" s="265"/>
      <c r="J916" s="265"/>
      <c r="L916" s="166"/>
    </row>
    <row r="917">
      <c r="I917" s="265"/>
      <c r="J917" s="265"/>
      <c r="L917" s="166"/>
    </row>
    <row r="918">
      <c r="I918" s="265"/>
      <c r="J918" s="265"/>
      <c r="L918" s="166"/>
    </row>
    <row r="919">
      <c r="I919" s="265"/>
      <c r="J919" s="265"/>
      <c r="L919" s="166"/>
    </row>
    <row r="920">
      <c r="I920" s="265"/>
      <c r="J920" s="265"/>
      <c r="L920" s="166"/>
    </row>
    <row r="921">
      <c r="I921" s="265"/>
      <c r="J921" s="265"/>
      <c r="L921" s="166"/>
    </row>
    <row r="922">
      <c r="I922" s="265"/>
      <c r="J922" s="265"/>
      <c r="L922" s="166"/>
    </row>
    <row r="923">
      <c r="I923" s="265"/>
      <c r="J923" s="265"/>
      <c r="L923" s="166"/>
    </row>
    <row r="924">
      <c r="I924" s="265"/>
      <c r="J924" s="265"/>
      <c r="L924" s="166"/>
    </row>
    <row r="925">
      <c r="I925" s="265"/>
      <c r="J925" s="265"/>
      <c r="L925" s="166"/>
    </row>
    <row r="926">
      <c r="I926" s="265"/>
      <c r="J926" s="265"/>
      <c r="L926" s="166"/>
    </row>
    <row r="927">
      <c r="I927" s="265"/>
      <c r="J927" s="265"/>
      <c r="L927" s="166"/>
    </row>
    <row r="928">
      <c r="I928" s="265"/>
      <c r="J928" s="265"/>
      <c r="L928" s="166"/>
    </row>
    <row r="929">
      <c r="I929" s="265"/>
      <c r="J929" s="265"/>
      <c r="L929" s="166"/>
    </row>
    <row r="930">
      <c r="I930" s="265"/>
      <c r="J930" s="265"/>
      <c r="L930" s="166"/>
    </row>
    <row r="931">
      <c r="I931" s="265"/>
      <c r="J931" s="265"/>
      <c r="L931" s="166"/>
    </row>
    <row r="932">
      <c r="I932" s="265"/>
      <c r="J932" s="265"/>
      <c r="L932" s="166"/>
    </row>
    <row r="933">
      <c r="I933" s="265"/>
      <c r="J933" s="265"/>
      <c r="L933" s="166"/>
    </row>
    <row r="934">
      <c r="I934" s="265"/>
      <c r="J934" s="265"/>
      <c r="L934" s="166"/>
    </row>
    <row r="935">
      <c r="I935" s="265"/>
      <c r="J935" s="265"/>
      <c r="L935" s="166"/>
    </row>
    <row r="936">
      <c r="I936" s="265"/>
      <c r="J936" s="265"/>
      <c r="L936" s="166"/>
    </row>
    <row r="937">
      <c r="I937" s="265"/>
      <c r="J937" s="265"/>
      <c r="L937" s="166"/>
    </row>
    <row r="938">
      <c r="I938" s="265"/>
      <c r="J938" s="265"/>
      <c r="L938" s="166"/>
    </row>
    <row r="939">
      <c r="I939" s="265"/>
      <c r="J939" s="265"/>
      <c r="L939" s="166"/>
    </row>
    <row r="940">
      <c r="I940" s="265"/>
      <c r="J940" s="265"/>
      <c r="L940" s="166"/>
    </row>
    <row r="941">
      <c r="I941" s="265"/>
      <c r="J941" s="265"/>
      <c r="L941" s="166"/>
    </row>
    <row r="942">
      <c r="I942" s="265"/>
      <c r="J942" s="265"/>
      <c r="L942" s="166"/>
    </row>
    <row r="943">
      <c r="I943" s="265"/>
      <c r="J943" s="265"/>
      <c r="L943" s="166"/>
    </row>
    <row r="944">
      <c r="I944" s="265"/>
      <c r="J944" s="265"/>
      <c r="L944" s="166"/>
    </row>
    <row r="945">
      <c r="I945" s="265"/>
      <c r="J945" s="265"/>
      <c r="L945" s="166"/>
    </row>
    <row r="946">
      <c r="I946" s="265"/>
      <c r="J946" s="265"/>
      <c r="L946" s="166"/>
    </row>
    <row r="947">
      <c r="I947" s="265"/>
      <c r="J947" s="265"/>
      <c r="L947" s="166"/>
    </row>
    <row r="948">
      <c r="I948" s="265"/>
      <c r="J948" s="265"/>
      <c r="L948" s="166"/>
    </row>
    <row r="949">
      <c r="I949" s="265"/>
      <c r="J949" s="265"/>
      <c r="L949" s="166"/>
    </row>
    <row r="950">
      <c r="I950" s="265"/>
      <c r="J950" s="265"/>
      <c r="L950" s="166"/>
    </row>
    <row r="951">
      <c r="I951" s="265"/>
      <c r="J951" s="265"/>
      <c r="L951" s="166"/>
    </row>
    <row r="952">
      <c r="I952" s="265"/>
      <c r="J952" s="265"/>
      <c r="L952" s="166"/>
    </row>
    <row r="953">
      <c r="I953" s="265"/>
      <c r="J953" s="265"/>
      <c r="L953" s="166"/>
    </row>
    <row r="954">
      <c r="I954" s="265"/>
      <c r="J954" s="265"/>
      <c r="L954" s="166"/>
    </row>
    <row r="955">
      <c r="I955" s="265"/>
      <c r="J955" s="265"/>
      <c r="L955" s="166"/>
    </row>
    <row r="956">
      <c r="I956" s="265"/>
      <c r="J956" s="265"/>
      <c r="L956" s="166"/>
    </row>
    <row r="957">
      <c r="I957" s="265"/>
      <c r="J957" s="265"/>
      <c r="L957" s="166"/>
    </row>
    <row r="958">
      <c r="I958" s="265"/>
      <c r="J958" s="265"/>
      <c r="L958" s="166"/>
    </row>
    <row r="959">
      <c r="I959" s="265"/>
      <c r="J959" s="265"/>
      <c r="L959" s="166"/>
    </row>
    <row r="960">
      <c r="I960" s="265"/>
      <c r="J960" s="265"/>
      <c r="L960" s="166"/>
    </row>
    <row r="961">
      <c r="I961" s="265"/>
      <c r="J961" s="265"/>
      <c r="L961" s="166"/>
    </row>
    <row r="962">
      <c r="I962" s="265"/>
      <c r="J962" s="265"/>
      <c r="L962" s="166"/>
    </row>
    <row r="963">
      <c r="I963" s="265"/>
      <c r="J963" s="265"/>
      <c r="L963" s="166"/>
    </row>
    <row r="964">
      <c r="I964" s="265"/>
      <c r="J964" s="265"/>
      <c r="L964" s="166"/>
    </row>
    <row r="965">
      <c r="I965" s="265"/>
      <c r="J965" s="265"/>
      <c r="L965" s="166"/>
    </row>
    <row r="966">
      <c r="I966" s="265"/>
      <c r="J966" s="265"/>
      <c r="L966" s="166"/>
    </row>
    <row r="967">
      <c r="I967" s="265"/>
      <c r="J967" s="265"/>
      <c r="L967" s="166"/>
    </row>
    <row r="968">
      <c r="I968" s="265"/>
      <c r="J968" s="265"/>
      <c r="L968" s="166"/>
    </row>
    <row r="969">
      <c r="I969" s="265"/>
      <c r="J969" s="265"/>
      <c r="L969" s="166"/>
    </row>
    <row r="970">
      <c r="I970" s="265"/>
      <c r="J970" s="265"/>
      <c r="L970" s="166"/>
    </row>
    <row r="971">
      <c r="I971" s="265"/>
      <c r="J971" s="265"/>
      <c r="L971" s="166"/>
    </row>
    <row r="972">
      <c r="I972" s="265"/>
      <c r="J972" s="265"/>
      <c r="L972" s="166"/>
    </row>
    <row r="973">
      <c r="I973" s="265"/>
      <c r="J973" s="265"/>
      <c r="L973" s="166"/>
    </row>
    <row r="974">
      <c r="I974" s="265"/>
      <c r="J974" s="265"/>
      <c r="L974" s="166"/>
    </row>
    <row r="975">
      <c r="I975" s="265"/>
      <c r="J975" s="265"/>
      <c r="L975" s="166"/>
    </row>
    <row r="976">
      <c r="I976" s="265"/>
      <c r="J976" s="265"/>
      <c r="L976" s="166"/>
    </row>
    <row r="977">
      <c r="I977" s="265"/>
      <c r="J977" s="265"/>
      <c r="L977" s="166"/>
    </row>
    <row r="978">
      <c r="I978" s="265"/>
      <c r="J978" s="265"/>
      <c r="L978" s="166"/>
    </row>
    <row r="979">
      <c r="I979" s="265"/>
      <c r="J979" s="265"/>
      <c r="L979" s="166"/>
    </row>
    <row r="980">
      <c r="I980" s="265"/>
      <c r="J980" s="265"/>
      <c r="L980" s="166"/>
    </row>
    <row r="981">
      <c r="I981" s="265"/>
      <c r="J981" s="265"/>
      <c r="L981" s="166"/>
    </row>
    <row r="982">
      <c r="I982" s="265"/>
      <c r="J982" s="265"/>
      <c r="L982" s="166"/>
    </row>
    <row r="983">
      <c r="I983" s="265"/>
      <c r="J983" s="265"/>
      <c r="L983" s="166"/>
    </row>
    <row r="984">
      <c r="I984" s="265"/>
      <c r="J984" s="265"/>
      <c r="L984" s="166"/>
    </row>
    <row r="985">
      <c r="I985" s="265"/>
      <c r="J985" s="265"/>
      <c r="L985" s="166"/>
    </row>
    <row r="986">
      <c r="I986" s="265"/>
      <c r="J986" s="265"/>
      <c r="L986" s="166"/>
    </row>
    <row r="987">
      <c r="I987" s="265"/>
      <c r="J987" s="265"/>
      <c r="L987" s="166"/>
    </row>
    <row r="988">
      <c r="I988" s="265"/>
      <c r="J988" s="265"/>
      <c r="L988" s="166"/>
    </row>
    <row r="989">
      <c r="I989" s="265"/>
      <c r="J989" s="265"/>
      <c r="L989" s="166"/>
    </row>
    <row r="990">
      <c r="I990" s="265"/>
      <c r="J990" s="265"/>
      <c r="L990" s="166"/>
    </row>
    <row r="991">
      <c r="I991" s="265"/>
      <c r="J991" s="265"/>
      <c r="L991" s="166"/>
    </row>
    <row r="992">
      <c r="I992" s="265"/>
      <c r="J992" s="265"/>
      <c r="L992" s="166"/>
    </row>
    <row r="993">
      <c r="I993" s="265"/>
      <c r="J993" s="265"/>
      <c r="L993" s="166"/>
    </row>
    <row r="994">
      <c r="I994" s="265"/>
      <c r="J994" s="265"/>
      <c r="L994" s="166"/>
    </row>
    <row r="995">
      <c r="I995" s="265"/>
      <c r="J995" s="265"/>
      <c r="L995" s="166"/>
    </row>
    <row r="996">
      <c r="I996" s="265"/>
      <c r="J996" s="265"/>
      <c r="L996" s="166"/>
    </row>
    <row r="997">
      <c r="I997" s="265"/>
      <c r="J997" s="265"/>
      <c r="L997" s="166"/>
    </row>
    <row r="998">
      <c r="I998" s="265"/>
      <c r="J998" s="265"/>
      <c r="L998" s="166"/>
    </row>
    <row r="999">
      <c r="I999" s="265"/>
      <c r="J999" s="265"/>
      <c r="L999" s="166"/>
    </row>
    <row r="1000">
      <c r="I1000" s="265"/>
      <c r="J1000" s="265"/>
      <c r="L1000" s="166"/>
    </row>
    <row r="1001">
      <c r="I1001" s="265"/>
      <c r="J1001" s="265"/>
      <c r="L1001" s="166"/>
    </row>
    <row r="1002">
      <c r="I1002" s="265"/>
      <c r="J1002" s="265"/>
      <c r="L1002" s="166"/>
    </row>
    <row r="1003">
      <c r="I1003" s="265"/>
      <c r="J1003" s="265"/>
      <c r="L1003" s="166"/>
    </row>
    <row r="1004">
      <c r="I1004" s="265"/>
      <c r="J1004" s="265"/>
      <c r="L1004" s="166"/>
    </row>
    <row r="1005">
      <c r="I1005" s="265"/>
      <c r="J1005" s="265"/>
      <c r="L1005" s="166"/>
    </row>
    <row r="1006">
      <c r="I1006" s="265"/>
      <c r="J1006" s="265"/>
      <c r="L1006" s="166"/>
    </row>
    <row r="1007">
      <c r="I1007" s="265"/>
      <c r="J1007" s="265"/>
      <c r="L1007" s="166"/>
    </row>
    <row r="1008">
      <c r="I1008" s="265"/>
      <c r="J1008" s="265"/>
      <c r="L1008" s="166"/>
    </row>
    <row r="1009">
      <c r="I1009" s="265"/>
      <c r="J1009" s="265"/>
      <c r="L1009" s="166"/>
    </row>
    <row r="1010">
      <c r="I1010" s="265"/>
      <c r="J1010" s="265"/>
      <c r="L1010" s="166"/>
    </row>
    <row r="1011">
      <c r="I1011" s="265"/>
      <c r="J1011" s="265"/>
      <c r="L1011" s="166"/>
    </row>
    <row r="1012">
      <c r="I1012" s="265"/>
      <c r="J1012" s="265"/>
      <c r="L1012" s="166"/>
    </row>
    <row r="1013">
      <c r="I1013" s="265"/>
      <c r="J1013" s="265"/>
      <c r="L1013" s="166"/>
    </row>
    <row r="1014">
      <c r="I1014" s="265"/>
      <c r="J1014" s="265"/>
      <c r="L1014" s="166"/>
    </row>
    <row r="1015">
      <c r="I1015" s="265"/>
      <c r="J1015" s="265"/>
      <c r="L1015" s="166"/>
    </row>
    <row r="1016">
      <c r="I1016" s="265"/>
      <c r="J1016" s="265"/>
      <c r="L1016" s="166"/>
    </row>
    <row r="1017">
      <c r="I1017" s="265"/>
      <c r="J1017" s="265"/>
      <c r="L1017" s="166"/>
    </row>
    <row r="1018">
      <c r="I1018" s="265"/>
      <c r="J1018" s="265"/>
      <c r="L1018" s="166"/>
    </row>
    <row r="1019">
      <c r="I1019" s="265"/>
      <c r="J1019" s="265"/>
      <c r="L1019" s="166"/>
    </row>
    <row r="1020">
      <c r="I1020" s="265"/>
      <c r="J1020" s="265"/>
      <c r="L1020" s="166"/>
    </row>
    <row r="1021">
      <c r="I1021" s="265"/>
      <c r="J1021" s="265"/>
      <c r="L1021" s="166"/>
    </row>
    <row r="1022">
      <c r="I1022" s="265"/>
      <c r="J1022" s="265"/>
      <c r="L1022" s="166"/>
    </row>
    <row r="1023">
      <c r="I1023" s="265"/>
      <c r="J1023" s="265"/>
      <c r="L1023" s="166"/>
    </row>
    <row r="1024">
      <c r="I1024" s="265"/>
      <c r="J1024" s="265"/>
      <c r="L1024" s="166"/>
    </row>
    <row r="1025">
      <c r="I1025" s="265"/>
      <c r="J1025" s="265"/>
      <c r="L1025" s="166"/>
    </row>
    <row r="1026">
      <c r="I1026" s="265"/>
      <c r="J1026" s="265"/>
      <c r="L1026" s="166"/>
    </row>
    <row r="1027">
      <c r="I1027" s="265"/>
      <c r="J1027" s="265"/>
      <c r="L1027" s="166"/>
    </row>
    <row r="1028">
      <c r="I1028" s="265"/>
      <c r="J1028" s="265"/>
      <c r="L1028" s="166"/>
    </row>
    <row r="1029">
      <c r="I1029" s="265"/>
      <c r="J1029" s="265"/>
      <c r="L1029" s="166"/>
    </row>
    <row r="1030">
      <c r="I1030" s="265"/>
      <c r="J1030" s="265"/>
      <c r="L1030" s="166"/>
    </row>
    <row r="1031">
      <c r="I1031" s="265"/>
      <c r="J1031" s="265"/>
      <c r="L1031" s="166"/>
    </row>
    <row r="1032">
      <c r="I1032" s="265"/>
      <c r="J1032" s="265"/>
      <c r="L1032" s="166"/>
    </row>
    <row r="1033">
      <c r="I1033" s="265"/>
      <c r="J1033" s="265"/>
      <c r="L1033" s="166"/>
    </row>
    <row r="1034">
      <c r="I1034" s="265"/>
      <c r="J1034" s="265"/>
      <c r="L1034" s="166"/>
    </row>
    <row r="1035">
      <c r="I1035" s="265"/>
      <c r="J1035" s="265"/>
      <c r="L1035" s="166"/>
    </row>
    <row r="1036">
      <c r="I1036" s="265"/>
      <c r="J1036" s="265"/>
      <c r="L1036" s="166"/>
    </row>
    <row r="1037">
      <c r="I1037" s="265"/>
      <c r="J1037" s="265"/>
      <c r="L1037" s="166"/>
    </row>
    <row r="1038">
      <c r="I1038" s="265"/>
      <c r="J1038" s="265"/>
      <c r="L1038" s="166"/>
    </row>
    <row r="1039">
      <c r="I1039" s="265"/>
      <c r="J1039" s="265"/>
      <c r="L1039" s="166"/>
    </row>
    <row r="1040">
      <c r="I1040" s="265"/>
      <c r="J1040" s="265"/>
      <c r="L1040" s="166"/>
    </row>
    <row r="1041">
      <c r="I1041" s="265"/>
      <c r="J1041" s="265"/>
      <c r="L1041" s="166"/>
    </row>
    <row r="1042">
      <c r="I1042" s="265"/>
      <c r="J1042" s="265"/>
      <c r="L1042" s="166"/>
    </row>
    <row r="1043">
      <c r="I1043" s="265"/>
      <c r="J1043" s="265"/>
      <c r="L1043" s="166"/>
    </row>
    <row r="1044">
      <c r="I1044" s="265"/>
      <c r="J1044" s="265"/>
      <c r="L1044" s="166"/>
    </row>
    <row r="1045">
      <c r="I1045" s="265"/>
      <c r="J1045" s="265"/>
      <c r="L1045" s="166"/>
    </row>
    <row r="1046">
      <c r="I1046" s="265"/>
      <c r="J1046" s="265"/>
      <c r="L1046" s="166"/>
    </row>
    <row r="1047">
      <c r="I1047" s="265"/>
      <c r="J1047" s="265"/>
      <c r="L1047" s="166"/>
    </row>
    <row r="1048">
      <c r="I1048" s="265"/>
      <c r="J1048" s="265"/>
      <c r="L1048" s="166"/>
    </row>
    <row r="1049">
      <c r="I1049" s="265"/>
      <c r="J1049" s="265"/>
      <c r="L1049" s="166"/>
    </row>
    <row r="1050">
      <c r="I1050" s="265"/>
      <c r="J1050" s="265"/>
      <c r="L1050" s="166"/>
    </row>
    <row r="1051">
      <c r="I1051" s="265"/>
      <c r="J1051" s="265"/>
      <c r="L1051" s="166"/>
    </row>
    <row r="1052">
      <c r="I1052" s="265"/>
      <c r="J1052" s="265"/>
      <c r="L1052" s="166"/>
    </row>
    <row r="1053">
      <c r="I1053" s="265"/>
      <c r="J1053" s="265"/>
      <c r="L1053" s="166"/>
    </row>
    <row r="1054">
      <c r="I1054" s="265"/>
      <c r="J1054" s="265"/>
      <c r="L1054" s="166"/>
    </row>
    <row r="1055">
      <c r="I1055" s="265"/>
      <c r="J1055" s="265"/>
      <c r="L1055" s="166"/>
    </row>
    <row r="1056">
      <c r="I1056" s="265"/>
      <c r="J1056" s="265"/>
      <c r="L1056" s="166"/>
    </row>
    <row r="1057">
      <c r="I1057" s="265"/>
      <c r="J1057" s="265"/>
      <c r="L1057" s="166"/>
    </row>
    <row r="1058">
      <c r="I1058" s="265"/>
      <c r="J1058" s="265"/>
      <c r="L1058" s="166"/>
    </row>
    <row r="1059">
      <c r="I1059" s="265"/>
      <c r="J1059" s="265"/>
      <c r="L1059" s="166"/>
    </row>
    <row r="1060">
      <c r="I1060" s="265"/>
      <c r="J1060" s="265"/>
      <c r="L1060" s="166"/>
    </row>
    <row r="1061">
      <c r="I1061" s="265"/>
      <c r="J1061" s="265"/>
      <c r="L1061" s="166"/>
    </row>
    <row r="1062">
      <c r="I1062" s="265"/>
      <c r="J1062" s="265"/>
      <c r="L1062" s="166"/>
    </row>
    <row r="1063">
      <c r="I1063" s="265"/>
      <c r="J1063" s="265"/>
      <c r="L1063" s="166"/>
    </row>
    <row r="1064">
      <c r="I1064" s="265"/>
      <c r="J1064" s="265"/>
      <c r="L1064" s="166"/>
    </row>
    <row r="1065">
      <c r="I1065" s="265"/>
      <c r="J1065" s="265"/>
      <c r="L1065" s="166"/>
    </row>
    <row r="1066">
      <c r="I1066" s="265"/>
      <c r="J1066" s="265"/>
      <c r="L1066" s="166"/>
    </row>
    <row r="1067">
      <c r="I1067" s="265"/>
      <c r="J1067" s="265"/>
      <c r="L1067" s="166"/>
    </row>
    <row r="1068">
      <c r="I1068" s="265"/>
      <c r="J1068" s="265"/>
      <c r="L1068" s="166"/>
    </row>
    <row r="1069">
      <c r="I1069" s="265"/>
      <c r="J1069" s="265"/>
      <c r="L1069" s="166"/>
    </row>
    <row r="1070">
      <c r="I1070" s="265"/>
      <c r="J1070" s="265"/>
      <c r="L1070" s="166"/>
    </row>
    <row r="1071">
      <c r="I1071" s="265"/>
      <c r="J1071" s="265"/>
      <c r="L1071" s="166"/>
    </row>
    <row r="1072">
      <c r="I1072" s="265"/>
      <c r="J1072" s="265"/>
      <c r="L1072" s="166"/>
    </row>
    <row r="1073">
      <c r="I1073" s="265"/>
      <c r="J1073" s="265"/>
      <c r="L1073" s="166"/>
    </row>
    <row r="1074">
      <c r="I1074" s="265"/>
      <c r="J1074" s="265"/>
      <c r="L1074" s="166"/>
    </row>
    <row r="1075">
      <c r="I1075" s="265"/>
      <c r="J1075" s="265"/>
      <c r="L1075" s="166"/>
    </row>
    <row r="1076">
      <c r="I1076" s="265"/>
      <c r="J1076" s="265"/>
      <c r="L1076" s="166"/>
    </row>
    <row r="1077">
      <c r="I1077" s="265"/>
      <c r="J1077" s="265"/>
      <c r="L1077" s="166"/>
    </row>
    <row r="1078">
      <c r="I1078" s="265"/>
      <c r="J1078" s="265"/>
      <c r="L1078" s="166"/>
    </row>
    <row r="1079">
      <c r="I1079" s="265"/>
      <c r="J1079" s="265"/>
      <c r="L1079" s="166"/>
    </row>
    <row r="1080">
      <c r="I1080" s="265"/>
      <c r="J1080" s="265"/>
      <c r="L1080" s="166"/>
    </row>
    <row r="1081">
      <c r="I1081" s="265"/>
      <c r="J1081" s="265"/>
      <c r="L1081" s="166"/>
    </row>
    <row r="1082">
      <c r="I1082" s="265"/>
      <c r="J1082" s="265"/>
      <c r="L1082" s="166"/>
    </row>
    <row r="1083">
      <c r="I1083" s="265"/>
      <c r="J1083" s="265"/>
      <c r="L1083" s="166"/>
    </row>
    <row r="1084">
      <c r="I1084" s="265"/>
      <c r="J1084" s="265"/>
      <c r="L1084" s="166"/>
    </row>
    <row r="1085">
      <c r="I1085" s="265"/>
      <c r="J1085" s="265"/>
      <c r="L1085" s="166"/>
    </row>
    <row r="1086">
      <c r="I1086" s="265"/>
      <c r="J1086" s="265"/>
      <c r="L1086" s="166"/>
    </row>
    <row r="1087">
      <c r="I1087" s="265"/>
      <c r="J1087" s="265"/>
      <c r="L1087" s="166"/>
    </row>
    <row r="1088">
      <c r="I1088" s="265"/>
      <c r="J1088" s="265"/>
      <c r="L1088" s="166"/>
    </row>
    <row r="1089">
      <c r="I1089" s="265"/>
      <c r="J1089" s="265"/>
      <c r="L1089" s="166"/>
    </row>
    <row r="1090">
      <c r="I1090" s="265"/>
      <c r="J1090" s="265"/>
      <c r="L1090" s="166"/>
    </row>
    <row r="1091">
      <c r="I1091" s="265"/>
      <c r="J1091" s="265"/>
      <c r="L1091" s="166"/>
    </row>
    <row r="1092">
      <c r="I1092" s="265"/>
      <c r="J1092" s="265"/>
      <c r="L1092" s="166"/>
    </row>
    <row r="1093">
      <c r="I1093" s="265"/>
      <c r="J1093" s="265"/>
      <c r="L1093" s="166"/>
    </row>
    <row r="1094">
      <c r="I1094" s="265"/>
      <c r="J1094" s="265"/>
      <c r="L1094" s="166"/>
    </row>
    <row r="1095">
      <c r="I1095" s="265"/>
      <c r="J1095" s="265"/>
      <c r="L1095" s="166"/>
    </row>
    <row r="1096">
      <c r="I1096" s="265"/>
      <c r="J1096" s="265"/>
      <c r="L1096" s="166"/>
    </row>
    <row r="1097">
      <c r="I1097" s="265"/>
      <c r="J1097" s="265"/>
      <c r="L1097" s="166"/>
    </row>
    <row r="1098">
      <c r="I1098" s="265"/>
      <c r="J1098" s="265"/>
      <c r="L1098" s="166"/>
    </row>
    <row r="1099">
      <c r="I1099" s="265"/>
      <c r="J1099" s="265"/>
      <c r="L1099" s="166"/>
    </row>
    <row r="1100">
      <c r="I1100" s="265"/>
      <c r="J1100" s="265"/>
      <c r="L1100" s="166"/>
    </row>
    <row r="1101">
      <c r="I1101" s="265"/>
      <c r="J1101" s="265"/>
      <c r="L1101" s="166"/>
    </row>
    <row r="1102">
      <c r="I1102" s="265"/>
      <c r="J1102" s="265"/>
      <c r="L1102" s="166"/>
    </row>
    <row r="1103">
      <c r="I1103" s="265"/>
      <c r="J1103" s="265"/>
      <c r="L1103" s="166"/>
    </row>
    <row r="1104">
      <c r="I1104" s="265"/>
      <c r="J1104" s="265"/>
      <c r="L1104" s="166"/>
    </row>
    <row r="1105">
      <c r="I1105" s="265"/>
      <c r="J1105" s="265"/>
      <c r="L1105" s="166"/>
    </row>
    <row r="1106">
      <c r="I1106" s="265"/>
      <c r="J1106" s="265"/>
      <c r="L1106" s="166"/>
    </row>
    <row r="1107">
      <c r="I1107" s="265"/>
      <c r="J1107" s="265"/>
      <c r="L1107" s="166"/>
    </row>
    <row r="1108">
      <c r="I1108" s="265"/>
      <c r="J1108" s="265"/>
      <c r="L1108" s="166"/>
    </row>
    <row r="1109">
      <c r="I1109" s="265"/>
      <c r="J1109" s="265"/>
      <c r="L1109" s="166"/>
    </row>
    <row r="1110">
      <c r="I1110" s="265"/>
      <c r="J1110" s="265"/>
      <c r="L1110" s="166"/>
    </row>
    <row r="1111">
      <c r="I1111" s="265"/>
      <c r="J1111" s="265"/>
      <c r="L1111" s="166"/>
    </row>
    <row r="1112">
      <c r="I1112" s="265"/>
      <c r="J1112" s="265"/>
      <c r="L1112" s="166"/>
    </row>
    <row r="1113">
      <c r="I1113" s="265"/>
      <c r="J1113" s="265"/>
      <c r="L1113" s="166"/>
    </row>
    <row r="1114">
      <c r="I1114" s="265"/>
      <c r="J1114" s="265"/>
      <c r="L1114" s="166"/>
    </row>
    <row r="1115">
      <c r="I1115" s="265"/>
      <c r="J1115" s="265"/>
      <c r="L1115" s="166"/>
    </row>
    <row r="1116">
      <c r="I1116" s="265"/>
      <c r="J1116" s="265"/>
      <c r="L1116" s="166"/>
    </row>
    <row r="1117">
      <c r="I1117" s="265"/>
      <c r="J1117" s="265"/>
      <c r="L1117" s="166"/>
    </row>
    <row r="1118">
      <c r="I1118" s="265"/>
      <c r="J1118" s="265"/>
      <c r="L1118" s="166"/>
    </row>
    <row r="1119">
      <c r="I1119" s="265"/>
      <c r="J1119" s="265"/>
      <c r="L1119" s="166"/>
    </row>
    <row r="1120">
      <c r="I1120" s="265"/>
      <c r="J1120" s="265"/>
      <c r="L1120" s="166"/>
    </row>
    <row r="1121">
      <c r="I1121" s="265"/>
      <c r="J1121" s="265"/>
      <c r="L1121" s="166"/>
    </row>
    <row r="1122">
      <c r="I1122" s="265"/>
      <c r="J1122" s="265"/>
      <c r="L1122" s="166"/>
    </row>
    <row r="1123">
      <c r="I1123" s="265"/>
      <c r="J1123" s="265"/>
      <c r="L1123" s="166"/>
    </row>
    <row r="1124">
      <c r="I1124" s="265"/>
      <c r="J1124" s="265"/>
      <c r="L1124" s="166"/>
    </row>
    <row r="1125">
      <c r="I1125" s="265"/>
      <c r="J1125" s="265"/>
      <c r="L1125" s="166"/>
    </row>
    <row r="1126">
      <c r="I1126" s="265"/>
      <c r="J1126" s="265"/>
      <c r="L1126" s="166"/>
    </row>
    <row r="1127">
      <c r="I1127" s="265"/>
      <c r="J1127" s="265"/>
      <c r="L1127" s="166"/>
    </row>
    <row r="1128">
      <c r="I1128" s="265"/>
      <c r="J1128" s="265"/>
      <c r="L1128" s="166"/>
    </row>
    <row r="1129">
      <c r="I1129" s="265"/>
      <c r="J1129" s="265"/>
      <c r="L1129" s="166"/>
    </row>
    <row r="1130">
      <c r="I1130" s="265"/>
      <c r="J1130" s="265"/>
      <c r="L1130" s="166"/>
    </row>
    <row r="1131">
      <c r="I1131" s="265"/>
      <c r="J1131" s="265"/>
      <c r="L1131" s="166"/>
    </row>
    <row r="1132">
      <c r="I1132" s="265"/>
      <c r="J1132" s="265"/>
      <c r="L1132" s="166"/>
    </row>
    <row r="1133">
      <c r="I1133" s="265"/>
      <c r="J1133" s="265"/>
      <c r="L1133" s="166"/>
    </row>
    <row r="1134">
      <c r="I1134" s="265"/>
      <c r="J1134" s="265"/>
      <c r="L1134" s="166"/>
    </row>
    <row r="1135">
      <c r="I1135" s="265"/>
      <c r="J1135" s="265"/>
      <c r="L1135" s="166"/>
    </row>
    <row r="1136">
      <c r="I1136" s="265"/>
      <c r="J1136" s="265"/>
      <c r="L1136" s="166"/>
    </row>
    <row r="1137">
      <c r="I1137" s="265"/>
      <c r="J1137" s="265"/>
      <c r="L1137" s="166"/>
    </row>
    <row r="1138">
      <c r="I1138" s="265"/>
      <c r="J1138" s="265"/>
      <c r="L1138" s="166"/>
    </row>
    <row r="1139">
      <c r="I1139" s="265"/>
      <c r="J1139" s="265"/>
      <c r="L1139" s="166"/>
    </row>
    <row r="1140">
      <c r="I1140" s="265"/>
      <c r="J1140" s="265"/>
      <c r="L1140" s="166"/>
    </row>
    <row r="1141">
      <c r="I1141" s="265"/>
      <c r="J1141" s="265"/>
      <c r="L1141" s="166"/>
    </row>
    <row r="1142">
      <c r="I1142" s="265"/>
      <c r="J1142" s="265"/>
      <c r="L1142" s="166"/>
    </row>
    <row r="1143">
      <c r="I1143" s="265"/>
      <c r="J1143" s="265"/>
      <c r="L1143" s="166"/>
    </row>
    <row r="1144">
      <c r="I1144" s="265"/>
      <c r="J1144" s="265"/>
      <c r="L1144" s="166"/>
    </row>
    <row r="1145">
      <c r="I1145" s="265"/>
      <c r="J1145" s="265"/>
      <c r="L1145" s="166"/>
    </row>
    <row r="1146">
      <c r="I1146" s="265"/>
      <c r="J1146" s="265"/>
      <c r="L1146" s="166"/>
    </row>
    <row r="1147">
      <c r="I1147" s="265"/>
      <c r="J1147" s="265"/>
      <c r="L1147" s="166"/>
    </row>
    <row r="1148">
      <c r="I1148" s="265"/>
      <c r="J1148" s="265"/>
      <c r="L1148" s="166"/>
    </row>
    <row r="1149">
      <c r="I1149" s="265"/>
      <c r="J1149" s="265"/>
      <c r="L1149" s="166"/>
    </row>
    <row r="1150">
      <c r="I1150" s="265"/>
      <c r="J1150" s="265"/>
      <c r="L1150" s="166"/>
    </row>
    <row r="1151">
      <c r="I1151" s="265"/>
      <c r="J1151" s="265"/>
      <c r="L1151" s="166"/>
    </row>
    <row r="1152">
      <c r="I1152" s="265"/>
      <c r="J1152" s="265"/>
      <c r="L1152" s="166"/>
    </row>
    <row r="1153">
      <c r="I1153" s="265"/>
      <c r="J1153" s="265"/>
      <c r="L1153" s="166"/>
    </row>
    <row r="1154">
      <c r="I1154" s="265"/>
      <c r="J1154" s="265"/>
      <c r="L1154" s="166"/>
    </row>
    <row r="1155">
      <c r="I1155" s="265"/>
      <c r="J1155" s="265"/>
      <c r="L1155" s="166"/>
    </row>
    <row r="1156">
      <c r="I1156" s="265"/>
      <c r="J1156" s="265"/>
      <c r="L1156" s="166"/>
    </row>
    <row r="1157">
      <c r="I1157" s="265"/>
      <c r="J1157" s="265"/>
      <c r="L1157" s="166"/>
    </row>
    <row r="1158">
      <c r="I1158" s="265"/>
      <c r="J1158" s="265"/>
      <c r="L1158" s="166"/>
    </row>
    <row r="1159">
      <c r="I1159" s="265"/>
      <c r="J1159" s="265"/>
      <c r="L1159" s="166"/>
    </row>
    <row r="1160">
      <c r="I1160" s="265"/>
      <c r="J1160" s="265"/>
      <c r="L1160" s="166"/>
    </row>
    <row r="1161">
      <c r="I1161" s="265"/>
      <c r="J1161" s="265"/>
      <c r="L1161" s="166"/>
    </row>
    <row r="1162">
      <c r="I1162" s="265"/>
      <c r="J1162" s="265"/>
      <c r="L1162" s="166"/>
    </row>
    <row r="1163">
      <c r="I1163" s="265"/>
      <c r="J1163" s="265"/>
      <c r="L1163" s="166"/>
    </row>
    <row r="1164">
      <c r="I1164" s="265"/>
      <c r="J1164" s="265"/>
      <c r="L1164" s="166"/>
    </row>
    <row r="1165">
      <c r="I1165" s="265"/>
      <c r="J1165" s="265"/>
      <c r="L1165" s="166"/>
    </row>
    <row r="1166">
      <c r="I1166" s="265"/>
      <c r="J1166" s="265"/>
      <c r="L1166" s="166"/>
    </row>
    <row r="1167">
      <c r="I1167" s="265"/>
      <c r="J1167" s="265"/>
      <c r="L1167" s="166"/>
    </row>
    <row r="1168">
      <c r="I1168" s="265"/>
      <c r="J1168" s="265"/>
      <c r="L1168" s="166"/>
    </row>
    <row r="1169">
      <c r="I1169" s="265"/>
      <c r="J1169" s="265"/>
      <c r="L1169" s="166"/>
    </row>
    <row r="1170">
      <c r="I1170" s="265"/>
      <c r="J1170" s="265"/>
      <c r="L1170" s="166"/>
    </row>
    <row r="1171">
      <c r="I1171" s="265"/>
      <c r="J1171" s="265"/>
      <c r="L1171" s="166"/>
    </row>
    <row r="1172">
      <c r="I1172" s="265"/>
      <c r="J1172" s="265"/>
      <c r="L1172" s="166"/>
    </row>
    <row r="1173">
      <c r="I1173" s="265"/>
      <c r="J1173" s="265"/>
      <c r="L1173" s="166"/>
    </row>
    <row r="1174">
      <c r="I1174" s="265"/>
      <c r="J1174" s="265"/>
      <c r="L1174" s="166"/>
    </row>
    <row r="1175">
      <c r="I1175" s="265"/>
      <c r="J1175" s="265"/>
      <c r="L1175" s="166"/>
    </row>
    <row r="1176">
      <c r="I1176" s="265"/>
      <c r="J1176" s="265"/>
      <c r="L1176" s="166"/>
    </row>
    <row r="1177">
      <c r="I1177" s="265"/>
      <c r="J1177" s="265"/>
      <c r="L1177" s="166"/>
    </row>
    <row r="1178">
      <c r="I1178" s="265"/>
      <c r="J1178" s="265"/>
      <c r="L1178" s="166"/>
    </row>
    <row r="1179">
      <c r="I1179" s="265"/>
      <c r="J1179" s="265"/>
      <c r="L1179" s="166"/>
    </row>
    <row r="1180">
      <c r="I1180" s="265"/>
      <c r="J1180" s="265"/>
      <c r="L1180" s="166"/>
    </row>
    <row r="1181">
      <c r="I1181" s="265"/>
      <c r="J1181" s="265"/>
      <c r="L1181" s="166"/>
    </row>
    <row r="1182">
      <c r="I1182" s="265"/>
      <c r="J1182" s="265"/>
      <c r="L1182" s="166"/>
    </row>
    <row r="1183">
      <c r="I1183" s="265"/>
      <c r="J1183" s="265"/>
      <c r="L1183" s="166"/>
    </row>
    <row r="1184">
      <c r="I1184" s="265"/>
      <c r="J1184" s="265"/>
      <c r="L1184" s="166"/>
    </row>
    <row r="1185">
      <c r="I1185" s="265"/>
      <c r="J1185" s="265"/>
      <c r="L1185" s="166"/>
    </row>
    <row r="1186">
      <c r="I1186" s="265"/>
      <c r="J1186" s="265"/>
      <c r="L1186" s="166"/>
    </row>
    <row r="1187">
      <c r="I1187" s="265"/>
      <c r="J1187" s="265"/>
      <c r="L1187" s="166"/>
    </row>
    <row r="1188">
      <c r="I1188" s="265"/>
      <c r="J1188" s="265"/>
      <c r="L1188" s="166"/>
    </row>
    <row r="1189">
      <c r="I1189" s="265"/>
      <c r="J1189" s="265"/>
      <c r="L1189" s="166"/>
    </row>
    <row r="1190">
      <c r="I1190" s="265"/>
      <c r="J1190" s="265"/>
      <c r="L1190" s="166"/>
    </row>
    <row r="1191">
      <c r="I1191" s="265"/>
      <c r="J1191" s="265"/>
      <c r="L1191" s="166"/>
    </row>
    <row r="1192">
      <c r="I1192" s="265"/>
      <c r="J1192" s="265"/>
      <c r="L1192" s="166"/>
    </row>
    <row r="1193">
      <c r="I1193" s="265"/>
      <c r="J1193" s="265"/>
      <c r="L1193" s="166"/>
    </row>
    <row r="1194">
      <c r="I1194" s="265"/>
      <c r="J1194" s="265"/>
      <c r="L1194" s="166"/>
    </row>
    <row r="1195">
      <c r="I1195" s="265"/>
      <c r="J1195" s="265"/>
      <c r="L1195" s="166"/>
    </row>
    <row r="1196">
      <c r="I1196" s="265"/>
      <c r="J1196" s="265"/>
      <c r="L1196" s="166"/>
    </row>
    <row r="1197">
      <c r="I1197" s="265"/>
      <c r="J1197" s="265"/>
      <c r="L1197" s="166"/>
    </row>
    <row r="1198">
      <c r="I1198" s="265"/>
      <c r="J1198" s="265"/>
      <c r="L1198" s="166"/>
    </row>
    <row r="1199">
      <c r="I1199" s="265"/>
      <c r="J1199" s="265"/>
      <c r="L1199" s="166"/>
    </row>
    <row r="1200">
      <c r="I1200" s="265"/>
      <c r="J1200" s="265"/>
      <c r="L1200" s="166"/>
    </row>
    <row r="1201">
      <c r="I1201" s="265"/>
      <c r="J1201" s="265"/>
      <c r="L1201" s="166"/>
    </row>
    <row r="1202">
      <c r="I1202" s="265"/>
      <c r="J1202" s="265"/>
      <c r="L1202" s="166"/>
    </row>
    <row r="1203">
      <c r="I1203" s="265"/>
      <c r="J1203" s="265"/>
      <c r="L1203" s="166"/>
    </row>
    <row r="1204">
      <c r="I1204" s="265"/>
      <c r="J1204" s="265"/>
      <c r="L1204" s="166"/>
    </row>
    <row r="1205">
      <c r="I1205" s="265"/>
      <c r="J1205" s="265"/>
      <c r="L1205" s="166"/>
    </row>
    <row r="1206">
      <c r="I1206" s="265"/>
      <c r="J1206" s="265"/>
      <c r="L1206" s="166"/>
    </row>
    <row r="1207">
      <c r="I1207" s="265"/>
      <c r="J1207" s="265"/>
      <c r="L1207" s="166"/>
    </row>
    <row r="1208">
      <c r="I1208" s="265"/>
      <c r="J1208" s="265"/>
      <c r="L1208" s="166"/>
    </row>
    <row r="1209">
      <c r="I1209" s="265"/>
      <c r="J1209" s="265"/>
      <c r="L1209" s="166"/>
    </row>
    <row r="1210">
      <c r="I1210" s="265"/>
      <c r="J1210" s="265"/>
      <c r="L1210" s="166"/>
    </row>
    <row r="1211">
      <c r="I1211" s="265"/>
      <c r="J1211" s="265"/>
      <c r="L1211" s="166"/>
    </row>
    <row r="1212">
      <c r="I1212" s="265"/>
      <c r="J1212" s="265"/>
      <c r="L1212" s="166"/>
    </row>
    <row r="1213">
      <c r="I1213" s="265"/>
      <c r="J1213" s="265"/>
      <c r="L1213" s="166"/>
    </row>
    <row r="1214">
      <c r="I1214" s="265"/>
      <c r="J1214" s="265"/>
      <c r="L1214" s="166"/>
    </row>
    <row r="1215">
      <c r="I1215" s="265"/>
      <c r="J1215" s="265"/>
      <c r="L1215" s="166"/>
    </row>
    <row r="1216">
      <c r="I1216" s="265"/>
      <c r="J1216" s="265"/>
      <c r="L1216" s="166"/>
    </row>
    <row r="1217">
      <c r="I1217" s="265"/>
      <c r="J1217" s="265"/>
      <c r="L1217" s="166"/>
    </row>
    <row r="1218">
      <c r="I1218" s="265"/>
      <c r="J1218" s="265"/>
      <c r="L1218" s="166"/>
    </row>
    <row r="1219">
      <c r="I1219" s="265"/>
      <c r="J1219" s="265"/>
      <c r="L1219" s="166"/>
    </row>
    <row r="1220">
      <c r="I1220" s="265"/>
      <c r="J1220" s="265"/>
      <c r="L1220" s="166"/>
    </row>
    <row r="1221">
      <c r="I1221" s="265"/>
      <c r="J1221" s="265"/>
      <c r="L1221" s="166"/>
    </row>
    <row r="1222">
      <c r="I1222" s="265"/>
      <c r="J1222" s="265"/>
      <c r="L1222" s="166"/>
    </row>
    <row r="1223">
      <c r="I1223" s="265"/>
      <c r="J1223" s="265"/>
      <c r="L1223" s="166"/>
    </row>
    <row r="1224">
      <c r="I1224" s="265"/>
      <c r="J1224" s="265"/>
      <c r="L1224" s="166"/>
    </row>
    <row r="1225">
      <c r="I1225" s="265"/>
      <c r="J1225" s="265"/>
      <c r="L1225" s="166"/>
    </row>
    <row r="1226">
      <c r="I1226" s="265"/>
      <c r="J1226" s="265"/>
      <c r="L1226" s="166"/>
    </row>
    <row r="1227">
      <c r="I1227" s="265"/>
      <c r="J1227" s="265"/>
      <c r="L1227" s="166"/>
    </row>
    <row r="1228">
      <c r="I1228" s="265"/>
      <c r="J1228" s="265"/>
      <c r="L1228" s="166"/>
    </row>
    <row r="1229">
      <c r="I1229" s="265"/>
      <c r="J1229" s="265"/>
      <c r="L1229" s="166"/>
    </row>
    <row r="1230">
      <c r="I1230" s="265"/>
      <c r="J1230" s="265"/>
      <c r="L1230" s="166"/>
    </row>
    <row r="1231">
      <c r="I1231" s="265"/>
      <c r="J1231" s="265"/>
      <c r="L1231" s="166"/>
    </row>
    <row r="1232">
      <c r="I1232" s="265"/>
      <c r="J1232" s="265"/>
      <c r="L1232" s="166"/>
    </row>
    <row r="1233">
      <c r="I1233" s="265"/>
      <c r="J1233" s="265"/>
      <c r="L1233" s="166"/>
    </row>
    <row r="1234">
      <c r="I1234" s="265"/>
      <c r="J1234" s="265"/>
      <c r="L1234" s="166"/>
    </row>
    <row r="1235">
      <c r="I1235" s="265"/>
      <c r="J1235" s="265"/>
      <c r="L1235" s="166"/>
    </row>
    <row r="1236">
      <c r="I1236" s="265"/>
      <c r="J1236" s="265"/>
      <c r="L1236" s="166"/>
    </row>
    <row r="1237">
      <c r="I1237" s="265"/>
      <c r="J1237" s="265"/>
      <c r="L1237" s="166"/>
    </row>
    <row r="1238">
      <c r="I1238" s="265"/>
      <c r="J1238" s="265"/>
      <c r="L1238" s="166"/>
    </row>
    <row r="1239">
      <c r="I1239" s="265"/>
      <c r="J1239" s="265"/>
      <c r="L1239" s="166"/>
    </row>
    <row r="1240">
      <c r="I1240" s="265"/>
      <c r="J1240" s="265"/>
      <c r="L1240" s="166"/>
    </row>
    <row r="1241">
      <c r="I1241" s="265"/>
      <c r="J1241" s="265"/>
      <c r="L1241" s="166"/>
    </row>
    <row r="1242">
      <c r="I1242" s="265"/>
      <c r="J1242" s="265"/>
      <c r="L1242" s="166"/>
    </row>
    <row r="1243">
      <c r="I1243" s="265"/>
      <c r="J1243" s="265"/>
      <c r="L1243" s="166"/>
    </row>
    <row r="1244">
      <c r="I1244" s="265"/>
      <c r="J1244" s="265"/>
      <c r="L1244" s="166"/>
    </row>
    <row r="1245">
      <c r="I1245" s="265"/>
      <c r="J1245" s="265"/>
      <c r="L1245" s="166"/>
    </row>
    <row r="1246">
      <c r="I1246" s="265"/>
      <c r="J1246" s="265"/>
      <c r="L1246" s="166"/>
    </row>
    <row r="1247">
      <c r="I1247" s="265"/>
      <c r="J1247" s="265"/>
      <c r="L1247" s="166"/>
    </row>
    <row r="1248">
      <c r="I1248" s="265"/>
      <c r="J1248" s="265"/>
      <c r="L1248" s="166"/>
    </row>
    <row r="1249">
      <c r="I1249" s="265"/>
      <c r="J1249" s="265"/>
      <c r="L1249" s="166"/>
    </row>
    <row r="1250">
      <c r="I1250" s="265"/>
      <c r="J1250" s="265"/>
      <c r="L1250" s="166"/>
    </row>
    <row r="1251">
      <c r="I1251" s="265"/>
      <c r="J1251" s="265"/>
      <c r="L1251" s="166"/>
    </row>
    <row r="1252">
      <c r="I1252" s="265"/>
      <c r="J1252" s="265"/>
      <c r="L1252" s="166"/>
    </row>
    <row r="1253">
      <c r="I1253" s="265"/>
      <c r="J1253" s="265"/>
      <c r="L1253" s="166"/>
    </row>
    <row r="1254">
      <c r="I1254" s="265"/>
      <c r="J1254" s="265"/>
      <c r="L1254" s="166"/>
    </row>
    <row r="1255">
      <c r="I1255" s="265"/>
      <c r="J1255" s="265"/>
      <c r="L1255" s="166"/>
    </row>
    <row r="1256">
      <c r="I1256" s="265"/>
      <c r="J1256" s="265"/>
      <c r="L1256" s="166"/>
    </row>
    <row r="1257">
      <c r="I1257" s="265"/>
      <c r="J1257" s="265"/>
      <c r="L1257" s="166"/>
    </row>
    <row r="1258">
      <c r="I1258" s="265"/>
      <c r="J1258" s="265"/>
      <c r="L1258" s="166"/>
    </row>
    <row r="1259">
      <c r="I1259" s="265"/>
      <c r="J1259" s="265"/>
      <c r="L1259" s="166"/>
    </row>
    <row r="1260">
      <c r="I1260" s="265"/>
      <c r="J1260" s="265"/>
      <c r="L1260" s="166"/>
    </row>
    <row r="1261">
      <c r="I1261" s="265"/>
      <c r="J1261" s="265"/>
      <c r="L1261" s="166"/>
    </row>
    <row r="1262">
      <c r="I1262" s="265"/>
      <c r="J1262" s="265"/>
      <c r="L1262" s="166"/>
    </row>
    <row r="1263">
      <c r="I1263" s="265"/>
      <c r="J1263" s="265"/>
      <c r="L1263" s="166"/>
    </row>
    <row r="1264">
      <c r="I1264" s="265"/>
      <c r="J1264" s="265"/>
      <c r="L1264" s="166"/>
    </row>
    <row r="1265">
      <c r="I1265" s="265"/>
      <c r="J1265" s="265"/>
      <c r="L1265" s="166"/>
    </row>
    <row r="1266">
      <c r="I1266" s="265"/>
      <c r="J1266" s="265"/>
      <c r="L1266" s="166"/>
    </row>
    <row r="1267">
      <c r="I1267" s="265"/>
      <c r="J1267" s="265"/>
      <c r="L1267" s="166"/>
    </row>
    <row r="1268">
      <c r="I1268" s="265"/>
      <c r="J1268" s="265"/>
      <c r="L1268" s="166"/>
    </row>
    <row r="1269">
      <c r="I1269" s="265"/>
      <c r="J1269" s="265"/>
      <c r="L1269" s="166"/>
    </row>
    <row r="1270">
      <c r="I1270" s="265"/>
      <c r="J1270" s="265"/>
      <c r="L1270" s="166"/>
    </row>
    <row r="1271">
      <c r="I1271" s="265"/>
      <c r="J1271" s="265"/>
      <c r="L1271" s="166"/>
    </row>
    <row r="1272">
      <c r="I1272" s="265"/>
      <c r="J1272" s="265"/>
      <c r="L1272" s="166"/>
    </row>
    <row r="1273">
      <c r="I1273" s="265"/>
      <c r="J1273" s="265"/>
      <c r="L1273" s="166"/>
    </row>
    <row r="1274">
      <c r="I1274" s="265"/>
      <c r="J1274" s="265"/>
      <c r="L1274" s="166"/>
    </row>
    <row r="1275">
      <c r="I1275" s="265"/>
      <c r="J1275" s="265"/>
      <c r="L1275" s="166"/>
    </row>
    <row r="1276">
      <c r="I1276" s="265"/>
      <c r="J1276" s="265"/>
      <c r="L1276" s="166"/>
    </row>
    <row r="1277">
      <c r="I1277" s="265"/>
      <c r="J1277" s="265"/>
      <c r="L1277" s="166"/>
    </row>
    <row r="1278">
      <c r="I1278" s="265"/>
      <c r="J1278" s="265"/>
      <c r="L1278" s="166"/>
    </row>
    <row r="1279">
      <c r="I1279" s="265"/>
      <c r="J1279" s="265"/>
      <c r="L1279" s="166"/>
    </row>
    <row r="1280">
      <c r="I1280" s="265"/>
      <c r="J1280" s="265"/>
      <c r="L1280" s="166"/>
    </row>
    <row r="1281">
      <c r="I1281" s="265"/>
      <c r="J1281" s="265"/>
      <c r="L1281" s="166"/>
    </row>
    <row r="1282">
      <c r="I1282" s="265"/>
      <c r="J1282" s="265"/>
      <c r="L1282" s="166"/>
    </row>
    <row r="1283">
      <c r="I1283" s="265"/>
      <c r="J1283" s="265"/>
      <c r="L1283" s="166"/>
    </row>
    <row r="1284">
      <c r="I1284" s="265"/>
      <c r="J1284" s="265"/>
      <c r="L1284" s="166"/>
    </row>
    <row r="1285">
      <c r="I1285" s="265"/>
      <c r="J1285" s="265"/>
      <c r="L1285" s="166"/>
    </row>
    <row r="1286">
      <c r="I1286" s="265"/>
      <c r="J1286" s="265"/>
      <c r="L1286" s="166"/>
    </row>
    <row r="1287">
      <c r="I1287" s="265"/>
      <c r="J1287" s="265"/>
      <c r="L1287" s="166"/>
    </row>
    <row r="1288">
      <c r="I1288" s="265"/>
      <c r="J1288" s="265"/>
      <c r="L1288" s="166"/>
    </row>
    <row r="1289">
      <c r="I1289" s="265"/>
      <c r="J1289" s="265"/>
      <c r="L1289" s="166"/>
    </row>
    <row r="1290">
      <c r="I1290" s="265"/>
      <c r="J1290" s="265"/>
      <c r="L1290" s="166"/>
    </row>
    <row r="1291">
      <c r="I1291" s="265"/>
      <c r="J1291" s="265"/>
      <c r="L1291" s="166"/>
    </row>
    <row r="1292">
      <c r="I1292" s="265"/>
      <c r="J1292" s="265"/>
      <c r="L1292" s="166"/>
    </row>
    <row r="1293">
      <c r="I1293" s="265"/>
      <c r="J1293" s="265"/>
      <c r="L1293" s="166"/>
    </row>
    <row r="1294">
      <c r="I1294" s="265"/>
      <c r="J1294" s="265"/>
      <c r="L1294" s="166"/>
    </row>
    <row r="1295">
      <c r="I1295" s="265"/>
      <c r="J1295" s="265"/>
      <c r="L1295" s="166"/>
    </row>
    <row r="1296">
      <c r="I1296" s="265"/>
      <c r="J1296" s="265"/>
      <c r="L1296" s="166"/>
    </row>
    <row r="1297">
      <c r="I1297" s="265"/>
      <c r="J1297" s="265"/>
      <c r="L1297" s="166"/>
    </row>
    <row r="1298">
      <c r="I1298" s="265"/>
      <c r="J1298" s="265"/>
      <c r="L1298" s="166"/>
    </row>
    <row r="1299">
      <c r="I1299" s="265"/>
      <c r="J1299" s="265"/>
      <c r="L1299" s="166"/>
    </row>
    <row r="1300">
      <c r="I1300" s="265"/>
      <c r="J1300" s="265"/>
      <c r="L1300" s="166"/>
    </row>
    <row r="1301">
      <c r="I1301" s="265"/>
      <c r="J1301" s="265"/>
      <c r="L1301" s="166"/>
    </row>
    <row r="1302">
      <c r="I1302" s="265"/>
      <c r="J1302" s="265"/>
      <c r="L1302" s="166"/>
    </row>
    <row r="1303">
      <c r="I1303" s="265"/>
      <c r="J1303" s="265"/>
      <c r="L1303" s="166"/>
    </row>
    <row r="1304">
      <c r="I1304" s="265"/>
      <c r="J1304" s="265"/>
      <c r="L1304" s="166"/>
    </row>
    <row r="1305">
      <c r="I1305" s="265"/>
      <c r="J1305" s="265"/>
      <c r="L1305" s="166"/>
    </row>
    <row r="1306">
      <c r="I1306" s="265"/>
      <c r="J1306" s="265"/>
      <c r="L1306" s="166"/>
    </row>
    <row r="1307">
      <c r="I1307" s="265"/>
      <c r="J1307" s="265"/>
      <c r="L1307" s="166"/>
    </row>
    <row r="1308">
      <c r="I1308" s="265"/>
      <c r="J1308" s="265"/>
      <c r="L1308" s="166"/>
    </row>
    <row r="1309">
      <c r="I1309" s="265"/>
      <c r="J1309" s="265"/>
      <c r="L1309" s="166"/>
    </row>
    <row r="1310">
      <c r="I1310" s="265"/>
      <c r="J1310" s="265"/>
      <c r="L1310" s="166"/>
    </row>
    <row r="1311">
      <c r="I1311" s="265"/>
      <c r="J1311" s="265"/>
      <c r="L1311" s="166"/>
    </row>
    <row r="1312">
      <c r="I1312" s="265"/>
      <c r="J1312" s="265"/>
      <c r="L1312" s="166"/>
    </row>
    <row r="1313">
      <c r="I1313" s="265"/>
      <c r="J1313" s="265"/>
      <c r="L1313" s="166"/>
    </row>
    <row r="1314">
      <c r="I1314" s="265"/>
      <c r="J1314" s="265"/>
      <c r="L1314" s="166"/>
    </row>
    <row r="1315">
      <c r="I1315" s="265"/>
      <c r="J1315" s="265"/>
      <c r="L1315" s="166"/>
    </row>
    <row r="1316">
      <c r="I1316" s="265"/>
      <c r="J1316" s="265"/>
      <c r="L1316" s="166"/>
    </row>
    <row r="1317">
      <c r="I1317" s="265"/>
      <c r="J1317" s="265"/>
      <c r="L1317" s="166"/>
    </row>
    <row r="1318">
      <c r="I1318" s="265"/>
      <c r="J1318" s="265"/>
      <c r="L1318" s="166"/>
    </row>
    <row r="1319">
      <c r="I1319" s="265"/>
      <c r="J1319" s="265"/>
      <c r="L1319" s="166"/>
    </row>
    <row r="1320">
      <c r="I1320" s="265"/>
      <c r="J1320" s="265"/>
      <c r="L1320" s="166"/>
    </row>
    <row r="1321">
      <c r="I1321" s="265"/>
      <c r="J1321" s="265"/>
      <c r="L1321" s="166"/>
    </row>
    <row r="1322">
      <c r="I1322" s="265"/>
      <c r="J1322" s="265"/>
      <c r="L1322" s="166"/>
    </row>
    <row r="1323">
      <c r="I1323" s="265"/>
      <c r="J1323" s="265"/>
      <c r="L1323" s="166"/>
    </row>
    <row r="1324">
      <c r="I1324" s="265"/>
      <c r="J1324" s="265"/>
      <c r="L1324" s="166"/>
    </row>
    <row r="1325">
      <c r="I1325" s="265"/>
      <c r="J1325" s="265"/>
      <c r="L1325" s="166"/>
    </row>
    <row r="1326">
      <c r="I1326" s="265"/>
      <c r="J1326" s="265"/>
      <c r="L1326" s="166"/>
    </row>
    <row r="1327">
      <c r="I1327" s="265"/>
      <c r="J1327" s="265"/>
      <c r="L1327" s="166"/>
    </row>
    <row r="1328">
      <c r="I1328" s="265"/>
      <c r="J1328" s="265"/>
      <c r="L1328" s="166"/>
    </row>
    <row r="1329">
      <c r="I1329" s="265"/>
      <c r="J1329" s="265"/>
      <c r="L1329" s="166"/>
    </row>
    <row r="1330">
      <c r="I1330" s="265"/>
      <c r="J1330" s="265"/>
      <c r="L1330" s="166"/>
    </row>
    <row r="1331">
      <c r="I1331" s="265"/>
      <c r="J1331" s="265"/>
      <c r="L1331" s="166"/>
    </row>
    <row r="1332">
      <c r="I1332" s="265"/>
      <c r="J1332" s="265"/>
      <c r="L1332" s="166"/>
    </row>
    <row r="1333">
      <c r="I1333" s="265"/>
      <c r="J1333" s="265"/>
      <c r="L1333" s="166"/>
    </row>
    <row r="1334">
      <c r="I1334" s="265"/>
      <c r="J1334" s="265"/>
      <c r="L1334" s="166"/>
    </row>
    <row r="1335">
      <c r="I1335" s="265"/>
      <c r="J1335" s="265"/>
      <c r="L1335" s="166"/>
    </row>
    <row r="1336">
      <c r="I1336" s="265"/>
      <c r="J1336" s="265"/>
      <c r="L1336" s="166"/>
    </row>
    <row r="1337">
      <c r="I1337" s="265"/>
      <c r="J1337" s="265"/>
      <c r="L1337" s="166"/>
    </row>
    <row r="1338">
      <c r="I1338" s="265"/>
      <c r="J1338" s="265"/>
      <c r="L1338" s="166"/>
    </row>
    <row r="1339">
      <c r="I1339" s="265"/>
      <c r="J1339" s="265"/>
      <c r="L1339" s="166"/>
    </row>
    <row r="1340">
      <c r="I1340" s="265"/>
      <c r="J1340" s="265"/>
      <c r="L1340" s="166"/>
    </row>
    <row r="1341">
      <c r="I1341" s="265"/>
      <c r="J1341" s="265"/>
      <c r="L1341" s="166"/>
    </row>
    <row r="1342">
      <c r="I1342" s="265"/>
      <c r="J1342" s="265"/>
      <c r="L1342" s="166"/>
    </row>
    <row r="1343">
      <c r="I1343" s="265"/>
      <c r="J1343" s="265"/>
      <c r="L1343" s="166"/>
    </row>
    <row r="1344">
      <c r="I1344" s="265"/>
      <c r="J1344" s="265"/>
      <c r="L1344" s="166"/>
    </row>
    <row r="1345">
      <c r="I1345" s="265"/>
      <c r="J1345" s="265"/>
      <c r="L1345" s="166"/>
    </row>
    <row r="1346">
      <c r="I1346" s="265"/>
      <c r="J1346" s="265"/>
      <c r="L1346" s="166"/>
    </row>
    <row r="1347">
      <c r="I1347" s="265"/>
      <c r="J1347" s="265"/>
      <c r="L1347" s="166"/>
    </row>
    <row r="1348">
      <c r="I1348" s="265"/>
      <c r="J1348" s="265"/>
      <c r="L1348" s="166"/>
    </row>
    <row r="1349">
      <c r="I1349" s="265"/>
      <c r="J1349" s="265"/>
      <c r="L1349" s="166"/>
    </row>
    <row r="1350">
      <c r="I1350" s="265"/>
      <c r="J1350" s="265"/>
      <c r="L1350" s="166"/>
    </row>
    <row r="1351">
      <c r="I1351" s="265"/>
      <c r="J1351" s="265"/>
      <c r="L1351" s="166"/>
    </row>
    <row r="1352">
      <c r="I1352" s="265"/>
      <c r="J1352" s="265"/>
      <c r="L1352" s="166"/>
    </row>
    <row r="1353">
      <c r="I1353" s="265"/>
      <c r="J1353" s="265"/>
      <c r="L1353" s="166"/>
    </row>
    <row r="1354">
      <c r="I1354" s="265"/>
      <c r="J1354" s="265"/>
      <c r="L1354" s="166"/>
    </row>
    <row r="1355">
      <c r="I1355" s="265"/>
      <c r="J1355" s="265"/>
      <c r="L1355" s="166"/>
    </row>
    <row r="1356">
      <c r="I1356" s="265"/>
      <c r="J1356" s="265"/>
      <c r="L1356" s="166"/>
    </row>
    <row r="1357">
      <c r="I1357" s="265"/>
      <c r="J1357" s="265"/>
      <c r="L1357" s="166"/>
    </row>
    <row r="1358">
      <c r="I1358" s="265"/>
      <c r="J1358" s="265"/>
      <c r="L1358" s="166"/>
    </row>
    <row r="1359">
      <c r="I1359" s="265"/>
      <c r="J1359" s="265"/>
      <c r="L1359" s="166"/>
    </row>
    <row r="1360">
      <c r="I1360" s="265"/>
      <c r="J1360" s="265"/>
      <c r="L1360" s="166"/>
    </row>
    <row r="1361">
      <c r="I1361" s="265"/>
      <c r="J1361" s="265"/>
      <c r="L1361" s="166"/>
    </row>
    <row r="1362">
      <c r="I1362" s="265"/>
      <c r="J1362" s="265"/>
      <c r="L1362" s="166"/>
    </row>
    <row r="1363">
      <c r="I1363" s="265"/>
      <c r="J1363" s="265"/>
      <c r="L1363" s="166"/>
    </row>
    <row r="1364">
      <c r="I1364" s="265"/>
      <c r="J1364" s="265"/>
      <c r="L1364" s="166"/>
    </row>
    <row r="1365">
      <c r="I1365" s="265"/>
      <c r="J1365" s="265"/>
      <c r="L1365" s="166"/>
    </row>
    <row r="1366">
      <c r="I1366" s="265"/>
      <c r="J1366" s="265"/>
      <c r="L1366" s="166"/>
    </row>
    <row r="1367">
      <c r="I1367" s="265"/>
      <c r="J1367" s="265"/>
      <c r="L1367" s="166"/>
    </row>
    <row r="1368">
      <c r="I1368" s="265"/>
      <c r="J1368" s="265"/>
      <c r="L1368" s="166"/>
    </row>
    <row r="1369">
      <c r="I1369" s="265"/>
      <c r="J1369" s="265"/>
      <c r="L1369" s="166"/>
    </row>
    <row r="1370">
      <c r="I1370" s="265"/>
      <c r="J1370" s="265"/>
      <c r="L1370" s="166"/>
    </row>
    <row r="1371">
      <c r="I1371" s="265"/>
      <c r="J1371" s="265"/>
      <c r="L1371" s="166"/>
    </row>
    <row r="1372">
      <c r="I1372" s="265"/>
      <c r="J1372" s="265"/>
      <c r="L1372" s="166"/>
    </row>
    <row r="1373">
      <c r="I1373" s="265"/>
      <c r="J1373" s="265"/>
      <c r="L1373" s="166"/>
    </row>
    <row r="1374">
      <c r="I1374" s="265"/>
      <c r="J1374" s="265"/>
      <c r="L1374" s="166"/>
    </row>
    <row r="1375">
      <c r="I1375" s="265"/>
      <c r="J1375" s="265"/>
      <c r="L1375" s="166"/>
    </row>
    <row r="1376">
      <c r="I1376" s="265"/>
      <c r="J1376" s="265"/>
      <c r="L1376" s="166"/>
    </row>
    <row r="1377">
      <c r="I1377" s="265"/>
      <c r="J1377" s="265"/>
      <c r="L1377" s="166"/>
    </row>
    <row r="1378">
      <c r="I1378" s="265"/>
      <c r="J1378" s="265"/>
      <c r="L1378" s="166"/>
    </row>
    <row r="1379">
      <c r="I1379" s="265"/>
      <c r="J1379" s="265"/>
      <c r="L1379" s="166"/>
    </row>
    <row r="1380">
      <c r="I1380" s="265"/>
      <c r="J1380" s="265"/>
      <c r="L1380" s="166"/>
    </row>
    <row r="1381">
      <c r="I1381" s="265"/>
      <c r="J1381" s="265"/>
      <c r="L1381" s="166"/>
    </row>
    <row r="1382">
      <c r="I1382" s="265"/>
      <c r="J1382" s="265"/>
      <c r="L1382" s="166"/>
    </row>
    <row r="1383">
      <c r="I1383" s="265"/>
      <c r="J1383" s="265"/>
      <c r="L1383" s="166"/>
    </row>
    <row r="1384">
      <c r="I1384" s="265"/>
      <c r="J1384" s="265"/>
      <c r="L1384" s="166"/>
    </row>
    <row r="1385">
      <c r="I1385" s="265"/>
      <c r="J1385" s="265"/>
      <c r="L1385" s="166"/>
    </row>
    <row r="1386">
      <c r="I1386" s="265"/>
      <c r="J1386" s="265"/>
      <c r="L1386" s="166"/>
    </row>
    <row r="1387">
      <c r="I1387" s="265"/>
      <c r="J1387" s="265"/>
      <c r="L1387" s="166"/>
    </row>
    <row r="1388">
      <c r="I1388" s="265"/>
      <c r="J1388" s="265"/>
      <c r="L1388" s="166"/>
    </row>
    <row r="1389">
      <c r="I1389" s="265"/>
      <c r="J1389" s="265"/>
      <c r="L1389" s="166"/>
    </row>
    <row r="1390">
      <c r="I1390" s="265"/>
      <c r="J1390" s="265"/>
      <c r="L1390" s="166"/>
    </row>
    <row r="1391">
      <c r="I1391" s="265"/>
      <c r="J1391" s="265"/>
      <c r="L1391" s="166"/>
    </row>
    <row r="1392">
      <c r="I1392" s="265"/>
      <c r="J1392" s="265"/>
      <c r="L1392" s="166"/>
    </row>
    <row r="1393">
      <c r="I1393" s="265"/>
      <c r="J1393" s="265"/>
      <c r="L1393" s="166"/>
    </row>
    <row r="1394">
      <c r="I1394" s="265"/>
      <c r="J1394" s="265"/>
      <c r="L1394" s="166"/>
    </row>
    <row r="1395">
      <c r="I1395" s="265"/>
      <c r="J1395" s="265"/>
      <c r="L1395" s="166"/>
    </row>
    <row r="1396">
      <c r="I1396" s="265"/>
      <c r="J1396" s="265"/>
      <c r="L1396" s="166"/>
    </row>
    <row r="1397">
      <c r="I1397" s="265"/>
      <c r="J1397" s="265"/>
      <c r="L1397" s="166"/>
    </row>
    <row r="1398">
      <c r="I1398" s="265"/>
      <c r="J1398" s="265"/>
      <c r="L1398" s="166"/>
    </row>
    <row r="1399">
      <c r="I1399" s="265"/>
      <c r="J1399" s="265"/>
      <c r="L1399" s="166"/>
    </row>
    <row r="1400">
      <c r="I1400" s="265"/>
      <c r="J1400" s="265"/>
      <c r="L1400" s="166"/>
    </row>
    <row r="1401">
      <c r="I1401" s="265"/>
      <c r="J1401" s="265"/>
      <c r="L1401" s="166"/>
    </row>
    <row r="1402">
      <c r="I1402" s="265"/>
      <c r="J1402" s="265"/>
      <c r="L1402" s="166"/>
    </row>
    <row r="1403">
      <c r="I1403" s="265"/>
      <c r="J1403" s="265"/>
      <c r="L1403" s="166"/>
    </row>
    <row r="1404">
      <c r="I1404" s="265"/>
      <c r="J1404" s="265"/>
      <c r="L1404" s="166"/>
    </row>
    <row r="1405">
      <c r="I1405" s="265"/>
      <c r="J1405" s="265"/>
      <c r="L1405" s="166"/>
    </row>
    <row r="1406">
      <c r="I1406" s="265"/>
      <c r="J1406" s="265"/>
      <c r="L1406" s="166"/>
    </row>
    <row r="1407">
      <c r="I1407" s="265"/>
      <c r="J1407" s="265"/>
      <c r="L1407" s="166"/>
    </row>
    <row r="1408">
      <c r="I1408" s="265"/>
      <c r="J1408" s="265"/>
      <c r="L1408" s="166"/>
    </row>
    <row r="1409">
      <c r="I1409" s="265"/>
      <c r="J1409" s="265"/>
      <c r="L1409" s="166"/>
    </row>
    <row r="1410">
      <c r="I1410" s="265"/>
      <c r="J1410" s="265"/>
      <c r="L1410" s="166"/>
    </row>
    <row r="1411">
      <c r="I1411" s="265"/>
      <c r="J1411" s="265"/>
      <c r="L1411" s="166"/>
    </row>
    <row r="1412">
      <c r="I1412" s="265"/>
      <c r="J1412" s="265"/>
      <c r="L1412" s="166"/>
    </row>
    <row r="1413">
      <c r="I1413" s="265"/>
      <c r="J1413" s="265"/>
      <c r="L1413" s="166"/>
    </row>
    <row r="1414">
      <c r="I1414" s="265"/>
      <c r="J1414" s="265"/>
      <c r="L1414" s="166"/>
    </row>
    <row r="1415">
      <c r="I1415" s="265"/>
      <c r="J1415" s="265"/>
      <c r="L1415" s="166"/>
    </row>
    <row r="1416">
      <c r="I1416" s="265"/>
      <c r="J1416" s="265"/>
      <c r="L1416" s="166"/>
    </row>
    <row r="1417">
      <c r="I1417" s="265"/>
      <c r="J1417" s="265"/>
      <c r="L1417" s="166"/>
    </row>
    <row r="1418">
      <c r="I1418" s="265"/>
      <c r="J1418" s="265"/>
      <c r="L1418" s="166"/>
    </row>
    <row r="1419">
      <c r="I1419" s="265"/>
      <c r="J1419" s="265"/>
      <c r="L1419" s="166"/>
    </row>
    <row r="1420">
      <c r="I1420" s="265"/>
      <c r="J1420" s="265"/>
      <c r="L1420" s="166"/>
    </row>
    <row r="1421">
      <c r="I1421" s="265"/>
      <c r="J1421" s="265"/>
      <c r="L1421" s="166"/>
    </row>
    <row r="1422">
      <c r="I1422" s="265"/>
      <c r="J1422" s="265"/>
      <c r="L1422" s="166"/>
    </row>
    <row r="1423">
      <c r="I1423" s="265"/>
      <c r="J1423" s="265"/>
      <c r="L1423" s="166"/>
    </row>
    <row r="1424">
      <c r="I1424" s="265"/>
      <c r="J1424" s="265"/>
      <c r="L1424" s="166"/>
    </row>
    <row r="1425">
      <c r="I1425" s="265"/>
      <c r="J1425" s="265"/>
      <c r="L1425" s="166"/>
    </row>
    <row r="1426">
      <c r="I1426" s="265"/>
      <c r="J1426" s="265"/>
      <c r="L1426" s="166"/>
    </row>
    <row r="1427">
      <c r="I1427" s="265"/>
      <c r="J1427" s="265"/>
      <c r="L1427" s="166"/>
    </row>
    <row r="1428">
      <c r="I1428" s="265"/>
      <c r="J1428" s="265"/>
      <c r="L1428" s="166"/>
    </row>
    <row r="1429">
      <c r="I1429" s="265"/>
      <c r="J1429" s="265"/>
      <c r="L1429" s="166"/>
    </row>
    <row r="1430">
      <c r="I1430" s="265"/>
      <c r="J1430" s="265"/>
      <c r="L1430" s="166"/>
    </row>
    <row r="1431">
      <c r="I1431" s="265"/>
      <c r="J1431" s="265"/>
      <c r="L1431" s="166"/>
    </row>
    <row r="1432">
      <c r="I1432" s="265"/>
      <c r="J1432" s="265"/>
      <c r="L1432" s="166"/>
    </row>
    <row r="1433">
      <c r="I1433" s="265"/>
      <c r="J1433" s="265"/>
      <c r="L1433" s="166"/>
    </row>
    <row r="1434">
      <c r="I1434" s="265"/>
      <c r="J1434" s="265"/>
      <c r="L1434" s="166"/>
    </row>
    <row r="1435">
      <c r="I1435" s="265"/>
      <c r="J1435" s="265"/>
      <c r="L1435" s="166"/>
    </row>
    <row r="1436">
      <c r="I1436" s="265"/>
      <c r="J1436" s="265"/>
      <c r="L1436" s="166"/>
    </row>
    <row r="1437">
      <c r="I1437" s="265"/>
      <c r="J1437" s="265"/>
      <c r="L1437" s="166"/>
    </row>
    <row r="1438">
      <c r="I1438" s="265"/>
      <c r="J1438" s="265"/>
      <c r="L1438" s="166"/>
    </row>
    <row r="1439">
      <c r="I1439" s="265"/>
      <c r="J1439" s="265"/>
      <c r="L1439" s="166"/>
    </row>
    <row r="1440">
      <c r="I1440" s="265"/>
      <c r="J1440" s="265"/>
      <c r="L1440" s="166"/>
    </row>
    <row r="1441">
      <c r="I1441" s="265"/>
      <c r="J1441" s="265"/>
      <c r="L1441" s="166"/>
    </row>
    <row r="1442">
      <c r="I1442" s="265"/>
      <c r="J1442" s="265"/>
      <c r="L1442" s="166"/>
    </row>
    <row r="1443">
      <c r="I1443" s="265"/>
      <c r="J1443" s="265"/>
      <c r="L1443" s="166"/>
    </row>
    <row r="1444">
      <c r="I1444" s="265"/>
      <c r="J1444" s="265"/>
      <c r="L1444" s="166"/>
    </row>
    <row r="1445">
      <c r="I1445" s="265"/>
      <c r="J1445" s="265"/>
      <c r="L1445" s="166"/>
    </row>
    <row r="1446">
      <c r="I1446" s="265"/>
      <c r="J1446" s="265"/>
      <c r="L1446" s="166"/>
    </row>
    <row r="1447">
      <c r="I1447" s="265"/>
      <c r="J1447" s="265"/>
      <c r="L1447" s="166"/>
    </row>
    <row r="1448">
      <c r="I1448" s="265"/>
      <c r="J1448" s="265"/>
      <c r="L1448" s="166"/>
    </row>
    <row r="1449">
      <c r="I1449" s="265"/>
      <c r="J1449" s="265"/>
      <c r="L1449" s="166"/>
    </row>
    <row r="1450">
      <c r="I1450" s="265"/>
      <c r="J1450" s="265"/>
      <c r="L1450" s="166"/>
    </row>
    <row r="1451">
      <c r="I1451" s="265"/>
      <c r="J1451" s="265"/>
      <c r="L1451" s="166"/>
    </row>
    <row r="1452">
      <c r="I1452" s="265"/>
      <c r="J1452" s="265"/>
      <c r="L1452" s="166"/>
    </row>
    <row r="1453">
      <c r="I1453" s="265"/>
      <c r="J1453" s="265"/>
      <c r="L1453" s="166"/>
    </row>
    <row r="1454">
      <c r="I1454" s="265"/>
      <c r="J1454" s="265"/>
      <c r="L1454" s="166"/>
    </row>
    <row r="1455">
      <c r="I1455" s="265"/>
      <c r="J1455" s="265"/>
      <c r="L1455" s="166"/>
    </row>
    <row r="1456">
      <c r="I1456" s="265"/>
      <c r="J1456" s="265"/>
      <c r="L1456" s="166"/>
    </row>
    <row r="1457">
      <c r="I1457" s="265"/>
      <c r="J1457" s="265"/>
      <c r="L1457" s="166"/>
    </row>
    <row r="1458">
      <c r="I1458" s="265"/>
      <c r="J1458" s="265"/>
      <c r="L1458" s="166"/>
    </row>
    <row r="1459">
      <c r="I1459" s="265"/>
      <c r="J1459" s="265"/>
      <c r="L1459" s="166"/>
    </row>
    <row r="1460">
      <c r="I1460" s="265"/>
      <c r="J1460" s="265"/>
      <c r="L1460" s="166"/>
    </row>
    <row r="1461">
      <c r="I1461" s="265"/>
      <c r="J1461" s="265"/>
      <c r="L1461" s="166"/>
    </row>
    <row r="1462">
      <c r="I1462" s="265"/>
      <c r="J1462" s="265"/>
      <c r="L1462" s="166"/>
    </row>
    <row r="1463">
      <c r="I1463" s="265"/>
      <c r="J1463" s="265"/>
      <c r="L1463" s="166"/>
    </row>
    <row r="1464">
      <c r="I1464" s="265"/>
      <c r="J1464" s="265"/>
      <c r="L1464" s="166"/>
    </row>
    <row r="1465">
      <c r="I1465" s="265"/>
      <c r="J1465" s="265"/>
      <c r="L1465" s="166"/>
    </row>
    <row r="1466">
      <c r="I1466" s="265"/>
      <c r="J1466" s="265"/>
      <c r="L1466" s="166"/>
    </row>
    <row r="1467">
      <c r="I1467" s="265"/>
      <c r="J1467" s="265"/>
      <c r="L1467" s="166"/>
    </row>
    <row r="1468">
      <c r="I1468" s="265"/>
      <c r="J1468" s="265"/>
      <c r="L1468" s="166"/>
    </row>
    <row r="1469">
      <c r="I1469" s="265"/>
      <c r="J1469" s="265"/>
      <c r="L1469" s="166"/>
    </row>
    <row r="1470">
      <c r="I1470" s="265"/>
      <c r="J1470" s="265"/>
      <c r="L1470" s="166"/>
    </row>
    <row r="1471">
      <c r="I1471" s="265"/>
      <c r="J1471" s="265"/>
      <c r="L1471" s="166"/>
    </row>
    <row r="1472">
      <c r="I1472" s="265"/>
      <c r="J1472" s="265"/>
      <c r="L1472" s="166"/>
    </row>
    <row r="1473">
      <c r="I1473" s="265"/>
      <c r="J1473" s="265"/>
      <c r="L1473" s="166"/>
    </row>
    <row r="1474">
      <c r="I1474" s="265"/>
      <c r="J1474" s="265"/>
      <c r="L1474" s="166"/>
    </row>
    <row r="1475">
      <c r="I1475" s="265"/>
      <c r="J1475" s="265"/>
      <c r="L1475" s="166"/>
    </row>
    <row r="1476">
      <c r="I1476" s="265"/>
      <c r="J1476" s="265"/>
      <c r="L1476" s="166"/>
    </row>
    <row r="1477">
      <c r="I1477" s="265"/>
      <c r="J1477" s="265"/>
      <c r="L1477" s="166"/>
    </row>
    <row r="1478">
      <c r="I1478" s="265"/>
      <c r="J1478" s="265"/>
      <c r="L1478" s="166"/>
    </row>
    <row r="1479">
      <c r="I1479" s="265"/>
      <c r="J1479" s="265"/>
      <c r="L1479" s="166"/>
    </row>
    <row r="1480">
      <c r="I1480" s="265"/>
      <c r="J1480" s="265"/>
      <c r="L1480" s="166"/>
    </row>
    <row r="1481">
      <c r="I1481" s="265"/>
      <c r="J1481" s="265"/>
      <c r="L1481" s="166"/>
    </row>
    <row r="1482">
      <c r="I1482" s="265"/>
      <c r="J1482" s="265"/>
      <c r="L1482" s="166"/>
    </row>
    <row r="1483">
      <c r="I1483" s="265"/>
      <c r="J1483" s="265"/>
      <c r="L1483" s="166"/>
    </row>
    <row r="1484">
      <c r="I1484" s="265"/>
      <c r="J1484" s="265"/>
      <c r="L1484" s="166"/>
    </row>
    <row r="1485">
      <c r="I1485" s="265"/>
      <c r="J1485" s="265"/>
      <c r="L1485" s="166"/>
    </row>
    <row r="1486">
      <c r="I1486" s="265"/>
      <c r="J1486" s="265"/>
      <c r="L1486" s="166"/>
    </row>
    <row r="1487">
      <c r="I1487" s="265"/>
      <c r="J1487" s="265"/>
      <c r="L1487" s="166"/>
    </row>
    <row r="1488">
      <c r="I1488" s="265"/>
      <c r="J1488" s="265"/>
      <c r="L1488" s="166"/>
    </row>
    <row r="1489">
      <c r="I1489" s="265"/>
      <c r="J1489" s="265"/>
      <c r="L1489" s="166"/>
    </row>
    <row r="1490">
      <c r="I1490" s="265"/>
      <c r="J1490" s="265"/>
      <c r="L1490" s="166"/>
    </row>
    <row r="1491">
      <c r="I1491" s="265"/>
      <c r="J1491" s="265"/>
      <c r="L1491" s="166"/>
    </row>
    <row r="1492">
      <c r="I1492" s="265"/>
      <c r="J1492" s="265"/>
      <c r="L1492" s="166"/>
    </row>
    <row r="1493">
      <c r="I1493" s="265"/>
      <c r="J1493" s="265"/>
      <c r="L1493" s="166"/>
    </row>
    <row r="1494">
      <c r="I1494" s="265"/>
      <c r="J1494" s="265"/>
      <c r="L1494" s="166"/>
    </row>
    <row r="1495">
      <c r="I1495" s="265"/>
      <c r="J1495" s="265"/>
      <c r="L1495" s="166"/>
    </row>
    <row r="1496">
      <c r="I1496" s="265"/>
      <c r="J1496" s="265"/>
      <c r="L1496" s="166"/>
    </row>
    <row r="1497">
      <c r="I1497" s="265"/>
      <c r="J1497" s="265"/>
      <c r="L1497" s="166"/>
    </row>
    <row r="1498">
      <c r="I1498" s="265"/>
      <c r="J1498" s="265"/>
      <c r="L1498" s="166"/>
    </row>
    <row r="1499">
      <c r="I1499" s="265"/>
      <c r="J1499" s="265"/>
      <c r="L1499" s="166"/>
    </row>
    <row r="1500">
      <c r="I1500" s="265"/>
      <c r="J1500" s="265"/>
      <c r="L1500" s="166"/>
    </row>
    <row r="1501">
      <c r="I1501" s="265"/>
      <c r="J1501" s="265"/>
      <c r="L1501" s="166"/>
    </row>
    <row r="1502">
      <c r="I1502" s="265"/>
      <c r="J1502" s="265"/>
      <c r="L1502" s="166"/>
    </row>
    <row r="1503">
      <c r="I1503" s="265"/>
      <c r="J1503" s="265"/>
      <c r="L1503" s="166"/>
    </row>
  </sheetData>
  <mergeCells count="1">
    <mergeCell ref="A1:M1"/>
  </mergeCells>
  <conditionalFormatting sqref="I2:I1503">
    <cfRule type="cellIs" dxfId="5" priority="1" operator="lessThanOrEqual">
      <formula>0</formula>
    </cfRule>
  </conditionalFormatting>
  <dataValidations>
    <dataValidation type="list" allowBlank="1" showErrorMessage="1" sqref="C2">
      <formula1>Sheet98!$K$2:$K1503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7.5"/>
    <col customWidth="1" min="3" max="3" width="17.38"/>
    <col customWidth="1" hidden="1" min="4" max="4" width="70.63"/>
    <col customWidth="1" min="5" max="5" width="11.88"/>
    <col customWidth="1" min="6" max="6" width="11.25"/>
    <col customWidth="1" min="7" max="7" width="15.5"/>
    <col customWidth="1" min="8" max="8" width="15.63"/>
    <col customWidth="1" min="9" max="9" width="18.13"/>
    <col customWidth="1" min="11" max="11" width="14.38"/>
  </cols>
  <sheetData>
    <row r="1">
      <c r="A1" s="401" t="s">
        <v>1136</v>
      </c>
      <c r="B1" s="402" t="s">
        <v>1137</v>
      </c>
      <c r="C1" s="402" t="s">
        <v>1138</v>
      </c>
      <c r="D1" s="402" t="s">
        <v>1139</v>
      </c>
      <c r="E1" s="402" t="s">
        <v>1140</v>
      </c>
      <c r="F1" s="402" t="s">
        <v>1141</v>
      </c>
      <c r="G1" s="402" t="s">
        <v>1142</v>
      </c>
      <c r="H1" s="403" t="s">
        <v>1143</v>
      </c>
      <c r="I1" s="217" t="s">
        <v>1133</v>
      </c>
    </row>
    <row r="2">
      <c r="A2" s="404">
        <v>1.0</v>
      </c>
      <c r="B2" s="405" t="s">
        <v>1144</v>
      </c>
      <c r="C2" s="405" t="s">
        <v>1145</v>
      </c>
      <c r="D2" s="406" t="s">
        <v>1146</v>
      </c>
      <c r="E2" s="406" t="s">
        <v>1147</v>
      </c>
      <c r="F2" s="405">
        <v>9.816401454E9</v>
      </c>
      <c r="G2" s="405" t="s">
        <v>1148</v>
      </c>
      <c r="H2" s="407" t="s">
        <v>1149</v>
      </c>
      <c r="I2" s="75">
        <f>IFERROR(__xludf.DUMMYFUNCTION("iferror(VLOOKUP($B2,IMPORTRANGE(""https://docs.google.com/spreadsheets/d/1ys18yX-bHrr3IvUrPN7k0CBuMZ0rGAWherCYZD95Ihk/edit?gid=0#gid=0"",""sale report!C:P""),14,0))"),1.125621E7)</f>
        <v>11256210</v>
      </c>
      <c r="K2" s="408" t="str">
        <f t="array" ref="K2:K5">UNIQUE(G1:G22)</f>
        <v>RSM</v>
      </c>
      <c r="L2" s="409" t="s">
        <v>1133</v>
      </c>
    </row>
    <row r="3">
      <c r="A3" s="404">
        <v>2.0</v>
      </c>
      <c r="B3" s="410" t="s">
        <v>1150</v>
      </c>
      <c r="C3" s="410" t="s">
        <v>1151</v>
      </c>
      <c r="D3" s="410" t="s">
        <v>1152</v>
      </c>
      <c r="E3" s="410" t="s">
        <v>1153</v>
      </c>
      <c r="F3" s="410">
        <v>9.218523903E9</v>
      </c>
      <c r="G3" s="410" t="s">
        <v>1148</v>
      </c>
      <c r="H3" s="411" t="s">
        <v>1154</v>
      </c>
      <c r="I3" s="75">
        <f>IFERROR(__xludf.DUMMYFUNCTION("iferror(VLOOKUP($B3,IMPORTRANGE(""https://docs.google.com/spreadsheets/d/1ys18yX-bHrr3IvUrPN7k0CBuMZ0rGAWherCYZD95Ihk/edit?gid=0#gid=0"",""sale report!C:P""),14,0))"),546157.0)</f>
        <v>546157</v>
      </c>
      <c r="K3" s="400" t="s">
        <v>1148</v>
      </c>
      <c r="L3" s="400">
        <f t="shared" ref="L3:L5" si="1">sumif($G:$G,$K3,$I:$I)</f>
        <v>17587316</v>
      </c>
    </row>
    <row r="4">
      <c r="A4" s="404">
        <v>3.0</v>
      </c>
      <c r="B4" s="410" t="s">
        <v>1155</v>
      </c>
      <c r="C4" s="410" t="s">
        <v>1156</v>
      </c>
      <c r="D4" s="410" t="s">
        <v>1157</v>
      </c>
      <c r="E4" s="410" t="s">
        <v>1153</v>
      </c>
      <c r="F4" s="410">
        <v>9.418115856E9</v>
      </c>
      <c r="G4" s="410" t="s">
        <v>1148</v>
      </c>
      <c r="H4" s="411" t="s">
        <v>1154</v>
      </c>
      <c r="I4" s="75">
        <f>IFERROR(__xludf.DUMMYFUNCTION("iferror(VLOOKUP($B4,IMPORTRANGE(""https://docs.google.com/spreadsheets/d/1ys18yX-bHrr3IvUrPN7k0CBuMZ0rGAWherCYZD95Ihk/edit?gid=0#gid=0"",""sale report!C:P""),14,0))"),1547470.0)</f>
        <v>1547470</v>
      </c>
      <c r="K4" s="400" t="s">
        <v>1158</v>
      </c>
      <c r="L4" s="400">
        <f t="shared" si="1"/>
        <v>6493339</v>
      </c>
    </row>
    <row r="5">
      <c r="A5" s="404">
        <v>4.0</v>
      </c>
      <c r="B5" s="410" t="s">
        <v>1159</v>
      </c>
      <c r="C5" s="410" t="s">
        <v>1160</v>
      </c>
      <c r="D5" s="410" t="s">
        <v>1161</v>
      </c>
      <c r="E5" s="410" t="s">
        <v>1153</v>
      </c>
      <c r="F5" s="412">
        <v>9.816864233E9</v>
      </c>
      <c r="G5" s="412" t="s">
        <v>1148</v>
      </c>
      <c r="H5" s="411" t="s">
        <v>1154</v>
      </c>
      <c r="I5" s="75">
        <f>IFERROR(__xludf.DUMMYFUNCTION("iferror(VLOOKUP($B5,IMPORTRANGE(""https://docs.google.com/spreadsheets/d/1ys18yX-bHrr3IvUrPN7k0CBuMZ0rGAWherCYZD95Ihk/edit?gid=0#gid=0"",""sale report!C:P""),14,0))"),333030.0)</f>
        <v>333030</v>
      </c>
      <c r="K5" s="400" t="s">
        <v>1162</v>
      </c>
      <c r="L5" s="400">
        <f t="shared" si="1"/>
        <v>16581520</v>
      </c>
    </row>
    <row r="6">
      <c r="A6" s="404">
        <v>5.0</v>
      </c>
      <c r="B6" s="410" t="s">
        <v>1163</v>
      </c>
      <c r="C6" s="410" t="s">
        <v>1164</v>
      </c>
      <c r="D6" s="413" t="s">
        <v>1165</v>
      </c>
      <c r="E6" s="413" t="s">
        <v>1153</v>
      </c>
      <c r="F6" s="410">
        <v>6.230309002E9</v>
      </c>
      <c r="G6" s="410" t="s">
        <v>1148</v>
      </c>
      <c r="H6" s="411" t="s">
        <v>1154</v>
      </c>
      <c r="I6" s="75">
        <f>IFERROR(__xludf.DUMMYFUNCTION("iferror(VLOOKUP($B6,IMPORTRANGE(""https://docs.google.com/spreadsheets/d/1ys18yX-bHrr3IvUrPN7k0CBuMZ0rGAWherCYZD95Ihk/edit?gid=0#gid=0"",""sale report!C:P""),14,0))"),319701.0)</f>
        <v>319701</v>
      </c>
      <c r="K6" s="409" t="s">
        <v>963</v>
      </c>
      <c r="L6" s="408">
        <f>sum(L3:L5)</f>
        <v>40662175</v>
      </c>
    </row>
    <row r="7">
      <c r="A7" s="404">
        <v>6.0</v>
      </c>
      <c r="B7" s="410" t="s">
        <v>1166</v>
      </c>
      <c r="C7" s="410" t="s">
        <v>1167</v>
      </c>
      <c r="D7" s="413" t="s">
        <v>1168</v>
      </c>
      <c r="E7" s="413" t="s">
        <v>1169</v>
      </c>
      <c r="F7" s="410">
        <v>9.816840906E9</v>
      </c>
      <c r="G7" s="410" t="s">
        <v>1148</v>
      </c>
      <c r="H7" s="411" t="s">
        <v>1154</v>
      </c>
      <c r="I7" s="75">
        <f>IFERROR(__xludf.DUMMYFUNCTION("iferror(VLOOKUP($B7,IMPORTRANGE(""https://docs.google.com/spreadsheets/d/1ys18yX-bHrr3IvUrPN7k0CBuMZ0rGAWherCYZD95Ihk/edit?gid=0#gid=0"",""sale report!C:P""),14,0))"),1359533.0)</f>
        <v>1359533</v>
      </c>
    </row>
    <row r="8">
      <c r="A8" s="404">
        <v>7.0</v>
      </c>
      <c r="B8" s="410" t="s">
        <v>1170</v>
      </c>
      <c r="C8" s="410" t="s">
        <v>1171</v>
      </c>
      <c r="D8" s="413" t="s">
        <v>1172</v>
      </c>
      <c r="E8" s="413" t="s">
        <v>1153</v>
      </c>
      <c r="F8" s="410">
        <v>9.81663291E9</v>
      </c>
      <c r="G8" s="410" t="s">
        <v>1148</v>
      </c>
      <c r="H8" s="411" t="s">
        <v>1154</v>
      </c>
      <c r="I8" s="75">
        <f>IFERROR(__xludf.DUMMYFUNCTION("iferror(VLOOKUP($B8,IMPORTRANGE(""https://docs.google.com/spreadsheets/d/1ys18yX-bHrr3IvUrPN7k0CBuMZ0rGAWherCYZD95Ihk/edit?gid=0#gid=0"",""sale report!C:P""),14,0))"),344234.0)</f>
        <v>344234</v>
      </c>
    </row>
    <row r="9">
      <c r="A9" s="404">
        <v>8.0</v>
      </c>
      <c r="B9" s="406" t="s">
        <v>1173</v>
      </c>
      <c r="C9" s="406" t="s">
        <v>1174</v>
      </c>
      <c r="D9" s="414" t="s">
        <v>1175</v>
      </c>
      <c r="E9" s="414" t="s">
        <v>1147</v>
      </c>
      <c r="F9" s="406">
        <v>9.015413989E9</v>
      </c>
      <c r="G9" s="406" t="s">
        <v>1148</v>
      </c>
      <c r="H9" s="407" t="s">
        <v>1149</v>
      </c>
      <c r="I9" s="75">
        <f>IFERROR(__xludf.DUMMYFUNCTION("iferror(VLOOKUP($B9,IMPORTRANGE(""https://docs.google.com/spreadsheets/d/1ys18yX-bHrr3IvUrPN7k0CBuMZ0rGAWherCYZD95Ihk/edit?gid=0#gid=0"",""sale report!C:P""),14,0))"),1299213.0)</f>
        <v>1299213</v>
      </c>
    </row>
    <row r="10">
      <c r="A10" s="404">
        <v>9.0</v>
      </c>
      <c r="B10" s="410" t="s">
        <v>1176</v>
      </c>
      <c r="C10" s="410" t="s">
        <v>1177</v>
      </c>
      <c r="D10" s="413" t="s">
        <v>1178</v>
      </c>
      <c r="E10" s="413" t="s">
        <v>1169</v>
      </c>
      <c r="F10" s="410">
        <v>8.727976739E9</v>
      </c>
      <c r="G10" s="410" t="s">
        <v>1148</v>
      </c>
      <c r="H10" s="411" t="s">
        <v>1149</v>
      </c>
      <c r="I10" s="75">
        <f>IFERROR(__xludf.DUMMYFUNCTION("iferror(VLOOKUP($B10,IMPORTRANGE(""https://docs.google.com/spreadsheets/d/1ys18yX-bHrr3IvUrPN7k0CBuMZ0rGAWherCYZD95Ihk/edit?gid=0#gid=0"",""sale report!C:P""),14,0))"),581768.0)</f>
        <v>581768</v>
      </c>
    </row>
    <row r="11">
      <c r="A11" s="415">
        <v>10.0</v>
      </c>
      <c r="B11" s="413" t="s">
        <v>1179</v>
      </c>
      <c r="C11" s="413" t="s">
        <v>1180</v>
      </c>
      <c r="D11" s="413" t="s">
        <v>1181</v>
      </c>
      <c r="E11" s="413" t="s">
        <v>1182</v>
      </c>
      <c r="F11" s="413">
        <v>8.219643794E9</v>
      </c>
      <c r="G11" s="413" t="s">
        <v>1158</v>
      </c>
      <c r="H11" s="416" t="s">
        <v>1149</v>
      </c>
      <c r="I11" s="75">
        <f>IFERROR(__xludf.DUMMYFUNCTION("iferror(VLOOKUP($B11,IMPORTRANGE(""https://docs.google.com/spreadsheets/d/1ys18yX-bHrr3IvUrPN7k0CBuMZ0rGAWherCYZD95Ihk/edit?gid=0#gid=0"",""sale report!C:P""),14,0))"),888252.0)</f>
        <v>888252</v>
      </c>
    </row>
    <row r="12">
      <c r="A12" s="404">
        <v>11.0</v>
      </c>
      <c r="B12" s="413" t="s">
        <v>1183</v>
      </c>
      <c r="C12" s="413" t="s">
        <v>1184</v>
      </c>
      <c r="D12" s="413" t="s">
        <v>1185</v>
      </c>
      <c r="E12" s="413" t="s">
        <v>1182</v>
      </c>
      <c r="F12" s="413">
        <v>8.0916031E9</v>
      </c>
      <c r="G12" s="413" t="s">
        <v>1158</v>
      </c>
      <c r="H12" s="411" t="s">
        <v>1154</v>
      </c>
      <c r="I12" s="75">
        <f>IFERROR(__xludf.DUMMYFUNCTION("iferror(VLOOKUP($B12,IMPORTRANGE(""https://docs.google.com/spreadsheets/d/1ys18yX-bHrr3IvUrPN7k0CBuMZ0rGAWherCYZD95Ihk/edit?gid=0#gid=0"",""sale report!C:P""),14,0))"),719005.0)</f>
        <v>719005</v>
      </c>
    </row>
    <row r="13">
      <c r="A13" s="404">
        <v>12.0</v>
      </c>
      <c r="B13" s="413" t="s">
        <v>1186</v>
      </c>
      <c r="C13" s="413" t="s">
        <v>1187</v>
      </c>
      <c r="D13" s="413" t="s">
        <v>1188</v>
      </c>
      <c r="E13" s="413" t="s">
        <v>1182</v>
      </c>
      <c r="F13" s="413">
        <v>8.679024601E9</v>
      </c>
      <c r="G13" s="413" t="s">
        <v>1158</v>
      </c>
      <c r="H13" s="411" t="s">
        <v>1154</v>
      </c>
      <c r="I13" s="75" t="str">
        <f>IFERROR(__xludf.DUMMYFUNCTION("iferror(VLOOKUP($B13,IMPORTRANGE(""https://docs.google.com/spreadsheets/d/1ys18yX-bHrr3IvUrPN7k0CBuMZ0rGAWherCYZD95Ihk/edit?gid=0#gid=0"",""sale report!C:P""),14,0))"),"")</f>
        <v/>
      </c>
    </row>
    <row r="14">
      <c r="A14" s="404">
        <v>13.0</v>
      </c>
      <c r="B14" s="413" t="s">
        <v>1189</v>
      </c>
      <c r="C14" s="413" t="s">
        <v>1190</v>
      </c>
      <c r="D14" s="413" t="s">
        <v>1191</v>
      </c>
      <c r="E14" s="413" t="s">
        <v>1182</v>
      </c>
      <c r="F14" s="413">
        <v>9.654659233E9</v>
      </c>
      <c r="G14" s="413" t="s">
        <v>1158</v>
      </c>
      <c r="H14" s="411" t="s">
        <v>1149</v>
      </c>
      <c r="I14" s="75">
        <f>IFERROR(__xludf.DUMMYFUNCTION("iferror(VLOOKUP($B14,IMPORTRANGE(""https://docs.google.com/spreadsheets/d/1ys18yX-bHrr3IvUrPN7k0CBuMZ0rGAWherCYZD95Ihk/edit?gid=0#gid=0"",""sale report!C:P""),14,0))"),1423454.0)</f>
        <v>1423454</v>
      </c>
    </row>
    <row r="15">
      <c r="A15" s="415">
        <v>14.0</v>
      </c>
      <c r="B15" s="410" t="s">
        <v>1192</v>
      </c>
      <c r="C15" s="410" t="s">
        <v>1193</v>
      </c>
      <c r="D15" s="413" t="s">
        <v>1194</v>
      </c>
      <c r="E15" s="413" t="s">
        <v>1182</v>
      </c>
      <c r="F15" s="410">
        <v>9.816175715E9</v>
      </c>
      <c r="G15" s="410" t="s">
        <v>1158</v>
      </c>
      <c r="H15" s="416" t="s">
        <v>1149</v>
      </c>
      <c r="I15" s="75">
        <f>IFERROR(__xludf.DUMMYFUNCTION("iferror(VLOOKUP($B15,IMPORTRANGE(""https://docs.google.com/spreadsheets/d/1ys18yX-bHrr3IvUrPN7k0CBuMZ0rGAWherCYZD95Ihk/edit?gid=0#gid=0"",""sale report!C:P""),14,0))"),3215982.0)</f>
        <v>3215982</v>
      </c>
    </row>
    <row r="16">
      <c r="A16" s="404">
        <v>15.0</v>
      </c>
      <c r="B16" s="413" t="s">
        <v>1195</v>
      </c>
      <c r="C16" s="413" t="s">
        <v>1196</v>
      </c>
      <c r="D16" s="413" t="s">
        <v>1197</v>
      </c>
      <c r="E16" s="413" t="s">
        <v>1182</v>
      </c>
      <c r="F16" s="413">
        <v>9.459835442E9</v>
      </c>
      <c r="G16" s="413" t="s">
        <v>1158</v>
      </c>
      <c r="H16" s="411" t="s">
        <v>1154</v>
      </c>
      <c r="I16" s="75">
        <f>IFERROR(__xludf.DUMMYFUNCTION("iferror(VLOOKUP($B16,IMPORTRANGE(""https://docs.google.com/spreadsheets/d/1ys18yX-bHrr3IvUrPN7k0CBuMZ0rGAWherCYZD95Ihk/edit?gid=0#gid=0"",""sale report!C:P""),14,0))"),100216.0)</f>
        <v>100216</v>
      </c>
      <c r="J16" s="208" t="s">
        <v>1198</v>
      </c>
    </row>
    <row r="17">
      <c r="A17" s="404">
        <v>16.0</v>
      </c>
      <c r="B17" s="413" t="s">
        <v>1199</v>
      </c>
      <c r="C17" s="413" t="s">
        <v>1200</v>
      </c>
      <c r="D17" s="413" t="s">
        <v>1201</v>
      </c>
      <c r="E17" s="413" t="s">
        <v>1182</v>
      </c>
      <c r="F17" s="413">
        <v>9.816732841E9</v>
      </c>
      <c r="G17" s="413" t="s">
        <v>1158</v>
      </c>
      <c r="H17" s="417" t="s">
        <v>1154</v>
      </c>
      <c r="I17" s="75">
        <f>IFERROR(__xludf.DUMMYFUNCTION("iferror(VLOOKUP($B17,IMPORTRANGE(""https://docs.google.com/spreadsheets/d/1ys18yX-bHrr3IvUrPN7k0CBuMZ0rGAWherCYZD95Ihk/edit?gid=0#gid=0"",""sale report!C:P""),14,0))"),146430.0)</f>
        <v>146430</v>
      </c>
      <c r="J17" s="208" t="s">
        <v>1198</v>
      </c>
    </row>
    <row r="18">
      <c r="A18" s="404">
        <v>17.0</v>
      </c>
      <c r="B18" s="414" t="s">
        <v>1202</v>
      </c>
      <c r="C18" s="414" t="s">
        <v>1203</v>
      </c>
      <c r="D18" s="414" t="s">
        <v>1204</v>
      </c>
      <c r="E18" s="414" t="s">
        <v>1205</v>
      </c>
      <c r="F18" s="414">
        <v>9.417407277E9</v>
      </c>
      <c r="G18" s="414" t="s">
        <v>1162</v>
      </c>
      <c r="H18" s="418" t="s">
        <v>1149</v>
      </c>
      <c r="I18" s="75">
        <f>IFERROR(__xludf.DUMMYFUNCTION("iferror(VLOOKUP($B18,IMPORTRANGE(""https://docs.google.com/spreadsheets/d/1ys18yX-bHrr3IvUrPN7k0CBuMZ0rGAWherCYZD95Ihk/edit?gid=0#gid=0"",""sale report!C:P""),14,0))"),2572946.0)</f>
        <v>2572946</v>
      </c>
    </row>
    <row r="19">
      <c r="A19" s="404">
        <v>18.0</v>
      </c>
      <c r="B19" s="413" t="s">
        <v>1206</v>
      </c>
      <c r="C19" s="413" t="s">
        <v>1207</v>
      </c>
      <c r="D19" s="413" t="s">
        <v>1208</v>
      </c>
      <c r="E19" s="413" t="s">
        <v>1208</v>
      </c>
      <c r="F19" s="413">
        <v>9.25677E9</v>
      </c>
      <c r="G19" s="413" t="s">
        <v>1162</v>
      </c>
      <c r="H19" s="411" t="s">
        <v>1149</v>
      </c>
      <c r="I19" s="75">
        <f>IFERROR(__xludf.DUMMYFUNCTION("iferror(VLOOKUP($B19,IMPORTRANGE(""https://docs.google.com/spreadsheets/d/1ys18yX-bHrr3IvUrPN7k0CBuMZ0rGAWherCYZD95Ihk/edit?gid=0#gid=0"",""sale report!C:P""),14,0))"),7087998.0)</f>
        <v>7087998</v>
      </c>
    </row>
    <row r="20">
      <c r="A20" s="404">
        <v>19.0</v>
      </c>
      <c r="B20" s="413" t="s">
        <v>1209</v>
      </c>
      <c r="C20" s="413" t="s">
        <v>1210</v>
      </c>
      <c r="D20" s="413" t="s">
        <v>1211</v>
      </c>
      <c r="E20" s="413" t="s">
        <v>1212</v>
      </c>
      <c r="F20" s="413">
        <v>6.239021531E9</v>
      </c>
      <c r="G20" s="413" t="s">
        <v>1162</v>
      </c>
      <c r="H20" s="411" t="s">
        <v>1154</v>
      </c>
      <c r="I20" s="75">
        <f>IFERROR(__xludf.DUMMYFUNCTION("iferror(VLOOKUP($B20,IMPORTRANGE(""https://docs.google.com/spreadsheets/d/1ys18yX-bHrr3IvUrPN7k0CBuMZ0rGAWherCYZD95Ihk/edit?gid=0#gid=0"",""sale report!C:P""),14,0))"),63434.0)</f>
        <v>63434</v>
      </c>
    </row>
    <row r="21">
      <c r="A21" s="404">
        <v>20.0</v>
      </c>
      <c r="B21" s="413" t="s">
        <v>1213</v>
      </c>
      <c r="C21" s="413" t="s">
        <v>1214</v>
      </c>
      <c r="D21" s="413" t="s">
        <v>1215</v>
      </c>
      <c r="E21" s="413" t="s">
        <v>1215</v>
      </c>
      <c r="F21" s="413">
        <v>8.437595955E9</v>
      </c>
      <c r="G21" s="413" t="s">
        <v>1162</v>
      </c>
      <c r="H21" s="411" t="s">
        <v>1149</v>
      </c>
      <c r="I21" s="75">
        <f>IFERROR(__xludf.DUMMYFUNCTION("iferror(VLOOKUP($B21,IMPORTRANGE(""https://docs.google.com/spreadsheets/d/1ys18yX-bHrr3IvUrPN7k0CBuMZ0rGAWherCYZD95Ihk/edit?gid=0#gid=0"",""sale report!C:P""),14,0))"),4758273.0)</f>
        <v>4758273</v>
      </c>
    </row>
    <row r="22">
      <c r="A22" s="404">
        <v>21.0</v>
      </c>
      <c r="B22" s="413" t="s">
        <v>1216</v>
      </c>
      <c r="C22" s="413" t="s">
        <v>1217</v>
      </c>
      <c r="D22" s="413" t="s">
        <v>1218</v>
      </c>
      <c r="E22" s="413" t="s">
        <v>1217</v>
      </c>
      <c r="F22" s="413">
        <v>9.056123908E9</v>
      </c>
      <c r="G22" s="413" t="s">
        <v>1162</v>
      </c>
      <c r="H22" s="411" t="s">
        <v>1149</v>
      </c>
      <c r="I22" s="75">
        <f>IFERROR(__xludf.DUMMYFUNCTION("iferror(VLOOKUP($B22,IMPORTRANGE(""https://docs.google.com/spreadsheets/d/1ys18yX-bHrr3IvUrPN7k0CBuMZ0rGAWherCYZD95Ihk/edit?gid=0#gid=0"",""sale report!C:P""),14,0))"),1405308.0)</f>
        <v>1405308</v>
      </c>
      <c r="J22" s="208" t="s">
        <v>1219</v>
      </c>
    </row>
    <row r="23">
      <c r="A23" s="404"/>
      <c r="B23" s="413" t="s">
        <v>1220</v>
      </c>
      <c r="C23" s="413" t="s">
        <v>1221</v>
      </c>
      <c r="D23" s="413"/>
      <c r="E23" s="413" t="s">
        <v>1115</v>
      </c>
      <c r="F23" s="413">
        <v>9.77993509E9</v>
      </c>
      <c r="G23" s="413" t="s">
        <v>1162</v>
      </c>
      <c r="H23" s="411" t="s">
        <v>1149</v>
      </c>
      <c r="I23" s="75">
        <f>IFERROR(__xludf.DUMMYFUNCTION("iferror(VLOOKUP($B23,IMPORTRANGE(""https://docs.google.com/spreadsheets/d/1ys18yX-bHrr3IvUrPN7k0CBuMZ0rGAWherCYZD95Ihk/edit?gid=0#gid=0"",""sale report!C:P""),14,0))"),482772.0)</f>
        <v>482772</v>
      </c>
      <c r="J23" s="208"/>
    </row>
    <row r="24">
      <c r="A24" s="404"/>
      <c r="B24" s="413" t="s">
        <v>1222</v>
      </c>
      <c r="C24" s="413" t="s">
        <v>1223</v>
      </c>
      <c r="D24" s="413"/>
      <c r="E24" s="413" t="s">
        <v>1224</v>
      </c>
      <c r="F24" s="413">
        <v>9.31607677E9</v>
      </c>
      <c r="G24" s="413" t="s">
        <v>1162</v>
      </c>
      <c r="H24" s="411" t="s">
        <v>1149</v>
      </c>
      <c r="I24" s="75">
        <f>IFERROR(__xludf.DUMMYFUNCTION("iferror(VLOOKUP($B24,IMPORTRANGE(""https://docs.google.com/spreadsheets/d/1ys18yX-bHrr3IvUrPN7k0CBuMZ0rGAWherCYZD95Ihk/edit?gid=0#gid=0"",""sale report!C:P""),14,0))"),100617.0)</f>
        <v>100617</v>
      </c>
      <c r="J24" s="208"/>
    </row>
    <row r="25">
      <c r="A25" s="404"/>
      <c r="B25" s="413" t="s">
        <v>1225</v>
      </c>
      <c r="C25" s="413" t="s">
        <v>1226</v>
      </c>
      <c r="D25" s="413"/>
      <c r="E25" s="413" t="s">
        <v>1227</v>
      </c>
      <c r="F25" s="413">
        <v>9.888960975E9</v>
      </c>
      <c r="G25" s="413" t="s">
        <v>1162</v>
      </c>
      <c r="H25" s="411" t="s">
        <v>1149</v>
      </c>
      <c r="I25" s="75">
        <f>IFERROR(__xludf.DUMMYFUNCTION("iferror(VLOOKUP($B25,IMPORTRANGE(""https://docs.google.com/spreadsheets/d/1ys18yX-bHrr3IvUrPN7k0CBuMZ0rGAWherCYZD95Ihk/edit?gid=0#gid=0"",""sale report!C:P""),14,0))"),110172.0)</f>
        <v>110172</v>
      </c>
      <c r="J25" s="208"/>
    </row>
    <row r="27">
      <c r="B27" s="408" t="s">
        <v>1142</v>
      </c>
      <c r="C27" s="409" t="s">
        <v>1133</v>
      </c>
    </row>
    <row r="28">
      <c r="B28" s="400" t="s">
        <v>1148</v>
      </c>
      <c r="C28" s="400">
        <f t="shared" ref="C28:C30" si="2">VLOOKUP($B28,$K:$L,2,0)</f>
        <v>17587316</v>
      </c>
    </row>
    <row r="29">
      <c r="B29" s="400" t="s">
        <v>1158</v>
      </c>
      <c r="C29" s="400">
        <f t="shared" si="2"/>
        <v>6493339</v>
      </c>
    </row>
    <row r="30">
      <c r="B30" s="400" t="s">
        <v>1162</v>
      </c>
      <c r="C30" s="400">
        <f t="shared" si="2"/>
        <v>16581520</v>
      </c>
    </row>
    <row r="31">
      <c r="B31" s="409" t="s">
        <v>963</v>
      </c>
      <c r="C31" s="408">
        <f>SUM(C28:C30)</f>
        <v>40662175</v>
      </c>
    </row>
  </sheetData>
  <hyperlinks>
    <hyperlink r:id="rId1" ref="A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1"/>
      <c r="B1" s="222" t="s">
        <v>963</v>
      </c>
      <c r="C1" s="222" t="s">
        <v>961</v>
      </c>
      <c r="D1" s="222" t="s">
        <v>962</v>
      </c>
      <c r="E1" s="419"/>
      <c r="F1" s="157"/>
      <c r="G1" s="232"/>
      <c r="J1" s="232"/>
      <c r="K1" s="232"/>
      <c r="L1" s="232"/>
      <c r="M1" s="232"/>
      <c r="N1" s="232"/>
      <c r="O1" s="231"/>
      <c r="P1" s="231"/>
      <c r="Q1" s="231"/>
      <c r="R1" s="232"/>
      <c r="S1" s="232"/>
      <c r="T1" s="232"/>
      <c r="U1" s="232"/>
      <c r="V1" s="232"/>
      <c r="W1" s="232"/>
      <c r="X1" s="232"/>
      <c r="Y1" s="232"/>
      <c r="Z1" s="232"/>
      <c r="AA1" s="232"/>
      <c r="AB1" s="232"/>
      <c r="AC1" s="232"/>
      <c r="AD1" s="232"/>
      <c r="AE1" s="232"/>
      <c r="AF1" s="232"/>
      <c r="AG1" s="232"/>
      <c r="AH1" s="232"/>
      <c r="AI1" s="232"/>
      <c r="AJ1" s="232"/>
      <c r="AK1" s="232"/>
      <c r="AL1" s="232"/>
      <c r="AM1" s="232"/>
      <c r="AN1" s="232"/>
      <c r="AO1" s="232"/>
      <c r="AP1" s="232"/>
      <c r="AQ1" s="232"/>
      <c r="AR1" s="232"/>
      <c r="AS1" s="232"/>
      <c r="AT1" s="231"/>
      <c r="AU1" s="232"/>
      <c r="AV1" s="157"/>
      <c r="AW1" s="233"/>
      <c r="AX1" s="234"/>
      <c r="AY1" s="157"/>
      <c r="AZ1" s="157"/>
      <c r="BA1" s="157"/>
      <c r="BB1" s="157"/>
      <c r="BC1" s="157"/>
      <c r="BD1" s="157"/>
    </row>
    <row r="2">
      <c r="A2" s="235"/>
      <c r="B2" s="235">
        <v>212.0</v>
      </c>
      <c r="C2" s="237">
        <v>168.0</v>
      </c>
      <c r="D2" s="420">
        <v>44.0</v>
      </c>
      <c r="E2" s="173" t="s">
        <v>963</v>
      </c>
      <c r="F2" s="157"/>
      <c r="G2" s="232"/>
      <c r="H2" s="242">
        <v>8722639.0</v>
      </c>
      <c r="I2" s="242">
        <v>3.43667725398E8</v>
      </c>
      <c r="J2" s="242">
        <v>3.8517335133216664E7</v>
      </c>
      <c r="K2" s="242">
        <v>1.850600901E9</v>
      </c>
      <c r="L2" s="242">
        <v>1.1064172524400003E9</v>
      </c>
      <c r="M2" s="242">
        <v>1.832579704E7</v>
      </c>
      <c r="N2" s="242">
        <v>1.1063889619000003E9</v>
      </c>
      <c r="O2" s="243">
        <v>0.5953799121553162</v>
      </c>
      <c r="P2" s="243">
        <v>1.0165376185698913</v>
      </c>
      <c r="Q2" s="243">
        <v>0.5856642219306701</v>
      </c>
      <c r="R2" s="242">
        <v>14276.0</v>
      </c>
      <c r="S2" s="242">
        <v>13372.0</v>
      </c>
      <c r="T2" s="242">
        <v>1981.0</v>
      </c>
      <c r="U2" s="242">
        <v>1561.0</v>
      </c>
      <c r="V2" s="242">
        <v>16257.0</v>
      </c>
      <c r="W2" s="242">
        <v>2885.0</v>
      </c>
      <c r="X2" s="242">
        <v>9.705080849500002E8</v>
      </c>
      <c r="Y2" s="242">
        <v>1.3588815749000004E8</v>
      </c>
      <c r="Z2" s="242">
        <v>6123.0</v>
      </c>
      <c r="AA2" s="242">
        <v>1561.0</v>
      </c>
      <c r="AB2" s="242">
        <v>7684.0</v>
      </c>
      <c r="AC2" s="242">
        <v>58.0</v>
      </c>
      <c r="AD2" s="242">
        <v>11769.0</v>
      </c>
      <c r="AE2" s="242">
        <v>22328.0</v>
      </c>
      <c r="AF2" s="242">
        <v>18348.0</v>
      </c>
      <c r="AG2" s="242">
        <v>553.0</v>
      </c>
      <c r="AH2" s="242">
        <v>8253.0</v>
      </c>
      <c r="AI2" s="242">
        <v>116.0</v>
      </c>
      <c r="AJ2" s="242">
        <v>989.0</v>
      </c>
      <c r="AK2" s="242">
        <v>964.0</v>
      </c>
      <c r="AL2" s="242">
        <v>3676.0</v>
      </c>
      <c r="AM2" s="242">
        <v>84617.0</v>
      </c>
      <c r="AN2" s="242">
        <v>119863.0</v>
      </c>
      <c r="AO2" s="242">
        <v>24602.0</v>
      </c>
      <c r="AP2" s="242">
        <v>45717.545300382095</v>
      </c>
      <c r="AQ2" s="242">
        <v>3.4394358182261606</v>
      </c>
      <c r="AR2" s="242">
        <v>4.370453996634408E7</v>
      </c>
      <c r="AS2" s="242">
        <v>7450037.0</v>
      </c>
      <c r="AT2" s="243">
        <v>0.045481122990708195</v>
      </c>
      <c r="AU2" s="242">
        <v>143989.75174908905</v>
      </c>
      <c r="AV2" s="223"/>
      <c r="AW2" s="421"/>
      <c r="AX2" s="357"/>
      <c r="AY2" s="223"/>
      <c r="AZ2" s="223"/>
      <c r="BA2" s="223"/>
      <c r="BB2" s="223"/>
      <c r="BC2" s="157"/>
      <c r="BD2" s="157"/>
    </row>
    <row r="3">
      <c r="A3" s="171" t="s">
        <v>3</v>
      </c>
      <c r="B3" s="172" t="s">
        <v>892</v>
      </c>
      <c r="C3" s="173" t="s">
        <v>458</v>
      </c>
      <c r="D3" s="173" t="s">
        <v>893</v>
      </c>
      <c r="E3" s="174" t="s">
        <v>894</v>
      </c>
      <c r="F3" s="173" t="s">
        <v>895</v>
      </c>
      <c r="G3" s="175" t="s">
        <v>896</v>
      </c>
      <c r="H3" s="174" t="s">
        <v>967</v>
      </c>
      <c r="I3" s="174" t="s">
        <v>968</v>
      </c>
      <c r="J3" s="175" t="s">
        <v>897</v>
      </c>
      <c r="K3" s="175" t="s">
        <v>898</v>
      </c>
      <c r="L3" s="175" t="s">
        <v>899</v>
      </c>
      <c r="M3" s="174" t="s">
        <v>900</v>
      </c>
      <c r="N3" s="174" t="s">
        <v>901</v>
      </c>
      <c r="O3" s="176" t="s">
        <v>902</v>
      </c>
      <c r="P3" s="177" t="s">
        <v>903</v>
      </c>
      <c r="Q3" s="174" t="s">
        <v>904</v>
      </c>
      <c r="R3" s="174" t="s">
        <v>905</v>
      </c>
      <c r="S3" s="174" t="s">
        <v>906</v>
      </c>
      <c r="T3" s="174" t="s">
        <v>907</v>
      </c>
      <c r="U3" s="178" t="s">
        <v>908</v>
      </c>
      <c r="V3" s="174" t="s">
        <v>909</v>
      </c>
      <c r="W3" s="174" t="s">
        <v>910</v>
      </c>
      <c r="X3" s="178" t="s">
        <v>911</v>
      </c>
      <c r="Y3" s="178" t="s">
        <v>912</v>
      </c>
      <c r="Z3" s="177" t="s">
        <v>913</v>
      </c>
      <c r="AA3" s="177" t="s">
        <v>914</v>
      </c>
      <c r="AB3" s="174" t="s">
        <v>915</v>
      </c>
      <c r="AC3" s="174" t="s">
        <v>916</v>
      </c>
      <c r="AD3" s="174" t="s">
        <v>917</v>
      </c>
      <c r="AE3" s="174" t="s">
        <v>918</v>
      </c>
      <c r="AF3" s="177" t="s">
        <v>919</v>
      </c>
      <c r="AG3" s="177" t="s">
        <v>920</v>
      </c>
      <c r="AH3" s="174" t="s">
        <v>921</v>
      </c>
      <c r="AI3" s="177" t="s">
        <v>922</v>
      </c>
      <c r="AJ3" s="174" t="s">
        <v>923</v>
      </c>
      <c r="AK3" s="177" t="s">
        <v>924</v>
      </c>
      <c r="AL3" s="174" t="s">
        <v>925</v>
      </c>
      <c r="AM3" s="174" t="s">
        <v>926</v>
      </c>
      <c r="AN3" s="174" t="s">
        <v>927</v>
      </c>
      <c r="AO3" s="174" t="s">
        <v>928</v>
      </c>
      <c r="AP3" s="174" t="s">
        <v>929</v>
      </c>
      <c r="AQ3" s="174" t="s">
        <v>930</v>
      </c>
      <c r="AR3" s="174" t="s">
        <v>931</v>
      </c>
      <c r="AS3" s="174" t="s">
        <v>932</v>
      </c>
      <c r="AT3" s="176" t="s">
        <v>933</v>
      </c>
      <c r="AU3" s="174" t="s">
        <v>934</v>
      </c>
      <c r="AV3" s="177" t="s">
        <v>935</v>
      </c>
      <c r="AW3" s="179" t="s">
        <v>936</v>
      </c>
      <c r="AX3" s="178" t="s">
        <v>937</v>
      </c>
      <c r="AY3" s="177" t="s">
        <v>938</v>
      </c>
      <c r="AZ3" s="177" t="s">
        <v>939</v>
      </c>
      <c r="BA3" s="177" t="s">
        <v>940</v>
      </c>
      <c r="BB3" s="177" t="s">
        <v>941</v>
      </c>
      <c r="BC3" s="174" t="s">
        <v>942</v>
      </c>
      <c r="BD3" s="174" t="s">
        <v>943</v>
      </c>
    </row>
    <row r="4">
      <c r="A4" s="6" t="s">
        <v>185</v>
      </c>
      <c r="B4" s="183" t="s">
        <v>189</v>
      </c>
      <c r="C4" s="184" t="s">
        <v>186</v>
      </c>
      <c r="D4" s="75" t="s">
        <v>241</v>
      </c>
      <c r="E4" s="185">
        <v>39859.0</v>
      </c>
      <c r="F4" s="184" t="s">
        <v>1016</v>
      </c>
      <c r="G4" s="186">
        <v>2.869078284E7</v>
      </c>
      <c r="H4" s="190">
        <v>70400.0</v>
      </c>
      <c r="I4" s="190"/>
      <c r="J4" s="186">
        <v>0.0</v>
      </c>
      <c r="K4" s="186">
        <v>0.0</v>
      </c>
      <c r="L4" s="186">
        <v>1199546.82</v>
      </c>
      <c r="M4" s="186">
        <v>0.0</v>
      </c>
      <c r="N4" s="186">
        <v>0.0</v>
      </c>
      <c r="O4" s="187"/>
      <c r="P4" s="187">
        <v>0.0</v>
      </c>
      <c r="Q4" s="187"/>
      <c r="R4" s="188">
        <v>171.0</v>
      </c>
      <c r="S4" s="189">
        <v>155.0</v>
      </c>
      <c r="T4" s="188">
        <v>9.0</v>
      </c>
      <c r="U4" s="188">
        <v>0.0</v>
      </c>
      <c r="V4" s="188">
        <v>180.0</v>
      </c>
      <c r="W4" s="188">
        <v>25.0</v>
      </c>
      <c r="X4" s="189">
        <v>1199546.82</v>
      </c>
      <c r="Y4" s="189">
        <v>0.0</v>
      </c>
      <c r="Z4" s="188">
        <v>12.0</v>
      </c>
      <c r="AA4" s="188">
        <v>0.0</v>
      </c>
      <c r="AB4" s="188">
        <v>12.0</v>
      </c>
      <c r="AC4" s="188">
        <v>0.0</v>
      </c>
      <c r="AD4" s="188">
        <v>9.0</v>
      </c>
      <c r="AE4" s="188">
        <v>11.0</v>
      </c>
      <c r="AF4" s="188">
        <v>76.0</v>
      </c>
      <c r="AG4" s="188">
        <v>10.0</v>
      </c>
      <c r="AH4" s="188">
        <v>110.0</v>
      </c>
      <c r="AI4" s="188">
        <v>1.0</v>
      </c>
      <c r="AJ4" s="188">
        <v>17.0</v>
      </c>
      <c r="AK4" s="188">
        <v>1.0</v>
      </c>
      <c r="AL4" s="188">
        <v>3.0</v>
      </c>
      <c r="AM4" s="188">
        <v>462.0</v>
      </c>
      <c r="AN4" s="188">
        <v>603.0</v>
      </c>
      <c r="AO4" s="188">
        <v>151.0</v>
      </c>
      <c r="AP4" s="186">
        <v>7944.018675496689</v>
      </c>
      <c r="AQ4" s="189">
        <v>3.0596026490066226</v>
      </c>
      <c r="AR4" s="186">
        <v>422400.0</v>
      </c>
      <c r="AS4" s="188">
        <v>63923.0</v>
      </c>
      <c r="AT4" s="187">
        <v>0.4054222743885895</v>
      </c>
      <c r="AU4" s="186">
        <v>99962.235</v>
      </c>
      <c r="AV4" s="219">
        <v>21.0</v>
      </c>
      <c r="AW4" s="219">
        <v>1812.0</v>
      </c>
      <c r="AX4" s="254">
        <v>27391.19</v>
      </c>
      <c r="AY4" s="219">
        <v>177.0</v>
      </c>
      <c r="AZ4" s="219">
        <v>12.0</v>
      </c>
      <c r="BA4" s="219">
        <v>144.0</v>
      </c>
      <c r="BB4" s="219">
        <v>24.0</v>
      </c>
      <c r="BC4" s="191"/>
      <c r="BD4" s="75"/>
      <c r="BE4" s="164">
        <v>-0.8200000000651926</v>
      </c>
    </row>
    <row r="5">
      <c r="A5" s="6" t="s">
        <v>185</v>
      </c>
      <c r="B5" s="183" t="s">
        <v>189</v>
      </c>
      <c r="C5" s="184" t="s">
        <v>190</v>
      </c>
      <c r="D5" s="75" t="s">
        <v>241</v>
      </c>
      <c r="E5" s="256">
        <v>39859.0</v>
      </c>
      <c r="F5" s="75" t="s">
        <v>1016</v>
      </c>
      <c r="G5" s="186">
        <v>3.847593054E7</v>
      </c>
      <c r="H5" s="190">
        <v>60500.0</v>
      </c>
      <c r="I5" s="190">
        <v>5050000.0</v>
      </c>
      <c r="J5" s="186">
        <v>0.0</v>
      </c>
      <c r="K5" s="186">
        <v>3.03E7</v>
      </c>
      <c r="L5" s="186">
        <v>1.887117952E7</v>
      </c>
      <c r="M5" s="186">
        <v>0.0</v>
      </c>
      <c r="N5" s="186">
        <v>2.0552439E7</v>
      </c>
      <c r="O5" s="187">
        <v>0.622811205280528</v>
      </c>
      <c r="P5" s="187">
        <v>0.0</v>
      </c>
      <c r="Q5" s="187">
        <v>0.6782983168316832</v>
      </c>
      <c r="R5" s="188">
        <v>109.0</v>
      </c>
      <c r="S5" s="188">
        <v>92.0</v>
      </c>
      <c r="T5" s="188">
        <v>7.0</v>
      </c>
      <c r="U5" s="188">
        <v>6.0</v>
      </c>
      <c r="V5" s="188">
        <v>116.0</v>
      </c>
      <c r="W5" s="188">
        <v>24.0</v>
      </c>
      <c r="X5" s="189">
        <v>1.717435033E7</v>
      </c>
      <c r="Y5" s="189">
        <v>1696829.19</v>
      </c>
      <c r="Z5" s="188">
        <v>77.0</v>
      </c>
      <c r="AA5" s="188">
        <v>6.0</v>
      </c>
      <c r="AB5" s="188">
        <v>83.0</v>
      </c>
      <c r="AC5" s="188">
        <v>0.0</v>
      </c>
      <c r="AD5" s="188">
        <v>6.0</v>
      </c>
      <c r="AE5" s="188">
        <v>6.0</v>
      </c>
      <c r="AF5" s="188">
        <v>78.0</v>
      </c>
      <c r="AG5" s="188">
        <v>7.0</v>
      </c>
      <c r="AH5" s="188">
        <v>76.0</v>
      </c>
      <c r="AI5" s="188">
        <v>0.0</v>
      </c>
      <c r="AJ5" s="188">
        <v>0.0</v>
      </c>
      <c r="AK5" s="188">
        <v>1.0</v>
      </c>
      <c r="AL5" s="188">
        <v>1.0</v>
      </c>
      <c r="AM5" s="188">
        <v>501.0</v>
      </c>
      <c r="AN5" s="188">
        <v>584.0</v>
      </c>
      <c r="AO5" s="188">
        <v>146.0</v>
      </c>
      <c r="AP5" s="186">
        <v>129254.65424657534</v>
      </c>
      <c r="AQ5" s="189">
        <v>3.4315068493150687</v>
      </c>
      <c r="AR5" s="186">
        <v>363000.0</v>
      </c>
      <c r="AS5" s="188">
        <v>23470.0</v>
      </c>
      <c r="AT5" s="187">
        <v>0.02047937700928617</v>
      </c>
      <c r="AU5" s="186">
        <v>227363.6086746988</v>
      </c>
      <c r="AV5" s="219">
        <v>241.0</v>
      </c>
      <c r="AW5" s="219">
        <v>1508.0</v>
      </c>
      <c r="AX5" s="254">
        <v>11370.2</v>
      </c>
      <c r="AY5" s="219">
        <v>124.0</v>
      </c>
      <c r="AZ5" s="219">
        <v>83.0</v>
      </c>
      <c r="BA5" s="219">
        <v>22.0</v>
      </c>
      <c r="BB5" s="219">
        <v>11.0</v>
      </c>
      <c r="BC5" s="191"/>
      <c r="BD5" s="195"/>
      <c r="BE5" s="164">
        <v>1.2600000016391277</v>
      </c>
    </row>
    <row r="6">
      <c r="A6" s="6" t="s">
        <v>126</v>
      </c>
      <c r="B6" s="183" t="s">
        <v>130</v>
      </c>
      <c r="C6" s="184" t="s">
        <v>128</v>
      </c>
      <c r="D6" s="75" t="s">
        <v>129</v>
      </c>
      <c r="E6" s="256">
        <v>41004.0</v>
      </c>
      <c r="F6" s="75" t="s">
        <v>1022</v>
      </c>
      <c r="G6" s="186">
        <v>4.538167E7</v>
      </c>
      <c r="H6" s="190">
        <v>95834.0</v>
      </c>
      <c r="I6" s="190">
        <v>4166667.0</v>
      </c>
      <c r="J6" s="186">
        <v>1800000.0</v>
      </c>
      <c r="K6" s="186">
        <v>2.3200002E7</v>
      </c>
      <c r="L6" s="186">
        <v>1.660730433E7</v>
      </c>
      <c r="M6" s="186">
        <v>1526456.44</v>
      </c>
      <c r="N6" s="186">
        <v>1.7607029E7</v>
      </c>
      <c r="O6" s="187">
        <v>0.7253503727719701</v>
      </c>
      <c r="P6" s="187">
        <v>0.85</v>
      </c>
      <c r="Q6" s="187">
        <v>0.7042811036575117</v>
      </c>
      <c r="R6" s="188">
        <v>52.0</v>
      </c>
      <c r="S6" s="188">
        <v>58.0</v>
      </c>
      <c r="T6" s="188">
        <v>10.0</v>
      </c>
      <c r="U6" s="188">
        <v>9.0</v>
      </c>
      <c r="V6" s="188">
        <v>62.0</v>
      </c>
      <c r="W6" s="188">
        <v>4.0</v>
      </c>
      <c r="X6" s="189">
        <v>1.392407719E7</v>
      </c>
      <c r="Y6" s="189">
        <v>2683227.14</v>
      </c>
      <c r="Z6" s="188">
        <v>36.0</v>
      </c>
      <c r="AA6" s="188">
        <v>9.0</v>
      </c>
      <c r="AB6" s="188">
        <v>45.0</v>
      </c>
      <c r="AC6" s="188">
        <v>6.0</v>
      </c>
      <c r="AD6" s="188">
        <v>9.0</v>
      </c>
      <c r="AE6" s="188">
        <v>13.0</v>
      </c>
      <c r="AF6" s="188">
        <v>20.0</v>
      </c>
      <c r="AG6" s="188">
        <v>11.0</v>
      </c>
      <c r="AH6" s="188">
        <v>221.0</v>
      </c>
      <c r="AI6" s="188">
        <v>6.0</v>
      </c>
      <c r="AJ6" s="188">
        <v>49.0</v>
      </c>
      <c r="AK6" s="188">
        <v>2.0</v>
      </c>
      <c r="AL6" s="188">
        <v>4.0</v>
      </c>
      <c r="AM6" s="188">
        <v>315.0</v>
      </c>
      <c r="AN6" s="188">
        <v>602.0</v>
      </c>
      <c r="AO6" s="188">
        <v>134.0</v>
      </c>
      <c r="AP6" s="186">
        <v>135326.57291044775</v>
      </c>
      <c r="AQ6" s="189">
        <v>2.3507462686567164</v>
      </c>
      <c r="AR6" s="186">
        <v>575004.0</v>
      </c>
      <c r="AS6" s="188">
        <v>51061.0</v>
      </c>
      <c r="AT6" s="187">
        <v>0.034524829567385985</v>
      </c>
      <c r="AU6" s="186">
        <v>369051.2073333333</v>
      </c>
      <c r="AV6" s="219">
        <v>245.0</v>
      </c>
      <c r="AW6" s="219">
        <v>1033.0</v>
      </c>
      <c r="AX6" s="254">
        <v>8089.53</v>
      </c>
      <c r="AY6" s="219">
        <v>139.0</v>
      </c>
      <c r="AZ6" s="219">
        <v>45.0</v>
      </c>
      <c r="BA6" s="219">
        <v>13.0</v>
      </c>
      <c r="BB6" s="219">
        <v>4.0</v>
      </c>
      <c r="BC6" s="191"/>
      <c r="BD6" s="75"/>
      <c r="BE6" s="164">
        <v>3.400000002235174</v>
      </c>
    </row>
    <row r="7">
      <c r="A7" s="6" t="s">
        <v>185</v>
      </c>
      <c r="B7" s="183" t="s">
        <v>189</v>
      </c>
      <c r="C7" s="184" t="s">
        <v>191</v>
      </c>
      <c r="D7" s="75" t="s">
        <v>243</v>
      </c>
      <c r="E7" s="256">
        <v>41159.0</v>
      </c>
      <c r="F7" s="75" t="s">
        <v>1016</v>
      </c>
      <c r="G7" s="186">
        <v>6.309046E7</v>
      </c>
      <c r="H7" s="190">
        <v>78125.0</v>
      </c>
      <c r="I7" s="190">
        <v>6833333.0</v>
      </c>
      <c r="J7" s="186">
        <v>0.0</v>
      </c>
      <c r="K7" s="186">
        <v>4.0999998E7</v>
      </c>
      <c r="L7" s="186">
        <v>2.499781238E7</v>
      </c>
      <c r="M7" s="186">
        <v>0.0</v>
      </c>
      <c r="N7" s="186">
        <v>3.0807355E7</v>
      </c>
      <c r="O7" s="187">
        <v>0.6097027707172084</v>
      </c>
      <c r="P7" s="187">
        <v>0.0</v>
      </c>
      <c r="Q7" s="187">
        <v>0.7513989390926312</v>
      </c>
      <c r="R7" s="188">
        <v>145.0</v>
      </c>
      <c r="S7" s="188">
        <v>132.0</v>
      </c>
      <c r="T7" s="188">
        <v>4.0</v>
      </c>
      <c r="U7" s="188">
        <v>3.0</v>
      </c>
      <c r="V7" s="188">
        <v>149.0</v>
      </c>
      <c r="W7" s="188">
        <v>17.0</v>
      </c>
      <c r="X7" s="189">
        <v>2.390806423E7</v>
      </c>
      <c r="Y7" s="189">
        <v>1089748.15</v>
      </c>
      <c r="Z7" s="188">
        <v>65.0</v>
      </c>
      <c r="AA7" s="188">
        <v>3.0</v>
      </c>
      <c r="AB7" s="188">
        <v>68.0</v>
      </c>
      <c r="AC7" s="188">
        <v>0.0</v>
      </c>
      <c r="AD7" s="188">
        <v>25.0</v>
      </c>
      <c r="AE7" s="188">
        <v>41.0</v>
      </c>
      <c r="AF7" s="188">
        <v>32.0</v>
      </c>
      <c r="AG7" s="188">
        <v>2.0</v>
      </c>
      <c r="AH7" s="188">
        <v>15.0</v>
      </c>
      <c r="AI7" s="188">
        <v>0.0</v>
      </c>
      <c r="AJ7" s="188">
        <v>0.0</v>
      </c>
      <c r="AK7" s="188">
        <v>0.0</v>
      </c>
      <c r="AL7" s="188">
        <v>0.0</v>
      </c>
      <c r="AM7" s="188">
        <v>761.0</v>
      </c>
      <c r="AN7" s="188">
        <v>817.0</v>
      </c>
      <c r="AO7" s="188">
        <v>150.0</v>
      </c>
      <c r="AP7" s="186">
        <v>166652.08253333333</v>
      </c>
      <c r="AQ7" s="189">
        <v>5.073333333333333</v>
      </c>
      <c r="AR7" s="186">
        <v>468750.0</v>
      </c>
      <c r="AS7" s="188">
        <v>64117.0</v>
      </c>
      <c r="AT7" s="187">
        <v>0.02131654530003317</v>
      </c>
      <c r="AU7" s="186">
        <v>367614.8879411765</v>
      </c>
      <c r="AV7" s="219">
        <v>245.0</v>
      </c>
      <c r="AW7" s="219">
        <v>1698.0</v>
      </c>
      <c r="AX7" s="254">
        <v>7002.26</v>
      </c>
      <c r="AY7" s="219">
        <v>53.0</v>
      </c>
      <c r="AZ7" s="219">
        <v>68.0</v>
      </c>
      <c r="BA7" s="219">
        <v>64.0</v>
      </c>
      <c r="BB7" s="219">
        <v>17.0</v>
      </c>
      <c r="BC7" s="191"/>
      <c r="BD7" s="75"/>
      <c r="BE7" s="164">
        <v>-1.719999998807907</v>
      </c>
    </row>
    <row r="8">
      <c r="A8" s="6" t="s">
        <v>185</v>
      </c>
      <c r="B8" s="183" t="s">
        <v>189</v>
      </c>
      <c r="C8" s="184" t="s">
        <v>193</v>
      </c>
      <c r="D8" s="75" t="s">
        <v>241</v>
      </c>
      <c r="E8" s="256">
        <v>41400.0</v>
      </c>
      <c r="F8" s="75" t="s">
        <v>1016</v>
      </c>
      <c r="G8" s="186">
        <v>6.796965242E7</v>
      </c>
      <c r="H8" s="190">
        <v>83075.0</v>
      </c>
      <c r="I8" s="190">
        <v>8500000.0</v>
      </c>
      <c r="J8" s="186">
        <v>0.0</v>
      </c>
      <c r="K8" s="186">
        <v>5.1E7</v>
      </c>
      <c r="L8" s="186">
        <v>2.970548736E7</v>
      </c>
      <c r="M8" s="186">
        <v>0.0</v>
      </c>
      <c r="N8" s="186">
        <v>2.88292906E7</v>
      </c>
      <c r="O8" s="187">
        <v>0.5824605364705883</v>
      </c>
      <c r="P8" s="187">
        <v>0.0</v>
      </c>
      <c r="Q8" s="187">
        <v>0.5652802078431373</v>
      </c>
      <c r="R8" s="188">
        <v>54.0</v>
      </c>
      <c r="S8" s="188">
        <v>51.0</v>
      </c>
      <c r="T8" s="188">
        <v>3.0</v>
      </c>
      <c r="U8" s="188">
        <v>1.0</v>
      </c>
      <c r="V8" s="188">
        <v>57.0</v>
      </c>
      <c r="W8" s="188">
        <v>6.0</v>
      </c>
      <c r="X8" s="189">
        <v>2.967912836E7</v>
      </c>
      <c r="Y8" s="189">
        <v>26359.0</v>
      </c>
      <c r="Z8" s="188">
        <v>45.0</v>
      </c>
      <c r="AA8" s="188">
        <v>1.0</v>
      </c>
      <c r="AB8" s="188">
        <v>46.0</v>
      </c>
      <c r="AC8" s="188">
        <v>0.0</v>
      </c>
      <c r="AD8" s="188">
        <v>1.0</v>
      </c>
      <c r="AE8" s="188">
        <v>3.0</v>
      </c>
      <c r="AF8" s="188">
        <v>17.0</v>
      </c>
      <c r="AG8" s="188">
        <v>3.0</v>
      </c>
      <c r="AH8" s="188">
        <v>99.0</v>
      </c>
      <c r="AI8" s="188">
        <v>0.0</v>
      </c>
      <c r="AJ8" s="188">
        <v>0.0</v>
      </c>
      <c r="AK8" s="188">
        <v>0.0</v>
      </c>
      <c r="AL8" s="188">
        <v>0.0</v>
      </c>
      <c r="AM8" s="188">
        <v>733.0</v>
      </c>
      <c r="AN8" s="188">
        <v>835.0</v>
      </c>
      <c r="AO8" s="188">
        <v>122.0</v>
      </c>
      <c r="AP8" s="186">
        <v>243487.60131147542</v>
      </c>
      <c r="AQ8" s="189">
        <v>6.008196721311475</v>
      </c>
      <c r="AR8" s="186">
        <v>498450.0</v>
      </c>
      <c r="AS8" s="188">
        <v>20239.0</v>
      </c>
      <c r="AT8" s="187">
        <v>0.017461049997733482</v>
      </c>
      <c r="AU8" s="186">
        <v>645771.4643478261</v>
      </c>
      <c r="AV8" s="219">
        <v>494.0</v>
      </c>
      <c r="AW8" s="219">
        <v>1173.0</v>
      </c>
      <c r="AX8" s="254">
        <v>1769.99</v>
      </c>
      <c r="AY8" s="219">
        <v>35.0</v>
      </c>
      <c r="AZ8" s="219">
        <v>46.0</v>
      </c>
      <c r="BA8" s="219">
        <v>8.0</v>
      </c>
      <c r="BB8" s="219">
        <v>3.0</v>
      </c>
      <c r="BC8" s="191"/>
      <c r="BD8" s="75"/>
      <c r="BE8" s="164">
        <v>-2.0642968751490116</v>
      </c>
    </row>
    <row r="9">
      <c r="A9" s="6" t="s">
        <v>185</v>
      </c>
      <c r="B9" s="183" t="s">
        <v>196</v>
      </c>
      <c r="C9" s="184" t="s">
        <v>194</v>
      </c>
      <c r="D9" s="75" t="s">
        <v>1028</v>
      </c>
      <c r="E9" s="256">
        <v>41563.0</v>
      </c>
      <c r="F9" s="75" t="s">
        <v>1027</v>
      </c>
      <c r="G9" s="186">
        <v>1.7275853090000004E7</v>
      </c>
      <c r="H9" s="190">
        <v>48500.0</v>
      </c>
      <c r="I9" s="190">
        <v>2100000.0</v>
      </c>
      <c r="J9" s="186">
        <v>0.0</v>
      </c>
      <c r="K9" s="186">
        <v>1.26E7</v>
      </c>
      <c r="L9" s="186">
        <v>1.006842076E7</v>
      </c>
      <c r="M9" s="186">
        <v>0.0</v>
      </c>
      <c r="N9" s="186">
        <v>9078961.83</v>
      </c>
      <c r="O9" s="187">
        <v>0.7990810126984127</v>
      </c>
      <c r="P9" s="187">
        <v>0.0</v>
      </c>
      <c r="Q9" s="187">
        <v>0.7205525261904762</v>
      </c>
      <c r="R9" s="188">
        <v>38.0</v>
      </c>
      <c r="S9" s="188">
        <v>36.0</v>
      </c>
      <c r="T9" s="188">
        <v>1.0</v>
      </c>
      <c r="U9" s="188">
        <v>0.0</v>
      </c>
      <c r="V9" s="188">
        <v>39.0</v>
      </c>
      <c r="W9" s="188">
        <v>3.0</v>
      </c>
      <c r="X9" s="189">
        <v>1.006842076E7</v>
      </c>
      <c r="Y9" s="189">
        <v>0.0</v>
      </c>
      <c r="Z9" s="188">
        <v>25.0</v>
      </c>
      <c r="AA9" s="188">
        <v>0.0</v>
      </c>
      <c r="AB9" s="188">
        <v>25.0</v>
      </c>
      <c r="AC9" s="188">
        <v>0.0</v>
      </c>
      <c r="AD9" s="188">
        <v>0.0</v>
      </c>
      <c r="AE9" s="188">
        <v>0.0</v>
      </c>
      <c r="AF9" s="188">
        <v>33.0</v>
      </c>
      <c r="AG9" s="188">
        <v>1.0</v>
      </c>
      <c r="AH9" s="188">
        <v>10.0</v>
      </c>
      <c r="AI9" s="188">
        <v>0.0</v>
      </c>
      <c r="AJ9" s="188">
        <v>0.0</v>
      </c>
      <c r="AK9" s="188">
        <v>0.0</v>
      </c>
      <c r="AL9" s="188">
        <v>0.0</v>
      </c>
      <c r="AM9" s="188">
        <v>430.0</v>
      </c>
      <c r="AN9" s="188">
        <v>440.0</v>
      </c>
      <c r="AO9" s="188">
        <v>149.0</v>
      </c>
      <c r="AP9" s="186">
        <v>67573.29369127516</v>
      </c>
      <c r="AQ9" s="189">
        <v>2.8859060402684564</v>
      </c>
      <c r="AR9" s="186">
        <v>291000.0</v>
      </c>
      <c r="AS9" s="188">
        <v>54923.0</v>
      </c>
      <c r="AT9" s="187">
        <v>0.0343572252536653</v>
      </c>
      <c r="AU9" s="186">
        <v>402736.8304</v>
      </c>
      <c r="AV9" s="219">
        <v>166.0</v>
      </c>
      <c r="AW9" s="219">
        <v>1776.0</v>
      </c>
      <c r="AX9" s="254">
        <v>14694.85</v>
      </c>
      <c r="AY9" s="219">
        <v>408.0</v>
      </c>
      <c r="AZ9" s="219">
        <v>25.0</v>
      </c>
      <c r="BA9" s="219">
        <v>11.0</v>
      </c>
      <c r="BB9" s="219">
        <v>3.0</v>
      </c>
      <c r="BC9" s="191"/>
      <c r="BD9" s="75"/>
      <c r="BE9" s="164">
        <v>1.7599999997764826</v>
      </c>
    </row>
    <row r="10">
      <c r="A10" s="6" t="s">
        <v>185</v>
      </c>
      <c r="B10" s="183" t="s">
        <v>212</v>
      </c>
      <c r="C10" s="184" t="s">
        <v>489</v>
      </c>
      <c r="D10" s="75" t="s">
        <v>1032</v>
      </c>
      <c r="E10" s="256">
        <v>41719.0</v>
      </c>
      <c r="F10" s="75" t="s">
        <v>1031</v>
      </c>
      <c r="G10" s="186"/>
      <c r="H10" s="190">
        <v>88170.0</v>
      </c>
      <c r="I10" s="190"/>
      <c r="J10" s="186">
        <v>0.0</v>
      </c>
      <c r="K10" s="186">
        <v>0.0</v>
      </c>
      <c r="L10" s="186">
        <v>0.0</v>
      </c>
      <c r="M10" s="186">
        <v>0.0</v>
      </c>
      <c r="N10" s="186"/>
      <c r="O10" s="187"/>
      <c r="P10" s="187">
        <v>0.0</v>
      </c>
      <c r="Q10" s="187"/>
      <c r="R10" s="188">
        <v>163.0</v>
      </c>
      <c r="S10" s="188">
        <v>58.0</v>
      </c>
      <c r="T10" s="188">
        <v>8.0</v>
      </c>
      <c r="U10" s="188">
        <v>0.0</v>
      </c>
      <c r="V10" s="188">
        <v>171.0</v>
      </c>
      <c r="W10" s="188">
        <v>113.0</v>
      </c>
      <c r="X10" s="189">
        <v>0.0</v>
      </c>
      <c r="Y10" s="189">
        <v>0.0</v>
      </c>
      <c r="Z10" s="188">
        <v>0.0</v>
      </c>
      <c r="AA10" s="188">
        <v>0.0</v>
      </c>
      <c r="AB10" s="188">
        <v>0.0</v>
      </c>
      <c r="AC10" s="188">
        <v>0.0</v>
      </c>
      <c r="AD10" s="188">
        <v>46.0</v>
      </c>
      <c r="AE10" s="188">
        <v>64.0</v>
      </c>
      <c r="AF10" s="188">
        <v>232.0</v>
      </c>
      <c r="AG10" s="188">
        <v>19.0</v>
      </c>
      <c r="AH10" s="188">
        <v>138.0</v>
      </c>
      <c r="AI10" s="188">
        <v>4.0</v>
      </c>
      <c r="AJ10" s="188">
        <v>22.0</v>
      </c>
      <c r="AK10" s="188">
        <v>8.0</v>
      </c>
      <c r="AL10" s="188">
        <v>16.0</v>
      </c>
      <c r="AM10" s="188">
        <v>113.0</v>
      </c>
      <c r="AN10" s="188">
        <v>353.0</v>
      </c>
      <c r="AO10" s="188">
        <v>149.0</v>
      </c>
      <c r="AP10" s="186">
        <v>0.0</v>
      </c>
      <c r="AQ10" s="189">
        <v>0.7583892617449665</v>
      </c>
      <c r="AR10" s="186">
        <v>529020.0</v>
      </c>
      <c r="AS10" s="188"/>
      <c r="AT10" s="187"/>
      <c r="AU10" s="186"/>
      <c r="AV10" s="219">
        <v>0.0</v>
      </c>
      <c r="AW10" s="219">
        <v>1469.0</v>
      </c>
      <c r="AX10" s="254">
        <v>28426.94</v>
      </c>
      <c r="AY10" s="219">
        <v>490.0</v>
      </c>
      <c r="AZ10" s="219">
        <v>0.0</v>
      </c>
      <c r="BA10" s="219">
        <v>58.0</v>
      </c>
      <c r="BB10" s="219">
        <v>113.0</v>
      </c>
      <c r="BC10" s="191"/>
      <c r="BD10" s="75"/>
      <c r="BE10" s="164" t="e">
        <v>#N/A</v>
      </c>
    </row>
    <row r="11">
      <c r="A11" s="6" t="s">
        <v>185</v>
      </c>
      <c r="B11" s="183" t="s">
        <v>189</v>
      </c>
      <c r="C11" s="184" t="s">
        <v>197</v>
      </c>
      <c r="D11" s="75" t="s">
        <v>1034</v>
      </c>
      <c r="E11" s="256">
        <v>41791.0</v>
      </c>
      <c r="F11" s="75" t="s">
        <v>1016</v>
      </c>
      <c r="G11" s="186">
        <v>1.036809112E8</v>
      </c>
      <c r="H11" s="190">
        <v>87460.0</v>
      </c>
      <c r="I11" s="190">
        <v>1.25E7</v>
      </c>
      <c r="J11" s="186">
        <v>0.0</v>
      </c>
      <c r="K11" s="186">
        <v>7.5E7</v>
      </c>
      <c r="L11" s="186">
        <v>3.803629352E7</v>
      </c>
      <c r="M11" s="186">
        <v>0.0</v>
      </c>
      <c r="N11" s="186">
        <v>3.9968425E7</v>
      </c>
      <c r="O11" s="187">
        <v>0.5071505802666667</v>
      </c>
      <c r="P11" s="187">
        <v>0.0</v>
      </c>
      <c r="Q11" s="187">
        <v>0.5329123333333333</v>
      </c>
      <c r="R11" s="188">
        <v>100.0</v>
      </c>
      <c r="S11" s="188">
        <v>81.0</v>
      </c>
      <c r="T11" s="188">
        <v>1.0</v>
      </c>
      <c r="U11" s="188">
        <v>0.0</v>
      </c>
      <c r="V11" s="188">
        <v>101.0</v>
      </c>
      <c r="W11" s="188">
        <v>20.0</v>
      </c>
      <c r="X11" s="189">
        <v>3.803629352E7</v>
      </c>
      <c r="Y11" s="189">
        <v>0.0</v>
      </c>
      <c r="Z11" s="188">
        <v>71.0</v>
      </c>
      <c r="AA11" s="188">
        <v>0.0</v>
      </c>
      <c r="AB11" s="188">
        <v>71.0</v>
      </c>
      <c r="AC11" s="188">
        <v>0.0</v>
      </c>
      <c r="AD11" s="188">
        <v>6.0</v>
      </c>
      <c r="AE11" s="188">
        <v>6.0</v>
      </c>
      <c r="AF11" s="188">
        <v>26.0</v>
      </c>
      <c r="AG11" s="188">
        <v>4.0</v>
      </c>
      <c r="AH11" s="188">
        <v>91.0</v>
      </c>
      <c r="AI11" s="188">
        <v>0.0</v>
      </c>
      <c r="AJ11" s="188">
        <v>0.0</v>
      </c>
      <c r="AK11" s="188">
        <v>0.0</v>
      </c>
      <c r="AL11" s="188">
        <v>0.0</v>
      </c>
      <c r="AM11" s="188">
        <v>518.0</v>
      </c>
      <c r="AN11" s="188">
        <v>615.0</v>
      </c>
      <c r="AO11" s="188">
        <v>144.0</v>
      </c>
      <c r="AP11" s="186">
        <v>264140.92722222226</v>
      </c>
      <c r="AQ11" s="189">
        <v>3.5972222222222223</v>
      </c>
      <c r="AR11" s="186">
        <v>524760.0</v>
      </c>
      <c r="AS11" s="188">
        <v>41458.0</v>
      </c>
      <c r="AT11" s="187">
        <v>0.014886255930859163</v>
      </c>
      <c r="AU11" s="186">
        <v>535722.443943662</v>
      </c>
      <c r="AV11" s="219">
        <v>397.0</v>
      </c>
      <c r="AW11" s="219">
        <v>1736.0</v>
      </c>
      <c r="AX11" s="254">
        <v>19186.6</v>
      </c>
      <c r="AY11" s="219">
        <v>237.0</v>
      </c>
      <c r="AZ11" s="219">
        <v>71.0</v>
      </c>
      <c r="BA11" s="219">
        <v>10.0</v>
      </c>
      <c r="BB11" s="219">
        <v>20.0</v>
      </c>
      <c r="BC11" s="191"/>
      <c r="BD11" s="75"/>
      <c r="BE11" s="164">
        <v>0.5599999949336052</v>
      </c>
    </row>
    <row r="12">
      <c r="A12" s="6" t="s">
        <v>185</v>
      </c>
      <c r="B12" s="183" t="s">
        <v>196</v>
      </c>
      <c r="C12" s="184" t="s">
        <v>199</v>
      </c>
      <c r="D12" s="75" t="s">
        <v>1036</v>
      </c>
      <c r="E12" s="256">
        <v>42125.0</v>
      </c>
      <c r="F12" s="75" t="s">
        <v>1027</v>
      </c>
      <c r="G12" s="186">
        <v>6.022327444E7</v>
      </c>
      <c r="H12" s="190">
        <v>79340.0</v>
      </c>
      <c r="I12" s="190">
        <v>6558000.0</v>
      </c>
      <c r="J12" s="186">
        <v>0.0</v>
      </c>
      <c r="K12" s="186">
        <v>3.9348E7</v>
      </c>
      <c r="L12" s="186">
        <v>3.393660145E7</v>
      </c>
      <c r="M12" s="186">
        <v>0.0</v>
      </c>
      <c r="N12" s="186">
        <v>3.4570945E7</v>
      </c>
      <c r="O12" s="187">
        <v>0.8624733518857376</v>
      </c>
      <c r="P12" s="187">
        <v>0.0</v>
      </c>
      <c r="Q12" s="187">
        <v>0.8785947189183694</v>
      </c>
      <c r="R12" s="188">
        <v>81.0</v>
      </c>
      <c r="S12" s="188">
        <v>87.0</v>
      </c>
      <c r="T12" s="188">
        <v>6.0</v>
      </c>
      <c r="U12" s="188">
        <v>6.0</v>
      </c>
      <c r="V12" s="188">
        <v>87.0</v>
      </c>
      <c r="W12" s="188">
        <v>0.0</v>
      </c>
      <c r="X12" s="189">
        <v>3.255185578E7</v>
      </c>
      <c r="Y12" s="189">
        <v>1384745.67</v>
      </c>
      <c r="Z12" s="188">
        <v>74.0</v>
      </c>
      <c r="AA12" s="188">
        <v>6.0</v>
      </c>
      <c r="AB12" s="188">
        <v>80.0</v>
      </c>
      <c r="AC12" s="188">
        <v>0.0</v>
      </c>
      <c r="AD12" s="188">
        <v>0.0</v>
      </c>
      <c r="AE12" s="188">
        <v>0.0</v>
      </c>
      <c r="AF12" s="188">
        <v>2.0</v>
      </c>
      <c r="AG12" s="188">
        <v>3.0</v>
      </c>
      <c r="AH12" s="188">
        <v>99.0</v>
      </c>
      <c r="AI12" s="188">
        <v>0.0</v>
      </c>
      <c r="AJ12" s="188">
        <v>0.0</v>
      </c>
      <c r="AK12" s="188">
        <v>0.0</v>
      </c>
      <c r="AL12" s="188">
        <v>0.0</v>
      </c>
      <c r="AM12" s="188">
        <v>790.0</v>
      </c>
      <c r="AN12" s="188">
        <v>889.0</v>
      </c>
      <c r="AO12" s="188">
        <v>154.0</v>
      </c>
      <c r="AP12" s="186">
        <v>220367.5418831169</v>
      </c>
      <c r="AQ12" s="189">
        <v>5.12987012987013</v>
      </c>
      <c r="AR12" s="186">
        <v>476040.0</v>
      </c>
      <c r="AS12" s="188">
        <v>53985.0</v>
      </c>
      <c r="AT12" s="187">
        <v>0.015618093072192411</v>
      </c>
      <c r="AU12" s="186">
        <v>424207.51812500006</v>
      </c>
      <c r="AV12" s="219">
        <v>682.0</v>
      </c>
      <c r="AW12" s="219">
        <v>1919.0</v>
      </c>
      <c r="AX12" s="254">
        <v>15181.77</v>
      </c>
      <c r="AY12" s="219">
        <v>175.0</v>
      </c>
      <c r="AZ12" s="219">
        <v>80.0</v>
      </c>
      <c r="BA12" s="219">
        <v>7.0</v>
      </c>
      <c r="BB12" s="219">
        <v>0.0</v>
      </c>
      <c r="BC12" s="191"/>
      <c r="BD12" s="75"/>
      <c r="BE12" s="164">
        <v>-0.48000000417232513</v>
      </c>
    </row>
    <row r="13">
      <c r="A13" s="6" t="s">
        <v>126</v>
      </c>
      <c r="B13" s="183" t="s">
        <v>130</v>
      </c>
      <c r="C13" s="184" t="s">
        <v>131</v>
      </c>
      <c r="D13" s="75" t="s">
        <v>1038</v>
      </c>
      <c r="E13" s="256">
        <v>42530.0</v>
      </c>
      <c r="F13" s="75" t="s">
        <v>130</v>
      </c>
      <c r="G13" s="186">
        <v>2.1287274E7</v>
      </c>
      <c r="H13" s="190">
        <v>76210.0</v>
      </c>
      <c r="I13" s="190">
        <v>3125000.0</v>
      </c>
      <c r="J13" s="186">
        <v>3000000.0</v>
      </c>
      <c r="K13" s="186">
        <v>1.575E7</v>
      </c>
      <c r="L13" s="186">
        <v>1.126348254E7</v>
      </c>
      <c r="M13" s="186">
        <v>0.0</v>
      </c>
      <c r="N13" s="186">
        <v>1.00053558E7</v>
      </c>
      <c r="O13" s="187">
        <v>0.6007190687999999</v>
      </c>
      <c r="P13" s="187">
        <v>0.0</v>
      </c>
      <c r="Q13" s="187">
        <v>0.5336189760000001</v>
      </c>
      <c r="R13" s="188">
        <v>73.0</v>
      </c>
      <c r="S13" s="188">
        <v>77.0</v>
      </c>
      <c r="T13" s="188">
        <v>17.0</v>
      </c>
      <c r="U13" s="188">
        <v>3.0</v>
      </c>
      <c r="V13" s="188">
        <v>90.0</v>
      </c>
      <c r="W13" s="188">
        <v>13.0</v>
      </c>
      <c r="X13" s="189">
        <v>1.096095913E7</v>
      </c>
      <c r="Y13" s="189">
        <v>302523.41</v>
      </c>
      <c r="Z13" s="188">
        <v>46.0</v>
      </c>
      <c r="AA13" s="188">
        <v>3.0</v>
      </c>
      <c r="AB13" s="188">
        <v>49.0</v>
      </c>
      <c r="AC13" s="188">
        <v>0.0</v>
      </c>
      <c r="AD13" s="188">
        <v>65.0</v>
      </c>
      <c r="AE13" s="188">
        <v>89.0</v>
      </c>
      <c r="AF13" s="188">
        <v>114.0</v>
      </c>
      <c r="AG13" s="188">
        <v>6.0</v>
      </c>
      <c r="AH13" s="188">
        <v>84.0</v>
      </c>
      <c r="AI13" s="188">
        <v>0.0</v>
      </c>
      <c r="AJ13" s="188">
        <v>0.0</v>
      </c>
      <c r="AK13" s="188">
        <v>0.0</v>
      </c>
      <c r="AL13" s="188">
        <v>0.0</v>
      </c>
      <c r="AM13" s="188">
        <v>307.0</v>
      </c>
      <c r="AN13" s="188">
        <v>480.0</v>
      </c>
      <c r="AO13" s="188">
        <v>143.0</v>
      </c>
      <c r="AP13" s="186">
        <v>78765.61216783217</v>
      </c>
      <c r="AQ13" s="189">
        <v>2.1468531468531467</v>
      </c>
      <c r="AR13" s="186">
        <v>457260.0</v>
      </c>
      <c r="AS13" s="188">
        <v>63265.0</v>
      </c>
      <c r="AT13" s="187">
        <v>0.04621350440695938</v>
      </c>
      <c r="AU13" s="186">
        <v>229866.99061224487</v>
      </c>
      <c r="AV13" s="219">
        <v>141.0</v>
      </c>
      <c r="AW13" s="219">
        <v>1195.0</v>
      </c>
      <c r="AX13" s="254">
        <v>8370.54</v>
      </c>
      <c r="AY13" s="219">
        <v>109.0</v>
      </c>
      <c r="AZ13" s="219">
        <v>49.0</v>
      </c>
      <c r="BA13" s="219">
        <v>30.0</v>
      </c>
      <c r="BB13" s="219">
        <v>11.0</v>
      </c>
      <c r="BC13" s="191"/>
      <c r="BD13" s="75"/>
      <c r="BE13" s="164">
        <v>-1.0170312505215406</v>
      </c>
    </row>
    <row r="14">
      <c r="A14" s="6" t="s">
        <v>185</v>
      </c>
      <c r="B14" s="183" t="s">
        <v>189</v>
      </c>
      <c r="C14" s="184" t="s">
        <v>201</v>
      </c>
      <c r="D14" s="75" t="s">
        <v>238</v>
      </c>
      <c r="E14" s="256">
        <v>42660.0</v>
      </c>
      <c r="F14" s="75" t="s">
        <v>1016</v>
      </c>
      <c r="G14" s="186">
        <v>2.7594897E7</v>
      </c>
      <c r="H14" s="190">
        <v>48608.0</v>
      </c>
      <c r="I14" s="190">
        <v>3383333.0</v>
      </c>
      <c r="J14" s="186">
        <v>0.0</v>
      </c>
      <c r="K14" s="186">
        <v>2.0299998E7</v>
      </c>
      <c r="L14" s="186">
        <v>1.665374657E7</v>
      </c>
      <c r="M14" s="186">
        <v>0.0</v>
      </c>
      <c r="N14" s="186">
        <v>1.646665E7</v>
      </c>
      <c r="O14" s="187">
        <v>0.8203816852592793</v>
      </c>
      <c r="P14" s="187">
        <v>0.0</v>
      </c>
      <c r="Q14" s="187">
        <v>0.8111651045482862</v>
      </c>
      <c r="R14" s="188">
        <v>54.0</v>
      </c>
      <c r="S14" s="188">
        <v>53.0</v>
      </c>
      <c r="T14" s="188">
        <v>4.0</v>
      </c>
      <c r="U14" s="188">
        <v>4.0</v>
      </c>
      <c r="V14" s="188">
        <v>58.0</v>
      </c>
      <c r="W14" s="188">
        <v>5.0</v>
      </c>
      <c r="X14" s="189">
        <v>1.641812499E7</v>
      </c>
      <c r="Y14" s="189">
        <v>235621.58</v>
      </c>
      <c r="Z14" s="188">
        <v>38.0</v>
      </c>
      <c r="AA14" s="188">
        <v>4.0</v>
      </c>
      <c r="AB14" s="188">
        <v>42.0</v>
      </c>
      <c r="AC14" s="188">
        <v>0.0</v>
      </c>
      <c r="AD14" s="188">
        <v>1.0</v>
      </c>
      <c r="AE14" s="188">
        <v>1.0</v>
      </c>
      <c r="AF14" s="188">
        <v>4.0</v>
      </c>
      <c r="AG14" s="188">
        <v>3.0</v>
      </c>
      <c r="AH14" s="188">
        <v>138.0</v>
      </c>
      <c r="AI14" s="188">
        <v>0.0</v>
      </c>
      <c r="AJ14" s="188">
        <v>0.0</v>
      </c>
      <c r="AK14" s="188">
        <v>0.0</v>
      </c>
      <c r="AL14" s="188">
        <v>0.0</v>
      </c>
      <c r="AM14" s="188">
        <v>436.0</v>
      </c>
      <c r="AN14" s="188">
        <v>575.0</v>
      </c>
      <c r="AO14" s="188">
        <v>143.0</v>
      </c>
      <c r="AP14" s="186">
        <v>116459.76622377623</v>
      </c>
      <c r="AQ14" s="189">
        <v>3.0489510489510487</v>
      </c>
      <c r="AR14" s="186">
        <v>291648.0</v>
      </c>
      <c r="AS14" s="188">
        <v>45693.0</v>
      </c>
      <c r="AT14" s="187">
        <v>0.02025616269480676</v>
      </c>
      <c r="AU14" s="186">
        <v>396517.7754761905</v>
      </c>
      <c r="AV14" s="219">
        <v>213.0</v>
      </c>
      <c r="AW14" s="219">
        <v>1550.0</v>
      </c>
      <c r="AX14" s="254">
        <v>10106.51</v>
      </c>
      <c r="AY14" s="219">
        <v>191.0</v>
      </c>
      <c r="AZ14" s="219">
        <v>42.0</v>
      </c>
      <c r="BA14" s="219">
        <v>12.0</v>
      </c>
      <c r="BB14" s="219">
        <v>4.0</v>
      </c>
      <c r="BC14" s="191"/>
      <c r="BD14" s="75"/>
      <c r="BE14" s="164">
        <v>-1.849999999627471</v>
      </c>
    </row>
    <row r="15">
      <c r="A15" s="6" t="s">
        <v>126</v>
      </c>
      <c r="B15" s="183" t="s">
        <v>135</v>
      </c>
      <c r="C15" s="184" t="s">
        <v>133</v>
      </c>
      <c r="D15" s="75" t="s">
        <v>180</v>
      </c>
      <c r="E15" s="256">
        <v>42720.0</v>
      </c>
      <c r="F15" s="75" t="s">
        <v>1042</v>
      </c>
      <c r="G15" s="186">
        <v>1.9644499E7</v>
      </c>
      <c r="H15" s="190">
        <v>61850.0</v>
      </c>
      <c r="I15" s="190">
        <v>3125000.0</v>
      </c>
      <c r="J15" s="186">
        <v>2514000.0</v>
      </c>
      <c r="K15" s="186">
        <v>1.6236E7</v>
      </c>
      <c r="L15" s="186">
        <v>9720692.05</v>
      </c>
      <c r="M15" s="186">
        <v>2218887.69</v>
      </c>
      <c r="N15" s="186">
        <v>1.1201699E7</v>
      </c>
      <c r="O15" s="187">
        <v>0.6367775861333334</v>
      </c>
      <c r="P15" s="187">
        <v>0.88</v>
      </c>
      <c r="Q15" s="187">
        <v>0.5974239466666666</v>
      </c>
      <c r="R15" s="188">
        <v>64.0</v>
      </c>
      <c r="S15" s="188">
        <v>66.0</v>
      </c>
      <c r="T15" s="188">
        <v>16.0</v>
      </c>
      <c r="U15" s="188">
        <v>15.0</v>
      </c>
      <c r="V15" s="188">
        <v>80.0</v>
      </c>
      <c r="W15" s="188">
        <v>14.0</v>
      </c>
      <c r="X15" s="189">
        <v>6223060.37</v>
      </c>
      <c r="Y15" s="189">
        <v>3497631.68</v>
      </c>
      <c r="Z15" s="188">
        <v>36.0</v>
      </c>
      <c r="AA15" s="188">
        <v>15.0</v>
      </c>
      <c r="AB15" s="188">
        <v>51.0</v>
      </c>
      <c r="AC15" s="188">
        <v>4.0</v>
      </c>
      <c r="AD15" s="188">
        <v>45.0</v>
      </c>
      <c r="AE15" s="188">
        <v>70.0</v>
      </c>
      <c r="AF15" s="188">
        <v>149.0</v>
      </c>
      <c r="AG15" s="188">
        <v>3.0</v>
      </c>
      <c r="AH15" s="188">
        <v>39.0</v>
      </c>
      <c r="AI15" s="188">
        <v>4.0</v>
      </c>
      <c r="AJ15" s="188">
        <v>25.0</v>
      </c>
      <c r="AK15" s="188">
        <v>1.0</v>
      </c>
      <c r="AL15" s="188">
        <v>25.0</v>
      </c>
      <c r="AM15" s="188">
        <v>386.0</v>
      </c>
      <c r="AN15" s="188">
        <v>545.0</v>
      </c>
      <c r="AO15" s="188">
        <v>150.0</v>
      </c>
      <c r="AP15" s="186">
        <v>79597.19826666667</v>
      </c>
      <c r="AQ15" s="189">
        <v>2.5733333333333333</v>
      </c>
      <c r="AR15" s="186">
        <v>371100.0</v>
      </c>
      <c r="AS15" s="188">
        <v>66119.0</v>
      </c>
      <c r="AT15" s="187">
        <v>0.036619295613498706</v>
      </c>
      <c r="AU15" s="186">
        <v>190601.8049019608</v>
      </c>
      <c r="AV15" s="219">
        <v>186.0</v>
      </c>
      <c r="AW15" s="219">
        <v>1056.0</v>
      </c>
      <c r="AX15" s="254">
        <v>8492.95</v>
      </c>
      <c r="AY15" s="219">
        <v>129.0</v>
      </c>
      <c r="AZ15" s="219">
        <v>51.0</v>
      </c>
      <c r="BA15" s="219">
        <v>19.0</v>
      </c>
      <c r="BB15" s="219">
        <v>10.0</v>
      </c>
      <c r="BC15" s="191"/>
      <c r="BD15" s="75"/>
      <c r="BE15" s="164">
        <v>0.34999999962747097</v>
      </c>
    </row>
    <row r="16">
      <c r="A16" s="6" t="s">
        <v>111</v>
      </c>
      <c r="B16" s="183" t="s">
        <v>117</v>
      </c>
      <c r="C16" s="184" t="s">
        <v>434</v>
      </c>
      <c r="D16" s="75" t="s">
        <v>435</v>
      </c>
      <c r="E16" s="256">
        <v>42769.0</v>
      </c>
      <c r="F16" s="75" t="s">
        <v>1044</v>
      </c>
      <c r="G16" s="186">
        <v>8136889.0</v>
      </c>
      <c r="H16" s="190">
        <v>37355.0</v>
      </c>
      <c r="I16" s="190">
        <v>1400000.0</v>
      </c>
      <c r="J16" s="186">
        <v>0.0</v>
      </c>
      <c r="K16" s="186">
        <v>8400000.0</v>
      </c>
      <c r="L16" s="186">
        <v>3036210.26</v>
      </c>
      <c r="M16" s="186">
        <v>0.0</v>
      </c>
      <c r="N16" s="186">
        <v>3262947.0</v>
      </c>
      <c r="O16" s="187">
        <v>0.36145360238095237</v>
      </c>
      <c r="P16" s="187">
        <v>0.0</v>
      </c>
      <c r="Q16" s="187">
        <v>0.3884460714285714</v>
      </c>
      <c r="R16" s="188">
        <v>44.0</v>
      </c>
      <c r="S16" s="188">
        <v>45.0</v>
      </c>
      <c r="T16" s="188">
        <v>1.0</v>
      </c>
      <c r="U16" s="188">
        <v>1.0</v>
      </c>
      <c r="V16" s="188">
        <v>45.0</v>
      </c>
      <c r="W16" s="188">
        <v>0.0</v>
      </c>
      <c r="X16" s="189">
        <v>3017437.16</v>
      </c>
      <c r="Y16" s="189">
        <v>18773.1</v>
      </c>
      <c r="Z16" s="188">
        <v>33.0</v>
      </c>
      <c r="AA16" s="188">
        <v>1.0</v>
      </c>
      <c r="AB16" s="188">
        <v>34.0</v>
      </c>
      <c r="AC16" s="188">
        <v>0.0</v>
      </c>
      <c r="AD16" s="188">
        <v>11.0</v>
      </c>
      <c r="AE16" s="188">
        <v>21.0</v>
      </c>
      <c r="AF16" s="188">
        <v>67.0</v>
      </c>
      <c r="AG16" s="188">
        <v>2.0</v>
      </c>
      <c r="AH16" s="188">
        <v>16.0</v>
      </c>
      <c r="AI16" s="188">
        <v>0.0</v>
      </c>
      <c r="AJ16" s="188">
        <v>0.0</v>
      </c>
      <c r="AK16" s="188">
        <v>0.0</v>
      </c>
      <c r="AL16" s="188">
        <v>0.0</v>
      </c>
      <c r="AM16" s="188">
        <v>573.0</v>
      </c>
      <c r="AN16" s="188">
        <v>610.0</v>
      </c>
      <c r="AO16" s="188">
        <v>155.0</v>
      </c>
      <c r="AP16" s="186">
        <v>19588.45329032258</v>
      </c>
      <c r="AQ16" s="189">
        <v>3.696774193548387</v>
      </c>
      <c r="AR16" s="186">
        <v>224130.0</v>
      </c>
      <c r="AS16" s="188">
        <v>54065.0</v>
      </c>
      <c r="AT16" s="187">
        <v>0.09162573609114938</v>
      </c>
      <c r="AU16" s="186">
        <v>89300.30176470587</v>
      </c>
      <c r="AV16" s="219">
        <v>113.0</v>
      </c>
      <c r="AW16" s="219">
        <v>1723.0</v>
      </c>
      <c r="AX16" s="254">
        <v>12560.27</v>
      </c>
      <c r="AY16" s="219">
        <v>279.0</v>
      </c>
      <c r="AZ16" s="219">
        <v>34.0</v>
      </c>
      <c r="BA16" s="219">
        <v>11.0</v>
      </c>
      <c r="BB16" s="219">
        <v>0.0</v>
      </c>
      <c r="BC16" s="191"/>
      <c r="BD16" s="75"/>
      <c r="BE16" s="164">
        <v>0.060000000055879354</v>
      </c>
    </row>
    <row r="17">
      <c r="A17" s="6" t="s">
        <v>185</v>
      </c>
      <c r="B17" s="183" t="s">
        <v>196</v>
      </c>
      <c r="C17" s="184" t="s">
        <v>413</v>
      </c>
      <c r="D17" s="75" t="s">
        <v>1046</v>
      </c>
      <c r="E17" s="256">
        <v>42826.0</v>
      </c>
      <c r="F17" s="75" t="s">
        <v>1027</v>
      </c>
      <c r="G17" s="186">
        <v>5631228.72</v>
      </c>
      <c r="H17" s="190">
        <v>76300.0</v>
      </c>
      <c r="I17" s="190">
        <v>2000000.0</v>
      </c>
      <c r="J17" s="186">
        <v>0.0</v>
      </c>
      <c r="K17" s="186">
        <v>1.2E7</v>
      </c>
      <c r="L17" s="186">
        <v>4268270.73</v>
      </c>
      <c r="M17" s="186">
        <v>0.0</v>
      </c>
      <c r="N17" s="186">
        <v>6044446.430000001</v>
      </c>
      <c r="O17" s="187">
        <v>0.35568922750000004</v>
      </c>
      <c r="P17" s="187">
        <v>0.0</v>
      </c>
      <c r="Q17" s="187">
        <v>0.5037038691666668</v>
      </c>
      <c r="R17" s="188">
        <v>73.0</v>
      </c>
      <c r="S17" s="188">
        <v>84.0</v>
      </c>
      <c r="T17" s="188">
        <v>19.0</v>
      </c>
      <c r="U17" s="188">
        <v>19.0</v>
      </c>
      <c r="V17" s="188">
        <v>92.0</v>
      </c>
      <c r="W17" s="188">
        <v>8.0</v>
      </c>
      <c r="X17" s="189">
        <v>3253276.65</v>
      </c>
      <c r="Y17" s="189">
        <v>1014994.08</v>
      </c>
      <c r="Z17" s="188">
        <v>45.0</v>
      </c>
      <c r="AA17" s="188">
        <v>19.0</v>
      </c>
      <c r="AB17" s="188">
        <v>64.0</v>
      </c>
      <c r="AC17" s="188">
        <v>0.0</v>
      </c>
      <c r="AD17" s="188">
        <v>2.0</v>
      </c>
      <c r="AE17" s="188">
        <v>4.0</v>
      </c>
      <c r="AF17" s="188">
        <v>9.0</v>
      </c>
      <c r="AG17" s="188">
        <v>3.0</v>
      </c>
      <c r="AH17" s="188">
        <v>97.0</v>
      </c>
      <c r="AI17" s="188">
        <v>0.0</v>
      </c>
      <c r="AJ17" s="188">
        <v>0.0</v>
      </c>
      <c r="AK17" s="188">
        <v>0.0</v>
      </c>
      <c r="AL17" s="188">
        <v>0.0</v>
      </c>
      <c r="AM17" s="188">
        <v>626.0</v>
      </c>
      <c r="AN17" s="188">
        <v>727.0</v>
      </c>
      <c r="AO17" s="188">
        <v>142.0</v>
      </c>
      <c r="AP17" s="186">
        <v>30058.244577464793</v>
      </c>
      <c r="AQ17" s="189">
        <v>4.408450704225352</v>
      </c>
      <c r="AR17" s="186">
        <v>457800.0</v>
      </c>
      <c r="AS17" s="188">
        <v>38409.0</v>
      </c>
      <c r="AT17" s="187">
        <v>0.1162552779307886</v>
      </c>
      <c r="AU17" s="186">
        <v>66691.73015625</v>
      </c>
      <c r="AV17" s="219">
        <v>167.0</v>
      </c>
      <c r="AW17" s="219">
        <v>1269.0</v>
      </c>
      <c r="AX17" s="254">
        <v>7175.79</v>
      </c>
      <c r="AY17" s="219">
        <v>85.0</v>
      </c>
      <c r="AZ17" s="219">
        <v>64.0</v>
      </c>
      <c r="BA17" s="219">
        <v>21.0</v>
      </c>
      <c r="BB17" s="219">
        <v>7.0</v>
      </c>
      <c r="BC17" s="191"/>
      <c r="BD17" s="75"/>
      <c r="BE17" s="164">
        <v>-0.49000000115484</v>
      </c>
    </row>
    <row r="18">
      <c r="A18" s="6" t="s">
        <v>185</v>
      </c>
      <c r="B18" s="183" t="s">
        <v>189</v>
      </c>
      <c r="C18" s="184" t="s">
        <v>202</v>
      </c>
      <c r="D18" s="75" t="s">
        <v>243</v>
      </c>
      <c r="E18" s="256">
        <v>42826.0</v>
      </c>
      <c r="F18" s="75" t="s">
        <v>1016</v>
      </c>
      <c r="G18" s="186">
        <v>4.497067861E7</v>
      </c>
      <c r="H18" s="190">
        <v>63250.0</v>
      </c>
      <c r="I18" s="190">
        <v>3800000.0</v>
      </c>
      <c r="J18" s="186">
        <v>0.0</v>
      </c>
      <c r="K18" s="186">
        <v>2.28E7</v>
      </c>
      <c r="L18" s="186">
        <v>2.091723022E7</v>
      </c>
      <c r="M18" s="186">
        <v>0.0</v>
      </c>
      <c r="N18" s="186">
        <v>1.6475222920000002E7</v>
      </c>
      <c r="O18" s="187">
        <v>0.9174223780701753</v>
      </c>
      <c r="P18" s="187">
        <v>0.0</v>
      </c>
      <c r="Q18" s="187">
        <v>0.7225974964912282</v>
      </c>
      <c r="R18" s="188">
        <v>127.0</v>
      </c>
      <c r="S18" s="188">
        <v>82.0</v>
      </c>
      <c r="T18" s="188">
        <v>4.0</v>
      </c>
      <c r="U18" s="188">
        <v>0.0</v>
      </c>
      <c r="V18" s="188">
        <v>131.0</v>
      </c>
      <c r="W18" s="188">
        <v>49.0</v>
      </c>
      <c r="X18" s="189">
        <v>2.091723022E7</v>
      </c>
      <c r="Y18" s="189">
        <v>0.0</v>
      </c>
      <c r="Z18" s="188">
        <v>16.0</v>
      </c>
      <c r="AA18" s="188">
        <v>0.0</v>
      </c>
      <c r="AB18" s="188">
        <v>16.0</v>
      </c>
      <c r="AC18" s="188">
        <v>0.0</v>
      </c>
      <c r="AD18" s="188">
        <v>10.0</v>
      </c>
      <c r="AE18" s="188">
        <v>15.0</v>
      </c>
      <c r="AF18" s="188">
        <v>30.0</v>
      </c>
      <c r="AG18" s="188">
        <v>2.0</v>
      </c>
      <c r="AH18" s="188">
        <v>58.0</v>
      </c>
      <c r="AI18" s="188">
        <v>0.0</v>
      </c>
      <c r="AJ18" s="188">
        <v>0.0</v>
      </c>
      <c r="AK18" s="188">
        <v>0.0</v>
      </c>
      <c r="AL18" s="188">
        <v>0.0</v>
      </c>
      <c r="AM18" s="188">
        <v>428.0</v>
      </c>
      <c r="AN18" s="188">
        <v>501.0</v>
      </c>
      <c r="AO18" s="188">
        <v>149.0</v>
      </c>
      <c r="AP18" s="186">
        <v>140384.0954362416</v>
      </c>
      <c r="AQ18" s="189">
        <v>2.87248322147651</v>
      </c>
      <c r="AR18" s="186">
        <v>379500.0</v>
      </c>
      <c r="AS18" s="188">
        <v>63440.0</v>
      </c>
      <c r="AT18" s="187">
        <v>0.021175843806341202</v>
      </c>
      <c r="AU18" s="186">
        <v>1307326.88875</v>
      </c>
      <c r="AV18" s="219">
        <v>69.0</v>
      </c>
      <c r="AW18" s="219">
        <v>1859.0</v>
      </c>
      <c r="AX18" s="254">
        <v>17779.66</v>
      </c>
      <c r="AY18" s="219">
        <v>217.0</v>
      </c>
      <c r="AZ18" s="219">
        <v>16.0</v>
      </c>
      <c r="BA18" s="219">
        <v>66.0</v>
      </c>
      <c r="BB18" s="219">
        <v>49.0</v>
      </c>
      <c r="BC18" s="191"/>
      <c r="BD18" s="75"/>
      <c r="BE18" s="164">
        <v>-0.019999999552965164</v>
      </c>
    </row>
    <row r="19">
      <c r="A19" s="6" t="s">
        <v>298</v>
      </c>
      <c r="B19" s="183" t="s">
        <v>301</v>
      </c>
      <c r="C19" s="183" t="s">
        <v>299</v>
      </c>
      <c r="D19" s="75" t="s">
        <v>1048</v>
      </c>
      <c r="E19" s="256">
        <v>42926.0</v>
      </c>
      <c r="F19" s="75" t="s">
        <v>1047</v>
      </c>
      <c r="G19" s="186">
        <v>2.0081138E7</v>
      </c>
      <c r="H19" s="190">
        <v>44575.0</v>
      </c>
      <c r="I19" s="190">
        <v>2000000.0</v>
      </c>
      <c r="J19" s="186">
        <v>0.0</v>
      </c>
      <c r="K19" s="186">
        <v>1.2E7</v>
      </c>
      <c r="L19" s="186">
        <v>1.06881617E7</v>
      </c>
      <c r="M19" s="186">
        <v>0.0</v>
      </c>
      <c r="N19" s="186">
        <v>1.153079E7</v>
      </c>
      <c r="O19" s="187">
        <v>0.8906801416666666</v>
      </c>
      <c r="P19" s="187">
        <v>0.0</v>
      </c>
      <c r="Q19" s="187">
        <v>0.9608991666666666</v>
      </c>
      <c r="R19" s="188">
        <v>146.0</v>
      </c>
      <c r="S19" s="188">
        <v>110.0</v>
      </c>
      <c r="T19" s="188">
        <v>8.0</v>
      </c>
      <c r="U19" s="188">
        <v>7.0</v>
      </c>
      <c r="V19" s="188">
        <v>154.0</v>
      </c>
      <c r="W19" s="188">
        <v>44.0</v>
      </c>
      <c r="X19" s="189">
        <v>1.03294316E7</v>
      </c>
      <c r="Y19" s="189">
        <v>358730.1</v>
      </c>
      <c r="Z19" s="188">
        <v>81.0</v>
      </c>
      <c r="AA19" s="188">
        <v>7.0</v>
      </c>
      <c r="AB19" s="188">
        <v>88.0</v>
      </c>
      <c r="AC19" s="188">
        <v>0.0</v>
      </c>
      <c r="AD19" s="188">
        <v>14.0</v>
      </c>
      <c r="AE19" s="188">
        <v>19.0</v>
      </c>
      <c r="AF19" s="188">
        <v>43.0</v>
      </c>
      <c r="AG19" s="188">
        <v>2.0</v>
      </c>
      <c r="AH19" s="188">
        <v>49.0</v>
      </c>
      <c r="AI19" s="188">
        <v>0.0</v>
      </c>
      <c r="AJ19" s="188">
        <v>0.0</v>
      </c>
      <c r="AK19" s="188">
        <v>0.0</v>
      </c>
      <c r="AL19" s="188">
        <v>0.0</v>
      </c>
      <c r="AM19" s="188">
        <v>410.0</v>
      </c>
      <c r="AN19" s="188">
        <v>478.0</v>
      </c>
      <c r="AO19" s="188">
        <v>148.0</v>
      </c>
      <c r="AP19" s="186">
        <v>72217.30878378378</v>
      </c>
      <c r="AQ19" s="189">
        <v>2.77027027027027</v>
      </c>
      <c r="AR19" s="186">
        <v>267450.0</v>
      </c>
      <c r="AS19" s="188">
        <v>65775.0</v>
      </c>
      <c r="AT19" s="187">
        <v>0.031177017091723082</v>
      </c>
      <c r="AU19" s="186">
        <v>121456.38295454545</v>
      </c>
      <c r="AV19" s="219">
        <v>348.0</v>
      </c>
      <c r="AW19" s="219">
        <v>1113.0</v>
      </c>
      <c r="AX19" s="254">
        <v>11118.81</v>
      </c>
      <c r="AY19" s="219">
        <v>101.0</v>
      </c>
      <c r="AZ19" s="219">
        <v>88.0</v>
      </c>
      <c r="BA19" s="219">
        <v>36.0</v>
      </c>
      <c r="BB19" s="219">
        <v>30.0</v>
      </c>
      <c r="BC19" s="191"/>
      <c r="BD19" s="75"/>
      <c r="BE19" s="164">
        <v>1417543.2300000004</v>
      </c>
    </row>
    <row r="20">
      <c r="A20" s="6" t="s">
        <v>322</v>
      </c>
      <c r="B20" s="183" t="s">
        <v>325</v>
      </c>
      <c r="C20" s="184" t="s">
        <v>323</v>
      </c>
      <c r="D20" s="75" t="s">
        <v>1050</v>
      </c>
      <c r="E20" s="256">
        <v>42993.0</v>
      </c>
      <c r="F20" s="75" t="s">
        <v>1049</v>
      </c>
      <c r="G20" s="186">
        <v>8386751.0</v>
      </c>
      <c r="H20" s="190">
        <v>51335.0</v>
      </c>
      <c r="I20" s="190">
        <v>1250000.0</v>
      </c>
      <c r="J20" s="186">
        <v>0.0</v>
      </c>
      <c r="K20" s="186">
        <v>7500000.0</v>
      </c>
      <c r="L20" s="186">
        <v>5361792.6</v>
      </c>
      <c r="M20" s="186">
        <v>0.0</v>
      </c>
      <c r="N20" s="186">
        <v>5247471.0</v>
      </c>
      <c r="O20" s="187">
        <v>0.71490568</v>
      </c>
      <c r="P20" s="187">
        <v>0.0</v>
      </c>
      <c r="Q20" s="187">
        <v>0.6996628</v>
      </c>
      <c r="R20" s="188">
        <v>129.0</v>
      </c>
      <c r="S20" s="188">
        <v>107.0</v>
      </c>
      <c r="T20" s="188">
        <v>7.0</v>
      </c>
      <c r="U20" s="188">
        <v>7.0</v>
      </c>
      <c r="V20" s="188">
        <v>136.0</v>
      </c>
      <c r="W20" s="188">
        <v>29.0</v>
      </c>
      <c r="X20" s="189">
        <v>4361390.1</v>
      </c>
      <c r="Y20" s="189">
        <v>1000402.5</v>
      </c>
      <c r="Z20" s="188">
        <v>86.0</v>
      </c>
      <c r="AA20" s="188">
        <v>7.0</v>
      </c>
      <c r="AB20" s="188">
        <v>93.0</v>
      </c>
      <c r="AC20" s="188">
        <v>0.0</v>
      </c>
      <c r="AD20" s="188">
        <v>193.0</v>
      </c>
      <c r="AE20" s="188">
        <v>262.0</v>
      </c>
      <c r="AF20" s="188">
        <v>439.0</v>
      </c>
      <c r="AG20" s="188">
        <v>8.0</v>
      </c>
      <c r="AH20" s="188">
        <v>184.0</v>
      </c>
      <c r="AI20" s="188">
        <v>0.0</v>
      </c>
      <c r="AJ20" s="188">
        <v>0.0</v>
      </c>
      <c r="AK20" s="188">
        <v>0.0</v>
      </c>
      <c r="AL20" s="188">
        <v>0.0</v>
      </c>
      <c r="AM20" s="188">
        <v>375.0</v>
      </c>
      <c r="AN20" s="188">
        <v>821.0</v>
      </c>
      <c r="AO20" s="188">
        <v>153.0</v>
      </c>
      <c r="AP20" s="186">
        <v>35044.39607843137</v>
      </c>
      <c r="AQ20" s="189">
        <v>2.450980392156863</v>
      </c>
      <c r="AR20" s="186">
        <v>308010.0</v>
      </c>
      <c r="AS20" s="188">
        <v>37813.0</v>
      </c>
      <c r="AT20" s="187">
        <v>0.06449764580599407</v>
      </c>
      <c r="AU20" s="186">
        <v>57653.68387096774</v>
      </c>
      <c r="AV20" s="219">
        <v>332.0</v>
      </c>
      <c r="AW20" s="219">
        <v>1427.0</v>
      </c>
      <c r="AX20" s="254">
        <v>13957.54</v>
      </c>
      <c r="AY20" s="219">
        <v>130.0</v>
      </c>
      <c r="AZ20" s="219">
        <v>93.0</v>
      </c>
      <c r="BA20" s="219">
        <v>24.0</v>
      </c>
      <c r="BB20" s="219">
        <v>19.0</v>
      </c>
      <c r="BC20" s="191"/>
      <c r="BD20" s="75"/>
      <c r="BE20" s="164">
        <v>0.02000000048428774</v>
      </c>
    </row>
    <row r="21">
      <c r="A21" s="6" t="s">
        <v>185</v>
      </c>
      <c r="B21" s="183" t="s">
        <v>189</v>
      </c>
      <c r="C21" s="184" t="s">
        <v>203</v>
      </c>
      <c r="D21" s="75" t="s">
        <v>230</v>
      </c>
      <c r="E21" s="256">
        <v>43009.0</v>
      </c>
      <c r="F21" s="75" t="s">
        <v>1016</v>
      </c>
      <c r="G21" s="186">
        <v>1.317485741E8</v>
      </c>
      <c r="H21" s="190">
        <v>54455.0</v>
      </c>
      <c r="I21" s="190"/>
      <c r="J21" s="186">
        <v>0.0</v>
      </c>
      <c r="K21" s="186">
        <v>0.0</v>
      </c>
      <c r="L21" s="186">
        <v>1259297.28</v>
      </c>
      <c r="M21" s="186">
        <v>0.0</v>
      </c>
      <c r="N21" s="186">
        <v>0.0</v>
      </c>
      <c r="O21" s="187"/>
      <c r="P21" s="187">
        <v>0.0</v>
      </c>
      <c r="Q21" s="187"/>
      <c r="R21" s="188">
        <v>193.0</v>
      </c>
      <c r="S21" s="188">
        <v>129.0</v>
      </c>
      <c r="T21" s="188">
        <v>13.0</v>
      </c>
      <c r="U21" s="188">
        <v>1.0</v>
      </c>
      <c r="V21" s="188">
        <v>206.0</v>
      </c>
      <c r="W21" s="188">
        <v>77.0</v>
      </c>
      <c r="X21" s="189">
        <v>966367.0</v>
      </c>
      <c r="Y21" s="189">
        <v>292930.28</v>
      </c>
      <c r="Z21" s="188">
        <v>7.0</v>
      </c>
      <c r="AA21" s="188">
        <v>1.0</v>
      </c>
      <c r="AB21" s="188">
        <v>8.0</v>
      </c>
      <c r="AC21" s="188">
        <v>0.0</v>
      </c>
      <c r="AD21" s="188">
        <v>13.0</v>
      </c>
      <c r="AE21" s="188">
        <v>16.0</v>
      </c>
      <c r="AF21" s="188">
        <v>28.0</v>
      </c>
      <c r="AG21" s="188">
        <v>3.0</v>
      </c>
      <c r="AH21" s="188">
        <v>88.0</v>
      </c>
      <c r="AI21" s="188">
        <v>0.0</v>
      </c>
      <c r="AJ21" s="188">
        <v>0.0</v>
      </c>
      <c r="AK21" s="188">
        <v>0.0</v>
      </c>
      <c r="AL21" s="188">
        <v>0.0</v>
      </c>
      <c r="AM21" s="188">
        <v>412.0</v>
      </c>
      <c r="AN21" s="188">
        <v>516.0</v>
      </c>
      <c r="AO21" s="188">
        <v>154.0</v>
      </c>
      <c r="AP21" s="186">
        <v>8177.255064935065</v>
      </c>
      <c r="AQ21" s="189">
        <v>2.675324675324675</v>
      </c>
      <c r="AR21" s="186">
        <v>326730.0</v>
      </c>
      <c r="AS21" s="188">
        <v>44903.0</v>
      </c>
      <c r="AT21" s="187">
        <v>0.29511141324787105</v>
      </c>
      <c r="AU21" s="186">
        <v>157412.16</v>
      </c>
      <c r="AV21" s="219">
        <v>11.0</v>
      </c>
      <c r="AW21" s="219">
        <v>1624.0</v>
      </c>
      <c r="AX21" s="254">
        <v>12628.49</v>
      </c>
      <c r="AY21" s="219">
        <v>98.0</v>
      </c>
      <c r="AZ21" s="219">
        <v>8.0</v>
      </c>
      <c r="BA21" s="219">
        <v>121.0</v>
      </c>
      <c r="BB21" s="219">
        <v>77.0</v>
      </c>
      <c r="BC21" s="191"/>
      <c r="BD21" s="75"/>
      <c r="BE21" s="164">
        <v>-0.0800000000745058</v>
      </c>
    </row>
    <row r="22">
      <c r="A22" s="6" t="s">
        <v>185</v>
      </c>
      <c r="B22" s="183" t="s">
        <v>189</v>
      </c>
      <c r="C22" s="184" t="s">
        <v>205</v>
      </c>
      <c r="D22" s="75" t="s">
        <v>243</v>
      </c>
      <c r="E22" s="256">
        <v>43119.0</v>
      </c>
      <c r="F22" s="75" t="s">
        <v>1016</v>
      </c>
      <c r="G22" s="186">
        <v>8.333392183E7</v>
      </c>
      <c r="H22" s="190">
        <v>56700.0</v>
      </c>
      <c r="I22" s="190">
        <v>3833333.0</v>
      </c>
      <c r="J22" s="186">
        <v>0.0</v>
      </c>
      <c r="K22" s="186">
        <v>2.2999998E7</v>
      </c>
      <c r="L22" s="186">
        <v>1.668727298E7</v>
      </c>
      <c r="M22" s="186">
        <v>0.0</v>
      </c>
      <c r="N22" s="186">
        <v>2.9585265E7</v>
      </c>
      <c r="O22" s="187">
        <v>0.7255336709159714</v>
      </c>
      <c r="P22" s="187">
        <v>0.0</v>
      </c>
      <c r="Q22" s="187">
        <v>1.286315981418781</v>
      </c>
      <c r="R22" s="188">
        <v>57.0</v>
      </c>
      <c r="S22" s="188">
        <v>31.0</v>
      </c>
      <c r="T22" s="188">
        <v>3.0</v>
      </c>
      <c r="U22" s="188">
        <v>1.0</v>
      </c>
      <c r="V22" s="188">
        <v>60.0</v>
      </c>
      <c r="W22" s="188">
        <v>29.0</v>
      </c>
      <c r="X22" s="189">
        <v>1.640822498E7</v>
      </c>
      <c r="Y22" s="189">
        <v>279048.0</v>
      </c>
      <c r="Z22" s="188">
        <v>6.0</v>
      </c>
      <c r="AA22" s="188">
        <v>1.0</v>
      </c>
      <c r="AB22" s="188">
        <v>7.0</v>
      </c>
      <c r="AC22" s="188">
        <v>0.0</v>
      </c>
      <c r="AD22" s="188">
        <v>8.0</v>
      </c>
      <c r="AE22" s="188">
        <v>8.0</v>
      </c>
      <c r="AF22" s="188">
        <v>68.0</v>
      </c>
      <c r="AG22" s="188">
        <v>2.0</v>
      </c>
      <c r="AH22" s="188">
        <v>13.0</v>
      </c>
      <c r="AI22" s="188">
        <v>0.0</v>
      </c>
      <c r="AJ22" s="188">
        <v>0.0</v>
      </c>
      <c r="AK22" s="188">
        <v>0.0</v>
      </c>
      <c r="AL22" s="188">
        <v>0.0</v>
      </c>
      <c r="AM22" s="188">
        <v>205.0</v>
      </c>
      <c r="AN22" s="188">
        <v>226.0</v>
      </c>
      <c r="AO22" s="188">
        <v>140.0</v>
      </c>
      <c r="AP22" s="186">
        <v>119194.807</v>
      </c>
      <c r="AQ22" s="189">
        <v>1.4642857142857142</v>
      </c>
      <c r="AR22" s="186">
        <v>340200.0</v>
      </c>
      <c r="AS22" s="188">
        <v>46280.0</v>
      </c>
      <c r="AT22" s="187">
        <v>0.023160165262664744</v>
      </c>
      <c r="AU22" s="186">
        <v>2383896.14</v>
      </c>
      <c r="AV22" s="219">
        <v>16.0</v>
      </c>
      <c r="AW22" s="219">
        <v>1152.0</v>
      </c>
      <c r="AX22" s="254">
        <v>4077.99</v>
      </c>
      <c r="AY22" s="219">
        <v>132.0</v>
      </c>
      <c r="AZ22" s="219">
        <v>7.0</v>
      </c>
      <c r="BA22" s="219">
        <v>24.0</v>
      </c>
      <c r="BB22" s="219">
        <v>29.0</v>
      </c>
      <c r="BC22" s="191"/>
      <c r="BD22" s="75"/>
      <c r="BE22" s="164">
        <v>9.25</v>
      </c>
    </row>
    <row r="23">
      <c r="A23" s="6" t="s">
        <v>111</v>
      </c>
      <c r="B23" s="183" t="s">
        <v>1228</v>
      </c>
      <c r="C23" s="184" t="s">
        <v>112</v>
      </c>
      <c r="D23" s="75" t="s">
        <v>1052</v>
      </c>
      <c r="E23" s="256">
        <v>43185.0</v>
      </c>
      <c r="F23" s="75" t="s">
        <v>1051</v>
      </c>
      <c r="G23" s="186">
        <v>7359568.470000002</v>
      </c>
      <c r="H23" s="190">
        <v>34650.0</v>
      </c>
      <c r="I23" s="190">
        <v>1816666.6667</v>
      </c>
      <c r="J23" s="186">
        <v>1041666.66675</v>
      </c>
      <c r="K23" s="186">
        <v>4200000.0</v>
      </c>
      <c r="L23" s="186">
        <v>1274463.34</v>
      </c>
      <c r="M23" s="186">
        <v>0.0</v>
      </c>
      <c r="N23" s="186">
        <v>1905618.4900000002</v>
      </c>
      <c r="O23" s="187">
        <v>0.24314085977355898</v>
      </c>
      <c r="P23" s="187">
        <v>0.0</v>
      </c>
      <c r="Q23" s="187">
        <v>0.3635520171643315</v>
      </c>
      <c r="R23" s="188">
        <v>108.0</v>
      </c>
      <c r="S23" s="188">
        <v>94.0</v>
      </c>
      <c r="T23" s="188">
        <v>3.0</v>
      </c>
      <c r="U23" s="188">
        <v>1.0</v>
      </c>
      <c r="V23" s="188">
        <v>111.0</v>
      </c>
      <c r="W23" s="188">
        <v>17.0</v>
      </c>
      <c r="X23" s="189">
        <v>1195933.44</v>
      </c>
      <c r="Y23" s="189">
        <v>78529.9</v>
      </c>
      <c r="Z23" s="188">
        <v>35.0</v>
      </c>
      <c r="AA23" s="188">
        <v>1.0</v>
      </c>
      <c r="AB23" s="188">
        <v>36.0</v>
      </c>
      <c r="AC23" s="188">
        <v>0.0</v>
      </c>
      <c r="AD23" s="188">
        <v>14.0</v>
      </c>
      <c r="AE23" s="188">
        <v>20.0</v>
      </c>
      <c r="AF23" s="188">
        <v>90.0</v>
      </c>
      <c r="AG23" s="188">
        <v>0.0</v>
      </c>
      <c r="AH23" s="188">
        <v>0.0</v>
      </c>
      <c r="AI23" s="188">
        <v>1.0</v>
      </c>
      <c r="AJ23" s="188">
        <v>6.0</v>
      </c>
      <c r="AK23" s="188">
        <v>0.0</v>
      </c>
      <c r="AL23" s="188">
        <v>0.0</v>
      </c>
      <c r="AM23" s="188">
        <v>244.0</v>
      </c>
      <c r="AN23" s="188">
        <v>270.0</v>
      </c>
      <c r="AO23" s="188">
        <v>49.0</v>
      </c>
      <c r="AP23" s="186">
        <v>26009.45591836735</v>
      </c>
      <c r="AQ23" s="189">
        <v>4.979591836734694</v>
      </c>
      <c r="AR23" s="186">
        <v>17325.0</v>
      </c>
      <c r="AS23" s="188">
        <v>4550.0</v>
      </c>
      <c r="AT23" s="187">
        <v>0.01716408727770859</v>
      </c>
      <c r="AU23" s="186">
        <v>35401.75944444445</v>
      </c>
      <c r="AV23" s="219">
        <v>46.0</v>
      </c>
      <c r="AW23" s="219">
        <v>512.0</v>
      </c>
      <c r="AX23" s="254">
        <v>3692.41</v>
      </c>
      <c r="AY23" s="219">
        <v>39.0</v>
      </c>
      <c r="AZ23" s="219">
        <v>36.0</v>
      </c>
      <c r="BA23" s="219">
        <v>60.0</v>
      </c>
      <c r="BB23" s="219">
        <v>15.0</v>
      </c>
      <c r="BC23" s="191"/>
      <c r="BD23" s="75" t="s">
        <v>1053</v>
      </c>
      <c r="BE23" s="164">
        <v>-2.3283064365386963E-10</v>
      </c>
    </row>
    <row r="24">
      <c r="A24" s="6" t="s">
        <v>185</v>
      </c>
      <c r="B24" s="183" t="s">
        <v>189</v>
      </c>
      <c r="C24" s="184" t="s">
        <v>206</v>
      </c>
      <c r="D24" s="75" t="s">
        <v>192</v>
      </c>
      <c r="E24" s="256">
        <v>43255.0</v>
      </c>
      <c r="F24" s="75" t="s">
        <v>1016</v>
      </c>
      <c r="G24" s="186">
        <v>4.2903046E7</v>
      </c>
      <c r="H24" s="190">
        <v>46670.0</v>
      </c>
      <c r="I24" s="190">
        <v>5333333.0</v>
      </c>
      <c r="J24" s="186">
        <v>0.0</v>
      </c>
      <c r="K24" s="186">
        <v>3.1999998E7</v>
      </c>
      <c r="L24" s="186">
        <v>1.509744242E7</v>
      </c>
      <c r="M24" s="186">
        <v>0.0</v>
      </c>
      <c r="N24" s="186">
        <v>1.7211991E7</v>
      </c>
      <c r="O24" s="187">
        <v>0.4717951051121941</v>
      </c>
      <c r="P24" s="187">
        <v>0.0</v>
      </c>
      <c r="Q24" s="187">
        <v>0.537874752367172</v>
      </c>
      <c r="R24" s="188">
        <v>142.0</v>
      </c>
      <c r="S24" s="188">
        <v>120.0</v>
      </c>
      <c r="T24" s="188">
        <v>3.0</v>
      </c>
      <c r="U24" s="188">
        <v>3.0</v>
      </c>
      <c r="V24" s="188">
        <v>145.0</v>
      </c>
      <c r="W24" s="188">
        <v>25.0</v>
      </c>
      <c r="X24" s="189">
        <v>1.427899252E7</v>
      </c>
      <c r="Y24" s="189">
        <v>818449.9</v>
      </c>
      <c r="Z24" s="188">
        <v>42.0</v>
      </c>
      <c r="AA24" s="188">
        <v>3.0</v>
      </c>
      <c r="AB24" s="188">
        <v>45.0</v>
      </c>
      <c r="AC24" s="188">
        <v>0.0</v>
      </c>
      <c r="AD24" s="188">
        <v>13.0</v>
      </c>
      <c r="AE24" s="188">
        <v>21.0</v>
      </c>
      <c r="AF24" s="188">
        <v>36.0</v>
      </c>
      <c r="AG24" s="188">
        <v>2.0</v>
      </c>
      <c r="AH24" s="188">
        <v>18.0</v>
      </c>
      <c r="AI24" s="188">
        <v>0.0</v>
      </c>
      <c r="AJ24" s="188">
        <v>0.0</v>
      </c>
      <c r="AK24" s="188">
        <v>0.0</v>
      </c>
      <c r="AL24" s="188">
        <v>0.0</v>
      </c>
      <c r="AM24" s="188">
        <v>707.0</v>
      </c>
      <c r="AN24" s="188">
        <v>746.0</v>
      </c>
      <c r="AO24" s="188">
        <v>149.0</v>
      </c>
      <c r="AP24" s="186">
        <v>101325.11691275168</v>
      </c>
      <c r="AQ24" s="189">
        <v>4.74496644295302</v>
      </c>
      <c r="AR24" s="186">
        <v>280020.0</v>
      </c>
      <c r="AS24" s="188">
        <v>71800.0</v>
      </c>
      <c r="AT24" s="187">
        <v>0.023303284769209273</v>
      </c>
      <c r="AU24" s="186">
        <v>335498.72044444445</v>
      </c>
      <c r="AV24" s="219">
        <v>171.0</v>
      </c>
      <c r="AW24" s="219">
        <v>1609.0</v>
      </c>
      <c r="AX24" s="254">
        <v>9609.53</v>
      </c>
      <c r="AY24" s="219">
        <v>80.0</v>
      </c>
      <c r="AZ24" s="219">
        <v>45.0</v>
      </c>
      <c r="BA24" s="219">
        <v>77.0</v>
      </c>
      <c r="BB24" s="219">
        <v>23.0</v>
      </c>
      <c r="BC24" s="191"/>
      <c r="BD24" s="75"/>
      <c r="BE24" s="164">
        <v>-1.9084374979138374</v>
      </c>
    </row>
    <row r="25">
      <c r="A25" s="6" t="s">
        <v>126</v>
      </c>
      <c r="B25" s="183" t="s">
        <v>135</v>
      </c>
      <c r="C25" s="183" t="s">
        <v>136</v>
      </c>
      <c r="D25" s="75" t="s">
        <v>137</v>
      </c>
      <c r="E25" s="256">
        <v>43315.0</v>
      </c>
      <c r="F25" s="75" t="s">
        <v>1042</v>
      </c>
      <c r="G25" s="186">
        <v>4.2196144E7</v>
      </c>
      <c r="H25" s="190">
        <v>140000.0</v>
      </c>
      <c r="I25" s="190">
        <v>4166667.0</v>
      </c>
      <c r="J25" s="186">
        <v>1800000.0</v>
      </c>
      <c r="K25" s="186">
        <v>2.3200002E7</v>
      </c>
      <c r="L25" s="186">
        <v>2.070433793E7</v>
      </c>
      <c r="M25" s="186">
        <v>0.0</v>
      </c>
      <c r="N25" s="186">
        <v>2.0374655E7</v>
      </c>
      <c r="O25" s="187">
        <v>0.8281734509461239</v>
      </c>
      <c r="P25" s="187">
        <v>0.0</v>
      </c>
      <c r="Q25" s="187">
        <v>0.8149861348011093</v>
      </c>
      <c r="R25" s="188">
        <v>100.0</v>
      </c>
      <c r="S25" s="188">
        <v>103.0</v>
      </c>
      <c r="T25" s="188">
        <v>9.0</v>
      </c>
      <c r="U25" s="188">
        <v>9.0</v>
      </c>
      <c r="V25" s="188">
        <v>109.0</v>
      </c>
      <c r="W25" s="188">
        <v>6.0</v>
      </c>
      <c r="X25" s="189">
        <v>1.979785858E7</v>
      </c>
      <c r="Y25" s="189">
        <v>906479.35</v>
      </c>
      <c r="Z25" s="188">
        <v>80.0</v>
      </c>
      <c r="AA25" s="188">
        <v>9.0</v>
      </c>
      <c r="AB25" s="188">
        <v>89.0</v>
      </c>
      <c r="AC25" s="188">
        <v>0.0</v>
      </c>
      <c r="AD25" s="188">
        <v>7.0</v>
      </c>
      <c r="AE25" s="188">
        <v>8.0</v>
      </c>
      <c r="AF25" s="188">
        <v>10.0</v>
      </c>
      <c r="AG25" s="188">
        <v>7.0</v>
      </c>
      <c r="AH25" s="188">
        <v>31.0</v>
      </c>
      <c r="AI25" s="188">
        <v>1.0</v>
      </c>
      <c r="AJ25" s="188">
        <v>1.0</v>
      </c>
      <c r="AK25" s="188">
        <v>1.0</v>
      </c>
      <c r="AL25" s="188">
        <v>1.0</v>
      </c>
      <c r="AM25" s="188">
        <v>697.0</v>
      </c>
      <c r="AN25" s="188">
        <v>738.0</v>
      </c>
      <c r="AO25" s="188">
        <v>153.0</v>
      </c>
      <c r="AP25" s="186">
        <v>135322.47013071895</v>
      </c>
      <c r="AQ25" s="189">
        <v>4.555555555555555</v>
      </c>
      <c r="AR25" s="186">
        <v>840000.0</v>
      </c>
      <c r="AS25" s="188">
        <v>61080.0</v>
      </c>
      <c r="AT25" s="187">
        <v>0.043521314376073844</v>
      </c>
      <c r="AU25" s="186">
        <v>232633.0104494382</v>
      </c>
      <c r="AV25" s="219">
        <v>635.0</v>
      </c>
      <c r="AW25" s="219">
        <v>1212.0</v>
      </c>
      <c r="AX25" s="254">
        <v>9041.94</v>
      </c>
      <c r="AY25" s="219">
        <v>88.0</v>
      </c>
      <c r="AZ25" s="219">
        <v>89.0</v>
      </c>
      <c r="BA25" s="219">
        <v>14.0</v>
      </c>
      <c r="BB25" s="219">
        <v>6.0</v>
      </c>
      <c r="BC25" s="191"/>
      <c r="BD25" s="75"/>
      <c r="BE25" s="164">
        <v>-1.1499999985098839</v>
      </c>
    </row>
    <row r="26">
      <c r="A26" s="6" t="s">
        <v>111</v>
      </c>
      <c r="B26" s="183" t="s">
        <v>117</v>
      </c>
      <c r="C26" s="184" t="s">
        <v>524</v>
      </c>
      <c r="D26" s="75" t="s">
        <v>1054</v>
      </c>
      <c r="E26" s="256">
        <v>43424.0</v>
      </c>
      <c r="F26" s="75" t="s">
        <v>1044</v>
      </c>
      <c r="G26" s="186">
        <v>1.176726816E7</v>
      </c>
      <c r="H26" s="190">
        <v>41430.0</v>
      </c>
      <c r="I26" s="190">
        <v>2933333.3333</v>
      </c>
      <c r="J26" s="186">
        <v>4999999.9998</v>
      </c>
      <c r="K26" s="186">
        <v>1.26E7</v>
      </c>
      <c r="L26" s="186">
        <v>5771963.47</v>
      </c>
      <c r="M26" s="186">
        <v>550029.48</v>
      </c>
      <c r="N26" s="186">
        <v>7106916.210000001</v>
      </c>
      <c r="O26" s="187">
        <v>0.35920414489044544</v>
      </c>
      <c r="P26" s="187">
        <v>0.11</v>
      </c>
      <c r="Q26" s="187">
        <v>0.4038020573909523</v>
      </c>
      <c r="R26" s="188">
        <v>114.0</v>
      </c>
      <c r="S26" s="188">
        <v>80.0</v>
      </c>
      <c r="T26" s="188">
        <v>5.0</v>
      </c>
      <c r="U26" s="188">
        <v>5.0</v>
      </c>
      <c r="V26" s="188">
        <v>119.0</v>
      </c>
      <c r="W26" s="188">
        <v>39.0</v>
      </c>
      <c r="X26" s="189">
        <v>5610552.32</v>
      </c>
      <c r="Y26" s="189">
        <v>161411.15</v>
      </c>
      <c r="Z26" s="188">
        <v>81.0</v>
      </c>
      <c r="AA26" s="188">
        <v>5.0</v>
      </c>
      <c r="AB26" s="188">
        <v>86.0</v>
      </c>
      <c r="AC26" s="188">
        <v>2.0</v>
      </c>
      <c r="AD26" s="188">
        <v>2.0</v>
      </c>
      <c r="AE26" s="188">
        <v>3.0</v>
      </c>
      <c r="AF26" s="188">
        <v>15.0</v>
      </c>
      <c r="AG26" s="188">
        <v>7.0</v>
      </c>
      <c r="AH26" s="188">
        <v>53.0</v>
      </c>
      <c r="AI26" s="188">
        <v>3.0</v>
      </c>
      <c r="AJ26" s="188">
        <v>38.0</v>
      </c>
      <c r="AK26" s="188">
        <v>0.0</v>
      </c>
      <c r="AL26" s="188">
        <v>0.0</v>
      </c>
      <c r="AM26" s="188">
        <v>548.0</v>
      </c>
      <c r="AN26" s="188">
        <v>642.0</v>
      </c>
      <c r="AO26" s="188">
        <v>133.0</v>
      </c>
      <c r="AP26" s="186">
        <v>47533.78157894736</v>
      </c>
      <c r="AQ26" s="189">
        <v>4.120300751879699</v>
      </c>
      <c r="AR26" s="186">
        <v>248580.0</v>
      </c>
      <c r="AS26" s="188">
        <v>49623.0</v>
      </c>
      <c r="AT26" s="187">
        <v>0.04716914466030843</v>
      </c>
      <c r="AU26" s="186">
        <v>67115.85430232558</v>
      </c>
      <c r="AV26" s="219">
        <v>333.0</v>
      </c>
      <c r="AW26" s="219">
        <v>1113.0</v>
      </c>
      <c r="AX26" s="254">
        <v>7791.43</v>
      </c>
      <c r="AY26" s="219">
        <v>97.0</v>
      </c>
      <c r="AZ26" s="219">
        <v>86.0</v>
      </c>
      <c r="BA26" s="219">
        <v>20.0</v>
      </c>
      <c r="BB26" s="219">
        <v>13.0</v>
      </c>
      <c r="BC26" s="191"/>
      <c r="BD26" s="75"/>
      <c r="BE26" s="164">
        <v>-0.9100000001490116</v>
      </c>
    </row>
    <row r="27">
      <c r="A27" s="6" t="s">
        <v>185</v>
      </c>
      <c r="B27" s="183" t="s">
        <v>196</v>
      </c>
      <c r="C27" s="183" t="s">
        <v>207</v>
      </c>
      <c r="D27" s="75" t="s">
        <v>200</v>
      </c>
      <c r="E27" s="256">
        <v>43556.0</v>
      </c>
      <c r="F27" s="75" t="s">
        <v>1027</v>
      </c>
      <c r="G27" s="186">
        <v>1.69698946E7</v>
      </c>
      <c r="H27" s="190">
        <v>39070.0</v>
      </c>
      <c r="I27" s="190">
        <v>2000000.0</v>
      </c>
      <c r="J27" s="186">
        <v>0.0</v>
      </c>
      <c r="K27" s="186">
        <v>1.2E7</v>
      </c>
      <c r="L27" s="186">
        <v>8455668.68</v>
      </c>
      <c r="M27" s="186">
        <v>0.0</v>
      </c>
      <c r="N27" s="186">
        <v>8586754.5</v>
      </c>
      <c r="O27" s="187">
        <v>0.7046390566666666</v>
      </c>
      <c r="P27" s="187">
        <v>0.0</v>
      </c>
      <c r="Q27" s="187">
        <v>0.715562875</v>
      </c>
      <c r="R27" s="188">
        <v>70.0</v>
      </c>
      <c r="S27" s="188">
        <v>69.0</v>
      </c>
      <c r="T27" s="188">
        <v>4.0</v>
      </c>
      <c r="U27" s="188">
        <v>2.0</v>
      </c>
      <c r="V27" s="188">
        <v>74.0</v>
      </c>
      <c r="W27" s="188">
        <v>5.0</v>
      </c>
      <c r="X27" s="189">
        <v>8238630.16</v>
      </c>
      <c r="Y27" s="189">
        <v>217038.52</v>
      </c>
      <c r="Z27" s="188">
        <v>36.0</v>
      </c>
      <c r="AA27" s="188">
        <v>2.0</v>
      </c>
      <c r="AB27" s="188">
        <v>38.0</v>
      </c>
      <c r="AC27" s="188">
        <v>0.0</v>
      </c>
      <c r="AD27" s="188">
        <v>0.0</v>
      </c>
      <c r="AE27" s="188">
        <v>0.0</v>
      </c>
      <c r="AF27" s="188">
        <v>0.0</v>
      </c>
      <c r="AG27" s="188">
        <v>2.0</v>
      </c>
      <c r="AH27" s="188">
        <v>107.0</v>
      </c>
      <c r="AI27" s="188">
        <v>0.0</v>
      </c>
      <c r="AJ27" s="188">
        <v>0.0</v>
      </c>
      <c r="AK27" s="188">
        <v>0.0</v>
      </c>
      <c r="AL27" s="188">
        <v>0.0</v>
      </c>
      <c r="AM27" s="188">
        <v>579.0</v>
      </c>
      <c r="AN27" s="188">
        <v>686.0</v>
      </c>
      <c r="AO27" s="188">
        <v>154.0</v>
      </c>
      <c r="AP27" s="186">
        <v>54906.939480519475</v>
      </c>
      <c r="AQ27" s="189">
        <v>3.75974025974026</v>
      </c>
      <c r="AR27" s="186">
        <v>234420.0</v>
      </c>
      <c r="AS27" s="188">
        <v>38185.0</v>
      </c>
      <c r="AT27" s="187">
        <v>0.03223931900794391</v>
      </c>
      <c r="AU27" s="186">
        <v>222517.59684210527</v>
      </c>
      <c r="AV27" s="219">
        <v>132.0</v>
      </c>
      <c r="AW27" s="219">
        <v>1281.0</v>
      </c>
      <c r="AX27" s="254">
        <v>5131.93</v>
      </c>
      <c r="AY27" s="219">
        <v>74.0</v>
      </c>
      <c r="AZ27" s="219">
        <v>38.0</v>
      </c>
      <c r="BA27" s="219">
        <v>32.0</v>
      </c>
      <c r="BB27" s="219">
        <v>4.0</v>
      </c>
      <c r="BC27" s="191"/>
      <c r="BD27" s="75"/>
      <c r="BE27" s="164">
        <v>-0.28999999910593033</v>
      </c>
    </row>
    <row r="28">
      <c r="A28" s="6" t="s">
        <v>185</v>
      </c>
      <c r="B28" s="183" t="s">
        <v>85</v>
      </c>
      <c r="C28" s="184" t="s">
        <v>86</v>
      </c>
      <c r="D28" s="75" t="s">
        <v>87</v>
      </c>
      <c r="E28" s="256">
        <v>43557.0</v>
      </c>
      <c r="F28" s="75" t="s">
        <v>1055</v>
      </c>
      <c r="G28" s="186">
        <v>1.3932526E7</v>
      </c>
      <c r="H28" s="190">
        <v>54510.0</v>
      </c>
      <c r="I28" s="190">
        <v>1666667.0</v>
      </c>
      <c r="J28" s="186">
        <v>0.0</v>
      </c>
      <c r="K28" s="186">
        <v>1.0000002E7</v>
      </c>
      <c r="L28" s="186">
        <v>7014944.56</v>
      </c>
      <c r="M28" s="186">
        <v>0.0</v>
      </c>
      <c r="N28" s="186">
        <v>5709938.0</v>
      </c>
      <c r="O28" s="187">
        <v>0.7014943157011369</v>
      </c>
      <c r="P28" s="187">
        <v>0.0</v>
      </c>
      <c r="Q28" s="187">
        <v>0.5709936858012629</v>
      </c>
      <c r="R28" s="188">
        <v>131.0</v>
      </c>
      <c r="S28" s="188">
        <v>126.0</v>
      </c>
      <c r="T28" s="188">
        <v>8.0</v>
      </c>
      <c r="U28" s="188">
        <v>7.0</v>
      </c>
      <c r="V28" s="188">
        <v>139.0</v>
      </c>
      <c r="W28" s="188">
        <v>13.0</v>
      </c>
      <c r="X28" s="189">
        <v>6276963.26</v>
      </c>
      <c r="Y28" s="189">
        <v>737981.3</v>
      </c>
      <c r="Z28" s="188">
        <v>71.0</v>
      </c>
      <c r="AA28" s="188">
        <v>7.0</v>
      </c>
      <c r="AB28" s="188">
        <v>78.0</v>
      </c>
      <c r="AC28" s="188">
        <v>0.0</v>
      </c>
      <c r="AD28" s="188">
        <v>23.0</v>
      </c>
      <c r="AE28" s="188">
        <v>58.0</v>
      </c>
      <c r="AF28" s="188">
        <v>19.0</v>
      </c>
      <c r="AG28" s="188">
        <v>7.0</v>
      </c>
      <c r="AH28" s="188">
        <v>53.0</v>
      </c>
      <c r="AI28" s="188">
        <v>0.0</v>
      </c>
      <c r="AJ28" s="188">
        <v>0.0</v>
      </c>
      <c r="AK28" s="188">
        <v>0.0</v>
      </c>
      <c r="AL28" s="188">
        <v>0.0</v>
      </c>
      <c r="AM28" s="188">
        <v>852.0</v>
      </c>
      <c r="AN28" s="188">
        <v>963.0</v>
      </c>
      <c r="AO28" s="188">
        <v>149.0</v>
      </c>
      <c r="AP28" s="186">
        <v>47080.16483221476</v>
      </c>
      <c r="AQ28" s="189">
        <v>5.718120805369128</v>
      </c>
      <c r="AR28" s="186">
        <v>327060.0</v>
      </c>
      <c r="AS28" s="188">
        <v>73024.0</v>
      </c>
      <c r="AT28" s="187">
        <v>0.05703309506982048</v>
      </c>
      <c r="AU28" s="186">
        <v>89935.18666666666</v>
      </c>
      <c r="AV28" s="219">
        <v>298.0</v>
      </c>
      <c r="AW28" s="219">
        <v>1480.0</v>
      </c>
      <c r="AX28" s="254">
        <v>12861.58</v>
      </c>
      <c r="AY28" s="219">
        <v>102.0</v>
      </c>
      <c r="AZ28" s="219">
        <v>78.0</v>
      </c>
      <c r="BA28" s="219">
        <v>49.0</v>
      </c>
      <c r="BB28" s="219">
        <v>12.0</v>
      </c>
      <c r="BC28" s="191"/>
      <c r="BD28" s="75"/>
      <c r="BE28" s="164">
        <v>0.46000000089406967</v>
      </c>
    </row>
    <row r="29">
      <c r="A29" s="6" t="s">
        <v>185</v>
      </c>
      <c r="B29" s="183" t="s">
        <v>212</v>
      </c>
      <c r="C29" s="183" t="s">
        <v>210</v>
      </c>
      <c r="D29" s="75" t="s">
        <v>211</v>
      </c>
      <c r="E29" s="256">
        <v>43647.0</v>
      </c>
      <c r="F29" s="75" t="s">
        <v>1031</v>
      </c>
      <c r="G29" s="186">
        <v>7.106953432E7</v>
      </c>
      <c r="H29" s="190">
        <v>32605.0</v>
      </c>
      <c r="I29" s="190">
        <v>6250000.0</v>
      </c>
      <c r="J29" s="186">
        <v>0.0</v>
      </c>
      <c r="K29" s="186">
        <v>3.75E7</v>
      </c>
      <c r="L29" s="186">
        <v>2.594172713E7</v>
      </c>
      <c r="M29" s="186">
        <v>0.0</v>
      </c>
      <c r="N29" s="186">
        <v>2.9804567E7</v>
      </c>
      <c r="O29" s="187">
        <v>0.6917793901333333</v>
      </c>
      <c r="P29" s="187">
        <v>0.0</v>
      </c>
      <c r="Q29" s="187">
        <v>0.7947884533333334</v>
      </c>
      <c r="R29" s="188">
        <v>89.0</v>
      </c>
      <c r="S29" s="188">
        <v>102.0</v>
      </c>
      <c r="T29" s="188">
        <v>14.0</v>
      </c>
      <c r="U29" s="188">
        <v>13.0</v>
      </c>
      <c r="V29" s="188">
        <v>103.0</v>
      </c>
      <c r="W29" s="188">
        <v>1.0</v>
      </c>
      <c r="X29" s="189">
        <v>2.225525045E7</v>
      </c>
      <c r="Y29" s="189">
        <v>3686476.68</v>
      </c>
      <c r="Z29" s="188">
        <v>64.0</v>
      </c>
      <c r="AA29" s="188">
        <v>13.0</v>
      </c>
      <c r="AB29" s="188">
        <v>77.0</v>
      </c>
      <c r="AC29" s="188">
        <v>0.0</v>
      </c>
      <c r="AD29" s="188">
        <v>19.0</v>
      </c>
      <c r="AE29" s="188">
        <v>32.0</v>
      </c>
      <c r="AF29" s="188">
        <v>22.0</v>
      </c>
      <c r="AG29" s="188">
        <v>1.0</v>
      </c>
      <c r="AH29" s="188">
        <v>41.0</v>
      </c>
      <c r="AI29" s="188">
        <v>0.0</v>
      </c>
      <c r="AJ29" s="188">
        <v>0.0</v>
      </c>
      <c r="AK29" s="188">
        <v>0.0</v>
      </c>
      <c r="AL29" s="188">
        <v>0.0</v>
      </c>
      <c r="AM29" s="188">
        <v>662.0</v>
      </c>
      <c r="AN29" s="188">
        <v>735.0</v>
      </c>
      <c r="AO29" s="188">
        <v>152.0</v>
      </c>
      <c r="AP29" s="186">
        <v>170669.2574342105</v>
      </c>
      <c r="AQ29" s="189">
        <v>4.355263157894737</v>
      </c>
      <c r="AR29" s="186">
        <v>195630.0</v>
      </c>
      <c r="AS29" s="188">
        <v>45068.0</v>
      </c>
      <c r="AT29" s="187">
        <v>0.00927841075475841</v>
      </c>
      <c r="AU29" s="186">
        <v>336905.5471428571</v>
      </c>
      <c r="AV29" s="219">
        <v>353.0</v>
      </c>
      <c r="AW29" s="219">
        <v>1597.0</v>
      </c>
      <c r="AX29" s="254">
        <v>12146.85</v>
      </c>
      <c r="AY29" s="219">
        <v>119.0</v>
      </c>
      <c r="AZ29" s="219">
        <v>77.0</v>
      </c>
      <c r="BA29" s="219">
        <v>26.0</v>
      </c>
      <c r="BB29" s="219">
        <v>0.0</v>
      </c>
      <c r="BC29" s="191"/>
      <c r="BD29" s="75"/>
      <c r="BE29" s="164">
        <v>-1.089999996125698</v>
      </c>
    </row>
    <row r="30">
      <c r="A30" s="6" t="s">
        <v>185</v>
      </c>
      <c r="B30" s="183" t="s">
        <v>196</v>
      </c>
      <c r="C30" s="184" t="s">
        <v>208</v>
      </c>
      <c r="D30" s="75" t="s">
        <v>1056</v>
      </c>
      <c r="E30" s="256">
        <v>43710.0</v>
      </c>
      <c r="F30" s="75" t="s">
        <v>1027</v>
      </c>
      <c r="G30" s="186">
        <v>1.375314449E7</v>
      </c>
      <c r="H30" s="190">
        <v>50950.0</v>
      </c>
      <c r="I30" s="190">
        <v>2000000.0</v>
      </c>
      <c r="J30" s="186">
        <v>0.0</v>
      </c>
      <c r="K30" s="186">
        <v>1.2E7</v>
      </c>
      <c r="L30" s="186">
        <v>8424948.84</v>
      </c>
      <c r="M30" s="186">
        <v>824588.47</v>
      </c>
      <c r="N30" s="186">
        <v>8612585.0</v>
      </c>
      <c r="O30" s="187">
        <v>0.7707947758333333</v>
      </c>
      <c r="P30" s="187">
        <v>0.0</v>
      </c>
      <c r="Q30" s="187">
        <v>0.7177154166666667</v>
      </c>
      <c r="R30" s="188">
        <v>52.0</v>
      </c>
      <c r="S30" s="188">
        <v>51.0</v>
      </c>
      <c r="T30" s="188">
        <v>3.0</v>
      </c>
      <c r="U30" s="188">
        <v>3.0</v>
      </c>
      <c r="V30" s="188">
        <v>55.0</v>
      </c>
      <c r="W30" s="188">
        <v>4.0</v>
      </c>
      <c r="X30" s="189">
        <v>7852773.57</v>
      </c>
      <c r="Y30" s="189">
        <v>572175.27</v>
      </c>
      <c r="Z30" s="188">
        <v>46.0</v>
      </c>
      <c r="AA30" s="188">
        <v>3.0</v>
      </c>
      <c r="AB30" s="188">
        <v>49.0</v>
      </c>
      <c r="AC30" s="188">
        <v>2.0</v>
      </c>
      <c r="AD30" s="188">
        <v>13.0</v>
      </c>
      <c r="AE30" s="188">
        <v>30.0</v>
      </c>
      <c r="AF30" s="188">
        <v>24.0</v>
      </c>
      <c r="AG30" s="188">
        <v>2.0</v>
      </c>
      <c r="AH30" s="188">
        <v>6.0</v>
      </c>
      <c r="AI30" s="188">
        <v>3.0</v>
      </c>
      <c r="AJ30" s="188">
        <v>55.0</v>
      </c>
      <c r="AK30" s="188">
        <v>0.0</v>
      </c>
      <c r="AL30" s="188">
        <v>0.0</v>
      </c>
      <c r="AM30" s="188">
        <v>564.0</v>
      </c>
      <c r="AN30" s="188">
        <v>655.0</v>
      </c>
      <c r="AO30" s="188">
        <v>140.0</v>
      </c>
      <c r="AP30" s="186">
        <v>66068.12364285714</v>
      </c>
      <c r="AQ30" s="189">
        <v>4.0285714285714285</v>
      </c>
      <c r="AR30" s="186">
        <v>305700.0</v>
      </c>
      <c r="AS30" s="188">
        <v>48193.0</v>
      </c>
      <c r="AT30" s="187">
        <v>0.03826061651942242</v>
      </c>
      <c r="AU30" s="186">
        <v>171937.73142857142</v>
      </c>
      <c r="AV30" s="219">
        <v>263.0</v>
      </c>
      <c r="AW30" s="219">
        <v>1521.0</v>
      </c>
      <c r="AX30" s="254">
        <v>14508.39</v>
      </c>
      <c r="AY30" s="219">
        <v>284.0</v>
      </c>
      <c r="AZ30" s="219">
        <v>49.0</v>
      </c>
      <c r="BA30" s="219">
        <v>4.0</v>
      </c>
      <c r="BB30" s="219">
        <v>2.0</v>
      </c>
      <c r="BC30" s="191"/>
      <c r="BD30" s="75"/>
      <c r="BE30" s="164">
        <v>-0.24000000022351742</v>
      </c>
    </row>
    <row r="31">
      <c r="A31" s="6" t="s">
        <v>185</v>
      </c>
      <c r="B31" s="183" t="s">
        <v>222</v>
      </c>
      <c r="C31" s="184" t="s">
        <v>223</v>
      </c>
      <c r="D31" s="75" t="s">
        <v>224</v>
      </c>
      <c r="E31" s="256">
        <v>43710.0</v>
      </c>
      <c r="F31" s="75" t="s">
        <v>1057</v>
      </c>
      <c r="G31" s="186">
        <v>1.0055911E7</v>
      </c>
      <c r="H31" s="190">
        <v>28050.0</v>
      </c>
      <c r="I31" s="190">
        <v>1500000.0</v>
      </c>
      <c r="J31" s="186">
        <v>0.0</v>
      </c>
      <c r="K31" s="186">
        <v>9000000.0</v>
      </c>
      <c r="L31" s="186">
        <v>6776048.51</v>
      </c>
      <c r="M31" s="186">
        <v>0.0</v>
      </c>
      <c r="N31" s="186">
        <v>5952297.0</v>
      </c>
      <c r="O31" s="187">
        <v>0.7528942788888888</v>
      </c>
      <c r="P31" s="187">
        <v>0.0</v>
      </c>
      <c r="Q31" s="187">
        <v>0.6613663333333333</v>
      </c>
      <c r="R31" s="188">
        <v>77.0</v>
      </c>
      <c r="S31" s="188">
        <v>67.0</v>
      </c>
      <c r="T31" s="188">
        <v>2.0</v>
      </c>
      <c r="U31" s="188">
        <v>2.0</v>
      </c>
      <c r="V31" s="188">
        <v>79.0</v>
      </c>
      <c r="W31" s="188">
        <v>12.0</v>
      </c>
      <c r="X31" s="189">
        <v>6565920.19</v>
      </c>
      <c r="Y31" s="189">
        <v>210128.32</v>
      </c>
      <c r="Z31" s="188">
        <v>40.0</v>
      </c>
      <c r="AA31" s="188">
        <v>2.0</v>
      </c>
      <c r="AB31" s="188">
        <v>42.0</v>
      </c>
      <c r="AC31" s="188">
        <v>0.0</v>
      </c>
      <c r="AD31" s="188">
        <v>9.0</v>
      </c>
      <c r="AE31" s="188">
        <v>12.0</v>
      </c>
      <c r="AF31" s="188">
        <v>67.0</v>
      </c>
      <c r="AG31" s="188">
        <v>3.0</v>
      </c>
      <c r="AH31" s="188">
        <v>33.0</v>
      </c>
      <c r="AI31" s="188">
        <v>0.0</v>
      </c>
      <c r="AJ31" s="188">
        <v>0.0</v>
      </c>
      <c r="AK31" s="188">
        <v>1.0</v>
      </c>
      <c r="AL31" s="188">
        <v>1.0</v>
      </c>
      <c r="AM31" s="188">
        <v>581.0</v>
      </c>
      <c r="AN31" s="188">
        <v>627.0</v>
      </c>
      <c r="AO31" s="188">
        <v>148.0</v>
      </c>
      <c r="AP31" s="186">
        <v>45784.111554054056</v>
      </c>
      <c r="AQ31" s="189">
        <v>3.925675675675676</v>
      </c>
      <c r="AR31" s="186">
        <v>168300.0</v>
      </c>
      <c r="AS31" s="188">
        <v>44380.0</v>
      </c>
      <c r="AT31" s="187">
        <v>0.031387024411960715</v>
      </c>
      <c r="AU31" s="186">
        <v>161334.48833333334</v>
      </c>
      <c r="AV31" s="219">
        <v>136.0</v>
      </c>
      <c r="AW31" s="219">
        <v>1363.0</v>
      </c>
      <c r="AX31" s="254">
        <v>5739.93</v>
      </c>
      <c r="AY31" s="219">
        <v>86.0</v>
      </c>
      <c r="AZ31" s="219">
        <v>42.0</v>
      </c>
      <c r="BA31" s="219">
        <v>25.0</v>
      </c>
      <c r="BB31" s="219">
        <v>12.0</v>
      </c>
      <c r="BC31" s="191"/>
      <c r="BD31" s="75"/>
      <c r="BE31" s="164">
        <v>0.2199999988079071</v>
      </c>
    </row>
    <row r="32">
      <c r="A32" s="6" t="s">
        <v>185</v>
      </c>
      <c r="B32" s="183" t="s">
        <v>85</v>
      </c>
      <c r="C32" s="184" t="s">
        <v>88</v>
      </c>
      <c r="D32" s="75" t="s">
        <v>1059</v>
      </c>
      <c r="E32" s="256">
        <v>44046.0</v>
      </c>
      <c r="F32" s="75" t="s">
        <v>1058</v>
      </c>
      <c r="G32" s="186">
        <v>1.624149224E7</v>
      </c>
      <c r="H32" s="190">
        <v>40380.0</v>
      </c>
      <c r="I32" s="190">
        <v>1958333.0</v>
      </c>
      <c r="J32" s="186">
        <v>0.0</v>
      </c>
      <c r="K32" s="186">
        <v>1.1749998E7</v>
      </c>
      <c r="L32" s="186">
        <v>7553987.25</v>
      </c>
      <c r="M32" s="186">
        <v>0.0</v>
      </c>
      <c r="N32" s="186">
        <v>2776302.79</v>
      </c>
      <c r="O32" s="187">
        <v>0.6428926413434283</v>
      </c>
      <c r="P32" s="187">
        <v>0.0</v>
      </c>
      <c r="Q32" s="187">
        <v>0.23628112872870277</v>
      </c>
      <c r="R32" s="188">
        <v>101.0</v>
      </c>
      <c r="S32" s="188">
        <v>107.0</v>
      </c>
      <c r="T32" s="188">
        <v>7.0</v>
      </c>
      <c r="U32" s="188">
        <v>7.0</v>
      </c>
      <c r="V32" s="188">
        <v>108.0</v>
      </c>
      <c r="W32" s="188">
        <v>1.0</v>
      </c>
      <c r="X32" s="189">
        <v>7282066.7</v>
      </c>
      <c r="Y32" s="189">
        <v>271920.55</v>
      </c>
      <c r="Z32" s="188">
        <v>81.0</v>
      </c>
      <c r="AA32" s="188">
        <v>7.0</v>
      </c>
      <c r="AB32" s="188">
        <v>88.0</v>
      </c>
      <c r="AC32" s="188">
        <v>0.0</v>
      </c>
      <c r="AD32" s="188">
        <v>4.0</v>
      </c>
      <c r="AE32" s="188">
        <v>7.0</v>
      </c>
      <c r="AF32" s="188">
        <v>0.0</v>
      </c>
      <c r="AG32" s="188">
        <v>1.0</v>
      </c>
      <c r="AH32" s="188">
        <v>7.0</v>
      </c>
      <c r="AI32" s="188">
        <v>0.0</v>
      </c>
      <c r="AJ32" s="188">
        <v>0.0</v>
      </c>
      <c r="AK32" s="188">
        <v>1.0</v>
      </c>
      <c r="AL32" s="188">
        <v>1.0</v>
      </c>
      <c r="AM32" s="188">
        <v>967.0</v>
      </c>
      <c r="AN32" s="188">
        <v>982.0</v>
      </c>
      <c r="AO32" s="188">
        <v>146.0</v>
      </c>
      <c r="AP32" s="186">
        <v>51739.63869863014</v>
      </c>
      <c r="AQ32" s="189">
        <v>6.623287671232877</v>
      </c>
      <c r="AR32" s="186">
        <v>242280.0</v>
      </c>
      <c r="AS32" s="186">
        <v>55693.0</v>
      </c>
      <c r="AT32" s="187">
        <v>0.03944579069815084</v>
      </c>
      <c r="AU32" s="186">
        <v>85840.76420454546</v>
      </c>
      <c r="AV32" s="219">
        <v>338.0</v>
      </c>
      <c r="AW32" s="219">
        <v>1634.0</v>
      </c>
      <c r="AX32" s="254">
        <v>16529.88</v>
      </c>
      <c r="AY32" s="219">
        <v>154.0</v>
      </c>
      <c r="AZ32" s="219">
        <v>88.0</v>
      </c>
      <c r="BA32" s="219">
        <v>20.0</v>
      </c>
      <c r="BB32" s="219">
        <v>0.0</v>
      </c>
      <c r="BC32" s="191"/>
      <c r="BD32" s="75"/>
      <c r="BE32" s="164">
        <v>0.049999999813735485</v>
      </c>
    </row>
    <row r="33">
      <c r="A33" s="6" t="s">
        <v>185</v>
      </c>
      <c r="B33" s="183" t="s">
        <v>212</v>
      </c>
      <c r="C33" s="184" t="s">
        <v>225</v>
      </c>
      <c r="D33" s="75" t="s">
        <v>226</v>
      </c>
      <c r="E33" s="256">
        <v>44166.0</v>
      </c>
      <c r="F33" s="75" t="s">
        <v>1031</v>
      </c>
      <c r="G33" s="186">
        <v>6083540.0</v>
      </c>
      <c r="H33" s="190">
        <v>27200.0</v>
      </c>
      <c r="I33" s="190">
        <v>1500000.0</v>
      </c>
      <c r="J33" s="186">
        <v>0.0</v>
      </c>
      <c r="K33" s="186">
        <v>9000000.0</v>
      </c>
      <c r="L33" s="186">
        <v>5273022.3</v>
      </c>
      <c r="M33" s="186">
        <v>0.0</v>
      </c>
      <c r="N33" s="186">
        <v>1.1948236E7</v>
      </c>
      <c r="O33" s="187">
        <v>0.5858913666666666</v>
      </c>
      <c r="P33" s="187">
        <v>0.0</v>
      </c>
      <c r="Q33" s="187">
        <v>1.3275817777777779</v>
      </c>
      <c r="R33" s="188">
        <v>42.0</v>
      </c>
      <c r="S33" s="188">
        <v>44.0</v>
      </c>
      <c r="T33" s="188">
        <v>2.0</v>
      </c>
      <c r="U33" s="188">
        <v>2.0</v>
      </c>
      <c r="V33" s="188">
        <v>44.0</v>
      </c>
      <c r="W33" s="188">
        <v>0.0</v>
      </c>
      <c r="X33" s="189">
        <v>5097838.3</v>
      </c>
      <c r="Y33" s="189">
        <v>175184.0</v>
      </c>
      <c r="Z33" s="188">
        <v>22.0</v>
      </c>
      <c r="AA33" s="188">
        <v>2.0</v>
      </c>
      <c r="AB33" s="188">
        <v>24.0</v>
      </c>
      <c r="AC33" s="188">
        <v>0.0</v>
      </c>
      <c r="AD33" s="188">
        <v>15.0</v>
      </c>
      <c r="AE33" s="188">
        <v>22.0</v>
      </c>
      <c r="AF33" s="188">
        <v>17.0</v>
      </c>
      <c r="AG33" s="188">
        <v>2.0</v>
      </c>
      <c r="AH33" s="188">
        <v>49.0</v>
      </c>
      <c r="AI33" s="188">
        <v>0.0</v>
      </c>
      <c r="AJ33" s="188">
        <v>0.0</v>
      </c>
      <c r="AK33" s="188">
        <v>0.0</v>
      </c>
      <c r="AL33" s="188">
        <v>0.0</v>
      </c>
      <c r="AM33" s="188">
        <v>436.0</v>
      </c>
      <c r="AN33" s="188">
        <v>507.0</v>
      </c>
      <c r="AO33" s="188">
        <v>146.0</v>
      </c>
      <c r="AP33" s="186">
        <v>36116.59109589041</v>
      </c>
      <c r="AQ33" s="189">
        <v>2.9863013698630136</v>
      </c>
      <c r="AR33" s="186">
        <v>163200.0</v>
      </c>
      <c r="AS33" s="186">
        <v>43306.0</v>
      </c>
      <c r="AT33" s="187">
        <v>0.039162739744150146</v>
      </c>
      <c r="AU33" s="186">
        <v>219709.26249999998</v>
      </c>
      <c r="AV33" s="219">
        <v>47.0</v>
      </c>
      <c r="AW33" s="219">
        <v>1214.0</v>
      </c>
      <c r="AX33" s="254">
        <v>4907.61</v>
      </c>
      <c r="AY33" s="219">
        <v>112.0</v>
      </c>
      <c r="AZ33" s="219">
        <v>24.0</v>
      </c>
      <c r="BA33" s="219">
        <v>20.0</v>
      </c>
      <c r="BB33" s="219">
        <v>0.0</v>
      </c>
      <c r="BC33" s="191"/>
      <c r="BD33" s="75"/>
      <c r="BE33" s="164">
        <v>-0.39999999944120646</v>
      </c>
    </row>
    <row r="34">
      <c r="A34" s="6" t="s">
        <v>126</v>
      </c>
      <c r="B34" s="183" t="s">
        <v>140</v>
      </c>
      <c r="C34" s="184" t="s">
        <v>591</v>
      </c>
      <c r="D34" s="75" t="s">
        <v>174</v>
      </c>
      <c r="E34" s="256">
        <v>44207.0</v>
      </c>
      <c r="F34" s="75" t="s">
        <v>1061</v>
      </c>
      <c r="G34" s="186">
        <v>7509183.0</v>
      </c>
      <c r="H34" s="190">
        <v>40085.0</v>
      </c>
      <c r="I34" s="190"/>
      <c r="J34" s="186">
        <v>0.0</v>
      </c>
      <c r="K34" s="186">
        <v>0.0</v>
      </c>
      <c r="L34" s="186">
        <v>306632.08</v>
      </c>
      <c r="M34" s="186">
        <v>0.0</v>
      </c>
      <c r="N34" s="186">
        <v>0.0</v>
      </c>
      <c r="O34" s="187"/>
      <c r="P34" s="187">
        <v>0.0</v>
      </c>
      <c r="Q34" s="187"/>
      <c r="R34" s="188">
        <v>70.0</v>
      </c>
      <c r="S34" s="188">
        <v>43.0</v>
      </c>
      <c r="T34" s="188">
        <v>0.0</v>
      </c>
      <c r="U34" s="188">
        <v>0.0</v>
      </c>
      <c r="V34" s="188">
        <v>70.0</v>
      </c>
      <c r="W34" s="188">
        <v>27.0</v>
      </c>
      <c r="X34" s="189">
        <v>306632.08</v>
      </c>
      <c r="Y34" s="189">
        <v>0.0</v>
      </c>
      <c r="Z34" s="188">
        <v>13.0</v>
      </c>
      <c r="AA34" s="188">
        <v>0.0</v>
      </c>
      <c r="AB34" s="188">
        <v>13.0</v>
      </c>
      <c r="AC34" s="188">
        <v>0.0</v>
      </c>
      <c r="AD34" s="188">
        <v>4.0</v>
      </c>
      <c r="AE34" s="188">
        <v>5.0</v>
      </c>
      <c r="AF34" s="188">
        <v>71.0</v>
      </c>
      <c r="AG34" s="188">
        <v>1.0</v>
      </c>
      <c r="AH34" s="188">
        <v>1.0</v>
      </c>
      <c r="AI34" s="188">
        <v>0.0</v>
      </c>
      <c r="AJ34" s="188">
        <v>0.0</v>
      </c>
      <c r="AK34" s="188">
        <v>0.0</v>
      </c>
      <c r="AL34" s="188">
        <v>0.0</v>
      </c>
      <c r="AM34" s="188">
        <v>73.0</v>
      </c>
      <c r="AN34" s="188">
        <v>79.0</v>
      </c>
      <c r="AO34" s="188">
        <v>23.0</v>
      </c>
      <c r="AP34" s="186">
        <v>13331.829565217393</v>
      </c>
      <c r="AQ34" s="189">
        <v>3.1739130434782608</v>
      </c>
      <c r="AR34" s="186">
        <v>40085.0</v>
      </c>
      <c r="AS34" s="186">
        <v>10260.0</v>
      </c>
      <c r="AT34" s="187">
        <v>0.16418699569855835</v>
      </c>
      <c r="AU34" s="186">
        <v>23587.083076923078</v>
      </c>
      <c r="AV34" s="219">
        <v>19.0</v>
      </c>
      <c r="AW34" s="219">
        <v>196.0</v>
      </c>
      <c r="AX34" s="254">
        <v>734.57</v>
      </c>
      <c r="AY34" s="219">
        <v>17.0</v>
      </c>
      <c r="AZ34" s="219">
        <v>13.0</v>
      </c>
      <c r="BA34" s="219">
        <v>34.0</v>
      </c>
      <c r="BB34" s="219">
        <v>23.0</v>
      </c>
      <c r="BC34" s="191">
        <v>45777.0</v>
      </c>
      <c r="BD34" s="75"/>
      <c r="BE34" s="164">
        <v>-1.1641532182693481E-10</v>
      </c>
    </row>
    <row r="35">
      <c r="A35" s="6" t="s">
        <v>97</v>
      </c>
      <c r="B35" s="183" t="s">
        <v>101</v>
      </c>
      <c r="C35" s="184" t="s">
        <v>597</v>
      </c>
      <c r="D35" s="75" t="s">
        <v>1063</v>
      </c>
      <c r="E35" s="256">
        <v>44224.0</v>
      </c>
      <c r="F35" s="75" t="s">
        <v>1062</v>
      </c>
      <c r="G35" s="186"/>
      <c r="H35" s="190">
        <v>35543.0</v>
      </c>
      <c r="I35" s="190"/>
      <c r="J35" s="186">
        <v>0.0</v>
      </c>
      <c r="K35" s="186">
        <v>0.0</v>
      </c>
      <c r="L35" s="186">
        <v>0.0</v>
      </c>
      <c r="M35" s="186">
        <v>0.0</v>
      </c>
      <c r="N35" s="186"/>
      <c r="O35" s="187"/>
      <c r="P35" s="187">
        <v>0.0</v>
      </c>
      <c r="Q35" s="187"/>
      <c r="R35" s="188">
        <v>147.0</v>
      </c>
      <c r="S35" s="188">
        <v>42.0</v>
      </c>
      <c r="T35" s="188">
        <v>5.0</v>
      </c>
      <c r="U35" s="188">
        <v>0.0</v>
      </c>
      <c r="V35" s="188">
        <v>152.0</v>
      </c>
      <c r="W35" s="188">
        <v>110.0</v>
      </c>
      <c r="X35" s="189">
        <v>0.0</v>
      </c>
      <c r="Y35" s="189">
        <v>0.0</v>
      </c>
      <c r="Z35" s="188">
        <v>0.0</v>
      </c>
      <c r="AA35" s="188">
        <v>0.0</v>
      </c>
      <c r="AB35" s="188">
        <v>0.0</v>
      </c>
      <c r="AC35" s="188">
        <v>0.0</v>
      </c>
      <c r="AD35" s="188">
        <v>3.0</v>
      </c>
      <c r="AE35" s="188">
        <v>3.0</v>
      </c>
      <c r="AF35" s="188">
        <v>43.0</v>
      </c>
      <c r="AG35" s="188">
        <v>1.0</v>
      </c>
      <c r="AH35" s="188">
        <v>1.0</v>
      </c>
      <c r="AI35" s="188">
        <v>0.0</v>
      </c>
      <c r="AJ35" s="188">
        <v>0.0</v>
      </c>
      <c r="AK35" s="188">
        <v>0.0</v>
      </c>
      <c r="AL35" s="188">
        <v>0.0</v>
      </c>
      <c r="AM35" s="188">
        <v>75.0</v>
      </c>
      <c r="AN35" s="188">
        <v>79.0</v>
      </c>
      <c r="AO35" s="188">
        <v>18.0</v>
      </c>
      <c r="AP35" s="186">
        <v>0.0</v>
      </c>
      <c r="AQ35" s="189">
        <v>4.166666666666667</v>
      </c>
      <c r="AR35" s="186">
        <v>31988.7</v>
      </c>
      <c r="AS35" s="186">
        <v>9680.0</v>
      </c>
      <c r="AT35" s="187"/>
      <c r="AU35" s="186"/>
      <c r="AV35" s="219">
        <v>0.0</v>
      </c>
      <c r="AW35" s="219">
        <v>142.0</v>
      </c>
      <c r="AX35" s="254">
        <v>655.94</v>
      </c>
      <c r="AY35" s="219">
        <v>16.0</v>
      </c>
      <c r="AZ35" s="219">
        <v>0.0</v>
      </c>
      <c r="BA35" s="219">
        <v>42.0</v>
      </c>
      <c r="BB35" s="219">
        <v>110.0</v>
      </c>
      <c r="BC35" s="191">
        <v>45774.0</v>
      </c>
      <c r="BD35" s="75"/>
      <c r="BE35" s="164" t="e">
        <v>#N/A</v>
      </c>
    </row>
    <row r="36">
      <c r="A36" s="6" t="s">
        <v>185</v>
      </c>
      <c r="B36" s="183" t="s">
        <v>215</v>
      </c>
      <c r="C36" s="183" t="s">
        <v>213</v>
      </c>
      <c r="D36" s="75" t="s">
        <v>214</v>
      </c>
      <c r="E36" s="256">
        <v>44228.0</v>
      </c>
      <c r="F36" s="75" t="s">
        <v>1064</v>
      </c>
      <c r="G36" s="186">
        <v>2.7236545E7</v>
      </c>
      <c r="H36" s="190">
        <v>40500.0</v>
      </c>
      <c r="I36" s="190">
        <v>3500000.0</v>
      </c>
      <c r="J36" s="186">
        <v>0.0</v>
      </c>
      <c r="K36" s="186">
        <v>2.1E7</v>
      </c>
      <c r="L36" s="186">
        <v>8629461.23</v>
      </c>
      <c r="M36" s="186">
        <v>0.0</v>
      </c>
      <c r="N36" s="186">
        <v>1.3164634E7</v>
      </c>
      <c r="O36" s="187">
        <v>0.41092672523809526</v>
      </c>
      <c r="P36" s="187">
        <v>0.0</v>
      </c>
      <c r="Q36" s="187">
        <v>0.6268873333333334</v>
      </c>
      <c r="R36" s="188">
        <v>77.0</v>
      </c>
      <c r="S36" s="188">
        <v>74.0</v>
      </c>
      <c r="T36" s="188">
        <v>0.0</v>
      </c>
      <c r="U36" s="188">
        <v>0.0</v>
      </c>
      <c r="V36" s="188">
        <v>77.0</v>
      </c>
      <c r="W36" s="188">
        <v>3.0</v>
      </c>
      <c r="X36" s="189">
        <v>8629461.23</v>
      </c>
      <c r="Y36" s="189">
        <v>0.0</v>
      </c>
      <c r="Z36" s="188">
        <v>46.0</v>
      </c>
      <c r="AA36" s="188">
        <v>0.0</v>
      </c>
      <c r="AB36" s="188">
        <v>46.0</v>
      </c>
      <c r="AC36" s="188">
        <v>0.0</v>
      </c>
      <c r="AD36" s="188">
        <v>40.0</v>
      </c>
      <c r="AE36" s="188">
        <v>63.0</v>
      </c>
      <c r="AF36" s="188">
        <v>100.0</v>
      </c>
      <c r="AG36" s="188">
        <v>1.0</v>
      </c>
      <c r="AH36" s="188">
        <v>114.0</v>
      </c>
      <c r="AI36" s="188">
        <v>0.0</v>
      </c>
      <c r="AJ36" s="188">
        <v>0.0</v>
      </c>
      <c r="AK36" s="188">
        <v>0.0</v>
      </c>
      <c r="AL36" s="188">
        <v>0.0</v>
      </c>
      <c r="AM36" s="188">
        <v>263.0</v>
      </c>
      <c r="AN36" s="188">
        <v>440.0</v>
      </c>
      <c r="AO36" s="188">
        <v>142.0</v>
      </c>
      <c r="AP36" s="186">
        <v>60770.85373239437</v>
      </c>
      <c r="AQ36" s="189">
        <v>1.852112676056338</v>
      </c>
      <c r="AR36" s="186">
        <v>243000.0</v>
      </c>
      <c r="AS36" s="186">
        <v>41855.0</v>
      </c>
      <c r="AT36" s="187">
        <v>0.03300959265101189</v>
      </c>
      <c r="AU36" s="186">
        <v>187596.98326086957</v>
      </c>
      <c r="AV36" s="219">
        <v>140.0</v>
      </c>
      <c r="AW36" s="219">
        <v>1410.0</v>
      </c>
      <c r="AX36" s="254">
        <v>6088.14</v>
      </c>
      <c r="AY36" s="219">
        <v>82.0</v>
      </c>
      <c r="AZ36" s="219">
        <v>46.0</v>
      </c>
      <c r="BA36" s="219">
        <v>29.0</v>
      </c>
      <c r="BB36" s="219">
        <v>2.0</v>
      </c>
      <c r="BC36" s="191"/>
      <c r="BD36" s="75"/>
      <c r="BE36" s="164">
        <v>-0.21000000089406967</v>
      </c>
    </row>
    <row r="37">
      <c r="A37" s="6" t="s">
        <v>126</v>
      </c>
      <c r="B37" s="183" t="s">
        <v>140</v>
      </c>
      <c r="C37" s="184" t="s">
        <v>604</v>
      </c>
      <c r="D37" s="75" t="s">
        <v>139</v>
      </c>
      <c r="E37" s="256">
        <v>44245.0</v>
      </c>
      <c r="F37" s="75" t="s">
        <v>1061</v>
      </c>
      <c r="G37" s="186">
        <v>1.5003664E7</v>
      </c>
      <c r="H37" s="190">
        <v>41690.0</v>
      </c>
      <c r="I37" s="190">
        <v>2333333.0</v>
      </c>
      <c r="J37" s="186">
        <v>0.0</v>
      </c>
      <c r="K37" s="186">
        <v>1.3999998E7</v>
      </c>
      <c r="L37" s="186">
        <v>6444145.35</v>
      </c>
      <c r="M37" s="186">
        <v>0.0</v>
      </c>
      <c r="N37" s="186">
        <v>7700718.0</v>
      </c>
      <c r="O37" s="187">
        <v>0.460296162185166</v>
      </c>
      <c r="P37" s="187">
        <v>0.0</v>
      </c>
      <c r="Q37" s="187">
        <v>0.550051364293052</v>
      </c>
      <c r="R37" s="188">
        <v>104.0</v>
      </c>
      <c r="S37" s="188">
        <v>102.0</v>
      </c>
      <c r="T37" s="188">
        <v>8.0</v>
      </c>
      <c r="U37" s="188">
        <v>8.0</v>
      </c>
      <c r="V37" s="188">
        <v>112.0</v>
      </c>
      <c r="W37" s="188">
        <v>10.0</v>
      </c>
      <c r="X37" s="189">
        <v>5631368.98</v>
      </c>
      <c r="Y37" s="189">
        <v>812776.37</v>
      </c>
      <c r="Z37" s="188">
        <v>54.0</v>
      </c>
      <c r="AA37" s="188">
        <v>8.0</v>
      </c>
      <c r="AB37" s="188">
        <v>62.0</v>
      </c>
      <c r="AC37" s="188">
        <v>0.0</v>
      </c>
      <c r="AD37" s="188">
        <v>30.0</v>
      </c>
      <c r="AE37" s="188">
        <v>43.0</v>
      </c>
      <c r="AF37" s="188">
        <v>106.0</v>
      </c>
      <c r="AG37" s="188">
        <v>2.0</v>
      </c>
      <c r="AH37" s="188">
        <v>13.0</v>
      </c>
      <c r="AI37" s="188">
        <v>1.0</v>
      </c>
      <c r="AJ37" s="188">
        <v>1.0</v>
      </c>
      <c r="AK37" s="188">
        <v>0.0</v>
      </c>
      <c r="AL37" s="188">
        <v>0.0</v>
      </c>
      <c r="AM37" s="188">
        <v>454.0</v>
      </c>
      <c r="AN37" s="188">
        <v>511.0</v>
      </c>
      <c r="AO37" s="188">
        <v>140.0</v>
      </c>
      <c r="AP37" s="186">
        <v>46029.60964285714</v>
      </c>
      <c r="AQ37" s="189">
        <v>3.242857142857143</v>
      </c>
      <c r="AR37" s="186">
        <v>250140.0</v>
      </c>
      <c r="AS37" s="186">
        <v>45441.0</v>
      </c>
      <c r="AT37" s="187">
        <v>0.045868146037395016</v>
      </c>
      <c r="AU37" s="186">
        <v>103937.82822580644</v>
      </c>
      <c r="AV37" s="219">
        <v>175.0</v>
      </c>
      <c r="AW37" s="219">
        <v>1386.0</v>
      </c>
      <c r="AX37" s="254">
        <v>10317.99</v>
      </c>
      <c r="AY37" s="219">
        <v>101.0</v>
      </c>
      <c r="AZ37" s="219">
        <v>62.0</v>
      </c>
      <c r="BA37" s="219">
        <v>44.0</v>
      </c>
      <c r="BB37" s="219">
        <v>6.0</v>
      </c>
      <c r="BC37" s="191"/>
      <c r="BD37" s="75"/>
      <c r="BE37" s="164">
        <v>-0.14999999850988388</v>
      </c>
    </row>
    <row r="38">
      <c r="A38" s="6" t="s">
        <v>126</v>
      </c>
      <c r="B38" s="183" t="s">
        <v>130</v>
      </c>
      <c r="C38" s="184" t="s">
        <v>141</v>
      </c>
      <c r="D38" s="75" t="s">
        <v>142</v>
      </c>
      <c r="E38" s="256">
        <v>44247.0</v>
      </c>
      <c r="F38" s="75" t="s">
        <v>130</v>
      </c>
      <c r="G38" s="186">
        <v>1.8863938540000003E7</v>
      </c>
      <c r="H38" s="190">
        <v>45515.0</v>
      </c>
      <c r="I38" s="190">
        <v>3333333.0</v>
      </c>
      <c r="J38" s="186">
        <v>0.0</v>
      </c>
      <c r="K38" s="186">
        <v>1.9999998E7</v>
      </c>
      <c r="L38" s="186">
        <v>1.371894099E7</v>
      </c>
      <c r="M38" s="186">
        <v>0.0</v>
      </c>
      <c r="N38" s="186">
        <v>2319789.08</v>
      </c>
      <c r="O38" s="187">
        <v>0.6859471180947119</v>
      </c>
      <c r="P38" s="187">
        <v>0.0</v>
      </c>
      <c r="Q38" s="187">
        <v>0.11598946559894656</v>
      </c>
      <c r="R38" s="188">
        <v>76.0</v>
      </c>
      <c r="S38" s="188">
        <v>68.0</v>
      </c>
      <c r="T38" s="188">
        <v>38.0</v>
      </c>
      <c r="U38" s="188">
        <v>38.0</v>
      </c>
      <c r="V38" s="188">
        <v>114.0</v>
      </c>
      <c r="W38" s="188">
        <v>46.0</v>
      </c>
      <c r="X38" s="189">
        <v>7796678.93</v>
      </c>
      <c r="Y38" s="189">
        <v>5922262.06</v>
      </c>
      <c r="Z38" s="188">
        <v>44.0</v>
      </c>
      <c r="AA38" s="188">
        <v>38.0</v>
      </c>
      <c r="AB38" s="188">
        <v>82.0</v>
      </c>
      <c r="AC38" s="188">
        <v>0.0</v>
      </c>
      <c r="AD38" s="188">
        <v>5.0</v>
      </c>
      <c r="AE38" s="188">
        <v>5.0</v>
      </c>
      <c r="AF38" s="188">
        <v>43.0</v>
      </c>
      <c r="AG38" s="188">
        <v>3.0</v>
      </c>
      <c r="AH38" s="188">
        <v>105.0</v>
      </c>
      <c r="AI38" s="188">
        <v>0.0</v>
      </c>
      <c r="AJ38" s="188">
        <v>0.0</v>
      </c>
      <c r="AK38" s="188">
        <v>0.0</v>
      </c>
      <c r="AL38" s="188">
        <v>0.0</v>
      </c>
      <c r="AM38" s="188">
        <v>428.0</v>
      </c>
      <c r="AN38" s="188">
        <v>538.0</v>
      </c>
      <c r="AO38" s="188">
        <v>147.0</v>
      </c>
      <c r="AP38" s="186">
        <v>93326.12918367347</v>
      </c>
      <c r="AQ38" s="189">
        <v>2.9115646258503403</v>
      </c>
      <c r="AR38" s="186">
        <v>273090.0</v>
      </c>
      <c r="AS38" s="186">
        <v>37910.0</v>
      </c>
      <c r="AT38" s="187">
        <v>0.022669388273241636</v>
      </c>
      <c r="AU38" s="186">
        <v>167304.15841463415</v>
      </c>
      <c r="AV38" s="219">
        <v>391.0</v>
      </c>
      <c r="AW38" s="219">
        <v>1545.0</v>
      </c>
      <c r="AX38" s="254">
        <v>8244.7</v>
      </c>
      <c r="AY38" s="219">
        <v>121.0</v>
      </c>
      <c r="AZ38" s="219">
        <v>82.0</v>
      </c>
      <c r="BA38" s="219">
        <v>10.0</v>
      </c>
      <c r="BB38" s="219">
        <v>22.0</v>
      </c>
      <c r="BC38" s="191"/>
      <c r="BD38" s="75"/>
      <c r="BE38" s="164">
        <v>-0.05700000189244747</v>
      </c>
    </row>
    <row r="39">
      <c r="A39" s="6" t="s">
        <v>185</v>
      </c>
      <c r="B39" s="183" t="s">
        <v>212</v>
      </c>
      <c r="C39" s="184" t="s">
        <v>218</v>
      </c>
      <c r="D39" s="75" t="s">
        <v>219</v>
      </c>
      <c r="E39" s="256">
        <v>44396.0</v>
      </c>
      <c r="F39" s="75" t="s">
        <v>1031</v>
      </c>
      <c r="G39" s="186">
        <v>0.0</v>
      </c>
      <c r="H39" s="190">
        <v>49690.0</v>
      </c>
      <c r="I39" s="190">
        <v>2500000.0</v>
      </c>
      <c r="J39" s="186">
        <v>0.0</v>
      </c>
      <c r="K39" s="186">
        <v>1.5E7</v>
      </c>
      <c r="L39" s="186">
        <v>1.507955627E7</v>
      </c>
      <c r="M39" s="186">
        <v>0.0</v>
      </c>
      <c r="N39" s="186">
        <v>2.040484368E7</v>
      </c>
      <c r="O39" s="187">
        <v>1.0053037513333334</v>
      </c>
      <c r="P39" s="187">
        <v>0.0</v>
      </c>
      <c r="Q39" s="187">
        <v>1.360322912</v>
      </c>
      <c r="R39" s="188">
        <v>244.0</v>
      </c>
      <c r="S39" s="188">
        <v>149.0</v>
      </c>
      <c r="T39" s="188">
        <v>12.0</v>
      </c>
      <c r="U39" s="188">
        <v>9.0</v>
      </c>
      <c r="V39" s="188">
        <v>256.0</v>
      </c>
      <c r="W39" s="188">
        <v>107.0</v>
      </c>
      <c r="X39" s="189">
        <v>1.40836275E7</v>
      </c>
      <c r="Y39" s="189">
        <v>995928.77</v>
      </c>
      <c r="Z39" s="188">
        <v>67.0</v>
      </c>
      <c r="AA39" s="188">
        <v>9.0</v>
      </c>
      <c r="AB39" s="188">
        <v>76.0</v>
      </c>
      <c r="AC39" s="188">
        <v>0.0</v>
      </c>
      <c r="AD39" s="188">
        <v>162.0</v>
      </c>
      <c r="AE39" s="188">
        <v>203.0</v>
      </c>
      <c r="AF39" s="188">
        <v>375.0</v>
      </c>
      <c r="AG39" s="188">
        <v>4.0</v>
      </c>
      <c r="AH39" s="188">
        <v>72.0</v>
      </c>
      <c r="AI39" s="188">
        <v>0.0</v>
      </c>
      <c r="AJ39" s="188">
        <v>0.0</v>
      </c>
      <c r="AK39" s="188">
        <v>1.0</v>
      </c>
      <c r="AL39" s="188">
        <v>4.0</v>
      </c>
      <c r="AM39" s="188">
        <v>450.0</v>
      </c>
      <c r="AN39" s="188">
        <v>729.0</v>
      </c>
      <c r="AO39" s="188">
        <v>145.0</v>
      </c>
      <c r="AP39" s="186">
        <v>103996.93979310345</v>
      </c>
      <c r="AQ39" s="189">
        <v>3.103448275862069</v>
      </c>
      <c r="AR39" s="186">
        <v>298140.0</v>
      </c>
      <c r="AS39" s="186">
        <v>87041.0</v>
      </c>
      <c r="AT39" s="187">
        <v>0.025543258243367395</v>
      </c>
      <c r="AU39" s="186">
        <v>198415.21407894735</v>
      </c>
      <c r="AV39" s="219">
        <v>170.0</v>
      </c>
      <c r="AW39" s="219">
        <v>1508.0</v>
      </c>
      <c r="AX39" s="254">
        <v>8153.72</v>
      </c>
      <c r="AY39" s="219">
        <v>55.0</v>
      </c>
      <c r="AZ39" s="219">
        <v>76.0</v>
      </c>
      <c r="BA39" s="219">
        <v>75.0</v>
      </c>
      <c r="BB39" s="219">
        <v>105.0</v>
      </c>
      <c r="BC39" s="191"/>
      <c r="BD39" s="75"/>
      <c r="BE39" s="164">
        <v>0.1699999999254942</v>
      </c>
    </row>
    <row r="40">
      <c r="A40" s="6" t="s">
        <v>185</v>
      </c>
      <c r="B40" s="183" t="s">
        <v>215</v>
      </c>
      <c r="C40" s="184" t="s">
        <v>216</v>
      </c>
      <c r="D40" s="75" t="s">
        <v>217</v>
      </c>
      <c r="E40" s="256">
        <v>44424.0</v>
      </c>
      <c r="F40" s="75" t="s">
        <v>1065</v>
      </c>
      <c r="G40" s="186">
        <v>5.8277388E7</v>
      </c>
      <c r="H40" s="190">
        <v>51393.0</v>
      </c>
      <c r="I40" s="190">
        <v>7416667.0</v>
      </c>
      <c r="J40" s="186">
        <v>0.0</v>
      </c>
      <c r="K40" s="186">
        <v>4.4500002E7</v>
      </c>
      <c r="L40" s="186">
        <v>2.24399853E7</v>
      </c>
      <c r="M40" s="186">
        <v>0.0</v>
      </c>
      <c r="N40" s="186">
        <v>3.21469E7</v>
      </c>
      <c r="O40" s="187">
        <v>0.5042693099204805</v>
      </c>
      <c r="P40" s="187">
        <v>0.0</v>
      </c>
      <c r="Q40" s="187">
        <v>0.722402214723496</v>
      </c>
      <c r="R40" s="188">
        <v>77.0</v>
      </c>
      <c r="S40" s="188">
        <v>81.0</v>
      </c>
      <c r="T40" s="188">
        <v>6.0</v>
      </c>
      <c r="U40" s="188">
        <v>5.0</v>
      </c>
      <c r="V40" s="188">
        <v>83.0</v>
      </c>
      <c r="W40" s="188">
        <v>2.0</v>
      </c>
      <c r="X40" s="189">
        <v>2.142341952E7</v>
      </c>
      <c r="Y40" s="189">
        <v>1016565.78</v>
      </c>
      <c r="Z40" s="188">
        <v>56.0</v>
      </c>
      <c r="AA40" s="188">
        <v>5.0</v>
      </c>
      <c r="AB40" s="188">
        <v>61.0</v>
      </c>
      <c r="AC40" s="188">
        <v>0.0</v>
      </c>
      <c r="AD40" s="188">
        <v>16.0</v>
      </c>
      <c r="AE40" s="188">
        <v>25.0</v>
      </c>
      <c r="AF40" s="188">
        <v>37.0</v>
      </c>
      <c r="AG40" s="188">
        <v>1.0</v>
      </c>
      <c r="AH40" s="188">
        <v>85.0</v>
      </c>
      <c r="AI40" s="188">
        <v>0.0</v>
      </c>
      <c r="AJ40" s="188">
        <v>0.0</v>
      </c>
      <c r="AK40" s="188">
        <v>0.0</v>
      </c>
      <c r="AL40" s="188">
        <v>0.0</v>
      </c>
      <c r="AM40" s="188">
        <v>579.0</v>
      </c>
      <c r="AN40" s="188">
        <v>689.0</v>
      </c>
      <c r="AO40" s="188">
        <v>137.0</v>
      </c>
      <c r="AP40" s="186">
        <v>163795.51313868613</v>
      </c>
      <c r="AQ40" s="189">
        <v>4.226277372262774</v>
      </c>
      <c r="AR40" s="186">
        <v>308358.0</v>
      </c>
      <c r="AS40" s="186">
        <v>37852.0</v>
      </c>
      <c r="AT40" s="187">
        <v>0.015428263226179564</v>
      </c>
      <c r="AU40" s="186">
        <v>367868.6114754098</v>
      </c>
      <c r="AV40" s="219">
        <v>192.0</v>
      </c>
      <c r="AW40" s="219">
        <v>1469.0</v>
      </c>
      <c r="AX40" s="254">
        <v>8282.85</v>
      </c>
      <c r="AY40" s="219">
        <v>102.0</v>
      </c>
      <c r="AZ40" s="219">
        <v>61.0</v>
      </c>
      <c r="BA40" s="219">
        <v>20.0</v>
      </c>
      <c r="BB40" s="219">
        <v>2.0</v>
      </c>
      <c r="BC40" s="191"/>
      <c r="BD40" s="75"/>
      <c r="BE40" s="164">
        <v>1.7799999974668026</v>
      </c>
    </row>
    <row r="41">
      <c r="A41" s="6" t="s">
        <v>298</v>
      </c>
      <c r="B41" s="183" t="s">
        <v>301</v>
      </c>
      <c r="C41" s="184" t="s">
        <v>302</v>
      </c>
      <c r="D41" s="75" t="s">
        <v>303</v>
      </c>
      <c r="E41" s="256">
        <v>44459.0</v>
      </c>
      <c r="F41" s="75" t="s">
        <v>1066</v>
      </c>
      <c r="G41" s="186">
        <v>2.4878609E7</v>
      </c>
      <c r="H41" s="190">
        <v>49585.0</v>
      </c>
      <c r="I41" s="190">
        <v>2300000.0</v>
      </c>
      <c r="J41" s="186">
        <v>0.0</v>
      </c>
      <c r="K41" s="186">
        <v>1.38E7</v>
      </c>
      <c r="L41" s="186">
        <v>7724997.61</v>
      </c>
      <c r="M41" s="186">
        <v>0.0</v>
      </c>
      <c r="N41" s="186">
        <v>0.0</v>
      </c>
      <c r="O41" s="187">
        <v>0.5597824355072464</v>
      </c>
      <c r="P41" s="187">
        <v>0.0</v>
      </c>
      <c r="Q41" s="187">
        <v>0.0</v>
      </c>
      <c r="R41" s="188">
        <v>87.0</v>
      </c>
      <c r="S41" s="188">
        <v>39.0</v>
      </c>
      <c r="T41" s="188">
        <v>1.0</v>
      </c>
      <c r="U41" s="188">
        <v>0.0</v>
      </c>
      <c r="V41" s="188">
        <v>88.0</v>
      </c>
      <c r="W41" s="188">
        <v>49.0</v>
      </c>
      <c r="X41" s="189">
        <v>7724997.61</v>
      </c>
      <c r="Y41" s="189">
        <v>0.0</v>
      </c>
      <c r="Z41" s="188">
        <v>34.0</v>
      </c>
      <c r="AA41" s="188">
        <v>0.0</v>
      </c>
      <c r="AB41" s="188">
        <v>34.0</v>
      </c>
      <c r="AC41" s="188">
        <v>0.0</v>
      </c>
      <c r="AD41" s="188">
        <v>6.0</v>
      </c>
      <c r="AE41" s="188">
        <v>7.0</v>
      </c>
      <c r="AF41" s="188">
        <v>61.0</v>
      </c>
      <c r="AG41" s="188">
        <v>11.0</v>
      </c>
      <c r="AH41" s="188">
        <v>119.0</v>
      </c>
      <c r="AI41" s="188">
        <v>0.0</v>
      </c>
      <c r="AJ41" s="188">
        <v>0.0</v>
      </c>
      <c r="AK41" s="188">
        <v>1.0</v>
      </c>
      <c r="AL41" s="188">
        <v>3.0</v>
      </c>
      <c r="AM41" s="188">
        <v>133.0</v>
      </c>
      <c r="AN41" s="188">
        <v>262.0</v>
      </c>
      <c r="AO41" s="188">
        <v>146.0</v>
      </c>
      <c r="AP41" s="186">
        <v>52910.94253424658</v>
      </c>
      <c r="AQ41" s="189">
        <v>0.910958904109589</v>
      </c>
      <c r="AR41" s="186">
        <v>297510.0</v>
      </c>
      <c r="AS41" s="186">
        <v>67953.0</v>
      </c>
      <c r="AT41" s="187">
        <v>0.047309140850336134</v>
      </c>
      <c r="AU41" s="186">
        <v>227205.81205882353</v>
      </c>
      <c r="AV41" s="219">
        <v>109.0</v>
      </c>
      <c r="AW41" s="219">
        <v>1492.0</v>
      </c>
      <c r="AX41" s="254">
        <v>10275.8</v>
      </c>
      <c r="AY41" s="219">
        <v>263.0</v>
      </c>
      <c r="AZ41" s="219">
        <v>34.0</v>
      </c>
      <c r="BA41" s="219">
        <v>13.0</v>
      </c>
      <c r="BB41" s="219">
        <v>41.0</v>
      </c>
      <c r="BC41" s="191"/>
      <c r="BD41" s="75"/>
      <c r="BE41" s="164">
        <v>0.05999999865889549</v>
      </c>
    </row>
    <row r="42">
      <c r="A42" s="6" t="s">
        <v>185</v>
      </c>
      <c r="B42" s="183" t="s">
        <v>222</v>
      </c>
      <c r="C42" s="184" t="s">
        <v>220</v>
      </c>
      <c r="D42" s="75" t="s">
        <v>221</v>
      </c>
      <c r="E42" s="256">
        <v>44501.0</v>
      </c>
      <c r="F42" s="75" t="s">
        <v>1057</v>
      </c>
      <c r="G42" s="186">
        <v>3.525324E7</v>
      </c>
      <c r="H42" s="190">
        <v>58700.0</v>
      </c>
      <c r="I42" s="190">
        <v>4500000.0</v>
      </c>
      <c r="J42" s="186">
        <v>0.0</v>
      </c>
      <c r="K42" s="186">
        <v>2.7E7</v>
      </c>
      <c r="L42" s="186">
        <v>2.121040725E7</v>
      </c>
      <c r="M42" s="186">
        <v>0.0</v>
      </c>
      <c r="N42" s="186">
        <v>2.1185554E7</v>
      </c>
      <c r="O42" s="187">
        <v>0.7855706388888889</v>
      </c>
      <c r="P42" s="187">
        <v>0.0</v>
      </c>
      <c r="Q42" s="187">
        <v>0.7846501481481482</v>
      </c>
      <c r="R42" s="188">
        <v>104.0</v>
      </c>
      <c r="S42" s="188">
        <v>98.0</v>
      </c>
      <c r="T42" s="188">
        <v>4.0</v>
      </c>
      <c r="U42" s="188">
        <v>4.0</v>
      </c>
      <c r="V42" s="188">
        <v>108.0</v>
      </c>
      <c r="W42" s="188">
        <v>10.0</v>
      </c>
      <c r="X42" s="189">
        <v>1.935763757E7</v>
      </c>
      <c r="Y42" s="189">
        <v>1852769.68</v>
      </c>
      <c r="Z42" s="188">
        <v>38.0</v>
      </c>
      <c r="AA42" s="188">
        <v>4.0</v>
      </c>
      <c r="AB42" s="188">
        <v>42.0</v>
      </c>
      <c r="AC42" s="188">
        <v>0.0</v>
      </c>
      <c r="AD42" s="188">
        <v>16.0</v>
      </c>
      <c r="AE42" s="188">
        <v>21.0</v>
      </c>
      <c r="AF42" s="188">
        <v>125.0</v>
      </c>
      <c r="AG42" s="188">
        <v>2.0</v>
      </c>
      <c r="AH42" s="188">
        <v>2.0</v>
      </c>
      <c r="AI42" s="188">
        <v>0.0</v>
      </c>
      <c r="AJ42" s="188">
        <v>0.0</v>
      </c>
      <c r="AK42" s="188">
        <v>1.0</v>
      </c>
      <c r="AL42" s="188">
        <v>3.0</v>
      </c>
      <c r="AM42" s="188">
        <v>1048.0</v>
      </c>
      <c r="AN42" s="188">
        <v>1074.0</v>
      </c>
      <c r="AO42" s="188">
        <v>152.0</v>
      </c>
      <c r="AP42" s="186">
        <v>139542.15296052632</v>
      </c>
      <c r="AQ42" s="189">
        <v>6.894736842105263</v>
      </c>
      <c r="AR42" s="186">
        <v>352200.0</v>
      </c>
      <c r="AS42" s="186">
        <v>92650.0</v>
      </c>
      <c r="AT42" s="187">
        <v>0.020973194656599532</v>
      </c>
      <c r="AU42" s="186">
        <v>505009.6964285714</v>
      </c>
      <c r="AV42" s="219">
        <v>146.0</v>
      </c>
      <c r="AW42" s="219">
        <v>1467.0</v>
      </c>
      <c r="AX42" s="254">
        <v>7781.96</v>
      </c>
      <c r="AY42" s="219">
        <v>79.0</v>
      </c>
      <c r="AZ42" s="219">
        <v>42.0</v>
      </c>
      <c r="BA42" s="219">
        <v>58.0</v>
      </c>
      <c r="BB42" s="219">
        <v>8.0</v>
      </c>
      <c r="BC42" s="191"/>
      <c r="BD42" s="75"/>
      <c r="BE42" s="164">
        <v>0.41999999806284904</v>
      </c>
    </row>
    <row r="43">
      <c r="A43" s="6" t="s">
        <v>126</v>
      </c>
      <c r="B43" s="183" t="s">
        <v>145</v>
      </c>
      <c r="C43" s="183" t="s">
        <v>143</v>
      </c>
      <c r="D43" s="75" t="s">
        <v>1067</v>
      </c>
      <c r="E43" s="256">
        <v>44501.0</v>
      </c>
      <c r="F43" s="75" t="s">
        <v>1066</v>
      </c>
      <c r="G43" s="186">
        <v>6088405.5</v>
      </c>
      <c r="H43" s="190">
        <v>28500.0</v>
      </c>
      <c r="I43" s="190">
        <v>1760000.0</v>
      </c>
      <c r="J43" s="186">
        <v>0.0</v>
      </c>
      <c r="K43" s="186">
        <v>1.056E7</v>
      </c>
      <c r="L43" s="186">
        <v>4692324.22</v>
      </c>
      <c r="M43" s="186">
        <v>0.0</v>
      </c>
      <c r="N43" s="186">
        <v>4036610.0</v>
      </c>
      <c r="O43" s="187">
        <v>0.44434888446969695</v>
      </c>
      <c r="P43" s="187">
        <v>0.0</v>
      </c>
      <c r="Q43" s="187">
        <v>0.3822547348484848</v>
      </c>
      <c r="R43" s="188">
        <v>73.0</v>
      </c>
      <c r="S43" s="188">
        <v>65.0</v>
      </c>
      <c r="T43" s="188">
        <v>3.0</v>
      </c>
      <c r="U43" s="188">
        <v>3.0</v>
      </c>
      <c r="V43" s="188">
        <v>76.0</v>
      </c>
      <c r="W43" s="188">
        <v>11.0</v>
      </c>
      <c r="X43" s="189">
        <v>3737563.2</v>
      </c>
      <c r="Y43" s="189">
        <v>954761.02</v>
      </c>
      <c r="Z43" s="188">
        <v>35.0</v>
      </c>
      <c r="AA43" s="188">
        <v>3.0</v>
      </c>
      <c r="AB43" s="188">
        <v>38.0</v>
      </c>
      <c r="AC43" s="188">
        <v>0.0</v>
      </c>
      <c r="AD43" s="188">
        <v>56.0</v>
      </c>
      <c r="AE43" s="188">
        <v>91.0</v>
      </c>
      <c r="AF43" s="188">
        <v>239.0</v>
      </c>
      <c r="AG43" s="188">
        <v>2.0</v>
      </c>
      <c r="AH43" s="188">
        <v>5.0</v>
      </c>
      <c r="AI43" s="188">
        <v>0.0</v>
      </c>
      <c r="AJ43" s="188">
        <v>0.0</v>
      </c>
      <c r="AK43" s="188">
        <v>0.0</v>
      </c>
      <c r="AL43" s="188">
        <v>0.0</v>
      </c>
      <c r="AM43" s="188">
        <v>468.0</v>
      </c>
      <c r="AN43" s="188">
        <v>564.0</v>
      </c>
      <c r="AO43" s="188">
        <v>146.0</v>
      </c>
      <c r="AP43" s="186">
        <v>32139.206986301368</v>
      </c>
      <c r="AQ43" s="189">
        <v>3.2054794520547945</v>
      </c>
      <c r="AR43" s="186">
        <v>171000.0</v>
      </c>
      <c r="AS43" s="186">
        <v>45636.0</v>
      </c>
      <c r="AT43" s="187">
        <v>0.046168165250951056</v>
      </c>
      <c r="AU43" s="186">
        <v>123482.21631578947</v>
      </c>
      <c r="AV43" s="219">
        <v>186.0</v>
      </c>
      <c r="AW43" s="219">
        <v>1781.0</v>
      </c>
      <c r="AX43" s="254">
        <v>16976.3</v>
      </c>
      <c r="AY43" s="219">
        <v>261.0</v>
      </c>
      <c r="AZ43" s="219">
        <v>38.0</v>
      </c>
      <c r="BA43" s="219">
        <v>29.0</v>
      </c>
      <c r="BB43" s="219">
        <v>9.0</v>
      </c>
      <c r="BC43" s="191"/>
      <c r="BD43" s="75"/>
      <c r="BE43" s="164">
        <v>0.049999999813735485</v>
      </c>
    </row>
    <row r="44">
      <c r="A44" s="6" t="s">
        <v>185</v>
      </c>
      <c r="B44" s="183" t="s">
        <v>85</v>
      </c>
      <c r="C44" s="184" t="s">
        <v>630</v>
      </c>
      <c r="D44" s="75" t="s">
        <v>386</v>
      </c>
      <c r="E44" s="256">
        <v>44508.0</v>
      </c>
      <c r="F44" s="75" t="s">
        <v>1058</v>
      </c>
      <c r="G44" s="186">
        <v>3914074.0</v>
      </c>
      <c r="H44" s="190">
        <v>21667.0</v>
      </c>
      <c r="I44" s="190"/>
      <c r="J44" s="186">
        <v>0.0</v>
      </c>
      <c r="K44" s="186">
        <v>0.0</v>
      </c>
      <c r="L44" s="186">
        <v>44994.4</v>
      </c>
      <c r="M44" s="186">
        <v>0.0</v>
      </c>
      <c r="N44" s="186">
        <v>0.0</v>
      </c>
      <c r="O44" s="187"/>
      <c r="P44" s="187">
        <v>0.0</v>
      </c>
      <c r="Q44" s="187"/>
      <c r="R44" s="188">
        <v>95.0</v>
      </c>
      <c r="S44" s="188">
        <v>40.0</v>
      </c>
      <c r="T44" s="188">
        <v>0.0</v>
      </c>
      <c r="U44" s="188">
        <v>0.0</v>
      </c>
      <c r="V44" s="188">
        <v>95.0</v>
      </c>
      <c r="W44" s="188">
        <v>55.0</v>
      </c>
      <c r="X44" s="189">
        <v>44994.4</v>
      </c>
      <c r="Y44" s="189">
        <v>0.0</v>
      </c>
      <c r="Z44" s="188">
        <v>7.0</v>
      </c>
      <c r="AA44" s="188">
        <v>0.0</v>
      </c>
      <c r="AB44" s="188">
        <v>7.0</v>
      </c>
      <c r="AC44" s="188">
        <v>0.0</v>
      </c>
      <c r="AD44" s="188">
        <v>14.0</v>
      </c>
      <c r="AE44" s="188">
        <v>14.0</v>
      </c>
      <c r="AF44" s="188">
        <v>82.0</v>
      </c>
      <c r="AG44" s="188">
        <v>1.0</v>
      </c>
      <c r="AH44" s="188">
        <v>1.0</v>
      </c>
      <c r="AI44" s="188">
        <v>0.0</v>
      </c>
      <c r="AJ44" s="188">
        <v>0.0</v>
      </c>
      <c r="AK44" s="188">
        <v>0.0</v>
      </c>
      <c r="AL44" s="188">
        <v>0.0</v>
      </c>
      <c r="AM44" s="188">
        <v>47.0</v>
      </c>
      <c r="AN44" s="188">
        <v>62.0</v>
      </c>
      <c r="AO44" s="188">
        <v>10.0</v>
      </c>
      <c r="AP44" s="186">
        <v>4499.4400000000005</v>
      </c>
      <c r="AQ44" s="189">
        <v>4.7</v>
      </c>
      <c r="AR44" s="186">
        <v>8666.800000000001</v>
      </c>
      <c r="AS44" s="186">
        <v>6357.0</v>
      </c>
      <c r="AT44" s="187">
        <v>0.3339037746919617</v>
      </c>
      <c r="AU44" s="186">
        <v>6427.771428571429</v>
      </c>
      <c r="AV44" s="219">
        <v>7.0</v>
      </c>
      <c r="AW44" s="219">
        <v>126.0</v>
      </c>
      <c r="AX44" s="254">
        <v>987.37</v>
      </c>
      <c r="AY44" s="219">
        <v>25.0</v>
      </c>
      <c r="AZ44" s="219">
        <v>7.0</v>
      </c>
      <c r="BA44" s="219">
        <v>33.0</v>
      </c>
      <c r="BB44" s="219">
        <v>55.0</v>
      </c>
      <c r="BC44" s="191">
        <v>45759.0</v>
      </c>
      <c r="BD44" s="75"/>
      <c r="BE44" s="164">
        <v>0.0</v>
      </c>
    </row>
    <row r="45">
      <c r="A45" s="6" t="s">
        <v>126</v>
      </c>
      <c r="B45" s="183" t="s">
        <v>130</v>
      </c>
      <c r="C45" s="184" t="s">
        <v>146</v>
      </c>
      <c r="D45" s="75" t="s">
        <v>1068</v>
      </c>
      <c r="E45" s="256">
        <v>44511.0</v>
      </c>
      <c r="F45" s="75" t="s">
        <v>130</v>
      </c>
      <c r="G45" s="186">
        <v>1.494292836E7</v>
      </c>
      <c r="H45" s="190">
        <v>44000.0</v>
      </c>
      <c r="I45" s="190">
        <v>2166667.0</v>
      </c>
      <c r="J45" s="186">
        <v>1200000.0</v>
      </c>
      <c r="K45" s="186">
        <v>1.1800002E7</v>
      </c>
      <c r="L45" s="186">
        <v>7362557.25</v>
      </c>
      <c r="M45" s="186">
        <v>789216.53</v>
      </c>
      <c r="N45" s="186">
        <v>6995822.0</v>
      </c>
      <c r="O45" s="187">
        <v>0.6270594250677808</v>
      </c>
      <c r="P45" s="187">
        <v>0.66</v>
      </c>
      <c r="Q45" s="187">
        <v>0.5381400710553736</v>
      </c>
      <c r="R45" s="188">
        <v>74.0</v>
      </c>
      <c r="S45" s="188">
        <v>71.0</v>
      </c>
      <c r="T45" s="188">
        <v>7.0</v>
      </c>
      <c r="U45" s="188">
        <v>7.0</v>
      </c>
      <c r="V45" s="188">
        <v>81.0</v>
      </c>
      <c r="W45" s="188">
        <v>10.0</v>
      </c>
      <c r="X45" s="189">
        <v>6734447.51</v>
      </c>
      <c r="Y45" s="189">
        <v>628109.74</v>
      </c>
      <c r="Z45" s="188">
        <v>49.0</v>
      </c>
      <c r="AA45" s="188">
        <v>7.0</v>
      </c>
      <c r="AB45" s="188">
        <v>56.0</v>
      </c>
      <c r="AC45" s="188">
        <v>1.0</v>
      </c>
      <c r="AD45" s="188">
        <v>8.0</v>
      </c>
      <c r="AE45" s="188">
        <v>14.0</v>
      </c>
      <c r="AF45" s="188">
        <v>63.0</v>
      </c>
      <c r="AG45" s="188">
        <v>4.0</v>
      </c>
      <c r="AH45" s="188">
        <v>31.0</v>
      </c>
      <c r="AI45" s="188">
        <v>3.0</v>
      </c>
      <c r="AJ45" s="188">
        <v>15.0</v>
      </c>
      <c r="AK45" s="188">
        <v>3.0</v>
      </c>
      <c r="AL45" s="188">
        <v>7.0</v>
      </c>
      <c r="AM45" s="188">
        <v>442.0</v>
      </c>
      <c r="AN45" s="188">
        <v>509.0</v>
      </c>
      <c r="AO45" s="188">
        <v>148.0</v>
      </c>
      <c r="AP45" s="186">
        <v>55079.55256756757</v>
      </c>
      <c r="AQ45" s="189">
        <v>2.9864864864864864</v>
      </c>
      <c r="AR45" s="186">
        <v>264000.0</v>
      </c>
      <c r="AS45" s="186">
        <v>29836.0</v>
      </c>
      <c r="AT45" s="187">
        <v>0.03604565189491801</v>
      </c>
      <c r="AU45" s="186">
        <v>131474.23660714287</v>
      </c>
      <c r="AV45" s="219">
        <v>152.0</v>
      </c>
      <c r="AW45" s="219">
        <v>1041.0</v>
      </c>
      <c r="AX45" s="254">
        <v>6861.91</v>
      </c>
      <c r="AY45" s="219">
        <v>97.0</v>
      </c>
      <c r="AZ45" s="219">
        <v>56.0</v>
      </c>
      <c r="BA45" s="219">
        <v>15.0</v>
      </c>
      <c r="BB45" s="219">
        <v>10.0</v>
      </c>
      <c r="BC45" s="191"/>
      <c r="BD45" s="75"/>
      <c r="BE45" s="164">
        <v>-0.1015625</v>
      </c>
    </row>
    <row r="46">
      <c r="A46" s="6" t="s">
        <v>298</v>
      </c>
      <c r="B46" s="183" t="s">
        <v>301</v>
      </c>
      <c r="C46" s="184" t="s">
        <v>355</v>
      </c>
      <c r="D46" s="75" t="s">
        <v>319</v>
      </c>
      <c r="E46" s="256">
        <v>44635.0</v>
      </c>
      <c r="F46" s="75" t="s">
        <v>1066</v>
      </c>
      <c r="G46" s="186">
        <v>1.3608518E7</v>
      </c>
      <c r="H46" s="190">
        <v>38000.0</v>
      </c>
      <c r="I46" s="190"/>
      <c r="J46" s="186">
        <v>0.0</v>
      </c>
      <c r="K46" s="186">
        <v>0.0</v>
      </c>
      <c r="L46" s="186">
        <v>0.0</v>
      </c>
      <c r="M46" s="186">
        <v>0.0</v>
      </c>
      <c r="N46" s="186">
        <v>0.0</v>
      </c>
      <c r="O46" s="187"/>
      <c r="P46" s="187">
        <v>0.0</v>
      </c>
      <c r="Q46" s="187"/>
      <c r="R46" s="188">
        <v>116.0</v>
      </c>
      <c r="S46" s="188">
        <v>6.0</v>
      </c>
      <c r="T46" s="188">
        <v>1.0</v>
      </c>
      <c r="U46" s="188">
        <v>0.0</v>
      </c>
      <c r="V46" s="188">
        <v>117.0</v>
      </c>
      <c r="W46" s="188">
        <v>111.0</v>
      </c>
      <c r="X46" s="189">
        <v>0.0</v>
      </c>
      <c r="Y46" s="189">
        <v>0.0</v>
      </c>
      <c r="Z46" s="188">
        <v>0.0</v>
      </c>
      <c r="AA46" s="188">
        <v>0.0</v>
      </c>
      <c r="AB46" s="188">
        <v>0.0</v>
      </c>
      <c r="AC46" s="188">
        <v>0.0</v>
      </c>
      <c r="AD46" s="188">
        <v>0.0</v>
      </c>
      <c r="AE46" s="188">
        <v>0.0</v>
      </c>
      <c r="AF46" s="188">
        <v>128.0</v>
      </c>
      <c r="AG46" s="188">
        <v>0.0</v>
      </c>
      <c r="AH46" s="188">
        <v>0.0</v>
      </c>
      <c r="AI46" s="188">
        <v>0.0</v>
      </c>
      <c r="AJ46" s="188">
        <v>0.0</v>
      </c>
      <c r="AK46" s="188">
        <v>0.0</v>
      </c>
      <c r="AL46" s="188">
        <v>0.0</v>
      </c>
      <c r="AM46" s="188">
        <v>9.0</v>
      </c>
      <c r="AN46" s="188">
        <v>9.0</v>
      </c>
      <c r="AO46" s="188">
        <v>3.0</v>
      </c>
      <c r="AP46" s="186">
        <v>0.0</v>
      </c>
      <c r="AQ46" s="189">
        <v>3.0</v>
      </c>
      <c r="AR46" s="186">
        <v>8740.0</v>
      </c>
      <c r="AS46" s="186"/>
      <c r="AT46" s="187"/>
      <c r="AU46" s="186"/>
      <c r="AV46" s="219">
        <v>0.0</v>
      </c>
      <c r="AW46" s="219">
        <v>24.0</v>
      </c>
      <c r="AX46" s="254">
        <v>24.37</v>
      </c>
      <c r="AY46" s="219">
        <v>4.0</v>
      </c>
      <c r="AZ46" s="219">
        <v>0.0</v>
      </c>
      <c r="BA46" s="219">
        <v>6.0</v>
      </c>
      <c r="BB46" s="219">
        <v>111.0</v>
      </c>
      <c r="BC46" s="191">
        <v>45754.0</v>
      </c>
      <c r="BD46" s="75"/>
      <c r="BE46" s="164">
        <v>0.0</v>
      </c>
    </row>
    <row r="47">
      <c r="A47" s="6" t="s">
        <v>126</v>
      </c>
      <c r="B47" s="183" t="s">
        <v>135</v>
      </c>
      <c r="C47" s="184" t="s">
        <v>148</v>
      </c>
      <c r="D47" s="75" t="s">
        <v>149</v>
      </c>
      <c r="E47" s="256">
        <v>44662.0</v>
      </c>
      <c r="F47" s="75" t="s">
        <v>1042</v>
      </c>
      <c r="G47" s="186">
        <v>6008130.0</v>
      </c>
      <c r="H47" s="190">
        <v>51950.0</v>
      </c>
      <c r="I47" s="190">
        <v>1733333.0</v>
      </c>
      <c r="J47" s="186">
        <v>600000.0</v>
      </c>
      <c r="K47" s="186">
        <v>9799998.0</v>
      </c>
      <c r="L47" s="186">
        <v>4818495.79</v>
      </c>
      <c r="M47" s="186">
        <v>0.0</v>
      </c>
      <c r="N47" s="186">
        <v>4949714.0</v>
      </c>
      <c r="O47" s="187">
        <v>0.4633169919840369</v>
      </c>
      <c r="P47" s="187">
        <v>0.0</v>
      </c>
      <c r="Q47" s="187">
        <v>0.4759341299873327</v>
      </c>
      <c r="R47" s="188">
        <v>41.0</v>
      </c>
      <c r="S47" s="188">
        <v>37.0</v>
      </c>
      <c r="T47" s="188">
        <v>3.0</v>
      </c>
      <c r="U47" s="188">
        <v>3.0</v>
      </c>
      <c r="V47" s="188">
        <v>44.0</v>
      </c>
      <c r="W47" s="188">
        <v>7.0</v>
      </c>
      <c r="X47" s="189">
        <v>4687555.99</v>
      </c>
      <c r="Y47" s="189">
        <v>130939.8</v>
      </c>
      <c r="Z47" s="188">
        <v>23.0</v>
      </c>
      <c r="AA47" s="188">
        <v>3.0</v>
      </c>
      <c r="AB47" s="188">
        <v>26.0</v>
      </c>
      <c r="AC47" s="188">
        <v>0.0</v>
      </c>
      <c r="AD47" s="188">
        <v>173.0</v>
      </c>
      <c r="AE47" s="188">
        <v>270.0</v>
      </c>
      <c r="AF47" s="188">
        <v>296.0</v>
      </c>
      <c r="AG47" s="188">
        <v>0.0</v>
      </c>
      <c r="AH47" s="188">
        <v>0.0</v>
      </c>
      <c r="AI47" s="188">
        <v>1.0</v>
      </c>
      <c r="AJ47" s="188">
        <v>2.0</v>
      </c>
      <c r="AK47" s="188">
        <v>2.0</v>
      </c>
      <c r="AL47" s="188">
        <v>14.0</v>
      </c>
      <c r="AM47" s="188">
        <v>255.0</v>
      </c>
      <c r="AN47" s="188">
        <v>541.0</v>
      </c>
      <c r="AO47" s="188">
        <v>117.0</v>
      </c>
      <c r="AP47" s="186">
        <v>41183.7247008547</v>
      </c>
      <c r="AQ47" s="189">
        <v>2.1794871794871793</v>
      </c>
      <c r="AR47" s="186">
        <v>311700.0</v>
      </c>
      <c r="AS47" s="186"/>
      <c r="AT47" s="187">
        <v>0.06468823748832206</v>
      </c>
      <c r="AU47" s="186">
        <v>185326.76115384616</v>
      </c>
      <c r="AV47" s="219">
        <v>64.0</v>
      </c>
      <c r="AW47" s="219">
        <v>802.0</v>
      </c>
      <c r="AX47" s="254">
        <v>6472.41</v>
      </c>
      <c r="AY47" s="219">
        <v>175.0</v>
      </c>
      <c r="AZ47" s="219">
        <v>26.0</v>
      </c>
      <c r="BA47" s="219">
        <v>15.0</v>
      </c>
      <c r="BB47" s="219">
        <v>3.0</v>
      </c>
      <c r="BC47" s="191"/>
      <c r="BD47" s="75"/>
      <c r="BE47" s="164">
        <v>0.3700000001117587</v>
      </c>
    </row>
    <row r="48">
      <c r="A48" s="6" t="s">
        <v>73</v>
      </c>
      <c r="B48" s="183" t="s">
        <v>1229</v>
      </c>
      <c r="C48" s="184" t="s">
        <v>74</v>
      </c>
      <c r="D48" s="75" t="s">
        <v>1069</v>
      </c>
      <c r="E48" s="256">
        <v>44684.0</v>
      </c>
      <c r="F48" s="75" t="s">
        <v>76</v>
      </c>
      <c r="G48" s="186">
        <v>1.2210958E7</v>
      </c>
      <c r="H48" s="190">
        <v>43505.0</v>
      </c>
      <c r="I48" s="190">
        <v>2333333.0</v>
      </c>
      <c r="J48" s="186">
        <v>1999998.0</v>
      </c>
      <c r="K48" s="186">
        <v>1.2E7</v>
      </c>
      <c r="L48" s="186">
        <v>5490005.37</v>
      </c>
      <c r="M48" s="186">
        <v>0.0</v>
      </c>
      <c r="N48" s="186">
        <v>5395516.0</v>
      </c>
      <c r="O48" s="187">
        <v>0.3921432967347567</v>
      </c>
      <c r="P48" s="187">
        <v>0.85</v>
      </c>
      <c r="Q48" s="187">
        <v>0.3853940550562936</v>
      </c>
      <c r="R48" s="188">
        <v>31.0</v>
      </c>
      <c r="S48" s="188">
        <v>26.0</v>
      </c>
      <c r="T48" s="188">
        <v>1.0</v>
      </c>
      <c r="U48" s="188">
        <v>1.0</v>
      </c>
      <c r="V48" s="188">
        <v>32.0</v>
      </c>
      <c r="W48" s="188">
        <v>6.0</v>
      </c>
      <c r="X48" s="189">
        <v>5431555.67</v>
      </c>
      <c r="Y48" s="189">
        <v>58449.7</v>
      </c>
      <c r="Z48" s="188">
        <v>15.0</v>
      </c>
      <c r="AA48" s="188">
        <v>1.0</v>
      </c>
      <c r="AB48" s="188">
        <v>16.0</v>
      </c>
      <c r="AC48" s="188">
        <v>0.0</v>
      </c>
      <c r="AD48" s="188">
        <v>7.0</v>
      </c>
      <c r="AE48" s="188">
        <v>7.0</v>
      </c>
      <c r="AF48" s="188">
        <v>105.0</v>
      </c>
      <c r="AG48" s="188">
        <v>4.0</v>
      </c>
      <c r="AH48" s="188">
        <v>52.0</v>
      </c>
      <c r="AI48" s="188">
        <v>1.0</v>
      </c>
      <c r="AJ48" s="188">
        <v>3.0</v>
      </c>
      <c r="AK48" s="188">
        <v>0.0</v>
      </c>
      <c r="AL48" s="188">
        <v>0.0</v>
      </c>
      <c r="AM48" s="188">
        <v>337.0</v>
      </c>
      <c r="AN48" s="188">
        <v>399.0</v>
      </c>
      <c r="AO48" s="188">
        <v>143.0</v>
      </c>
      <c r="AP48" s="186">
        <v>38391.64594405595</v>
      </c>
      <c r="AQ48" s="189">
        <v>2.3566433566433567</v>
      </c>
      <c r="AR48" s="186">
        <v>261030.0</v>
      </c>
      <c r="AS48" s="186">
        <v>36430.0</v>
      </c>
      <c r="AT48" s="187">
        <v>0.05418209636468898</v>
      </c>
      <c r="AU48" s="186">
        <v>343125.335625</v>
      </c>
      <c r="AV48" s="219">
        <v>49.0</v>
      </c>
      <c r="AW48" s="219">
        <v>21.0</v>
      </c>
      <c r="AX48" s="254">
        <v>81.78</v>
      </c>
      <c r="AY48" s="219">
        <v>20.0</v>
      </c>
      <c r="AZ48" s="219">
        <v>16.0</v>
      </c>
      <c r="BA48" s="219">
        <v>2.0</v>
      </c>
      <c r="BB48" s="219">
        <v>14.0</v>
      </c>
      <c r="BC48" s="191"/>
      <c r="BD48" s="75"/>
      <c r="BE48" s="164">
        <v>0.2901562498882413</v>
      </c>
    </row>
    <row r="49">
      <c r="A49" s="6" t="s">
        <v>97</v>
      </c>
      <c r="B49" s="183" t="s">
        <v>101</v>
      </c>
      <c r="C49" s="184" t="s">
        <v>99</v>
      </c>
      <c r="D49" s="75" t="s">
        <v>100</v>
      </c>
      <c r="E49" s="256">
        <v>44693.0</v>
      </c>
      <c r="F49" s="75" t="s">
        <v>1062</v>
      </c>
      <c r="G49" s="186">
        <v>8046618.0</v>
      </c>
      <c r="H49" s="190">
        <v>32890.0</v>
      </c>
      <c r="I49" s="190">
        <v>1333333.333</v>
      </c>
      <c r="J49" s="186">
        <v>0.0</v>
      </c>
      <c r="K49" s="186">
        <v>7360000.0</v>
      </c>
      <c r="L49" s="186">
        <v>5433993.99</v>
      </c>
      <c r="M49" s="186">
        <v>0.0</v>
      </c>
      <c r="N49" s="186">
        <v>5178784.0</v>
      </c>
      <c r="O49" s="187">
        <v>0.7383144008152174</v>
      </c>
      <c r="P49" s="187">
        <v>0.0</v>
      </c>
      <c r="Q49" s="187">
        <v>0.7036391304347827</v>
      </c>
      <c r="R49" s="188">
        <v>69.0</v>
      </c>
      <c r="S49" s="188">
        <v>60.0</v>
      </c>
      <c r="T49" s="188">
        <v>5.0</v>
      </c>
      <c r="U49" s="188">
        <v>2.0</v>
      </c>
      <c r="V49" s="188">
        <v>74.0</v>
      </c>
      <c r="W49" s="188">
        <v>14.0</v>
      </c>
      <c r="X49" s="189">
        <v>5362485.99</v>
      </c>
      <c r="Y49" s="189">
        <v>71508.0</v>
      </c>
      <c r="Z49" s="188">
        <v>37.0</v>
      </c>
      <c r="AA49" s="188">
        <v>2.0</v>
      </c>
      <c r="AB49" s="188">
        <v>39.0</v>
      </c>
      <c r="AC49" s="188">
        <v>0.0</v>
      </c>
      <c r="AD49" s="188">
        <v>7.0</v>
      </c>
      <c r="AE49" s="188">
        <v>12.0</v>
      </c>
      <c r="AF49" s="188">
        <v>36.0</v>
      </c>
      <c r="AG49" s="188">
        <v>1.0</v>
      </c>
      <c r="AH49" s="188">
        <v>7.0</v>
      </c>
      <c r="AI49" s="188">
        <v>0.0</v>
      </c>
      <c r="AJ49" s="188">
        <v>0.0</v>
      </c>
      <c r="AK49" s="188">
        <v>0.0</v>
      </c>
      <c r="AL49" s="188">
        <v>0.0</v>
      </c>
      <c r="AM49" s="188">
        <v>646.0</v>
      </c>
      <c r="AN49" s="188">
        <v>665.0</v>
      </c>
      <c r="AO49" s="188">
        <v>140.0</v>
      </c>
      <c r="AP49" s="186">
        <v>38814.24278571429</v>
      </c>
      <c r="AQ49" s="189">
        <v>4.614285714285714</v>
      </c>
      <c r="AR49" s="186">
        <v>197340.0</v>
      </c>
      <c r="AS49" s="186">
        <v>27640.0</v>
      </c>
      <c r="AT49" s="187">
        <v>0.0414023277195417</v>
      </c>
      <c r="AU49" s="186">
        <v>139333.17923076922</v>
      </c>
      <c r="AV49" s="219">
        <v>104.0</v>
      </c>
      <c r="AW49" s="219">
        <v>1272.0</v>
      </c>
      <c r="AX49" s="254">
        <v>5450.07</v>
      </c>
      <c r="AY49" s="219">
        <v>91.0</v>
      </c>
      <c r="AZ49" s="219">
        <v>39.0</v>
      </c>
      <c r="BA49" s="219">
        <v>24.0</v>
      </c>
      <c r="BB49" s="219">
        <v>11.0</v>
      </c>
      <c r="BC49" s="191"/>
      <c r="BD49" s="75"/>
      <c r="BE49" s="164">
        <v>0.75</v>
      </c>
    </row>
    <row r="50">
      <c r="A50" s="6" t="s">
        <v>298</v>
      </c>
      <c r="B50" s="183" t="s">
        <v>301</v>
      </c>
      <c r="C50" s="184" t="s">
        <v>304</v>
      </c>
      <c r="D50" s="75" t="s">
        <v>305</v>
      </c>
      <c r="E50" s="256">
        <v>44697.0</v>
      </c>
      <c r="F50" s="75" t="s">
        <v>1066</v>
      </c>
      <c r="G50" s="186">
        <v>8307773.0</v>
      </c>
      <c r="H50" s="190">
        <v>36720.0</v>
      </c>
      <c r="I50" s="190">
        <v>1200000.0</v>
      </c>
      <c r="J50" s="186">
        <v>0.0</v>
      </c>
      <c r="K50" s="186">
        <v>7200000.0</v>
      </c>
      <c r="L50" s="186">
        <v>4147086.6</v>
      </c>
      <c r="M50" s="186">
        <v>0.0</v>
      </c>
      <c r="N50" s="186">
        <v>3952990.0</v>
      </c>
      <c r="O50" s="187">
        <v>0.57598425</v>
      </c>
      <c r="P50" s="187">
        <v>0.0</v>
      </c>
      <c r="Q50" s="187">
        <v>0.5490263888888889</v>
      </c>
      <c r="R50" s="188">
        <v>75.0</v>
      </c>
      <c r="S50" s="188">
        <v>66.0</v>
      </c>
      <c r="T50" s="188">
        <v>5.0</v>
      </c>
      <c r="U50" s="188">
        <v>5.0</v>
      </c>
      <c r="V50" s="188">
        <v>80.0</v>
      </c>
      <c r="W50" s="188">
        <v>14.0</v>
      </c>
      <c r="X50" s="189">
        <v>3821002.78</v>
      </c>
      <c r="Y50" s="189">
        <v>326083.82</v>
      </c>
      <c r="Z50" s="188">
        <v>31.0</v>
      </c>
      <c r="AA50" s="188">
        <v>5.0</v>
      </c>
      <c r="AB50" s="188">
        <v>36.0</v>
      </c>
      <c r="AC50" s="188">
        <v>0.0</v>
      </c>
      <c r="AD50" s="188">
        <v>43.0</v>
      </c>
      <c r="AE50" s="188">
        <v>54.0</v>
      </c>
      <c r="AF50" s="188">
        <v>253.0</v>
      </c>
      <c r="AG50" s="188">
        <v>0.0</v>
      </c>
      <c r="AH50" s="188">
        <v>0.0</v>
      </c>
      <c r="AI50" s="188">
        <v>0.0</v>
      </c>
      <c r="AJ50" s="188">
        <v>0.0</v>
      </c>
      <c r="AK50" s="188">
        <v>0.0</v>
      </c>
      <c r="AL50" s="188">
        <v>0.0</v>
      </c>
      <c r="AM50" s="188">
        <v>546.0</v>
      </c>
      <c r="AN50" s="188">
        <v>600.0</v>
      </c>
      <c r="AO50" s="188">
        <v>142.0</v>
      </c>
      <c r="AP50" s="186">
        <v>29204.835211267608</v>
      </c>
      <c r="AQ50" s="189">
        <v>3.8450704225352115</v>
      </c>
      <c r="AR50" s="186">
        <v>220320.0</v>
      </c>
      <c r="AS50" s="186">
        <v>36952.0</v>
      </c>
      <c r="AT50" s="187">
        <v>0.062036804343560126</v>
      </c>
      <c r="AU50" s="186">
        <v>115196.85</v>
      </c>
      <c r="AV50" s="219">
        <v>151.0</v>
      </c>
      <c r="AW50" s="219">
        <v>1201.0</v>
      </c>
      <c r="AX50" s="254">
        <v>10080.49</v>
      </c>
      <c r="AY50" s="219">
        <v>153.0</v>
      </c>
      <c r="AZ50" s="219">
        <v>36.0</v>
      </c>
      <c r="BA50" s="219">
        <v>30.0</v>
      </c>
      <c r="BB50" s="219">
        <v>14.0</v>
      </c>
      <c r="BC50" s="191"/>
      <c r="BD50" s="75"/>
      <c r="BE50" s="164">
        <v>0.029999999329447746</v>
      </c>
    </row>
    <row r="51">
      <c r="A51" s="6" t="s">
        <v>111</v>
      </c>
      <c r="B51" s="183" t="s">
        <v>117</v>
      </c>
      <c r="C51" s="184" t="s">
        <v>118</v>
      </c>
      <c r="D51" s="75" t="s">
        <v>119</v>
      </c>
      <c r="E51" s="256">
        <v>44743.0</v>
      </c>
      <c r="F51" s="75" t="s">
        <v>1044</v>
      </c>
      <c r="G51" s="186">
        <v>4730158.0</v>
      </c>
      <c r="H51" s="190">
        <v>24445.0</v>
      </c>
      <c r="I51" s="190">
        <v>1200000.0</v>
      </c>
      <c r="J51" s="186">
        <v>0.0</v>
      </c>
      <c r="K51" s="186">
        <v>7200000.0</v>
      </c>
      <c r="L51" s="186">
        <v>2261087.45</v>
      </c>
      <c r="M51" s="186">
        <v>0.0</v>
      </c>
      <c r="N51" s="186">
        <v>2259193.0</v>
      </c>
      <c r="O51" s="187">
        <v>0.31403992361111116</v>
      </c>
      <c r="P51" s="187">
        <v>0.0</v>
      </c>
      <c r="Q51" s="187">
        <v>0.31377680555555554</v>
      </c>
      <c r="R51" s="188">
        <v>73.0</v>
      </c>
      <c r="S51" s="188">
        <v>71.0</v>
      </c>
      <c r="T51" s="188">
        <v>3.0</v>
      </c>
      <c r="U51" s="188">
        <v>3.0</v>
      </c>
      <c r="V51" s="188">
        <v>76.0</v>
      </c>
      <c r="W51" s="188">
        <v>5.0</v>
      </c>
      <c r="X51" s="189">
        <v>2173887.15</v>
      </c>
      <c r="Y51" s="189">
        <v>87200.3</v>
      </c>
      <c r="Z51" s="188">
        <v>42.0</v>
      </c>
      <c r="AA51" s="188">
        <v>3.0</v>
      </c>
      <c r="AB51" s="188">
        <v>45.0</v>
      </c>
      <c r="AC51" s="188">
        <v>0.0</v>
      </c>
      <c r="AD51" s="188">
        <v>24.0</v>
      </c>
      <c r="AE51" s="188">
        <v>34.0</v>
      </c>
      <c r="AF51" s="188">
        <v>145.0</v>
      </c>
      <c r="AG51" s="188">
        <v>3.0</v>
      </c>
      <c r="AH51" s="188">
        <v>14.0</v>
      </c>
      <c r="AI51" s="188">
        <v>0.0</v>
      </c>
      <c r="AJ51" s="188">
        <v>0.0</v>
      </c>
      <c r="AK51" s="188">
        <v>0.0</v>
      </c>
      <c r="AL51" s="188">
        <v>0.0</v>
      </c>
      <c r="AM51" s="188">
        <v>567.0</v>
      </c>
      <c r="AN51" s="188">
        <v>615.0</v>
      </c>
      <c r="AO51" s="188">
        <v>152.0</v>
      </c>
      <c r="AP51" s="186">
        <v>14875.57532894737</v>
      </c>
      <c r="AQ51" s="189">
        <v>3.7302631578947367</v>
      </c>
      <c r="AR51" s="186">
        <v>146670.0</v>
      </c>
      <c r="AS51" s="186">
        <v>29589.0</v>
      </c>
      <c r="AT51" s="187">
        <v>0.07795319902377061</v>
      </c>
      <c r="AU51" s="186">
        <v>50246.38777777778</v>
      </c>
      <c r="AV51" s="219">
        <v>133.0</v>
      </c>
      <c r="AW51" s="219">
        <v>1710.0</v>
      </c>
      <c r="AX51" s="254">
        <v>10805.69</v>
      </c>
      <c r="AY51" s="219">
        <v>152.0</v>
      </c>
      <c r="AZ51" s="219">
        <v>45.0</v>
      </c>
      <c r="BA51" s="219">
        <v>28.0</v>
      </c>
      <c r="BB51" s="219">
        <v>3.0</v>
      </c>
      <c r="BC51" s="191"/>
      <c r="BD51" s="75"/>
      <c r="BE51" s="164">
        <v>-0.11000000033527613</v>
      </c>
    </row>
    <row r="52">
      <c r="A52" s="6" t="s">
        <v>126</v>
      </c>
      <c r="B52" s="183" t="s">
        <v>135</v>
      </c>
      <c r="C52" s="184" t="s">
        <v>437</v>
      </c>
      <c r="D52" s="75" t="s">
        <v>176</v>
      </c>
      <c r="E52" s="256">
        <v>44805.0</v>
      </c>
      <c r="F52" s="75" t="s">
        <v>1042</v>
      </c>
      <c r="G52" s="186">
        <v>3178281.0</v>
      </c>
      <c r="H52" s="190">
        <v>38834.0</v>
      </c>
      <c r="I52" s="190">
        <v>1666667.0</v>
      </c>
      <c r="J52" s="186">
        <v>1200000.0</v>
      </c>
      <c r="K52" s="186">
        <v>8800002.0</v>
      </c>
      <c r="L52" s="186">
        <v>1115217.75</v>
      </c>
      <c r="M52" s="186">
        <v>773216.52</v>
      </c>
      <c r="N52" s="186">
        <v>1342265.0</v>
      </c>
      <c r="O52" s="187">
        <v>0.18884338923132216</v>
      </c>
      <c r="P52" s="187">
        <v>0.64</v>
      </c>
      <c r="Q52" s="187">
        <v>0.13422647315470537</v>
      </c>
      <c r="R52" s="188">
        <v>76.0</v>
      </c>
      <c r="S52" s="188">
        <v>66.0</v>
      </c>
      <c r="T52" s="188">
        <v>2.0</v>
      </c>
      <c r="U52" s="188">
        <v>2.0</v>
      </c>
      <c r="V52" s="188">
        <v>78.0</v>
      </c>
      <c r="W52" s="188">
        <v>12.0</v>
      </c>
      <c r="X52" s="189">
        <v>1057744.05</v>
      </c>
      <c r="Y52" s="189">
        <v>57473.7</v>
      </c>
      <c r="Z52" s="188">
        <v>34.0</v>
      </c>
      <c r="AA52" s="188">
        <v>2.0</v>
      </c>
      <c r="AB52" s="188">
        <v>36.0</v>
      </c>
      <c r="AC52" s="188">
        <v>2.0</v>
      </c>
      <c r="AD52" s="188">
        <v>111.0</v>
      </c>
      <c r="AE52" s="188">
        <v>144.0</v>
      </c>
      <c r="AF52" s="188">
        <v>278.0</v>
      </c>
      <c r="AG52" s="188">
        <v>2.0</v>
      </c>
      <c r="AH52" s="188">
        <v>35.0</v>
      </c>
      <c r="AI52" s="188">
        <v>3.0</v>
      </c>
      <c r="AJ52" s="188">
        <v>24.0</v>
      </c>
      <c r="AK52" s="188">
        <v>1.0</v>
      </c>
      <c r="AL52" s="188">
        <v>1.0</v>
      </c>
      <c r="AM52" s="188">
        <v>347.0</v>
      </c>
      <c r="AN52" s="188">
        <v>551.0</v>
      </c>
      <c r="AO52" s="188">
        <v>130.0</v>
      </c>
      <c r="AP52" s="186">
        <v>14526.417461538462</v>
      </c>
      <c r="AQ52" s="189">
        <v>2.669230769230769</v>
      </c>
      <c r="AR52" s="186">
        <v>233004.0</v>
      </c>
      <c r="AS52" s="186">
        <v>31675.0</v>
      </c>
      <c r="AT52" s="187">
        <v>0.1401579097587548</v>
      </c>
      <c r="AU52" s="186">
        <v>30978.270833333332</v>
      </c>
      <c r="AV52" s="219">
        <v>82.0</v>
      </c>
      <c r="AW52" s="219">
        <v>1062.0</v>
      </c>
      <c r="AX52" s="254">
        <v>5658.83</v>
      </c>
      <c r="AY52" s="219">
        <v>86.0</v>
      </c>
      <c r="AZ52" s="219">
        <v>36.0</v>
      </c>
      <c r="BA52" s="219">
        <v>30.0</v>
      </c>
      <c r="BB52" s="219">
        <v>12.0</v>
      </c>
      <c r="BC52" s="191">
        <v>45913.0</v>
      </c>
      <c r="BD52" s="75"/>
      <c r="BE52" s="164">
        <v>-1.0984375001862645</v>
      </c>
    </row>
    <row r="53">
      <c r="A53" s="6" t="s">
        <v>23</v>
      </c>
      <c r="B53" s="183" t="s">
        <v>30</v>
      </c>
      <c r="C53" s="184" t="s">
        <v>24</v>
      </c>
      <c r="D53" s="75" t="s">
        <v>25</v>
      </c>
      <c r="E53" s="256">
        <v>44809.0</v>
      </c>
      <c r="F53" s="75" t="s">
        <v>30</v>
      </c>
      <c r="G53" s="186">
        <v>2.192709E7</v>
      </c>
      <c r="H53" s="190">
        <v>32910.0</v>
      </c>
      <c r="I53" s="190">
        <v>1800000.0</v>
      </c>
      <c r="J53" s="186">
        <v>0.0</v>
      </c>
      <c r="K53" s="186">
        <v>1.08E7</v>
      </c>
      <c r="L53" s="186">
        <v>9913740.8</v>
      </c>
      <c r="M53" s="186">
        <v>0.0</v>
      </c>
      <c r="N53" s="186">
        <v>1.0766455E7</v>
      </c>
      <c r="O53" s="187">
        <v>0.9179389629629631</v>
      </c>
      <c r="P53" s="187">
        <v>0.0</v>
      </c>
      <c r="Q53" s="187">
        <v>0.9968939814814815</v>
      </c>
      <c r="R53" s="188">
        <v>95.0</v>
      </c>
      <c r="S53" s="188">
        <v>92.0</v>
      </c>
      <c r="T53" s="188">
        <v>8.0</v>
      </c>
      <c r="U53" s="188">
        <v>6.0</v>
      </c>
      <c r="V53" s="188">
        <v>103.0</v>
      </c>
      <c r="W53" s="188">
        <v>11.0</v>
      </c>
      <c r="X53" s="189">
        <v>9574744.72</v>
      </c>
      <c r="Y53" s="189">
        <v>338996.08</v>
      </c>
      <c r="Z53" s="188">
        <v>72.0</v>
      </c>
      <c r="AA53" s="188">
        <v>6.0</v>
      </c>
      <c r="AB53" s="188">
        <v>78.0</v>
      </c>
      <c r="AC53" s="188">
        <v>0.0</v>
      </c>
      <c r="AD53" s="188">
        <v>36.0</v>
      </c>
      <c r="AE53" s="188">
        <v>53.0</v>
      </c>
      <c r="AF53" s="188">
        <v>179.0</v>
      </c>
      <c r="AG53" s="188">
        <v>6.0</v>
      </c>
      <c r="AH53" s="188">
        <v>120.0</v>
      </c>
      <c r="AI53" s="188">
        <v>0.0</v>
      </c>
      <c r="AJ53" s="188">
        <v>0.0</v>
      </c>
      <c r="AK53" s="188">
        <v>3.0</v>
      </c>
      <c r="AL53" s="188">
        <v>3.0</v>
      </c>
      <c r="AM53" s="188">
        <v>676.0</v>
      </c>
      <c r="AN53" s="188">
        <v>852.0</v>
      </c>
      <c r="AO53" s="188">
        <v>144.0</v>
      </c>
      <c r="AP53" s="186">
        <v>68845.42222222223</v>
      </c>
      <c r="AQ53" s="189">
        <v>4.694444444444445</v>
      </c>
      <c r="AR53" s="186">
        <v>197460.0</v>
      </c>
      <c r="AS53" s="186">
        <v>33204.0</v>
      </c>
      <c r="AT53" s="187">
        <v>0.023267100144478255</v>
      </c>
      <c r="AU53" s="186">
        <v>127099.24102564104</v>
      </c>
      <c r="AV53" s="219">
        <v>454.0</v>
      </c>
      <c r="AW53" s="219">
        <v>1385.0</v>
      </c>
      <c r="AX53" s="254">
        <v>5618.49</v>
      </c>
      <c r="AY53" s="219">
        <v>61.0</v>
      </c>
      <c r="AZ53" s="219">
        <v>78.0</v>
      </c>
      <c r="BA53" s="219">
        <v>18.0</v>
      </c>
      <c r="BB53" s="219">
        <v>7.0</v>
      </c>
      <c r="BC53" s="191"/>
      <c r="BD53" s="75"/>
      <c r="BE53" s="164">
        <v>1299668.3499999978</v>
      </c>
    </row>
    <row r="54">
      <c r="A54" s="6" t="s">
        <v>298</v>
      </c>
      <c r="B54" s="183" t="s">
        <v>301</v>
      </c>
      <c r="C54" s="183" t="s">
        <v>306</v>
      </c>
      <c r="D54" s="75" t="s">
        <v>226</v>
      </c>
      <c r="E54" s="256">
        <v>44825.0</v>
      </c>
      <c r="F54" s="75" t="s">
        <v>1066</v>
      </c>
      <c r="G54" s="186">
        <v>1.1046346E7</v>
      </c>
      <c r="H54" s="190">
        <v>45000.0</v>
      </c>
      <c r="I54" s="190">
        <v>1800000.0</v>
      </c>
      <c r="J54" s="186">
        <v>0.0</v>
      </c>
      <c r="K54" s="186">
        <v>1.08E7</v>
      </c>
      <c r="L54" s="186">
        <v>4958695.66</v>
      </c>
      <c r="M54" s="186">
        <v>0.0</v>
      </c>
      <c r="N54" s="186">
        <v>4945000.0</v>
      </c>
      <c r="O54" s="187">
        <v>0.459138487037037</v>
      </c>
      <c r="P54" s="187">
        <v>0.0</v>
      </c>
      <c r="Q54" s="187">
        <v>0.45787037037037037</v>
      </c>
      <c r="R54" s="188">
        <v>91.0</v>
      </c>
      <c r="S54" s="188">
        <v>86.0</v>
      </c>
      <c r="T54" s="188">
        <v>2.0</v>
      </c>
      <c r="U54" s="188">
        <v>2.0</v>
      </c>
      <c r="V54" s="188">
        <v>93.0</v>
      </c>
      <c r="W54" s="188">
        <v>7.0</v>
      </c>
      <c r="X54" s="189">
        <v>4903831.66</v>
      </c>
      <c r="Y54" s="189">
        <v>54864.0</v>
      </c>
      <c r="Z54" s="188">
        <v>47.0</v>
      </c>
      <c r="AA54" s="188">
        <v>2.0</v>
      </c>
      <c r="AB54" s="188">
        <v>49.0</v>
      </c>
      <c r="AC54" s="188">
        <v>0.0</v>
      </c>
      <c r="AD54" s="188">
        <v>27.0</v>
      </c>
      <c r="AE54" s="188">
        <v>50.0</v>
      </c>
      <c r="AF54" s="188">
        <v>144.0</v>
      </c>
      <c r="AG54" s="188">
        <v>1.0</v>
      </c>
      <c r="AH54" s="188">
        <v>48.0</v>
      </c>
      <c r="AI54" s="188">
        <v>1.0</v>
      </c>
      <c r="AJ54" s="188">
        <v>2.0</v>
      </c>
      <c r="AK54" s="188">
        <v>0.0</v>
      </c>
      <c r="AL54" s="188">
        <v>0.0</v>
      </c>
      <c r="AM54" s="188">
        <v>753.0</v>
      </c>
      <c r="AN54" s="188">
        <v>853.0</v>
      </c>
      <c r="AO54" s="188">
        <v>148.0</v>
      </c>
      <c r="AP54" s="186">
        <v>33504.700405405405</v>
      </c>
      <c r="AQ54" s="189">
        <v>5.087837837837838</v>
      </c>
      <c r="AR54" s="186">
        <v>270000.0</v>
      </c>
      <c r="AS54" s="186">
        <v>45369.0</v>
      </c>
      <c r="AT54" s="187">
        <v>0.06359918446779611</v>
      </c>
      <c r="AU54" s="186">
        <v>101197.87061224491</v>
      </c>
      <c r="AV54" s="219">
        <v>176.0</v>
      </c>
      <c r="AW54" s="219">
        <v>1409.0</v>
      </c>
      <c r="AX54" s="254">
        <v>9831.18</v>
      </c>
      <c r="AY54" s="219">
        <v>114.0</v>
      </c>
      <c r="AZ54" s="219">
        <v>49.0</v>
      </c>
      <c r="BA54" s="219">
        <v>41.0</v>
      </c>
      <c r="BB54" s="219">
        <v>3.0</v>
      </c>
      <c r="BC54" s="191"/>
      <c r="BD54" s="75"/>
      <c r="BE54" s="164">
        <v>-0.0400000000372529</v>
      </c>
    </row>
    <row r="55">
      <c r="A55" s="6" t="s">
        <v>185</v>
      </c>
      <c r="B55" s="183" t="s">
        <v>222</v>
      </c>
      <c r="C55" s="184" t="s">
        <v>227</v>
      </c>
      <c r="D55" s="75" t="s">
        <v>228</v>
      </c>
      <c r="E55" s="256">
        <v>44868.0</v>
      </c>
      <c r="F55" s="75" t="s">
        <v>1070</v>
      </c>
      <c r="G55" s="186">
        <v>1.0577915360000001E7</v>
      </c>
      <c r="H55" s="190">
        <v>31625.0</v>
      </c>
      <c r="I55" s="190">
        <v>1500000.0</v>
      </c>
      <c r="J55" s="186">
        <v>0.0</v>
      </c>
      <c r="K55" s="186">
        <v>9000000.0</v>
      </c>
      <c r="L55" s="186">
        <v>5102984.17</v>
      </c>
      <c r="M55" s="186">
        <v>0.0</v>
      </c>
      <c r="N55" s="186">
        <v>5199706.0200000005</v>
      </c>
      <c r="O55" s="187">
        <v>0.5669982411111111</v>
      </c>
      <c r="P55" s="187">
        <v>0.0</v>
      </c>
      <c r="Q55" s="187">
        <v>0.5777451133333333</v>
      </c>
      <c r="R55" s="188">
        <v>58.0</v>
      </c>
      <c r="S55" s="188">
        <v>50.0</v>
      </c>
      <c r="T55" s="188">
        <v>1.0</v>
      </c>
      <c r="U55" s="188">
        <v>1.0</v>
      </c>
      <c r="V55" s="188">
        <v>59.0</v>
      </c>
      <c r="W55" s="188">
        <v>9.0</v>
      </c>
      <c r="X55" s="189">
        <v>4940268.07</v>
      </c>
      <c r="Y55" s="189">
        <v>162716.1</v>
      </c>
      <c r="Z55" s="188">
        <v>30.0</v>
      </c>
      <c r="AA55" s="188">
        <v>1.0</v>
      </c>
      <c r="AB55" s="188">
        <v>31.0</v>
      </c>
      <c r="AC55" s="188">
        <v>0.0</v>
      </c>
      <c r="AD55" s="188">
        <v>1.0</v>
      </c>
      <c r="AE55" s="188">
        <v>2.0</v>
      </c>
      <c r="AF55" s="188">
        <v>38.0</v>
      </c>
      <c r="AG55" s="188">
        <v>1.0</v>
      </c>
      <c r="AH55" s="188">
        <v>38.0</v>
      </c>
      <c r="AI55" s="188">
        <v>0.0</v>
      </c>
      <c r="AJ55" s="188">
        <v>0.0</v>
      </c>
      <c r="AK55" s="188">
        <v>0.0</v>
      </c>
      <c r="AL55" s="188">
        <v>0.0</v>
      </c>
      <c r="AM55" s="188">
        <v>296.0</v>
      </c>
      <c r="AN55" s="188">
        <v>336.0</v>
      </c>
      <c r="AO55" s="188">
        <v>124.0</v>
      </c>
      <c r="AP55" s="186">
        <v>41153.09814516129</v>
      </c>
      <c r="AQ55" s="189">
        <v>2.3870967741935485</v>
      </c>
      <c r="AR55" s="186">
        <v>189750.0</v>
      </c>
      <c r="AS55" s="186">
        <v>33437.0</v>
      </c>
      <c r="AT55" s="187">
        <v>0.043736565226303654</v>
      </c>
      <c r="AU55" s="186">
        <v>164612.39258064516</v>
      </c>
      <c r="AV55" s="219">
        <v>70.0</v>
      </c>
      <c r="AW55" s="219">
        <v>1136.0</v>
      </c>
      <c r="AX55" s="254">
        <v>2257.67</v>
      </c>
      <c r="AY55" s="219">
        <v>45.0</v>
      </c>
      <c r="AZ55" s="219">
        <v>31.0</v>
      </c>
      <c r="BA55" s="219">
        <v>20.0</v>
      </c>
      <c r="BB55" s="219">
        <v>8.0</v>
      </c>
      <c r="BC55" s="191"/>
      <c r="BD55" s="75"/>
      <c r="BE55" s="164">
        <v>0.10000000055879354</v>
      </c>
    </row>
    <row r="56">
      <c r="A56" s="6" t="s">
        <v>126</v>
      </c>
      <c r="B56" s="183" t="s">
        <v>130</v>
      </c>
      <c r="C56" s="184" t="s">
        <v>150</v>
      </c>
      <c r="D56" s="75" t="s">
        <v>151</v>
      </c>
      <c r="E56" s="256">
        <v>44911.0</v>
      </c>
      <c r="F56" s="75" t="s">
        <v>130</v>
      </c>
      <c r="G56" s="186">
        <v>1.3718152E7</v>
      </c>
      <c r="H56" s="190">
        <v>45935.0</v>
      </c>
      <c r="I56" s="190">
        <v>1666667.0</v>
      </c>
      <c r="J56" s="186">
        <v>0.0</v>
      </c>
      <c r="K56" s="186">
        <v>1.0000002E7</v>
      </c>
      <c r="L56" s="186">
        <v>9640241.63</v>
      </c>
      <c r="M56" s="186">
        <v>0.0</v>
      </c>
      <c r="N56" s="186">
        <v>9852356.0</v>
      </c>
      <c r="O56" s="187">
        <v>0.964023970195206</v>
      </c>
      <c r="P56" s="187">
        <v>0.0</v>
      </c>
      <c r="Q56" s="187">
        <v>0.9852354029529194</v>
      </c>
      <c r="R56" s="188">
        <v>203.0</v>
      </c>
      <c r="S56" s="188">
        <v>193.0</v>
      </c>
      <c r="T56" s="188">
        <v>37.0</v>
      </c>
      <c r="U56" s="188">
        <v>32.0</v>
      </c>
      <c r="V56" s="188">
        <v>240.0</v>
      </c>
      <c r="W56" s="188">
        <v>47.0</v>
      </c>
      <c r="X56" s="189">
        <v>8359730.82</v>
      </c>
      <c r="Y56" s="189">
        <v>1280510.81</v>
      </c>
      <c r="Z56" s="188">
        <v>138.0</v>
      </c>
      <c r="AA56" s="188">
        <v>32.0</v>
      </c>
      <c r="AB56" s="188">
        <v>170.0</v>
      </c>
      <c r="AC56" s="188">
        <v>0.0</v>
      </c>
      <c r="AD56" s="188">
        <v>29.0</v>
      </c>
      <c r="AE56" s="188">
        <v>47.0</v>
      </c>
      <c r="AF56" s="188">
        <v>133.0</v>
      </c>
      <c r="AG56" s="188">
        <v>2.0</v>
      </c>
      <c r="AH56" s="188">
        <v>96.0</v>
      </c>
      <c r="AI56" s="188">
        <v>0.0</v>
      </c>
      <c r="AJ56" s="188">
        <v>0.0</v>
      </c>
      <c r="AK56" s="188">
        <v>0.0</v>
      </c>
      <c r="AL56" s="188">
        <v>0.0</v>
      </c>
      <c r="AM56" s="188">
        <v>823.0</v>
      </c>
      <c r="AN56" s="188">
        <v>966.0</v>
      </c>
      <c r="AO56" s="188">
        <v>146.0</v>
      </c>
      <c r="AP56" s="186">
        <v>66029.05226027398</v>
      </c>
      <c r="AQ56" s="189">
        <v>5.636986301369863</v>
      </c>
      <c r="AR56" s="186">
        <v>275610.0</v>
      </c>
      <c r="AS56" s="186">
        <v>59325.0</v>
      </c>
      <c r="AT56" s="187">
        <v>0.03474342374963894</v>
      </c>
      <c r="AU56" s="186">
        <v>56707.30370588236</v>
      </c>
      <c r="AV56" s="219">
        <v>531.0</v>
      </c>
      <c r="AW56" s="219">
        <v>1048.0</v>
      </c>
      <c r="AX56" s="254">
        <v>9176.47</v>
      </c>
      <c r="AY56" s="219">
        <v>48.0</v>
      </c>
      <c r="AZ56" s="219">
        <v>170.0</v>
      </c>
      <c r="BA56" s="219">
        <v>31.0</v>
      </c>
      <c r="BB56" s="219">
        <v>39.0</v>
      </c>
      <c r="BC56" s="191"/>
      <c r="BD56" s="75"/>
      <c r="BE56" s="164">
        <v>0.5105175767093897</v>
      </c>
    </row>
    <row r="57">
      <c r="A57" s="6" t="s">
        <v>322</v>
      </c>
      <c r="B57" s="183" t="s">
        <v>325</v>
      </c>
      <c r="C57" s="184" t="s">
        <v>689</v>
      </c>
      <c r="D57" s="75" t="s">
        <v>1071</v>
      </c>
      <c r="E57" s="256">
        <v>44928.0</v>
      </c>
      <c r="F57" s="75" t="s">
        <v>1049</v>
      </c>
      <c r="G57" s="186">
        <v>3181012.0</v>
      </c>
      <c r="H57" s="190">
        <v>49500.0</v>
      </c>
      <c r="I57" s="190">
        <v>833333.0</v>
      </c>
      <c r="J57" s="186">
        <v>0.0</v>
      </c>
      <c r="K57" s="186">
        <v>4999998.0</v>
      </c>
      <c r="L57" s="186">
        <v>1527386.21</v>
      </c>
      <c r="M57" s="186">
        <v>0.0</v>
      </c>
      <c r="N57" s="186">
        <v>638166.0</v>
      </c>
      <c r="O57" s="187">
        <v>0.3054773641909457</v>
      </c>
      <c r="P57" s="187">
        <v>0.0</v>
      </c>
      <c r="Q57" s="187">
        <v>0.12763325105330042</v>
      </c>
      <c r="R57" s="188">
        <v>64.0</v>
      </c>
      <c r="S57" s="188">
        <v>76.0</v>
      </c>
      <c r="T57" s="188">
        <v>18.0</v>
      </c>
      <c r="U57" s="188">
        <v>18.0</v>
      </c>
      <c r="V57" s="188">
        <v>82.0</v>
      </c>
      <c r="W57" s="188">
        <v>6.0</v>
      </c>
      <c r="X57" s="189">
        <v>1149561.14</v>
      </c>
      <c r="Y57" s="189">
        <v>377825.07</v>
      </c>
      <c r="Z57" s="188">
        <v>42.0</v>
      </c>
      <c r="AA57" s="188">
        <v>18.0</v>
      </c>
      <c r="AB57" s="188">
        <v>60.0</v>
      </c>
      <c r="AC57" s="188">
        <v>0.0</v>
      </c>
      <c r="AD57" s="188">
        <v>92.0</v>
      </c>
      <c r="AE57" s="188">
        <v>185.0</v>
      </c>
      <c r="AF57" s="188">
        <v>140.0</v>
      </c>
      <c r="AG57" s="188">
        <v>3.0</v>
      </c>
      <c r="AH57" s="188">
        <v>52.0</v>
      </c>
      <c r="AI57" s="188">
        <v>0.0</v>
      </c>
      <c r="AJ57" s="188">
        <v>0.0</v>
      </c>
      <c r="AK57" s="188">
        <v>1.0</v>
      </c>
      <c r="AL57" s="188">
        <v>1.0</v>
      </c>
      <c r="AM57" s="188">
        <v>360.0</v>
      </c>
      <c r="AN57" s="188">
        <v>598.0</v>
      </c>
      <c r="AO57" s="188">
        <v>143.0</v>
      </c>
      <c r="AP57" s="186">
        <v>10681.022447552446</v>
      </c>
      <c r="AQ57" s="189">
        <v>2.5174825174825175</v>
      </c>
      <c r="AR57" s="186">
        <v>297000.0</v>
      </c>
      <c r="AS57" s="186">
        <v>28541.0</v>
      </c>
      <c r="AT57" s="187">
        <v>0.21313600834460852</v>
      </c>
      <c r="AU57" s="186">
        <v>25456.436833333333</v>
      </c>
      <c r="AV57" s="219">
        <v>100.0</v>
      </c>
      <c r="AW57" s="219">
        <v>1342.0</v>
      </c>
      <c r="AX57" s="254">
        <v>9707.59</v>
      </c>
      <c r="AY57" s="219">
        <v>128.0</v>
      </c>
      <c r="AZ57" s="219">
        <v>60.0</v>
      </c>
      <c r="BA57" s="219">
        <v>18.0</v>
      </c>
      <c r="BB57" s="219">
        <v>4.0</v>
      </c>
      <c r="BC57" s="191"/>
      <c r="BD57" s="75"/>
      <c r="BE57" s="164">
        <v>0.049999999813735485</v>
      </c>
    </row>
    <row r="58">
      <c r="A58" s="6" t="s">
        <v>111</v>
      </c>
      <c r="B58" s="183" t="s">
        <v>117</v>
      </c>
      <c r="C58" s="184" t="s">
        <v>120</v>
      </c>
      <c r="D58" s="75" t="s">
        <v>121</v>
      </c>
      <c r="E58" s="256">
        <v>44953.0</v>
      </c>
      <c r="F58" s="75" t="s">
        <v>1044</v>
      </c>
      <c r="G58" s="186">
        <v>1.1302117E7</v>
      </c>
      <c r="H58" s="190">
        <v>34920.0</v>
      </c>
      <c r="I58" s="190">
        <v>1400000.0</v>
      </c>
      <c r="J58" s="186">
        <v>0.0</v>
      </c>
      <c r="K58" s="186">
        <v>8400000.0</v>
      </c>
      <c r="L58" s="186">
        <v>4243473.6</v>
      </c>
      <c r="M58" s="186">
        <v>0.0</v>
      </c>
      <c r="N58" s="186">
        <v>5497508.0</v>
      </c>
      <c r="O58" s="187">
        <v>0.5051754285714285</v>
      </c>
      <c r="P58" s="187">
        <v>0.0</v>
      </c>
      <c r="Q58" s="187">
        <v>0.654465238095238</v>
      </c>
      <c r="R58" s="188">
        <v>133.0</v>
      </c>
      <c r="S58" s="188">
        <v>132.0</v>
      </c>
      <c r="T58" s="188">
        <v>10.0</v>
      </c>
      <c r="U58" s="188">
        <v>10.0</v>
      </c>
      <c r="V58" s="188">
        <v>143.0</v>
      </c>
      <c r="W58" s="188">
        <v>11.0</v>
      </c>
      <c r="X58" s="189">
        <v>3823720.12</v>
      </c>
      <c r="Y58" s="189">
        <v>419753.48</v>
      </c>
      <c r="Z58" s="188">
        <v>88.0</v>
      </c>
      <c r="AA58" s="188">
        <v>10.0</v>
      </c>
      <c r="AB58" s="188">
        <v>98.0</v>
      </c>
      <c r="AC58" s="188">
        <v>0.0</v>
      </c>
      <c r="AD58" s="188">
        <v>3.0</v>
      </c>
      <c r="AE58" s="188">
        <v>6.0</v>
      </c>
      <c r="AF58" s="188">
        <v>41.0</v>
      </c>
      <c r="AG58" s="188">
        <v>1.0</v>
      </c>
      <c r="AH58" s="188">
        <v>1.0</v>
      </c>
      <c r="AI58" s="188">
        <v>0.0</v>
      </c>
      <c r="AJ58" s="188">
        <v>0.0</v>
      </c>
      <c r="AK58" s="188">
        <v>0.0</v>
      </c>
      <c r="AL58" s="188">
        <v>0.0</v>
      </c>
      <c r="AM58" s="188">
        <v>1052.0</v>
      </c>
      <c r="AN58" s="188">
        <v>1059.0</v>
      </c>
      <c r="AO58" s="188">
        <v>145.0</v>
      </c>
      <c r="AP58" s="186">
        <v>29265.33517241379</v>
      </c>
      <c r="AQ58" s="189">
        <v>7.255172413793104</v>
      </c>
      <c r="AR58" s="186">
        <v>209520.0</v>
      </c>
      <c r="AS58" s="186">
        <v>43738.0</v>
      </c>
      <c r="AT58" s="187">
        <v>0.05968176637177618</v>
      </c>
      <c r="AU58" s="186">
        <v>43300.75102040816</v>
      </c>
      <c r="AV58" s="219">
        <v>359.0</v>
      </c>
      <c r="AW58" s="219">
        <v>1568.0</v>
      </c>
      <c r="AX58" s="254">
        <v>10196.98</v>
      </c>
      <c r="AY58" s="219">
        <v>77.0</v>
      </c>
      <c r="AZ58" s="219">
        <v>98.0</v>
      </c>
      <c r="BA58" s="219">
        <v>34.0</v>
      </c>
      <c r="BB58" s="219">
        <v>11.0</v>
      </c>
      <c r="BC58" s="191"/>
      <c r="BD58" s="75"/>
      <c r="BE58" s="164">
        <v>-0.1399999987334013</v>
      </c>
    </row>
    <row r="59">
      <c r="A59" s="6" t="s">
        <v>185</v>
      </c>
      <c r="B59" s="183" t="s">
        <v>189</v>
      </c>
      <c r="C59" s="184" t="s">
        <v>697</v>
      </c>
      <c r="D59" s="75" t="s">
        <v>1072</v>
      </c>
      <c r="E59" s="256">
        <v>44958.0</v>
      </c>
      <c r="F59" s="75" t="s">
        <v>1016</v>
      </c>
      <c r="G59" s="186">
        <v>1.94065394E7</v>
      </c>
      <c r="H59" s="190">
        <v>24116.0</v>
      </c>
      <c r="I59" s="190">
        <v>4000000.0</v>
      </c>
      <c r="J59" s="186">
        <v>0.0</v>
      </c>
      <c r="K59" s="186">
        <v>2.4E7</v>
      </c>
      <c r="L59" s="186">
        <v>1.836190291E7</v>
      </c>
      <c r="M59" s="186">
        <v>0.0</v>
      </c>
      <c r="N59" s="186">
        <v>1.9320783E7</v>
      </c>
      <c r="O59" s="187">
        <v>0.7650792879166667</v>
      </c>
      <c r="P59" s="187">
        <v>0.0</v>
      </c>
      <c r="Q59" s="187">
        <v>0.805032625</v>
      </c>
      <c r="R59" s="188">
        <v>66.0</v>
      </c>
      <c r="S59" s="188">
        <v>69.0</v>
      </c>
      <c r="T59" s="188">
        <v>3.0</v>
      </c>
      <c r="U59" s="188">
        <v>3.0</v>
      </c>
      <c r="V59" s="188">
        <v>69.0</v>
      </c>
      <c r="W59" s="188">
        <v>0.0</v>
      </c>
      <c r="X59" s="189">
        <v>1.798825561E7</v>
      </c>
      <c r="Y59" s="189">
        <v>373647.3</v>
      </c>
      <c r="Z59" s="188">
        <v>61.0</v>
      </c>
      <c r="AA59" s="188">
        <v>3.0</v>
      </c>
      <c r="AB59" s="188">
        <v>64.0</v>
      </c>
      <c r="AC59" s="188">
        <v>0.0</v>
      </c>
      <c r="AD59" s="188">
        <v>1.0</v>
      </c>
      <c r="AE59" s="188">
        <v>2.0</v>
      </c>
      <c r="AF59" s="188">
        <v>62.0</v>
      </c>
      <c r="AG59" s="188">
        <v>2.0</v>
      </c>
      <c r="AH59" s="188">
        <v>18.0</v>
      </c>
      <c r="AI59" s="188">
        <v>0.0</v>
      </c>
      <c r="AJ59" s="188">
        <v>0.0</v>
      </c>
      <c r="AK59" s="188">
        <v>0.0</v>
      </c>
      <c r="AL59" s="188">
        <v>0.0</v>
      </c>
      <c r="AM59" s="188">
        <v>684.0</v>
      </c>
      <c r="AN59" s="188">
        <v>704.0</v>
      </c>
      <c r="AO59" s="188">
        <v>147.0</v>
      </c>
      <c r="AP59" s="186">
        <v>124910.90414965987</v>
      </c>
      <c r="AQ59" s="189">
        <v>4.653061224489796</v>
      </c>
      <c r="AR59" s="186">
        <v>144696.0</v>
      </c>
      <c r="AS59" s="186">
        <v>29840.0</v>
      </c>
      <c r="AT59" s="187">
        <v>0.00950533290887551</v>
      </c>
      <c r="AU59" s="186">
        <v>286904.73296875</v>
      </c>
      <c r="AV59" s="219">
        <v>195.0</v>
      </c>
      <c r="AW59" s="219">
        <v>1625.0</v>
      </c>
      <c r="AX59" s="254">
        <v>7156.78</v>
      </c>
      <c r="AY59" s="219">
        <v>104.0</v>
      </c>
      <c r="AZ59" s="219">
        <v>64.0</v>
      </c>
      <c r="BA59" s="219">
        <v>5.0</v>
      </c>
      <c r="BB59" s="219">
        <v>0.0</v>
      </c>
      <c r="BC59" s="191"/>
      <c r="BD59" s="75"/>
      <c r="BE59" s="164">
        <v>-0.03999999910593033</v>
      </c>
    </row>
    <row r="60">
      <c r="A60" s="6" t="s">
        <v>23</v>
      </c>
      <c r="B60" s="183" t="s">
        <v>27</v>
      </c>
      <c r="C60" s="183" t="s">
        <v>702</v>
      </c>
      <c r="D60" s="75" t="s">
        <v>27</v>
      </c>
      <c r="E60" s="256">
        <v>44994.0</v>
      </c>
      <c r="F60" s="75" t="s">
        <v>1073</v>
      </c>
      <c r="G60" s="186">
        <v>1.1621619E7</v>
      </c>
      <c r="H60" s="190">
        <v>46390.0</v>
      </c>
      <c r="I60" s="190">
        <v>1700000.0</v>
      </c>
      <c r="J60" s="186">
        <v>1200000.0</v>
      </c>
      <c r="K60" s="186">
        <v>9000000.0</v>
      </c>
      <c r="L60" s="186">
        <v>5575734.36</v>
      </c>
      <c r="M60" s="186">
        <v>649320.89</v>
      </c>
      <c r="N60" s="186">
        <v>6437162.0</v>
      </c>
      <c r="O60" s="187">
        <v>0.6102995343137255</v>
      </c>
      <c r="P60" s="187">
        <v>0.54</v>
      </c>
      <c r="Q60" s="187">
        <v>0.6310943137254902</v>
      </c>
      <c r="R60" s="188">
        <v>83.0</v>
      </c>
      <c r="S60" s="188">
        <v>58.0</v>
      </c>
      <c r="T60" s="188">
        <v>3.0</v>
      </c>
      <c r="U60" s="188">
        <v>3.0</v>
      </c>
      <c r="V60" s="188">
        <v>86.0</v>
      </c>
      <c r="W60" s="188">
        <v>28.0</v>
      </c>
      <c r="X60" s="189">
        <v>5443840.16</v>
      </c>
      <c r="Y60" s="189">
        <v>131894.2</v>
      </c>
      <c r="Z60" s="188">
        <v>39.0</v>
      </c>
      <c r="AA60" s="188">
        <v>3.0</v>
      </c>
      <c r="AB60" s="188">
        <v>42.0</v>
      </c>
      <c r="AC60" s="188">
        <v>4.0</v>
      </c>
      <c r="AD60" s="188">
        <v>8.0</v>
      </c>
      <c r="AE60" s="188">
        <v>8.0</v>
      </c>
      <c r="AF60" s="188">
        <v>120.0</v>
      </c>
      <c r="AG60" s="188">
        <v>3.0</v>
      </c>
      <c r="AH60" s="188">
        <v>50.0</v>
      </c>
      <c r="AI60" s="188">
        <v>6.0</v>
      </c>
      <c r="AJ60" s="188">
        <v>83.0</v>
      </c>
      <c r="AK60" s="188">
        <v>2.0</v>
      </c>
      <c r="AL60" s="188">
        <v>34.0</v>
      </c>
      <c r="AM60" s="188">
        <v>576.0</v>
      </c>
      <c r="AN60" s="188">
        <v>751.0</v>
      </c>
      <c r="AO60" s="188">
        <v>139.0</v>
      </c>
      <c r="AP60" s="186">
        <v>44784.57014388489</v>
      </c>
      <c r="AQ60" s="189">
        <v>4.143884892086331</v>
      </c>
      <c r="AR60" s="186">
        <v>278340.0</v>
      </c>
      <c r="AS60" s="186">
        <v>22190.0</v>
      </c>
      <c r="AT60" s="187">
        <v>0.04827748315968762</v>
      </c>
      <c r="AU60" s="186">
        <v>132755.58000000002</v>
      </c>
      <c r="AV60" s="219">
        <v>159.0</v>
      </c>
      <c r="AW60" s="219">
        <v>1394.0</v>
      </c>
      <c r="AX60" s="254">
        <v>4324.0</v>
      </c>
      <c r="AY60" s="219">
        <v>75.0</v>
      </c>
      <c r="AZ60" s="219">
        <v>42.0</v>
      </c>
      <c r="BA60" s="219">
        <v>20.0</v>
      </c>
      <c r="BB60" s="219">
        <v>24.0</v>
      </c>
      <c r="BC60" s="191"/>
      <c r="BD60" s="75"/>
      <c r="BE60" s="164">
        <v>679579.2299999995</v>
      </c>
    </row>
    <row r="61">
      <c r="A61" s="6" t="s">
        <v>126</v>
      </c>
      <c r="B61" s="183" t="s">
        <v>130</v>
      </c>
      <c r="C61" s="184" t="s">
        <v>704</v>
      </c>
      <c r="D61" s="75" t="s">
        <v>439</v>
      </c>
      <c r="E61" s="256">
        <v>45000.0</v>
      </c>
      <c r="F61" s="75" t="s">
        <v>130</v>
      </c>
      <c r="G61" s="186">
        <v>8973760.0</v>
      </c>
      <c r="H61" s="190">
        <v>28360.0</v>
      </c>
      <c r="I61" s="190">
        <v>2083333.0</v>
      </c>
      <c r="J61" s="186">
        <v>0.0</v>
      </c>
      <c r="K61" s="186">
        <v>1.0416665E7</v>
      </c>
      <c r="L61" s="186">
        <v>1970484.12</v>
      </c>
      <c r="M61" s="186">
        <v>0.0</v>
      </c>
      <c r="N61" s="186">
        <v>1513261.0</v>
      </c>
      <c r="O61" s="187">
        <v>0.18916650578664093</v>
      </c>
      <c r="P61" s="187">
        <v>0.0</v>
      </c>
      <c r="Q61" s="187">
        <v>0.14527307924369268</v>
      </c>
      <c r="R61" s="188">
        <v>30.0</v>
      </c>
      <c r="S61" s="188">
        <v>29.0</v>
      </c>
      <c r="T61" s="188">
        <v>4.0</v>
      </c>
      <c r="U61" s="188">
        <v>4.0</v>
      </c>
      <c r="V61" s="188">
        <v>34.0</v>
      </c>
      <c r="W61" s="188">
        <v>5.0</v>
      </c>
      <c r="X61" s="189">
        <v>1733087.18</v>
      </c>
      <c r="Y61" s="189">
        <v>237396.94</v>
      </c>
      <c r="Z61" s="188">
        <v>17.0</v>
      </c>
      <c r="AA61" s="188">
        <v>4.0</v>
      </c>
      <c r="AB61" s="188">
        <v>21.0</v>
      </c>
      <c r="AC61" s="188">
        <v>0.0</v>
      </c>
      <c r="AD61" s="188">
        <v>8.0</v>
      </c>
      <c r="AE61" s="188">
        <v>9.0</v>
      </c>
      <c r="AF61" s="188">
        <v>100.0</v>
      </c>
      <c r="AG61" s="188">
        <v>1.0</v>
      </c>
      <c r="AH61" s="188">
        <v>23.0</v>
      </c>
      <c r="AI61" s="188">
        <v>0.0</v>
      </c>
      <c r="AJ61" s="188">
        <v>0.0</v>
      </c>
      <c r="AK61" s="188">
        <v>0.0</v>
      </c>
      <c r="AL61" s="188">
        <v>0.0</v>
      </c>
      <c r="AM61" s="188">
        <v>418.0</v>
      </c>
      <c r="AN61" s="188">
        <v>450.0</v>
      </c>
      <c r="AO61" s="188">
        <v>111.0</v>
      </c>
      <c r="AP61" s="186">
        <v>17752.109189189192</v>
      </c>
      <c r="AQ61" s="189">
        <v>3.765765765765766</v>
      </c>
      <c r="AR61" s="186">
        <v>141800.0</v>
      </c>
      <c r="AS61" s="186">
        <v>44700.0</v>
      </c>
      <c r="AT61" s="187">
        <v>0.09464679167269817</v>
      </c>
      <c r="AU61" s="186">
        <v>93832.57714285715</v>
      </c>
      <c r="AV61" s="219">
        <v>40.0</v>
      </c>
      <c r="AW61" s="219">
        <v>773.0</v>
      </c>
      <c r="AX61" s="254">
        <v>4479.54</v>
      </c>
      <c r="AY61" s="219">
        <v>154.0</v>
      </c>
      <c r="AZ61" s="219">
        <v>21.0</v>
      </c>
      <c r="BA61" s="219">
        <v>8.0</v>
      </c>
      <c r="BB61" s="219">
        <v>5.0</v>
      </c>
      <c r="BC61" s="191">
        <v>45900.0</v>
      </c>
      <c r="BD61" s="75"/>
      <c r="BE61" s="164">
        <v>0.38953124987892807</v>
      </c>
    </row>
    <row r="62">
      <c r="A62" s="6" t="s">
        <v>185</v>
      </c>
      <c r="B62" s="183" t="s">
        <v>215</v>
      </c>
      <c r="C62" s="184" t="s">
        <v>713</v>
      </c>
      <c r="D62" s="75" t="s">
        <v>1074</v>
      </c>
      <c r="E62" s="256">
        <v>45040.0</v>
      </c>
      <c r="F62" s="75" t="s">
        <v>1064</v>
      </c>
      <c r="G62" s="186">
        <v>9731676.0</v>
      </c>
      <c r="H62" s="190">
        <v>36400.0</v>
      </c>
      <c r="I62" s="190">
        <v>1500000.0</v>
      </c>
      <c r="J62" s="186">
        <v>0.0</v>
      </c>
      <c r="K62" s="186">
        <v>9000000.0</v>
      </c>
      <c r="L62" s="186">
        <v>5978200.7</v>
      </c>
      <c r="M62" s="186">
        <v>0.0</v>
      </c>
      <c r="N62" s="186">
        <v>5233737.0</v>
      </c>
      <c r="O62" s="187">
        <v>0.6642445222222222</v>
      </c>
      <c r="P62" s="187">
        <v>0.0</v>
      </c>
      <c r="Q62" s="187">
        <v>0.5815263333333334</v>
      </c>
      <c r="R62" s="188">
        <v>27.0</v>
      </c>
      <c r="S62" s="188">
        <v>36.0</v>
      </c>
      <c r="T62" s="188">
        <v>9.0</v>
      </c>
      <c r="U62" s="188">
        <v>9.0</v>
      </c>
      <c r="V62" s="188">
        <v>36.0</v>
      </c>
      <c r="W62" s="188">
        <v>0.0</v>
      </c>
      <c r="X62" s="189">
        <v>4695432.48</v>
      </c>
      <c r="Y62" s="189">
        <v>1282768.22</v>
      </c>
      <c r="Z62" s="188">
        <v>17.0</v>
      </c>
      <c r="AA62" s="188">
        <v>9.0</v>
      </c>
      <c r="AB62" s="188">
        <v>26.0</v>
      </c>
      <c r="AC62" s="188">
        <v>0.0</v>
      </c>
      <c r="AD62" s="188">
        <v>48.0</v>
      </c>
      <c r="AE62" s="188">
        <v>84.0</v>
      </c>
      <c r="AF62" s="188">
        <v>65.0</v>
      </c>
      <c r="AG62" s="188">
        <v>1.0</v>
      </c>
      <c r="AH62" s="188">
        <v>6.0</v>
      </c>
      <c r="AI62" s="188">
        <v>0.0</v>
      </c>
      <c r="AJ62" s="188">
        <v>0.0</v>
      </c>
      <c r="AK62" s="188">
        <v>0.0</v>
      </c>
      <c r="AL62" s="188">
        <v>0.0</v>
      </c>
      <c r="AM62" s="188">
        <v>700.0</v>
      </c>
      <c r="AN62" s="188">
        <v>790.0</v>
      </c>
      <c r="AO62" s="188">
        <v>148.0</v>
      </c>
      <c r="AP62" s="186">
        <v>40393.247972972975</v>
      </c>
      <c r="AQ62" s="189">
        <v>4.72972972972973</v>
      </c>
      <c r="AR62" s="186">
        <v>218400.0</v>
      </c>
      <c r="AS62" s="186">
        <v>53741.0</v>
      </c>
      <c r="AT62" s="187">
        <v>0.04552222544151119</v>
      </c>
      <c r="AU62" s="186">
        <v>229930.79615384617</v>
      </c>
      <c r="AV62" s="219">
        <v>61.0</v>
      </c>
      <c r="AW62" s="219">
        <v>1247.0</v>
      </c>
      <c r="AX62" s="254">
        <v>8579.9</v>
      </c>
      <c r="AY62" s="219">
        <v>238.0</v>
      </c>
      <c r="AZ62" s="219">
        <v>26.0</v>
      </c>
      <c r="BA62" s="219">
        <v>10.0</v>
      </c>
      <c r="BB62" s="219">
        <v>0.0</v>
      </c>
      <c r="BC62" s="191"/>
      <c r="BD62" s="75"/>
      <c r="BE62" s="164">
        <v>-0.2599999997764826</v>
      </c>
    </row>
    <row r="63">
      <c r="A63" s="6" t="s">
        <v>185</v>
      </c>
      <c r="B63" s="183" t="s">
        <v>189</v>
      </c>
      <c r="C63" s="183" t="s">
        <v>402</v>
      </c>
      <c r="D63" s="75" t="s">
        <v>192</v>
      </c>
      <c r="E63" s="256">
        <v>45040.0</v>
      </c>
      <c r="F63" s="75" t="s">
        <v>1016</v>
      </c>
      <c r="G63" s="186">
        <v>2909376.0</v>
      </c>
      <c r="H63" s="190">
        <v>25690.0</v>
      </c>
      <c r="I63" s="190">
        <v>1500000.0</v>
      </c>
      <c r="J63" s="186">
        <v>0.0</v>
      </c>
      <c r="K63" s="186">
        <v>9000000.0</v>
      </c>
      <c r="L63" s="186">
        <v>4573013.75</v>
      </c>
      <c r="M63" s="186">
        <v>0.0</v>
      </c>
      <c r="N63" s="186">
        <v>3153649.0</v>
      </c>
      <c r="O63" s="187">
        <v>0.5081126388888889</v>
      </c>
      <c r="P63" s="187">
        <v>0.0</v>
      </c>
      <c r="Q63" s="187">
        <v>0.35040544444444444</v>
      </c>
      <c r="R63" s="188">
        <v>75.0</v>
      </c>
      <c r="S63" s="188">
        <v>63.0</v>
      </c>
      <c r="T63" s="188">
        <v>1.0</v>
      </c>
      <c r="U63" s="188">
        <v>1.0</v>
      </c>
      <c r="V63" s="188">
        <v>76.0</v>
      </c>
      <c r="W63" s="188">
        <v>13.0</v>
      </c>
      <c r="X63" s="189">
        <v>4571337.35</v>
      </c>
      <c r="Y63" s="189">
        <v>1676.4</v>
      </c>
      <c r="Z63" s="188">
        <v>28.0</v>
      </c>
      <c r="AA63" s="188">
        <v>1.0</v>
      </c>
      <c r="AB63" s="188">
        <v>29.0</v>
      </c>
      <c r="AC63" s="188">
        <v>0.0</v>
      </c>
      <c r="AD63" s="188">
        <v>6.0</v>
      </c>
      <c r="AE63" s="188">
        <v>17.0</v>
      </c>
      <c r="AF63" s="188">
        <v>45.0</v>
      </c>
      <c r="AG63" s="188">
        <v>2.0</v>
      </c>
      <c r="AH63" s="188">
        <v>2.0</v>
      </c>
      <c r="AI63" s="188">
        <v>0.0</v>
      </c>
      <c r="AJ63" s="188">
        <v>0.0</v>
      </c>
      <c r="AK63" s="188">
        <v>0.0</v>
      </c>
      <c r="AL63" s="188">
        <v>0.0</v>
      </c>
      <c r="AM63" s="188">
        <v>669.0</v>
      </c>
      <c r="AN63" s="188">
        <v>688.0</v>
      </c>
      <c r="AO63" s="188">
        <v>140.0</v>
      </c>
      <c r="AP63" s="186">
        <v>32664.383928571428</v>
      </c>
      <c r="AQ63" s="189">
        <v>4.7785714285714285</v>
      </c>
      <c r="AR63" s="186">
        <v>154140.0</v>
      </c>
      <c r="AS63" s="186">
        <v>23987.0</v>
      </c>
      <c r="AT63" s="187">
        <v>0.038951774417909854</v>
      </c>
      <c r="AU63" s="186">
        <v>157690.12931034484</v>
      </c>
      <c r="AV63" s="219">
        <v>83.0</v>
      </c>
      <c r="AW63" s="219">
        <v>1169.0</v>
      </c>
      <c r="AX63" s="254">
        <v>6311.22</v>
      </c>
      <c r="AY63" s="219">
        <v>100.0</v>
      </c>
      <c r="AZ63" s="219">
        <v>29.0</v>
      </c>
      <c r="BA63" s="219">
        <v>34.0</v>
      </c>
      <c r="BB63" s="219">
        <v>13.0</v>
      </c>
      <c r="BC63" s="191"/>
      <c r="BD63" s="75"/>
      <c r="BE63" s="164">
        <v>0.09999999962747097</v>
      </c>
    </row>
    <row r="64">
      <c r="A64" s="6" t="s">
        <v>298</v>
      </c>
      <c r="B64" s="183" t="s">
        <v>301</v>
      </c>
      <c r="C64" s="184" t="s">
        <v>715</v>
      </c>
      <c r="D64" s="75" t="s">
        <v>303</v>
      </c>
      <c r="E64" s="256">
        <v>45047.0</v>
      </c>
      <c r="F64" s="75" t="s">
        <v>1066</v>
      </c>
      <c r="G64" s="186">
        <v>7311644.0</v>
      </c>
      <c r="H64" s="190">
        <v>37990.0</v>
      </c>
      <c r="I64" s="190">
        <v>1200000.0</v>
      </c>
      <c r="J64" s="186">
        <v>0.0</v>
      </c>
      <c r="K64" s="186">
        <v>7200000.0</v>
      </c>
      <c r="L64" s="186">
        <v>2635386.58</v>
      </c>
      <c r="M64" s="186">
        <v>0.0</v>
      </c>
      <c r="N64" s="186">
        <v>3018704.0</v>
      </c>
      <c r="O64" s="187">
        <v>0.3660259138888889</v>
      </c>
      <c r="P64" s="187">
        <v>0.0</v>
      </c>
      <c r="Q64" s="187">
        <v>0.41926444444444444</v>
      </c>
      <c r="R64" s="188">
        <v>113.0</v>
      </c>
      <c r="S64" s="188">
        <v>98.0</v>
      </c>
      <c r="T64" s="188">
        <v>5.0</v>
      </c>
      <c r="U64" s="188">
        <v>4.0</v>
      </c>
      <c r="V64" s="188">
        <v>118.0</v>
      </c>
      <c r="W64" s="188">
        <v>20.0</v>
      </c>
      <c r="X64" s="189">
        <v>2541596.66</v>
      </c>
      <c r="Y64" s="189">
        <v>93789.92</v>
      </c>
      <c r="Z64" s="188">
        <v>68.0</v>
      </c>
      <c r="AA64" s="188">
        <v>4.0</v>
      </c>
      <c r="AB64" s="188">
        <v>72.0</v>
      </c>
      <c r="AC64" s="188">
        <v>0.0</v>
      </c>
      <c r="AD64" s="188">
        <v>9.0</v>
      </c>
      <c r="AE64" s="188">
        <v>18.0</v>
      </c>
      <c r="AF64" s="188">
        <v>159.0</v>
      </c>
      <c r="AG64" s="188">
        <v>1.0</v>
      </c>
      <c r="AH64" s="188">
        <v>15.0</v>
      </c>
      <c r="AI64" s="188">
        <v>0.0</v>
      </c>
      <c r="AJ64" s="188">
        <v>0.0</v>
      </c>
      <c r="AK64" s="188">
        <v>0.0</v>
      </c>
      <c r="AL64" s="188">
        <v>0.0</v>
      </c>
      <c r="AM64" s="188">
        <v>616.0</v>
      </c>
      <c r="AN64" s="188">
        <v>649.0</v>
      </c>
      <c r="AO64" s="188">
        <v>144.0</v>
      </c>
      <c r="AP64" s="186">
        <v>18301.295694444445</v>
      </c>
      <c r="AQ64" s="189">
        <v>4.277777777777778</v>
      </c>
      <c r="AR64" s="186">
        <v>227940.0</v>
      </c>
      <c r="AS64" s="186">
        <v>35214.0</v>
      </c>
      <c r="AT64" s="187">
        <v>0.09985404114792146</v>
      </c>
      <c r="AU64" s="186">
        <v>36602.59138888889</v>
      </c>
      <c r="AV64" s="219">
        <v>244.0</v>
      </c>
      <c r="AW64" s="219">
        <v>1475.0</v>
      </c>
      <c r="AX64" s="254">
        <v>8504.98</v>
      </c>
      <c r="AY64" s="219">
        <v>87.0</v>
      </c>
      <c r="AZ64" s="219">
        <v>72.0</v>
      </c>
      <c r="BA64" s="219">
        <v>29.0</v>
      </c>
      <c r="BB64" s="219">
        <v>17.0</v>
      </c>
      <c r="BC64" s="191"/>
      <c r="BD64" s="75"/>
      <c r="BE64" s="164">
        <v>-0.02000000001862645</v>
      </c>
    </row>
    <row r="65">
      <c r="A65" s="6" t="s">
        <v>298</v>
      </c>
      <c r="B65" s="183" t="s">
        <v>301</v>
      </c>
      <c r="C65" s="184" t="s">
        <v>716</v>
      </c>
      <c r="D65" s="75" t="s">
        <v>317</v>
      </c>
      <c r="E65" s="256">
        <v>45047.0</v>
      </c>
      <c r="F65" s="75" t="s">
        <v>1066</v>
      </c>
      <c r="G65" s="186">
        <v>3836040.0</v>
      </c>
      <c r="H65" s="190">
        <v>37335.0</v>
      </c>
      <c r="I65" s="190"/>
      <c r="J65" s="186">
        <v>0.0</v>
      </c>
      <c r="K65" s="186">
        <v>0.0</v>
      </c>
      <c r="L65" s="186">
        <v>0.0</v>
      </c>
      <c r="M65" s="186">
        <v>0.0</v>
      </c>
      <c r="N65" s="186">
        <v>0.0</v>
      </c>
      <c r="O65" s="187"/>
      <c r="P65" s="187">
        <v>0.0</v>
      </c>
      <c r="Q65" s="187"/>
      <c r="R65" s="188">
        <v>35.0</v>
      </c>
      <c r="S65" s="188">
        <v>28.0</v>
      </c>
      <c r="T65" s="188">
        <v>1.0</v>
      </c>
      <c r="U65" s="188">
        <v>0.0</v>
      </c>
      <c r="V65" s="188">
        <v>36.0</v>
      </c>
      <c r="W65" s="188">
        <v>8.0</v>
      </c>
      <c r="X65" s="189">
        <v>0.0</v>
      </c>
      <c r="Y65" s="189">
        <v>0.0</v>
      </c>
      <c r="Z65" s="188">
        <v>0.0</v>
      </c>
      <c r="AA65" s="188">
        <v>0.0</v>
      </c>
      <c r="AB65" s="188">
        <v>0.0</v>
      </c>
      <c r="AC65" s="188">
        <v>0.0</v>
      </c>
      <c r="AD65" s="188">
        <v>3.0</v>
      </c>
      <c r="AE65" s="188">
        <v>4.0</v>
      </c>
      <c r="AF65" s="188">
        <v>120.0</v>
      </c>
      <c r="AG65" s="188">
        <v>5.0</v>
      </c>
      <c r="AH65" s="188">
        <v>26.0</v>
      </c>
      <c r="AI65" s="188">
        <v>1.0</v>
      </c>
      <c r="AJ65" s="188">
        <v>4.0</v>
      </c>
      <c r="AK65" s="188">
        <v>2.0</v>
      </c>
      <c r="AL65" s="188">
        <v>5.0</v>
      </c>
      <c r="AM65" s="188">
        <v>74.0</v>
      </c>
      <c r="AN65" s="188">
        <v>113.0</v>
      </c>
      <c r="AO65" s="188">
        <v>32.0</v>
      </c>
      <c r="AP65" s="186">
        <v>0.0</v>
      </c>
      <c r="AQ65" s="189">
        <v>2.3125</v>
      </c>
      <c r="AR65" s="186">
        <v>47042.1</v>
      </c>
      <c r="AS65" s="186">
        <v>11050.0</v>
      </c>
      <c r="AT65" s="187"/>
      <c r="AU65" s="186"/>
      <c r="AV65" s="219">
        <v>0.0</v>
      </c>
      <c r="AW65" s="219">
        <v>275.0</v>
      </c>
      <c r="AX65" s="254">
        <v>2661.84</v>
      </c>
      <c r="AY65" s="219">
        <v>95.0</v>
      </c>
      <c r="AZ65" s="219">
        <v>0.0</v>
      </c>
      <c r="BA65" s="219">
        <v>28.0</v>
      </c>
      <c r="BB65" s="219">
        <v>8.0</v>
      </c>
      <c r="BC65" s="191">
        <v>45785.0</v>
      </c>
      <c r="BD65" s="75"/>
      <c r="BE65" s="164">
        <v>0.0</v>
      </c>
    </row>
    <row r="66">
      <c r="A66" s="6" t="s">
        <v>185</v>
      </c>
      <c r="B66" s="183" t="s">
        <v>189</v>
      </c>
      <c r="C66" s="184" t="s">
        <v>726</v>
      </c>
      <c r="D66" s="75" t="s">
        <v>1075</v>
      </c>
      <c r="E66" s="256">
        <v>45047.0</v>
      </c>
      <c r="F66" s="75" t="s">
        <v>1016</v>
      </c>
      <c r="G66" s="186">
        <v>7721539.0</v>
      </c>
      <c r="H66" s="190">
        <v>31500.0</v>
      </c>
      <c r="I66" s="190">
        <v>1500000.0</v>
      </c>
      <c r="J66" s="186">
        <v>0.0</v>
      </c>
      <c r="K66" s="186">
        <v>9000000.0</v>
      </c>
      <c r="L66" s="186">
        <v>6760723.02</v>
      </c>
      <c r="M66" s="186">
        <v>0.0</v>
      </c>
      <c r="N66" s="186">
        <v>6227211.0</v>
      </c>
      <c r="O66" s="187">
        <v>0.7511914466666666</v>
      </c>
      <c r="P66" s="187">
        <v>0.0</v>
      </c>
      <c r="Q66" s="187">
        <v>0.6919123333333334</v>
      </c>
      <c r="R66" s="188">
        <v>45.0</v>
      </c>
      <c r="S66" s="188">
        <v>47.0</v>
      </c>
      <c r="T66" s="188">
        <v>5.0</v>
      </c>
      <c r="U66" s="188">
        <v>3.0</v>
      </c>
      <c r="V66" s="188">
        <v>50.0</v>
      </c>
      <c r="W66" s="188">
        <v>3.0</v>
      </c>
      <c r="X66" s="189">
        <v>6336932.59</v>
      </c>
      <c r="Y66" s="189">
        <v>423790.43</v>
      </c>
      <c r="Z66" s="188">
        <v>14.0</v>
      </c>
      <c r="AA66" s="188">
        <v>3.0</v>
      </c>
      <c r="AB66" s="188">
        <v>17.0</v>
      </c>
      <c r="AC66" s="188">
        <v>0.0</v>
      </c>
      <c r="AD66" s="188">
        <v>52.0</v>
      </c>
      <c r="AE66" s="188">
        <v>121.0</v>
      </c>
      <c r="AF66" s="188">
        <v>166.0</v>
      </c>
      <c r="AG66" s="188">
        <v>2.0</v>
      </c>
      <c r="AH66" s="188">
        <v>5.0</v>
      </c>
      <c r="AI66" s="188">
        <v>0.0</v>
      </c>
      <c r="AJ66" s="188">
        <v>0.0</v>
      </c>
      <c r="AK66" s="188">
        <v>0.0</v>
      </c>
      <c r="AL66" s="188">
        <v>0.0</v>
      </c>
      <c r="AM66" s="188">
        <v>757.0</v>
      </c>
      <c r="AN66" s="188">
        <v>883.0</v>
      </c>
      <c r="AO66" s="188">
        <v>148.0</v>
      </c>
      <c r="AP66" s="186">
        <v>45680.560945945945</v>
      </c>
      <c r="AQ66" s="189">
        <v>5.114864864864865</v>
      </c>
      <c r="AR66" s="186">
        <v>189000.0</v>
      </c>
      <c r="AS66" s="186">
        <v>33968.0</v>
      </c>
      <c r="AT66" s="187">
        <v>0.03297990456647934</v>
      </c>
      <c r="AU66" s="186">
        <v>397689.5894117647</v>
      </c>
      <c r="AV66" s="219">
        <v>54.0</v>
      </c>
      <c r="AW66" s="219">
        <v>1475.0</v>
      </c>
      <c r="AX66" s="254">
        <v>12908.71</v>
      </c>
      <c r="AY66" s="219">
        <v>275.0</v>
      </c>
      <c r="AZ66" s="219">
        <v>17.0</v>
      </c>
      <c r="BA66" s="219">
        <v>30.0</v>
      </c>
      <c r="BB66" s="219">
        <v>3.0</v>
      </c>
      <c r="BC66" s="191"/>
      <c r="BD66" s="75"/>
      <c r="BE66" s="164">
        <v>1.4100000001490116</v>
      </c>
    </row>
    <row r="67">
      <c r="A67" s="6" t="s">
        <v>185</v>
      </c>
      <c r="B67" s="183" t="s">
        <v>189</v>
      </c>
      <c r="C67" s="184" t="s">
        <v>728</v>
      </c>
      <c r="D67" s="75" t="s">
        <v>1075</v>
      </c>
      <c r="E67" s="256">
        <v>45047.0</v>
      </c>
      <c r="F67" s="75" t="s">
        <v>1016</v>
      </c>
      <c r="G67" s="186">
        <v>1.0161192E7</v>
      </c>
      <c r="H67" s="190">
        <v>26000.0</v>
      </c>
      <c r="I67" s="190">
        <v>1500000.0</v>
      </c>
      <c r="J67" s="186">
        <v>0.0</v>
      </c>
      <c r="K67" s="186">
        <v>9000000.0</v>
      </c>
      <c r="L67" s="186">
        <v>6784112.08</v>
      </c>
      <c r="M67" s="186">
        <v>0.0</v>
      </c>
      <c r="N67" s="186">
        <v>6039867.0</v>
      </c>
      <c r="O67" s="187">
        <v>0.7537902311111111</v>
      </c>
      <c r="P67" s="187">
        <v>0.0</v>
      </c>
      <c r="Q67" s="187">
        <v>0.6710963333333333</v>
      </c>
      <c r="R67" s="188">
        <v>48.0</v>
      </c>
      <c r="S67" s="188">
        <v>38.0</v>
      </c>
      <c r="T67" s="188">
        <v>5.0</v>
      </c>
      <c r="U67" s="188">
        <v>2.0</v>
      </c>
      <c r="V67" s="188">
        <v>53.0</v>
      </c>
      <c r="W67" s="188">
        <v>15.0</v>
      </c>
      <c r="X67" s="189">
        <v>6643142.08</v>
      </c>
      <c r="Y67" s="189">
        <v>140970.0</v>
      </c>
      <c r="Z67" s="188">
        <v>14.0</v>
      </c>
      <c r="AA67" s="188">
        <v>2.0</v>
      </c>
      <c r="AB67" s="188">
        <v>16.0</v>
      </c>
      <c r="AC67" s="188">
        <v>0.0</v>
      </c>
      <c r="AD67" s="188">
        <v>54.0</v>
      </c>
      <c r="AE67" s="188">
        <v>93.0</v>
      </c>
      <c r="AF67" s="188">
        <v>220.0</v>
      </c>
      <c r="AG67" s="188">
        <v>2.0</v>
      </c>
      <c r="AH67" s="188">
        <v>4.0</v>
      </c>
      <c r="AI67" s="188">
        <v>0.0</v>
      </c>
      <c r="AJ67" s="188">
        <v>0.0</v>
      </c>
      <c r="AK67" s="188">
        <v>0.0</v>
      </c>
      <c r="AL67" s="188">
        <v>0.0</v>
      </c>
      <c r="AM67" s="188">
        <v>548.0</v>
      </c>
      <c r="AN67" s="188">
        <v>645.0</v>
      </c>
      <c r="AO67" s="188">
        <v>153.0</v>
      </c>
      <c r="AP67" s="186">
        <v>44340.60183006536</v>
      </c>
      <c r="AQ67" s="189">
        <v>3.581699346405229</v>
      </c>
      <c r="AR67" s="186">
        <v>156000.0</v>
      </c>
      <c r="AS67" s="186">
        <v>33769.0</v>
      </c>
      <c r="AT67" s="187">
        <v>0.027972562623110438</v>
      </c>
      <c r="AU67" s="186">
        <v>424007.005</v>
      </c>
      <c r="AV67" s="219">
        <v>54.0</v>
      </c>
      <c r="AW67" s="219">
        <v>1152.0</v>
      </c>
      <c r="AX67" s="257">
        <v>6978.11</v>
      </c>
      <c r="AY67" s="258">
        <v>184.0</v>
      </c>
      <c r="AZ67" s="258">
        <v>16.0</v>
      </c>
      <c r="BA67" s="258">
        <v>22.0</v>
      </c>
      <c r="BB67" s="258">
        <v>15.0</v>
      </c>
      <c r="BC67" s="422"/>
      <c r="BD67" s="259"/>
      <c r="BE67" s="164">
        <v>-0.8599999994039536</v>
      </c>
    </row>
    <row r="68">
      <c r="A68" s="6" t="s">
        <v>185</v>
      </c>
      <c r="B68" s="183" t="s">
        <v>189</v>
      </c>
      <c r="C68" s="184" t="s">
        <v>732</v>
      </c>
      <c r="D68" s="75" t="s">
        <v>187</v>
      </c>
      <c r="E68" s="256">
        <v>45047.0</v>
      </c>
      <c r="F68" s="75" t="s">
        <v>1016</v>
      </c>
      <c r="G68" s="186">
        <v>2.6259193E7</v>
      </c>
      <c r="H68" s="190">
        <v>27260.0</v>
      </c>
      <c r="I68" s="190">
        <v>3300000.0</v>
      </c>
      <c r="J68" s="186">
        <v>0.0</v>
      </c>
      <c r="K68" s="186">
        <v>1.32E7</v>
      </c>
      <c r="L68" s="186">
        <v>6097041.92</v>
      </c>
      <c r="M68" s="186">
        <v>0.0</v>
      </c>
      <c r="N68" s="186">
        <v>6203031.0</v>
      </c>
      <c r="O68" s="187">
        <v>0.46189711515151516</v>
      </c>
      <c r="P68" s="187">
        <v>0.0</v>
      </c>
      <c r="Q68" s="187">
        <v>0.4699265909090909</v>
      </c>
      <c r="R68" s="188">
        <v>108.0</v>
      </c>
      <c r="S68" s="188">
        <v>107.0</v>
      </c>
      <c r="T68" s="188">
        <v>6.0</v>
      </c>
      <c r="U68" s="188">
        <v>3.0</v>
      </c>
      <c r="V68" s="188">
        <v>114.0</v>
      </c>
      <c r="W68" s="188">
        <v>7.0</v>
      </c>
      <c r="X68" s="189">
        <v>5950781.9</v>
      </c>
      <c r="Y68" s="189">
        <v>146260.02</v>
      </c>
      <c r="Z68" s="188">
        <v>76.0</v>
      </c>
      <c r="AA68" s="188">
        <v>3.0</v>
      </c>
      <c r="AB68" s="188">
        <v>79.0</v>
      </c>
      <c r="AC68" s="188">
        <v>0.0</v>
      </c>
      <c r="AD68" s="188">
        <v>2.0</v>
      </c>
      <c r="AE68" s="188">
        <v>5.0</v>
      </c>
      <c r="AF68" s="188">
        <v>48.0</v>
      </c>
      <c r="AG68" s="188">
        <v>1.0</v>
      </c>
      <c r="AH68" s="188">
        <v>15.0</v>
      </c>
      <c r="AI68" s="188">
        <v>0.0</v>
      </c>
      <c r="AJ68" s="188">
        <v>0.0</v>
      </c>
      <c r="AK68" s="188">
        <v>0.0</v>
      </c>
      <c r="AL68" s="188">
        <v>0.0</v>
      </c>
      <c r="AM68" s="188">
        <v>518.0</v>
      </c>
      <c r="AN68" s="188">
        <v>538.0</v>
      </c>
      <c r="AO68" s="188">
        <v>103.0</v>
      </c>
      <c r="AP68" s="186">
        <v>59194.58174757282</v>
      </c>
      <c r="AQ68" s="189">
        <v>5.029126213592233</v>
      </c>
      <c r="AR68" s="186">
        <v>109040.0</v>
      </c>
      <c r="AS68" s="186">
        <v>29074.0</v>
      </c>
      <c r="AT68" s="187">
        <v>0.02265262430736248</v>
      </c>
      <c r="AU68" s="186">
        <v>77177.74582278481</v>
      </c>
      <c r="AV68" s="219">
        <v>208.0</v>
      </c>
      <c r="AW68" s="219">
        <v>1027.0</v>
      </c>
      <c r="AX68" s="257">
        <v>6261.03</v>
      </c>
      <c r="AY68" s="258">
        <v>59.0</v>
      </c>
      <c r="AZ68" s="258">
        <v>79.0</v>
      </c>
      <c r="BA68" s="258">
        <v>28.0</v>
      </c>
      <c r="BB68" s="258">
        <v>7.0</v>
      </c>
      <c r="BC68" s="422">
        <v>45869.0</v>
      </c>
      <c r="BD68" s="259"/>
      <c r="BE68" s="164">
        <v>-0.47999999951571226</v>
      </c>
    </row>
    <row r="69">
      <c r="A69" s="6" t="s">
        <v>185</v>
      </c>
      <c r="B69" s="183" t="s">
        <v>189</v>
      </c>
      <c r="C69" s="183" t="s">
        <v>237</v>
      </c>
      <c r="D69" s="75" t="s">
        <v>1076</v>
      </c>
      <c r="E69" s="256">
        <v>45048.0</v>
      </c>
      <c r="F69" s="75" t="s">
        <v>1016</v>
      </c>
      <c r="G69" s="186">
        <v>1.0441561E7</v>
      </c>
      <c r="H69" s="190">
        <v>26000.0</v>
      </c>
      <c r="I69" s="190">
        <v>1500000.0</v>
      </c>
      <c r="J69" s="186">
        <v>0.0</v>
      </c>
      <c r="K69" s="186">
        <v>9000000.0</v>
      </c>
      <c r="L69" s="186">
        <v>7585689.31</v>
      </c>
      <c r="M69" s="186">
        <v>0.0</v>
      </c>
      <c r="N69" s="186">
        <v>9009319.0</v>
      </c>
      <c r="O69" s="187">
        <v>0.8428543677777778</v>
      </c>
      <c r="P69" s="187">
        <v>0.0</v>
      </c>
      <c r="Q69" s="187">
        <v>1.0010354444444445</v>
      </c>
      <c r="R69" s="188">
        <v>49.0</v>
      </c>
      <c r="S69" s="188">
        <v>54.0</v>
      </c>
      <c r="T69" s="188">
        <v>5.0</v>
      </c>
      <c r="U69" s="188">
        <v>5.0</v>
      </c>
      <c r="V69" s="188">
        <v>54.0</v>
      </c>
      <c r="W69" s="188">
        <v>0.0</v>
      </c>
      <c r="X69" s="189">
        <v>7042432.35</v>
      </c>
      <c r="Y69" s="189">
        <v>543256.96</v>
      </c>
      <c r="Z69" s="188">
        <v>38.0</v>
      </c>
      <c r="AA69" s="188">
        <v>5.0</v>
      </c>
      <c r="AB69" s="188">
        <v>43.0</v>
      </c>
      <c r="AC69" s="188">
        <v>0.0</v>
      </c>
      <c r="AD69" s="188">
        <v>0.0</v>
      </c>
      <c r="AE69" s="188">
        <v>0.0</v>
      </c>
      <c r="AF69" s="188">
        <v>1.0</v>
      </c>
      <c r="AG69" s="188">
        <v>3.0</v>
      </c>
      <c r="AH69" s="188">
        <v>117.0</v>
      </c>
      <c r="AI69" s="188">
        <v>0.0</v>
      </c>
      <c r="AJ69" s="188">
        <v>0.0</v>
      </c>
      <c r="AK69" s="188">
        <v>0.0</v>
      </c>
      <c r="AL69" s="188">
        <v>0.0</v>
      </c>
      <c r="AM69" s="188">
        <v>537.0</v>
      </c>
      <c r="AN69" s="188">
        <v>654.0</v>
      </c>
      <c r="AO69" s="188">
        <v>142.0</v>
      </c>
      <c r="AP69" s="186">
        <v>53420.347253521126</v>
      </c>
      <c r="AQ69" s="189">
        <v>3.7816901408450705</v>
      </c>
      <c r="AR69" s="186">
        <v>156000.0</v>
      </c>
      <c r="AS69" s="186">
        <v>36338.0</v>
      </c>
      <c r="AT69" s="187">
        <v>0.025355375383809386</v>
      </c>
      <c r="AU69" s="186">
        <v>176411.37930232557</v>
      </c>
      <c r="AV69" s="219">
        <v>163.0</v>
      </c>
      <c r="AW69" s="219">
        <v>1335.0</v>
      </c>
      <c r="AX69" s="257">
        <v>8373.9</v>
      </c>
      <c r="AY69" s="258">
        <v>155.0</v>
      </c>
      <c r="AZ69" s="258">
        <v>43.0</v>
      </c>
      <c r="BA69" s="258">
        <v>11.0</v>
      </c>
      <c r="BB69" s="258">
        <v>0.0</v>
      </c>
      <c r="BC69" s="422"/>
      <c r="BD69" s="259"/>
      <c r="BE69" s="164">
        <v>0.0400000000372529</v>
      </c>
    </row>
    <row r="70">
      <c r="A70" s="6" t="s">
        <v>185</v>
      </c>
      <c r="B70" s="183" t="s">
        <v>85</v>
      </c>
      <c r="C70" s="184" t="s">
        <v>387</v>
      </c>
      <c r="D70" s="75" t="s">
        <v>87</v>
      </c>
      <c r="E70" s="256">
        <v>45054.0</v>
      </c>
      <c r="F70" s="75" t="s">
        <v>1058</v>
      </c>
      <c r="G70" s="186">
        <v>5601796.0</v>
      </c>
      <c r="H70" s="190">
        <v>22300.0</v>
      </c>
      <c r="I70" s="190"/>
      <c r="J70" s="186">
        <v>0.0</v>
      </c>
      <c r="K70" s="186">
        <v>0.0</v>
      </c>
      <c r="L70" s="186">
        <v>490239.23</v>
      </c>
      <c r="M70" s="186">
        <v>0.0</v>
      </c>
      <c r="N70" s="186">
        <v>314657.0</v>
      </c>
      <c r="O70" s="187"/>
      <c r="P70" s="187">
        <v>0.0</v>
      </c>
      <c r="Q70" s="187"/>
      <c r="R70" s="188">
        <v>86.0</v>
      </c>
      <c r="S70" s="188">
        <v>71.0</v>
      </c>
      <c r="T70" s="188">
        <v>3.0</v>
      </c>
      <c r="U70" s="188">
        <v>3.0</v>
      </c>
      <c r="V70" s="188">
        <v>89.0</v>
      </c>
      <c r="W70" s="188">
        <v>18.0</v>
      </c>
      <c r="X70" s="189">
        <v>466978.31</v>
      </c>
      <c r="Y70" s="189">
        <v>23260.92</v>
      </c>
      <c r="Z70" s="188">
        <v>22.0</v>
      </c>
      <c r="AA70" s="188">
        <v>3.0</v>
      </c>
      <c r="AB70" s="188">
        <v>25.0</v>
      </c>
      <c r="AC70" s="188">
        <v>0.0</v>
      </c>
      <c r="AD70" s="188">
        <v>1.0</v>
      </c>
      <c r="AE70" s="188">
        <v>1.0</v>
      </c>
      <c r="AF70" s="188">
        <v>9.0</v>
      </c>
      <c r="AG70" s="188">
        <v>1.0</v>
      </c>
      <c r="AH70" s="188">
        <v>2.0</v>
      </c>
      <c r="AI70" s="188">
        <v>0.0</v>
      </c>
      <c r="AJ70" s="188">
        <v>0.0</v>
      </c>
      <c r="AK70" s="188">
        <v>0.0</v>
      </c>
      <c r="AL70" s="188">
        <v>0.0</v>
      </c>
      <c r="AM70" s="188">
        <v>241.0</v>
      </c>
      <c r="AN70" s="188">
        <v>244.0</v>
      </c>
      <c r="AO70" s="188">
        <v>43.0</v>
      </c>
      <c r="AP70" s="186">
        <v>11400.912325581396</v>
      </c>
      <c r="AQ70" s="189">
        <v>5.604651162790698</v>
      </c>
      <c r="AR70" s="186">
        <v>39471.0</v>
      </c>
      <c r="AS70" s="186">
        <v>31945.0</v>
      </c>
      <c r="AT70" s="187">
        <v>0.14567581627443402</v>
      </c>
      <c r="AU70" s="186">
        <v>19609.569199999998</v>
      </c>
      <c r="AV70" s="219">
        <v>31.0</v>
      </c>
      <c r="AW70" s="219">
        <v>431.0</v>
      </c>
      <c r="AX70" s="257">
        <v>5661.48</v>
      </c>
      <c r="AY70" s="258">
        <v>80.0</v>
      </c>
      <c r="AZ70" s="258">
        <v>25.0</v>
      </c>
      <c r="BA70" s="258">
        <v>48.0</v>
      </c>
      <c r="BB70" s="258">
        <v>16.0</v>
      </c>
      <c r="BC70" s="422">
        <v>45801.0</v>
      </c>
      <c r="BD70" s="259"/>
      <c r="BE70" s="164">
        <v>-0.03999999992083758</v>
      </c>
    </row>
    <row r="71">
      <c r="A71" s="6" t="s">
        <v>185</v>
      </c>
      <c r="B71" s="183" t="s">
        <v>189</v>
      </c>
      <c r="C71" s="184" t="s">
        <v>738</v>
      </c>
      <c r="D71" s="75" t="s">
        <v>1075</v>
      </c>
      <c r="E71" s="256">
        <v>45056.0</v>
      </c>
      <c r="F71" s="75" t="s">
        <v>1016</v>
      </c>
      <c r="G71" s="186">
        <v>1.0208613E7</v>
      </c>
      <c r="H71" s="190">
        <v>24850.0</v>
      </c>
      <c r="I71" s="190">
        <v>1500000.0</v>
      </c>
      <c r="J71" s="186">
        <v>0.0</v>
      </c>
      <c r="K71" s="186">
        <v>9000000.0</v>
      </c>
      <c r="L71" s="186">
        <v>8162637.71</v>
      </c>
      <c r="M71" s="186">
        <v>0.0</v>
      </c>
      <c r="N71" s="186">
        <v>7639007.0</v>
      </c>
      <c r="O71" s="187">
        <v>0.9069597455555556</v>
      </c>
      <c r="P71" s="187">
        <v>0.0</v>
      </c>
      <c r="Q71" s="187">
        <v>0.8487785555555556</v>
      </c>
      <c r="R71" s="188">
        <v>57.0</v>
      </c>
      <c r="S71" s="188">
        <v>60.0</v>
      </c>
      <c r="T71" s="188">
        <v>8.0</v>
      </c>
      <c r="U71" s="188">
        <v>6.0</v>
      </c>
      <c r="V71" s="188">
        <v>65.0</v>
      </c>
      <c r="W71" s="188">
        <v>5.0</v>
      </c>
      <c r="X71" s="189">
        <v>6630746.58</v>
      </c>
      <c r="Y71" s="189">
        <v>1531891.13</v>
      </c>
      <c r="Z71" s="188">
        <v>22.0</v>
      </c>
      <c r="AA71" s="188">
        <v>6.0</v>
      </c>
      <c r="AB71" s="188">
        <v>28.0</v>
      </c>
      <c r="AC71" s="188">
        <v>0.0</v>
      </c>
      <c r="AD71" s="188">
        <v>110.0</v>
      </c>
      <c r="AE71" s="188">
        <v>276.0</v>
      </c>
      <c r="AF71" s="188">
        <v>162.0</v>
      </c>
      <c r="AG71" s="188">
        <v>2.0</v>
      </c>
      <c r="AH71" s="188">
        <v>4.0</v>
      </c>
      <c r="AI71" s="188">
        <v>0.0</v>
      </c>
      <c r="AJ71" s="188">
        <v>0.0</v>
      </c>
      <c r="AK71" s="188">
        <v>0.0</v>
      </c>
      <c r="AL71" s="188">
        <v>0.0</v>
      </c>
      <c r="AM71" s="188">
        <v>603.0</v>
      </c>
      <c r="AN71" s="188">
        <v>883.0</v>
      </c>
      <c r="AO71" s="188">
        <v>143.0</v>
      </c>
      <c r="AP71" s="186">
        <v>57081.38258741259</v>
      </c>
      <c r="AQ71" s="189">
        <v>4.216783216783217</v>
      </c>
      <c r="AR71" s="186">
        <v>149100.0</v>
      </c>
      <c r="AS71" s="186">
        <v>39809.0</v>
      </c>
      <c r="AT71" s="187">
        <v>0.023143131756119553</v>
      </c>
      <c r="AU71" s="186">
        <v>291522.77535714285</v>
      </c>
      <c r="AV71" s="219">
        <v>72.0</v>
      </c>
      <c r="AW71" s="219">
        <v>1552.0</v>
      </c>
      <c r="AX71" s="257">
        <v>9244.17</v>
      </c>
      <c r="AY71" s="258">
        <v>154.0</v>
      </c>
      <c r="AZ71" s="258">
        <v>28.0</v>
      </c>
      <c r="BA71" s="258">
        <v>32.0</v>
      </c>
      <c r="BB71" s="258">
        <v>5.0</v>
      </c>
      <c r="BC71" s="422"/>
      <c r="BD71" s="259"/>
      <c r="BE71" s="164">
        <v>-0.060000001452863216</v>
      </c>
    </row>
    <row r="72">
      <c r="A72" s="6" t="s">
        <v>185</v>
      </c>
      <c r="B72" s="183" t="s">
        <v>212</v>
      </c>
      <c r="C72" s="184" t="s">
        <v>744</v>
      </c>
      <c r="D72" s="75" t="s">
        <v>219</v>
      </c>
      <c r="E72" s="256">
        <v>45058.0</v>
      </c>
      <c r="F72" s="75" t="s">
        <v>1031</v>
      </c>
      <c r="G72" s="186">
        <v>3487336.0</v>
      </c>
      <c r="H72" s="190">
        <v>30770.0</v>
      </c>
      <c r="I72" s="190">
        <v>2000000.0</v>
      </c>
      <c r="J72" s="186">
        <v>0.0</v>
      </c>
      <c r="K72" s="186">
        <v>1.2E7</v>
      </c>
      <c r="L72" s="186">
        <v>4258196.02</v>
      </c>
      <c r="M72" s="186">
        <v>0.0</v>
      </c>
      <c r="N72" s="186">
        <v>8829316.8</v>
      </c>
      <c r="O72" s="187">
        <v>0.3548496683333333</v>
      </c>
      <c r="P72" s="187">
        <v>0.0</v>
      </c>
      <c r="Q72" s="187">
        <v>0.7357764000000001</v>
      </c>
      <c r="R72" s="188">
        <v>111.0</v>
      </c>
      <c r="S72" s="188">
        <v>96.0</v>
      </c>
      <c r="T72" s="188">
        <v>6.0</v>
      </c>
      <c r="U72" s="188">
        <v>4.0</v>
      </c>
      <c r="V72" s="188">
        <v>117.0</v>
      </c>
      <c r="W72" s="188">
        <v>21.0</v>
      </c>
      <c r="X72" s="189">
        <v>4116976.9</v>
      </c>
      <c r="Y72" s="189">
        <v>141219.12</v>
      </c>
      <c r="Z72" s="188">
        <v>45.0</v>
      </c>
      <c r="AA72" s="188">
        <v>4.0</v>
      </c>
      <c r="AB72" s="188">
        <v>49.0</v>
      </c>
      <c r="AC72" s="188">
        <v>0.0</v>
      </c>
      <c r="AD72" s="188">
        <v>91.0</v>
      </c>
      <c r="AE72" s="188">
        <v>118.0</v>
      </c>
      <c r="AF72" s="188">
        <v>297.0</v>
      </c>
      <c r="AG72" s="188">
        <v>1.0</v>
      </c>
      <c r="AH72" s="188">
        <v>73.0</v>
      </c>
      <c r="AI72" s="188">
        <v>0.0</v>
      </c>
      <c r="AJ72" s="188">
        <v>0.0</v>
      </c>
      <c r="AK72" s="188">
        <v>0.0</v>
      </c>
      <c r="AL72" s="188">
        <v>0.0</v>
      </c>
      <c r="AM72" s="188">
        <v>422.0</v>
      </c>
      <c r="AN72" s="188">
        <v>613.0</v>
      </c>
      <c r="AO72" s="188">
        <v>142.0</v>
      </c>
      <c r="AP72" s="186">
        <v>29987.295915492956</v>
      </c>
      <c r="AQ72" s="189">
        <v>2.971830985915493</v>
      </c>
      <c r="AR72" s="186">
        <v>184620.0</v>
      </c>
      <c r="AS72" s="186">
        <v>37403.0</v>
      </c>
      <c r="AT72" s="187">
        <v>0.052140154881831866</v>
      </c>
      <c r="AU72" s="186">
        <v>86901.95959183673</v>
      </c>
      <c r="AV72" s="219">
        <v>97.0</v>
      </c>
      <c r="AW72" s="219">
        <v>1387.0</v>
      </c>
      <c r="AX72" s="257">
        <v>4807.34</v>
      </c>
      <c r="AY72" s="258">
        <v>50.0</v>
      </c>
      <c r="AZ72" s="258">
        <v>49.0</v>
      </c>
      <c r="BA72" s="258">
        <v>48.0</v>
      </c>
      <c r="BB72" s="258">
        <v>20.0</v>
      </c>
      <c r="BC72" s="422"/>
      <c r="BD72" s="259"/>
      <c r="BE72" s="164">
        <v>0.1299999998882413</v>
      </c>
    </row>
    <row r="73">
      <c r="A73" s="6" t="s">
        <v>53</v>
      </c>
      <c r="B73" s="183" t="s">
        <v>61</v>
      </c>
      <c r="C73" s="184" t="s">
        <v>746</v>
      </c>
      <c r="D73" s="75" t="s">
        <v>60</v>
      </c>
      <c r="E73" s="256">
        <v>45061.0</v>
      </c>
      <c r="F73" s="75" t="s">
        <v>1077</v>
      </c>
      <c r="G73" s="186">
        <v>1.0859936E7</v>
      </c>
      <c r="H73" s="190">
        <v>40590.0</v>
      </c>
      <c r="I73" s="190">
        <v>1500000.0</v>
      </c>
      <c r="J73" s="186">
        <v>0.0</v>
      </c>
      <c r="K73" s="186">
        <v>8800000.0</v>
      </c>
      <c r="L73" s="186">
        <v>7324325.21</v>
      </c>
      <c r="M73" s="186">
        <v>0.0</v>
      </c>
      <c r="N73" s="186">
        <v>8004712.0</v>
      </c>
      <c r="O73" s="187">
        <v>0.8323096829545454</v>
      </c>
      <c r="P73" s="187">
        <v>0.0</v>
      </c>
      <c r="Q73" s="187">
        <v>0.9096263636363636</v>
      </c>
      <c r="R73" s="188">
        <v>115.0</v>
      </c>
      <c r="S73" s="188">
        <v>111.0</v>
      </c>
      <c r="T73" s="188">
        <v>14.0</v>
      </c>
      <c r="U73" s="188">
        <v>14.0</v>
      </c>
      <c r="V73" s="188">
        <v>129.0</v>
      </c>
      <c r="W73" s="188">
        <v>18.0</v>
      </c>
      <c r="X73" s="189">
        <v>6440050.07</v>
      </c>
      <c r="Y73" s="189">
        <v>884275.14</v>
      </c>
      <c r="Z73" s="188">
        <v>46.0</v>
      </c>
      <c r="AA73" s="188">
        <v>14.0</v>
      </c>
      <c r="AB73" s="188">
        <v>60.0</v>
      </c>
      <c r="AC73" s="188">
        <v>0.0</v>
      </c>
      <c r="AD73" s="188">
        <v>125.0</v>
      </c>
      <c r="AE73" s="188">
        <v>187.0</v>
      </c>
      <c r="AF73" s="188">
        <v>368.0</v>
      </c>
      <c r="AG73" s="188">
        <v>3.0</v>
      </c>
      <c r="AH73" s="188">
        <v>37.0</v>
      </c>
      <c r="AI73" s="188">
        <v>0.0</v>
      </c>
      <c r="AJ73" s="188">
        <v>0.0</v>
      </c>
      <c r="AK73" s="188">
        <v>3.0</v>
      </c>
      <c r="AL73" s="188">
        <v>10.0</v>
      </c>
      <c r="AM73" s="188">
        <v>827.0</v>
      </c>
      <c r="AN73" s="188">
        <v>1061.0</v>
      </c>
      <c r="AO73" s="188">
        <v>139.0</v>
      </c>
      <c r="AP73" s="186">
        <v>52692.987122302155</v>
      </c>
      <c r="AQ73" s="189">
        <v>5.9496402877697845</v>
      </c>
      <c r="AR73" s="186">
        <v>243540.0</v>
      </c>
      <c r="AS73" s="186">
        <v>56596.0</v>
      </c>
      <c r="AT73" s="187">
        <v>0.04097797290461929</v>
      </c>
      <c r="AU73" s="186">
        <v>122072.08683333333</v>
      </c>
      <c r="AV73" s="219">
        <v>155.0</v>
      </c>
      <c r="AW73" s="219">
        <v>1527.0</v>
      </c>
      <c r="AX73" s="257">
        <v>12600.09</v>
      </c>
      <c r="AY73" s="258">
        <v>114.0</v>
      </c>
      <c r="AZ73" s="258">
        <v>60.0</v>
      </c>
      <c r="BA73" s="258">
        <v>51.0</v>
      </c>
      <c r="BB73" s="258">
        <v>18.0</v>
      </c>
      <c r="BC73" s="260"/>
      <c r="BD73" s="260"/>
      <c r="BE73" s="164">
        <v>0.13999999966472387</v>
      </c>
    </row>
    <row r="74">
      <c r="A74" s="6" t="s">
        <v>73</v>
      </c>
      <c r="B74" s="183" t="s">
        <v>1229</v>
      </c>
      <c r="C74" s="184" t="s">
        <v>77</v>
      </c>
      <c r="D74" s="75" t="s">
        <v>78</v>
      </c>
      <c r="E74" s="256">
        <v>45068.0</v>
      </c>
      <c r="F74" s="75" t="s">
        <v>76</v>
      </c>
      <c r="G74" s="186">
        <v>9383403.0</v>
      </c>
      <c r="H74" s="190">
        <v>31660.0</v>
      </c>
      <c r="I74" s="190">
        <v>2125000.0</v>
      </c>
      <c r="J74" s="186">
        <v>750000.0</v>
      </c>
      <c r="K74" s="186">
        <v>1.2E7</v>
      </c>
      <c r="L74" s="186">
        <v>3458308.05</v>
      </c>
      <c r="M74" s="186">
        <v>3713626.9</v>
      </c>
      <c r="N74" s="186">
        <v>6934733.0</v>
      </c>
      <c r="O74" s="187">
        <v>0.5625047019607843</v>
      </c>
      <c r="P74" s="187">
        <v>4.95</v>
      </c>
      <c r="Q74" s="187">
        <v>0.5439006274509804</v>
      </c>
      <c r="R74" s="188">
        <v>48.0</v>
      </c>
      <c r="S74" s="188">
        <v>38.0</v>
      </c>
      <c r="T74" s="188">
        <v>0.0</v>
      </c>
      <c r="U74" s="188">
        <v>0.0</v>
      </c>
      <c r="V74" s="188">
        <v>48.0</v>
      </c>
      <c r="W74" s="188">
        <v>10.0</v>
      </c>
      <c r="X74" s="189">
        <v>3458308.05</v>
      </c>
      <c r="Y74" s="189">
        <v>0.0</v>
      </c>
      <c r="Z74" s="188">
        <v>23.0</v>
      </c>
      <c r="AA74" s="188">
        <v>0.0</v>
      </c>
      <c r="AB74" s="188">
        <v>23.0</v>
      </c>
      <c r="AC74" s="188">
        <v>9.0</v>
      </c>
      <c r="AD74" s="188">
        <v>19.0</v>
      </c>
      <c r="AE74" s="188">
        <v>55.0</v>
      </c>
      <c r="AF74" s="188">
        <v>133.0</v>
      </c>
      <c r="AG74" s="188">
        <v>8.0</v>
      </c>
      <c r="AH74" s="188">
        <v>58.0</v>
      </c>
      <c r="AI74" s="188">
        <v>11.0</v>
      </c>
      <c r="AJ74" s="188">
        <v>108.0</v>
      </c>
      <c r="AK74" s="188">
        <v>7.0</v>
      </c>
      <c r="AL74" s="188">
        <v>15.0</v>
      </c>
      <c r="AM74" s="188">
        <v>257.0</v>
      </c>
      <c r="AN74" s="188">
        <v>493.0</v>
      </c>
      <c r="AO74" s="188">
        <v>153.0</v>
      </c>
      <c r="AP74" s="186">
        <v>46875.39183006535</v>
      </c>
      <c r="AQ74" s="189">
        <v>1.6797385620915033</v>
      </c>
      <c r="AR74" s="186">
        <v>189960.0</v>
      </c>
      <c r="AS74" s="186">
        <v>30670.0</v>
      </c>
      <c r="AT74" s="187">
        <v>0.030762967251954793</v>
      </c>
      <c r="AU74" s="186">
        <v>150361.21956521738</v>
      </c>
      <c r="AV74" s="219">
        <v>75.0</v>
      </c>
      <c r="AW74" s="219">
        <v>1245.0</v>
      </c>
      <c r="AX74" s="257">
        <v>5877.66</v>
      </c>
      <c r="AY74" s="258">
        <v>155.0</v>
      </c>
      <c r="AZ74" s="258">
        <v>23.0</v>
      </c>
      <c r="BA74" s="258">
        <v>15.0</v>
      </c>
      <c r="BB74" s="258">
        <v>10.0</v>
      </c>
      <c r="BC74" s="260"/>
      <c r="BD74" s="260"/>
      <c r="BE74" s="164">
        <v>0.4023437490686774</v>
      </c>
    </row>
    <row r="75">
      <c r="A75" s="6" t="s">
        <v>185</v>
      </c>
      <c r="B75" s="183" t="s">
        <v>189</v>
      </c>
      <c r="C75" s="184" t="s">
        <v>747</v>
      </c>
      <c r="D75" s="75" t="s">
        <v>1078</v>
      </c>
      <c r="E75" s="256">
        <v>45069.0</v>
      </c>
      <c r="F75" s="75" t="s">
        <v>1016</v>
      </c>
      <c r="G75" s="186">
        <v>1.22809189E7</v>
      </c>
      <c r="H75" s="190">
        <v>29042.0</v>
      </c>
      <c r="I75" s="190">
        <v>1500000.0</v>
      </c>
      <c r="J75" s="186">
        <v>0.0</v>
      </c>
      <c r="K75" s="186">
        <v>9000000.0</v>
      </c>
      <c r="L75" s="186">
        <v>5289049.53</v>
      </c>
      <c r="M75" s="186">
        <v>0.0</v>
      </c>
      <c r="N75" s="186">
        <v>5458146.0</v>
      </c>
      <c r="O75" s="187">
        <v>0.58767217</v>
      </c>
      <c r="P75" s="187">
        <v>0.0</v>
      </c>
      <c r="Q75" s="187">
        <v>0.6064606666666666</v>
      </c>
      <c r="R75" s="188">
        <v>41.0</v>
      </c>
      <c r="S75" s="188">
        <v>38.0</v>
      </c>
      <c r="T75" s="188">
        <v>4.0</v>
      </c>
      <c r="U75" s="188">
        <v>4.0</v>
      </c>
      <c r="V75" s="188">
        <v>45.0</v>
      </c>
      <c r="W75" s="188">
        <v>7.0</v>
      </c>
      <c r="X75" s="189">
        <v>4363896.42</v>
      </c>
      <c r="Y75" s="189">
        <v>925153.11</v>
      </c>
      <c r="Z75" s="188">
        <v>23.0</v>
      </c>
      <c r="AA75" s="188">
        <v>4.0</v>
      </c>
      <c r="AB75" s="188">
        <v>27.0</v>
      </c>
      <c r="AC75" s="188">
        <v>0.0</v>
      </c>
      <c r="AD75" s="188">
        <v>23.0</v>
      </c>
      <c r="AE75" s="188">
        <v>70.0</v>
      </c>
      <c r="AF75" s="188">
        <v>74.0</v>
      </c>
      <c r="AG75" s="188">
        <v>2.0</v>
      </c>
      <c r="AH75" s="188">
        <v>10.0</v>
      </c>
      <c r="AI75" s="188">
        <v>0.0</v>
      </c>
      <c r="AJ75" s="188">
        <v>0.0</v>
      </c>
      <c r="AK75" s="188">
        <v>0.0</v>
      </c>
      <c r="AL75" s="188">
        <v>0.0</v>
      </c>
      <c r="AM75" s="188">
        <v>655.0</v>
      </c>
      <c r="AN75" s="188">
        <v>735.0</v>
      </c>
      <c r="AO75" s="188">
        <v>150.0</v>
      </c>
      <c r="AP75" s="186">
        <v>35260.330200000004</v>
      </c>
      <c r="AQ75" s="189">
        <v>4.366666666666666</v>
      </c>
      <c r="AR75" s="186">
        <v>174252.0</v>
      </c>
      <c r="AS75" s="186">
        <v>26330.0</v>
      </c>
      <c r="AT75" s="187">
        <v>0.03792401618897299</v>
      </c>
      <c r="AU75" s="186">
        <v>195890.72333333336</v>
      </c>
      <c r="AV75" s="219">
        <v>103.0</v>
      </c>
      <c r="AW75" s="219">
        <v>1665.0</v>
      </c>
      <c r="AX75" s="257">
        <v>8305.39</v>
      </c>
      <c r="AY75" s="258">
        <v>219.0</v>
      </c>
      <c r="AZ75" s="258">
        <v>27.0</v>
      </c>
      <c r="BA75" s="258">
        <v>11.0</v>
      </c>
      <c r="BB75" s="258">
        <v>7.0</v>
      </c>
      <c r="BC75" s="260"/>
      <c r="BD75" s="260"/>
      <c r="BE75" s="164">
        <v>-0.8099999995902181</v>
      </c>
    </row>
    <row r="76">
      <c r="A76" s="6" t="s">
        <v>185</v>
      </c>
      <c r="B76" s="183" t="s">
        <v>189</v>
      </c>
      <c r="C76" s="184" t="s">
        <v>240</v>
      </c>
      <c r="D76" s="75" t="s">
        <v>187</v>
      </c>
      <c r="E76" s="256">
        <v>45069.0</v>
      </c>
      <c r="F76" s="75" t="s">
        <v>1016</v>
      </c>
      <c r="G76" s="186">
        <v>1.6611055629999999E7</v>
      </c>
      <c r="H76" s="190">
        <v>25212.0</v>
      </c>
      <c r="I76" s="190">
        <v>1500000.0</v>
      </c>
      <c r="J76" s="186">
        <v>0.0</v>
      </c>
      <c r="K76" s="186">
        <v>9000000.0</v>
      </c>
      <c r="L76" s="186">
        <v>7877592.21</v>
      </c>
      <c r="M76" s="186">
        <v>0.0</v>
      </c>
      <c r="N76" s="186">
        <v>8241696.0</v>
      </c>
      <c r="O76" s="187">
        <v>0.8752880233333333</v>
      </c>
      <c r="P76" s="187">
        <v>0.0</v>
      </c>
      <c r="Q76" s="187">
        <v>0.915744</v>
      </c>
      <c r="R76" s="188">
        <v>122.0</v>
      </c>
      <c r="S76" s="188">
        <v>111.0</v>
      </c>
      <c r="T76" s="188">
        <v>6.0</v>
      </c>
      <c r="U76" s="188">
        <v>2.0</v>
      </c>
      <c r="V76" s="188">
        <v>128.0</v>
      </c>
      <c r="W76" s="188">
        <v>17.0</v>
      </c>
      <c r="X76" s="189">
        <v>7806762.71</v>
      </c>
      <c r="Y76" s="189">
        <v>70829.5</v>
      </c>
      <c r="Z76" s="188">
        <v>95.0</v>
      </c>
      <c r="AA76" s="188">
        <v>2.0</v>
      </c>
      <c r="AB76" s="188">
        <v>97.0</v>
      </c>
      <c r="AC76" s="188">
        <v>0.0</v>
      </c>
      <c r="AD76" s="188">
        <v>3.0</v>
      </c>
      <c r="AE76" s="188">
        <v>3.0</v>
      </c>
      <c r="AF76" s="188">
        <v>71.0</v>
      </c>
      <c r="AG76" s="188">
        <v>1.0</v>
      </c>
      <c r="AH76" s="188">
        <v>28.0</v>
      </c>
      <c r="AI76" s="188">
        <v>0.0</v>
      </c>
      <c r="AJ76" s="188">
        <v>0.0</v>
      </c>
      <c r="AK76" s="188">
        <v>0.0</v>
      </c>
      <c r="AL76" s="188">
        <v>0.0</v>
      </c>
      <c r="AM76" s="188">
        <v>782.0</v>
      </c>
      <c r="AN76" s="188">
        <v>813.0</v>
      </c>
      <c r="AO76" s="188">
        <v>148.0</v>
      </c>
      <c r="AP76" s="186">
        <v>53226.97439189189</v>
      </c>
      <c r="AQ76" s="189">
        <v>5.283783783783784</v>
      </c>
      <c r="AR76" s="186">
        <v>151272.0</v>
      </c>
      <c r="AS76" s="186">
        <v>15970.0</v>
      </c>
      <c r="AT76" s="187">
        <v>0.0212300910661127</v>
      </c>
      <c r="AU76" s="186">
        <v>81212.29082474227</v>
      </c>
      <c r="AV76" s="219">
        <v>299.0</v>
      </c>
      <c r="AW76" s="219">
        <v>1594.0</v>
      </c>
      <c r="AX76" s="257">
        <v>8862.31</v>
      </c>
      <c r="AY76" s="258">
        <v>80.0</v>
      </c>
      <c r="AZ76" s="258">
        <v>97.0</v>
      </c>
      <c r="BA76" s="258">
        <v>17.0</v>
      </c>
      <c r="BB76" s="258">
        <v>14.0</v>
      </c>
      <c r="BC76" s="260"/>
      <c r="BD76" s="260"/>
      <c r="BE76" s="164">
        <v>-0.1192187499254942</v>
      </c>
    </row>
    <row r="77">
      <c r="A77" s="6" t="s">
        <v>111</v>
      </c>
      <c r="B77" s="183" t="s">
        <v>117</v>
      </c>
      <c r="C77" s="184" t="s">
        <v>428</v>
      </c>
      <c r="D77" s="75" t="s">
        <v>429</v>
      </c>
      <c r="E77" s="256">
        <v>45071.0</v>
      </c>
      <c r="F77" s="75" t="s">
        <v>1044</v>
      </c>
      <c r="G77" s="186">
        <v>3069474.0</v>
      </c>
      <c r="H77" s="190">
        <v>24167.0</v>
      </c>
      <c r="I77" s="190">
        <v>1200000.0</v>
      </c>
      <c r="J77" s="186">
        <v>0.0</v>
      </c>
      <c r="K77" s="186">
        <v>2400000.0</v>
      </c>
      <c r="L77" s="186">
        <v>606786.61</v>
      </c>
      <c r="M77" s="186">
        <v>0.0</v>
      </c>
      <c r="N77" s="186">
        <v>0.0</v>
      </c>
      <c r="O77" s="187">
        <v>0.25282775416666664</v>
      </c>
      <c r="P77" s="187">
        <v>0.0</v>
      </c>
      <c r="Q77" s="187">
        <v>0.0</v>
      </c>
      <c r="R77" s="188">
        <v>56.0</v>
      </c>
      <c r="S77" s="188">
        <v>55.0</v>
      </c>
      <c r="T77" s="188">
        <v>2.0</v>
      </c>
      <c r="U77" s="188">
        <v>1.0</v>
      </c>
      <c r="V77" s="188">
        <v>58.0</v>
      </c>
      <c r="W77" s="188">
        <v>3.0</v>
      </c>
      <c r="X77" s="189">
        <v>581284.21</v>
      </c>
      <c r="Y77" s="189">
        <v>25502.4</v>
      </c>
      <c r="Z77" s="188">
        <v>21.0</v>
      </c>
      <c r="AA77" s="188">
        <v>1.0</v>
      </c>
      <c r="AB77" s="188">
        <v>22.0</v>
      </c>
      <c r="AC77" s="188">
        <v>0.0</v>
      </c>
      <c r="AD77" s="188">
        <v>32.0</v>
      </c>
      <c r="AE77" s="188">
        <v>44.0</v>
      </c>
      <c r="AF77" s="188">
        <v>185.0</v>
      </c>
      <c r="AG77" s="188">
        <v>1.0</v>
      </c>
      <c r="AH77" s="188">
        <v>1.0</v>
      </c>
      <c r="AI77" s="188">
        <v>0.0</v>
      </c>
      <c r="AJ77" s="188">
        <v>0.0</v>
      </c>
      <c r="AK77" s="188">
        <v>0.0</v>
      </c>
      <c r="AL77" s="188">
        <v>0.0</v>
      </c>
      <c r="AM77" s="188">
        <v>221.0</v>
      </c>
      <c r="AN77" s="188">
        <v>266.0</v>
      </c>
      <c r="AO77" s="188">
        <v>49.0</v>
      </c>
      <c r="AP77" s="186">
        <v>12383.400204081632</v>
      </c>
      <c r="AQ77" s="189">
        <v>4.510204081632653</v>
      </c>
      <c r="AR77" s="186">
        <v>48334.0</v>
      </c>
      <c r="AS77" s="186">
        <v>27708.0</v>
      </c>
      <c r="AT77" s="187">
        <v>0.12531917934049336</v>
      </c>
      <c r="AU77" s="186">
        <v>27581.209545454545</v>
      </c>
      <c r="AV77" s="219">
        <v>31.0</v>
      </c>
      <c r="AW77" s="219">
        <v>400.0</v>
      </c>
      <c r="AX77" s="257">
        <v>3724.0</v>
      </c>
      <c r="AY77" s="258">
        <v>68.0</v>
      </c>
      <c r="AZ77" s="258">
        <v>22.0</v>
      </c>
      <c r="BA77" s="258">
        <v>33.0</v>
      </c>
      <c r="BB77" s="258">
        <v>3.0</v>
      </c>
      <c r="BC77" s="260">
        <v>45808.0</v>
      </c>
      <c r="BD77" s="260"/>
      <c r="BE77" s="164">
        <v>-0.009999999892897904</v>
      </c>
    </row>
    <row r="78">
      <c r="A78" s="6" t="s">
        <v>53</v>
      </c>
      <c r="B78" s="183" t="s">
        <v>61</v>
      </c>
      <c r="C78" s="184" t="s">
        <v>363</v>
      </c>
      <c r="D78" s="75" t="s">
        <v>60</v>
      </c>
      <c r="E78" s="256">
        <v>45079.0</v>
      </c>
      <c r="F78" s="75" t="s">
        <v>1077</v>
      </c>
      <c r="G78" s="186">
        <v>6258334.0</v>
      </c>
      <c r="H78" s="190">
        <v>24085.0</v>
      </c>
      <c r="I78" s="190"/>
      <c r="J78" s="186">
        <v>0.0</v>
      </c>
      <c r="K78" s="186">
        <v>0.0</v>
      </c>
      <c r="L78" s="186">
        <v>301773.35</v>
      </c>
      <c r="M78" s="186">
        <v>0.0</v>
      </c>
      <c r="N78" s="186">
        <v>0.0</v>
      </c>
      <c r="O78" s="187"/>
      <c r="P78" s="187">
        <v>0.0</v>
      </c>
      <c r="Q78" s="187"/>
      <c r="R78" s="188">
        <v>94.0</v>
      </c>
      <c r="S78" s="188">
        <v>71.0</v>
      </c>
      <c r="T78" s="188">
        <v>7.0</v>
      </c>
      <c r="U78" s="188">
        <v>1.0</v>
      </c>
      <c r="V78" s="188">
        <v>101.0</v>
      </c>
      <c r="W78" s="188">
        <v>30.0</v>
      </c>
      <c r="X78" s="189">
        <v>284357.99</v>
      </c>
      <c r="Y78" s="189">
        <v>17415.36</v>
      </c>
      <c r="Z78" s="188">
        <v>30.0</v>
      </c>
      <c r="AA78" s="188">
        <v>1.0</v>
      </c>
      <c r="AB78" s="188">
        <v>31.0</v>
      </c>
      <c r="AC78" s="188">
        <v>0.0</v>
      </c>
      <c r="AD78" s="188">
        <v>107.0</v>
      </c>
      <c r="AE78" s="188">
        <v>116.0</v>
      </c>
      <c r="AF78" s="188">
        <v>514.0</v>
      </c>
      <c r="AG78" s="188">
        <v>3.0</v>
      </c>
      <c r="AH78" s="188">
        <v>12.0</v>
      </c>
      <c r="AI78" s="188">
        <v>0.0</v>
      </c>
      <c r="AJ78" s="188">
        <v>0.0</v>
      </c>
      <c r="AK78" s="188">
        <v>1.0</v>
      </c>
      <c r="AL78" s="188">
        <v>1.0</v>
      </c>
      <c r="AM78" s="188">
        <v>127.0</v>
      </c>
      <c r="AN78" s="188">
        <v>256.0</v>
      </c>
      <c r="AO78" s="188">
        <v>37.0</v>
      </c>
      <c r="AP78" s="186">
        <v>8156.036486486486</v>
      </c>
      <c r="AQ78" s="189">
        <v>3.4324324324324325</v>
      </c>
      <c r="AR78" s="186">
        <v>37331.75</v>
      </c>
      <c r="AS78" s="186">
        <v>24883.0</v>
      </c>
      <c r="AT78" s="187">
        <v>0.20616383123294355</v>
      </c>
      <c r="AU78" s="186">
        <v>9734.624193548387</v>
      </c>
      <c r="AV78" s="219">
        <v>35.0</v>
      </c>
      <c r="AW78" s="219">
        <v>441.0</v>
      </c>
      <c r="AX78" s="257">
        <v>3921.81</v>
      </c>
      <c r="AY78" s="258">
        <v>55.0</v>
      </c>
      <c r="AZ78" s="258">
        <v>31.0</v>
      </c>
      <c r="BA78" s="258">
        <v>43.0</v>
      </c>
      <c r="BB78" s="258">
        <v>27.0</v>
      </c>
      <c r="BC78" s="260">
        <v>45794.0</v>
      </c>
      <c r="BD78" s="260"/>
      <c r="BE78" s="164">
        <v>0.09999999997671694</v>
      </c>
    </row>
    <row r="79">
      <c r="A79" s="6" t="s">
        <v>126</v>
      </c>
      <c r="B79" s="183" t="s">
        <v>130</v>
      </c>
      <c r="C79" s="184" t="s">
        <v>152</v>
      </c>
      <c r="D79" s="75" t="s">
        <v>153</v>
      </c>
      <c r="E79" s="256">
        <v>45080.0</v>
      </c>
      <c r="F79" s="75" t="s">
        <v>130</v>
      </c>
      <c r="G79" s="186">
        <v>1.7874712E7</v>
      </c>
      <c r="H79" s="190">
        <v>57990.0</v>
      </c>
      <c r="I79" s="190">
        <v>2500000.0</v>
      </c>
      <c r="J79" s="186">
        <v>2400000.0</v>
      </c>
      <c r="K79" s="186">
        <v>1.26E7</v>
      </c>
      <c r="L79" s="186">
        <v>7899784.48</v>
      </c>
      <c r="M79" s="186">
        <v>3105990.45</v>
      </c>
      <c r="N79" s="186">
        <v>9689750.0</v>
      </c>
      <c r="O79" s="187">
        <v>0.7337183286666666</v>
      </c>
      <c r="P79" s="187">
        <v>1.29</v>
      </c>
      <c r="Q79" s="187">
        <v>0.6459833333333334</v>
      </c>
      <c r="R79" s="188">
        <v>119.0</v>
      </c>
      <c r="S79" s="188">
        <v>108.0</v>
      </c>
      <c r="T79" s="188">
        <v>9.0</v>
      </c>
      <c r="U79" s="188">
        <v>7.0</v>
      </c>
      <c r="V79" s="188">
        <v>128.0</v>
      </c>
      <c r="W79" s="188">
        <v>20.0</v>
      </c>
      <c r="X79" s="189">
        <v>7018522.2</v>
      </c>
      <c r="Y79" s="189">
        <v>881262.28</v>
      </c>
      <c r="Z79" s="188">
        <v>44.0</v>
      </c>
      <c r="AA79" s="188">
        <v>7.0</v>
      </c>
      <c r="AB79" s="188">
        <v>51.0</v>
      </c>
      <c r="AC79" s="188">
        <v>8.0</v>
      </c>
      <c r="AD79" s="188">
        <v>94.0</v>
      </c>
      <c r="AE79" s="188">
        <v>160.0</v>
      </c>
      <c r="AF79" s="188">
        <v>214.0</v>
      </c>
      <c r="AG79" s="188">
        <v>4.0</v>
      </c>
      <c r="AH79" s="188">
        <v>60.0</v>
      </c>
      <c r="AI79" s="188">
        <v>9.0</v>
      </c>
      <c r="AJ79" s="188">
        <v>70.0</v>
      </c>
      <c r="AK79" s="188">
        <v>0.0</v>
      </c>
      <c r="AL79" s="188">
        <v>0.0</v>
      </c>
      <c r="AM79" s="188">
        <v>659.0</v>
      </c>
      <c r="AN79" s="188">
        <v>949.0</v>
      </c>
      <c r="AO79" s="188">
        <v>150.0</v>
      </c>
      <c r="AP79" s="186">
        <v>73371.83286666666</v>
      </c>
      <c r="AQ79" s="189">
        <v>4.3933333333333335</v>
      </c>
      <c r="AR79" s="186">
        <v>347940.0</v>
      </c>
      <c r="AS79" s="186">
        <v>53892.0</v>
      </c>
      <c r="AT79" s="187">
        <v>0.036511013768296276</v>
      </c>
      <c r="AU79" s="186">
        <v>154897.7349019608</v>
      </c>
      <c r="AV79" s="219">
        <v>146.0</v>
      </c>
      <c r="AW79" s="219">
        <v>1611.0</v>
      </c>
      <c r="AX79" s="257">
        <v>11242.57</v>
      </c>
      <c r="AY79" s="258">
        <v>104.0</v>
      </c>
      <c r="AZ79" s="258">
        <v>51.0</v>
      </c>
      <c r="BA79" s="258">
        <v>59.0</v>
      </c>
      <c r="BB79" s="258">
        <v>18.0</v>
      </c>
      <c r="BC79" s="260"/>
      <c r="BD79" s="260"/>
      <c r="BE79" s="164">
        <v>-0.4300000015646219</v>
      </c>
    </row>
    <row r="80">
      <c r="A80" s="6" t="s">
        <v>185</v>
      </c>
      <c r="B80" s="183" t="s">
        <v>189</v>
      </c>
      <c r="C80" s="184" t="s">
        <v>755</v>
      </c>
      <c r="D80" s="75" t="s">
        <v>1079</v>
      </c>
      <c r="E80" s="256">
        <v>45084.0</v>
      </c>
      <c r="F80" s="75" t="s">
        <v>1016</v>
      </c>
      <c r="G80" s="186">
        <v>7732005.0</v>
      </c>
      <c r="H80" s="190">
        <v>25850.0</v>
      </c>
      <c r="I80" s="190">
        <v>2500000.0</v>
      </c>
      <c r="J80" s="186">
        <v>0.0</v>
      </c>
      <c r="K80" s="186">
        <v>1.0E7</v>
      </c>
      <c r="L80" s="186">
        <v>2069428.86</v>
      </c>
      <c r="M80" s="186">
        <v>0.0</v>
      </c>
      <c r="N80" s="186">
        <v>2835805.0</v>
      </c>
      <c r="O80" s="187">
        <v>0.20694288600000002</v>
      </c>
      <c r="P80" s="187">
        <v>0.0</v>
      </c>
      <c r="Q80" s="187">
        <v>0.2835805</v>
      </c>
      <c r="R80" s="188">
        <v>80.0</v>
      </c>
      <c r="S80" s="188">
        <v>81.0</v>
      </c>
      <c r="T80" s="188">
        <v>11.0</v>
      </c>
      <c r="U80" s="188">
        <v>3.0</v>
      </c>
      <c r="V80" s="188">
        <v>91.0</v>
      </c>
      <c r="W80" s="188">
        <v>10.0</v>
      </c>
      <c r="X80" s="189">
        <v>1755462.62</v>
      </c>
      <c r="Y80" s="189">
        <v>313966.24</v>
      </c>
      <c r="Z80" s="188">
        <v>19.0</v>
      </c>
      <c r="AA80" s="188">
        <v>3.0</v>
      </c>
      <c r="AB80" s="188">
        <v>22.0</v>
      </c>
      <c r="AC80" s="188">
        <v>0.0</v>
      </c>
      <c r="AD80" s="188">
        <v>40.0</v>
      </c>
      <c r="AE80" s="188">
        <v>72.0</v>
      </c>
      <c r="AF80" s="188">
        <v>143.0</v>
      </c>
      <c r="AG80" s="188">
        <v>2.0</v>
      </c>
      <c r="AH80" s="188">
        <v>10.0</v>
      </c>
      <c r="AI80" s="188">
        <v>0.0</v>
      </c>
      <c r="AJ80" s="188">
        <v>0.0</v>
      </c>
      <c r="AK80" s="188">
        <v>0.0</v>
      </c>
      <c r="AL80" s="188">
        <v>0.0</v>
      </c>
      <c r="AM80" s="188">
        <v>305.0</v>
      </c>
      <c r="AN80" s="188">
        <v>387.0</v>
      </c>
      <c r="AO80" s="188">
        <v>69.0</v>
      </c>
      <c r="AP80" s="186">
        <v>29991.722608695654</v>
      </c>
      <c r="AQ80" s="189">
        <v>4.420289855072464</v>
      </c>
      <c r="AR80" s="186">
        <v>103400.0</v>
      </c>
      <c r="AS80" s="186">
        <v>9300.0</v>
      </c>
      <c r="AT80" s="187">
        <v>0.05445947052270258</v>
      </c>
      <c r="AU80" s="186">
        <v>94064.94818181818</v>
      </c>
      <c r="AV80" s="219">
        <v>35.0</v>
      </c>
      <c r="AW80" s="219">
        <v>564.0</v>
      </c>
      <c r="AX80" s="257">
        <v>7454.25</v>
      </c>
      <c r="AY80" s="258">
        <v>92.0</v>
      </c>
      <c r="AZ80" s="258">
        <v>22.0</v>
      </c>
      <c r="BA80" s="258">
        <v>59.0</v>
      </c>
      <c r="BB80" s="258">
        <v>10.0</v>
      </c>
      <c r="BC80" s="260">
        <v>45869.0</v>
      </c>
      <c r="BD80" s="260"/>
      <c r="BE80" s="164">
        <v>0.11000000010244548</v>
      </c>
    </row>
    <row r="81">
      <c r="A81" s="6" t="s">
        <v>185</v>
      </c>
      <c r="B81" s="183" t="s">
        <v>222</v>
      </c>
      <c r="C81" s="184" t="s">
        <v>244</v>
      </c>
      <c r="D81" s="75" t="s">
        <v>245</v>
      </c>
      <c r="E81" s="256">
        <v>45108.0</v>
      </c>
      <c r="F81" s="75" t="s">
        <v>1080</v>
      </c>
      <c r="G81" s="186">
        <v>1.0769962E7</v>
      </c>
      <c r="H81" s="190">
        <v>27680.0</v>
      </c>
      <c r="I81" s="190">
        <v>1500000.0</v>
      </c>
      <c r="J81" s="186">
        <v>0.0</v>
      </c>
      <c r="K81" s="186">
        <v>9000000.0</v>
      </c>
      <c r="L81" s="186">
        <v>8202432.85</v>
      </c>
      <c r="M81" s="186">
        <v>0.0</v>
      </c>
      <c r="N81" s="186">
        <v>6842178.0</v>
      </c>
      <c r="O81" s="187">
        <v>0.9113814277777778</v>
      </c>
      <c r="P81" s="187">
        <v>0.0</v>
      </c>
      <c r="Q81" s="187">
        <v>0.760242</v>
      </c>
      <c r="R81" s="188">
        <v>62.0</v>
      </c>
      <c r="S81" s="188">
        <v>70.0</v>
      </c>
      <c r="T81" s="188">
        <v>10.0</v>
      </c>
      <c r="U81" s="188">
        <v>10.0</v>
      </c>
      <c r="V81" s="188">
        <v>72.0</v>
      </c>
      <c r="W81" s="188">
        <v>2.0</v>
      </c>
      <c r="X81" s="189">
        <v>6257358.86</v>
      </c>
      <c r="Y81" s="189">
        <v>1945073.99</v>
      </c>
      <c r="Z81" s="188">
        <v>33.0</v>
      </c>
      <c r="AA81" s="188">
        <v>10.0</v>
      </c>
      <c r="AB81" s="188">
        <v>43.0</v>
      </c>
      <c r="AC81" s="188">
        <v>0.0</v>
      </c>
      <c r="AD81" s="188">
        <v>90.0</v>
      </c>
      <c r="AE81" s="188">
        <v>186.0</v>
      </c>
      <c r="AF81" s="188">
        <v>215.0</v>
      </c>
      <c r="AG81" s="188">
        <v>1.0</v>
      </c>
      <c r="AH81" s="188">
        <v>1.0</v>
      </c>
      <c r="AI81" s="188">
        <v>0.0</v>
      </c>
      <c r="AJ81" s="188">
        <v>0.0</v>
      </c>
      <c r="AK81" s="188">
        <v>0.0</v>
      </c>
      <c r="AL81" s="188">
        <v>0.0</v>
      </c>
      <c r="AM81" s="188">
        <v>686.0</v>
      </c>
      <c r="AN81" s="188">
        <v>873.0</v>
      </c>
      <c r="AO81" s="188">
        <v>151.0</v>
      </c>
      <c r="AP81" s="186">
        <v>54320.74735099338</v>
      </c>
      <c r="AQ81" s="189">
        <v>4.543046357615894</v>
      </c>
      <c r="AR81" s="186">
        <v>166080.0</v>
      </c>
      <c r="AS81" s="186">
        <v>47597.0</v>
      </c>
      <c r="AT81" s="187">
        <v>0.02605044185152945</v>
      </c>
      <c r="AU81" s="186">
        <v>190754.2523255814</v>
      </c>
      <c r="AV81" s="219">
        <v>83.0</v>
      </c>
      <c r="AW81" s="219">
        <v>1637.0</v>
      </c>
      <c r="AX81" s="257">
        <v>14525.5</v>
      </c>
      <c r="AY81" s="258">
        <v>208.0</v>
      </c>
      <c r="AZ81" s="258">
        <v>43.0</v>
      </c>
      <c r="BA81" s="258">
        <v>29.0</v>
      </c>
      <c r="BB81" s="258">
        <v>0.0</v>
      </c>
      <c r="BC81" s="260"/>
      <c r="BD81" s="260"/>
      <c r="BE81" s="164">
        <v>-1.2399999983608723</v>
      </c>
    </row>
    <row r="82">
      <c r="A82" s="6" t="s">
        <v>185</v>
      </c>
      <c r="B82" s="183" t="s">
        <v>189</v>
      </c>
      <c r="C82" s="184" t="s">
        <v>246</v>
      </c>
      <c r="D82" s="75" t="s">
        <v>247</v>
      </c>
      <c r="E82" s="256">
        <v>45108.0</v>
      </c>
      <c r="F82" s="75" t="s">
        <v>1016</v>
      </c>
      <c r="G82" s="186">
        <v>1.655081031E7</v>
      </c>
      <c r="H82" s="190">
        <v>20520.0</v>
      </c>
      <c r="I82" s="190">
        <v>4000000.0</v>
      </c>
      <c r="J82" s="186">
        <v>0.0</v>
      </c>
      <c r="K82" s="186">
        <v>2.4E7</v>
      </c>
      <c r="L82" s="186">
        <v>1.903426785E7</v>
      </c>
      <c r="M82" s="186">
        <v>0.0</v>
      </c>
      <c r="N82" s="186">
        <v>1.5305384E7</v>
      </c>
      <c r="O82" s="187">
        <v>0.7930944937500001</v>
      </c>
      <c r="P82" s="187">
        <v>0.0</v>
      </c>
      <c r="Q82" s="187">
        <v>0.6377243333333333</v>
      </c>
      <c r="R82" s="188">
        <v>137.0</v>
      </c>
      <c r="S82" s="188">
        <v>84.0</v>
      </c>
      <c r="T82" s="188">
        <v>10.0</v>
      </c>
      <c r="U82" s="188">
        <v>7.0</v>
      </c>
      <c r="V82" s="188">
        <v>147.0</v>
      </c>
      <c r="W82" s="188">
        <v>63.0</v>
      </c>
      <c r="X82" s="189">
        <v>1.753521161E7</v>
      </c>
      <c r="Y82" s="189">
        <v>1499056.24</v>
      </c>
      <c r="Z82" s="188">
        <v>43.0</v>
      </c>
      <c r="AA82" s="188">
        <v>7.0</v>
      </c>
      <c r="AB82" s="188">
        <v>50.0</v>
      </c>
      <c r="AC82" s="188">
        <v>0.0</v>
      </c>
      <c r="AD82" s="188">
        <v>3.0</v>
      </c>
      <c r="AE82" s="188">
        <v>5.0</v>
      </c>
      <c r="AF82" s="188">
        <v>67.0</v>
      </c>
      <c r="AG82" s="188">
        <v>2.0</v>
      </c>
      <c r="AH82" s="188">
        <v>31.0</v>
      </c>
      <c r="AI82" s="188">
        <v>0.0</v>
      </c>
      <c r="AJ82" s="188">
        <v>0.0</v>
      </c>
      <c r="AK82" s="188">
        <v>0.0</v>
      </c>
      <c r="AL82" s="188">
        <v>0.0</v>
      </c>
      <c r="AM82" s="188">
        <v>745.0</v>
      </c>
      <c r="AN82" s="188">
        <v>781.0</v>
      </c>
      <c r="AO82" s="188">
        <v>149.0</v>
      </c>
      <c r="AP82" s="186">
        <v>127746.76409395975</v>
      </c>
      <c r="AQ82" s="189">
        <v>5.0</v>
      </c>
      <c r="AR82" s="186">
        <v>123120.0</v>
      </c>
      <c r="AS82" s="186">
        <v>30786.0</v>
      </c>
      <c r="AT82" s="187">
        <v>0.008085732596223815</v>
      </c>
      <c r="AU82" s="186">
        <v>380685.357</v>
      </c>
      <c r="AV82" s="219">
        <v>144.0</v>
      </c>
      <c r="AW82" s="219">
        <v>1508.0</v>
      </c>
      <c r="AX82" s="257">
        <v>5948.64</v>
      </c>
      <c r="AY82" s="258">
        <v>71.0</v>
      </c>
      <c r="AZ82" s="258">
        <v>50.0</v>
      </c>
      <c r="BA82" s="258">
        <v>34.0</v>
      </c>
      <c r="BB82" s="258">
        <v>63.0</v>
      </c>
      <c r="BC82" s="260"/>
      <c r="BD82" s="260"/>
      <c r="BE82" s="164">
        <v>2.6999999955296516</v>
      </c>
    </row>
    <row r="83">
      <c r="A83" s="6" t="s">
        <v>185</v>
      </c>
      <c r="B83" s="183" t="s">
        <v>189</v>
      </c>
      <c r="C83" s="184" t="s">
        <v>248</v>
      </c>
      <c r="D83" s="75" t="s">
        <v>192</v>
      </c>
      <c r="E83" s="256">
        <v>45117.0</v>
      </c>
      <c r="F83" s="75" t="s">
        <v>1016</v>
      </c>
      <c r="G83" s="186">
        <v>1.3630333E7</v>
      </c>
      <c r="H83" s="190">
        <v>24356.0</v>
      </c>
      <c r="I83" s="190">
        <v>1500000.0</v>
      </c>
      <c r="J83" s="186">
        <v>0.0</v>
      </c>
      <c r="K83" s="186">
        <v>9000000.0</v>
      </c>
      <c r="L83" s="186">
        <v>6319929.97</v>
      </c>
      <c r="M83" s="186">
        <v>0.0</v>
      </c>
      <c r="N83" s="186">
        <v>5923663.0</v>
      </c>
      <c r="O83" s="187">
        <v>0.7022144411111111</v>
      </c>
      <c r="P83" s="187">
        <v>0.0</v>
      </c>
      <c r="Q83" s="187">
        <v>0.6581847777777777</v>
      </c>
      <c r="R83" s="188">
        <v>58.0</v>
      </c>
      <c r="S83" s="188">
        <v>55.0</v>
      </c>
      <c r="T83" s="188">
        <v>12.0</v>
      </c>
      <c r="U83" s="188">
        <v>12.0</v>
      </c>
      <c r="V83" s="188">
        <v>70.0</v>
      </c>
      <c r="W83" s="188">
        <v>15.0</v>
      </c>
      <c r="X83" s="189">
        <v>5057477.38</v>
      </c>
      <c r="Y83" s="189">
        <v>1262452.59</v>
      </c>
      <c r="Z83" s="188">
        <v>27.0</v>
      </c>
      <c r="AA83" s="188">
        <v>12.0</v>
      </c>
      <c r="AB83" s="188">
        <v>39.0</v>
      </c>
      <c r="AC83" s="188">
        <v>0.0</v>
      </c>
      <c r="AD83" s="188">
        <v>14.0</v>
      </c>
      <c r="AE83" s="188">
        <v>50.0</v>
      </c>
      <c r="AF83" s="188">
        <v>58.0</v>
      </c>
      <c r="AG83" s="188">
        <v>2.0</v>
      </c>
      <c r="AH83" s="188">
        <v>21.0</v>
      </c>
      <c r="AI83" s="188">
        <v>0.0</v>
      </c>
      <c r="AJ83" s="188">
        <v>0.0</v>
      </c>
      <c r="AK83" s="188">
        <v>0.0</v>
      </c>
      <c r="AL83" s="188">
        <v>0.0</v>
      </c>
      <c r="AM83" s="188">
        <v>729.0</v>
      </c>
      <c r="AN83" s="188">
        <v>800.0</v>
      </c>
      <c r="AO83" s="188">
        <v>142.0</v>
      </c>
      <c r="AP83" s="186">
        <v>44506.54908450704</v>
      </c>
      <c r="AQ83" s="189">
        <v>5.133802816901408</v>
      </c>
      <c r="AR83" s="186">
        <v>146136.0</v>
      </c>
      <c r="AS83" s="186">
        <v>31077.0</v>
      </c>
      <c r="AT83" s="187">
        <v>0.02804034235208464</v>
      </c>
      <c r="AU83" s="186">
        <v>162049.48641025642</v>
      </c>
      <c r="AV83" s="219">
        <v>169.0</v>
      </c>
      <c r="AW83" s="219">
        <v>1532.0</v>
      </c>
      <c r="AX83" s="257">
        <v>8782.62</v>
      </c>
      <c r="AY83" s="258">
        <v>160.0</v>
      </c>
      <c r="AZ83" s="258">
        <v>39.0</v>
      </c>
      <c r="BA83" s="258">
        <v>16.0</v>
      </c>
      <c r="BB83" s="258">
        <v>15.0</v>
      </c>
      <c r="BC83" s="260"/>
      <c r="BD83" s="260"/>
      <c r="BE83" s="164">
        <v>0.05156250111758709</v>
      </c>
    </row>
    <row r="84">
      <c r="A84" s="6" t="s">
        <v>126</v>
      </c>
      <c r="B84" s="183" t="s">
        <v>130</v>
      </c>
      <c r="C84" s="184" t="s">
        <v>154</v>
      </c>
      <c r="D84" s="75" t="s">
        <v>155</v>
      </c>
      <c r="E84" s="256">
        <v>45121.0</v>
      </c>
      <c r="F84" s="75" t="s">
        <v>130</v>
      </c>
      <c r="G84" s="186">
        <v>2.218899E7</v>
      </c>
      <c r="H84" s="190">
        <v>27784.0</v>
      </c>
      <c r="I84" s="190">
        <v>2208333.0</v>
      </c>
      <c r="J84" s="186">
        <v>0.0</v>
      </c>
      <c r="K84" s="186">
        <v>1.3249998E7</v>
      </c>
      <c r="L84" s="186">
        <v>1.35313511E7</v>
      </c>
      <c r="M84" s="186">
        <v>0.0</v>
      </c>
      <c r="N84" s="186">
        <v>1.3377483E7</v>
      </c>
      <c r="O84" s="187">
        <v>1.0212341994315772</v>
      </c>
      <c r="P84" s="187">
        <v>0.0</v>
      </c>
      <c r="Q84" s="187">
        <v>1.0096215108862658</v>
      </c>
      <c r="R84" s="188">
        <v>61.0</v>
      </c>
      <c r="S84" s="188">
        <v>66.0</v>
      </c>
      <c r="T84" s="188">
        <v>8.0</v>
      </c>
      <c r="U84" s="188">
        <v>8.0</v>
      </c>
      <c r="V84" s="188">
        <v>69.0</v>
      </c>
      <c r="W84" s="188">
        <v>3.0</v>
      </c>
      <c r="X84" s="189">
        <v>1.195354813E7</v>
      </c>
      <c r="Y84" s="189">
        <v>1577802.97</v>
      </c>
      <c r="Z84" s="188">
        <v>39.0</v>
      </c>
      <c r="AA84" s="188">
        <v>8.0</v>
      </c>
      <c r="AB84" s="188">
        <v>47.0</v>
      </c>
      <c r="AC84" s="188">
        <v>0.0</v>
      </c>
      <c r="AD84" s="188">
        <v>24.0</v>
      </c>
      <c r="AE84" s="188">
        <v>38.0</v>
      </c>
      <c r="AF84" s="188">
        <v>65.0</v>
      </c>
      <c r="AG84" s="188">
        <v>2.0</v>
      </c>
      <c r="AH84" s="188">
        <v>18.0</v>
      </c>
      <c r="AI84" s="188">
        <v>0.0</v>
      </c>
      <c r="AJ84" s="188">
        <v>0.0</v>
      </c>
      <c r="AK84" s="188">
        <v>0.0</v>
      </c>
      <c r="AL84" s="188">
        <v>0.0</v>
      </c>
      <c r="AM84" s="188">
        <v>397.0</v>
      </c>
      <c r="AN84" s="188">
        <v>453.0</v>
      </c>
      <c r="AO84" s="188">
        <v>141.0</v>
      </c>
      <c r="AP84" s="186">
        <v>95967.02907801418</v>
      </c>
      <c r="AQ84" s="189">
        <v>2.8156028368794326</v>
      </c>
      <c r="AR84" s="186">
        <v>166704.0</v>
      </c>
      <c r="AS84" s="186">
        <v>19156.0</v>
      </c>
      <c r="AT84" s="187">
        <v>0.01373550938309479</v>
      </c>
      <c r="AU84" s="186">
        <v>287901.0872340425</v>
      </c>
      <c r="AV84" s="219">
        <v>107.0</v>
      </c>
      <c r="AW84" s="219">
        <v>1086.0</v>
      </c>
      <c r="AX84" s="257">
        <v>3797.17</v>
      </c>
      <c r="AY84" s="258">
        <v>58.0</v>
      </c>
      <c r="AZ84" s="258">
        <v>47.0</v>
      </c>
      <c r="BA84" s="258">
        <v>20.0</v>
      </c>
      <c r="BB84" s="258">
        <v>2.0</v>
      </c>
      <c r="BC84" s="260"/>
      <c r="BD84" s="260"/>
      <c r="BE84" s="164">
        <v>-0.12999999895691872</v>
      </c>
    </row>
    <row r="85">
      <c r="A85" s="6" t="s">
        <v>126</v>
      </c>
      <c r="B85" s="183" t="s">
        <v>130</v>
      </c>
      <c r="C85" s="184" t="s">
        <v>156</v>
      </c>
      <c r="D85" s="75" t="s">
        <v>157</v>
      </c>
      <c r="E85" s="256">
        <v>45122.0</v>
      </c>
      <c r="F85" s="75" t="s">
        <v>130</v>
      </c>
      <c r="G85" s="186">
        <v>6564514.0</v>
      </c>
      <c r="H85" s="190">
        <v>24182.0</v>
      </c>
      <c r="I85" s="190">
        <v>1791667.0</v>
      </c>
      <c r="J85" s="186">
        <v>0.0</v>
      </c>
      <c r="K85" s="186">
        <v>1.0750002E7</v>
      </c>
      <c r="L85" s="186">
        <v>6124718.75</v>
      </c>
      <c r="M85" s="186">
        <v>0.0</v>
      </c>
      <c r="N85" s="186">
        <v>6006713.0</v>
      </c>
      <c r="O85" s="187">
        <v>0.5697411730714097</v>
      </c>
      <c r="P85" s="187">
        <v>0.0</v>
      </c>
      <c r="Q85" s="187">
        <v>0.5587638960439263</v>
      </c>
      <c r="R85" s="188">
        <v>46.0</v>
      </c>
      <c r="S85" s="188">
        <v>48.0</v>
      </c>
      <c r="T85" s="188">
        <v>9.0</v>
      </c>
      <c r="U85" s="188">
        <v>9.0</v>
      </c>
      <c r="V85" s="188">
        <v>55.0</v>
      </c>
      <c r="W85" s="188">
        <v>7.0</v>
      </c>
      <c r="X85" s="189">
        <v>5577154.91</v>
      </c>
      <c r="Y85" s="189">
        <v>547563.84</v>
      </c>
      <c r="Z85" s="188">
        <v>30.0</v>
      </c>
      <c r="AA85" s="188">
        <v>9.0</v>
      </c>
      <c r="AB85" s="188">
        <v>39.0</v>
      </c>
      <c r="AC85" s="188">
        <v>0.0</v>
      </c>
      <c r="AD85" s="188">
        <v>104.0</v>
      </c>
      <c r="AE85" s="188">
        <v>159.0</v>
      </c>
      <c r="AF85" s="188">
        <v>258.0</v>
      </c>
      <c r="AG85" s="188">
        <v>3.0</v>
      </c>
      <c r="AH85" s="188">
        <v>7.0</v>
      </c>
      <c r="AI85" s="188">
        <v>0.0</v>
      </c>
      <c r="AJ85" s="188">
        <v>0.0</v>
      </c>
      <c r="AK85" s="188">
        <v>0.0</v>
      </c>
      <c r="AL85" s="188">
        <v>0.0</v>
      </c>
      <c r="AM85" s="188">
        <v>751.0</v>
      </c>
      <c r="AN85" s="188">
        <v>917.0</v>
      </c>
      <c r="AO85" s="188">
        <v>143.0</v>
      </c>
      <c r="AP85" s="186">
        <v>42830.20104895105</v>
      </c>
      <c r="AQ85" s="189">
        <v>5.251748251748252</v>
      </c>
      <c r="AR85" s="186">
        <v>145092.0</v>
      </c>
      <c r="AS85" s="186">
        <v>14950.0</v>
      </c>
      <c r="AT85" s="187">
        <v>0.02613050599262211</v>
      </c>
      <c r="AU85" s="186">
        <v>157044.0705128205</v>
      </c>
      <c r="AV85" s="219">
        <v>167.0</v>
      </c>
      <c r="AW85" s="219">
        <v>1013.0</v>
      </c>
      <c r="AX85" s="257">
        <v>6215.05</v>
      </c>
      <c r="AY85" s="258">
        <v>129.0</v>
      </c>
      <c r="AZ85" s="258">
        <v>39.0</v>
      </c>
      <c r="BA85" s="258">
        <v>10.0</v>
      </c>
      <c r="BB85" s="258">
        <v>6.0</v>
      </c>
      <c r="BC85" s="260"/>
      <c r="BD85" s="260"/>
      <c r="BE85" s="164">
        <v>-0.5400000000372529</v>
      </c>
    </row>
    <row r="86">
      <c r="A86" s="6" t="s">
        <v>126</v>
      </c>
      <c r="B86" s="183" t="s">
        <v>145</v>
      </c>
      <c r="C86" s="184" t="s">
        <v>158</v>
      </c>
      <c r="D86" s="75" t="s">
        <v>159</v>
      </c>
      <c r="E86" s="256">
        <v>45124.0</v>
      </c>
      <c r="F86" s="75" t="s">
        <v>1066</v>
      </c>
      <c r="G86" s="186">
        <v>9816935.0</v>
      </c>
      <c r="H86" s="190">
        <v>26500.0</v>
      </c>
      <c r="I86" s="190">
        <v>1650000.0</v>
      </c>
      <c r="J86" s="186">
        <v>0.0</v>
      </c>
      <c r="K86" s="186">
        <v>9900000.0</v>
      </c>
      <c r="L86" s="186">
        <v>5022754.86</v>
      </c>
      <c r="M86" s="186">
        <v>0.0</v>
      </c>
      <c r="N86" s="186">
        <v>3707732.0</v>
      </c>
      <c r="O86" s="187">
        <v>0.5073489757575758</v>
      </c>
      <c r="P86" s="187">
        <v>0.0</v>
      </c>
      <c r="Q86" s="187">
        <v>0.3745183838383838</v>
      </c>
      <c r="R86" s="188">
        <v>40.0</v>
      </c>
      <c r="S86" s="188">
        <v>38.0</v>
      </c>
      <c r="T86" s="188">
        <v>2.0</v>
      </c>
      <c r="U86" s="188">
        <v>2.0</v>
      </c>
      <c r="V86" s="188">
        <v>42.0</v>
      </c>
      <c r="W86" s="188">
        <v>4.0</v>
      </c>
      <c r="X86" s="189">
        <v>4797465.48</v>
      </c>
      <c r="Y86" s="189">
        <v>225289.38</v>
      </c>
      <c r="Z86" s="188">
        <v>31.0</v>
      </c>
      <c r="AA86" s="188">
        <v>2.0</v>
      </c>
      <c r="AB86" s="188">
        <v>33.0</v>
      </c>
      <c r="AC86" s="188">
        <v>0.0</v>
      </c>
      <c r="AD86" s="188">
        <v>154.0</v>
      </c>
      <c r="AE86" s="188">
        <v>342.0</v>
      </c>
      <c r="AF86" s="188">
        <v>152.0</v>
      </c>
      <c r="AG86" s="188">
        <v>2.0</v>
      </c>
      <c r="AH86" s="188">
        <v>5.0</v>
      </c>
      <c r="AI86" s="188">
        <v>0.0</v>
      </c>
      <c r="AJ86" s="188">
        <v>0.0</v>
      </c>
      <c r="AK86" s="188">
        <v>0.0</v>
      </c>
      <c r="AL86" s="188">
        <v>0.0</v>
      </c>
      <c r="AM86" s="188">
        <v>150.0</v>
      </c>
      <c r="AN86" s="188">
        <v>497.0</v>
      </c>
      <c r="AO86" s="188">
        <v>126.0</v>
      </c>
      <c r="AP86" s="186">
        <v>39863.13380952381</v>
      </c>
      <c r="AQ86" s="189">
        <v>1.1904761904761905</v>
      </c>
      <c r="AR86" s="186">
        <v>159000.0</v>
      </c>
      <c r="AS86" s="186">
        <v>45977.0</v>
      </c>
      <c r="AT86" s="187">
        <v>0.040809676305803226</v>
      </c>
      <c r="AU86" s="186">
        <v>152204.69272727275</v>
      </c>
      <c r="AV86" s="219">
        <v>175.0</v>
      </c>
      <c r="AW86" s="219">
        <v>1465.0</v>
      </c>
      <c r="AX86" s="257">
        <v>8269.9</v>
      </c>
      <c r="AY86" s="258">
        <v>218.0</v>
      </c>
      <c r="AZ86" s="258">
        <v>33.0</v>
      </c>
      <c r="BA86" s="258">
        <v>6.0</v>
      </c>
      <c r="BB86" s="258">
        <v>3.0</v>
      </c>
      <c r="BC86" s="260"/>
      <c r="BD86" s="260"/>
      <c r="BE86" s="164">
        <v>0.1399999987334013</v>
      </c>
    </row>
    <row r="87">
      <c r="A87" s="6" t="s">
        <v>126</v>
      </c>
      <c r="B87" s="183" t="s">
        <v>135</v>
      </c>
      <c r="C87" s="184" t="s">
        <v>770</v>
      </c>
      <c r="D87" s="75" t="s">
        <v>1081</v>
      </c>
      <c r="E87" s="256">
        <v>45145.0</v>
      </c>
      <c r="F87" s="75" t="s">
        <v>1022</v>
      </c>
      <c r="G87" s="186">
        <v>1.1115196659999998E7</v>
      </c>
      <c r="H87" s="190">
        <v>36187.0</v>
      </c>
      <c r="I87" s="190">
        <v>1833333.0</v>
      </c>
      <c r="J87" s="186">
        <v>0.0</v>
      </c>
      <c r="K87" s="186">
        <v>1.0999998E7</v>
      </c>
      <c r="L87" s="186">
        <v>5777608.97</v>
      </c>
      <c r="M87" s="186">
        <v>0.0</v>
      </c>
      <c r="N87" s="186">
        <v>4770261.73</v>
      </c>
      <c r="O87" s="187">
        <v>0.5252372745885954</v>
      </c>
      <c r="P87" s="187">
        <v>0.0</v>
      </c>
      <c r="Q87" s="187">
        <v>0.43366023612004295</v>
      </c>
      <c r="R87" s="188">
        <v>66.0</v>
      </c>
      <c r="S87" s="188">
        <v>66.0</v>
      </c>
      <c r="T87" s="188">
        <v>7.0</v>
      </c>
      <c r="U87" s="188">
        <v>7.0</v>
      </c>
      <c r="V87" s="188">
        <v>73.0</v>
      </c>
      <c r="W87" s="188">
        <v>7.0</v>
      </c>
      <c r="X87" s="189">
        <v>5526501.66</v>
      </c>
      <c r="Y87" s="189">
        <v>251107.31</v>
      </c>
      <c r="Z87" s="188">
        <v>43.0</v>
      </c>
      <c r="AA87" s="188">
        <v>7.0</v>
      </c>
      <c r="AB87" s="188">
        <v>50.0</v>
      </c>
      <c r="AC87" s="188">
        <v>0.0</v>
      </c>
      <c r="AD87" s="188">
        <v>45.0</v>
      </c>
      <c r="AE87" s="188">
        <v>62.0</v>
      </c>
      <c r="AF87" s="188">
        <v>167.0</v>
      </c>
      <c r="AG87" s="188">
        <v>3.0</v>
      </c>
      <c r="AH87" s="188">
        <v>48.0</v>
      </c>
      <c r="AI87" s="188">
        <v>0.0</v>
      </c>
      <c r="AJ87" s="188">
        <v>0.0</v>
      </c>
      <c r="AK87" s="188">
        <v>0.0</v>
      </c>
      <c r="AL87" s="188">
        <v>0.0</v>
      </c>
      <c r="AM87" s="188">
        <v>463.0</v>
      </c>
      <c r="AN87" s="188">
        <v>573.0</v>
      </c>
      <c r="AO87" s="188">
        <v>143.0</v>
      </c>
      <c r="AP87" s="186">
        <v>40402.85993006993</v>
      </c>
      <c r="AQ87" s="189">
        <v>3.237762237762238</v>
      </c>
      <c r="AR87" s="186">
        <v>217122.0</v>
      </c>
      <c r="AS87" s="186">
        <v>36260.0</v>
      </c>
      <c r="AT87" s="187">
        <v>0.043855858247880006</v>
      </c>
      <c r="AU87" s="186">
        <v>115552.1794</v>
      </c>
      <c r="AV87" s="219">
        <v>296.0</v>
      </c>
      <c r="AW87" s="219">
        <v>1331.0</v>
      </c>
      <c r="AX87" s="257">
        <v>9500.74</v>
      </c>
      <c r="AY87" s="258">
        <v>144.0</v>
      </c>
      <c r="AZ87" s="258">
        <v>50.0</v>
      </c>
      <c r="BA87" s="258">
        <v>18.0</v>
      </c>
      <c r="BB87" s="258">
        <v>5.0</v>
      </c>
      <c r="BC87" s="260"/>
      <c r="BD87" s="260"/>
      <c r="BE87" s="164">
        <v>-0.08999999891966581</v>
      </c>
    </row>
    <row r="88">
      <c r="A88" s="6" t="s">
        <v>185</v>
      </c>
      <c r="B88" s="183" t="s">
        <v>189</v>
      </c>
      <c r="C88" s="184" t="s">
        <v>414</v>
      </c>
      <c r="D88" s="75" t="s">
        <v>415</v>
      </c>
      <c r="E88" s="256">
        <v>45148.0</v>
      </c>
      <c r="F88" s="75" t="s">
        <v>1016</v>
      </c>
      <c r="G88" s="186">
        <v>1.3172623E7</v>
      </c>
      <c r="H88" s="190">
        <v>26870.0</v>
      </c>
      <c r="I88" s="190">
        <v>1733333.0</v>
      </c>
      <c r="J88" s="186">
        <v>0.0</v>
      </c>
      <c r="K88" s="186">
        <v>1.0399998E7</v>
      </c>
      <c r="L88" s="186">
        <v>6947957.98</v>
      </c>
      <c r="M88" s="186">
        <v>0.0</v>
      </c>
      <c r="N88" s="186">
        <v>6625476.0</v>
      </c>
      <c r="O88" s="187">
        <v>0.6680730111678868</v>
      </c>
      <c r="P88" s="187">
        <v>0.0</v>
      </c>
      <c r="Q88" s="187">
        <v>0.6370651225125236</v>
      </c>
      <c r="R88" s="188">
        <v>87.0</v>
      </c>
      <c r="S88" s="188">
        <v>96.0</v>
      </c>
      <c r="T88" s="188">
        <v>12.0</v>
      </c>
      <c r="U88" s="188">
        <v>8.0</v>
      </c>
      <c r="V88" s="188">
        <v>99.0</v>
      </c>
      <c r="W88" s="188">
        <v>3.0</v>
      </c>
      <c r="X88" s="189">
        <v>5610014.47</v>
      </c>
      <c r="Y88" s="189">
        <v>1337943.51</v>
      </c>
      <c r="Z88" s="188">
        <v>49.0</v>
      </c>
      <c r="AA88" s="188">
        <v>8.0</v>
      </c>
      <c r="AB88" s="188">
        <v>57.0</v>
      </c>
      <c r="AC88" s="188">
        <v>0.0</v>
      </c>
      <c r="AD88" s="188">
        <v>51.0</v>
      </c>
      <c r="AE88" s="188">
        <v>76.0</v>
      </c>
      <c r="AF88" s="188">
        <v>197.0</v>
      </c>
      <c r="AG88" s="188">
        <v>2.0</v>
      </c>
      <c r="AH88" s="188">
        <v>47.0</v>
      </c>
      <c r="AI88" s="188">
        <v>0.0</v>
      </c>
      <c r="AJ88" s="188">
        <v>0.0</v>
      </c>
      <c r="AK88" s="188">
        <v>0.0</v>
      </c>
      <c r="AL88" s="188">
        <v>0.0</v>
      </c>
      <c r="AM88" s="188">
        <v>644.0</v>
      </c>
      <c r="AN88" s="188">
        <v>767.0</v>
      </c>
      <c r="AO88" s="188">
        <v>143.0</v>
      </c>
      <c r="AP88" s="186">
        <v>48587.118741258746</v>
      </c>
      <c r="AQ88" s="189">
        <v>4.503496503496503</v>
      </c>
      <c r="AR88" s="186">
        <v>161220.0</v>
      </c>
      <c r="AS88" s="186">
        <v>32528.0</v>
      </c>
      <c r="AT88" s="187">
        <v>0.0278856033035479</v>
      </c>
      <c r="AU88" s="186">
        <v>121893.99964912281</v>
      </c>
      <c r="AV88" s="219">
        <v>147.0</v>
      </c>
      <c r="AW88" s="219">
        <v>1632.0</v>
      </c>
      <c r="AX88" s="257">
        <v>10973.18</v>
      </c>
      <c r="AY88" s="258">
        <v>114.0</v>
      </c>
      <c r="AZ88" s="258">
        <v>57.0</v>
      </c>
      <c r="BA88" s="258">
        <v>40.0</v>
      </c>
      <c r="BB88" s="258">
        <v>2.0</v>
      </c>
      <c r="BC88" s="260"/>
      <c r="BD88" s="260"/>
      <c r="BE88" s="164">
        <v>-0.9900000002235174</v>
      </c>
    </row>
    <row r="89">
      <c r="A89" s="6" t="s">
        <v>126</v>
      </c>
      <c r="B89" s="183" t="s">
        <v>135</v>
      </c>
      <c r="C89" s="184" t="s">
        <v>772</v>
      </c>
      <c r="D89" s="75" t="s">
        <v>180</v>
      </c>
      <c r="E89" s="256">
        <v>45152.0</v>
      </c>
      <c r="F89" s="75" t="s">
        <v>1042</v>
      </c>
      <c r="G89" s="186">
        <v>8371588.0</v>
      </c>
      <c r="H89" s="190">
        <v>43314.0</v>
      </c>
      <c r="I89" s="190">
        <v>2000000.0</v>
      </c>
      <c r="J89" s="186">
        <v>0.0</v>
      </c>
      <c r="K89" s="186">
        <v>1.2E7</v>
      </c>
      <c r="L89" s="186">
        <v>1.054857164E7</v>
      </c>
      <c r="M89" s="186">
        <v>0.0</v>
      </c>
      <c r="N89" s="186">
        <v>9903975.0</v>
      </c>
      <c r="O89" s="187">
        <v>0.8790476366666667</v>
      </c>
      <c r="P89" s="187">
        <v>0.0</v>
      </c>
      <c r="Q89" s="187">
        <v>0.82533125</v>
      </c>
      <c r="R89" s="188">
        <v>88.0</v>
      </c>
      <c r="S89" s="188">
        <v>114.0</v>
      </c>
      <c r="T89" s="188">
        <v>39.0</v>
      </c>
      <c r="U89" s="188">
        <v>33.0</v>
      </c>
      <c r="V89" s="188">
        <v>127.0</v>
      </c>
      <c r="W89" s="188">
        <v>13.0</v>
      </c>
      <c r="X89" s="189">
        <v>8141537.65</v>
      </c>
      <c r="Y89" s="189">
        <v>2407033.99</v>
      </c>
      <c r="Z89" s="188">
        <v>52.0</v>
      </c>
      <c r="AA89" s="188">
        <v>33.0</v>
      </c>
      <c r="AB89" s="188">
        <v>85.0</v>
      </c>
      <c r="AC89" s="188">
        <v>0.0</v>
      </c>
      <c r="AD89" s="188">
        <v>59.0</v>
      </c>
      <c r="AE89" s="188">
        <v>72.0</v>
      </c>
      <c r="AF89" s="188">
        <v>237.0</v>
      </c>
      <c r="AG89" s="188">
        <v>2.0</v>
      </c>
      <c r="AH89" s="188">
        <v>25.0</v>
      </c>
      <c r="AI89" s="188">
        <v>0.0</v>
      </c>
      <c r="AJ89" s="188">
        <v>0.0</v>
      </c>
      <c r="AK89" s="188">
        <v>1.0</v>
      </c>
      <c r="AL89" s="188">
        <v>37.0</v>
      </c>
      <c r="AM89" s="188">
        <v>394.0</v>
      </c>
      <c r="AN89" s="188">
        <v>528.0</v>
      </c>
      <c r="AO89" s="188">
        <v>144.0</v>
      </c>
      <c r="AP89" s="186">
        <v>73253.96972222223</v>
      </c>
      <c r="AQ89" s="189">
        <v>2.736111111111111</v>
      </c>
      <c r="AR89" s="186">
        <v>259884.0</v>
      </c>
      <c r="AS89" s="186">
        <v>41400.0</v>
      </c>
      <c r="AT89" s="187">
        <v>0.028561592060249778</v>
      </c>
      <c r="AU89" s="186">
        <v>124100.84282352941</v>
      </c>
      <c r="AV89" s="219">
        <v>554.0</v>
      </c>
      <c r="AW89" s="219">
        <v>1238.0</v>
      </c>
      <c r="AX89" s="257">
        <v>7663.82</v>
      </c>
      <c r="AY89" s="258">
        <v>67.0</v>
      </c>
      <c r="AZ89" s="258">
        <v>85.0</v>
      </c>
      <c r="BA89" s="258">
        <v>32.0</v>
      </c>
      <c r="BB89" s="258">
        <v>10.0</v>
      </c>
      <c r="BC89" s="260"/>
      <c r="BD89" s="260"/>
      <c r="BE89" s="164">
        <v>-0.07416992634534836</v>
      </c>
    </row>
    <row r="90">
      <c r="A90" s="6" t="s">
        <v>298</v>
      </c>
      <c r="B90" s="183" t="s">
        <v>301</v>
      </c>
      <c r="C90" s="184" t="s">
        <v>773</v>
      </c>
      <c r="D90" s="75" t="s">
        <v>310</v>
      </c>
      <c r="E90" s="256">
        <v>45159.0</v>
      </c>
      <c r="F90" s="75" t="s">
        <v>1066</v>
      </c>
      <c r="G90" s="186">
        <v>1.3420107E7</v>
      </c>
      <c r="H90" s="190">
        <v>30195.0</v>
      </c>
      <c r="I90" s="190">
        <v>1500000.0</v>
      </c>
      <c r="J90" s="186">
        <v>0.0</v>
      </c>
      <c r="K90" s="186">
        <v>9000000.0</v>
      </c>
      <c r="L90" s="186">
        <v>5470098.38</v>
      </c>
      <c r="M90" s="186">
        <v>0.0</v>
      </c>
      <c r="N90" s="186">
        <v>5581459.0</v>
      </c>
      <c r="O90" s="187">
        <v>0.6077887088888889</v>
      </c>
      <c r="P90" s="187">
        <v>0.0</v>
      </c>
      <c r="Q90" s="187">
        <v>0.6201621111111111</v>
      </c>
      <c r="R90" s="188">
        <v>65.0</v>
      </c>
      <c r="S90" s="188">
        <v>66.0</v>
      </c>
      <c r="T90" s="188">
        <v>7.0</v>
      </c>
      <c r="U90" s="188">
        <v>7.0</v>
      </c>
      <c r="V90" s="188">
        <v>72.0</v>
      </c>
      <c r="W90" s="188">
        <v>6.0</v>
      </c>
      <c r="X90" s="189">
        <v>5123786.65</v>
      </c>
      <c r="Y90" s="189">
        <v>346311.73</v>
      </c>
      <c r="Z90" s="188">
        <v>41.0</v>
      </c>
      <c r="AA90" s="188">
        <v>7.0</v>
      </c>
      <c r="AB90" s="188">
        <v>48.0</v>
      </c>
      <c r="AC90" s="188">
        <v>0.0</v>
      </c>
      <c r="AD90" s="188">
        <v>54.0</v>
      </c>
      <c r="AE90" s="188">
        <v>96.0</v>
      </c>
      <c r="AF90" s="188">
        <v>126.0</v>
      </c>
      <c r="AG90" s="188">
        <v>0.0</v>
      </c>
      <c r="AH90" s="188">
        <v>0.0</v>
      </c>
      <c r="AI90" s="188">
        <v>0.0</v>
      </c>
      <c r="AJ90" s="188">
        <v>0.0</v>
      </c>
      <c r="AK90" s="188">
        <v>0.0</v>
      </c>
      <c r="AL90" s="188">
        <v>0.0</v>
      </c>
      <c r="AM90" s="188">
        <v>680.0</v>
      </c>
      <c r="AN90" s="188">
        <v>776.0</v>
      </c>
      <c r="AO90" s="188">
        <v>148.0</v>
      </c>
      <c r="AP90" s="186">
        <v>36960.12418918919</v>
      </c>
      <c r="AQ90" s="189">
        <v>4.594594594594595</v>
      </c>
      <c r="AR90" s="186">
        <v>181170.0</v>
      </c>
      <c r="AS90" s="186">
        <v>31146.0</v>
      </c>
      <c r="AT90" s="187">
        <v>0.03881392714549313</v>
      </c>
      <c r="AU90" s="186">
        <v>113960.38291666667</v>
      </c>
      <c r="AV90" s="219">
        <v>166.0</v>
      </c>
      <c r="AW90" s="219">
        <v>1520.0</v>
      </c>
      <c r="AX90" s="257">
        <v>10820.41</v>
      </c>
      <c r="AY90" s="258">
        <v>164.0</v>
      </c>
      <c r="AZ90" s="258">
        <v>48.0</v>
      </c>
      <c r="BA90" s="258">
        <v>20.0</v>
      </c>
      <c r="BB90" s="258">
        <v>4.0</v>
      </c>
      <c r="BC90" s="260"/>
      <c r="BD90" s="260"/>
      <c r="BE90" s="164">
        <v>0.009999999776482582</v>
      </c>
    </row>
    <row r="91">
      <c r="A91" s="6" t="s">
        <v>185</v>
      </c>
      <c r="B91" s="183" t="s">
        <v>215</v>
      </c>
      <c r="C91" s="184" t="s">
        <v>776</v>
      </c>
      <c r="D91" s="75" t="s">
        <v>278</v>
      </c>
      <c r="E91" s="256">
        <v>45170.0</v>
      </c>
      <c r="F91" s="75" t="s">
        <v>1064</v>
      </c>
      <c r="G91" s="186"/>
      <c r="H91" s="190">
        <v>95640.0</v>
      </c>
      <c r="I91" s="190"/>
      <c r="J91" s="186">
        <v>0.0</v>
      </c>
      <c r="K91" s="186">
        <v>0.0</v>
      </c>
      <c r="L91" s="186">
        <v>0.0</v>
      </c>
      <c r="M91" s="186">
        <v>0.0</v>
      </c>
      <c r="N91" s="186"/>
      <c r="O91" s="187"/>
      <c r="P91" s="187">
        <v>0.0</v>
      </c>
      <c r="Q91" s="187"/>
      <c r="R91" s="188">
        <v>173.0</v>
      </c>
      <c r="S91" s="188">
        <v>161.0</v>
      </c>
      <c r="T91" s="188">
        <v>20.0</v>
      </c>
      <c r="U91" s="188">
        <v>0.0</v>
      </c>
      <c r="V91" s="188">
        <v>193.0</v>
      </c>
      <c r="W91" s="188">
        <v>32.0</v>
      </c>
      <c r="X91" s="189">
        <v>0.0</v>
      </c>
      <c r="Y91" s="189">
        <v>0.0</v>
      </c>
      <c r="Z91" s="188">
        <v>0.0</v>
      </c>
      <c r="AA91" s="188">
        <v>0.0</v>
      </c>
      <c r="AB91" s="188">
        <v>0.0</v>
      </c>
      <c r="AC91" s="188">
        <v>0.0</v>
      </c>
      <c r="AD91" s="188">
        <v>60.0</v>
      </c>
      <c r="AE91" s="188">
        <v>75.0</v>
      </c>
      <c r="AF91" s="188">
        <v>24.0</v>
      </c>
      <c r="AG91" s="188">
        <v>4.0</v>
      </c>
      <c r="AH91" s="188">
        <v>92.0</v>
      </c>
      <c r="AI91" s="188">
        <v>0.0</v>
      </c>
      <c r="AJ91" s="188">
        <v>0.0</v>
      </c>
      <c r="AK91" s="188">
        <v>0.0</v>
      </c>
      <c r="AL91" s="188">
        <v>0.0</v>
      </c>
      <c r="AM91" s="188">
        <v>330.0</v>
      </c>
      <c r="AN91" s="188">
        <v>497.0</v>
      </c>
      <c r="AO91" s="188">
        <v>140.0</v>
      </c>
      <c r="AP91" s="186">
        <v>0.0</v>
      </c>
      <c r="AQ91" s="189">
        <v>2.357142857142857</v>
      </c>
      <c r="AR91" s="186">
        <v>573840.0</v>
      </c>
      <c r="AS91" s="186">
        <v>143936.0</v>
      </c>
      <c r="AT91" s="187"/>
      <c r="AU91" s="186"/>
      <c r="AV91" s="219">
        <v>0.0</v>
      </c>
      <c r="AW91" s="219">
        <v>1389.0</v>
      </c>
      <c r="AX91" s="257">
        <v>8487.5</v>
      </c>
      <c r="AY91" s="258">
        <v>53.0</v>
      </c>
      <c r="AZ91" s="258">
        <v>0.0</v>
      </c>
      <c r="BA91" s="258">
        <v>161.0</v>
      </c>
      <c r="BB91" s="258">
        <v>32.0</v>
      </c>
      <c r="BC91" s="260"/>
      <c r="BD91" s="260"/>
      <c r="BE91" s="164" t="e">
        <v>#N/A</v>
      </c>
    </row>
    <row r="92">
      <c r="A92" s="6" t="s">
        <v>126</v>
      </c>
      <c r="B92" s="183" t="s">
        <v>130</v>
      </c>
      <c r="C92" s="184" t="s">
        <v>781</v>
      </c>
      <c r="D92" s="75" t="s">
        <v>441</v>
      </c>
      <c r="E92" s="256">
        <v>45171.0</v>
      </c>
      <c r="F92" s="75" t="s">
        <v>1082</v>
      </c>
      <c r="G92" s="186">
        <v>711581.0</v>
      </c>
      <c r="H92" s="190">
        <v>34090.0</v>
      </c>
      <c r="I92" s="190">
        <v>1000000.0</v>
      </c>
      <c r="J92" s="186">
        <v>0.0</v>
      </c>
      <c r="K92" s="186">
        <v>6000000.0</v>
      </c>
      <c r="L92" s="186">
        <v>960611.01</v>
      </c>
      <c r="M92" s="186">
        <v>0.0</v>
      </c>
      <c r="N92" s="186">
        <v>937753.0</v>
      </c>
      <c r="O92" s="187">
        <v>0.160101835</v>
      </c>
      <c r="P92" s="187">
        <v>0.0</v>
      </c>
      <c r="Q92" s="187">
        <v>0.15629216666666668</v>
      </c>
      <c r="R92" s="188">
        <v>23.0</v>
      </c>
      <c r="S92" s="188">
        <v>24.0</v>
      </c>
      <c r="T92" s="188">
        <v>3.0</v>
      </c>
      <c r="U92" s="188">
        <v>3.0</v>
      </c>
      <c r="V92" s="188">
        <v>26.0</v>
      </c>
      <c r="W92" s="188">
        <v>2.0</v>
      </c>
      <c r="X92" s="189">
        <v>926325.42</v>
      </c>
      <c r="Y92" s="189">
        <v>34285.59</v>
      </c>
      <c r="Z92" s="188">
        <v>14.0</v>
      </c>
      <c r="AA92" s="188">
        <v>3.0</v>
      </c>
      <c r="AB92" s="188">
        <v>17.0</v>
      </c>
      <c r="AC92" s="188">
        <v>0.0</v>
      </c>
      <c r="AD92" s="188">
        <v>88.0</v>
      </c>
      <c r="AE92" s="188">
        <v>146.0</v>
      </c>
      <c r="AF92" s="188">
        <v>160.0</v>
      </c>
      <c r="AG92" s="188">
        <v>3.0</v>
      </c>
      <c r="AH92" s="188">
        <v>69.0</v>
      </c>
      <c r="AI92" s="188">
        <v>1.0</v>
      </c>
      <c r="AJ92" s="188">
        <v>9.0</v>
      </c>
      <c r="AK92" s="188">
        <v>34.0</v>
      </c>
      <c r="AL92" s="188">
        <v>115.0</v>
      </c>
      <c r="AM92" s="188">
        <v>351.0</v>
      </c>
      <c r="AN92" s="188">
        <v>690.0</v>
      </c>
      <c r="AO92" s="188">
        <v>148.0</v>
      </c>
      <c r="AP92" s="186">
        <v>6490.614932432432</v>
      </c>
      <c r="AQ92" s="189">
        <v>2.3716216216216215</v>
      </c>
      <c r="AR92" s="186">
        <v>204540.0</v>
      </c>
      <c r="AS92" s="186">
        <v>25690.0</v>
      </c>
      <c r="AT92" s="187">
        <v>0.23967037396333818</v>
      </c>
      <c r="AU92" s="186">
        <v>56506.53</v>
      </c>
      <c r="AV92" s="219">
        <v>54.0</v>
      </c>
      <c r="AW92" s="219">
        <v>1410.0</v>
      </c>
      <c r="AX92" s="257">
        <v>6298.09</v>
      </c>
      <c r="AY92" s="258">
        <v>262.0</v>
      </c>
      <c r="AZ92" s="258">
        <v>17.0</v>
      </c>
      <c r="BA92" s="258">
        <v>7.0</v>
      </c>
      <c r="BB92" s="258">
        <v>2.0</v>
      </c>
      <c r="BC92" s="260"/>
      <c r="BD92" s="260"/>
      <c r="BE92" s="164">
        <v>-0.09999999997671694</v>
      </c>
    </row>
    <row r="93">
      <c r="A93" s="6" t="s">
        <v>185</v>
      </c>
      <c r="B93" s="183" t="s">
        <v>215</v>
      </c>
      <c r="C93" s="184" t="s">
        <v>783</v>
      </c>
      <c r="D93" s="75" t="s">
        <v>250</v>
      </c>
      <c r="E93" s="256">
        <v>45184.0</v>
      </c>
      <c r="F93" s="75" t="s">
        <v>1064</v>
      </c>
      <c r="G93" s="186">
        <v>1.4852727E7</v>
      </c>
      <c r="H93" s="190">
        <v>36400.0</v>
      </c>
      <c r="I93" s="190">
        <v>1858333.0</v>
      </c>
      <c r="J93" s="186">
        <v>0.0</v>
      </c>
      <c r="K93" s="186">
        <v>1.1149998E7</v>
      </c>
      <c r="L93" s="186">
        <v>7145001.76</v>
      </c>
      <c r="M93" s="186">
        <v>0.0</v>
      </c>
      <c r="N93" s="186">
        <v>7131805.0</v>
      </c>
      <c r="O93" s="187">
        <v>0.640807447678466</v>
      </c>
      <c r="P93" s="187">
        <v>0.0</v>
      </c>
      <c r="Q93" s="187">
        <v>0.6396238815468845</v>
      </c>
      <c r="R93" s="188">
        <v>45.0</v>
      </c>
      <c r="S93" s="188">
        <v>43.0</v>
      </c>
      <c r="T93" s="188">
        <v>4.0</v>
      </c>
      <c r="U93" s="188">
        <v>4.0</v>
      </c>
      <c r="V93" s="188">
        <v>49.0</v>
      </c>
      <c r="W93" s="188">
        <v>6.0</v>
      </c>
      <c r="X93" s="189">
        <v>6465955.36</v>
      </c>
      <c r="Y93" s="189">
        <v>679046.4</v>
      </c>
      <c r="Z93" s="188">
        <v>26.0</v>
      </c>
      <c r="AA93" s="188">
        <v>4.0</v>
      </c>
      <c r="AB93" s="188">
        <v>30.0</v>
      </c>
      <c r="AC93" s="188">
        <v>0.0</v>
      </c>
      <c r="AD93" s="188">
        <v>27.0</v>
      </c>
      <c r="AE93" s="188">
        <v>36.0</v>
      </c>
      <c r="AF93" s="188">
        <v>101.0</v>
      </c>
      <c r="AG93" s="188">
        <v>1.0</v>
      </c>
      <c r="AH93" s="188">
        <v>7.0</v>
      </c>
      <c r="AI93" s="188">
        <v>0.0</v>
      </c>
      <c r="AJ93" s="188">
        <v>0.0</v>
      </c>
      <c r="AK93" s="188">
        <v>0.0</v>
      </c>
      <c r="AL93" s="188">
        <v>0.0</v>
      </c>
      <c r="AM93" s="188">
        <v>511.0</v>
      </c>
      <c r="AN93" s="188">
        <v>554.0</v>
      </c>
      <c r="AO93" s="188">
        <v>152.0</v>
      </c>
      <c r="AP93" s="186">
        <v>47006.59052631579</v>
      </c>
      <c r="AQ93" s="189">
        <v>3.361842105263158</v>
      </c>
      <c r="AR93" s="186">
        <v>218400.0</v>
      </c>
      <c r="AS93" s="186">
        <v>56204.0</v>
      </c>
      <c r="AT93" s="187">
        <v>0.03843302062391654</v>
      </c>
      <c r="AU93" s="186">
        <v>238166.72533333334</v>
      </c>
      <c r="AV93" s="219">
        <v>107.0</v>
      </c>
      <c r="AW93" s="219">
        <v>1317.0</v>
      </c>
      <c r="AX93" s="257">
        <v>7279.59</v>
      </c>
      <c r="AY93" s="258">
        <v>169.0</v>
      </c>
      <c r="AZ93" s="258">
        <v>30.0</v>
      </c>
      <c r="BA93" s="258">
        <v>13.0</v>
      </c>
      <c r="BB93" s="258">
        <v>6.0</v>
      </c>
      <c r="BC93" s="260"/>
      <c r="BD93" s="260"/>
      <c r="BE93" s="164">
        <v>1.1499999994412065</v>
      </c>
    </row>
    <row r="94">
      <c r="A94" s="6" t="s">
        <v>126</v>
      </c>
      <c r="B94" s="183" t="s">
        <v>130</v>
      </c>
      <c r="C94" s="184" t="s">
        <v>163</v>
      </c>
      <c r="D94" s="75" t="s">
        <v>151</v>
      </c>
      <c r="E94" s="256">
        <v>45187.0</v>
      </c>
      <c r="F94" s="75" t="s">
        <v>130</v>
      </c>
      <c r="G94" s="186">
        <v>5985747.0</v>
      </c>
      <c r="H94" s="190">
        <v>47925.0</v>
      </c>
      <c r="I94" s="190">
        <v>1833333.0</v>
      </c>
      <c r="J94" s="186">
        <v>0.0</v>
      </c>
      <c r="K94" s="186">
        <v>1.0999998E7</v>
      </c>
      <c r="L94" s="186">
        <v>4956654.45</v>
      </c>
      <c r="M94" s="186">
        <v>0.0</v>
      </c>
      <c r="N94" s="186">
        <v>4929037.0</v>
      </c>
      <c r="O94" s="187">
        <v>0.4506050319281876</v>
      </c>
      <c r="P94" s="187">
        <v>0.0</v>
      </c>
      <c r="Q94" s="187">
        <v>0.4480943541989735</v>
      </c>
      <c r="R94" s="188">
        <v>106.0</v>
      </c>
      <c r="S94" s="188">
        <v>112.0</v>
      </c>
      <c r="T94" s="188">
        <v>31.0</v>
      </c>
      <c r="U94" s="188">
        <v>22.0</v>
      </c>
      <c r="V94" s="188">
        <v>137.0</v>
      </c>
      <c r="W94" s="188">
        <v>25.0</v>
      </c>
      <c r="X94" s="189">
        <v>4162883.62</v>
      </c>
      <c r="Y94" s="189">
        <v>793770.83</v>
      </c>
      <c r="Z94" s="188">
        <v>57.0</v>
      </c>
      <c r="AA94" s="188">
        <v>22.0</v>
      </c>
      <c r="AB94" s="188">
        <v>79.0</v>
      </c>
      <c r="AC94" s="188">
        <v>0.0</v>
      </c>
      <c r="AD94" s="188">
        <v>48.0</v>
      </c>
      <c r="AE94" s="188">
        <v>57.0</v>
      </c>
      <c r="AF94" s="188">
        <v>178.0</v>
      </c>
      <c r="AG94" s="188">
        <v>4.0</v>
      </c>
      <c r="AH94" s="188">
        <v>69.0</v>
      </c>
      <c r="AI94" s="188">
        <v>0.0</v>
      </c>
      <c r="AJ94" s="188">
        <v>0.0</v>
      </c>
      <c r="AK94" s="188">
        <v>0.0</v>
      </c>
      <c r="AL94" s="188">
        <v>0.0</v>
      </c>
      <c r="AM94" s="188">
        <v>603.0</v>
      </c>
      <c r="AN94" s="188">
        <v>729.0</v>
      </c>
      <c r="AO94" s="188">
        <v>147.0</v>
      </c>
      <c r="AP94" s="186">
        <v>33718.73775510204</v>
      </c>
      <c r="AQ94" s="189">
        <v>4.1020408163265305</v>
      </c>
      <c r="AR94" s="186">
        <v>287550.0</v>
      </c>
      <c r="AS94" s="186">
        <v>24338.0</v>
      </c>
      <c r="AT94" s="187">
        <v>0.06292308716416574</v>
      </c>
      <c r="AU94" s="186">
        <v>62742.461392405065</v>
      </c>
      <c r="AV94" s="219">
        <v>283.0</v>
      </c>
      <c r="AW94" s="219">
        <v>1280.0</v>
      </c>
      <c r="AX94" s="257">
        <v>6129.94</v>
      </c>
      <c r="AY94" s="258">
        <v>55.0</v>
      </c>
      <c r="AZ94" s="258">
        <v>79.0</v>
      </c>
      <c r="BA94" s="258">
        <v>36.0</v>
      </c>
      <c r="BB94" s="258">
        <v>22.0</v>
      </c>
      <c r="BC94" s="260"/>
      <c r="BD94" s="260"/>
      <c r="BE94" s="164">
        <v>-0.02000000048428774</v>
      </c>
    </row>
    <row r="95">
      <c r="A95" s="6" t="s">
        <v>185</v>
      </c>
      <c r="B95" s="183" t="s">
        <v>189</v>
      </c>
      <c r="C95" s="184" t="s">
        <v>405</v>
      </c>
      <c r="D95" s="75" t="s">
        <v>406</v>
      </c>
      <c r="E95" s="256">
        <v>45202.0</v>
      </c>
      <c r="F95" s="75" t="s">
        <v>1083</v>
      </c>
      <c r="G95" s="186">
        <v>9796166.0</v>
      </c>
      <c r="H95" s="190">
        <v>25325.0</v>
      </c>
      <c r="I95" s="190">
        <v>1500000.0</v>
      </c>
      <c r="J95" s="186">
        <v>0.0</v>
      </c>
      <c r="K95" s="186">
        <v>9000000.0</v>
      </c>
      <c r="L95" s="186">
        <v>6836552.14</v>
      </c>
      <c r="M95" s="186">
        <v>0.0</v>
      </c>
      <c r="N95" s="186">
        <v>4554518.0</v>
      </c>
      <c r="O95" s="187">
        <v>0.7596169044444444</v>
      </c>
      <c r="P95" s="187">
        <v>0.0</v>
      </c>
      <c r="Q95" s="187">
        <v>0.5060575555555555</v>
      </c>
      <c r="R95" s="188">
        <v>53.0</v>
      </c>
      <c r="S95" s="188">
        <v>54.0</v>
      </c>
      <c r="T95" s="188">
        <v>1.0</v>
      </c>
      <c r="U95" s="188">
        <v>1.0</v>
      </c>
      <c r="V95" s="188">
        <v>54.0</v>
      </c>
      <c r="W95" s="188">
        <v>0.0</v>
      </c>
      <c r="X95" s="189">
        <v>6804597.14</v>
      </c>
      <c r="Y95" s="189">
        <v>31955.0</v>
      </c>
      <c r="Z95" s="188">
        <v>22.0</v>
      </c>
      <c r="AA95" s="188">
        <v>1.0</v>
      </c>
      <c r="AB95" s="188">
        <v>23.0</v>
      </c>
      <c r="AC95" s="188">
        <v>0.0</v>
      </c>
      <c r="AD95" s="188">
        <v>8.0</v>
      </c>
      <c r="AE95" s="188">
        <v>17.0</v>
      </c>
      <c r="AF95" s="188">
        <v>68.0</v>
      </c>
      <c r="AG95" s="188">
        <v>2.0</v>
      </c>
      <c r="AH95" s="188">
        <v>7.0</v>
      </c>
      <c r="AI95" s="188">
        <v>0.0</v>
      </c>
      <c r="AJ95" s="188">
        <v>0.0</v>
      </c>
      <c r="AK95" s="188">
        <v>0.0</v>
      </c>
      <c r="AL95" s="188">
        <v>0.0</v>
      </c>
      <c r="AM95" s="188">
        <v>649.0</v>
      </c>
      <c r="AN95" s="188">
        <v>673.0</v>
      </c>
      <c r="AO95" s="188">
        <v>138.0</v>
      </c>
      <c r="AP95" s="186">
        <v>49540.23289855072</v>
      </c>
      <c r="AQ95" s="189">
        <v>4.702898550724638</v>
      </c>
      <c r="AR95" s="186">
        <v>151950.0</v>
      </c>
      <c r="AS95" s="186">
        <v>34625.0</v>
      </c>
      <c r="AT95" s="187">
        <v>0.0272908033434526</v>
      </c>
      <c r="AU95" s="186">
        <v>297241.3973913043</v>
      </c>
      <c r="AV95" s="219">
        <v>112.0</v>
      </c>
      <c r="AW95" s="219">
        <v>1600.0</v>
      </c>
      <c r="AX95" s="257">
        <v>6421.6</v>
      </c>
      <c r="AY95" s="258">
        <v>119.0</v>
      </c>
      <c r="AZ95" s="258">
        <v>23.0</v>
      </c>
      <c r="BA95" s="258">
        <v>31.0</v>
      </c>
      <c r="BB95" s="258">
        <v>0.0</v>
      </c>
      <c r="BC95" s="260"/>
      <c r="BD95" s="260"/>
      <c r="BE95" s="164">
        <v>1.1600000001490116</v>
      </c>
    </row>
    <row r="96">
      <c r="A96" s="6" t="s">
        <v>185</v>
      </c>
      <c r="B96" s="183" t="s">
        <v>189</v>
      </c>
      <c r="C96" s="184" t="s">
        <v>787</v>
      </c>
      <c r="D96" s="75" t="s">
        <v>187</v>
      </c>
      <c r="E96" s="256">
        <v>45202.0</v>
      </c>
      <c r="F96" s="75" t="s">
        <v>1016</v>
      </c>
      <c r="G96" s="186"/>
      <c r="H96" s="190">
        <v>93820.0</v>
      </c>
      <c r="I96" s="190"/>
      <c r="J96" s="186">
        <v>0.0</v>
      </c>
      <c r="K96" s="186">
        <v>0.0</v>
      </c>
      <c r="L96" s="186">
        <v>0.0</v>
      </c>
      <c r="M96" s="186">
        <v>0.0</v>
      </c>
      <c r="N96" s="186"/>
      <c r="O96" s="187"/>
      <c r="P96" s="187">
        <v>0.0</v>
      </c>
      <c r="Q96" s="187"/>
      <c r="R96" s="188">
        <v>133.0</v>
      </c>
      <c r="S96" s="188">
        <v>117.0</v>
      </c>
      <c r="T96" s="188">
        <v>4.0</v>
      </c>
      <c r="U96" s="188">
        <v>0.0</v>
      </c>
      <c r="V96" s="188">
        <v>137.0</v>
      </c>
      <c r="W96" s="188">
        <v>20.0</v>
      </c>
      <c r="X96" s="189">
        <v>0.0</v>
      </c>
      <c r="Y96" s="189">
        <v>0.0</v>
      </c>
      <c r="Z96" s="188">
        <v>0.0</v>
      </c>
      <c r="AA96" s="188">
        <v>0.0</v>
      </c>
      <c r="AB96" s="188">
        <v>0.0</v>
      </c>
      <c r="AC96" s="188">
        <v>0.0</v>
      </c>
      <c r="AD96" s="188">
        <v>16.0</v>
      </c>
      <c r="AE96" s="188">
        <v>29.0</v>
      </c>
      <c r="AF96" s="188">
        <v>18.0</v>
      </c>
      <c r="AG96" s="188">
        <v>10.0</v>
      </c>
      <c r="AH96" s="188">
        <v>54.0</v>
      </c>
      <c r="AI96" s="188">
        <v>0.0</v>
      </c>
      <c r="AJ96" s="188">
        <v>0.0</v>
      </c>
      <c r="AK96" s="188">
        <v>0.0</v>
      </c>
      <c r="AL96" s="188">
        <v>0.0</v>
      </c>
      <c r="AM96" s="188">
        <v>232.0</v>
      </c>
      <c r="AN96" s="188">
        <v>315.0</v>
      </c>
      <c r="AO96" s="188">
        <v>147.0</v>
      </c>
      <c r="AP96" s="186">
        <v>0.0</v>
      </c>
      <c r="AQ96" s="189">
        <v>1.5782312925170068</v>
      </c>
      <c r="AR96" s="186">
        <v>562920.0</v>
      </c>
      <c r="AS96" s="186">
        <v>45853.0</v>
      </c>
      <c r="AT96" s="187"/>
      <c r="AU96" s="186"/>
      <c r="AV96" s="219">
        <v>0.0</v>
      </c>
      <c r="AW96" s="219">
        <v>1447.0</v>
      </c>
      <c r="AX96" s="257">
        <v>9602.45</v>
      </c>
      <c r="AY96" s="258">
        <v>82.0</v>
      </c>
      <c r="AZ96" s="258">
        <v>0.0</v>
      </c>
      <c r="BA96" s="258">
        <v>117.0</v>
      </c>
      <c r="BB96" s="258">
        <v>20.0</v>
      </c>
      <c r="BC96" s="260"/>
      <c r="BD96" s="260"/>
      <c r="BE96" s="164" t="e">
        <v>#N/A</v>
      </c>
    </row>
    <row r="97">
      <c r="A97" s="6" t="s">
        <v>73</v>
      </c>
      <c r="B97" s="183" t="s">
        <v>1229</v>
      </c>
      <c r="C97" s="184" t="s">
        <v>79</v>
      </c>
      <c r="D97" s="75" t="s">
        <v>80</v>
      </c>
      <c r="E97" s="256">
        <v>45208.0</v>
      </c>
      <c r="F97" s="75" t="s">
        <v>76</v>
      </c>
      <c r="G97" s="186">
        <v>2772546.0</v>
      </c>
      <c r="H97" s="190">
        <v>24226.0</v>
      </c>
      <c r="I97" s="190">
        <v>1166667.0</v>
      </c>
      <c r="J97" s="186">
        <v>1000002.0</v>
      </c>
      <c r="K97" s="186">
        <v>6000000.0</v>
      </c>
      <c r="L97" s="186">
        <v>570102.41</v>
      </c>
      <c r="M97" s="186">
        <v>435045.81</v>
      </c>
      <c r="N97" s="186">
        <v>874626.0</v>
      </c>
      <c r="O97" s="187">
        <v>0.1435925618306966</v>
      </c>
      <c r="P97" s="187">
        <v>0.43</v>
      </c>
      <c r="Q97" s="187">
        <v>0.12494653572956121</v>
      </c>
      <c r="R97" s="188">
        <v>22.0</v>
      </c>
      <c r="S97" s="188">
        <v>23.0</v>
      </c>
      <c r="T97" s="188">
        <v>1.0</v>
      </c>
      <c r="U97" s="188">
        <v>1.0</v>
      </c>
      <c r="V97" s="188">
        <v>23.0</v>
      </c>
      <c r="W97" s="188">
        <v>0.0</v>
      </c>
      <c r="X97" s="189">
        <v>465980.16</v>
      </c>
      <c r="Y97" s="189">
        <v>104122.25</v>
      </c>
      <c r="Z97" s="188">
        <v>10.0</v>
      </c>
      <c r="AA97" s="188">
        <v>1.0</v>
      </c>
      <c r="AB97" s="188">
        <v>11.0</v>
      </c>
      <c r="AC97" s="188">
        <v>2.0</v>
      </c>
      <c r="AD97" s="188">
        <v>12.0</v>
      </c>
      <c r="AE97" s="188">
        <v>19.0</v>
      </c>
      <c r="AF97" s="188">
        <v>109.0</v>
      </c>
      <c r="AG97" s="188">
        <v>2.0</v>
      </c>
      <c r="AH97" s="188">
        <v>23.0</v>
      </c>
      <c r="AI97" s="188">
        <v>2.0</v>
      </c>
      <c r="AJ97" s="188">
        <v>26.0</v>
      </c>
      <c r="AK97" s="188">
        <v>0.0</v>
      </c>
      <c r="AL97" s="188">
        <v>0.0</v>
      </c>
      <c r="AM97" s="188">
        <v>446.0</v>
      </c>
      <c r="AN97" s="188">
        <v>514.0</v>
      </c>
      <c r="AO97" s="188">
        <v>136.0</v>
      </c>
      <c r="AP97" s="186">
        <v>7390.795735294118</v>
      </c>
      <c r="AQ97" s="189">
        <v>3.2794117647058822</v>
      </c>
      <c r="AR97" s="186">
        <v>145356.0</v>
      </c>
      <c r="AS97" s="186">
        <v>20325.0</v>
      </c>
      <c r="AT97" s="187">
        <v>0.16483240650816652</v>
      </c>
      <c r="AU97" s="186">
        <v>51827.49181818182</v>
      </c>
      <c r="AV97" s="219">
        <v>23.0</v>
      </c>
      <c r="AW97" s="219">
        <v>1336.0</v>
      </c>
      <c r="AX97" s="257">
        <v>5505.04</v>
      </c>
      <c r="AY97" s="258">
        <v>239.0</v>
      </c>
      <c r="AZ97" s="258">
        <v>11.0</v>
      </c>
      <c r="BA97" s="258">
        <v>12.0</v>
      </c>
      <c r="BB97" s="258">
        <v>0.0</v>
      </c>
      <c r="BC97" s="260"/>
      <c r="BD97" s="260"/>
      <c r="BE97" s="164">
        <v>-0.8500000000931323</v>
      </c>
    </row>
    <row r="98">
      <c r="A98" s="6" t="s">
        <v>185</v>
      </c>
      <c r="B98" s="183" t="s">
        <v>212</v>
      </c>
      <c r="C98" s="184" t="s">
        <v>251</v>
      </c>
      <c r="D98" s="75" t="s">
        <v>252</v>
      </c>
      <c r="E98" s="256">
        <v>45231.0</v>
      </c>
      <c r="F98" s="75" t="s">
        <v>1065</v>
      </c>
      <c r="G98" s="186">
        <v>4021075.0</v>
      </c>
      <c r="H98" s="190">
        <v>25803.0</v>
      </c>
      <c r="I98" s="190">
        <v>1500000.0</v>
      </c>
      <c r="J98" s="186">
        <v>0.0</v>
      </c>
      <c r="K98" s="186">
        <v>9000000.0</v>
      </c>
      <c r="L98" s="186">
        <v>4269879.69</v>
      </c>
      <c r="M98" s="186">
        <v>0.0</v>
      </c>
      <c r="N98" s="186">
        <v>4827740.0</v>
      </c>
      <c r="O98" s="187">
        <v>0.47443107666666673</v>
      </c>
      <c r="P98" s="187">
        <v>0.0</v>
      </c>
      <c r="Q98" s="187">
        <v>0.5364155555555555</v>
      </c>
      <c r="R98" s="188">
        <v>38.0</v>
      </c>
      <c r="S98" s="188">
        <v>38.0</v>
      </c>
      <c r="T98" s="188">
        <v>2.0</v>
      </c>
      <c r="U98" s="188">
        <v>2.0</v>
      </c>
      <c r="V98" s="188">
        <v>40.0</v>
      </c>
      <c r="W98" s="188">
        <v>2.0</v>
      </c>
      <c r="X98" s="189">
        <v>4059616.89</v>
      </c>
      <c r="Y98" s="189">
        <v>210262.8</v>
      </c>
      <c r="Z98" s="188">
        <v>14.0</v>
      </c>
      <c r="AA98" s="188">
        <v>2.0</v>
      </c>
      <c r="AB98" s="188">
        <v>16.0</v>
      </c>
      <c r="AC98" s="188">
        <v>0.0</v>
      </c>
      <c r="AD98" s="188">
        <v>26.0</v>
      </c>
      <c r="AE98" s="188">
        <v>52.0</v>
      </c>
      <c r="AF98" s="188">
        <v>62.0</v>
      </c>
      <c r="AG98" s="188">
        <v>1.0</v>
      </c>
      <c r="AH98" s="188">
        <v>100.0</v>
      </c>
      <c r="AI98" s="188">
        <v>0.0</v>
      </c>
      <c r="AJ98" s="188">
        <v>0.0</v>
      </c>
      <c r="AK98" s="188">
        <v>0.0</v>
      </c>
      <c r="AL98" s="188">
        <v>0.0</v>
      </c>
      <c r="AM98" s="188">
        <v>439.0</v>
      </c>
      <c r="AN98" s="188">
        <v>591.0</v>
      </c>
      <c r="AO98" s="188">
        <v>130.0</v>
      </c>
      <c r="AP98" s="186">
        <v>32845.22838461539</v>
      </c>
      <c r="AQ98" s="189">
        <v>3.376923076923077</v>
      </c>
      <c r="AR98" s="186">
        <v>154818.0</v>
      </c>
      <c r="AS98" s="186">
        <v>34094.0</v>
      </c>
      <c r="AT98" s="187">
        <v>0.04424293275579387</v>
      </c>
      <c r="AU98" s="186">
        <v>266867.480625</v>
      </c>
      <c r="AV98" s="219">
        <v>24.0</v>
      </c>
      <c r="AW98" s="219">
        <v>1245.0</v>
      </c>
      <c r="AX98" s="257">
        <v>5733.66</v>
      </c>
      <c r="AY98" s="258">
        <v>151.0</v>
      </c>
      <c r="AZ98" s="258">
        <v>16.0</v>
      </c>
      <c r="BA98" s="258">
        <v>22.0</v>
      </c>
      <c r="BB98" s="258">
        <v>2.0</v>
      </c>
      <c r="BC98" s="260"/>
      <c r="BD98" s="260"/>
      <c r="BE98" s="164">
        <v>3.8399999998509884</v>
      </c>
    </row>
    <row r="99">
      <c r="A99" s="6" t="s">
        <v>185</v>
      </c>
      <c r="B99" s="183" t="s">
        <v>212</v>
      </c>
      <c r="C99" s="184" t="s">
        <v>253</v>
      </c>
      <c r="D99" s="75" t="s">
        <v>254</v>
      </c>
      <c r="E99" s="256">
        <v>45233.0</v>
      </c>
      <c r="F99" s="75" t="s">
        <v>1031</v>
      </c>
      <c r="G99" s="186">
        <v>1.1446272782999998E7</v>
      </c>
      <c r="H99" s="190">
        <v>26530.0</v>
      </c>
      <c r="I99" s="190">
        <v>1500000.0</v>
      </c>
      <c r="J99" s="186">
        <v>0.0</v>
      </c>
      <c r="K99" s="186">
        <v>9000000.0</v>
      </c>
      <c r="L99" s="186">
        <v>4417691.7</v>
      </c>
      <c r="M99" s="186">
        <v>0.0</v>
      </c>
      <c r="N99" s="186">
        <v>5654838.27</v>
      </c>
      <c r="O99" s="187">
        <v>0.49085463333333335</v>
      </c>
      <c r="P99" s="187">
        <v>0.0</v>
      </c>
      <c r="Q99" s="187">
        <v>0.6283153633333333</v>
      </c>
      <c r="R99" s="188">
        <v>34.0</v>
      </c>
      <c r="S99" s="188">
        <v>53.0</v>
      </c>
      <c r="T99" s="188">
        <v>20.0</v>
      </c>
      <c r="U99" s="188">
        <v>20.0</v>
      </c>
      <c r="V99" s="188">
        <v>54.0</v>
      </c>
      <c r="W99" s="188">
        <v>1.0</v>
      </c>
      <c r="X99" s="189">
        <v>3172709.25</v>
      </c>
      <c r="Y99" s="189">
        <v>1244982.45</v>
      </c>
      <c r="Z99" s="188">
        <v>22.0</v>
      </c>
      <c r="AA99" s="188">
        <v>20.0</v>
      </c>
      <c r="AB99" s="188">
        <v>42.0</v>
      </c>
      <c r="AC99" s="188">
        <v>0.0</v>
      </c>
      <c r="AD99" s="188">
        <v>35.0</v>
      </c>
      <c r="AE99" s="188">
        <v>60.0</v>
      </c>
      <c r="AF99" s="188">
        <v>62.0</v>
      </c>
      <c r="AG99" s="188">
        <v>2.0</v>
      </c>
      <c r="AH99" s="188">
        <v>57.0</v>
      </c>
      <c r="AI99" s="188">
        <v>2.0</v>
      </c>
      <c r="AJ99" s="188">
        <v>15.0</v>
      </c>
      <c r="AK99" s="188">
        <v>2.0</v>
      </c>
      <c r="AL99" s="188">
        <v>3.0</v>
      </c>
      <c r="AM99" s="188">
        <v>294.0</v>
      </c>
      <c r="AN99" s="188">
        <v>429.0</v>
      </c>
      <c r="AO99" s="188">
        <v>136.0</v>
      </c>
      <c r="AP99" s="186">
        <v>32483.027205882354</v>
      </c>
      <c r="AQ99" s="189">
        <v>2.161764705882353</v>
      </c>
      <c r="AR99" s="186">
        <v>159180.0</v>
      </c>
      <c r="AS99" s="186">
        <v>32871.0</v>
      </c>
      <c r="AT99" s="187">
        <v>0.043473155901757474</v>
      </c>
      <c r="AU99" s="186">
        <v>105183.13571428572</v>
      </c>
      <c r="AV99" s="219">
        <v>120.0</v>
      </c>
      <c r="AW99" s="219">
        <v>1386.0</v>
      </c>
      <c r="AX99" s="257">
        <v>7969.62</v>
      </c>
      <c r="AY99" s="258">
        <v>150.0</v>
      </c>
      <c r="AZ99" s="258">
        <v>42.0</v>
      </c>
      <c r="BA99" s="258">
        <v>12.0</v>
      </c>
      <c r="BB99" s="258">
        <v>0.0</v>
      </c>
      <c r="BC99" s="260"/>
      <c r="BD99" s="260"/>
      <c r="BE99" s="164">
        <v>0.13999999966472387</v>
      </c>
    </row>
    <row r="100">
      <c r="A100" s="6" t="s">
        <v>185</v>
      </c>
      <c r="B100" s="183" t="s">
        <v>212</v>
      </c>
      <c r="C100" s="184" t="s">
        <v>255</v>
      </c>
      <c r="D100" s="75" t="s">
        <v>256</v>
      </c>
      <c r="E100" s="256">
        <v>45236.0</v>
      </c>
      <c r="F100" s="75" t="s">
        <v>1031</v>
      </c>
      <c r="G100" s="186">
        <v>7452303.0</v>
      </c>
      <c r="H100" s="190">
        <v>27680.0</v>
      </c>
      <c r="I100" s="190">
        <v>1500000.0</v>
      </c>
      <c r="J100" s="186">
        <v>0.0</v>
      </c>
      <c r="K100" s="186">
        <v>9000000.0</v>
      </c>
      <c r="L100" s="186">
        <v>6936800.61</v>
      </c>
      <c r="M100" s="186">
        <v>0.0</v>
      </c>
      <c r="N100" s="186">
        <v>5600279.0</v>
      </c>
      <c r="O100" s="187">
        <v>0.7707556233333334</v>
      </c>
      <c r="P100" s="187">
        <v>0.0</v>
      </c>
      <c r="Q100" s="187">
        <v>0.6222532222222222</v>
      </c>
      <c r="R100" s="188">
        <v>53.0</v>
      </c>
      <c r="S100" s="188">
        <v>60.0</v>
      </c>
      <c r="T100" s="188">
        <v>8.0</v>
      </c>
      <c r="U100" s="188">
        <v>8.0</v>
      </c>
      <c r="V100" s="188">
        <v>61.0</v>
      </c>
      <c r="W100" s="188">
        <v>1.0</v>
      </c>
      <c r="X100" s="189">
        <v>5944164.25</v>
      </c>
      <c r="Y100" s="189">
        <v>992636.36</v>
      </c>
      <c r="Z100" s="188">
        <v>37.0</v>
      </c>
      <c r="AA100" s="188">
        <v>8.0</v>
      </c>
      <c r="AB100" s="188">
        <v>45.0</v>
      </c>
      <c r="AC100" s="188">
        <v>0.0</v>
      </c>
      <c r="AD100" s="188">
        <v>30.0</v>
      </c>
      <c r="AE100" s="188">
        <v>58.0</v>
      </c>
      <c r="AF100" s="188">
        <v>138.0</v>
      </c>
      <c r="AG100" s="188">
        <v>0.0</v>
      </c>
      <c r="AH100" s="188">
        <v>0.0</v>
      </c>
      <c r="AI100" s="188">
        <v>0.0</v>
      </c>
      <c r="AJ100" s="188">
        <v>0.0</v>
      </c>
      <c r="AK100" s="188">
        <v>0.0</v>
      </c>
      <c r="AL100" s="188">
        <v>0.0</v>
      </c>
      <c r="AM100" s="188">
        <v>810.0</v>
      </c>
      <c r="AN100" s="188">
        <v>868.0</v>
      </c>
      <c r="AO100" s="188">
        <v>147.0</v>
      </c>
      <c r="AP100" s="186">
        <v>47189.11979591837</v>
      </c>
      <c r="AQ100" s="189">
        <v>5.510204081632653</v>
      </c>
      <c r="AR100" s="186">
        <v>166080.0</v>
      </c>
      <c r="AS100" s="186">
        <v>49701.0</v>
      </c>
      <c r="AT100" s="187">
        <v>0.031106703526829496</v>
      </c>
      <c r="AU100" s="186">
        <v>154151.12466666667</v>
      </c>
      <c r="AV100" s="219">
        <v>314.0</v>
      </c>
      <c r="AW100" s="219">
        <v>1113.0</v>
      </c>
      <c r="AX100" s="257">
        <v>9948.61</v>
      </c>
      <c r="AY100" s="258">
        <v>166.0</v>
      </c>
      <c r="AZ100" s="258">
        <v>45.0</v>
      </c>
      <c r="BA100" s="258">
        <v>15.0</v>
      </c>
      <c r="BB100" s="258">
        <v>1.0</v>
      </c>
      <c r="BC100" s="260"/>
      <c r="BD100" s="260"/>
      <c r="BE100" s="164">
        <v>0.23000000044703484</v>
      </c>
    </row>
    <row r="101">
      <c r="A101" s="6" t="s">
        <v>185</v>
      </c>
      <c r="B101" s="183" t="s">
        <v>215</v>
      </c>
      <c r="C101" s="184" t="s">
        <v>257</v>
      </c>
      <c r="D101" s="75" t="s">
        <v>258</v>
      </c>
      <c r="E101" s="256">
        <v>45236.0</v>
      </c>
      <c r="F101" s="75" t="s">
        <v>1065</v>
      </c>
      <c r="G101" s="186">
        <v>1.6070321E7</v>
      </c>
      <c r="H101" s="190">
        <v>29985.0</v>
      </c>
      <c r="I101" s="190">
        <v>1950000.0</v>
      </c>
      <c r="J101" s="186">
        <v>0.0</v>
      </c>
      <c r="K101" s="186">
        <v>1.17E7</v>
      </c>
      <c r="L101" s="186">
        <v>7955844.48</v>
      </c>
      <c r="M101" s="186">
        <v>0.0</v>
      </c>
      <c r="N101" s="186">
        <v>8629494.2</v>
      </c>
      <c r="O101" s="187">
        <v>0.6799867076923077</v>
      </c>
      <c r="P101" s="187">
        <v>0.0</v>
      </c>
      <c r="Q101" s="187">
        <v>0.7375636068376068</v>
      </c>
      <c r="R101" s="188">
        <v>28.0</v>
      </c>
      <c r="S101" s="188">
        <v>31.0</v>
      </c>
      <c r="T101" s="188">
        <v>4.0</v>
      </c>
      <c r="U101" s="188">
        <v>3.0</v>
      </c>
      <c r="V101" s="188">
        <v>32.0</v>
      </c>
      <c r="W101" s="188">
        <v>1.0</v>
      </c>
      <c r="X101" s="189">
        <v>7423169.03</v>
      </c>
      <c r="Y101" s="189">
        <v>532675.45</v>
      </c>
      <c r="Z101" s="188">
        <v>20.0</v>
      </c>
      <c r="AA101" s="188">
        <v>3.0</v>
      </c>
      <c r="AB101" s="188">
        <v>23.0</v>
      </c>
      <c r="AC101" s="188">
        <v>0.0</v>
      </c>
      <c r="AD101" s="188">
        <v>17.0</v>
      </c>
      <c r="AE101" s="188">
        <v>30.0</v>
      </c>
      <c r="AF101" s="188">
        <v>104.0</v>
      </c>
      <c r="AG101" s="188">
        <v>1.0</v>
      </c>
      <c r="AH101" s="188">
        <v>3.0</v>
      </c>
      <c r="AI101" s="188">
        <v>0.0</v>
      </c>
      <c r="AJ101" s="188">
        <v>0.0</v>
      </c>
      <c r="AK101" s="188">
        <v>0.0</v>
      </c>
      <c r="AL101" s="188">
        <v>0.0</v>
      </c>
      <c r="AM101" s="188">
        <v>541.0</v>
      </c>
      <c r="AN101" s="188">
        <v>574.0</v>
      </c>
      <c r="AO101" s="188">
        <v>143.0</v>
      </c>
      <c r="AP101" s="186">
        <v>55635.276083916084</v>
      </c>
      <c r="AQ101" s="189">
        <v>3.7832167832167833</v>
      </c>
      <c r="AR101" s="186">
        <v>179910.0</v>
      </c>
      <c r="AS101" s="186">
        <v>51825.0</v>
      </c>
      <c r="AT101" s="187">
        <v>0.02912764327942217</v>
      </c>
      <c r="AU101" s="186">
        <v>345906.28173913044</v>
      </c>
      <c r="AV101" s="219">
        <v>58.0</v>
      </c>
      <c r="AW101" s="219">
        <v>1495.0</v>
      </c>
      <c r="AX101" s="257">
        <v>10379.8</v>
      </c>
      <c r="AY101" s="258">
        <v>335.0</v>
      </c>
      <c r="AZ101" s="258">
        <v>23.0</v>
      </c>
      <c r="BA101" s="258">
        <v>8.0</v>
      </c>
      <c r="BB101" s="258">
        <v>1.0</v>
      </c>
      <c r="BC101" s="260"/>
      <c r="BD101" s="260"/>
      <c r="BE101" s="164">
        <v>-0.4400000013411045</v>
      </c>
    </row>
    <row r="102">
      <c r="A102" s="6" t="s">
        <v>23</v>
      </c>
      <c r="B102" s="183" t="s">
        <v>30</v>
      </c>
      <c r="C102" s="184" t="s">
        <v>28</v>
      </c>
      <c r="D102" s="75" t="s">
        <v>29</v>
      </c>
      <c r="E102" s="256">
        <v>45261.0</v>
      </c>
      <c r="F102" s="75" t="s">
        <v>30</v>
      </c>
      <c r="G102" s="186">
        <v>1.029647E7</v>
      </c>
      <c r="H102" s="190">
        <v>29360.0</v>
      </c>
      <c r="I102" s="190">
        <v>1400000.0</v>
      </c>
      <c r="J102" s="186">
        <v>1200000.0</v>
      </c>
      <c r="K102" s="186">
        <v>7200000.0</v>
      </c>
      <c r="L102" s="186">
        <v>6252836.52</v>
      </c>
      <c r="M102" s="186">
        <v>374537.39</v>
      </c>
      <c r="N102" s="186">
        <v>6721430.0</v>
      </c>
      <c r="O102" s="187">
        <v>0.7889730845238094</v>
      </c>
      <c r="P102" s="187">
        <v>0.31</v>
      </c>
      <c r="Q102" s="187">
        <v>0.8001702380952381</v>
      </c>
      <c r="R102" s="188">
        <v>71.0</v>
      </c>
      <c r="S102" s="188">
        <v>83.0</v>
      </c>
      <c r="T102" s="188">
        <v>15.0</v>
      </c>
      <c r="U102" s="188">
        <v>15.0</v>
      </c>
      <c r="V102" s="188">
        <v>86.0</v>
      </c>
      <c r="W102" s="188">
        <v>3.0</v>
      </c>
      <c r="X102" s="189">
        <v>3990742.58</v>
      </c>
      <c r="Y102" s="189">
        <v>2262093.94</v>
      </c>
      <c r="Z102" s="188">
        <v>37.0</v>
      </c>
      <c r="AA102" s="188">
        <v>15.0</v>
      </c>
      <c r="AB102" s="188">
        <v>52.0</v>
      </c>
      <c r="AC102" s="188">
        <v>2.0</v>
      </c>
      <c r="AD102" s="188">
        <v>56.0</v>
      </c>
      <c r="AE102" s="188">
        <v>129.0</v>
      </c>
      <c r="AF102" s="188">
        <v>74.0</v>
      </c>
      <c r="AG102" s="188">
        <v>4.0</v>
      </c>
      <c r="AH102" s="188">
        <v>125.0</v>
      </c>
      <c r="AI102" s="188">
        <v>4.0</v>
      </c>
      <c r="AJ102" s="188">
        <v>19.0</v>
      </c>
      <c r="AK102" s="188">
        <v>0.0</v>
      </c>
      <c r="AL102" s="188">
        <v>0.0</v>
      </c>
      <c r="AM102" s="188">
        <v>627.0</v>
      </c>
      <c r="AN102" s="188">
        <v>900.0</v>
      </c>
      <c r="AO102" s="188">
        <v>153.0</v>
      </c>
      <c r="AP102" s="186">
        <v>43316.16934640522</v>
      </c>
      <c r="AQ102" s="189">
        <v>4.098039215686274</v>
      </c>
      <c r="AR102" s="186">
        <v>176160.0</v>
      </c>
      <c r="AS102" s="186">
        <v>32211.0</v>
      </c>
      <c r="AT102" s="187">
        <v>0.031440960300367304</v>
      </c>
      <c r="AU102" s="186">
        <v>120246.85615384615</v>
      </c>
      <c r="AV102" s="219">
        <v>159.0</v>
      </c>
      <c r="AW102" s="219">
        <v>1544.0</v>
      </c>
      <c r="AX102" s="257">
        <v>9145.05</v>
      </c>
      <c r="AY102" s="258">
        <v>110.0</v>
      </c>
      <c r="AZ102" s="258">
        <v>52.0</v>
      </c>
      <c r="BA102" s="258">
        <v>31.0</v>
      </c>
      <c r="BB102" s="258">
        <v>3.0</v>
      </c>
      <c r="BC102" s="260"/>
      <c r="BD102" s="260"/>
      <c r="BE102" s="164">
        <v>907253.8200000003</v>
      </c>
    </row>
    <row r="103">
      <c r="A103" s="6" t="s">
        <v>185</v>
      </c>
      <c r="B103" s="183" t="s">
        <v>1228</v>
      </c>
      <c r="C103" s="184" t="s">
        <v>111</v>
      </c>
      <c r="D103" s="75" t="s">
        <v>125</v>
      </c>
      <c r="E103" s="256">
        <v>45264.0</v>
      </c>
      <c r="F103" s="75" t="s">
        <v>1084</v>
      </c>
      <c r="G103" s="186"/>
      <c r="H103" s="190">
        <v>73990.0</v>
      </c>
      <c r="I103" s="190"/>
      <c r="J103" s="186">
        <v>0.0</v>
      </c>
      <c r="K103" s="186">
        <v>0.0</v>
      </c>
      <c r="L103" s="186">
        <v>1925142.63</v>
      </c>
      <c r="M103" s="186">
        <v>0.0</v>
      </c>
      <c r="N103" s="186"/>
      <c r="O103" s="187"/>
      <c r="P103" s="187">
        <v>0.0</v>
      </c>
      <c r="Q103" s="187"/>
      <c r="R103" s="188">
        <v>267.0</v>
      </c>
      <c r="S103" s="188">
        <v>198.0</v>
      </c>
      <c r="T103" s="188">
        <v>45.0</v>
      </c>
      <c r="U103" s="188">
        <v>2.0</v>
      </c>
      <c r="V103" s="188">
        <v>312.0</v>
      </c>
      <c r="W103" s="188">
        <v>114.0</v>
      </c>
      <c r="X103" s="189">
        <v>1838605.83</v>
      </c>
      <c r="Y103" s="189">
        <v>86536.8</v>
      </c>
      <c r="Z103" s="188">
        <v>27.0</v>
      </c>
      <c r="AA103" s="188">
        <v>2.0</v>
      </c>
      <c r="AB103" s="188">
        <v>29.0</v>
      </c>
      <c r="AC103" s="188">
        <v>0.0</v>
      </c>
      <c r="AD103" s="188">
        <v>125.0</v>
      </c>
      <c r="AE103" s="188">
        <v>187.0</v>
      </c>
      <c r="AF103" s="188">
        <v>53.0</v>
      </c>
      <c r="AG103" s="188">
        <v>3.0</v>
      </c>
      <c r="AH103" s="188">
        <v>45.0</v>
      </c>
      <c r="AI103" s="188">
        <v>2.0</v>
      </c>
      <c r="AJ103" s="188">
        <v>2.0</v>
      </c>
      <c r="AK103" s="188">
        <v>2.0</v>
      </c>
      <c r="AL103" s="188">
        <v>4.0</v>
      </c>
      <c r="AM103" s="188">
        <v>432.0</v>
      </c>
      <c r="AN103" s="188">
        <v>670.0</v>
      </c>
      <c r="AO103" s="188">
        <v>150.0</v>
      </c>
      <c r="AP103" s="186">
        <v>12834.2842</v>
      </c>
      <c r="AQ103" s="189">
        <v>2.88</v>
      </c>
      <c r="AR103" s="186">
        <v>443940.0</v>
      </c>
      <c r="AS103" s="186">
        <v>140087.0</v>
      </c>
      <c r="AT103" s="187">
        <v>0.3033681717390467</v>
      </c>
      <c r="AU103" s="186">
        <v>66384.22862068965</v>
      </c>
      <c r="AV103" s="219">
        <v>77.0</v>
      </c>
      <c r="AW103" s="219">
        <v>1748.0</v>
      </c>
      <c r="AX103" s="257">
        <v>9989.34</v>
      </c>
      <c r="AY103" s="258">
        <v>50.0</v>
      </c>
      <c r="AZ103" s="258">
        <v>29.0</v>
      </c>
      <c r="BA103" s="258">
        <v>186.0</v>
      </c>
      <c r="BB103" s="258">
        <v>97.0</v>
      </c>
      <c r="BC103" s="260"/>
      <c r="BD103" s="260"/>
      <c r="BE103" s="164" t="e">
        <v>#N/A</v>
      </c>
    </row>
    <row r="104">
      <c r="A104" s="6" t="s">
        <v>47</v>
      </c>
      <c r="B104" s="183" t="s">
        <v>50</v>
      </c>
      <c r="C104" s="184" t="s">
        <v>801</v>
      </c>
      <c r="D104" s="75" t="s">
        <v>1086</v>
      </c>
      <c r="E104" s="256">
        <v>45271.0</v>
      </c>
      <c r="F104" s="75" t="s">
        <v>1085</v>
      </c>
      <c r="G104" s="186"/>
      <c r="H104" s="190">
        <v>40365.0</v>
      </c>
      <c r="I104" s="190"/>
      <c r="J104" s="186">
        <v>0.0</v>
      </c>
      <c r="K104" s="186">
        <v>0.0</v>
      </c>
      <c r="L104" s="186">
        <v>0.0</v>
      </c>
      <c r="M104" s="186">
        <v>0.0</v>
      </c>
      <c r="N104" s="186"/>
      <c r="O104" s="187"/>
      <c r="P104" s="187">
        <v>0.0</v>
      </c>
      <c r="Q104" s="187"/>
      <c r="R104" s="188">
        <v>66.0</v>
      </c>
      <c r="S104" s="188">
        <v>35.0</v>
      </c>
      <c r="T104" s="188">
        <v>1.0</v>
      </c>
      <c r="U104" s="188">
        <v>0.0</v>
      </c>
      <c r="V104" s="188">
        <v>67.0</v>
      </c>
      <c r="W104" s="188">
        <v>32.0</v>
      </c>
      <c r="X104" s="189">
        <v>0.0</v>
      </c>
      <c r="Y104" s="189">
        <v>0.0</v>
      </c>
      <c r="Z104" s="188">
        <v>0.0</v>
      </c>
      <c r="AA104" s="188">
        <v>0.0</v>
      </c>
      <c r="AB104" s="188">
        <v>0.0</v>
      </c>
      <c r="AC104" s="188">
        <v>0.0</v>
      </c>
      <c r="AD104" s="188">
        <v>16.0</v>
      </c>
      <c r="AE104" s="188">
        <v>25.0</v>
      </c>
      <c r="AF104" s="188">
        <v>76.0</v>
      </c>
      <c r="AG104" s="188">
        <v>6.0</v>
      </c>
      <c r="AH104" s="188">
        <v>71.0</v>
      </c>
      <c r="AI104" s="188">
        <v>0.0</v>
      </c>
      <c r="AJ104" s="188">
        <v>0.0</v>
      </c>
      <c r="AK104" s="188">
        <v>95.0</v>
      </c>
      <c r="AL104" s="188">
        <v>218.0</v>
      </c>
      <c r="AM104" s="188">
        <v>45.0</v>
      </c>
      <c r="AN104" s="188">
        <v>359.0</v>
      </c>
      <c r="AO104" s="188">
        <v>133.0</v>
      </c>
      <c r="AP104" s="186">
        <v>0.0</v>
      </c>
      <c r="AQ104" s="189">
        <v>0.3383458646616541</v>
      </c>
      <c r="AR104" s="186">
        <v>242190.0</v>
      </c>
      <c r="AS104" s="186">
        <v>69317.0</v>
      </c>
      <c r="AT104" s="187"/>
      <c r="AU104" s="186"/>
      <c r="AV104" s="219">
        <v>0.0</v>
      </c>
      <c r="AW104" s="219">
        <v>1251.0</v>
      </c>
      <c r="AX104" s="257">
        <v>16876.08</v>
      </c>
      <c r="AY104" s="258">
        <v>482.0</v>
      </c>
      <c r="AZ104" s="258">
        <v>0.0</v>
      </c>
      <c r="BA104" s="258">
        <v>35.0</v>
      </c>
      <c r="BB104" s="258">
        <v>32.0</v>
      </c>
      <c r="BC104" s="260">
        <v>45930.0</v>
      </c>
      <c r="BD104" s="260"/>
      <c r="BE104" s="164" t="e">
        <v>#N/A</v>
      </c>
    </row>
    <row r="105">
      <c r="A105" s="6" t="s">
        <v>185</v>
      </c>
      <c r="B105" s="183" t="s">
        <v>196</v>
      </c>
      <c r="C105" s="184" t="s">
        <v>259</v>
      </c>
      <c r="D105" s="75" t="s">
        <v>260</v>
      </c>
      <c r="E105" s="256">
        <v>45278.0</v>
      </c>
      <c r="F105" s="75" t="s">
        <v>1027</v>
      </c>
      <c r="G105" s="186">
        <v>1.0015957879999999E7</v>
      </c>
      <c r="H105" s="190">
        <v>39855.0</v>
      </c>
      <c r="I105" s="190">
        <v>1700000.0</v>
      </c>
      <c r="J105" s="186">
        <v>0.0</v>
      </c>
      <c r="K105" s="186">
        <v>1.02E7</v>
      </c>
      <c r="L105" s="186">
        <v>5742644.35</v>
      </c>
      <c r="M105" s="186">
        <v>0.0</v>
      </c>
      <c r="N105" s="186">
        <v>8646224.0</v>
      </c>
      <c r="O105" s="187">
        <v>0.5630043480392156</v>
      </c>
      <c r="P105" s="187">
        <v>0.0</v>
      </c>
      <c r="Q105" s="187">
        <v>0.8476690196078431</v>
      </c>
      <c r="R105" s="188">
        <v>62.0</v>
      </c>
      <c r="S105" s="188">
        <v>66.0</v>
      </c>
      <c r="T105" s="188">
        <v>6.0</v>
      </c>
      <c r="U105" s="188">
        <v>6.0</v>
      </c>
      <c r="V105" s="188">
        <v>68.0</v>
      </c>
      <c r="W105" s="188">
        <v>2.0</v>
      </c>
      <c r="X105" s="189">
        <v>5316538.67</v>
      </c>
      <c r="Y105" s="189">
        <v>426105.68</v>
      </c>
      <c r="Z105" s="188">
        <v>31.0</v>
      </c>
      <c r="AA105" s="188">
        <v>6.0</v>
      </c>
      <c r="AB105" s="188">
        <v>37.0</v>
      </c>
      <c r="AC105" s="188">
        <v>0.0</v>
      </c>
      <c r="AD105" s="188">
        <v>41.0</v>
      </c>
      <c r="AE105" s="188">
        <v>101.0</v>
      </c>
      <c r="AF105" s="188">
        <v>89.0</v>
      </c>
      <c r="AG105" s="188">
        <v>2.0</v>
      </c>
      <c r="AH105" s="188">
        <v>23.0</v>
      </c>
      <c r="AI105" s="188">
        <v>0.0</v>
      </c>
      <c r="AJ105" s="188">
        <v>0.0</v>
      </c>
      <c r="AK105" s="188">
        <v>0.0</v>
      </c>
      <c r="AL105" s="188">
        <v>0.0</v>
      </c>
      <c r="AM105" s="188">
        <v>649.0</v>
      </c>
      <c r="AN105" s="188">
        <v>773.0</v>
      </c>
      <c r="AO105" s="188">
        <v>148.0</v>
      </c>
      <c r="AP105" s="186">
        <v>38801.65101351351</v>
      </c>
      <c r="AQ105" s="189">
        <v>4.385135135135135</v>
      </c>
      <c r="AR105" s="186">
        <v>239130.0</v>
      </c>
      <c r="AS105" s="186">
        <v>53928.0</v>
      </c>
      <c r="AT105" s="187">
        <v>0.051031890909281195</v>
      </c>
      <c r="AU105" s="186">
        <v>155206.60405405404</v>
      </c>
      <c r="AV105" s="219">
        <v>165.0</v>
      </c>
      <c r="AW105" s="219">
        <v>1714.0</v>
      </c>
      <c r="AX105" s="257">
        <v>12949.04</v>
      </c>
      <c r="AY105" s="258">
        <v>196.0</v>
      </c>
      <c r="AZ105" s="258">
        <v>37.0</v>
      </c>
      <c r="BA105" s="258">
        <v>29.0</v>
      </c>
      <c r="BB105" s="258">
        <v>2.0</v>
      </c>
      <c r="BC105" s="260"/>
      <c r="BD105" s="260"/>
      <c r="BE105" s="164">
        <v>0.44000000040978193</v>
      </c>
    </row>
    <row r="106">
      <c r="A106" s="6" t="s">
        <v>185</v>
      </c>
      <c r="B106" s="183" t="s">
        <v>222</v>
      </c>
      <c r="C106" s="184" t="s">
        <v>261</v>
      </c>
      <c r="D106" s="75" t="s">
        <v>262</v>
      </c>
      <c r="E106" s="256">
        <v>45292.0</v>
      </c>
      <c r="F106" s="75" t="s">
        <v>1088</v>
      </c>
      <c r="G106" s="186">
        <v>9030360.0</v>
      </c>
      <c r="H106" s="190">
        <v>29430.0</v>
      </c>
      <c r="I106" s="190">
        <v>1500000.0</v>
      </c>
      <c r="J106" s="186">
        <v>0.0</v>
      </c>
      <c r="K106" s="186">
        <v>9000000.0</v>
      </c>
      <c r="L106" s="186">
        <v>8084651.63</v>
      </c>
      <c r="M106" s="186">
        <v>0.0</v>
      </c>
      <c r="N106" s="186">
        <v>8081997.0</v>
      </c>
      <c r="O106" s="187">
        <v>0.8982946255555555</v>
      </c>
      <c r="P106" s="187">
        <v>0.0</v>
      </c>
      <c r="Q106" s="187">
        <v>0.8979996666666666</v>
      </c>
      <c r="R106" s="188">
        <v>41.0</v>
      </c>
      <c r="S106" s="188">
        <v>38.0</v>
      </c>
      <c r="T106" s="188">
        <v>1.0</v>
      </c>
      <c r="U106" s="188">
        <v>1.0</v>
      </c>
      <c r="V106" s="188">
        <v>42.0</v>
      </c>
      <c r="W106" s="188">
        <v>4.0</v>
      </c>
      <c r="X106" s="189">
        <v>7595906.93</v>
      </c>
      <c r="Y106" s="189">
        <v>488744.7</v>
      </c>
      <c r="Z106" s="188">
        <v>26.0</v>
      </c>
      <c r="AA106" s="188">
        <v>1.0</v>
      </c>
      <c r="AB106" s="188">
        <v>27.0</v>
      </c>
      <c r="AC106" s="188">
        <v>0.0</v>
      </c>
      <c r="AD106" s="188">
        <v>18.0</v>
      </c>
      <c r="AE106" s="188">
        <v>30.0</v>
      </c>
      <c r="AF106" s="188">
        <v>69.0</v>
      </c>
      <c r="AG106" s="188">
        <v>1.0</v>
      </c>
      <c r="AH106" s="188">
        <v>1.0</v>
      </c>
      <c r="AI106" s="188">
        <v>0.0</v>
      </c>
      <c r="AJ106" s="188">
        <v>0.0</v>
      </c>
      <c r="AK106" s="188">
        <v>0.0</v>
      </c>
      <c r="AL106" s="188">
        <v>0.0</v>
      </c>
      <c r="AM106" s="188">
        <v>756.0</v>
      </c>
      <c r="AN106" s="188">
        <v>787.0</v>
      </c>
      <c r="AO106" s="188">
        <v>137.0</v>
      </c>
      <c r="AP106" s="186">
        <v>59012.05569343066</v>
      </c>
      <c r="AQ106" s="189">
        <v>5.518248175182482</v>
      </c>
      <c r="AR106" s="186">
        <v>176580.0</v>
      </c>
      <c r="AS106" s="186">
        <v>48600.0</v>
      </c>
      <c r="AT106" s="187">
        <v>0.027852777127021364</v>
      </c>
      <c r="AU106" s="186">
        <v>299431.54185185186</v>
      </c>
      <c r="AV106" s="219">
        <v>81.0</v>
      </c>
      <c r="AW106" s="219">
        <v>1603.0</v>
      </c>
      <c r="AX106" s="257">
        <v>4307.55</v>
      </c>
      <c r="AY106" s="258">
        <v>113.0</v>
      </c>
      <c r="AZ106" s="258">
        <v>27.0</v>
      </c>
      <c r="BA106" s="258">
        <v>12.0</v>
      </c>
      <c r="BB106" s="258">
        <v>3.0</v>
      </c>
      <c r="BC106" s="260"/>
      <c r="BD106" s="260"/>
      <c r="BE106" s="164">
        <v>0.3600000003352761</v>
      </c>
    </row>
    <row r="107">
      <c r="A107" s="6" t="s">
        <v>185</v>
      </c>
      <c r="B107" s="183" t="s">
        <v>85</v>
      </c>
      <c r="C107" s="184" t="s">
        <v>394</v>
      </c>
      <c r="D107" s="75" t="s">
        <v>91</v>
      </c>
      <c r="E107" s="256">
        <v>45294.0</v>
      </c>
      <c r="F107" s="75" t="s">
        <v>1058</v>
      </c>
      <c r="G107" s="186">
        <v>6456256.0</v>
      </c>
      <c r="H107" s="190">
        <v>66887.0</v>
      </c>
      <c r="I107" s="190">
        <v>1666667.0</v>
      </c>
      <c r="J107" s="186">
        <v>0.0</v>
      </c>
      <c r="K107" s="186">
        <v>1.0000002E7</v>
      </c>
      <c r="L107" s="186">
        <v>6289211.4</v>
      </c>
      <c r="M107" s="186">
        <v>0.0</v>
      </c>
      <c r="N107" s="186">
        <v>5655590.1</v>
      </c>
      <c r="O107" s="187">
        <v>0.6289210142157972</v>
      </c>
      <c r="P107" s="187">
        <v>0.0</v>
      </c>
      <c r="Q107" s="187">
        <v>0.5655588968882206</v>
      </c>
      <c r="R107" s="188">
        <v>85.0</v>
      </c>
      <c r="S107" s="188">
        <v>68.0</v>
      </c>
      <c r="T107" s="188">
        <v>20.0</v>
      </c>
      <c r="U107" s="188">
        <v>18.0</v>
      </c>
      <c r="V107" s="188">
        <v>105.0</v>
      </c>
      <c r="W107" s="188">
        <v>37.0</v>
      </c>
      <c r="X107" s="189">
        <v>5318140.5</v>
      </c>
      <c r="Y107" s="189">
        <v>971070.9</v>
      </c>
      <c r="Z107" s="188">
        <v>32.0</v>
      </c>
      <c r="AA107" s="188">
        <v>18.0</v>
      </c>
      <c r="AB107" s="188">
        <v>50.0</v>
      </c>
      <c r="AC107" s="188">
        <v>0.0</v>
      </c>
      <c r="AD107" s="188">
        <v>8.0</v>
      </c>
      <c r="AE107" s="188">
        <v>10.0</v>
      </c>
      <c r="AF107" s="188">
        <v>90.0</v>
      </c>
      <c r="AG107" s="188">
        <v>4.0</v>
      </c>
      <c r="AH107" s="188">
        <v>32.0</v>
      </c>
      <c r="AI107" s="188">
        <v>2.0</v>
      </c>
      <c r="AJ107" s="188">
        <v>39.0</v>
      </c>
      <c r="AK107" s="188">
        <v>3.0</v>
      </c>
      <c r="AL107" s="188">
        <v>7.0</v>
      </c>
      <c r="AM107" s="188">
        <v>259.0</v>
      </c>
      <c r="AN107" s="188">
        <v>347.0</v>
      </c>
      <c r="AO107" s="188">
        <v>149.0</v>
      </c>
      <c r="AP107" s="186">
        <v>42209.47248322148</v>
      </c>
      <c r="AQ107" s="189">
        <v>1.738255033557047</v>
      </c>
      <c r="AR107" s="186">
        <v>401322.0</v>
      </c>
      <c r="AS107" s="186">
        <v>99819.0</v>
      </c>
      <c r="AT107" s="187">
        <v>0.07968264510873334</v>
      </c>
      <c r="AU107" s="186">
        <v>125784.228</v>
      </c>
      <c r="AV107" s="219">
        <v>115.0</v>
      </c>
      <c r="AW107" s="219">
        <v>1569.0</v>
      </c>
      <c r="AX107" s="257">
        <v>10445.64</v>
      </c>
      <c r="AY107" s="258">
        <v>154.0</v>
      </c>
      <c r="AZ107" s="258">
        <v>50.0</v>
      </c>
      <c r="BA107" s="258">
        <v>23.0</v>
      </c>
      <c r="BB107" s="258">
        <v>32.0</v>
      </c>
      <c r="BC107" s="260"/>
      <c r="BD107" s="260"/>
      <c r="BE107" s="164">
        <v>-0.050000001676380634</v>
      </c>
    </row>
    <row r="108">
      <c r="A108" s="6" t="s">
        <v>185</v>
      </c>
      <c r="B108" s="183" t="s">
        <v>189</v>
      </c>
      <c r="C108" s="184" t="s">
        <v>804</v>
      </c>
      <c r="D108" s="75" t="s">
        <v>187</v>
      </c>
      <c r="E108" s="256">
        <v>45295.0</v>
      </c>
      <c r="F108" s="75" t="s">
        <v>1016</v>
      </c>
      <c r="G108" s="186"/>
      <c r="H108" s="190">
        <v>88555.0</v>
      </c>
      <c r="I108" s="190"/>
      <c r="J108" s="186">
        <v>0.0</v>
      </c>
      <c r="K108" s="186">
        <v>0.0</v>
      </c>
      <c r="L108" s="186">
        <v>0.0</v>
      </c>
      <c r="M108" s="186">
        <v>0.0</v>
      </c>
      <c r="N108" s="186"/>
      <c r="O108" s="187"/>
      <c r="P108" s="187">
        <v>0.0</v>
      </c>
      <c r="Q108" s="187"/>
      <c r="R108" s="188">
        <v>158.0</v>
      </c>
      <c r="S108" s="188">
        <v>148.0</v>
      </c>
      <c r="T108" s="188">
        <v>12.0</v>
      </c>
      <c r="U108" s="188">
        <v>0.0</v>
      </c>
      <c r="V108" s="188">
        <v>170.0</v>
      </c>
      <c r="W108" s="188">
        <v>22.0</v>
      </c>
      <c r="X108" s="189">
        <v>0.0</v>
      </c>
      <c r="Y108" s="189">
        <v>0.0</v>
      </c>
      <c r="Z108" s="188">
        <v>0.0</v>
      </c>
      <c r="AA108" s="188">
        <v>0.0</v>
      </c>
      <c r="AB108" s="188">
        <v>0.0</v>
      </c>
      <c r="AC108" s="188">
        <v>0.0</v>
      </c>
      <c r="AD108" s="188">
        <v>16.0</v>
      </c>
      <c r="AE108" s="188">
        <v>21.0</v>
      </c>
      <c r="AF108" s="188">
        <v>7.0</v>
      </c>
      <c r="AG108" s="188">
        <v>10.0</v>
      </c>
      <c r="AH108" s="188">
        <v>39.0</v>
      </c>
      <c r="AI108" s="188">
        <v>0.0</v>
      </c>
      <c r="AJ108" s="188">
        <v>0.0</v>
      </c>
      <c r="AK108" s="188">
        <v>0.0</v>
      </c>
      <c r="AL108" s="188">
        <v>0.0</v>
      </c>
      <c r="AM108" s="188">
        <v>281.0</v>
      </c>
      <c r="AN108" s="188">
        <v>341.0</v>
      </c>
      <c r="AO108" s="188">
        <v>148.0</v>
      </c>
      <c r="AP108" s="186">
        <v>0.0</v>
      </c>
      <c r="AQ108" s="189">
        <v>1.8986486486486487</v>
      </c>
      <c r="AR108" s="186">
        <v>531330.0</v>
      </c>
      <c r="AS108" s="186">
        <v>50271.0</v>
      </c>
      <c r="AT108" s="187"/>
      <c r="AU108" s="186"/>
      <c r="AV108" s="219">
        <v>0.0</v>
      </c>
      <c r="AW108" s="219">
        <v>1661.0</v>
      </c>
      <c r="AX108" s="257">
        <v>15278.65</v>
      </c>
      <c r="AY108" s="258">
        <v>103.0</v>
      </c>
      <c r="AZ108" s="258">
        <v>0.0</v>
      </c>
      <c r="BA108" s="258">
        <v>148.0</v>
      </c>
      <c r="BB108" s="258">
        <v>22.0</v>
      </c>
      <c r="BC108" s="260"/>
      <c r="BD108" s="260"/>
      <c r="BE108" s="164" t="e">
        <v>#N/A</v>
      </c>
    </row>
    <row r="109">
      <c r="A109" s="6" t="s">
        <v>185</v>
      </c>
      <c r="B109" s="183" t="s">
        <v>222</v>
      </c>
      <c r="C109" s="184" t="s">
        <v>809</v>
      </c>
      <c r="D109" s="75" t="s">
        <v>1090</v>
      </c>
      <c r="E109" s="256">
        <v>45309.0</v>
      </c>
      <c r="F109" s="75" t="s">
        <v>1089</v>
      </c>
      <c r="G109" s="186">
        <v>1.1640474E7</v>
      </c>
      <c r="H109" s="190">
        <v>42820.0</v>
      </c>
      <c r="I109" s="190">
        <v>1500000.0</v>
      </c>
      <c r="J109" s="186">
        <v>0.0</v>
      </c>
      <c r="K109" s="186">
        <v>9000000.0</v>
      </c>
      <c r="L109" s="186">
        <v>8801397.54</v>
      </c>
      <c r="M109" s="186">
        <v>0.0</v>
      </c>
      <c r="N109" s="186">
        <v>8724214.0</v>
      </c>
      <c r="O109" s="187">
        <v>0.9779330599999999</v>
      </c>
      <c r="P109" s="187">
        <v>0.0</v>
      </c>
      <c r="Q109" s="187">
        <v>0.9693571111111111</v>
      </c>
      <c r="R109" s="188">
        <v>104.0</v>
      </c>
      <c r="S109" s="188">
        <v>100.0</v>
      </c>
      <c r="T109" s="188">
        <v>2.0</v>
      </c>
      <c r="U109" s="188">
        <v>2.0</v>
      </c>
      <c r="V109" s="188">
        <v>106.0</v>
      </c>
      <c r="W109" s="188">
        <v>6.0</v>
      </c>
      <c r="X109" s="189">
        <v>8580668.58</v>
      </c>
      <c r="Y109" s="189">
        <v>220728.96</v>
      </c>
      <c r="Z109" s="188">
        <v>47.0</v>
      </c>
      <c r="AA109" s="188">
        <v>2.0</v>
      </c>
      <c r="AB109" s="188">
        <v>49.0</v>
      </c>
      <c r="AC109" s="188">
        <v>0.0</v>
      </c>
      <c r="AD109" s="188">
        <v>8.0</v>
      </c>
      <c r="AE109" s="188">
        <v>22.0</v>
      </c>
      <c r="AF109" s="188">
        <v>83.0</v>
      </c>
      <c r="AG109" s="188">
        <v>1.0</v>
      </c>
      <c r="AH109" s="188">
        <v>11.0</v>
      </c>
      <c r="AI109" s="188">
        <v>0.0</v>
      </c>
      <c r="AJ109" s="188">
        <v>0.0</v>
      </c>
      <c r="AK109" s="188">
        <v>0.0</v>
      </c>
      <c r="AL109" s="188">
        <v>0.0</v>
      </c>
      <c r="AM109" s="188">
        <v>635.0</v>
      </c>
      <c r="AN109" s="188">
        <v>668.0</v>
      </c>
      <c r="AO109" s="188">
        <v>138.0</v>
      </c>
      <c r="AP109" s="186">
        <v>63778.24304347825</v>
      </c>
      <c r="AQ109" s="189">
        <v>4.601449275362318</v>
      </c>
      <c r="AR109" s="186">
        <v>256920.0</v>
      </c>
      <c r="AS109" s="186">
        <v>52740.0</v>
      </c>
      <c r="AT109" s="187">
        <v>0.035183048895664364</v>
      </c>
      <c r="AU109" s="186">
        <v>179620.35795918366</v>
      </c>
      <c r="AV109" s="219">
        <v>137.0</v>
      </c>
      <c r="AW109" s="219">
        <v>1314.0</v>
      </c>
      <c r="AX109" s="257">
        <v>6593.72</v>
      </c>
      <c r="AY109" s="258">
        <v>66.0</v>
      </c>
      <c r="AZ109" s="258">
        <v>49.0</v>
      </c>
      <c r="BA109" s="258">
        <v>51.0</v>
      </c>
      <c r="BB109" s="258">
        <v>6.0</v>
      </c>
      <c r="BC109" s="260"/>
      <c r="BD109" s="260"/>
      <c r="BE109" s="164">
        <v>-0.7099999990314245</v>
      </c>
    </row>
    <row r="110">
      <c r="A110" s="6" t="s">
        <v>47</v>
      </c>
      <c r="B110" s="183" t="s">
        <v>50</v>
      </c>
      <c r="C110" s="184" t="s">
        <v>48</v>
      </c>
      <c r="D110" s="75" t="s">
        <v>49</v>
      </c>
      <c r="E110" s="256">
        <v>45311.0</v>
      </c>
      <c r="F110" s="75" t="s">
        <v>1091</v>
      </c>
      <c r="G110" s="186">
        <v>5256136.0</v>
      </c>
      <c r="H110" s="190">
        <v>28835.0</v>
      </c>
      <c r="I110" s="190">
        <v>833333.0</v>
      </c>
      <c r="J110" s="186">
        <v>0.0</v>
      </c>
      <c r="K110" s="186">
        <v>4999998.0</v>
      </c>
      <c r="L110" s="186">
        <v>2905131.02</v>
      </c>
      <c r="M110" s="186">
        <v>0.0</v>
      </c>
      <c r="N110" s="186">
        <v>2932986.0</v>
      </c>
      <c r="O110" s="187">
        <v>0.5810264364105746</v>
      </c>
      <c r="P110" s="187">
        <v>0.0</v>
      </c>
      <c r="Q110" s="187">
        <v>0.5865974346389738</v>
      </c>
      <c r="R110" s="188">
        <v>69.0</v>
      </c>
      <c r="S110" s="188">
        <v>74.0</v>
      </c>
      <c r="T110" s="188">
        <v>5.0</v>
      </c>
      <c r="U110" s="188">
        <v>5.0</v>
      </c>
      <c r="V110" s="188">
        <v>74.0</v>
      </c>
      <c r="W110" s="188">
        <v>0.0</v>
      </c>
      <c r="X110" s="189">
        <v>2665873.73</v>
      </c>
      <c r="Y110" s="189">
        <v>239257.29</v>
      </c>
      <c r="Z110" s="188">
        <v>65.0</v>
      </c>
      <c r="AA110" s="188">
        <v>5.0</v>
      </c>
      <c r="AB110" s="188">
        <v>70.0</v>
      </c>
      <c r="AC110" s="188">
        <v>0.0</v>
      </c>
      <c r="AD110" s="188">
        <v>57.0</v>
      </c>
      <c r="AE110" s="188">
        <v>116.0</v>
      </c>
      <c r="AF110" s="188">
        <v>175.0</v>
      </c>
      <c r="AG110" s="188">
        <v>1.0</v>
      </c>
      <c r="AH110" s="188">
        <v>94.0</v>
      </c>
      <c r="AI110" s="188">
        <v>1.0</v>
      </c>
      <c r="AJ110" s="188">
        <v>1.0</v>
      </c>
      <c r="AK110" s="188">
        <v>0.0</v>
      </c>
      <c r="AL110" s="188">
        <v>0.0</v>
      </c>
      <c r="AM110" s="188">
        <v>792.0</v>
      </c>
      <c r="AN110" s="188">
        <v>1003.0</v>
      </c>
      <c r="AO110" s="188">
        <v>142.0</v>
      </c>
      <c r="AP110" s="186">
        <v>20458.66915492958</v>
      </c>
      <c r="AQ110" s="189">
        <v>5.577464788732394</v>
      </c>
      <c r="AR110" s="186">
        <v>173010.0</v>
      </c>
      <c r="AS110" s="186">
        <v>30853.0</v>
      </c>
      <c r="AT110" s="187">
        <v>0.07017342715234923</v>
      </c>
      <c r="AU110" s="186">
        <v>41501.87171428571</v>
      </c>
      <c r="AV110" s="219">
        <v>462.0</v>
      </c>
      <c r="AW110" s="219">
        <v>1342.0</v>
      </c>
      <c r="AX110" s="257">
        <v>17293.05</v>
      </c>
      <c r="AY110" s="258">
        <v>234.0</v>
      </c>
      <c r="AZ110" s="258">
        <v>70.0</v>
      </c>
      <c r="BA110" s="258">
        <v>4.0</v>
      </c>
      <c r="BB110" s="258">
        <v>0.0</v>
      </c>
      <c r="BC110" s="260"/>
      <c r="BD110" s="260"/>
      <c r="BE110" s="164">
        <v>0.10000000009313226</v>
      </c>
    </row>
    <row r="111">
      <c r="A111" s="6" t="s">
        <v>53</v>
      </c>
      <c r="B111" s="183" t="s">
        <v>56</v>
      </c>
      <c r="C111" s="184" t="s">
        <v>361</v>
      </c>
      <c r="D111" s="75" t="s">
        <v>1093</v>
      </c>
      <c r="E111" s="256">
        <v>45313.0</v>
      </c>
      <c r="F111" s="75" t="s">
        <v>1092</v>
      </c>
      <c r="G111" s="186">
        <v>675146.0</v>
      </c>
      <c r="H111" s="190">
        <v>24425.0</v>
      </c>
      <c r="I111" s="190">
        <v>600000.0</v>
      </c>
      <c r="J111" s="186">
        <v>0.0</v>
      </c>
      <c r="K111" s="186">
        <v>0.0</v>
      </c>
      <c r="L111" s="186">
        <v>0.0</v>
      </c>
      <c r="M111" s="186">
        <v>0.0</v>
      </c>
      <c r="N111" s="186">
        <v>0.0</v>
      </c>
      <c r="O111" s="187"/>
      <c r="P111" s="187">
        <v>0.0</v>
      </c>
      <c r="Q111" s="187"/>
      <c r="R111" s="188">
        <v>41.0</v>
      </c>
      <c r="S111" s="188">
        <v>20.0</v>
      </c>
      <c r="T111" s="188">
        <v>5.0</v>
      </c>
      <c r="U111" s="188">
        <v>0.0</v>
      </c>
      <c r="V111" s="188">
        <v>46.0</v>
      </c>
      <c r="W111" s="188">
        <v>26.0</v>
      </c>
      <c r="X111" s="189">
        <v>0.0</v>
      </c>
      <c r="Y111" s="189">
        <v>0.0</v>
      </c>
      <c r="Z111" s="188">
        <v>0.0</v>
      </c>
      <c r="AA111" s="188">
        <v>0.0</v>
      </c>
      <c r="AB111" s="188">
        <v>0.0</v>
      </c>
      <c r="AC111" s="188">
        <v>0.0</v>
      </c>
      <c r="AD111" s="188">
        <v>18.0</v>
      </c>
      <c r="AE111" s="188">
        <v>21.0</v>
      </c>
      <c r="AF111" s="188">
        <v>345.0</v>
      </c>
      <c r="AG111" s="188">
        <v>3.0</v>
      </c>
      <c r="AH111" s="188">
        <v>9.0</v>
      </c>
      <c r="AI111" s="188">
        <v>0.0</v>
      </c>
      <c r="AJ111" s="188">
        <v>0.0</v>
      </c>
      <c r="AK111" s="188">
        <v>0.0</v>
      </c>
      <c r="AL111" s="188">
        <v>0.0</v>
      </c>
      <c r="AM111" s="188">
        <v>34.0</v>
      </c>
      <c r="AN111" s="188">
        <v>64.0</v>
      </c>
      <c r="AO111" s="188">
        <v>16.0</v>
      </c>
      <c r="AP111" s="186">
        <v>0.0</v>
      </c>
      <c r="AQ111" s="189">
        <v>2.125</v>
      </c>
      <c r="AR111" s="186">
        <v>17097.5</v>
      </c>
      <c r="AS111" s="186">
        <v>11425.0</v>
      </c>
      <c r="AT111" s="187"/>
      <c r="AU111" s="186"/>
      <c r="AV111" s="219">
        <v>0.0</v>
      </c>
      <c r="AW111" s="219">
        <v>130.0</v>
      </c>
      <c r="AX111" s="257">
        <v>1233.12</v>
      </c>
      <c r="AY111" s="258">
        <v>62.0</v>
      </c>
      <c r="AZ111" s="258">
        <v>0.0</v>
      </c>
      <c r="BA111" s="258">
        <v>20.0</v>
      </c>
      <c r="BB111" s="258">
        <v>26.0</v>
      </c>
      <c r="BC111" s="260">
        <v>45768.0</v>
      </c>
      <c r="BD111" s="260"/>
      <c r="BE111" s="164">
        <v>0.0</v>
      </c>
    </row>
    <row r="112">
      <c r="A112" s="6" t="s">
        <v>126</v>
      </c>
      <c r="B112" s="183" t="s">
        <v>130</v>
      </c>
      <c r="C112" s="184" t="s">
        <v>164</v>
      </c>
      <c r="D112" s="75" t="s">
        <v>153</v>
      </c>
      <c r="E112" s="256">
        <v>45323.0</v>
      </c>
      <c r="F112" s="75" t="s">
        <v>130</v>
      </c>
      <c r="G112" s="186">
        <v>1.3537922E7</v>
      </c>
      <c r="H112" s="190">
        <v>56000.0</v>
      </c>
      <c r="I112" s="190">
        <v>2500000.0</v>
      </c>
      <c r="J112" s="186">
        <v>2400000.0</v>
      </c>
      <c r="K112" s="186">
        <v>1.26E7</v>
      </c>
      <c r="L112" s="186">
        <v>8976798.74</v>
      </c>
      <c r="M112" s="186">
        <v>194495.19</v>
      </c>
      <c r="N112" s="186">
        <v>1.0426431E7</v>
      </c>
      <c r="O112" s="187">
        <v>0.6114195953333333</v>
      </c>
      <c r="P112" s="187">
        <v>0.08</v>
      </c>
      <c r="Q112" s="187">
        <v>0.6950954</v>
      </c>
      <c r="R112" s="188">
        <v>118.0</v>
      </c>
      <c r="S112" s="188">
        <v>119.0</v>
      </c>
      <c r="T112" s="188">
        <v>10.0</v>
      </c>
      <c r="U112" s="188">
        <v>8.0</v>
      </c>
      <c r="V112" s="188">
        <v>128.0</v>
      </c>
      <c r="W112" s="188">
        <v>9.0</v>
      </c>
      <c r="X112" s="189">
        <v>8118148.76</v>
      </c>
      <c r="Y112" s="189">
        <v>858649.98</v>
      </c>
      <c r="Z112" s="188">
        <v>76.0</v>
      </c>
      <c r="AA112" s="188">
        <v>8.0</v>
      </c>
      <c r="AB112" s="188">
        <v>84.0</v>
      </c>
      <c r="AC112" s="188">
        <v>2.0</v>
      </c>
      <c r="AD112" s="188">
        <v>41.0</v>
      </c>
      <c r="AE112" s="188">
        <v>58.0</v>
      </c>
      <c r="AF112" s="188">
        <v>103.0</v>
      </c>
      <c r="AG112" s="188">
        <v>5.0</v>
      </c>
      <c r="AH112" s="188">
        <v>134.0</v>
      </c>
      <c r="AI112" s="188">
        <v>4.0</v>
      </c>
      <c r="AJ112" s="188">
        <v>9.0</v>
      </c>
      <c r="AK112" s="188">
        <v>0.0</v>
      </c>
      <c r="AL112" s="188">
        <v>0.0</v>
      </c>
      <c r="AM112" s="188">
        <v>694.0</v>
      </c>
      <c r="AN112" s="188">
        <v>895.0</v>
      </c>
      <c r="AO112" s="188">
        <v>153.0</v>
      </c>
      <c r="AP112" s="186">
        <v>59943.097581699345</v>
      </c>
      <c r="AQ112" s="189">
        <v>4.5359477124183005</v>
      </c>
      <c r="AR112" s="186">
        <v>336000.0</v>
      </c>
      <c r="AS112" s="186">
        <v>39845.0</v>
      </c>
      <c r="AT112" s="187">
        <v>0.040980586040382204</v>
      </c>
      <c r="AU112" s="186">
        <v>106866.65166666667</v>
      </c>
      <c r="AV112" s="219">
        <v>209.0</v>
      </c>
      <c r="AW112" s="219">
        <v>1302.0</v>
      </c>
      <c r="AX112" s="257">
        <v>8805.36</v>
      </c>
      <c r="AY112" s="258">
        <v>74.0</v>
      </c>
      <c r="AZ112" s="258">
        <v>84.0</v>
      </c>
      <c r="BA112" s="258">
        <v>36.0</v>
      </c>
      <c r="BB112" s="258">
        <v>8.0</v>
      </c>
      <c r="BC112" s="260"/>
      <c r="BD112" s="260"/>
      <c r="BE112" s="164">
        <v>-0.2999999988824129</v>
      </c>
    </row>
    <row r="113">
      <c r="A113" s="6" t="s">
        <v>185</v>
      </c>
      <c r="B113" s="183" t="s">
        <v>189</v>
      </c>
      <c r="C113" s="184" t="s">
        <v>265</v>
      </c>
      <c r="D113" s="75" t="s">
        <v>266</v>
      </c>
      <c r="E113" s="256">
        <v>45323.0</v>
      </c>
      <c r="F113" s="75" t="s">
        <v>1016</v>
      </c>
      <c r="G113" s="186">
        <v>1.1715104E7</v>
      </c>
      <c r="H113" s="190">
        <v>30950.0</v>
      </c>
      <c r="I113" s="190">
        <v>2000000.0</v>
      </c>
      <c r="J113" s="186">
        <v>0.0</v>
      </c>
      <c r="K113" s="186">
        <v>1.2E7</v>
      </c>
      <c r="L113" s="186">
        <v>7692951.32</v>
      </c>
      <c r="M113" s="186">
        <v>0.0</v>
      </c>
      <c r="N113" s="186">
        <v>7629373.0</v>
      </c>
      <c r="O113" s="187">
        <v>0.6410792766666666</v>
      </c>
      <c r="P113" s="187">
        <v>0.0</v>
      </c>
      <c r="Q113" s="187">
        <v>0.6357810833333334</v>
      </c>
      <c r="R113" s="188">
        <v>58.0</v>
      </c>
      <c r="S113" s="188">
        <v>64.0</v>
      </c>
      <c r="T113" s="188">
        <v>9.0</v>
      </c>
      <c r="U113" s="188">
        <v>9.0</v>
      </c>
      <c r="V113" s="188">
        <v>67.0</v>
      </c>
      <c r="W113" s="188">
        <v>3.0</v>
      </c>
      <c r="X113" s="189">
        <v>6885032.12</v>
      </c>
      <c r="Y113" s="189">
        <v>807919.2</v>
      </c>
      <c r="Z113" s="188">
        <v>34.0</v>
      </c>
      <c r="AA113" s="188">
        <v>9.0</v>
      </c>
      <c r="AB113" s="188">
        <v>43.0</v>
      </c>
      <c r="AC113" s="188">
        <v>0.0</v>
      </c>
      <c r="AD113" s="188">
        <v>85.0</v>
      </c>
      <c r="AE113" s="188">
        <v>144.0</v>
      </c>
      <c r="AF113" s="188">
        <v>147.0</v>
      </c>
      <c r="AG113" s="188">
        <v>1.0</v>
      </c>
      <c r="AH113" s="188">
        <v>24.0</v>
      </c>
      <c r="AI113" s="188">
        <v>0.0</v>
      </c>
      <c r="AJ113" s="188">
        <v>0.0</v>
      </c>
      <c r="AK113" s="188">
        <v>0.0</v>
      </c>
      <c r="AL113" s="188">
        <v>0.0</v>
      </c>
      <c r="AM113" s="188">
        <v>585.0</v>
      </c>
      <c r="AN113" s="188">
        <v>753.0</v>
      </c>
      <c r="AO113" s="188">
        <v>146.0</v>
      </c>
      <c r="AP113" s="186">
        <v>52691.44739726028</v>
      </c>
      <c r="AQ113" s="189">
        <v>4.006849315068493</v>
      </c>
      <c r="AR113" s="186">
        <v>185700.0</v>
      </c>
      <c r="AS113" s="186">
        <v>43984.0</v>
      </c>
      <c r="AT113" s="187">
        <v>0.029856421865412246</v>
      </c>
      <c r="AU113" s="186">
        <v>178905.8446511628</v>
      </c>
      <c r="AV113" s="219">
        <v>178.0</v>
      </c>
      <c r="AW113" s="219">
        <v>1733.0</v>
      </c>
      <c r="AX113" s="257">
        <v>10267.72</v>
      </c>
      <c r="AY113" s="258">
        <v>160.0</v>
      </c>
      <c r="AZ113" s="258">
        <v>43.0</v>
      </c>
      <c r="BA113" s="258">
        <v>21.0</v>
      </c>
      <c r="BB113" s="258">
        <v>3.0</v>
      </c>
      <c r="BC113" s="260"/>
      <c r="BD113" s="260"/>
      <c r="BE113" s="164">
        <v>0.07000000029802322</v>
      </c>
    </row>
    <row r="114">
      <c r="A114" s="6" t="s">
        <v>126</v>
      </c>
      <c r="B114" s="183" t="s">
        <v>145</v>
      </c>
      <c r="C114" s="184" t="s">
        <v>167</v>
      </c>
      <c r="D114" s="75" t="s">
        <v>168</v>
      </c>
      <c r="E114" s="256">
        <v>45331.0</v>
      </c>
      <c r="F114" s="75" t="s">
        <v>1066</v>
      </c>
      <c r="G114" s="186">
        <v>4318430.0</v>
      </c>
      <c r="H114" s="190">
        <v>26212.0</v>
      </c>
      <c r="I114" s="190">
        <v>1150000.0</v>
      </c>
      <c r="J114" s="186">
        <v>0.0</v>
      </c>
      <c r="K114" s="186">
        <v>6900000.0</v>
      </c>
      <c r="L114" s="186">
        <v>3369624.98</v>
      </c>
      <c r="M114" s="186">
        <v>0.0</v>
      </c>
      <c r="N114" s="186">
        <v>2292680.0</v>
      </c>
      <c r="O114" s="187">
        <v>0.4883514463768116</v>
      </c>
      <c r="P114" s="187">
        <v>0.0</v>
      </c>
      <c r="Q114" s="187">
        <v>0.3322724637681159</v>
      </c>
      <c r="R114" s="188">
        <v>30.0</v>
      </c>
      <c r="S114" s="188">
        <v>31.0</v>
      </c>
      <c r="T114" s="188">
        <v>3.0</v>
      </c>
      <c r="U114" s="188">
        <v>3.0</v>
      </c>
      <c r="V114" s="188">
        <v>33.0</v>
      </c>
      <c r="W114" s="188">
        <v>2.0</v>
      </c>
      <c r="X114" s="189">
        <v>2941410.84</v>
      </c>
      <c r="Y114" s="189">
        <v>428214.14</v>
      </c>
      <c r="Z114" s="188">
        <v>24.0</v>
      </c>
      <c r="AA114" s="188">
        <v>3.0</v>
      </c>
      <c r="AB114" s="188">
        <v>27.0</v>
      </c>
      <c r="AC114" s="188">
        <v>0.0</v>
      </c>
      <c r="AD114" s="188">
        <v>100.0</v>
      </c>
      <c r="AE114" s="188">
        <v>253.0</v>
      </c>
      <c r="AF114" s="188">
        <v>116.0</v>
      </c>
      <c r="AG114" s="188">
        <v>2.0</v>
      </c>
      <c r="AH114" s="188">
        <v>6.0</v>
      </c>
      <c r="AI114" s="188">
        <v>0.0</v>
      </c>
      <c r="AJ114" s="188">
        <v>0.0</v>
      </c>
      <c r="AK114" s="188">
        <v>0.0</v>
      </c>
      <c r="AL114" s="188">
        <v>0.0</v>
      </c>
      <c r="AM114" s="188">
        <v>428.0</v>
      </c>
      <c r="AN114" s="188">
        <v>687.0</v>
      </c>
      <c r="AO114" s="188">
        <v>143.0</v>
      </c>
      <c r="AP114" s="186">
        <v>23563.811048951047</v>
      </c>
      <c r="AQ114" s="189">
        <v>2.993006993006993</v>
      </c>
      <c r="AR114" s="186">
        <v>157272.0</v>
      </c>
      <c r="AS114" s="186">
        <v>43954.0</v>
      </c>
      <c r="AT114" s="187">
        <v>0.05971762471917572</v>
      </c>
      <c r="AU114" s="186">
        <v>124800.92518518519</v>
      </c>
      <c r="AV114" s="219">
        <v>121.0</v>
      </c>
      <c r="AW114" s="219">
        <v>1684.0</v>
      </c>
      <c r="AX114" s="257">
        <v>9616.12</v>
      </c>
      <c r="AY114" s="258">
        <v>310.0</v>
      </c>
      <c r="AZ114" s="258">
        <v>27.0</v>
      </c>
      <c r="BA114" s="258">
        <v>5.0</v>
      </c>
      <c r="BB114" s="258">
        <v>1.0</v>
      </c>
      <c r="BC114" s="260"/>
      <c r="BD114" s="260"/>
      <c r="BE114" s="164">
        <v>0.12000000011175871</v>
      </c>
    </row>
    <row r="115">
      <c r="A115" s="6" t="s">
        <v>23</v>
      </c>
      <c r="B115" s="183" t="s">
        <v>30</v>
      </c>
      <c r="C115" s="184" t="s">
        <v>335</v>
      </c>
      <c r="D115" s="75" t="s">
        <v>46</v>
      </c>
      <c r="E115" s="256">
        <v>45384.0</v>
      </c>
      <c r="F115" s="75" t="s">
        <v>30</v>
      </c>
      <c r="G115" s="186">
        <v>9014519.0</v>
      </c>
      <c r="H115" s="190">
        <v>36400.0</v>
      </c>
      <c r="I115" s="190">
        <v>1500000.0</v>
      </c>
      <c r="J115" s="186">
        <v>1800000.0</v>
      </c>
      <c r="K115" s="186">
        <v>7200000.0</v>
      </c>
      <c r="L115" s="186">
        <v>4931886.45</v>
      </c>
      <c r="M115" s="186">
        <v>285509.66</v>
      </c>
      <c r="N115" s="186">
        <v>4967531.0</v>
      </c>
      <c r="O115" s="187">
        <v>0.5797106788888889</v>
      </c>
      <c r="P115" s="187">
        <v>0.16</v>
      </c>
      <c r="Q115" s="187">
        <v>0.5519478888888889</v>
      </c>
      <c r="R115" s="188">
        <v>54.0</v>
      </c>
      <c r="S115" s="188">
        <v>57.0</v>
      </c>
      <c r="T115" s="188">
        <v>9.0</v>
      </c>
      <c r="U115" s="188">
        <v>9.0</v>
      </c>
      <c r="V115" s="188">
        <v>63.0</v>
      </c>
      <c r="W115" s="188">
        <v>6.0</v>
      </c>
      <c r="X115" s="189">
        <v>3744369.65</v>
      </c>
      <c r="Y115" s="189">
        <v>1187516.8</v>
      </c>
      <c r="Z115" s="188">
        <v>42.0</v>
      </c>
      <c r="AA115" s="188">
        <v>9.0</v>
      </c>
      <c r="AB115" s="188">
        <v>51.0</v>
      </c>
      <c r="AC115" s="188">
        <v>2.0</v>
      </c>
      <c r="AD115" s="188">
        <v>106.0</v>
      </c>
      <c r="AE115" s="188">
        <v>123.0</v>
      </c>
      <c r="AF115" s="188">
        <v>306.0</v>
      </c>
      <c r="AG115" s="188">
        <v>5.0</v>
      </c>
      <c r="AH115" s="188">
        <v>22.0</v>
      </c>
      <c r="AI115" s="188">
        <v>5.0</v>
      </c>
      <c r="AJ115" s="188">
        <v>11.0</v>
      </c>
      <c r="AK115" s="188">
        <v>1.0</v>
      </c>
      <c r="AL115" s="188">
        <v>1.0</v>
      </c>
      <c r="AM115" s="188">
        <v>264.0</v>
      </c>
      <c r="AN115" s="188">
        <v>421.0</v>
      </c>
      <c r="AO115" s="188">
        <v>141.0</v>
      </c>
      <c r="AP115" s="186">
        <v>37002.80929078015</v>
      </c>
      <c r="AQ115" s="189">
        <v>1.872340425531915</v>
      </c>
      <c r="AR115" s="186">
        <v>218400.0</v>
      </c>
      <c r="AS115" s="186">
        <v>41700.0</v>
      </c>
      <c r="AT115" s="187">
        <v>0.049852454081735414</v>
      </c>
      <c r="AU115" s="186">
        <v>96703.65588235295</v>
      </c>
      <c r="AV115" s="219">
        <v>198.0</v>
      </c>
      <c r="AW115" s="219">
        <v>1622.0</v>
      </c>
      <c r="AX115" s="257">
        <v>11349.26</v>
      </c>
      <c r="AY115" s="258">
        <v>199.0</v>
      </c>
      <c r="AZ115" s="258">
        <v>51.0</v>
      </c>
      <c r="BA115" s="258">
        <v>8.0</v>
      </c>
      <c r="BB115" s="258">
        <v>4.0</v>
      </c>
      <c r="BC115" s="260"/>
      <c r="BD115" s="260"/>
      <c r="BE115" s="164">
        <v>773132.1999999993</v>
      </c>
    </row>
    <row r="116">
      <c r="A116" s="6" t="s">
        <v>47</v>
      </c>
      <c r="B116" s="183" t="s">
        <v>50</v>
      </c>
      <c r="C116" s="184" t="s">
        <v>51</v>
      </c>
      <c r="D116" s="75" t="s">
        <v>52</v>
      </c>
      <c r="E116" s="256">
        <v>45393.0</v>
      </c>
      <c r="F116" s="75" t="s">
        <v>1091</v>
      </c>
      <c r="G116" s="186">
        <v>2751805.0</v>
      </c>
      <c r="H116" s="190">
        <v>27000.0</v>
      </c>
      <c r="I116" s="190">
        <v>1250000.0</v>
      </c>
      <c r="J116" s="186">
        <v>0.0</v>
      </c>
      <c r="K116" s="186">
        <v>6000000.0</v>
      </c>
      <c r="L116" s="186">
        <v>2485115.99</v>
      </c>
      <c r="M116" s="186">
        <v>0.0</v>
      </c>
      <c r="N116" s="186">
        <v>2324513.5</v>
      </c>
      <c r="O116" s="187">
        <v>0.41418599833333336</v>
      </c>
      <c r="P116" s="187">
        <v>0.0</v>
      </c>
      <c r="Q116" s="187">
        <v>0.38741891666666667</v>
      </c>
      <c r="R116" s="188">
        <v>124.0</v>
      </c>
      <c r="S116" s="188">
        <v>118.0</v>
      </c>
      <c r="T116" s="188">
        <v>22.0</v>
      </c>
      <c r="U116" s="188">
        <v>22.0</v>
      </c>
      <c r="V116" s="188">
        <v>146.0</v>
      </c>
      <c r="W116" s="188">
        <v>28.0</v>
      </c>
      <c r="X116" s="189">
        <v>1929137.08</v>
      </c>
      <c r="Y116" s="189">
        <v>555978.91</v>
      </c>
      <c r="Z116" s="188">
        <v>62.0</v>
      </c>
      <c r="AA116" s="188">
        <v>22.0</v>
      </c>
      <c r="AB116" s="188">
        <v>84.0</v>
      </c>
      <c r="AC116" s="188">
        <v>0.0</v>
      </c>
      <c r="AD116" s="188">
        <v>68.0</v>
      </c>
      <c r="AE116" s="188">
        <v>101.0</v>
      </c>
      <c r="AF116" s="188">
        <v>367.0</v>
      </c>
      <c r="AG116" s="188">
        <v>3.0</v>
      </c>
      <c r="AH116" s="188">
        <v>49.0</v>
      </c>
      <c r="AI116" s="188">
        <v>0.0</v>
      </c>
      <c r="AJ116" s="188">
        <v>0.0</v>
      </c>
      <c r="AK116" s="188">
        <v>0.0</v>
      </c>
      <c r="AL116" s="188">
        <v>0.0</v>
      </c>
      <c r="AM116" s="188">
        <v>852.0</v>
      </c>
      <c r="AN116" s="188">
        <v>1002.0</v>
      </c>
      <c r="AO116" s="188">
        <v>147.0</v>
      </c>
      <c r="AP116" s="186">
        <v>16905.550952380952</v>
      </c>
      <c r="AQ116" s="189">
        <v>5.795918367346939</v>
      </c>
      <c r="AR116" s="186">
        <v>162000.0</v>
      </c>
      <c r="AS116" s="186">
        <v>53447.0</v>
      </c>
      <c r="AT116" s="187">
        <v>0.0866949473855343</v>
      </c>
      <c r="AU116" s="186">
        <v>29584.71416666667</v>
      </c>
      <c r="AV116" s="219">
        <v>259.0</v>
      </c>
      <c r="AW116" s="219">
        <v>1316.0</v>
      </c>
      <c r="AX116" s="257">
        <v>9982.34</v>
      </c>
      <c r="AY116" s="258">
        <v>85.0</v>
      </c>
      <c r="AZ116" s="258">
        <v>84.0</v>
      </c>
      <c r="BA116" s="258">
        <v>36.0</v>
      </c>
      <c r="BB116" s="258">
        <v>26.0</v>
      </c>
      <c r="BC116" s="260"/>
      <c r="BD116" s="260"/>
      <c r="BE116" s="164">
        <v>-0.19000000040978193</v>
      </c>
    </row>
    <row r="117">
      <c r="A117" s="6" t="s">
        <v>47</v>
      </c>
      <c r="B117" s="183" t="s">
        <v>422</v>
      </c>
      <c r="C117" s="184" t="s">
        <v>420</v>
      </c>
      <c r="D117" s="75" t="s">
        <v>421</v>
      </c>
      <c r="E117" s="256">
        <v>45411.0</v>
      </c>
      <c r="F117" s="75" t="s">
        <v>1094</v>
      </c>
      <c r="G117" s="186">
        <v>3448380.07</v>
      </c>
      <c r="H117" s="190">
        <v>27784.0</v>
      </c>
      <c r="I117" s="190">
        <v>583333.0</v>
      </c>
      <c r="J117" s="186">
        <v>0.0</v>
      </c>
      <c r="K117" s="186">
        <v>2916665.0</v>
      </c>
      <c r="L117" s="186">
        <v>1467822.95</v>
      </c>
      <c r="M117" s="186">
        <v>0.0</v>
      </c>
      <c r="N117" s="186">
        <v>971833.61</v>
      </c>
      <c r="O117" s="187">
        <v>0.5032538704307831</v>
      </c>
      <c r="P117" s="187">
        <v>0.0</v>
      </c>
      <c r="Q117" s="187">
        <v>0.3332002852573059</v>
      </c>
      <c r="R117" s="188">
        <v>85.0</v>
      </c>
      <c r="S117" s="188">
        <v>85.0</v>
      </c>
      <c r="T117" s="188">
        <v>14.0</v>
      </c>
      <c r="U117" s="188">
        <v>5.0</v>
      </c>
      <c r="V117" s="188">
        <v>99.0</v>
      </c>
      <c r="W117" s="188">
        <v>14.0</v>
      </c>
      <c r="X117" s="189">
        <v>1345372.05</v>
      </c>
      <c r="Y117" s="189">
        <v>122450.9</v>
      </c>
      <c r="Z117" s="188">
        <v>34.0</v>
      </c>
      <c r="AA117" s="188">
        <v>5.0</v>
      </c>
      <c r="AB117" s="188">
        <v>39.0</v>
      </c>
      <c r="AC117" s="188">
        <v>0.0</v>
      </c>
      <c r="AD117" s="188">
        <v>181.0</v>
      </c>
      <c r="AE117" s="188">
        <v>289.0</v>
      </c>
      <c r="AF117" s="188">
        <v>425.0</v>
      </c>
      <c r="AG117" s="188">
        <v>4.0</v>
      </c>
      <c r="AH117" s="188">
        <v>7.0</v>
      </c>
      <c r="AI117" s="188">
        <v>0.0</v>
      </c>
      <c r="AJ117" s="188">
        <v>0.0</v>
      </c>
      <c r="AK117" s="188">
        <v>20.0</v>
      </c>
      <c r="AL117" s="188">
        <v>29.0</v>
      </c>
      <c r="AM117" s="188">
        <v>373.0</v>
      </c>
      <c r="AN117" s="188">
        <v>698.0</v>
      </c>
      <c r="AO117" s="188">
        <v>102.0</v>
      </c>
      <c r="AP117" s="186">
        <v>14390.421078431373</v>
      </c>
      <c r="AQ117" s="189">
        <v>3.656862745098039</v>
      </c>
      <c r="AR117" s="186">
        <v>127250.72</v>
      </c>
      <c r="AS117" s="186">
        <v>65038.0</v>
      </c>
      <c r="AT117" s="187">
        <v>0.1310026662275583</v>
      </c>
      <c r="AU117" s="186">
        <v>37636.485897435894</v>
      </c>
      <c r="AV117" s="219">
        <v>59.0</v>
      </c>
      <c r="AW117" s="219">
        <v>1148.0</v>
      </c>
      <c r="AX117" s="257">
        <v>8221.96</v>
      </c>
      <c r="AY117" s="258">
        <v>97.0</v>
      </c>
      <c r="AZ117" s="258">
        <v>39.0</v>
      </c>
      <c r="BA117" s="258">
        <v>47.0</v>
      </c>
      <c r="BB117" s="258">
        <v>13.0</v>
      </c>
      <c r="BC117" s="260">
        <v>45887.0</v>
      </c>
      <c r="BD117" s="260"/>
      <c r="BE117" s="164">
        <v>-0.9499999999534339</v>
      </c>
    </row>
    <row r="118">
      <c r="A118" s="6" t="s">
        <v>53</v>
      </c>
      <c r="B118" s="183" t="s">
        <v>56</v>
      </c>
      <c r="C118" s="184" t="s">
        <v>733</v>
      </c>
      <c r="D118" s="75" t="s">
        <v>1095</v>
      </c>
      <c r="E118" s="256">
        <v>45428.0</v>
      </c>
      <c r="F118" s="75" t="s">
        <v>1092</v>
      </c>
      <c r="G118" s="186"/>
      <c r="H118" s="190">
        <v>29880.0</v>
      </c>
      <c r="I118" s="190"/>
      <c r="J118" s="186">
        <v>0.0</v>
      </c>
      <c r="K118" s="186">
        <v>0.0</v>
      </c>
      <c r="L118" s="186">
        <v>0.0</v>
      </c>
      <c r="M118" s="186">
        <v>0.0</v>
      </c>
      <c r="N118" s="186"/>
      <c r="O118" s="187"/>
      <c r="P118" s="187">
        <v>0.0</v>
      </c>
      <c r="Q118" s="187"/>
      <c r="R118" s="188">
        <v>64.0</v>
      </c>
      <c r="S118" s="188">
        <v>46.0</v>
      </c>
      <c r="T118" s="188">
        <v>4.0</v>
      </c>
      <c r="U118" s="188">
        <v>0.0</v>
      </c>
      <c r="V118" s="188">
        <v>68.0</v>
      </c>
      <c r="W118" s="188">
        <v>22.0</v>
      </c>
      <c r="X118" s="189">
        <v>0.0</v>
      </c>
      <c r="Y118" s="189">
        <v>0.0</v>
      </c>
      <c r="Z118" s="188">
        <v>0.0</v>
      </c>
      <c r="AA118" s="188">
        <v>0.0</v>
      </c>
      <c r="AB118" s="188">
        <v>0.0</v>
      </c>
      <c r="AC118" s="188">
        <v>0.0</v>
      </c>
      <c r="AD118" s="188">
        <v>151.0</v>
      </c>
      <c r="AE118" s="188">
        <v>284.0</v>
      </c>
      <c r="AF118" s="188">
        <v>143.0</v>
      </c>
      <c r="AG118" s="188">
        <v>11.0</v>
      </c>
      <c r="AH118" s="188">
        <v>73.0</v>
      </c>
      <c r="AI118" s="188">
        <v>0.0</v>
      </c>
      <c r="AJ118" s="188">
        <v>0.0</v>
      </c>
      <c r="AK118" s="188">
        <v>19.0</v>
      </c>
      <c r="AL118" s="188">
        <v>29.0</v>
      </c>
      <c r="AM118" s="188">
        <v>171.0</v>
      </c>
      <c r="AN118" s="188">
        <v>557.0</v>
      </c>
      <c r="AO118" s="188">
        <v>139.0</v>
      </c>
      <c r="AP118" s="186">
        <v>0.0</v>
      </c>
      <c r="AQ118" s="189">
        <v>1.2302158273381294</v>
      </c>
      <c r="AR118" s="186">
        <v>179280.0</v>
      </c>
      <c r="AS118" s="186">
        <v>45105.0</v>
      </c>
      <c r="AT118" s="187"/>
      <c r="AU118" s="186"/>
      <c r="AV118" s="219">
        <v>0.0</v>
      </c>
      <c r="AW118" s="219">
        <v>1141.0</v>
      </c>
      <c r="AX118" s="257">
        <v>9740.65</v>
      </c>
      <c r="AY118" s="258">
        <v>212.0</v>
      </c>
      <c r="AZ118" s="258">
        <v>0.0</v>
      </c>
      <c r="BA118" s="258">
        <v>46.0</v>
      </c>
      <c r="BB118" s="258">
        <v>22.0</v>
      </c>
      <c r="BC118" s="260"/>
      <c r="BD118" s="260"/>
      <c r="BE118" s="164" t="e">
        <v>#N/A</v>
      </c>
    </row>
    <row r="119">
      <c r="A119" s="6" t="s">
        <v>53</v>
      </c>
      <c r="B119" s="183" t="s">
        <v>56</v>
      </c>
      <c r="C119" s="184" t="s">
        <v>54</v>
      </c>
      <c r="D119" s="75" t="s">
        <v>55</v>
      </c>
      <c r="E119" s="256">
        <v>45428.0</v>
      </c>
      <c r="F119" s="75" t="s">
        <v>1092</v>
      </c>
      <c r="G119" s="186">
        <v>2995523.0</v>
      </c>
      <c r="H119" s="190">
        <v>26526.0</v>
      </c>
      <c r="I119" s="190">
        <v>1000000.0</v>
      </c>
      <c r="J119" s="186">
        <v>0.0</v>
      </c>
      <c r="K119" s="186">
        <v>5800000.0</v>
      </c>
      <c r="L119" s="186">
        <v>2671973.67</v>
      </c>
      <c r="M119" s="186">
        <v>0.0</v>
      </c>
      <c r="N119" s="186">
        <v>1349380.0</v>
      </c>
      <c r="O119" s="187">
        <v>0.46068511551724134</v>
      </c>
      <c r="P119" s="187">
        <v>0.0</v>
      </c>
      <c r="Q119" s="187">
        <v>0.23265172413793103</v>
      </c>
      <c r="R119" s="188">
        <v>81.0</v>
      </c>
      <c r="S119" s="188">
        <v>73.0</v>
      </c>
      <c r="T119" s="188">
        <v>10.0</v>
      </c>
      <c r="U119" s="188">
        <v>3.0</v>
      </c>
      <c r="V119" s="188">
        <v>91.0</v>
      </c>
      <c r="W119" s="188">
        <v>18.0</v>
      </c>
      <c r="X119" s="189">
        <v>2501952.76</v>
      </c>
      <c r="Y119" s="189">
        <v>170020.91</v>
      </c>
      <c r="Z119" s="188">
        <v>40.0</v>
      </c>
      <c r="AA119" s="188">
        <v>3.0</v>
      </c>
      <c r="AB119" s="188">
        <v>43.0</v>
      </c>
      <c r="AC119" s="188">
        <v>0.0</v>
      </c>
      <c r="AD119" s="188">
        <v>94.0</v>
      </c>
      <c r="AE119" s="188">
        <v>166.0</v>
      </c>
      <c r="AF119" s="188">
        <v>414.0</v>
      </c>
      <c r="AG119" s="188">
        <v>4.0</v>
      </c>
      <c r="AH119" s="188">
        <v>75.0</v>
      </c>
      <c r="AI119" s="188">
        <v>0.0</v>
      </c>
      <c r="AJ119" s="188">
        <v>0.0</v>
      </c>
      <c r="AK119" s="188">
        <v>0.0</v>
      </c>
      <c r="AL119" s="188">
        <v>0.0</v>
      </c>
      <c r="AM119" s="188">
        <v>636.0</v>
      </c>
      <c r="AN119" s="188">
        <v>877.0</v>
      </c>
      <c r="AO119" s="188">
        <v>135.0</v>
      </c>
      <c r="AP119" s="186">
        <v>19792.397555555555</v>
      </c>
      <c r="AQ119" s="189">
        <v>4.711111111111111</v>
      </c>
      <c r="AR119" s="186">
        <v>159156.0</v>
      </c>
      <c r="AS119" s="186">
        <v>31042.0</v>
      </c>
      <c r="AT119" s="187">
        <v>0.07118258766374745</v>
      </c>
      <c r="AU119" s="186">
        <v>62138.92255813954</v>
      </c>
      <c r="AV119" s="219">
        <v>100.0</v>
      </c>
      <c r="AW119" s="219">
        <v>1338.0</v>
      </c>
      <c r="AX119" s="257">
        <v>9158.76</v>
      </c>
      <c r="AY119" s="258">
        <v>125.0</v>
      </c>
      <c r="AZ119" s="258">
        <v>43.0</v>
      </c>
      <c r="BA119" s="258">
        <v>31.0</v>
      </c>
      <c r="BB119" s="258">
        <v>17.0</v>
      </c>
      <c r="BC119" s="260"/>
      <c r="BD119" s="260"/>
      <c r="BE119" s="164">
        <v>0.9800000004470348</v>
      </c>
    </row>
    <row r="120">
      <c r="A120" s="6" t="s">
        <v>185</v>
      </c>
      <c r="B120" s="183" t="s">
        <v>215</v>
      </c>
      <c r="C120" s="184" t="s">
        <v>267</v>
      </c>
      <c r="D120" s="75" t="s">
        <v>268</v>
      </c>
      <c r="E120" s="256">
        <v>45432.0</v>
      </c>
      <c r="F120" s="75" t="s">
        <v>1064</v>
      </c>
      <c r="G120" s="186">
        <v>2.0489164E7</v>
      </c>
      <c r="H120" s="190">
        <v>45100.0</v>
      </c>
      <c r="I120" s="190">
        <v>2483333.0</v>
      </c>
      <c r="J120" s="186">
        <v>0.0</v>
      </c>
      <c r="K120" s="186">
        <v>1.4899998E7</v>
      </c>
      <c r="L120" s="186">
        <v>1.235155117E7</v>
      </c>
      <c r="M120" s="186">
        <v>0.0</v>
      </c>
      <c r="N120" s="186">
        <v>1.0562483E7</v>
      </c>
      <c r="O120" s="187">
        <v>0.8289632770420506</v>
      </c>
      <c r="P120" s="187">
        <v>0.0</v>
      </c>
      <c r="Q120" s="187">
        <v>0.7088915716632982</v>
      </c>
      <c r="R120" s="188">
        <v>101.0</v>
      </c>
      <c r="S120" s="188">
        <v>100.0</v>
      </c>
      <c r="T120" s="188">
        <v>8.0</v>
      </c>
      <c r="U120" s="188">
        <v>8.0</v>
      </c>
      <c r="V120" s="188">
        <v>109.0</v>
      </c>
      <c r="W120" s="188">
        <v>9.0</v>
      </c>
      <c r="X120" s="189">
        <v>1.197853412E7</v>
      </c>
      <c r="Y120" s="189">
        <v>373017.05</v>
      </c>
      <c r="Z120" s="188">
        <v>73.0</v>
      </c>
      <c r="AA120" s="188">
        <v>8.0</v>
      </c>
      <c r="AB120" s="188">
        <v>81.0</v>
      </c>
      <c r="AC120" s="188">
        <v>0.0</v>
      </c>
      <c r="AD120" s="188">
        <v>91.0</v>
      </c>
      <c r="AE120" s="188">
        <v>141.0</v>
      </c>
      <c r="AF120" s="188">
        <v>90.0</v>
      </c>
      <c r="AG120" s="188">
        <v>1.0</v>
      </c>
      <c r="AH120" s="188">
        <v>83.0</v>
      </c>
      <c r="AI120" s="188">
        <v>0.0</v>
      </c>
      <c r="AJ120" s="188">
        <v>0.0</v>
      </c>
      <c r="AK120" s="188">
        <v>0.0</v>
      </c>
      <c r="AL120" s="188">
        <v>0.0</v>
      </c>
      <c r="AM120" s="188">
        <v>675.0</v>
      </c>
      <c r="AN120" s="188">
        <v>899.0</v>
      </c>
      <c r="AO120" s="188">
        <v>148.0</v>
      </c>
      <c r="AP120" s="186">
        <v>83456.42682432433</v>
      </c>
      <c r="AQ120" s="189">
        <v>4.5608108108108105</v>
      </c>
      <c r="AR120" s="186">
        <v>270600.0</v>
      </c>
      <c r="AS120" s="186">
        <v>33152.0</v>
      </c>
      <c r="AT120" s="187">
        <v>0.024592214841627862</v>
      </c>
      <c r="AU120" s="186">
        <v>152488.2860493827</v>
      </c>
      <c r="AV120" s="219">
        <v>312.0</v>
      </c>
      <c r="AW120" s="219">
        <v>1414.0</v>
      </c>
      <c r="AX120" s="257">
        <v>5451.9</v>
      </c>
      <c r="AY120" s="258">
        <v>55.0</v>
      </c>
      <c r="AZ120" s="258">
        <v>81.0</v>
      </c>
      <c r="BA120" s="258">
        <v>23.0</v>
      </c>
      <c r="BB120" s="258">
        <v>5.0</v>
      </c>
      <c r="BC120" s="260"/>
      <c r="BD120" s="260"/>
      <c r="BE120" s="164">
        <v>0.7200000006705523</v>
      </c>
    </row>
    <row r="121">
      <c r="A121" s="6" t="s">
        <v>185</v>
      </c>
      <c r="B121" s="183" t="s">
        <v>196</v>
      </c>
      <c r="C121" s="184" t="s">
        <v>269</v>
      </c>
      <c r="D121" s="75" t="s">
        <v>270</v>
      </c>
      <c r="E121" s="256">
        <v>45434.0</v>
      </c>
      <c r="F121" s="75" t="s">
        <v>1027</v>
      </c>
      <c r="G121" s="186">
        <v>5834843.78</v>
      </c>
      <c r="H121" s="190">
        <v>69400.0</v>
      </c>
      <c r="I121" s="190">
        <v>2000000.0</v>
      </c>
      <c r="J121" s="186">
        <v>0.0</v>
      </c>
      <c r="K121" s="186">
        <v>1.2E7</v>
      </c>
      <c r="L121" s="186">
        <v>6670206.61</v>
      </c>
      <c r="M121" s="186">
        <v>0.0</v>
      </c>
      <c r="N121" s="186">
        <v>7539845.0</v>
      </c>
      <c r="O121" s="187">
        <v>0.5558505508333333</v>
      </c>
      <c r="P121" s="187">
        <v>0.0</v>
      </c>
      <c r="Q121" s="187">
        <v>0.6283204166666667</v>
      </c>
      <c r="R121" s="188">
        <v>68.0</v>
      </c>
      <c r="S121" s="188">
        <v>62.0</v>
      </c>
      <c r="T121" s="188">
        <v>6.0</v>
      </c>
      <c r="U121" s="188">
        <v>4.0</v>
      </c>
      <c r="V121" s="188">
        <v>74.0</v>
      </c>
      <c r="W121" s="188">
        <v>12.0</v>
      </c>
      <c r="X121" s="189">
        <v>6411299.89</v>
      </c>
      <c r="Y121" s="189">
        <v>258906.72</v>
      </c>
      <c r="Z121" s="188">
        <v>39.0</v>
      </c>
      <c r="AA121" s="188">
        <v>4.0</v>
      </c>
      <c r="AB121" s="188">
        <v>43.0</v>
      </c>
      <c r="AC121" s="188">
        <v>0.0</v>
      </c>
      <c r="AD121" s="188">
        <v>9.0</v>
      </c>
      <c r="AE121" s="188">
        <v>18.0</v>
      </c>
      <c r="AF121" s="188">
        <v>12.0</v>
      </c>
      <c r="AG121" s="188">
        <v>1.0</v>
      </c>
      <c r="AH121" s="188">
        <v>52.0</v>
      </c>
      <c r="AI121" s="188">
        <v>0.0</v>
      </c>
      <c r="AJ121" s="188">
        <v>0.0</v>
      </c>
      <c r="AK121" s="188">
        <v>0.0</v>
      </c>
      <c r="AL121" s="188">
        <v>0.0</v>
      </c>
      <c r="AM121" s="188">
        <v>490.0</v>
      </c>
      <c r="AN121" s="188">
        <v>560.0</v>
      </c>
      <c r="AO121" s="188">
        <v>140.0</v>
      </c>
      <c r="AP121" s="186">
        <v>47644.33292857143</v>
      </c>
      <c r="AQ121" s="189">
        <v>3.5</v>
      </c>
      <c r="AR121" s="186">
        <v>416400.0</v>
      </c>
      <c r="AS121" s="186">
        <v>25630.0</v>
      </c>
      <c r="AT121" s="187">
        <v>0.0662693115588514</v>
      </c>
      <c r="AU121" s="186">
        <v>155121.08395348839</v>
      </c>
      <c r="AV121" s="219">
        <v>309.0</v>
      </c>
      <c r="AW121" s="219">
        <v>1545.0</v>
      </c>
      <c r="AX121" s="257">
        <v>9547.14</v>
      </c>
      <c r="AY121" s="258">
        <v>154.0</v>
      </c>
      <c r="AZ121" s="258">
        <v>43.0</v>
      </c>
      <c r="BA121" s="258">
        <v>20.0</v>
      </c>
      <c r="BB121" s="258">
        <v>11.0</v>
      </c>
      <c r="BC121" s="260"/>
      <c r="BD121" s="260"/>
      <c r="BE121" s="164">
        <v>0.15999999828636646</v>
      </c>
    </row>
    <row r="122">
      <c r="A122" s="6" t="s">
        <v>111</v>
      </c>
      <c r="B122" s="183" t="s">
        <v>117</v>
      </c>
      <c r="C122" s="184" t="s">
        <v>432</v>
      </c>
      <c r="D122" s="75" t="s">
        <v>433</v>
      </c>
      <c r="E122" s="256">
        <v>45444.0</v>
      </c>
      <c r="F122" s="75" t="s">
        <v>1044</v>
      </c>
      <c r="G122" s="186">
        <v>1374117.0</v>
      </c>
      <c r="H122" s="190">
        <v>27000.0</v>
      </c>
      <c r="I122" s="190">
        <v>1000000.0</v>
      </c>
      <c r="J122" s="186">
        <v>0.0</v>
      </c>
      <c r="K122" s="186">
        <v>4000000.0</v>
      </c>
      <c r="L122" s="186">
        <v>560081.52</v>
      </c>
      <c r="M122" s="186">
        <v>0.0</v>
      </c>
      <c r="N122" s="186">
        <v>544771.0</v>
      </c>
      <c r="O122" s="187">
        <v>0.14002038</v>
      </c>
      <c r="P122" s="187">
        <v>0.0</v>
      </c>
      <c r="Q122" s="187">
        <v>0.13619275</v>
      </c>
      <c r="R122" s="188">
        <v>27.0</v>
      </c>
      <c r="S122" s="188">
        <v>24.0</v>
      </c>
      <c r="T122" s="188">
        <v>0.0</v>
      </c>
      <c r="U122" s="188">
        <v>0.0</v>
      </c>
      <c r="V122" s="188">
        <v>27.0</v>
      </c>
      <c r="W122" s="188">
        <v>3.0</v>
      </c>
      <c r="X122" s="189">
        <v>560081.52</v>
      </c>
      <c r="Y122" s="189">
        <v>0.0</v>
      </c>
      <c r="Z122" s="188">
        <v>11.0</v>
      </c>
      <c r="AA122" s="188">
        <v>0.0</v>
      </c>
      <c r="AB122" s="188">
        <v>11.0</v>
      </c>
      <c r="AC122" s="188">
        <v>0.0</v>
      </c>
      <c r="AD122" s="188">
        <v>38.0</v>
      </c>
      <c r="AE122" s="188">
        <v>38.0</v>
      </c>
      <c r="AF122" s="188">
        <v>132.0</v>
      </c>
      <c r="AG122" s="188">
        <v>2.0</v>
      </c>
      <c r="AH122" s="188">
        <v>5.0</v>
      </c>
      <c r="AI122" s="188">
        <v>0.0</v>
      </c>
      <c r="AJ122" s="188">
        <v>0.0</v>
      </c>
      <c r="AK122" s="188">
        <v>1.0</v>
      </c>
      <c r="AL122" s="188">
        <v>1.0</v>
      </c>
      <c r="AM122" s="188">
        <v>86.0</v>
      </c>
      <c r="AN122" s="188">
        <v>130.0</v>
      </c>
      <c r="AO122" s="188">
        <v>82.0</v>
      </c>
      <c r="AP122" s="186">
        <v>6830.262439024391</v>
      </c>
      <c r="AQ122" s="189">
        <v>1.048780487804878</v>
      </c>
      <c r="AR122" s="186">
        <v>94500.0</v>
      </c>
      <c r="AS122" s="186">
        <v>35750.0</v>
      </c>
      <c r="AT122" s="187">
        <v>0.23255543228778552</v>
      </c>
      <c r="AU122" s="186">
        <v>50916.50181818182</v>
      </c>
      <c r="AV122" s="219">
        <v>19.0</v>
      </c>
      <c r="AW122" s="219">
        <v>772.0</v>
      </c>
      <c r="AX122" s="257">
        <v>4636.96</v>
      </c>
      <c r="AY122" s="258">
        <v>193.0</v>
      </c>
      <c r="AZ122" s="258">
        <v>11.0</v>
      </c>
      <c r="BA122" s="258">
        <v>14.0</v>
      </c>
      <c r="BB122" s="258">
        <v>2.0</v>
      </c>
      <c r="BC122" s="260">
        <v>45853.0</v>
      </c>
      <c r="BD122" s="260"/>
      <c r="BE122" s="164">
        <v>0.19999999995343387</v>
      </c>
    </row>
    <row r="123">
      <c r="A123" s="6" t="s">
        <v>298</v>
      </c>
      <c r="B123" s="183" t="s">
        <v>301</v>
      </c>
      <c r="C123" s="184" t="s">
        <v>311</v>
      </c>
      <c r="D123" s="75" t="s">
        <v>303</v>
      </c>
      <c r="E123" s="256">
        <v>45446.0</v>
      </c>
      <c r="F123" s="75" t="s">
        <v>1066</v>
      </c>
      <c r="G123" s="186">
        <v>2169373.0</v>
      </c>
      <c r="H123" s="190">
        <v>39837.0</v>
      </c>
      <c r="I123" s="190">
        <v>1200000.0</v>
      </c>
      <c r="J123" s="186">
        <v>0.0</v>
      </c>
      <c r="K123" s="186">
        <v>7200000.0</v>
      </c>
      <c r="L123" s="186">
        <v>5301578.73</v>
      </c>
      <c r="M123" s="186">
        <v>0.0</v>
      </c>
      <c r="N123" s="186">
        <v>5301581.0</v>
      </c>
      <c r="O123" s="187">
        <v>0.7363303791666668</v>
      </c>
      <c r="P123" s="187">
        <v>0.0</v>
      </c>
      <c r="Q123" s="187">
        <v>0.7363306944444444</v>
      </c>
      <c r="R123" s="188">
        <v>29.0</v>
      </c>
      <c r="S123" s="188">
        <v>43.0</v>
      </c>
      <c r="T123" s="188">
        <v>16.0</v>
      </c>
      <c r="U123" s="188">
        <v>16.0</v>
      </c>
      <c r="V123" s="188">
        <v>45.0</v>
      </c>
      <c r="W123" s="188">
        <v>2.0</v>
      </c>
      <c r="X123" s="189">
        <v>1566081.32</v>
      </c>
      <c r="Y123" s="189">
        <v>3735497.41</v>
      </c>
      <c r="Z123" s="188">
        <v>16.0</v>
      </c>
      <c r="AA123" s="188">
        <v>16.0</v>
      </c>
      <c r="AB123" s="188">
        <v>32.0</v>
      </c>
      <c r="AC123" s="188">
        <v>0.0</v>
      </c>
      <c r="AD123" s="188">
        <v>107.0</v>
      </c>
      <c r="AE123" s="188">
        <v>194.0</v>
      </c>
      <c r="AF123" s="188">
        <v>114.0</v>
      </c>
      <c r="AG123" s="188">
        <v>6.0</v>
      </c>
      <c r="AH123" s="188">
        <v>114.0</v>
      </c>
      <c r="AI123" s="188">
        <v>0.0</v>
      </c>
      <c r="AJ123" s="188">
        <v>0.0</v>
      </c>
      <c r="AK123" s="188">
        <v>1.0</v>
      </c>
      <c r="AL123" s="188">
        <v>1.0</v>
      </c>
      <c r="AM123" s="188">
        <v>266.0</v>
      </c>
      <c r="AN123" s="188">
        <v>575.0</v>
      </c>
      <c r="AO123" s="188">
        <v>151.0</v>
      </c>
      <c r="AP123" s="186">
        <v>35109.79291390729</v>
      </c>
      <c r="AQ123" s="189">
        <v>1.7615894039735098</v>
      </c>
      <c r="AR123" s="186">
        <v>239022.0</v>
      </c>
      <c r="AS123" s="186">
        <v>25312.0</v>
      </c>
      <c r="AT123" s="187">
        <v>0.04985948779826947</v>
      </c>
      <c r="AU123" s="186">
        <v>165674.3353125</v>
      </c>
      <c r="AV123" s="219">
        <v>140.0</v>
      </c>
      <c r="AW123" s="219">
        <v>1525.0</v>
      </c>
      <c r="AX123" s="257">
        <v>6443.99</v>
      </c>
      <c r="AY123" s="258">
        <v>150.0</v>
      </c>
      <c r="AZ123" s="258">
        <v>32.0</v>
      </c>
      <c r="BA123" s="258">
        <v>11.0</v>
      </c>
      <c r="BB123" s="258">
        <v>2.0</v>
      </c>
      <c r="BC123" s="260"/>
      <c r="BD123" s="260"/>
      <c r="BE123" s="164">
        <v>0.07999999821186066</v>
      </c>
    </row>
    <row r="124">
      <c r="A124" s="6" t="s">
        <v>111</v>
      </c>
      <c r="B124" s="183" t="s">
        <v>1228</v>
      </c>
      <c r="C124" s="184" t="s">
        <v>122</v>
      </c>
      <c r="D124" s="75" t="s">
        <v>123</v>
      </c>
      <c r="E124" s="256">
        <v>45453.0</v>
      </c>
      <c r="F124" s="75" t="s">
        <v>1051</v>
      </c>
      <c r="G124" s="186">
        <v>6342486.850000001</v>
      </c>
      <c r="H124" s="190">
        <v>36925.0</v>
      </c>
      <c r="I124" s="190">
        <v>1200000.0</v>
      </c>
      <c r="J124" s="186">
        <v>0.0</v>
      </c>
      <c r="K124" s="186">
        <v>7200000.0</v>
      </c>
      <c r="L124" s="186">
        <v>5146123.36</v>
      </c>
      <c r="M124" s="186">
        <v>0.0</v>
      </c>
      <c r="N124" s="186">
        <v>3829121.19</v>
      </c>
      <c r="O124" s="187">
        <v>0.7147393555555556</v>
      </c>
      <c r="P124" s="187">
        <v>0.0</v>
      </c>
      <c r="Q124" s="187">
        <v>0.5318223875</v>
      </c>
      <c r="R124" s="188">
        <v>112.0</v>
      </c>
      <c r="S124" s="188">
        <v>132.0</v>
      </c>
      <c r="T124" s="188">
        <v>23.0</v>
      </c>
      <c r="U124" s="188">
        <v>23.0</v>
      </c>
      <c r="V124" s="188">
        <v>135.0</v>
      </c>
      <c r="W124" s="188">
        <v>3.0</v>
      </c>
      <c r="X124" s="189">
        <v>4712406.56</v>
      </c>
      <c r="Y124" s="189">
        <v>433716.8</v>
      </c>
      <c r="Z124" s="188">
        <v>71.0</v>
      </c>
      <c r="AA124" s="188">
        <v>23.0</v>
      </c>
      <c r="AB124" s="188">
        <v>94.0</v>
      </c>
      <c r="AC124" s="188">
        <v>0.0</v>
      </c>
      <c r="AD124" s="188">
        <v>58.0</v>
      </c>
      <c r="AE124" s="188">
        <v>121.0</v>
      </c>
      <c r="AF124" s="188">
        <v>149.0</v>
      </c>
      <c r="AG124" s="188">
        <v>0.0</v>
      </c>
      <c r="AH124" s="188">
        <v>0.0</v>
      </c>
      <c r="AI124" s="188">
        <v>0.0</v>
      </c>
      <c r="AJ124" s="188">
        <v>0.0</v>
      </c>
      <c r="AK124" s="188">
        <v>0.0</v>
      </c>
      <c r="AL124" s="188">
        <v>0.0</v>
      </c>
      <c r="AM124" s="188">
        <v>839.0</v>
      </c>
      <c r="AN124" s="188">
        <v>960.0</v>
      </c>
      <c r="AO124" s="188">
        <v>130.0</v>
      </c>
      <c r="AP124" s="186">
        <v>39585.56430769231</v>
      </c>
      <c r="AQ124" s="189">
        <v>6.453846153846154</v>
      </c>
      <c r="AR124" s="186">
        <v>221550.0</v>
      </c>
      <c r="AS124" s="186">
        <v>54724.0</v>
      </c>
      <c r="AT124" s="187">
        <v>0.053685848681248864</v>
      </c>
      <c r="AU124" s="186">
        <v>54745.99319148937</v>
      </c>
      <c r="AV124" s="219">
        <v>267.0</v>
      </c>
      <c r="AW124" s="219">
        <v>1590.0</v>
      </c>
      <c r="AX124" s="257">
        <v>18449.01</v>
      </c>
      <c r="AY124" s="258">
        <v>140.0</v>
      </c>
      <c r="AZ124" s="258">
        <v>94.0</v>
      </c>
      <c r="BA124" s="258">
        <v>40.0</v>
      </c>
      <c r="BB124" s="258">
        <v>1.0</v>
      </c>
      <c r="BC124" s="260"/>
      <c r="BD124" s="260"/>
      <c r="BE124" s="164">
        <v>-0.31000000052154064</v>
      </c>
    </row>
    <row r="125">
      <c r="A125" s="6" t="s">
        <v>185</v>
      </c>
      <c r="B125" s="183" t="s">
        <v>189</v>
      </c>
      <c r="C125" s="184" t="s">
        <v>271</v>
      </c>
      <c r="D125" s="75" t="s">
        <v>272</v>
      </c>
      <c r="E125" s="256">
        <v>45460.0</v>
      </c>
      <c r="F125" s="75" t="s">
        <v>1016</v>
      </c>
      <c r="G125" s="186">
        <v>6346376.0</v>
      </c>
      <c r="H125" s="190">
        <v>29900.0</v>
      </c>
      <c r="I125" s="190">
        <v>1500000.0</v>
      </c>
      <c r="J125" s="186">
        <v>0.0</v>
      </c>
      <c r="K125" s="186">
        <v>9000000.0</v>
      </c>
      <c r="L125" s="186">
        <v>8649965.03</v>
      </c>
      <c r="M125" s="186">
        <v>0.0</v>
      </c>
      <c r="N125" s="186">
        <v>7720219.0</v>
      </c>
      <c r="O125" s="187">
        <v>0.9611072255555555</v>
      </c>
      <c r="P125" s="187">
        <v>0.0</v>
      </c>
      <c r="Q125" s="187">
        <v>0.8578021111111112</v>
      </c>
      <c r="R125" s="188">
        <v>62.0</v>
      </c>
      <c r="S125" s="188">
        <v>67.0</v>
      </c>
      <c r="T125" s="188">
        <v>11.0</v>
      </c>
      <c r="U125" s="188">
        <v>11.0</v>
      </c>
      <c r="V125" s="188">
        <v>73.0</v>
      </c>
      <c r="W125" s="188">
        <v>6.0</v>
      </c>
      <c r="X125" s="189">
        <v>6196930.49</v>
      </c>
      <c r="Y125" s="189">
        <v>2453034.54</v>
      </c>
      <c r="Z125" s="188">
        <v>34.0</v>
      </c>
      <c r="AA125" s="188">
        <v>11.0</v>
      </c>
      <c r="AB125" s="188">
        <v>45.0</v>
      </c>
      <c r="AC125" s="188">
        <v>0.0</v>
      </c>
      <c r="AD125" s="188">
        <v>15.0</v>
      </c>
      <c r="AE125" s="188">
        <v>19.0</v>
      </c>
      <c r="AF125" s="188">
        <v>55.0</v>
      </c>
      <c r="AG125" s="188">
        <v>2.0</v>
      </c>
      <c r="AH125" s="188">
        <v>7.0</v>
      </c>
      <c r="AI125" s="188">
        <v>0.0</v>
      </c>
      <c r="AJ125" s="188">
        <v>0.0</v>
      </c>
      <c r="AK125" s="188">
        <v>0.0</v>
      </c>
      <c r="AL125" s="188">
        <v>0.0</v>
      </c>
      <c r="AM125" s="188">
        <v>590.0</v>
      </c>
      <c r="AN125" s="188">
        <v>616.0</v>
      </c>
      <c r="AO125" s="188">
        <v>156.0</v>
      </c>
      <c r="AP125" s="186">
        <v>55448.49378205128</v>
      </c>
      <c r="AQ125" s="189">
        <v>3.782051282051282</v>
      </c>
      <c r="AR125" s="186">
        <v>179400.0</v>
      </c>
      <c r="AS125" s="186">
        <v>42041.0</v>
      </c>
      <c r="AT125" s="187">
        <v>0.025600219102851103</v>
      </c>
      <c r="AU125" s="186">
        <v>192221.4451111111</v>
      </c>
      <c r="AV125" s="219">
        <v>146.0</v>
      </c>
      <c r="AW125" s="219">
        <v>1746.0</v>
      </c>
      <c r="AX125" s="257">
        <v>9665.99</v>
      </c>
      <c r="AY125" s="258">
        <v>144.0</v>
      </c>
      <c r="AZ125" s="258">
        <v>45.0</v>
      </c>
      <c r="BA125" s="258">
        <v>22.0</v>
      </c>
      <c r="BB125" s="258">
        <v>6.0</v>
      </c>
      <c r="BC125" s="260"/>
      <c r="BD125" s="260"/>
      <c r="BE125" s="164">
        <v>1.0299999993294477</v>
      </c>
    </row>
    <row r="126">
      <c r="A126" s="6" t="s">
        <v>111</v>
      </c>
      <c r="B126" s="183" t="s">
        <v>117</v>
      </c>
      <c r="C126" s="184" t="s">
        <v>430</v>
      </c>
      <c r="D126" s="75" t="s">
        <v>1097</v>
      </c>
      <c r="E126" s="256">
        <v>45462.0</v>
      </c>
      <c r="F126" s="75" t="s">
        <v>1044</v>
      </c>
      <c r="G126" s="186">
        <v>1888089.46</v>
      </c>
      <c r="H126" s="190">
        <v>24116.0</v>
      </c>
      <c r="I126" s="190">
        <v>1200000.0</v>
      </c>
      <c r="J126" s="186">
        <v>0.0</v>
      </c>
      <c r="K126" s="186">
        <v>3600000.0</v>
      </c>
      <c r="L126" s="186">
        <v>812156.53</v>
      </c>
      <c r="M126" s="186">
        <v>0.0</v>
      </c>
      <c r="N126" s="186">
        <v>207270.0</v>
      </c>
      <c r="O126" s="187">
        <v>0.22559903611111112</v>
      </c>
      <c r="P126" s="187">
        <v>0.0</v>
      </c>
      <c r="Q126" s="187">
        <v>0.057575</v>
      </c>
      <c r="R126" s="188">
        <v>48.0</v>
      </c>
      <c r="S126" s="188">
        <v>47.0</v>
      </c>
      <c r="T126" s="188">
        <v>0.0</v>
      </c>
      <c r="U126" s="188">
        <v>0.0</v>
      </c>
      <c r="V126" s="188">
        <v>48.0</v>
      </c>
      <c r="W126" s="188">
        <v>1.0</v>
      </c>
      <c r="X126" s="189">
        <v>812156.53</v>
      </c>
      <c r="Y126" s="189">
        <v>0.0</v>
      </c>
      <c r="Z126" s="188">
        <v>20.0</v>
      </c>
      <c r="AA126" s="188">
        <v>0.0</v>
      </c>
      <c r="AB126" s="188">
        <v>20.0</v>
      </c>
      <c r="AC126" s="188">
        <v>0.0</v>
      </c>
      <c r="AD126" s="188">
        <v>14.0</v>
      </c>
      <c r="AE126" s="188">
        <v>24.0</v>
      </c>
      <c r="AF126" s="188">
        <v>56.0</v>
      </c>
      <c r="AG126" s="188">
        <v>1.0</v>
      </c>
      <c r="AH126" s="188">
        <v>48.0</v>
      </c>
      <c r="AI126" s="188">
        <v>0.0</v>
      </c>
      <c r="AJ126" s="188">
        <v>0.0</v>
      </c>
      <c r="AK126" s="188">
        <v>0.0</v>
      </c>
      <c r="AL126" s="188">
        <v>0.0</v>
      </c>
      <c r="AM126" s="188">
        <v>228.0</v>
      </c>
      <c r="AN126" s="188">
        <v>300.0</v>
      </c>
      <c r="AO126" s="188">
        <v>61.0</v>
      </c>
      <c r="AP126" s="186">
        <v>13314.041475409836</v>
      </c>
      <c r="AQ126" s="189">
        <v>3.737704918032787</v>
      </c>
      <c r="AR126" s="186">
        <v>72348.0</v>
      </c>
      <c r="AS126" s="186">
        <v>27895.0</v>
      </c>
      <c r="AT126" s="187">
        <v>0.12342817707813049</v>
      </c>
      <c r="AU126" s="186">
        <v>40607.8265</v>
      </c>
      <c r="AV126" s="219">
        <v>38.0</v>
      </c>
      <c r="AW126" s="219">
        <v>493.0</v>
      </c>
      <c r="AX126" s="257">
        <v>4640.3</v>
      </c>
      <c r="AY126" s="258">
        <v>99.0</v>
      </c>
      <c r="AZ126" s="258">
        <v>20.0</v>
      </c>
      <c r="BA126" s="258">
        <v>27.0</v>
      </c>
      <c r="BB126" s="258">
        <v>1.0</v>
      </c>
      <c r="BC126" s="260">
        <v>45838.0</v>
      </c>
      <c r="BD126" s="260"/>
      <c r="BE126" s="164">
        <v>0.07999999995809048</v>
      </c>
    </row>
    <row r="127">
      <c r="A127" s="6" t="s">
        <v>53</v>
      </c>
      <c r="B127" s="183" t="s">
        <v>56</v>
      </c>
      <c r="C127" s="184" t="s">
        <v>831</v>
      </c>
      <c r="D127" s="75" t="s">
        <v>71</v>
      </c>
      <c r="E127" s="256">
        <v>45464.0</v>
      </c>
      <c r="F127" s="75" t="s">
        <v>1092</v>
      </c>
      <c r="G127" s="186">
        <v>698221.0</v>
      </c>
      <c r="H127" s="190">
        <v>38285.0</v>
      </c>
      <c r="I127" s="190">
        <v>1500000.0</v>
      </c>
      <c r="J127" s="186">
        <v>0.0</v>
      </c>
      <c r="K127" s="186">
        <v>4500000.0</v>
      </c>
      <c r="L127" s="186">
        <v>462446.74</v>
      </c>
      <c r="M127" s="186">
        <v>0.0</v>
      </c>
      <c r="N127" s="186"/>
      <c r="O127" s="187">
        <v>0.10276594222222223</v>
      </c>
      <c r="P127" s="187">
        <v>0.0</v>
      </c>
      <c r="Q127" s="187">
        <v>0.0</v>
      </c>
      <c r="R127" s="188">
        <v>31.0</v>
      </c>
      <c r="S127" s="188">
        <v>24.0</v>
      </c>
      <c r="T127" s="188">
        <v>3.0</v>
      </c>
      <c r="U127" s="188">
        <v>3.0</v>
      </c>
      <c r="V127" s="188">
        <v>34.0</v>
      </c>
      <c r="W127" s="188">
        <v>10.0</v>
      </c>
      <c r="X127" s="189">
        <v>290652.74</v>
      </c>
      <c r="Y127" s="189">
        <v>171794.0</v>
      </c>
      <c r="Z127" s="188">
        <v>5.0</v>
      </c>
      <c r="AA127" s="188">
        <v>3.0</v>
      </c>
      <c r="AB127" s="188">
        <v>8.0</v>
      </c>
      <c r="AC127" s="188">
        <v>0.0</v>
      </c>
      <c r="AD127" s="188">
        <v>94.0</v>
      </c>
      <c r="AE127" s="188">
        <v>145.0</v>
      </c>
      <c r="AF127" s="188">
        <v>308.0</v>
      </c>
      <c r="AG127" s="188">
        <v>4.0</v>
      </c>
      <c r="AH127" s="188">
        <v>23.0</v>
      </c>
      <c r="AI127" s="188">
        <v>0.0</v>
      </c>
      <c r="AJ127" s="188">
        <v>0.0</v>
      </c>
      <c r="AK127" s="188">
        <v>2.0</v>
      </c>
      <c r="AL127" s="188">
        <v>4.0</v>
      </c>
      <c r="AM127" s="188">
        <v>209.0</v>
      </c>
      <c r="AN127" s="188">
        <v>381.0</v>
      </c>
      <c r="AO127" s="188">
        <v>75.0</v>
      </c>
      <c r="AP127" s="186">
        <v>6165.956533333333</v>
      </c>
      <c r="AQ127" s="189">
        <v>2.7866666666666666</v>
      </c>
      <c r="AR127" s="186">
        <v>114855.0</v>
      </c>
      <c r="AS127" s="186">
        <v>27335.0</v>
      </c>
      <c r="AT127" s="187">
        <v>0.30747324545957444</v>
      </c>
      <c r="AU127" s="186">
        <v>57805.8425</v>
      </c>
      <c r="AV127" s="219">
        <v>15.0</v>
      </c>
      <c r="AW127" s="219">
        <v>792.0</v>
      </c>
      <c r="AX127" s="257">
        <v>2047.74</v>
      </c>
      <c r="AY127" s="258">
        <v>85.0</v>
      </c>
      <c r="AZ127" s="258">
        <v>8.0</v>
      </c>
      <c r="BA127" s="258">
        <v>16.0</v>
      </c>
      <c r="BB127" s="258">
        <v>10.0</v>
      </c>
      <c r="BC127" s="260">
        <v>45838.0</v>
      </c>
      <c r="BD127" s="260"/>
      <c r="BE127" s="164" t="e">
        <v>#REF!</v>
      </c>
    </row>
    <row r="128">
      <c r="A128" s="6" t="s">
        <v>126</v>
      </c>
      <c r="B128" s="183" t="s">
        <v>140</v>
      </c>
      <c r="C128" s="184" t="s">
        <v>442</v>
      </c>
      <c r="D128" s="75" t="s">
        <v>443</v>
      </c>
      <c r="E128" s="256">
        <v>45467.0</v>
      </c>
      <c r="F128" s="75" t="s">
        <v>1061</v>
      </c>
      <c r="G128" s="186">
        <v>5519917.0</v>
      </c>
      <c r="H128" s="190">
        <v>27260.0</v>
      </c>
      <c r="I128" s="190">
        <v>1666667.0</v>
      </c>
      <c r="J128" s="186">
        <v>0.0</v>
      </c>
      <c r="K128" s="186">
        <v>1.0000002E7</v>
      </c>
      <c r="L128" s="186">
        <v>3116635.27</v>
      </c>
      <c r="M128" s="186">
        <v>0.0</v>
      </c>
      <c r="N128" s="186">
        <v>3080558.0</v>
      </c>
      <c r="O128" s="187">
        <v>0.31166346466730704</v>
      </c>
      <c r="P128" s="187">
        <v>0.0</v>
      </c>
      <c r="Q128" s="187">
        <v>0.3080557383888523</v>
      </c>
      <c r="R128" s="188">
        <v>46.0</v>
      </c>
      <c r="S128" s="188">
        <v>47.0</v>
      </c>
      <c r="T128" s="188">
        <v>2.0</v>
      </c>
      <c r="U128" s="188">
        <v>2.0</v>
      </c>
      <c r="V128" s="188">
        <v>48.0</v>
      </c>
      <c r="W128" s="188">
        <v>1.0</v>
      </c>
      <c r="X128" s="189">
        <v>2682522.3</v>
      </c>
      <c r="Y128" s="189">
        <v>434112.97</v>
      </c>
      <c r="Z128" s="188">
        <v>32.0</v>
      </c>
      <c r="AA128" s="188">
        <v>2.0</v>
      </c>
      <c r="AB128" s="188">
        <v>34.0</v>
      </c>
      <c r="AC128" s="188">
        <v>0.0</v>
      </c>
      <c r="AD128" s="188">
        <v>8.0</v>
      </c>
      <c r="AE128" s="188">
        <v>13.0</v>
      </c>
      <c r="AF128" s="188">
        <v>11.0</v>
      </c>
      <c r="AG128" s="188">
        <v>2.0</v>
      </c>
      <c r="AH128" s="188">
        <v>19.0</v>
      </c>
      <c r="AI128" s="188">
        <v>0.0</v>
      </c>
      <c r="AJ128" s="188">
        <v>0.0</v>
      </c>
      <c r="AK128" s="188">
        <v>0.0</v>
      </c>
      <c r="AL128" s="188">
        <v>0.0</v>
      </c>
      <c r="AM128" s="188">
        <v>435.0</v>
      </c>
      <c r="AN128" s="188">
        <v>467.0</v>
      </c>
      <c r="AO128" s="188">
        <v>142.0</v>
      </c>
      <c r="AP128" s="186">
        <v>21948.13570422535</v>
      </c>
      <c r="AQ128" s="189">
        <v>3.063380281690141</v>
      </c>
      <c r="AR128" s="186">
        <v>163560.0</v>
      </c>
      <c r="AS128" s="186">
        <v>34383.0</v>
      </c>
      <c r="AT128" s="187">
        <v>0.06351176279924471</v>
      </c>
      <c r="AU128" s="186">
        <v>91665.74323529413</v>
      </c>
      <c r="AV128" s="219">
        <v>75.0</v>
      </c>
      <c r="AW128" s="219">
        <v>1295.0</v>
      </c>
      <c r="AX128" s="257">
        <v>6394.31</v>
      </c>
      <c r="AY128" s="258">
        <v>136.0</v>
      </c>
      <c r="AZ128" s="258">
        <v>34.0</v>
      </c>
      <c r="BA128" s="258">
        <v>14.0</v>
      </c>
      <c r="BB128" s="258">
        <v>0.0</v>
      </c>
      <c r="BC128" s="260"/>
      <c r="BD128" s="260"/>
      <c r="BE128" s="164">
        <v>-0.38458007806912065</v>
      </c>
    </row>
    <row r="129">
      <c r="A129" s="6" t="s">
        <v>97</v>
      </c>
      <c r="B129" s="183" t="s">
        <v>101</v>
      </c>
      <c r="C129" s="184" t="s">
        <v>346</v>
      </c>
      <c r="D129" s="75" t="s">
        <v>347</v>
      </c>
      <c r="E129" s="256">
        <v>45474.0</v>
      </c>
      <c r="F129" s="75" t="s">
        <v>1062</v>
      </c>
      <c r="G129" s="186">
        <v>1.386868072E7</v>
      </c>
      <c r="H129" s="190">
        <v>36000.0</v>
      </c>
      <c r="I129" s="190">
        <v>1375000.0</v>
      </c>
      <c r="J129" s="186">
        <v>0.0</v>
      </c>
      <c r="K129" s="186">
        <v>7590000.0</v>
      </c>
      <c r="L129" s="186">
        <v>4119947.2</v>
      </c>
      <c r="M129" s="186">
        <v>0.0</v>
      </c>
      <c r="N129" s="186">
        <v>0.0</v>
      </c>
      <c r="O129" s="187">
        <v>0.5428125428194993</v>
      </c>
      <c r="P129" s="187">
        <v>0.0</v>
      </c>
      <c r="Q129" s="187">
        <v>0.0</v>
      </c>
      <c r="R129" s="188">
        <v>81.0</v>
      </c>
      <c r="S129" s="188">
        <v>64.0</v>
      </c>
      <c r="T129" s="188">
        <v>0.0</v>
      </c>
      <c r="U129" s="188">
        <v>0.0</v>
      </c>
      <c r="V129" s="188">
        <v>81.0</v>
      </c>
      <c r="W129" s="188">
        <v>17.0</v>
      </c>
      <c r="X129" s="189">
        <v>4119947.2</v>
      </c>
      <c r="Y129" s="189">
        <v>0.0</v>
      </c>
      <c r="Z129" s="188">
        <v>33.0</v>
      </c>
      <c r="AA129" s="188">
        <v>0.0</v>
      </c>
      <c r="AB129" s="188">
        <v>33.0</v>
      </c>
      <c r="AC129" s="188">
        <v>0.0</v>
      </c>
      <c r="AD129" s="188">
        <v>4.0</v>
      </c>
      <c r="AE129" s="188">
        <v>4.0</v>
      </c>
      <c r="AF129" s="188">
        <v>20.0</v>
      </c>
      <c r="AG129" s="188">
        <v>3.0</v>
      </c>
      <c r="AH129" s="188">
        <v>10.0</v>
      </c>
      <c r="AI129" s="188">
        <v>0.0</v>
      </c>
      <c r="AJ129" s="188">
        <v>0.0</v>
      </c>
      <c r="AK129" s="188">
        <v>0.0</v>
      </c>
      <c r="AL129" s="188">
        <v>0.0</v>
      </c>
      <c r="AM129" s="188">
        <v>673.0</v>
      </c>
      <c r="AN129" s="188">
        <v>687.0</v>
      </c>
      <c r="AO129" s="188">
        <v>114.0</v>
      </c>
      <c r="AP129" s="186">
        <v>36139.88771929825</v>
      </c>
      <c r="AQ129" s="189">
        <v>5.9035087719298245</v>
      </c>
      <c r="AR129" s="186">
        <v>216000.0</v>
      </c>
      <c r="AS129" s="186"/>
      <c r="AT129" s="187">
        <v>0.05242785635699409</v>
      </c>
      <c r="AU129" s="186">
        <v>124846.88484848486</v>
      </c>
      <c r="AV129" s="219">
        <v>114.0</v>
      </c>
      <c r="AW129" s="219">
        <v>956.0</v>
      </c>
      <c r="AX129" s="257">
        <v>6658.46</v>
      </c>
      <c r="AY129" s="258">
        <v>104.0</v>
      </c>
      <c r="AZ129" s="258">
        <v>33.0</v>
      </c>
      <c r="BA129" s="258">
        <v>31.0</v>
      </c>
      <c r="BB129" s="258">
        <v>17.0</v>
      </c>
      <c r="BC129" s="260"/>
      <c r="BD129" s="260"/>
      <c r="BE129" s="164">
        <v>-0.40000000037252903</v>
      </c>
    </row>
    <row r="130">
      <c r="A130" s="6" t="s">
        <v>185</v>
      </c>
      <c r="B130" s="183" t="s">
        <v>85</v>
      </c>
      <c r="C130" s="184" t="s">
        <v>832</v>
      </c>
      <c r="D130" s="75" t="s">
        <v>393</v>
      </c>
      <c r="E130" s="256">
        <v>45474.0</v>
      </c>
      <c r="F130" s="75" t="s">
        <v>1058</v>
      </c>
      <c r="G130" s="186">
        <v>0.0</v>
      </c>
      <c r="H130" s="190">
        <v>35645.0</v>
      </c>
      <c r="I130" s="190">
        <v>1250000.0</v>
      </c>
      <c r="J130" s="186">
        <v>0.0</v>
      </c>
      <c r="K130" s="186">
        <v>6250000.0</v>
      </c>
      <c r="L130" s="186">
        <v>546972.11</v>
      </c>
      <c r="M130" s="186">
        <v>0.0</v>
      </c>
      <c r="N130" s="186">
        <v>561658.0</v>
      </c>
      <c r="O130" s="187">
        <v>0.0875155376</v>
      </c>
      <c r="P130" s="187">
        <v>0.0</v>
      </c>
      <c r="Q130" s="187">
        <v>0.08986528</v>
      </c>
      <c r="R130" s="188">
        <v>20.0</v>
      </c>
      <c r="S130" s="188">
        <v>9.0</v>
      </c>
      <c r="T130" s="188">
        <v>1.0</v>
      </c>
      <c r="U130" s="188">
        <v>1.0</v>
      </c>
      <c r="V130" s="188">
        <v>21.0</v>
      </c>
      <c r="W130" s="188">
        <v>12.0</v>
      </c>
      <c r="X130" s="189">
        <v>0.0</v>
      </c>
      <c r="Y130" s="189">
        <v>546972.11</v>
      </c>
      <c r="Z130" s="188">
        <v>0.0</v>
      </c>
      <c r="AA130" s="188">
        <v>1.0</v>
      </c>
      <c r="AB130" s="188">
        <v>1.0</v>
      </c>
      <c r="AC130" s="188">
        <v>0.0</v>
      </c>
      <c r="AD130" s="188">
        <v>340.0</v>
      </c>
      <c r="AE130" s="188">
        <v>514.0</v>
      </c>
      <c r="AF130" s="188">
        <v>192.0</v>
      </c>
      <c r="AG130" s="188">
        <v>2.0</v>
      </c>
      <c r="AH130" s="188">
        <v>2.0</v>
      </c>
      <c r="AI130" s="188">
        <v>1.0</v>
      </c>
      <c r="AJ130" s="188">
        <v>1.0</v>
      </c>
      <c r="AK130" s="188">
        <v>2.0</v>
      </c>
      <c r="AL130" s="188">
        <v>2.0</v>
      </c>
      <c r="AM130" s="188">
        <v>19.0</v>
      </c>
      <c r="AN130" s="188">
        <v>538.0</v>
      </c>
      <c r="AO130" s="188">
        <v>94.0</v>
      </c>
      <c r="AP130" s="186">
        <v>5818.852234042553</v>
      </c>
      <c r="AQ130" s="189">
        <v>0.20212765957446807</v>
      </c>
      <c r="AR130" s="186">
        <v>151491.25</v>
      </c>
      <c r="AS130" s="186">
        <v>61119.0</v>
      </c>
      <c r="AT130" s="187">
        <v>0.38870400540166483</v>
      </c>
      <c r="AU130" s="186">
        <v>546972.11</v>
      </c>
      <c r="AV130" s="219">
        <v>4.0</v>
      </c>
      <c r="AW130" s="219">
        <v>978.0</v>
      </c>
      <c r="AX130" s="257">
        <v>7568.51</v>
      </c>
      <c r="AY130" s="258">
        <v>841.0</v>
      </c>
      <c r="AZ130" s="258">
        <v>1.0</v>
      </c>
      <c r="BA130" s="258">
        <v>9.0</v>
      </c>
      <c r="BB130" s="258">
        <v>11.0</v>
      </c>
      <c r="BC130" s="260">
        <v>45877.0</v>
      </c>
      <c r="BD130" s="260"/>
      <c r="BE130" s="164">
        <v>-1.1099999999860302</v>
      </c>
    </row>
    <row r="131">
      <c r="A131" s="6" t="s">
        <v>126</v>
      </c>
      <c r="B131" s="183" t="s">
        <v>130</v>
      </c>
      <c r="C131" s="184" t="s">
        <v>165</v>
      </c>
      <c r="D131" s="75" t="s">
        <v>166</v>
      </c>
      <c r="E131" s="256">
        <v>45482.0</v>
      </c>
      <c r="F131" s="75" t="s">
        <v>130</v>
      </c>
      <c r="G131" s="186">
        <v>5199880.0</v>
      </c>
      <c r="H131" s="190">
        <v>28940.0</v>
      </c>
      <c r="I131" s="190">
        <v>1583333.0</v>
      </c>
      <c r="J131" s="186">
        <v>0.0</v>
      </c>
      <c r="K131" s="186">
        <v>9499998.0</v>
      </c>
      <c r="L131" s="186">
        <v>6517491.88</v>
      </c>
      <c r="M131" s="186">
        <v>0.0</v>
      </c>
      <c r="N131" s="186">
        <v>6190985.0</v>
      </c>
      <c r="O131" s="187">
        <v>0.6860519212740886</v>
      </c>
      <c r="P131" s="187">
        <v>0.0</v>
      </c>
      <c r="Q131" s="187">
        <v>0.6516827687753197</v>
      </c>
      <c r="R131" s="188">
        <v>55.0</v>
      </c>
      <c r="S131" s="188">
        <v>65.0</v>
      </c>
      <c r="T131" s="188">
        <v>14.0</v>
      </c>
      <c r="U131" s="188">
        <v>14.0</v>
      </c>
      <c r="V131" s="188">
        <v>69.0</v>
      </c>
      <c r="W131" s="188">
        <v>4.0</v>
      </c>
      <c r="X131" s="189">
        <v>3650816.75</v>
      </c>
      <c r="Y131" s="189">
        <v>2866675.13</v>
      </c>
      <c r="Z131" s="188">
        <v>34.0</v>
      </c>
      <c r="AA131" s="188">
        <v>14.0</v>
      </c>
      <c r="AB131" s="188">
        <v>48.0</v>
      </c>
      <c r="AC131" s="188">
        <v>0.0</v>
      </c>
      <c r="AD131" s="188">
        <v>90.0</v>
      </c>
      <c r="AE131" s="188">
        <v>128.0</v>
      </c>
      <c r="AF131" s="188">
        <v>166.0</v>
      </c>
      <c r="AG131" s="188">
        <v>1.0</v>
      </c>
      <c r="AH131" s="188">
        <v>49.0</v>
      </c>
      <c r="AI131" s="188">
        <v>0.0</v>
      </c>
      <c r="AJ131" s="188">
        <v>0.0</v>
      </c>
      <c r="AK131" s="188">
        <v>0.0</v>
      </c>
      <c r="AL131" s="188">
        <v>0.0</v>
      </c>
      <c r="AM131" s="188">
        <v>517.0</v>
      </c>
      <c r="AN131" s="188">
        <v>694.0</v>
      </c>
      <c r="AO131" s="188">
        <v>141.0</v>
      </c>
      <c r="AP131" s="186">
        <v>46223.346666666665</v>
      </c>
      <c r="AQ131" s="189">
        <v>3.6666666666666665</v>
      </c>
      <c r="AR131" s="186">
        <v>173640.0</v>
      </c>
      <c r="AS131" s="186">
        <v>32149.0</v>
      </c>
      <c r="AT131" s="187">
        <v>0.03157487631576458</v>
      </c>
      <c r="AU131" s="186">
        <v>135781.08083333334</v>
      </c>
      <c r="AV131" s="219">
        <v>189.0</v>
      </c>
      <c r="AW131" s="219">
        <v>1140.0</v>
      </c>
      <c r="AX131" s="257">
        <v>7620.43</v>
      </c>
      <c r="AY131" s="258">
        <v>117.0</v>
      </c>
      <c r="AZ131" s="258">
        <v>48.0</v>
      </c>
      <c r="BA131" s="258">
        <v>18.0</v>
      </c>
      <c r="BB131" s="258">
        <v>3.0</v>
      </c>
      <c r="BC131" s="260"/>
      <c r="BD131" s="260"/>
      <c r="BE131" s="164">
        <v>0.6200000001117587</v>
      </c>
    </row>
    <row r="132">
      <c r="A132" s="6" t="s">
        <v>298</v>
      </c>
      <c r="B132" s="183" t="s">
        <v>301</v>
      </c>
      <c r="C132" s="184" t="s">
        <v>312</v>
      </c>
      <c r="D132" s="75" t="s">
        <v>313</v>
      </c>
      <c r="E132" s="256">
        <v>45483.0</v>
      </c>
      <c r="F132" s="75" t="s">
        <v>1066</v>
      </c>
      <c r="G132" s="186">
        <v>2646944.0</v>
      </c>
      <c r="H132" s="190">
        <v>42475.0</v>
      </c>
      <c r="I132" s="190">
        <v>1000000.0</v>
      </c>
      <c r="J132" s="186">
        <v>0.0</v>
      </c>
      <c r="K132" s="186">
        <v>6000000.0</v>
      </c>
      <c r="L132" s="186">
        <v>2743244.56</v>
      </c>
      <c r="M132" s="186">
        <v>0.0</v>
      </c>
      <c r="N132" s="186">
        <v>2477550.0</v>
      </c>
      <c r="O132" s="187">
        <v>0.4572074266666667</v>
      </c>
      <c r="P132" s="187">
        <v>0.0</v>
      </c>
      <c r="Q132" s="187">
        <v>0.412925</v>
      </c>
      <c r="R132" s="188">
        <v>57.0</v>
      </c>
      <c r="S132" s="188">
        <v>68.0</v>
      </c>
      <c r="T132" s="188">
        <v>14.0</v>
      </c>
      <c r="U132" s="188">
        <v>13.0</v>
      </c>
      <c r="V132" s="188">
        <v>71.0</v>
      </c>
      <c r="W132" s="188">
        <v>3.0</v>
      </c>
      <c r="X132" s="189">
        <v>2664560.6</v>
      </c>
      <c r="Y132" s="189">
        <v>78683.96</v>
      </c>
      <c r="Z132" s="188">
        <v>49.0</v>
      </c>
      <c r="AA132" s="188">
        <v>13.0</v>
      </c>
      <c r="AB132" s="188">
        <v>62.0</v>
      </c>
      <c r="AC132" s="188">
        <v>0.0</v>
      </c>
      <c r="AD132" s="188">
        <v>115.0</v>
      </c>
      <c r="AE132" s="188">
        <v>199.0</v>
      </c>
      <c r="AF132" s="188">
        <v>78.0</v>
      </c>
      <c r="AG132" s="188">
        <v>2.0</v>
      </c>
      <c r="AH132" s="188">
        <v>67.0</v>
      </c>
      <c r="AI132" s="188">
        <v>0.0</v>
      </c>
      <c r="AJ132" s="188">
        <v>0.0</v>
      </c>
      <c r="AK132" s="188">
        <v>0.0</v>
      </c>
      <c r="AL132" s="188">
        <v>0.0</v>
      </c>
      <c r="AM132" s="188">
        <v>432.0</v>
      </c>
      <c r="AN132" s="188">
        <v>698.0</v>
      </c>
      <c r="AO132" s="188">
        <v>145.0</v>
      </c>
      <c r="AP132" s="186">
        <v>18918.928</v>
      </c>
      <c r="AQ132" s="189">
        <v>2.9793103448275864</v>
      </c>
      <c r="AR132" s="186">
        <v>254850.0</v>
      </c>
      <c r="AS132" s="186">
        <v>38660.0</v>
      </c>
      <c r="AT132" s="187">
        <v>0.10699374174645224</v>
      </c>
      <c r="AU132" s="186">
        <v>44245.88</v>
      </c>
      <c r="AV132" s="219">
        <v>207.0</v>
      </c>
      <c r="AW132" s="219">
        <v>1287.0</v>
      </c>
      <c r="AX132" s="257">
        <v>12614.63</v>
      </c>
      <c r="AY132" s="258">
        <v>186.0</v>
      </c>
      <c r="AZ132" s="258">
        <v>62.0</v>
      </c>
      <c r="BA132" s="258">
        <v>7.0</v>
      </c>
      <c r="BB132" s="258">
        <v>2.0</v>
      </c>
      <c r="BC132" s="260"/>
      <c r="BD132" s="260"/>
      <c r="BE132" s="164">
        <v>2089767.8199999998</v>
      </c>
    </row>
    <row r="133">
      <c r="A133" s="6" t="s">
        <v>53</v>
      </c>
      <c r="B133" s="183" t="s">
        <v>61</v>
      </c>
      <c r="C133" s="184" t="s">
        <v>373</v>
      </c>
      <c r="D133" s="75" t="s">
        <v>374</v>
      </c>
      <c r="E133" s="256">
        <v>45488.0</v>
      </c>
      <c r="F133" s="75" t="s">
        <v>1098</v>
      </c>
      <c r="G133" s="186">
        <v>442567.0</v>
      </c>
      <c r="H133" s="190">
        <v>32500.0</v>
      </c>
      <c r="I133" s="190">
        <v>1500000.0</v>
      </c>
      <c r="J133" s="186">
        <v>0.0</v>
      </c>
      <c r="K133" s="186">
        <v>7500000.0</v>
      </c>
      <c r="L133" s="186">
        <v>477497.81</v>
      </c>
      <c r="M133" s="186">
        <v>0.0</v>
      </c>
      <c r="N133" s="186">
        <v>0.0</v>
      </c>
      <c r="O133" s="187">
        <v>0.06366637466666666</v>
      </c>
      <c r="P133" s="187">
        <v>0.0</v>
      </c>
      <c r="Q133" s="187">
        <v>0.0</v>
      </c>
      <c r="R133" s="188">
        <v>92.0</v>
      </c>
      <c r="S133" s="188">
        <v>67.0</v>
      </c>
      <c r="T133" s="188">
        <v>8.0</v>
      </c>
      <c r="U133" s="188">
        <v>5.0</v>
      </c>
      <c r="V133" s="188">
        <v>100.0</v>
      </c>
      <c r="W133" s="188">
        <v>33.0</v>
      </c>
      <c r="X133" s="189">
        <v>399788.1</v>
      </c>
      <c r="Y133" s="189">
        <v>77709.71</v>
      </c>
      <c r="Z133" s="188">
        <v>17.0</v>
      </c>
      <c r="AA133" s="188">
        <v>5.0</v>
      </c>
      <c r="AB133" s="188">
        <v>22.0</v>
      </c>
      <c r="AC133" s="188">
        <v>0.0</v>
      </c>
      <c r="AD133" s="188">
        <v>225.0</v>
      </c>
      <c r="AE133" s="188">
        <v>380.0</v>
      </c>
      <c r="AF133" s="188">
        <v>433.0</v>
      </c>
      <c r="AG133" s="188">
        <v>7.0</v>
      </c>
      <c r="AH133" s="188">
        <v>38.0</v>
      </c>
      <c r="AI133" s="188">
        <v>0.0</v>
      </c>
      <c r="AJ133" s="188">
        <v>0.0</v>
      </c>
      <c r="AK133" s="188">
        <v>12.0</v>
      </c>
      <c r="AL133" s="188">
        <v>51.0</v>
      </c>
      <c r="AM133" s="188">
        <v>184.0</v>
      </c>
      <c r="AN133" s="188">
        <v>653.0</v>
      </c>
      <c r="AO133" s="188">
        <v>104.0</v>
      </c>
      <c r="AP133" s="186">
        <v>4591.325096153846</v>
      </c>
      <c r="AQ133" s="189">
        <v>1.7692307692307692</v>
      </c>
      <c r="AR133" s="186">
        <v>136175.0</v>
      </c>
      <c r="AS133" s="186">
        <v>28478.0</v>
      </c>
      <c r="AT133" s="187">
        <v>0.34482461814851045</v>
      </c>
      <c r="AU133" s="186">
        <v>21704.445909090908</v>
      </c>
      <c r="AV133" s="219">
        <v>36.0</v>
      </c>
      <c r="AW133" s="219">
        <v>1087.0</v>
      </c>
      <c r="AX133" s="257">
        <v>8462.67</v>
      </c>
      <c r="AY133" s="258">
        <v>126.0</v>
      </c>
      <c r="AZ133" s="258">
        <v>22.0</v>
      </c>
      <c r="BA133" s="258">
        <v>45.0</v>
      </c>
      <c r="BB133" s="258">
        <v>33.0</v>
      </c>
      <c r="BC133" s="260">
        <v>45875.0</v>
      </c>
      <c r="BD133" s="260"/>
      <c r="BE133" s="164">
        <v>0.01999999996041879</v>
      </c>
    </row>
    <row r="134">
      <c r="A134" s="6" t="s">
        <v>97</v>
      </c>
      <c r="B134" s="183" t="s">
        <v>101</v>
      </c>
      <c r="C134" s="184" t="s">
        <v>102</v>
      </c>
      <c r="D134" s="75" t="s">
        <v>103</v>
      </c>
      <c r="E134" s="256">
        <v>45488.0</v>
      </c>
      <c r="F134" s="75" t="s">
        <v>1062</v>
      </c>
      <c r="G134" s="186">
        <v>4785530.0</v>
      </c>
      <c r="H134" s="190">
        <v>20000.0</v>
      </c>
      <c r="I134" s="190">
        <v>1055416.792</v>
      </c>
      <c r="J134" s="186">
        <v>0.0</v>
      </c>
      <c r="K134" s="186">
        <v>5825900.0</v>
      </c>
      <c r="L134" s="186">
        <v>3861272.4</v>
      </c>
      <c r="M134" s="186">
        <v>0.0</v>
      </c>
      <c r="N134" s="186">
        <v>4894985.0</v>
      </c>
      <c r="O134" s="187">
        <v>0.6627769786642407</v>
      </c>
      <c r="P134" s="187">
        <v>0.0</v>
      </c>
      <c r="Q134" s="187">
        <v>0.8402109545306304</v>
      </c>
      <c r="R134" s="188">
        <v>101.0</v>
      </c>
      <c r="S134" s="188">
        <v>106.0</v>
      </c>
      <c r="T134" s="188">
        <v>7.0</v>
      </c>
      <c r="U134" s="188">
        <v>7.0</v>
      </c>
      <c r="V134" s="188">
        <v>108.0</v>
      </c>
      <c r="W134" s="188">
        <v>2.0</v>
      </c>
      <c r="X134" s="189">
        <v>3441741.0</v>
      </c>
      <c r="Y134" s="189">
        <v>419531.4</v>
      </c>
      <c r="Z134" s="188">
        <v>62.0</v>
      </c>
      <c r="AA134" s="188">
        <v>7.0</v>
      </c>
      <c r="AB134" s="188">
        <v>69.0</v>
      </c>
      <c r="AC134" s="188">
        <v>0.0</v>
      </c>
      <c r="AD134" s="188">
        <v>16.0</v>
      </c>
      <c r="AE134" s="188">
        <v>41.0</v>
      </c>
      <c r="AF134" s="188">
        <v>35.0</v>
      </c>
      <c r="AG134" s="188">
        <v>2.0</v>
      </c>
      <c r="AH134" s="188">
        <v>33.0</v>
      </c>
      <c r="AI134" s="188">
        <v>0.0</v>
      </c>
      <c r="AJ134" s="188">
        <v>0.0</v>
      </c>
      <c r="AK134" s="188">
        <v>0.0</v>
      </c>
      <c r="AL134" s="188">
        <v>0.0</v>
      </c>
      <c r="AM134" s="188">
        <v>952.0</v>
      </c>
      <c r="AN134" s="188">
        <v>1026.0</v>
      </c>
      <c r="AO134" s="188">
        <v>141.0</v>
      </c>
      <c r="AP134" s="186">
        <v>27384.91063829787</v>
      </c>
      <c r="AQ134" s="189">
        <v>6.75177304964539</v>
      </c>
      <c r="AR134" s="186">
        <v>120000.0</v>
      </c>
      <c r="AS134" s="186">
        <v>29200.0</v>
      </c>
      <c r="AT134" s="187">
        <v>0.03864011251835017</v>
      </c>
      <c r="AU134" s="186">
        <v>55960.46956521739</v>
      </c>
      <c r="AV134" s="219">
        <v>319.0</v>
      </c>
      <c r="AW134" s="219">
        <v>1303.0</v>
      </c>
      <c r="AX134" s="257">
        <v>10408.63</v>
      </c>
      <c r="AY134" s="258">
        <v>98.0</v>
      </c>
      <c r="AZ134" s="258">
        <v>69.0</v>
      </c>
      <c r="BA134" s="258">
        <v>37.0</v>
      </c>
      <c r="BB134" s="258">
        <v>2.0</v>
      </c>
      <c r="BC134" s="260"/>
      <c r="BD134" s="260"/>
      <c r="BE134" s="164">
        <v>4.656612873077393E-10</v>
      </c>
    </row>
    <row r="135">
      <c r="A135" s="6" t="s">
        <v>185</v>
      </c>
      <c r="B135" s="183" t="s">
        <v>212</v>
      </c>
      <c r="C135" s="184" t="s">
        <v>839</v>
      </c>
      <c r="D135" s="75" t="s">
        <v>417</v>
      </c>
      <c r="E135" s="256">
        <v>45488.0</v>
      </c>
      <c r="F135" s="75" t="s">
        <v>1031</v>
      </c>
      <c r="G135" s="186">
        <v>5701215.6</v>
      </c>
      <c r="H135" s="190">
        <v>30946.0</v>
      </c>
      <c r="I135" s="190">
        <v>1500000.0</v>
      </c>
      <c r="J135" s="186">
        <v>0.0</v>
      </c>
      <c r="K135" s="186">
        <v>9000000.0</v>
      </c>
      <c r="L135" s="186">
        <v>3778208.45</v>
      </c>
      <c r="M135" s="186">
        <v>0.0</v>
      </c>
      <c r="N135" s="186">
        <v>4675515.26</v>
      </c>
      <c r="O135" s="187">
        <v>0.4198009388888889</v>
      </c>
      <c r="P135" s="187">
        <v>0.0</v>
      </c>
      <c r="Q135" s="187">
        <v>0.5195016955555555</v>
      </c>
      <c r="R135" s="188">
        <v>44.0</v>
      </c>
      <c r="S135" s="188">
        <v>56.0</v>
      </c>
      <c r="T135" s="188">
        <v>14.0</v>
      </c>
      <c r="U135" s="188">
        <v>14.0</v>
      </c>
      <c r="V135" s="188">
        <v>58.0</v>
      </c>
      <c r="W135" s="188">
        <v>2.0</v>
      </c>
      <c r="X135" s="189">
        <v>2282724.26</v>
      </c>
      <c r="Y135" s="189">
        <v>1495484.19</v>
      </c>
      <c r="Z135" s="188">
        <v>23.0</v>
      </c>
      <c r="AA135" s="188">
        <v>14.0</v>
      </c>
      <c r="AB135" s="188">
        <v>37.0</v>
      </c>
      <c r="AC135" s="188">
        <v>0.0</v>
      </c>
      <c r="AD135" s="188">
        <v>21.0</v>
      </c>
      <c r="AE135" s="188">
        <v>39.0</v>
      </c>
      <c r="AF135" s="188">
        <v>37.0</v>
      </c>
      <c r="AG135" s="188">
        <v>1.0</v>
      </c>
      <c r="AH135" s="188">
        <v>75.0</v>
      </c>
      <c r="AI135" s="188">
        <v>0.0</v>
      </c>
      <c r="AJ135" s="188">
        <v>0.0</v>
      </c>
      <c r="AK135" s="188">
        <v>0.0</v>
      </c>
      <c r="AL135" s="188">
        <v>0.0</v>
      </c>
      <c r="AM135" s="188">
        <v>347.0</v>
      </c>
      <c r="AN135" s="188">
        <v>461.0</v>
      </c>
      <c r="AO135" s="188">
        <v>137.0</v>
      </c>
      <c r="AP135" s="186">
        <v>27578.16386861314</v>
      </c>
      <c r="AQ135" s="189">
        <v>2.5328467153284673</v>
      </c>
      <c r="AR135" s="186">
        <v>185676.0</v>
      </c>
      <c r="AS135" s="186">
        <v>14578.0</v>
      </c>
      <c r="AT135" s="187">
        <v>0.053002369416647724</v>
      </c>
      <c r="AU135" s="186">
        <v>102113.7418918919</v>
      </c>
      <c r="AV135" s="219">
        <v>88.0</v>
      </c>
      <c r="AW135" s="219">
        <v>1505.0</v>
      </c>
      <c r="AX135" s="257">
        <v>10197.87</v>
      </c>
      <c r="AY135" s="258">
        <v>182.0</v>
      </c>
      <c r="AZ135" s="258">
        <v>37.0</v>
      </c>
      <c r="BA135" s="258">
        <v>19.0</v>
      </c>
      <c r="BB135" s="258">
        <v>2.0</v>
      </c>
      <c r="BC135" s="260"/>
      <c r="BD135" s="260"/>
      <c r="BE135" s="164">
        <v>-0.590000000782311</v>
      </c>
    </row>
    <row r="136">
      <c r="A136" s="6" t="s">
        <v>53</v>
      </c>
      <c r="B136" s="183" t="s">
        <v>56</v>
      </c>
      <c r="C136" s="184" t="s">
        <v>847</v>
      </c>
      <c r="D136" s="75" t="s">
        <v>1099</v>
      </c>
      <c r="E136" s="256">
        <v>45502.0</v>
      </c>
      <c r="F136" s="75" t="s">
        <v>1092</v>
      </c>
      <c r="G136" s="186">
        <v>541267.0</v>
      </c>
      <c r="H136" s="190">
        <v>46670.0</v>
      </c>
      <c r="I136" s="190">
        <v>1500000.0</v>
      </c>
      <c r="J136" s="186">
        <v>0.0</v>
      </c>
      <c r="K136" s="186">
        <v>7500000.0</v>
      </c>
      <c r="L136" s="186">
        <v>454619.97</v>
      </c>
      <c r="M136" s="186">
        <v>0.0</v>
      </c>
      <c r="N136" s="186">
        <v>316192.0</v>
      </c>
      <c r="O136" s="187">
        <v>0.060615996</v>
      </c>
      <c r="P136" s="187">
        <v>0.0</v>
      </c>
      <c r="Q136" s="187">
        <v>0.042158933333333336</v>
      </c>
      <c r="R136" s="188">
        <v>30.0</v>
      </c>
      <c r="S136" s="188">
        <v>27.0</v>
      </c>
      <c r="T136" s="188">
        <v>1.0</v>
      </c>
      <c r="U136" s="188">
        <v>1.0</v>
      </c>
      <c r="V136" s="188">
        <v>31.0</v>
      </c>
      <c r="W136" s="188">
        <v>4.0</v>
      </c>
      <c r="X136" s="189">
        <v>279361.21</v>
      </c>
      <c r="Y136" s="189">
        <v>175258.76</v>
      </c>
      <c r="Z136" s="188">
        <v>7.0</v>
      </c>
      <c r="AA136" s="188">
        <v>1.0</v>
      </c>
      <c r="AB136" s="188">
        <v>8.0</v>
      </c>
      <c r="AC136" s="188">
        <v>0.0</v>
      </c>
      <c r="AD136" s="188">
        <v>34.0</v>
      </c>
      <c r="AE136" s="188">
        <v>73.0</v>
      </c>
      <c r="AF136" s="188">
        <v>96.0</v>
      </c>
      <c r="AG136" s="188">
        <v>1.0</v>
      </c>
      <c r="AH136" s="188">
        <v>48.0</v>
      </c>
      <c r="AI136" s="188">
        <v>0.0</v>
      </c>
      <c r="AJ136" s="188">
        <v>0.0</v>
      </c>
      <c r="AK136" s="188">
        <v>0.0</v>
      </c>
      <c r="AL136" s="188">
        <v>0.0</v>
      </c>
      <c r="AM136" s="188">
        <v>250.0</v>
      </c>
      <c r="AN136" s="188">
        <v>371.0</v>
      </c>
      <c r="AO136" s="188">
        <v>91.0</v>
      </c>
      <c r="AP136" s="186">
        <v>4995.823846153846</v>
      </c>
      <c r="AQ136" s="189">
        <v>2.7472527472527473</v>
      </c>
      <c r="AR136" s="186">
        <v>215148.7</v>
      </c>
      <c r="AS136" s="186">
        <v>25737.0</v>
      </c>
      <c r="AT136" s="187">
        <v>0.5298616776557352</v>
      </c>
      <c r="AU136" s="186">
        <v>56827.49625</v>
      </c>
      <c r="AV136" s="219">
        <v>16.0</v>
      </c>
      <c r="AW136" s="219">
        <v>732.0</v>
      </c>
      <c r="AX136" s="257">
        <v>2383.03</v>
      </c>
      <c r="AY136" s="258">
        <v>88.0</v>
      </c>
      <c r="AZ136" s="258">
        <v>8.0</v>
      </c>
      <c r="BA136" s="258">
        <v>19.0</v>
      </c>
      <c r="BB136" s="258">
        <v>4.0</v>
      </c>
      <c r="BC136" s="260">
        <v>45882.0</v>
      </c>
      <c r="BD136" s="260"/>
      <c r="BE136" s="164">
        <v>-0.04999999998835847</v>
      </c>
    </row>
    <row r="137">
      <c r="A137" s="6" t="s">
        <v>126</v>
      </c>
      <c r="B137" s="183" t="s">
        <v>130</v>
      </c>
      <c r="C137" s="184" t="s">
        <v>444</v>
      </c>
      <c r="D137" s="75" t="s">
        <v>445</v>
      </c>
      <c r="E137" s="256">
        <v>45506.0</v>
      </c>
      <c r="F137" s="75" t="s">
        <v>130</v>
      </c>
      <c r="G137" s="186">
        <v>985472.76</v>
      </c>
      <c r="H137" s="190">
        <v>29360.0</v>
      </c>
      <c r="I137" s="190">
        <v>1250000.0</v>
      </c>
      <c r="J137" s="186">
        <v>600000.0</v>
      </c>
      <c r="K137" s="186">
        <v>6900000.0</v>
      </c>
      <c r="L137" s="186">
        <v>1368757.04</v>
      </c>
      <c r="M137" s="186">
        <v>1483873.88</v>
      </c>
      <c r="N137" s="186">
        <v>1280488.0</v>
      </c>
      <c r="O137" s="187">
        <v>0.38035078933333333</v>
      </c>
      <c r="P137" s="187">
        <v>2.47</v>
      </c>
      <c r="Q137" s="187">
        <v>0.17073173333333333</v>
      </c>
      <c r="R137" s="188">
        <v>33.0</v>
      </c>
      <c r="S137" s="188">
        <v>34.0</v>
      </c>
      <c r="T137" s="188">
        <v>9.0</v>
      </c>
      <c r="U137" s="188">
        <v>6.0</v>
      </c>
      <c r="V137" s="188">
        <v>42.0</v>
      </c>
      <c r="W137" s="188">
        <v>8.0</v>
      </c>
      <c r="X137" s="189">
        <v>1128705.04</v>
      </c>
      <c r="Y137" s="189">
        <v>240052.0</v>
      </c>
      <c r="Z137" s="188">
        <v>19.0</v>
      </c>
      <c r="AA137" s="188">
        <v>6.0</v>
      </c>
      <c r="AB137" s="188">
        <v>25.0</v>
      </c>
      <c r="AC137" s="188">
        <v>1.0</v>
      </c>
      <c r="AD137" s="188">
        <v>42.0</v>
      </c>
      <c r="AE137" s="188">
        <v>120.0</v>
      </c>
      <c r="AF137" s="188">
        <v>55.0</v>
      </c>
      <c r="AG137" s="188">
        <v>2.0</v>
      </c>
      <c r="AH137" s="188">
        <v>21.0</v>
      </c>
      <c r="AI137" s="188">
        <v>1.0</v>
      </c>
      <c r="AJ137" s="188">
        <v>108.0</v>
      </c>
      <c r="AK137" s="188">
        <v>3.0</v>
      </c>
      <c r="AL137" s="188">
        <v>9.0</v>
      </c>
      <c r="AM137" s="188">
        <v>256.0</v>
      </c>
      <c r="AN137" s="188">
        <v>514.0</v>
      </c>
      <c r="AO137" s="188">
        <v>145.0</v>
      </c>
      <c r="AP137" s="186">
        <v>19673.31668965517</v>
      </c>
      <c r="AQ137" s="189">
        <v>1.7655172413793103</v>
      </c>
      <c r="AR137" s="186">
        <v>176160.0</v>
      </c>
      <c r="AS137" s="186">
        <v>23550.0</v>
      </c>
      <c r="AT137" s="187">
        <v>0.07000905676223969</v>
      </c>
      <c r="AU137" s="186">
        <v>54750.2816</v>
      </c>
      <c r="AV137" s="219">
        <v>53.0</v>
      </c>
      <c r="AW137" s="219">
        <v>1457.0</v>
      </c>
      <c r="AX137" s="257">
        <v>3106.02</v>
      </c>
      <c r="AY137" s="258">
        <v>91.0</v>
      </c>
      <c r="AZ137" s="258">
        <v>25.0</v>
      </c>
      <c r="BA137" s="258">
        <v>11.0</v>
      </c>
      <c r="BB137" s="258">
        <v>6.0</v>
      </c>
      <c r="BC137" s="260"/>
      <c r="BD137" s="260"/>
      <c r="BE137" s="164">
        <v>0.43999999994412065</v>
      </c>
    </row>
    <row r="138">
      <c r="A138" s="6" t="s">
        <v>185</v>
      </c>
      <c r="B138" s="183" t="s">
        <v>196</v>
      </c>
      <c r="C138" s="184" t="s">
        <v>412</v>
      </c>
      <c r="D138" s="75" t="s">
        <v>209</v>
      </c>
      <c r="E138" s="256">
        <v>45516.0</v>
      </c>
      <c r="F138" s="75" t="s">
        <v>1027</v>
      </c>
      <c r="G138" s="186">
        <v>0.0</v>
      </c>
      <c r="H138" s="190">
        <v>25700.0</v>
      </c>
      <c r="I138" s="190">
        <v>1500000.0</v>
      </c>
      <c r="J138" s="186">
        <v>0.0</v>
      </c>
      <c r="K138" s="186">
        <v>7500000.0</v>
      </c>
      <c r="L138" s="186">
        <v>0.0</v>
      </c>
      <c r="M138" s="186">
        <v>383734.19</v>
      </c>
      <c r="N138" s="186">
        <v>383564.0</v>
      </c>
      <c r="O138" s="187">
        <v>0.051164558666666665</v>
      </c>
      <c r="P138" s="187">
        <v>0.0</v>
      </c>
      <c r="Q138" s="187">
        <v>0.05114186666666667</v>
      </c>
      <c r="R138" s="188">
        <v>13.0</v>
      </c>
      <c r="S138" s="188">
        <v>11.0</v>
      </c>
      <c r="T138" s="188">
        <v>0.0</v>
      </c>
      <c r="U138" s="188">
        <v>0.0</v>
      </c>
      <c r="V138" s="188">
        <v>13.0</v>
      </c>
      <c r="W138" s="188">
        <v>2.0</v>
      </c>
      <c r="X138" s="189">
        <v>0.0</v>
      </c>
      <c r="Y138" s="189">
        <v>0.0</v>
      </c>
      <c r="Z138" s="188">
        <v>0.0</v>
      </c>
      <c r="AA138" s="188">
        <v>0.0</v>
      </c>
      <c r="AB138" s="188">
        <v>0.0</v>
      </c>
      <c r="AC138" s="188">
        <v>1.0</v>
      </c>
      <c r="AD138" s="188">
        <v>14.0</v>
      </c>
      <c r="AE138" s="188">
        <v>25.0</v>
      </c>
      <c r="AF138" s="188">
        <v>4.0</v>
      </c>
      <c r="AG138" s="188">
        <v>1.0</v>
      </c>
      <c r="AH138" s="188">
        <v>15.0</v>
      </c>
      <c r="AI138" s="188">
        <v>2.0</v>
      </c>
      <c r="AJ138" s="188">
        <v>30.0</v>
      </c>
      <c r="AK138" s="188">
        <v>0.0</v>
      </c>
      <c r="AL138" s="188">
        <v>0.0</v>
      </c>
      <c r="AM138" s="188">
        <v>176.0</v>
      </c>
      <c r="AN138" s="188">
        <v>246.0</v>
      </c>
      <c r="AO138" s="188">
        <v>83.0</v>
      </c>
      <c r="AP138" s="186">
        <v>4623.303493975904</v>
      </c>
      <c r="AQ138" s="189">
        <v>2.1204819277108435</v>
      </c>
      <c r="AR138" s="186">
        <v>128500.0</v>
      </c>
      <c r="AS138" s="186"/>
      <c r="AT138" s="187">
        <v>0.33486721628844174</v>
      </c>
      <c r="AU138" s="186"/>
      <c r="AV138" s="219">
        <v>0.0</v>
      </c>
      <c r="AW138" s="219">
        <v>603.0</v>
      </c>
      <c r="AX138" s="257">
        <v>1859.38</v>
      </c>
      <c r="AY138" s="258">
        <v>169.0</v>
      </c>
      <c r="AZ138" s="258">
        <v>0.0</v>
      </c>
      <c r="BA138" s="258">
        <v>11.0</v>
      </c>
      <c r="BB138" s="258">
        <v>2.0</v>
      </c>
      <c r="BC138" s="260">
        <v>45899.0</v>
      </c>
      <c r="BD138" s="260"/>
      <c r="BE138" s="164">
        <v>-0.1900000000023283</v>
      </c>
    </row>
    <row r="139">
      <c r="A139" s="6" t="s">
        <v>298</v>
      </c>
      <c r="B139" s="183" t="s">
        <v>301</v>
      </c>
      <c r="C139" s="184" t="s">
        <v>314</v>
      </c>
      <c r="D139" s="75" t="s">
        <v>1100</v>
      </c>
      <c r="E139" s="256">
        <v>45516.0</v>
      </c>
      <c r="F139" s="75" t="s">
        <v>1066</v>
      </c>
      <c r="G139" s="186">
        <v>2236625.0</v>
      </c>
      <c r="H139" s="190">
        <v>27260.0</v>
      </c>
      <c r="I139" s="190">
        <v>1000000.0</v>
      </c>
      <c r="J139" s="186">
        <v>0.0</v>
      </c>
      <c r="K139" s="186">
        <v>6000000.0</v>
      </c>
      <c r="L139" s="186">
        <v>2640178.99</v>
      </c>
      <c r="M139" s="186">
        <v>0.0</v>
      </c>
      <c r="N139" s="186">
        <v>2668307.0</v>
      </c>
      <c r="O139" s="187">
        <v>0.4400298316666667</v>
      </c>
      <c r="P139" s="187">
        <v>0.0</v>
      </c>
      <c r="Q139" s="187">
        <v>0.4447178333333333</v>
      </c>
      <c r="R139" s="188">
        <v>130.0</v>
      </c>
      <c r="S139" s="188">
        <v>104.0</v>
      </c>
      <c r="T139" s="188">
        <v>5.0</v>
      </c>
      <c r="U139" s="188">
        <v>5.0</v>
      </c>
      <c r="V139" s="188">
        <v>135.0</v>
      </c>
      <c r="W139" s="188">
        <v>31.0</v>
      </c>
      <c r="X139" s="189">
        <v>2371326.49</v>
      </c>
      <c r="Y139" s="189">
        <v>268852.5</v>
      </c>
      <c r="Z139" s="188">
        <v>69.0</v>
      </c>
      <c r="AA139" s="188">
        <v>5.0</v>
      </c>
      <c r="AB139" s="188">
        <v>74.0</v>
      </c>
      <c r="AC139" s="188">
        <v>0.0</v>
      </c>
      <c r="AD139" s="188">
        <v>239.0</v>
      </c>
      <c r="AE139" s="188">
        <v>330.0</v>
      </c>
      <c r="AF139" s="188">
        <v>125.0</v>
      </c>
      <c r="AG139" s="188">
        <v>1.0</v>
      </c>
      <c r="AH139" s="188">
        <v>16.0</v>
      </c>
      <c r="AI139" s="188">
        <v>0.0</v>
      </c>
      <c r="AJ139" s="188">
        <v>0.0</v>
      </c>
      <c r="AK139" s="188">
        <v>0.0</v>
      </c>
      <c r="AL139" s="188">
        <v>0.0</v>
      </c>
      <c r="AM139" s="188">
        <v>350.0</v>
      </c>
      <c r="AN139" s="188">
        <v>696.0</v>
      </c>
      <c r="AO139" s="188">
        <v>148.0</v>
      </c>
      <c r="AP139" s="186">
        <v>17839.04722972973</v>
      </c>
      <c r="AQ139" s="189">
        <v>2.364864864864865</v>
      </c>
      <c r="AR139" s="186">
        <v>163560.0</v>
      </c>
      <c r="AS139" s="186">
        <v>32938.0</v>
      </c>
      <c r="AT139" s="187">
        <v>0.07442601457865551</v>
      </c>
      <c r="AU139" s="186">
        <v>35678.09445945946</v>
      </c>
      <c r="AV139" s="219">
        <v>205.0</v>
      </c>
      <c r="AW139" s="219">
        <v>1435.0</v>
      </c>
      <c r="AX139" s="257">
        <v>9251.58</v>
      </c>
      <c r="AY139" s="258">
        <v>89.0</v>
      </c>
      <c r="AZ139" s="258">
        <v>74.0</v>
      </c>
      <c r="BA139" s="258">
        <v>41.0</v>
      </c>
      <c r="BB139" s="258">
        <v>20.0</v>
      </c>
      <c r="BC139" s="260"/>
      <c r="BD139" s="260"/>
      <c r="BE139" s="164">
        <v>-0.05000000074505806</v>
      </c>
    </row>
    <row r="140">
      <c r="A140" s="6" t="s">
        <v>53</v>
      </c>
      <c r="B140" s="183" t="s">
        <v>56</v>
      </c>
      <c r="C140" s="184" t="s">
        <v>57</v>
      </c>
      <c r="D140" s="75" t="s">
        <v>58</v>
      </c>
      <c r="E140" s="256">
        <v>45518.0</v>
      </c>
      <c r="F140" s="75" t="s">
        <v>1092</v>
      </c>
      <c r="G140" s="186">
        <v>0.0</v>
      </c>
      <c r="H140" s="190">
        <v>23570.0</v>
      </c>
      <c r="I140" s="190">
        <v>700000.0</v>
      </c>
      <c r="J140" s="186">
        <v>0.0</v>
      </c>
      <c r="K140" s="186">
        <v>4200000.0</v>
      </c>
      <c r="L140" s="186">
        <v>1550195.38</v>
      </c>
      <c r="M140" s="186">
        <v>0.0</v>
      </c>
      <c r="N140" s="186">
        <v>175147.0</v>
      </c>
      <c r="O140" s="187">
        <v>0.36909413809523806</v>
      </c>
      <c r="P140" s="187">
        <v>0.0</v>
      </c>
      <c r="Q140" s="187">
        <v>0.041701666666666665</v>
      </c>
      <c r="R140" s="188">
        <v>67.0</v>
      </c>
      <c r="S140" s="188">
        <v>75.0</v>
      </c>
      <c r="T140" s="188">
        <v>12.0</v>
      </c>
      <c r="U140" s="188">
        <v>12.0</v>
      </c>
      <c r="V140" s="188">
        <v>79.0</v>
      </c>
      <c r="W140" s="188">
        <v>4.0</v>
      </c>
      <c r="X140" s="189">
        <v>1178048.98</v>
      </c>
      <c r="Y140" s="189">
        <v>372146.4</v>
      </c>
      <c r="Z140" s="188">
        <v>40.0</v>
      </c>
      <c r="AA140" s="188">
        <v>12.0</v>
      </c>
      <c r="AB140" s="188">
        <v>52.0</v>
      </c>
      <c r="AC140" s="188">
        <v>0.0</v>
      </c>
      <c r="AD140" s="188">
        <v>103.0</v>
      </c>
      <c r="AE140" s="188">
        <v>171.0</v>
      </c>
      <c r="AF140" s="188">
        <v>114.0</v>
      </c>
      <c r="AG140" s="188">
        <v>2.0</v>
      </c>
      <c r="AH140" s="188">
        <v>124.0</v>
      </c>
      <c r="AI140" s="188">
        <v>0.0</v>
      </c>
      <c r="AJ140" s="188">
        <v>0.0</v>
      </c>
      <c r="AK140" s="188">
        <v>0.0</v>
      </c>
      <c r="AL140" s="188">
        <v>0.0</v>
      </c>
      <c r="AM140" s="188">
        <v>802.0</v>
      </c>
      <c r="AN140" s="188">
        <v>1097.0</v>
      </c>
      <c r="AO140" s="188">
        <v>143.0</v>
      </c>
      <c r="AP140" s="186">
        <v>10840.527132867132</v>
      </c>
      <c r="AQ140" s="189">
        <v>5.608391608391608</v>
      </c>
      <c r="AR140" s="186">
        <v>141420.0</v>
      </c>
      <c r="AS140" s="186">
        <v>51716.0</v>
      </c>
      <c r="AT140" s="187">
        <v>0.12458816642841498</v>
      </c>
      <c r="AU140" s="186">
        <v>29811.449615384612</v>
      </c>
      <c r="AV140" s="219">
        <v>116.0</v>
      </c>
      <c r="AW140" s="219">
        <v>1550.0</v>
      </c>
      <c r="AX140" s="257">
        <v>12621.95</v>
      </c>
      <c r="AY140" s="258">
        <v>168.0</v>
      </c>
      <c r="AZ140" s="258">
        <v>52.0</v>
      </c>
      <c r="BA140" s="258">
        <v>23.0</v>
      </c>
      <c r="BB140" s="258">
        <v>4.0</v>
      </c>
      <c r="BC140" s="260"/>
      <c r="BD140" s="260"/>
      <c r="BE140" s="164">
        <v>-0.14000000013038516</v>
      </c>
    </row>
    <row r="141">
      <c r="A141" s="6" t="s">
        <v>185</v>
      </c>
      <c r="B141" s="183" t="s">
        <v>1101</v>
      </c>
      <c r="C141" s="184" t="s">
        <v>850</v>
      </c>
      <c r="D141" s="75" t="s">
        <v>1102</v>
      </c>
      <c r="E141" s="256">
        <v>45523.0</v>
      </c>
      <c r="F141" s="75" t="s">
        <v>1101</v>
      </c>
      <c r="G141" s="186"/>
      <c r="H141" s="190">
        <v>72970.0</v>
      </c>
      <c r="I141" s="190"/>
      <c r="J141" s="186">
        <v>0.0</v>
      </c>
      <c r="K141" s="186">
        <v>0.0</v>
      </c>
      <c r="L141" s="186">
        <v>0.0</v>
      </c>
      <c r="M141" s="186">
        <v>0.0</v>
      </c>
      <c r="N141" s="186"/>
      <c r="O141" s="187"/>
      <c r="P141" s="187">
        <v>0.0</v>
      </c>
      <c r="Q141" s="187"/>
      <c r="R141" s="188">
        <v>1.0</v>
      </c>
      <c r="S141" s="188">
        <v>1.0</v>
      </c>
      <c r="T141" s="188">
        <v>0.0</v>
      </c>
      <c r="U141" s="188">
        <v>0.0</v>
      </c>
      <c r="V141" s="188">
        <v>1.0</v>
      </c>
      <c r="W141" s="188">
        <v>0.0</v>
      </c>
      <c r="X141" s="189">
        <v>0.0</v>
      </c>
      <c r="Y141" s="189">
        <v>0.0</v>
      </c>
      <c r="Z141" s="188">
        <v>0.0</v>
      </c>
      <c r="AA141" s="188">
        <v>0.0</v>
      </c>
      <c r="AB141" s="188">
        <v>0.0</v>
      </c>
      <c r="AC141" s="188">
        <v>0.0</v>
      </c>
      <c r="AD141" s="188">
        <v>35.0</v>
      </c>
      <c r="AE141" s="188">
        <v>68.0</v>
      </c>
      <c r="AF141" s="188">
        <v>18.0</v>
      </c>
      <c r="AG141" s="188">
        <v>2.0</v>
      </c>
      <c r="AH141" s="188">
        <v>8.0</v>
      </c>
      <c r="AI141" s="188">
        <v>0.0</v>
      </c>
      <c r="AJ141" s="188">
        <v>0.0</v>
      </c>
      <c r="AK141" s="188">
        <v>96.0</v>
      </c>
      <c r="AL141" s="188">
        <v>308.0</v>
      </c>
      <c r="AM141" s="188">
        <v>1.0</v>
      </c>
      <c r="AN141" s="188">
        <v>385.0</v>
      </c>
      <c r="AO141" s="188">
        <v>89.0</v>
      </c>
      <c r="AP141" s="186">
        <v>0.0</v>
      </c>
      <c r="AQ141" s="189">
        <v>0.011235955056179775</v>
      </c>
      <c r="AR141" s="186">
        <v>291880.0</v>
      </c>
      <c r="AS141" s="186">
        <v>141844.0</v>
      </c>
      <c r="AT141" s="187"/>
      <c r="AU141" s="186"/>
      <c r="AV141" s="219">
        <v>0.0</v>
      </c>
      <c r="AW141" s="219">
        <v>962.0</v>
      </c>
      <c r="AX141" s="257">
        <v>11874.45</v>
      </c>
      <c r="AY141" s="258">
        <v>11874.0</v>
      </c>
      <c r="AZ141" s="258">
        <v>0.0</v>
      </c>
      <c r="BA141" s="258">
        <v>1.0</v>
      </c>
      <c r="BB141" s="258">
        <v>0.0</v>
      </c>
      <c r="BC141" s="260">
        <v>45869.0</v>
      </c>
      <c r="BD141" s="260"/>
      <c r="BE141" s="164" t="e">
        <v>#N/A</v>
      </c>
    </row>
    <row r="142">
      <c r="A142" s="6" t="s">
        <v>23</v>
      </c>
      <c r="B142" s="183" t="s">
        <v>27</v>
      </c>
      <c r="C142" s="184" t="s">
        <v>31</v>
      </c>
      <c r="D142" s="75" t="s">
        <v>32</v>
      </c>
      <c r="E142" s="256">
        <v>45551.0</v>
      </c>
      <c r="F142" s="75" t="s">
        <v>1103</v>
      </c>
      <c r="G142" s="186">
        <v>5386902.27</v>
      </c>
      <c r="H142" s="190">
        <v>28310.0</v>
      </c>
      <c r="I142" s="190">
        <v>1300000.0</v>
      </c>
      <c r="J142" s="186">
        <v>0.0</v>
      </c>
      <c r="K142" s="186">
        <v>7800000.0</v>
      </c>
      <c r="L142" s="186">
        <v>5595985.13</v>
      </c>
      <c r="M142" s="186">
        <v>0.0</v>
      </c>
      <c r="N142" s="186">
        <v>5659808.0</v>
      </c>
      <c r="O142" s="187">
        <v>0.717433991025641</v>
      </c>
      <c r="P142" s="187">
        <v>0.0</v>
      </c>
      <c r="Q142" s="187">
        <v>0.7256164102564102</v>
      </c>
      <c r="R142" s="188">
        <v>113.0</v>
      </c>
      <c r="S142" s="188">
        <v>108.0</v>
      </c>
      <c r="T142" s="188">
        <v>11.0</v>
      </c>
      <c r="U142" s="188">
        <v>10.0</v>
      </c>
      <c r="V142" s="188">
        <v>124.0</v>
      </c>
      <c r="W142" s="188">
        <v>16.0</v>
      </c>
      <c r="X142" s="189">
        <v>4726602.08</v>
      </c>
      <c r="Y142" s="189">
        <v>869383.05</v>
      </c>
      <c r="Z142" s="188">
        <v>77.0</v>
      </c>
      <c r="AA142" s="188">
        <v>10.0</v>
      </c>
      <c r="AB142" s="188">
        <v>87.0</v>
      </c>
      <c r="AC142" s="188">
        <v>0.0</v>
      </c>
      <c r="AD142" s="188">
        <v>86.0</v>
      </c>
      <c r="AE142" s="188">
        <v>139.0</v>
      </c>
      <c r="AF142" s="188">
        <v>86.0</v>
      </c>
      <c r="AG142" s="188">
        <v>2.0</v>
      </c>
      <c r="AH142" s="188">
        <v>78.0</v>
      </c>
      <c r="AI142" s="188">
        <v>0.0</v>
      </c>
      <c r="AJ142" s="188">
        <v>0.0</v>
      </c>
      <c r="AK142" s="188">
        <v>5.0</v>
      </c>
      <c r="AL142" s="188">
        <v>10.0</v>
      </c>
      <c r="AM142" s="188">
        <v>755.0</v>
      </c>
      <c r="AN142" s="188">
        <v>982.0</v>
      </c>
      <c r="AO142" s="188">
        <v>153.0</v>
      </c>
      <c r="AP142" s="186">
        <v>36575.066209150325</v>
      </c>
      <c r="AQ142" s="189">
        <v>4.934640522875817</v>
      </c>
      <c r="AR142" s="186">
        <v>169860.0</v>
      </c>
      <c r="AS142" s="186">
        <v>30120.0</v>
      </c>
      <c r="AT142" s="187">
        <v>0.035736335132112836</v>
      </c>
      <c r="AU142" s="186">
        <v>64321.66816091954</v>
      </c>
      <c r="AV142" s="219">
        <v>291.0</v>
      </c>
      <c r="AW142" s="219">
        <v>1488.0</v>
      </c>
      <c r="AX142" s="257">
        <v>3419.97</v>
      </c>
      <c r="AY142" s="258">
        <v>32.0</v>
      </c>
      <c r="AZ142" s="258">
        <v>87.0</v>
      </c>
      <c r="BA142" s="258">
        <v>22.0</v>
      </c>
      <c r="BB142" s="258">
        <v>15.0</v>
      </c>
      <c r="BC142" s="260"/>
      <c r="BD142" s="260"/>
      <c r="BE142" s="164">
        <v>0.19000000040978193</v>
      </c>
    </row>
    <row r="143">
      <c r="A143" s="6" t="s">
        <v>23</v>
      </c>
      <c r="B143" s="183" t="s">
        <v>30</v>
      </c>
      <c r="C143" s="184" t="s">
        <v>33</v>
      </c>
      <c r="D143" s="75" t="s">
        <v>34</v>
      </c>
      <c r="E143" s="256">
        <v>45568.0</v>
      </c>
      <c r="F143" s="75" t="s">
        <v>1104</v>
      </c>
      <c r="G143" s="186">
        <v>5312043.0</v>
      </c>
      <c r="H143" s="190">
        <v>30405.0</v>
      </c>
      <c r="I143" s="190">
        <v>1400000.0</v>
      </c>
      <c r="J143" s="186">
        <v>1200000.0</v>
      </c>
      <c r="K143" s="186">
        <v>7200000.0</v>
      </c>
      <c r="L143" s="186">
        <v>4916493.69</v>
      </c>
      <c r="M143" s="186">
        <v>405583.79</v>
      </c>
      <c r="N143" s="186">
        <v>5739252.0</v>
      </c>
      <c r="O143" s="187">
        <v>0.6335806523809524</v>
      </c>
      <c r="P143" s="187">
        <v>0.34</v>
      </c>
      <c r="Q143" s="187">
        <v>0.6832442857142857</v>
      </c>
      <c r="R143" s="188">
        <v>23.0</v>
      </c>
      <c r="S143" s="188">
        <v>24.0</v>
      </c>
      <c r="T143" s="188">
        <v>1.0</v>
      </c>
      <c r="U143" s="188">
        <v>1.0</v>
      </c>
      <c r="V143" s="188">
        <v>24.0</v>
      </c>
      <c r="W143" s="188">
        <v>0.0</v>
      </c>
      <c r="X143" s="189">
        <v>4529064.69</v>
      </c>
      <c r="Y143" s="189">
        <v>387429.0</v>
      </c>
      <c r="Z143" s="188">
        <v>22.0</v>
      </c>
      <c r="AA143" s="188">
        <v>1.0</v>
      </c>
      <c r="AB143" s="188">
        <v>23.0</v>
      </c>
      <c r="AC143" s="188">
        <v>4.0</v>
      </c>
      <c r="AD143" s="188">
        <v>66.0</v>
      </c>
      <c r="AE143" s="188">
        <v>165.0</v>
      </c>
      <c r="AF143" s="188">
        <v>92.0</v>
      </c>
      <c r="AG143" s="188">
        <v>2.0</v>
      </c>
      <c r="AH143" s="188">
        <v>53.0</v>
      </c>
      <c r="AI143" s="188">
        <v>4.0</v>
      </c>
      <c r="AJ143" s="188">
        <v>85.0</v>
      </c>
      <c r="AK143" s="188">
        <v>0.0</v>
      </c>
      <c r="AL143" s="188">
        <v>0.0</v>
      </c>
      <c r="AM143" s="188">
        <v>355.0</v>
      </c>
      <c r="AN143" s="188">
        <v>658.0</v>
      </c>
      <c r="AO143" s="188">
        <v>147.0</v>
      </c>
      <c r="AP143" s="186">
        <v>36204.608707483</v>
      </c>
      <c r="AQ143" s="189">
        <v>2.4149659863945576</v>
      </c>
      <c r="AR143" s="186">
        <v>182430.0</v>
      </c>
      <c r="AS143" s="186">
        <v>29768.0</v>
      </c>
      <c r="AT143" s="187">
        <v>0.03987127222356785</v>
      </c>
      <c r="AU143" s="186">
        <v>213760.59521739132</v>
      </c>
      <c r="AV143" s="219">
        <v>78.0</v>
      </c>
      <c r="AW143" s="219">
        <v>1154.0</v>
      </c>
      <c r="AX143" s="257">
        <v>7449.83</v>
      </c>
      <c r="AY143" s="258">
        <v>310.0</v>
      </c>
      <c r="AZ143" s="258">
        <v>23.0</v>
      </c>
      <c r="BA143" s="258">
        <v>1.0</v>
      </c>
      <c r="BB143" s="258">
        <v>0.0</v>
      </c>
      <c r="BC143" s="260"/>
      <c r="BD143" s="260"/>
      <c r="BE143" s="164">
        <v>0.2999999998137355</v>
      </c>
    </row>
    <row r="144">
      <c r="A144" s="6" t="s">
        <v>185</v>
      </c>
      <c r="B144" s="183" t="s">
        <v>1101</v>
      </c>
      <c r="C144" s="184" t="s">
        <v>857</v>
      </c>
      <c r="D144" s="75" t="s">
        <v>1105</v>
      </c>
      <c r="E144" s="256">
        <v>45569.0</v>
      </c>
      <c r="F144" s="75" t="s">
        <v>1101</v>
      </c>
      <c r="G144" s="186"/>
      <c r="H144" s="190">
        <v>151013.0</v>
      </c>
      <c r="I144" s="190"/>
      <c r="J144" s="186">
        <v>0.0</v>
      </c>
      <c r="K144" s="186">
        <v>0.0</v>
      </c>
      <c r="L144" s="186">
        <v>0.0</v>
      </c>
      <c r="M144" s="186">
        <v>0.0</v>
      </c>
      <c r="N144" s="186"/>
      <c r="O144" s="187"/>
      <c r="P144" s="187">
        <v>0.0</v>
      </c>
      <c r="Q144" s="187"/>
      <c r="R144" s="188">
        <v>5.0</v>
      </c>
      <c r="S144" s="188">
        <v>4.0</v>
      </c>
      <c r="T144" s="188">
        <v>0.0</v>
      </c>
      <c r="U144" s="188">
        <v>0.0</v>
      </c>
      <c r="V144" s="188">
        <v>5.0</v>
      </c>
      <c r="W144" s="188">
        <v>1.0</v>
      </c>
      <c r="X144" s="189">
        <v>0.0</v>
      </c>
      <c r="Y144" s="189">
        <v>0.0</v>
      </c>
      <c r="Z144" s="188">
        <v>0.0</v>
      </c>
      <c r="AA144" s="188">
        <v>0.0</v>
      </c>
      <c r="AB144" s="188">
        <v>0.0</v>
      </c>
      <c r="AC144" s="188">
        <v>0.0</v>
      </c>
      <c r="AD144" s="188">
        <v>37.0</v>
      </c>
      <c r="AE144" s="188">
        <v>84.0</v>
      </c>
      <c r="AF144" s="188">
        <v>15.0</v>
      </c>
      <c r="AG144" s="188">
        <v>0.0</v>
      </c>
      <c r="AH144" s="188">
        <v>0.0</v>
      </c>
      <c r="AI144" s="188">
        <v>0.0</v>
      </c>
      <c r="AJ144" s="188">
        <v>0.0</v>
      </c>
      <c r="AK144" s="188">
        <v>77.0</v>
      </c>
      <c r="AL144" s="188">
        <v>594.0</v>
      </c>
      <c r="AM144" s="188">
        <v>36.0</v>
      </c>
      <c r="AN144" s="188">
        <v>714.0</v>
      </c>
      <c r="AO144" s="188">
        <v>152.0</v>
      </c>
      <c r="AP144" s="186">
        <v>0.0</v>
      </c>
      <c r="AQ144" s="189">
        <v>0.23684210526315788</v>
      </c>
      <c r="AR144" s="186">
        <v>906078.0</v>
      </c>
      <c r="AS144" s="186">
        <v>89827.0</v>
      </c>
      <c r="AT144" s="187"/>
      <c r="AU144" s="186"/>
      <c r="AV144" s="219">
        <v>0.0</v>
      </c>
      <c r="AW144" s="219">
        <v>1612.0</v>
      </c>
      <c r="AX144" s="257">
        <v>11964.06</v>
      </c>
      <c r="AY144" s="258">
        <v>2991.0</v>
      </c>
      <c r="AZ144" s="258">
        <v>0.0</v>
      </c>
      <c r="BA144" s="258">
        <v>4.0</v>
      </c>
      <c r="BB144" s="258">
        <v>1.0</v>
      </c>
      <c r="BC144" s="260"/>
      <c r="BD144" s="260"/>
      <c r="BE144" s="164" t="e">
        <v>#N/A</v>
      </c>
    </row>
    <row r="145">
      <c r="A145" s="6" t="s">
        <v>185</v>
      </c>
      <c r="B145" s="183" t="s">
        <v>1101</v>
      </c>
      <c r="C145" s="184" t="s">
        <v>858</v>
      </c>
      <c r="D145" s="75" t="s">
        <v>1106</v>
      </c>
      <c r="E145" s="256">
        <v>45569.0</v>
      </c>
      <c r="F145" s="75" t="s">
        <v>1101</v>
      </c>
      <c r="G145" s="186"/>
      <c r="H145" s="190">
        <v>153110.0</v>
      </c>
      <c r="I145" s="190"/>
      <c r="J145" s="186">
        <v>0.0</v>
      </c>
      <c r="K145" s="186">
        <v>0.0</v>
      </c>
      <c r="L145" s="186">
        <v>0.0</v>
      </c>
      <c r="M145" s="186">
        <v>0.0</v>
      </c>
      <c r="N145" s="186"/>
      <c r="O145" s="187"/>
      <c r="P145" s="187">
        <v>0.0</v>
      </c>
      <c r="Q145" s="187"/>
      <c r="R145" s="188">
        <v>2.0</v>
      </c>
      <c r="S145" s="188">
        <v>1.0</v>
      </c>
      <c r="T145" s="188">
        <v>0.0</v>
      </c>
      <c r="U145" s="188">
        <v>0.0</v>
      </c>
      <c r="V145" s="188">
        <v>2.0</v>
      </c>
      <c r="W145" s="188">
        <v>1.0</v>
      </c>
      <c r="X145" s="189">
        <v>0.0</v>
      </c>
      <c r="Y145" s="189">
        <v>0.0</v>
      </c>
      <c r="Z145" s="188">
        <v>0.0</v>
      </c>
      <c r="AA145" s="188">
        <v>0.0</v>
      </c>
      <c r="AB145" s="188">
        <v>0.0</v>
      </c>
      <c r="AC145" s="188">
        <v>0.0</v>
      </c>
      <c r="AD145" s="188">
        <v>0.0</v>
      </c>
      <c r="AE145" s="188">
        <v>0.0</v>
      </c>
      <c r="AF145" s="188">
        <v>50.0</v>
      </c>
      <c r="AG145" s="188">
        <v>0.0</v>
      </c>
      <c r="AH145" s="188">
        <v>0.0</v>
      </c>
      <c r="AI145" s="188">
        <v>1.0</v>
      </c>
      <c r="AJ145" s="188">
        <v>4.0</v>
      </c>
      <c r="AK145" s="188">
        <v>98.0</v>
      </c>
      <c r="AL145" s="188">
        <v>294.0</v>
      </c>
      <c r="AM145" s="188">
        <v>2.0</v>
      </c>
      <c r="AN145" s="188">
        <v>300.0</v>
      </c>
      <c r="AO145" s="188">
        <v>91.0</v>
      </c>
      <c r="AP145" s="186">
        <v>0.0</v>
      </c>
      <c r="AQ145" s="189">
        <v>0.02197802197802198</v>
      </c>
      <c r="AR145" s="186">
        <v>535885.0</v>
      </c>
      <c r="AS145" s="186">
        <v>163016.0</v>
      </c>
      <c r="AT145" s="187"/>
      <c r="AU145" s="186"/>
      <c r="AV145" s="219">
        <v>0.0</v>
      </c>
      <c r="AW145" s="219">
        <v>1012.0</v>
      </c>
      <c r="AX145" s="257">
        <v>13746.75</v>
      </c>
      <c r="AY145" s="258">
        <v>13747.0</v>
      </c>
      <c r="AZ145" s="258">
        <v>0.0</v>
      </c>
      <c r="BA145" s="258">
        <v>1.0</v>
      </c>
      <c r="BB145" s="258">
        <v>1.0</v>
      </c>
      <c r="BC145" s="260">
        <v>45856.0</v>
      </c>
      <c r="BD145" s="260"/>
      <c r="BE145" s="164" t="e">
        <v>#N/A</v>
      </c>
    </row>
    <row r="146">
      <c r="A146" s="6" t="s">
        <v>97</v>
      </c>
      <c r="B146" s="183" t="s">
        <v>101</v>
      </c>
      <c r="C146" s="184" t="s">
        <v>348</v>
      </c>
      <c r="D146" s="75" t="s">
        <v>349</v>
      </c>
      <c r="E146" s="256">
        <v>45597.0</v>
      </c>
      <c r="F146" s="75" t="s">
        <v>1107</v>
      </c>
      <c r="G146" s="186">
        <v>0.0</v>
      </c>
      <c r="H146" s="190">
        <v>26792.0</v>
      </c>
      <c r="I146" s="190">
        <v>1166666.667</v>
      </c>
      <c r="J146" s="186">
        <v>0.0</v>
      </c>
      <c r="K146" s="186">
        <v>6440000.0</v>
      </c>
      <c r="L146" s="186">
        <v>3514548.84</v>
      </c>
      <c r="M146" s="186">
        <v>0.0</v>
      </c>
      <c r="N146" s="186">
        <v>0.0</v>
      </c>
      <c r="O146" s="187">
        <v>0.545737397515528</v>
      </c>
      <c r="P146" s="187">
        <v>0.0</v>
      </c>
      <c r="Q146" s="187">
        <v>0.0</v>
      </c>
      <c r="R146" s="188">
        <v>94.0</v>
      </c>
      <c r="S146" s="188">
        <v>91.0</v>
      </c>
      <c r="T146" s="188">
        <v>7.0</v>
      </c>
      <c r="U146" s="188">
        <v>4.0</v>
      </c>
      <c r="V146" s="188">
        <v>101.0</v>
      </c>
      <c r="W146" s="188">
        <v>10.0</v>
      </c>
      <c r="X146" s="189">
        <v>3404819.64</v>
      </c>
      <c r="Y146" s="189">
        <v>109729.2</v>
      </c>
      <c r="Z146" s="188">
        <v>42.0</v>
      </c>
      <c r="AA146" s="188">
        <v>4.0</v>
      </c>
      <c r="AB146" s="188">
        <v>46.0</v>
      </c>
      <c r="AC146" s="188">
        <v>0.0</v>
      </c>
      <c r="AD146" s="188">
        <v>16.0</v>
      </c>
      <c r="AE146" s="188">
        <v>39.0</v>
      </c>
      <c r="AF146" s="188">
        <v>54.0</v>
      </c>
      <c r="AG146" s="188">
        <v>1.0</v>
      </c>
      <c r="AH146" s="188">
        <v>66.0</v>
      </c>
      <c r="AI146" s="188">
        <v>0.0</v>
      </c>
      <c r="AJ146" s="188">
        <v>0.0</v>
      </c>
      <c r="AK146" s="188">
        <v>0.0</v>
      </c>
      <c r="AL146" s="188">
        <v>0.0</v>
      </c>
      <c r="AM146" s="188">
        <v>798.0</v>
      </c>
      <c r="AN146" s="188">
        <v>903.0</v>
      </c>
      <c r="AO146" s="188">
        <v>135.0</v>
      </c>
      <c r="AP146" s="186">
        <v>26033.69511111111</v>
      </c>
      <c r="AQ146" s="189">
        <v>5.911111111111111</v>
      </c>
      <c r="AR146" s="186">
        <v>160752.0</v>
      </c>
      <c r="AS146" s="186">
        <v>45020.0</v>
      </c>
      <c r="AT146" s="187">
        <v>0.05854862440892983</v>
      </c>
      <c r="AU146" s="186">
        <v>76403.23565217391</v>
      </c>
      <c r="AV146" s="219">
        <v>141.0</v>
      </c>
      <c r="AW146" s="219">
        <v>1299.0</v>
      </c>
      <c r="AX146" s="257">
        <v>7482.04</v>
      </c>
      <c r="AY146" s="258">
        <v>82.0</v>
      </c>
      <c r="AZ146" s="258">
        <v>46.0</v>
      </c>
      <c r="BA146" s="258">
        <v>45.0</v>
      </c>
      <c r="BB146" s="258">
        <v>10.0</v>
      </c>
      <c r="BC146" s="260"/>
      <c r="BD146" s="260"/>
      <c r="BE146" s="164">
        <v>-0.5600000005215406</v>
      </c>
    </row>
    <row r="147">
      <c r="A147" s="6" t="s">
        <v>126</v>
      </c>
      <c r="B147" s="183" t="s">
        <v>130</v>
      </c>
      <c r="C147" s="184" t="s">
        <v>169</v>
      </c>
      <c r="D147" s="75" t="s">
        <v>151</v>
      </c>
      <c r="E147" s="256">
        <v>45600.0</v>
      </c>
      <c r="F147" s="75" t="s">
        <v>130</v>
      </c>
      <c r="G147" s="186">
        <v>2120729.0</v>
      </c>
      <c r="H147" s="190">
        <v>51910.0</v>
      </c>
      <c r="I147" s="190">
        <v>2083333.0</v>
      </c>
      <c r="J147" s="186">
        <v>0.0</v>
      </c>
      <c r="K147" s="186">
        <v>1.2499998E7</v>
      </c>
      <c r="L147" s="186">
        <v>1.180266073E7</v>
      </c>
      <c r="M147" s="186">
        <v>0.0</v>
      </c>
      <c r="N147" s="186">
        <v>1.1650925E7</v>
      </c>
      <c r="O147" s="187">
        <v>0.9442130094740816</v>
      </c>
      <c r="P147" s="187">
        <v>0.0</v>
      </c>
      <c r="Q147" s="187">
        <v>0.9320741491318638</v>
      </c>
      <c r="R147" s="188">
        <v>117.0</v>
      </c>
      <c r="S147" s="188">
        <v>125.0</v>
      </c>
      <c r="T147" s="188">
        <v>23.0</v>
      </c>
      <c r="U147" s="188">
        <v>17.0</v>
      </c>
      <c r="V147" s="188">
        <v>140.0</v>
      </c>
      <c r="W147" s="188">
        <v>15.0</v>
      </c>
      <c r="X147" s="189">
        <v>9639683.41</v>
      </c>
      <c r="Y147" s="189">
        <v>2162977.32</v>
      </c>
      <c r="Z147" s="188">
        <v>62.0</v>
      </c>
      <c r="AA147" s="188">
        <v>17.0</v>
      </c>
      <c r="AB147" s="188">
        <v>79.0</v>
      </c>
      <c r="AC147" s="188">
        <v>0.0</v>
      </c>
      <c r="AD147" s="188">
        <v>27.0</v>
      </c>
      <c r="AE147" s="188">
        <v>42.0</v>
      </c>
      <c r="AF147" s="188">
        <v>54.0</v>
      </c>
      <c r="AG147" s="188">
        <v>3.0</v>
      </c>
      <c r="AH147" s="188">
        <v>63.0</v>
      </c>
      <c r="AI147" s="188">
        <v>0.0</v>
      </c>
      <c r="AJ147" s="188">
        <v>0.0</v>
      </c>
      <c r="AK147" s="188">
        <v>0.0</v>
      </c>
      <c r="AL147" s="188">
        <v>0.0</v>
      </c>
      <c r="AM147" s="188">
        <v>615.0</v>
      </c>
      <c r="AN147" s="188">
        <v>720.0</v>
      </c>
      <c r="AO147" s="188">
        <v>152.0</v>
      </c>
      <c r="AP147" s="186">
        <v>77649.08375</v>
      </c>
      <c r="AQ147" s="189">
        <v>4.046052631578948</v>
      </c>
      <c r="AR147" s="186">
        <v>311460.0</v>
      </c>
      <c r="AS147" s="186">
        <v>53160.0</v>
      </c>
      <c r="AT147" s="187">
        <v>0.030893034065887275</v>
      </c>
      <c r="AU147" s="186">
        <v>149400.76873417723</v>
      </c>
      <c r="AV147" s="219">
        <v>183.0</v>
      </c>
      <c r="AW147" s="219">
        <v>1234.0</v>
      </c>
      <c r="AX147" s="257">
        <v>11004.66</v>
      </c>
      <c r="AY147" s="258">
        <v>88.0</v>
      </c>
      <c r="AZ147" s="258">
        <v>79.0</v>
      </c>
      <c r="BA147" s="258">
        <v>47.0</v>
      </c>
      <c r="BB147" s="258">
        <v>14.0</v>
      </c>
      <c r="BC147" s="260"/>
      <c r="BD147" s="260"/>
      <c r="BE147" s="164">
        <v>0.9599999990314245</v>
      </c>
    </row>
    <row r="148">
      <c r="A148" s="6" t="s">
        <v>126</v>
      </c>
      <c r="B148" s="183" t="s">
        <v>130</v>
      </c>
      <c r="C148" s="184" t="s">
        <v>170</v>
      </c>
      <c r="D148" s="75" t="s">
        <v>151</v>
      </c>
      <c r="E148" s="256">
        <v>45607.0</v>
      </c>
      <c r="F148" s="75" t="s">
        <v>130</v>
      </c>
      <c r="G148" s="186">
        <v>2524674.0</v>
      </c>
      <c r="H148" s="190">
        <v>33043.0</v>
      </c>
      <c r="I148" s="190">
        <v>1833333.0</v>
      </c>
      <c r="J148" s="186">
        <v>0.0</v>
      </c>
      <c r="K148" s="186">
        <v>1.0999998E7</v>
      </c>
      <c r="L148" s="186">
        <v>4130568.94</v>
      </c>
      <c r="M148" s="186">
        <v>0.0</v>
      </c>
      <c r="N148" s="186">
        <v>4268101.0</v>
      </c>
      <c r="O148" s="187">
        <v>0.37550633554660645</v>
      </c>
      <c r="P148" s="187">
        <v>0.0</v>
      </c>
      <c r="Q148" s="187">
        <v>0.38800925236531864</v>
      </c>
      <c r="R148" s="188">
        <v>108.0</v>
      </c>
      <c r="S148" s="188">
        <v>127.0</v>
      </c>
      <c r="T148" s="188">
        <v>23.0</v>
      </c>
      <c r="U148" s="188">
        <v>17.0</v>
      </c>
      <c r="V148" s="188">
        <v>131.0</v>
      </c>
      <c r="W148" s="188">
        <v>4.0</v>
      </c>
      <c r="X148" s="189">
        <v>3532822.46</v>
      </c>
      <c r="Y148" s="189">
        <v>597746.48</v>
      </c>
      <c r="Z148" s="188">
        <v>35.0</v>
      </c>
      <c r="AA148" s="188">
        <v>17.0</v>
      </c>
      <c r="AB148" s="188">
        <v>52.0</v>
      </c>
      <c r="AC148" s="188">
        <v>0.0</v>
      </c>
      <c r="AD148" s="188">
        <v>93.0</v>
      </c>
      <c r="AE148" s="188">
        <v>156.0</v>
      </c>
      <c r="AF148" s="188">
        <v>56.0</v>
      </c>
      <c r="AG148" s="188">
        <v>2.0</v>
      </c>
      <c r="AH148" s="188">
        <v>89.0</v>
      </c>
      <c r="AI148" s="188">
        <v>0.0</v>
      </c>
      <c r="AJ148" s="188">
        <v>0.0</v>
      </c>
      <c r="AK148" s="188">
        <v>0.0</v>
      </c>
      <c r="AL148" s="188">
        <v>0.0</v>
      </c>
      <c r="AM148" s="188">
        <v>782.0</v>
      </c>
      <c r="AN148" s="188">
        <v>1027.0</v>
      </c>
      <c r="AO148" s="188">
        <v>152.0</v>
      </c>
      <c r="AP148" s="186">
        <v>27174.795657894738</v>
      </c>
      <c r="AQ148" s="189">
        <v>5.144736842105263</v>
      </c>
      <c r="AR148" s="186">
        <v>198258.0</v>
      </c>
      <c r="AS148" s="186">
        <v>20508.0</v>
      </c>
      <c r="AT148" s="187">
        <v>0.05296267976101132</v>
      </c>
      <c r="AU148" s="186">
        <v>79434.01807692308</v>
      </c>
      <c r="AV148" s="219">
        <v>149.0</v>
      </c>
      <c r="AW148" s="219">
        <v>1339.0</v>
      </c>
      <c r="AX148" s="257">
        <v>6775.91</v>
      </c>
      <c r="AY148" s="258">
        <v>53.0</v>
      </c>
      <c r="AZ148" s="258">
        <v>52.0</v>
      </c>
      <c r="BA148" s="258">
        <v>75.0</v>
      </c>
      <c r="BB148" s="258">
        <v>4.0</v>
      </c>
      <c r="BC148" s="260"/>
      <c r="BD148" s="260"/>
      <c r="BE148" s="164">
        <v>-0.5699999998323619</v>
      </c>
    </row>
    <row r="149">
      <c r="A149" s="6" t="s">
        <v>185</v>
      </c>
      <c r="B149" s="183" t="s">
        <v>189</v>
      </c>
      <c r="C149" s="184" t="s">
        <v>418</v>
      </c>
      <c r="D149" s="75" t="s">
        <v>419</v>
      </c>
      <c r="E149" s="256">
        <v>45614.0</v>
      </c>
      <c r="F149" s="75" t="s">
        <v>1108</v>
      </c>
      <c r="G149" s="186">
        <v>322722.0</v>
      </c>
      <c r="H149" s="190">
        <v>46670.0</v>
      </c>
      <c r="I149" s="190"/>
      <c r="J149" s="186">
        <v>0.0</v>
      </c>
      <c r="K149" s="186">
        <v>0.0</v>
      </c>
      <c r="L149" s="186">
        <v>1811404.54</v>
      </c>
      <c r="M149" s="186">
        <v>0.0</v>
      </c>
      <c r="N149" s="186">
        <v>0.0</v>
      </c>
      <c r="O149" s="187"/>
      <c r="P149" s="187">
        <v>0.0</v>
      </c>
      <c r="Q149" s="187"/>
      <c r="R149" s="188">
        <v>56.0</v>
      </c>
      <c r="S149" s="188">
        <v>77.0</v>
      </c>
      <c r="T149" s="188">
        <v>31.0</v>
      </c>
      <c r="U149" s="188">
        <v>31.0</v>
      </c>
      <c r="V149" s="188">
        <v>87.0</v>
      </c>
      <c r="W149" s="188">
        <v>10.0</v>
      </c>
      <c r="X149" s="189">
        <v>975670.12</v>
      </c>
      <c r="Y149" s="189">
        <v>835734.42</v>
      </c>
      <c r="Z149" s="188">
        <v>26.0</v>
      </c>
      <c r="AA149" s="188">
        <v>31.0</v>
      </c>
      <c r="AB149" s="188">
        <v>57.0</v>
      </c>
      <c r="AC149" s="188">
        <v>0.0</v>
      </c>
      <c r="AD149" s="188">
        <v>76.0</v>
      </c>
      <c r="AE149" s="188">
        <v>128.0</v>
      </c>
      <c r="AF149" s="188">
        <v>34.0</v>
      </c>
      <c r="AG149" s="188">
        <v>5.0</v>
      </c>
      <c r="AH149" s="188">
        <v>119.0</v>
      </c>
      <c r="AI149" s="188">
        <v>0.0</v>
      </c>
      <c r="AJ149" s="188">
        <v>0.0</v>
      </c>
      <c r="AK149" s="188">
        <v>6.0</v>
      </c>
      <c r="AL149" s="188">
        <v>15.0</v>
      </c>
      <c r="AM149" s="188">
        <v>512.0</v>
      </c>
      <c r="AN149" s="188">
        <v>774.0</v>
      </c>
      <c r="AO149" s="188">
        <v>147.0</v>
      </c>
      <c r="AP149" s="186">
        <v>12322.479863945578</v>
      </c>
      <c r="AQ149" s="189">
        <v>3.4829931972789114</v>
      </c>
      <c r="AR149" s="186">
        <v>280020.0</v>
      </c>
      <c r="AS149" s="186">
        <v>66422.0</v>
      </c>
      <c r="AT149" s="187">
        <v>0.1912560073411321</v>
      </c>
      <c r="AU149" s="186">
        <v>31779.02701754386</v>
      </c>
      <c r="AV149" s="219">
        <v>117.0</v>
      </c>
      <c r="AW149" s="219">
        <v>1448.0</v>
      </c>
      <c r="AX149" s="257">
        <v>6062.0</v>
      </c>
      <c r="AY149" s="258">
        <v>79.0</v>
      </c>
      <c r="AZ149" s="258">
        <v>57.0</v>
      </c>
      <c r="BA149" s="258">
        <v>20.0</v>
      </c>
      <c r="BB149" s="258">
        <v>10.0</v>
      </c>
      <c r="BC149" s="260"/>
      <c r="BD149" s="260"/>
      <c r="BE149" s="164">
        <v>0.0</v>
      </c>
    </row>
    <row r="150">
      <c r="A150" s="6" t="s">
        <v>185</v>
      </c>
      <c r="B150" s="183" t="s">
        <v>212</v>
      </c>
      <c r="C150" s="184" t="s">
        <v>273</v>
      </c>
      <c r="D150" s="75" t="s">
        <v>274</v>
      </c>
      <c r="E150" s="256">
        <v>45628.0</v>
      </c>
      <c r="F150" s="75" t="s">
        <v>1031</v>
      </c>
      <c r="G150" s="186">
        <v>3867360.0</v>
      </c>
      <c r="H150" s="190">
        <v>26755.0</v>
      </c>
      <c r="I150" s="190">
        <v>1500000.0</v>
      </c>
      <c r="J150" s="186">
        <v>0.0</v>
      </c>
      <c r="K150" s="186">
        <v>9000000.0</v>
      </c>
      <c r="L150" s="186">
        <v>5993257.66</v>
      </c>
      <c r="M150" s="186">
        <v>0.0</v>
      </c>
      <c r="N150" s="186">
        <v>7372521.0</v>
      </c>
      <c r="O150" s="187">
        <v>0.6659175177777777</v>
      </c>
      <c r="P150" s="187">
        <v>0.0</v>
      </c>
      <c r="Q150" s="187">
        <v>0.819169</v>
      </c>
      <c r="R150" s="188">
        <v>70.0</v>
      </c>
      <c r="S150" s="188">
        <v>74.0</v>
      </c>
      <c r="T150" s="188">
        <v>10.0</v>
      </c>
      <c r="U150" s="188">
        <v>10.0</v>
      </c>
      <c r="V150" s="188">
        <v>80.0</v>
      </c>
      <c r="W150" s="188">
        <v>6.0</v>
      </c>
      <c r="X150" s="189">
        <v>5083120.13</v>
      </c>
      <c r="Y150" s="189">
        <v>910137.53</v>
      </c>
      <c r="Z150" s="188">
        <v>36.0</v>
      </c>
      <c r="AA150" s="188">
        <v>10.0</v>
      </c>
      <c r="AB150" s="188">
        <v>46.0</v>
      </c>
      <c r="AC150" s="188">
        <v>0.0</v>
      </c>
      <c r="AD150" s="188">
        <v>96.0</v>
      </c>
      <c r="AE150" s="188">
        <v>176.0</v>
      </c>
      <c r="AF150" s="188">
        <v>65.0</v>
      </c>
      <c r="AG150" s="188">
        <v>1.0</v>
      </c>
      <c r="AH150" s="188">
        <v>33.0</v>
      </c>
      <c r="AI150" s="188">
        <v>0.0</v>
      </c>
      <c r="AJ150" s="188">
        <v>0.0</v>
      </c>
      <c r="AK150" s="188">
        <v>3.0</v>
      </c>
      <c r="AL150" s="188">
        <v>3.0</v>
      </c>
      <c r="AM150" s="188">
        <v>594.0</v>
      </c>
      <c r="AN150" s="188">
        <v>806.0</v>
      </c>
      <c r="AO150" s="188">
        <v>143.0</v>
      </c>
      <c r="AP150" s="186">
        <v>41910.89272727273</v>
      </c>
      <c r="AQ150" s="189">
        <v>4.153846153846154</v>
      </c>
      <c r="AR150" s="186">
        <v>160530.0</v>
      </c>
      <c r="AS150" s="186">
        <v>48121.0</v>
      </c>
      <c r="AT150" s="187">
        <v>0.03481428829475688</v>
      </c>
      <c r="AU150" s="186">
        <v>130288.21</v>
      </c>
      <c r="AV150" s="219">
        <v>120.0</v>
      </c>
      <c r="AW150" s="219">
        <v>1516.0</v>
      </c>
      <c r="AX150" s="257">
        <v>7971.19</v>
      </c>
      <c r="AY150" s="258">
        <v>108.0</v>
      </c>
      <c r="AZ150" s="258">
        <v>46.0</v>
      </c>
      <c r="BA150" s="258">
        <v>28.0</v>
      </c>
      <c r="BB150" s="258">
        <v>6.0</v>
      </c>
      <c r="BC150" s="260"/>
      <c r="BD150" s="260"/>
      <c r="BE150" s="164">
        <v>0.7000000001862645</v>
      </c>
    </row>
    <row r="151">
      <c r="A151" s="6" t="s">
        <v>185</v>
      </c>
      <c r="B151" s="183" t="s">
        <v>85</v>
      </c>
      <c r="C151" s="184" t="s">
        <v>90</v>
      </c>
      <c r="D151" s="75" t="s">
        <v>91</v>
      </c>
      <c r="E151" s="256">
        <v>45635.0</v>
      </c>
      <c r="F151" s="75" t="s">
        <v>1058</v>
      </c>
      <c r="G151" s="186">
        <v>1158936.1400000001</v>
      </c>
      <c r="H151" s="190">
        <v>36188.0</v>
      </c>
      <c r="I151" s="190">
        <v>1250000.0</v>
      </c>
      <c r="J151" s="186">
        <v>0.0</v>
      </c>
      <c r="K151" s="186">
        <v>7500000.0</v>
      </c>
      <c r="L151" s="186">
        <v>4842933.25</v>
      </c>
      <c r="M151" s="186">
        <v>0.0</v>
      </c>
      <c r="N151" s="186">
        <v>5533866.6</v>
      </c>
      <c r="O151" s="187">
        <v>0.6457244333333333</v>
      </c>
      <c r="P151" s="187">
        <v>0.0</v>
      </c>
      <c r="Q151" s="187">
        <v>0.7378488799999999</v>
      </c>
      <c r="R151" s="188">
        <v>82.0</v>
      </c>
      <c r="S151" s="188">
        <v>112.0</v>
      </c>
      <c r="T151" s="188">
        <v>36.0</v>
      </c>
      <c r="U151" s="188">
        <v>35.0</v>
      </c>
      <c r="V151" s="188">
        <v>118.0</v>
      </c>
      <c r="W151" s="188">
        <v>6.0</v>
      </c>
      <c r="X151" s="189">
        <v>3529466.55</v>
      </c>
      <c r="Y151" s="189">
        <v>1313466.7</v>
      </c>
      <c r="Z151" s="188">
        <v>45.0</v>
      </c>
      <c r="AA151" s="188">
        <v>35.0</v>
      </c>
      <c r="AB151" s="188">
        <v>80.0</v>
      </c>
      <c r="AC151" s="188">
        <v>0.0</v>
      </c>
      <c r="AD151" s="188">
        <v>48.0</v>
      </c>
      <c r="AE151" s="188">
        <v>93.0</v>
      </c>
      <c r="AF151" s="188">
        <v>32.0</v>
      </c>
      <c r="AG151" s="188">
        <v>5.0</v>
      </c>
      <c r="AH151" s="188">
        <v>105.0</v>
      </c>
      <c r="AI151" s="188">
        <v>3.0</v>
      </c>
      <c r="AJ151" s="188">
        <v>18.0</v>
      </c>
      <c r="AK151" s="188">
        <v>4.0</v>
      </c>
      <c r="AL151" s="188">
        <v>24.0</v>
      </c>
      <c r="AM151" s="188">
        <v>890.0</v>
      </c>
      <c r="AN151" s="188">
        <v>1130.0</v>
      </c>
      <c r="AO151" s="188">
        <v>150.0</v>
      </c>
      <c r="AP151" s="186">
        <v>32286.221666666668</v>
      </c>
      <c r="AQ151" s="189">
        <v>5.933333333333334</v>
      </c>
      <c r="AR151" s="186">
        <v>217128.0</v>
      </c>
      <c r="AS151" s="186">
        <v>49763.0</v>
      </c>
      <c r="AT151" s="187">
        <v>0.05510936992575729</v>
      </c>
      <c r="AU151" s="186">
        <v>60536.665625</v>
      </c>
      <c r="AV151" s="219">
        <v>268.0</v>
      </c>
      <c r="AW151" s="219">
        <v>1774.0</v>
      </c>
      <c r="AX151" s="257">
        <v>13800.94</v>
      </c>
      <c r="AY151" s="258">
        <v>123.0</v>
      </c>
      <c r="AZ151" s="258">
        <v>80.0</v>
      </c>
      <c r="BA151" s="258">
        <v>32.0</v>
      </c>
      <c r="BB151" s="258">
        <v>6.0</v>
      </c>
      <c r="BC151" s="260"/>
      <c r="BD151" s="260"/>
      <c r="BE151" s="164">
        <v>-0.049999999813735485</v>
      </c>
    </row>
    <row r="152">
      <c r="A152" s="6" t="s">
        <v>111</v>
      </c>
      <c r="B152" s="183" t="s">
        <v>1228</v>
      </c>
      <c r="C152" s="184" t="s">
        <v>124</v>
      </c>
      <c r="D152" s="75" t="s">
        <v>125</v>
      </c>
      <c r="E152" s="256">
        <v>45636.0</v>
      </c>
      <c r="F152" s="75" t="s">
        <v>1051</v>
      </c>
      <c r="G152" s="186">
        <v>2196264.0</v>
      </c>
      <c r="H152" s="190">
        <v>51910.0</v>
      </c>
      <c r="I152" s="190">
        <v>2125000.0</v>
      </c>
      <c r="J152" s="186">
        <v>0.0</v>
      </c>
      <c r="K152" s="186">
        <v>1.0625E7</v>
      </c>
      <c r="L152" s="186">
        <v>7529726.46</v>
      </c>
      <c r="M152" s="186">
        <v>0.0</v>
      </c>
      <c r="N152" s="186">
        <v>6541202.0</v>
      </c>
      <c r="O152" s="187">
        <v>0.7086801374117647</v>
      </c>
      <c r="P152" s="187">
        <v>0.0</v>
      </c>
      <c r="Q152" s="187">
        <v>0.6156425411764705</v>
      </c>
      <c r="R152" s="188">
        <v>89.0</v>
      </c>
      <c r="S152" s="188">
        <v>139.0</v>
      </c>
      <c r="T152" s="188">
        <v>59.0</v>
      </c>
      <c r="U152" s="188">
        <v>59.0</v>
      </c>
      <c r="V152" s="188">
        <v>148.0</v>
      </c>
      <c r="W152" s="188">
        <v>9.0</v>
      </c>
      <c r="X152" s="189">
        <v>4237780.58</v>
      </c>
      <c r="Y152" s="189">
        <v>3291945.88</v>
      </c>
      <c r="Z152" s="188">
        <v>56.0</v>
      </c>
      <c r="AA152" s="188">
        <v>59.0</v>
      </c>
      <c r="AB152" s="188">
        <v>115.0</v>
      </c>
      <c r="AC152" s="188">
        <v>0.0</v>
      </c>
      <c r="AD152" s="188">
        <v>222.0</v>
      </c>
      <c r="AE152" s="188">
        <v>449.0</v>
      </c>
      <c r="AF152" s="188">
        <v>90.0</v>
      </c>
      <c r="AG152" s="188">
        <v>2.0</v>
      </c>
      <c r="AH152" s="188">
        <v>29.0</v>
      </c>
      <c r="AI152" s="188">
        <v>1.0</v>
      </c>
      <c r="AJ152" s="188">
        <v>1.0</v>
      </c>
      <c r="AK152" s="188">
        <v>4.0</v>
      </c>
      <c r="AL152" s="188">
        <v>16.0</v>
      </c>
      <c r="AM152" s="188">
        <v>523.0</v>
      </c>
      <c r="AN152" s="188">
        <v>1018.0</v>
      </c>
      <c r="AO152" s="188">
        <v>115.0</v>
      </c>
      <c r="AP152" s="186">
        <v>65475.88226086956</v>
      </c>
      <c r="AQ152" s="189">
        <v>4.547826086956522</v>
      </c>
      <c r="AR152" s="186">
        <v>236190.5</v>
      </c>
      <c r="AS152" s="186">
        <v>44755.0</v>
      </c>
      <c r="AT152" s="187">
        <v>0.03731151476650056</v>
      </c>
      <c r="AU152" s="186">
        <v>65475.88226086956</v>
      </c>
      <c r="AV152" s="219">
        <v>224.0</v>
      </c>
      <c r="AW152" s="219">
        <v>1397.0</v>
      </c>
      <c r="AX152" s="257">
        <v>9116.15</v>
      </c>
      <c r="AY152" s="258">
        <v>66.0</v>
      </c>
      <c r="AZ152" s="258">
        <v>115.0</v>
      </c>
      <c r="BA152" s="258">
        <v>26.0</v>
      </c>
      <c r="BB152" s="258">
        <v>7.0</v>
      </c>
      <c r="BC152" s="260"/>
      <c r="BD152" s="260" t="s">
        <v>1109</v>
      </c>
      <c r="BE152" s="164">
        <v>-0.1699999999254942</v>
      </c>
    </row>
    <row r="153">
      <c r="A153" s="6" t="s">
        <v>185</v>
      </c>
      <c r="B153" s="183" t="s">
        <v>189</v>
      </c>
      <c r="C153" s="184" t="s">
        <v>275</v>
      </c>
      <c r="D153" s="75" t="s">
        <v>276</v>
      </c>
      <c r="E153" s="256">
        <v>45637.0</v>
      </c>
      <c r="F153" s="75" t="s">
        <v>1016</v>
      </c>
      <c r="G153" s="186">
        <v>2407183.0</v>
      </c>
      <c r="H153" s="190">
        <v>34090.0</v>
      </c>
      <c r="I153" s="190">
        <v>4250000.0</v>
      </c>
      <c r="J153" s="186">
        <v>0.0</v>
      </c>
      <c r="K153" s="186">
        <v>2.55E7</v>
      </c>
      <c r="L153" s="186">
        <v>1.725653981E7</v>
      </c>
      <c r="M153" s="186">
        <v>0.0</v>
      </c>
      <c r="N153" s="186">
        <v>1.6810561E7</v>
      </c>
      <c r="O153" s="187">
        <v>0.676727051372549</v>
      </c>
      <c r="P153" s="187">
        <v>0.0</v>
      </c>
      <c r="Q153" s="187">
        <v>0.6592376862745098</v>
      </c>
      <c r="R153" s="188">
        <v>79.0</v>
      </c>
      <c r="S153" s="188">
        <v>88.0</v>
      </c>
      <c r="T153" s="188">
        <v>10.0</v>
      </c>
      <c r="U153" s="188">
        <v>10.0</v>
      </c>
      <c r="V153" s="188">
        <v>89.0</v>
      </c>
      <c r="W153" s="188">
        <v>1.0</v>
      </c>
      <c r="X153" s="189">
        <v>1.505574353E7</v>
      </c>
      <c r="Y153" s="189">
        <v>2200796.28</v>
      </c>
      <c r="Z153" s="188">
        <v>50.0</v>
      </c>
      <c r="AA153" s="188">
        <v>10.0</v>
      </c>
      <c r="AB153" s="188">
        <v>60.0</v>
      </c>
      <c r="AC153" s="188">
        <v>0.0</v>
      </c>
      <c r="AD153" s="188">
        <v>19.0</v>
      </c>
      <c r="AE153" s="188">
        <v>30.0</v>
      </c>
      <c r="AF153" s="188">
        <v>18.0</v>
      </c>
      <c r="AG153" s="188">
        <v>2.0</v>
      </c>
      <c r="AH153" s="188">
        <v>18.0</v>
      </c>
      <c r="AI153" s="188">
        <v>0.0</v>
      </c>
      <c r="AJ153" s="188">
        <v>0.0</v>
      </c>
      <c r="AK153" s="188">
        <v>0.0</v>
      </c>
      <c r="AL153" s="188">
        <v>0.0</v>
      </c>
      <c r="AM153" s="188">
        <v>747.0</v>
      </c>
      <c r="AN153" s="188">
        <v>795.0</v>
      </c>
      <c r="AO153" s="188">
        <v>151.0</v>
      </c>
      <c r="AP153" s="186">
        <v>114281.72059602648</v>
      </c>
      <c r="AQ153" s="189">
        <v>4.947019867549669</v>
      </c>
      <c r="AR153" s="186">
        <v>204540.0</v>
      </c>
      <c r="AS153" s="186">
        <v>32388.0</v>
      </c>
      <c r="AT153" s="187">
        <v>0.013729751306383133</v>
      </c>
      <c r="AU153" s="186">
        <v>287608.99683333334</v>
      </c>
      <c r="AV153" s="219">
        <v>178.0</v>
      </c>
      <c r="AW153" s="219">
        <v>1628.0</v>
      </c>
      <c r="AX153" s="257">
        <v>13065.97</v>
      </c>
      <c r="AY153" s="258">
        <v>148.0</v>
      </c>
      <c r="AZ153" s="258">
        <v>60.0</v>
      </c>
      <c r="BA153" s="258">
        <v>28.0</v>
      </c>
      <c r="BB153" s="258">
        <v>1.0</v>
      </c>
      <c r="BC153" s="260"/>
      <c r="BD153" s="260"/>
      <c r="BE153" s="164">
        <v>-3.3299999982118607</v>
      </c>
    </row>
    <row r="154">
      <c r="A154" s="6" t="s">
        <v>322</v>
      </c>
      <c r="B154" s="183" t="s">
        <v>325</v>
      </c>
      <c r="C154" s="184" t="s">
        <v>326</v>
      </c>
      <c r="D154" s="75" t="s">
        <v>327</v>
      </c>
      <c r="E154" s="256">
        <v>45638.0</v>
      </c>
      <c r="F154" s="75" t="s">
        <v>1049</v>
      </c>
      <c r="G154" s="186">
        <v>0.0</v>
      </c>
      <c r="H154" s="190">
        <v>47720.0</v>
      </c>
      <c r="I154" s="190">
        <v>1041667.0</v>
      </c>
      <c r="J154" s="186">
        <v>0.0</v>
      </c>
      <c r="K154" s="186">
        <v>6250002.0</v>
      </c>
      <c r="L154" s="186">
        <v>199589.86</v>
      </c>
      <c r="M154" s="186">
        <v>0.0</v>
      </c>
      <c r="N154" s="186">
        <v>0.0</v>
      </c>
      <c r="O154" s="187">
        <v>0.031934367381002436</v>
      </c>
      <c r="P154" s="187">
        <v>0.0</v>
      </c>
      <c r="Q154" s="187">
        <v>0.0</v>
      </c>
      <c r="R154" s="188">
        <v>97.0</v>
      </c>
      <c r="S154" s="188">
        <v>11.0</v>
      </c>
      <c r="T154" s="188">
        <v>0.0</v>
      </c>
      <c r="U154" s="188">
        <v>0.0</v>
      </c>
      <c r="V154" s="188">
        <v>97.0</v>
      </c>
      <c r="W154" s="188">
        <v>86.0</v>
      </c>
      <c r="X154" s="189">
        <v>199589.86</v>
      </c>
      <c r="Y154" s="189">
        <v>0.0</v>
      </c>
      <c r="Z154" s="188">
        <v>13.0</v>
      </c>
      <c r="AA154" s="188">
        <v>0.0</v>
      </c>
      <c r="AB154" s="188">
        <v>13.0</v>
      </c>
      <c r="AC154" s="188">
        <v>0.0</v>
      </c>
      <c r="AD154" s="188">
        <v>132.0</v>
      </c>
      <c r="AE154" s="188">
        <v>331.0</v>
      </c>
      <c r="AF154" s="188">
        <v>134.0</v>
      </c>
      <c r="AG154" s="188">
        <v>2.0</v>
      </c>
      <c r="AH154" s="188">
        <v>21.0</v>
      </c>
      <c r="AI154" s="188">
        <v>0.0</v>
      </c>
      <c r="AJ154" s="188">
        <v>0.0</v>
      </c>
      <c r="AK154" s="188">
        <v>0.0</v>
      </c>
      <c r="AL154" s="188">
        <v>0.0</v>
      </c>
      <c r="AM154" s="188">
        <v>15.0</v>
      </c>
      <c r="AN154" s="188">
        <v>367.0</v>
      </c>
      <c r="AO154" s="188">
        <v>139.0</v>
      </c>
      <c r="AP154" s="186">
        <v>1435.8982733812948</v>
      </c>
      <c r="AQ154" s="189">
        <v>0.1079136690647482</v>
      </c>
      <c r="AR154" s="186">
        <v>286320.0</v>
      </c>
      <c r="AS154" s="186">
        <v>43643.0</v>
      </c>
      <c r="AT154" s="187">
        <v>1.6532052279609797</v>
      </c>
      <c r="AU154" s="186">
        <v>15353.066153846154</v>
      </c>
      <c r="AV154" s="219">
        <v>23.0</v>
      </c>
      <c r="AW154" s="219">
        <v>1579.0</v>
      </c>
      <c r="AX154" s="257">
        <v>5513.2</v>
      </c>
      <c r="AY154" s="258">
        <v>501.0</v>
      </c>
      <c r="AZ154" s="258">
        <v>13.0</v>
      </c>
      <c r="BA154" s="258">
        <v>6.0</v>
      </c>
      <c r="BB154" s="258">
        <v>78.0</v>
      </c>
      <c r="BC154" s="260"/>
      <c r="BD154" s="260"/>
      <c r="BE154" s="164">
        <v>0.0</v>
      </c>
    </row>
    <row r="155">
      <c r="A155" s="6" t="s">
        <v>126</v>
      </c>
      <c r="B155" s="183" t="s">
        <v>130</v>
      </c>
      <c r="C155" s="184" t="s">
        <v>446</v>
      </c>
      <c r="D155" s="75" t="s">
        <v>129</v>
      </c>
      <c r="E155" s="256">
        <v>45639.0</v>
      </c>
      <c r="F155" s="75" t="s">
        <v>130</v>
      </c>
      <c r="G155" s="186">
        <v>2332678.0</v>
      </c>
      <c r="H155" s="190">
        <v>35140.0</v>
      </c>
      <c r="I155" s="190">
        <v>1791667.0</v>
      </c>
      <c r="J155" s="186">
        <v>0.0</v>
      </c>
      <c r="K155" s="186">
        <v>1.0750002E7</v>
      </c>
      <c r="L155" s="186">
        <v>4367670.1</v>
      </c>
      <c r="M155" s="186">
        <v>0.0</v>
      </c>
      <c r="N155" s="186">
        <v>3354528.0</v>
      </c>
      <c r="O155" s="187">
        <v>0.4062948174335223</v>
      </c>
      <c r="P155" s="187">
        <v>0.0</v>
      </c>
      <c r="Q155" s="187">
        <v>0.31204905822343104</v>
      </c>
      <c r="R155" s="188">
        <v>41.0</v>
      </c>
      <c r="S155" s="188">
        <v>52.0</v>
      </c>
      <c r="T155" s="188">
        <v>19.0</v>
      </c>
      <c r="U155" s="188">
        <v>18.0</v>
      </c>
      <c r="V155" s="188">
        <v>60.0</v>
      </c>
      <c r="W155" s="188">
        <v>8.0</v>
      </c>
      <c r="X155" s="189">
        <v>3150576.37</v>
      </c>
      <c r="Y155" s="189">
        <v>1217093.73</v>
      </c>
      <c r="Z155" s="188">
        <v>27.0</v>
      </c>
      <c r="AA155" s="188">
        <v>18.0</v>
      </c>
      <c r="AB155" s="188">
        <v>45.0</v>
      </c>
      <c r="AC155" s="188">
        <v>0.0</v>
      </c>
      <c r="AD155" s="188">
        <v>86.0</v>
      </c>
      <c r="AE155" s="188">
        <v>173.0</v>
      </c>
      <c r="AF155" s="188">
        <v>37.0</v>
      </c>
      <c r="AG155" s="188">
        <v>4.0</v>
      </c>
      <c r="AH155" s="188">
        <v>101.0</v>
      </c>
      <c r="AI155" s="188">
        <v>0.0</v>
      </c>
      <c r="AJ155" s="188">
        <v>0.0</v>
      </c>
      <c r="AK155" s="188">
        <v>0.0</v>
      </c>
      <c r="AL155" s="188">
        <v>0.0</v>
      </c>
      <c r="AM155" s="188">
        <v>430.0</v>
      </c>
      <c r="AN155" s="188">
        <v>704.0</v>
      </c>
      <c r="AO155" s="188">
        <v>126.0</v>
      </c>
      <c r="AP155" s="186">
        <v>34664.04841269841</v>
      </c>
      <c r="AQ155" s="189">
        <v>3.4126984126984126</v>
      </c>
      <c r="AR155" s="186">
        <v>190927.33333333334</v>
      </c>
      <c r="AS155" s="186">
        <v>25450.0</v>
      </c>
      <c r="AT155" s="187">
        <v>0.04954067692368372</v>
      </c>
      <c r="AU155" s="186">
        <v>97059.33555555555</v>
      </c>
      <c r="AV155" s="219">
        <v>103.0</v>
      </c>
      <c r="AW155" s="219">
        <v>1014.0</v>
      </c>
      <c r="AX155" s="257">
        <v>3777.4</v>
      </c>
      <c r="AY155" s="258">
        <v>73.0</v>
      </c>
      <c r="AZ155" s="258">
        <v>45.0</v>
      </c>
      <c r="BA155" s="258">
        <v>10.0</v>
      </c>
      <c r="BB155" s="258">
        <v>5.0</v>
      </c>
      <c r="BC155" s="260">
        <v>45913.0</v>
      </c>
      <c r="BD155" s="260"/>
      <c r="BE155" s="164">
        <v>0.03171875048428774</v>
      </c>
    </row>
    <row r="156">
      <c r="A156" s="6" t="s">
        <v>185</v>
      </c>
      <c r="B156" s="183" t="s">
        <v>215</v>
      </c>
      <c r="C156" s="184" t="s">
        <v>277</v>
      </c>
      <c r="D156" s="75" t="s">
        <v>278</v>
      </c>
      <c r="E156" s="256">
        <v>45639.0</v>
      </c>
      <c r="F156" s="75" t="s">
        <v>1064</v>
      </c>
      <c r="G156" s="186">
        <v>0.0</v>
      </c>
      <c r="H156" s="190">
        <v>33568.0</v>
      </c>
      <c r="I156" s="190">
        <v>2000000.0</v>
      </c>
      <c r="J156" s="186">
        <v>0.0</v>
      </c>
      <c r="K156" s="186">
        <v>1.2E7</v>
      </c>
      <c r="L156" s="186">
        <v>8413736.68</v>
      </c>
      <c r="M156" s="186">
        <v>0.0</v>
      </c>
      <c r="N156" s="186">
        <v>1.0651095E7</v>
      </c>
      <c r="O156" s="187">
        <v>0.7011447233333333</v>
      </c>
      <c r="P156" s="187">
        <v>0.0</v>
      </c>
      <c r="Q156" s="187">
        <v>0.88759125</v>
      </c>
      <c r="R156" s="188">
        <v>84.0</v>
      </c>
      <c r="S156" s="188">
        <v>87.0</v>
      </c>
      <c r="T156" s="188">
        <v>12.0</v>
      </c>
      <c r="U156" s="188">
        <v>11.0</v>
      </c>
      <c r="V156" s="188">
        <v>96.0</v>
      </c>
      <c r="W156" s="188">
        <v>9.0</v>
      </c>
      <c r="X156" s="189">
        <v>7308314.06</v>
      </c>
      <c r="Y156" s="189">
        <v>1105422.62</v>
      </c>
      <c r="Z156" s="188">
        <v>37.0</v>
      </c>
      <c r="AA156" s="188">
        <v>11.0</v>
      </c>
      <c r="AB156" s="188">
        <v>48.0</v>
      </c>
      <c r="AC156" s="188">
        <v>0.0</v>
      </c>
      <c r="AD156" s="188">
        <v>123.0</v>
      </c>
      <c r="AE156" s="188">
        <v>208.0</v>
      </c>
      <c r="AF156" s="188">
        <v>78.0</v>
      </c>
      <c r="AG156" s="188">
        <v>1.0</v>
      </c>
      <c r="AH156" s="188">
        <v>43.0</v>
      </c>
      <c r="AI156" s="188">
        <v>0.0</v>
      </c>
      <c r="AJ156" s="188">
        <v>0.0</v>
      </c>
      <c r="AK156" s="188">
        <v>0.0</v>
      </c>
      <c r="AL156" s="188">
        <v>0.0</v>
      </c>
      <c r="AM156" s="188">
        <v>446.0</v>
      </c>
      <c r="AN156" s="188">
        <v>697.0</v>
      </c>
      <c r="AO156" s="188">
        <v>143.0</v>
      </c>
      <c r="AP156" s="186">
        <v>58837.31944055944</v>
      </c>
      <c r="AQ156" s="189">
        <v>3.1188811188811187</v>
      </c>
      <c r="AR156" s="186">
        <v>201408.0</v>
      </c>
      <c r="AS156" s="186">
        <v>30115.0</v>
      </c>
      <c r="AT156" s="187">
        <v>0.027517262401418534</v>
      </c>
      <c r="AU156" s="186">
        <v>175286.18083333332</v>
      </c>
      <c r="AV156" s="219">
        <v>112.0</v>
      </c>
      <c r="AW156" s="219">
        <v>1344.0</v>
      </c>
      <c r="AX156" s="257">
        <v>7481.39</v>
      </c>
      <c r="AY156" s="258">
        <v>86.0</v>
      </c>
      <c r="AZ156" s="258">
        <v>48.0</v>
      </c>
      <c r="BA156" s="258">
        <v>39.0</v>
      </c>
      <c r="BB156" s="258">
        <v>9.0</v>
      </c>
      <c r="BC156" s="260"/>
      <c r="BD156" s="260"/>
      <c r="BE156" s="164">
        <v>1.349999999627471</v>
      </c>
    </row>
    <row r="157">
      <c r="A157" s="6" t="s">
        <v>185</v>
      </c>
      <c r="B157" s="183" t="s">
        <v>212</v>
      </c>
      <c r="C157" s="184" t="s">
        <v>279</v>
      </c>
      <c r="D157" s="75" t="s">
        <v>280</v>
      </c>
      <c r="E157" s="256">
        <v>45640.0</v>
      </c>
      <c r="F157" s="75" t="s">
        <v>1031</v>
      </c>
      <c r="G157" s="186">
        <v>3804407.77</v>
      </c>
      <c r="H157" s="190">
        <v>28850.0</v>
      </c>
      <c r="I157" s="190">
        <v>2000000.0</v>
      </c>
      <c r="J157" s="186">
        <v>0.0</v>
      </c>
      <c r="K157" s="186">
        <v>1.2E7</v>
      </c>
      <c r="L157" s="186">
        <v>7025987.48</v>
      </c>
      <c r="M157" s="186">
        <v>0.0</v>
      </c>
      <c r="N157" s="186">
        <v>7041734.220000001</v>
      </c>
      <c r="O157" s="187">
        <v>0.5854989566666667</v>
      </c>
      <c r="P157" s="187">
        <v>0.0</v>
      </c>
      <c r="Q157" s="187">
        <v>0.5868111850000001</v>
      </c>
      <c r="R157" s="188">
        <v>17.0</v>
      </c>
      <c r="S157" s="188">
        <v>25.0</v>
      </c>
      <c r="T157" s="188">
        <v>8.0</v>
      </c>
      <c r="U157" s="188">
        <v>8.0</v>
      </c>
      <c r="V157" s="188">
        <v>25.0</v>
      </c>
      <c r="W157" s="188">
        <v>0.0</v>
      </c>
      <c r="X157" s="189">
        <v>5518867.42</v>
      </c>
      <c r="Y157" s="189">
        <v>1507120.06</v>
      </c>
      <c r="Z157" s="188">
        <v>16.0</v>
      </c>
      <c r="AA157" s="188">
        <v>8.0</v>
      </c>
      <c r="AB157" s="188">
        <v>24.0</v>
      </c>
      <c r="AC157" s="188">
        <v>0.0</v>
      </c>
      <c r="AD157" s="188">
        <v>91.0</v>
      </c>
      <c r="AE157" s="188">
        <v>214.0</v>
      </c>
      <c r="AF157" s="188">
        <v>22.0</v>
      </c>
      <c r="AG157" s="188">
        <v>1.0</v>
      </c>
      <c r="AH157" s="188">
        <v>20.0</v>
      </c>
      <c r="AI157" s="188">
        <v>0.0</v>
      </c>
      <c r="AJ157" s="188">
        <v>0.0</v>
      </c>
      <c r="AK157" s="188">
        <v>0.0</v>
      </c>
      <c r="AL157" s="188">
        <v>0.0</v>
      </c>
      <c r="AM157" s="188">
        <v>311.0</v>
      </c>
      <c r="AN157" s="188">
        <v>545.0</v>
      </c>
      <c r="AO157" s="188">
        <v>132.0</v>
      </c>
      <c r="AP157" s="186">
        <v>53227.17787878788</v>
      </c>
      <c r="AQ157" s="189">
        <v>2.356060606060606</v>
      </c>
      <c r="AR157" s="186">
        <v>173100.0</v>
      </c>
      <c r="AS157" s="186">
        <v>27148.0</v>
      </c>
      <c r="AT157" s="187">
        <v>0.028501047086978298</v>
      </c>
      <c r="AU157" s="186">
        <v>292749.47833333333</v>
      </c>
      <c r="AV157" s="219">
        <v>112.0</v>
      </c>
      <c r="AW157" s="219">
        <v>1474.0</v>
      </c>
      <c r="AX157" s="257">
        <v>7462.3</v>
      </c>
      <c r="AY157" s="258">
        <v>298.0</v>
      </c>
      <c r="AZ157" s="258">
        <v>24.0</v>
      </c>
      <c r="BA157" s="258">
        <v>1.0</v>
      </c>
      <c r="BB157" s="258">
        <v>0.0</v>
      </c>
      <c r="BC157" s="260"/>
      <c r="BD157" s="260"/>
      <c r="BE157" s="164">
        <v>-0.2099999999627471</v>
      </c>
    </row>
    <row r="158">
      <c r="A158" s="6" t="s">
        <v>185</v>
      </c>
      <c r="B158" s="183" t="s">
        <v>85</v>
      </c>
      <c r="C158" s="184" t="s">
        <v>388</v>
      </c>
      <c r="D158" s="75" t="s">
        <v>389</v>
      </c>
      <c r="E158" s="256">
        <v>45646.0</v>
      </c>
      <c r="F158" s="75" t="s">
        <v>1058</v>
      </c>
      <c r="G158" s="186">
        <v>386440.49000000005</v>
      </c>
      <c r="H158" s="190">
        <v>33570.0</v>
      </c>
      <c r="I158" s="190"/>
      <c r="J158" s="186">
        <v>0.0</v>
      </c>
      <c r="K158" s="186">
        <v>0.0</v>
      </c>
      <c r="L158" s="186">
        <v>47630.0</v>
      </c>
      <c r="M158" s="186">
        <v>0.0</v>
      </c>
      <c r="N158" s="186">
        <v>0.0</v>
      </c>
      <c r="O158" s="187"/>
      <c r="P158" s="187">
        <v>0.0</v>
      </c>
      <c r="Q158" s="187"/>
      <c r="R158" s="188">
        <v>30.0</v>
      </c>
      <c r="S158" s="188">
        <v>13.0</v>
      </c>
      <c r="T158" s="188">
        <v>3.0</v>
      </c>
      <c r="U158" s="188">
        <v>0.0</v>
      </c>
      <c r="V158" s="188">
        <v>33.0</v>
      </c>
      <c r="W158" s="188">
        <v>20.0</v>
      </c>
      <c r="X158" s="189">
        <v>47630.0</v>
      </c>
      <c r="Y158" s="189">
        <v>0.0</v>
      </c>
      <c r="Z158" s="188">
        <v>8.0</v>
      </c>
      <c r="AA158" s="188">
        <v>0.0</v>
      </c>
      <c r="AB158" s="188">
        <v>8.0</v>
      </c>
      <c r="AC158" s="188">
        <v>0.0</v>
      </c>
      <c r="AD158" s="188">
        <v>18.0</v>
      </c>
      <c r="AE158" s="188">
        <v>19.0</v>
      </c>
      <c r="AF158" s="188">
        <v>77.0</v>
      </c>
      <c r="AG158" s="188">
        <v>1.0</v>
      </c>
      <c r="AH158" s="188">
        <v>2.0</v>
      </c>
      <c r="AI158" s="188">
        <v>0.0</v>
      </c>
      <c r="AJ158" s="188">
        <v>0.0</v>
      </c>
      <c r="AK158" s="188">
        <v>0.0</v>
      </c>
      <c r="AL158" s="188">
        <v>0.0</v>
      </c>
      <c r="AM158" s="188">
        <v>18.0</v>
      </c>
      <c r="AN158" s="188">
        <v>39.0</v>
      </c>
      <c r="AO158" s="188">
        <v>11.0</v>
      </c>
      <c r="AP158" s="186">
        <v>4330.0</v>
      </c>
      <c r="AQ158" s="189">
        <v>1.6363636363636365</v>
      </c>
      <c r="AR158" s="186">
        <v>16785.0</v>
      </c>
      <c r="AS158" s="186">
        <v>5260.0</v>
      </c>
      <c r="AT158" s="187">
        <v>0.4628385471341591</v>
      </c>
      <c r="AU158" s="186">
        <v>5953.75</v>
      </c>
      <c r="AV158" s="219">
        <v>9.0</v>
      </c>
      <c r="AW158" s="219">
        <v>107.0</v>
      </c>
      <c r="AX158" s="257">
        <v>1075.74</v>
      </c>
      <c r="AY158" s="258">
        <v>83.0</v>
      </c>
      <c r="AZ158" s="258">
        <v>8.0</v>
      </c>
      <c r="BA158" s="258">
        <v>5.0</v>
      </c>
      <c r="BB158" s="258">
        <v>20.0</v>
      </c>
      <c r="BC158" s="260">
        <v>45762.0</v>
      </c>
      <c r="BD158" s="260"/>
      <c r="BE158" s="164">
        <v>0.0</v>
      </c>
    </row>
    <row r="159">
      <c r="A159" s="6" t="s">
        <v>298</v>
      </c>
      <c r="B159" s="183" t="s">
        <v>301</v>
      </c>
      <c r="C159" s="184" t="s">
        <v>356</v>
      </c>
      <c r="D159" s="75" t="s">
        <v>319</v>
      </c>
      <c r="E159" s="256">
        <v>45651.0</v>
      </c>
      <c r="F159" s="75" t="s">
        <v>1066</v>
      </c>
      <c r="G159" s="186">
        <v>2501918.0</v>
      </c>
      <c r="H159" s="190">
        <v>25165.0</v>
      </c>
      <c r="I159" s="190">
        <v>1000000.0</v>
      </c>
      <c r="J159" s="186">
        <v>0.0</v>
      </c>
      <c r="K159" s="186">
        <v>5000000.0</v>
      </c>
      <c r="L159" s="186">
        <v>1792672.44</v>
      </c>
      <c r="M159" s="186">
        <v>0.0</v>
      </c>
      <c r="N159" s="186">
        <v>2689539.0</v>
      </c>
      <c r="O159" s="187">
        <v>0.358534488</v>
      </c>
      <c r="P159" s="187">
        <v>0.0</v>
      </c>
      <c r="Q159" s="187">
        <v>0.5379078</v>
      </c>
      <c r="R159" s="188">
        <v>73.0</v>
      </c>
      <c r="S159" s="188">
        <v>74.0</v>
      </c>
      <c r="T159" s="188">
        <v>6.0</v>
      </c>
      <c r="U159" s="188">
        <v>6.0</v>
      </c>
      <c r="V159" s="188">
        <v>79.0</v>
      </c>
      <c r="W159" s="188">
        <v>5.0</v>
      </c>
      <c r="X159" s="189">
        <v>1183649.19</v>
      </c>
      <c r="Y159" s="189">
        <v>609023.25</v>
      </c>
      <c r="Z159" s="188">
        <v>22.0</v>
      </c>
      <c r="AA159" s="188">
        <v>6.0</v>
      </c>
      <c r="AB159" s="188">
        <v>28.0</v>
      </c>
      <c r="AC159" s="188">
        <v>0.0</v>
      </c>
      <c r="AD159" s="188">
        <v>59.0</v>
      </c>
      <c r="AE159" s="188">
        <v>118.0</v>
      </c>
      <c r="AF159" s="188">
        <v>16.0</v>
      </c>
      <c r="AG159" s="188">
        <v>1.0</v>
      </c>
      <c r="AH159" s="188">
        <v>51.0</v>
      </c>
      <c r="AI159" s="188">
        <v>0.0</v>
      </c>
      <c r="AJ159" s="188">
        <v>0.0</v>
      </c>
      <c r="AK159" s="188">
        <v>0.0</v>
      </c>
      <c r="AL159" s="188">
        <v>0.0</v>
      </c>
      <c r="AM159" s="188">
        <v>293.0</v>
      </c>
      <c r="AN159" s="188">
        <v>462.0</v>
      </c>
      <c r="AO159" s="188">
        <v>114.0</v>
      </c>
      <c r="AP159" s="186">
        <v>15725.196842105262</v>
      </c>
      <c r="AQ159" s="189">
        <v>2.5701754385964914</v>
      </c>
      <c r="AR159" s="186">
        <v>125825.0</v>
      </c>
      <c r="AS159" s="186">
        <v>48238.0</v>
      </c>
      <c r="AT159" s="187">
        <v>0.09709693534419483</v>
      </c>
      <c r="AU159" s="186">
        <v>64024.01571428571</v>
      </c>
      <c r="AV159" s="219">
        <v>64.0</v>
      </c>
      <c r="AW159" s="219">
        <v>1156.0</v>
      </c>
      <c r="AX159" s="257">
        <v>7719.99</v>
      </c>
      <c r="AY159" s="258">
        <v>104.0</v>
      </c>
      <c r="AZ159" s="258">
        <v>28.0</v>
      </c>
      <c r="BA159" s="258">
        <v>46.0</v>
      </c>
      <c r="BB159" s="258">
        <v>5.0</v>
      </c>
      <c r="BC159" s="260">
        <v>45899.0</v>
      </c>
      <c r="BD159" s="260"/>
      <c r="BE159" s="164">
        <v>0.3600000001024455</v>
      </c>
    </row>
    <row r="160">
      <c r="A160" s="6" t="s">
        <v>23</v>
      </c>
      <c r="B160" s="183" t="s">
        <v>37</v>
      </c>
      <c r="C160" s="184" t="s">
        <v>35</v>
      </c>
      <c r="D160" s="75" t="s">
        <v>36</v>
      </c>
      <c r="E160" s="256">
        <v>45658.0</v>
      </c>
      <c r="F160" s="75" t="s">
        <v>1110</v>
      </c>
      <c r="G160" s="186">
        <v>0.0</v>
      </c>
      <c r="H160" s="190">
        <v>31455.0</v>
      </c>
      <c r="I160" s="190">
        <v>1200000.0</v>
      </c>
      <c r="J160" s="186">
        <v>0.0</v>
      </c>
      <c r="K160" s="186">
        <v>7200000.0</v>
      </c>
      <c r="L160" s="186">
        <v>2882511.22</v>
      </c>
      <c r="M160" s="186">
        <v>0.0</v>
      </c>
      <c r="N160" s="186">
        <v>2775771.0</v>
      </c>
      <c r="O160" s="187">
        <v>0.40034878055555556</v>
      </c>
      <c r="P160" s="187">
        <v>0.0</v>
      </c>
      <c r="Q160" s="187">
        <v>0.38552375</v>
      </c>
      <c r="R160" s="188">
        <v>14.0</v>
      </c>
      <c r="S160" s="188">
        <v>46.0</v>
      </c>
      <c r="T160" s="188">
        <v>35.0</v>
      </c>
      <c r="U160" s="188">
        <v>35.0</v>
      </c>
      <c r="V160" s="188">
        <v>49.0</v>
      </c>
      <c r="W160" s="188">
        <v>3.0</v>
      </c>
      <c r="X160" s="189">
        <v>660697.09</v>
      </c>
      <c r="Y160" s="189">
        <v>2221814.13</v>
      </c>
      <c r="Z160" s="188">
        <v>6.0</v>
      </c>
      <c r="AA160" s="188">
        <v>35.0</v>
      </c>
      <c r="AB160" s="188">
        <v>41.0</v>
      </c>
      <c r="AC160" s="188">
        <v>0.0</v>
      </c>
      <c r="AD160" s="188">
        <v>182.0</v>
      </c>
      <c r="AE160" s="188">
        <v>354.0</v>
      </c>
      <c r="AF160" s="188">
        <v>60.0</v>
      </c>
      <c r="AG160" s="188">
        <v>6.0</v>
      </c>
      <c r="AH160" s="188">
        <v>81.0</v>
      </c>
      <c r="AI160" s="188">
        <v>1.0</v>
      </c>
      <c r="AJ160" s="188">
        <v>12.0</v>
      </c>
      <c r="AK160" s="188">
        <v>55.0</v>
      </c>
      <c r="AL160" s="188">
        <v>227.0</v>
      </c>
      <c r="AM160" s="188">
        <v>216.0</v>
      </c>
      <c r="AN160" s="188">
        <v>890.0</v>
      </c>
      <c r="AO160" s="188">
        <v>154.0</v>
      </c>
      <c r="AP160" s="186">
        <v>18717.605324675325</v>
      </c>
      <c r="AQ160" s="189">
        <v>1.4025974025974026</v>
      </c>
      <c r="AR160" s="186">
        <v>188730.0</v>
      </c>
      <c r="AS160" s="186">
        <v>34922.0</v>
      </c>
      <c r="AT160" s="187">
        <v>0.07758929035495653</v>
      </c>
      <c r="AU160" s="186">
        <v>70305.15170731708</v>
      </c>
      <c r="AV160" s="219">
        <v>115.0</v>
      </c>
      <c r="AW160" s="219">
        <v>1443.0</v>
      </c>
      <c r="AX160" s="257">
        <v>12383.51</v>
      </c>
      <c r="AY160" s="258">
        <v>269.0</v>
      </c>
      <c r="AZ160" s="258">
        <v>41.0</v>
      </c>
      <c r="BA160" s="258">
        <v>6.0</v>
      </c>
      <c r="BB160" s="258">
        <v>2.0</v>
      </c>
      <c r="BC160" s="260"/>
      <c r="BD160" s="260"/>
      <c r="BE160" s="164">
        <v>0.049999999813735485</v>
      </c>
    </row>
    <row r="161">
      <c r="A161" s="6" t="s">
        <v>126</v>
      </c>
      <c r="B161" s="183" t="s">
        <v>135</v>
      </c>
      <c r="C161" s="184" t="s">
        <v>171</v>
      </c>
      <c r="D161" s="75" t="s">
        <v>137</v>
      </c>
      <c r="E161" s="256">
        <v>45658.0</v>
      </c>
      <c r="F161" s="75" t="s">
        <v>1042</v>
      </c>
      <c r="G161" s="186">
        <v>336189.0</v>
      </c>
      <c r="H161" s="190">
        <v>36188.0</v>
      </c>
      <c r="I161" s="190">
        <v>1166667.0</v>
      </c>
      <c r="J161" s="186">
        <v>0.0</v>
      </c>
      <c r="K161" s="186">
        <v>7000002.0</v>
      </c>
      <c r="L161" s="186">
        <v>2638492.99</v>
      </c>
      <c r="M161" s="186">
        <v>0.0</v>
      </c>
      <c r="N161" s="186">
        <v>1903920.0</v>
      </c>
      <c r="O161" s="187">
        <v>0.37692746230643936</v>
      </c>
      <c r="P161" s="187">
        <v>0.0</v>
      </c>
      <c r="Q161" s="187">
        <v>0.2719884937175732</v>
      </c>
      <c r="R161" s="188">
        <v>24.0</v>
      </c>
      <c r="S161" s="188">
        <v>48.0</v>
      </c>
      <c r="T161" s="188">
        <v>26.0</v>
      </c>
      <c r="U161" s="188">
        <v>26.0</v>
      </c>
      <c r="V161" s="188">
        <v>50.0</v>
      </c>
      <c r="W161" s="188">
        <v>2.0</v>
      </c>
      <c r="X161" s="189">
        <v>1003501.29</v>
      </c>
      <c r="Y161" s="189">
        <v>1634991.7</v>
      </c>
      <c r="Z161" s="188">
        <v>11.0</v>
      </c>
      <c r="AA161" s="188">
        <v>26.0</v>
      </c>
      <c r="AB161" s="188">
        <v>37.0</v>
      </c>
      <c r="AC161" s="188">
        <v>0.0</v>
      </c>
      <c r="AD161" s="188">
        <v>194.0</v>
      </c>
      <c r="AE161" s="188">
        <v>351.0</v>
      </c>
      <c r="AF161" s="188">
        <v>81.0</v>
      </c>
      <c r="AG161" s="188">
        <v>1.0</v>
      </c>
      <c r="AH161" s="188">
        <v>9.0</v>
      </c>
      <c r="AI161" s="188">
        <v>0.0</v>
      </c>
      <c r="AJ161" s="188">
        <v>0.0</v>
      </c>
      <c r="AK161" s="188">
        <v>0.0</v>
      </c>
      <c r="AL161" s="188">
        <v>0.0</v>
      </c>
      <c r="AM161" s="188">
        <v>453.0</v>
      </c>
      <c r="AN161" s="188">
        <v>813.0</v>
      </c>
      <c r="AO161" s="188">
        <v>144.0</v>
      </c>
      <c r="AP161" s="186">
        <v>18322.867986111112</v>
      </c>
      <c r="AQ161" s="189">
        <v>3.1458333333333335</v>
      </c>
      <c r="AR161" s="186">
        <v>217128.0</v>
      </c>
      <c r="AS161" s="186">
        <v>21685.0</v>
      </c>
      <c r="AT161" s="187">
        <v>0.09051113681374609</v>
      </c>
      <c r="AU161" s="186">
        <v>71310.62135135135</v>
      </c>
      <c r="AV161" s="219">
        <v>111.0</v>
      </c>
      <c r="AW161" s="219">
        <v>1189.0</v>
      </c>
      <c r="AX161" s="257">
        <v>7059.7</v>
      </c>
      <c r="AY161" s="258">
        <v>147.0</v>
      </c>
      <c r="AZ161" s="258">
        <v>37.0</v>
      </c>
      <c r="BA161" s="258">
        <v>11.0</v>
      </c>
      <c r="BB161" s="258">
        <v>2.0</v>
      </c>
      <c r="BC161" s="260"/>
      <c r="BD161" s="260"/>
      <c r="BE161" s="164">
        <v>-0.03000000026077032</v>
      </c>
    </row>
    <row r="162">
      <c r="A162" s="6" t="s">
        <v>185</v>
      </c>
      <c r="B162" s="183" t="s">
        <v>85</v>
      </c>
      <c r="C162" s="184" t="s">
        <v>390</v>
      </c>
      <c r="D162" s="75" t="s">
        <v>391</v>
      </c>
      <c r="E162" s="256">
        <v>45660.0</v>
      </c>
      <c r="F162" s="75" t="s">
        <v>1058</v>
      </c>
      <c r="G162" s="186">
        <v>1730514.0</v>
      </c>
      <c r="H162" s="190">
        <v>33885.0</v>
      </c>
      <c r="I162" s="190"/>
      <c r="J162" s="186">
        <v>0.0</v>
      </c>
      <c r="K162" s="186">
        <v>0.0</v>
      </c>
      <c r="L162" s="186">
        <v>818223.7</v>
      </c>
      <c r="M162" s="186">
        <v>0.0</v>
      </c>
      <c r="N162" s="186">
        <v>1187403.0</v>
      </c>
      <c r="O162" s="187"/>
      <c r="P162" s="187">
        <v>0.0</v>
      </c>
      <c r="Q162" s="187"/>
      <c r="R162" s="188">
        <v>67.0</v>
      </c>
      <c r="S162" s="188">
        <v>59.0</v>
      </c>
      <c r="T162" s="188">
        <v>7.0</v>
      </c>
      <c r="U162" s="188">
        <v>6.0</v>
      </c>
      <c r="V162" s="188">
        <v>74.0</v>
      </c>
      <c r="W162" s="188">
        <v>15.0</v>
      </c>
      <c r="X162" s="189">
        <v>737012.5</v>
      </c>
      <c r="Y162" s="189">
        <v>81211.2</v>
      </c>
      <c r="Z162" s="188">
        <v>34.0</v>
      </c>
      <c r="AA162" s="188">
        <v>6.0</v>
      </c>
      <c r="AB162" s="188">
        <v>40.0</v>
      </c>
      <c r="AC162" s="188">
        <v>0.0</v>
      </c>
      <c r="AD162" s="188">
        <v>58.0</v>
      </c>
      <c r="AE162" s="188">
        <v>92.0</v>
      </c>
      <c r="AF162" s="188">
        <v>36.0</v>
      </c>
      <c r="AG162" s="188">
        <v>1.0</v>
      </c>
      <c r="AH162" s="188">
        <v>21.0</v>
      </c>
      <c r="AI162" s="188">
        <v>0.0</v>
      </c>
      <c r="AJ162" s="188">
        <v>0.0</v>
      </c>
      <c r="AK162" s="188">
        <v>0.0</v>
      </c>
      <c r="AL162" s="188">
        <v>0.0</v>
      </c>
      <c r="AM162" s="188">
        <v>258.0</v>
      </c>
      <c r="AN162" s="188">
        <v>371.0</v>
      </c>
      <c r="AO162" s="188">
        <v>50.0</v>
      </c>
      <c r="AP162" s="186">
        <v>16364.473999999998</v>
      </c>
      <c r="AQ162" s="189">
        <v>5.16</v>
      </c>
      <c r="AR162" s="186">
        <v>80307.45</v>
      </c>
      <c r="AS162" s="186">
        <v>17378.0</v>
      </c>
      <c r="AT162" s="187">
        <v>0.1193872164788187</v>
      </c>
      <c r="AU162" s="186">
        <v>20455.5925</v>
      </c>
      <c r="AV162" s="219">
        <v>94.0</v>
      </c>
      <c r="AW162" s="219">
        <v>392.0</v>
      </c>
      <c r="AX162" s="257">
        <v>2496.35</v>
      </c>
      <c r="AY162" s="258">
        <v>42.0</v>
      </c>
      <c r="AZ162" s="258">
        <v>40.0</v>
      </c>
      <c r="BA162" s="258">
        <v>21.0</v>
      </c>
      <c r="BB162" s="258">
        <v>13.0</v>
      </c>
      <c r="BC162" s="260">
        <v>45819.0</v>
      </c>
      <c r="BD162" s="260"/>
      <c r="BE162" s="164">
        <v>0.0</v>
      </c>
    </row>
    <row r="163">
      <c r="A163" s="6" t="s">
        <v>47</v>
      </c>
      <c r="B163" s="183" t="s">
        <v>422</v>
      </c>
      <c r="C163" s="184" t="s">
        <v>866</v>
      </c>
      <c r="D163" s="75" t="s">
        <v>1111</v>
      </c>
      <c r="E163" s="256">
        <v>45663.0</v>
      </c>
      <c r="F163" s="75" t="s">
        <v>1094</v>
      </c>
      <c r="G163" s="186"/>
      <c r="H163" s="190">
        <v>66667.0</v>
      </c>
      <c r="I163" s="190"/>
      <c r="J163" s="186">
        <v>0.0</v>
      </c>
      <c r="K163" s="186">
        <v>0.0</v>
      </c>
      <c r="L163" s="186">
        <v>0.0</v>
      </c>
      <c r="M163" s="186">
        <v>0.0</v>
      </c>
      <c r="N163" s="186"/>
      <c r="O163" s="187"/>
      <c r="P163" s="187">
        <v>0.0</v>
      </c>
      <c r="Q163" s="187"/>
      <c r="R163" s="188">
        <v>18.0</v>
      </c>
      <c r="S163" s="188">
        <v>31.0</v>
      </c>
      <c r="T163" s="188">
        <v>18.0</v>
      </c>
      <c r="U163" s="188">
        <v>0.0</v>
      </c>
      <c r="V163" s="188">
        <v>36.0</v>
      </c>
      <c r="W163" s="188">
        <v>5.0</v>
      </c>
      <c r="X163" s="189">
        <v>0.0</v>
      </c>
      <c r="Y163" s="189">
        <v>0.0</v>
      </c>
      <c r="Z163" s="188">
        <v>0.0</v>
      </c>
      <c r="AA163" s="188">
        <v>0.0</v>
      </c>
      <c r="AB163" s="188">
        <v>0.0</v>
      </c>
      <c r="AC163" s="188">
        <v>0.0</v>
      </c>
      <c r="AD163" s="188">
        <v>90.0</v>
      </c>
      <c r="AE163" s="188">
        <v>174.0</v>
      </c>
      <c r="AF163" s="188">
        <v>23.0</v>
      </c>
      <c r="AG163" s="188">
        <v>4.0</v>
      </c>
      <c r="AH163" s="188">
        <v>73.0</v>
      </c>
      <c r="AI163" s="188">
        <v>0.0</v>
      </c>
      <c r="AJ163" s="188">
        <v>0.0</v>
      </c>
      <c r="AK163" s="188">
        <v>68.0</v>
      </c>
      <c r="AL163" s="188">
        <v>333.0</v>
      </c>
      <c r="AM163" s="188">
        <v>104.0</v>
      </c>
      <c r="AN163" s="188">
        <v>684.0</v>
      </c>
      <c r="AO163" s="188">
        <v>147.0</v>
      </c>
      <c r="AP163" s="186">
        <v>0.0</v>
      </c>
      <c r="AQ163" s="189">
        <v>0.7074829931972789</v>
      </c>
      <c r="AR163" s="186">
        <v>400002.0</v>
      </c>
      <c r="AS163" s="186">
        <v>128847.0</v>
      </c>
      <c r="AT163" s="187"/>
      <c r="AU163" s="186"/>
      <c r="AV163" s="219">
        <v>0.0</v>
      </c>
      <c r="AW163" s="219">
        <v>1565.0</v>
      </c>
      <c r="AX163" s="257">
        <v>10562.87</v>
      </c>
      <c r="AY163" s="258">
        <v>341.0</v>
      </c>
      <c r="AZ163" s="258">
        <v>0.0</v>
      </c>
      <c r="BA163" s="258">
        <v>31.0</v>
      </c>
      <c r="BB163" s="258">
        <v>5.0</v>
      </c>
      <c r="BC163" s="260"/>
      <c r="BD163" s="260"/>
      <c r="BE163" s="164" t="e">
        <v>#N/A</v>
      </c>
    </row>
    <row r="164">
      <c r="A164" s="6" t="s">
        <v>47</v>
      </c>
      <c r="B164" s="183" t="s">
        <v>422</v>
      </c>
      <c r="C164" s="184" t="s">
        <v>867</v>
      </c>
      <c r="D164" s="75" t="s">
        <v>1112</v>
      </c>
      <c r="E164" s="256">
        <v>45663.0</v>
      </c>
      <c r="F164" s="75" t="s">
        <v>1094</v>
      </c>
      <c r="G164" s="186"/>
      <c r="H164" s="190">
        <v>62500.0</v>
      </c>
      <c r="I164" s="190"/>
      <c r="J164" s="186">
        <v>0.0</v>
      </c>
      <c r="K164" s="186">
        <v>0.0</v>
      </c>
      <c r="L164" s="186">
        <v>286897.22</v>
      </c>
      <c r="M164" s="186">
        <v>0.0</v>
      </c>
      <c r="N164" s="186"/>
      <c r="O164" s="187"/>
      <c r="P164" s="187">
        <v>0.0</v>
      </c>
      <c r="Q164" s="187"/>
      <c r="R164" s="188">
        <v>6.0</v>
      </c>
      <c r="S164" s="188">
        <v>5.0</v>
      </c>
      <c r="T164" s="188">
        <v>2.0</v>
      </c>
      <c r="U164" s="188">
        <v>2.0</v>
      </c>
      <c r="V164" s="188">
        <v>8.0</v>
      </c>
      <c r="W164" s="188">
        <v>3.0</v>
      </c>
      <c r="X164" s="189">
        <v>0.01</v>
      </c>
      <c r="Y164" s="189">
        <v>286897.21</v>
      </c>
      <c r="Z164" s="188">
        <v>0.0</v>
      </c>
      <c r="AA164" s="188">
        <v>2.0</v>
      </c>
      <c r="AB164" s="188">
        <v>2.0</v>
      </c>
      <c r="AC164" s="188">
        <v>0.0</v>
      </c>
      <c r="AD164" s="188">
        <v>64.0</v>
      </c>
      <c r="AE164" s="188">
        <v>118.0</v>
      </c>
      <c r="AF164" s="188">
        <v>47.0</v>
      </c>
      <c r="AG164" s="188">
        <v>3.0</v>
      </c>
      <c r="AH164" s="188">
        <v>67.0</v>
      </c>
      <c r="AI164" s="188">
        <v>0.0</v>
      </c>
      <c r="AJ164" s="188">
        <v>0.0</v>
      </c>
      <c r="AK164" s="188">
        <v>47.0</v>
      </c>
      <c r="AL164" s="188">
        <v>293.0</v>
      </c>
      <c r="AM164" s="188">
        <v>28.0</v>
      </c>
      <c r="AN164" s="188">
        <v>506.0</v>
      </c>
      <c r="AO164" s="188">
        <v>145.0</v>
      </c>
      <c r="AP164" s="186">
        <v>1978.601517241379</v>
      </c>
      <c r="AQ164" s="189">
        <v>0.19310344827586207</v>
      </c>
      <c r="AR164" s="186">
        <v>375000.0</v>
      </c>
      <c r="AS164" s="186">
        <v>84320.0</v>
      </c>
      <c r="AT164" s="187">
        <v>1.6009914630751738</v>
      </c>
      <c r="AU164" s="186">
        <v>143448.61</v>
      </c>
      <c r="AV164" s="219">
        <v>6.0</v>
      </c>
      <c r="AW164" s="219">
        <v>1480.0</v>
      </c>
      <c r="AX164" s="257">
        <v>7161.72</v>
      </c>
      <c r="AY164" s="258">
        <v>1432.0</v>
      </c>
      <c r="AZ164" s="258">
        <v>2.0</v>
      </c>
      <c r="BA164" s="258">
        <v>3.0</v>
      </c>
      <c r="BB164" s="258">
        <v>3.0</v>
      </c>
      <c r="BC164" s="260"/>
      <c r="BD164" s="260"/>
      <c r="BE164" s="164" t="e">
        <v>#N/A</v>
      </c>
    </row>
    <row r="165">
      <c r="A165" s="6" t="s">
        <v>185</v>
      </c>
      <c r="B165" s="183" t="s">
        <v>189</v>
      </c>
      <c r="C165" s="184" t="s">
        <v>281</v>
      </c>
      <c r="D165" s="75" t="s">
        <v>282</v>
      </c>
      <c r="E165" s="256">
        <v>45670.0</v>
      </c>
      <c r="F165" s="75" t="s">
        <v>1016</v>
      </c>
      <c r="G165" s="186">
        <v>1327099.74</v>
      </c>
      <c r="H165" s="190">
        <v>29375.0</v>
      </c>
      <c r="I165" s="190">
        <v>1500000.0</v>
      </c>
      <c r="J165" s="186">
        <v>0.0</v>
      </c>
      <c r="K165" s="186">
        <v>9000000.0</v>
      </c>
      <c r="L165" s="186">
        <v>6251242.47</v>
      </c>
      <c r="M165" s="186">
        <v>0.0</v>
      </c>
      <c r="N165" s="186">
        <v>6251243.220000001</v>
      </c>
      <c r="O165" s="187">
        <v>0.6945824966666666</v>
      </c>
      <c r="P165" s="187">
        <v>0.0</v>
      </c>
      <c r="Q165" s="187">
        <v>0.6945825800000001</v>
      </c>
      <c r="R165" s="188">
        <v>11.0</v>
      </c>
      <c r="S165" s="188">
        <v>38.0</v>
      </c>
      <c r="T165" s="188">
        <v>27.0</v>
      </c>
      <c r="U165" s="188">
        <v>26.0</v>
      </c>
      <c r="V165" s="188">
        <v>38.0</v>
      </c>
      <c r="W165" s="188">
        <v>0.0</v>
      </c>
      <c r="X165" s="189">
        <v>1159166.07</v>
      </c>
      <c r="Y165" s="189">
        <v>5092076.4</v>
      </c>
      <c r="Z165" s="188">
        <v>8.0</v>
      </c>
      <c r="AA165" s="188">
        <v>26.0</v>
      </c>
      <c r="AB165" s="188">
        <v>34.0</v>
      </c>
      <c r="AC165" s="188">
        <v>0.0</v>
      </c>
      <c r="AD165" s="188">
        <v>71.0</v>
      </c>
      <c r="AE165" s="188">
        <v>107.0</v>
      </c>
      <c r="AF165" s="188">
        <v>75.0</v>
      </c>
      <c r="AG165" s="188">
        <v>1.0</v>
      </c>
      <c r="AH165" s="188">
        <v>55.0</v>
      </c>
      <c r="AI165" s="188">
        <v>0.0</v>
      </c>
      <c r="AJ165" s="188">
        <v>0.0</v>
      </c>
      <c r="AK165" s="188">
        <v>0.0</v>
      </c>
      <c r="AL165" s="188">
        <v>0.0</v>
      </c>
      <c r="AM165" s="188">
        <v>264.0</v>
      </c>
      <c r="AN165" s="188">
        <v>426.0</v>
      </c>
      <c r="AO165" s="188">
        <v>134.0</v>
      </c>
      <c r="AP165" s="186">
        <v>46651.063208955224</v>
      </c>
      <c r="AQ165" s="189">
        <v>1.9701492537313432</v>
      </c>
      <c r="AR165" s="186">
        <v>176250.0</v>
      </c>
      <c r="AS165" s="186">
        <v>21528.0</v>
      </c>
      <c r="AT165" s="187">
        <v>0.03163819047959597</v>
      </c>
      <c r="AU165" s="186">
        <v>183860.0726470588</v>
      </c>
      <c r="AV165" s="219">
        <v>88.0</v>
      </c>
      <c r="AW165" s="219">
        <v>1506.0</v>
      </c>
      <c r="AX165" s="257">
        <v>3766.51</v>
      </c>
      <c r="AY165" s="258">
        <v>99.0</v>
      </c>
      <c r="AZ165" s="258">
        <v>34.0</v>
      </c>
      <c r="BA165" s="258">
        <v>4.0</v>
      </c>
      <c r="BB165" s="258">
        <v>0.0</v>
      </c>
      <c r="BC165" s="260"/>
      <c r="BD165" s="260"/>
      <c r="BE165" s="164">
        <v>0.6200000001117587</v>
      </c>
    </row>
    <row r="166">
      <c r="A166" s="6" t="s">
        <v>97</v>
      </c>
      <c r="B166" s="183" t="s">
        <v>101</v>
      </c>
      <c r="C166" s="184" t="s">
        <v>341</v>
      </c>
      <c r="D166" s="75" t="s">
        <v>105</v>
      </c>
      <c r="E166" s="256">
        <v>45694.0</v>
      </c>
      <c r="F166" s="75" t="s">
        <v>1062</v>
      </c>
      <c r="G166" s="186">
        <v>0.0</v>
      </c>
      <c r="H166" s="190">
        <v>23000.0</v>
      </c>
      <c r="I166" s="190">
        <v>1333333.333</v>
      </c>
      <c r="J166" s="186">
        <v>0.0</v>
      </c>
      <c r="K166" s="186">
        <v>5952000.0</v>
      </c>
      <c r="L166" s="186">
        <v>3321347.12</v>
      </c>
      <c r="M166" s="186">
        <v>0.0</v>
      </c>
      <c r="N166" s="186">
        <v>2843665.6799999997</v>
      </c>
      <c r="O166" s="187">
        <v>0.5580220295698924</v>
      </c>
      <c r="P166" s="187">
        <v>0.0</v>
      </c>
      <c r="Q166" s="187">
        <v>0.47776641129032255</v>
      </c>
      <c r="R166" s="188">
        <v>61.0</v>
      </c>
      <c r="S166" s="188">
        <v>68.0</v>
      </c>
      <c r="T166" s="188">
        <v>12.0</v>
      </c>
      <c r="U166" s="188">
        <v>12.0</v>
      </c>
      <c r="V166" s="188">
        <v>73.0</v>
      </c>
      <c r="W166" s="188">
        <v>5.0</v>
      </c>
      <c r="X166" s="189">
        <v>2869328.12</v>
      </c>
      <c r="Y166" s="189">
        <v>452019.0</v>
      </c>
      <c r="Z166" s="188">
        <v>38.0</v>
      </c>
      <c r="AA166" s="188">
        <v>12.0</v>
      </c>
      <c r="AB166" s="188">
        <v>50.0</v>
      </c>
      <c r="AC166" s="188">
        <v>0.0</v>
      </c>
      <c r="AD166" s="188">
        <v>13.0</v>
      </c>
      <c r="AE166" s="188">
        <v>41.0</v>
      </c>
      <c r="AF166" s="188">
        <v>6.0</v>
      </c>
      <c r="AG166" s="188">
        <v>1.0</v>
      </c>
      <c r="AH166" s="188">
        <v>54.0</v>
      </c>
      <c r="AI166" s="188">
        <v>0.0</v>
      </c>
      <c r="AJ166" s="188">
        <v>0.0</v>
      </c>
      <c r="AK166" s="188">
        <v>0.0</v>
      </c>
      <c r="AL166" s="188">
        <v>0.0</v>
      </c>
      <c r="AM166" s="188">
        <v>608.0</v>
      </c>
      <c r="AN166" s="188">
        <v>703.0</v>
      </c>
      <c r="AO166" s="188">
        <v>107.0</v>
      </c>
      <c r="AP166" s="186">
        <v>31040.62728971963</v>
      </c>
      <c r="AQ166" s="189">
        <v>5.682242990654205</v>
      </c>
      <c r="AR166" s="186">
        <v>115000.0</v>
      </c>
      <c r="AS166" s="186">
        <v>30890.0</v>
      </c>
      <c r="AT166" s="187">
        <v>0.04392494813971748</v>
      </c>
      <c r="AU166" s="186">
        <v>66426.9424</v>
      </c>
      <c r="AV166" s="219">
        <v>245.0</v>
      </c>
      <c r="AW166" s="219">
        <v>1023.0</v>
      </c>
      <c r="AX166" s="257">
        <v>15593.7</v>
      </c>
      <c r="AY166" s="258">
        <v>229.0</v>
      </c>
      <c r="AZ166" s="258">
        <v>50.0</v>
      </c>
      <c r="BA166" s="258">
        <v>18.0</v>
      </c>
      <c r="BB166" s="258">
        <v>5.0</v>
      </c>
      <c r="BC166" s="260">
        <v>45899.0</v>
      </c>
      <c r="BD166" s="260"/>
      <c r="BE166" s="164">
        <v>0.05999999865889549</v>
      </c>
    </row>
    <row r="167">
      <c r="A167" s="6" t="s">
        <v>97</v>
      </c>
      <c r="B167" s="183" t="s">
        <v>101</v>
      </c>
      <c r="C167" s="184" t="s">
        <v>104</v>
      </c>
      <c r="D167" s="75" t="s">
        <v>105</v>
      </c>
      <c r="E167" s="256">
        <v>45719.0</v>
      </c>
      <c r="F167" s="75" t="s">
        <v>1062</v>
      </c>
      <c r="G167" s="186">
        <v>0.0</v>
      </c>
      <c r="H167" s="190">
        <v>23000.0</v>
      </c>
      <c r="I167" s="190">
        <v>1333333.333</v>
      </c>
      <c r="J167" s="186">
        <v>0.0</v>
      </c>
      <c r="K167" s="186">
        <v>7360000.0</v>
      </c>
      <c r="L167" s="186">
        <v>6621315.4</v>
      </c>
      <c r="M167" s="186">
        <v>0.0</v>
      </c>
      <c r="N167" s="186">
        <v>6122052.03</v>
      </c>
      <c r="O167" s="187">
        <v>0.8996352445652175</v>
      </c>
      <c r="P167" s="187">
        <v>0.0</v>
      </c>
      <c r="Q167" s="187">
        <v>0.8318005475543478</v>
      </c>
      <c r="R167" s="188">
        <v>92.0</v>
      </c>
      <c r="S167" s="188">
        <v>62.0</v>
      </c>
      <c r="T167" s="188">
        <v>19.0</v>
      </c>
      <c r="U167" s="188">
        <v>17.0</v>
      </c>
      <c r="V167" s="188">
        <v>111.0</v>
      </c>
      <c r="W167" s="188">
        <v>49.0</v>
      </c>
      <c r="X167" s="189">
        <v>5642763.41</v>
      </c>
      <c r="Y167" s="189">
        <v>978551.99</v>
      </c>
      <c r="Z167" s="188">
        <v>33.0</v>
      </c>
      <c r="AA167" s="188">
        <v>17.0</v>
      </c>
      <c r="AB167" s="188">
        <v>50.0</v>
      </c>
      <c r="AC167" s="188">
        <v>0.0</v>
      </c>
      <c r="AD167" s="188">
        <v>4.0</v>
      </c>
      <c r="AE167" s="188">
        <v>12.0</v>
      </c>
      <c r="AF167" s="188">
        <v>1.0</v>
      </c>
      <c r="AG167" s="188">
        <v>1.0</v>
      </c>
      <c r="AH167" s="188">
        <v>15.0</v>
      </c>
      <c r="AI167" s="188">
        <v>0.0</v>
      </c>
      <c r="AJ167" s="188">
        <v>0.0</v>
      </c>
      <c r="AK167" s="188">
        <v>0.0</v>
      </c>
      <c r="AL167" s="188">
        <v>0.0</v>
      </c>
      <c r="AM167" s="188">
        <v>824.0</v>
      </c>
      <c r="AN167" s="188">
        <v>851.0</v>
      </c>
      <c r="AO167" s="188">
        <v>144.0</v>
      </c>
      <c r="AP167" s="186">
        <v>45981.356944444444</v>
      </c>
      <c r="AQ167" s="189">
        <v>5.722222222222222</v>
      </c>
      <c r="AR167" s="186">
        <v>138000.0</v>
      </c>
      <c r="AS167" s="186">
        <v>37432.0</v>
      </c>
      <c r="AT167" s="187">
        <v>0.026495037526833413</v>
      </c>
      <c r="AU167" s="186">
        <v>132426.30800000002</v>
      </c>
      <c r="AV167" s="219">
        <v>221.0</v>
      </c>
      <c r="AW167" s="219">
        <v>1390.0</v>
      </c>
      <c r="AX167" s="257">
        <v>8747.96</v>
      </c>
      <c r="AY167" s="258">
        <v>141.0</v>
      </c>
      <c r="AZ167" s="258">
        <v>50.0</v>
      </c>
      <c r="BA167" s="258">
        <v>14.0</v>
      </c>
      <c r="BB167" s="258">
        <v>47.0</v>
      </c>
      <c r="BC167" s="260"/>
      <c r="BD167" s="260"/>
      <c r="BE167" s="164">
        <v>0.5899999998509884</v>
      </c>
    </row>
    <row r="168">
      <c r="A168" s="6" t="s">
        <v>23</v>
      </c>
      <c r="B168" s="183" t="s">
        <v>30</v>
      </c>
      <c r="C168" s="184" t="s">
        <v>336</v>
      </c>
      <c r="D168" s="75" t="s">
        <v>44</v>
      </c>
      <c r="E168" s="256">
        <v>45722.0</v>
      </c>
      <c r="F168" s="75" t="s">
        <v>30</v>
      </c>
      <c r="G168" s="186">
        <v>327344.0</v>
      </c>
      <c r="H168" s="190">
        <v>27260.0</v>
      </c>
      <c r="I168" s="190">
        <v>1200000.0</v>
      </c>
      <c r="J168" s="186">
        <v>0.0</v>
      </c>
      <c r="K168" s="186">
        <v>7200000.0</v>
      </c>
      <c r="L168" s="186">
        <v>3650715.9</v>
      </c>
      <c r="M168" s="186">
        <v>0.0</v>
      </c>
      <c r="N168" s="186">
        <v>3648199.0</v>
      </c>
      <c r="O168" s="187">
        <v>0.507043875</v>
      </c>
      <c r="P168" s="187">
        <v>0.0</v>
      </c>
      <c r="Q168" s="187">
        <v>0.5066943055555555</v>
      </c>
      <c r="R168" s="188">
        <v>63.0</v>
      </c>
      <c r="S168" s="188">
        <v>77.0</v>
      </c>
      <c r="T168" s="188">
        <v>18.0</v>
      </c>
      <c r="U168" s="188">
        <v>18.0</v>
      </c>
      <c r="V168" s="188">
        <v>81.0</v>
      </c>
      <c r="W168" s="188">
        <v>4.0</v>
      </c>
      <c r="X168" s="189">
        <v>2892842.59</v>
      </c>
      <c r="Y168" s="189">
        <v>757873.31</v>
      </c>
      <c r="Z168" s="188">
        <v>31.0</v>
      </c>
      <c r="AA168" s="188">
        <v>18.0</v>
      </c>
      <c r="AB168" s="188">
        <v>49.0</v>
      </c>
      <c r="AC168" s="188">
        <v>0.0</v>
      </c>
      <c r="AD168" s="188">
        <v>275.0</v>
      </c>
      <c r="AE168" s="188">
        <v>603.0</v>
      </c>
      <c r="AF168" s="188">
        <v>22.0</v>
      </c>
      <c r="AG168" s="188">
        <v>4.0</v>
      </c>
      <c r="AH168" s="188">
        <v>85.0</v>
      </c>
      <c r="AI168" s="188">
        <v>2.0</v>
      </c>
      <c r="AJ168" s="188">
        <v>2.0</v>
      </c>
      <c r="AK168" s="188">
        <v>5.0</v>
      </c>
      <c r="AL168" s="188">
        <v>5.0</v>
      </c>
      <c r="AM168" s="188">
        <v>567.0</v>
      </c>
      <c r="AN168" s="188">
        <v>1262.0</v>
      </c>
      <c r="AO168" s="188">
        <v>149.0</v>
      </c>
      <c r="AP168" s="186">
        <v>24501.44899328859</v>
      </c>
      <c r="AQ168" s="189">
        <v>3.8053691275167787</v>
      </c>
      <c r="AR168" s="186">
        <v>163560.0</v>
      </c>
      <c r="AS168" s="186">
        <v>38103.0</v>
      </c>
      <c r="AT168" s="187">
        <v>0.0552393025159805</v>
      </c>
      <c r="AU168" s="186">
        <v>74504.40612244897</v>
      </c>
      <c r="AV168" s="219">
        <v>183.0</v>
      </c>
      <c r="AW168" s="219">
        <v>1479.0</v>
      </c>
      <c r="AX168" s="257">
        <v>11839.85</v>
      </c>
      <c r="AY168" s="258">
        <v>154.0</v>
      </c>
      <c r="AZ168" s="258">
        <v>49.0</v>
      </c>
      <c r="BA168" s="258">
        <v>28.0</v>
      </c>
      <c r="BB168" s="258">
        <v>4.0</v>
      </c>
      <c r="BC168" s="260"/>
      <c r="BD168" s="260"/>
      <c r="BE168" s="164">
        <v>-0.1299999998882413</v>
      </c>
    </row>
    <row r="169">
      <c r="A169" s="6" t="s">
        <v>53</v>
      </c>
      <c r="B169" s="183" t="s">
        <v>56</v>
      </c>
      <c r="C169" s="184" t="s">
        <v>62</v>
      </c>
      <c r="D169" s="75" t="s">
        <v>63</v>
      </c>
      <c r="E169" s="256">
        <v>45733.0</v>
      </c>
      <c r="F169" s="75" t="s">
        <v>1092</v>
      </c>
      <c r="G169" s="186"/>
      <c r="H169" s="190">
        <v>33550.0</v>
      </c>
      <c r="I169" s="190">
        <v>1500000.0</v>
      </c>
      <c r="J169" s="186">
        <v>0.0</v>
      </c>
      <c r="K169" s="186">
        <v>8500000.0</v>
      </c>
      <c r="L169" s="186">
        <v>5130317.71</v>
      </c>
      <c r="M169" s="186">
        <v>0.0</v>
      </c>
      <c r="N169" s="186">
        <v>2221873.0</v>
      </c>
      <c r="O169" s="187">
        <v>0.6035667894117647</v>
      </c>
      <c r="P169" s="187">
        <v>0.0</v>
      </c>
      <c r="Q169" s="187">
        <v>0.26139682352941174</v>
      </c>
      <c r="R169" s="188">
        <v>47.0</v>
      </c>
      <c r="S169" s="188">
        <v>79.0</v>
      </c>
      <c r="T169" s="188">
        <v>32.0</v>
      </c>
      <c r="U169" s="188">
        <v>32.0</v>
      </c>
      <c r="V169" s="188">
        <v>79.0</v>
      </c>
      <c r="W169" s="188">
        <v>0.0</v>
      </c>
      <c r="X169" s="189">
        <v>1870723.53</v>
      </c>
      <c r="Y169" s="189">
        <v>3259594.18</v>
      </c>
      <c r="Z169" s="188">
        <v>20.0</v>
      </c>
      <c r="AA169" s="188">
        <v>32.0</v>
      </c>
      <c r="AB169" s="188">
        <v>52.0</v>
      </c>
      <c r="AC169" s="188">
        <v>0.0</v>
      </c>
      <c r="AD169" s="188">
        <v>180.0</v>
      </c>
      <c r="AE169" s="188">
        <v>446.0</v>
      </c>
      <c r="AF169" s="188">
        <v>2.0</v>
      </c>
      <c r="AG169" s="188">
        <v>4.0</v>
      </c>
      <c r="AH169" s="188">
        <v>63.0</v>
      </c>
      <c r="AI169" s="188">
        <v>1.0</v>
      </c>
      <c r="AJ169" s="188">
        <v>1.0</v>
      </c>
      <c r="AK169" s="188">
        <v>8.0</v>
      </c>
      <c r="AL169" s="188">
        <v>41.0</v>
      </c>
      <c r="AM169" s="188">
        <v>537.0</v>
      </c>
      <c r="AN169" s="188">
        <v>1088.0</v>
      </c>
      <c r="AO169" s="188">
        <v>148.0</v>
      </c>
      <c r="AP169" s="186">
        <v>34664.30885135135</v>
      </c>
      <c r="AQ169" s="189">
        <v>3.6283783783783785</v>
      </c>
      <c r="AR169" s="186">
        <v>201300.0</v>
      </c>
      <c r="AS169" s="186">
        <v>59191.0</v>
      </c>
      <c r="AT169" s="187">
        <v>0.050774828134376886</v>
      </c>
      <c r="AU169" s="186">
        <v>98659.95596153846</v>
      </c>
      <c r="AV169" s="219">
        <v>150.0</v>
      </c>
      <c r="AW169" s="219">
        <v>1436.0</v>
      </c>
      <c r="AX169" s="257">
        <v>15538.98</v>
      </c>
      <c r="AY169" s="258">
        <v>197.0</v>
      </c>
      <c r="AZ169" s="258">
        <v>52.0</v>
      </c>
      <c r="BA169" s="258">
        <v>27.0</v>
      </c>
      <c r="BB169" s="258">
        <v>0.0</v>
      </c>
      <c r="BC169" s="260"/>
      <c r="BD169" s="260"/>
      <c r="BE169" s="164">
        <v>-0.15999999921768904</v>
      </c>
    </row>
    <row r="170">
      <c r="A170" s="6" t="s">
        <v>53</v>
      </c>
      <c r="B170" s="183" t="s">
        <v>56</v>
      </c>
      <c r="C170" s="184" t="s">
        <v>364</v>
      </c>
      <c r="D170" s="75" t="s">
        <v>365</v>
      </c>
      <c r="E170" s="256">
        <v>45735.0</v>
      </c>
      <c r="F170" s="75" t="s">
        <v>1092</v>
      </c>
      <c r="G170" s="186"/>
      <c r="H170" s="190">
        <v>25165.0</v>
      </c>
      <c r="I170" s="190">
        <v>700000.0</v>
      </c>
      <c r="J170" s="186">
        <v>0.0</v>
      </c>
      <c r="K170" s="186">
        <v>2800000.0</v>
      </c>
      <c r="L170" s="186">
        <v>19908.0</v>
      </c>
      <c r="M170" s="186">
        <v>0.0</v>
      </c>
      <c r="N170" s="186">
        <v>0.0</v>
      </c>
      <c r="O170" s="187">
        <v>0.00711</v>
      </c>
      <c r="P170" s="187">
        <v>0.0</v>
      </c>
      <c r="Q170" s="187">
        <v>0.0</v>
      </c>
      <c r="R170" s="188">
        <v>32.0</v>
      </c>
      <c r="S170" s="188">
        <v>25.0</v>
      </c>
      <c r="T170" s="188">
        <v>0.0</v>
      </c>
      <c r="U170" s="188">
        <v>0.0</v>
      </c>
      <c r="V170" s="188">
        <v>32.0</v>
      </c>
      <c r="W170" s="188">
        <v>7.0</v>
      </c>
      <c r="X170" s="189">
        <v>19908.0</v>
      </c>
      <c r="Y170" s="189">
        <v>0.0</v>
      </c>
      <c r="Z170" s="188">
        <v>1.0</v>
      </c>
      <c r="AA170" s="188">
        <v>0.0</v>
      </c>
      <c r="AB170" s="188">
        <v>1.0</v>
      </c>
      <c r="AC170" s="188">
        <v>0.0</v>
      </c>
      <c r="AD170" s="188">
        <v>151.0</v>
      </c>
      <c r="AE170" s="188">
        <v>368.0</v>
      </c>
      <c r="AF170" s="188">
        <v>107.0</v>
      </c>
      <c r="AG170" s="188">
        <v>2.0</v>
      </c>
      <c r="AH170" s="188">
        <v>3.0</v>
      </c>
      <c r="AI170" s="188">
        <v>0.0</v>
      </c>
      <c r="AJ170" s="188">
        <v>0.0</v>
      </c>
      <c r="AK170" s="188">
        <v>4.0</v>
      </c>
      <c r="AL170" s="188">
        <v>7.0</v>
      </c>
      <c r="AM170" s="188">
        <v>99.0</v>
      </c>
      <c r="AN170" s="188">
        <v>477.0</v>
      </c>
      <c r="AO170" s="188">
        <v>83.0</v>
      </c>
      <c r="AP170" s="186">
        <v>239.85542168674698</v>
      </c>
      <c r="AQ170" s="189">
        <v>1.1927710843373494</v>
      </c>
      <c r="AR170" s="186">
        <v>88077.5</v>
      </c>
      <c r="AS170" s="186">
        <v>26514.0</v>
      </c>
      <c r="AT170" s="187">
        <v>5.75605284307816</v>
      </c>
      <c r="AU170" s="186">
        <v>19908.0</v>
      </c>
      <c r="AV170" s="219">
        <v>1.0</v>
      </c>
      <c r="AW170" s="219">
        <v>679.0</v>
      </c>
      <c r="AX170" s="257">
        <v>4352.0</v>
      </c>
      <c r="AY170" s="258">
        <v>174.0</v>
      </c>
      <c r="AZ170" s="258">
        <v>1.0</v>
      </c>
      <c r="BA170" s="258">
        <v>24.0</v>
      </c>
      <c r="BB170" s="258">
        <v>7.0</v>
      </c>
      <c r="BC170" s="260">
        <v>45853.0</v>
      </c>
      <c r="BD170" s="260"/>
      <c r="BE170" s="164">
        <v>0.0</v>
      </c>
    </row>
    <row r="171">
      <c r="A171" s="6" t="s">
        <v>53</v>
      </c>
      <c r="B171" s="183" t="s">
        <v>56</v>
      </c>
      <c r="C171" s="184" t="s">
        <v>377</v>
      </c>
      <c r="D171" s="75" t="s">
        <v>378</v>
      </c>
      <c r="E171" s="256">
        <v>45735.0</v>
      </c>
      <c r="F171" s="75" t="s">
        <v>1092</v>
      </c>
      <c r="G171" s="186"/>
      <c r="H171" s="190">
        <v>25165.0</v>
      </c>
      <c r="I171" s="190">
        <v>700000.0</v>
      </c>
      <c r="J171" s="186">
        <v>0.0</v>
      </c>
      <c r="K171" s="186">
        <v>4200000.0</v>
      </c>
      <c r="L171" s="186">
        <v>967341.44</v>
      </c>
      <c r="M171" s="186">
        <v>0.0</v>
      </c>
      <c r="N171" s="186">
        <v>0.0</v>
      </c>
      <c r="O171" s="187">
        <v>0.23031939047619046</v>
      </c>
      <c r="P171" s="187">
        <v>0.0</v>
      </c>
      <c r="Q171" s="187">
        <v>0.0</v>
      </c>
      <c r="R171" s="188">
        <v>48.0</v>
      </c>
      <c r="S171" s="188">
        <v>74.0</v>
      </c>
      <c r="T171" s="188">
        <v>27.0</v>
      </c>
      <c r="U171" s="188">
        <v>27.0</v>
      </c>
      <c r="V171" s="188">
        <v>75.0</v>
      </c>
      <c r="W171" s="188">
        <v>1.0</v>
      </c>
      <c r="X171" s="189">
        <v>149111.2</v>
      </c>
      <c r="Y171" s="189">
        <v>818230.24</v>
      </c>
      <c r="Z171" s="188">
        <v>4.0</v>
      </c>
      <c r="AA171" s="188">
        <v>27.0</v>
      </c>
      <c r="AB171" s="188">
        <v>31.0</v>
      </c>
      <c r="AC171" s="188">
        <v>0.0</v>
      </c>
      <c r="AD171" s="188">
        <v>196.0</v>
      </c>
      <c r="AE171" s="188">
        <v>597.0</v>
      </c>
      <c r="AF171" s="188">
        <v>5.0</v>
      </c>
      <c r="AG171" s="188">
        <v>4.0</v>
      </c>
      <c r="AH171" s="188">
        <v>71.0</v>
      </c>
      <c r="AI171" s="188">
        <v>0.0</v>
      </c>
      <c r="AJ171" s="188">
        <v>0.0</v>
      </c>
      <c r="AK171" s="188">
        <v>11.0</v>
      </c>
      <c r="AL171" s="188">
        <v>69.0</v>
      </c>
      <c r="AM171" s="188">
        <v>407.0</v>
      </c>
      <c r="AN171" s="188">
        <v>1144.0</v>
      </c>
      <c r="AO171" s="188">
        <v>147.0</v>
      </c>
      <c r="AP171" s="186">
        <v>6580.5540136054415</v>
      </c>
      <c r="AQ171" s="189">
        <v>2.7687074829931975</v>
      </c>
      <c r="AR171" s="186">
        <v>150990.0</v>
      </c>
      <c r="AS171" s="186">
        <v>42900.0</v>
      </c>
      <c r="AT171" s="187">
        <v>0.20043594948232552</v>
      </c>
      <c r="AU171" s="186">
        <v>31204.56258064516</v>
      </c>
      <c r="AV171" s="219">
        <v>58.0</v>
      </c>
      <c r="AW171" s="219">
        <v>1735.0</v>
      </c>
      <c r="AX171" s="257">
        <v>11671.34</v>
      </c>
      <c r="AY171" s="258">
        <v>158.0</v>
      </c>
      <c r="AZ171" s="258">
        <v>31.0</v>
      </c>
      <c r="BA171" s="258">
        <v>43.0</v>
      </c>
      <c r="BB171" s="258">
        <v>1.0</v>
      </c>
      <c r="BC171" s="260"/>
      <c r="BD171" s="260"/>
      <c r="BE171" s="164">
        <v>0.06999999983236194</v>
      </c>
    </row>
    <row r="172">
      <c r="A172" s="6" t="s">
        <v>23</v>
      </c>
      <c r="B172" s="183" t="s">
        <v>40</v>
      </c>
      <c r="C172" s="184" t="s">
        <v>38</v>
      </c>
      <c r="D172" s="75" t="s">
        <v>39</v>
      </c>
      <c r="E172" s="256">
        <v>45736.0</v>
      </c>
      <c r="F172" s="75" t="s">
        <v>40</v>
      </c>
      <c r="G172" s="186">
        <v>0.0</v>
      </c>
      <c r="H172" s="190">
        <v>27260.0</v>
      </c>
      <c r="I172" s="190">
        <v>1250000.0</v>
      </c>
      <c r="J172" s="186">
        <v>300000.0</v>
      </c>
      <c r="K172" s="186">
        <v>7200000.0</v>
      </c>
      <c r="L172" s="186">
        <v>3203286.84</v>
      </c>
      <c r="M172" s="186">
        <v>189591.71</v>
      </c>
      <c r="N172" s="186">
        <v>3306172.0</v>
      </c>
      <c r="O172" s="187">
        <v>0.45238380666666667</v>
      </c>
      <c r="P172" s="187">
        <v>0.63</v>
      </c>
      <c r="Q172" s="187">
        <v>0.44082293333333333</v>
      </c>
      <c r="R172" s="188">
        <v>21.0</v>
      </c>
      <c r="S172" s="188">
        <v>35.0</v>
      </c>
      <c r="T172" s="188">
        <v>14.0</v>
      </c>
      <c r="U172" s="188">
        <v>14.0</v>
      </c>
      <c r="V172" s="188">
        <v>35.0</v>
      </c>
      <c r="W172" s="188">
        <v>0.0</v>
      </c>
      <c r="X172" s="189">
        <v>339609.99</v>
      </c>
      <c r="Y172" s="189">
        <v>2863676.85</v>
      </c>
      <c r="Z172" s="188">
        <v>4.0</v>
      </c>
      <c r="AA172" s="188">
        <v>14.0</v>
      </c>
      <c r="AB172" s="188">
        <v>18.0</v>
      </c>
      <c r="AC172" s="188">
        <v>2.0</v>
      </c>
      <c r="AD172" s="188">
        <v>204.0</v>
      </c>
      <c r="AE172" s="188">
        <v>587.0</v>
      </c>
      <c r="AF172" s="188">
        <v>6.0</v>
      </c>
      <c r="AG172" s="188">
        <v>4.0</v>
      </c>
      <c r="AH172" s="188">
        <v>22.0</v>
      </c>
      <c r="AI172" s="188">
        <v>5.0</v>
      </c>
      <c r="AJ172" s="188">
        <v>32.0</v>
      </c>
      <c r="AK172" s="188">
        <v>3.0</v>
      </c>
      <c r="AL172" s="188">
        <v>18.0</v>
      </c>
      <c r="AM172" s="188">
        <v>254.0</v>
      </c>
      <c r="AN172" s="188">
        <v>913.0</v>
      </c>
      <c r="AO172" s="188">
        <v>146.0</v>
      </c>
      <c r="AP172" s="186">
        <v>23238.89417808219</v>
      </c>
      <c r="AQ172" s="189">
        <v>1.7397260273972603</v>
      </c>
      <c r="AR172" s="186">
        <v>163560.0</v>
      </c>
      <c r="AS172" s="186">
        <v>26389.0</v>
      </c>
      <c r="AT172" s="187">
        <v>0.05598461518759639</v>
      </c>
      <c r="AU172" s="186">
        <v>177960.38</v>
      </c>
      <c r="AV172" s="219">
        <v>71.0</v>
      </c>
      <c r="AW172" s="219">
        <v>1290.0</v>
      </c>
      <c r="AX172" s="257">
        <v>4665.58</v>
      </c>
      <c r="AY172" s="258">
        <v>133.0</v>
      </c>
      <c r="AZ172" s="258">
        <v>18.0</v>
      </c>
      <c r="BA172" s="258">
        <v>17.0</v>
      </c>
      <c r="BB172" s="258">
        <v>0.0</v>
      </c>
      <c r="BC172" s="260"/>
      <c r="BD172" s="260"/>
      <c r="BE172" s="164">
        <v>0.02000000001862645</v>
      </c>
    </row>
    <row r="173">
      <c r="A173" s="6" t="s">
        <v>53</v>
      </c>
      <c r="B173" s="183" t="s">
        <v>56</v>
      </c>
      <c r="C173" s="184" t="s">
        <v>869</v>
      </c>
      <c r="D173" s="75" t="s">
        <v>1093</v>
      </c>
      <c r="E173" s="256">
        <v>45736.0</v>
      </c>
      <c r="F173" s="75" t="s">
        <v>1113</v>
      </c>
      <c r="G173" s="186"/>
      <c r="H173" s="190">
        <v>37740.0</v>
      </c>
      <c r="I173" s="190"/>
      <c r="J173" s="186">
        <v>0.0</v>
      </c>
      <c r="K173" s="186">
        <v>0.0</v>
      </c>
      <c r="L173" s="186">
        <v>0.0</v>
      </c>
      <c r="M173" s="186">
        <v>0.0</v>
      </c>
      <c r="N173" s="186"/>
      <c r="O173" s="187"/>
      <c r="P173" s="187">
        <v>0.0</v>
      </c>
      <c r="Q173" s="187"/>
      <c r="R173" s="188">
        <v>30.0</v>
      </c>
      <c r="S173" s="188">
        <v>42.0</v>
      </c>
      <c r="T173" s="188">
        <v>12.0</v>
      </c>
      <c r="U173" s="188">
        <v>0.0</v>
      </c>
      <c r="V173" s="188">
        <v>42.0</v>
      </c>
      <c r="W173" s="188">
        <v>0.0</v>
      </c>
      <c r="X173" s="189">
        <v>0.0</v>
      </c>
      <c r="Y173" s="189">
        <v>0.0</v>
      </c>
      <c r="Z173" s="188">
        <v>0.0</v>
      </c>
      <c r="AA173" s="188">
        <v>0.0</v>
      </c>
      <c r="AB173" s="188">
        <v>0.0</v>
      </c>
      <c r="AC173" s="188">
        <v>0.0</v>
      </c>
      <c r="AD173" s="188">
        <v>122.0</v>
      </c>
      <c r="AE173" s="188">
        <v>326.0</v>
      </c>
      <c r="AF173" s="188">
        <v>1.0</v>
      </c>
      <c r="AG173" s="188">
        <v>5.0</v>
      </c>
      <c r="AH173" s="188">
        <v>36.0</v>
      </c>
      <c r="AI173" s="188">
        <v>0.0</v>
      </c>
      <c r="AJ173" s="188">
        <v>0.0</v>
      </c>
      <c r="AK173" s="188">
        <v>19.0</v>
      </c>
      <c r="AL173" s="188">
        <v>57.0</v>
      </c>
      <c r="AM173" s="188">
        <v>112.0</v>
      </c>
      <c r="AN173" s="188">
        <v>531.0</v>
      </c>
      <c r="AO173" s="188">
        <v>132.0</v>
      </c>
      <c r="AP173" s="186">
        <v>0.0</v>
      </c>
      <c r="AQ173" s="189">
        <v>0.8484848484848485</v>
      </c>
      <c r="AR173" s="186">
        <v>226440.0</v>
      </c>
      <c r="AS173" s="186">
        <v>42294.0</v>
      </c>
      <c r="AT173" s="187"/>
      <c r="AU173" s="186"/>
      <c r="AV173" s="219">
        <v>0.0</v>
      </c>
      <c r="AW173" s="219">
        <v>1326.0</v>
      </c>
      <c r="AX173" s="257">
        <v>17361.78</v>
      </c>
      <c r="AY173" s="258">
        <v>413.0</v>
      </c>
      <c r="AZ173" s="258">
        <v>0.0</v>
      </c>
      <c r="BA173" s="258">
        <v>42.0</v>
      </c>
      <c r="BB173" s="258">
        <v>0.0</v>
      </c>
      <c r="BC173" s="260">
        <v>45919.0</v>
      </c>
      <c r="BD173" s="260"/>
      <c r="BE173" s="164" t="e">
        <v>#N/A</v>
      </c>
    </row>
    <row r="174">
      <c r="A174" s="6" t="s">
        <v>97</v>
      </c>
      <c r="B174" s="183" t="s">
        <v>101</v>
      </c>
      <c r="C174" s="184" t="s">
        <v>342</v>
      </c>
      <c r="D174" s="75" t="s">
        <v>343</v>
      </c>
      <c r="E174" s="256">
        <v>45751.0</v>
      </c>
      <c r="F174" s="75" t="s">
        <v>1062</v>
      </c>
      <c r="G174" s="186"/>
      <c r="H174" s="190">
        <v>37760.0</v>
      </c>
      <c r="I174" s="190">
        <v>1881250.0</v>
      </c>
      <c r="J174" s="186">
        <v>0.0</v>
      </c>
      <c r="K174" s="186">
        <v>8397900.0</v>
      </c>
      <c r="L174" s="186">
        <v>2797611.01</v>
      </c>
      <c r="M174" s="186">
        <v>0.0</v>
      </c>
      <c r="N174" s="186">
        <v>0.0</v>
      </c>
      <c r="O174" s="187">
        <v>0.3331322128151085</v>
      </c>
      <c r="P174" s="187">
        <v>0.0</v>
      </c>
      <c r="Q174" s="187">
        <v>0.0</v>
      </c>
      <c r="R174" s="188">
        <v>204.0</v>
      </c>
      <c r="S174" s="188">
        <v>99.0</v>
      </c>
      <c r="T174" s="188">
        <v>28.0</v>
      </c>
      <c r="U174" s="188">
        <v>27.0</v>
      </c>
      <c r="V174" s="188">
        <v>232.0</v>
      </c>
      <c r="W174" s="188">
        <v>133.0</v>
      </c>
      <c r="X174" s="189">
        <v>1759309.11</v>
      </c>
      <c r="Y174" s="189">
        <v>1038301.9</v>
      </c>
      <c r="Z174" s="188">
        <v>29.0</v>
      </c>
      <c r="AA174" s="188">
        <v>27.0</v>
      </c>
      <c r="AB174" s="188">
        <v>56.0</v>
      </c>
      <c r="AC174" s="188">
        <v>0.0</v>
      </c>
      <c r="AD174" s="188">
        <v>72.0</v>
      </c>
      <c r="AE174" s="188">
        <v>175.0</v>
      </c>
      <c r="AF174" s="188">
        <v>0.0</v>
      </c>
      <c r="AG174" s="188">
        <v>2.0</v>
      </c>
      <c r="AH174" s="188">
        <v>68.0</v>
      </c>
      <c r="AI174" s="188">
        <v>0.0</v>
      </c>
      <c r="AJ174" s="188">
        <v>0.0</v>
      </c>
      <c r="AK174" s="188">
        <v>0.0</v>
      </c>
      <c r="AL174" s="188">
        <v>0.0</v>
      </c>
      <c r="AM174" s="188">
        <v>490.0</v>
      </c>
      <c r="AN174" s="188">
        <v>733.0</v>
      </c>
      <c r="AO174" s="188">
        <v>95.0</v>
      </c>
      <c r="AP174" s="186">
        <v>29448.53694736842</v>
      </c>
      <c r="AQ174" s="189">
        <v>5.157894736842105</v>
      </c>
      <c r="AR174" s="186">
        <v>165388.8</v>
      </c>
      <c r="AS174" s="186">
        <v>40394.0</v>
      </c>
      <c r="AT174" s="187">
        <v>0.07355661643610703</v>
      </c>
      <c r="AU174" s="186">
        <v>49957.33946428571</v>
      </c>
      <c r="AV174" s="219">
        <v>151.0</v>
      </c>
      <c r="AW174" s="219">
        <v>938.0</v>
      </c>
      <c r="AX174" s="257">
        <v>6761.85</v>
      </c>
      <c r="AY174" s="258">
        <v>68.0</v>
      </c>
      <c r="AZ174" s="258">
        <v>56.0</v>
      </c>
      <c r="BA174" s="258">
        <v>45.0</v>
      </c>
      <c r="BB174" s="258">
        <v>131.0</v>
      </c>
      <c r="BC174" s="260">
        <v>45881.0</v>
      </c>
      <c r="BD174" s="260"/>
      <c r="BE174" s="164">
        <v>-0.10999999986961484</v>
      </c>
    </row>
    <row r="175">
      <c r="A175" s="6" t="s">
        <v>53</v>
      </c>
      <c r="B175" s="183" t="s">
        <v>56</v>
      </c>
      <c r="C175" s="184" t="s">
        <v>870</v>
      </c>
      <c r="D175" s="75" t="s">
        <v>71</v>
      </c>
      <c r="E175" s="256">
        <v>45761.0</v>
      </c>
      <c r="F175" s="75" t="s">
        <v>1092</v>
      </c>
      <c r="G175" s="186"/>
      <c r="H175" s="190">
        <v>65000.0</v>
      </c>
      <c r="I175" s="190"/>
      <c r="J175" s="186">
        <v>0.0</v>
      </c>
      <c r="K175" s="186">
        <v>0.0</v>
      </c>
      <c r="L175" s="186">
        <v>0.0</v>
      </c>
      <c r="M175" s="186">
        <v>0.0</v>
      </c>
      <c r="N175" s="186"/>
      <c r="O175" s="187"/>
      <c r="P175" s="187">
        <v>0.0</v>
      </c>
      <c r="Q175" s="187"/>
      <c r="R175" s="188">
        <v>7.0</v>
      </c>
      <c r="S175" s="188">
        <v>8.0</v>
      </c>
      <c r="T175" s="188">
        <v>1.0</v>
      </c>
      <c r="U175" s="188">
        <v>0.0</v>
      </c>
      <c r="V175" s="188">
        <v>8.0</v>
      </c>
      <c r="W175" s="188">
        <v>0.0</v>
      </c>
      <c r="X175" s="189">
        <v>0.0</v>
      </c>
      <c r="Y175" s="189">
        <v>0.0</v>
      </c>
      <c r="Z175" s="188">
        <v>0.0</v>
      </c>
      <c r="AA175" s="188">
        <v>0.0</v>
      </c>
      <c r="AB175" s="188">
        <v>0.0</v>
      </c>
      <c r="AC175" s="188">
        <v>0.0</v>
      </c>
      <c r="AD175" s="188">
        <v>9.0</v>
      </c>
      <c r="AE175" s="188">
        <v>11.0</v>
      </c>
      <c r="AF175" s="188">
        <v>0.0</v>
      </c>
      <c r="AG175" s="188">
        <v>2.0</v>
      </c>
      <c r="AH175" s="188">
        <v>3.0</v>
      </c>
      <c r="AI175" s="188">
        <v>0.0</v>
      </c>
      <c r="AJ175" s="188">
        <v>0.0</v>
      </c>
      <c r="AK175" s="188">
        <v>4.0</v>
      </c>
      <c r="AL175" s="188">
        <v>6.0</v>
      </c>
      <c r="AM175" s="188">
        <v>9.0</v>
      </c>
      <c r="AN175" s="188">
        <v>29.0</v>
      </c>
      <c r="AO175" s="188">
        <v>9.0</v>
      </c>
      <c r="AP175" s="186">
        <v>0.0</v>
      </c>
      <c r="AQ175" s="189">
        <v>1.0</v>
      </c>
      <c r="AR175" s="186">
        <v>21450.0</v>
      </c>
      <c r="AS175" s="186">
        <v>2872.0</v>
      </c>
      <c r="AT175" s="187"/>
      <c r="AU175" s="186"/>
      <c r="AV175" s="219">
        <v>0.0</v>
      </c>
      <c r="AW175" s="219">
        <v>89.0</v>
      </c>
      <c r="AX175" s="257">
        <v>247.98</v>
      </c>
      <c r="AY175" s="258">
        <v>31.0</v>
      </c>
      <c r="AZ175" s="258">
        <v>0.0</v>
      </c>
      <c r="BA175" s="258">
        <v>8.0</v>
      </c>
      <c r="BB175" s="258">
        <v>0.0</v>
      </c>
      <c r="BC175" s="260">
        <v>45771.0</v>
      </c>
      <c r="BD175" s="260"/>
      <c r="BE175" s="164" t="e">
        <v>#N/A</v>
      </c>
    </row>
    <row r="176">
      <c r="A176" s="6" t="s">
        <v>47</v>
      </c>
      <c r="B176" s="183" t="s">
        <v>422</v>
      </c>
      <c r="C176" s="184" t="s">
        <v>871</v>
      </c>
      <c r="D176" s="75" t="s">
        <v>421</v>
      </c>
      <c r="E176" s="256">
        <v>45761.0</v>
      </c>
      <c r="F176" s="75" t="s">
        <v>1094</v>
      </c>
      <c r="G176" s="186"/>
      <c r="H176" s="190">
        <v>24116.0</v>
      </c>
      <c r="I176" s="190">
        <v>666667.0</v>
      </c>
      <c r="J176" s="186">
        <v>0.0</v>
      </c>
      <c r="K176" s="186">
        <v>3333335.0</v>
      </c>
      <c r="L176" s="186">
        <v>1990472.78</v>
      </c>
      <c r="M176" s="186">
        <v>0.0</v>
      </c>
      <c r="N176" s="186">
        <v>1329861.17</v>
      </c>
      <c r="O176" s="187">
        <v>0.5971415354292323</v>
      </c>
      <c r="P176" s="187">
        <v>0.0</v>
      </c>
      <c r="Q176" s="187">
        <v>0.39895815152092423</v>
      </c>
      <c r="R176" s="188">
        <v>16.0</v>
      </c>
      <c r="S176" s="188">
        <v>62.0</v>
      </c>
      <c r="T176" s="188">
        <v>47.0</v>
      </c>
      <c r="U176" s="188">
        <v>45.0</v>
      </c>
      <c r="V176" s="188">
        <v>63.0</v>
      </c>
      <c r="W176" s="188">
        <v>1.0</v>
      </c>
      <c r="X176" s="189">
        <v>113798.22</v>
      </c>
      <c r="Y176" s="189">
        <v>1876674.56</v>
      </c>
      <c r="Z176" s="188">
        <v>3.0</v>
      </c>
      <c r="AA176" s="188">
        <v>45.0</v>
      </c>
      <c r="AB176" s="188">
        <v>48.0</v>
      </c>
      <c r="AC176" s="188">
        <v>0.0</v>
      </c>
      <c r="AD176" s="188">
        <v>253.0</v>
      </c>
      <c r="AE176" s="188">
        <v>642.0</v>
      </c>
      <c r="AF176" s="188">
        <v>3.0</v>
      </c>
      <c r="AG176" s="188">
        <v>1.0</v>
      </c>
      <c r="AH176" s="188">
        <v>63.0</v>
      </c>
      <c r="AI176" s="188">
        <v>0.0</v>
      </c>
      <c r="AJ176" s="188">
        <v>0.0</v>
      </c>
      <c r="AK176" s="188">
        <v>13.0</v>
      </c>
      <c r="AL176" s="188">
        <v>19.0</v>
      </c>
      <c r="AM176" s="188">
        <v>219.0</v>
      </c>
      <c r="AN176" s="188">
        <v>943.0</v>
      </c>
      <c r="AO176" s="188">
        <v>130.0</v>
      </c>
      <c r="AP176" s="186">
        <v>15311.329076923077</v>
      </c>
      <c r="AQ176" s="189">
        <v>1.6846153846153846</v>
      </c>
      <c r="AR176" s="186">
        <v>134326.12</v>
      </c>
      <c r="AS176" s="186">
        <v>21680.0</v>
      </c>
      <c r="AT176" s="187">
        <v>0.07837641467269901</v>
      </c>
      <c r="AU176" s="186">
        <v>41468.182916666665</v>
      </c>
      <c r="AV176" s="219">
        <v>92.0</v>
      </c>
      <c r="AW176" s="219">
        <v>1299.0</v>
      </c>
      <c r="AX176" s="257">
        <v>5389.42</v>
      </c>
      <c r="AY176" s="258">
        <v>87.0</v>
      </c>
      <c r="AZ176" s="258">
        <v>48.0</v>
      </c>
      <c r="BA176" s="258">
        <v>14.0</v>
      </c>
      <c r="BB176" s="258">
        <v>1.0</v>
      </c>
      <c r="BC176" s="260"/>
      <c r="BD176" s="260"/>
      <c r="BE176" s="164">
        <v>0.03999999980442226</v>
      </c>
    </row>
    <row r="177">
      <c r="A177" s="6" t="s">
        <v>73</v>
      </c>
      <c r="B177" s="183" t="s">
        <v>1229</v>
      </c>
      <c r="C177" s="184" t="s">
        <v>360</v>
      </c>
      <c r="D177" s="75" t="s">
        <v>82</v>
      </c>
      <c r="E177" s="256">
        <v>45765.0</v>
      </c>
      <c r="F177" s="75" t="s">
        <v>76</v>
      </c>
      <c r="G177" s="186"/>
      <c r="H177" s="190">
        <v>25690.0</v>
      </c>
      <c r="I177" s="190">
        <v>1166667.0</v>
      </c>
      <c r="J177" s="186">
        <v>900001.8</v>
      </c>
      <c r="K177" s="186">
        <v>5400000.0</v>
      </c>
      <c r="L177" s="186">
        <v>1848885.95</v>
      </c>
      <c r="M177" s="186">
        <v>341103.89</v>
      </c>
      <c r="N177" s="186">
        <v>2906031.0</v>
      </c>
      <c r="O177" s="187">
        <v>0.3476173356013962</v>
      </c>
      <c r="P177" s="187">
        <v>0.38</v>
      </c>
      <c r="Q177" s="187">
        <v>0.4612746301120105</v>
      </c>
      <c r="R177" s="188">
        <v>10.0</v>
      </c>
      <c r="S177" s="188">
        <v>19.0</v>
      </c>
      <c r="T177" s="188">
        <v>10.0</v>
      </c>
      <c r="U177" s="188">
        <v>10.0</v>
      </c>
      <c r="V177" s="188">
        <v>20.0</v>
      </c>
      <c r="W177" s="188">
        <v>1.0</v>
      </c>
      <c r="X177" s="189">
        <v>994079.45</v>
      </c>
      <c r="Y177" s="189">
        <v>854806.5</v>
      </c>
      <c r="Z177" s="188">
        <v>8.0</v>
      </c>
      <c r="AA177" s="188">
        <v>10.0</v>
      </c>
      <c r="AB177" s="188">
        <v>18.0</v>
      </c>
      <c r="AC177" s="188">
        <v>3.0</v>
      </c>
      <c r="AD177" s="188">
        <v>114.0</v>
      </c>
      <c r="AE177" s="188">
        <v>322.0</v>
      </c>
      <c r="AF177" s="188">
        <v>3.0</v>
      </c>
      <c r="AG177" s="188">
        <v>4.0</v>
      </c>
      <c r="AH177" s="188">
        <v>126.0</v>
      </c>
      <c r="AI177" s="188">
        <v>4.0</v>
      </c>
      <c r="AJ177" s="188">
        <v>20.0</v>
      </c>
      <c r="AK177" s="188">
        <v>3.0</v>
      </c>
      <c r="AL177" s="188">
        <v>10.0</v>
      </c>
      <c r="AM177" s="188">
        <v>93.0</v>
      </c>
      <c r="AN177" s="188">
        <v>571.0</v>
      </c>
      <c r="AO177" s="188">
        <v>131.0</v>
      </c>
      <c r="AP177" s="186">
        <v>16717.479694656486</v>
      </c>
      <c r="AQ177" s="189">
        <v>0.7099236641221374</v>
      </c>
      <c r="AR177" s="186">
        <v>138726.0</v>
      </c>
      <c r="AS177" s="186">
        <v>16430.0</v>
      </c>
      <c r="AT177" s="187">
        <v>0.07084781726658604</v>
      </c>
      <c r="AU177" s="186">
        <v>102715.8861111111</v>
      </c>
      <c r="AV177" s="219">
        <v>80.0</v>
      </c>
      <c r="AW177" s="219">
        <v>1152.0</v>
      </c>
      <c r="AX177" s="257">
        <v>7304.27</v>
      </c>
      <c r="AY177" s="258">
        <v>384.0</v>
      </c>
      <c r="AZ177" s="258">
        <v>18.0</v>
      </c>
      <c r="BA177" s="258">
        <v>1.0</v>
      </c>
      <c r="BB177" s="258">
        <v>1.0</v>
      </c>
      <c r="BC177" s="260"/>
      <c r="BD177" s="260"/>
      <c r="BE177" s="164">
        <v>0.2099999999627471</v>
      </c>
    </row>
    <row r="178">
      <c r="A178" s="6" t="s">
        <v>298</v>
      </c>
      <c r="B178" s="183" t="s">
        <v>301</v>
      </c>
      <c r="C178" s="184" t="s">
        <v>637</v>
      </c>
      <c r="D178" s="75" t="s">
        <v>317</v>
      </c>
      <c r="E178" s="256">
        <v>45778.0</v>
      </c>
      <c r="F178" s="75" t="s">
        <v>1066</v>
      </c>
      <c r="G178" s="186"/>
      <c r="H178" s="190">
        <v>47173.0</v>
      </c>
      <c r="I178" s="190">
        <v>1200000.0</v>
      </c>
      <c r="J178" s="186">
        <v>0.0</v>
      </c>
      <c r="K178" s="186">
        <v>6000000.0</v>
      </c>
      <c r="L178" s="186">
        <v>2911615.97</v>
      </c>
      <c r="M178" s="186">
        <v>0.0</v>
      </c>
      <c r="N178" s="186">
        <v>0.0</v>
      </c>
      <c r="O178" s="187">
        <v>0.48526932833333336</v>
      </c>
      <c r="P178" s="187">
        <v>0.0</v>
      </c>
      <c r="Q178" s="187">
        <v>0.0</v>
      </c>
      <c r="R178" s="188">
        <v>69.0</v>
      </c>
      <c r="S178" s="188">
        <v>65.0</v>
      </c>
      <c r="T178" s="188">
        <v>16.0</v>
      </c>
      <c r="U178" s="188">
        <v>16.0</v>
      </c>
      <c r="V178" s="188">
        <v>85.0</v>
      </c>
      <c r="W178" s="188">
        <v>20.0</v>
      </c>
      <c r="X178" s="189">
        <v>1595348.66</v>
      </c>
      <c r="Y178" s="189">
        <v>1316267.31</v>
      </c>
      <c r="Z178" s="188">
        <v>26.0</v>
      </c>
      <c r="AA178" s="188">
        <v>16.0</v>
      </c>
      <c r="AB178" s="188">
        <v>42.0</v>
      </c>
      <c r="AC178" s="188">
        <v>0.0</v>
      </c>
      <c r="AD178" s="188">
        <v>100.0</v>
      </c>
      <c r="AE178" s="188">
        <v>182.0</v>
      </c>
      <c r="AF178" s="188">
        <v>66.0</v>
      </c>
      <c r="AG178" s="188">
        <v>5.0</v>
      </c>
      <c r="AH178" s="188">
        <v>26.0</v>
      </c>
      <c r="AI178" s="188">
        <v>2.0</v>
      </c>
      <c r="AJ178" s="188">
        <v>11.0</v>
      </c>
      <c r="AK178" s="188">
        <v>0.0</v>
      </c>
      <c r="AL178" s="188">
        <v>0.0</v>
      </c>
      <c r="AM178" s="188">
        <v>256.0</v>
      </c>
      <c r="AN178" s="188">
        <v>475.0</v>
      </c>
      <c r="AO178" s="188">
        <v>113.0</v>
      </c>
      <c r="AP178" s="186">
        <v>25766.51300884956</v>
      </c>
      <c r="AQ178" s="189">
        <v>2.265486725663717</v>
      </c>
      <c r="AR178" s="186">
        <v>235865.0</v>
      </c>
      <c r="AS178" s="186">
        <v>11330.0</v>
      </c>
      <c r="AT178" s="187">
        <v>0.0848995892820302</v>
      </c>
      <c r="AU178" s="186">
        <v>69324.18976190477</v>
      </c>
      <c r="AV178" s="219">
        <v>92.0</v>
      </c>
      <c r="AW178" s="219">
        <v>903.0</v>
      </c>
      <c r="AX178" s="257">
        <v>4026.23</v>
      </c>
      <c r="AY178" s="258">
        <v>62.0</v>
      </c>
      <c r="AZ178" s="258">
        <v>42.0</v>
      </c>
      <c r="BA178" s="258">
        <v>31.0</v>
      </c>
      <c r="BB178" s="258">
        <v>12.0</v>
      </c>
      <c r="BC178" s="260"/>
      <c r="BD178" s="260"/>
      <c r="BE178" s="164">
        <v>0.00999999837949872</v>
      </c>
    </row>
    <row r="179">
      <c r="A179" s="6" t="s">
        <v>53</v>
      </c>
      <c r="B179" s="183" t="s">
        <v>61</v>
      </c>
      <c r="C179" s="184" t="s">
        <v>654</v>
      </c>
      <c r="D179" s="75" t="s">
        <v>1114</v>
      </c>
      <c r="E179" s="256">
        <v>45778.0</v>
      </c>
      <c r="F179" s="75" t="s">
        <v>1077</v>
      </c>
      <c r="G179" s="186"/>
      <c r="H179" s="190">
        <v>50860.0</v>
      </c>
      <c r="I179" s="190"/>
      <c r="J179" s="186">
        <v>0.0</v>
      </c>
      <c r="K179" s="186">
        <v>0.0</v>
      </c>
      <c r="L179" s="186">
        <v>0.0</v>
      </c>
      <c r="M179" s="186">
        <v>0.0</v>
      </c>
      <c r="N179" s="186"/>
      <c r="O179" s="187"/>
      <c r="P179" s="187">
        <v>0.0</v>
      </c>
      <c r="Q179" s="187"/>
      <c r="R179" s="188">
        <v>58.0</v>
      </c>
      <c r="S179" s="188">
        <v>18.0</v>
      </c>
      <c r="T179" s="188">
        <v>0.0</v>
      </c>
      <c r="U179" s="188">
        <v>0.0</v>
      </c>
      <c r="V179" s="188">
        <v>58.0</v>
      </c>
      <c r="W179" s="188">
        <v>40.0</v>
      </c>
      <c r="X179" s="189">
        <v>0.0</v>
      </c>
      <c r="Y179" s="189">
        <v>0.0</v>
      </c>
      <c r="Z179" s="188">
        <v>0.0</v>
      </c>
      <c r="AA179" s="188">
        <v>0.0</v>
      </c>
      <c r="AB179" s="188">
        <v>0.0</v>
      </c>
      <c r="AC179" s="188">
        <v>0.0</v>
      </c>
      <c r="AD179" s="188">
        <v>22.0</v>
      </c>
      <c r="AE179" s="188">
        <v>38.0</v>
      </c>
      <c r="AF179" s="188">
        <v>77.0</v>
      </c>
      <c r="AG179" s="188">
        <v>9.0</v>
      </c>
      <c r="AH179" s="188">
        <v>46.0</v>
      </c>
      <c r="AI179" s="188">
        <v>0.0</v>
      </c>
      <c r="AJ179" s="188">
        <v>0.0</v>
      </c>
      <c r="AK179" s="188">
        <v>12.0</v>
      </c>
      <c r="AL179" s="188">
        <v>30.0</v>
      </c>
      <c r="AM179" s="188">
        <v>52.0</v>
      </c>
      <c r="AN179" s="188">
        <v>166.0</v>
      </c>
      <c r="AO179" s="188">
        <v>78.0</v>
      </c>
      <c r="AP179" s="186">
        <v>0.0</v>
      </c>
      <c r="AQ179" s="189">
        <v>0.6666666666666666</v>
      </c>
      <c r="AR179" s="186">
        <v>203440.0</v>
      </c>
      <c r="AS179" s="186"/>
      <c r="AT179" s="187"/>
      <c r="AU179" s="186"/>
      <c r="AV179" s="219">
        <v>0.0</v>
      </c>
      <c r="AW179" s="219">
        <v>819.0</v>
      </c>
      <c r="AX179" s="257">
        <v>12835.41</v>
      </c>
      <c r="AY179" s="258">
        <v>713.0</v>
      </c>
      <c r="AZ179" s="258">
        <v>0.0</v>
      </c>
      <c r="BA179" s="258">
        <v>18.0</v>
      </c>
      <c r="BB179" s="258">
        <v>40.0</v>
      </c>
      <c r="BC179" s="260">
        <v>45899.0</v>
      </c>
      <c r="BD179" s="260"/>
      <c r="BE179" s="164" t="e">
        <v>#N/A</v>
      </c>
    </row>
    <row r="180">
      <c r="A180" s="6" t="s">
        <v>47</v>
      </c>
      <c r="B180" s="183" t="s">
        <v>50</v>
      </c>
      <c r="C180" s="184" t="s">
        <v>872</v>
      </c>
      <c r="D180" s="75" t="s">
        <v>1115</v>
      </c>
      <c r="E180" s="256">
        <v>45782.0</v>
      </c>
      <c r="F180" s="75" t="s">
        <v>1091</v>
      </c>
      <c r="G180" s="186"/>
      <c r="H180" s="190">
        <v>64580.0</v>
      </c>
      <c r="I180" s="190"/>
      <c r="J180" s="186">
        <v>0.0</v>
      </c>
      <c r="K180" s="186">
        <v>0.0</v>
      </c>
      <c r="L180" s="186">
        <v>0.0</v>
      </c>
      <c r="M180" s="186">
        <v>0.0</v>
      </c>
      <c r="N180" s="186"/>
      <c r="O180" s="187"/>
      <c r="P180" s="187">
        <v>0.0</v>
      </c>
      <c r="Q180" s="187"/>
      <c r="R180" s="188">
        <v>0.0</v>
      </c>
      <c r="S180" s="188">
        <v>0.0</v>
      </c>
      <c r="T180" s="188">
        <v>0.0</v>
      </c>
      <c r="U180" s="188">
        <v>0.0</v>
      </c>
      <c r="V180" s="188">
        <v>0.0</v>
      </c>
      <c r="W180" s="188">
        <v>0.0</v>
      </c>
      <c r="X180" s="189">
        <v>0.0</v>
      </c>
      <c r="Y180" s="189">
        <v>0.0</v>
      </c>
      <c r="Z180" s="188">
        <v>0.0</v>
      </c>
      <c r="AA180" s="188">
        <v>0.0</v>
      </c>
      <c r="AB180" s="188">
        <v>0.0</v>
      </c>
      <c r="AC180" s="188">
        <v>0.0</v>
      </c>
      <c r="AD180" s="188">
        <v>10.0</v>
      </c>
      <c r="AE180" s="188">
        <v>19.0</v>
      </c>
      <c r="AF180" s="188">
        <v>0.0</v>
      </c>
      <c r="AG180" s="188">
        <v>2.0</v>
      </c>
      <c r="AH180" s="188">
        <v>29.0</v>
      </c>
      <c r="AI180" s="188">
        <v>0.0</v>
      </c>
      <c r="AJ180" s="188">
        <v>0.0</v>
      </c>
      <c r="AK180" s="188">
        <v>136.0</v>
      </c>
      <c r="AL180" s="188">
        <v>547.0</v>
      </c>
      <c r="AM180" s="188">
        <v>0.0</v>
      </c>
      <c r="AN180" s="188">
        <v>595.0</v>
      </c>
      <c r="AO180" s="188">
        <v>111.0</v>
      </c>
      <c r="AP180" s="186">
        <v>0.0</v>
      </c>
      <c r="AQ180" s="189">
        <v>0.0</v>
      </c>
      <c r="AR180" s="186">
        <v>322900.0</v>
      </c>
      <c r="AS180" s="186">
        <v>93629.0</v>
      </c>
      <c r="AT180" s="187"/>
      <c r="AU180" s="186"/>
      <c r="AV180" s="219">
        <v>0.0</v>
      </c>
      <c r="AW180" s="219">
        <v>1291.0</v>
      </c>
      <c r="AX180" s="257">
        <v>15144.28</v>
      </c>
      <c r="AY180" s="258">
        <v>0.0</v>
      </c>
      <c r="AZ180" s="258">
        <v>0.0</v>
      </c>
      <c r="BA180" s="258">
        <v>0.0</v>
      </c>
      <c r="BB180" s="258">
        <v>0.0</v>
      </c>
      <c r="BC180" s="260"/>
      <c r="BD180" s="260"/>
      <c r="BE180" s="164" t="e">
        <v>#N/A</v>
      </c>
    </row>
    <row r="181">
      <c r="A181" s="6" t="s">
        <v>185</v>
      </c>
      <c r="B181" s="183" t="s">
        <v>189</v>
      </c>
      <c r="C181" s="184" t="s">
        <v>283</v>
      </c>
      <c r="D181" s="75" t="s">
        <v>1117</v>
      </c>
      <c r="E181" s="256">
        <v>45784.0</v>
      </c>
      <c r="F181" s="75" t="s">
        <v>1016</v>
      </c>
      <c r="G181" s="186"/>
      <c r="H181" s="190">
        <v>25985.0</v>
      </c>
      <c r="I181" s="190">
        <v>2500000.0</v>
      </c>
      <c r="J181" s="186">
        <v>0.0</v>
      </c>
      <c r="K181" s="186">
        <v>1.25E7</v>
      </c>
      <c r="L181" s="186">
        <v>8391280.85</v>
      </c>
      <c r="M181" s="186">
        <v>0.0</v>
      </c>
      <c r="N181" s="186">
        <v>8333574.94</v>
      </c>
      <c r="O181" s="187">
        <v>0.6713024679999999</v>
      </c>
      <c r="P181" s="187">
        <v>0.0</v>
      </c>
      <c r="Q181" s="187">
        <v>0.6666859952</v>
      </c>
      <c r="R181" s="188">
        <v>30.0</v>
      </c>
      <c r="S181" s="188">
        <v>47.0</v>
      </c>
      <c r="T181" s="188">
        <v>17.0</v>
      </c>
      <c r="U181" s="188">
        <v>17.0</v>
      </c>
      <c r="V181" s="188">
        <v>47.0</v>
      </c>
      <c r="W181" s="188">
        <v>0.0</v>
      </c>
      <c r="X181" s="189">
        <v>5731091.76</v>
      </c>
      <c r="Y181" s="189">
        <v>2660189.09</v>
      </c>
      <c r="Z181" s="188">
        <v>18.0</v>
      </c>
      <c r="AA181" s="188">
        <v>17.0</v>
      </c>
      <c r="AB181" s="188">
        <v>35.0</v>
      </c>
      <c r="AC181" s="188">
        <v>0.0</v>
      </c>
      <c r="AD181" s="188">
        <v>26.0</v>
      </c>
      <c r="AE181" s="188">
        <v>96.0</v>
      </c>
      <c r="AF181" s="188">
        <v>0.0</v>
      </c>
      <c r="AG181" s="188">
        <v>2.0</v>
      </c>
      <c r="AH181" s="188">
        <v>7.0</v>
      </c>
      <c r="AI181" s="188">
        <v>0.0</v>
      </c>
      <c r="AJ181" s="188">
        <v>0.0</v>
      </c>
      <c r="AK181" s="188">
        <v>0.0</v>
      </c>
      <c r="AL181" s="188">
        <v>0.0</v>
      </c>
      <c r="AM181" s="188">
        <v>576.0</v>
      </c>
      <c r="AN181" s="188">
        <v>679.0</v>
      </c>
      <c r="AO181" s="188">
        <v>116.0</v>
      </c>
      <c r="AP181" s="186">
        <v>72338.62801724138</v>
      </c>
      <c r="AQ181" s="189">
        <v>4.9655172413793105</v>
      </c>
      <c r="AR181" s="186">
        <v>129925.0</v>
      </c>
      <c r="AS181" s="186">
        <v>15040.0</v>
      </c>
      <c r="AT181" s="187">
        <v>0.017275670138009982</v>
      </c>
      <c r="AU181" s="186">
        <v>239750.88142857142</v>
      </c>
      <c r="AV181" s="219">
        <v>173.0</v>
      </c>
      <c r="AW181" s="219">
        <v>1197.0</v>
      </c>
      <c r="AX181" s="257">
        <v>9709.03</v>
      </c>
      <c r="AY181" s="258">
        <v>207.0</v>
      </c>
      <c r="AZ181" s="258">
        <v>35.0</v>
      </c>
      <c r="BA181" s="258">
        <v>12.0</v>
      </c>
      <c r="BB181" s="258">
        <v>0.0</v>
      </c>
      <c r="BC181" s="260"/>
      <c r="BD181" s="260"/>
      <c r="BE181" s="164">
        <v>-0.009999999776482582</v>
      </c>
    </row>
    <row r="182">
      <c r="A182" s="6" t="s">
        <v>53</v>
      </c>
      <c r="B182" s="183" t="s">
        <v>61</v>
      </c>
      <c r="C182" s="184" t="s">
        <v>375</v>
      </c>
      <c r="D182" s="75" t="s">
        <v>376</v>
      </c>
      <c r="E182" s="256">
        <v>45789.0</v>
      </c>
      <c r="F182" s="75" t="s">
        <v>1077</v>
      </c>
      <c r="G182" s="186">
        <v>1273352.0</v>
      </c>
      <c r="H182" s="190">
        <v>30400.0</v>
      </c>
      <c r="I182" s="190">
        <v>500000.0</v>
      </c>
      <c r="J182" s="186">
        <v>0.0</v>
      </c>
      <c r="K182" s="186">
        <v>2700000.0</v>
      </c>
      <c r="L182" s="186">
        <v>1043511.67</v>
      </c>
      <c r="M182" s="186">
        <v>0.0</v>
      </c>
      <c r="N182" s="186">
        <v>498089.0</v>
      </c>
      <c r="O182" s="187">
        <v>0.3864858037037037</v>
      </c>
      <c r="P182" s="187">
        <v>0.0</v>
      </c>
      <c r="Q182" s="187">
        <v>0.1844774074074074</v>
      </c>
      <c r="R182" s="188">
        <v>91.0</v>
      </c>
      <c r="S182" s="188">
        <v>70.0</v>
      </c>
      <c r="T182" s="188">
        <v>7.0</v>
      </c>
      <c r="U182" s="188">
        <v>4.0</v>
      </c>
      <c r="V182" s="188">
        <v>98.0</v>
      </c>
      <c r="W182" s="188">
        <v>28.0</v>
      </c>
      <c r="X182" s="189">
        <v>747318.26</v>
      </c>
      <c r="Y182" s="189">
        <v>296193.41</v>
      </c>
      <c r="Z182" s="188">
        <v>13.0</v>
      </c>
      <c r="AA182" s="188">
        <v>4.0</v>
      </c>
      <c r="AB182" s="188">
        <v>17.0</v>
      </c>
      <c r="AC182" s="188">
        <v>0.0</v>
      </c>
      <c r="AD182" s="188">
        <v>67.0</v>
      </c>
      <c r="AE182" s="188">
        <v>129.0</v>
      </c>
      <c r="AF182" s="188">
        <v>237.0</v>
      </c>
      <c r="AG182" s="188">
        <v>3.0</v>
      </c>
      <c r="AH182" s="188">
        <v>26.0</v>
      </c>
      <c r="AI182" s="188">
        <v>0.0</v>
      </c>
      <c r="AJ182" s="188">
        <v>0.0</v>
      </c>
      <c r="AK182" s="188">
        <v>3.0</v>
      </c>
      <c r="AL182" s="188">
        <v>9.0</v>
      </c>
      <c r="AM182" s="188">
        <v>332.0</v>
      </c>
      <c r="AN182" s="188">
        <v>496.0</v>
      </c>
      <c r="AO182" s="188">
        <v>99.0</v>
      </c>
      <c r="AP182" s="186">
        <v>10540.52191919192</v>
      </c>
      <c r="AQ182" s="189">
        <v>3.3535353535353534</v>
      </c>
      <c r="AR182" s="186">
        <v>109832.25806451612</v>
      </c>
      <c r="AS182" s="186">
        <v>19352.0</v>
      </c>
      <c r="AT182" s="187">
        <v>0.12379761700654111</v>
      </c>
      <c r="AU182" s="186">
        <v>61383.03941176471</v>
      </c>
      <c r="AV182" s="219">
        <v>38.0</v>
      </c>
      <c r="AW182" s="219">
        <v>898.0</v>
      </c>
      <c r="AX182" s="257">
        <v>6105.17</v>
      </c>
      <c r="AY182" s="258">
        <v>87.0</v>
      </c>
      <c r="AZ182" s="258">
        <v>17.0</v>
      </c>
      <c r="BA182" s="258">
        <v>53.0</v>
      </c>
      <c r="BB182" s="258">
        <v>28.0</v>
      </c>
      <c r="BC182" s="260">
        <v>45930.0</v>
      </c>
      <c r="BD182" s="260"/>
      <c r="BE182" s="164">
        <v>6.249998696148396E-4</v>
      </c>
    </row>
    <row r="183">
      <c r="A183" s="6" t="s">
        <v>97</v>
      </c>
      <c r="B183" s="183" t="s">
        <v>101</v>
      </c>
      <c r="C183" s="184" t="s">
        <v>106</v>
      </c>
      <c r="D183" s="75" t="s">
        <v>107</v>
      </c>
      <c r="E183" s="256">
        <v>45793.0</v>
      </c>
      <c r="F183" s="75" t="s">
        <v>1062</v>
      </c>
      <c r="G183" s="186"/>
      <c r="H183" s="190">
        <v>27000.0</v>
      </c>
      <c r="I183" s="190">
        <v>1384727.273</v>
      </c>
      <c r="J183" s="186">
        <v>0.0</v>
      </c>
      <c r="K183" s="186">
        <v>5824000.0</v>
      </c>
      <c r="L183" s="186">
        <v>3955938.0</v>
      </c>
      <c r="M183" s="186">
        <v>0.0</v>
      </c>
      <c r="N183" s="186">
        <v>2511686.0300000003</v>
      </c>
      <c r="O183" s="187">
        <v>0.6792475961538461</v>
      </c>
      <c r="P183" s="187">
        <v>0.0</v>
      </c>
      <c r="Q183" s="187">
        <v>0.4312647716346154</v>
      </c>
      <c r="R183" s="188">
        <v>39.0</v>
      </c>
      <c r="S183" s="188">
        <v>75.0</v>
      </c>
      <c r="T183" s="188">
        <v>38.0</v>
      </c>
      <c r="U183" s="188">
        <v>38.0</v>
      </c>
      <c r="V183" s="188">
        <v>77.0</v>
      </c>
      <c r="W183" s="188">
        <v>2.0</v>
      </c>
      <c r="X183" s="189">
        <v>2521497.0</v>
      </c>
      <c r="Y183" s="189">
        <v>1434441.0</v>
      </c>
      <c r="Z183" s="188">
        <v>23.0</v>
      </c>
      <c r="AA183" s="188">
        <v>38.0</v>
      </c>
      <c r="AB183" s="188">
        <v>61.0</v>
      </c>
      <c r="AC183" s="188">
        <v>0.0</v>
      </c>
      <c r="AD183" s="188">
        <v>2.0</v>
      </c>
      <c r="AE183" s="188">
        <v>6.0</v>
      </c>
      <c r="AF183" s="188">
        <v>1.0</v>
      </c>
      <c r="AG183" s="188">
        <v>1.0</v>
      </c>
      <c r="AH183" s="188">
        <v>9.0</v>
      </c>
      <c r="AI183" s="188">
        <v>0.0</v>
      </c>
      <c r="AJ183" s="188">
        <v>0.0</v>
      </c>
      <c r="AK183" s="188">
        <v>0.0</v>
      </c>
      <c r="AL183" s="188">
        <v>0.0</v>
      </c>
      <c r="AM183" s="188">
        <v>515.0</v>
      </c>
      <c r="AN183" s="188">
        <v>530.0</v>
      </c>
      <c r="AO183" s="188">
        <v>107.0</v>
      </c>
      <c r="AP183" s="186">
        <v>36971.3831775701</v>
      </c>
      <c r="AQ183" s="189">
        <v>4.813084112149533</v>
      </c>
      <c r="AR183" s="186">
        <v>121064.51612903227</v>
      </c>
      <c r="AS183" s="186">
        <v>17718.0</v>
      </c>
      <c r="AT183" s="187">
        <v>0.035082075636431176</v>
      </c>
      <c r="AU183" s="186">
        <v>64851.44262295082</v>
      </c>
      <c r="AV183" s="219">
        <v>164.0</v>
      </c>
      <c r="AW183" s="219">
        <v>1053.0</v>
      </c>
      <c r="AX183" s="257">
        <v>5432.19</v>
      </c>
      <c r="AY183" s="258">
        <v>72.0</v>
      </c>
      <c r="AZ183" s="258">
        <v>61.0</v>
      </c>
      <c r="BA183" s="258">
        <v>16.0</v>
      </c>
      <c r="BB183" s="258">
        <v>0.0</v>
      </c>
      <c r="BC183" s="260"/>
      <c r="BD183" s="260"/>
      <c r="BE183" s="164">
        <v>5.859369412064552E-4</v>
      </c>
    </row>
    <row r="184">
      <c r="A184" s="6" t="s">
        <v>185</v>
      </c>
      <c r="B184" s="183" t="s">
        <v>189</v>
      </c>
      <c r="C184" s="184" t="s">
        <v>874</v>
      </c>
      <c r="D184" s="75" t="s">
        <v>1118</v>
      </c>
      <c r="E184" s="256">
        <v>45796.0</v>
      </c>
      <c r="F184" s="75" t="s">
        <v>1016</v>
      </c>
      <c r="G184" s="186"/>
      <c r="H184" s="190">
        <v>22000.0</v>
      </c>
      <c r="I184" s="190"/>
      <c r="J184" s="186">
        <v>0.0</v>
      </c>
      <c r="K184" s="186">
        <v>0.0</v>
      </c>
      <c r="L184" s="186">
        <v>0.0</v>
      </c>
      <c r="M184" s="186">
        <v>0.0</v>
      </c>
      <c r="N184" s="186"/>
      <c r="O184" s="187"/>
      <c r="P184" s="187">
        <v>0.0</v>
      </c>
      <c r="Q184" s="187"/>
      <c r="R184" s="188">
        <v>0.0</v>
      </c>
      <c r="S184" s="188">
        <v>0.0</v>
      </c>
      <c r="T184" s="188">
        <v>0.0</v>
      </c>
      <c r="U184" s="188">
        <v>0.0</v>
      </c>
      <c r="V184" s="188">
        <v>0.0</v>
      </c>
      <c r="W184" s="188">
        <v>0.0</v>
      </c>
      <c r="X184" s="189">
        <v>0.0</v>
      </c>
      <c r="Y184" s="189">
        <v>0.0</v>
      </c>
      <c r="Z184" s="188">
        <v>0.0</v>
      </c>
      <c r="AA184" s="188">
        <v>0.0</v>
      </c>
      <c r="AB184" s="188">
        <v>0.0</v>
      </c>
      <c r="AC184" s="188">
        <v>0.0</v>
      </c>
      <c r="AD184" s="188">
        <v>0.0</v>
      </c>
      <c r="AE184" s="188">
        <v>0.0</v>
      </c>
      <c r="AF184" s="188">
        <v>0.0</v>
      </c>
      <c r="AG184" s="188">
        <v>0.0</v>
      </c>
      <c r="AH184" s="188">
        <v>0.0</v>
      </c>
      <c r="AI184" s="188">
        <v>0.0</v>
      </c>
      <c r="AJ184" s="188">
        <v>0.0</v>
      </c>
      <c r="AK184" s="188">
        <v>1.0</v>
      </c>
      <c r="AL184" s="188">
        <v>1.0</v>
      </c>
      <c r="AM184" s="188">
        <v>0.0</v>
      </c>
      <c r="AN184" s="188">
        <v>1.0</v>
      </c>
      <c r="AO184" s="188">
        <v>1.0</v>
      </c>
      <c r="AP184" s="186">
        <v>0.0</v>
      </c>
      <c r="AQ184" s="189">
        <v>0.0</v>
      </c>
      <c r="AR184" s="186">
        <v>5720.0</v>
      </c>
      <c r="AS184" s="186"/>
      <c r="AT184" s="187"/>
      <c r="AU184" s="186"/>
      <c r="AV184" s="219">
        <v>0.0</v>
      </c>
      <c r="AW184" s="219">
        <v>18.0</v>
      </c>
      <c r="AX184" s="257">
        <v>19.72</v>
      </c>
      <c r="AY184" s="258">
        <v>0.0</v>
      </c>
      <c r="AZ184" s="258">
        <v>0.0</v>
      </c>
      <c r="BA184" s="258">
        <v>0.0</v>
      </c>
      <c r="BB184" s="258">
        <v>0.0</v>
      </c>
      <c r="BC184" s="260">
        <v>45804.0</v>
      </c>
      <c r="BD184" s="260"/>
      <c r="BE184" s="164" t="e">
        <v>#N/A</v>
      </c>
    </row>
    <row r="185">
      <c r="A185" s="6" t="s">
        <v>185</v>
      </c>
      <c r="B185" s="183" t="s">
        <v>212</v>
      </c>
      <c r="C185" s="184" t="s">
        <v>784</v>
      </c>
      <c r="D185" s="75" t="s">
        <v>219</v>
      </c>
      <c r="E185" s="256">
        <v>45797.0</v>
      </c>
      <c r="F185" s="75" t="s">
        <v>1031</v>
      </c>
      <c r="G185" s="186">
        <v>0.0</v>
      </c>
      <c r="H185" s="190">
        <v>119308.0</v>
      </c>
      <c r="I185" s="190"/>
      <c r="J185" s="186">
        <v>0.0</v>
      </c>
      <c r="K185" s="186">
        <v>0.0</v>
      </c>
      <c r="L185" s="186">
        <v>0.0</v>
      </c>
      <c r="M185" s="186">
        <v>0.0</v>
      </c>
      <c r="N185" s="186"/>
      <c r="O185" s="187"/>
      <c r="P185" s="187">
        <v>0.0</v>
      </c>
      <c r="Q185" s="187"/>
      <c r="R185" s="188">
        <v>46.0</v>
      </c>
      <c r="S185" s="188">
        <v>0.0</v>
      </c>
      <c r="T185" s="188">
        <v>1.0</v>
      </c>
      <c r="U185" s="188">
        <v>0.0</v>
      </c>
      <c r="V185" s="188">
        <v>47.0</v>
      </c>
      <c r="W185" s="188">
        <v>47.0</v>
      </c>
      <c r="X185" s="189">
        <v>0.0</v>
      </c>
      <c r="Y185" s="189">
        <v>0.0</v>
      </c>
      <c r="Z185" s="188">
        <v>0.0</v>
      </c>
      <c r="AA185" s="188">
        <v>0.0</v>
      </c>
      <c r="AB185" s="188">
        <v>0.0</v>
      </c>
      <c r="AC185" s="188">
        <v>0.0</v>
      </c>
      <c r="AD185" s="188">
        <v>0.0</v>
      </c>
      <c r="AE185" s="188">
        <v>0.0</v>
      </c>
      <c r="AF185" s="188">
        <v>89.0</v>
      </c>
      <c r="AG185" s="188">
        <v>0.0</v>
      </c>
      <c r="AH185" s="188">
        <v>0.0</v>
      </c>
      <c r="AI185" s="188">
        <v>0.0</v>
      </c>
      <c r="AJ185" s="188">
        <v>0.0</v>
      </c>
      <c r="AK185" s="188">
        <v>0.0</v>
      </c>
      <c r="AL185" s="188">
        <v>0.0</v>
      </c>
      <c r="AM185" s="188">
        <v>0.0</v>
      </c>
      <c r="AN185" s="188">
        <v>0.0</v>
      </c>
      <c r="AO185" s="188">
        <v>0.0</v>
      </c>
      <c r="AP185" s="186"/>
      <c r="AQ185" s="189"/>
      <c r="AR185" s="186">
        <v>280373.8</v>
      </c>
      <c r="AS185" s="186">
        <v>56057.0</v>
      </c>
      <c r="AT185" s="187"/>
      <c r="AU185" s="186"/>
      <c r="AV185" s="219">
        <v>0.0</v>
      </c>
      <c r="AW185" s="219">
        <v>0.0</v>
      </c>
      <c r="AX185" s="257">
        <v>0.0</v>
      </c>
      <c r="AY185" s="258">
        <v>0.0</v>
      </c>
      <c r="AZ185" s="258">
        <v>0.0</v>
      </c>
      <c r="BA185" s="258">
        <v>0.0</v>
      </c>
      <c r="BB185" s="258">
        <v>47.0</v>
      </c>
      <c r="BC185" s="260">
        <v>45899.0</v>
      </c>
      <c r="BD185" s="260"/>
      <c r="BE185" s="164" t="e">
        <v>#N/A</v>
      </c>
    </row>
    <row r="186">
      <c r="A186" s="6" t="s">
        <v>126</v>
      </c>
      <c r="B186" s="183" t="s">
        <v>130</v>
      </c>
      <c r="C186" s="184" t="s">
        <v>447</v>
      </c>
      <c r="D186" s="75" t="s">
        <v>448</v>
      </c>
      <c r="E186" s="256">
        <v>45797.0</v>
      </c>
      <c r="F186" s="75" t="s">
        <v>130</v>
      </c>
      <c r="G186" s="186"/>
      <c r="H186" s="190">
        <v>33050.0</v>
      </c>
      <c r="I186" s="190">
        <v>1200000.0</v>
      </c>
      <c r="J186" s="186">
        <v>0.0</v>
      </c>
      <c r="K186" s="186">
        <v>4800000.0</v>
      </c>
      <c r="L186" s="186">
        <v>1473771.6</v>
      </c>
      <c r="M186" s="186">
        <v>0.0</v>
      </c>
      <c r="N186" s="186">
        <v>1041906.0</v>
      </c>
      <c r="O186" s="187">
        <v>0.30703575</v>
      </c>
      <c r="P186" s="187">
        <v>0.0</v>
      </c>
      <c r="Q186" s="187">
        <v>0.21706375</v>
      </c>
      <c r="R186" s="188">
        <v>28.0</v>
      </c>
      <c r="S186" s="188">
        <v>44.0</v>
      </c>
      <c r="T186" s="188">
        <v>17.0</v>
      </c>
      <c r="U186" s="188">
        <v>17.0</v>
      </c>
      <c r="V186" s="188">
        <v>45.0</v>
      </c>
      <c r="W186" s="188">
        <v>1.0</v>
      </c>
      <c r="X186" s="189">
        <v>75381.07</v>
      </c>
      <c r="Y186" s="189">
        <v>1398390.53</v>
      </c>
      <c r="Z186" s="188">
        <v>1.0</v>
      </c>
      <c r="AA186" s="188">
        <v>17.0</v>
      </c>
      <c r="AB186" s="188">
        <v>18.0</v>
      </c>
      <c r="AC186" s="188">
        <v>0.0</v>
      </c>
      <c r="AD186" s="188">
        <v>148.0</v>
      </c>
      <c r="AE186" s="188">
        <v>448.0</v>
      </c>
      <c r="AF186" s="188">
        <v>3.0</v>
      </c>
      <c r="AG186" s="188">
        <v>1.0</v>
      </c>
      <c r="AH186" s="188">
        <v>17.0</v>
      </c>
      <c r="AI186" s="188">
        <v>0.0</v>
      </c>
      <c r="AJ186" s="188">
        <v>0.0</v>
      </c>
      <c r="AK186" s="188">
        <v>0.0</v>
      </c>
      <c r="AL186" s="188">
        <v>0.0</v>
      </c>
      <c r="AM186" s="188">
        <v>242.0</v>
      </c>
      <c r="AN186" s="188">
        <v>707.0</v>
      </c>
      <c r="AO186" s="188">
        <v>106.0</v>
      </c>
      <c r="AP186" s="186">
        <v>13903.50566037736</v>
      </c>
      <c r="AQ186" s="189">
        <v>2.2830188679245285</v>
      </c>
      <c r="AR186" s="186">
        <v>143927.41935483873</v>
      </c>
      <c r="AS186" s="186">
        <v>15436.0</v>
      </c>
      <c r="AT186" s="187">
        <v>0.10813305084372553</v>
      </c>
      <c r="AU186" s="186">
        <v>81876.20000000001</v>
      </c>
      <c r="AV186" s="219">
        <v>34.0</v>
      </c>
      <c r="AW186" s="219">
        <v>1078.0</v>
      </c>
      <c r="AX186" s="257">
        <v>7419.12</v>
      </c>
      <c r="AY186" s="258">
        <v>169.0</v>
      </c>
      <c r="AZ186" s="258">
        <v>18.0</v>
      </c>
      <c r="BA186" s="258">
        <v>26.0</v>
      </c>
      <c r="BB186" s="258">
        <v>1.0</v>
      </c>
      <c r="BC186" s="260"/>
      <c r="BD186" s="260"/>
      <c r="BE186" s="164">
        <v>-0.2800000002607703</v>
      </c>
    </row>
    <row r="187">
      <c r="A187" s="6" t="s">
        <v>322</v>
      </c>
      <c r="B187" s="183" t="s">
        <v>325</v>
      </c>
      <c r="C187" s="184" t="s">
        <v>328</v>
      </c>
      <c r="D187" s="75" t="s">
        <v>329</v>
      </c>
      <c r="E187" s="256">
        <v>45810.0</v>
      </c>
      <c r="F187" s="75" t="s">
        <v>1049</v>
      </c>
      <c r="G187" s="186"/>
      <c r="H187" s="190">
        <v>38285.0</v>
      </c>
      <c r="I187" s="190">
        <v>800000.0</v>
      </c>
      <c r="J187" s="186">
        <v>0.0</v>
      </c>
      <c r="K187" s="186">
        <v>3200000.0</v>
      </c>
      <c r="L187" s="186">
        <v>663349.31</v>
      </c>
      <c r="M187" s="186">
        <v>0.0</v>
      </c>
      <c r="N187" s="186">
        <v>0.0</v>
      </c>
      <c r="O187" s="187">
        <v>0.20729665937500003</v>
      </c>
      <c r="P187" s="187">
        <v>0.0</v>
      </c>
      <c r="Q187" s="187">
        <v>0.0</v>
      </c>
      <c r="R187" s="188">
        <v>17.0</v>
      </c>
      <c r="S187" s="188">
        <v>30.0</v>
      </c>
      <c r="T187" s="188">
        <v>13.0</v>
      </c>
      <c r="U187" s="188">
        <v>13.0</v>
      </c>
      <c r="V187" s="188">
        <v>30.0</v>
      </c>
      <c r="W187" s="188">
        <v>0.0</v>
      </c>
      <c r="X187" s="189">
        <v>404186.11</v>
      </c>
      <c r="Y187" s="189">
        <v>259163.2</v>
      </c>
      <c r="Z187" s="188">
        <v>10.0</v>
      </c>
      <c r="AA187" s="188">
        <v>13.0</v>
      </c>
      <c r="AB187" s="188">
        <v>23.0</v>
      </c>
      <c r="AC187" s="188">
        <v>0.0</v>
      </c>
      <c r="AD187" s="188">
        <v>113.0</v>
      </c>
      <c r="AE187" s="188">
        <v>237.0</v>
      </c>
      <c r="AF187" s="188">
        <v>2.0</v>
      </c>
      <c r="AG187" s="188">
        <v>1.0</v>
      </c>
      <c r="AH187" s="188">
        <v>21.0</v>
      </c>
      <c r="AI187" s="188">
        <v>0.0</v>
      </c>
      <c r="AJ187" s="188">
        <v>0.0</v>
      </c>
      <c r="AK187" s="188">
        <v>1.0</v>
      </c>
      <c r="AL187" s="188">
        <v>2.0</v>
      </c>
      <c r="AM187" s="188">
        <v>140.0</v>
      </c>
      <c r="AN187" s="188">
        <v>400.0</v>
      </c>
      <c r="AO187" s="188">
        <v>86.0</v>
      </c>
      <c r="AP187" s="186">
        <v>7713.364069767443</v>
      </c>
      <c r="AQ187" s="189">
        <v>1.627906976744186</v>
      </c>
      <c r="AR187" s="186">
        <v>153140.0</v>
      </c>
      <c r="AS187" s="186">
        <v>9740.0</v>
      </c>
      <c r="AT187" s="187">
        <v>0.24554182471373942</v>
      </c>
      <c r="AU187" s="186">
        <v>28841.27434782609</v>
      </c>
      <c r="AV187" s="219">
        <v>76.0</v>
      </c>
      <c r="AW187" s="219">
        <v>712.0</v>
      </c>
      <c r="AX187" s="257">
        <v>2225.79</v>
      </c>
      <c r="AY187" s="258">
        <v>74.0</v>
      </c>
      <c r="AZ187" s="258">
        <v>23.0</v>
      </c>
      <c r="BA187" s="258">
        <v>7.0</v>
      </c>
      <c r="BB187" s="258">
        <v>0.0</v>
      </c>
      <c r="BC187" s="260"/>
      <c r="BD187" s="260"/>
      <c r="BE187" s="164">
        <v>-2.3283064365386963E-10</v>
      </c>
    </row>
    <row r="188">
      <c r="A188" s="6" t="s">
        <v>53</v>
      </c>
      <c r="B188" s="183" t="s">
        <v>56</v>
      </c>
      <c r="C188" s="184" t="s">
        <v>366</v>
      </c>
      <c r="D188" s="75" t="s">
        <v>71</v>
      </c>
      <c r="E188" s="256">
        <v>45812.0</v>
      </c>
      <c r="F188" s="75" t="s">
        <v>1092</v>
      </c>
      <c r="G188" s="186"/>
      <c r="H188" s="190">
        <v>24120.0</v>
      </c>
      <c r="I188" s="190"/>
      <c r="J188" s="186">
        <v>0.0</v>
      </c>
      <c r="K188" s="186">
        <v>500000.0</v>
      </c>
      <c r="L188" s="186">
        <v>50738.2</v>
      </c>
      <c r="M188" s="186">
        <v>0.0</v>
      </c>
      <c r="N188" s="186">
        <v>0.0</v>
      </c>
      <c r="O188" s="187">
        <v>0.1014764</v>
      </c>
      <c r="P188" s="187">
        <v>0.0</v>
      </c>
      <c r="Q188" s="187">
        <v>0.0</v>
      </c>
      <c r="R188" s="188">
        <v>10.0</v>
      </c>
      <c r="S188" s="188">
        <v>12.0</v>
      </c>
      <c r="T188" s="188">
        <v>2.0</v>
      </c>
      <c r="U188" s="188">
        <v>2.0</v>
      </c>
      <c r="V188" s="188">
        <v>12.0</v>
      </c>
      <c r="W188" s="188">
        <v>0.0</v>
      </c>
      <c r="X188" s="189">
        <v>28709.2</v>
      </c>
      <c r="Y188" s="189">
        <v>22029.0</v>
      </c>
      <c r="Z188" s="188">
        <v>2.0</v>
      </c>
      <c r="AA188" s="188">
        <v>2.0</v>
      </c>
      <c r="AB188" s="188">
        <v>4.0</v>
      </c>
      <c r="AC188" s="188">
        <v>0.0</v>
      </c>
      <c r="AD188" s="188">
        <v>0.0</v>
      </c>
      <c r="AE188" s="188">
        <v>0.0</v>
      </c>
      <c r="AF188" s="188">
        <v>77.0</v>
      </c>
      <c r="AG188" s="188">
        <v>1.0</v>
      </c>
      <c r="AH188" s="188">
        <v>4.0</v>
      </c>
      <c r="AI188" s="188">
        <v>0.0</v>
      </c>
      <c r="AJ188" s="188">
        <v>0.0</v>
      </c>
      <c r="AK188" s="188">
        <v>3.0</v>
      </c>
      <c r="AL188" s="188">
        <v>3.0</v>
      </c>
      <c r="AM188" s="188">
        <v>25.0</v>
      </c>
      <c r="AN188" s="188">
        <v>32.0</v>
      </c>
      <c r="AO188" s="188">
        <v>19.0</v>
      </c>
      <c r="AP188" s="186">
        <v>2670.431578947368</v>
      </c>
      <c r="AQ188" s="189">
        <v>1.3157894736842106</v>
      </c>
      <c r="AR188" s="186">
        <v>24120.0</v>
      </c>
      <c r="AS188" s="186"/>
      <c r="AT188" s="187">
        <v>0.4753814680063542</v>
      </c>
      <c r="AU188" s="186">
        <v>12684.55</v>
      </c>
      <c r="AV188" s="219">
        <v>4.0</v>
      </c>
      <c r="AW188" s="219">
        <v>214.0</v>
      </c>
      <c r="AX188" s="257">
        <v>1744.3</v>
      </c>
      <c r="AY188" s="258">
        <v>145.0</v>
      </c>
      <c r="AZ188" s="258">
        <v>4.0</v>
      </c>
      <c r="BA188" s="258">
        <v>8.0</v>
      </c>
      <c r="BB188" s="258">
        <v>0.0</v>
      </c>
      <c r="BC188" s="260">
        <v>45849.0</v>
      </c>
      <c r="BD188" s="260"/>
      <c r="BE188" s="164">
        <v>0.0</v>
      </c>
    </row>
    <row r="189">
      <c r="A189" s="6" t="s">
        <v>185</v>
      </c>
      <c r="B189" s="183" t="s">
        <v>85</v>
      </c>
      <c r="C189" s="184" t="s">
        <v>395</v>
      </c>
      <c r="D189" s="75" t="s">
        <v>396</v>
      </c>
      <c r="E189" s="256">
        <v>45817.0</v>
      </c>
      <c r="F189" s="75" t="s">
        <v>1058</v>
      </c>
      <c r="G189" s="186"/>
      <c r="H189" s="190">
        <v>24116.0</v>
      </c>
      <c r="I189" s="190">
        <v>1500000.0</v>
      </c>
      <c r="J189" s="186">
        <v>0.0</v>
      </c>
      <c r="K189" s="186">
        <v>6000000.0</v>
      </c>
      <c r="L189" s="186">
        <v>143117.7</v>
      </c>
      <c r="M189" s="186">
        <v>0.0</v>
      </c>
      <c r="N189" s="186">
        <v>531979.0</v>
      </c>
      <c r="O189" s="187">
        <v>0.02385295</v>
      </c>
      <c r="P189" s="187">
        <v>0.0</v>
      </c>
      <c r="Q189" s="187">
        <v>0.08866316666666667</v>
      </c>
      <c r="R189" s="188">
        <v>17.0</v>
      </c>
      <c r="S189" s="188">
        <v>25.0</v>
      </c>
      <c r="T189" s="188">
        <v>8.0</v>
      </c>
      <c r="U189" s="188">
        <v>4.0</v>
      </c>
      <c r="V189" s="188">
        <v>25.0</v>
      </c>
      <c r="W189" s="188">
        <v>0.0</v>
      </c>
      <c r="X189" s="189">
        <v>23980.0</v>
      </c>
      <c r="Y189" s="189">
        <v>119137.7</v>
      </c>
      <c r="Z189" s="188">
        <v>1.0</v>
      </c>
      <c r="AA189" s="188">
        <v>4.0</v>
      </c>
      <c r="AB189" s="188">
        <v>5.0</v>
      </c>
      <c r="AC189" s="188">
        <v>0.0</v>
      </c>
      <c r="AD189" s="188">
        <v>18.0</v>
      </c>
      <c r="AE189" s="188">
        <v>51.0</v>
      </c>
      <c r="AF189" s="188">
        <v>0.0</v>
      </c>
      <c r="AG189" s="188">
        <v>1.0</v>
      </c>
      <c r="AH189" s="188">
        <v>3.0</v>
      </c>
      <c r="AI189" s="188">
        <v>0.0</v>
      </c>
      <c r="AJ189" s="188">
        <v>0.0</v>
      </c>
      <c r="AK189" s="188">
        <v>0.0</v>
      </c>
      <c r="AL189" s="188">
        <v>0.0</v>
      </c>
      <c r="AM189" s="188">
        <v>149.0</v>
      </c>
      <c r="AN189" s="188">
        <v>203.0</v>
      </c>
      <c r="AO189" s="188">
        <v>67.0</v>
      </c>
      <c r="AP189" s="186">
        <v>2136.0850746268657</v>
      </c>
      <c r="AQ189" s="189">
        <v>2.2238805970149254</v>
      </c>
      <c r="AR189" s="186">
        <v>96464.0</v>
      </c>
      <c r="AS189" s="186">
        <v>9254.0</v>
      </c>
      <c r="AT189" s="187">
        <v>0.7386787238755234</v>
      </c>
      <c r="AU189" s="186">
        <v>28623.54</v>
      </c>
      <c r="AV189" s="219">
        <v>6.0</v>
      </c>
      <c r="AW189" s="219">
        <v>744.0</v>
      </c>
      <c r="AX189" s="257">
        <v>5366.62</v>
      </c>
      <c r="AY189" s="258">
        <v>215.0</v>
      </c>
      <c r="AZ189" s="258">
        <v>5.0</v>
      </c>
      <c r="BA189" s="258">
        <v>20.0</v>
      </c>
      <c r="BB189" s="258">
        <v>0.0</v>
      </c>
      <c r="BC189" s="260"/>
      <c r="BD189" s="260"/>
      <c r="BE189" s="164">
        <v>0.0</v>
      </c>
    </row>
    <row r="190">
      <c r="A190" s="6" t="s">
        <v>185</v>
      </c>
      <c r="B190" s="183" t="s">
        <v>189</v>
      </c>
      <c r="C190" s="184" t="s">
        <v>285</v>
      </c>
      <c r="D190" s="75" t="s">
        <v>187</v>
      </c>
      <c r="E190" s="256">
        <v>45817.0</v>
      </c>
      <c r="F190" s="75" t="s">
        <v>1016</v>
      </c>
      <c r="G190" s="186"/>
      <c r="H190" s="190">
        <v>32500.0</v>
      </c>
      <c r="I190" s="190">
        <v>1500000.0</v>
      </c>
      <c r="J190" s="186">
        <v>0.0</v>
      </c>
      <c r="K190" s="186">
        <v>6000000.0</v>
      </c>
      <c r="L190" s="186">
        <v>1062980.53</v>
      </c>
      <c r="M190" s="186">
        <v>0.0</v>
      </c>
      <c r="N190" s="186">
        <v>881493.0</v>
      </c>
      <c r="O190" s="187">
        <v>0.17716342166666668</v>
      </c>
      <c r="P190" s="187">
        <v>0.0</v>
      </c>
      <c r="Q190" s="187">
        <v>0.1469155</v>
      </c>
      <c r="R190" s="188">
        <v>45.0</v>
      </c>
      <c r="S190" s="188">
        <v>68.0</v>
      </c>
      <c r="T190" s="188">
        <v>23.0</v>
      </c>
      <c r="U190" s="188">
        <v>16.0</v>
      </c>
      <c r="V190" s="188">
        <v>68.0</v>
      </c>
      <c r="W190" s="188">
        <v>0.0</v>
      </c>
      <c r="X190" s="189">
        <v>373999.4</v>
      </c>
      <c r="Y190" s="189">
        <v>688981.13</v>
      </c>
      <c r="Z190" s="188">
        <v>7.0</v>
      </c>
      <c r="AA190" s="188">
        <v>16.0</v>
      </c>
      <c r="AB190" s="188">
        <v>23.0</v>
      </c>
      <c r="AC190" s="188">
        <v>0.0</v>
      </c>
      <c r="AD190" s="188">
        <v>201.0</v>
      </c>
      <c r="AE190" s="188">
        <v>339.0</v>
      </c>
      <c r="AF190" s="188">
        <v>2.0</v>
      </c>
      <c r="AG190" s="188">
        <v>2.0</v>
      </c>
      <c r="AH190" s="188">
        <v>8.0</v>
      </c>
      <c r="AI190" s="188">
        <v>0.0</v>
      </c>
      <c r="AJ190" s="188">
        <v>0.0</v>
      </c>
      <c r="AK190" s="188">
        <v>0.0</v>
      </c>
      <c r="AL190" s="188">
        <v>0.0</v>
      </c>
      <c r="AM190" s="188">
        <v>209.0</v>
      </c>
      <c r="AN190" s="188">
        <v>556.0</v>
      </c>
      <c r="AO190" s="188">
        <v>90.0</v>
      </c>
      <c r="AP190" s="186">
        <v>11810.894777777778</v>
      </c>
      <c r="AQ190" s="189">
        <v>2.3222222222222224</v>
      </c>
      <c r="AR190" s="186">
        <v>130000.0</v>
      </c>
      <c r="AS190" s="186">
        <v>5506.0</v>
      </c>
      <c r="AT190" s="187">
        <v>0.12747740544222386</v>
      </c>
      <c r="AU190" s="186">
        <v>46216.5447826087</v>
      </c>
      <c r="AV190" s="219">
        <v>41.0</v>
      </c>
      <c r="AW190" s="219">
        <v>923.0</v>
      </c>
      <c r="AX190" s="257">
        <v>5218.84</v>
      </c>
      <c r="AY190" s="258">
        <v>77.0</v>
      </c>
      <c r="AZ190" s="258">
        <v>23.0</v>
      </c>
      <c r="BA190" s="258">
        <v>45.0</v>
      </c>
      <c r="BB190" s="258">
        <v>0.0</v>
      </c>
      <c r="BC190" s="260"/>
      <c r="BD190" s="260"/>
      <c r="BE190" s="164">
        <v>-0.05000000004656613</v>
      </c>
    </row>
    <row r="191">
      <c r="A191" s="6" t="s">
        <v>185</v>
      </c>
      <c r="B191" s="183" t="s">
        <v>189</v>
      </c>
      <c r="C191" s="183" t="s">
        <v>408</v>
      </c>
      <c r="D191" s="75" t="s">
        <v>409</v>
      </c>
      <c r="E191" s="256">
        <v>45824.0</v>
      </c>
      <c r="F191" s="75" t="s">
        <v>1016</v>
      </c>
      <c r="G191" s="190"/>
      <c r="H191" s="190">
        <v>28850.0</v>
      </c>
      <c r="I191" s="190"/>
      <c r="J191" s="190">
        <v>0.0</v>
      </c>
      <c r="K191" s="190">
        <v>0.0</v>
      </c>
      <c r="L191" s="190">
        <v>1333155.7</v>
      </c>
      <c r="M191" s="190">
        <v>0.0</v>
      </c>
      <c r="N191" s="75">
        <v>0.0</v>
      </c>
      <c r="O191" s="187"/>
      <c r="P191" s="187">
        <v>0.0</v>
      </c>
      <c r="Q191" s="187"/>
      <c r="R191" s="75">
        <v>12.0</v>
      </c>
      <c r="S191" s="75">
        <v>12.0</v>
      </c>
      <c r="T191" s="75">
        <v>0.0</v>
      </c>
      <c r="U191" s="75">
        <v>0.0</v>
      </c>
      <c r="V191" s="75">
        <v>12.0</v>
      </c>
      <c r="W191" s="75">
        <v>0.0</v>
      </c>
      <c r="X191" s="190">
        <v>1333155.7</v>
      </c>
      <c r="Y191" s="190">
        <v>0.0</v>
      </c>
      <c r="Z191" s="75">
        <v>7.0</v>
      </c>
      <c r="AA191" s="75">
        <v>0.0</v>
      </c>
      <c r="AB191" s="75">
        <v>7.0</v>
      </c>
      <c r="AC191" s="75">
        <v>0.0</v>
      </c>
      <c r="AD191" s="75">
        <v>2.0</v>
      </c>
      <c r="AE191" s="75">
        <v>2.0</v>
      </c>
      <c r="AF191" s="75">
        <v>0.0</v>
      </c>
      <c r="AG191" s="75">
        <v>0.0</v>
      </c>
      <c r="AH191" s="75">
        <v>0.0</v>
      </c>
      <c r="AI191" s="75">
        <v>0.0</v>
      </c>
      <c r="AJ191" s="75">
        <v>0.0</v>
      </c>
      <c r="AK191" s="75">
        <v>0.0</v>
      </c>
      <c r="AL191" s="75">
        <v>0.0</v>
      </c>
      <c r="AM191" s="75">
        <v>13.0</v>
      </c>
      <c r="AN191" s="75">
        <v>15.0</v>
      </c>
      <c r="AO191" s="75">
        <v>13.0</v>
      </c>
      <c r="AP191" s="190">
        <v>102550.43846153846</v>
      </c>
      <c r="AQ191" s="190">
        <v>1.0</v>
      </c>
      <c r="AR191" s="190">
        <v>28273.0</v>
      </c>
      <c r="AS191" s="75"/>
      <c r="AT191" s="262">
        <v>0.0212075753792299</v>
      </c>
      <c r="AU191" s="190">
        <v>190450.81428571427</v>
      </c>
      <c r="AV191" s="219">
        <v>11.0</v>
      </c>
      <c r="AW191" s="219">
        <v>125.0</v>
      </c>
      <c r="AX191" s="254">
        <v>450.7</v>
      </c>
      <c r="AY191" s="219">
        <v>38.0</v>
      </c>
      <c r="AZ191" s="219">
        <v>7.0</v>
      </c>
      <c r="BA191" s="219">
        <v>5.0</v>
      </c>
      <c r="BB191" s="219">
        <v>0.0</v>
      </c>
      <c r="BC191" s="191">
        <v>45852.0</v>
      </c>
      <c r="BD191" s="75"/>
      <c r="BE191" s="164">
        <v>-0.2999999998137355</v>
      </c>
    </row>
    <row r="192">
      <c r="A192" s="6" t="s">
        <v>185</v>
      </c>
      <c r="B192" s="183" t="s">
        <v>85</v>
      </c>
      <c r="C192" s="184" t="s">
        <v>397</v>
      </c>
      <c r="D192" s="75" t="s">
        <v>398</v>
      </c>
      <c r="E192" s="256">
        <v>45824.0</v>
      </c>
      <c r="F192" s="75" t="s">
        <v>1058</v>
      </c>
      <c r="G192" s="190"/>
      <c r="H192" s="190">
        <v>32500.0</v>
      </c>
      <c r="I192" s="190">
        <v>1500000.0</v>
      </c>
      <c r="J192" s="190">
        <v>0.0</v>
      </c>
      <c r="K192" s="190">
        <v>4500000.0</v>
      </c>
      <c r="L192" s="190">
        <v>191794.85</v>
      </c>
      <c r="M192" s="190">
        <v>0.0</v>
      </c>
      <c r="N192" s="75">
        <v>444078.0</v>
      </c>
      <c r="O192" s="187">
        <v>0.04262107777777778</v>
      </c>
      <c r="P192" s="187">
        <v>0.0</v>
      </c>
      <c r="Q192" s="187">
        <v>0.098684</v>
      </c>
      <c r="R192" s="75">
        <v>20.0</v>
      </c>
      <c r="S192" s="75">
        <v>23.0</v>
      </c>
      <c r="T192" s="75">
        <v>4.0</v>
      </c>
      <c r="U192" s="75">
        <v>4.0</v>
      </c>
      <c r="V192" s="75">
        <v>24.0</v>
      </c>
      <c r="W192" s="75">
        <v>1.0</v>
      </c>
      <c r="X192" s="190">
        <v>11153.0</v>
      </c>
      <c r="Y192" s="190">
        <v>180641.85</v>
      </c>
      <c r="Z192" s="75">
        <v>2.0</v>
      </c>
      <c r="AA192" s="75">
        <v>4.0</v>
      </c>
      <c r="AB192" s="75">
        <v>6.0</v>
      </c>
      <c r="AC192" s="75">
        <v>0.0</v>
      </c>
      <c r="AD192" s="75">
        <v>89.0</v>
      </c>
      <c r="AE192" s="75">
        <v>234.0</v>
      </c>
      <c r="AF192" s="75">
        <v>1.0</v>
      </c>
      <c r="AG192" s="75">
        <v>1.0</v>
      </c>
      <c r="AH192" s="75">
        <v>1.0</v>
      </c>
      <c r="AI192" s="75">
        <v>0.0</v>
      </c>
      <c r="AJ192" s="75">
        <v>0.0</v>
      </c>
      <c r="AK192" s="75">
        <v>8.0</v>
      </c>
      <c r="AL192" s="75">
        <v>15.0</v>
      </c>
      <c r="AM192" s="75">
        <v>80.0</v>
      </c>
      <c r="AN192" s="75">
        <v>330.0</v>
      </c>
      <c r="AO192" s="75">
        <v>76.0</v>
      </c>
      <c r="AP192" s="190">
        <v>2523.616447368421</v>
      </c>
      <c r="AQ192" s="190">
        <v>1.0526315789473684</v>
      </c>
      <c r="AR192" s="190">
        <v>112666.66666666667</v>
      </c>
      <c r="AS192" s="75"/>
      <c r="AT192" s="262">
        <v>0.5874332218339892</v>
      </c>
      <c r="AU192" s="190">
        <v>31965.808333333334</v>
      </c>
      <c r="AV192" s="219">
        <v>9.0</v>
      </c>
      <c r="AW192" s="219">
        <v>664.0</v>
      </c>
      <c r="AX192" s="254">
        <v>2373.63</v>
      </c>
      <c r="AY192" s="219">
        <v>103.0</v>
      </c>
      <c r="AZ192" s="219">
        <v>6.0</v>
      </c>
      <c r="BA192" s="219">
        <v>17.0</v>
      </c>
      <c r="BB192" s="219">
        <v>1.0</v>
      </c>
      <c r="BC192" s="191"/>
      <c r="BD192" s="75"/>
      <c r="BE192" s="164">
        <v>-2.9103830456733704E-11</v>
      </c>
    </row>
    <row r="193">
      <c r="A193" s="6" t="s">
        <v>23</v>
      </c>
      <c r="B193" s="183" t="s">
        <v>37</v>
      </c>
      <c r="C193" s="261" t="s">
        <v>875</v>
      </c>
      <c r="D193" s="75" t="s">
        <v>42</v>
      </c>
      <c r="E193" s="256">
        <v>45828.0</v>
      </c>
      <c r="F193" s="75" t="s">
        <v>1110</v>
      </c>
      <c r="G193" s="190"/>
      <c r="H193" s="190">
        <v>24120.0</v>
      </c>
      <c r="I193" s="190"/>
      <c r="J193" s="190">
        <v>0.0</v>
      </c>
      <c r="K193" s="190">
        <v>0.0</v>
      </c>
      <c r="L193" s="190">
        <v>0.0</v>
      </c>
      <c r="M193" s="190">
        <v>0.0</v>
      </c>
      <c r="N193" s="75"/>
      <c r="O193" s="187"/>
      <c r="P193" s="187">
        <v>0.0</v>
      </c>
      <c r="Q193" s="187"/>
      <c r="R193" s="75">
        <v>0.0</v>
      </c>
      <c r="S193" s="75">
        <v>0.0</v>
      </c>
      <c r="T193" s="75">
        <v>0.0</v>
      </c>
      <c r="U193" s="75">
        <v>0.0</v>
      </c>
      <c r="V193" s="75">
        <v>0.0</v>
      </c>
      <c r="W193" s="75">
        <v>0.0</v>
      </c>
      <c r="X193" s="190">
        <v>0.0</v>
      </c>
      <c r="Y193" s="190">
        <v>0.0</v>
      </c>
      <c r="Z193" s="75">
        <v>0.0</v>
      </c>
      <c r="AA193" s="75">
        <v>0.0</v>
      </c>
      <c r="AB193" s="75">
        <v>0.0</v>
      </c>
      <c r="AC193" s="75">
        <v>0.0</v>
      </c>
      <c r="AD193" s="75">
        <v>1.0</v>
      </c>
      <c r="AE193" s="75">
        <v>1.0</v>
      </c>
      <c r="AF193" s="75">
        <v>0.0</v>
      </c>
      <c r="AG193" s="75">
        <v>0.0</v>
      </c>
      <c r="AH193" s="75">
        <v>0.0</v>
      </c>
      <c r="AI193" s="75">
        <v>0.0</v>
      </c>
      <c r="AJ193" s="75">
        <v>0.0</v>
      </c>
      <c r="AK193" s="75">
        <v>0.0</v>
      </c>
      <c r="AL193" s="75">
        <v>0.0</v>
      </c>
      <c r="AM193" s="75">
        <v>0.0</v>
      </c>
      <c r="AN193" s="75">
        <v>1.0</v>
      </c>
      <c r="AO193" s="75">
        <v>1.0</v>
      </c>
      <c r="AP193" s="190">
        <v>0.0</v>
      </c>
      <c r="AQ193" s="190">
        <v>0.0</v>
      </c>
      <c r="AR193" s="190">
        <v>0.0</v>
      </c>
      <c r="AS193" s="75"/>
      <c r="AT193" s="262"/>
      <c r="AU193" s="190"/>
      <c r="AV193" s="219">
        <v>0.0</v>
      </c>
      <c r="AW193" s="219">
        <v>4.0</v>
      </c>
      <c r="AX193" s="254">
        <v>25.92</v>
      </c>
      <c r="AY193" s="219">
        <v>0.0</v>
      </c>
      <c r="AZ193" s="219">
        <v>0.0</v>
      </c>
      <c r="BA193" s="219">
        <v>0.0</v>
      </c>
      <c r="BB193" s="219">
        <v>0.0</v>
      </c>
      <c r="BC193" s="191">
        <v>45831.0</v>
      </c>
      <c r="BD193" s="75"/>
      <c r="BE193" s="164" t="e">
        <v>#N/A</v>
      </c>
    </row>
    <row r="194">
      <c r="A194" s="6" t="s">
        <v>23</v>
      </c>
      <c r="B194" s="183" t="s">
        <v>27</v>
      </c>
      <c r="C194" s="184" t="s">
        <v>337</v>
      </c>
      <c r="D194" s="75" t="s">
        <v>338</v>
      </c>
      <c r="E194" s="256">
        <v>45831.0</v>
      </c>
      <c r="F194" s="75" t="s">
        <v>1073</v>
      </c>
      <c r="G194" s="190"/>
      <c r="H194" s="190">
        <v>24116.0</v>
      </c>
      <c r="I194" s="190">
        <v>1000000.0</v>
      </c>
      <c r="J194" s="190">
        <v>111666.66666666667</v>
      </c>
      <c r="K194" s="190">
        <v>3000000.0</v>
      </c>
      <c r="L194" s="190">
        <v>225872.96</v>
      </c>
      <c r="M194" s="190">
        <v>80988.16</v>
      </c>
      <c r="N194" s="75">
        <v>129664.0</v>
      </c>
      <c r="O194" s="187">
        <v>0.09861632137118372</v>
      </c>
      <c r="P194" s="187">
        <v>0.54</v>
      </c>
      <c r="Q194" s="187">
        <v>0.041670273165506165</v>
      </c>
      <c r="R194" s="75">
        <v>14.0</v>
      </c>
      <c r="S194" s="75">
        <v>23.0</v>
      </c>
      <c r="T194" s="75">
        <v>9.0</v>
      </c>
      <c r="U194" s="75">
        <v>9.0</v>
      </c>
      <c r="V194" s="75">
        <v>23.0</v>
      </c>
      <c r="W194" s="75">
        <v>0.0</v>
      </c>
      <c r="X194" s="190">
        <v>6968.5</v>
      </c>
      <c r="Y194" s="190">
        <v>218904.46</v>
      </c>
      <c r="Z194" s="75">
        <v>1.0</v>
      </c>
      <c r="AA194" s="75">
        <v>9.0</v>
      </c>
      <c r="AB194" s="75">
        <v>10.0</v>
      </c>
      <c r="AC194" s="75">
        <v>1.0</v>
      </c>
      <c r="AD194" s="75">
        <v>265.0</v>
      </c>
      <c r="AE194" s="75">
        <v>512.0</v>
      </c>
      <c r="AF194" s="75">
        <v>5.0</v>
      </c>
      <c r="AG194" s="75">
        <v>3.0</v>
      </c>
      <c r="AH194" s="75">
        <v>21.0</v>
      </c>
      <c r="AI194" s="75">
        <v>1.0</v>
      </c>
      <c r="AJ194" s="75">
        <v>3.0</v>
      </c>
      <c r="AK194" s="75">
        <v>7.0</v>
      </c>
      <c r="AL194" s="75">
        <v>15.0</v>
      </c>
      <c r="AM194" s="75">
        <v>61.0</v>
      </c>
      <c r="AN194" s="75">
        <v>612.0</v>
      </c>
      <c r="AO194" s="75">
        <v>82.0</v>
      </c>
      <c r="AP194" s="190">
        <v>3742.2087804878047</v>
      </c>
      <c r="AQ194" s="190">
        <v>0.7439024390243902</v>
      </c>
      <c r="AR194" s="190">
        <v>53859.066666666666</v>
      </c>
      <c r="AS194" s="75"/>
      <c r="AT194" s="262">
        <v>0.17551609883541672</v>
      </c>
      <c r="AU194" s="190">
        <v>22587.296</v>
      </c>
      <c r="AV194" s="219">
        <v>19.0</v>
      </c>
      <c r="AW194" s="219">
        <v>650.0</v>
      </c>
      <c r="AX194" s="254">
        <v>1680.44</v>
      </c>
      <c r="AY194" s="219">
        <v>73.0</v>
      </c>
      <c r="AZ194" s="219">
        <v>10.0</v>
      </c>
      <c r="BA194" s="219">
        <v>13.0</v>
      </c>
      <c r="BB194" s="219">
        <v>0.0</v>
      </c>
      <c r="BC194" s="191">
        <v>45930.0</v>
      </c>
      <c r="BD194" s="75"/>
      <c r="BE194" s="164">
        <v>0.0400000000372529</v>
      </c>
    </row>
    <row r="195">
      <c r="A195" s="6" t="s">
        <v>185</v>
      </c>
      <c r="B195" s="183" t="s">
        <v>85</v>
      </c>
      <c r="C195" s="184" t="s">
        <v>399</v>
      </c>
      <c r="D195" s="75" t="s">
        <v>87</v>
      </c>
      <c r="E195" s="256">
        <v>45831.0</v>
      </c>
      <c r="F195" s="75" t="s">
        <v>1058</v>
      </c>
      <c r="G195" s="190"/>
      <c r="H195" s="190">
        <v>27785.0</v>
      </c>
      <c r="I195" s="190">
        <v>1500000.0</v>
      </c>
      <c r="J195" s="190">
        <v>0.0</v>
      </c>
      <c r="K195" s="190">
        <v>4500000.0</v>
      </c>
      <c r="L195" s="190">
        <v>477284.34</v>
      </c>
      <c r="M195" s="190">
        <v>0.0</v>
      </c>
      <c r="N195" s="75">
        <v>684623.0</v>
      </c>
      <c r="O195" s="187">
        <v>0.10606318666666667</v>
      </c>
      <c r="P195" s="187">
        <v>0.0</v>
      </c>
      <c r="Q195" s="187">
        <v>0.15213844444444444</v>
      </c>
      <c r="R195" s="75">
        <v>69.0</v>
      </c>
      <c r="S195" s="75">
        <v>79.0</v>
      </c>
      <c r="T195" s="75">
        <v>11.0</v>
      </c>
      <c r="U195" s="75">
        <v>9.0</v>
      </c>
      <c r="V195" s="75">
        <v>80.0</v>
      </c>
      <c r="W195" s="75">
        <v>1.0</v>
      </c>
      <c r="X195" s="190">
        <v>337695.64</v>
      </c>
      <c r="Y195" s="190">
        <v>139588.7</v>
      </c>
      <c r="Z195" s="75">
        <v>21.0</v>
      </c>
      <c r="AA195" s="75">
        <v>9.0</v>
      </c>
      <c r="AB195" s="75">
        <v>30.0</v>
      </c>
      <c r="AC195" s="75">
        <v>0.0</v>
      </c>
      <c r="AD195" s="75">
        <v>137.0</v>
      </c>
      <c r="AE195" s="75">
        <v>367.0</v>
      </c>
      <c r="AF195" s="75">
        <v>1.0</v>
      </c>
      <c r="AG195" s="75">
        <v>2.0</v>
      </c>
      <c r="AH195" s="75">
        <v>4.0</v>
      </c>
      <c r="AI195" s="75">
        <v>0.0</v>
      </c>
      <c r="AJ195" s="75">
        <v>0.0</v>
      </c>
      <c r="AK195" s="75">
        <v>0.0</v>
      </c>
      <c r="AL195" s="75">
        <v>0.0</v>
      </c>
      <c r="AM195" s="75">
        <v>213.0</v>
      </c>
      <c r="AN195" s="75">
        <v>584.0</v>
      </c>
      <c r="AO195" s="75">
        <v>78.0</v>
      </c>
      <c r="AP195" s="190">
        <v>6119.030000000001</v>
      </c>
      <c r="AQ195" s="190">
        <v>2.730769230769231</v>
      </c>
      <c r="AR195" s="190">
        <v>89838.16666666667</v>
      </c>
      <c r="AS195" s="75"/>
      <c r="AT195" s="262">
        <v>0.18822776935582397</v>
      </c>
      <c r="AU195" s="190">
        <v>15909.478000000001</v>
      </c>
      <c r="AV195" s="219">
        <v>175.0</v>
      </c>
      <c r="AW195" s="219">
        <v>867.0</v>
      </c>
      <c r="AX195" s="254">
        <v>8660.45</v>
      </c>
      <c r="AY195" s="219">
        <v>110.0</v>
      </c>
      <c r="AZ195" s="219">
        <v>30.0</v>
      </c>
      <c r="BA195" s="219">
        <v>49.0</v>
      </c>
      <c r="BB195" s="219">
        <v>1.0</v>
      </c>
      <c r="BC195" s="191"/>
      <c r="BD195" s="75"/>
      <c r="BE195" s="164">
        <v>-5.820766091346741E-11</v>
      </c>
    </row>
    <row r="196">
      <c r="A196" s="6" t="s">
        <v>126</v>
      </c>
      <c r="B196" s="183" t="s">
        <v>130</v>
      </c>
      <c r="C196" s="184" t="s">
        <v>449</v>
      </c>
      <c r="D196" s="75" t="s">
        <v>151</v>
      </c>
      <c r="E196" s="256">
        <v>45839.0</v>
      </c>
      <c r="F196" s="75" t="s">
        <v>130</v>
      </c>
      <c r="G196" s="190"/>
      <c r="H196" s="190">
        <v>99750.0</v>
      </c>
      <c r="I196" s="190">
        <v>3500000.0</v>
      </c>
      <c r="J196" s="190">
        <v>4500000.0</v>
      </c>
      <c r="K196" s="190">
        <v>6000000.0</v>
      </c>
      <c r="L196" s="190">
        <v>0.0</v>
      </c>
      <c r="M196" s="190">
        <v>0.0</v>
      </c>
      <c r="N196" s="75">
        <v>0.0</v>
      </c>
      <c r="O196" s="187">
        <v>0.0</v>
      </c>
      <c r="P196" s="187">
        <v>0.0</v>
      </c>
      <c r="Q196" s="187">
        <v>0.0</v>
      </c>
      <c r="R196" s="75">
        <v>83.0</v>
      </c>
      <c r="S196" s="75">
        <v>103.0</v>
      </c>
      <c r="T196" s="75">
        <v>21.0</v>
      </c>
      <c r="U196" s="75">
        <v>0.0</v>
      </c>
      <c r="V196" s="75">
        <v>104.0</v>
      </c>
      <c r="W196" s="75">
        <v>1.0</v>
      </c>
      <c r="X196" s="190">
        <v>0.0</v>
      </c>
      <c r="Y196" s="190">
        <v>0.0</v>
      </c>
      <c r="Z196" s="75">
        <v>0.0</v>
      </c>
      <c r="AA196" s="75">
        <v>0.0</v>
      </c>
      <c r="AB196" s="75">
        <v>0.0</v>
      </c>
      <c r="AC196" s="75">
        <v>0.0</v>
      </c>
      <c r="AD196" s="75">
        <v>54.0</v>
      </c>
      <c r="AE196" s="75">
        <v>65.0</v>
      </c>
      <c r="AF196" s="75">
        <v>2.0</v>
      </c>
      <c r="AG196" s="75">
        <v>4.0</v>
      </c>
      <c r="AH196" s="75">
        <v>56.0</v>
      </c>
      <c r="AI196" s="75">
        <v>0.0</v>
      </c>
      <c r="AJ196" s="75">
        <v>0.0</v>
      </c>
      <c r="AK196" s="75">
        <v>0.0</v>
      </c>
      <c r="AL196" s="75">
        <v>0.0</v>
      </c>
      <c r="AM196" s="75">
        <v>169.0</v>
      </c>
      <c r="AN196" s="75">
        <v>290.0</v>
      </c>
      <c r="AO196" s="75">
        <v>70.0</v>
      </c>
      <c r="AP196" s="190">
        <v>0.0</v>
      </c>
      <c r="AQ196" s="190">
        <v>2.414285714285714</v>
      </c>
      <c r="AR196" s="190">
        <v>299250.0</v>
      </c>
      <c r="AS196" s="75"/>
      <c r="AT196" s="262"/>
      <c r="AU196" s="190"/>
      <c r="AV196" s="219">
        <v>0.0</v>
      </c>
      <c r="AW196" s="219">
        <v>612.0</v>
      </c>
      <c r="AX196" s="254">
        <v>4397.12</v>
      </c>
      <c r="AY196" s="219">
        <v>43.0</v>
      </c>
      <c r="AZ196" s="219">
        <v>0.0</v>
      </c>
      <c r="BA196" s="219">
        <v>103.0</v>
      </c>
      <c r="BB196" s="219">
        <v>1.0</v>
      </c>
      <c r="BC196" s="191"/>
      <c r="BD196" s="75"/>
      <c r="BE196" s="164">
        <v>0.0</v>
      </c>
    </row>
    <row r="197">
      <c r="A197" s="6" t="s">
        <v>126</v>
      </c>
      <c r="B197" s="183" t="s">
        <v>140</v>
      </c>
      <c r="C197" s="183" t="s">
        <v>173</v>
      </c>
      <c r="D197" s="75" t="s">
        <v>174</v>
      </c>
      <c r="E197" s="256">
        <v>45839.0</v>
      </c>
      <c r="F197" s="75" t="s">
        <v>1061</v>
      </c>
      <c r="G197" s="190"/>
      <c r="H197" s="190">
        <v>27800.0</v>
      </c>
      <c r="I197" s="190">
        <v>1650000.0</v>
      </c>
      <c r="J197" s="190">
        <v>0.0</v>
      </c>
      <c r="K197" s="190">
        <v>4950000.0</v>
      </c>
      <c r="L197" s="190">
        <v>1433187.69</v>
      </c>
      <c r="M197" s="190">
        <v>0.0</v>
      </c>
      <c r="N197" s="75">
        <v>1319900.0</v>
      </c>
      <c r="O197" s="187">
        <v>0.28953286666666667</v>
      </c>
      <c r="P197" s="187">
        <v>0.0</v>
      </c>
      <c r="Q197" s="187">
        <v>0.26664646464646463</v>
      </c>
      <c r="R197" s="75">
        <v>61.0</v>
      </c>
      <c r="S197" s="75">
        <v>66.0</v>
      </c>
      <c r="T197" s="75">
        <v>5.0</v>
      </c>
      <c r="U197" s="75">
        <v>5.0</v>
      </c>
      <c r="V197" s="75">
        <v>66.0</v>
      </c>
      <c r="W197" s="75">
        <v>0.0</v>
      </c>
      <c r="X197" s="190">
        <v>1291142.41</v>
      </c>
      <c r="Y197" s="190">
        <v>142045.28</v>
      </c>
      <c r="Z197" s="75">
        <v>35.0</v>
      </c>
      <c r="AA197" s="75">
        <v>5.0</v>
      </c>
      <c r="AB197" s="75">
        <v>40.0</v>
      </c>
      <c r="AC197" s="75">
        <v>0.0</v>
      </c>
      <c r="AD197" s="75">
        <v>25.0</v>
      </c>
      <c r="AE197" s="75">
        <v>59.0</v>
      </c>
      <c r="AF197" s="75">
        <v>0.0</v>
      </c>
      <c r="AG197" s="75">
        <v>1.0</v>
      </c>
      <c r="AH197" s="75">
        <v>17.0</v>
      </c>
      <c r="AI197" s="75">
        <v>0.0</v>
      </c>
      <c r="AJ197" s="75">
        <v>0.0</v>
      </c>
      <c r="AK197" s="75">
        <v>0.0</v>
      </c>
      <c r="AL197" s="75">
        <v>0.0</v>
      </c>
      <c r="AM197" s="75">
        <v>230.0</v>
      </c>
      <c r="AN197" s="75">
        <v>306.0</v>
      </c>
      <c r="AO197" s="75">
        <v>64.0</v>
      </c>
      <c r="AP197" s="190">
        <v>22393.55765625</v>
      </c>
      <c r="AQ197" s="190">
        <v>3.59375</v>
      </c>
      <c r="AR197" s="190">
        <v>83400.0</v>
      </c>
      <c r="AS197" s="75"/>
      <c r="AT197" s="262">
        <v>0.058191959491362924</v>
      </c>
      <c r="AU197" s="190">
        <v>35829.69225</v>
      </c>
      <c r="AV197" s="219">
        <v>78.0</v>
      </c>
      <c r="AW197" s="219">
        <v>599.0</v>
      </c>
      <c r="AX197" s="254">
        <v>3787.5</v>
      </c>
      <c r="AY197" s="219">
        <v>57.0</v>
      </c>
      <c r="AZ197" s="219">
        <v>40.0</v>
      </c>
      <c r="BA197" s="219">
        <v>26.0</v>
      </c>
      <c r="BB197" s="219">
        <v>0.0</v>
      </c>
      <c r="BC197" s="191"/>
      <c r="BD197" s="75"/>
      <c r="BE197" s="164">
        <v>0.0</v>
      </c>
    </row>
    <row r="198">
      <c r="A198" s="6" t="s">
        <v>97</v>
      </c>
      <c r="B198" s="183" t="s">
        <v>101</v>
      </c>
      <c r="C198" s="183" t="s">
        <v>344</v>
      </c>
      <c r="D198" s="75" t="s">
        <v>345</v>
      </c>
      <c r="E198" s="256">
        <v>45842.0</v>
      </c>
      <c r="F198" s="75" t="s">
        <v>1062</v>
      </c>
      <c r="G198" s="190"/>
      <c r="H198" s="190">
        <v>36190.0</v>
      </c>
      <c r="I198" s="190">
        <v>1097777.778</v>
      </c>
      <c r="J198" s="190">
        <v>0.0</v>
      </c>
      <c r="K198" s="190">
        <v>2860000.0</v>
      </c>
      <c r="L198" s="190">
        <v>0.0</v>
      </c>
      <c r="M198" s="190">
        <v>0.0</v>
      </c>
      <c r="N198" s="75">
        <v>0.0</v>
      </c>
      <c r="O198" s="187">
        <v>0.0</v>
      </c>
      <c r="P198" s="187">
        <v>0.0</v>
      </c>
      <c r="Q198" s="187">
        <v>0.0</v>
      </c>
      <c r="R198" s="75">
        <v>22.0</v>
      </c>
      <c r="S198" s="75">
        <v>22.0</v>
      </c>
      <c r="T198" s="75">
        <v>0.0</v>
      </c>
      <c r="U198" s="75">
        <v>0.0</v>
      </c>
      <c r="V198" s="75">
        <v>22.0</v>
      </c>
      <c r="W198" s="75">
        <v>0.0</v>
      </c>
      <c r="X198" s="190">
        <v>0.0</v>
      </c>
      <c r="Y198" s="190">
        <v>0.0</v>
      </c>
      <c r="Z198" s="75">
        <v>0.0</v>
      </c>
      <c r="AA198" s="75">
        <v>0.0</v>
      </c>
      <c r="AB198" s="75">
        <v>0.0</v>
      </c>
      <c r="AC198" s="75">
        <v>0.0</v>
      </c>
      <c r="AD198" s="75">
        <v>10.0</v>
      </c>
      <c r="AE198" s="75">
        <v>34.0</v>
      </c>
      <c r="AF198" s="75">
        <v>0.0</v>
      </c>
      <c r="AG198" s="75">
        <v>3.0</v>
      </c>
      <c r="AH198" s="75">
        <v>7.0</v>
      </c>
      <c r="AI198" s="75">
        <v>0.0</v>
      </c>
      <c r="AJ198" s="75">
        <v>0.0</v>
      </c>
      <c r="AK198" s="75">
        <v>0.0</v>
      </c>
      <c r="AL198" s="75">
        <v>0.0</v>
      </c>
      <c r="AM198" s="75">
        <v>97.0</v>
      </c>
      <c r="AN198" s="75">
        <v>138.0</v>
      </c>
      <c r="AO198" s="75">
        <v>47.0</v>
      </c>
      <c r="AP198" s="190">
        <v>0.0</v>
      </c>
      <c r="AQ198" s="190">
        <v>2.0638297872340425</v>
      </c>
      <c r="AR198" s="190">
        <v>95300.33333333333</v>
      </c>
      <c r="AS198" s="75"/>
      <c r="AT198" s="262"/>
      <c r="AU198" s="190"/>
      <c r="AV198" s="219">
        <v>0.0</v>
      </c>
      <c r="AW198" s="219">
        <v>384.0</v>
      </c>
      <c r="AX198" s="254">
        <v>2452.88</v>
      </c>
      <c r="AY198" s="219">
        <v>111.0</v>
      </c>
      <c r="AZ198" s="219">
        <v>0.0</v>
      </c>
      <c r="BA198" s="219">
        <v>22.0</v>
      </c>
      <c r="BB198" s="219">
        <v>0.0</v>
      </c>
      <c r="BC198" s="191">
        <v>45911.0</v>
      </c>
      <c r="BD198" s="75"/>
      <c r="BE198" s="164">
        <v>0.0</v>
      </c>
    </row>
    <row r="199">
      <c r="A199" s="6" t="s">
        <v>97</v>
      </c>
      <c r="B199" s="183" t="s">
        <v>101</v>
      </c>
      <c r="C199" s="184" t="s">
        <v>108</v>
      </c>
      <c r="D199" s="75" t="s">
        <v>105</v>
      </c>
      <c r="E199" s="256">
        <v>45842.0</v>
      </c>
      <c r="F199" s="75" t="s">
        <v>1062</v>
      </c>
      <c r="G199" s="190"/>
      <c r="H199" s="190">
        <v>48765.0</v>
      </c>
      <c r="I199" s="190">
        <v>1688888.889</v>
      </c>
      <c r="J199" s="190">
        <v>0.0</v>
      </c>
      <c r="K199" s="190">
        <v>4400000.0</v>
      </c>
      <c r="L199" s="190">
        <v>2760078.1</v>
      </c>
      <c r="M199" s="190">
        <v>0.0</v>
      </c>
      <c r="N199" s="75">
        <v>507825.0</v>
      </c>
      <c r="O199" s="187">
        <v>0.6272904772727272</v>
      </c>
      <c r="P199" s="187">
        <v>0.0</v>
      </c>
      <c r="Q199" s="187">
        <v>0.11541477272727273</v>
      </c>
      <c r="R199" s="75">
        <v>57.0</v>
      </c>
      <c r="S199" s="75">
        <v>63.0</v>
      </c>
      <c r="T199" s="75">
        <v>6.0</v>
      </c>
      <c r="U199" s="75">
        <v>1.0</v>
      </c>
      <c r="V199" s="75">
        <v>63.0</v>
      </c>
      <c r="W199" s="75">
        <v>0.0</v>
      </c>
      <c r="X199" s="190">
        <v>2752236.1</v>
      </c>
      <c r="Y199" s="190">
        <v>7842.0</v>
      </c>
      <c r="Z199" s="75">
        <v>10.0</v>
      </c>
      <c r="AA199" s="75">
        <v>1.0</v>
      </c>
      <c r="AB199" s="75">
        <v>11.0</v>
      </c>
      <c r="AC199" s="75">
        <v>0.0</v>
      </c>
      <c r="AD199" s="75">
        <v>82.0</v>
      </c>
      <c r="AE199" s="75">
        <v>142.0</v>
      </c>
      <c r="AF199" s="75">
        <v>1.0</v>
      </c>
      <c r="AG199" s="75">
        <v>3.0</v>
      </c>
      <c r="AH199" s="75">
        <v>12.0</v>
      </c>
      <c r="AI199" s="75">
        <v>0.0</v>
      </c>
      <c r="AJ199" s="75">
        <v>0.0</v>
      </c>
      <c r="AK199" s="75">
        <v>0.0</v>
      </c>
      <c r="AL199" s="75">
        <v>0.0</v>
      </c>
      <c r="AM199" s="75">
        <v>189.0</v>
      </c>
      <c r="AN199" s="75">
        <v>343.0</v>
      </c>
      <c r="AO199" s="75">
        <v>58.0</v>
      </c>
      <c r="AP199" s="190">
        <v>47587.55344827587</v>
      </c>
      <c r="AQ199" s="190">
        <v>3.2586206896551726</v>
      </c>
      <c r="AR199" s="190">
        <v>146295.0</v>
      </c>
      <c r="AS199" s="75"/>
      <c r="AT199" s="262">
        <v>0.053003934924884914</v>
      </c>
      <c r="AU199" s="190">
        <v>250916.19090909092</v>
      </c>
      <c r="AV199" s="219">
        <v>63.0</v>
      </c>
      <c r="AW199" s="219">
        <v>536.0</v>
      </c>
      <c r="AX199" s="254">
        <v>4725.88</v>
      </c>
      <c r="AY199" s="219">
        <v>75.0</v>
      </c>
      <c r="AZ199" s="219">
        <v>11.0</v>
      </c>
      <c r="BA199" s="219">
        <v>52.0</v>
      </c>
      <c r="BB199" s="219">
        <v>0.0</v>
      </c>
      <c r="BC199" s="191"/>
      <c r="BD199" s="75"/>
      <c r="BE199" s="164">
        <v>-4.656612873077393E-10</v>
      </c>
    </row>
    <row r="200">
      <c r="A200" s="6" t="s">
        <v>126</v>
      </c>
      <c r="B200" s="183" t="s">
        <v>130</v>
      </c>
      <c r="C200" s="184" t="s">
        <v>172</v>
      </c>
      <c r="D200" s="75" t="s">
        <v>142</v>
      </c>
      <c r="E200" s="256">
        <v>45843.0</v>
      </c>
      <c r="F200" s="75" t="s">
        <v>130</v>
      </c>
      <c r="G200" s="190"/>
      <c r="H200" s="190">
        <v>41430.0</v>
      </c>
      <c r="I200" s="190">
        <v>2000000.0</v>
      </c>
      <c r="J200" s="190">
        <v>0.0</v>
      </c>
      <c r="K200" s="190">
        <v>6000000.0</v>
      </c>
      <c r="L200" s="190">
        <v>1042989.62</v>
      </c>
      <c r="M200" s="190">
        <v>0.0</v>
      </c>
      <c r="N200" s="75">
        <v>0.0</v>
      </c>
      <c r="O200" s="187">
        <v>0.17383160333333333</v>
      </c>
      <c r="P200" s="187">
        <v>0.0</v>
      </c>
      <c r="Q200" s="187">
        <v>0.0</v>
      </c>
      <c r="R200" s="75">
        <v>24.0</v>
      </c>
      <c r="S200" s="75">
        <v>49.0</v>
      </c>
      <c r="T200" s="75">
        <v>28.0</v>
      </c>
      <c r="U200" s="75">
        <v>18.0</v>
      </c>
      <c r="V200" s="75">
        <v>52.0</v>
      </c>
      <c r="W200" s="75">
        <v>3.0</v>
      </c>
      <c r="X200" s="190">
        <v>464069.2</v>
      </c>
      <c r="Y200" s="190">
        <v>578920.42</v>
      </c>
      <c r="Z200" s="75">
        <v>6.0</v>
      </c>
      <c r="AA200" s="75">
        <v>18.0</v>
      </c>
      <c r="AB200" s="75">
        <v>24.0</v>
      </c>
      <c r="AC200" s="75">
        <v>0.0</v>
      </c>
      <c r="AD200" s="75">
        <v>15.0</v>
      </c>
      <c r="AE200" s="75">
        <v>20.0</v>
      </c>
      <c r="AF200" s="75">
        <v>1.0</v>
      </c>
      <c r="AG200" s="75">
        <v>3.0</v>
      </c>
      <c r="AH200" s="75">
        <v>32.0</v>
      </c>
      <c r="AI200" s="75">
        <v>0.0</v>
      </c>
      <c r="AJ200" s="75">
        <v>0.0</v>
      </c>
      <c r="AK200" s="75">
        <v>0.0</v>
      </c>
      <c r="AL200" s="75">
        <v>0.0</v>
      </c>
      <c r="AM200" s="75">
        <v>168.0</v>
      </c>
      <c r="AN200" s="75">
        <v>220.0</v>
      </c>
      <c r="AO200" s="75">
        <v>65.0</v>
      </c>
      <c r="AP200" s="190">
        <v>16045.994153846153</v>
      </c>
      <c r="AQ200" s="190">
        <v>2.5846153846153848</v>
      </c>
      <c r="AR200" s="190">
        <v>124290.0</v>
      </c>
      <c r="AS200" s="75"/>
      <c r="AT200" s="262">
        <v>0.11916705364718778</v>
      </c>
      <c r="AU200" s="190">
        <v>43457.90083333333</v>
      </c>
      <c r="AV200" s="219">
        <v>37.0</v>
      </c>
      <c r="AW200" s="219">
        <v>661.0</v>
      </c>
      <c r="AX200" s="254">
        <v>5847.13</v>
      </c>
      <c r="AY200" s="219">
        <v>119.0</v>
      </c>
      <c r="AZ200" s="219">
        <v>24.0</v>
      </c>
      <c r="BA200" s="219">
        <v>25.0</v>
      </c>
      <c r="BB200" s="219">
        <v>3.0</v>
      </c>
      <c r="BC200" s="191"/>
      <c r="BD200" s="75"/>
      <c r="BE200" s="164">
        <v>-1.1641532182693481E-10</v>
      </c>
    </row>
    <row r="201">
      <c r="A201" s="6" t="s">
        <v>53</v>
      </c>
      <c r="B201" s="183" t="s">
        <v>61</v>
      </c>
      <c r="C201" s="184" t="s">
        <v>367</v>
      </c>
      <c r="D201" s="75" t="s">
        <v>368</v>
      </c>
      <c r="E201" s="256">
        <v>45845.0</v>
      </c>
      <c r="F201" s="75" t="s">
        <v>1077</v>
      </c>
      <c r="G201" s="190"/>
      <c r="H201" s="190">
        <v>37760.0</v>
      </c>
      <c r="I201" s="190"/>
      <c r="J201" s="190">
        <v>0.0</v>
      </c>
      <c r="K201" s="190">
        <v>0.0</v>
      </c>
      <c r="L201" s="190">
        <v>0.0</v>
      </c>
      <c r="M201" s="190">
        <v>0.0</v>
      </c>
      <c r="N201" s="75">
        <v>0.0</v>
      </c>
      <c r="O201" s="187"/>
      <c r="P201" s="187">
        <v>0.0</v>
      </c>
      <c r="Q201" s="187"/>
      <c r="R201" s="75">
        <v>4.0</v>
      </c>
      <c r="S201" s="75">
        <v>4.0</v>
      </c>
      <c r="T201" s="75">
        <v>0.0</v>
      </c>
      <c r="U201" s="75">
        <v>0.0</v>
      </c>
      <c r="V201" s="75">
        <v>4.0</v>
      </c>
      <c r="W201" s="75">
        <v>0.0</v>
      </c>
      <c r="X201" s="190">
        <v>0.0</v>
      </c>
      <c r="Y201" s="190">
        <v>0.0</v>
      </c>
      <c r="Z201" s="75">
        <v>0.0</v>
      </c>
      <c r="AA201" s="75">
        <v>0.0</v>
      </c>
      <c r="AB201" s="75">
        <v>0.0</v>
      </c>
      <c r="AC201" s="75">
        <v>0.0</v>
      </c>
      <c r="AD201" s="75">
        <v>29.0</v>
      </c>
      <c r="AE201" s="75">
        <v>85.0</v>
      </c>
      <c r="AF201" s="75">
        <v>0.0</v>
      </c>
      <c r="AG201" s="75">
        <v>1.0</v>
      </c>
      <c r="AH201" s="75">
        <v>1.0</v>
      </c>
      <c r="AI201" s="75">
        <v>0.0</v>
      </c>
      <c r="AJ201" s="75">
        <v>0.0</v>
      </c>
      <c r="AK201" s="75">
        <v>5.0</v>
      </c>
      <c r="AL201" s="75">
        <v>8.0</v>
      </c>
      <c r="AM201" s="75">
        <v>14.0</v>
      </c>
      <c r="AN201" s="75">
        <v>108.0</v>
      </c>
      <c r="AO201" s="75">
        <v>20.0</v>
      </c>
      <c r="AP201" s="190">
        <v>0.0</v>
      </c>
      <c r="AQ201" s="190">
        <v>0.7</v>
      </c>
      <c r="AR201" s="190">
        <v>26432.0</v>
      </c>
      <c r="AS201" s="75"/>
      <c r="AT201" s="262"/>
      <c r="AU201" s="190"/>
      <c r="AV201" s="219">
        <v>0.0</v>
      </c>
      <c r="AW201" s="219">
        <v>170.0</v>
      </c>
      <c r="AX201" s="254">
        <v>1535.72</v>
      </c>
      <c r="AY201" s="219">
        <v>384.0</v>
      </c>
      <c r="AZ201" s="219">
        <v>0.0</v>
      </c>
      <c r="BA201" s="219">
        <v>4.0</v>
      </c>
      <c r="BB201" s="219">
        <v>0.0</v>
      </c>
      <c r="BC201" s="191">
        <v>45869.0</v>
      </c>
      <c r="BD201" s="75"/>
      <c r="BE201" s="164">
        <v>0.0</v>
      </c>
    </row>
    <row r="202">
      <c r="A202" s="6" t="s">
        <v>185</v>
      </c>
      <c r="B202" s="183" t="s">
        <v>189</v>
      </c>
      <c r="C202" s="184" t="s">
        <v>286</v>
      </c>
      <c r="D202" s="75" t="s">
        <v>287</v>
      </c>
      <c r="E202" s="256">
        <v>45845.0</v>
      </c>
      <c r="F202" s="75" t="s">
        <v>1016</v>
      </c>
      <c r="G202" s="190"/>
      <c r="H202" s="190">
        <v>24120.0</v>
      </c>
      <c r="I202" s="190">
        <v>2000000.0</v>
      </c>
      <c r="J202" s="190">
        <v>0.0</v>
      </c>
      <c r="K202" s="190">
        <v>4000000.0</v>
      </c>
      <c r="L202" s="190">
        <v>2684398.08</v>
      </c>
      <c r="M202" s="190">
        <v>0.0</v>
      </c>
      <c r="N202" s="75">
        <v>4012832.0</v>
      </c>
      <c r="O202" s="187">
        <v>0.6710995200000001</v>
      </c>
      <c r="P202" s="187">
        <v>0.0</v>
      </c>
      <c r="Q202" s="187">
        <v>1.003208</v>
      </c>
      <c r="R202" s="75">
        <v>37.0</v>
      </c>
      <c r="S202" s="75">
        <v>51.0</v>
      </c>
      <c r="T202" s="75">
        <v>14.0</v>
      </c>
      <c r="U202" s="75">
        <v>14.0</v>
      </c>
      <c r="V202" s="75">
        <v>51.0</v>
      </c>
      <c r="W202" s="75">
        <v>0.0</v>
      </c>
      <c r="X202" s="190">
        <v>2032569.99</v>
      </c>
      <c r="Y202" s="190">
        <v>651828.09</v>
      </c>
      <c r="Z202" s="75">
        <v>16.0</v>
      </c>
      <c r="AA202" s="75">
        <v>14.0</v>
      </c>
      <c r="AB202" s="75">
        <v>30.0</v>
      </c>
      <c r="AC202" s="75">
        <v>0.0</v>
      </c>
      <c r="AD202" s="75">
        <v>49.0</v>
      </c>
      <c r="AE202" s="75">
        <v>119.0</v>
      </c>
      <c r="AF202" s="75">
        <v>1.0</v>
      </c>
      <c r="AG202" s="75">
        <v>2.0</v>
      </c>
      <c r="AH202" s="75">
        <v>5.0</v>
      </c>
      <c r="AI202" s="75">
        <v>0.0</v>
      </c>
      <c r="AJ202" s="75">
        <v>0.0</v>
      </c>
      <c r="AK202" s="75">
        <v>0.0</v>
      </c>
      <c r="AL202" s="75">
        <v>0.0</v>
      </c>
      <c r="AM202" s="75">
        <v>233.0</v>
      </c>
      <c r="AN202" s="75">
        <v>357.0</v>
      </c>
      <c r="AO202" s="75">
        <v>68.0</v>
      </c>
      <c r="AP202" s="190">
        <v>39476.44235294118</v>
      </c>
      <c r="AQ202" s="190">
        <v>3.426470588235294</v>
      </c>
      <c r="AR202" s="190">
        <v>72360.0</v>
      </c>
      <c r="AS202" s="75"/>
      <c r="AT202" s="262">
        <v>0.026955763580340512</v>
      </c>
      <c r="AU202" s="190">
        <v>89479.936</v>
      </c>
      <c r="AV202" s="219">
        <v>45.0</v>
      </c>
      <c r="AW202" s="219">
        <v>794.0</v>
      </c>
      <c r="AX202" s="254">
        <v>6827.14</v>
      </c>
      <c r="AY202" s="219">
        <v>134.0</v>
      </c>
      <c r="AZ202" s="219">
        <v>30.0</v>
      </c>
      <c r="BA202" s="219">
        <v>21.0</v>
      </c>
      <c r="BB202" s="219">
        <v>0.0</v>
      </c>
      <c r="BC202" s="191"/>
      <c r="BD202" s="75"/>
      <c r="BE202" s="164">
        <v>-4.656612873077393E-10</v>
      </c>
    </row>
    <row r="203">
      <c r="A203" s="6" t="s">
        <v>97</v>
      </c>
      <c r="B203" s="183" t="s">
        <v>101</v>
      </c>
      <c r="C203" s="184" t="s">
        <v>876</v>
      </c>
      <c r="D203" s="75" t="s">
        <v>1063</v>
      </c>
      <c r="E203" s="256">
        <v>45859.0</v>
      </c>
      <c r="F203" s="75" t="s">
        <v>1062</v>
      </c>
      <c r="G203" s="190"/>
      <c r="H203" s="190">
        <v>51910.0</v>
      </c>
      <c r="I203" s="190"/>
      <c r="J203" s="190">
        <v>0.0</v>
      </c>
      <c r="K203" s="190">
        <v>0.0</v>
      </c>
      <c r="L203" s="190">
        <v>0.0</v>
      </c>
      <c r="M203" s="190">
        <v>0.0</v>
      </c>
      <c r="N203" s="75"/>
      <c r="O203" s="187"/>
      <c r="P203" s="187">
        <v>0.0</v>
      </c>
      <c r="Q203" s="187"/>
      <c r="R203" s="75">
        <v>79.0</v>
      </c>
      <c r="S203" s="75">
        <v>111.0</v>
      </c>
      <c r="T203" s="75">
        <v>37.0</v>
      </c>
      <c r="U203" s="75">
        <v>0.0</v>
      </c>
      <c r="V203" s="75">
        <v>116.0</v>
      </c>
      <c r="W203" s="75">
        <v>5.0</v>
      </c>
      <c r="X203" s="190">
        <v>0.0</v>
      </c>
      <c r="Y203" s="190">
        <v>0.0</v>
      </c>
      <c r="Z203" s="75">
        <v>0.0</v>
      </c>
      <c r="AA203" s="75">
        <v>0.0</v>
      </c>
      <c r="AB203" s="75">
        <v>0.0</v>
      </c>
      <c r="AC203" s="75">
        <v>0.0</v>
      </c>
      <c r="AD203" s="75">
        <v>5.0</v>
      </c>
      <c r="AE203" s="75">
        <v>7.0</v>
      </c>
      <c r="AF203" s="75">
        <v>0.0</v>
      </c>
      <c r="AG203" s="75">
        <v>1.0</v>
      </c>
      <c r="AH203" s="75">
        <v>6.0</v>
      </c>
      <c r="AI203" s="75">
        <v>0.0</v>
      </c>
      <c r="AJ203" s="75">
        <v>0.0</v>
      </c>
      <c r="AK203" s="75">
        <v>0.0</v>
      </c>
      <c r="AL203" s="75">
        <v>0.0</v>
      </c>
      <c r="AM203" s="75">
        <v>217.0</v>
      </c>
      <c r="AN203" s="75">
        <v>230.0</v>
      </c>
      <c r="AO203" s="75">
        <v>57.0</v>
      </c>
      <c r="AP203" s="190">
        <v>0.0</v>
      </c>
      <c r="AQ203" s="190">
        <v>3.807017543859649</v>
      </c>
      <c r="AR203" s="190">
        <v>120565.16129032256</v>
      </c>
      <c r="AS203" s="75"/>
      <c r="AT203" s="262"/>
      <c r="AU203" s="190"/>
      <c r="AV203" s="219">
        <v>0.0</v>
      </c>
      <c r="AW203" s="219">
        <v>620.0</v>
      </c>
      <c r="AX203" s="254">
        <v>5206.39</v>
      </c>
      <c r="AY203" s="219">
        <v>47.0</v>
      </c>
      <c r="AZ203" s="219">
        <v>0.0</v>
      </c>
      <c r="BA203" s="219">
        <v>111.0</v>
      </c>
      <c r="BB203" s="219">
        <v>5.0</v>
      </c>
      <c r="BC203" s="191"/>
      <c r="BD203" s="75"/>
      <c r="BE203" s="164" t="e">
        <v>#N/A</v>
      </c>
    </row>
    <row r="204">
      <c r="A204" s="6" t="s">
        <v>53</v>
      </c>
      <c r="B204" s="183" t="s">
        <v>56</v>
      </c>
      <c r="C204" s="184" t="s">
        <v>879</v>
      </c>
      <c r="D204" s="75" t="s">
        <v>65</v>
      </c>
      <c r="E204" s="256">
        <v>45861.0</v>
      </c>
      <c r="F204" s="75" t="s">
        <v>1092</v>
      </c>
      <c r="G204" s="190"/>
      <c r="H204" s="190">
        <v>24120.0</v>
      </c>
      <c r="I204" s="190">
        <v>500000.0</v>
      </c>
      <c r="J204" s="190">
        <v>0.0</v>
      </c>
      <c r="K204" s="190">
        <v>1000000.0</v>
      </c>
      <c r="L204" s="190">
        <v>73202.0</v>
      </c>
      <c r="M204" s="190">
        <v>0.0</v>
      </c>
      <c r="N204" s="75">
        <v>0.0</v>
      </c>
      <c r="O204" s="187">
        <v>0.073202</v>
      </c>
      <c r="P204" s="187">
        <v>0.0</v>
      </c>
      <c r="Q204" s="187">
        <v>0.0</v>
      </c>
      <c r="R204" s="75">
        <v>8.0</v>
      </c>
      <c r="S204" s="75">
        <v>10.0</v>
      </c>
      <c r="T204" s="75">
        <v>2.0</v>
      </c>
      <c r="U204" s="75">
        <v>2.0</v>
      </c>
      <c r="V204" s="75">
        <v>10.0</v>
      </c>
      <c r="W204" s="75">
        <v>0.0</v>
      </c>
      <c r="X204" s="190">
        <v>30460.0</v>
      </c>
      <c r="Y204" s="190">
        <v>42742.0</v>
      </c>
      <c r="Z204" s="75">
        <v>1.0</v>
      </c>
      <c r="AA204" s="75">
        <v>2.0</v>
      </c>
      <c r="AB204" s="75">
        <v>3.0</v>
      </c>
      <c r="AC204" s="75">
        <v>0.0</v>
      </c>
      <c r="AD204" s="75">
        <v>160.0</v>
      </c>
      <c r="AE204" s="75">
        <v>369.0</v>
      </c>
      <c r="AF204" s="75">
        <v>0.0</v>
      </c>
      <c r="AG204" s="75">
        <v>2.0</v>
      </c>
      <c r="AH204" s="75">
        <v>20.0</v>
      </c>
      <c r="AI204" s="75">
        <v>0.0</v>
      </c>
      <c r="AJ204" s="75">
        <v>0.0</v>
      </c>
      <c r="AK204" s="75">
        <v>2.0</v>
      </c>
      <c r="AL204" s="75">
        <v>3.0</v>
      </c>
      <c r="AM204" s="75">
        <v>25.0</v>
      </c>
      <c r="AN204" s="75">
        <v>417.0</v>
      </c>
      <c r="AO204" s="75">
        <v>52.0</v>
      </c>
      <c r="AP204" s="190">
        <v>1407.7307692307693</v>
      </c>
      <c r="AQ204" s="190">
        <v>0.4807692307692308</v>
      </c>
      <c r="AR204" s="190">
        <v>56020.64516129032</v>
      </c>
      <c r="AS204" s="75"/>
      <c r="AT204" s="262">
        <v>0.7652884506064086</v>
      </c>
      <c r="AU204" s="190">
        <v>24400.666666666668</v>
      </c>
      <c r="AV204" s="219">
        <v>3.0</v>
      </c>
      <c r="AW204" s="219">
        <v>507.0</v>
      </c>
      <c r="AX204" s="254">
        <v>3880.32</v>
      </c>
      <c r="AY204" s="219">
        <v>388.0</v>
      </c>
      <c r="AZ204" s="219">
        <v>3.0</v>
      </c>
      <c r="BA204" s="219">
        <v>7.0</v>
      </c>
      <c r="BB204" s="219">
        <v>0.0</v>
      </c>
      <c r="BC204" s="191"/>
      <c r="BD204" s="75"/>
      <c r="BE204" s="164">
        <v>0.0</v>
      </c>
    </row>
    <row r="205">
      <c r="A205" s="6" t="s">
        <v>298</v>
      </c>
      <c r="B205" s="183" t="s">
        <v>301</v>
      </c>
      <c r="C205" s="184" t="s">
        <v>877</v>
      </c>
      <c r="D205" s="75" t="s">
        <v>358</v>
      </c>
      <c r="E205" s="256">
        <v>45862.0</v>
      </c>
      <c r="F205" s="75" t="s">
        <v>1066</v>
      </c>
      <c r="G205" s="190"/>
      <c r="H205" s="190">
        <v>39330.0</v>
      </c>
      <c r="I205" s="190">
        <v>1200000.0</v>
      </c>
      <c r="J205" s="190">
        <v>0.0</v>
      </c>
      <c r="K205" s="190">
        <v>2400000.0</v>
      </c>
      <c r="L205" s="190">
        <v>113402.6</v>
      </c>
      <c r="M205" s="190">
        <v>0.0</v>
      </c>
      <c r="N205" s="75">
        <v>0.0</v>
      </c>
      <c r="O205" s="187">
        <v>0.04725108333333333</v>
      </c>
      <c r="P205" s="187">
        <v>0.0</v>
      </c>
      <c r="Q205" s="187">
        <v>0.0</v>
      </c>
      <c r="R205" s="75">
        <v>27.0</v>
      </c>
      <c r="S205" s="75">
        <v>33.0</v>
      </c>
      <c r="T205" s="75">
        <v>6.0</v>
      </c>
      <c r="U205" s="75">
        <v>5.0</v>
      </c>
      <c r="V205" s="75">
        <v>33.0</v>
      </c>
      <c r="W205" s="75">
        <v>0.0</v>
      </c>
      <c r="X205" s="190">
        <v>46310.3</v>
      </c>
      <c r="Y205" s="190">
        <v>67092.3</v>
      </c>
      <c r="Z205" s="75">
        <v>5.0</v>
      </c>
      <c r="AA205" s="75">
        <v>5.0</v>
      </c>
      <c r="AB205" s="75">
        <v>10.0</v>
      </c>
      <c r="AC205" s="75">
        <v>0.0</v>
      </c>
      <c r="AD205" s="75">
        <v>76.0</v>
      </c>
      <c r="AE205" s="75">
        <v>111.0</v>
      </c>
      <c r="AF205" s="75">
        <v>0.0</v>
      </c>
      <c r="AG205" s="75">
        <v>1.0</v>
      </c>
      <c r="AH205" s="75">
        <v>1.0</v>
      </c>
      <c r="AI205" s="75">
        <v>0.0</v>
      </c>
      <c r="AJ205" s="75">
        <v>0.0</v>
      </c>
      <c r="AK205" s="75">
        <v>0.0</v>
      </c>
      <c r="AL205" s="75">
        <v>0.0</v>
      </c>
      <c r="AM205" s="75">
        <v>83.0</v>
      </c>
      <c r="AN205" s="75">
        <v>195.0</v>
      </c>
      <c r="AO205" s="75">
        <v>51.0</v>
      </c>
      <c r="AP205" s="190">
        <v>2223.5803921568627</v>
      </c>
      <c r="AQ205" s="190">
        <v>1.6274509803921569</v>
      </c>
      <c r="AR205" s="190">
        <v>91347.09677419353</v>
      </c>
      <c r="AS205" s="75"/>
      <c r="AT205" s="262">
        <v>0.8055114853997486</v>
      </c>
      <c r="AU205" s="190">
        <v>11340.26</v>
      </c>
      <c r="AV205" s="219">
        <v>11.0</v>
      </c>
      <c r="AW205" s="219">
        <v>468.0</v>
      </c>
      <c r="AX205" s="254">
        <v>2876.94</v>
      </c>
      <c r="AY205" s="219">
        <v>87.0</v>
      </c>
      <c r="AZ205" s="219">
        <v>10.0</v>
      </c>
      <c r="BA205" s="219">
        <v>23.0</v>
      </c>
      <c r="BB205" s="219">
        <v>0.0</v>
      </c>
      <c r="BC205" s="191"/>
      <c r="BD205" s="75"/>
      <c r="BE205" s="164">
        <v>0.0</v>
      </c>
    </row>
    <row r="206">
      <c r="A206" s="6" t="s">
        <v>53</v>
      </c>
      <c r="B206" s="183" t="s">
        <v>56</v>
      </c>
      <c r="C206" s="184" t="s">
        <v>878</v>
      </c>
      <c r="D206" s="75" t="s">
        <v>380</v>
      </c>
      <c r="E206" s="256">
        <v>45862.0</v>
      </c>
      <c r="F206" s="75" t="s">
        <v>1092</v>
      </c>
      <c r="G206" s="190"/>
      <c r="H206" s="190">
        <v>25215.0</v>
      </c>
      <c r="I206" s="190">
        <v>500000.0</v>
      </c>
      <c r="J206" s="190">
        <v>0.0</v>
      </c>
      <c r="K206" s="190">
        <v>1000000.0</v>
      </c>
      <c r="L206" s="190">
        <v>85000.6</v>
      </c>
      <c r="M206" s="190">
        <v>0.0</v>
      </c>
      <c r="N206" s="75">
        <v>0.0</v>
      </c>
      <c r="O206" s="187">
        <v>0.08500060000000001</v>
      </c>
      <c r="P206" s="187">
        <v>0.0</v>
      </c>
      <c r="Q206" s="187">
        <v>0.0</v>
      </c>
      <c r="R206" s="75">
        <v>2.0</v>
      </c>
      <c r="S206" s="75">
        <v>10.0</v>
      </c>
      <c r="T206" s="75">
        <v>8.0</v>
      </c>
      <c r="U206" s="75">
        <v>7.0</v>
      </c>
      <c r="V206" s="75">
        <v>10.0</v>
      </c>
      <c r="W206" s="75">
        <v>0.0</v>
      </c>
      <c r="X206" s="190">
        <v>0.0</v>
      </c>
      <c r="Y206" s="190">
        <v>85000.6</v>
      </c>
      <c r="Z206" s="75">
        <v>0.0</v>
      </c>
      <c r="AA206" s="75">
        <v>7.0</v>
      </c>
      <c r="AB206" s="75">
        <v>7.0</v>
      </c>
      <c r="AC206" s="75">
        <v>0.0</v>
      </c>
      <c r="AD206" s="75">
        <v>86.0</v>
      </c>
      <c r="AE206" s="75">
        <v>217.0</v>
      </c>
      <c r="AF206" s="75">
        <v>10.0</v>
      </c>
      <c r="AG206" s="75">
        <v>1.0</v>
      </c>
      <c r="AH206" s="75">
        <v>29.0</v>
      </c>
      <c r="AI206" s="75">
        <v>0.0</v>
      </c>
      <c r="AJ206" s="75">
        <v>0.0</v>
      </c>
      <c r="AK206" s="75">
        <v>6.0</v>
      </c>
      <c r="AL206" s="75">
        <v>21.0</v>
      </c>
      <c r="AM206" s="75">
        <v>41.0</v>
      </c>
      <c r="AN206" s="75">
        <v>308.0</v>
      </c>
      <c r="AO206" s="75">
        <v>54.0</v>
      </c>
      <c r="AP206" s="190">
        <v>1574.0851851851853</v>
      </c>
      <c r="AQ206" s="190">
        <v>0.7592592592592593</v>
      </c>
      <c r="AR206" s="190">
        <v>58563.870967741925</v>
      </c>
      <c r="AS206" s="75"/>
      <c r="AT206" s="262">
        <v>0.6889818538662306</v>
      </c>
      <c r="AU206" s="190">
        <v>12142.942857142858</v>
      </c>
      <c r="AV206" s="219">
        <v>9.0</v>
      </c>
      <c r="AW206" s="219">
        <v>443.0</v>
      </c>
      <c r="AX206" s="254">
        <v>1873.04</v>
      </c>
      <c r="AY206" s="219">
        <v>187.0</v>
      </c>
      <c r="AZ206" s="219">
        <v>7.0</v>
      </c>
      <c r="BA206" s="219">
        <v>3.0</v>
      </c>
      <c r="BB206" s="219">
        <v>0.0</v>
      </c>
      <c r="BC206" s="191"/>
      <c r="BD206" s="75"/>
      <c r="BE206" s="164">
        <v>-1.4551915228366852E-11</v>
      </c>
    </row>
    <row r="207">
      <c r="A207" s="6" t="s">
        <v>23</v>
      </c>
      <c r="B207" s="183" t="s">
        <v>30</v>
      </c>
      <c r="C207" s="184" t="s">
        <v>880</v>
      </c>
      <c r="D207" s="75" t="s">
        <v>340</v>
      </c>
      <c r="E207" s="256">
        <v>45873.0</v>
      </c>
      <c r="F207" s="75" t="s">
        <v>30</v>
      </c>
      <c r="G207" s="190"/>
      <c r="H207" s="190">
        <v>34600.0</v>
      </c>
      <c r="I207" s="190"/>
      <c r="J207" s="190">
        <v>0.0</v>
      </c>
      <c r="K207" s="190">
        <v>0.0</v>
      </c>
      <c r="L207" s="190">
        <v>0.0</v>
      </c>
      <c r="M207" s="190">
        <v>0.0</v>
      </c>
      <c r="N207" s="75"/>
      <c r="O207" s="187"/>
      <c r="P207" s="187">
        <v>0.0</v>
      </c>
      <c r="Q207" s="187"/>
      <c r="R207" s="75">
        <v>1.0</v>
      </c>
      <c r="S207" s="75">
        <v>1.0</v>
      </c>
      <c r="T207" s="75">
        <v>0.0</v>
      </c>
      <c r="U207" s="75">
        <v>0.0</v>
      </c>
      <c r="V207" s="75">
        <v>1.0</v>
      </c>
      <c r="W207" s="75">
        <v>0.0</v>
      </c>
      <c r="X207" s="190">
        <v>0.0</v>
      </c>
      <c r="Y207" s="190">
        <v>0.0</v>
      </c>
      <c r="Z207" s="75">
        <v>0.0</v>
      </c>
      <c r="AA207" s="75">
        <v>0.0</v>
      </c>
      <c r="AB207" s="75">
        <v>0.0</v>
      </c>
      <c r="AC207" s="75">
        <v>0.0</v>
      </c>
      <c r="AD207" s="75">
        <v>12.0</v>
      </c>
      <c r="AE207" s="75">
        <v>14.0</v>
      </c>
      <c r="AF207" s="75">
        <v>0.0</v>
      </c>
      <c r="AG207" s="75">
        <v>1.0</v>
      </c>
      <c r="AH207" s="75">
        <v>1.0</v>
      </c>
      <c r="AI207" s="75">
        <v>1.0</v>
      </c>
      <c r="AJ207" s="75">
        <v>1.0</v>
      </c>
      <c r="AK207" s="75">
        <v>1.0</v>
      </c>
      <c r="AL207" s="75">
        <v>1.0</v>
      </c>
      <c r="AM207" s="75">
        <v>1.0</v>
      </c>
      <c r="AN207" s="75">
        <v>18.0</v>
      </c>
      <c r="AO207" s="75">
        <v>4.0</v>
      </c>
      <c r="AP207" s="190">
        <v>0.0</v>
      </c>
      <c r="AQ207" s="190">
        <v>0.25</v>
      </c>
      <c r="AR207" s="190">
        <v>18684.0</v>
      </c>
      <c r="AS207" s="75"/>
      <c r="AT207" s="262"/>
      <c r="AU207" s="190"/>
      <c r="AV207" s="219">
        <v>0.0</v>
      </c>
      <c r="AW207" s="219">
        <v>44.0</v>
      </c>
      <c r="AX207" s="254">
        <v>271.86</v>
      </c>
      <c r="AY207" s="219">
        <v>272.0</v>
      </c>
      <c r="AZ207" s="219">
        <v>0.0</v>
      </c>
      <c r="BA207" s="219">
        <v>1.0</v>
      </c>
      <c r="BB207" s="219">
        <v>0.0</v>
      </c>
      <c r="BC207" s="191">
        <v>45890.0</v>
      </c>
      <c r="BD207" s="75"/>
      <c r="BE207" s="164" t="e">
        <v>#N/A</v>
      </c>
    </row>
    <row r="208">
      <c r="A208" s="6" t="s">
        <v>185</v>
      </c>
      <c r="B208" s="183" t="s">
        <v>189</v>
      </c>
      <c r="C208" s="184" t="s">
        <v>407</v>
      </c>
      <c r="D208" s="75" t="s">
        <v>187</v>
      </c>
      <c r="E208" s="256">
        <v>45876.0</v>
      </c>
      <c r="F208" s="75" t="s">
        <v>1016</v>
      </c>
      <c r="G208" s="190"/>
      <c r="H208" s="190">
        <v>33570.0</v>
      </c>
      <c r="I208" s="190">
        <v>1500000.0</v>
      </c>
      <c r="J208" s="190">
        <v>0.0</v>
      </c>
      <c r="K208" s="190">
        <v>3000000.0</v>
      </c>
      <c r="L208" s="190">
        <v>2369704.33</v>
      </c>
      <c r="M208" s="190">
        <v>0.0</v>
      </c>
      <c r="N208" s="75">
        <v>2352532.0</v>
      </c>
      <c r="O208" s="187">
        <v>0.7899014433333333</v>
      </c>
      <c r="P208" s="187">
        <v>0.0</v>
      </c>
      <c r="Q208" s="187">
        <v>0.7841773333333333</v>
      </c>
      <c r="R208" s="75">
        <v>35.0</v>
      </c>
      <c r="S208" s="75">
        <v>48.0</v>
      </c>
      <c r="T208" s="75">
        <v>13.0</v>
      </c>
      <c r="U208" s="75">
        <v>11.0</v>
      </c>
      <c r="V208" s="75">
        <v>48.0</v>
      </c>
      <c r="W208" s="75">
        <v>0.0</v>
      </c>
      <c r="X208" s="190">
        <v>1741793.81</v>
      </c>
      <c r="Y208" s="190">
        <v>627910.52</v>
      </c>
      <c r="Z208" s="75">
        <v>16.0</v>
      </c>
      <c r="AA208" s="75">
        <v>11.0</v>
      </c>
      <c r="AB208" s="75">
        <v>27.0</v>
      </c>
      <c r="AC208" s="75">
        <v>0.0</v>
      </c>
      <c r="AD208" s="75">
        <v>13.0</v>
      </c>
      <c r="AE208" s="75">
        <v>24.0</v>
      </c>
      <c r="AF208" s="75">
        <v>0.0</v>
      </c>
      <c r="AG208" s="75">
        <v>1.0</v>
      </c>
      <c r="AH208" s="75">
        <v>1.0</v>
      </c>
      <c r="AI208" s="75">
        <v>0.0</v>
      </c>
      <c r="AJ208" s="75">
        <v>0.0</v>
      </c>
      <c r="AK208" s="75">
        <v>0.0</v>
      </c>
      <c r="AL208" s="75">
        <v>0.0</v>
      </c>
      <c r="AM208" s="75">
        <v>124.0</v>
      </c>
      <c r="AN208" s="75">
        <v>149.0</v>
      </c>
      <c r="AO208" s="75">
        <v>36.0</v>
      </c>
      <c r="AP208" s="190">
        <v>65825.12027777778</v>
      </c>
      <c r="AQ208" s="190">
        <v>3.4444444444444446</v>
      </c>
      <c r="AR208" s="190">
        <v>59559.67741935484</v>
      </c>
      <c r="AS208" s="75"/>
      <c r="AT208" s="262">
        <v>0.025133801152042813</v>
      </c>
      <c r="AU208" s="190">
        <v>87766.82703703704</v>
      </c>
      <c r="AV208" s="219">
        <v>38.0</v>
      </c>
      <c r="AW208" s="219">
        <v>377.0</v>
      </c>
      <c r="AX208" s="254">
        <v>3348.63</v>
      </c>
      <c r="AY208" s="219">
        <v>70.0</v>
      </c>
      <c r="AZ208" s="219">
        <v>27.0</v>
      </c>
      <c r="BA208" s="219">
        <v>21.0</v>
      </c>
      <c r="BB208" s="219">
        <v>0.0</v>
      </c>
      <c r="BC208" s="191"/>
      <c r="BD208" s="75"/>
      <c r="BE208" s="164">
        <v>0.0</v>
      </c>
    </row>
    <row r="209">
      <c r="A209" s="6" t="s">
        <v>23</v>
      </c>
      <c r="B209" s="183" t="s">
        <v>37</v>
      </c>
      <c r="C209" s="184" t="s">
        <v>41</v>
      </c>
      <c r="D209" s="75" t="s">
        <v>42</v>
      </c>
      <c r="E209" s="256">
        <v>45887.0</v>
      </c>
      <c r="F209" s="75" t="s">
        <v>1110</v>
      </c>
      <c r="G209" s="190"/>
      <c r="H209" s="190">
        <v>28835.0</v>
      </c>
      <c r="I209" s="190">
        <v>1200000.0</v>
      </c>
      <c r="J209" s="190">
        <v>0.0</v>
      </c>
      <c r="K209" s="190">
        <v>1703226.0</v>
      </c>
      <c r="L209" s="190">
        <v>1299417.23</v>
      </c>
      <c r="M209" s="190">
        <v>0.0</v>
      </c>
      <c r="N209" s="75">
        <v>1395781.0</v>
      </c>
      <c r="O209" s="187">
        <v>0.7629153324338638</v>
      </c>
      <c r="P209" s="187">
        <v>0.0</v>
      </c>
      <c r="Q209" s="187">
        <v>0.8194925394516054</v>
      </c>
      <c r="R209" s="75">
        <v>66.0</v>
      </c>
      <c r="S209" s="75">
        <v>71.0</v>
      </c>
      <c r="T209" s="75">
        <v>8.0</v>
      </c>
      <c r="U209" s="75">
        <v>8.0</v>
      </c>
      <c r="V209" s="75">
        <v>74.0</v>
      </c>
      <c r="W209" s="75">
        <v>3.0</v>
      </c>
      <c r="X209" s="190">
        <v>1077915.23</v>
      </c>
      <c r="Y209" s="190">
        <v>200492.0</v>
      </c>
      <c r="Z209" s="75">
        <v>36.0</v>
      </c>
      <c r="AA209" s="75">
        <v>8.0</v>
      </c>
      <c r="AB209" s="75">
        <v>44.0</v>
      </c>
      <c r="AC209" s="75">
        <v>0.0</v>
      </c>
      <c r="AD209" s="75">
        <v>45.0</v>
      </c>
      <c r="AE209" s="75">
        <v>66.0</v>
      </c>
      <c r="AF209" s="75">
        <v>6.0</v>
      </c>
      <c r="AG209" s="75">
        <v>4.0</v>
      </c>
      <c r="AH209" s="75">
        <v>19.0</v>
      </c>
      <c r="AI209" s="75">
        <v>2.0</v>
      </c>
      <c r="AJ209" s="75">
        <v>3.0</v>
      </c>
      <c r="AK209" s="75">
        <v>1.0</v>
      </c>
      <c r="AL209" s="75">
        <v>1.0</v>
      </c>
      <c r="AM209" s="75">
        <v>184.0</v>
      </c>
      <c r="AN209" s="75">
        <v>273.0</v>
      </c>
      <c r="AO209" s="75">
        <v>36.0</v>
      </c>
      <c r="AP209" s="190">
        <v>36094.923055555555</v>
      </c>
      <c r="AQ209" s="190">
        <v>5.111111111111111</v>
      </c>
      <c r="AR209" s="190">
        <v>40927.09677419355</v>
      </c>
      <c r="AS209" s="75"/>
      <c r="AT209" s="262">
        <v>0.03149650153106986</v>
      </c>
      <c r="AU209" s="190">
        <v>29532.209772727274</v>
      </c>
      <c r="AV209" s="219">
        <v>60.0</v>
      </c>
      <c r="AW209" s="219">
        <v>346.0</v>
      </c>
      <c r="AX209" s="254">
        <v>2377.86</v>
      </c>
      <c r="AY209" s="219">
        <v>33.0</v>
      </c>
      <c r="AZ209" s="219">
        <v>44.0</v>
      </c>
      <c r="BA209" s="219">
        <v>27.0</v>
      </c>
      <c r="BB209" s="219">
        <v>3.0</v>
      </c>
      <c r="BC209" s="191"/>
      <c r="BD209" s="75"/>
      <c r="BE209" s="164">
        <v>0.0</v>
      </c>
    </row>
    <row r="210">
      <c r="A210" s="6" t="s">
        <v>298</v>
      </c>
      <c r="B210" s="183" t="s">
        <v>301</v>
      </c>
      <c r="C210" s="184" t="s">
        <v>318</v>
      </c>
      <c r="D210" s="75" t="s">
        <v>319</v>
      </c>
      <c r="E210" s="256">
        <v>45887.0</v>
      </c>
      <c r="F210" s="75" t="s">
        <v>1066</v>
      </c>
      <c r="G210" s="190"/>
      <c r="H210" s="190">
        <v>40885.0</v>
      </c>
      <c r="I210" s="190">
        <v>1200000.0</v>
      </c>
      <c r="J210" s="190">
        <v>0.0</v>
      </c>
      <c r="K210" s="190">
        <v>1760000.0</v>
      </c>
      <c r="L210" s="190">
        <v>365966.8</v>
      </c>
      <c r="M210" s="190">
        <v>0.0</v>
      </c>
      <c r="N210" s="75">
        <v>0.0</v>
      </c>
      <c r="O210" s="187">
        <v>0.2079356818181818</v>
      </c>
      <c r="P210" s="187">
        <v>0.0</v>
      </c>
      <c r="Q210" s="187">
        <v>0.0</v>
      </c>
      <c r="R210" s="75">
        <v>40.0</v>
      </c>
      <c r="S210" s="75">
        <v>43.0</v>
      </c>
      <c r="T210" s="75">
        <v>4.0</v>
      </c>
      <c r="U210" s="75">
        <v>3.0</v>
      </c>
      <c r="V210" s="75">
        <v>44.0</v>
      </c>
      <c r="W210" s="75">
        <v>1.0</v>
      </c>
      <c r="X210" s="190">
        <v>159308.9</v>
      </c>
      <c r="Y210" s="190">
        <v>206657.9</v>
      </c>
      <c r="Z210" s="75">
        <v>8.0</v>
      </c>
      <c r="AA210" s="75">
        <v>3.0</v>
      </c>
      <c r="AB210" s="75">
        <v>11.0</v>
      </c>
      <c r="AC210" s="75">
        <v>0.0</v>
      </c>
      <c r="AD210" s="75">
        <v>45.0</v>
      </c>
      <c r="AE210" s="75">
        <v>48.0</v>
      </c>
      <c r="AF210" s="75">
        <v>5.0</v>
      </c>
      <c r="AG210" s="75">
        <v>1.0</v>
      </c>
      <c r="AH210" s="75">
        <v>20.0</v>
      </c>
      <c r="AI210" s="75">
        <v>0.0</v>
      </c>
      <c r="AJ210" s="75">
        <v>0.0</v>
      </c>
      <c r="AK210" s="75">
        <v>0.0</v>
      </c>
      <c r="AL210" s="75">
        <v>0.0</v>
      </c>
      <c r="AM210" s="75">
        <v>60.0</v>
      </c>
      <c r="AN210" s="75">
        <v>128.0</v>
      </c>
      <c r="AO210" s="75">
        <v>31.0</v>
      </c>
      <c r="AP210" s="190">
        <v>11805.380645161289</v>
      </c>
      <c r="AQ210" s="190">
        <v>1.935483870967742</v>
      </c>
      <c r="AR210" s="190">
        <v>58030.32258064517</v>
      </c>
      <c r="AS210" s="75"/>
      <c r="AT210" s="262">
        <v>0.1585671776255255</v>
      </c>
      <c r="AU210" s="190">
        <v>33269.70909090909</v>
      </c>
      <c r="AV210" s="219">
        <v>12.0</v>
      </c>
      <c r="AW210" s="219">
        <v>307.0</v>
      </c>
      <c r="AX210" s="254">
        <v>1893.6</v>
      </c>
      <c r="AY210" s="219">
        <v>44.0</v>
      </c>
      <c r="AZ210" s="219">
        <v>11.0</v>
      </c>
      <c r="BA210" s="219">
        <v>32.0</v>
      </c>
      <c r="BB210" s="219">
        <v>1.0</v>
      </c>
      <c r="BC210" s="191"/>
      <c r="BD210" s="75"/>
      <c r="BE210" s="164">
        <v>-5.820766091346741E-11</v>
      </c>
    </row>
    <row r="211">
      <c r="A211" s="6" t="s">
        <v>97</v>
      </c>
      <c r="B211" s="183" t="s">
        <v>101</v>
      </c>
      <c r="C211" s="184" t="s">
        <v>351</v>
      </c>
      <c r="D211" s="75" t="s">
        <v>352</v>
      </c>
      <c r="E211" s="256">
        <v>45894.0</v>
      </c>
      <c r="F211" s="75" t="s">
        <v>1062</v>
      </c>
      <c r="G211" s="190"/>
      <c r="H211" s="190">
        <v>36190.0</v>
      </c>
      <c r="I211" s="190"/>
      <c r="J211" s="190">
        <v>0.0</v>
      </c>
      <c r="K211" s="190">
        <v>0.0</v>
      </c>
      <c r="L211" s="190">
        <v>0.0</v>
      </c>
      <c r="M211" s="190">
        <v>0.0</v>
      </c>
      <c r="N211" s="75">
        <v>0.0</v>
      </c>
      <c r="O211" s="187"/>
      <c r="P211" s="187">
        <v>0.0</v>
      </c>
      <c r="Q211" s="187"/>
      <c r="R211" s="75">
        <v>29.0</v>
      </c>
      <c r="S211" s="75">
        <v>28.0</v>
      </c>
      <c r="T211" s="75">
        <v>2.0</v>
      </c>
      <c r="U211" s="75">
        <v>0.0</v>
      </c>
      <c r="V211" s="75">
        <v>31.0</v>
      </c>
      <c r="W211" s="75">
        <v>3.0</v>
      </c>
      <c r="X211" s="190">
        <v>0.0</v>
      </c>
      <c r="Y211" s="190">
        <v>0.0</v>
      </c>
      <c r="Z211" s="75">
        <v>0.0</v>
      </c>
      <c r="AA211" s="75">
        <v>0.0</v>
      </c>
      <c r="AB211" s="75">
        <v>0.0</v>
      </c>
      <c r="AC211" s="75">
        <v>0.0</v>
      </c>
      <c r="AD211" s="75">
        <v>8.0</v>
      </c>
      <c r="AE211" s="75">
        <v>17.0</v>
      </c>
      <c r="AF211" s="75">
        <v>1.0</v>
      </c>
      <c r="AG211" s="75">
        <v>0.0</v>
      </c>
      <c r="AH211" s="75">
        <v>0.0</v>
      </c>
      <c r="AI211" s="75">
        <v>0.0</v>
      </c>
      <c r="AJ211" s="75">
        <v>0.0</v>
      </c>
      <c r="AK211" s="75">
        <v>0.0</v>
      </c>
      <c r="AL211" s="75">
        <v>0.0</v>
      </c>
      <c r="AM211" s="75">
        <v>53.0</v>
      </c>
      <c r="AN211" s="75">
        <v>70.0</v>
      </c>
      <c r="AO211" s="75">
        <v>14.0</v>
      </c>
      <c r="AP211" s="190">
        <v>0.0</v>
      </c>
      <c r="AQ211" s="190">
        <v>3.7857142857142856</v>
      </c>
      <c r="AR211" s="190">
        <v>43194.51612903226</v>
      </c>
      <c r="AS211" s="75"/>
      <c r="AT211" s="262"/>
      <c r="AU211" s="190"/>
      <c r="AV211" s="219">
        <v>0.0</v>
      </c>
      <c r="AW211" s="219">
        <v>193.0</v>
      </c>
      <c r="AX211" s="254">
        <v>633.74</v>
      </c>
      <c r="AY211" s="219">
        <v>23.0</v>
      </c>
      <c r="AZ211" s="219">
        <v>0.0</v>
      </c>
      <c r="BA211" s="219">
        <v>28.0</v>
      </c>
      <c r="BB211" s="219">
        <v>3.0</v>
      </c>
      <c r="BC211" s="191"/>
      <c r="BD211" s="75"/>
      <c r="BE211" s="164">
        <v>0.0</v>
      </c>
    </row>
    <row r="212">
      <c r="A212" s="6" t="s">
        <v>185</v>
      </c>
      <c r="B212" s="183" t="s">
        <v>189</v>
      </c>
      <c r="C212" s="184" t="s">
        <v>881</v>
      </c>
      <c r="D212" s="75" t="s">
        <v>289</v>
      </c>
      <c r="E212" s="256">
        <v>45894.0</v>
      </c>
      <c r="F212" s="75" t="s">
        <v>1016</v>
      </c>
      <c r="G212" s="190"/>
      <c r="H212" s="190">
        <v>27260.0</v>
      </c>
      <c r="I212" s="190">
        <v>1500000.0</v>
      </c>
      <c r="J212" s="190">
        <v>0.0</v>
      </c>
      <c r="K212" s="190">
        <v>1500000.0</v>
      </c>
      <c r="L212" s="190">
        <v>784306.95</v>
      </c>
      <c r="M212" s="190">
        <v>0.0</v>
      </c>
      <c r="N212" s="75">
        <v>1643613.0</v>
      </c>
      <c r="O212" s="187">
        <v>0.5228712999999999</v>
      </c>
      <c r="P212" s="187">
        <v>0.0</v>
      </c>
      <c r="Q212" s="187">
        <v>1.095742</v>
      </c>
      <c r="R212" s="75">
        <v>72.0</v>
      </c>
      <c r="S212" s="75">
        <v>75.0</v>
      </c>
      <c r="T212" s="75">
        <v>3.0</v>
      </c>
      <c r="U212" s="75">
        <v>1.0</v>
      </c>
      <c r="V212" s="75">
        <v>75.0</v>
      </c>
      <c r="W212" s="75">
        <v>0.0</v>
      </c>
      <c r="X212" s="190">
        <v>404381.15</v>
      </c>
      <c r="Y212" s="190">
        <v>379925.8</v>
      </c>
      <c r="Z212" s="75">
        <v>12.0</v>
      </c>
      <c r="AA212" s="75">
        <v>1.0</v>
      </c>
      <c r="AB212" s="75">
        <v>13.0</v>
      </c>
      <c r="AC212" s="75">
        <v>0.0</v>
      </c>
      <c r="AD212" s="75">
        <v>7.0</v>
      </c>
      <c r="AE212" s="75">
        <v>10.0</v>
      </c>
      <c r="AF212" s="75">
        <v>0.0</v>
      </c>
      <c r="AG212" s="75">
        <v>1.0</v>
      </c>
      <c r="AH212" s="75">
        <v>2.0</v>
      </c>
      <c r="AI212" s="75">
        <v>0.0</v>
      </c>
      <c r="AJ212" s="75">
        <v>0.0</v>
      </c>
      <c r="AK212" s="75">
        <v>0.0</v>
      </c>
      <c r="AL212" s="75">
        <v>0.0</v>
      </c>
      <c r="AM212" s="75">
        <v>102.0</v>
      </c>
      <c r="AN212" s="75">
        <v>114.0</v>
      </c>
      <c r="AO212" s="75">
        <v>26.0</v>
      </c>
      <c r="AP212" s="190">
        <v>30165.651923076923</v>
      </c>
      <c r="AQ212" s="190">
        <v>3.923076923076923</v>
      </c>
      <c r="AR212" s="190">
        <v>32536.129032258064</v>
      </c>
      <c r="AS212" s="75"/>
      <c r="AT212" s="262">
        <v>0.04148392288536786</v>
      </c>
      <c r="AU212" s="190">
        <v>60331.303846153845</v>
      </c>
      <c r="AV212" s="219">
        <v>16.0</v>
      </c>
      <c r="AW212" s="219">
        <v>264.0</v>
      </c>
      <c r="AX212" s="254">
        <v>1501.65</v>
      </c>
      <c r="AY212" s="219">
        <v>20.0</v>
      </c>
      <c r="AZ212" s="219">
        <v>13.0</v>
      </c>
      <c r="BA212" s="219">
        <v>62.0</v>
      </c>
      <c r="BB212" s="219">
        <v>0.0</v>
      </c>
      <c r="BC212" s="191"/>
      <c r="BD212" s="75"/>
      <c r="BE212" s="164">
        <v>-1.1641532182693481E-10</v>
      </c>
    </row>
    <row r="213">
      <c r="A213" s="6" t="s">
        <v>298</v>
      </c>
      <c r="B213" s="183" t="s">
        <v>301</v>
      </c>
      <c r="C213" s="184" t="s">
        <v>359</v>
      </c>
      <c r="D213" s="75" t="s">
        <v>317</v>
      </c>
      <c r="E213" s="256">
        <v>45910.0</v>
      </c>
      <c r="F213" s="75" t="s">
        <v>1066</v>
      </c>
      <c r="G213" s="190"/>
      <c r="H213" s="190">
        <v>40885.0</v>
      </c>
      <c r="I213" s="190">
        <v>1200000.0</v>
      </c>
      <c r="J213" s="190"/>
      <c r="K213" s="190">
        <v>1200000.0</v>
      </c>
      <c r="L213" s="190">
        <v>121882.38</v>
      </c>
      <c r="M213" s="190">
        <v>0.0</v>
      </c>
      <c r="N213" s="75"/>
      <c r="O213" s="187"/>
      <c r="P213" s="187">
        <v>0.0</v>
      </c>
      <c r="Q213" s="187"/>
      <c r="R213" s="75">
        <v>0.0</v>
      </c>
      <c r="S213" s="75">
        <v>5.0</v>
      </c>
      <c r="T213" s="75">
        <v>5.0</v>
      </c>
      <c r="U213" s="75">
        <v>5.0</v>
      </c>
      <c r="V213" s="75">
        <v>5.0</v>
      </c>
      <c r="W213" s="75">
        <v>0.0</v>
      </c>
      <c r="X213" s="190">
        <v>0.0</v>
      </c>
      <c r="Y213" s="190">
        <v>121882.38</v>
      </c>
      <c r="Z213" s="75">
        <v>0.0</v>
      </c>
      <c r="AA213" s="75">
        <v>5.0</v>
      </c>
      <c r="AB213" s="75">
        <v>5.0</v>
      </c>
      <c r="AC213" s="75">
        <v>0.0</v>
      </c>
      <c r="AD213" s="75">
        <v>45.0</v>
      </c>
      <c r="AE213" s="75">
        <v>70.0</v>
      </c>
      <c r="AF213" s="75">
        <v>4.0</v>
      </c>
      <c r="AG213" s="75">
        <v>1.0</v>
      </c>
      <c r="AH213" s="75">
        <v>2.0</v>
      </c>
      <c r="AI213" s="75">
        <v>0.0</v>
      </c>
      <c r="AJ213" s="75">
        <v>0.0</v>
      </c>
      <c r="AK213" s="75">
        <v>1.0</v>
      </c>
      <c r="AL213" s="75">
        <v>4.0</v>
      </c>
      <c r="AM213" s="75">
        <v>17.0</v>
      </c>
      <c r="AN213" s="75">
        <v>93.0</v>
      </c>
      <c r="AO213" s="75">
        <v>13.0</v>
      </c>
      <c r="AP213" s="190">
        <v>9375.567692307694</v>
      </c>
      <c r="AQ213" s="190">
        <v>1.3076923076923077</v>
      </c>
      <c r="AR213" s="190">
        <v>27256.666666666664</v>
      </c>
      <c r="AS213" s="75"/>
      <c r="AT213" s="262">
        <v>0.22363090273316508</v>
      </c>
      <c r="AU213" s="190">
        <v>24376.476000000002</v>
      </c>
      <c r="AV213" s="219">
        <v>6.0</v>
      </c>
      <c r="AW213" s="219">
        <v>132.0</v>
      </c>
      <c r="AX213" s="254">
        <v>548.62</v>
      </c>
      <c r="AY213" s="219">
        <v>110.0</v>
      </c>
      <c r="AZ213" s="219">
        <v>5.0</v>
      </c>
      <c r="BA213" s="219">
        <v>0.0</v>
      </c>
      <c r="BB213" s="219">
        <v>0.0</v>
      </c>
      <c r="BC213" s="191"/>
      <c r="BD213" s="75"/>
      <c r="BE213" s="164">
        <v>-121882.38</v>
      </c>
    </row>
    <row r="214">
      <c r="A214" s="6" t="s">
        <v>23</v>
      </c>
      <c r="B214" s="183" t="s">
        <v>30</v>
      </c>
      <c r="C214" s="184" t="s">
        <v>882</v>
      </c>
      <c r="D214" s="75" t="s">
        <v>340</v>
      </c>
      <c r="E214" s="256">
        <v>45917.0</v>
      </c>
      <c r="F214" s="75" t="s">
        <v>30</v>
      </c>
      <c r="G214" s="190"/>
      <c r="H214" s="190">
        <v>32500.0</v>
      </c>
      <c r="I214" s="190">
        <v>1200000.0</v>
      </c>
      <c r="J214" s="190"/>
      <c r="K214" s="190">
        <v>520000.0</v>
      </c>
      <c r="L214" s="190">
        <v>0.0</v>
      </c>
      <c r="M214" s="190">
        <v>0.0</v>
      </c>
      <c r="N214" s="75">
        <v>0.0</v>
      </c>
      <c r="O214" s="187"/>
      <c r="P214" s="187">
        <v>0.0</v>
      </c>
      <c r="Q214" s="187"/>
      <c r="R214" s="75">
        <v>6.0</v>
      </c>
      <c r="S214" s="75">
        <v>5.0</v>
      </c>
      <c r="T214" s="75">
        <v>0.0</v>
      </c>
      <c r="U214" s="75">
        <v>0.0</v>
      </c>
      <c r="V214" s="75">
        <v>6.0</v>
      </c>
      <c r="W214" s="75">
        <v>1.0</v>
      </c>
      <c r="X214" s="190">
        <v>0.0</v>
      </c>
      <c r="Y214" s="190">
        <v>0.0</v>
      </c>
      <c r="Z214" s="75">
        <v>0.0</v>
      </c>
      <c r="AA214" s="75">
        <v>0.0</v>
      </c>
      <c r="AB214" s="75">
        <v>0.0</v>
      </c>
      <c r="AC214" s="75">
        <v>0.0</v>
      </c>
      <c r="AD214" s="75">
        <v>42.0</v>
      </c>
      <c r="AE214" s="75">
        <v>52.0</v>
      </c>
      <c r="AF214" s="75">
        <v>8.0</v>
      </c>
      <c r="AG214" s="75">
        <v>1.0</v>
      </c>
      <c r="AH214" s="75">
        <v>1.0</v>
      </c>
      <c r="AI214" s="75">
        <v>1.0</v>
      </c>
      <c r="AJ214" s="75">
        <v>1.0</v>
      </c>
      <c r="AK214" s="75">
        <v>1.0</v>
      </c>
      <c r="AL214" s="75">
        <v>1.0</v>
      </c>
      <c r="AM214" s="75">
        <v>5.0</v>
      </c>
      <c r="AN214" s="75">
        <v>60.0</v>
      </c>
      <c r="AO214" s="75">
        <v>10.0</v>
      </c>
      <c r="AP214" s="190">
        <v>0.0</v>
      </c>
      <c r="AQ214" s="190">
        <v>0.5</v>
      </c>
      <c r="AR214" s="190">
        <v>14083.333333333334</v>
      </c>
      <c r="AS214" s="75"/>
      <c r="AT214" s="262"/>
      <c r="AU214" s="190"/>
      <c r="AV214" s="219">
        <v>0.0</v>
      </c>
      <c r="AW214" s="219">
        <v>105.0</v>
      </c>
      <c r="AX214" s="254">
        <v>941.54</v>
      </c>
      <c r="AY214" s="219">
        <v>188.0</v>
      </c>
      <c r="AZ214" s="219">
        <v>0.0</v>
      </c>
      <c r="BA214" s="219">
        <v>5.0</v>
      </c>
      <c r="BB214" s="219">
        <v>1.0</v>
      </c>
      <c r="BC214" s="191"/>
      <c r="BD214" s="75"/>
      <c r="BE214" s="164">
        <v>0.0</v>
      </c>
    </row>
    <row r="215">
      <c r="A215" s="6" t="s">
        <v>53</v>
      </c>
      <c r="B215" s="183" t="s">
        <v>61</v>
      </c>
      <c r="C215" s="184" t="s">
        <v>381</v>
      </c>
      <c r="D215" s="75" t="s">
        <v>382</v>
      </c>
      <c r="E215" s="256">
        <v>45922.0</v>
      </c>
      <c r="F215" s="75" t="s">
        <v>1077</v>
      </c>
      <c r="G215" s="190"/>
      <c r="H215" s="190">
        <v>41430.0</v>
      </c>
      <c r="I215" s="190"/>
      <c r="J215" s="190"/>
      <c r="K215" s="190">
        <v>222222.0</v>
      </c>
      <c r="L215" s="190">
        <v>0.0</v>
      </c>
      <c r="M215" s="190">
        <v>0.0</v>
      </c>
      <c r="N215" s="75">
        <v>710000.0</v>
      </c>
      <c r="O215" s="187"/>
      <c r="P215" s="187">
        <v>0.0</v>
      </c>
      <c r="Q215" s="187"/>
      <c r="R215" s="75">
        <v>3.0</v>
      </c>
      <c r="S215" s="75">
        <v>2.0</v>
      </c>
      <c r="T215" s="75">
        <v>0.0</v>
      </c>
      <c r="U215" s="75">
        <v>0.0</v>
      </c>
      <c r="V215" s="75">
        <v>3.0</v>
      </c>
      <c r="W215" s="75">
        <v>1.0</v>
      </c>
      <c r="X215" s="190">
        <v>0.0</v>
      </c>
      <c r="Y215" s="190">
        <v>0.0</v>
      </c>
      <c r="Z215" s="75">
        <v>0.0</v>
      </c>
      <c r="AA215" s="75">
        <v>0.0</v>
      </c>
      <c r="AB215" s="75">
        <v>0.0</v>
      </c>
      <c r="AC215" s="75">
        <v>0.0</v>
      </c>
      <c r="AD215" s="75">
        <v>15.0</v>
      </c>
      <c r="AE215" s="75">
        <v>15.0</v>
      </c>
      <c r="AF215" s="75">
        <v>8.0</v>
      </c>
      <c r="AG215" s="75">
        <v>1.0</v>
      </c>
      <c r="AH215" s="75">
        <v>1.0</v>
      </c>
      <c r="AI215" s="75">
        <v>0.0</v>
      </c>
      <c r="AJ215" s="75">
        <v>0.0</v>
      </c>
      <c r="AK215" s="75">
        <v>1.0</v>
      </c>
      <c r="AL215" s="75">
        <v>2.0</v>
      </c>
      <c r="AM215" s="75">
        <v>2.0</v>
      </c>
      <c r="AN215" s="75">
        <v>20.0</v>
      </c>
      <c r="AO215" s="75">
        <v>5.0</v>
      </c>
      <c r="AP215" s="190">
        <v>0.0</v>
      </c>
      <c r="AQ215" s="190">
        <v>0.4</v>
      </c>
      <c r="AR215" s="190">
        <v>11048.0</v>
      </c>
      <c r="AS215" s="75"/>
      <c r="AT215" s="262"/>
      <c r="AU215" s="190"/>
      <c r="AV215" s="219">
        <v>0.0</v>
      </c>
      <c r="AW215" s="219">
        <v>42.0</v>
      </c>
      <c r="AX215" s="254">
        <v>405.69</v>
      </c>
      <c r="AY215" s="219">
        <v>203.0</v>
      </c>
      <c r="AZ215" s="219">
        <v>0.0</v>
      </c>
      <c r="BA215" s="219">
        <v>2.0</v>
      </c>
      <c r="BB215" s="219">
        <v>1.0</v>
      </c>
      <c r="BC215" s="191"/>
      <c r="BD215" s="75"/>
      <c r="BE215" s="164">
        <v>0.0</v>
      </c>
    </row>
  </sheetData>
  <conditionalFormatting sqref="BC1:BC215 BD1:BD2 BD4:BD215">
    <cfRule type="notContainsBlanks" dxfId="1" priority="1">
      <formula>LEN(TRIM(BC1))&gt;0</formula>
    </cfRule>
  </conditionalFormatting>
  <conditionalFormatting sqref="C4:C215">
    <cfRule type="expression" dxfId="1" priority="2">
      <formula>BC4:BC215</formula>
    </cfRule>
  </conditionalFormatting>
  <conditionalFormatting sqref="O4:O215 P4:Q215">
    <cfRule type="cellIs" dxfId="1" priority="3" operator="lessThan">
      <formula>"50%"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2" max="2" width="12.5"/>
    <col hidden="1" min="3" max="6" width="12.63"/>
    <col customWidth="1" min="7" max="7" width="9.88"/>
    <col customWidth="1" min="8" max="8" width="10.75"/>
    <col customWidth="1" min="9" max="9" width="10.5"/>
    <col customWidth="1" min="10" max="10" width="11.88"/>
    <col customWidth="1" min="11" max="11" width="8.25"/>
    <col customWidth="1" min="12" max="12" width="9.25"/>
    <col customWidth="1" min="13" max="13" width="8.0"/>
    <col customWidth="1" min="14" max="14" width="11.88"/>
    <col customWidth="1" min="15" max="15" width="8.88"/>
    <col customWidth="1" min="16" max="16" width="9.63"/>
    <col customWidth="1" min="17" max="17" width="9.13"/>
    <col customWidth="1" min="18" max="18" width="12.38"/>
    <col customWidth="1" min="19" max="19" width="8.13"/>
    <col customWidth="1" min="20" max="20" width="7.5"/>
    <col customWidth="1" min="21" max="21" width="6.63"/>
    <col customWidth="1" min="22" max="22" width="10.5"/>
    <col customWidth="1" hidden="1" min="23" max="26" width="11.88"/>
    <col customWidth="1" min="27" max="27" width="6.38"/>
    <col customWidth="1" min="28" max="28" width="6.75"/>
    <col customWidth="1" min="29" max="29" width="6.25"/>
    <col customWidth="1" min="30" max="30" width="10.13"/>
    <col hidden="1" min="31" max="34" width="12.63"/>
  </cols>
  <sheetData>
    <row r="1">
      <c r="A1" s="423"/>
      <c r="B1" s="424"/>
      <c r="C1" s="425"/>
      <c r="D1" s="425"/>
      <c r="E1" s="425"/>
      <c r="F1" s="425"/>
      <c r="G1" s="426"/>
      <c r="H1" s="122"/>
      <c r="I1" s="122"/>
      <c r="J1" s="122"/>
      <c r="K1" s="427" t="s">
        <v>1230</v>
      </c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428"/>
    </row>
    <row r="2">
      <c r="A2" s="423" t="str">
        <f>IFERROR(__xludf.DUMMYFUNCTION("IMPORTRANGE(""https://docs.google.com/spreadsheets/d/1cYgADU_WB8oDaNyyWCQloNC5_tbNbr162ngkm8_F2Ws/edit?gid=652365202#gid=652365202"",""Final!A2:AH"")"),"")</f>
        <v/>
      </c>
      <c r="B2" s="424"/>
      <c r="C2" s="425"/>
      <c r="D2" s="425"/>
      <c r="E2" s="425"/>
      <c r="F2" s="425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428"/>
    </row>
    <row r="3">
      <c r="A3" s="423"/>
      <c r="B3" s="424"/>
      <c r="C3" s="425"/>
      <c r="D3" s="425"/>
      <c r="E3" s="425"/>
      <c r="F3" s="425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428"/>
    </row>
    <row r="4">
      <c r="A4" s="429"/>
      <c r="B4" s="430" t="str">
        <f>IFERROR(__xludf.DUMMYFUNCTION("""COMPUTED_VALUE"""),"Total")</f>
        <v>Total</v>
      </c>
      <c r="C4" s="431">
        <f>IFERROR(__xludf.DUMMYFUNCTION("""COMPUTED_VALUE"""),2.528012516E9)</f>
        <v>2528012516</v>
      </c>
      <c r="D4" s="432">
        <f>IFERROR(__xludf.DUMMYFUNCTION("""COMPUTED_VALUE"""),3.60305E9)</f>
        <v>3603050000</v>
      </c>
      <c r="E4" s="432">
        <f>IFERROR(__xludf.DUMMYFUNCTION("""COMPUTED_VALUE"""),3.517406576E9)</f>
        <v>3517406576</v>
      </c>
      <c r="F4" s="433">
        <f>IFERROR(__xludf.DUMMYFUNCTION("""COMPUTED_VALUE"""),3.72708570646655E9)</f>
        <v>3727085706</v>
      </c>
      <c r="G4" s="431">
        <f>IFERROR(__xludf.DUMMYFUNCTION("""COMPUTED_VALUE"""),1.560196991E9)</f>
        <v>1560196991</v>
      </c>
      <c r="H4" s="432">
        <f>IFERROR(__xludf.DUMMYFUNCTION("""COMPUTED_VALUE"""),1.763713801E9)</f>
        <v>1763713801</v>
      </c>
      <c r="I4" s="432">
        <f>IFERROR(__xludf.DUMMYFUNCTION("""COMPUTED_VALUE"""),2.199732566E9)</f>
        <v>2199732566</v>
      </c>
      <c r="J4" s="434">
        <f>IFERROR(__xludf.DUMMYFUNCTION("""COMPUTED_VALUE"""),2.3469782299999995E9)</f>
        <v>2346978230</v>
      </c>
      <c r="K4" s="431">
        <f>IFERROR(__xludf.DUMMYFUNCTION("""COMPUTED_VALUE"""),3.5203538E7)</f>
        <v>35203538</v>
      </c>
      <c r="L4" s="432">
        <f>IFERROR(__xludf.DUMMYFUNCTION("""COMPUTED_VALUE"""),6.61244825E7)</f>
        <v>66124482.5</v>
      </c>
      <c r="M4" s="432">
        <f>IFERROR(__xludf.DUMMYFUNCTION("""COMPUTED_VALUE"""),7.9644005E7)</f>
        <v>79644005</v>
      </c>
      <c r="N4" s="434">
        <f>IFERROR(__xludf.DUMMYFUNCTION("""COMPUTED_VALUE"""),8.53406998481106E7)</f>
        <v>85340699.85</v>
      </c>
      <c r="O4" s="431">
        <f>IFERROR(__xludf.DUMMYFUNCTION("""COMPUTED_VALUE"""),1.0483794E7)</f>
        <v>10483794</v>
      </c>
      <c r="P4" s="432">
        <f>IFERROR(__xludf.DUMMYFUNCTION("""COMPUTED_VALUE"""),1.946762E7)</f>
        <v>19467620</v>
      </c>
      <c r="Q4" s="432">
        <f>IFERROR(__xludf.DUMMYFUNCTION("""COMPUTED_VALUE"""),2.5958098E7)</f>
        <v>25958098</v>
      </c>
      <c r="R4" s="433">
        <f>IFERROR(__xludf.DUMMYFUNCTION("""COMPUTED_VALUE"""),3.0093508E7)</f>
        <v>30093508</v>
      </c>
      <c r="S4" s="435">
        <f>IFERROR(__xludf.DUMMYFUNCTION("""COMPUTED_VALUE"""),0.029283053526924792)</f>
        <v>0.02928305353</v>
      </c>
      <c r="T4" s="436">
        <f>IFERROR(__xludf.DUMMYFUNCTION("""COMPUTED_VALUE"""),0.04852947368868494)</f>
        <v>0.04852947369</v>
      </c>
      <c r="U4" s="436">
        <f>IFERROR(__xludf.DUMMYFUNCTION("""COMPUTED_VALUE"""),0.048006791658327434)</f>
        <v>0.04800679166</v>
      </c>
      <c r="V4" s="437">
        <f>IFERROR(__xludf.DUMMYFUNCTION("""COMPUTED_VALUE"""),0.04918418346305267)</f>
        <v>0.04918418346</v>
      </c>
      <c r="W4" s="438">
        <f>IFERROR(__xludf.DUMMYFUNCTION("""COMPUTED_VALUE"""),0.6171634757048806)</f>
        <v>0.6171634757</v>
      </c>
      <c r="X4" s="439">
        <f>IFERROR(__xludf.DUMMYFUNCTION("""COMPUTED_VALUE"""),0.4895057801029683)</f>
        <v>0.4895057801</v>
      </c>
      <c r="Y4" s="439">
        <f>IFERROR(__xludf.DUMMYFUNCTION("""COMPUTED_VALUE"""),0.6253847880450428)</f>
        <v>0.625384788</v>
      </c>
      <c r="Z4" s="440">
        <f>IFERROR(__xludf.DUMMYFUNCTION("""COMPUTED_VALUE"""),0.6297086825580525)</f>
        <v>0.6297086826</v>
      </c>
      <c r="AA4" s="431">
        <f>IFERROR(__xludf.DUMMYFUNCTION("""COMPUTED_VALUE"""),154.0)</f>
        <v>154</v>
      </c>
      <c r="AB4" s="432">
        <f>IFERROR(__xludf.DUMMYFUNCTION("""COMPUTED_VALUE"""),241.0)</f>
        <v>241</v>
      </c>
      <c r="AC4" s="432">
        <f>IFERROR(__xludf.DUMMYFUNCTION("""COMPUTED_VALUE"""),267.0)</f>
        <v>267</v>
      </c>
      <c r="AD4" s="433">
        <f>IFERROR(__xludf.DUMMYFUNCTION("""COMPUTED_VALUE"""),241.0)</f>
        <v>241</v>
      </c>
      <c r="AE4" s="441">
        <f>IFERROR(__xludf.DUMMYFUNCTION("""COMPUTED_VALUE"""),7282.0)</f>
        <v>7282</v>
      </c>
      <c r="AF4" s="442">
        <f>IFERROR(__xludf.DUMMYFUNCTION("""COMPUTED_VALUE"""),16659.0)</f>
        <v>16659</v>
      </c>
      <c r="AG4" s="442">
        <f>IFERROR(__xludf.DUMMYFUNCTION("""COMPUTED_VALUE"""),20722.0)</f>
        <v>20722</v>
      </c>
      <c r="AH4" s="443">
        <f>IFERROR(__xludf.DUMMYFUNCTION("""COMPUTED_VALUE"""),19440.0)</f>
        <v>19440</v>
      </c>
      <c r="AI4" s="444"/>
    </row>
    <row r="5">
      <c r="A5" s="429"/>
      <c r="B5" s="430"/>
      <c r="C5" s="445" t="str">
        <f>IFERROR(__xludf.DUMMYFUNCTION("""COMPUTED_VALUE"""),"Target")</f>
        <v>Target</v>
      </c>
      <c r="D5" s="34"/>
      <c r="E5" s="34"/>
      <c r="F5" s="446"/>
      <c r="G5" s="447" t="str">
        <f>IFERROR(__xludf.DUMMYFUNCTION("""COMPUTED_VALUE"""),"Order Booking")</f>
        <v>Order Booking</v>
      </c>
      <c r="H5" s="34"/>
      <c r="I5" s="34"/>
      <c r="J5" s="446"/>
      <c r="K5" s="447" t="str">
        <f>IFERROR(__xludf.DUMMYFUNCTION("""COMPUTED_VALUE"""),"CTC")</f>
        <v>CTC</v>
      </c>
      <c r="L5" s="34"/>
      <c r="M5" s="34"/>
      <c r="N5" s="446"/>
      <c r="O5" s="447" t="str">
        <f>IFERROR(__xludf.DUMMYFUNCTION("""COMPUTED_VALUE"""),"Expense")</f>
        <v>Expense</v>
      </c>
      <c r="P5" s="34"/>
      <c r="Q5" s="34"/>
      <c r="R5" s="446"/>
      <c r="S5" s="447" t="str">
        <f>IFERROR(__xludf.DUMMYFUNCTION("""COMPUTED_VALUE"""),"Cost Ratio")</f>
        <v>Cost Ratio</v>
      </c>
      <c r="T5" s="34"/>
      <c r="U5" s="34"/>
      <c r="V5" s="446"/>
      <c r="W5" s="447" t="str">
        <f>IFERROR(__xludf.DUMMYFUNCTION("""COMPUTED_VALUE"""),"% Achievement")</f>
        <v>% Achievement</v>
      </c>
      <c r="X5" s="34"/>
      <c r="Y5" s="34"/>
      <c r="Z5" s="446"/>
      <c r="AA5" s="447" t="str">
        <f>IFERROR(__xludf.DUMMYFUNCTION("""COMPUTED_VALUE"""),"Number of Team Members")</f>
        <v>Number of Team Members</v>
      </c>
      <c r="AB5" s="34"/>
      <c r="AC5" s="34"/>
      <c r="AD5" s="446"/>
      <c r="AE5" s="447" t="str">
        <f>IFERROR(__xludf.DUMMYFUNCTION("""COMPUTED_VALUE"""),"Number of Total Retailers")</f>
        <v>Number of Total Retailers</v>
      </c>
      <c r="AF5" s="34"/>
      <c r="AG5" s="34"/>
      <c r="AH5" s="446"/>
      <c r="AI5" s="444"/>
    </row>
    <row r="6">
      <c r="A6" s="448" t="str">
        <f>IFERROR(__xludf.DUMMYFUNCTION("""COMPUTED_VALUE"""),"State Head")</f>
        <v>State Head</v>
      </c>
      <c r="B6" s="449" t="str">
        <f>IFERROR(__xludf.DUMMYFUNCTION("""COMPUTED_VALUE"""),"State")</f>
        <v>State</v>
      </c>
      <c r="C6" s="450" t="str">
        <f>IFERROR(__xludf.DUMMYFUNCTION("""COMPUTED_VALUE"""),"22-23")</f>
        <v>22-23</v>
      </c>
      <c r="D6" s="451" t="str">
        <f>IFERROR(__xludf.DUMMYFUNCTION("""COMPUTED_VALUE"""),"23-24")</f>
        <v>23-24</v>
      </c>
      <c r="E6" s="451" t="str">
        <f>IFERROR(__xludf.DUMMYFUNCTION("""COMPUTED_VALUE"""),"24-25")</f>
        <v>24-25</v>
      </c>
      <c r="F6" s="452" t="str">
        <f>IFERROR(__xludf.DUMMYFUNCTION("""COMPUTED_VALUE"""),"25-26")</f>
        <v>25-26</v>
      </c>
      <c r="G6" s="453" t="str">
        <f>IFERROR(__xludf.DUMMYFUNCTION("""COMPUTED_VALUE"""),"22-23")</f>
        <v>22-23</v>
      </c>
      <c r="H6" s="454" t="str">
        <f>IFERROR(__xludf.DUMMYFUNCTION("""COMPUTED_VALUE"""),"23-24")</f>
        <v>23-24</v>
      </c>
      <c r="I6" s="454" t="str">
        <f>IFERROR(__xludf.DUMMYFUNCTION("""COMPUTED_VALUE"""),"24-25")</f>
        <v>24-25</v>
      </c>
      <c r="J6" s="455" t="str">
        <f>IFERROR(__xludf.DUMMYFUNCTION("""COMPUTED_VALUE"""),"25-26")</f>
        <v>25-26</v>
      </c>
      <c r="K6" s="453" t="str">
        <f>IFERROR(__xludf.DUMMYFUNCTION("""COMPUTED_VALUE"""),"22-23")</f>
        <v>22-23</v>
      </c>
      <c r="L6" s="454" t="str">
        <f>IFERROR(__xludf.DUMMYFUNCTION("""COMPUTED_VALUE"""),"23-24")</f>
        <v>23-24</v>
      </c>
      <c r="M6" s="454" t="str">
        <f>IFERROR(__xludf.DUMMYFUNCTION("""COMPUTED_VALUE"""),"24-25")</f>
        <v>24-25</v>
      </c>
      <c r="N6" s="455" t="str">
        <f>IFERROR(__xludf.DUMMYFUNCTION("""COMPUTED_VALUE"""),"25-26")</f>
        <v>25-26</v>
      </c>
      <c r="O6" s="453" t="str">
        <f>IFERROR(__xludf.DUMMYFUNCTION("""COMPUTED_VALUE"""),"22-23")</f>
        <v>22-23</v>
      </c>
      <c r="P6" s="454" t="str">
        <f>IFERROR(__xludf.DUMMYFUNCTION("""COMPUTED_VALUE"""),"23-24")</f>
        <v>23-24</v>
      </c>
      <c r="Q6" s="454" t="str">
        <f>IFERROR(__xludf.DUMMYFUNCTION("""COMPUTED_VALUE"""),"24-25")</f>
        <v>24-25</v>
      </c>
      <c r="R6" s="456" t="str">
        <f>IFERROR(__xludf.DUMMYFUNCTION("""COMPUTED_VALUE"""),"25-26")</f>
        <v>25-26</v>
      </c>
      <c r="S6" s="453" t="str">
        <f>IFERROR(__xludf.DUMMYFUNCTION("""COMPUTED_VALUE"""),"22-23")</f>
        <v>22-23</v>
      </c>
      <c r="T6" s="454" t="str">
        <f>IFERROR(__xludf.DUMMYFUNCTION("""COMPUTED_VALUE"""),"23-24")</f>
        <v>23-24</v>
      </c>
      <c r="U6" s="454" t="str">
        <f>IFERROR(__xludf.DUMMYFUNCTION("""COMPUTED_VALUE"""),"24-25")</f>
        <v>24-25</v>
      </c>
      <c r="V6" s="456" t="str">
        <f>IFERROR(__xludf.DUMMYFUNCTION("""COMPUTED_VALUE"""),"25-26")</f>
        <v>25-26</v>
      </c>
      <c r="W6" s="453" t="str">
        <f>IFERROR(__xludf.DUMMYFUNCTION("""COMPUTED_VALUE"""),"22-23")</f>
        <v>22-23</v>
      </c>
      <c r="X6" s="454" t="str">
        <f>IFERROR(__xludf.DUMMYFUNCTION("""COMPUTED_VALUE"""),"23-24")</f>
        <v>23-24</v>
      </c>
      <c r="Y6" s="454" t="str">
        <f>IFERROR(__xludf.DUMMYFUNCTION("""COMPUTED_VALUE"""),"24-25")</f>
        <v>24-25</v>
      </c>
      <c r="Z6" s="456" t="str">
        <f>IFERROR(__xludf.DUMMYFUNCTION("""COMPUTED_VALUE"""),"25-26")</f>
        <v>25-26</v>
      </c>
      <c r="AA6" s="453" t="str">
        <f>IFERROR(__xludf.DUMMYFUNCTION("""COMPUTED_VALUE"""),"22-23")</f>
        <v>22-23</v>
      </c>
      <c r="AB6" s="454" t="str">
        <f>IFERROR(__xludf.DUMMYFUNCTION("""COMPUTED_VALUE"""),"23-24")</f>
        <v>23-24</v>
      </c>
      <c r="AC6" s="454" t="str">
        <f>IFERROR(__xludf.DUMMYFUNCTION("""COMPUTED_VALUE"""),"24-25")</f>
        <v>24-25</v>
      </c>
      <c r="AD6" s="456" t="str">
        <f>IFERROR(__xludf.DUMMYFUNCTION("""COMPUTED_VALUE"""),"25-26")</f>
        <v>25-26</v>
      </c>
      <c r="AE6" s="453" t="str">
        <f>IFERROR(__xludf.DUMMYFUNCTION("""COMPUTED_VALUE"""),"22-23")</f>
        <v>22-23</v>
      </c>
      <c r="AF6" s="454" t="str">
        <f>IFERROR(__xludf.DUMMYFUNCTION("""COMPUTED_VALUE"""),"23-24")</f>
        <v>23-24</v>
      </c>
      <c r="AG6" s="454" t="str">
        <f>IFERROR(__xludf.DUMMYFUNCTION("""COMPUTED_VALUE"""),"24-25")</f>
        <v>24-25</v>
      </c>
      <c r="AH6" s="456" t="str">
        <f>IFERROR(__xludf.DUMMYFUNCTION("""COMPUTED_VALUE"""),"25-26")</f>
        <v>25-26</v>
      </c>
      <c r="AI6" s="444"/>
    </row>
    <row r="7">
      <c r="A7" s="457" t="str">
        <f>IFERROR(__xludf.DUMMYFUNCTION("""COMPUTED_VALUE"""),"Sandeep Dadheech")</f>
        <v>Sandeep Dadheech</v>
      </c>
      <c r="B7" s="430" t="str">
        <f>IFERROR(__xludf.DUMMYFUNCTION("""COMPUTED_VALUE"""),"Andhra Pradesh")</f>
        <v>Andhra Pradesh</v>
      </c>
      <c r="C7" s="458">
        <f>IFERROR(__xludf.DUMMYFUNCTION("""COMPUTED_VALUE"""),8.82E7)</f>
        <v>88200000</v>
      </c>
      <c r="D7" s="459">
        <f>IFERROR(__xludf.DUMMYFUNCTION("""COMPUTED_VALUE"""),1.1724E8)</f>
        <v>117240000</v>
      </c>
      <c r="E7" s="459">
        <f>IFERROR(__xludf.DUMMYFUNCTION("""COMPUTED_VALUE"""),9.58E7)</f>
        <v>95800000</v>
      </c>
      <c r="F7" s="460">
        <f>IFERROR(__xludf.DUMMYFUNCTION("""COMPUTED_VALUE"""),8.75999999996E7)</f>
        <v>87600000</v>
      </c>
      <c r="G7" s="461">
        <f>IFERROR(__xludf.DUMMYFUNCTION("""COMPUTED_VALUE"""),4.3964076E7)</f>
        <v>43964076</v>
      </c>
      <c r="H7" s="259">
        <f>IFERROR(__xludf.DUMMYFUNCTION("""COMPUTED_VALUE"""),4.269662E7)</f>
        <v>42696620</v>
      </c>
      <c r="I7" s="259">
        <f>IFERROR(__xludf.DUMMYFUNCTION("""COMPUTED_VALUE"""),4.1657087E7)</f>
        <v>41657087</v>
      </c>
      <c r="J7" s="462">
        <f>IFERROR(__xludf.DUMMYFUNCTION("""COMPUTED_VALUE"""),3.049187752E7)</f>
        <v>30491877.52</v>
      </c>
      <c r="K7" s="461">
        <f>IFERROR(__xludf.DUMMYFUNCTION("""COMPUTED_VALUE"""),1361534.0)</f>
        <v>1361534</v>
      </c>
      <c r="L7" s="259">
        <f>IFERROR(__xludf.DUMMYFUNCTION("""COMPUTED_VALUE"""),1815655.0)</f>
        <v>1815655</v>
      </c>
      <c r="M7" s="259">
        <f>IFERROR(__xludf.DUMMYFUNCTION("""COMPUTED_VALUE"""),2312911.0)</f>
        <v>2312911</v>
      </c>
      <c r="N7" s="462">
        <f>IFERROR(__xludf.DUMMYFUNCTION("""COMPUTED_VALUE"""),1723562.0)</f>
        <v>1723562</v>
      </c>
      <c r="O7" s="461">
        <f>IFERROR(__xludf.DUMMYFUNCTION("""COMPUTED_VALUE"""),489521.0)</f>
        <v>489521</v>
      </c>
      <c r="P7" s="259">
        <f>IFERROR(__xludf.DUMMYFUNCTION("""COMPUTED_VALUE"""),768285.0)</f>
        <v>768285</v>
      </c>
      <c r="Q7" s="259">
        <f>IFERROR(__xludf.DUMMYFUNCTION("""COMPUTED_VALUE"""),914359.0)</f>
        <v>914359</v>
      </c>
      <c r="R7" s="463">
        <f>IFERROR(__xludf.DUMMYFUNCTION("""COMPUTED_VALUE"""),700622.0)</f>
        <v>700622</v>
      </c>
      <c r="S7" s="464">
        <f>IFERROR(__xludf.DUMMYFUNCTION("""COMPUTED_VALUE"""),0.04210380766332949)</f>
        <v>0.04210380766</v>
      </c>
      <c r="T7" s="465">
        <f>IFERROR(__xludf.DUMMYFUNCTION("""COMPUTED_VALUE"""),0.06051860779612063)</f>
        <v>0.0605186078</v>
      </c>
      <c r="U7" s="465">
        <f>IFERROR(__xludf.DUMMYFUNCTION("""COMPUTED_VALUE"""),0.07747229180955452)</f>
        <v>0.07747229181</v>
      </c>
      <c r="V7" s="466">
        <f>IFERROR(__xludf.DUMMYFUNCTION("""COMPUTED_VALUE"""),0.07950261502952541)</f>
        <v>0.07950261503</v>
      </c>
      <c r="W7" s="464">
        <f>IFERROR(__xludf.DUMMYFUNCTION("""COMPUTED_VALUE"""),0.49845891156462585)</f>
        <v>0.4984589116</v>
      </c>
      <c r="X7" s="465">
        <f>IFERROR(__xludf.DUMMYFUNCTION("""COMPUTED_VALUE"""),0.36418133742749914)</f>
        <v>0.3641813374</v>
      </c>
      <c r="Y7" s="465">
        <f>IFERROR(__xludf.DUMMYFUNCTION("""COMPUTED_VALUE"""),0.4348338935281837)</f>
        <v>0.4348338935</v>
      </c>
      <c r="Z7" s="466">
        <f>IFERROR(__xludf.DUMMYFUNCTION("""COMPUTED_VALUE"""),0.3480807936088954)</f>
        <v>0.3480807936</v>
      </c>
      <c r="AA7" s="461">
        <f>IFERROR(__xludf.DUMMYFUNCTION("""COMPUTED_VALUE"""),9.0)</f>
        <v>9</v>
      </c>
      <c r="AB7" s="259">
        <f>IFERROR(__xludf.DUMMYFUNCTION("""COMPUTED_VALUE"""),7.0)</f>
        <v>7</v>
      </c>
      <c r="AC7" s="259">
        <f>IFERROR(__xludf.DUMMYFUNCTION("""COMPUTED_VALUE"""),7.0)</f>
        <v>7</v>
      </c>
      <c r="AD7" s="463">
        <f>IFERROR(__xludf.DUMMYFUNCTION("""COMPUTED_VALUE"""),7.0)</f>
        <v>7</v>
      </c>
      <c r="AE7" s="461">
        <f>IFERROR(__xludf.DUMMYFUNCTION("""COMPUTED_VALUE"""),396.0)</f>
        <v>396</v>
      </c>
      <c r="AF7" s="259">
        <f>IFERROR(__xludf.DUMMYFUNCTION("""COMPUTED_VALUE"""),666.0)</f>
        <v>666</v>
      </c>
      <c r="AG7" s="259">
        <f>IFERROR(__xludf.DUMMYFUNCTION("""COMPUTED_VALUE"""),691.0)</f>
        <v>691</v>
      </c>
      <c r="AH7" s="463">
        <f>IFERROR(__xludf.DUMMYFUNCTION("""COMPUTED_VALUE"""),531.0)</f>
        <v>531</v>
      </c>
      <c r="AI7" s="428"/>
    </row>
    <row r="8">
      <c r="A8" s="457" t="str">
        <f>IFERROR(__xludf.DUMMYFUNCTION("""COMPUTED_VALUE"""),"Sandeep Dadheech")</f>
        <v>Sandeep Dadheech</v>
      </c>
      <c r="B8" s="430" t="str">
        <f>IFERROR(__xludf.DUMMYFUNCTION("""COMPUTED_VALUE"""),"Bihar")</f>
        <v>Bihar</v>
      </c>
      <c r="C8" s="458">
        <f>IFERROR(__xludf.DUMMYFUNCTION("""COMPUTED_VALUE"""),1.135E8)</f>
        <v>113500000</v>
      </c>
      <c r="D8" s="459">
        <f>IFERROR(__xludf.DUMMYFUNCTION("""COMPUTED_VALUE"""),1.995E8)</f>
        <v>199500000</v>
      </c>
      <c r="E8" s="459">
        <f>IFERROR(__xludf.DUMMYFUNCTION("""COMPUTED_VALUE"""),1.995E8)</f>
        <v>199500000</v>
      </c>
      <c r="F8" s="460">
        <f>IFERROR(__xludf.DUMMYFUNCTION("""COMPUTED_VALUE"""),2.53E8)</f>
        <v>253000000</v>
      </c>
      <c r="G8" s="461">
        <f>IFERROR(__xludf.DUMMYFUNCTION("""COMPUTED_VALUE"""),9.0885673E7)</f>
        <v>90885673</v>
      </c>
      <c r="H8" s="259">
        <f>IFERROR(__xludf.DUMMYFUNCTION("""COMPUTED_VALUE"""),1.04162132E8)</f>
        <v>104162132</v>
      </c>
      <c r="I8" s="259">
        <f>IFERROR(__xludf.DUMMYFUNCTION("""COMPUTED_VALUE"""),1.35731631E8)</f>
        <v>135731631</v>
      </c>
      <c r="J8" s="462">
        <f>IFERROR(__xludf.DUMMYFUNCTION("""COMPUTED_VALUE"""),1.9122328024999997E8)</f>
        <v>191223280.3</v>
      </c>
      <c r="K8" s="461">
        <f>IFERROR(__xludf.DUMMYFUNCTION("""COMPUTED_VALUE"""),906150.0)</f>
        <v>906150</v>
      </c>
      <c r="L8" s="259">
        <f>IFERROR(__xludf.DUMMYFUNCTION("""COMPUTED_VALUE"""),3184040.0)</f>
        <v>3184040</v>
      </c>
      <c r="M8" s="259">
        <f>IFERROR(__xludf.DUMMYFUNCTION("""COMPUTED_VALUE"""),4101223.0)</f>
        <v>4101223</v>
      </c>
      <c r="N8" s="462">
        <f>IFERROR(__xludf.DUMMYFUNCTION("""COMPUTED_VALUE"""),4806335.76)</f>
        <v>4806335.76</v>
      </c>
      <c r="O8" s="461">
        <f>IFERROR(__xludf.DUMMYFUNCTION("""COMPUTED_VALUE"""),308618.0)</f>
        <v>308618</v>
      </c>
      <c r="P8" s="259">
        <f>IFERROR(__xludf.DUMMYFUNCTION("""COMPUTED_VALUE"""),804386.0)</f>
        <v>804386</v>
      </c>
      <c r="Q8" s="259">
        <f>IFERROR(__xludf.DUMMYFUNCTION("""COMPUTED_VALUE"""),1468668.0)</f>
        <v>1468668</v>
      </c>
      <c r="R8" s="463">
        <f>IFERROR(__xludf.DUMMYFUNCTION("""COMPUTED_VALUE"""),2109275.0)</f>
        <v>2109275</v>
      </c>
      <c r="S8" s="464">
        <f>IFERROR(__xludf.DUMMYFUNCTION("""COMPUTED_VALUE"""),0.013365891013427385)</f>
        <v>0.01336589101</v>
      </c>
      <c r="T8" s="465">
        <f>IFERROR(__xludf.DUMMYFUNCTION("""COMPUTED_VALUE"""),0.03829055649513779)</f>
        <v>0.0382905565</v>
      </c>
      <c r="U8" s="465">
        <f>IFERROR(__xludf.DUMMYFUNCTION("""COMPUTED_VALUE"""),0.04103605739475716)</f>
        <v>0.04103605739</v>
      </c>
      <c r="V8" s="466">
        <f>IFERROR(__xludf.DUMMYFUNCTION("""COMPUTED_VALUE"""),0.03616510892898984)</f>
        <v>0.03616510893</v>
      </c>
      <c r="W8" s="464">
        <f>IFERROR(__xludf.DUMMYFUNCTION("""COMPUTED_VALUE"""),0.8007548281938326)</f>
        <v>0.8007548282</v>
      </c>
      <c r="X8" s="465">
        <f>IFERROR(__xludf.DUMMYFUNCTION("""COMPUTED_VALUE"""),0.5221159498746867)</f>
        <v>0.5221159499</v>
      </c>
      <c r="Y8" s="465">
        <f>IFERROR(__xludf.DUMMYFUNCTION("""COMPUTED_VALUE"""),0.6803590526315789)</f>
        <v>0.6803590526</v>
      </c>
      <c r="Z8" s="466">
        <f>IFERROR(__xludf.DUMMYFUNCTION("""COMPUTED_VALUE"""),0.7558232420948615)</f>
        <v>0.7558232421</v>
      </c>
      <c r="AA8" s="461">
        <f>IFERROR(__xludf.DUMMYFUNCTION("""COMPUTED_VALUE"""),6.0)</f>
        <v>6</v>
      </c>
      <c r="AB8" s="259">
        <f>IFERROR(__xludf.DUMMYFUNCTION("""COMPUTED_VALUE"""),12.0)</f>
        <v>12</v>
      </c>
      <c r="AC8" s="259">
        <f>IFERROR(__xludf.DUMMYFUNCTION("""COMPUTED_VALUE"""),15.0)</f>
        <v>15</v>
      </c>
      <c r="AD8" s="463">
        <f>IFERROR(__xludf.DUMMYFUNCTION("""COMPUTED_VALUE"""),12.0)</f>
        <v>12</v>
      </c>
      <c r="AE8" s="461">
        <f>IFERROR(__xludf.DUMMYFUNCTION("""COMPUTED_VALUE"""),682.0)</f>
        <v>682</v>
      </c>
      <c r="AF8" s="259">
        <f>IFERROR(__xludf.DUMMYFUNCTION("""COMPUTED_VALUE"""),1206.0)</f>
        <v>1206</v>
      </c>
      <c r="AG8" s="259">
        <f>IFERROR(__xludf.DUMMYFUNCTION("""COMPUTED_VALUE"""),1235.0)</f>
        <v>1235</v>
      </c>
      <c r="AH8" s="463">
        <f>IFERROR(__xludf.DUMMYFUNCTION("""COMPUTED_VALUE"""),1143.0)</f>
        <v>1143</v>
      </c>
      <c r="AI8" s="428"/>
    </row>
    <row r="9">
      <c r="A9" s="457" t="str">
        <f>IFERROR(__xludf.DUMMYFUNCTION("""COMPUTED_VALUE"""),"Syed Aqil Rizvi")</f>
        <v>Syed Aqil Rizvi</v>
      </c>
      <c r="B9" s="430" t="str">
        <f>IFERROR(__xludf.DUMMYFUNCTION("""COMPUTED_VALUE"""),"Chattisgarh")</f>
        <v>Chattisgarh</v>
      </c>
      <c r="C9" s="458">
        <f>IFERROR(__xludf.DUMMYFUNCTION("""COMPUTED_VALUE"""),7.08E7)</f>
        <v>70800000</v>
      </c>
      <c r="D9" s="459">
        <f>IFERROR(__xludf.DUMMYFUNCTION("""COMPUTED_VALUE"""),9.48E7)</f>
        <v>94800000</v>
      </c>
      <c r="E9" s="459">
        <f>IFERROR(__xludf.DUMMYFUNCTION("""COMPUTED_VALUE"""),8.14E7)</f>
        <v>81400000</v>
      </c>
      <c r="F9" s="460">
        <f>IFERROR(__xludf.DUMMYFUNCTION("""COMPUTED_VALUE"""),5.9516666E7)</f>
        <v>59516666</v>
      </c>
      <c r="G9" s="461">
        <f>IFERROR(__xludf.DUMMYFUNCTION("""COMPUTED_VALUE"""),3.5322505E7)</f>
        <v>35322505</v>
      </c>
      <c r="H9" s="259">
        <f>IFERROR(__xludf.DUMMYFUNCTION("""COMPUTED_VALUE"""),2.9231296E7)</f>
        <v>29231296</v>
      </c>
      <c r="I9" s="259">
        <f>IFERROR(__xludf.DUMMYFUNCTION("""COMPUTED_VALUE"""),2.626671E7)</f>
        <v>26266710</v>
      </c>
      <c r="J9" s="462">
        <f>IFERROR(__xludf.DUMMYFUNCTION("""COMPUTED_VALUE"""),2.6072837169999998E7)</f>
        <v>26072837.17</v>
      </c>
      <c r="K9" s="461">
        <f>IFERROR(__xludf.DUMMYFUNCTION("""COMPUTED_VALUE"""),1349062.0)</f>
        <v>1349062</v>
      </c>
      <c r="L9" s="259">
        <f>IFERROR(__xludf.DUMMYFUNCTION("""COMPUTED_VALUE"""),1888584.0)</f>
        <v>1888584</v>
      </c>
      <c r="M9" s="259">
        <f>IFERROR(__xludf.DUMMYFUNCTION("""COMPUTED_VALUE"""),1667230.0)</f>
        <v>1667230</v>
      </c>
      <c r="N9" s="462">
        <f>IFERROR(__xludf.DUMMYFUNCTION("""COMPUTED_VALUE"""),1063165.0)</f>
        <v>1063165</v>
      </c>
      <c r="O9" s="461">
        <f>IFERROR(__xludf.DUMMYFUNCTION("""COMPUTED_VALUE"""),520073.0)</f>
        <v>520073</v>
      </c>
      <c r="P9" s="259">
        <f>IFERROR(__xludf.DUMMYFUNCTION("""COMPUTED_VALUE"""),578728.0)</f>
        <v>578728</v>
      </c>
      <c r="Q9" s="259">
        <f>IFERROR(__xludf.DUMMYFUNCTION("""COMPUTED_VALUE"""),516839.0)</f>
        <v>516839</v>
      </c>
      <c r="R9" s="463">
        <f>IFERROR(__xludf.DUMMYFUNCTION("""COMPUTED_VALUE"""),461514.0)</f>
        <v>461514</v>
      </c>
      <c r="S9" s="464">
        <f>IFERROR(__xludf.DUMMYFUNCTION("""COMPUTED_VALUE"""),0.05291626400788959)</f>
        <v>0.05291626401</v>
      </c>
      <c r="T9" s="465">
        <f>IFERROR(__xludf.DUMMYFUNCTION("""COMPUTED_VALUE"""),0.08440652101090557)</f>
        <v>0.08440652101</v>
      </c>
      <c r="U9" s="465">
        <f>IFERROR(__xludf.DUMMYFUNCTION("""COMPUTED_VALUE"""),0.08314969784948324)</f>
        <v>0.08314969785</v>
      </c>
      <c r="V9" s="466">
        <f>IFERROR(__xludf.DUMMYFUNCTION("""COMPUTED_VALUE"""),0.05847767889849481)</f>
        <v>0.0584776789</v>
      </c>
      <c r="W9" s="464">
        <f>IFERROR(__xludf.DUMMYFUNCTION("""COMPUTED_VALUE"""),0.49890543785310737)</f>
        <v>0.4989054379</v>
      </c>
      <c r="X9" s="465">
        <f>IFERROR(__xludf.DUMMYFUNCTION("""COMPUTED_VALUE"""),0.3083470042194093)</f>
        <v>0.3083470042</v>
      </c>
      <c r="Y9" s="465">
        <f>IFERROR(__xludf.DUMMYFUNCTION("""COMPUTED_VALUE"""),0.322686855036855)</f>
        <v>0.322686855</v>
      </c>
      <c r="Z9" s="466">
        <f>IFERROR(__xludf.DUMMYFUNCTION("""COMPUTED_VALUE"""),0.4380762385110752)</f>
        <v>0.4380762385</v>
      </c>
      <c r="AA9" s="461">
        <f>IFERROR(__xludf.DUMMYFUNCTION("""COMPUTED_VALUE"""),4.0)</f>
        <v>4</v>
      </c>
      <c r="AB9" s="259">
        <f>IFERROR(__xludf.DUMMYFUNCTION("""COMPUTED_VALUE"""),4.0)</f>
        <v>4</v>
      </c>
      <c r="AC9" s="259">
        <f>IFERROR(__xludf.DUMMYFUNCTION("""COMPUTED_VALUE"""),5.0)</f>
        <v>5</v>
      </c>
      <c r="AD9" s="463">
        <f>IFERROR(__xludf.DUMMYFUNCTION("""COMPUTED_VALUE"""),4.0)</f>
        <v>4</v>
      </c>
      <c r="AE9" s="461">
        <f>IFERROR(__xludf.DUMMYFUNCTION("""COMPUTED_VALUE"""),227.0)</f>
        <v>227</v>
      </c>
      <c r="AF9" s="259">
        <f>IFERROR(__xludf.DUMMYFUNCTION("""COMPUTED_VALUE"""),366.0)</f>
        <v>366</v>
      </c>
      <c r="AG9" s="259">
        <f>IFERROR(__xludf.DUMMYFUNCTION("""COMPUTED_VALUE"""),393.0)</f>
        <v>393</v>
      </c>
      <c r="AH9" s="463">
        <f>IFERROR(__xludf.DUMMYFUNCTION("""COMPUTED_VALUE"""),336.0)</f>
        <v>336</v>
      </c>
      <c r="AI9" s="428"/>
    </row>
    <row r="10">
      <c r="A10" s="457" t="str">
        <f>IFERROR(__xludf.DUMMYFUNCTION("""COMPUTED_VALUE"""),"Anant Singh")</f>
        <v>Anant Singh</v>
      </c>
      <c r="B10" s="430" t="str">
        <f>IFERROR(__xludf.DUMMYFUNCTION("""COMPUTED_VALUE"""),"Delhi")</f>
        <v>Delhi</v>
      </c>
      <c r="C10" s="458">
        <f>IFERROR(__xludf.DUMMYFUNCTION("""COMPUTED_VALUE"""),4500000.0)</f>
        <v>4500000</v>
      </c>
      <c r="D10" s="459">
        <f>IFERROR(__xludf.DUMMYFUNCTION("""COMPUTED_VALUE"""),3.95E7)</f>
        <v>39500000</v>
      </c>
      <c r="E10" s="459">
        <f>IFERROR(__xludf.DUMMYFUNCTION("""COMPUTED_VALUE"""),3.32E7)</f>
        <v>33200000</v>
      </c>
      <c r="F10" s="460">
        <f>IFERROR(__xludf.DUMMYFUNCTION("""COMPUTED_VALUE"""),3.915E7)</f>
        <v>39150000</v>
      </c>
      <c r="G10" s="461">
        <f>IFERROR(__xludf.DUMMYFUNCTION("""COMPUTED_VALUE"""),330965.0)</f>
        <v>330965</v>
      </c>
      <c r="H10" s="259">
        <f>IFERROR(__xludf.DUMMYFUNCTION("""COMPUTED_VALUE"""),1.625535E7)</f>
        <v>16255350</v>
      </c>
      <c r="I10" s="259">
        <f>IFERROR(__xludf.DUMMYFUNCTION("""COMPUTED_VALUE"""),2.1024715E7)</f>
        <v>21024715</v>
      </c>
      <c r="J10" s="462">
        <f>IFERROR(__xludf.DUMMYFUNCTION("""COMPUTED_VALUE"""),2.131540594E7)</f>
        <v>21315405.94</v>
      </c>
      <c r="K10" s="461">
        <f>IFERROR(__xludf.DUMMYFUNCTION("""COMPUTED_VALUE"""),183792.0)</f>
        <v>183792</v>
      </c>
      <c r="L10" s="259">
        <f>IFERROR(__xludf.DUMMYFUNCTION("""COMPUTED_VALUE"""),1128852.0)</f>
        <v>1128852</v>
      </c>
      <c r="M10" s="259">
        <f>IFERROR(__xludf.DUMMYFUNCTION("""COMPUTED_VALUE"""),990490.0)</f>
        <v>990490</v>
      </c>
      <c r="N10" s="462">
        <f>IFERROR(__xludf.DUMMYFUNCTION("""COMPUTED_VALUE"""),987236.9333333333)</f>
        <v>987236.9333</v>
      </c>
      <c r="O10" s="461">
        <f>IFERROR(__xludf.DUMMYFUNCTION("""COMPUTED_VALUE"""),17543.0)</f>
        <v>17543</v>
      </c>
      <c r="P10" s="259">
        <f>IFERROR(__xludf.DUMMYFUNCTION("""COMPUTED_VALUE"""),207289.0)</f>
        <v>207289</v>
      </c>
      <c r="Q10" s="259">
        <f>IFERROR(__xludf.DUMMYFUNCTION("""COMPUTED_VALUE"""),167523.0)</f>
        <v>167523</v>
      </c>
      <c r="R10" s="463">
        <f>IFERROR(__xludf.DUMMYFUNCTION("""COMPUTED_VALUE"""),226958.0)</f>
        <v>226958</v>
      </c>
      <c r="S10" s="464">
        <f>IFERROR(__xludf.DUMMYFUNCTION("""COMPUTED_VALUE"""),0.6083271645037995)</f>
        <v>0.6083271645</v>
      </c>
      <c r="T10" s="465">
        <f>IFERROR(__xludf.DUMMYFUNCTION("""COMPUTED_VALUE"""),0.08219699975700308)</f>
        <v>0.08219699976</v>
      </c>
      <c r="U10" s="465">
        <f>IFERROR(__xludf.DUMMYFUNCTION("""COMPUTED_VALUE"""),0.0550786538604685)</f>
        <v>0.05507865386</v>
      </c>
      <c r="V10" s="466">
        <f>IFERROR(__xludf.DUMMYFUNCTION("""COMPUTED_VALUE"""),0.05696325637668495)</f>
        <v>0.05696325638</v>
      </c>
      <c r="W10" s="464">
        <f>IFERROR(__xludf.DUMMYFUNCTION("""COMPUTED_VALUE"""),0.07354777777777778)</f>
        <v>0.07354777778</v>
      </c>
      <c r="X10" s="465">
        <f>IFERROR(__xludf.DUMMYFUNCTION("""COMPUTED_VALUE"""),0.4115278481012658)</f>
        <v>0.4115278481</v>
      </c>
      <c r="Y10" s="465">
        <f>IFERROR(__xludf.DUMMYFUNCTION("""COMPUTED_VALUE"""),0.6332745481927711)</f>
        <v>0.6332745482</v>
      </c>
      <c r="Z10" s="466">
        <f>IFERROR(__xludf.DUMMYFUNCTION("""COMPUTED_VALUE"""),0.5444548132822478)</f>
        <v>0.5444548133</v>
      </c>
      <c r="AA10" s="461">
        <f>IFERROR(__xludf.DUMMYFUNCTION("""COMPUTED_VALUE"""),3.0)</f>
        <v>3</v>
      </c>
      <c r="AB10" s="259">
        <f>IFERROR(__xludf.DUMMYFUNCTION("""COMPUTED_VALUE"""),4.0)</f>
        <v>4</v>
      </c>
      <c r="AC10" s="259">
        <f>IFERROR(__xludf.DUMMYFUNCTION("""COMPUTED_VALUE"""),3.0)</f>
        <v>3</v>
      </c>
      <c r="AD10" s="463">
        <f>IFERROR(__xludf.DUMMYFUNCTION("""COMPUTED_VALUE"""),3.0)</f>
        <v>3</v>
      </c>
      <c r="AE10" s="461">
        <f>IFERROR(__xludf.DUMMYFUNCTION("""COMPUTED_VALUE"""),7.0)</f>
        <v>7</v>
      </c>
      <c r="AF10" s="259">
        <f>IFERROR(__xludf.DUMMYFUNCTION("""COMPUTED_VALUE"""),301.0)</f>
        <v>301</v>
      </c>
      <c r="AG10" s="259">
        <f>IFERROR(__xludf.DUMMYFUNCTION("""COMPUTED_VALUE"""),324.0)</f>
        <v>324</v>
      </c>
      <c r="AH10" s="463">
        <f>IFERROR(__xludf.DUMMYFUNCTION("""COMPUTED_VALUE"""),237.0)</f>
        <v>237</v>
      </c>
      <c r="AI10" s="428"/>
    </row>
    <row r="11">
      <c r="A11" s="457" t="str">
        <f>IFERROR(__xludf.DUMMYFUNCTION("""COMPUTED_VALUE"""),"Anant Singh")</f>
        <v>Anant Singh</v>
      </c>
      <c r="B11" s="430" t="str">
        <f>IFERROR(__xludf.DUMMYFUNCTION("""COMPUTED_VALUE"""),"Delhi NCR")</f>
        <v>Delhi NCR</v>
      </c>
      <c r="C11" s="458">
        <f>IFERROR(__xludf.DUMMYFUNCTION("""COMPUTED_VALUE"""),0.0)</f>
        <v>0</v>
      </c>
      <c r="D11" s="459">
        <f>IFERROR(__xludf.DUMMYFUNCTION("""COMPUTED_VALUE"""),9100000.0)</f>
        <v>9100000</v>
      </c>
      <c r="E11" s="459">
        <f>IFERROR(__xludf.DUMMYFUNCTION("""COMPUTED_VALUE"""),1300000.0)</f>
        <v>1300000</v>
      </c>
      <c r="F11" s="460">
        <f>IFERROR(__xludf.DUMMYFUNCTION("""COMPUTED_VALUE"""),1.5E7)</f>
        <v>15000000</v>
      </c>
      <c r="G11" s="461">
        <f>IFERROR(__xludf.DUMMYFUNCTION("""COMPUTED_VALUE"""),0.0)</f>
        <v>0</v>
      </c>
      <c r="H11" s="259">
        <f>IFERROR(__xludf.DUMMYFUNCTION("""COMPUTED_VALUE"""),944188.0)</f>
        <v>944188</v>
      </c>
      <c r="I11" s="259">
        <f>IFERROR(__xludf.DUMMYFUNCTION("""COMPUTED_VALUE"""),134941.0)</f>
        <v>134941</v>
      </c>
      <c r="J11" s="462">
        <f>IFERROR(__xludf.DUMMYFUNCTION("""COMPUTED_VALUE"""),5077211.71)</f>
        <v>5077211.71</v>
      </c>
      <c r="K11" s="461">
        <f>IFERROR(__xludf.DUMMYFUNCTION("""COMPUTED_VALUE"""),0.0)</f>
        <v>0</v>
      </c>
      <c r="L11" s="259">
        <f>IFERROR(__xludf.DUMMYFUNCTION("""COMPUTED_VALUE"""),315560.0)</f>
        <v>315560</v>
      </c>
      <c r="M11" s="259">
        <f>IFERROR(__xludf.DUMMYFUNCTION("""COMPUTED_VALUE"""),67694.0)</f>
        <v>67694</v>
      </c>
      <c r="N11" s="462">
        <f>IFERROR(__xludf.DUMMYFUNCTION("""COMPUTED_VALUE"""),327120.0)</f>
        <v>327120</v>
      </c>
      <c r="O11" s="461">
        <f>IFERROR(__xludf.DUMMYFUNCTION("""COMPUTED_VALUE"""),0.0)</f>
        <v>0</v>
      </c>
      <c r="P11" s="259">
        <f>IFERROR(__xludf.DUMMYFUNCTION("""COMPUTED_VALUE"""),49808.0)</f>
        <v>49808</v>
      </c>
      <c r="Q11" s="259">
        <f>IFERROR(__xludf.DUMMYFUNCTION("""COMPUTED_VALUE"""),7811.0)</f>
        <v>7811</v>
      </c>
      <c r="R11" s="463">
        <f>IFERROR(__xludf.DUMMYFUNCTION("""COMPUTED_VALUE"""),101232.0)</f>
        <v>101232</v>
      </c>
      <c r="S11" s="461"/>
      <c r="T11" s="465">
        <f>IFERROR(__xludf.DUMMYFUNCTION("""COMPUTED_VALUE"""),0.3869653077565061)</f>
        <v>0.3869653078</v>
      </c>
      <c r="U11" s="465">
        <f>IFERROR(__xludf.DUMMYFUNCTION("""COMPUTED_VALUE"""),0.5595408363655228)</f>
        <v>0.5595408364</v>
      </c>
      <c r="V11" s="466">
        <f>IFERROR(__xludf.DUMMYFUNCTION("""COMPUTED_VALUE"""),0.08436756717399126)</f>
        <v>0.08436756717</v>
      </c>
      <c r="W11" s="461"/>
      <c r="X11" s="465">
        <f>IFERROR(__xludf.DUMMYFUNCTION("""COMPUTED_VALUE"""),0.10375692307692308)</f>
        <v>0.1037569231</v>
      </c>
      <c r="Y11" s="465">
        <f>IFERROR(__xludf.DUMMYFUNCTION("""COMPUTED_VALUE"""),0.10380076923076922)</f>
        <v>0.1038007692</v>
      </c>
      <c r="Z11" s="466">
        <f>IFERROR(__xludf.DUMMYFUNCTION("""COMPUTED_VALUE"""),0.33848078066666665)</f>
        <v>0.3384807807</v>
      </c>
      <c r="AA11" s="461">
        <f>IFERROR(__xludf.DUMMYFUNCTION("""COMPUTED_VALUE"""),0.0)</f>
        <v>0</v>
      </c>
      <c r="AB11" s="259">
        <f>IFERROR(__xludf.DUMMYFUNCTION("""COMPUTED_VALUE"""),1.0)</f>
        <v>1</v>
      </c>
      <c r="AC11" s="259">
        <f>IFERROR(__xludf.DUMMYFUNCTION("""COMPUTED_VALUE"""),2.0)</f>
        <v>2</v>
      </c>
      <c r="AD11" s="463">
        <f>IFERROR(__xludf.DUMMYFUNCTION("""COMPUTED_VALUE"""),1.0)</f>
        <v>1</v>
      </c>
      <c r="AE11" s="461">
        <f>IFERROR(__xludf.DUMMYFUNCTION("""COMPUTED_VALUE"""),0.0)</f>
        <v>0</v>
      </c>
      <c r="AF11" s="259">
        <f>IFERROR(__xludf.DUMMYFUNCTION("""COMPUTED_VALUE"""),62.0)</f>
        <v>62</v>
      </c>
      <c r="AG11" s="259">
        <f>IFERROR(__xludf.DUMMYFUNCTION("""COMPUTED_VALUE"""),55.0)</f>
        <v>55</v>
      </c>
      <c r="AH11" s="463">
        <f>IFERROR(__xludf.DUMMYFUNCTION("""COMPUTED_VALUE"""),44.0)</f>
        <v>44</v>
      </c>
      <c r="AI11" s="428"/>
    </row>
    <row r="12">
      <c r="A12" s="457" t="str">
        <f>IFERROR(__xludf.DUMMYFUNCTION("""COMPUTED_VALUE"""),"Syed Aqil Rizvi")</f>
        <v>Syed Aqil Rizvi</v>
      </c>
      <c r="B12" s="430" t="str">
        <f>IFERROR(__xludf.DUMMYFUNCTION("""COMPUTED_VALUE"""),"East U.P")</f>
        <v>East U.P</v>
      </c>
      <c r="C12" s="458">
        <f>IFERROR(__xludf.DUMMYFUNCTION("""COMPUTED_VALUE"""),2.178E8)</f>
        <v>217800000</v>
      </c>
      <c r="D12" s="459">
        <f>IFERROR(__xludf.DUMMYFUNCTION("""COMPUTED_VALUE"""),3.06E8)</f>
        <v>306000000</v>
      </c>
      <c r="E12" s="459">
        <f>IFERROR(__xludf.DUMMYFUNCTION("""COMPUTED_VALUE"""),3.6435E8)</f>
        <v>364350000</v>
      </c>
      <c r="F12" s="460">
        <f>IFERROR(__xludf.DUMMYFUNCTION("""COMPUTED_VALUE"""),4.66316659E8)</f>
        <v>466316659</v>
      </c>
      <c r="G12" s="461">
        <f>IFERROR(__xludf.DUMMYFUNCTION("""COMPUTED_VALUE"""),1.50518817E8)</f>
        <v>150518817</v>
      </c>
      <c r="H12" s="259">
        <f>IFERROR(__xludf.DUMMYFUNCTION("""COMPUTED_VALUE"""),1.79542985E8)</f>
        <v>179542985</v>
      </c>
      <c r="I12" s="259">
        <f>IFERROR(__xludf.DUMMYFUNCTION("""COMPUTED_VALUE"""),2.26202349E8)</f>
        <v>226202349</v>
      </c>
      <c r="J12" s="462">
        <f>IFERROR(__xludf.DUMMYFUNCTION("""COMPUTED_VALUE"""),2.8989078476E8)</f>
        <v>289890784.8</v>
      </c>
      <c r="K12" s="461">
        <f>IFERROR(__xludf.DUMMYFUNCTION("""COMPUTED_VALUE"""),3900140.0)</f>
        <v>3900140</v>
      </c>
      <c r="L12" s="259">
        <f>IFERROR(__xludf.DUMMYFUNCTION("""COMPUTED_VALUE"""),7690078.0)</f>
        <v>7690078</v>
      </c>
      <c r="M12" s="259">
        <f>IFERROR(__xludf.DUMMYFUNCTION("""COMPUTED_VALUE"""),8322155.0)</f>
        <v>8322155</v>
      </c>
      <c r="N12" s="462">
        <f>IFERROR(__xludf.DUMMYFUNCTION("""COMPUTED_VALUE"""),9968796.119354839)</f>
        <v>9968796.119</v>
      </c>
      <c r="O12" s="461">
        <f>IFERROR(__xludf.DUMMYFUNCTION("""COMPUTED_VALUE"""),844733.0)</f>
        <v>844733</v>
      </c>
      <c r="P12" s="259">
        <f>IFERROR(__xludf.DUMMYFUNCTION("""COMPUTED_VALUE"""),1682913.0)</f>
        <v>1682913</v>
      </c>
      <c r="Q12" s="259">
        <f>IFERROR(__xludf.DUMMYFUNCTION("""COMPUTED_VALUE"""),2071168.0)</f>
        <v>2071168</v>
      </c>
      <c r="R12" s="463">
        <f>IFERROR(__xludf.DUMMYFUNCTION("""COMPUTED_VALUE"""),2655498.0)</f>
        <v>2655498</v>
      </c>
      <c r="S12" s="464">
        <f>IFERROR(__xludf.DUMMYFUNCTION("""COMPUTED_VALUE"""),0.031523453974528645)</f>
        <v>0.03152345397</v>
      </c>
      <c r="T12" s="465">
        <f>IFERROR(__xludf.DUMMYFUNCTION("""COMPUTED_VALUE"""),0.052204718552495935)</f>
        <v>0.05220471855</v>
      </c>
      <c r="U12" s="465">
        <f>IFERROR(__xludf.DUMMYFUNCTION("""COMPUTED_VALUE"""),0.04594701622660868)</f>
        <v>0.04594701623</v>
      </c>
      <c r="V12" s="466">
        <f>IFERROR(__xludf.DUMMYFUNCTION("""COMPUTED_VALUE"""),0.04354844921961375)</f>
        <v>0.04354844922</v>
      </c>
      <c r="W12" s="464">
        <f>IFERROR(__xludf.DUMMYFUNCTION("""COMPUTED_VALUE"""),0.6910873140495868)</f>
        <v>0.691087314</v>
      </c>
      <c r="X12" s="465">
        <f>IFERROR(__xludf.DUMMYFUNCTION("""COMPUTED_VALUE"""),0.5867417810457516)</f>
        <v>0.586741781</v>
      </c>
      <c r="Y12" s="465">
        <f>IFERROR(__xludf.DUMMYFUNCTION("""COMPUTED_VALUE"""),0.6208380650473446)</f>
        <v>0.620838065</v>
      </c>
      <c r="Z12" s="466">
        <f>IFERROR(__xludf.DUMMYFUNCTION("""COMPUTED_VALUE"""),0.6216607945803626)</f>
        <v>0.6216607946</v>
      </c>
      <c r="AA12" s="461">
        <f>IFERROR(__xludf.DUMMYFUNCTION("""COMPUTED_VALUE"""),14.0)</f>
        <v>14</v>
      </c>
      <c r="AB12" s="259">
        <f>IFERROR(__xludf.DUMMYFUNCTION("""COMPUTED_VALUE"""),23.0)</f>
        <v>23</v>
      </c>
      <c r="AC12" s="259">
        <f>IFERROR(__xludf.DUMMYFUNCTION("""COMPUTED_VALUE"""),25.0)</f>
        <v>25</v>
      </c>
      <c r="AD12" s="463">
        <f>IFERROR(__xludf.DUMMYFUNCTION("""COMPUTED_VALUE"""),21.0)</f>
        <v>21</v>
      </c>
      <c r="AE12" s="461">
        <f>IFERROR(__xludf.DUMMYFUNCTION("""COMPUTED_VALUE"""),675.0)</f>
        <v>675</v>
      </c>
      <c r="AF12" s="259">
        <f>IFERROR(__xludf.DUMMYFUNCTION("""COMPUTED_VALUE"""),1725.0)</f>
        <v>1725</v>
      </c>
      <c r="AG12" s="259">
        <f>IFERROR(__xludf.DUMMYFUNCTION("""COMPUTED_VALUE"""),2070.0)</f>
        <v>2070</v>
      </c>
      <c r="AH12" s="463">
        <f>IFERROR(__xludf.DUMMYFUNCTION("""COMPUTED_VALUE"""),2165.0)</f>
        <v>2165</v>
      </c>
      <c r="AI12" s="428"/>
    </row>
    <row r="13">
      <c r="A13" s="457" t="str">
        <f>IFERROR(__xludf.DUMMYFUNCTION("""COMPUTED_VALUE"""),"Sunil Patel")</f>
        <v>Sunil Patel</v>
      </c>
      <c r="B13" s="430" t="str">
        <f>IFERROR(__xludf.DUMMYFUNCTION("""COMPUTED_VALUE"""),"Gujarat")</f>
        <v>Gujarat</v>
      </c>
      <c r="C13" s="458">
        <f>IFERROR(__xludf.DUMMYFUNCTION("""COMPUTED_VALUE"""),1.8E7)</f>
        <v>18000000</v>
      </c>
      <c r="D13" s="459">
        <f>IFERROR(__xludf.DUMMYFUNCTION("""COMPUTED_VALUE"""),3.64E7)</f>
        <v>36400000</v>
      </c>
      <c r="E13" s="459">
        <f>IFERROR(__xludf.DUMMYFUNCTION("""COMPUTED_VALUE"""),3.192E7)</f>
        <v>31920000</v>
      </c>
      <c r="F13" s="460">
        <f>IFERROR(__xludf.DUMMYFUNCTION("""COMPUTED_VALUE"""),4.1333335E7)</f>
        <v>41333335</v>
      </c>
      <c r="G13" s="461">
        <f>IFERROR(__xludf.DUMMYFUNCTION("""COMPUTED_VALUE"""),7445731.0)</f>
        <v>7445731</v>
      </c>
      <c r="H13" s="259">
        <f>IFERROR(__xludf.DUMMYFUNCTION("""COMPUTED_VALUE"""),7835673.0)</f>
        <v>7835673</v>
      </c>
      <c r="I13" s="259">
        <f>IFERROR(__xludf.DUMMYFUNCTION("""COMPUTED_VALUE"""),1.1947077E7)</f>
        <v>11947077</v>
      </c>
      <c r="J13" s="462">
        <f>IFERROR(__xludf.DUMMYFUNCTION("""COMPUTED_VALUE"""),1.6549629809999999E7)</f>
        <v>16549629.81</v>
      </c>
      <c r="K13" s="461">
        <f>IFERROR(__xludf.DUMMYFUNCTION("""COMPUTED_VALUE"""),630559.0)</f>
        <v>630559</v>
      </c>
      <c r="L13" s="259">
        <f>IFERROR(__xludf.DUMMYFUNCTION("""COMPUTED_VALUE"""),1337244.0)</f>
        <v>1337244</v>
      </c>
      <c r="M13" s="259">
        <f>IFERROR(__xludf.DUMMYFUNCTION("""COMPUTED_VALUE"""),1271796.0)</f>
        <v>1271796</v>
      </c>
      <c r="N13" s="462">
        <f>IFERROR(__xludf.DUMMYFUNCTION("""COMPUTED_VALUE"""),2132210.4838709678)</f>
        <v>2132210.484</v>
      </c>
      <c r="O13" s="461">
        <f>IFERROR(__xludf.DUMMYFUNCTION("""COMPUTED_VALUE"""),104144.0)</f>
        <v>104144</v>
      </c>
      <c r="P13" s="259">
        <f>IFERROR(__xludf.DUMMYFUNCTION("""COMPUTED_VALUE"""),257415.0)</f>
        <v>257415</v>
      </c>
      <c r="Q13" s="259">
        <f>IFERROR(__xludf.DUMMYFUNCTION("""COMPUTED_VALUE"""),298901.0)</f>
        <v>298901</v>
      </c>
      <c r="R13" s="463">
        <f>IFERROR(__xludf.DUMMYFUNCTION("""COMPUTED_VALUE"""),514610.0)</f>
        <v>514610</v>
      </c>
      <c r="S13" s="464">
        <f>IFERROR(__xludf.DUMMYFUNCTION("""COMPUTED_VALUE"""),0.0986743947639258)</f>
        <v>0.09867439476</v>
      </c>
      <c r="T13" s="465">
        <f>IFERROR(__xludf.DUMMYFUNCTION("""COMPUTED_VALUE"""),0.2035127040140649)</f>
        <v>0.203512704</v>
      </c>
      <c r="U13" s="465">
        <f>IFERROR(__xludf.DUMMYFUNCTION("""COMPUTED_VALUE"""),0.1314712376927009)</f>
        <v>0.1314712377</v>
      </c>
      <c r="V13" s="466">
        <f>IFERROR(__xludf.DUMMYFUNCTION("""COMPUTED_VALUE"""),0.15993230750524975)</f>
        <v>0.1599323075</v>
      </c>
      <c r="W13" s="464">
        <f>IFERROR(__xludf.DUMMYFUNCTION("""COMPUTED_VALUE"""),0.41365172222222224)</f>
        <v>0.4136517222</v>
      </c>
      <c r="X13" s="465">
        <f>IFERROR(__xludf.DUMMYFUNCTION("""COMPUTED_VALUE"""),0.21526574175824176)</f>
        <v>0.2152657418</v>
      </c>
      <c r="Y13" s="465">
        <f>IFERROR(__xludf.DUMMYFUNCTION("""COMPUTED_VALUE"""),0.3742818609022556)</f>
        <v>0.3742818609</v>
      </c>
      <c r="Z13" s="466">
        <f>IFERROR(__xludf.DUMMYFUNCTION("""COMPUTED_VALUE"""),0.4003942534518446)</f>
        <v>0.4003942535</v>
      </c>
      <c r="AA13" s="461">
        <f>IFERROR(__xludf.DUMMYFUNCTION("""COMPUTED_VALUE"""),4.0)</f>
        <v>4</v>
      </c>
      <c r="AB13" s="259">
        <f>IFERROR(__xludf.DUMMYFUNCTION("""COMPUTED_VALUE"""),3.0)</f>
        <v>3</v>
      </c>
      <c r="AC13" s="259">
        <f>IFERROR(__xludf.DUMMYFUNCTION("""COMPUTED_VALUE"""),3.0)</f>
        <v>3</v>
      </c>
      <c r="AD13" s="463">
        <f>IFERROR(__xludf.DUMMYFUNCTION("""COMPUTED_VALUE"""),6.0)</f>
        <v>6</v>
      </c>
      <c r="AE13" s="461">
        <f>IFERROR(__xludf.DUMMYFUNCTION("""COMPUTED_VALUE"""),196.0)</f>
        <v>196</v>
      </c>
      <c r="AF13" s="259">
        <f>IFERROR(__xludf.DUMMYFUNCTION("""COMPUTED_VALUE"""),208.0)</f>
        <v>208</v>
      </c>
      <c r="AG13" s="259">
        <f>IFERROR(__xludf.DUMMYFUNCTION("""COMPUTED_VALUE"""),353.0)</f>
        <v>353</v>
      </c>
      <c r="AH13" s="463">
        <f>IFERROR(__xludf.DUMMYFUNCTION("""COMPUTED_VALUE"""),452.0)</f>
        <v>452</v>
      </c>
      <c r="AI13" s="428"/>
    </row>
    <row r="14">
      <c r="A14" s="457" t="str">
        <f>IFERROR(__xludf.DUMMYFUNCTION("""COMPUTED_VALUE"""),"Pawan Sharma")</f>
        <v>Pawan Sharma</v>
      </c>
      <c r="B14" s="430" t="str">
        <f>IFERROR(__xludf.DUMMYFUNCTION("""COMPUTED_VALUE"""),"Haryana")</f>
        <v>Haryana</v>
      </c>
      <c r="C14" s="458">
        <f>IFERROR(__xludf.DUMMYFUNCTION("""COMPUTED_VALUE"""),2.4E7)</f>
        <v>24000000</v>
      </c>
      <c r="D14" s="459">
        <f>IFERROR(__xludf.DUMMYFUNCTION("""COMPUTED_VALUE"""),8.738E7)</f>
        <v>87380000</v>
      </c>
      <c r="E14" s="459">
        <f>IFERROR(__xludf.DUMMYFUNCTION("""COMPUTED_VALUE"""),5.4466668E7)</f>
        <v>54466668</v>
      </c>
      <c r="F14" s="460">
        <f>IFERROR(__xludf.DUMMYFUNCTION("""COMPUTED_VALUE"""),4.0268458E7)</f>
        <v>40268458</v>
      </c>
      <c r="G14" s="461">
        <f>IFERROR(__xludf.DUMMYFUNCTION("""COMPUTED_VALUE"""),1.3680249E7)</f>
        <v>13680249</v>
      </c>
      <c r="H14" s="259">
        <f>IFERROR(__xludf.DUMMYFUNCTION("""COMPUTED_VALUE"""),2.3596939E7)</f>
        <v>23596939</v>
      </c>
      <c r="I14" s="259">
        <f>IFERROR(__xludf.DUMMYFUNCTION("""COMPUTED_VALUE"""),2.1341325E7)</f>
        <v>21341325</v>
      </c>
      <c r="J14" s="462">
        <f>IFERROR(__xludf.DUMMYFUNCTION("""COMPUTED_VALUE"""),1.5006956059999999E7)</f>
        <v>15006956.06</v>
      </c>
      <c r="K14" s="461">
        <f>IFERROR(__xludf.DUMMYFUNCTION("""COMPUTED_VALUE"""),1117742.0)</f>
        <v>1117742</v>
      </c>
      <c r="L14" s="259">
        <f>IFERROR(__xludf.DUMMYFUNCTION("""COMPUTED_VALUE"""),3042782.0)</f>
        <v>3042782</v>
      </c>
      <c r="M14" s="259">
        <f>IFERROR(__xludf.DUMMYFUNCTION("""COMPUTED_VALUE"""),1809363.0)</f>
        <v>1809363</v>
      </c>
      <c r="N14" s="462">
        <f>IFERROR(__xludf.DUMMYFUNCTION("""COMPUTED_VALUE"""),1650674.7016129033)</f>
        <v>1650674.702</v>
      </c>
      <c r="O14" s="461">
        <f>IFERROR(__xludf.DUMMYFUNCTION("""COMPUTED_VALUE"""),299283.0)</f>
        <v>299283</v>
      </c>
      <c r="P14" s="259">
        <f>IFERROR(__xludf.DUMMYFUNCTION("""COMPUTED_VALUE"""),1292097.0)</f>
        <v>1292097</v>
      </c>
      <c r="Q14" s="259">
        <f>IFERROR(__xludf.DUMMYFUNCTION("""COMPUTED_VALUE"""),850928.0)</f>
        <v>850928</v>
      </c>
      <c r="R14" s="463">
        <f>IFERROR(__xludf.DUMMYFUNCTION("""COMPUTED_VALUE"""),749346.0)</f>
        <v>749346</v>
      </c>
      <c r="S14" s="464">
        <f>IFERROR(__xludf.DUMMYFUNCTION("""COMPUTED_VALUE"""),0.10358181345968191)</f>
        <v>0.1035818135</v>
      </c>
      <c r="T14" s="465">
        <f>IFERROR(__xludf.DUMMYFUNCTION("""COMPUTED_VALUE"""),0.18370514073880514)</f>
        <v>0.1837051407</v>
      </c>
      <c r="U14" s="465">
        <f>IFERROR(__xludf.DUMMYFUNCTION("""COMPUTED_VALUE"""),0.12465444390167901)</f>
        <v>0.1246544439</v>
      </c>
      <c r="V14" s="466">
        <f>IFERROR(__xludf.DUMMYFUNCTION("""COMPUTED_VALUE"""),0.1599272158869041)</f>
        <v>0.1599272159</v>
      </c>
      <c r="W14" s="464">
        <f>IFERROR(__xludf.DUMMYFUNCTION("""COMPUTED_VALUE"""),0.570010375)</f>
        <v>0.570010375</v>
      </c>
      <c r="X14" s="465">
        <f>IFERROR(__xludf.DUMMYFUNCTION("""COMPUTED_VALUE"""),0.2700496566720073)</f>
        <v>0.2700496567</v>
      </c>
      <c r="Y14" s="465">
        <f>IFERROR(__xludf.DUMMYFUNCTION("""COMPUTED_VALUE"""),0.39182358281949614)</f>
        <v>0.3918235828</v>
      </c>
      <c r="Z14" s="466">
        <f>IFERROR(__xludf.DUMMYFUNCTION("""COMPUTED_VALUE"""),0.3726727271255333)</f>
        <v>0.3726727271</v>
      </c>
      <c r="AA14" s="461">
        <f>IFERROR(__xludf.DUMMYFUNCTION("""COMPUTED_VALUE"""),8.0)</f>
        <v>8</v>
      </c>
      <c r="AB14" s="259">
        <f>IFERROR(__xludf.DUMMYFUNCTION("""COMPUTED_VALUE"""),11.0)</f>
        <v>11</v>
      </c>
      <c r="AC14" s="259">
        <f>IFERROR(__xludf.DUMMYFUNCTION("""COMPUTED_VALUE"""),11.0)</f>
        <v>11</v>
      </c>
      <c r="AD14" s="463">
        <f>IFERROR(__xludf.DUMMYFUNCTION("""COMPUTED_VALUE"""),12.0)</f>
        <v>12</v>
      </c>
      <c r="AE14" s="461">
        <f>IFERROR(__xludf.DUMMYFUNCTION("""COMPUTED_VALUE"""),196.0)</f>
        <v>196</v>
      </c>
      <c r="AF14" s="259">
        <f>IFERROR(__xludf.DUMMYFUNCTION("""COMPUTED_VALUE"""),909.0)</f>
        <v>909</v>
      </c>
      <c r="AG14" s="259">
        <f>IFERROR(__xludf.DUMMYFUNCTION("""COMPUTED_VALUE"""),992.0)</f>
        <v>992</v>
      </c>
      <c r="AH14" s="463">
        <f>IFERROR(__xludf.DUMMYFUNCTION("""COMPUTED_VALUE"""),686.0)</f>
        <v>686</v>
      </c>
      <c r="AI14" s="428"/>
    </row>
    <row r="15">
      <c r="A15" s="457" t="str">
        <f>IFERROR(__xludf.DUMMYFUNCTION("""COMPUTED_VALUE"""),"Sulinder Pal")</f>
        <v>Sulinder Pal</v>
      </c>
      <c r="B15" s="430" t="str">
        <f>IFERROR(__xludf.DUMMYFUNCTION("""COMPUTED_VALUE"""),"Himachal Pradesh")</f>
        <v>Himachal Pradesh</v>
      </c>
      <c r="C15" s="458">
        <f>IFERROR(__xludf.DUMMYFUNCTION("""COMPUTED_VALUE"""),0.0)</f>
        <v>0</v>
      </c>
      <c r="D15" s="459">
        <f>IFERROR(__xludf.DUMMYFUNCTION("""COMPUTED_VALUE"""),1650000.0)</f>
        <v>1650000</v>
      </c>
      <c r="E15" s="459">
        <f>IFERROR(__xludf.DUMMYFUNCTION("""COMPUTED_VALUE"""),5500000.0)</f>
        <v>5500000</v>
      </c>
      <c r="F15" s="460">
        <f>IFERROR(__xludf.DUMMYFUNCTION("""COMPUTED_VALUE"""),6916667.0)</f>
        <v>6916667</v>
      </c>
      <c r="G15" s="461">
        <f>IFERROR(__xludf.DUMMYFUNCTION("""COMPUTED_VALUE"""),43572.0)</f>
        <v>43572</v>
      </c>
      <c r="H15" s="259">
        <f>IFERROR(__xludf.DUMMYFUNCTION("""COMPUTED_VALUE"""),347154.0)</f>
        <v>347154</v>
      </c>
      <c r="I15" s="259">
        <f>IFERROR(__xludf.DUMMYFUNCTION("""COMPUTED_VALUE"""),3688119.0)</f>
        <v>3688119</v>
      </c>
      <c r="J15" s="462">
        <f>IFERROR(__xludf.DUMMYFUNCTION("""COMPUTED_VALUE"""),4312034.63)</f>
        <v>4312034.63</v>
      </c>
      <c r="K15" s="461">
        <f>IFERROR(__xludf.DUMMYFUNCTION("""COMPUTED_VALUE"""),34568.0)</f>
        <v>34568</v>
      </c>
      <c r="L15" s="259">
        <f>IFERROR(__xludf.DUMMYFUNCTION("""COMPUTED_VALUE"""),102760.0)</f>
        <v>102760</v>
      </c>
      <c r="M15" s="259">
        <f>IFERROR(__xludf.DUMMYFUNCTION("""COMPUTED_VALUE"""),413555.0)</f>
        <v>413555</v>
      </c>
      <c r="N15" s="462">
        <f>IFERROR(__xludf.DUMMYFUNCTION("""COMPUTED_VALUE"""),1828536.6920430106)</f>
        <v>1828536.692</v>
      </c>
      <c r="O15" s="461">
        <f>IFERROR(__xludf.DUMMYFUNCTION("""COMPUTED_VALUE"""),0.0)</f>
        <v>0</v>
      </c>
      <c r="P15" s="259">
        <f>IFERROR(__xludf.DUMMYFUNCTION("""COMPUTED_VALUE"""),38127.0)</f>
        <v>38127</v>
      </c>
      <c r="Q15" s="259">
        <f>IFERROR(__xludf.DUMMYFUNCTION("""COMPUTED_VALUE"""),325231.0)</f>
        <v>325231</v>
      </c>
      <c r="R15" s="463">
        <f>IFERROR(__xludf.DUMMYFUNCTION("""COMPUTED_VALUE"""),953657.0)</f>
        <v>953657</v>
      </c>
      <c r="S15" s="464">
        <f>IFERROR(__xludf.DUMMYFUNCTION("""COMPUTED_VALUE"""),0.7933535297897732)</f>
        <v>0.7933535298</v>
      </c>
      <c r="T15" s="465">
        <f>IFERROR(__xludf.DUMMYFUNCTION("""COMPUTED_VALUE"""),0.4058342983229345)</f>
        <v>0.4058342983</v>
      </c>
      <c r="U15" s="465">
        <f>IFERROR(__xludf.DUMMYFUNCTION("""COMPUTED_VALUE"""),0.20031511998392676)</f>
        <v>0.20031512</v>
      </c>
      <c r="V15" s="466">
        <f>IFERROR(__xludf.DUMMYFUNCTION("""COMPUTED_VALUE"""),0.6452159898453809)</f>
        <v>0.6452159898</v>
      </c>
      <c r="W15" s="461"/>
      <c r="X15" s="465">
        <f>IFERROR(__xludf.DUMMYFUNCTION("""COMPUTED_VALUE"""),0.21039636363636363)</f>
        <v>0.2103963636</v>
      </c>
      <c r="Y15" s="465">
        <f>IFERROR(__xludf.DUMMYFUNCTION("""COMPUTED_VALUE"""),0.670567090909091)</f>
        <v>0.6705670909</v>
      </c>
      <c r="Z15" s="466">
        <f>IFERROR(__xludf.DUMMYFUNCTION("""COMPUTED_VALUE"""),0.6234266634493174)</f>
        <v>0.6234266634</v>
      </c>
      <c r="AA15" s="461">
        <f>IFERROR(__xludf.DUMMYFUNCTION("""COMPUTED_VALUE"""),1.0)</f>
        <v>1</v>
      </c>
      <c r="AB15" s="259">
        <f>IFERROR(__xludf.DUMMYFUNCTION("""COMPUTED_VALUE"""),1.0)</f>
        <v>1</v>
      </c>
      <c r="AC15" s="259">
        <f>IFERROR(__xludf.DUMMYFUNCTION("""COMPUTED_VALUE"""),3.0)</f>
        <v>3</v>
      </c>
      <c r="AD15" s="463">
        <f>IFERROR(__xludf.DUMMYFUNCTION("""COMPUTED_VALUE"""),5.0)</f>
        <v>5</v>
      </c>
      <c r="AE15" s="461">
        <f>IFERROR(__xludf.DUMMYFUNCTION("""COMPUTED_VALUE"""),5.0)</f>
        <v>5</v>
      </c>
      <c r="AF15" s="259">
        <f>IFERROR(__xludf.DUMMYFUNCTION("""COMPUTED_VALUE"""),27.0)</f>
        <v>27</v>
      </c>
      <c r="AG15" s="259">
        <f>IFERROR(__xludf.DUMMYFUNCTION("""COMPUTED_VALUE"""),102.0)</f>
        <v>102</v>
      </c>
      <c r="AH15" s="463">
        <f>IFERROR(__xludf.DUMMYFUNCTION("""COMPUTED_VALUE"""),215.0)</f>
        <v>215</v>
      </c>
      <c r="AI15" s="428"/>
    </row>
    <row r="16">
      <c r="A16" s="457" t="str">
        <f>IFERROR(__xludf.DUMMYFUNCTION("""COMPUTED_VALUE"""),"Nasir Hussain Khan")</f>
        <v>Nasir Hussain Khan</v>
      </c>
      <c r="B16" s="430" t="str">
        <f>IFERROR(__xludf.DUMMYFUNCTION("""COMPUTED_VALUE"""),"JAMMU AND KASHMIR")</f>
        <v>JAMMU AND KASHMIR</v>
      </c>
      <c r="C16" s="458">
        <f>IFERROR(__xludf.DUMMYFUNCTION("""COMPUTED_VALUE"""),1.416E8)</f>
        <v>141600000</v>
      </c>
      <c r="D16" s="459">
        <f>IFERROR(__xludf.DUMMYFUNCTION("""COMPUTED_VALUE"""),1.98E7)</f>
        <v>19800000</v>
      </c>
      <c r="E16" s="459">
        <f>IFERROR(__xludf.DUMMYFUNCTION("""COMPUTED_VALUE"""),3.5E7)</f>
        <v>35000000</v>
      </c>
      <c r="F16" s="460">
        <f>IFERROR(__xludf.DUMMYFUNCTION("""COMPUTED_VALUE"""),7.91666688E7)</f>
        <v>79166668.8</v>
      </c>
      <c r="G16" s="461">
        <f>IFERROR(__xludf.DUMMYFUNCTION("""COMPUTED_VALUE"""),1.1592877E7)</f>
        <v>11592877</v>
      </c>
      <c r="H16" s="259">
        <f>IFERROR(__xludf.DUMMYFUNCTION("""COMPUTED_VALUE"""),1.7958741E7)</f>
        <v>17958741</v>
      </c>
      <c r="I16" s="259">
        <f>IFERROR(__xludf.DUMMYFUNCTION("""COMPUTED_VALUE"""),2.7287205E7)</f>
        <v>27287205</v>
      </c>
      <c r="J16" s="462">
        <f>IFERROR(__xludf.DUMMYFUNCTION("""COMPUTED_VALUE"""),3.1776767759999998E7)</f>
        <v>31776767.76</v>
      </c>
      <c r="K16" s="461">
        <f>IFERROR(__xludf.DUMMYFUNCTION("""COMPUTED_VALUE"""),624004.0)</f>
        <v>624004</v>
      </c>
      <c r="L16" s="259">
        <f>IFERROR(__xludf.DUMMYFUNCTION("""COMPUTED_VALUE"""),929396.0)</f>
        <v>929396</v>
      </c>
      <c r="M16" s="259">
        <f>IFERROR(__xludf.DUMMYFUNCTION("""COMPUTED_VALUE"""),1234007.0)</f>
        <v>1234007</v>
      </c>
      <c r="N16" s="462">
        <f>IFERROR(__xludf.DUMMYFUNCTION("""COMPUTED_VALUE"""),1514424.5806451612)</f>
        <v>1514424.581</v>
      </c>
      <c r="O16" s="461">
        <f>IFERROR(__xludf.DUMMYFUNCTION("""COMPUTED_VALUE"""),164279.0)</f>
        <v>164279</v>
      </c>
      <c r="P16" s="259">
        <f>IFERROR(__xludf.DUMMYFUNCTION("""COMPUTED_VALUE"""),176767.0)</f>
        <v>176767</v>
      </c>
      <c r="Q16" s="259">
        <f>IFERROR(__xludf.DUMMYFUNCTION("""COMPUTED_VALUE"""),360191.0)</f>
        <v>360191</v>
      </c>
      <c r="R16" s="463">
        <f>IFERROR(__xludf.DUMMYFUNCTION("""COMPUTED_VALUE"""),434646.0)</f>
        <v>434646</v>
      </c>
      <c r="S16" s="464">
        <f>IFERROR(__xludf.DUMMYFUNCTION("""COMPUTED_VALUE"""),0.06799718482305989)</f>
        <v>0.06799718482</v>
      </c>
      <c r="T16" s="465">
        <f>IFERROR(__xludf.DUMMYFUNCTION("""COMPUTED_VALUE"""),0.061594685284452846)</f>
        <v>0.06159468528</v>
      </c>
      <c r="U16" s="465">
        <f>IFERROR(__xludf.DUMMYFUNCTION("""COMPUTED_VALUE"""),0.058422912863373144)</f>
        <v>0.05842291286</v>
      </c>
      <c r="V16" s="466">
        <f>IFERROR(__xludf.DUMMYFUNCTION("""COMPUTED_VALUE"""),0.061336338401875315)</f>
        <v>0.0613363384</v>
      </c>
      <c r="W16" s="464">
        <f>IFERROR(__xludf.DUMMYFUNCTION("""COMPUTED_VALUE"""),0.08187060028248587)</f>
        <v>0.08187060028</v>
      </c>
      <c r="X16" s="465">
        <f>IFERROR(__xludf.DUMMYFUNCTION("""COMPUTED_VALUE"""),0.9070071212121212)</f>
        <v>0.9070071212</v>
      </c>
      <c r="Y16" s="465">
        <f>IFERROR(__xludf.DUMMYFUNCTION("""COMPUTED_VALUE"""),0.7796344285714286)</f>
        <v>0.7796344286</v>
      </c>
      <c r="Z16" s="466">
        <f>IFERROR(__xludf.DUMMYFUNCTION("""COMPUTED_VALUE"""),0.40139073983620743)</f>
        <v>0.4013907398</v>
      </c>
      <c r="AA16" s="461">
        <f>IFERROR(__xludf.DUMMYFUNCTION("""COMPUTED_VALUE"""),2.0)</f>
        <v>2</v>
      </c>
      <c r="AB16" s="259">
        <f>IFERROR(__xludf.DUMMYFUNCTION("""COMPUTED_VALUE"""),5.0)</f>
        <v>5</v>
      </c>
      <c r="AC16" s="259">
        <f>IFERROR(__xludf.DUMMYFUNCTION("""COMPUTED_VALUE"""),4.0)</f>
        <v>4</v>
      </c>
      <c r="AD16" s="463">
        <f>IFERROR(__xludf.DUMMYFUNCTION("""COMPUTED_VALUE"""),6.0)</f>
        <v>6</v>
      </c>
      <c r="AE16" s="461">
        <f>IFERROR(__xludf.DUMMYFUNCTION("""COMPUTED_VALUE"""),34.0)</f>
        <v>34</v>
      </c>
      <c r="AF16" s="259">
        <f>IFERROR(__xludf.DUMMYFUNCTION("""COMPUTED_VALUE"""),172.0)</f>
        <v>172</v>
      </c>
      <c r="AG16" s="259">
        <f>IFERROR(__xludf.DUMMYFUNCTION("""COMPUTED_VALUE"""),191.0)</f>
        <v>191</v>
      </c>
      <c r="AH16" s="463">
        <f>IFERROR(__xludf.DUMMYFUNCTION("""COMPUTED_VALUE"""),166.0)</f>
        <v>166</v>
      </c>
      <c r="AI16" s="428"/>
    </row>
    <row r="17">
      <c r="A17" s="457" t="str">
        <f>IFERROR(__xludf.DUMMYFUNCTION("""COMPUTED_VALUE"""),"Sandeep Dadheech")</f>
        <v>Sandeep Dadheech</v>
      </c>
      <c r="B17" s="430" t="str">
        <f>IFERROR(__xludf.DUMMYFUNCTION("""COMPUTED_VALUE"""),"Jharkhand")</f>
        <v>Jharkhand</v>
      </c>
      <c r="C17" s="458">
        <f>IFERROR(__xludf.DUMMYFUNCTION("""COMPUTED_VALUE"""),1.944E8)</f>
        <v>194400000</v>
      </c>
      <c r="D17" s="459">
        <f>IFERROR(__xludf.DUMMYFUNCTION("""COMPUTED_VALUE"""),2.676E8)</f>
        <v>267600000</v>
      </c>
      <c r="E17" s="459">
        <f>IFERROR(__xludf.DUMMYFUNCTION("""COMPUTED_VALUE"""),2.384E8)</f>
        <v>238400000</v>
      </c>
      <c r="F17" s="460">
        <f>IFERROR(__xludf.DUMMYFUNCTION("""COMPUTED_VALUE"""),2.48499996E8)</f>
        <v>248499996</v>
      </c>
      <c r="G17" s="461">
        <f>IFERROR(__xludf.DUMMYFUNCTION("""COMPUTED_VALUE"""),1.32615329E8)</f>
        <v>132615329</v>
      </c>
      <c r="H17" s="259">
        <f>IFERROR(__xludf.DUMMYFUNCTION("""COMPUTED_VALUE"""),1.20052097E8)</f>
        <v>120052097</v>
      </c>
      <c r="I17" s="259">
        <f>IFERROR(__xludf.DUMMYFUNCTION("""COMPUTED_VALUE"""),1.38739576E8)</f>
        <v>138739576</v>
      </c>
      <c r="J17" s="462">
        <f>IFERROR(__xludf.DUMMYFUNCTION("""COMPUTED_VALUE"""),1.7078903617000002E8)</f>
        <v>170789036.2</v>
      </c>
      <c r="K17" s="461">
        <f>IFERROR(__xludf.DUMMYFUNCTION("""COMPUTED_VALUE"""),1897062.0)</f>
        <v>1897062</v>
      </c>
      <c r="L17" s="259">
        <f>IFERROR(__xludf.DUMMYFUNCTION("""COMPUTED_VALUE"""),2840099.0)</f>
        <v>2840099</v>
      </c>
      <c r="M17" s="259">
        <f>IFERROR(__xludf.DUMMYFUNCTION("""COMPUTED_VALUE"""),4083257.0)</f>
        <v>4083257</v>
      </c>
      <c r="N17" s="462">
        <f>IFERROR(__xludf.DUMMYFUNCTION("""COMPUTED_VALUE"""),4427832.0)</f>
        <v>4427832</v>
      </c>
      <c r="O17" s="461">
        <f>IFERROR(__xludf.DUMMYFUNCTION("""COMPUTED_VALUE"""),428499.0)</f>
        <v>428499</v>
      </c>
      <c r="P17" s="259">
        <f>IFERROR(__xludf.DUMMYFUNCTION("""COMPUTED_VALUE"""),757371.0)</f>
        <v>757371</v>
      </c>
      <c r="Q17" s="259">
        <f>IFERROR(__xludf.DUMMYFUNCTION("""COMPUTED_VALUE"""),1577432.0)</f>
        <v>1577432</v>
      </c>
      <c r="R17" s="463">
        <f>IFERROR(__xludf.DUMMYFUNCTION("""COMPUTED_VALUE"""),1824673.0)</f>
        <v>1824673</v>
      </c>
      <c r="S17" s="464">
        <f>IFERROR(__xludf.DUMMYFUNCTION("""COMPUTED_VALUE"""),0.01753614018481981)</f>
        <v>0.01753614018</v>
      </c>
      <c r="T17" s="465">
        <f>IFERROR(__xludf.DUMMYFUNCTION("""COMPUTED_VALUE"""),0.029965907217763967)</f>
        <v>0.02996590722</v>
      </c>
      <c r="U17" s="465">
        <f>IFERROR(__xludf.DUMMYFUNCTION("""COMPUTED_VALUE"""),0.040800823839911404)</f>
        <v>0.04080082384</v>
      </c>
      <c r="V17" s="466">
        <f>IFERROR(__xludf.DUMMYFUNCTION("""COMPUTED_VALUE"""),0.03660952213452613)</f>
        <v>0.03660952213</v>
      </c>
      <c r="W17" s="464">
        <f>IFERROR(__xludf.DUMMYFUNCTION("""COMPUTED_VALUE"""),0.6821776183127573)</f>
        <v>0.6821776183</v>
      </c>
      <c r="X17" s="465">
        <f>IFERROR(__xludf.DUMMYFUNCTION("""COMPUTED_VALUE"""),0.44862517563527654)</f>
        <v>0.4486251756</v>
      </c>
      <c r="Y17" s="465">
        <f>IFERROR(__xludf.DUMMYFUNCTION("""COMPUTED_VALUE"""),0.5819613087248322)</f>
        <v>0.5819613087</v>
      </c>
      <c r="Z17" s="466">
        <f>IFERROR(__xludf.DUMMYFUNCTION("""COMPUTED_VALUE"""),0.687279834684585)</f>
        <v>0.6872798347</v>
      </c>
      <c r="AA17" s="461">
        <f>IFERROR(__xludf.DUMMYFUNCTION("""COMPUTED_VALUE"""),5.0)</f>
        <v>5</v>
      </c>
      <c r="AB17" s="259">
        <f>IFERROR(__xludf.DUMMYFUNCTION("""COMPUTED_VALUE"""),9.0)</f>
        <v>9</v>
      </c>
      <c r="AC17" s="259">
        <f>IFERROR(__xludf.DUMMYFUNCTION("""COMPUTED_VALUE"""),10.0)</f>
        <v>10</v>
      </c>
      <c r="AD17" s="463">
        <f>IFERROR(__xludf.DUMMYFUNCTION("""COMPUTED_VALUE"""),8.0)</f>
        <v>8</v>
      </c>
      <c r="AE17" s="461">
        <f>IFERROR(__xludf.DUMMYFUNCTION("""COMPUTED_VALUE"""),237.0)</f>
        <v>237</v>
      </c>
      <c r="AF17" s="259">
        <f>IFERROR(__xludf.DUMMYFUNCTION("""COMPUTED_VALUE"""),478.0)</f>
        <v>478</v>
      </c>
      <c r="AG17" s="259">
        <f>IFERROR(__xludf.DUMMYFUNCTION("""COMPUTED_VALUE"""),802.0)</f>
        <v>802</v>
      </c>
      <c r="AH17" s="463">
        <f>IFERROR(__xludf.DUMMYFUNCTION("""COMPUTED_VALUE"""),770.0)</f>
        <v>770</v>
      </c>
      <c r="AI17" s="428"/>
    </row>
    <row r="18">
      <c r="A18" s="457" t="str">
        <f>IFERROR(__xludf.DUMMYFUNCTION("""COMPUTED_VALUE"""),"Sandeep Dadheech")</f>
        <v>Sandeep Dadheech</v>
      </c>
      <c r="B18" s="430" t="str">
        <f>IFERROR(__xludf.DUMMYFUNCTION("""COMPUTED_VALUE"""),"Karnataka")</f>
        <v>Karnataka</v>
      </c>
      <c r="C18" s="458">
        <f>IFERROR(__xludf.DUMMYFUNCTION("""COMPUTED_VALUE"""),0.0)</f>
        <v>0</v>
      </c>
      <c r="D18" s="459">
        <f>IFERROR(__xludf.DUMMYFUNCTION("""COMPUTED_VALUE"""),0.0)</f>
        <v>0</v>
      </c>
      <c r="E18" s="459">
        <f>IFERROR(__xludf.DUMMYFUNCTION("""COMPUTED_VALUE"""),0.0)</f>
        <v>0</v>
      </c>
      <c r="F18" s="460">
        <f>IFERROR(__xludf.DUMMYFUNCTION("""COMPUTED_VALUE"""),0.0)</f>
        <v>0</v>
      </c>
      <c r="G18" s="461">
        <f>IFERROR(__xludf.DUMMYFUNCTION("""COMPUTED_VALUE"""),0.0)</f>
        <v>0</v>
      </c>
      <c r="H18" s="259">
        <f>IFERROR(__xludf.DUMMYFUNCTION("""COMPUTED_VALUE"""),0.0)</f>
        <v>0</v>
      </c>
      <c r="I18" s="259">
        <f>IFERROR(__xludf.DUMMYFUNCTION("""COMPUTED_VALUE"""),0.0)</f>
        <v>0</v>
      </c>
      <c r="J18" s="462">
        <f>IFERROR(__xludf.DUMMYFUNCTION("""COMPUTED_VALUE"""),0.0)</f>
        <v>0</v>
      </c>
      <c r="K18" s="461">
        <f>IFERROR(__xludf.DUMMYFUNCTION("""COMPUTED_VALUE"""),0.0)</f>
        <v>0</v>
      </c>
      <c r="L18" s="259">
        <f>IFERROR(__xludf.DUMMYFUNCTION("""COMPUTED_VALUE"""),0.0)</f>
        <v>0</v>
      </c>
      <c r="M18" s="259">
        <f>IFERROR(__xludf.DUMMYFUNCTION("""COMPUTED_VALUE"""),1607559.0)</f>
        <v>1607559</v>
      </c>
      <c r="N18" s="462">
        <f>IFERROR(__xludf.DUMMYFUNCTION("""COMPUTED_VALUE"""),3307296.9677419355)</f>
        <v>3307296.968</v>
      </c>
      <c r="O18" s="461">
        <f>IFERROR(__xludf.DUMMYFUNCTION("""COMPUTED_VALUE"""),0.0)</f>
        <v>0</v>
      </c>
      <c r="P18" s="259">
        <f>IFERROR(__xludf.DUMMYFUNCTION("""COMPUTED_VALUE"""),0.0)</f>
        <v>0</v>
      </c>
      <c r="Q18" s="259">
        <f>IFERROR(__xludf.DUMMYFUNCTION("""COMPUTED_VALUE"""),655732.0)</f>
        <v>655732</v>
      </c>
      <c r="R18" s="463">
        <f>IFERROR(__xludf.DUMMYFUNCTION("""COMPUTED_VALUE"""),974075.0)</f>
        <v>974075</v>
      </c>
      <c r="S18" s="461"/>
      <c r="T18" s="259"/>
      <c r="U18" s="259"/>
      <c r="V18" s="463"/>
      <c r="W18" s="461"/>
      <c r="X18" s="259"/>
      <c r="Y18" s="259"/>
      <c r="Z18" s="463"/>
      <c r="AA18" s="461">
        <f>IFERROR(__xludf.DUMMYFUNCTION("""COMPUTED_VALUE"""),1.0)</f>
        <v>1</v>
      </c>
      <c r="AB18" s="259">
        <f>IFERROR(__xludf.DUMMYFUNCTION("""COMPUTED_VALUE"""),0.0)</f>
        <v>0</v>
      </c>
      <c r="AC18" s="259">
        <f>IFERROR(__xludf.DUMMYFUNCTION("""COMPUTED_VALUE"""),3.0)</f>
        <v>3</v>
      </c>
      <c r="AD18" s="463">
        <f>IFERROR(__xludf.DUMMYFUNCTION("""COMPUTED_VALUE"""),6.0)</f>
        <v>6</v>
      </c>
      <c r="AE18" s="461">
        <f>IFERROR(__xludf.DUMMYFUNCTION("""COMPUTED_VALUE"""),1.0)</f>
        <v>1</v>
      </c>
      <c r="AF18" s="259">
        <f>IFERROR(__xludf.DUMMYFUNCTION("""COMPUTED_VALUE"""),0.0)</f>
        <v>0</v>
      </c>
      <c r="AG18" s="259">
        <f>IFERROR(__xludf.DUMMYFUNCTION("""COMPUTED_VALUE"""),8.0)</f>
        <v>8</v>
      </c>
      <c r="AH18" s="463">
        <f>IFERROR(__xludf.DUMMYFUNCTION("""COMPUTED_VALUE"""),15.0)</f>
        <v>15</v>
      </c>
      <c r="AI18" s="428"/>
    </row>
    <row r="19">
      <c r="A19" s="457" t="str">
        <f>IFERROR(__xludf.DUMMYFUNCTION("""COMPUTED_VALUE"""),"Biju C.O")</f>
        <v>Biju C.O</v>
      </c>
      <c r="B19" s="430" t="str">
        <f>IFERROR(__xludf.DUMMYFUNCTION("""COMPUTED_VALUE"""),"Kerala")</f>
        <v>Kerala</v>
      </c>
      <c r="C19" s="458">
        <f>IFERROR(__xludf.DUMMYFUNCTION("""COMPUTED_VALUE"""),1.04412516E8)</f>
        <v>104412516</v>
      </c>
      <c r="D19" s="459">
        <f>IFERROR(__xludf.DUMMYFUNCTION("""COMPUTED_VALUE"""),1.21E8)</f>
        <v>121000000</v>
      </c>
      <c r="E19" s="459">
        <f>IFERROR(__xludf.DUMMYFUNCTION("""COMPUTED_VALUE"""),1.28687908E8)</f>
        <v>128687908</v>
      </c>
      <c r="F19" s="460">
        <f>IFERROR(__xludf.DUMMYFUNCTION("""COMPUTED_VALUE"""),1.33222902E8)</f>
        <v>133222902</v>
      </c>
      <c r="G19" s="461">
        <f>IFERROR(__xludf.DUMMYFUNCTION("""COMPUTED_VALUE"""),7.7884378E7)</f>
        <v>77884378</v>
      </c>
      <c r="H19" s="259">
        <f>IFERROR(__xludf.DUMMYFUNCTION("""COMPUTED_VALUE"""),5.9757787E7)</f>
        <v>59757787</v>
      </c>
      <c r="I19" s="259">
        <f>IFERROR(__xludf.DUMMYFUNCTION("""COMPUTED_VALUE"""),5.8288791E7)</f>
        <v>58288791</v>
      </c>
      <c r="J19" s="462">
        <f>IFERROR(__xludf.DUMMYFUNCTION("""COMPUTED_VALUE"""),7.641350924E7)</f>
        <v>76413509.24</v>
      </c>
      <c r="K19" s="461">
        <f>IFERROR(__xludf.DUMMYFUNCTION("""COMPUTED_VALUE"""),1807790.0)</f>
        <v>1807790</v>
      </c>
      <c r="L19" s="259">
        <f>IFERROR(__xludf.DUMMYFUNCTION("""COMPUTED_VALUE"""),2847735.0)</f>
        <v>2847735</v>
      </c>
      <c r="M19" s="259">
        <f>IFERROR(__xludf.DUMMYFUNCTION("""COMPUTED_VALUE"""),3466778.0)</f>
        <v>3466778</v>
      </c>
      <c r="N19" s="462">
        <f>IFERROR(__xludf.DUMMYFUNCTION("""COMPUTED_VALUE"""),3571143.3597849463)</f>
        <v>3571143.36</v>
      </c>
      <c r="O19" s="461">
        <f>IFERROR(__xludf.DUMMYFUNCTION("""COMPUTED_VALUE"""),618850.0)</f>
        <v>618850</v>
      </c>
      <c r="P19" s="259">
        <f>IFERROR(__xludf.DUMMYFUNCTION("""COMPUTED_VALUE"""),917715.0)</f>
        <v>917715</v>
      </c>
      <c r="Q19" s="259">
        <f>IFERROR(__xludf.DUMMYFUNCTION("""COMPUTED_VALUE"""),1164873.0)</f>
        <v>1164873</v>
      </c>
      <c r="R19" s="463">
        <f>IFERROR(__xludf.DUMMYFUNCTION("""COMPUTED_VALUE"""),1127452.0)</f>
        <v>1127452</v>
      </c>
      <c r="S19" s="464">
        <f>IFERROR(__xludf.DUMMYFUNCTION("""COMPUTED_VALUE"""),0.0311569542225785)</f>
        <v>0.03115695422</v>
      </c>
      <c r="T19" s="465">
        <f>IFERROR(__xludf.DUMMYFUNCTION("""COMPUTED_VALUE"""),0.06301187157415987)</f>
        <v>0.06301187157</v>
      </c>
      <c r="U19" s="465">
        <f>IFERROR(__xludf.DUMMYFUNCTION("""COMPUTED_VALUE"""),0.07946040603243941)</f>
        <v>0.07946040603</v>
      </c>
      <c r="V19" s="466">
        <f>IFERROR(__xludf.DUMMYFUNCTION("""COMPUTED_VALUE"""),0.061489066612914874)</f>
        <v>0.06148906661</v>
      </c>
      <c r="W19" s="464">
        <f>IFERROR(__xludf.DUMMYFUNCTION("""COMPUTED_VALUE"""),0.7459295205567118)</f>
        <v>0.7459295206</v>
      </c>
      <c r="X19" s="465">
        <f>IFERROR(__xludf.DUMMYFUNCTION("""COMPUTED_VALUE"""),0.4938660082644628)</f>
        <v>0.4938660083</v>
      </c>
      <c r="Y19" s="465">
        <f>IFERROR(__xludf.DUMMYFUNCTION("""COMPUTED_VALUE"""),0.45294691557189665)</f>
        <v>0.4529469156</v>
      </c>
      <c r="Z19" s="466">
        <f>IFERROR(__xludf.DUMMYFUNCTION("""COMPUTED_VALUE"""),0.5735763753292208)</f>
        <v>0.5735763753</v>
      </c>
      <c r="AA19" s="461">
        <f>IFERROR(__xludf.DUMMYFUNCTION("""COMPUTED_VALUE"""),15.0)</f>
        <v>15</v>
      </c>
      <c r="AB19" s="259">
        <f>IFERROR(__xludf.DUMMYFUNCTION("""COMPUTED_VALUE"""),14.0)</f>
        <v>14</v>
      </c>
      <c r="AC19" s="259">
        <f>IFERROR(__xludf.DUMMYFUNCTION("""COMPUTED_VALUE"""),18.0)</f>
        <v>18</v>
      </c>
      <c r="AD19" s="463">
        <f>IFERROR(__xludf.DUMMYFUNCTION("""COMPUTED_VALUE"""),14.0)</f>
        <v>14</v>
      </c>
      <c r="AE19" s="461">
        <f>IFERROR(__xludf.DUMMYFUNCTION("""COMPUTED_VALUE"""),554.0)</f>
        <v>554</v>
      </c>
      <c r="AF19" s="259">
        <f>IFERROR(__xludf.DUMMYFUNCTION("""COMPUTED_VALUE"""),1106.0)</f>
        <v>1106</v>
      </c>
      <c r="AG19" s="259">
        <f>IFERROR(__xludf.DUMMYFUNCTION("""COMPUTED_VALUE"""),1665.0)</f>
        <v>1665</v>
      </c>
      <c r="AH19" s="463">
        <f>IFERROR(__xludf.DUMMYFUNCTION("""COMPUTED_VALUE"""),1504.0)</f>
        <v>1504</v>
      </c>
      <c r="AI19" s="428"/>
    </row>
    <row r="20">
      <c r="A20" s="457" t="str">
        <f>IFERROR(__xludf.DUMMYFUNCTION("""COMPUTED_VALUE"""),"Syed Aqil Rizvi")</f>
        <v>Syed Aqil Rizvi</v>
      </c>
      <c r="B20" s="430" t="str">
        <f>IFERROR(__xludf.DUMMYFUNCTION("""COMPUTED_VALUE"""),"Madhya Pradesh")</f>
        <v>Madhya Pradesh</v>
      </c>
      <c r="C20" s="458">
        <f>IFERROR(__xludf.DUMMYFUNCTION("""COMPUTED_VALUE"""),8.91E7)</f>
        <v>89100000</v>
      </c>
      <c r="D20" s="459">
        <f>IFERROR(__xludf.DUMMYFUNCTION("""COMPUTED_VALUE"""),1.4E8)</f>
        <v>140000000</v>
      </c>
      <c r="E20" s="459">
        <f>IFERROR(__xludf.DUMMYFUNCTION("""COMPUTED_VALUE"""),1.428E8)</f>
        <v>142800000</v>
      </c>
      <c r="F20" s="460">
        <f>IFERROR(__xludf.DUMMYFUNCTION("""COMPUTED_VALUE"""),2.01800002E8)</f>
        <v>201800002</v>
      </c>
      <c r="G20" s="461">
        <f>IFERROR(__xludf.DUMMYFUNCTION("""COMPUTED_VALUE"""),6.117965E7)</f>
        <v>61179650</v>
      </c>
      <c r="H20" s="259">
        <f>IFERROR(__xludf.DUMMYFUNCTION("""COMPUTED_VALUE"""),8.4419829E7)</f>
        <v>84419829</v>
      </c>
      <c r="I20" s="259">
        <f>IFERROR(__xludf.DUMMYFUNCTION("""COMPUTED_VALUE"""),9.8200693E7)</f>
        <v>98200693</v>
      </c>
      <c r="J20" s="462">
        <f>IFERROR(__xludf.DUMMYFUNCTION("""COMPUTED_VALUE"""),1.3513801908999997E8)</f>
        <v>135138019.1</v>
      </c>
      <c r="K20" s="461">
        <f>IFERROR(__xludf.DUMMYFUNCTION("""COMPUTED_VALUE"""),1919773.0)</f>
        <v>1919773</v>
      </c>
      <c r="L20" s="259">
        <f>IFERROR(__xludf.DUMMYFUNCTION("""COMPUTED_VALUE"""),3623735.5)</f>
        <v>3623735.5</v>
      </c>
      <c r="M20" s="259">
        <f>IFERROR(__xludf.DUMMYFUNCTION("""COMPUTED_VALUE"""),4548952.0)</f>
        <v>4548952</v>
      </c>
      <c r="N20" s="462">
        <f>IFERROR(__xludf.DUMMYFUNCTION("""COMPUTED_VALUE"""),5262170.189892474)</f>
        <v>5262170.19</v>
      </c>
      <c r="O20" s="461">
        <f>IFERROR(__xludf.DUMMYFUNCTION("""COMPUTED_VALUE"""),529809.0)</f>
        <v>529809</v>
      </c>
      <c r="P20" s="259">
        <f>IFERROR(__xludf.DUMMYFUNCTION("""COMPUTED_VALUE"""),973752.0)</f>
        <v>973752</v>
      </c>
      <c r="Q20" s="259">
        <f>IFERROR(__xludf.DUMMYFUNCTION("""COMPUTED_VALUE"""),1033149.0)</f>
        <v>1033149</v>
      </c>
      <c r="R20" s="463">
        <f>IFERROR(__xludf.DUMMYFUNCTION("""COMPUTED_VALUE"""),1484572.0)</f>
        <v>1484572</v>
      </c>
      <c r="S20" s="464">
        <f>IFERROR(__xludf.DUMMYFUNCTION("""COMPUTED_VALUE"""),0.040039163349250936)</f>
        <v>0.04003916335</v>
      </c>
      <c r="T20" s="465">
        <f>IFERROR(__xludf.DUMMYFUNCTION("""COMPUTED_VALUE"""),0.05445980588280983)</f>
        <v>0.05445980588</v>
      </c>
      <c r="U20" s="465">
        <f>IFERROR(__xludf.DUMMYFUNCTION("""COMPUTED_VALUE"""),0.05684380455441389)</f>
        <v>0.05684380455</v>
      </c>
      <c r="V20" s="466">
        <f>IFERROR(__xludf.DUMMYFUNCTION("""COMPUTED_VALUE"""),0.04992482674619672)</f>
        <v>0.04992482675</v>
      </c>
      <c r="W20" s="464">
        <f>IFERROR(__xludf.DUMMYFUNCTION("""COMPUTED_VALUE"""),0.6866402918069585)</f>
        <v>0.6866402918</v>
      </c>
      <c r="X20" s="465">
        <f>IFERROR(__xludf.DUMMYFUNCTION("""COMPUTED_VALUE"""),0.6029987785714286)</f>
        <v>0.6029987786</v>
      </c>
      <c r="Y20" s="465">
        <f>IFERROR(__xludf.DUMMYFUNCTION("""COMPUTED_VALUE"""),0.6876799229691877)</f>
        <v>0.687679923</v>
      </c>
      <c r="Z20" s="466">
        <f>IFERROR(__xludf.DUMMYFUNCTION("""COMPUTED_VALUE"""),0.6696631206673624)</f>
        <v>0.6696631207</v>
      </c>
      <c r="AA20" s="461">
        <f>IFERROR(__xludf.DUMMYFUNCTION("""COMPUTED_VALUE"""),7.0)</f>
        <v>7</v>
      </c>
      <c r="AB20" s="259">
        <f>IFERROR(__xludf.DUMMYFUNCTION("""COMPUTED_VALUE"""),10.0)</f>
        <v>10</v>
      </c>
      <c r="AC20" s="259">
        <f>IFERROR(__xludf.DUMMYFUNCTION("""COMPUTED_VALUE"""),11.0)</f>
        <v>11</v>
      </c>
      <c r="AD20" s="463">
        <f>IFERROR(__xludf.DUMMYFUNCTION("""COMPUTED_VALUE"""),11.0)</f>
        <v>11</v>
      </c>
      <c r="AE20" s="461">
        <f>IFERROR(__xludf.DUMMYFUNCTION("""COMPUTED_VALUE"""),368.0)</f>
        <v>368</v>
      </c>
      <c r="AF20" s="259">
        <f>IFERROR(__xludf.DUMMYFUNCTION("""COMPUTED_VALUE"""),646.0)</f>
        <v>646</v>
      </c>
      <c r="AG20" s="259">
        <f>IFERROR(__xludf.DUMMYFUNCTION("""COMPUTED_VALUE"""),773.0)</f>
        <v>773</v>
      </c>
      <c r="AH20" s="463">
        <f>IFERROR(__xludf.DUMMYFUNCTION("""COMPUTED_VALUE"""),841.0)</f>
        <v>841</v>
      </c>
      <c r="AI20" s="428"/>
    </row>
    <row r="21">
      <c r="A21" s="457" t="str">
        <f>IFERROR(__xludf.DUMMYFUNCTION("""COMPUTED_VALUE"""),"Lalan Kumar")</f>
        <v>Lalan Kumar</v>
      </c>
      <c r="B21" s="430" t="str">
        <f>IFERROR(__xludf.DUMMYFUNCTION("""COMPUTED_VALUE"""),"Maharashtra")</f>
        <v>Maharashtra</v>
      </c>
      <c r="C21" s="458">
        <f>IFERROR(__xludf.DUMMYFUNCTION("""COMPUTED_VALUE"""),1.26E8)</f>
        <v>126000000</v>
      </c>
      <c r="D21" s="459">
        <f>IFERROR(__xludf.DUMMYFUNCTION("""COMPUTED_VALUE"""),1.5648E8)</f>
        <v>156480000</v>
      </c>
      <c r="E21" s="459">
        <f>IFERROR(__xludf.DUMMYFUNCTION("""COMPUTED_VALUE"""),1.728E8)</f>
        <v>172800000</v>
      </c>
      <c r="F21" s="460">
        <f>IFERROR(__xludf.DUMMYFUNCTION("""COMPUTED_VALUE"""),1.922E8)</f>
        <v>192200000</v>
      </c>
      <c r="G21" s="461">
        <f>IFERROR(__xludf.DUMMYFUNCTION("""COMPUTED_VALUE"""),5.063688E7)</f>
        <v>50636880</v>
      </c>
      <c r="H21" s="259">
        <f>IFERROR(__xludf.DUMMYFUNCTION("""COMPUTED_VALUE"""),8.0207044E7)</f>
        <v>80207044</v>
      </c>
      <c r="I21" s="259">
        <f>IFERROR(__xludf.DUMMYFUNCTION("""COMPUTED_VALUE"""),9.8219176E7)</f>
        <v>98219176</v>
      </c>
      <c r="J21" s="462">
        <f>IFERROR(__xludf.DUMMYFUNCTION("""COMPUTED_VALUE"""),1.2132098465E8)</f>
        <v>121320984.7</v>
      </c>
      <c r="K21" s="461">
        <f>IFERROR(__xludf.DUMMYFUNCTION("""COMPUTED_VALUE"""),2610987.0)</f>
        <v>2610987</v>
      </c>
      <c r="L21" s="259">
        <f>IFERROR(__xludf.DUMMYFUNCTION("""COMPUTED_VALUE"""),3451109.0)</f>
        <v>3451109</v>
      </c>
      <c r="M21" s="259">
        <f>IFERROR(__xludf.DUMMYFUNCTION("""COMPUTED_VALUE"""),4739135.0)</f>
        <v>4739135</v>
      </c>
      <c r="N21" s="462">
        <f>IFERROR(__xludf.DUMMYFUNCTION("""COMPUTED_VALUE"""),5966728.186021505)</f>
        <v>5966728.186</v>
      </c>
      <c r="O21" s="461">
        <f>IFERROR(__xludf.DUMMYFUNCTION("""COMPUTED_VALUE"""),692731.0)</f>
        <v>692731</v>
      </c>
      <c r="P21" s="259">
        <f>IFERROR(__xludf.DUMMYFUNCTION("""COMPUTED_VALUE"""),1136911.0)</f>
        <v>1136911</v>
      </c>
      <c r="Q21" s="259">
        <f>IFERROR(__xludf.DUMMYFUNCTION("""COMPUTED_VALUE"""),1588808.0)</f>
        <v>1588808</v>
      </c>
      <c r="R21" s="463">
        <f>IFERROR(__xludf.DUMMYFUNCTION("""COMPUTED_VALUE"""),2137841.0)</f>
        <v>2137841</v>
      </c>
      <c r="S21" s="464">
        <f>IFERROR(__xludf.DUMMYFUNCTION("""COMPUTED_VALUE"""),0.0652433167288348)</f>
        <v>0.06524331673</v>
      </c>
      <c r="T21" s="465">
        <f>IFERROR(__xludf.DUMMYFUNCTION("""COMPUTED_VALUE"""),0.05720220782603583)</f>
        <v>0.05720220783</v>
      </c>
      <c r="U21" s="465">
        <f>IFERROR(__xludf.DUMMYFUNCTION("""COMPUTED_VALUE"""),0.06442675715381689)</f>
        <v>0.06442675715</v>
      </c>
      <c r="V21" s="466">
        <f>IFERROR(__xludf.DUMMYFUNCTION("""COMPUTED_VALUE"""),0.06680269872027868)</f>
        <v>0.06680269872</v>
      </c>
      <c r="W21" s="464">
        <f>IFERROR(__xludf.DUMMYFUNCTION("""COMPUTED_VALUE"""),0.40188)</f>
        <v>0.40188</v>
      </c>
      <c r="X21" s="465">
        <f>IFERROR(__xludf.DUMMYFUNCTION("""COMPUTED_VALUE"""),0.5125705777096115)</f>
        <v>0.5125705777</v>
      </c>
      <c r="Y21" s="465">
        <f>IFERROR(__xludf.DUMMYFUNCTION("""COMPUTED_VALUE"""),0.5683980092592592)</f>
        <v>0.5683980093</v>
      </c>
      <c r="Z21" s="466">
        <f>IFERROR(__xludf.DUMMYFUNCTION("""COMPUTED_VALUE"""),0.6312226048387097)</f>
        <v>0.6312226048</v>
      </c>
      <c r="AA21" s="461">
        <f>IFERROR(__xludf.DUMMYFUNCTION("""COMPUTED_VALUE"""),10.0)</f>
        <v>10</v>
      </c>
      <c r="AB21" s="259">
        <f>IFERROR(__xludf.DUMMYFUNCTION("""COMPUTED_VALUE"""),13.0)</f>
        <v>13</v>
      </c>
      <c r="AC21" s="259">
        <f>IFERROR(__xludf.DUMMYFUNCTION("""COMPUTED_VALUE"""),14.0)</f>
        <v>14</v>
      </c>
      <c r="AD21" s="463">
        <f>IFERROR(__xludf.DUMMYFUNCTION("""COMPUTED_VALUE"""),17.0)</f>
        <v>17</v>
      </c>
      <c r="AE21" s="461">
        <f>IFERROR(__xludf.DUMMYFUNCTION("""COMPUTED_VALUE"""),461.0)</f>
        <v>461</v>
      </c>
      <c r="AF21" s="259">
        <f>IFERROR(__xludf.DUMMYFUNCTION("""COMPUTED_VALUE"""),1098.0)</f>
        <v>1098</v>
      </c>
      <c r="AG21" s="259">
        <f>IFERROR(__xludf.DUMMYFUNCTION("""COMPUTED_VALUE"""),1301.0)</f>
        <v>1301</v>
      </c>
      <c r="AH21" s="463">
        <f>IFERROR(__xludf.DUMMYFUNCTION("""COMPUTED_VALUE"""),1568.0)</f>
        <v>1568</v>
      </c>
      <c r="AI21" s="428"/>
    </row>
    <row r="22">
      <c r="A22" s="457" t="str">
        <f>IFERROR(__xludf.DUMMYFUNCTION("""COMPUTED_VALUE"""),"Syed Aqil Rizvi")</f>
        <v>Syed Aqil Rizvi</v>
      </c>
      <c r="B22" s="430" t="str">
        <f>IFERROR(__xludf.DUMMYFUNCTION("""COMPUTED_VALUE"""),"Maharashtra 2")</f>
        <v>Maharashtra 2</v>
      </c>
      <c r="C22" s="458">
        <f>IFERROR(__xludf.DUMMYFUNCTION("""COMPUTED_VALUE"""),2.76E7)</f>
        <v>27600000</v>
      </c>
      <c r="D22" s="459">
        <f>IFERROR(__xludf.DUMMYFUNCTION("""COMPUTED_VALUE"""),4.884E7)</f>
        <v>48840000</v>
      </c>
      <c r="E22" s="459">
        <f>IFERROR(__xludf.DUMMYFUNCTION("""COMPUTED_VALUE"""),7.71E7)</f>
        <v>77100000</v>
      </c>
      <c r="F22" s="460">
        <f>IFERROR(__xludf.DUMMYFUNCTION("""COMPUTED_VALUE"""),5.472E7)</f>
        <v>54720000</v>
      </c>
      <c r="G22" s="461">
        <f>IFERROR(__xludf.DUMMYFUNCTION("""COMPUTED_VALUE"""),1.033236E7)</f>
        <v>10332360</v>
      </c>
      <c r="H22" s="259">
        <f>IFERROR(__xludf.DUMMYFUNCTION("""COMPUTED_VALUE"""),1.493292E7)</f>
        <v>14932920</v>
      </c>
      <c r="I22" s="259">
        <f>IFERROR(__xludf.DUMMYFUNCTION("""COMPUTED_VALUE"""),2.1965227E7)</f>
        <v>21965227</v>
      </c>
      <c r="J22" s="462">
        <f>IFERROR(__xludf.DUMMYFUNCTION("""COMPUTED_VALUE"""),2.765752721E7)</f>
        <v>27657527.21</v>
      </c>
      <c r="K22" s="461">
        <f>IFERROR(__xludf.DUMMYFUNCTION("""COMPUTED_VALUE"""),575183.0)</f>
        <v>575183</v>
      </c>
      <c r="L22" s="259">
        <f>IFERROR(__xludf.DUMMYFUNCTION("""COMPUTED_VALUE"""),1130401.0)</f>
        <v>1130401</v>
      </c>
      <c r="M22" s="259">
        <f>IFERROR(__xludf.DUMMYFUNCTION("""COMPUTED_VALUE"""),1675354.0)</f>
        <v>1675354</v>
      </c>
      <c r="N22" s="462">
        <f>IFERROR(__xludf.DUMMYFUNCTION("""COMPUTED_VALUE"""),974544.0)</f>
        <v>974544</v>
      </c>
      <c r="O22" s="461">
        <f>IFERROR(__xludf.DUMMYFUNCTION("""COMPUTED_VALUE"""),228648.0)</f>
        <v>228648</v>
      </c>
      <c r="P22" s="259">
        <f>IFERROR(__xludf.DUMMYFUNCTION("""COMPUTED_VALUE"""),448329.0)</f>
        <v>448329</v>
      </c>
      <c r="Q22" s="259">
        <f>IFERROR(__xludf.DUMMYFUNCTION("""COMPUTED_VALUE"""),591667.0)</f>
        <v>591667</v>
      </c>
      <c r="R22" s="463">
        <f>IFERROR(__xludf.DUMMYFUNCTION("""COMPUTED_VALUE"""),550283.0)</f>
        <v>550283</v>
      </c>
      <c r="S22" s="464">
        <f>IFERROR(__xludf.DUMMYFUNCTION("""COMPUTED_VALUE"""),0.07779742478968987)</f>
        <v>0.07779742479</v>
      </c>
      <c r="T22" s="465">
        <f>IFERROR(__xludf.DUMMYFUNCTION("""COMPUTED_VALUE"""),0.10572145300450281)</f>
        <v>0.105721453</v>
      </c>
      <c r="U22" s="465">
        <f>IFERROR(__xludf.DUMMYFUNCTION("""COMPUTED_VALUE"""),0.10320954115338758)</f>
        <v>0.1032095412</v>
      </c>
      <c r="V22" s="466">
        <f>IFERROR(__xludf.DUMMYFUNCTION("""COMPUTED_VALUE"""),0.055132441466013475)</f>
        <v>0.05513244147</v>
      </c>
      <c r="W22" s="464">
        <f>IFERROR(__xludf.DUMMYFUNCTION("""COMPUTED_VALUE"""),0.3743608695652174)</f>
        <v>0.3743608696</v>
      </c>
      <c r="X22" s="465">
        <f>IFERROR(__xludf.DUMMYFUNCTION("""COMPUTED_VALUE"""),0.30575184275184275)</f>
        <v>0.3057518428</v>
      </c>
      <c r="Y22" s="465">
        <f>IFERROR(__xludf.DUMMYFUNCTION("""COMPUTED_VALUE"""),0.2848926977950713)</f>
        <v>0.2848926978</v>
      </c>
      <c r="Z22" s="466">
        <f>IFERROR(__xludf.DUMMYFUNCTION("""COMPUTED_VALUE"""),0.5054372662646199)</f>
        <v>0.5054372663</v>
      </c>
      <c r="AA22" s="461">
        <f>IFERROR(__xludf.DUMMYFUNCTION("""COMPUTED_VALUE"""),4.0)</f>
        <v>4</v>
      </c>
      <c r="AB22" s="259">
        <f>IFERROR(__xludf.DUMMYFUNCTION("""COMPUTED_VALUE"""),6.0)</f>
        <v>6</v>
      </c>
      <c r="AC22" s="259">
        <f>IFERROR(__xludf.DUMMYFUNCTION("""COMPUTED_VALUE"""),5.0)</f>
        <v>5</v>
      </c>
      <c r="AD22" s="463">
        <f>IFERROR(__xludf.DUMMYFUNCTION("""COMPUTED_VALUE"""),3.0)</f>
        <v>3</v>
      </c>
      <c r="AE22" s="461">
        <f>IFERROR(__xludf.DUMMYFUNCTION("""COMPUTED_VALUE"""),188.0)</f>
        <v>188</v>
      </c>
      <c r="AF22" s="259">
        <f>IFERROR(__xludf.DUMMYFUNCTION("""COMPUTED_VALUE"""),290.0)</f>
        <v>290</v>
      </c>
      <c r="AG22" s="259">
        <f>IFERROR(__xludf.DUMMYFUNCTION("""COMPUTED_VALUE"""),307.0)</f>
        <v>307</v>
      </c>
      <c r="AH22" s="463">
        <f>IFERROR(__xludf.DUMMYFUNCTION("""COMPUTED_VALUE"""),162.0)</f>
        <v>162</v>
      </c>
      <c r="AI22" s="428"/>
    </row>
    <row r="23">
      <c r="A23" s="457" t="str">
        <f>IFERROR(__xludf.DUMMYFUNCTION("""COMPUTED_VALUE"""),"Sandeep Dadheech")</f>
        <v>Sandeep Dadheech</v>
      </c>
      <c r="B23" s="430" t="str">
        <f>IFERROR(__xludf.DUMMYFUNCTION("""COMPUTED_VALUE"""),"North East")</f>
        <v>North East</v>
      </c>
      <c r="C23" s="458">
        <f>IFERROR(__xludf.DUMMYFUNCTION("""COMPUTED_VALUE"""),2.012E8)</f>
        <v>201200000</v>
      </c>
      <c r="D23" s="459">
        <f>IFERROR(__xludf.DUMMYFUNCTION("""COMPUTED_VALUE"""),1.077E8)</f>
        <v>107700000</v>
      </c>
      <c r="E23" s="459">
        <f>IFERROR(__xludf.DUMMYFUNCTION("""COMPUTED_VALUE"""),1.2592E8)</f>
        <v>125920000</v>
      </c>
      <c r="F23" s="460">
        <f>IFERROR(__xludf.DUMMYFUNCTION("""COMPUTED_VALUE"""),1.44E8)</f>
        <v>144000000</v>
      </c>
      <c r="G23" s="461">
        <f>IFERROR(__xludf.DUMMYFUNCTION("""COMPUTED_VALUE"""),8.493979E7)</f>
        <v>84939790</v>
      </c>
      <c r="H23" s="259">
        <f>IFERROR(__xludf.DUMMYFUNCTION("""COMPUTED_VALUE"""),7.0155464E7)</f>
        <v>70155464</v>
      </c>
      <c r="I23" s="259">
        <f>IFERROR(__xludf.DUMMYFUNCTION("""COMPUTED_VALUE"""),1.19400906E8)</f>
        <v>119400906</v>
      </c>
      <c r="J23" s="462">
        <f>IFERROR(__xludf.DUMMYFUNCTION("""COMPUTED_VALUE"""),1.0574613855E8)</f>
        <v>105746138.6</v>
      </c>
      <c r="K23" s="461">
        <f>IFERROR(__xludf.DUMMYFUNCTION("""COMPUTED_VALUE"""),1765436.0)</f>
        <v>1765436</v>
      </c>
      <c r="L23" s="259">
        <f>IFERROR(__xludf.DUMMYFUNCTION("""COMPUTED_VALUE"""),2318637.0)</f>
        <v>2318637</v>
      </c>
      <c r="M23" s="259">
        <f>IFERROR(__xludf.DUMMYFUNCTION("""COMPUTED_VALUE"""),3356095.0)</f>
        <v>3356095</v>
      </c>
      <c r="N23" s="462">
        <f>IFERROR(__xludf.DUMMYFUNCTION("""COMPUTED_VALUE"""),2632563.2258064514)</f>
        <v>2632563.226</v>
      </c>
      <c r="O23" s="461">
        <f>IFERROR(__xludf.DUMMYFUNCTION("""COMPUTED_VALUE"""),747211.0)</f>
        <v>747211</v>
      </c>
      <c r="P23" s="259">
        <f>IFERROR(__xludf.DUMMYFUNCTION("""COMPUTED_VALUE"""),776503.0)</f>
        <v>776503</v>
      </c>
      <c r="Q23" s="259">
        <f>IFERROR(__xludf.DUMMYFUNCTION("""COMPUTED_VALUE"""),1429367.0)</f>
        <v>1429367</v>
      </c>
      <c r="R23" s="463">
        <f>IFERROR(__xludf.DUMMYFUNCTION("""COMPUTED_VALUE"""),1362472.0)</f>
        <v>1362472</v>
      </c>
      <c r="S23" s="464">
        <f>IFERROR(__xludf.DUMMYFUNCTION("""COMPUTED_VALUE"""),0.029581507088727203)</f>
        <v>0.02958150709</v>
      </c>
      <c r="T23" s="465">
        <f>IFERROR(__xludf.DUMMYFUNCTION("""COMPUTED_VALUE"""),0.04411830274545686)</f>
        <v>0.04411830275</v>
      </c>
      <c r="U23" s="465">
        <f>IFERROR(__xludf.DUMMYFUNCTION("""COMPUTED_VALUE"""),0.04007894211455983)</f>
        <v>0.04007894211</v>
      </c>
      <c r="V23" s="466">
        <f>IFERROR(__xludf.DUMMYFUNCTION("""COMPUTED_VALUE"""),0.03777949039640324)</f>
        <v>0.0377794904</v>
      </c>
      <c r="W23" s="464">
        <f>IFERROR(__xludf.DUMMYFUNCTION("""COMPUTED_VALUE"""),0.4221659542743539)</f>
        <v>0.4221659543</v>
      </c>
      <c r="X23" s="465">
        <f>IFERROR(__xludf.DUMMYFUNCTION("""COMPUTED_VALUE"""),0.6513970659238626)</f>
        <v>0.6513970659</v>
      </c>
      <c r="Y23" s="465">
        <f>IFERROR(__xludf.DUMMYFUNCTION("""COMPUTED_VALUE"""),0.9482282878017789)</f>
        <v>0.9482282878</v>
      </c>
      <c r="Z23" s="466">
        <f>IFERROR(__xludf.DUMMYFUNCTION("""COMPUTED_VALUE"""),0.7343481843749999)</f>
        <v>0.7343481844</v>
      </c>
      <c r="AA23" s="461">
        <f>IFERROR(__xludf.DUMMYFUNCTION("""COMPUTED_VALUE"""),8.0)</f>
        <v>8</v>
      </c>
      <c r="AB23" s="259">
        <f>IFERROR(__xludf.DUMMYFUNCTION("""COMPUTED_VALUE"""),9.0)</f>
        <v>9</v>
      </c>
      <c r="AC23" s="259">
        <f>IFERROR(__xludf.DUMMYFUNCTION("""COMPUTED_VALUE"""),8.0)</f>
        <v>8</v>
      </c>
      <c r="AD23" s="463">
        <f>IFERROR(__xludf.DUMMYFUNCTION("""COMPUTED_VALUE"""),7.0)</f>
        <v>7</v>
      </c>
      <c r="AE23" s="461">
        <f>IFERROR(__xludf.DUMMYFUNCTION("""COMPUTED_VALUE"""),457.0)</f>
        <v>457</v>
      </c>
      <c r="AF23" s="259">
        <f>IFERROR(__xludf.DUMMYFUNCTION("""COMPUTED_VALUE"""),615.0)</f>
        <v>615</v>
      </c>
      <c r="AG23" s="259">
        <f>IFERROR(__xludf.DUMMYFUNCTION("""COMPUTED_VALUE"""),787.0)</f>
        <v>787</v>
      </c>
      <c r="AH23" s="463">
        <f>IFERROR(__xludf.DUMMYFUNCTION("""COMPUTED_VALUE"""),529.0)</f>
        <v>529</v>
      </c>
      <c r="AI23" s="428"/>
    </row>
    <row r="24">
      <c r="A24" s="457" t="str">
        <f>IFERROR(__xludf.DUMMYFUNCTION("""COMPUTED_VALUE"""),"Sandeep Dadheech")</f>
        <v>Sandeep Dadheech</v>
      </c>
      <c r="B24" s="430" t="str">
        <f>IFERROR(__xludf.DUMMYFUNCTION("""COMPUTED_VALUE"""),"Odisha")</f>
        <v>Odisha</v>
      </c>
      <c r="C24" s="458">
        <f>IFERROR(__xludf.DUMMYFUNCTION("""COMPUTED_VALUE"""),1.8E8)</f>
        <v>180000000</v>
      </c>
      <c r="D24" s="459">
        <f>IFERROR(__xludf.DUMMYFUNCTION("""COMPUTED_VALUE"""),1.919E8)</f>
        <v>191900000</v>
      </c>
      <c r="E24" s="459">
        <f>IFERROR(__xludf.DUMMYFUNCTION("""COMPUTED_VALUE"""),1.746E8)</f>
        <v>174600000</v>
      </c>
      <c r="F24" s="460">
        <f>IFERROR(__xludf.DUMMYFUNCTION("""COMPUTED_VALUE"""),2.27796E8)</f>
        <v>227796000</v>
      </c>
      <c r="G24" s="461">
        <f>IFERROR(__xludf.DUMMYFUNCTION("""COMPUTED_VALUE"""),1.33964668E8)</f>
        <v>133964668</v>
      </c>
      <c r="H24" s="259">
        <f>IFERROR(__xludf.DUMMYFUNCTION("""COMPUTED_VALUE"""),1.34657142E8)</f>
        <v>134657142</v>
      </c>
      <c r="I24" s="259">
        <f>IFERROR(__xludf.DUMMYFUNCTION("""COMPUTED_VALUE"""),1.3771723E8)</f>
        <v>137717230</v>
      </c>
      <c r="J24" s="462">
        <f>IFERROR(__xludf.DUMMYFUNCTION("""COMPUTED_VALUE"""),1.6654707407000002E8)</f>
        <v>166547074.1</v>
      </c>
      <c r="K24" s="461">
        <f>IFERROR(__xludf.DUMMYFUNCTION("""COMPUTED_VALUE"""),2659212.0)</f>
        <v>2659212</v>
      </c>
      <c r="L24" s="259">
        <f>IFERROR(__xludf.DUMMYFUNCTION("""COMPUTED_VALUE"""),3426860.0)</f>
        <v>3426860</v>
      </c>
      <c r="M24" s="259">
        <f>IFERROR(__xludf.DUMMYFUNCTION("""COMPUTED_VALUE"""),4285377.0)</f>
        <v>4285377</v>
      </c>
      <c r="N24" s="462">
        <f>IFERROR(__xludf.DUMMYFUNCTION("""COMPUTED_VALUE"""),4712780.0)</f>
        <v>4712780</v>
      </c>
      <c r="O24" s="461">
        <f>IFERROR(__xludf.DUMMYFUNCTION("""COMPUTED_VALUE"""),786104.0)</f>
        <v>786104</v>
      </c>
      <c r="P24" s="259">
        <f>IFERROR(__xludf.DUMMYFUNCTION("""COMPUTED_VALUE"""),966692.0)</f>
        <v>966692</v>
      </c>
      <c r="Q24" s="259">
        <f>IFERROR(__xludf.DUMMYFUNCTION("""COMPUTED_VALUE"""),1121225.0)</f>
        <v>1121225</v>
      </c>
      <c r="R24" s="463">
        <f>IFERROR(__xludf.DUMMYFUNCTION("""COMPUTED_VALUE"""),1214705.0)</f>
        <v>1214705</v>
      </c>
      <c r="S24" s="464">
        <f>IFERROR(__xludf.DUMMYFUNCTION("""COMPUTED_VALUE"""),0.025718094565053525)</f>
        <v>0.02571809457</v>
      </c>
      <c r="T24" s="465">
        <f>IFERROR(__xludf.DUMMYFUNCTION("""COMPUTED_VALUE"""),0.03262769382109714)</f>
        <v>0.03262769382</v>
      </c>
      <c r="U24" s="465">
        <f>IFERROR(__xludf.DUMMYFUNCTION("""COMPUTED_VALUE"""),0.03925871875291131)</f>
        <v>0.03925871875</v>
      </c>
      <c r="V24" s="466">
        <f>IFERROR(__xludf.DUMMYFUNCTION("""COMPUTED_VALUE"""),0.03559044812464653)</f>
        <v>0.03559044812</v>
      </c>
      <c r="W24" s="464">
        <f>IFERROR(__xludf.DUMMYFUNCTION("""COMPUTED_VALUE"""),0.7442481555555556)</f>
        <v>0.7442481556</v>
      </c>
      <c r="X24" s="465">
        <f>IFERROR(__xludf.DUMMYFUNCTION("""COMPUTED_VALUE"""),0.7017047524752476)</f>
        <v>0.7017047525</v>
      </c>
      <c r="Y24" s="465">
        <f>IFERROR(__xludf.DUMMYFUNCTION("""COMPUTED_VALUE"""),0.7887584765177549)</f>
        <v>0.7887584765</v>
      </c>
      <c r="Z24" s="466">
        <f>IFERROR(__xludf.DUMMYFUNCTION("""COMPUTED_VALUE"""),0.731123786501958)</f>
        <v>0.7311237865</v>
      </c>
      <c r="AA24" s="461">
        <f>IFERROR(__xludf.DUMMYFUNCTION("""COMPUTED_VALUE"""),6.0)</f>
        <v>6</v>
      </c>
      <c r="AB24" s="259">
        <f>IFERROR(__xludf.DUMMYFUNCTION("""COMPUTED_VALUE"""),8.0)</f>
        <v>8</v>
      </c>
      <c r="AC24" s="259">
        <f>IFERROR(__xludf.DUMMYFUNCTION("""COMPUTED_VALUE"""),7.0)</f>
        <v>7</v>
      </c>
      <c r="AD24" s="463">
        <f>IFERROR(__xludf.DUMMYFUNCTION("""COMPUTED_VALUE"""),8.0)</f>
        <v>8</v>
      </c>
      <c r="AE24" s="461">
        <f>IFERROR(__xludf.DUMMYFUNCTION("""COMPUTED_VALUE"""),385.0)</f>
        <v>385</v>
      </c>
      <c r="AF24" s="259">
        <f>IFERROR(__xludf.DUMMYFUNCTION("""COMPUTED_VALUE"""),493.0)</f>
        <v>493</v>
      </c>
      <c r="AG24" s="259">
        <f>IFERROR(__xludf.DUMMYFUNCTION("""COMPUTED_VALUE"""),500.0)</f>
        <v>500</v>
      </c>
      <c r="AH24" s="463">
        <f>IFERROR(__xludf.DUMMYFUNCTION("""COMPUTED_VALUE"""),571.0)</f>
        <v>571</v>
      </c>
      <c r="AI24" s="428"/>
    </row>
    <row r="25">
      <c r="A25" s="457" t="str">
        <f>IFERROR(__xludf.DUMMYFUNCTION("""COMPUTED_VALUE"""),"Sulinder Pal")</f>
        <v>Sulinder Pal</v>
      </c>
      <c r="B25" s="430" t="str">
        <f>IFERROR(__xludf.DUMMYFUNCTION("""COMPUTED_VALUE"""),"Punjab")</f>
        <v>Punjab</v>
      </c>
      <c r="C25" s="458">
        <f>IFERROR(__xludf.DUMMYFUNCTION("""COMPUTED_VALUE"""),0.0)</f>
        <v>0</v>
      </c>
      <c r="D25" s="459">
        <f>IFERROR(__xludf.DUMMYFUNCTION("""COMPUTED_VALUE"""),3.43E7)</f>
        <v>34300000</v>
      </c>
      <c r="E25" s="459">
        <f>IFERROR(__xludf.DUMMYFUNCTION("""COMPUTED_VALUE"""),2.0572E7)</f>
        <v>20572000</v>
      </c>
      <c r="F25" s="460">
        <f>IFERROR(__xludf.DUMMYFUNCTION("""COMPUTED_VALUE"""),2.4999996E7)</f>
        <v>24999996</v>
      </c>
      <c r="G25" s="461">
        <f>IFERROR(__xludf.DUMMYFUNCTION("""COMPUTED_VALUE"""),0.0)</f>
        <v>0</v>
      </c>
      <c r="H25" s="259">
        <f>IFERROR(__xludf.DUMMYFUNCTION("""COMPUTED_VALUE"""),4659288.0)</f>
        <v>4659288</v>
      </c>
      <c r="I25" s="259">
        <f>IFERROR(__xludf.DUMMYFUNCTION("""COMPUTED_VALUE"""),9084813.0)</f>
        <v>9084813</v>
      </c>
      <c r="J25" s="462">
        <f>IFERROR(__xludf.DUMMYFUNCTION("""COMPUTED_VALUE"""),1.360243186E7)</f>
        <v>13602431.86</v>
      </c>
      <c r="K25" s="461">
        <f>IFERROR(__xludf.DUMMYFUNCTION("""COMPUTED_VALUE"""),0.0)</f>
        <v>0</v>
      </c>
      <c r="L25" s="259">
        <f>IFERROR(__xludf.DUMMYFUNCTION("""COMPUTED_VALUE"""),1207691.0)</f>
        <v>1207691</v>
      </c>
      <c r="M25" s="259">
        <f>IFERROR(__xludf.DUMMYFUNCTION("""COMPUTED_VALUE"""),1242732.0)</f>
        <v>1242732</v>
      </c>
      <c r="N25" s="462">
        <f>IFERROR(__xludf.DUMMYFUNCTION("""COMPUTED_VALUE"""),1622590.0)</f>
        <v>1622590</v>
      </c>
      <c r="O25" s="461">
        <f>IFERROR(__xludf.DUMMYFUNCTION("""COMPUTED_VALUE"""),0.0)</f>
        <v>0</v>
      </c>
      <c r="P25" s="259">
        <f>IFERROR(__xludf.DUMMYFUNCTION("""COMPUTED_VALUE"""),260679.0)</f>
        <v>260679</v>
      </c>
      <c r="Q25" s="259">
        <f>IFERROR(__xludf.DUMMYFUNCTION("""COMPUTED_VALUE"""),546920.0)</f>
        <v>546920</v>
      </c>
      <c r="R25" s="463">
        <f>IFERROR(__xludf.DUMMYFUNCTION("""COMPUTED_VALUE"""),995442.0)</f>
        <v>995442</v>
      </c>
      <c r="S25" s="461"/>
      <c r="T25" s="465">
        <f>IFERROR(__xludf.DUMMYFUNCTION("""COMPUTED_VALUE"""),0.3151490098916401)</f>
        <v>0.3151490099</v>
      </c>
      <c r="U25" s="465">
        <f>IFERROR(__xludf.DUMMYFUNCTION("""COMPUTED_VALUE"""),0.19699381814463324)</f>
        <v>0.1969938181</v>
      </c>
      <c r="V25" s="466">
        <f>IFERROR(__xludf.DUMMYFUNCTION("""COMPUTED_VALUE"""),0.19246793712664848)</f>
        <v>0.1924679371</v>
      </c>
      <c r="W25" s="461"/>
      <c r="X25" s="465">
        <f>IFERROR(__xludf.DUMMYFUNCTION("""COMPUTED_VALUE"""),0.1358393002915452)</f>
        <v>0.1358393003</v>
      </c>
      <c r="Y25" s="465">
        <f>IFERROR(__xludf.DUMMYFUNCTION("""COMPUTED_VALUE"""),0.44161058720591095)</f>
        <v>0.4416105872</v>
      </c>
      <c r="Z25" s="466">
        <f>IFERROR(__xludf.DUMMYFUNCTION("""COMPUTED_VALUE"""),0.5440973614555779)</f>
        <v>0.5440973615</v>
      </c>
      <c r="AA25" s="461">
        <f>IFERROR(__xludf.DUMMYFUNCTION("""COMPUTED_VALUE"""),2.0)</f>
        <v>2</v>
      </c>
      <c r="AB25" s="259">
        <f>IFERROR(__xludf.DUMMYFUNCTION("""COMPUTED_VALUE"""),6.0)</f>
        <v>6</v>
      </c>
      <c r="AC25" s="259">
        <f>IFERROR(__xludf.DUMMYFUNCTION("""COMPUTED_VALUE"""),5.0)</f>
        <v>5</v>
      </c>
      <c r="AD25" s="463">
        <f>IFERROR(__xludf.DUMMYFUNCTION("""COMPUTED_VALUE"""),4.0)</f>
        <v>4</v>
      </c>
      <c r="AE25" s="461">
        <f>IFERROR(__xludf.DUMMYFUNCTION("""COMPUTED_VALUE"""),0.0)</f>
        <v>0</v>
      </c>
      <c r="AF25" s="259">
        <f>IFERROR(__xludf.DUMMYFUNCTION("""COMPUTED_VALUE"""),142.0)</f>
        <v>142</v>
      </c>
      <c r="AG25" s="259">
        <f>IFERROR(__xludf.DUMMYFUNCTION("""COMPUTED_VALUE"""),397.0)</f>
        <v>397</v>
      </c>
      <c r="AH25" s="463">
        <f>IFERROR(__xludf.DUMMYFUNCTION("""COMPUTED_VALUE"""),313.0)</f>
        <v>313</v>
      </c>
      <c r="AI25" s="428"/>
    </row>
    <row r="26">
      <c r="A26" s="457" t="str">
        <f>IFERROR(__xludf.DUMMYFUNCTION("""COMPUTED_VALUE"""),"Pawan Sharma")</f>
        <v>Pawan Sharma</v>
      </c>
      <c r="B26" s="430" t="str">
        <f>IFERROR(__xludf.DUMMYFUNCTION("""COMPUTED_VALUE"""),"Rajasthan")</f>
        <v>Rajasthan</v>
      </c>
      <c r="C26" s="458">
        <f>IFERROR(__xludf.DUMMYFUNCTION("""COMPUTED_VALUE"""),1.8E7)</f>
        <v>18000000</v>
      </c>
      <c r="D26" s="459">
        <f>IFERROR(__xludf.DUMMYFUNCTION("""COMPUTED_VALUE"""),1.5616E8)</f>
        <v>156160000</v>
      </c>
      <c r="E26" s="459">
        <f>IFERROR(__xludf.DUMMYFUNCTION("""COMPUTED_VALUE"""),8.593E7)</f>
        <v>85930000</v>
      </c>
      <c r="F26" s="460">
        <f>IFERROR(__xludf.DUMMYFUNCTION("""COMPUTED_VALUE"""),6.53E7)</f>
        <v>65300000</v>
      </c>
      <c r="G26" s="461">
        <f>IFERROR(__xludf.DUMMYFUNCTION("""COMPUTED_VALUE"""),1.148332E7)</f>
        <v>11483320</v>
      </c>
      <c r="H26" s="259">
        <f>IFERROR(__xludf.DUMMYFUNCTION("""COMPUTED_VALUE"""),1.938534E7)</f>
        <v>19385340</v>
      </c>
      <c r="I26" s="259">
        <f>IFERROR(__xludf.DUMMYFUNCTION("""COMPUTED_VALUE"""),2.4875883E7)</f>
        <v>24875883</v>
      </c>
      <c r="J26" s="462">
        <f>IFERROR(__xludf.DUMMYFUNCTION("""COMPUTED_VALUE"""),2.295741351E7)</f>
        <v>22957413.51</v>
      </c>
      <c r="K26" s="461">
        <f>IFERROR(__xludf.DUMMYFUNCTION("""COMPUTED_VALUE"""),543751.0)</f>
        <v>543751</v>
      </c>
      <c r="L26" s="259">
        <f>IFERROR(__xludf.DUMMYFUNCTION("""COMPUTED_VALUE"""),3767576.0)</f>
        <v>3767576</v>
      </c>
      <c r="M26" s="259">
        <f>IFERROR(__xludf.DUMMYFUNCTION("""COMPUTED_VALUE"""),3856286.0)</f>
        <v>3856286</v>
      </c>
      <c r="N26" s="462">
        <f>IFERROR(__xludf.DUMMYFUNCTION("""COMPUTED_VALUE"""),2650046.8451612904)</f>
        <v>2650046.845</v>
      </c>
      <c r="O26" s="461">
        <f>IFERROR(__xludf.DUMMYFUNCTION("""COMPUTED_VALUE"""),155658.0)</f>
        <v>155658</v>
      </c>
      <c r="P26" s="259">
        <f>IFERROR(__xludf.DUMMYFUNCTION("""COMPUTED_VALUE"""),1246775.0)</f>
        <v>1246775</v>
      </c>
      <c r="Q26" s="259">
        <f>IFERROR(__xludf.DUMMYFUNCTION("""COMPUTED_VALUE"""),1377558.0)</f>
        <v>1377558</v>
      </c>
      <c r="R26" s="463">
        <f>IFERROR(__xludf.DUMMYFUNCTION("""COMPUTED_VALUE"""),1238776.0)</f>
        <v>1238776</v>
      </c>
      <c r="S26" s="464">
        <f>IFERROR(__xludf.DUMMYFUNCTION("""COMPUTED_VALUE"""),0.06090651484065584)</f>
        <v>0.06090651484</v>
      </c>
      <c r="T26" s="465">
        <f>IFERROR(__xludf.DUMMYFUNCTION("""COMPUTED_VALUE"""),0.2586671680764949)</f>
        <v>0.2586671681</v>
      </c>
      <c r="U26" s="465">
        <f>IFERROR(__xludf.DUMMYFUNCTION("""COMPUTED_VALUE"""),0.2103983203329908)</f>
        <v>0.2103983203</v>
      </c>
      <c r="V26" s="466">
        <f>IFERROR(__xludf.DUMMYFUNCTION("""COMPUTED_VALUE"""),0.16939289974749816)</f>
        <v>0.1693928997</v>
      </c>
      <c r="W26" s="464">
        <f>IFERROR(__xludf.DUMMYFUNCTION("""COMPUTED_VALUE"""),0.6379622222222222)</f>
        <v>0.6379622222</v>
      </c>
      <c r="X26" s="465">
        <f>IFERROR(__xludf.DUMMYFUNCTION("""COMPUTED_VALUE"""),0.1241376793032787)</f>
        <v>0.1241376793</v>
      </c>
      <c r="Y26" s="465">
        <f>IFERROR(__xludf.DUMMYFUNCTION("""COMPUTED_VALUE"""),0.2894900849528686)</f>
        <v>0.289490085</v>
      </c>
      <c r="Z26" s="466">
        <f>IFERROR(__xludf.DUMMYFUNCTION("""COMPUTED_VALUE"""),0.35156835390505364)</f>
        <v>0.3515683539</v>
      </c>
      <c r="AA26" s="461">
        <f>IFERROR(__xludf.DUMMYFUNCTION("""COMPUTED_VALUE"""),4.0)</f>
        <v>4</v>
      </c>
      <c r="AB26" s="259">
        <f>IFERROR(__xludf.DUMMYFUNCTION("""COMPUTED_VALUE"""),22.0)</f>
        <v>22</v>
      </c>
      <c r="AC26" s="259">
        <f>IFERROR(__xludf.DUMMYFUNCTION("""COMPUTED_VALUE"""),30.0)</f>
        <v>30</v>
      </c>
      <c r="AD26" s="463">
        <f>IFERROR(__xludf.DUMMYFUNCTION("""COMPUTED_VALUE"""),15.0)</f>
        <v>15</v>
      </c>
      <c r="AE26" s="461">
        <f>IFERROR(__xludf.DUMMYFUNCTION("""COMPUTED_VALUE"""),89.0)</f>
        <v>89</v>
      </c>
      <c r="AF26" s="259">
        <f>IFERROR(__xludf.DUMMYFUNCTION("""COMPUTED_VALUE"""),1009.0)</f>
        <v>1009</v>
      </c>
      <c r="AG26" s="259">
        <f>IFERROR(__xludf.DUMMYFUNCTION("""COMPUTED_VALUE"""),1266.0)</f>
        <v>1266</v>
      </c>
      <c r="AH26" s="463">
        <f>IFERROR(__xludf.DUMMYFUNCTION("""COMPUTED_VALUE"""),736.0)</f>
        <v>736</v>
      </c>
      <c r="AI26" s="428"/>
    </row>
    <row r="27">
      <c r="A27" s="457" t="str">
        <f>IFERROR(__xludf.DUMMYFUNCTION("""COMPUTED_VALUE"""),"Sandeep Dadheech")</f>
        <v>Sandeep Dadheech</v>
      </c>
      <c r="B27" s="430" t="str">
        <f>IFERROR(__xludf.DUMMYFUNCTION("""COMPUTED_VALUE"""),"Tamil Nadu")</f>
        <v>Tamil Nadu</v>
      </c>
      <c r="C27" s="458">
        <f>IFERROR(__xludf.DUMMYFUNCTION("""COMPUTED_VALUE"""),1.392E8)</f>
        <v>139200000</v>
      </c>
      <c r="D27" s="459">
        <f>IFERROR(__xludf.DUMMYFUNCTION("""COMPUTED_VALUE"""),2.1821E8)</f>
        <v>218210000</v>
      </c>
      <c r="E27" s="459">
        <f>IFERROR(__xludf.DUMMYFUNCTION("""COMPUTED_VALUE"""),1.414E8)</f>
        <v>141400000</v>
      </c>
      <c r="F27" s="460">
        <f>IFERROR(__xludf.DUMMYFUNCTION("""COMPUTED_VALUE"""),1.11250003E8)</f>
        <v>111250003</v>
      </c>
      <c r="G27" s="461">
        <f>IFERROR(__xludf.DUMMYFUNCTION("""COMPUTED_VALUE"""),7.4412858E7)</f>
        <v>74412858</v>
      </c>
      <c r="H27" s="259">
        <f>IFERROR(__xludf.DUMMYFUNCTION("""COMPUTED_VALUE"""),7.3405914E7)</f>
        <v>73405914</v>
      </c>
      <c r="I27" s="259">
        <f>IFERROR(__xludf.DUMMYFUNCTION("""COMPUTED_VALUE"""),6.6395561E7)</f>
        <v>66395561</v>
      </c>
      <c r="J27" s="462">
        <f>IFERROR(__xludf.DUMMYFUNCTION("""COMPUTED_VALUE"""),5.349502078E7)</f>
        <v>53495020.78</v>
      </c>
      <c r="K27" s="461">
        <f>IFERROR(__xludf.DUMMYFUNCTION("""COMPUTED_VALUE"""),2603908.0)</f>
        <v>2603908</v>
      </c>
      <c r="L27" s="259">
        <f>IFERROR(__xludf.DUMMYFUNCTION("""COMPUTED_VALUE"""),4841180.0)</f>
        <v>4841180</v>
      </c>
      <c r="M27" s="259">
        <f>IFERROR(__xludf.DUMMYFUNCTION("""COMPUTED_VALUE"""),5139816.0)</f>
        <v>5139816</v>
      </c>
      <c r="N27" s="462">
        <f>IFERROR(__xludf.DUMMYFUNCTION("""COMPUTED_VALUE"""),3109610.1849462367)</f>
        <v>3109610.185</v>
      </c>
      <c r="O27" s="461">
        <f>IFERROR(__xludf.DUMMYFUNCTION("""COMPUTED_VALUE"""),1192472.0)</f>
        <v>1192472</v>
      </c>
      <c r="P27" s="259">
        <f>IFERROR(__xludf.DUMMYFUNCTION("""COMPUTED_VALUE"""),2131054.0)</f>
        <v>2131054</v>
      </c>
      <c r="Q27" s="259">
        <f>IFERROR(__xludf.DUMMYFUNCTION("""COMPUTED_VALUE"""),2184448.0)</f>
        <v>2184448</v>
      </c>
      <c r="R27" s="463">
        <f>IFERROR(__xludf.DUMMYFUNCTION("""COMPUTED_VALUE"""),1391290.0)</f>
        <v>1391290</v>
      </c>
      <c r="S27" s="464">
        <f>IFERROR(__xludf.DUMMYFUNCTION("""COMPUTED_VALUE"""),0.051017795876083676)</f>
        <v>0.05101779588</v>
      </c>
      <c r="T27" s="465">
        <f>IFERROR(__xludf.DUMMYFUNCTION("""COMPUTED_VALUE"""),0.09498191113048467)</f>
        <v>0.09498191113</v>
      </c>
      <c r="U27" s="465">
        <f>IFERROR(__xludf.DUMMYFUNCTION("""COMPUTED_VALUE"""),0.1103125553830323)</f>
        <v>0.1103125554</v>
      </c>
      <c r="V27" s="466">
        <f>IFERROR(__xludf.DUMMYFUNCTION("""COMPUTED_VALUE"""),0.08413680599277332)</f>
        <v>0.08413680599</v>
      </c>
      <c r="W27" s="464">
        <f>IFERROR(__xludf.DUMMYFUNCTION("""COMPUTED_VALUE"""),0.5345751293103448)</f>
        <v>0.5345751293</v>
      </c>
      <c r="X27" s="465">
        <f>IFERROR(__xludf.DUMMYFUNCTION("""COMPUTED_VALUE"""),0.3364003207918977)</f>
        <v>0.3364003208</v>
      </c>
      <c r="Y27" s="465">
        <f>IFERROR(__xludf.DUMMYFUNCTION("""COMPUTED_VALUE"""),0.46955842291371996)</f>
        <v>0.4695584229</v>
      </c>
      <c r="Z27" s="466">
        <f>IFERROR(__xludf.DUMMYFUNCTION("""COMPUTED_VALUE"""),0.4808541064039342)</f>
        <v>0.4808541064</v>
      </c>
      <c r="AA27" s="461">
        <f>IFERROR(__xludf.DUMMYFUNCTION("""COMPUTED_VALUE"""),15.0)</f>
        <v>15</v>
      </c>
      <c r="AB27" s="259">
        <f>IFERROR(__xludf.DUMMYFUNCTION("""COMPUTED_VALUE"""),23.0)</f>
        <v>23</v>
      </c>
      <c r="AC27" s="259">
        <f>IFERROR(__xludf.DUMMYFUNCTION("""COMPUTED_VALUE"""),20.0)</f>
        <v>20</v>
      </c>
      <c r="AD27" s="463">
        <f>IFERROR(__xludf.DUMMYFUNCTION("""COMPUTED_VALUE"""),14.0)</f>
        <v>14</v>
      </c>
      <c r="AE27" s="461">
        <f>IFERROR(__xludf.DUMMYFUNCTION("""COMPUTED_VALUE"""),765.0)</f>
        <v>765</v>
      </c>
      <c r="AF27" s="259">
        <f>IFERROR(__xludf.DUMMYFUNCTION("""COMPUTED_VALUE"""),1608.0)</f>
        <v>1608</v>
      </c>
      <c r="AG27" s="259">
        <f>IFERROR(__xludf.DUMMYFUNCTION("""COMPUTED_VALUE"""),1532.0)</f>
        <v>1532</v>
      </c>
      <c r="AH27" s="463">
        <f>IFERROR(__xludf.DUMMYFUNCTION("""COMPUTED_VALUE"""),1125.0)</f>
        <v>1125</v>
      </c>
      <c r="AI27" s="428"/>
    </row>
    <row r="28">
      <c r="A28" s="457" t="str">
        <f>IFERROR(__xludf.DUMMYFUNCTION("""COMPUTED_VALUE"""),"Sandeep Dadheech")</f>
        <v>Sandeep Dadheech</v>
      </c>
      <c r="B28" s="430" t="str">
        <f>IFERROR(__xludf.DUMMYFUNCTION("""COMPUTED_VALUE"""),"Telangana")</f>
        <v>Telangana</v>
      </c>
      <c r="C28" s="458">
        <f>IFERROR(__xludf.DUMMYFUNCTION("""COMPUTED_VALUE"""),6.6E7)</f>
        <v>66000000</v>
      </c>
      <c r="D28" s="459">
        <f>IFERROR(__xludf.DUMMYFUNCTION("""COMPUTED_VALUE"""),6.138E7)</f>
        <v>61380000</v>
      </c>
      <c r="E28" s="459">
        <f>IFERROR(__xludf.DUMMYFUNCTION("""COMPUTED_VALUE"""),4.84E7)</f>
        <v>48400000</v>
      </c>
      <c r="F28" s="460">
        <f>IFERROR(__xludf.DUMMYFUNCTION("""COMPUTED_VALUE"""),5.391666666695E7)</f>
        <v>53916666.67</v>
      </c>
      <c r="G28" s="461">
        <f>IFERROR(__xludf.DUMMYFUNCTION("""COMPUTED_VALUE"""),2.1754853E7)</f>
        <v>21754853</v>
      </c>
      <c r="H28" s="259">
        <f>IFERROR(__xludf.DUMMYFUNCTION("""COMPUTED_VALUE"""),1.4362353E7)</f>
        <v>14362353</v>
      </c>
      <c r="I28" s="259">
        <f>IFERROR(__xludf.DUMMYFUNCTION("""COMPUTED_VALUE"""),2.6227957E7)</f>
        <v>26227957</v>
      </c>
      <c r="J28" s="462">
        <f>IFERROR(__xludf.DUMMYFUNCTION("""COMPUTED_VALUE"""),3.7152136980000004E7)</f>
        <v>37152136.98</v>
      </c>
      <c r="K28" s="461">
        <f>IFERROR(__xludf.DUMMYFUNCTION("""COMPUTED_VALUE"""),1170012.0)</f>
        <v>1170012</v>
      </c>
      <c r="L28" s="259">
        <f>IFERROR(__xludf.DUMMYFUNCTION("""COMPUTED_VALUE"""),980010.0)</f>
        <v>980010</v>
      </c>
      <c r="M28" s="259">
        <f>IFERROR(__xludf.DUMMYFUNCTION("""COMPUTED_VALUE"""),2013870.0)</f>
        <v>2013870</v>
      </c>
      <c r="N28" s="462">
        <f>IFERROR(__xludf.DUMMYFUNCTION("""COMPUTED_VALUE"""),1847862.0)</f>
        <v>1847862</v>
      </c>
      <c r="O28" s="461">
        <f>IFERROR(__xludf.DUMMYFUNCTION("""COMPUTED_VALUE"""),531814.0)</f>
        <v>531814</v>
      </c>
      <c r="P28" s="259">
        <f>IFERROR(__xludf.DUMMYFUNCTION("""COMPUTED_VALUE"""),187253.0)</f>
        <v>187253</v>
      </c>
      <c r="Q28" s="259">
        <f>IFERROR(__xludf.DUMMYFUNCTION("""COMPUTED_VALUE"""),880872.0)</f>
        <v>880872</v>
      </c>
      <c r="R28" s="463">
        <f>IFERROR(__xludf.DUMMYFUNCTION("""COMPUTED_VALUE"""),1020328.0)</f>
        <v>1020328</v>
      </c>
      <c r="S28" s="464">
        <f>IFERROR(__xludf.DUMMYFUNCTION("""COMPUTED_VALUE"""),0.07822741895796768)</f>
        <v>0.07822741896</v>
      </c>
      <c r="T28" s="465">
        <f>IFERROR(__xludf.DUMMYFUNCTION("""COMPUTED_VALUE"""),0.08127240710488037)</f>
        <v>0.0812724071</v>
      </c>
      <c r="U28" s="465">
        <f>IFERROR(__xludf.DUMMYFUNCTION("""COMPUTED_VALUE"""),0.11036856587800567)</f>
        <v>0.1103685659</v>
      </c>
      <c r="V28" s="466">
        <f>IFERROR(__xludf.DUMMYFUNCTION("""COMPUTED_VALUE"""),0.07720121191262898)</f>
        <v>0.07720121191</v>
      </c>
      <c r="W28" s="464">
        <f>IFERROR(__xludf.DUMMYFUNCTION("""COMPUTED_VALUE"""),0.32961898484848484)</f>
        <v>0.3296189848</v>
      </c>
      <c r="X28" s="465">
        <f>IFERROR(__xludf.DUMMYFUNCTION("""COMPUTED_VALUE"""),0.2339907624633431)</f>
        <v>0.2339907625</v>
      </c>
      <c r="Y28" s="465">
        <f>IFERROR(__xludf.DUMMYFUNCTION("""COMPUTED_VALUE"""),0.5418999380165289)</f>
        <v>0.541899938</v>
      </c>
      <c r="Z28" s="466">
        <f>IFERROR(__xludf.DUMMYFUNCTION("""COMPUTED_VALUE"""),0.689065909980923)</f>
        <v>0.68906591</v>
      </c>
      <c r="AA28" s="461">
        <f>IFERROR(__xludf.DUMMYFUNCTION("""COMPUTED_VALUE"""),3.0)</f>
        <v>3</v>
      </c>
      <c r="AB28" s="259">
        <f>IFERROR(__xludf.DUMMYFUNCTION("""COMPUTED_VALUE"""),4.0)</f>
        <v>4</v>
      </c>
      <c r="AC28" s="259">
        <f>IFERROR(__xludf.DUMMYFUNCTION("""COMPUTED_VALUE"""),5.0)</f>
        <v>5</v>
      </c>
      <c r="AD28" s="463">
        <f>IFERROR(__xludf.DUMMYFUNCTION("""COMPUTED_VALUE"""),4.0)</f>
        <v>4</v>
      </c>
      <c r="AE28" s="461">
        <f>IFERROR(__xludf.DUMMYFUNCTION("""COMPUTED_VALUE"""),270.0)</f>
        <v>270</v>
      </c>
      <c r="AF28" s="259">
        <f>IFERROR(__xludf.DUMMYFUNCTION("""COMPUTED_VALUE"""),336.0)</f>
        <v>336</v>
      </c>
      <c r="AG28" s="259">
        <f>IFERROR(__xludf.DUMMYFUNCTION("""COMPUTED_VALUE"""),678.0)</f>
        <v>678</v>
      </c>
      <c r="AH28" s="463">
        <f>IFERROR(__xludf.DUMMYFUNCTION("""COMPUTED_VALUE"""),810.0)</f>
        <v>810</v>
      </c>
      <c r="AI28" s="428"/>
    </row>
    <row r="29">
      <c r="A29" s="457" t="str">
        <f>IFERROR(__xludf.DUMMYFUNCTION("""COMPUTED_VALUE"""),"Anant Singh")</f>
        <v>Anant Singh</v>
      </c>
      <c r="B29" s="430" t="str">
        <f>IFERROR(__xludf.DUMMYFUNCTION("""COMPUTED_VALUE"""),"Uttarakhand")</f>
        <v>Uttarakhand</v>
      </c>
      <c r="C29" s="458">
        <f>IFERROR(__xludf.DUMMYFUNCTION("""COMPUTED_VALUE"""),7200000.0)</f>
        <v>7200000</v>
      </c>
      <c r="D29" s="459">
        <f>IFERROR(__xludf.DUMMYFUNCTION("""COMPUTED_VALUE"""),1.588E7)</f>
        <v>15880000</v>
      </c>
      <c r="E29" s="459">
        <f>IFERROR(__xludf.DUMMYFUNCTION("""COMPUTED_VALUE"""),1.62E7)</f>
        <v>16200000</v>
      </c>
      <c r="F29" s="460">
        <f>IFERROR(__xludf.DUMMYFUNCTION("""COMPUTED_VALUE"""),2.3303226E7)</f>
        <v>23303226</v>
      </c>
      <c r="G29" s="461">
        <f>IFERROR(__xludf.DUMMYFUNCTION("""COMPUTED_VALUE"""),27450.0)</f>
        <v>27450</v>
      </c>
      <c r="H29" s="259">
        <f>IFERROR(__xludf.DUMMYFUNCTION("""COMPUTED_VALUE"""),3798299.0)</f>
        <v>3798299</v>
      </c>
      <c r="I29" s="259">
        <f>IFERROR(__xludf.DUMMYFUNCTION("""COMPUTED_VALUE"""),3096821.0)</f>
        <v>3096821</v>
      </c>
      <c r="J29" s="462">
        <f>IFERROR(__xludf.DUMMYFUNCTION("""COMPUTED_VALUE"""),1.374422128E7)</f>
        <v>13744221.28</v>
      </c>
      <c r="K29" s="461">
        <f>IFERROR(__xludf.DUMMYFUNCTION("""COMPUTED_VALUE"""),200810.0)</f>
        <v>200810</v>
      </c>
      <c r="L29" s="259">
        <f>IFERROR(__xludf.DUMMYFUNCTION("""COMPUTED_VALUE"""),357835.0)</f>
        <v>357835</v>
      </c>
      <c r="M29" s="259">
        <f>IFERROR(__xludf.DUMMYFUNCTION("""COMPUTED_VALUE"""),493699.0)</f>
        <v>493699</v>
      </c>
      <c r="N29" s="462">
        <f>IFERROR(__xludf.DUMMYFUNCTION("""COMPUTED_VALUE"""),591397.0967741936)</f>
        <v>591397.0968</v>
      </c>
      <c r="O29" s="461">
        <f>IFERROR(__xludf.DUMMYFUNCTION("""COMPUTED_VALUE"""),33023.0)</f>
        <v>33023</v>
      </c>
      <c r="P29" s="259">
        <f>IFERROR(__xludf.DUMMYFUNCTION("""COMPUTED_VALUE"""),140599.0)</f>
        <v>140599</v>
      </c>
      <c r="Q29" s="259">
        <f>IFERROR(__xludf.DUMMYFUNCTION("""COMPUTED_VALUE"""),60323.0)</f>
        <v>60323</v>
      </c>
      <c r="R29" s="463">
        <f>IFERROR(__xludf.DUMMYFUNCTION("""COMPUTED_VALUE"""),233106.0)</f>
        <v>233106</v>
      </c>
      <c r="S29" s="464">
        <f>IFERROR(__xludf.DUMMYFUNCTION("""COMPUTED_VALUE"""),8.518506375227687)</f>
        <v>8.518506375</v>
      </c>
      <c r="T29" s="465">
        <f>IFERROR(__xludf.DUMMYFUNCTION("""COMPUTED_VALUE"""),0.13122558282009922)</f>
        <v>0.1312255828</v>
      </c>
      <c r="U29" s="465">
        <f>IFERROR(__xludf.DUMMYFUNCTION("""COMPUTED_VALUE"""),0.17890023349751244)</f>
        <v>0.1789002335</v>
      </c>
      <c r="V29" s="466">
        <f>IFERROR(__xludf.DUMMYFUNCTION("""COMPUTED_VALUE"""),0.05998907322410292)</f>
        <v>0.05998907322</v>
      </c>
      <c r="W29" s="464">
        <f>IFERROR(__xludf.DUMMYFUNCTION("""COMPUTED_VALUE"""),0.0038125)</f>
        <v>0.0038125</v>
      </c>
      <c r="X29" s="465">
        <f>IFERROR(__xludf.DUMMYFUNCTION("""COMPUTED_VALUE"""),0.2391875944584383)</f>
        <v>0.2391875945</v>
      </c>
      <c r="Y29" s="465">
        <f>IFERROR(__xludf.DUMMYFUNCTION("""COMPUTED_VALUE"""),0.1911617901234568)</f>
        <v>0.1911617901</v>
      </c>
      <c r="Z29" s="466">
        <f>IFERROR(__xludf.DUMMYFUNCTION("""COMPUTED_VALUE"""),0.5897990810371062)</f>
        <v>0.589799081</v>
      </c>
      <c r="AA29" s="461">
        <f>IFERROR(__xludf.DUMMYFUNCTION("""COMPUTED_VALUE"""),2.0)</f>
        <v>2</v>
      </c>
      <c r="AB29" s="259">
        <f>IFERROR(__xludf.DUMMYFUNCTION("""COMPUTED_VALUE"""),3.0)</f>
        <v>3</v>
      </c>
      <c r="AC29" s="259">
        <f>IFERROR(__xludf.DUMMYFUNCTION("""COMPUTED_VALUE"""),5.0)</f>
        <v>5</v>
      </c>
      <c r="AD29" s="463">
        <f>IFERROR(__xludf.DUMMYFUNCTION("""COMPUTED_VALUE"""),3.0)</f>
        <v>3</v>
      </c>
      <c r="AE29" s="461">
        <f>IFERROR(__xludf.DUMMYFUNCTION("""COMPUTED_VALUE"""),8.0)</f>
        <v>8</v>
      </c>
      <c r="AF29" s="259">
        <f>IFERROR(__xludf.DUMMYFUNCTION("""COMPUTED_VALUE"""),115.0)</f>
        <v>115</v>
      </c>
      <c r="AG29" s="259">
        <f>IFERROR(__xludf.DUMMYFUNCTION("""COMPUTED_VALUE"""),154.0)</f>
        <v>154</v>
      </c>
      <c r="AH29" s="463">
        <f>IFERROR(__xludf.DUMMYFUNCTION("""COMPUTED_VALUE"""),254.0)</f>
        <v>254</v>
      </c>
      <c r="AI29" s="428"/>
    </row>
    <row r="30">
      <c r="A30" s="457" t="str">
        <f>IFERROR(__xludf.DUMMYFUNCTION("""COMPUTED_VALUE"""),"Sandeep Dadheech")</f>
        <v>Sandeep Dadheech</v>
      </c>
      <c r="B30" s="430" t="str">
        <f>IFERROR(__xludf.DUMMYFUNCTION("""COMPUTED_VALUE"""),"West Bengal")</f>
        <v>West Bengal</v>
      </c>
      <c r="C30" s="458">
        <f>IFERROR(__xludf.DUMMYFUNCTION("""COMPUTED_VALUE"""),6.416E8)</f>
        <v>641600000</v>
      </c>
      <c r="D30" s="459">
        <f>IFERROR(__xludf.DUMMYFUNCTION("""COMPUTED_VALUE"""),1.0797E9)</f>
        <v>1079700000</v>
      </c>
      <c r="E30" s="459">
        <f>IFERROR(__xludf.DUMMYFUNCTION("""COMPUTED_VALUE"""),1.14985E9)</f>
        <v>1149850000</v>
      </c>
      <c r="F30" s="460">
        <f>IFERROR(__xludf.DUMMYFUNCTION("""COMPUTED_VALUE"""),1.060599981E9)</f>
        <v>1060599981</v>
      </c>
      <c r="G30" s="461">
        <f>IFERROR(__xludf.DUMMYFUNCTION("""COMPUTED_VALUE"""),5.15026883E8)</f>
        <v>515026883</v>
      </c>
      <c r="H30" s="259">
        <f>IFERROR(__xludf.DUMMYFUNCTION("""COMPUTED_VALUE"""),6.05569471E8)</f>
        <v>605569471</v>
      </c>
      <c r="I30" s="259">
        <f>IFERROR(__xludf.DUMMYFUNCTION("""COMPUTED_VALUE"""),8.25133913E8)</f>
        <v>825133913</v>
      </c>
      <c r="J30" s="462">
        <f>IFERROR(__xludf.DUMMYFUNCTION("""COMPUTED_VALUE"""),7.1213760632E8)</f>
        <v>712137606.3</v>
      </c>
      <c r="K30" s="461">
        <f>IFERROR(__xludf.DUMMYFUNCTION("""COMPUTED_VALUE"""),6111148.0)</f>
        <v>6111148</v>
      </c>
      <c r="L30" s="259">
        <f>IFERROR(__xludf.DUMMYFUNCTION("""COMPUTED_VALUE"""),1.1929019E7)</f>
        <v>11929019</v>
      </c>
      <c r="M30" s="259">
        <f>IFERROR(__xludf.DUMMYFUNCTION("""COMPUTED_VALUE"""),1.4538199E7)</f>
        <v>14538199</v>
      </c>
      <c r="N30" s="462">
        <f>IFERROR(__xludf.DUMMYFUNCTION("""COMPUTED_VALUE"""),1.6642995951612903E7)</f>
        <v>16642995.95</v>
      </c>
      <c r="O30" s="461">
        <f>IFERROR(__xludf.DUMMYFUNCTION("""COMPUTED_VALUE"""),1391426.0)</f>
        <v>1391426</v>
      </c>
      <c r="P30" s="259">
        <f>IFERROR(__xludf.DUMMYFUNCTION("""COMPUTED_VALUE"""),3045105.0)</f>
        <v>3045105</v>
      </c>
      <c r="Q30" s="259">
        <f>IFERROR(__xludf.DUMMYFUNCTION("""COMPUTED_VALUE"""),3963900.0)</f>
        <v>3963900</v>
      </c>
      <c r="R30" s="463">
        <f>IFERROR(__xludf.DUMMYFUNCTION("""COMPUTED_VALUE"""),4943851.0)</f>
        <v>4943851</v>
      </c>
      <c r="S30" s="464">
        <f>IFERROR(__xludf.DUMMYFUNCTION("""COMPUTED_VALUE"""),0.014567344438989216)</f>
        <v>0.01456734444</v>
      </c>
      <c r="T30" s="465">
        <f>IFERROR(__xludf.DUMMYFUNCTION("""COMPUTED_VALUE"""),0.024727342967393415)</f>
        <v>0.02472734297</v>
      </c>
      <c r="U30" s="465">
        <f>IFERROR(__xludf.DUMMYFUNCTION("""COMPUTED_VALUE"""),0.022423146968630292)</f>
        <v>0.02242314697</v>
      </c>
      <c r="V30" s="466">
        <f>IFERROR(__xludf.DUMMYFUNCTION("""COMPUTED_VALUE"""),0.030312746806286234)</f>
        <v>0.03031274681</v>
      </c>
      <c r="W30" s="464">
        <f>IFERROR(__xludf.DUMMYFUNCTION("""COMPUTED_VALUE"""),0.8027226979426434)</f>
        <v>0.8027226979</v>
      </c>
      <c r="X30" s="465">
        <f>IFERROR(__xludf.DUMMYFUNCTION("""COMPUTED_VALUE"""),0.5608682698897842)</f>
        <v>0.5608682699</v>
      </c>
      <c r="Y30" s="465">
        <f>IFERROR(__xludf.DUMMYFUNCTION("""COMPUTED_VALUE"""),0.7176013506109492)</f>
        <v>0.7176013506</v>
      </c>
      <c r="Z30" s="466">
        <f>IFERROR(__xludf.DUMMYFUNCTION("""COMPUTED_VALUE"""),0.6714478776895245)</f>
        <v>0.6714478777</v>
      </c>
      <c r="AA30" s="461">
        <f>IFERROR(__xludf.DUMMYFUNCTION("""COMPUTED_VALUE"""),14.0)</f>
        <v>14</v>
      </c>
      <c r="AB30" s="259">
        <f>IFERROR(__xludf.DUMMYFUNCTION("""COMPUTED_VALUE"""),36.0)</f>
        <v>36</v>
      </c>
      <c r="AC30" s="259">
        <f>IFERROR(__xludf.DUMMYFUNCTION("""COMPUTED_VALUE"""),36.0)</f>
        <v>36</v>
      </c>
      <c r="AD30" s="463">
        <f>IFERROR(__xludf.DUMMYFUNCTION("""COMPUTED_VALUE"""),41.0)</f>
        <v>41</v>
      </c>
      <c r="AE30" s="461">
        <f>IFERROR(__xludf.DUMMYFUNCTION("""COMPUTED_VALUE"""),923.0)</f>
        <v>923</v>
      </c>
      <c r="AF30" s="259">
        <f>IFERROR(__xludf.DUMMYFUNCTION("""COMPUTED_VALUE"""),2599.0)</f>
        <v>2599</v>
      </c>
      <c r="AG30" s="259">
        <f>IFERROR(__xludf.DUMMYFUNCTION("""COMPUTED_VALUE"""),3497.0)</f>
        <v>3497</v>
      </c>
      <c r="AH30" s="463">
        <f>IFERROR(__xludf.DUMMYFUNCTION("""COMPUTED_VALUE"""),3734.0)</f>
        <v>3734</v>
      </c>
      <c r="AI30" s="428"/>
    </row>
    <row r="31">
      <c r="A31" s="457" t="str">
        <f>IFERROR(__xludf.DUMMYFUNCTION("""COMPUTED_VALUE"""),"Anant Singh")</f>
        <v>Anant Singh</v>
      </c>
      <c r="B31" s="430" t="str">
        <f>IFERROR(__xludf.DUMMYFUNCTION("""COMPUTED_VALUE"""),"West U.P")</f>
        <v>West U.P</v>
      </c>
      <c r="C31" s="467">
        <f>IFERROR(__xludf.DUMMYFUNCTION("""COMPUTED_VALUE"""),5.49E7)</f>
        <v>54900000</v>
      </c>
      <c r="D31" s="468">
        <f>IFERROR(__xludf.DUMMYFUNCTION("""COMPUTED_VALUE"""),9.253E7)</f>
        <v>92530000</v>
      </c>
      <c r="E31" s="468">
        <f>IFERROR(__xludf.DUMMYFUNCTION("""COMPUTED_VALUE"""),9.231E7)</f>
        <v>92310000</v>
      </c>
      <c r="F31" s="469">
        <f>IFERROR(__xludf.DUMMYFUNCTION("""COMPUTED_VALUE"""),9.720848E7)</f>
        <v>97208480</v>
      </c>
      <c r="G31" s="470">
        <f>IFERROR(__xludf.DUMMYFUNCTION("""COMPUTED_VALUE"""),3.2154107E7)</f>
        <v>32154107</v>
      </c>
      <c r="H31" s="471">
        <f>IFERROR(__xludf.DUMMYFUNCTION("""COMPUTED_VALUE"""),5.5779775E7)</f>
        <v>55779775</v>
      </c>
      <c r="I31" s="471">
        <f>IFERROR(__xludf.DUMMYFUNCTION("""COMPUTED_VALUE"""),5.710486E7)</f>
        <v>57104860</v>
      </c>
      <c r="J31" s="472">
        <f>IFERROR(__xludf.DUMMYFUNCTION("""COMPUTED_VALUE"""),5.856032467999999E7)</f>
        <v>58560324.68</v>
      </c>
      <c r="K31" s="470">
        <f>IFERROR(__xludf.DUMMYFUNCTION("""COMPUTED_VALUE"""),1230915.0)</f>
        <v>1230915</v>
      </c>
      <c r="L31" s="471">
        <f>IFERROR(__xludf.DUMMYFUNCTION("""COMPUTED_VALUE"""),1967644.0)</f>
        <v>1967644</v>
      </c>
      <c r="M31" s="471">
        <f>IFERROR(__xludf.DUMMYFUNCTION("""COMPUTED_VALUE"""),2406472.0)</f>
        <v>2406472</v>
      </c>
      <c r="N31" s="472">
        <f>IFERROR(__xludf.DUMMYFUNCTION("""COMPUTED_VALUE"""),2019077.5695084485)</f>
        <v>2019077.57</v>
      </c>
      <c r="O31" s="470">
        <f>IFERROR(__xludf.DUMMYFUNCTION("""COMPUTED_VALUE"""),399355.0)</f>
        <v>399355</v>
      </c>
      <c r="P31" s="471">
        <f>IFERROR(__xludf.DUMMYFUNCTION("""COMPUTED_VALUE"""),623067.0)</f>
        <v>623067</v>
      </c>
      <c r="Q31" s="471">
        <f>IFERROR(__xludf.DUMMYFUNCTION("""COMPUTED_VALUE"""),800205.0)</f>
        <v>800205</v>
      </c>
      <c r="R31" s="473">
        <f>IFERROR(__xludf.DUMMYFUNCTION("""COMPUTED_VALUE"""),687284.0)</f>
        <v>687284</v>
      </c>
      <c r="S31" s="474">
        <f>IFERROR(__xludf.DUMMYFUNCTION("""COMPUTED_VALUE"""),0.050701765718450836)</f>
        <v>0.05070176572</v>
      </c>
      <c r="T31" s="475">
        <f>IFERROR(__xludf.DUMMYFUNCTION("""COMPUTED_VALUE"""),0.046445346902170184)</f>
        <v>0.0464453469</v>
      </c>
      <c r="U31" s="475">
        <f>IFERROR(__xludf.DUMMYFUNCTION("""COMPUTED_VALUE"""),0.05615418722679646)</f>
        <v>0.05615418723</v>
      </c>
      <c r="V31" s="476">
        <f>IFERROR(__xludf.DUMMYFUNCTION("""COMPUTED_VALUE"""),0.046214934502109194)</f>
        <v>0.0462149345</v>
      </c>
      <c r="W31" s="474">
        <f>IFERROR(__xludf.DUMMYFUNCTION("""COMPUTED_VALUE"""),0.5856850091074681)</f>
        <v>0.5856850091</v>
      </c>
      <c r="X31" s="475">
        <f>IFERROR(__xludf.DUMMYFUNCTION("""COMPUTED_VALUE"""),0.6028290824597428)</f>
        <v>0.6028290825</v>
      </c>
      <c r="Y31" s="475">
        <f>IFERROR(__xludf.DUMMYFUNCTION("""COMPUTED_VALUE"""),0.6186205178203878)</f>
        <v>0.6186205178</v>
      </c>
      <c r="Z31" s="476">
        <f>IFERROR(__xludf.DUMMYFUNCTION("""COMPUTED_VALUE"""),0.6024199193321405)</f>
        <v>0.6024199193</v>
      </c>
      <c r="AA31" s="470">
        <f>IFERROR(__xludf.DUMMYFUNCTION("""COMPUTED_VALUE"""),7.0)</f>
        <v>7</v>
      </c>
      <c r="AB31" s="471">
        <f>IFERROR(__xludf.DUMMYFUNCTION("""COMPUTED_VALUE"""),7.0)</f>
        <v>7</v>
      </c>
      <c r="AC31" s="471">
        <f>IFERROR(__xludf.DUMMYFUNCTION("""COMPUTED_VALUE"""),12.0)</f>
        <v>12</v>
      </c>
      <c r="AD31" s="473">
        <f>IFERROR(__xludf.DUMMYFUNCTION("""COMPUTED_VALUE"""),9.0)</f>
        <v>9</v>
      </c>
      <c r="AE31" s="470">
        <f>IFERROR(__xludf.DUMMYFUNCTION("""COMPUTED_VALUE"""),158.0)</f>
        <v>158</v>
      </c>
      <c r="AF31" s="471">
        <f>IFERROR(__xludf.DUMMYFUNCTION("""COMPUTED_VALUE"""),482.0)</f>
        <v>482</v>
      </c>
      <c r="AG31" s="471">
        <f>IFERROR(__xludf.DUMMYFUNCTION("""COMPUTED_VALUE"""),649.0)</f>
        <v>649</v>
      </c>
      <c r="AH31" s="473">
        <f>IFERROR(__xludf.DUMMYFUNCTION("""COMPUTED_VALUE"""),533.0)</f>
        <v>533</v>
      </c>
      <c r="AI31" s="428"/>
    </row>
    <row r="32">
      <c r="A32" s="423"/>
      <c r="B32" s="424"/>
      <c r="C32" s="425"/>
      <c r="D32" s="425"/>
      <c r="E32" s="425"/>
      <c r="F32" s="425"/>
      <c r="G32" s="122"/>
      <c r="H32" s="122"/>
      <c r="I32" s="122"/>
      <c r="J32" s="477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428"/>
    </row>
    <row r="33">
      <c r="A33" s="423"/>
      <c r="B33" s="424"/>
      <c r="C33" s="425"/>
      <c r="D33" s="425"/>
      <c r="E33" s="425"/>
      <c r="F33" s="425"/>
      <c r="G33" s="122"/>
      <c r="H33" s="122"/>
      <c r="I33" s="122"/>
      <c r="J33" s="477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428"/>
    </row>
    <row r="34">
      <c r="A34" s="423"/>
      <c r="B34" s="424"/>
      <c r="C34" s="425"/>
      <c r="D34" s="425"/>
      <c r="E34" s="425"/>
      <c r="F34" s="425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428"/>
    </row>
    <row r="35">
      <c r="A35" s="423"/>
      <c r="B35" s="424"/>
      <c r="C35" s="425"/>
      <c r="D35" s="425"/>
      <c r="E35" s="425"/>
      <c r="F35" s="425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428"/>
    </row>
    <row r="36">
      <c r="A36" s="423"/>
      <c r="B36" s="424"/>
      <c r="C36" s="425"/>
      <c r="D36" s="425"/>
      <c r="E36" s="425"/>
      <c r="F36" s="425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428"/>
    </row>
    <row r="37">
      <c r="A37" s="423"/>
      <c r="B37" s="424"/>
      <c r="C37" s="425"/>
      <c r="D37" s="425"/>
      <c r="E37" s="425"/>
      <c r="F37" s="425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428"/>
    </row>
    <row r="38">
      <c r="A38" s="423"/>
      <c r="B38" s="424"/>
      <c r="C38" s="425"/>
      <c r="D38" s="425"/>
      <c r="E38" s="425"/>
      <c r="F38" s="425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428"/>
    </row>
    <row r="39">
      <c r="A39" s="423"/>
      <c r="B39" s="424"/>
      <c r="C39" s="425"/>
      <c r="D39" s="425"/>
      <c r="E39" s="425"/>
      <c r="F39" s="425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428"/>
    </row>
    <row r="40">
      <c r="A40" s="423"/>
      <c r="B40" s="424"/>
      <c r="C40" s="425"/>
      <c r="D40" s="425"/>
      <c r="E40" s="425"/>
      <c r="F40" s="425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428"/>
    </row>
    <row r="41">
      <c r="A41" s="423"/>
      <c r="B41" s="424"/>
      <c r="C41" s="425"/>
      <c r="D41" s="425"/>
      <c r="E41" s="425"/>
      <c r="F41" s="425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428"/>
    </row>
    <row r="42">
      <c r="A42" s="423"/>
      <c r="B42" s="424"/>
      <c r="C42" s="425"/>
      <c r="D42" s="425"/>
      <c r="E42" s="425"/>
      <c r="F42" s="425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428"/>
    </row>
    <row r="43">
      <c r="A43" s="423"/>
      <c r="B43" s="424"/>
      <c r="C43" s="425"/>
      <c r="D43" s="425"/>
      <c r="E43" s="425"/>
      <c r="F43" s="425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428"/>
    </row>
    <row r="44">
      <c r="A44" s="423"/>
      <c r="B44" s="424"/>
      <c r="C44" s="425"/>
      <c r="D44" s="425"/>
      <c r="E44" s="425"/>
      <c r="F44" s="425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428"/>
    </row>
    <row r="45">
      <c r="A45" s="423"/>
      <c r="B45" s="424"/>
      <c r="C45" s="425"/>
      <c r="D45" s="425"/>
      <c r="E45" s="425"/>
      <c r="F45" s="425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428"/>
    </row>
    <row r="46">
      <c r="A46" s="423"/>
      <c r="B46" s="424"/>
      <c r="C46" s="425"/>
      <c r="D46" s="425"/>
      <c r="E46" s="425"/>
      <c r="F46" s="425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428"/>
    </row>
    <row r="47">
      <c r="A47" s="423"/>
      <c r="B47" s="424"/>
      <c r="C47" s="425"/>
      <c r="D47" s="425"/>
      <c r="E47" s="425"/>
      <c r="F47" s="425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428"/>
    </row>
    <row r="48">
      <c r="A48" s="423"/>
      <c r="B48" s="424"/>
      <c r="C48" s="425"/>
      <c r="D48" s="425"/>
      <c r="E48" s="425"/>
      <c r="F48" s="425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428"/>
    </row>
    <row r="49">
      <c r="A49" s="423"/>
      <c r="B49" s="424"/>
      <c r="C49" s="425"/>
      <c r="D49" s="425"/>
      <c r="E49" s="425"/>
      <c r="F49" s="425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428"/>
    </row>
    <row r="50">
      <c r="A50" s="423"/>
      <c r="B50" s="424"/>
      <c r="C50" s="425"/>
      <c r="D50" s="425"/>
      <c r="E50" s="425"/>
      <c r="F50" s="425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428"/>
    </row>
    <row r="51">
      <c r="A51" s="423"/>
      <c r="B51" s="424"/>
      <c r="C51" s="425"/>
      <c r="D51" s="425"/>
      <c r="E51" s="425"/>
      <c r="F51" s="425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428"/>
    </row>
    <row r="52">
      <c r="A52" s="423"/>
      <c r="B52" s="424"/>
      <c r="C52" s="425"/>
      <c r="D52" s="425"/>
      <c r="E52" s="425"/>
      <c r="F52" s="425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428"/>
    </row>
    <row r="53">
      <c r="A53" s="423"/>
      <c r="B53" s="424"/>
      <c r="C53" s="425"/>
      <c r="D53" s="425"/>
      <c r="E53" s="425"/>
      <c r="F53" s="425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428"/>
    </row>
    <row r="54">
      <c r="A54" s="423"/>
      <c r="B54" s="424"/>
      <c r="C54" s="425"/>
      <c r="D54" s="425"/>
      <c r="E54" s="425"/>
      <c r="F54" s="425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428"/>
    </row>
    <row r="55">
      <c r="A55" s="423"/>
      <c r="B55" s="424"/>
      <c r="C55" s="425"/>
      <c r="D55" s="425"/>
      <c r="E55" s="425"/>
      <c r="F55" s="425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428"/>
    </row>
    <row r="56">
      <c r="A56" s="423"/>
      <c r="B56" s="424"/>
      <c r="C56" s="425"/>
      <c r="D56" s="425"/>
      <c r="E56" s="425"/>
      <c r="F56" s="425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428"/>
    </row>
    <row r="57">
      <c r="A57" s="423"/>
      <c r="B57" s="424"/>
      <c r="C57" s="425"/>
      <c r="D57" s="425"/>
      <c r="E57" s="425"/>
      <c r="F57" s="425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428"/>
    </row>
    <row r="58">
      <c r="A58" s="423"/>
      <c r="B58" s="424"/>
      <c r="C58" s="425"/>
      <c r="D58" s="425"/>
      <c r="E58" s="425"/>
      <c r="F58" s="425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428"/>
    </row>
    <row r="59">
      <c r="A59" s="423"/>
      <c r="B59" s="424"/>
      <c r="C59" s="425"/>
      <c r="D59" s="425"/>
      <c r="E59" s="425"/>
      <c r="F59" s="425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428"/>
    </row>
    <row r="60">
      <c r="A60" s="423"/>
      <c r="B60" s="424"/>
      <c r="C60" s="425"/>
      <c r="D60" s="425"/>
      <c r="E60" s="425"/>
      <c r="F60" s="425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428"/>
    </row>
    <row r="61">
      <c r="A61" s="423"/>
      <c r="B61" s="424"/>
      <c r="C61" s="425"/>
      <c r="D61" s="425"/>
      <c r="E61" s="425"/>
      <c r="F61" s="425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428"/>
    </row>
    <row r="62">
      <c r="A62" s="423"/>
      <c r="B62" s="424"/>
      <c r="C62" s="425"/>
      <c r="D62" s="425"/>
      <c r="E62" s="425"/>
      <c r="F62" s="425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428"/>
    </row>
    <row r="63">
      <c r="A63" s="423"/>
      <c r="B63" s="424"/>
      <c r="C63" s="425"/>
      <c r="D63" s="425"/>
      <c r="E63" s="425"/>
      <c r="F63" s="425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428"/>
    </row>
    <row r="64">
      <c r="A64" s="423"/>
      <c r="B64" s="424"/>
      <c r="C64" s="425"/>
      <c r="D64" s="425"/>
      <c r="E64" s="425"/>
      <c r="F64" s="425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428"/>
    </row>
    <row r="65">
      <c r="A65" s="423"/>
      <c r="B65" s="424"/>
      <c r="C65" s="425"/>
      <c r="D65" s="425"/>
      <c r="E65" s="425"/>
      <c r="F65" s="425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428"/>
    </row>
    <row r="66">
      <c r="A66" s="423"/>
      <c r="B66" s="424"/>
      <c r="C66" s="425"/>
      <c r="D66" s="425"/>
      <c r="E66" s="425"/>
      <c r="F66" s="425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428"/>
    </row>
    <row r="67">
      <c r="A67" s="423"/>
      <c r="B67" s="424"/>
      <c r="C67" s="425"/>
      <c r="D67" s="425"/>
      <c r="E67" s="425"/>
      <c r="F67" s="425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428"/>
    </row>
    <row r="68">
      <c r="A68" s="423"/>
      <c r="B68" s="424"/>
      <c r="C68" s="425"/>
      <c r="D68" s="425"/>
      <c r="E68" s="425"/>
      <c r="F68" s="425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428"/>
    </row>
    <row r="69">
      <c r="A69" s="423"/>
      <c r="B69" s="424"/>
      <c r="C69" s="425"/>
      <c r="D69" s="425"/>
      <c r="E69" s="425"/>
      <c r="F69" s="425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428"/>
    </row>
    <row r="70">
      <c r="A70" s="423"/>
      <c r="B70" s="424"/>
      <c r="C70" s="425"/>
      <c r="D70" s="425"/>
      <c r="E70" s="425"/>
      <c r="F70" s="425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428"/>
    </row>
    <row r="71">
      <c r="A71" s="423"/>
      <c r="B71" s="424"/>
      <c r="C71" s="425"/>
      <c r="D71" s="425"/>
      <c r="E71" s="425"/>
      <c r="F71" s="425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428"/>
    </row>
    <row r="72">
      <c r="A72" s="423"/>
      <c r="B72" s="424"/>
      <c r="C72" s="425"/>
      <c r="D72" s="425"/>
      <c r="E72" s="425"/>
      <c r="F72" s="425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428"/>
    </row>
    <row r="73">
      <c r="A73" s="423"/>
      <c r="B73" s="424"/>
      <c r="C73" s="425"/>
      <c r="D73" s="425"/>
      <c r="E73" s="425"/>
      <c r="F73" s="425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428"/>
    </row>
    <row r="74">
      <c r="A74" s="423"/>
      <c r="B74" s="424"/>
      <c r="C74" s="425"/>
      <c r="D74" s="425"/>
      <c r="E74" s="425"/>
      <c r="F74" s="425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428"/>
    </row>
    <row r="75">
      <c r="A75" s="423"/>
      <c r="B75" s="424"/>
      <c r="C75" s="425"/>
      <c r="D75" s="425"/>
      <c r="E75" s="425"/>
      <c r="F75" s="425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428"/>
    </row>
    <row r="76">
      <c r="A76" s="423"/>
      <c r="B76" s="424"/>
      <c r="C76" s="425"/>
      <c r="D76" s="425"/>
      <c r="E76" s="425"/>
      <c r="F76" s="425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428"/>
    </row>
    <row r="77">
      <c r="A77" s="423"/>
      <c r="B77" s="424"/>
      <c r="C77" s="425"/>
      <c r="D77" s="425"/>
      <c r="E77" s="425"/>
      <c r="F77" s="425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428"/>
    </row>
    <row r="78">
      <c r="A78" s="423"/>
      <c r="B78" s="424"/>
      <c r="C78" s="425"/>
      <c r="D78" s="425"/>
      <c r="E78" s="425"/>
      <c r="F78" s="425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428"/>
    </row>
    <row r="79">
      <c r="A79" s="423"/>
      <c r="B79" s="424"/>
      <c r="C79" s="425"/>
      <c r="D79" s="425"/>
      <c r="E79" s="425"/>
      <c r="F79" s="425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428"/>
    </row>
    <row r="80">
      <c r="A80" s="423"/>
      <c r="B80" s="424"/>
      <c r="C80" s="425"/>
      <c r="D80" s="425"/>
      <c r="E80" s="425"/>
      <c r="F80" s="425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428"/>
    </row>
    <row r="81">
      <c r="A81" s="423"/>
      <c r="B81" s="424"/>
      <c r="C81" s="425"/>
      <c r="D81" s="425"/>
      <c r="E81" s="425"/>
      <c r="F81" s="425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428"/>
    </row>
    <row r="82">
      <c r="A82" s="423"/>
      <c r="B82" s="424"/>
      <c r="C82" s="425"/>
      <c r="D82" s="425"/>
      <c r="E82" s="425"/>
      <c r="F82" s="425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428"/>
    </row>
    <row r="83">
      <c r="A83" s="423"/>
      <c r="B83" s="424"/>
      <c r="C83" s="425"/>
      <c r="D83" s="425"/>
      <c r="E83" s="425"/>
      <c r="F83" s="425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428"/>
    </row>
    <row r="84">
      <c r="A84" s="423"/>
      <c r="B84" s="424"/>
      <c r="C84" s="425"/>
      <c r="D84" s="425"/>
      <c r="E84" s="425"/>
      <c r="F84" s="425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428"/>
    </row>
    <row r="85">
      <c r="A85" s="423"/>
      <c r="B85" s="424"/>
      <c r="C85" s="425"/>
      <c r="D85" s="425"/>
      <c r="E85" s="425"/>
      <c r="F85" s="425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428"/>
    </row>
    <row r="86">
      <c r="A86" s="423"/>
      <c r="B86" s="424"/>
      <c r="C86" s="425"/>
      <c r="D86" s="425"/>
      <c r="E86" s="425"/>
      <c r="F86" s="425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428"/>
    </row>
    <row r="87">
      <c r="A87" s="423"/>
      <c r="B87" s="424"/>
      <c r="C87" s="425"/>
      <c r="D87" s="425"/>
      <c r="E87" s="425"/>
      <c r="F87" s="425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428"/>
    </row>
    <row r="88">
      <c r="A88" s="423"/>
      <c r="B88" s="424"/>
      <c r="C88" s="425"/>
      <c r="D88" s="425"/>
      <c r="E88" s="425"/>
      <c r="F88" s="425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428"/>
    </row>
    <row r="89">
      <c r="A89" s="423"/>
      <c r="B89" s="424"/>
      <c r="C89" s="425"/>
      <c r="D89" s="425"/>
      <c r="E89" s="425"/>
      <c r="F89" s="425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428"/>
    </row>
    <row r="90">
      <c r="A90" s="423"/>
      <c r="B90" s="424"/>
      <c r="C90" s="425"/>
      <c r="D90" s="425"/>
      <c r="E90" s="425"/>
      <c r="F90" s="425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428"/>
    </row>
    <row r="91">
      <c r="A91" s="423"/>
      <c r="B91" s="424"/>
      <c r="C91" s="425"/>
      <c r="D91" s="425"/>
      <c r="E91" s="425"/>
      <c r="F91" s="425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428"/>
    </row>
    <row r="92">
      <c r="A92" s="423"/>
      <c r="B92" s="424"/>
      <c r="C92" s="425"/>
      <c r="D92" s="425"/>
      <c r="E92" s="425"/>
      <c r="F92" s="425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428"/>
    </row>
    <row r="93">
      <c r="A93" s="423"/>
      <c r="B93" s="424"/>
      <c r="C93" s="425"/>
      <c r="D93" s="425"/>
      <c r="E93" s="425"/>
      <c r="F93" s="425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428"/>
    </row>
    <row r="94">
      <c r="A94" s="423"/>
      <c r="B94" s="424"/>
      <c r="C94" s="425"/>
      <c r="D94" s="425"/>
      <c r="E94" s="425"/>
      <c r="F94" s="425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428"/>
    </row>
    <row r="95">
      <c r="A95" s="423"/>
      <c r="B95" s="424"/>
      <c r="C95" s="425"/>
      <c r="D95" s="425"/>
      <c r="E95" s="425"/>
      <c r="F95" s="425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428"/>
    </row>
    <row r="96">
      <c r="A96" s="423"/>
      <c r="B96" s="424"/>
      <c r="C96" s="425"/>
      <c r="D96" s="425"/>
      <c r="E96" s="425"/>
      <c r="F96" s="425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428"/>
    </row>
    <row r="97">
      <c r="A97" s="423"/>
      <c r="B97" s="424"/>
      <c r="C97" s="425"/>
      <c r="D97" s="425"/>
      <c r="E97" s="425"/>
      <c r="F97" s="425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428"/>
    </row>
    <row r="98">
      <c r="A98" s="423"/>
      <c r="B98" s="424"/>
      <c r="C98" s="425"/>
      <c r="D98" s="425"/>
      <c r="E98" s="425"/>
      <c r="F98" s="425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428"/>
    </row>
    <row r="99">
      <c r="A99" s="423"/>
      <c r="B99" s="424"/>
      <c r="C99" s="425"/>
      <c r="D99" s="425"/>
      <c r="E99" s="425"/>
      <c r="F99" s="425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428"/>
    </row>
    <row r="100">
      <c r="A100" s="423"/>
      <c r="B100" s="424"/>
      <c r="C100" s="425"/>
      <c r="D100" s="425"/>
      <c r="E100" s="425"/>
      <c r="F100" s="425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428"/>
    </row>
    <row r="101">
      <c r="A101" s="423"/>
      <c r="B101" s="424"/>
      <c r="C101" s="425"/>
      <c r="D101" s="425"/>
      <c r="E101" s="425"/>
      <c r="F101" s="425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428"/>
    </row>
    <row r="102">
      <c r="A102" s="423"/>
      <c r="B102" s="424"/>
      <c r="C102" s="425"/>
      <c r="D102" s="425"/>
      <c r="E102" s="425"/>
      <c r="F102" s="425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428"/>
    </row>
    <row r="103">
      <c r="A103" s="423"/>
      <c r="B103" s="424"/>
      <c r="C103" s="425"/>
      <c r="D103" s="425"/>
      <c r="E103" s="425"/>
      <c r="F103" s="425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428"/>
    </row>
    <row r="104">
      <c r="A104" s="423"/>
      <c r="B104" s="424"/>
      <c r="C104" s="425"/>
      <c r="D104" s="425"/>
      <c r="E104" s="425"/>
      <c r="F104" s="425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428"/>
    </row>
    <row r="105">
      <c r="A105" s="423"/>
      <c r="B105" s="424"/>
      <c r="C105" s="425"/>
      <c r="D105" s="425"/>
      <c r="E105" s="425"/>
      <c r="F105" s="425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428"/>
    </row>
    <row r="106">
      <c r="A106" s="423"/>
      <c r="B106" s="424"/>
      <c r="C106" s="425"/>
      <c r="D106" s="425"/>
      <c r="E106" s="425"/>
      <c r="F106" s="425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428"/>
    </row>
    <row r="107">
      <c r="A107" s="423"/>
      <c r="B107" s="424"/>
      <c r="C107" s="425"/>
      <c r="D107" s="425"/>
      <c r="E107" s="425"/>
      <c r="F107" s="425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428"/>
    </row>
    <row r="108">
      <c r="A108" s="423"/>
      <c r="B108" s="424"/>
      <c r="C108" s="425"/>
      <c r="D108" s="425"/>
      <c r="E108" s="425"/>
      <c r="F108" s="425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428"/>
    </row>
    <row r="109">
      <c r="A109" s="423"/>
      <c r="B109" s="424"/>
      <c r="C109" s="425"/>
      <c r="D109" s="425"/>
      <c r="E109" s="425"/>
      <c r="F109" s="425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428"/>
    </row>
    <row r="110">
      <c r="A110" s="423"/>
      <c r="B110" s="424"/>
      <c r="C110" s="425"/>
      <c r="D110" s="425"/>
      <c r="E110" s="425"/>
      <c r="F110" s="425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428"/>
    </row>
    <row r="111">
      <c r="A111" s="423"/>
      <c r="B111" s="424"/>
      <c r="C111" s="425"/>
      <c r="D111" s="425"/>
      <c r="E111" s="425"/>
      <c r="F111" s="425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428"/>
    </row>
    <row r="112">
      <c r="A112" s="423"/>
      <c r="B112" s="424"/>
      <c r="C112" s="425"/>
      <c r="D112" s="425"/>
      <c r="E112" s="425"/>
      <c r="F112" s="425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428"/>
    </row>
    <row r="113">
      <c r="A113" s="423"/>
      <c r="B113" s="424"/>
      <c r="C113" s="425"/>
      <c r="D113" s="425"/>
      <c r="E113" s="425"/>
      <c r="F113" s="425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428"/>
    </row>
    <row r="114">
      <c r="A114" s="423"/>
      <c r="B114" s="424"/>
      <c r="C114" s="425"/>
      <c r="D114" s="425"/>
      <c r="E114" s="425"/>
      <c r="F114" s="425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428"/>
    </row>
    <row r="115">
      <c r="A115" s="423"/>
      <c r="B115" s="424"/>
      <c r="C115" s="425"/>
      <c r="D115" s="425"/>
      <c r="E115" s="425"/>
      <c r="F115" s="425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428"/>
    </row>
    <row r="116">
      <c r="A116" s="423"/>
      <c r="B116" s="424"/>
      <c r="C116" s="425"/>
      <c r="D116" s="425"/>
      <c r="E116" s="425"/>
      <c r="F116" s="425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428"/>
    </row>
    <row r="117">
      <c r="A117" s="423"/>
      <c r="B117" s="424"/>
      <c r="C117" s="425"/>
      <c r="D117" s="425"/>
      <c r="E117" s="425"/>
      <c r="F117" s="425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428"/>
    </row>
    <row r="118">
      <c r="A118" s="423"/>
      <c r="B118" s="424"/>
      <c r="C118" s="425"/>
      <c r="D118" s="425"/>
      <c r="E118" s="425"/>
      <c r="F118" s="425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428"/>
    </row>
    <row r="119">
      <c r="A119" s="423"/>
      <c r="B119" s="424"/>
      <c r="C119" s="425"/>
      <c r="D119" s="425"/>
      <c r="E119" s="425"/>
      <c r="F119" s="425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428"/>
    </row>
    <row r="120">
      <c r="A120" s="423"/>
      <c r="B120" s="424"/>
      <c r="C120" s="425"/>
      <c r="D120" s="425"/>
      <c r="E120" s="425"/>
      <c r="F120" s="425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428"/>
    </row>
    <row r="121">
      <c r="A121" s="423"/>
      <c r="B121" s="424"/>
      <c r="C121" s="425"/>
      <c r="D121" s="425"/>
      <c r="E121" s="425"/>
      <c r="F121" s="425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428"/>
    </row>
    <row r="122">
      <c r="A122" s="423"/>
      <c r="B122" s="424"/>
      <c r="C122" s="425"/>
      <c r="D122" s="425"/>
      <c r="E122" s="425"/>
      <c r="F122" s="425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428"/>
    </row>
    <row r="123">
      <c r="A123" s="423"/>
      <c r="B123" s="424"/>
      <c r="C123" s="425"/>
      <c r="D123" s="425"/>
      <c r="E123" s="425"/>
      <c r="F123" s="425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428"/>
    </row>
    <row r="124">
      <c r="A124" s="423"/>
      <c r="B124" s="424"/>
      <c r="C124" s="425"/>
      <c r="D124" s="425"/>
      <c r="E124" s="425"/>
      <c r="F124" s="425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428"/>
    </row>
    <row r="125">
      <c r="A125" s="423"/>
      <c r="B125" s="424"/>
      <c r="C125" s="425"/>
      <c r="D125" s="425"/>
      <c r="E125" s="425"/>
      <c r="F125" s="425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428"/>
    </row>
    <row r="126">
      <c r="A126" s="423"/>
      <c r="B126" s="424"/>
      <c r="C126" s="425"/>
      <c r="D126" s="425"/>
      <c r="E126" s="425"/>
      <c r="F126" s="425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428"/>
    </row>
    <row r="127">
      <c r="A127" s="423"/>
      <c r="B127" s="424"/>
      <c r="C127" s="425"/>
      <c r="D127" s="425"/>
      <c r="E127" s="425"/>
      <c r="F127" s="425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428"/>
    </row>
    <row r="128">
      <c r="A128" s="423"/>
      <c r="B128" s="424"/>
      <c r="C128" s="425"/>
      <c r="D128" s="425"/>
      <c r="E128" s="425"/>
      <c r="F128" s="425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428"/>
    </row>
    <row r="129">
      <c r="A129" s="423"/>
      <c r="B129" s="424"/>
      <c r="C129" s="425"/>
      <c r="D129" s="425"/>
      <c r="E129" s="425"/>
      <c r="F129" s="425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428"/>
    </row>
    <row r="130">
      <c r="A130" s="423"/>
      <c r="B130" s="424"/>
      <c r="C130" s="425"/>
      <c r="D130" s="425"/>
      <c r="E130" s="425"/>
      <c r="F130" s="425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428"/>
    </row>
    <row r="131">
      <c r="A131" s="423"/>
      <c r="B131" s="424"/>
      <c r="C131" s="425"/>
      <c r="D131" s="425"/>
      <c r="E131" s="425"/>
      <c r="F131" s="425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428"/>
    </row>
    <row r="132">
      <c r="A132" s="423"/>
      <c r="B132" s="424"/>
      <c r="C132" s="425"/>
      <c r="D132" s="425"/>
      <c r="E132" s="425"/>
      <c r="F132" s="425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428"/>
    </row>
    <row r="133">
      <c r="A133" s="423"/>
      <c r="B133" s="424"/>
      <c r="C133" s="425"/>
      <c r="D133" s="425"/>
      <c r="E133" s="425"/>
      <c r="F133" s="425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428"/>
    </row>
    <row r="134">
      <c r="A134" s="423"/>
      <c r="B134" s="424"/>
      <c r="C134" s="425"/>
      <c r="D134" s="425"/>
      <c r="E134" s="425"/>
      <c r="F134" s="425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428"/>
    </row>
    <row r="135">
      <c r="A135" s="423"/>
      <c r="B135" s="424"/>
      <c r="C135" s="425"/>
      <c r="D135" s="425"/>
      <c r="E135" s="425"/>
      <c r="F135" s="425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428"/>
    </row>
    <row r="136">
      <c r="A136" s="423"/>
      <c r="B136" s="424"/>
      <c r="C136" s="425"/>
      <c r="D136" s="425"/>
      <c r="E136" s="425"/>
      <c r="F136" s="425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428"/>
    </row>
    <row r="137">
      <c r="A137" s="423"/>
      <c r="B137" s="424"/>
      <c r="C137" s="425"/>
      <c r="D137" s="425"/>
      <c r="E137" s="425"/>
      <c r="F137" s="425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428"/>
    </row>
    <row r="138">
      <c r="A138" s="423"/>
      <c r="B138" s="424"/>
      <c r="C138" s="425"/>
      <c r="D138" s="425"/>
      <c r="E138" s="425"/>
      <c r="F138" s="425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428"/>
    </row>
    <row r="139">
      <c r="A139" s="423"/>
      <c r="B139" s="424"/>
      <c r="C139" s="425"/>
      <c r="D139" s="425"/>
      <c r="E139" s="425"/>
      <c r="F139" s="425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428"/>
    </row>
    <row r="140">
      <c r="A140" s="423"/>
      <c r="B140" s="424"/>
      <c r="C140" s="425"/>
      <c r="D140" s="425"/>
      <c r="E140" s="425"/>
      <c r="F140" s="425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428"/>
    </row>
    <row r="141">
      <c r="A141" s="423"/>
      <c r="B141" s="424"/>
      <c r="C141" s="425"/>
      <c r="D141" s="425"/>
      <c r="E141" s="425"/>
      <c r="F141" s="425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428"/>
    </row>
    <row r="142">
      <c r="A142" s="423"/>
      <c r="B142" s="424"/>
      <c r="C142" s="425"/>
      <c r="D142" s="425"/>
      <c r="E142" s="425"/>
      <c r="F142" s="425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428"/>
    </row>
    <row r="143">
      <c r="A143" s="423"/>
      <c r="B143" s="424"/>
      <c r="C143" s="425"/>
      <c r="D143" s="425"/>
      <c r="E143" s="425"/>
      <c r="F143" s="425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428"/>
    </row>
    <row r="144">
      <c r="A144" s="423"/>
      <c r="B144" s="424"/>
      <c r="C144" s="425"/>
      <c r="D144" s="425"/>
      <c r="E144" s="425"/>
      <c r="F144" s="425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428"/>
    </row>
    <row r="145">
      <c r="A145" s="423"/>
      <c r="B145" s="424"/>
      <c r="C145" s="425"/>
      <c r="D145" s="425"/>
      <c r="E145" s="425"/>
      <c r="F145" s="425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428"/>
    </row>
    <row r="146">
      <c r="A146" s="423"/>
      <c r="B146" s="424"/>
      <c r="C146" s="425"/>
      <c r="D146" s="425"/>
      <c r="E146" s="425"/>
      <c r="F146" s="425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428"/>
    </row>
    <row r="147">
      <c r="A147" s="423"/>
      <c r="B147" s="424"/>
      <c r="C147" s="425"/>
      <c r="D147" s="425"/>
      <c r="E147" s="425"/>
      <c r="F147" s="425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428"/>
    </row>
    <row r="148">
      <c r="A148" s="423"/>
      <c r="B148" s="424"/>
      <c r="C148" s="425"/>
      <c r="D148" s="425"/>
      <c r="E148" s="425"/>
      <c r="F148" s="425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428"/>
    </row>
    <row r="149">
      <c r="A149" s="423"/>
      <c r="B149" s="424"/>
      <c r="C149" s="425"/>
      <c r="D149" s="425"/>
      <c r="E149" s="425"/>
      <c r="F149" s="425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428"/>
    </row>
    <row r="150">
      <c r="A150" s="423"/>
      <c r="B150" s="424"/>
      <c r="C150" s="425"/>
      <c r="D150" s="425"/>
      <c r="E150" s="425"/>
      <c r="F150" s="425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428"/>
    </row>
    <row r="151">
      <c r="A151" s="423"/>
      <c r="B151" s="424"/>
      <c r="C151" s="425"/>
      <c r="D151" s="425"/>
      <c r="E151" s="425"/>
      <c r="F151" s="425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428"/>
    </row>
    <row r="152">
      <c r="A152" s="423"/>
      <c r="B152" s="424"/>
      <c r="C152" s="425"/>
      <c r="D152" s="425"/>
      <c r="E152" s="425"/>
      <c r="F152" s="425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428"/>
    </row>
    <row r="153">
      <c r="A153" s="423"/>
      <c r="B153" s="424"/>
      <c r="C153" s="425"/>
      <c r="D153" s="425"/>
      <c r="E153" s="425"/>
      <c r="F153" s="425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428"/>
    </row>
    <row r="154">
      <c r="A154" s="423"/>
      <c r="B154" s="424"/>
      <c r="C154" s="425"/>
      <c r="D154" s="425"/>
      <c r="E154" s="425"/>
      <c r="F154" s="425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428"/>
    </row>
    <row r="155">
      <c r="A155" s="423"/>
      <c r="B155" s="424"/>
      <c r="C155" s="425"/>
      <c r="D155" s="425"/>
      <c r="E155" s="425"/>
      <c r="F155" s="425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428"/>
    </row>
    <row r="156">
      <c r="A156" s="423"/>
      <c r="B156" s="424"/>
      <c r="C156" s="425"/>
      <c r="D156" s="425"/>
      <c r="E156" s="425"/>
      <c r="F156" s="425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428"/>
    </row>
    <row r="157">
      <c r="A157" s="423"/>
      <c r="B157" s="424"/>
      <c r="C157" s="425"/>
      <c r="D157" s="425"/>
      <c r="E157" s="425"/>
      <c r="F157" s="425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428"/>
    </row>
    <row r="158">
      <c r="A158" s="423"/>
      <c r="B158" s="424"/>
      <c r="C158" s="425"/>
      <c r="D158" s="425"/>
      <c r="E158" s="425"/>
      <c r="F158" s="425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428"/>
    </row>
    <row r="159">
      <c r="A159" s="423"/>
      <c r="B159" s="424"/>
      <c r="C159" s="425"/>
      <c r="D159" s="425"/>
      <c r="E159" s="425"/>
      <c r="F159" s="425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428"/>
    </row>
    <row r="160">
      <c r="A160" s="423"/>
      <c r="B160" s="424"/>
      <c r="C160" s="425"/>
      <c r="D160" s="425"/>
      <c r="E160" s="425"/>
      <c r="F160" s="425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428"/>
    </row>
    <row r="161">
      <c r="A161" s="423"/>
      <c r="B161" s="424"/>
      <c r="C161" s="425"/>
      <c r="D161" s="425"/>
      <c r="E161" s="425"/>
      <c r="F161" s="425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428"/>
    </row>
    <row r="162">
      <c r="A162" s="423"/>
      <c r="B162" s="424"/>
      <c r="C162" s="425"/>
      <c r="D162" s="425"/>
      <c r="E162" s="425"/>
      <c r="F162" s="425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428"/>
    </row>
    <row r="163">
      <c r="A163" s="423"/>
      <c r="B163" s="424"/>
      <c r="C163" s="425"/>
      <c r="D163" s="425"/>
      <c r="E163" s="425"/>
      <c r="F163" s="425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428"/>
    </row>
    <row r="164">
      <c r="A164" s="423"/>
      <c r="B164" s="424"/>
      <c r="C164" s="425"/>
      <c r="D164" s="425"/>
      <c r="E164" s="425"/>
      <c r="F164" s="425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428"/>
    </row>
    <row r="165">
      <c r="A165" s="423"/>
      <c r="B165" s="424"/>
      <c r="C165" s="425"/>
      <c r="D165" s="425"/>
      <c r="E165" s="425"/>
      <c r="F165" s="425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428"/>
    </row>
    <row r="166">
      <c r="A166" s="423"/>
      <c r="B166" s="424"/>
      <c r="C166" s="425"/>
      <c r="D166" s="425"/>
      <c r="E166" s="425"/>
      <c r="F166" s="425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428"/>
    </row>
    <row r="167">
      <c r="A167" s="423"/>
      <c r="B167" s="424"/>
      <c r="C167" s="425"/>
      <c r="D167" s="425"/>
      <c r="E167" s="425"/>
      <c r="F167" s="425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428"/>
    </row>
    <row r="168">
      <c r="A168" s="423"/>
      <c r="B168" s="424"/>
      <c r="C168" s="425"/>
      <c r="D168" s="425"/>
      <c r="E168" s="425"/>
      <c r="F168" s="425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428"/>
    </row>
    <row r="169">
      <c r="A169" s="423"/>
      <c r="B169" s="424"/>
      <c r="C169" s="425"/>
      <c r="D169" s="425"/>
      <c r="E169" s="425"/>
      <c r="F169" s="425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428"/>
    </row>
    <row r="170">
      <c r="A170" s="423"/>
      <c r="B170" s="424"/>
      <c r="C170" s="425"/>
      <c r="D170" s="425"/>
      <c r="E170" s="425"/>
      <c r="F170" s="425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428"/>
    </row>
    <row r="171">
      <c r="A171" s="423"/>
      <c r="B171" s="424"/>
      <c r="C171" s="425"/>
      <c r="D171" s="425"/>
      <c r="E171" s="425"/>
      <c r="F171" s="425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428"/>
    </row>
    <row r="172">
      <c r="A172" s="423"/>
      <c r="B172" s="424"/>
      <c r="C172" s="425"/>
      <c r="D172" s="425"/>
      <c r="E172" s="425"/>
      <c r="F172" s="425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428"/>
    </row>
    <row r="173">
      <c r="A173" s="423"/>
      <c r="B173" s="424"/>
      <c r="C173" s="425"/>
      <c r="D173" s="425"/>
      <c r="E173" s="425"/>
      <c r="F173" s="425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428"/>
    </row>
    <row r="174">
      <c r="A174" s="423"/>
      <c r="B174" s="424"/>
      <c r="C174" s="425"/>
      <c r="D174" s="425"/>
      <c r="E174" s="425"/>
      <c r="F174" s="425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428"/>
    </row>
    <row r="175">
      <c r="A175" s="423"/>
      <c r="B175" s="424"/>
      <c r="C175" s="425"/>
      <c r="D175" s="425"/>
      <c r="E175" s="425"/>
      <c r="F175" s="425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428"/>
    </row>
    <row r="176">
      <c r="A176" s="423"/>
      <c r="B176" s="424"/>
      <c r="C176" s="425"/>
      <c r="D176" s="425"/>
      <c r="E176" s="425"/>
      <c r="F176" s="425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428"/>
    </row>
    <row r="177">
      <c r="A177" s="423"/>
      <c r="B177" s="424"/>
      <c r="C177" s="425"/>
      <c r="D177" s="425"/>
      <c r="E177" s="425"/>
      <c r="F177" s="425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428"/>
    </row>
    <row r="178">
      <c r="A178" s="423"/>
      <c r="B178" s="424"/>
      <c r="C178" s="425"/>
      <c r="D178" s="425"/>
      <c r="E178" s="425"/>
      <c r="F178" s="425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428"/>
    </row>
    <row r="179">
      <c r="A179" s="423"/>
      <c r="B179" s="424"/>
      <c r="C179" s="425"/>
      <c r="D179" s="425"/>
      <c r="E179" s="425"/>
      <c r="F179" s="425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428"/>
    </row>
    <row r="180">
      <c r="A180" s="423"/>
      <c r="B180" s="424"/>
      <c r="C180" s="425"/>
      <c r="D180" s="425"/>
      <c r="E180" s="425"/>
      <c r="F180" s="425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428"/>
    </row>
    <row r="181">
      <c r="A181" s="423"/>
      <c r="B181" s="424"/>
      <c r="C181" s="425"/>
      <c r="D181" s="425"/>
      <c r="E181" s="425"/>
      <c r="F181" s="425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428"/>
    </row>
    <row r="182">
      <c r="A182" s="423"/>
      <c r="B182" s="424"/>
      <c r="C182" s="425"/>
      <c r="D182" s="425"/>
      <c r="E182" s="425"/>
      <c r="F182" s="425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428"/>
    </row>
    <row r="183">
      <c r="A183" s="423"/>
      <c r="B183" s="424"/>
      <c r="C183" s="425"/>
      <c r="D183" s="425"/>
      <c r="E183" s="425"/>
      <c r="F183" s="425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428"/>
    </row>
    <row r="184">
      <c r="A184" s="423"/>
      <c r="B184" s="424"/>
      <c r="C184" s="425"/>
      <c r="D184" s="425"/>
      <c r="E184" s="425"/>
      <c r="F184" s="425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428"/>
    </row>
    <row r="185">
      <c r="A185" s="423"/>
      <c r="B185" s="424"/>
      <c r="C185" s="425"/>
      <c r="D185" s="425"/>
      <c r="E185" s="425"/>
      <c r="F185" s="425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428"/>
    </row>
    <row r="186">
      <c r="A186" s="423"/>
      <c r="B186" s="424"/>
      <c r="C186" s="425"/>
      <c r="D186" s="425"/>
      <c r="E186" s="425"/>
      <c r="F186" s="425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428"/>
    </row>
    <row r="187">
      <c r="A187" s="423"/>
      <c r="B187" s="424"/>
      <c r="C187" s="425"/>
      <c r="D187" s="425"/>
      <c r="E187" s="425"/>
      <c r="F187" s="425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428"/>
    </row>
    <row r="188">
      <c r="A188" s="423"/>
      <c r="B188" s="424"/>
      <c r="C188" s="425"/>
      <c r="D188" s="425"/>
      <c r="E188" s="425"/>
      <c r="F188" s="425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428"/>
    </row>
    <row r="189">
      <c r="A189" s="423"/>
      <c r="B189" s="424"/>
      <c r="C189" s="425"/>
      <c r="D189" s="425"/>
      <c r="E189" s="425"/>
      <c r="F189" s="425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428"/>
    </row>
    <row r="190">
      <c r="A190" s="423"/>
      <c r="B190" s="424"/>
      <c r="C190" s="425"/>
      <c r="D190" s="425"/>
      <c r="E190" s="425"/>
      <c r="F190" s="425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428"/>
    </row>
    <row r="191">
      <c r="A191" s="423"/>
      <c r="B191" s="424"/>
      <c r="C191" s="425"/>
      <c r="D191" s="425"/>
      <c r="E191" s="425"/>
      <c r="F191" s="425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428"/>
    </row>
    <row r="192">
      <c r="A192" s="423"/>
      <c r="B192" s="424"/>
      <c r="C192" s="425"/>
      <c r="D192" s="425"/>
      <c r="E192" s="425"/>
      <c r="F192" s="425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428"/>
    </row>
    <row r="193">
      <c r="A193" s="423"/>
      <c r="B193" s="424"/>
      <c r="C193" s="425"/>
      <c r="D193" s="425"/>
      <c r="E193" s="425"/>
      <c r="F193" s="425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428"/>
    </row>
    <row r="194">
      <c r="A194" s="423"/>
      <c r="B194" s="424"/>
      <c r="C194" s="425"/>
      <c r="D194" s="425"/>
      <c r="E194" s="425"/>
      <c r="F194" s="425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428"/>
    </row>
    <row r="195">
      <c r="A195" s="423"/>
      <c r="B195" s="424"/>
      <c r="C195" s="425"/>
      <c r="D195" s="425"/>
      <c r="E195" s="425"/>
      <c r="F195" s="425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428"/>
    </row>
    <row r="196">
      <c r="A196" s="423"/>
      <c r="B196" s="424"/>
      <c r="C196" s="425"/>
      <c r="D196" s="425"/>
      <c r="E196" s="425"/>
      <c r="F196" s="425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428"/>
    </row>
    <row r="197">
      <c r="A197" s="423"/>
      <c r="B197" s="424"/>
      <c r="C197" s="425"/>
      <c r="D197" s="425"/>
      <c r="E197" s="425"/>
      <c r="F197" s="425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428"/>
    </row>
    <row r="198">
      <c r="A198" s="423"/>
      <c r="B198" s="424"/>
      <c r="C198" s="425"/>
      <c r="D198" s="425"/>
      <c r="E198" s="425"/>
      <c r="F198" s="425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428"/>
    </row>
    <row r="199">
      <c r="A199" s="423"/>
      <c r="B199" s="424"/>
      <c r="C199" s="425"/>
      <c r="D199" s="425"/>
      <c r="E199" s="425"/>
      <c r="F199" s="425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428"/>
    </row>
    <row r="200">
      <c r="A200" s="423"/>
      <c r="B200" s="424"/>
      <c r="C200" s="425"/>
      <c r="D200" s="425"/>
      <c r="E200" s="425"/>
      <c r="F200" s="425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428"/>
    </row>
    <row r="201">
      <c r="A201" s="423"/>
      <c r="B201" s="424"/>
      <c r="C201" s="425"/>
      <c r="D201" s="425"/>
      <c r="E201" s="425"/>
      <c r="F201" s="425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428"/>
    </row>
    <row r="202">
      <c r="A202" s="423"/>
      <c r="B202" s="424"/>
      <c r="C202" s="425"/>
      <c r="D202" s="425"/>
      <c r="E202" s="425"/>
      <c r="F202" s="425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428"/>
    </row>
    <row r="203">
      <c r="A203" s="423"/>
      <c r="B203" s="424"/>
      <c r="C203" s="425"/>
      <c r="D203" s="425"/>
      <c r="E203" s="425"/>
      <c r="F203" s="425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428"/>
    </row>
    <row r="204">
      <c r="A204" s="423"/>
      <c r="B204" s="424"/>
      <c r="C204" s="425"/>
      <c r="D204" s="425"/>
      <c r="E204" s="425"/>
      <c r="F204" s="425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428"/>
    </row>
    <row r="205">
      <c r="A205" s="423"/>
      <c r="B205" s="424"/>
      <c r="C205" s="425"/>
      <c r="D205" s="425"/>
      <c r="E205" s="425"/>
      <c r="F205" s="425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428"/>
    </row>
    <row r="206">
      <c r="A206" s="423"/>
      <c r="B206" s="424"/>
      <c r="C206" s="425"/>
      <c r="D206" s="425"/>
      <c r="E206" s="425"/>
      <c r="F206" s="425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428"/>
    </row>
    <row r="207">
      <c r="A207" s="423"/>
      <c r="B207" s="424"/>
      <c r="C207" s="425"/>
      <c r="D207" s="425"/>
      <c r="E207" s="425"/>
      <c r="F207" s="425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428"/>
    </row>
    <row r="208">
      <c r="A208" s="423"/>
      <c r="B208" s="424"/>
      <c r="C208" s="425"/>
      <c r="D208" s="425"/>
      <c r="E208" s="425"/>
      <c r="F208" s="425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428"/>
    </row>
    <row r="209">
      <c r="A209" s="423"/>
      <c r="B209" s="424"/>
      <c r="C209" s="425"/>
      <c r="D209" s="425"/>
      <c r="E209" s="425"/>
      <c r="F209" s="425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428"/>
    </row>
    <row r="210">
      <c r="A210" s="423"/>
      <c r="B210" s="424"/>
      <c r="C210" s="425"/>
      <c r="D210" s="425"/>
      <c r="E210" s="425"/>
      <c r="F210" s="425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428"/>
    </row>
    <row r="211">
      <c r="A211" s="423"/>
      <c r="B211" s="424"/>
      <c r="C211" s="425"/>
      <c r="D211" s="425"/>
      <c r="E211" s="425"/>
      <c r="F211" s="425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428"/>
    </row>
    <row r="212">
      <c r="A212" s="423"/>
      <c r="B212" s="424"/>
      <c r="C212" s="425"/>
      <c r="D212" s="425"/>
      <c r="E212" s="425"/>
      <c r="F212" s="425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428"/>
    </row>
    <row r="213">
      <c r="A213" s="423"/>
      <c r="B213" s="424"/>
      <c r="C213" s="425"/>
      <c r="D213" s="425"/>
      <c r="E213" s="425"/>
      <c r="F213" s="425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428"/>
    </row>
    <row r="214">
      <c r="A214" s="423"/>
      <c r="B214" s="424"/>
      <c r="C214" s="425"/>
      <c r="D214" s="425"/>
      <c r="E214" s="425"/>
      <c r="F214" s="425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428"/>
    </row>
    <row r="215">
      <c r="A215" s="423"/>
      <c r="B215" s="424"/>
      <c r="C215" s="425"/>
      <c r="D215" s="425"/>
      <c r="E215" s="425"/>
      <c r="F215" s="425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428"/>
    </row>
    <row r="216">
      <c r="A216" s="423"/>
      <c r="B216" s="424"/>
      <c r="C216" s="425"/>
      <c r="D216" s="425"/>
      <c r="E216" s="425"/>
      <c r="F216" s="425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428"/>
    </row>
    <row r="217">
      <c r="A217" s="423"/>
      <c r="B217" s="424"/>
      <c r="C217" s="425"/>
      <c r="D217" s="425"/>
      <c r="E217" s="425"/>
      <c r="F217" s="425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428"/>
    </row>
    <row r="218">
      <c r="A218" s="423"/>
      <c r="B218" s="424"/>
      <c r="C218" s="425"/>
      <c r="D218" s="425"/>
      <c r="E218" s="425"/>
      <c r="F218" s="425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428"/>
    </row>
    <row r="219">
      <c r="A219" s="423"/>
      <c r="B219" s="424"/>
      <c r="C219" s="425"/>
      <c r="D219" s="425"/>
      <c r="E219" s="425"/>
      <c r="F219" s="425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428"/>
    </row>
    <row r="220">
      <c r="A220" s="423"/>
      <c r="B220" s="424"/>
      <c r="C220" s="425"/>
      <c r="D220" s="425"/>
      <c r="E220" s="425"/>
      <c r="F220" s="425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428"/>
    </row>
    <row r="221">
      <c r="A221" s="423"/>
      <c r="B221" s="424"/>
      <c r="C221" s="425"/>
      <c r="D221" s="425"/>
      <c r="E221" s="425"/>
      <c r="F221" s="425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428"/>
    </row>
    <row r="222">
      <c r="A222" s="423"/>
      <c r="B222" s="424"/>
      <c r="C222" s="425"/>
      <c r="D222" s="425"/>
      <c r="E222" s="425"/>
      <c r="F222" s="425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428"/>
    </row>
    <row r="223">
      <c r="A223" s="423"/>
      <c r="B223" s="424"/>
      <c r="C223" s="425"/>
      <c r="D223" s="425"/>
      <c r="E223" s="425"/>
      <c r="F223" s="425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428"/>
    </row>
    <row r="224">
      <c r="A224" s="423"/>
      <c r="B224" s="424"/>
      <c r="C224" s="425"/>
      <c r="D224" s="425"/>
      <c r="E224" s="425"/>
      <c r="F224" s="425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428"/>
    </row>
    <row r="225">
      <c r="A225" s="423"/>
      <c r="B225" s="424"/>
      <c r="C225" s="425"/>
      <c r="D225" s="425"/>
      <c r="E225" s="425"/>
      <c r="F225" s="425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428"/>
    </row>
    <row r="226">
      <c r="A226" s="423"/>
      <c r="B226" s="424"/>
      <c r="C226" s="425"/>
      <c r="D226" s="425"/>
      <c r="E226" s="425"/>
      <c r="F226" s="425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428"/>
    </row>
    <row r="227">
      <c r="A227" s="423"/>
      <c r="B227" s="424"/>
      <c r="C227" s="425"/>
      <c r="D227" s="425"/>
      <c r="E227" s="425"/>
      <c r="F227" s="425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428"/>
    </row>
    <row r="228">
      <c r="A228" s="423"/>
      <c r="B228" s="424"/>
      <c r="C228" s="425"/>
      <c r="D228" s="425"/>
      <c r="E228" s="425"/>
      <c r="F228" s="425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428"/>
    </row>
    <row r="229">
      <c r="A229" s="423"/>
      <c r="B229" s="424"/>
      <c r="C229" s="425"/>
      <c r="D229" s="425"/>
      <c r="E229" s="425"/>
      <c r="F229" s="425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428"/>
    </row>
    <row r="230">
      <c r="A230" s="423"/>
      <c r="B230" s="424"/>
      <c r="C230" s="425"/>
      <c r="D230" s="425"/>
      <c r="E230" s="425"/>
      <c r="F230" s="425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428"/>
    </row>
    <row r="231">
      <c r="A231" s="423"/>
      <c r="B231" s="424"/>
      <c r="C231" s="425"/>
      <c r="D231" s="425"/>
      <c r="E231" s="425"/>
      <c r="F231" s="425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428"/>
    </row>
    <row r="232">
      <c r="A232" s="423"/>
      <c r="B232" s="424"/>
      <c r="C232" s="425"/>
      <c r="D232" s="425"/>
      <c r="E232" s="425"/>
      <c r="F232" s="425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428"/>
    </row>
    <row r="233">
      <c r="A233" s="423"/>
      <c r="B233" s="424"/>
      <c r="C233" s="425"/>
      <c r="D233" s="425"/>
      <c r="E233" s="425"/>
      <c r="F233" s="425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428"/>
    </row>
    <row r="234">
      <c r="A234" s="423"/>
      <c r="B234" s="424"/>
      <c r="C234" s="425"/>
      <c r="D234" s="425"/>
      <c r="E234" s="425"/>
      <c r="F234" s="425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428"/>
    </row>
    <row r="235">
      <c r="A235" s="423"/>
      <c r="B235" s="424"/>
      <c r="C235" s="425"/>
      <c r="D235" s="425"/>
      <c r="E235" s="425"/>
      <c r="F235" s="425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428"/>
    </row>
    <row r="236">
      <c r="A236" s="423"/>
      <c r="B236" s="424"/>
      <c r="C236" s="425"/>
      <c r="D236" s="425"/>
      <c r="E236" s="425"/>
      <c r="F236" s="425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428"/>
    </row>
    <row r="237">
      <c r="A237" s="423"/>
      <c r="B237" s="424"/>
      <c r="C237" s="425"/>
      <c r="D237" s="425"/>
      <c r="E237" s="425"/>
      <c r="F237" s="425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428"/>
    </row>
    <row r="238">
      <c r="A238" s="423"/>
      <c r="B238" s="424"/>
      <c r="C238" s="425"/>
      <c r="D238" s="425"/>
      <c r="E238" s="425"/>
      <c r="F238" s="425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428"/>
    </row>
    <row r="239">
      <c r="A239" s="423"/>
      <c r="B239" s="424"/>
      <c r="C239" s="425"/>
      <c r="D239" s="425"/>
      <c r="E239" s="425"/>
      <c r="F239" s="425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428"/>
    </row>
    <row r="240">
      <c r="A240" s="423"/>
      <c r="B240" s="424"/>
      <c r="C240" s="425"/>
      <c r="D240" s="425"/>
      <c r="E240" s="425"/>
      <c r="F240" s="425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428"/>
    </row>
    <row r="241">
      <c r="A241" s="423"/>
      <c r="B241" s="424"/>
      <c r="C241" s="425"/>
      <c r="D241" s="425"/>
      <c r="E241" s="425"/>
      <c r="F241" s="425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428"/>
    </row>
    <row r="242">
      <c r="A242" s="423"/>
      <c r="B242" s="424"/>
      <c r="C242" s="425"/>
      <c r="D242" s="425"/>
      <c r="E242" s="425"/>
      <c r="F242" s="425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428"/>
    </row>
    <row r="243">
      <c r="A243" s="423"/>
      <c r="B243" s="424"/>
      <c r="C243" s="425"/>
      <c r="D243" s="425"/>
      <c r="E243" s="425"/>
      <c r="F243" s="425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428"/>
    </row>
    <row r="244">
      <c r="A244" s="423"/>
      <c r="B244" s="424"/>
      <c r="C244" s="425"/>
      <c r="D244" s="425"/>
      <c r="E244" s="425"/>
      <c r="F244" s="425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428"/>
    </row>
    <row r="245">
      <c r="A245" s="423"/>
      <c r="B245" s="424"/>
      <c r="C245" s="425"/>
      <c r="D245" s="425"/>
      <c r="E245" s="425"/>
      <c r="F245" s="425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428"/>
    </row>
    <row r="246">
      <c r="A246" s="423"/>
      <c r="B246" s="424"/>
      <c r="C246" s="425"/>
      <c r="D246" s="425"/>
      <c r="E246" s="425"/>
      <c r="F246" s="425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428"/>
    </row>
    <row r="247">
      <c r="A247" s="423"/>
      <c r="B247" s="424"/>
      <c r="C247" s="425"/>
      <c r="D247" s="425"/>
      <c r="E247" s="425"/>
      <c r="F247" s="425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428"/>
    </row>
    <row r="248">
      <c r="A248" s="423"/>
      <c r="B248" s="424"/>
      <c r="C248" s="425"/>
      <c r="D248" s="425"/>
      <c r="E248" s="425"/>
      <c r="F248" s="425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428"/>
    </row>
    <row r="249">
      <c r="A249" s="423"/>
      <c r="B249" s="424"/>
      <c r="C249" s="425"/>
      <c r="D249" s="425"/>
      <c r="E249" s="425"/>
      <c r="F249" s="425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428"/>
    </row>
    <row r="250">
      <c r="A250" s="423"/>
      <c r="B250" s="424"/>
      <c r="C250" s="425"/>
      <c r="D250" s="425"/>
      <c r="E250" s="425"/>
      <c r="F250" s="425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428"/>
    </row>
    <row r="251">
      <c r="A251" s="423"/>
      <c r="B251" s="424"/>
      <c r="C251" s="425"/>
      <c r="D251" s="425"/>
      <c r="E251" s="425"/>
      <c r="F251" s="425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428"/>
    </row>
    <row r="252">
      <c r="A252" s="423"/>
      <c r="B252" s="424"/>
      <c r="C252" s="425"/>
      <c r="D252" s="425"/>
      <c r="E252" s="425"/>
      <c r="F252" s="425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428"/>
    </row>
    <row r="253">
      <c r="A253" s="423"/>
      <c r="B253" s="424"/>
      <c r="C253" s="425"/>
      <c r="D253" s="425"/>
      <c r="E253" s="425"/>
      <c r="F253" s="425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428"/>
    </row>
    <row r="254">
      <c r="A254" s="423"/>
      <c r="B254" s="424"/>
      <c r="C254" s="425"/>
      <c r="D254" s="425"/>
      <c r="E254" s="425"/>
      <c r="F254" s="425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428"/>
    </row>
    <row r="255">
      <c r="A255" s="423"/>
      <c r="B255" s="424"/>
      <c r="C255" s="425"/>
      <c r="D255" s="425"/>
      <c r="E255" s="425"/>
      <c r="F255" s="425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428"/>
    </row>
    <row r="256">
      <c r="A256" s="423"/>
      <c r="B256" s="424"/>
      <c r="C256" s="425"/>
      <c r="D256" s="425"/>
      <c r="E256" s="425"/>
      <c r="F256" s="425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428"/>
    </row>
    <row r="257">
      <c r="A257" s="423"/>
      <c r="B257" s="424"/>
      <c r="C257" s="425"/>
      <c r="D257" s="425"/>
      <c r="E257" s="425"/>
      <c r="F257" s="425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428"/>
    </row>
    <row r="258">
      <c r="A258" s="423"/>
      <c r="B258" s="424"/>
      <c r="C258" s="425"/>
      <c r="D258" s="425"/>
      <c r="E258" s="425"/>
      <c r="F258" s="425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428"/>
    </row>
    <row r="259">
      <c r="A259" s="423"/>
      <c r="B259" s="424"/>
      <c r="C259" s="425"/>
      <c r="D259" s="425"/>
      <c r="E259" s="425"/>
      <c r="F259" s="425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428"/>
    </row>
    <row r="260">
      <c r="A260" s="423"/>
      <c r="B260" s="424"/>
      <c r="C260" s="425"/>
      <c r="D260" s="425"/>
      <c r="E260" s="425"/>
      <c r="F260" s="425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428"/>
    </row>
    <row r="261">
      <c r="A261" s="423"/>
      <c r="B261" s="424"/>
      <c r="C261" s="425"/>
      <c r="D261" s="425"/>
      <c r="E261" s="425"/>
      <c r="F261" s="425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428"/>
    </row>
    <row r="262">
      <c r="A262" s="423"/>
      <c r="B262" s="424"/>
      <c r="C262" s="425"/>
      <c r="D262" s="425"/>
      <c r="E262" s="425"/>
      <c r="F262" s="425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428"/>
    </row>
    <row r="263">
      <c r="A263" s="423"/>
      <c r="B263" s="424"/>
      <c r="C263" s="425"/>
      <c r="D263" s="425"/>
      <c r="E263" s="425"/>
      <c r="F263" s="425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428"/>
    </row>
    <row r="264">
      <c r="A264" s="423"/>
      <c r="B264" s="424"/>
      <c r="C264" s="425"/>
      <c r="D264" s="425"/>
      <c r="E264" s="425"/>
      <c r="F264" s="425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428"/>
    </row>
    <row r="265">
      <c r="A265" s="423"/>
      <c r="B265" s="424"/>
      <c r="C265" s="425"/>
      <c r="D265" s="425"/>
      <c r="E265" s="425"/>
      <c r="F265" s="425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428"/>
    </row>
    <row r="266">
      <c r="A266" s="423"/>
      <c r="B266" s="424"/>
      <c r="C266" s="425"/>
      <c r="D266" s="425"/>
      <c r="E266" s="425"/>
      <c r="F266" s="425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428"/>
    </row>
    <row r="267">
      <c r="A267" s="423"/>
      <c r="B267" s="424"/>
      <c r="C267" s="425"/>
      <c r="D267" s="425"/>
      <c r="E267" s="425"/>
      <c r="F267" s="425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428"/>
    </row>
    <row r="268">
      <c r="A268" s="423"/>
      <c r="B268" s="424"/>
      <c r="C268" s="425"/>
      <c r="D268" s="425"/>
      <c r="E268" s="425"/>
      <c r="F268" s="425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428"/>
    </row>
    <row r="269">
      <c r="A269" s="423"/>
      <c r="B269" s="424"/>
      <c r="C269" s="425"/>
      <c r="D269" s="425"/>
      <c r="E269" s="425"/>
      <c r="F269" s="425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428"/>
    </row>
    <row r="270">
      <c r="A270" s="423"/>
      <c r="B270" s="424"/>
      <c r="C270" s="425"/>
      <c r="D270" s="425"/>
      <c r="E270" s="425"/>
      <c r="F270" s="425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428"/>
    </row>
    <row r="271">
      <c r="A271" s="423"/>
      <c r="B271" s="424"/>
      <c r="C271" s="425"/>
      <c r="D271" s="425"/>
      <c r="E271" s="425"/>
      <c r="F271" s="425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428"/>
    </row>
    <row r="272">
      <c r="A272" s="423"/>
      <c r="B272" s="424"/>
      <c r="C272" s="425"/>
      <c r="D272" s="425"/>
      <c r="E272" s="425"/>
      <c r="F272" s="425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428"/>
    </row>
    <row r="273">
      <c r="A273" s="423"/>
      <c r="B273" s="424"/>
      <c r="C273" s="425"/>
      <c r="D273" s="425"/>
      <c r="E273" s="425"/>
      <c r="F273" s="425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428"/>
    </row>
    <row r="274">
      <c r="A274" s="423"/>
      <c r="B274" s="424"/>
      <c r="C274" s="425"/>
      <c r="D274" s="425"/>
      <c r="E274" s="425"/>
      <c r="F274" s="425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428"/>
    </row>
    <row r="275">
      <c r="A275" s="423"/>
      <c r="B275" s="424"/>
      <c r="C275" s="425"/>
      <c r="D275" s="425"/>
      <c r="E275" s="425"/>
      <c r="F275" s="425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428"/>
    </row>
    <row r="276">
      <c r="A276" s="423"/>
      <c r="B276" s="424"/>
      <c r="C276" s="425"/>
      <c r="D276" s="425"/>
      <c r="E276" s="425"/>
      <c r="F276" s="425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428"/>
    </row>
    <row r="277">
      <c r="A277" s="423"/>
      <c r="B277" s="424"/>
      <c r="C277" s="425"/>
      <c r="D277" s="425"/>
      <c r="E277" s="425"/>
      <c r="F277" s="425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428"/>
    </row>
    <row r="278">
      <c r="A278" s="423"/>
      <c r="B278" s="424"/>
      <c r="C278" s="425"/>
      <c r="D278" s="425"/>
      <c r="E278" s="425"/>
      <c r="F278" s="425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428"/>
    </row>
    <row r="279">
      <c r="A279" s="423"/>
      <c r="B279" s="424"/>
      <c r="C279" s="425"/>
      <c r="D279" s="425"/>
      <c r="E279" s="425"/>
      <c r="F279" s="425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428"/>
    </row>
    <row r="280">
      <c r="A280" s="423"/>
      <c r="B280" s="424"/>
      <c r="C280" s="425"/>
      <c r="D280" s="425"/>
      <c r="E280" s="425"/>
      <c r="F280" s="425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428"/>
    </row>
    <row r="281">
      <c r="A281" s="423"/>
      <c r="B281" s="424"/>
      <c r="C281" s="425"/>
      <c r="D281" s="425"/>
      <c r="E281" s="425"/>
      <c r="F281" s="425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428"/>
    </row>
    <row r="282">
      <c r="A282" s="423"/>
      <c r="B282" s="424"/>
      <c r="C282" s="425"/>
      <c r="D282" s="425"/>
      <c r="E282" s="425"/>
      <c r="F282" s="425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428"/>
    </row>
    <row r="283">
      <c r="A283" s="423"/>
      <c r="B283" s="424"/>
      <c r="C283" s="425"/>
      <c r="D283" s="425"/>
      <c r="E283" s="425"/>
      <c r="F283" s="425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428"/>
    </row>
    <row r="284">
      <c r="A284" s="423"/>
      <c r="B284" s="424"/>
      <c r="C284" s="425"/>
      <c r="D284" s="425"/>
      <c r="E284" s="425"/>
      <c r="F284" s="425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428"/>
    </row>
    <row r="285">
      <c r="A285" s="423"/>
      <c r="B285" s="424"/>
      <c r="C285" s="425"/>
      <c r="D285" s="425"/>
      <c r="E285" s="425"/>
      <c r="F285" s="425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428"/>
    </row>
    <row r="286">
      <c r="A286" s="423"/>
      <c r="B286" s="424"/>
      <c r="C286" s="425"/>
      <c r="D286" s="425"/>
      <c r="E286" s="425"/>
      <c r="F286" s="425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428"/>
    </row>
    <row r="287">
      <c r="A287" s="423"/>
      <c r="B287" s="424"/>
      <c r="C287" s="425"/>
      <c r="D287" s="425"/>
      <c r="E287" s="425"/>
      <c r="F287" s="425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428"/>
    </row>
    <row r="288">
      <c r="A288" s="423"/>
      <c r="B288" s="424"/>
      <c r="C288" s="425"/>
      <c r="D288" s="425"/>
      <c r="E288" s="425"/>
      <c r="F288" s="425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428"/>
    </row>
    <row r="289">
      <c r="A289" s="423"/>
      <c r="B289" s="424"/>
      <c r="C289" s="425"/>
      <c r="D289" s="425"/>
      <c r="E289" s="425"/>
      <c r="F289" s="425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428"/>
    </row>
    <row r="290">
      <c r="A290" s="423"/>
      <c r="B290" s="424"/>
      <c r="C290" s="425"/>
      <c r="D290" s="425"/>
      <c r="E290" s="425"/>
      <c r="F290" s="425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428"/>
    </row>
    <row r="291">
      <c r="A291" s="423"/>
      <c r="B291" s="424"/>
      <c r="C291" s="425"/>
      <c r="D291" s="425"/>
      <c r="E291" s="425"/>
      <c r="F291" s="425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428"/>
    </row>
    <row r="292">
      <c r="A292" s="423"/>
      <c r="B292" s="424"/>
      <c r="C292" s="425"/>
      <c r="D292" s="425"/>
      <c r="E292" s="425"/>
      <c r="F292" s="425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428"/>
    </row>
    <row r="293">
      <c r="A293" s="423"/>
      <c r="B293" s="424"/>
      <c r="C293" s="425"/>
      <c r="D293" s="425"/>
      <c r="E293" s="425"/>
      <c r="F293" s="425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428"/>
    </row>
    <row r="294">
      <c r="A294" s="423"/>
      <c r="B294" s="424"/>
      <c r="C294" s="425"/>
      <c r="D294" s="425"/>
      <c r="E294" s="425"/>
      <c r="F294" s="425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428"/>
    </row>
    <row r="295">
      <c r="A295" s="423"/>
      <c r="B295" s="424"/>
      <c r="C295" s="425"/>
      <c r="D295" s="425"/>
      <c r="E295" s="425"/>
      <c r="F295" s="425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428"/>
    </row>
    <row r="296">
      <c r="A296" s="423"/>
      <c r="B296" s="424"/>
      <c r="C296" s="425"/>
      <c r="D296" s="425"/>
      <c r="E296" s="425"/>
      <c r="F296" s="425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428"/>
    </row>
    <row r="297">
      <c r="A297" s="423"/>
      <c r="B297" s="424"/>
      <c r="C297" s="425"/>
      <c r="D297" s="425"/>
      <c r="E297" s="425"/>
      <c r="F297" s="425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428"/>
    </row>
    <row r="298">
      <c r="A298" s="423"/>
      <c r="B298" s="424"/>
      <c r="C298" s="425"/>
      <c r="D298" s="425"/>
      <c r="E298" s="425"/>
      <c r="F298" s="425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428"/>
    </row>
    <row r="299">
      <c r="A299" s="423"/>
      <c r="B299" s="424"/>
      <c r="C299" s="425"/>
      <c r="D299" s="425"/>
      <c r="E299" s="425"/>
      <c r="F299" s="425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428"/>
    </row>
    <row r="300">
      <c r="A300" s="423"/>
      <c r="B300" s="424"/>
      <c r="C300" s="425"/>
      <c r="D300" s="425"/>
      <c r="E300" s="425"/>
      <c r="F300" s="425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428"/>
    </row>
    <row r="301">
      <c r="A301" s="423"/>
      <c r="B301" s="424"/>
      <c r="C301" s="425"/>
      <c r="D301" s="425"/>
      <c r="E301" s="425"/>
      <c r="F301" s="425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428"/>
    </row>
    <row r="302">
      <c r="A302" s="423"/>
      <c r="B302" s="424"/>
      <c r="C302" s="425"/>
      <c r="D302" s="425"/>
      <c r="E302" s="425"/>
      <c r="F302" s="425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428"/>
    </row>
    <row r="303">
      <c r="A303" s="423"/>
      <c r="B303" s="424"/>
      <c r="C303" s="425"/>
      <c r="D303" s="425"/>
      <c r="E303" s="425"/>
      <c r="F303" s="425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428"/>
    </row>
    <row r="304">
      <c r="A304" s="423"/>
      <c r="B304" s="424"/>
      <c r="C304" s="425"/>
      <c r="D304" s="425"/>
      <c r="E304" s="425"/>
      <c r="F304" s="425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428"/>
    </row>
    <row r="305">
      <c r="A305" s="423"/>
      <c r="B305" s="424"/>
      <c r="C305" s="425"/>
      <c r="D305" s="425"/>
      <c r="E305" s="425"/>
      <c r="F305" s="425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428"/>
    </row>
    <row r="306">
      <c r="A306" s="423"/>
      <c r="B306" s="424"/>
      <c r="C306" s="425"/>
      <c r="D306" s="425"/>
      <c r="E306" s="425"/>
      <c r="F306" s="425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428"/>
    </row>
    <row r="307">
      <c r="A307" s="423"/>
      <c r="B307" s="424"/>
      <c r="C307" s="425"/>
      <c r="D307" s="425"/>
      <c r="E307" s="425"/>
      <c r="F307" s="425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428"/>
    </row>
    <row r="308">
      <c r="A308" s="423"/>
      <c r="B308" s="424"/>
      <c r="C308" s="425"/>
      <c r="D308" s="425"/>
      <c r="E308" s="425"/>
      <c r="F308" s="425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428"/>
    </row>
    <row r="309">
      <c r="A309" s="423"/>
      <c r="B309" s="424"/>
      <c r="C309" s="425"/>
      <c r="D309" s="425"/>
      <c r="E309" s="425"/>
      <c r="F309" s="425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428"/>
    </row>
    <row r="310">
      <c r="A310" s="423"/>
      <c r="B310" s="424"/>
      <c r="C310" s="425"/>
      <c r="D310" s="425"/>
      <c r="E310" s="425"/>
      <c r="F310" s="425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428"/>
    </row>
    <row r="311">
      <c r="A311" s="423"/>
      <c r="B311" s="424"/>
      <c r="C311" s="425"/>
      <c r="D311" s="425"/>
      <c r="E311" s="425"/>
      <c r="F311" s="425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428"/>
    </row>
    <row r="312">
      <c r="A312" s="423"/>
      <c r="B312" s="424"/>
      <c r="C312" s="425"/>
      <c r="D312" s="425"/>
      <c r="E312" s="425"/>
      <c r="F312" s="425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428"/>
    </row>
    <row r="313">
      <c r="A313" s="423"/>
      <c r="B313" s="424"/>
      <c r="C313" s="425"/>
      <c r="D313" s="425"/>
      <c r="E313" s="425"/>
      <c r="F313" s="425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428"/>
    </row>
    <row r="314">
      <c r="A314" s="423"/>
      <c r="B314" s="424"/>
      <c r="C314" s="425"/>
      <c r="D314" s="425"/>
      <c r="E314" s="425"/>
      <c r="F314" s="425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428"/>
    </row>
    <row r="315">
      <c r="A315" s="423"/>
      <c r="B315" s="424"/>
      <c r="C315" s="425"/>
      <c r="D315" s="425"/>
      <c r="E315" s="425"/>
      <c r="F315" s="425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428"/>
    </row>
    <row r="316">
      <c r="A316" s="423"/>
      <c r="B316" s="424"/>
      <c r="C316" s="425"/>
      <c r="D316" s="425"/>
      <c r="E316" s="425"/>
      <c r="F316" s="425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428"/>
    </row>
    <row r="317">
      <c r="A317" s="423"/>
      <c r="B317" s="424"/>
      <c r="C317" s="425"/>
      <c r="D317" s="425"/>
      <c r="E317" s="425"/>
      <c r="F317" s="425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428"/>
    </row>
    <row r="318">
      <c r="A318" s="423"/>
      <c r="B318" s="424"/>
      <c r="C318" s="425"/>
      <c r="D318" s="425"/>
      <c r="E318" s="425"/>
      <c r="F318" s="425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428"/>
    </row>
    <row r="319">
      <c r="A319" s="423"/>
      <c r="B319" s="424"/>
      <c r="C319" s="425"/>
      <c r="D319" s="425"/>
      <c r="E319" s="425"/>
      <c r="F319" s="425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428"/>
    </row>
    <row r="320">
      <c r="A320" s="423"/>
      <c r="B320" s="424"/>
      <c r="C320" s="425"/>
      <c r="D320" s="425"/>
      <c r="E320" s="425"/>
      <c r="F320" s="425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428"/>
    </row>
    <row r="321">
      <c r="A321" s="423"/>
      <c r="B321" s="424"/>
      <c r="C321" s="425"/>
      <c r="D321" s="425"/>
      <c r="E321" s="425"/>
      <c r="F321" s="425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428"/>
    </row>
    <row r="322">
      <c r="A322" s="423"/>
      <c r="B322" s="424"/>
      <c r="C322" s="425"/>
      <c r="D322" s="425"/>
      <c r="E322" s="425"/>
      <c r="F322" s="425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428"/>
    </row>
    <row r="323">
      <c r="A323" s="423"/>
      <c r="B323" s="424"/>
      <c r="C323" s="425"/>
      <c r="D323" s="425"/>
      <c r="E323" s="425"/>
      <c r="F323" s="425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428"/>
    </row>
    <row r="324">
      <c r="A324" s="423"/>
      <c r="B324" s="424"/>
      <c r="C324" s="425"/>
      <c r="D324" s="425"/>
      <c r="E324" s="425"/>
      <c r="F324" s="425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428"/>
    </row>
    <row r="325">
      <c r="A325" s="423"/>
      <c r="B325" s="424"/>
      <c r="C325" s="425"/>
      <c r="D325" s="425"/>
      <c r="E325" s="425"/>
      <c r="F325" s="425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428"/>
    </row>
    <row r="326">
      <c r="A326" s="423"/>
      <c r="B326" s="424"/>
      <c r="C326" s="425"/>
      <c r="D326" s="425"/>
      <c r="E326" s="425"/>
      <c r="F326" s="425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428"/>
    </row>
    <row r="327">
      <c r="A327" s="423"/>
      <c r="B327" s="424"/>
      <c r="C327" s="425"/>
      <c r="D327" s="425"/>
      <c r="E327" s="425"/>
      <c r="F327" s="425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428"/>
    </row>
    <row r="328">
      <c r="A328" s="423"/>
      <c r="B328" s="424"/>
      <c r="C328" s="425"/>
      <c r="D328" s="425"/>
      <c r="E328" s="425"/>
      <c r="F328" s="425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428"/>
    </row>
    <row r="329">
      <c r="A329" s="423"/>
      <c r="B329" s="424"/>
      <c r="C329" s="425"/>
      <c r="D329" s="425"/>
      <c r="E329" s="425"/>
      <c r="F329" s="425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428"/>
    </row>
    <row r="330">
      <c r="A330" s="423"/>
      <c r="B330" s="424"/>
      <c r="C330" s="425"/>
      <c r="D330" s="425"/>
      <c r="E330" s="425"/>
      <c r="F330" s="425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428"/>
    </row>
    <row r="331">
      <c r="A331" s="423"/>
      <c r="B331" s="424"/>
      <c r="C331" s="425"/>
      <c r="D331" s="425"/>
      <c r="E331" s="425"/>
      <c r="F331" s="425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428"/>
    </row>
    <row r="332">
      <c r="A332" s="423"/>
      <c r="B332" s="424"/>
      <c r="C332" s="425"/>
      <c r="D332" s="425"/>
      <c r="E332" s="425"/>
      <c r="F332" s="425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428"/>
    </row>
    <row r="333">
      <c r="A333" s="423"/>
      <c r="B333" s="424"/>
      <c r="C333" s="425"/>
      <c r="D333" s="425"/>
      <c r="E333" s="425"/>
      <c r="F333" s="425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428"/>
    </row>
    <row r="334">
      <c r="A334" s="423"/>
      <c r="B334" s="424"/>
      <c r="C334" s="425"/>
      <c r="D334" s="425"/>
      <c r="E334" s="425"/>
      <c r="F334" s="425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428"/>
    </row>
    <row r="335">
      <c r="A335" s="423"/>
      <c r="B335" s="424"/>
      <c r="C335" s="425"/>
      <c r="D335" s="425"/>
      <c r="E335" s="425"/>
      <c r="F335" s="425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428"/>
    </row>
    <row r="336">
      <c r="A336" s="423"/>
      <c r="B336" s="424"/>
      <c r="C336" s="425"/>
      <c r="D336" s="425"/>
      <c r="E336" s="425"/>
      <c r="F336" s="425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428"/>
    </row>
    <row r="337">
      <c r="A337" s="423"/>
      <c r="B337" s="424"/>
      <c r="C337" s="425"/>
      <c r="D337" s="425"/>
      <c r="E337" s="425"/>
      <c r="F337" s="425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428"/>
    </row>
    <row r="338">
      <c r="A338" s="423"/>
      <c r="B338" s="424"/>
      <c r="C338" s="425"/>
      <c r="D338" s="425"/>
      <c r="E338" s="425"/>
      <c r="F338" s="425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428"/>
    </row>
    <row r="339">
      <c r="A339" s="423"/>
      <c r="B339" s="424"/>
      <c r="C339" s="425"/>
      <c r="D339" s="425"/>
      <c r="E339" s="425"/>
      <c r="F339" s="425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428"/>
    </row>
    <row r="340">
      <c r="A340" s="423"/>
      <c r="B340" s="424"/>
      <c r="C340" s="425"/>
      <c r="D340" s="425"/>
      <c r="E340" s="425"/>
      <c r="F340" s="425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428"/>
    </row>
    <row r="341">
      <c r="A341" s="423"/>
      <c r="B341" s="424"/>
      <c r="C341" s="425"/>
      <c r="D341" s="425"/>
      <c r="E341" s="425"/>
      <c r="F341" s="425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428"/>
    </row>
    <row r="342">
      <c r="A342" s="423"/>
      <c r="B342" s="424"/>
      <c r="C342" s="425"/>
      <c r="D342" s="425"/>
      <c r="E342" s="425"/>
      <c r="F342" s="425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428"/>
    </row>
    <row r="343">
      <c r="A343" s="423"/>
      <c r="B343" s="424"/>
      <c r="C343" s="425"/>
      <c r="D343" s="425"/>
      <c r="E343" s="425"/>
      <c r="F343" s="425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428"/>
    </row>
    <row r="344">
      <c r="A344" s="423"/>
      <c r="B344" s="424"/>
      <c r="C344" s="425"/>
      <c r="D344" s="425"/>
      <c r="E344" s="425"/>
      <c r="F344" s="425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428"/>
    </row>
    <row r="345">
      <c r="A345" s="423"/>
      <c r="B345" s="424"/>
      <c r="C345" s="425"/>
      <c r="D345" s="425"/>
      <c r="E345" s="425"/>
      <c r="F345" s="425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428"/>
    </row>
    <row r="346">
      <c r="A346" s="423"/>
      <c r="B346" s="424"/>
      <c r="C346" s="425"/>
      <c r="D346" s="425"/>
      <c r="E346" s="425"/>
      <c r="F346" s="425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428"/>
    </row>
    <row r="347">
      <c r="A347" s="423"/>
      <c r="B347" s="424"/>
      <c r="C347" s="425"/>
      <c r="D347" s="425"/>
      <c r="E347" s="425"/>
      <c r="F347" s="425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428"/>
    </row>
    <row r="348">
      <c r="A348" s="423"/>
      <c r="B348" s="424"/>
      <c r="C348" s="425"/>
      <c r="D348" s="425"/>
      <c r="E348" s="425"/>
      <c r="F348" s="425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428"/>
    </row>
    <row r="349">
      <c r="A349" s="423"/>
      <c r="B349" s="424"/>
      <c r="C349" s="425"/>
      <c r="D349" s="425"/>
      <c r="E349" s="425"/>
      <c r="F349" s="425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428"/>
    </row>
    <row r="350">
      <c r="A350" s="423"/>
      <c r="B350" s="424"/>
      <c r="C350" s="425"/>
      <c r="D350" s="425"/>
      <c r="E350" s="425"/>
      <c r="F350" s="425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428"/>
    </row>
    <row r="351">
      <c r="A351" s="423"/>
      <c r="B351" s="424"/>
      <c r="C351" s="425"/>
      <c r="D351" s="425"/>
      <c r="E351" s="425"/>
      <c r="F351" s="425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428"/>
    </row>
    <row r="352">
      <c r="A352" s="423"/>
      <c r="B352" s="424"/>
      <c r="C352" s="425"/>
      <c r="D352" s="425"/>
      <c r="E352" s="425"/>
      <c r="F352" s="425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428"/>
    </row>
    <row r="353">
      <c r="A353" s="423"/>
      <c r="B353" s="424"/>
      <c r="C353" s="425"/>
      <c r="D353" s="425"/>
      <c r="E353" s="425"/>
      <c r="F353" s="425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428"/>
    </row>
    <row r="354">
      <c r="A354" s="423"/>
      <c r="B354" s="424"/>
      <c r="C354" s="425"/>
      <c r="D354" s="425"/>
      <c r="E354" s="425"/>
      <c r="F354" s="425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428"/>
    </row>
    <row r="355">
      <c r="A355" s="423"/>
      <c r="B355" s="424"/>
      <c r="C355" s="425"/>
      <c r="D355" s="425"/>
      <c r="E355" s="425"/>
      <c r="F355" s="425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428"/>
    </row>
    <row r="356">
      <c r="A356" s="423"/>
      <c r="B356" s="424"/>
      <c r="C356" s="425"/>
      <c r="D356" s="425"/>
      <c r="E356" s="425"/>
      <c r="F356" s="425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428"/>
    </row>
    <row r="357">
      <c r="A357" s="423"/>
      <c r="B357" s="424"/>
      <c r="C357" s="425"/>
      <c r="D357" s="425"/>
      <c r="E357" s="425"/>
      <c r="F357" s="425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428"/>
    </row>
    <row r="358">
      <c r="A358" s="423"/>
      <c r="B358" s="424"/>
      <c r="C358" s="425"/>
      <c r="D358" s="425"/>
      <c r="E358" s="425"/>
      <c r="F358" s="425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428"/>
    </row>
    <row r="359">
      <c r="A359" s="423"/>
      <c r="B359" s="424"/>
      <c r="C359" s="425"/>
      <c r="D359" s="425"/>
      <c r="E359" s="425"/>
      <c r="F359" s="425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428"/>
    </row>
    <row r="360">
      <c r="A360" s="423"/>
      <c r="B360" s="424"/>
      <c r="C360" s="425"/>
      <c r="D360" s="425"/>
      <c r="E360" s="425"/>
      <c r="F360" s="425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428"/>
    </row>
    <row r="361">
      <c r="A361" s="423"/>
      <c r="B361" s="424"/>
      <c r="C361" s="425"/>
      <c r="D361" s="425"/>
      <c r="E361" s="425"/>
      <c r="F361" s="425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428"/>
    </row>
    <row r="362">
      <c r="A362" s="423"/>
      <c r="B362" s="424"/>
      <c r="C362" s="425"/>
      <c r="D362" s="425"/>
      <c r="E362" s="425"/>
      <c r="F362" s="425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428"/>
    </row>
    <row r="363">
      <c r="A363" s="423"/>
      <c r="B363" s="424"/>
      <c r="C363" s="425"/>
      <c r="D363" s="425"/>
      <c r="E363" s="425"/>
      <c r="F363" s="425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428"/>
    </row>
    <row r="364">
      <c r="A364" s="423"/>
      <c r="B364" s="424"/>
      <c r="C364" s="425"/>
      <c r="D364" s="425"/>
      <c r="E364" s="425"/>
      <c r="F364" s="425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428"/>
    </row>
    <row r="365">
      <c r="A365" s="423"/>
      <c r="B365" s="424"/>
      <c r="C365" s="425"/>
      <c r="D365" s="425"/>
      <c r="E365" s="425"/>
      <c r="F365" s="425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428"/>
    </row>
    <row r="366">
      <c r="A366" s="423"/>
      <c r="B366" s="424"/>
      <c r="C366" s="425"/>
      <c r="D366" s="425"/>
      <c r="E366" s="425"/>
      <c r="F366" s="425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428"/>
    </row>
    <row r="367">
      <c r="A367" s="423"/>
      <c r="B367" s="424"/>
      <c r="C367" s="425"/>
      <c r="D367" s="425"/>
      <c r="E367" s="425"/>
      <c r="F367" s="425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428"/>
    </row>
    <row r="368">
      <c r="A368" s="423"/>
      <c r="B368" s="424"/>
      <c r="C368" s="425"/>
      <c r="D368" s="425"/>
      <c r="E368" s="425"/>
      <c r="F368" s="425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428"/>
    </row>
    <row r="369">
      <c r="A369" s="423"/>
      <c r="B369" s="424"/>
      <c r="C369" s="425"/>
      <c r="D369" s="425"/>
      <c r="E369" s="425"/>
      <c r="F369" s="425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428"/>
    </row>
    <row r="370">
      <c r="A370" s="423"/>
      <c r="B370" s="424"/>
      <c r="C370" s="425"/>
      <c r="D370" s="425"/>
      <c r="E370" s="425"/>
      <c r="F370" s="425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428"/>
    </row>
    <row r="371">
      <c r="A371" s="423"/>
      <c r="B371" s="424"/>
      <c r="C371" s="425"/>
      <c r="D371" s="425"/>
      <c r="E371" s="425"/>
      <c r="F371" s="425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428"/>
    </row>
    <row r="372">
      <c r="A372" s="423"/>
      <c r="B372" s="424"/>
      <c r="C372" s="425"/>
      <c r="D372" s="425"/>
      <c r="E372" s="425"/>
      <c r="F372" s="425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428"/>
    </row>
    <row r="373">
      <c r="A373" s="423"/>
      <c r="B373" s="424"/>
      <c r="C373" s="425"/>
      <c r="D373" s="425"/>
      <c r="E373" s="425"/>
      <c r="F373" s="425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428"/>
    </row>
    <row r="374">
      <c r="A374" s="423"/>
      <c r="B374" s="424"/>
      <c r="C374" s="425"/>
      <c r="D374" s="425"/>
      <c r="E374" s="425"/>
      <c r="F374" s="425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428"/>
    </row>
    <row r="375">
      <c r="A375" s="423"/>
      <c r="B375" s="424"/>
      <c r="C375" s="425"/>
      <c r="D375" s="425"/>
      <c r="E375" s="425"/>
      <c r="F375" s="425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428"/>
    </row>
    <row r="376">
      <c r="A376" s="423"/>
      <c r="B376" s="424"/>
      <c r="C376" s="425"/>
      <c r="D376" s="425"/>
      <c r="E376" s="425"/>
      <c r="F376" s="425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428"/>
    </row>
    <row r="377">
      <c r="A377" s="423"/>
      <c r="B377" s="424"/>
      <c r="C377" s="425"/>
      <c r="D377" s="425"/>
      <c r="E377" s="425"/>
      <c r="F377" s="425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428"/>
    </row>
    <row r="378">
      <c r="A378" s="423"/>
      <c r="B378" s="424"/>
      <c r="C378" s="425"/>
      <c r="D378" s="425"/>
      <c r="E378" s="425"/>
      <c r="F378" s="425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428"/>
    </row>
    <row r="379">
      <c r="A379" s="423"/>
      <c r="B379" s="424"/>
      <c r="C379" s="425"/>
      <c r="D379" s="425"/>
      <c r="E379" s="425"/>
      <c r="F379" s="425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428"/>
    </row>
    <row r="380">
      <c r="A380" s="423"/>
      <c r="B380" s="424"/>
      <c r="C380" s="425"/>
      <c r="D380" s="425"/>
      <c r="E380" s="425"/>
      <c r="F380" s="425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428"/>
    </row>
    <row r="381">
      <c r="A381" s="423"/>
      <c r="B381" s="424"/>
      <c r="C381" s="425"/>
      <c r="D381" s="425"/>
      <c r="E381" s="425"/>
      <c r="F381" s="425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428"/>
    </row>
    <row r="382">
      <c r="A382" s="423"/>
      <c r="B382" s="424"/>
      <c r="C382" s="425"/>
      <c r="D382" s="425"/>
      <c r="E382" s="425"/>
      <c r="F382" s="425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428"/>
    </row>
    <row r="383">
      <c r="A383" s="423"/>
      <c r="B383" s="424"/>
      <c r="C383" s="425"/>
      <c r="D383" s="425"/>
      <c r="E383" s="425"/>
      <c r="F383" s="425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428"/>
    </row>
    <row r="384">
      <c r="A384" s="423"/>
      <c r="B384" s="424"/>
      <c r="C384" s="425"/>
      <c r="D384" s="425"/>
      <c r="E384" s="425"/>
      <c r="F384" s="425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428"/>
    </row>
    <row r="385">
      <c r="A385" s="423"/>
      <c r="B385" s="424"/>
      <c r="C385" s="425"/>
      <c r="D385" s="425"/>
      <c r="E385" s="425"/>
      <c r="F385" s="425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428"/>
    </row>
    <row r="386">
      <c r="A386" s="423"/>
      <c r="B386" s="424"/>
      <c r="C386" s="425"/>
      <c r="D386" s="425"/>
      <c r="E386" s="425"/>
      <c r="F386" s="425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428"/>
    </row>
    <row r="387">
      <c r="A387" s="423"/>
      <c r="B387" s="424"/>
      <c r="C387" s="425"/>
      <c r="D387" s="425"/>
      <c r="E387" s="425"/>
      <c r="F387" s="425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428"/>
    </row>
    <row r="388">
      <c r="A388" s="423"/>
      <c r="B388" s="424"/>
      <c r="C388" s="425"/>
      <c r="D388" s="425"/>
      <c r="E388" s="425"/>
      <c r="F388" s="425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428"/>
    </row>
    <row r="389">
      <c r="A389" s="423"/>
      <c r="B389" s="424"/>
      <c r="C389" s="425"/>
      <c r="D389" s="425"/>
      <c r="E389" s="425"/>
      <c r="F389" s="425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428"/>
    </row>
    <row r="390">
      <c r="A390" s="423"/>
      <c r="B390" s="424"/>
      <c r="C390" s="425"/>
      <c r="D390" s="425"/>
      <c r="E390" s="425"/>
      <c r="F390" s="425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428"/>
    </row>
    <row r="391">
      <c r="A391" s="423"/>
      <c r="B391" s="424"/>
      <c r="C391" s="425"/>
      <c r="D391" s="425"/>
      <c r="E391" s="425"/>
      <c r="F391" s="425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428"/>
    </row>
    <row r="392">
      <c r="A392" s="423"/>
      <c r="B392" s="424"/>
      <c r="C392" s="425"/>
      <c r="D392" s="425"/>
      <c r="E392" s="425"/>
      <c r="F392" s="425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428"/>
    </row>
    <row r="393">
      <c r="A393" s="423"/>
      <c r="B393" s="424"/>
      <c r="C393" s="425"/>
      <c r="D393" s="425"/>
      <c r="E393" s="425"/>
      <c r="F393" s="425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428"/>
    </row>
    <row r="394">
      <c r="A394" s="423"/>
      <c r="B394" s="424"/>
      <c r="C394" s="425"/>
      <c r="D394" s="425"/>
      <c r="E394" s="425"/>
      <c r="F394" s="425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428"/>
    </row>
    <row r="395">
      <c r="A395" s="423"/>
      <c r="B395" s="424"/>
      <c r="C395" s="425"/>
      <c r="D395" s="425"/>
      <c r="E395" s="425"/>
      <c r="F395" s="425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428"/>
    </row>
    <row r="396">
      <c r="A396" s="423"/>
      <c r="B396" s="424"/>
      <c r="C396" s="425"/>
      <c r="D396" s="425"/>
      <c r="E396" s="425"/>
      <c r="F396" s="425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428"/>
    </row>
    <row r="397">
      <c r="A397" s="423"/>
      <c r="B397" s="424"/>
      <c r="C397" s="425"/>
      <c r="D397" s="425"/>
      <c r="E397" s="425"/>
      <c r="F397" s="425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428"/>
    </row>
    <row r="398">
      <c r="A398" s="423"/>
      <c r="B398" s="424"/>
      <c r="C398" s="425"/>
      <c r="D398" s="425"/>
      <c r="E398" s="425"/>
      <c r="F398" s="425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428"/>
    </row>
    <row r="399">
      <c r="A399" s="423"/>
      <c r="B399" s="424"/>
      <c r="C399" s="425"/>
      <c r="D399" s="425"/>
      <c r="E399" s="425"/>
      <c r="F399" s="425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428"/>
    </row>
    <row r="400">
      <c r="A400" s="423"/>
      <c r="B400" s="424"/>
      <c r="C400" s="425"/>
      <c r="D400" s="425"/>
      <c r="E400" s="425"/>
      <c r="F400" s="425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428"/>
    </row>
    <row r="401">
      <c r="A401" s="423"/>
      <c r="B401" s="424"/>
      <c r="C401" s="425"/>
      <c r="D401" s="425"/>
      <c r="E401" s="425"/>
      <c r="F401" s="425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428"/>
    </row>
    <row r="402">
      <c r="A402" s="423"/>
      <c r="B402" s="424"/>
      <c r="C402" s="425"/>
      <c r="D402" s="425"/>
      <c r="E402" s="425"/>
      <c r="F402" s="425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428"/>
    </row>
    <row r="403">
      <c r="A403" s="423"/>
      <c r="B403" s="424"/>
      <c r="C403" s="425"/>
      <c r="D403" s="425"/>
      <c r="E403" s="425"/>
      <c r="F403" s="425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428"/>
    </row>
    <row r="404">
      <c r="A404" s="423"/>
      <c r="B404" s="424"/>
      <c r="C404" s="425"/>
      <c r="D404" s="425"/>
      <c r="E404" s="425"/>
      <c r="F404" s="425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428"/>
    </row>
    <row r="405">
      <c r="A405" s="423"/>
      <c r="B405" s="424"/>
      <c r="C405" s="425"/>
      <c r="D405" s="425"/>
      <c r="E405" s="425"/>
      <c r="F405" s="425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428"/>
    </row>
    <row r="406">
      <c r="A406" s="423"/>
      <c r="B406" s="424"/>
      <c r="C406" s="425"/>
      <c r="D406" s="425"/>
      <c r="E406" s="425"/>
      <c r="F406" s="425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428"/>
    </row>
    <row r="407">
      <c r="A407" s="423"/>
      <c r="B407" s="424"/>
      <c r="C407" s="425"/>
      <c r="D407" s="425"/>
      <c r="E407" s="425"/>
      <c r="F407" s="425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428"/>
    </row>
    <row r="408">
      <c r="A408" s="423"/>
      <c r="B408" s="424"/>
      <c r="C408" s="425"/>
      <c r="D408" s="425"/>
      <c r="E408" s="425"/>
      <c r="F408" s="425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428"/>
    </row>
    <row r="409">
      <c r="A409" s="423"/>
      <c r="B409" s="424"/>
      <c r="C409" s="425"/>
      <c r="D409" s="425"/>
      <c r="E409" s="425"/>
      <c r="F409" s="425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428"/>
    </row>
    <row r="410">
      <c r="A410" s="423"/>
      <c r="B410" s="424"/>
      <c r="C410" s="425"/>
      <c r="D410" s="425"/>
      <c r="E410" s="425"/>
      <c r="F410" s="425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428"/>
    </row>
    <row r="411">
      <c r="A411" s="423"/>
      <c r="B411" s="424"/>
      <c r="C411" s="425"/>
      <c r="D411" s="425"/>
      <c r="E411" s="425"/>
      <c r="F411" s="425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428"/>
    </row>
    <row r="412">
      <c r="A412" s="423"/>
      <c r="B412" s="424"/>
      <c r="C412" s="425"/>
      <c r="D412" s="425"/>
      <c r="E412" s="425"/>
      <c r="F412" s="425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428"/>
    </row>
    <row r="413">
      <c r="A413" s="423"/>
      <c r="B413" s="424"/>
      <c r="C413" s="425"/>
      <c r="D413" s="425"/>
      <c r="E413" s="425"/>
      <c r="F413" s="425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428"/>
    </row>
    <row r="414">
      <c r="A414" s="423"/>
      <c r="B414" s="424"/>
      <c r="C414" s="425"/>
      <c r="D414" s="425"/>
      <c r="E414" s="425"/>
      <c r="F414" s="425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428"/>
    </row>
    <row r="415">
      <c r="A415" s="423"/>
      <c r="B415" s="424"/>
      <c r="C415" s="425"/>
      <c r="D415" s="425"/>
      <c r="E415" s="425"/>
      <c r="F415" s="425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428"/>
    </row>
    <row r="416">
      <c r="A416" s="423"/>
      <c r="B416" s="424"/>
      <c r="C416" s="425"/>
      <c r="D416" s="425"/>
      <c r="E416" s="425"/>
      <c r="F416" s="425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428"/>
    </row>
    <row r="417">
      <c r="A417" s="423"/>
      <c r="B417" s="424"/>
      <c r="C417" s="425"/>
      <c r="D417" s="425"/>
      <c r="E417" s="425"/>
      <c r="F417" s="425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428"/>
    </row>
    <row r="418">
      <c r="A418" s="423"/>
      <c r="B418" s="424"/>
      <c r="C418" s="425"/>
      <c r="D418" s="425"/>
      <c r="E418" s="425"/>
      <c r="F418" s="425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428"/>
    </row>
    <row r="419">
      <c r="A419" s="423"/>
      <c r="B419" s="424"/>
      <c r="C419" s="425"/>
      <c r="D419" s="425"/>
      <c r="E419" s="425"/>
      <c r="F419" s="425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428"/>
    </row>
    <row r="420">
      <c r="A420" s="423"/>
      <c r="B420" s="424"/>
      <c r="C420" s="425"/>
      <c r="D420" s="425"/>
      <c r="E420" s="425"/>
      <c r="F420" s="425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428"/>
    </row>
    <row r="421">
      <c r="A421" s="423"/>
      <c r="B421" s="424"/>
      <c r="C421" s="425"/>
      <c r="D421" s="425"/>
      <c r="E421" s="425"/>
      <c r="F421" s="425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428"/>
    </row>
    <row r="422">
      <c r="A422" s="423"/>
      <c r="B422" s="424"/>
      <c r="C422" s="425"/>
      <c r="D422" s="425"/>
      <c r="E422" s="425"/>
      <c r="F422" s="425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428"/>
    </row>
    <row r="423">
      <c r="A423" s="423"/>
      <c r="B423" s="424"/>
      <c r="C423" s="425"/>
      <c r="D423" s="425"/>
      <c r="E423" s="425"/>
      <c r="F423" s="425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428"/>
    </row>
    <row r="424">
      <c r="A424" s="423"/>
      <c r="B424" s="424"/>
      <c r="C424" s="425"/>
      <c r="D424" s="425"/>
      <c r="E424" s="425"/>
      <c r="F424" s="425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428"/>
    </row>
    <row r="425">
      <c r="A425" s="423"/>
      <c r="B425" s="424"/>
      <c r="C425" s="425"/>
      <c r="D425" s="425"/>
      <c r="E425" s="425"/>
      <c r="F425" s="425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428"/>
    </row>
    <row r="426">
      <c r="A426" s="423"/>
      <c r="B426" s="424"/>
      <c r="C426" s="425"/>
      <c r="D426" s="425"/>
      <c r="E426" s="425"/>
      <c r="F426" s="425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428"/>
    </row>
    <row r="427">
      <c r="A427" s="423"/>
      <c r="B427" s="424"/>
      <c r="C427" s="425"/>
      <c r="D427" s="425"/>
      <c r="E427" s="425"/>
      <c r="F427" s="425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428"/>
    </row>
    <row r="428">
      <c r="A428" s="423"/>
      <c r="B428" s="424"/>
      <c r="C428" s="425"/>
      <c r="D428" s="425"/>
      <c r="E428" s="425"/>
      <c r="F428" s="425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428"/>
    </row>
    <row r="429">
      <c r="A429" s="423"/>
      <c r="B429" s="424"/>
      <c r="C429" s="425"/>
      <c r="D429" s="425"/>
      <c r="E429" s="425"/>
      <c r="F429" s="425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428"/>
    </row>
    <row r="430">
      <c r="A430" s="423"/>
      <c r="B430" s="424"/>
      <c r="C430" s="425"/>
      <c r="D430" s="425"/>
      <c r="E430" s="425"/>
      <c r="F430" s="425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428"/>
    </row>
    <row r="431">
      <c r="A431" s="423"/>
      <c r="B431" s="424"/>
      <c r="C431" s="425"/>
      <c r="D431" s="425"/>
      <c r="E431" s="425"/>
      <c r="F431" s="425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428"/>
    </row>
    <row r="432">
      <c r="A432" s="423"/>
      <c r="B432" s="424"/>
      <c r="C432" s="425"/>
      <c r="D432" s="425"/>
      <c r="E432" s="425"/>
      <c r="F432" s="425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428"/>
    </row>
    <row r="433">
      <c r="A433" s="423"/>
      <c r="B433" s="424"/>
      <c r="C433" s="425"/>
      <c r="D433" s="425"/>
      <c r="E433" s="425"/>
      <c r="F433" s="425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428"/>
    </row>
    <row r="434">
      <c r="A434" s="423"/>
      <c r="B434" s="424"/>
      <c r="C434" s="425"/>
      <c r="D434" s="425"/>
      <c r="E434" s="425"/>
      <c r="F434" s="425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428"/>
    </row>
    <row r="435">
      <c r="A435" s="423"/>
      <c r="B435" s="424"/>
      <c r="C435" s="425"/>
      <c r="D435" s="425"/>
      <c r="E435" s="425"/>
      <c r="F435" s="425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428"/>
    </row>
    <row r="436">
      <c r="A436" s="423"/>
      <c r="B436" s="424"/>
      <c r="C436" s="425"/>
      <c r="D436" s="425"/>
      <c r="E436" s="425"/>
      <c r="F436" s="425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428"/>
    </row>
    <row r="437">
      <c r="A437" s="423"/>
      <c r="B437" s="424"/>
      <c r="C437" s="425"/>
      <c r="D437" s="425"/>
      <c r="E437" s="425"/>
      <c r="F437" s="425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428"/>
    </row>
    <row r="438">
      <c r="A438" s="423"/>
      <c r="B438" s="424"/>
      <c r="C438" s="425"/>
      <c r="D438" s="425"/>
      <c r="E438" s="425"/>
      <c r="F438" s="425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428"/>
    </row>
    <row r="439">
      <c r="A439" s="423"/>
      <c r="B439" s="424"/>
      <c r="C439" s="425"/>
      <c r="D439" s="425"/>
      <c r="E439" s="425"/>
      <c r="F439" s="425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428"/>
    </row>
    <row r="440">
      <c r="A440" s="423"/>
      <c r="B440" s="424"/>
      <c r="C440" s="425"/>
      <c r="D440" s="425"/>
      <c r="E440" s="425"/>
      <c r="F440" s="425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428"/>
    </row>
    <row r="441">
      <c r="A441" s="423"/>
      <c r="B441" s="424"/>
      <c r="C441" s="425"/>
      <c r="D441" s="425"/>
      <c r="E441" s="425"/>
      <c r="F441" s="425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428"/>
    </row>
    <row r="442">
      <c r="A442" s="423"/>
      <c r="B442" s="424"/>
      <c r="C442" s="425"/>
      <c r="D442" s="425"/>
      <c r="E442" s="425"/>
      <c r="F442" s="425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428"/>
    </row>
    <row r="443">
      <c r="A443" s="423"/>
      <c r="B443" s="424"/>
      <c r="C443" s="425"/>
      <c r="D443" s="425"/>
      <c r="E443" s="425"/>
      <c r="F443" s="425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428"/>
    </row>
    <row r="444">
      <c r="A444" s="423"/>
      <c r="B444" s="424"/>
      <c r="C444" s="425"/>
      <c r="D444" s="425"/>
      <c r="E444" s="425"/>
      <c r="F444" s="425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428"/>
    </row>
    <row r="445">
      <c r="A445" s="423"/>
      <c r="B445" s="424"/>
      <c r="C445" s="425"/>
      <c r="D445" s="425"/>
      <c r="E445" s="425"/>
      <c r="F445" s="425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428"/>
    </row>
    <row r="446">
      <c r="A446" s="423"/>
      <c r="B446" s="424"/>
      <c r="C446" s="425"/>
      <c r="D446" s="425"/>
      <c r="E446" s="425"/>
      <c r="F446" s="425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428"/>
    </row>
    <row r="447">
      <c r="A447" s="423"/>
      <c r="B447" s="424"/>
      <c r="C447" s="425"/>
      <c r="D447" s="425"/>
      <c r="E447" s="425"/>
      <c r="F447" s="425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428"/>
    </row>
    <row r="448">
      <c r="A448" s="423"/>
      <c r="B448" s="424"/>
      <c r="C448" s="425"/>
      <c r="D448" s="425"/>
      <c r="E448" s="425"/>
      <c r="F448" s="425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428"/>
    </row>
    <row r="449">
      <c r="A449" s="423"/>
      <c r="B449" s="424"/>
      <c r="C449" s="425"/>
      <c r="D449" s="425"/>
      <c r="E449" s="425"/>
      <c r="F449" s="425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428"/>
    </row>
    <row r="450">
      <c r="A450" s="423"/>
      <c r="B450" s="424"/>
      <c r="C450" s="425"/>
      <c r="D450" s="425"/>
      <c r="E450" s="425"/>
      <c r="F450" s="425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428"/>
    </row>
    <row r="451">
      <c r="A451" s="423"/>
      <c r="B451" s="424"/>
      <c r="C451" s="425"/>
      <c r="D451" s="425"/>
      <c r="E451" s="425"/>
      <c r="F451" s="425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428"/>
    </row>
    <row r="452">
      <c r="A452" s="423"/>
      <c r="B452" s="424"/>
      <c r="C452" s="425"/>
      <c r="D452" s="425"/>
      <c r="E452" s="425"/>
      <c r="F452" s="425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428"/>
    </row>
    <row r="453">
      <c r="A453" s="423"/>
      <c r="B453" s="424"/>
      <c r="C453" s="425"/>
      <c r="D453" s="425"/>
      <c r="E453" s="425"/>
      <c r="F453" s="425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428"/>
    </row>
    <row r="454">
      <c r="A454" s="423"/>
      <c r="B454" s="424"/>
      <c r="C454" s="425"/>
      <c r="D454" s="425"/>
      <c r="E454" s="425"/>
      <c r="F454" s="425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428"/>
    </row>
    <row r="455">
      <c r="A455" s="423"/>
      <c r="B455" s="424"/>
      <c r="C455" s="425"/>
      <c r="D455" s="425"/>
      <c r="E455" s="425"/>
      <c r="F455" s="425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428"/>
    </row>
    <row r="456">
      <c r="A456" s="423"/>
      <c r="B456" s="424"/>
      <c r="C456" s="425"/>
      <c r="D456" s="425"/>
      <c r="E456" s="425"/>
      <c r="F456" s="425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428"/>
    </row>
    <row r="457">
      <c r="A457" s="423"/>
      <c r="B457" s="424"/>
      <c r="C457" s="425"/>
      <c r="D457" s="425"/>
      <c r="E457" s="425"/>
      <c r="F457" s="425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428"/>
    </row>
    <row r="458">
      <c r="A458" s="423"/>
      <c r="B458" s="424"/>
      <c r="C458" s="425"/>
      <c r="D458" s="425"/>
      <c r="E458" s="425"/>
      <c r="F458" s="425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428"/>
    </row>
    <row r="459">
      <c r="A459" s="423"/>
      <c r="B459" s="424"/>
      <c r="C459" s="425"/>
      <c r="D459" s="425"/>
      <c r="E459" s="425"/>
      <c r="F459" s="425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428"/>
    </row>
    <row r="460">
      <c r="A460" s="423"/>
      <c r="B460" s="424"/>
      <c r="C460" s="425"/>
      <c r="D460" s="425"/>
      <c r="E460" s="425"/>
      <c r="F460" s="425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428"/>
    </row>
    <row r="461">
      <c r="A461" s="423"/>
      <c r="B461" s="424"/>
      <c r="C461" s="425"/>
      <c r="D461" s="425"/>
      <c r="E461" s="425"/>
      <c r="F461" s="425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428"/>
    </row>
    <row r="462">
      <c r="A462" s="423"/>
      <c r="B462" s="424"/>
      <c r="C462" s="425"/>
      <c r="D462" s="425"/>
      <c r="E462" s="425"/>
      <c r="F462" s="425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428"/>
    </row>
    <row r="463">
      <c r="A463" s="423"/>
      <c r="B463" s="424"/>
      <c r="C463" s="425"/>
      <c r="D463" s="425"/>
      <c r="E463" s="425"/>
      <c r="F463" s="425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428"/>
    </row>
    <row r="464">
      <c r="A464" s="423"/>
      <c r="B464" s="424"/>
      <c r="C464" s="425"/>
      <c r="D464" s="425"/>
      <c r="E464" s="425"/>
      <c r="F464" s="425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428"/>
    </row>
    <row r="465">
      <c r="A465" s="423"/>
      <c r="B465" s="424"/>
      <c r="C465" s="425"/>
      <c r="D465" s="425"/>
      <c r="E465" s="425"/>
      <c r="F465" s="425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428"/>
    </row>
    <row r="466">
      <c r="A466" s="423"/>
      <c r="B466" s="424"/>
      <c r="C466" s="425"/>
      <c r="D466" s="425"/>
      <c r="E466" s="425"/>
      <c r="F466" s="425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428"/>
    </row>
    <row r="467">
      <c r="A467" s="423"/>
      <c r="B467" s="424"/>
      <c r="C467" s="425"/>
      <c r="D467" s="425"/>
      <c r="E467" s="425"/>
      <c r="F467" s="425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428"/>
    </row>
    <row r="468">
      <c r="A468" s="423"/>
      <c r="B468" s="424"/>
      <c r="C468" s="425"/>
      <c r="D468" s="425"/>
      <c r="E468" s="425"/>
      <c r="F468" s="425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428"/>
    </row>
    <row r="469">
      <c r="A469" s="423"/>
      <c r="B469" s="424"/>
      <c r="C469" s="425"/>
      <c r="D469" s="425"/>
      <c r="E469" s="425"/>
      <c r="F469" s="425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428"/>
    </row>
    <row r="470">
      <c r="A470" s="423"/>
      <c r="B470" s="424"/>
      <c r="C470" s="425"/>
      <c r="D470" s="425"/>
      <c r="E470" s="425"/>
      <c r="F470" s="425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428"/>
    </row>
    <row r="471">
      <c r="A471" s="423"/>
      <c r="B471" s="424"/>
      <c r="C471" s="425"/>
      <c r="D471" s="425"/>
      <c r="E471" s="425"/>
      <c r="F471" s="425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428"/>
    </row>
    <row r="472">
      <c r="A472" s="423"/>
      <c r="B472" s="424"/>
      <c r="C472" s="425"/>
      <c r="D472" s="425"/>
      <c r="E472" s="425"/>
      <c r="F472" s="425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428"/>
    </row>
    <row r="473">
      <c r="A473" s="423"/>
      <c r="B473" s="424"/>
      <c r="C473" s="425"/>
      <c r="D473" s="425"/>
      <c r="E473" s="425"/>
      <c r="F473" s="425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428"/>
    </row>
    <row r="474">
      <c r="A474" s="423"/>
      <c r="B474" s="424"/>
      <c r="C474" s="425"/>
      <c r="D474" s="425"/>
      <c r="E474" s="425"/>
      <c r="F474" s="425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428"/>
    </row>
    <row r="475">
      <c r="A475" s="423"/>
      <c r="B475" s="424"/>
      <c r="C475" s="425"/>
      <c r="D475" s="425"/>
      <c r="E475" s="425"/>
      <c r="F475" s="425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428"/>
    </row>
    <row r="476">
      <c r="A476" s="423"/>
      <c r="B476" s="424"/>
      <c r="C476" s="425"/>
      <c r="D476" s="425"/>
      <c r="E476" s="425"/>
      <c r="F476" s="425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428"/>
    </row>
    <row r="477">
      <c r="A477" s="423"/>
      <c r="B477" s="424"/>
      <c r="C477" s="425"/>
      <c r="D477" s="425"/>
      <c r="E477" s="425"/>
      <c r="F477" s="425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428"/>
    </row>
    <row r="478">
      <c r="A478" s="423"/>
      <c r="B478" s="424"/>
      <c r="C478" s="425"/>
      <c r="D478" s="425"/>
      <c r="E478" s="425"/>
      <c r="F478" s="425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428"/>
    </row>
    <row r="479">
      <c r="A479" s="423"/>
      <c r="B479" s="424"/>
      <c r="C479" s="425"/>
      <c r="D479" s="425"/>
      <c r="E479" s="425"/>
      <c r="F479" s="425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428"/>
    </row>
    <row r="480">
      <c r="A480" s="423"/>
      <c r="B480" s="424"/>
      <c r="C480" s="425"/>
      <c r="D480" s="425"/>
      <c r="E480" s="425"/>
      <c r="F480" s="425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428"/>
    </row>
    <row r="481">
      <c r="A481" s="423"/>
      <c r="B481" s="424"/>
      <c r="C481" s="425"/>
      <c r="D481" s="425"/>
      <c r="E481" s="425"/>
      <c r="F481" s="425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428"/>
    </row>
    <row r="482">
      <c r="A482" s="423"/>
      <c r="B482" s="424"/>
      <c r="C482" s="425"/>
      <c r="D482" s="425"/>
      <c r="E482" s="425"/>
      <c r="F482" s="425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428"/>
    </row>
    <row r="483">
      <c r="A483" s="423"/>
      <c r="B483" s="424"/>
      <c r="C483" s="425"/>
      <c r="D483" s="425"/>
      <c r="E483" s="425"/>
      <c r="F483" s="425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428"/>
    </row>
    <row r="484">
      <c r="A484" s="423"/>
      <c r="B484" s="424"/>
      <c r="C484" s="425"/>
      <c r="D484" s="425"/>
      <c r="E484" s="425"/>
      <c r="F484" s="425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428"/>
    </row>
    <row r="485">
      <c r="A485" s="423"/>
      <c r="B485" s="424"/>
      <c r="C485" s="425"/>
      <c r="D485" s="425"/>
      <c r="E485" s="425"/>
      <c r="F485" s="425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428"/>
    </row>
    <row r="486">
      <c r="A486" s="423"/>
      <c r="B486" s="424"/>
      <c r="C486" s="425"/>
      <c r="D486" s="425"/>
      <c r="E486" s="425"/>
      <c r="F486" s="425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428"/>
    </row>
    <row r="487">
      <c r="A487" s="423"/>
      <c r="B487" s="424"/>
      <c r="C487" s="425"/>
      <c r="D487" s="425"/>
      <c r="E487" s="425"/>
      <c r="F487" s="425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428"/>
    </row>
    <row r="488">
      <c r="A488" s="423"/>
      <c r="B488" s="424"/>
      <c r="C488" s="425"/>
      <c r="D488" s="425"/>
      <c r="E488" s="425"/>
      <c r="F488" s="425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428"/>
    </row>
    <row r="489">
      <c r="A489" s="423"/>
      <c r="B489" s="424"/>
      <c r="C489" s="425"/>
      <c r="D489" s="425"/>
      <c r="E489" s="425"/>
      <c r="F489" s="425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428"/>
    </row>
    <row r="490">
      <c r="A490" s="423"/>
      <c r="B490" s="424"/>
      <c r="C490" s="425"/>
      <c r="D490" s="425"/>
      <c r="E490" s="425"/>
      <c r="F490" s="425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428"/>
    </row>
    <row r="491">
      <c r="A491" s="423"/>
      <c r="B491" s="424"/>
      <c r="C491" s="425"/>
      <c r="D491" s="425"/>
      <c r="E491" s="425"/>
      <c r="F491" s="425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428"/>
    </row>
    <row r="492">
      <c r="A492" s="423"/>
      <c r="B492" s="424"/>
      <c r="C492" s="425"/>
      <c r="D492" s="425"/>
      <c r="E492" s="425"/>
      <c r="F492" s="425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428"/>
    </row>
    <row r="493">
      <c r="A493" s="423"/>
      <c r="B493" s="424"/>
      <c r="C493" s="425"/>
      <c r="D493" s="425"/>
      <c r="E493" s="425"/>
      <c r="F493" s="425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428"/>
    </row>
    <row r="494">
      <c r="A494" s="423"/>
      <c r="B494" s="424"/>
      <c r="C494" s="425"/>
      <c r="D494" s="425"/>
      <c r="E494" s="425"/>
      <c r="F494" s="425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428"/>
    </row>
    <row r="495">
      <c r="A495" s="423"/>
      <c r="B495" s="424"/>
      <c r="C495" s="425"/>
      <c r="D495" s="425"/>
      <c r="E495" s="425"/>
      <c r="F495" s="425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428"/>
    </row>
    <row r="496">
      <c r="A496" s="423"/>
      <c r="B496" s="424"/>
      <c r="C496" s="425"/>
      <c r="D496" s="425"/>
      <c r="E496" s="425"/>
      <c r="F496" s="425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428"/>
    </row>
    <row r="497">
      <c r="A497" s="423"/>
      <c r="B497" s="424"/>
      <c r="C497" s="425"/>
      <c r="D497" s="425"/>
      <c r="E497" s="425"/>
      <c r="F497" s="425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428"/>
    </row>
    <row r="498">
      <c r="A498" s="423"/>
      <c r="B498" s="424"/>
      <c r="C498" s="425"/>
      <c r="D498" s="425"/>
      <c r="E498" s="425"/>
      <c r="F498" s="425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428"/>
    </row>
    <row r="499">
      <c r="A499" s="423"/>
      <c r="B499" s="424"/>
      <c r="C499" s="425"/>
      <c r="D499" s="425"/>
      <c r="E499" s="425"/>
      <c r="F499" s="425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428"/>
    </row>
    <row r="500">
      <c r="A500" s="423"/>
      <c r="B500" s="424"/>
      <c r="C500" s="425"/>
      <c r="D500" s="425"/>
      <c r="E500" s="425"/>
      <c r="F500" s="425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428"/>
    </row>
    <row r="501">
      <c r="A501" s="423"/>
      <c r="B501" s="424"/>
      <c r="C501" s="425"/>
      <c r="D501" s="425"/>
      <c r="E501" s="425"/>
      <c r="F501" s="425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428"/>
    </row>
    <row r="502">
      <c r="A502" s="423"/>
      <c r="B502" s="424"/>
      <c r="C502" s="425"/>
      <c r="D502" s="425"/>
      <c r="E502" s="425"/>
      <c r="F502" s="425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428"/>
    </row>
    <row r="503">
      <c r="A503" s="423"/>
      <c r="B503" s="424"/>
      <c r="C503" s="425"/>
      <c r="D503" s="425"/>
      <c r="E503" s="425"/>
      <c r="F503" s="425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428"/>
    </row>
    <row r="504">
      <c r="A504" s="423"/>
      <c r="B504" s="424"/>
      <c r="C504" s="425"/>
      <c r="D504" s="425"/>
      <c r="E504" s="425"/>
      <c r="F504" s="425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428"/>
    </row>
    <row r="505">
      <c r="A505" s="423"/>
      <c r="B505" s="424"/>
      <c r="C505" s="425"/>
      <c r="D505" s="425"/>
      <c r="E505" s="425"/>
      <c r="F505" s="425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428"/>
    </row>
    <row r="506">
      <c r="A506" s="423"/>
      <c r="B506" s="424"/>
      <c r="C506" s="425"/>
      <c r="D506" s="425"/>
      <c r="E506" s="425"/>
      <c r="F506" s="425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428"/>
    </row>
    <row r="507">
      <c r="A507" s="423"/>
      <c r="B507" s="424"/>
      <c r="C507" s="425"/>
      <c r="D507" s="425"/>
      <c r="E507" s="425"/>
      <c r="F507" s="425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428"/>
    </row>
    <row r="508">
      <c r="A508" s="423"/>
      <c r="B508" s="424"/>
      <c r="C508" s="425"/>
      <c r="D508" s="425"/>
      <c r="E508" s="425"/>
      <c r="F508" s="425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428"/>
    </row>
    <row r="509">
      <c r="A509" s="423"/>
      <c r="B509" s="424"/>
      <c r="C509" s="425"/>
      <c r="D509" s="425"/>
      <c r="E509" s="425"/>
      <c r="F509" s="425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428"/>
    </row>
    <row r="510">
      <c r="A510" s="423"/>
      <c r="B510" s="424"/>
      <c r="C510" s="425"/>
      <c r="D510" s="425"/>
      <c r="E510" s="425"/>
      <c r="F510" s="425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428"/>
    </row>
    <row r="511">
      <c r="A511" s="423"/>
      <c r="B511" s="424"/>
      <c r="C511" s="425"/>
      <c r="D511" s="425"/>
      <c r="E511" s="425"/>
      <c r="F511" s="425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428"/>
    </row>
    <row r="512">
      <c r="A512" s="423"/>
      <c r="B512" s="424"/>
      <c r="C512" s="425"/>
      <c r="D512" s="425"/>
      <c r="E512" s="425"/>
      <c r="F512" s="425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428"/>
    </row>
    <row r="513">
      <c r="A513" s="423"/>
      <c r="B513" s="424"/>
      <c r="C513" s="425"/>
      <c r="D513" s="425"/>
      <c r="E513" s="425"/>
      <c r="F513" s="425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428"/>
    </row>
    <row r="514">
      <c r="A514" s="423"/>
      <c r="B514" s="424"/>
      <c r="C514" s="425"/>
      <c r="D514" s="425"/>
      <c r="E514" s="425"/>
      <c r="F514" s="425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428"/>
    </row>
    <row r="515">
      <c r="A515" s="423"/>
      <c r="B515" s="424"/>
      <c r="C515" s="425"/>
      <c r="D515" s="425"/>
      <c r="E515" s="425"/>
      <c r="F515" s="425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428"/>
    </row>
    <row r="516">
      <c r="A516" s="423"/>
      <c r="B516" s="424"/>
      <c r="C516" s="425"/>
      <c r="D516" s="425"/>
      <c r="E516" s="425"/>
      <c r="F516" s="425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428"/>
    </row>
    <row r="517">
      <c r="A517" s="423"/>
      <c r="B517" s="424"/>
      <c r="C517" s="425"/>
      <c r="D517" s="425"/>
      <c r="E517" s="425"/>
      <c r="F517" s="425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428"/>
    </row>
    <row r="518">
      <c r="A518" s="423"/>
      <c r="B518" s="424"/>
      <c r="C518" s="425"/>
      <c r="D518" s="425"/>
      <c r="E518" s="425"/>
      <c r="F518" s="425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428"/>
    </row>
    <row r="519">
      <c r="A519" s="423"/>
      <c r="B519" s="424"/>
      <c r="C519" s="425"/>
      <c r="D519" s="425"/>
      <c r="E519" s="425"/>
      <c r="F519" s="425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428"/>
    </row>
    <row r="520">
      <c r="A520" s="423"/>
      <c r="B520" s="424"/>
      <c r="C520" s="425"/>
      <c r="D520" s="425"/>
      <c r="E520" s="425"/>
      <c r="F520" s="425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428"/>
    </row>
    <row r="521">
      <c r="A521" s="423"/>
      <c r="B521" s="424"/>
      <c r="C521" s="425"/>
      <c r="D521" s="425"/>
      <c r="E521" s="425"/>
      <c r="F521" s="425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428"/>
    </row>
    <row r="522">
      <c r="A522" s="423"/>
      <c r="B522" s="424"/>
      <c r="C522" s="425"/>
      <c r="D522" s="425"/>
      <c r="E522" s="425"/>
      <c r="F522" s="425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428"/>
    </row>
    <row r="523">
      <c r="A523" s="423"/>
      <c r="B523" s="424"/>
      <c r="C523" s="425"/>
      <c r="D523" s="425"/>
      <c r="E523" s="425"/>
      <c r="F523" s="425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428"/>
    </row>
    <row r="524">
      <c r="A524" s="423"/>
      <c r="B524" s="424"/>
      <c r="C524" s="425"/>
      <c r="D524" s="425"/>
      <c r="E524" s="425"/>
      <c r="F524" s="425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428"/>
    </row>
    <row r="525">
      <c r="A525" s="423"/>
      <c r="B525" s="424"/>
      <c r="C525" s="425"/>
      <c r="D525" s="425"/>
      <c r="E525" s="425"/>
      <c r="F525" s="425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428"/>
    </row>
    <row r="526">
      <c r="A526" s="423"/>
      <c r="B526" s="424"/>
      <c r="C526" s="425"/>
      <c r="D526" s="425"/>
      <c r="E526" s="425"/>
      <c r="F526" s="425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428"/>
    </row>
    <row r="527">
      <c r="A527" s="423"/>
      <c r="B527" s="424"/>
      <c r="C527" s="425"/>
      <c r="D527" s="425"/>
      <c r="E527" s="425"/>
      <c r="F527" s="425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428"/>
    </row>
    <row r="528">
      <c r="A528" s="423"/>
      <c r="B528" s="424"/>
      <c r="C528" s="425"/>
      <c r="D528" s="425"/>
      <c r="E528" s="425"/>
      <c r="F528" s="425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428"/>
    </row>
    <row r="529">
      <c r="A529" s="423"/>
      <c r="B529" s="424"/>
      <c r="C529" s="425"/>
      <c r="D529" s="425"/>
      <c r="E529" s="425"/>
      <c r="F529" s="425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428"/>
    </row>
    <row r="530">
      <c r="A530" s="423"/>
      <c r="B530" s="424"/>
      <c r="C530" s="425"/>
      <c r="D530" s="425"/>
      <c r="E530" s="425"/>
      <c r="F530" s="425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428"/>
    </row>
    <row r="531">
      <c r="A531" s="423"/>
      <c r="B531" s="424"/>
      <c r="C531" s="425"/>
      <c r="D531" s="425"/>
      <c r="E531" s="425"/>
      <c r="F531" s="425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428"/>
    </row>
    <row r="532">
      <c r="A532" s="423"/>
      <c r="B532" s="424"/>
      <c r="C532" s="425"/>
      <c r="D532" s="425"/>
      <c r="E532" s="425"/>
      <c r="F532" s="425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428"/>
    </row>
    <row r="533">
      <c r="A533" s="423"/>
      <c r="B533" s="424"/>
      <c r="C533" s="425"/>
      <c r="D533" s="425"/>
      <c r="E533" s="425"/>
      <c r="F533" s="425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428"/>
    </row>
    <row r="534">
      <c r="A534" s="423"/>
      <c r="B534" s="424"/>
      <c r="C534" s="425"/>
      <c r="D534" s="425"/>
      <c r="E534" s="425"/>
      <c r="F534" s="425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428"/>
    </row>
    <row r="535">
      <c r="A535" s="423"/>
      <c r="B535" s="424"/>
      <c r="C535" s="425"/>
      <c r="D535" s="425"/>
      <c r="E535" s="425"/>
      <c r="F535" s="425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428"/>
    </row>
    <row r="536">
      <c r="A536" s="423"/>
      <c r="B536" s="424"/>
      <c r="C536" s="425"/>
      <c r="D536" s="425"/>
      <c r="E536" s="425"/>
      <c r="F536" s="425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428"/>
    </row>
    <row r="537">
      <c r="A537" s="423"/>
      <c r="B537" s="424"/>
      <c r="C537" s="425"/>
      <c r="D537" s="425"/>
      <c r="E537" s="425"/>
      <c r="F537" s="425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428"/>
    </row>
    <row r="538">
      <c r="A538" s="423"/>
      <c r="B538" s="424"/>
      <c r="C538" s="425"/>
      <c r="D538" s="425"/>
      <c r="E538" s="425"/>
      <c r="F538" s="425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428"/>
    </row>
    <row r="539">
      <c r="A539" s="423"/>
      <c r="B539" s="424"/>
      <c r="C539" s="425"/>
      <c r="D539" s="425"/>
      <c r="E539" s="425"/>
      <c r="F539" s="425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428"/>
    </row>
    <row r="540">
      <c r="A540" s="423"/>
      <c r="B540" s="424"/>
      <c r="C540" s="425"/>
      <c r="D540" s="425"/>
      <c r="E540" s="425"/>
      <c r="F540" s="425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428"/>
    </row>
    <row r="541">
      <c r="A541" s="423"/>
      <c r="B541" s="424"/>
      <c r="C541" s="425"/>
      <c r="D541" s="425"/>
      <c r="E541" s="425"/>
      <c r="F541" s="425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428"/>
    </row>
    <row r="542">
      <c r="A542" s="423"/>
      <c r="B542" s="424"/>
      <c r="C542" s="425"/>
      <c r="D542" s="425"/>
      <c r="E542" s="425"/>
      <c r="F542" s="425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428"/>
    </row>
    <row r="543">
      <c r="A543" s="423"/>
      <c r="B543" s="424"/>
      <c r="C543" s="425"/>
      <c r="D543" s="425"/>
      <c r="E543" s="425"/>
      <c r="F543" s="425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428"/>
    </row>
    <row r="544">
      <c r="A544" s="423"/>
      <c r="B544" s="424"/>
      <c r="C544" s="425"/>
      <c r="D544" s="425"/>
      <c r="E544" s="425"/>
      <c r="F544" s="425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428"/>
    </row>
    <row r="545">
      <c r="A545" s="423"/>
      <c r="B545" s="424"/>
      <c r="C545" s="425"/>
      <c r="D545" s="425"/>
      <c r="E545" s="425"/>
      <c r="F545" s="425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428"/>
    </row>
    <row r="546">
      <c r="A546" s="423"/>
      <c r="B546" s="424"/>
      <c r="C546" s="425"/>
      <c r="D546" s="425"/>
      <c r="E546" s="425"/>
      <c r="F546" s="425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428"/>
    </row>
    <row r="547">
      <c r="A547" s="423"/>
      <c r="B547" s="424"/>
      <c r="C547" s="425"/>
      <c r="D547" s="425"/>
      <c r="E547" s="425"/>
      <c r="F547" s="425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428"/>
    </row>
    <row r="548">
      <c r="A548" s="423"/>
      <c r="B548" s="424"/>
      <c r="C548" s="425"/>
      <c r="D548" s="425"/>
      <c r="E548" s="425"/>
      <c r="F548" s="425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428"/>
    </row>
    <row r="549">
      <c r="A549" s="423"/>
      <c r="B549" s="424"/>
      <c r="C549" s="425"/>
      <c r="D549" s="425"/>
      <c r="E549" s="425"/>
      <c r="F549" s="425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428"/>
    </row>
    <row r="550">
      <c r="A550" s="423"/>
      <c r="B550" s="424"/>
      <c r="C550" s="425"/>
      <c r="D550" s="425"/>
      <c r="E550" s="425"/>
      <c r="F550" s="425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428"/>
    </row>
    <row r="551">
      <c r="A551" s="423"/>
      <c r="B551" s="424"/>
      <c r="C551" s="425"/>
      <c r="D551" s="425"/>
      <c r="E551" s="425"/>
      <c r="F551" s="425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428"/>
    </row>
    <row r="552">
      <c r="A552" s="423"/>
      <c r="B552" s="424"/>
      <c r="C552" s="425"/>
      <c r="D552" s="425"/>
      <c r="E552" s="425"/>
      <c r="F552" s="425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428"/>
    </row>
    <row r="553">
      <c r="A553" s="423"/>
      <c r="B553" s="424"/>
      <c r="C553" s="425"/>
      <c r="D553" s="425"/>
      <c r="E553" s="425"/>
      <c r="F553" s="425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428"/>
    </row>
    <row r="554">
      <c r="A554" s="423"/>
      <c r="B554" s="424"/>
      <c r="C554" s="425"/>
      <c r="D554" s="425"/>
      <c r="E554" s="425"/>
      <c r="F554" s="425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428"/>
    </row>
    <row r="555">
      <c r="A555" s="423"/>
      <c r="B555" s="424"/>
      <c r="C555" s="425"/>
      <c r="D555" s="425"/>
      <c r="E555" s="425"/>
      <c r="F555" s="425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428"/>
    </row>
    <row r="556">
      <c r="A556" s="423"/>
      <c r="B556" s="424"/>
      <c r="C556" s="425"/>
      <c r="D556" s="425"/>
      <c r="E556" s="425"/>
      <c r="F556" s="425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428"/>
    </row>
    <row r="557">
      <c r="A557" s="423"/>
      <c r="B557" s="424"/>
      <c r="C557" s="425"/>
      <c r="D557" s="425"/>
      <c r="E557" s="425"/>
      <c r="F557" s="425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428"/>
    </row>
    <row r="558">
      <c r="A558" s="423"/>
      <c r="B558" s="424"/>
      <c r="C558" s="425"/>
      <c r="D558" s="425"/>
      <c r="E558" s="425"/>
      <c r="F558" s="425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428"/>
    </row>
    <row r="559">
      <c r="A559" s="423"/>
      <c r="B559" s="424"/>
      <c r="C559" s="425"/>
      <c r="D559" s="425"/>
      <c r="E559" s="425"/>
      <c r="F559" s="425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428"/>
    </row>
    <row r="560">
      <c r="A560" s="423"/>
      <c r="B560" s="424"/>
      <c r="C560" s="425"/>
      <c r="D560" s="425"/>
      <c r="E560" s="425"/>
      <c r="F560" s="425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428"/>
    </row>
    <row r="561">
      <c r="A561" s="423"/>
      <c r="B561" s="424"/>
      <c r="C561" s="425"/>
      <c r="D561" s="425"/>
      <c r="E561" s="425"/>
      <c r="F561" s="425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428"/>
    </row>
    <row r="562">
      <c r="A562" s="423"/>
      <c r="B562" s="424"/>
      <c r="C562" s="425"/>
      <c r="D562" s="425"/>
      <c r="E562" s="425"/>
      <c r="F562" s="425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428"/>
    </row>
    <row r="563">
      <c r="A563" s="423"/>
      <c r="B563" s="424"/>
      <c r="C563" s="425"/>
      <c r="D563" s="425"/>
      <c r="E563" s="425"/>
      <c r="F563" s="425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428"/>
    </row>
    <row r="564">
      <c r="A564" s="423"/>
      <c r="B564" s="424"/>
      <c r="C564" s="425"/>
      <c r="D564" s="425"/>
      <c r="E564" s="425"/>
      <c r="F564" s="425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428"/>
    </row>
    <row r="565">
      <c r="A565" s="423"/>
      <c r="B565" s="424"/>
      <c r="C565" s="425"/>
      <c r="D565" s="425"/>
      <c r="E565" s="425"/>
      <c r="F565" s="425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428"/>
    </row>
    <row r="566">
      <c r="A566" s="423"/>
      <c r="B566" s="424"/>
      <c r="C566" s="425"/>
      <c r="D566" s="425"/>
      <c r="E566" s="425"/>
      <c r="F566" s="425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428"/>
    </row>
    <row r="567">
      <c r="A567" s="423"/>
      <c r="B567" s="424"/>
      <c r="C567" s="425"/>
      <c r="D567" s="425"/>
      <c r="E567" s="425"/>
      <c r="F567" s="425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428"/>
    </row>
    <row r="568">
      <c r="A568" s="423"/>
      <c r="B568" s="424"/>
      <c r="C568" s="425"/>
      <c r="D568" s="425"/>
      <c r="E568" s="425"/>
      <c r="F568" s="425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428"/>
    </row>
    <row r="569">
      <c r="A569" s="423"/>
      <c r="B569" s="424"/>
      <c r="C569" s="425"/>
      <c r="D569" s="425"/>
      <c r="E569" s="425"/>
      <c r="F569" s="425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428"/>
    </row>
    <row r="570">
      <c r="A570" s="423"/>
      <c r="B570" s="424"/>
      <c r="C570" s="425"/>
      <c r="D570" s="425"/>
      <c r="E570" s="425"/>
      <c r="F570" s="425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428"/>
    </row>
    <row r="571">
      <c r="A571" s="423"/>
      <c r="B571" s="424"/>
      <c r="C571" s="425"/>
      <c r="D571" s="425"/>
      <c r="E571" s="425"/>
      <c r="F571" s="425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428"/>
    </row>
    <row r="572">
      <c r="A572" s="423"/>
      <c r="B572" s="424"/>
      <c r="C572" s="425"/>
      <c r="D572" s="425"/>
      <c r="E572" s="425"/>
      <c r="F572" s="425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428"/>
    </row>
    <row r="573">
      <c r="A573" s="423"/>
      <c r="B573" s="424"/>
      <c r="C573" s="425"/>
      <c r="D573" s="425"/>
      <c r="E573" s="425"/>
      <c r="F573" s="425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428"/>
    </row>
    <row r="574">
      <c r="A574" s="423"/>
      <c r="B574" s="424"/>
      <c r="C574" s="425"/>
      <c r="D574" s="425"/>
      <c r="E574" s="425"/>
      <c r="F574" s="425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428"/>
    </row>
    <row r="575">
      <c r="A575" s="423"/>
      <c r="B575" s="424"/>
      <c r="C575" s="425"/>
      <c r="D575" s="425"/>
      <c r="E575" s="425"/>
      <c r="F575" s="425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428"/>
    </row>
    <row r="576">
      <c r="A576" s="423"/>
      <c r="B576" s="424"/>
      <c r="C576" s="425"/>
      <c r="D576" s="425"/>
      <c r="E576" s="425"/>
      <c r="F576" s="425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428"/>
    </row>
    <row r="577">
      <c r="A577" s="423"/>
      <c r="B577" s="424"/>
      <c r="C577" s="425"/>
      <c r="D577" s="425"/>
      <c r="E577" s="425"/>
      <c r="F577" s="425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428"/>
    </row>
    <row r="578">
      <c r="A578" s="423"/>
      <c r="B578" s="424"/>
      <c r="C578" s="425"/>
      <c r="D578" s="425"/>
      <c r="E578" s="425"/>
      <c r="F578" s="425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428"/>
    </row>
    <row r="579">
      <c r="A579" s="423"/>
      <c r="B579" s="424"/>
      <c r="C579" s="425"/>
      <c r="D579" s="425"/>
      <c r="E579" s="425"/>
      <c r="F579" s="425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428"/>
    </row>
    <row r="580">
      <c r="A580" s="423"/>
      <c r="B580" s="424"/>
      <c r="C580" s="425"/>
      <c r="D580" s="425"/>
      <c r="E580" s="425"/>
      <c r="F580" s="425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428"/>
    </row>
    <row r="581">
      <c r="A581" s="423"/>
      <c r="B581" s="424"/>
      <c r="C581" s="425"/>
      <c r="D581" s="425"/>
      <c r="E581" s="425"/>
      <c r="F581" s="425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428"/>
    </row>
    <row r="582">
      <c r="A582" s="423"/>
      <c r="B582" s="424"/>
      <c r="C582" s="425"/>
      <c r="D582" s="425"/>
      <c r="E582" s="425"/>
      <c r="F582" s="425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428"/>
    </row>
    <row r="583">
      <c r="A583" s="423"/>
      <c r="B583" s="424"/>
      <c r="C583" s="425"/>
      <c r="D583" s="425"/>
      <c r="E583" s="425"/>
      <c r="F583" s="425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428"/>
    </row>
    <row r="584">
      <c r="A584" s="423"/>
      <c r="B584" s="424"/>
      <c r="C584" s="425"/>
      <c r="D584" s="425"/>
      <c r="E584" s="425"/>
      <c r="F584" s="425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428"/>
    </row>
    <row r="585">
      <c r="A585" s="423"/>
      <c r="B585" s="424"/>
      <c r="C585" s="425"/>
      <c r="D585" s="425"/>
      <c r="E585" s="425"/>
      <c r="F585" s="425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428"/>
    </row>
    <row r="586">
      <c r="A586" s="423"/>
      <c r="B586" s="424"/>
      <c r="C586" s="425"/>
      <c r="D586" s="425"/>
      <c r="E586" s="425"/>
      <c r="F586" s="425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428"/>
    </row>
    <row r="587">
      <c r="A587" s="423"/>
      <c r="B587" s="424"/>
      <c r="C587" s="425"/>
      <c r="D587" s="425"/>
      <c r="E587" s="425"/>
      <c r="F587" s="425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428"/>
    </row>
    <row r="588">
      <c r="A588" s="423"/>
      <c r="B588" s="424"/>
      <c r="C588" s="425"/>
      <c r="D588" s="425"/>
      <c r="E588" s="425"/>
      <c r="F588" s="425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428"/>
    </row>
    <row r="589">
      <c r="A589" s="423"/>
      <c r="B589" s="424"/>
      <c r="C589" s="425"/>
      <c r="D589" s="425"/>
      <c r="E589" s="425"/>
      <c r="F589" s="425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428"/>
    </row>
    <row r="590">
      <c r="A590" s="423"/>
      <c r="B590" s="424"/>
      <c r="C590" s="425"/>
      <c r="D590" s="425"/>
      <c r="E590" s="425"/>
      <c r="F590" s="425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428"/>
    </row>
    <row r="591">
      <c r="A591" s="423"/>
      <c r="B591" s="424"/>
      <c r="C591" s="425"/>
      <c r="D591" s="425"/>
      <c r="E591" s="425"/>
      <c r="F591" s="425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428"/>
    </row>
    <row r="592">
      <c r="A592" s="423"/>
      <c r="B592" s="424"/>
      <c r="C592" s="425"/>
      <c r="D592" s="425"/>
      <c r="E592" s="425"/>
      <c r="F592" s="425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428"/>
    </row>
    <row r="593">
      <c r="A593" s="423"/>
      <c r="B593" s="424"/>
      <c r="C593" s="425"/>
      <c r="D593" s="425"/>
      <c r="E593" s="425"/>
      <c r="F593" s="425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428"/>
    </row>
    <row r="594">
      <c r="A594" s="423"/>
      <c r="B594" s="424"/>
      <c r="C594" s="425"/>
      <c r="D594" s="425"/>
      <c r="E594" s="425"/>
      <c r="F594" s="425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428"/>
    </row>
    <row r="595">
      <c r="A595" s="423"/>
      <c r="B595" s="424"/>
      <c r="C595" s="425"/>
      <c r="D595" s="425"/>
      <c r="E595" s="425"/>
      <c r="F595" s="425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428"/>
    </row>
    <row r="596">
      <c r="A596" s="423"/>
      <c r="B596" s="424"/>
      <c r="C596" s="425"/>
      <c r="D596" s="425"/>
      <c r="E596" s="425"/>
      <c r="F596" s="425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428"/>
    </row>
    <row r="597">
      <c r="A597" s="423"/>
      <c r="B597" s="424"/>
      <c r="C597" s="425"/>
      <c r="D597" s="425"/>
      <c r="E597" s="425"/>
      <c r="F597" s="425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428"/>
    </row>
    <row r="598">
      <c r="A598" s="423"/>
      <c r="B598" s="424"/>
      <c r="C598" s="425"/>
      <c r="D598" s="425"/>
      <c r="E598" s="425"/>
      <c r="F598" s="425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428"/>
    </row>
    <row r="599">
      <c r="A599" s="423"/>
      <c r="B599" s="424"/>
      <c r="C599" s="425"/>
      <c r="D599" s="425"/>
      <c r="E599" s="425"/>
      <c r="F599" s="425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428"/>
    </row>
    <row r="600">
      <c r="A600" s="423"/>
      <c r="B600" s="424"/>
      <c r="C600" s="425"/>
      <c r="D600" s="425"/>
      <c r="E600" s="425"/>
      <c r="F600" s="425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428"/>
    </row>
    <row r="601">
      <c r="A601" s="423"/>
      <c r="B601" s="424"/>
      <c r="C601" s="425"/>
      <c r="D601" s="425"/>
      <c r="E601" s="425"/>
      <c r="F601" s="425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428"/>
    </row>
    <row r="602">
      <c r="A602" s="423"/>
      <c r="B602" s="424"/>
      <c r="C602" s="425"/>
      <c r="D602" s="425"/>
      <c r="E602" s="425"/>
      <c r="F602" s="425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428"/>
    </row>
    <row r="603">
      <c r="A603" s="423"/>
      <c r="B603" s="424"/>
      <c r="C603" s="425"/>
      <c r="D603" s="425"/>
      <c r="E603" s="425"/>
      <c r="F603" s="425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428"/>
    </row>
    <row r="604">
      <c r="A604" s="423"/>
      <c r="B604" s="424"/>
      <c r="C604" s="425"/>
      <c r="D604" s="425"/>
      <c r="E604" s="425"/>
      <c r="F604" s="425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428"/>
    </row>
    <row r="605">
      <c r="A605" s="423"/>
      <c r="B605" s="424"/>
      <c r="C605" s="425"/>
      <c r="D605" s="425"/>
      <c r="E605" s="425"/>
      <c r="F605" s="425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428"/>
    </row>
    <row r="606">
      <c r="A606" s="423"/>
      <c r="B606" s="424"/>
      <c r="C606" s="425"/>
      <c r="D606" s="425"/>
      <c r="E606" s="425"/>
      <c r="F606" s="425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428"/>
    </row>
    <row r="607">
      <c r="A607" s="423"/>
      <c r="B607" s="424"/>
      <c r="C607" s="425"/>
      <c r="D607" s="425"/>
      <c r="E607" s="425"/>
      <c r="F607" s="425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428"/>
    </row>
    <row r="608">
      <c r="A608" s="423"/>
      <c r="B608" s="424"/>
      <c r="C608" s="425"/>
      <c r="D608" s="425"/>
      <c r="E608" s="425"/>
      <c r="F608" s="425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428"/>
    </row>
    <row r="609">
      <c r="A609" s="423"/>
      <c r="B609" s="424"/>
      <c r="C609" s="425"/>
      <c r="D609" s="425"/>
      <c r="E609" s="425"/>
      <c r="F609" s="425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428"/>
    </row>
    <row r="610">
      <c r="A610" s="423"/>
      <c r="B610" s="424"/>
      <c r="C610" s="425"/>
      <c r="D610" s="425"/>
      <c r="E610" s="425"/>
      <c r="F610" s="425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428"/>
    </row>
    <row r="611">
      <c r="A611" s="423"/>
      <c r="B611" s="424"/>
      <c r="C611" s="425"/>
      <c r="D611" s="425"/>
      <c r="E611" s="425"/>
      <c r="F611" s="425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428"/>
    </row>
    <row r="612">
      <c r="A612" s="423"/>
      <c r="B612" s="424"/>
      <c r="C612" s="425"/>
      <c r="D612" s="425"/>
      <c r="E612" s="425"/>
      <c r="F612" s="425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428"/>
    </row>
    <row r="613">
      <c r="A613" s="423"/>
      <c r="B613" s="424"/>
      <c r="C613" s="425"/>
      <c r="D613" s="425"/>
      <c r="E613" s="425"/>
      <c r="F613" s="425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428"/>
    </row>
    <row r="614">
      <c r="A614" s="423"/>
      <c r="B614" s="424"/>
      <c r="C614" s="425"/>
      <c r="D614" s="425"/>
      <c r="E614" s="425"/>
      <c r="F614" s="425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428"/>
    </row>
    <row r="615">
      <c r="A615" s="423"/>
      <c r="B615" s="424"/>
      <c r="C615" s="425"/>
      <c r="D615" s="425"/>
      <c r="E615" s="425"/>
      <c r="F615" s="425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428"/>
    </row>
    <row r="616">
      <c r="A616" s="423"/>
      <c r="B616" s="424"/>
      <c r="C616" s="425"/>
      <c r="D616" s="425"/>
      <c r="E616" s="425"/>
      <c r="F616" s="425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428"/>
    </row>
    <row r="617">
      <c r="A617" s="423"/>
      <c r="B617" s="424"/>
      <c r="C617" s="425"/>
      <c r="D617" s="425"/>
      <c r="E617" s="425"/>
      <c r="F617" s="425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428"/>
    </row>
    <row r="618">
      <c r="A618" s="423"/>
      <c r="B618" s="424"/>
      <c r="C618" s="425"/>
      <c r="D618" s="425"/>
      <c r="E618" s="425"/>
      <c r="F618" s="425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428"/>
    </row>
    <row r="619">
      <c r="A619" s="423"/>
      <c r="B619" s="424"/>
      <c r="C619" s="425"/>
      <c r="D619" s="425"/>
      <c r="E619" s="425"/>
      <c r="F619" s="425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428"/>
    </row>
    <row r="620">
      <c r="A620" s="423"/>
      <c r="B620" s="424"/>
      <c r="C620" s="425"/>
      <c r="D620" s="425"/>
      <c r="E620" s="425"/>
      <c r="F620" s="425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428"/>
    </row>
    <row r="621">
      <c r="A621" s="423"/>
      <c r="B621" s="424"/>
      <c r="C621" s="425"/>
      <c r="D621" s="425"/>
      <c r="E621" s="425"/>
      <c r="F621" s="425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428"/>
    </row>
    <row r="622">
      <c r="A622" s="423"/>
      <c r="B622" s="424"/>
      <c r="C622" s="425"/>
      <c r="D622" s="425"/>
      <c r="E622" s="425"/>
      <c r="F622" s="425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428"/>
    </row>
    <row r="623">
      <c r="A623" s="423"/>
      <c r="B623" s="424"/>
      <c r="C623" s="425"/>
      <c r="D623" s="425"/>
      <c r="E623" s="425"/>
      <c r="F623" s="425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428"/>
    </row>
    <row r="624">
      <c r="A624" s="423"/>
      <c r="B624" s="424"/>
      <c r="C624" s="425"/>
      <c r="D624" s="425"/>
      <c r="E624" s="425"/>
      <c r="F624" s="425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428"/>
    </row>
    <row r="625">
      <c r="A625" s="423"/>
      <c r="B625" s="424"/>
      <c r="C625" s="425"/>
      <c r="D625" s="425"/>
      <c r="E625" s="425"/>
      <c r="F625" s="425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428"/>
    </row>
    <row r="626">
      <c r="A626" s="423"/>
      <c r="B626" s="424"/>
      <c r="C626" s="425"/>
      <c r="D626" s="425"/>
      <c r="E626" s="425"/>
      <c r="F626" s="425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428"/>
    </row>
    <row r="627">
      <c r="A627" s="423"/>
      <c r="B627" s="424"/>
      <c r="C627" s="425"/>
      <c r="D627" s="425"/>
      <c r="E627" s="425"/>
      <c r="F627" s="425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428"/>
    </row>
    <row r="628">
      <c r="A628" s="423"/>
      <c r="B628" s="424"/>
      <c r="C628" s="425"/>
      <c r="D628" s="425"/>
      <c r="E628" s="425"/>
      <c r="F628" s="425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428"/>
    </row>
    <row r="629">
      <c r="A629" s="423"/>
      <c r="B629" s="424"/>
      <c r="C629" s="425"/>
      <c r="D629" s="425"/>
      <c r="E629" s="425"/>
      <c r="F629" s="425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428"/>
    </row>
    <row r="630">
      <c r="A630" s="423"/>
      <c r="B630" s="424"/>
      <c r="C630" s="425"/>
      <c r="D630" s="425"/>
      <c r="E630" s="425"/>
      <c r="F630" s="425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428"/>
    </row>
    <row r="631">
      <c r="A631" s="423"/>
      <c r="B631" s="424"/>
      <c r="C631" s="425"/>
      <c r="D631" s="425"/>
      <c r="E631" s="425"/>
      <c r="F631" s="425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428"/>
    </row>
    <row r="632">
      <c r="A632" s="423"/>
      <c r="B632" s="424"/>
      <c r="C632" s="425"/>
      <c r="D632" s="425"/>
      <c r="E632" s="425"/>
      <c r="F632" s="425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428"/>
    </row>
    <row r="633">
      <c r="A633" s="423"/>
      <c r="B633" s="424"/>
      <c r="C633" s="425"/>
      <c r="D633" s="425"/>
      <c r="E633" s="425"/>
      <c r="F633" s="425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428"/>
    </row>
    <row r="634">
      <c r="A634" s="423"/>
      <c r="B634" s="424"/>
      <c r="C634" s="425"/>
      <c r="D634" s="425"/>
      <c r="E634" s="425"/>
      <c r="F634" s="425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428"/>
    </row>
    <row r="635">
      <c r="A635" s="423"/>
      <c r="B635" s="424"/>
      <c r="C635" s="425"/>
      <c r="D635" s="425"/>
      <c r="E635" s="425"/>
      <c r="F635" s="425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428"/>
    </row>
    <row r="636">
      <c r="A636" s="423"/>
      <c r="B636" s="424"/>
      <c r="C636" s="425"/>
      <c r="D636" s="425"/>
      <c r="E636" s="425"/>
      <c r="F636" s="425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428"/>
    </row>
    <row r="637">
      <c r="A637" s="423"/>
      <c r="B637" s="424"/>
      <c r="C637" s="425"/>
      <c r="D637" s="425"/>
      <c r="E637" s="425"/>
      <c r="F637" s="425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428"/>
    </row>
    <row r="638">
      <c r="A638" s="423"/>
      <c r="B638" s="424"/>
      <c r="C638" s="425"/>
      <c r="D638" s="425"/>
      <c r="E638" s="425"/>
      <c r="F638" s="425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428"/>
    </row>
    <row r="639">
      <c r="A639" s="423"/>
      <c r="B639" s="424"/>
      <c r="C639" s="425"/>
      <c r="D639" s="425"/>
      <c r="E639" s="425"/>
      <c r="F639" s="425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428"/>
    </row>
    <row r="640">
      <c r="A640" s="423"/>
      <c r="B640" s="424"/>
      <c r="C640" s="425"/>
      <c r="D640" s="425"/>
      <c r="E640" s="425"/>
      <c r="F640" s="425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428"/>
    </row>
    <row r="641">
      <c r="A641" s="423"/>
      <c r="B641" s="424"/>
      <c r="C641" s="425"/>
      <c r="D641" s="425"/>
      <c r="E641" s="425"/>
      <c r="F641" s="425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428"/>
    </row>
    <row r="642">
      <c r="A642" s="423"/>
      <c r="B642" s="424"/>
      <c r="C642" s="425"/>
      <c r="D642" s="425"/>
      <c r="E642" s="425"/>
      <c r="F642" s="425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428"/>
    </row>
    <row r="643">
      <c r="A643" s="423"/>
      <c r="B643" s="424"/>
      <c r="C643" s="425"/>
      <c r="D643" s="425"/>
      <c r="E643" s="425"/>
      <c r="F643" s="425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428"/>
    </row>
    <row r="644">
      <c r="A644" s="423"/>
      <c r="B644" s="424"/>
      <c r="C644" s="425"/>
      <c r="D644" s="425"/>
      <c r="E644" s="425"/>
      <c r="F644" s="425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428"/>
    </row>
    <row r="645">
      <c r="A645" s="423"/>
      <c r="B645" s="424"/>
      <c r="C645" s="425"/>
      <c r="D645" s="425"/>
      <c r="E645" s="425"/>
      <c r="F645" s="425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428"/>
    </row>
    <row r="646">
      <c r="A646" s="423"/>
      <c r="B646" s="424"/>
      <c r="C646" s="425"/>
      <c r="D646" s="425"/>
      <c r="E646" s="425"/>
      <c r="F646" s="425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428"/>
    </row>
    <row r="647">
      <c r="A647" s="423"/>
      <c r="B647" s="424"/>
      <c r="C647" s="425"/>
      <c r="D647" s="425"/>
      <c r="E647" s="425"/>
      <c r="F647" s="425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428"/>
    </row>
    <row r="648">
      <c r="A648" s="423"/>
      <c r="B648" s="424"/>
      <c r="C648" s="425"/>
      <c r="D648" s="425"/>
      <c r="E648" s="425"/>
      <c r="F648" s="425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428"/>
    </row>
    <row r="649">
      <c r="A649" s="423"/>
      <c r="B649" s="424"/>
      <c r="C649" s="425"/>
      <c r="D649" s="425"/>
      <c r="E649" s="425"/>
      <c r="F649" s="425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428"/>
    </row>
    <row r="650">
      <c r="A650" s="423"/>
      <c r="B650" s="424"/>
      <c r="C650" s="425"/>
      <c r="D650" s="425"/>
      <c r="E650" s="425"/>
      <c r="F650" s="425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428"/>
    </row>
    <row r="651">
      <c r="A651" s="423"/>
      <c r="B651" s="424"/>
      <c r="C651" s="425"/>
      <c r="D651" s="425"/>
      <c r="E651" s="425"/>
      <c r="F651" s="425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428"/>
    </row>
    <row r="652">
      <c r="A652" s="423"/>
      <c r="B652" s="424"/>
      <c r="C652" s="425"/>
      <c r="D652" s="425"/>
      <c r="E652" s="425"/>
      <c r="F652" s="425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428"/>
    </row>
    <row r="653">
      <c r="A653" s="423"/>
      <c r="B653" s="424"/>
      <c r="C653" s="425"/>
      <c r="D653" s="425"/>
      <c r="E653" s="425"/>
      <c r="F653" s="425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428"/>
    </row>
    <row r="654">
      <c r="A654" s="423"/>
      <c r="B654" s="424"/>
      <c r="C654" s="425"/>
      <c r="D654" s="425"/>
      <c r="E654" s="425"/>
      <c r="F654" s="425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428"/>
    </row>
    <row r="655">
      <c r="A655" s="423"/>
      <c r="B655" s="424"/>
      <c r="C655" s="425"/>
      <c r="D655" s="425"/>
      <c r="E655" s="425"/>
      <c r="F655" s="425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428"/>
    </row>
    <row r="656">
      <c r="A656" s="423"/>
      <c r="B656" s="424"/>
      <c r="C656" s="425"/>
      <c r="D656" s="425"/>
      <c r="E656" s="425"/>
      <c r="F656" s="425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428"/>
    </row>
    <row r="657">
      <c r="A657" s="423"/>
      <c r="B657" s="424"/>
      <c r="C657" s="425"/>
      <c r="D657" s="425"/>
      <c r="E657" s="425"/>
      <c r="F657" s="425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428"/>
    </row>
    <row r="658">
      <c r="A658" s="423"/>
      <c r="B658" s="424"/>
      <c r="C658" s="425"/>
      <c r="D658" s="425"/>
      <c r="E658" s="425"/>
      <c r="F658" s="425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428"/>
    </row>
    <row r="659">
      <c r="A659" s="423"/>
      <c r="B659" s="424"/>
      <c r="C659" s="425"/>
      <c r="D659" s="425"/>
      <c r="E659" s="425"/>
      <c r="F659" s="425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428"/>
    </row>
    <row r="660">
      <c r="A660" s="423"/>
      <c r="B660" s="424"/>
      <c r="C660" s="425"/>
      <c r="D660" s="425"/>
      <c r="E660" s="425"/>
      <c r="F660" s="425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428"/>
    </row>
    <row r="661">
      <c r="A661" s="423"/>
      <c r="B661" s="424"/>
      <c r="C661" s="425"/>
      <c r="D661" s="425"/>
      <c r="E661" s="425"/>
      <c r="F661" s="425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428"/>
    </row>
    <row r="662">
      <c r="A662" s="423"/>
      <c r="B662" s="424"/>
      <c r="C662" s="425"/>
      <c r="D662" s="425"/>
      <c r="E662" s="425"/>
      <c r="F662" s="425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428"/>
    </row>
    <row r="663">
      <c r="A663" s="423"/>
      <c r="B663" s="424"/>
      <c r="C663" s="425"/>
      <c r="D663" s="425"/>
      <c r="E663" s="425"/>
      <c r="F663" s="425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428"/>
    </row>
    <row r="664">
      <c r="A664" s="423"/>
      <c r="B664" s="424"/>
      <c r="C664" s="425"/>
      <c r="D664" s="425"/>
      <c r="E664" s="425"/>
      <c r="F664" s="425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428"/>
    </row>
    <row r="665">
      <c r="A665" s="423"/>
      <c r="B665" s="424"/>
      <c r="C665" s="425"/>
      <c r="D665" s="425"/>
      <c r="E665" s="425"/>
      <c r="F665" s="425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428"/>
    </row>
    <row r="666">
      <c r="A666" s="423"/>
      <c r="B666" s="424"/>
      <c r="C666" s="425"/>
      <c r="D666" s="425"/>
      <c r="E666" s="425"/>
      <c r="F666" s="425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428"/>
    </row>
    <row r="667">
      <c r="A667" s="423"/>
      <c r="B667" s="424"/>
      <c r="C667" s="425"/>
      <c r="D667" s="425"/>
      <c r="E667" s="425"/>
      <c r="F667" s="425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428"/>
    </row>
    <row r="668">
      <c r="A668" s="423"/>
      <c r="B668" s="424"/>
      <c r="C668" s="425"/>
      <c r="D668" s="425"/>
      <c r="E668" s="425"/>
      <c r="F668" s="425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428"/>
    </row>
    <row r="669">
      <c r="A669" s="423"/>
      <c r="B669" s="424"/>
      <c r="C669" s="425"/>
      <c r="D669" s="425"/>
      <c r="E669" s="425"/>
      <c r="F669" s="425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428"/>
    </row>
    <row r="670">
      <c r="A670" s="423"/>
      <c r="B670" s="424"/>
      <c r="C670" s="425"/>
      <c r="D670" s="425"/>
      <c r="E670" s="425"/>
      <c r="F670" s="425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428"/>
    </row>
    <row r="671">
      <c r="A671" s="423"/>
      <c r="B671" s="424"/>
      <c r="C671" s="425"/>
      <c r="D671" s="425"/>
      <c r="E671" s="425"/>
      <c r="F671" s="425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428"/>
    </row>
    <row r="672">
      <c r="A672" s="423"/>
      <c r="B672" s="424"/>
      <c r="C672" s="425"/>
      <c r="D672" s="425"/>
      <c r="E672" s="425"/>
      <c r="F672" s="425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428"/>
    </row>
    <row r="673">
      <c r="A673" s="423"/>
      <c r="B673" s="424"/>
      <c r="C673" s="425"/>
      <c r="D673" s="425"/>
      <c r="E673" s="425"/>
      <c r="F673" s="425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428"/>
    </row>
    <row r="674">
      <c r="A674" s="423"/>
      <c r="B674" s="424"/>
      <c r="C674" s="425"/>
      <c r="D674" s="425"/>
      <c r="E674" s="425"/>
      <c r="F674" s="425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428"/>
    </row>
    <row r="675">
      <c r="A675" s="423"/>
      <c r="B675" s="424"/>
      <c r="C675" s="425"/>
      <c r="D675" s="425"/>
      <c r="E675" s="425"/>
      <c r="F675" s="425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428"/>
    </row>
    <row r="676">
      <c r="A676" s="423"/>
      <c r="B676" s="424"/>
      <c r="C676" s="425"/>
      <c r="D676" s="425"/>
      <c r="E676" s="425"/>
      <c r="F676" s="425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428"/>
    </row>
    <row r="677">
      <c r="A677" s="423"/>
      <c r="B677" s="424"/>
      <c r="C677" s="425"/>
      <c r="D677" s="425"/>
      <c r="E677" s="425"/>
      <c r="F677" s="425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428"/>
    </row>
    <row r="678">
      <c r="A678" s="423"/>
      <c r="B678" s="424"/>
      <c r="C678" s="425"/>
      <c r="D678" s="425"/>
      <c r="E678" s="425"/>
      <c r="F678" s="425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428"/>
    </row>
    <row r="679">
      <c r="A679" s="423"/>
      <c r="B679" s="424"/>
      <c r="C679" s="425"/>
      <c r="D679" s="425"/>
      <c r="E679" s="425"/>
      <c r="F679" s="425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428"/>
    </row>
    <row r="680">
      <c r="A680" s="423"/>
      <c r="B680" s="424"/>
      <c r="C680" s="425"/>
      <c r="D680" s="425"/>
      <c r="E680" s="425"/>
      <c r="F680" s="425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428"/>
    </row>
    <row r="681">
      <c r="A681" s="423"/>
      <c r="B681" s="424"/>
      <c r="C681" s="425"/>
      <c r="D681" s="425"/>
      <c r="E681" s="425"/>
      <c r="F681" s="425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428"/>
    </row>
    <row r="682">
      <c r="A682" s="423"/>
      <c r="B682" s="424"/>
      <c r="C682" s="425"/>
      <c r="D682" s="425"/>
      <c r="E682" s="425"/>
      <c r="F682" s="425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428"/>
    </row>
    <row r="683">
      <c r="A683" s="423"/>
      <c r="B683" s="424"/>
      <c r="C683" s="425"/>
      <c r="D683" s="425"/>
      <c r="E683" s="425"/>
      <c r="F683" s="425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428"/>
    </row>
    <row r="684">
      <c r="A684" s="423"/>
      <c r="B684" s="424"/>
      <c r="C684" s="425"/>
      <c r="D684" s="425"/>
      <c r="E684" s="425"/>
      <c r="F684" s="425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428"/>
    </row>
    <row r="685">
      <c r="A685" s="423"/>
      <c r="B685" s="424"/>
      <c r="C685" s="425"/>
      <c r="D685" s="425"/>
      <c r="E685" s="425"/>
      <c r="F685" s="425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428"/>
    </row>
    <row r="686">
      <c r="A686" s="423"/>
      <c r="B686" s="424"/>
      <c r="C686" s="425"/>
      <c r="D686" s="425"/>
      <c r="E686" s="425"/>
      <c r="F686" s="425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428"/>
    </row>
    <row r="687">
      <c r="A687" s="423"/>
      <c r="B687" s="424"/>
      <c r="C687" s="425"/>
      <c r="D687" s="425"/>
      <c r="E687" s="425"/>
      <c r="F687" s="425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428"/>
    </row>
    <row r="688">
      <c r="A688" s="423"/>
      <c r="B688" s="424"/>
      <c r="C688" s="425"/>
      <c r="D688" s="425"/>
      <c r="E688" s="425"/>
      <c r="F688" s="425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428"/>
    </row>
    <row r="689">
      <c r="A689" s="423"/>
      <c r="B689" s="424"/>
      <c r="C689" s="425"/>
      <c r="D689" s="425"/>
      <c r="E689" s="425"/>
      <c r="F689" s="425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428"/>
    </row>
    <row r="690">
      <c r="A690" s="423"/>
      <c r="B690" s="424"/>
      <c r="C690" s="425"/>
      <c r="D690" s="425"/>
      <c r="E690" s="425"/>
      <c r="F690" s="425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428"/>
    </row>
    <row r="691">
      <c r="A691" s="423"/>
      <c r="B691" s="424"/>
      <c r="C691" s="425"/>
      <c r="D691" s="425"/>
      <c r="E691" s="425"/>
      <c r="F691" s="425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428"/>
    </row>
    <row r="692">
      <c r="A692" s="423"/>
      <c r="B692" s="424"/>
      <c r="C692" s="425"/>
      <c r="D692" s="425"/>
      <c r="E692" s="425"/>
      <c r="F692" s="425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428"/>
    </row>
    <row r="693">
      <c r="A693" s="423"/>
      <c r="B693" s="424"/>
      <c r="C693" s="425"/>
      <c r="D693" s="425"/>
      <c r="E693" s="425"/>
      <c r="F693" s="425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428"/>
    </row>
    <row r="694">
      <c r="A694" s="423"/>
      <c r="B694" s="424"/>
      <c r="C694" s="425"/>
      <c r="D694" s="425"/>
      <c r="E694" s="425"/>
      <c r="F694" s="425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428"/>
    </row>
    <row r="695">
      <c r="A695" s="423"/>
      <c r="B695" s="424"/>
      <c r="C695" s="425"/>
      <c r="D695" s="425"/>
      <c r="E695" s="425"/>
      <c r="F695" s="425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428"/>
    </row>
    <row r="696">
      <c r="A696" s="423"/>
      <c r="B696" s="424"/>
      <c r="C696" s="425"/>
      <c r="D696" s="425"/>
      <c r="E696" s="425"/>
      <c r="F696" s="425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428"/>
    </row>
    <row r="697">
      <c r="A697" s="423"/>
      <c r="B697" s="424"/>
      <c r="C697" s="425"/>
      <c r="D697" s="425"/>
      <c r="E697" s="425"/>
      <c r="F697" s="425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428"/>
    </row>
    <row r="698">
      <c r="A698" s="423"/>
      <c r="B698" s="424"/>
      <c r="C698" s="425"/>
      <c r="D698" s="425"/>
      <c r="E698" s="425"/>
      <c r="F698" s="425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428"/>
    </row>
    <row r="699">
      <c r="A699" s="423"/>
      <c r="B699" s="424"/>
      <c r="C699" s="425"/>
      <c r="D699" s="425"/>
      <c r="E699" s="425"/>
      <c r="F699" s="425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428"/>
    </row>
    <row r="700">
      <c r="A700" s="423"/>
      <c r="B700" s="424"/>
      <c r="C700" s="425"/>
      <c r="D700" s="425"/>
      <c r="E700" s="425"/>
      <c r="F700" s="425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428"/>
    </row>
    <row r="701">
      <c r="A701" s="423"/>
      <c r="B701" s="424"/>
      <c r="C701" s="425"/>
      <c r="D701" s="425"/>
      <c r="E701" s="425"/>
      <c r="F701" s="425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428"/>
    </row>
    <row r="702">
      <c r="A702" s="423"/>
      <c r="B702" s="424"/>
      <c r="C702" s="425"/>
      <c r="D702" s="425"/>
      <c r="E702" s="425"/>
      <c r="F702" s="425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428"/>
    </row>
    <row r="703">
      <c r="A703" s="423"/>
      <c r="B703" s="424"/>
      <c r="C703" s="425"/>
      <c r="D703" s="425"/>
      <c r="E703" s="425"/>
      <c r="F703" s="425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428"/>
    </row>
    <row r="704">
      <c r="A704" s="423"/>
      <c r="B704" s="424"/>
      <c r="C704" s="425"/>
      <c r="D704" s="425"/>
      <c r="E704" s="425"/>
      <c r="F704" s="425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428"/>
    </row>
    <row r="705">
      <c r="A705" s="423"/>
      <c r="B705" s="424"/>
      <c r="C705" s="425"/>
      <c r="D705" s="425"/>
      <c r="E705" s="425"/>
      <c r="F705" s="425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428"/>
    </row>
    <row r="706">
      <c r="A706" s="423"/>
      <c r="B706" s="424"/>
      <c r="C706" s="425"/>
      <c r="D706" s="425"/>
      <c r="E706" s="425"/>
      <c r="F706" s="425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428"/>
    </row>
  </sheetData>
  <mergeCells count="9">
    <mergeCell ref="AA5:AD5"/>
    <mergeCell ref="AE5:AH5"/>
    <mergeCell ref="K1:P1"/>
    <mergeCell ref="C5:F5"/>
    <mergeCell ref="G5:J5"/>
    <mergeCell ref="K5:N5"/>
    <mergeCell ref="O5:R5"/>
    <mergeCell ref="S5:V5"/>
    <mergeCell ref="W5:Z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hidden="1" min="1" max="1" width="12.63"/>
    <col customWidth="1" min="2" max="2" width="14.63"/>
    <col customWidth="1" min="3" max="5" width="7.0"/>
    <col customWidth="1" hidden="1" min="6" max="6" width="7.0"/>
    <col customWidth="1" min="7" max="9" width="7.0"/>
    <col customWidth="1" hidden="1" min="10" max="10" width="7.0"/>
    <col customWidth="1" min="11" max="13" width="7.0"/>
    <col customWidth="1" hidden="1" min="14" max="14" width="7.0"/>
    <col customWidth="1" min="15" max="17" width="6.5"/>
    <col customWidth="1" hidden="1" min="18" max="18" width="6.5"/>
    <col customWidth="1" min="19" max="19" width="6.5"/>
  </cols>
  <sheetData>
    <row r="1">
      <c r="B1" s="478"/>
      <c r="C1" s="275" t="s">
        <v>1231</v>
      </c>
    </row>
    <row r="2">
      <c r="A2" s="75"/>
      <c r="B2" s="479" t="s">
        <v>963</v>
      </c>
      <c r="C2" s="75">
        <f t="shared" ref="C2:S2" si="1">sum(C5:C29)</f>
        <v>91</v>
      </c>
      <c r="D2" s="75">
        <f t="shared" si="1"/>
        <v>63</v>
      </c>
      <c r="E2" s="75">
        <f t="shared" si="1"/>
        <v>44</v>
      </c>
      <c r="F2" s="75">
        <f t="shared" si="1"/>
        <v>154</v>
      </c>
      <c r="G2" s="75">
        <f t="shared" si="1"/>
        <v>110</v>
      </c>
      <c r="H2" s="75">
        <f t="shared" si="1"/>
        <v>131</v>
      </c>
      <c r="I2" s="75">
        <f t="shared" si="1"/>
        <v>66</v>
      </c>
      <c r="J2" s="75">
        <f t="shared" si="1"/>
        <v>241</v>
      </c>
      <c r="K2" s="75">
        <f t="shared" si="1"/>
        <v>175</v>
      </c>
      <c r="L2" s="75">
        <f t="shared" si="1"/>
        <v>92</v>
      </c>
      <c r="M2" s="75">
        <f t="shared" si="1"/>
        <v>97</v>
      </c>
      <c r="N2" s="75">
        <f t="shared" si="1"/>
        <v>267</v>
      </c>
      <c r="O2" s="75">
        <f t="shared" si="1"/>
        <v>170</v>
      </c>
      <c r="P2" s="75">
        <f t="shared" si="1"/>
        <v>71</v>
      </c>
      <c r="Q2" s="75">
        <f t="shared" si="1"/>
        <v>81</v>
      </c>
      <c r="R2" s="75">
        <f t="shared" si="1"/>
        <v>241</v>
      </c>
      <c r="S2" s="75">
        <f t="shared" si="1"/>
        <v>160</v>
      </c>
    </row>
    <row r="3">
      <c r="A3" s="75" t="str">
        <f>IFERROR(__xludf.DUMMYFUNCTION("IMPORTRANGE(""https://docs.google.com/spreadsheets/d/1cYgADU_WB8oDaNyyWCQloNC5_tbNbr162ngkm8_F2Ws/edit?gid=1178655263#gid=1178655263"",""Attendance!A2:R"")"),"")</f>
        <v/>
      </c>
      <c r="B3" s="43"/>
      <c r="C3" s="480" t="str">
        <f>IFERROR(__xludf.DUMMYFUNCTION("""COMPUTED_VALUE"""),"22-23")</f>
        <v>22-23</v>
      </c>
      <c r="D3" s="34"/>
      <c r="E3" s="34"/>
      <c r="F3" s="35"/>
      <c r="G3" s="481" t="str">
        <f>IFERROR(__xludf.DUMMYFUNCTION("""COMPUTED_VALUE"""),"23-24")</f>
        <v>23-24</v>
      </c>
      <c r="H3" s="34"/>
      <c r="I3" s="34"/>
      <c r="J3" s="35"/>
      <c r="K3" s="480" t="str">
        <f>IFERROR(__xludf.DUMMYFUNCTION("""COMPUTED_VALUE"""),"24-25")</f>
        <v>24-25</v>
      </c>
      <c r="L3" s="34"/>
      <c r="M3" s="34"/>
      <c r="N3" s="35"/>
      <c r="O3" s="481" t="str">
        <f>IFERROR(__xludf.DUMMYFUNCTION("""COMPUTED_VALUE"""),"25-26")</f>
        <v>25-26</v>
      </c>
      <c r="P3" s="34"/>
      <c r="Q3" s="34"/>
      <c r="R3" s="34"/>
      <c r="S3" s="35"/>
    </row>
    <row r="4">
      <c r="A4" s="482" t="str">
        <f>IFERROR(__xludf.DUMMYFUNCTION("""COMPUTED_VALUE"""),"State Head")</f>
        <v>State Head</v>
      </c>
      <c r="B4" s="482" t="str">
        <f>IFERROR(__xludf.DUMMYFUNCTION("""COMPUTED_VALUE"""),"State")</f>
        <v>State</v>
      </c>
      <c r="C4" s="390" t="str">
        <f>IFERROR(__xludf.DUMMYFUNCTION("""COMPUTED_VALUE"""),"Old")</f>
        <v>Old</v>
      </c>
      <c r="D4" s="390" t="str">
        <f>IFERROR(__xludf.DUMMYFUNCTION("""COMPUTED_VALUE"""),"New")</f>
        <v>New</v>
      </c>
      <c r="E4" s="482" t="str">
        <f>IFERROR(__xludf.DUMMYFUNCTION("""COMPUTED_VALUE"""),"Left")</f>
        <v>Left</v>
      </c>
      <c r="F4" s="482" t="str">
        <f>IFERROR(__xludf.DUMMYFUNCTION("""COMPUTED_VALUE"""),"Total")</f>
        <v>Total</v>
      </c>
      <c r="G4" s="390" t="str">
        <f>IFERROR(__xludf.DUMMYFUNCTION("""COMPUTED_VALUE"""),"Old")</f>
        <v>Old</v>
      </c>
      <c r="H4" s="390" t="str">
        <f>IFERROR(__xludf.DUMMYFUNCTION("""COMPUTED_VALUE"""),"New")</f>
        <v>New</v>
      </c>
      <c r="I4" s="482" t="str">
        <f>IFERROR(__xludf.DUMMYFUNCTION("""COMPUTED_VALUE"""),"Left")</f>
        <v>Left</v>
      </c>
      <c r="J4" s="482" t="str">
        <f>IFERROR(__xludf.DUMMYFUNCTION("""COMPUTED_VALUE"""),"Total")</f>
        <v>Total</v>
      </c>
      <c r="K4" s="390" t="str">
        <f>IFERROR(__xludf.DUMMYFUNCTION("""COMPUTED_VALUE"""),"Old")</f>
        <v>Old</v>
      </c>
      <c r="L4" s="390" t="str">
        <f>IFERROR(__xludf.DUMMYFUNCTION("""COMPUTED_VALUE"""),"New")</f>
        <v>New</v>
      </c>
      <c r="M4" s="482" t="str">
        <f>IFERROR(__xludf.DUMMYFUNCTION("""COMPUTED_VALUE"""),"Left")</f>
        <v>Left</v>
      </c>
      <c r="N4" s="482" t="str">
        <f>IFERROR(__xludf.DUMMYFUNCTION("""COMPUTED_VALUE"""),"Total")</f>
        <v>Total</v>
      </c>
      <c r="O4" s="390" t="str">
        <f>IFERROR(__xludf.DUMMYFUNCTION("""COMPUTED_VALUE"""),"Old")</f>
        <v>Old</v>
      </c>
      <c r="P4" s="390" t="str">
        <f>IFERROR(__xludf.DUMMYFUNCTION("""COMPUTED_VALUE"""),"New")</f>
        <v>New</v>
      </c>
      <c r="Q4" s="482" t="str">
        <f>IFERROR(__xludf.DUMMYFUNCTION("""COMPUTED_VALUE"""),"Left")</f>
        <v>Left</v>
      </c>
      <c r="R4" s="482" t="str">
        <f>IFERROR(__xludf.DUMMYFUNCTION("""COMPUTED_VALUE"""),"Total")</f>
        <v>Total</v>
      </c>
      <c r="S4" s="483" t="s">
        <v>975</v>
      </c>
    </row>
    <row r="5">
      <c r="A5" s="124" t="str">
        <f>IFERROR(__xludf.DUMMYFUNCTION("""COMPUTED_VALUE"""),"Sandeep Dadheech")</f>
        <v>Sandeep Dadheech</v>
      </c>
      <c r="B5" s="75" t="str">
        <f>IFERROR(__xludf.DUMMYFUNCTION("""COMPUTED_VALUE"""),"Andhra Pradesh")</f>
        <v>Andhra Pradesh</v>
      </c>
      <c r="C5" s="75">
        <f>IFERROR(__xludf.DUMMYFUNCTION("""COMPUTED_VALUE"""),5.0)</f>
        <v>5</v>
      </c>
      <c r="D5" s="75">
        <f>IFERROR(__xludf.DUMMYFUNCTION("""COMPUTED_VALUE"""),4.0)</f>
        <v>4</v>
      </c>
      <c r="E5" s="75">
        <f>IFERROR(__xludf.DUMMYFUNCTION("""COMPUTED_VALUE"""),3.0)</f>
        <v>3</v>
      </c>
      <c r="F5" s="75">
        <f>IFERROR(__xludf.DUMMYFUNCTION("""COMPUTED_VALUE"""),9.0)</f>
        <v>9</v>
      </c>
      <c r="G5" s="75">
        <f>IFERROR(__xludf.DUMMYFUNCTION("""COMPUTED_VALUE"""),6.0)</f>
        <v>6</v>
      </c>
      <c r="H5" s="75">
        <f>IFERROR(__xludf.DUMMYFUNCTION("""COMPUTED_VALUE"""),1.0)</f>
        <v>1</v>
      </c>
      <c r="I5" s="75">
        <f>IFERROR(__xludf.DUMMYFUNCTION("""COMPUTED_VALUE"""),2.0)</f>
        <v>2</v>
      </c>
      <c r="J5" s="75">
        <f>IFERROR(__xludf.DUMMYFUNCTION("""COMPUTED_VALUE"""),7.0)</f>
        <v>7</v>
      </c>
      <c r="K5" s="75">
        <f>IFERROR(__xludf.DUMMYFUNCTION("""COMPUTED_VALUE"""),5.0)</f>
        <v>5</v>
      </c>
      <c r="L5" s="75">
        <f>IFERROR(__xludf.DUMMYFUNCTION("""COMPUTED_VALUE"""),2.0)</f>
        <v>2</v>
      </c>
      <c r="M5" s="75">
        <f>IFERROR(__xludf.DUMMYFUNCTION("""COMPUTED_VALUE"""),0.0)</f>
        <v>0</v>
      </c>
      <c r="N5" s="75">
        <f>IFERROR(__xludf.DUMMYFUNCTION("""COMPUTED_VALUE"""),7.0)</f>
        <v>7</v>
      </c>
      <c r="O5" s="75">
        <f>IFERROR(__xludf.DUMMYFUNCTION("""COMPUTED_VALUE"""),7.0)</f>
        <v>7</v>
      </c>
      <c r="P5" s="75">
        <f>IFERROR(__xludf.DUMMYFUNCTION("""COMPUTED_VALUE"""),0.0)</f>
        <v>0</v>
      </c>
      <c r="Q5" s="75">
        <f>IFERROR(__xludf.DUMMYFUNCTION("""COMPUTED_VALUE"""),4.0)</f>
        <v>4</v>
      </c>
      <c r="R5" s="75">
        <f>IFERROR(__xludf.DUMMYFUNCTION("""COMPUTED_VALUE"""),7.0)</f>
        <v>7</v>
      </c>
      <c r="S5" s="75">
        <f t="shared" ref="S5:S29" si="2">O5+P5-Q5</f>
        <v>3</v>
      </c>
    </row>
    <row r="6">
      <c r="A6" s="124" t="str">
        <f>IFERROR(__xludf.DUMMYFUNCTION("""COMPUTED_VALUE"""),"Sandeep Dadheech")</f>
        <v>Sandeep Dadheech</v>
      </c>
      <c r="B6" s="75" t="str">
        <f>IFERROR(__xludf.DUMMYFUNCTION("""COMPUTED_VALUE"""),"Bihar")</f>
        <v>Bihar</v>
      </c>
      <c r="C6" s="75">
        <f>IFERROR(__xludf.DUMMYFUNCTION("""COMPUTED_VALUE"""),4.0)</f>
        <v>4</v>
      </c>
      <c r="D6" s="75">
        <f>IFERROR(__xludf.DUMMYFUNCTION("""COMPUTED_VALUE"""),2.0)</f>
        <v>2</v>
      </c>
      <c r="E6" s="75">
        <f>IFERROR(__xludf.DUMMYFUNCTION("""COMPUTED_VALUE"""),1.0)</f>
        <v>1</v>
      </c>
      <c r="F6" s="75">
        <f>IFERROR(__xludf.DUMMYFUNCTION("""COMPUTED_VALUE"""),6.0)</f>
        <v>6</v>
      </c>
      <c r="G6" s="75">
        <f>IFERROR(__xludf.DUMMYFUNCTION("""COMPUTED_VALUE"""),5.0)</f>
        <v>5</v>
      </c>
      <c r="H6" s="75">
        <f>IFERROR(__xludf.DUMMYFUNCTION("""COMPUTED_VALUE"""),7.0)</f>
        <v>7</v>
      </c>
      <c r="I6" s="75">
        <f>IFERROR(__xludf.DUMMYFUNCTION("""COMPUTED_VALUE"""),2.0)</f>
        <v>2</v>
      </c>
      <c r="J6" s="75">
        <f>IFERROR(__xludf.DUMMYFUNCTION("""COMPUTED_VALUE"""),12.0)</f>
        <v>12</v>
      </c>
      <c r="K6" s="75">
        <f>IFERROR(__xludf.DUMMYFUNCTION("""COMPUTED_VALUE"""),10.0)</f>
        <v>10</v>
      </c>
      <c r="L6" s="75">
        <f>IFERROR(__xludf.DUMMYFUNCTION("""COMPUTED_VALUE"""),5.0)</f>
        <v>5</v>
      </c>
      <c r="M6" s="75">
        <f>IFERROR(__xludf.DUMMYFUNCTION("""COMPUTED_VALUE"""),4.0)</f>
        <v>4</v>
      </c>
      <c r="N6" s="75">
        <f>IFERROR(__xludf.DUMMYFUNCTION("""COMPUTED_VALUE"""),15.0)</f>
        <v>15</v>
      </c>
      <c r="O6" s="75">
        <f>IFERROR(__xludf.DUMMYFUNCTION("""COMPUTED_VALUE"""),11.0)</f>
        <v>11</v>
      </c>
      <c r="P6" s="75">
        <f>IFERROR(__xludf.DUMMYFUNCTION("""COMPUTED_VALUE"""),1.0)</f>
        <v>1</v>
      </c>
      <c r="Q6" s="75">
        <f>IFERROR(__xludf.DUMMYFUNCTION("""COMPUTED_VALUE"""),3.0)</f>
        <v>3</v>
      </c>
      <c r="R6" s="75">
        <f>IFERROR(__xludf.DUMMYFUNCTION("""COMPUTED_VALUE"""),12.0)</f>
        <v>12</v>
      </c>
      <c r="S6" s="75">
        <f t="shared" si="2"/>
        <v>9</v>
      </c>
    </row>
    <row r="7">
      <c r="A7" s="124" t="str">
        <f>IFERROR(__xludf.DUMMYFUNCTION("""COMPUTED_VALUE"""),"Syed Aqil Rizvi")</f>
        <v>Syed Aqil Rizvi</v>
      </c>
      <c r="B7" s="75" t="str">
        <f>IFERROR(__xludf.DUMMYFUNCTION("""COMPUTED_VALUE"""),"Chattisgarh")</f>
        <v>Chattisgarh</v>
      </c>
      <c r="C7" s="75">
        <f>IFERROR(__xludf.DUMMYFUNCTION("""COMPUTED_VALUE"""),3.0)</f>
        <v>3</v>
      </c>
      <c r="D7" s="75">
        <f>IFERROR(__xludf.DUMMYFUNCTION("""COMPUTED_VALUE"""),1.0)</f>
        <v>1</v>
      </c>
      <c r="E7" s="75">
        <f>IFERROR(__xludf.DUMMYFUNCTION("""COMPUTED_VALUE"""),0.0)</f>
        <v>0</v>
      </c>
      <c r="F7" s="75">
        <f>IFERROR(__xludf.DUMMYFUNCTION("""COMPUTED_VALUE"""),4.0)</f>
        <v>4</v>
      </c>
      <c r="G7" s="75">
        <f>IFERROR(__xludf.DUMMYFUNCTION("""COMPUTED_VALUE"""),4.0)</f>
        <v>4</v>
      </c>
      <c r="H7" s="75">
        <f>IFERROR(__xludf.DUMMYFUNCTION("""COMPUTED_VALUE"""),0.0)</f>
        <v>0</v>
      </c>
      <c r="I7" s="75">
        <f>IFERROR(__xludf.DUMMYFUNCTION("""COMPUTED_VALUE"""),0.0)</f>
        <v>0</v>
      </c>
      <c r="J7" s="75">
        <f>IFERROR(__xludf.DUMMYFUNCTION("""COMPUTED_VALUE"""),4.0)</f>
        <v>4</v>
      </c>
      <c r="K7" s="75">
        <f>IFERROR(__xludf.DUMMYFUNCTION("""COMPUTED_VALUE"""),4.0)</f>
        <v>4</v>
      </c>
      <c r="L7" s="75">
        <f>IFERROR(__xludf.DUMMYFUNCTION("""COMPUTED_VALUE"""),1.0)</f>
        <v>1</v>
      </c>
      <c r="M7" s="75">
        <f>IFERROR(__xludf.DUMMYFUNCTION("""COMPUTED_VALUE"""),2.0)</f>
        <v>2</v>
      </c>
      <c r="N7" s="75">
        <f>IFERROR(__xludf.DUMMYFUNCTION("""COMPUTED_VALUE"""),5.0)</f>
        <v>5</v>
      </c>
      <c r="O7" s="75">
        <f>IFERROR(__xludf.DUMMYFUNCTION("""COMPUTED_VALUE"""),3.0)</f>
        <v>3</v>
      </c>
      <c r="P7" s="75">
        <f>IFERROR(__xludf.DUMMYFUNCTION("""COMPUTED_VALUE"""),1.0)</f>
        <v>1</v>
      </c>
      <c r="Q7" s="75">
        <f>IFERROR(__xludf.DUMMYFUNCTION("""COMPUTED_VALUE"""),2.0)</f>
        <v>2</v>
      </c>
      <c r="R7" s="75">
        <f>IFERROR(__xludf.DUMMYFUNCTION("""COMPUTED_VALUE"""),4.0)</f>
        <v>4</v>
      </c>
      <c r="S7" s="75">
        <f t="shared" si="2"/>
        <v>2</v>
      </c>
    </row>
    <row r="8">
      <c r="A8" s="124" t="str">
        <f>IFERROR(__xludf.DUMMYFUNCTION("""COMPUTED_VALUE"""),"Anant Singh")</f>
        <v>Anant Singh</v>
      </c>
      <c r="B8" s="75" t="str">
        <f>IFERROR(__xludf.DUMMYFUNCTION("""COMPUTED_VALUE"""),"Delhi")</f>
        <v>Delhi</v>
      </c>
      <c r="C8" s="75">
        <f>IFERROR(__xludf.DUMMYFUNCTION("""COMPUTED_VALUE"""),1.0)</f>
        <v>1</v>
      </c>
      <c r="D8" s="75">
        <f>IFERROR(__xludf.DUMMYFUNCTION("""COMPUTED_VALUE"""),2.0)</f>
        <v>2</v>
      </c>
      <c r="E8" s="75">
        <f>IFERROR(__xludf.DUMMYFUNCTION("""COMPUTED_VALUE"""),1.0)</f>
        <v>1</v>
      </c>
      <c r="F8" s="75">
        <f>IFERROR(__xludf.DUMMYFUNCTION("""COMPUTED_VALUE"""),3.0)</f>
        <v>3</v>
      </c>
      <c r="G8" s="75">
        <f>IFERROR(__xludf.DUMMYFUNCTION("""COMPUTED_VALUE"""),2.0)</f>
        <v>2</v>
      </c>
      <c r="H8" s="75">
        <f>IFERROR(__xludf.DUMMYFUNCTION("""COMPUTED_VALUE"""),2.0)</f>
        <v>2</v>
      </c>
      <c r="I8" s="75">
        <f>IFERROR(__xludf.DUMMYFUNCTION("""COMPUTED_VALUE"""),2.0)</f>
        <v>2</v>
      </c>
      <c r="J8" s="75">
        <f>IFERROR(__xludf.DUMMYFUNCTION("""COMPUTED_VALUE"""),4.0)</f>
        <v>4</v>
      </c>
      <c r="K8" s="75">
        <f>IFERROR(__xludf.DUMMYFUNCTION("""COMPUTED_VALUE"""),2.0)</f>
        <v>2</v>
      </c>
      <c r="L8" s="75">
        <f>IFERROR(__xludf.DUMMYFUNCTION("""COMPUTED_VALUE"""),1.0)</f>
        <v>1</v>
      </c>
      <c r="M8" s="75">
        <f>IFERROR(__xludf.DUMMYFUNCTION("""COMPUTED_VALUE"""),1.0)</f>
        <v>1</v>
      </c>
      <c r="N8" s="75">
        <f>IFERROR(__xludf.DUMMYFUNCTION("""COMPUTED_VALUE"""),3.0)</f>
        <v>3</v>
      </c>
      <c r="O8" s="75">
        <f>IFERROR(__xludf.DUMMYFUNCTION("""COMPUTED_VALUE"""),2.0)</f>
        <v>2</v>
      </c>
      <c r="P8" s="75">
        <f>IFERROR(__xludf.DUMMYFUNCTION("""COMPUTED_VALUE"""),1.0)</f>
        <v>1</v>
      </c>
      <c r="Q8" s="75">
        <f>IFERROR(__xludf.DUMMYFUNCTION("""COMPUTED_VALUE"""),1.0)</f>
        <v>1</v>
      </c>
      <c r="R8" s="75">
        <f>IFERROR(__xludf.DUMMYFUNCTION("""COMPUTED_VALUE"""),3.0)</f>
        <v>3</v>
      </c>
      <c r="S8" s="75">
        <f t="shared" si="2"/>
        <v>2</v>
      </c>
    </row>
    <row r="9">
      <c r="A9" s="124" t="str">
        <f>IFERROR(__xludf.DUMMYFUNCTION("""COMPUTED_VALUE"""),"Anant Singh")</f>
        <v>Anant Singh</v>
      </c>
      <c r="B9" s="75" t="str">
        <f>IFERROR(__xludf.DUMMYFUNCTION("""COMPUTED_VALUE"""),"Delhi NCR")</f>
        <v>Delhi NCR</v>
      </c>
      <c r="C9" s="75">
        <f>IFERROR(__xludf.DUMMYFUNCTION("""COMPUTED_VALUE"""),0.0)</f>
        <v>0</v>
      </c>
      <c r="D9" s="75">
        <f>IFERROR(__xludf.DUMMYFUNCTION("""COMPUTED_VALUE"""),0.0)</f>
        <v>0</v>
      </c>
      <c r="E9" s="75">
        <f>IFERROR(__xludf.DUMMYFUNCTION("""COMPUTED_VALUE"""),0.0)</f>
        <v>0</v>
      </c>
      <c r="F9" s="75">
        <f>IFERROR(__xludf.DUMMYFUNCTION("""COMPUTED_VALUE"""),0.0)</f>
        <v>0</v>
      </c>
      <c r="G9" s="75">
        <f>IFERROR(__xludf.DUMMYFUNCTION("""COMPUTED_VALUE"""),0.0)</f>
        <v>0</v>
      </c>
      <c r="H9" s="75">
        <f>IFERROR(__xludf.DUMMYFUNCTION("""COMPUTED_VALUE"""),1.0)</f>
        <v>1</v>
      </c>
      <c r="I9" s="75">
        <f>IFERROR(__xludf.DUMMYFUNCTION("""COMPUTED_VALUE"""),0.0)</f>
        <v>0</v>
      </c>
      <c r="J9" s="75">
        <f>IFERROR(__xludf.DUMMYFUNCTION("""COMPUTED_VALUE"""),1.0)</f>
        <v>1</v>
      </c>
      <c r="K9" s="75">
        <f>IFERROR(__xludf.DUMMYFUNCTION("""COMPUTED_VALUE"""),1.0)</f>
        <v>1</v>
      </c>
      <c r="L9" s="75">
        <f>IFERROR(__xludf.DUMMYFUNCTION("""COMPUTED_VALUE"""),1.0)</f>
        <v>1</v>
      </c>
      <c r="M9" s="75">
        <f>IFERROR(__xludf.DUMMYFUNCTION("""COMPUTED_VALUE"""),1.0)</f>
        <v>1</v>
      </c>
      <c r="N9" s="75">
        <f>IFERROR(__xludf.DUMMYFUNCTION("""COMPUTED_VALUE"""),2.0)</f>
        <v>2</v>
      </c>
      <c r="O9" s="75">
        <f>IFERROR(__xludf.DUMMYFUNCTION("""COMPUTED_VALUE"""),1.0)</f>
        <v>1</v>
      </c>
      <c r="P9" s="75">
        <f>IFERROR(__xludf.DUMMYFUNCTION("""COMPUTED_VALUE"""),0.0)</f>
        <v>0</v>
      </c>
      <c r="Q9" s="75">
        <f>IFERROR(__xludf.DUMMYFUNCTION("""COMPUTED_VALUE"""),0.0)</f>
        <v>0</v>
      </c>
      <c r="R9" s="75">
        <f>IFERROR(__xludf.DUMMYFUNCTION("""COMPUTED_VALUE"""),1.0)</f>
        <v>1</v>
      </c>
      <c r="S9" s="75">
        <f t="shared" si="2"/>
        <v>1</v>
      </c>
    </row>
    <row r="10">
      <c r="A10" s="124" t="str">
        <f>IFERROR(__xludf.DUMMYFUNCTION("""COMPUTED_VALUE"""),"Syed Aqil Rizvi")</f>
        <v>Syed Aqil Rizvi</v>
      </c>
      <c r="B10" s="75" t="str">
        <f>IFERROR(__xludf.DUMMYFUNCTION("""COMPUTED_VALUE"""),"East U.P")</f>
        <v>East U.P</v>
      </c>
      <c r="C10" s="75">
        <f>IFERROR(__xludf.DUMMYFUNCTION("""COMPUTED_VALUE"""),9.0)</f>
        <v>9</v>
      </c>
      <c r="D10" s="75">
        <f>IFERROR(__xludf.DUMMYFUNCTION("""COMPUTED_VALUE"""),5.0)</f>
        <v>5</v>
      </c>
      <c r="E10" s="75">
        <f>IFERROR(__xludf.DUMMYFUNCTION("""COMPUTED_VALUE"""),2.0)</f>
        <v>2</v>
      </c>
      <c r="F10" s="75">
        <f>IFERROR(__xludf.DUMMYFUNCTION("""COMPUTED_VALUE"""),14.0)</f>
        <v>14</v>
      </c>
      <c r="G10" s="75">
        <f>IFERROR(__xludf.DUMMYFUNCTION("""COMPUTED_VALUE"""),12.0)</f>
        <v>12</v>
      </c>
      <c r="H10" s="75">
        <f>IFERROR(__xludf.DUMMYFUNCTION("""COMPUTED_VALUE"""),11.0)</f>
        <v>11</v>
      </c>
      <c r="I10" s="75">
        <f>IFERROR(__xludf.DUMMYFUNCTION("""COMPUTED_VALUE"""),5.0)</f>
        <v>5</v>
      </c>
      <c r="J10" s="75">
        <f>IFERROR(__xludf.DUMMYFUNCTION("""COMPUTED_VALUE"""),23.0)</f>
        <v>23</v>
      </c>
      <c r="K10" s="75">
        <f>IFERROR(__xludf.DUMMYFUNCTION("""COMPUTED_VALUE"""),18.0)</f>
        <v>18</v>
      </c>
      <c r="L10" s="75">
        <f>IFERROR(__xludf.DUMMYFUNCTION("""COMPUTED_VALUE"""),7.0)</f>
        <v>7</v>
      </c>
      <c r="M10" s="75">
        <f>IFERROR(__xludf.DUMMYFUNCTION("""COMPUTED_VALUE"""),8.0)</f>
        <v>8</v>
      </c>
      <c r="N10" s="75">
        <f>IFERROR(__xludf.DUMMYFUNCTION("""COMPUTED_VALUE"""),25.0)</f>
        <v>25</v>
      </c>
      <c r="O10" s="75">
        <f>IFERROR(__xludf.DUMMYFUNCTION("""COMPUTED_VALUE"""),17.0)</f>
        <v>17</v>
      </c>
      <c r="P10" s="75">
        <f>IFERROR(__xludf.DUMMYFUNCTION("""COMPUTED_VALUE"""),4.0)</f>
        <v>4</v>
      </c>
      <c r="Q10" s="75">
        <f>IFERROR(__xludf.DUMMYFUNCTION("""COMPUTED_VALUE"""),6.0)</f>
        <v>6</v>
      </c>
      <c r="R10" s="75">
        <f>IFERROR(__xludf.DUMMYFUNCTION("""COMPUTED_VALUE"""),21.0)</f>
        <v>21</v>
      </c>
      <c r="S10" s="75">
        <f t="shared" si="2"/>
        <v>15</v>
      </c>
    </row>
    <row r="11">
      <c r="A11" s="124" t="str">
        <f>IFERROR(__xludf.DUMMYFUNCTION("""COMPUTED_VALUE"""),"Sunil Patel")</f>
        <v>Sunil Patel</v>
      </c>
      <c r="B11" s="75" t="str">
        <f>IFERROR(__xludf.DUMMYFUNCTION("""COMPUTED_VALUE"""),"Gujarat")</f>
        <v>Gujarat</v>
      </c>
      <c r="C11" s="75">
        <f>IFERROR(__xludf.DUMMYFUNCTION("""COMPUTED_VALUE"""),2.0)</f>
        <v>2</v>
      </c>
      <c r="D11" s="75">
        <f>IFERROR(__xludf.DUMMYFUNCTION("""COMPUTED_VALUE"""),2.0)</f>
        <v>2</v>
      </c>
      <c r="E11" s="75">
        <f>IFERROR(__xludf.DUMMYFUNCTION("""COMPUTED_VALUE"""),2.0)</f>
        <v>2</v>
      </c>
      <c r="F11" s="75">
        <f>IFERROR(__xludf.DUMMYFUNCTION("""COMPUTED_VALUE"""),4.0)</f>
        <v>4</v>
      </c>
      <c r="G11" s="75">
        <f>IFERROR(__xludf.DUMMYFUNCTION("""COMPUTED_VALUE"""),2.0)</f>
        <v>2</v>
      </c>
      <c r="H11" s="75">
        <f>IFERROR(__xludf.DUMMYFUNCTION("""COMPUTED_VALUE"""),1.0)</f>
        <v>1</v>
      </c>
      <c r="I11" s="75">
        <f>IFERROR(__xludf.DUMMYFUNCTION("""COMPUTED_VALUE"""),1.0)</f>
        <v>1</v>
      </c>
      <c r="J11" s="75">
        <f>IFERROR(__xludf.DUMMYFUNCTION("""COMPUTED_VALUE"""),3.0)</f>
        <v>3</v>
      </c>
      <c r="K11" s="75">
        <f>IFERROR(__xludf.DUMMYFUNCTION("""COMPUTED_VALUE"""),2.0)</f>
        <v>2</v>
      </c>
      <c r="L11" s="75">
        <f>IFERROR(__xludf.DUMMYFUNCTION("""COMPUTED_VALUE"""),1.0)</f>
        <v>1</v>
      </c>
      <c r="M11" s="75">
        <f>IFERROR(__xludf.DUMMYFUNCTION("""COMPUTED_VALUE"""),0.0)</f>
        <v>0</v>
      </c>
      <c r="N11" s="75">
        <f>IFERROR(__xludf.DUMMYFUNCTION("""COMPUTED_VALUE"""),3.0)</f>
        <v>3</v>
      </c>
      <c r="O11" s="75">
        <f>IFERROR(__xludf.DUMMYFUNCTION("""COMPUTED_VALUE"""),3.0)</f>
        <v>3</v>
      </c>
      <c r="P11" s="75">
        <f>IFERROR(__xludf.DUMMYFUNCTION("""COMPUTED_VALUE"""),3.0)</f>
        <v>3</v>
      </c>
      <c r="Q11" s="75">
        <f>IFERROR(__xludf.DUMMYFUNCTION("""COMPUTED_VALUE"""),1.0)</f>
        <v>1</v>
      </c>
      <c r="R11" s="75">
        <f>IFERROR(__xludf.DUMMYFUNCTION("""COMPUTED_VALUE"""),6.0)</f>
        <v>6</v>
      </c>
      <c r="S11" s="75">
        <f t="shared" si="2"/>
        <v>5</v>
      </c>
    </row>
    <row r="12">
      <c r="A12" s="124" t="str">
        <f>IFERROR(__xludf.DUMMYFUNCTION("""COMPUTED_VALUE"""),"Pawan Sharma")</f>
        <v>Pawan Sharma</v>
      </c>
      <c r="B12" s="75" t="str">
        <f>IFERROR(__xludf.DUMMYFUNCTION("""COMPUTED_VALUE"""),"Haryana")</f>
        <v>Haryana</v>
      </c>
      <c r="C12" s="75">
        <f>IFERROR(__xludf.DUMMYFUNCTION("""COMPUTED_VALUE"""),3.0)</f>
        <v>3</v>
      </c>
      <c r="D12" s="75">
        <f>IFERROR(__xludf.DUMMYFUNCTION("""COMPUTED_VALUE"""),5.0)</f>
        <v>5</v>
      </c>
      <c r="E12" s="75">
        <f>IFERROR(__xludf.DUMMYFUNCTION("""COMPUTED_VALUE"""),3.0)</f>
        <v>3</v>
      </c>
      <c r="F12" s="75">
        <f>IFERROR(__xludf.DUMMYFUNCTION("""COMPUTED_VALUE"""),8.0)</f>
        <v>8</v>
      </c>
      <c r="G12" s="75">
        <f>IFERROR(__xludf.DUMMYFUNCTION("""COMPUTED_VALUE"""),5.0)</f>
        <v>5</v>
      </c>
      <c r="H12" s="75">
        <f>IFERROR(__xludf.DUMMYFUNCTION("""COMPUTED_VALUE"""),6.0)</f>
        <v>6</v>
      </c>
      <c r="I12" s="75">
        <f>IFERROR(__xludf.DUMMYFUNCTION("""COMPUTED_VALUE"""),4.0)</f>
        <v>4</v>
      </c>
      <c r="J12" s="75">
        <f>IFERROR(__xludf.DUMMYFUNCTION("""COMPUTED_VALUE"""),11.0)</f>
        <v>11</v>
      </c>
      <c r="K12" s="75">
        <f>IFERROR(__xludf.DUMMYFUNCTION("""COMPUTED_VALUE"""),7.0)</f>
        <v>7</v>
      </c>
      <c r="L12" s="75">
        <f>IFERROR(__xludf.DUMMYFUNCTION("""COMPUTED_VALUE"""),4.0)</f>
        <v>4</v>
      </c>
      <c r="M12" s="75">
        <f>IFERROR(__xludf.DUMMYFUNCTION("""COMPUTED_VALUE"""),8.0)</f>
        <v>8</v>
      </c>
      <c r="N12" s="75">
        <f>IFERROR(__xludf.DUMMYFUNCTION("""COMPUTED_VALUE"""),11.0)</f>
        <v>11</v>
      </c>
      <c r="O12" s="75">
        <f>IFERROR(__xludf.DUMMYFUNCTION("""COMPUTED_VALUE"""),3.0)</f>
        <v>3</v>
      </c>
      <c r="P12" s="75">
        <f>IFERROR(__xludf.DUMMYFUNCTION("""COMPUTED_VALUE"""),9.0)</f>
        <v>9</v>
      </c>
      <c r="Q12" s="75">
        <f>IFERROR(__xludf.DUMMYFUNCTION("""COMPUTED_VALUE"""),8.0)</f>
        <v>8</v>
      </c>
      <c r="R12" s="75">
        <f>IFERROR(__xludf.DUMMYFUNCTION("""COMPUTED_VALUE"""),12.0)</f>
        <v>12</v>
      </c>
      <c r="S12" s="75">
        <f t="shared" si="2"/>
        <v>4</v>
      </c>
    </row>
    <row r="13">
      <c r="A13" s="124" t="str">
        <f>IFERROR(__xludf.DUMMYFUNCTION("""COMPUTED_VALUE"""),"Sulinder Pal")</f>
        <v>Sulinder Pal</v>
      </c>
      <c r="B13" s="75" t="str">
        <f>IFERROR(__xludf.DUMMYFUNCTION("""COMPUTED_VALUE"""),"Himachal Pradesh")</f>
        <v>Himachal Pradesh</v>
      </c>
      <c r="C13" s="75">
        <f>IFERROR(__xludf.DUMMYFUNCTION("""COMPUTED_VALUE"""),1.0)</f>
        <v>1</v>
      </c>
      <c r="D13" s="75">
        <f>IFERROR(__xludf.DUMMYFUNCTION("""COMPUTED_VALUE"""),0.0)</f>
        <v>0</v>
      </c>
      <c r="E13" s="75">
        <f>IFERROR(__xludf.DUMMYFUNCTION("""COMPUTED_VALUE"""),1.0)</f>
        <v>1</v>
      </c>
      <c r="F13" s="75">
        <f>IFERROR(__xludf.DUMMYFUNCTION("""COMPUTED_VALUE"""),1.0)</f>
        <v>1</v>
      </c>
      <c r="G13" s="75">
        <f>IFERROR(__xludf.DUMMYFUNCTION("""COMPUTED_VALUE"""),0.0)</f>
        <v>0</v>
      </c>
      <c r="H13" s="75">
        <f>IFERROR(__xludf.DUMMYFUNCTION("""COMPUTED_VALUE"""),1.0)</f>
        <v>1</v>
      </c>
      <c r="I13" s="75">
        <f>IFERROR(__xludf.DUMMYFUNCTION("""COMPUTED_VALUE"""),1.0)</f>
        <v>1</v>
      </c>
      <c r="J13" s="75">
        <f>IFERROR(__xludf.DUMMYFUNCTION("""COMPUTED_VALUE"""),1.0)</f>
        <v>1</v>
      </c>
      <c r="K13" s="75">
        <f>IFERROR(__xludf.DUMMYFUNCTION("""COMPUTED_VALUE"""),0.0)</f>
        <v>0</v>
      </c>
      <c r="L13" s="75">
        <f>IFERROR(__xludf.DUMMYFUNCTION("""COMPUTED_VALUE"""),3.0)</f>
        <v>3</v>
      </c>
      <c r="M13" s="75">
        <f>IFERROR(__xludf.DUMMYFUNCTION("""COMPUTED_VALUE"""),0.0)</f>
        <v>0</v>
      </c>
      <c r="N13" s="75">
        <f>IFERROR(__xludf.DUMMYFUNCTION("""COMPUTED_VALUE"""),3.0)</f>
        <v>3</v>
      </c>
      <c r="O13" s="75">
        <f>IFERROR(__xludf.DUMMYFUNCTION("""COMPUTED_VALUE"""),3.0)</f>
        <v>3</v>
      </c>
      <c r="P13" s="75">
        <f>IFERROR(__xludf.DUMMYFUNCTION("""COMPUTED_VALUE"""),2.0)</f>
        <v>2</v>
      </c>
      <c r="Q13" s="75">
        <f>IFERROR(__xludf.DUMMYFUNCTION("""COMPUTED_VALUE"""),3.0)</f>
        <v>3</v>
      </c>
      <c r="R13" s="75">
        <f>IFERROR(__xludf.DUMMYFUNCTION("""COMPUTED_VALUE"""),5.0)</f>
        <v>5</v>
      </c>
      <c r="S13" s="75">
        <f t="shared" si="2"/>
        <v>2</v>
      </c>
    </row>
    <row r="14">
      <c r="A14" s="124" t="str">
        <f>IFERROR(__xludf.DUMMYFUNCTION("""COMPUTED_VALUE"""),"Nasir Hussain Khan")</f>
        <v>Nasir Hussain Khan</v>
      </c>
      <c r="B14" s="75" t="str">
        <f>IFERROR(__xludf.DUMMYFUNCTION("""COMPUTED_VALUE"""),"JAMMU AND KASHMIR")</f>
        <v>JAMMU AND KASHMIR</v>
      </c>
      <c r="C14" s="75">
        <f>IFERROR(__xludf.DUMMYFUNCTION("""COMPUTED_VALUE"""),0.0)</f>
        <v>0</v>
      </c>
      <c r="D14" s="75">
        <f>IFERROR(__xludf.DUMMYFUNCTION("""COMPUTED_VALUE"""),2.0)</f>
        <v>2</v>
      </c>
      <c r="E14" s="75">
        <f>IFERROR(__xludf.DUMMYFUNCTION("""COMPUTED_VALUE"""),0.0)</f>
        <v>0</v>
      </c>
      <c r="F14" s="75">
        <f>IFERROR(__xludf.DUMMYFUNCTION("""COMPUTED_VALUE"""),2.0)</f>
        <v>2</v>
      </c>
      <c r="G14" s="75">
        <f>IFERROR(__xludf.DUMMYFUNCTION("""COMPUTED_VALUE"""),2.0)</f>
        <v>2</v>
      </c>
      <c r="H14" s="75">
        <f>IFERROR(__xludf.DUMMYFUNCTION("""COMPUTED_VALUE"""),3.0)</f>
        <v>3</v>
      </c>
      <c r="I14" s="75">
        <f>IFERROR(__xludf.DUMMYFUNCTION("""COMPUTED_VALUE"""),2.0)</f>
        <v>2</v>
      </c>
      <c r="J14" s="75">
        <f>IFERROR(__xludf.DUMMYFUNCTION("""COMPUTED_VALUE"""),5.0)</f>
        <v>5</v>
      </c>
      <c r="K14" s="75">
        <f>IFERROR(__xludf.DUMMYFUNCTION("""COMPUTED_VALUE"""),3.0)</f>
        <v>3</v>
      </c>
      <c r="L14" s="75">
        <f>IFERROR(__xludf.DUMMYFUNCTION("""COMPUTED_VALUE"""),1.0)</f>
        <v>1</v>
      </c>
      <c r="M14" s="75">
        <f>IFERROR(__xludf.DUMMYFUNCTION("""COMPUTED_VALUE"""),1.0)</f>
        <v>1</v>
      </c>
      <c r="N14" s="75">
        <f>IFERROR(__xludf.DUMMYFUNCTION("""COMPUTED_VALUE"""),4.0)</f>
        <v>4</v>
      </c>
      <c r="O14" s="75">
        <f>IFERROR(__xludf.DUMMYFUNCTION("""COMPUTED_VALUE"""),3.0)</f>
        <v>3</v>
      </c>
      <c r="P14" s="75">
        <f>IFERROR(__xludf.DUMMYFUNCTION("""COMPUTED_VALUE"""),3.0)</f>
        <v>3</v>
      </c>
      <c r="Q14" s="75">
        <f>IFERROR(__xludf.DUMMYFUNCTION("""COMPUTED_VALUE"""),1.0)</f>
        <v>1</v>
      </c>
      <c r="R14" s="75">
        <f>IFERROR(__xludf.DUMMYFUNCTION("""COMPUTED_VALUE"""),6.0)</f>
        <v>6</v>
      </c>
      <c r="S14" s="75">
        <f t="shared" si="2"/>
        <v>5</v>
      </c>
    </row>
    <row r="15">
      <c r="A15" s="124" t="str">
        <f>IFERROR(__xludf.DUMMYFUNCTION("""COMPUTED_VALUE"""),"Sandeep Dadheech")</f>
        <v>Sandeep Dadheech</v>
      </c>
      <c r="B15" s="75" t="str">
        <f>IFERROR(__xludf.DUMMYFUNCTION("""COMPUTED_VALUE"""),"Jharkhand")</f>
        <v>Jharkhand</v>
      </c>
      <c r="C15" s="75">
        <f>IFERROR(__xludf.DUMMYFUNCTION("""COMPUTED_VALUE"""),4.0)</f>
        <v>4</v>
      </c>
      <c r="D15" s="75">
        <f>IFERROR(__xludf.DUMMYFUNCTION("""COMPUTED_VALUE"""),1.0)</f>
        <v>1</v>
      </c>
      <c r="E15" s="75">
        <f>IFERROR(__xludf.DUMMYFUNCTION("""COMPUTED_VALUE"""),1.0)</f>
        <v>1</v>
      </c>
      <c r="F15" s="75">
        <f>IFERROR(__xludf.DUMMYFUNCTION("""COMPUTED_VALUE"""),5.0)</f>
        <v>5</v>
      </c>
      <c r="G15" s="75">
        <f>IFERROR(__xludf.DUMMYFUNCTION("""COMPUTED_VALUE"""),4.0)</f>
        <v>4</v>
      </c>
      <c r="H15" s="75">
        <f>IFERROR(__xludf.DUMMYFUNCTION("""COMPUTED_VALUE"""),5.0)</f>
        <v>5</v>
      </c>
      <c r="I15" s="75">
        <f>IFERROR(__xludf.DUMMYFUNCTION("""COMPUTED_VALUE"""),1.0)</f>
        <v>1</v>
      </c>
      <c r="J15" s="75">
        <f>IFERROR(__xludf.DUMMYFUNCTION("""COMPUTED_VALUE"""),9.0)</f>
        <v>9</v>
      </c>
      <c r="K15" s="75">
        <f>IFERROR(__xludf.DUMMYFUNCTION("""COMPUTED_VALUE"""),8.0)</f>
        <v>8</v>
      </c>
      <c r="L15" s="75">
        <f>IFERROR(__xludf.DUMMYFUNCTION("""COMPUTED_VALUE"""),2.0)</f>
        <v>2</v>
      </c>
      <c r="M15" s="75">
        <f>IFERROR(__xludf.DUMMYFUNCTION("""COMPUTED_VALUE"""),2.0)</f>
        <v>2</v>
      </c>
      <c r="N15" s="75">
        <f>IFERROR(__xludf.DUMMYFUNCTION("""COMPUTED_VALUE"""),10.0)</f>
        <v>10</v>
      </c>
      <c r="O15" s="75">
        <f>IFERROR(__xludf.DUMMYFUNCTION("""COMPUTED_VALUE"""),8.0)</f>
        <v>8</v>
      </c>
      <c r="P15" s="75">
        <f>IFERROR(__xludf.DUMMYFUNCTION("""COMPUTED_VALUE"""),0.0)</f>
        <v>0</v>
      </c>
      <c r="Q15" s="75">
        <f>IFERROR(__xludf.DUMMYFUNCTION("""COMPUTED_VALUE"""),0.0)</f>
        <v>0</v>
      </c>
      <c r="R15" s="75">
        <f>IFERROR(__xludf.DUMMYFUNCTION("""COMPUTED_VALUE"""),8.0)</f>
        <v>8</v>
      </c>
      <c r="S15" s="75">
        <f t="shared" si="2"/>
        <v>8</v>
      </c>
    </row>
    <row r="16">
      <c r="A16" s="124" t="str">
        <f>IFERROR(__xludf.DUMMYFUNCTION("""COMPUTED_VALUE"""),"Sandeep Dadheech")</f>
        <v>Sandeep Dadheech</v>
      </c>
      <c r="B16" s="75" t="str">
        <f>IFERROR(__xludf.DUMMYFUNCTION("""COMPUTED_VALUE"""),"Karnataka")</f>
        <v>Karnataka</v>
      </c>
      <c r="C16" s="75">
        <f>IFERROR(__xludf.DUMMYFUNCTION("""COMPUTED_VALUE"""),1.0)</f>
        <v>1</v>
      </c>
      <c r="D16" s="75">
        <f>IFERROR(__xludf.DUMMYFUNCTION("""COMPUTED_VALUE"""),0.0)</f>
        <v>0</v>
      </c>
      <c r="E16" s="75">
        <f>IFERROR(__xludf.DUMMYFUNCTION("""COMPUTED_VALUE"""),1.0)</f>
        <v>1</v>
      </c>
      <c r="F16" s="75">
        <f>IFERROR(__xludf.DUMMYFUNCTION("""COMPUTED_VALUE"""),1.0)</f>
        <v>1</v>
      </c>
      <c r="G16" s="75">
        <f>IFERROR(__xludf.DUMMYFUNCTION("""COMPUTED_VALUE"""),0.0)</f>
        <v>0</v>
      </c>
      <c r="H16" s="75">
        <f>IFERROR(__xludf.DUMMYFUNCTION("""COMPUTED_VALUE"""),0.0)</f>
        <v>0</v>
      </c>
      <c r="I16" s="75">
        <f>IFERROR(__xludf.DUMMYFUNCTION("""COMPUTED_VALUE"""),0.0)</f>
        <v>0</v>
      </c>
      <c r="J16" s="75">
        <f>IFERROR(__xludf.DUMMYFUNCTION("""COMPUTED_VALUE"""),0.0)</f>
        <v>0</v>
      </c>
      <c r="K16" s="75">
        <f>IFERROR(__xludf.DUMMYFUNCTION("""COMPUTED_VALUE"""),0.0)</f>
        <v>0</v>
      </c>
      <c r="L16" s="75">
        <f>IFERROR(__xludf.DUMMYFUNCTION("""COMPUTED_VALUE"""),3.0)</f>
        <v>3</v>
      </c>
      <c r="M16" s="75">
        <f>IFERROR(__xludf.DUMMYFUNCTION("""COMPUTED_VALUE"""),0.0)</f>
        <v>0</v>
      </c>
      <c r="N16" s="75">
        <f>IFERROR(__xludf.DUMMYFUNCTION("""COMPUTED_VALUE"""),3.0)</f>
        <v>3</v>
      </c>
      <c r="O16" s="75">
        <f>IFERROR(__xludf.DUMMYFUNCTION("""COMPUTED_VALUE"""),3.0)</f>
        <v>3</v>
      </c>
      <c r="P16" s="75">
        <f>IFERROR(__xludf.DUMMYFUNCTION("""COMPUTED_VALUE"""),3.0)</f>
        <v>3</v>
      </c>
      <c r="Q16" s="75">
        <f>IFERROR(__xludf.DUMMYFUNCTION("""COMPUTED_VALUE"""),2.0)</f>
        <v>2</v>
      </c>
      <c r="R16" s="75">
        <f>IFERROR(__xludf.DUMMYFUNCTION("""COMPUTED_VALUE"""),6.0)</f>
        <v>6</v>
      </c>
      <c r="S16" s="75">
        <f t="shared" si="2"/>
        <v>4</v>
      </c>
    </row>
    <row r="17">
      <c r="A17" s="124" t="str">
        <f>IFERROR(__xludf.DUMMYFUNCTION("""COMPUTED_VALUE"""),"Biju C.O")</f>
        <v>Biju C.O</v>
      </c>
      <c r="B17" s="75" t="str">
        <f>IFERROR(__xludf.DUMMYFUNCTION("""COMPUTED_VALUE"""),"Kerala")</f>
        <v>Kerala</v>
      </c>
      <c r="C17" s="75">
        <f>IFERROR(__xludf.DUMMYFUNCTION("""COMPUTED_VALUE"""),4.0)</f>
        <v>4</v>
      </c>
      <c r="D17" s="75">
        <f>IFERROR(__xludf.DUMMYFUNCTION("""COMPUTED_VALUE"""),11.0)</f>
        <v>11</v>
      </c>
      <c r="E17" s="75">
        <f>IFERROR(__xludf.DUMMYFUNCTION("""COMPUTED_VALUE"""),7.0)</f>
        <v>7</v>
      </c>
      <c r="F17" s="75">
        <f>IFERROR(__xludf.DUMMYFUNCTION("""COMPUTED_VALUE"""),15.0)</f>
        <v>15</v>
      </c>
      <c r="G17" s="75">
        <f>IFERROR(__xludf.DUMMYFUNCTION("""COMPUTED_VALUE"""),8.0)</f>
        <v>8</v>
      </c>
      <c r="H17" s="75">
        <f>IFERROR(__xludf.DUMMYFUNCTION("""COMPUTED_VALUE"""),6.0)</f>
        <v>6</v>
      </c>
      <c r="I17" s="75">
        <f>IFERROR(__xludf.DUMMYFUNCTION("""COMPUTED_VALUE"""),6.0)</f>
        <v>6</v>
      </c>
      <c r="J17" s="75">
        <f>IFERROR(__xludf.DUMMYFUNCTION("""COMPUTED_VALUE"""),14.0)</f>
        <v>14</v>
      </c>
      <c r="K17" s="75">
        <f>IFERROR(__xludf.DUMMYFUNCTION("""COMPUTED_VALUE"""),8.0)</f>
        <v>8</v>
      </c>
      <c r="L17" s="75">
        <f>IFERROR(__xludf.DUMMYFUNCTION("""COMPUTED_VALUE"""),10.0)</f>
        <v>10</v>
      </c>
      <c r="M17" s="75">
        <f>IFERROR(__xludf.DUMMYFUNCTION("""COMPUTED_VALUE"""),11.0)</f>
        <v>11</v>
      </c>
      <c r="N17" s="75">
        <f>IFERROR(__xludf.DUMMYFUNCTION("""COMPUTED_VALUE"""),18.0)</f>
        <v>18</v>
      </c>
      <c r="O17" s="75">
        <f>IFERROR(__xludf.DUMMYFUNCTION("""COMPUTED_VALUE"""),7.0)</f>
        <v>7</v>
      </c>
      <c r="P17" s="75">
        <f>IFERROR(__xludf.DUMMYFUNCTION("""COMPUTED_VALUE"""),7.0)</f>
        <v>7</v>
      </c>
      <c r="Q17" s="75">
        <f>IFERROR(__xludf.DUMMYFUNCTION("""COMPUTED_VALUE"""),7.0)</f>
        <v>7</v>
      </c>
      <c r="R17" s="75">
        <f>IFERROR(__xludf.DUMMYFUNCTION("""COMPUTED_VALUE"""),14.0)</f>
        <v>14</v>
      </c>
      <c r="S17" s="75">
        <f t="shared" si="2"/>
        <v>7</v>
      </c>
    </row>
    <row r="18">
      <c r="A18" s="124" t="str">
        <f>IFERROR(__xludf.DUMMYFUNCTION("""COMPUTED_VALUE"""),"Syed Aqil Rizvi")</f>
        <v>Syed Aqil Rizvi</v>
      </c>
      <c r="B18" s="75" t="str">
        <f>IFERROR(__xludf.DUMMYFUNCTION("""COMPUTED_VALUE"""),"Madhya Pradesh")</f>
        <v>Madhya Pradesh</v>
      </c>
      <c r="C18" s="75">
        <f>IFERROR(__xludf.DUMMYFUNCTION("""COMPUTED_VALUE"""),4.0)</f>
        <v>4</v>
      </c>
      <c r="D18" s="75">
        <f>IFERROR(__xludf.DUMMYFUNCTION("""COMPUTED_VALUE"""),3.0)</f>
        <v>3</v>
      </c>
      <c r="E18" s="75">
        <f>IFERROR(__xludf.DUMMYFUNCTION("""COMPUTED_VALUE"""),2.0)</f>
        <v>2</v>
      </c>
      <c r="F18" s="75">
        <f>IFERROR(__xludf.DUMMYFUNCTION("""COMPUTED_VALUE"""),7.0)</f>
        <v>7</v>
      </c>
      <c r="G18" s="75">
        <f>IFERROR(__xludf.DUMMYFUNCTION("""COMPUTED_VALUE"""),5.0)</f>
        <v>5</v>
      </c>
      <c r="H18" s="75">
        <f>IFERROR(__xludf.DUMMYFUNCTION("""COMPUTED_VALUE"""),5.0)</f>
        <v>5</v>
      </c>
      <c r="I18" s="75">
        <f>IFERROR(__xludf.DUMMYFUNCTION("""COMPUTED_VALUE"""),1.0)</f>
        <v>1</v>
      </c>
      <c r="J18" s="75">
        <f>IFERROR(__xludf.DUMMYFUNCTION("""COMPUTED_VALUE"""),10.0)</f>
        <v>10</v>
      </c>
      <c r="K18" s="75">
        <f>IFERROR(__xludf.DUMMYFUNCTION("""COMPUTED_VALUE"""),9.0)</f>
        <v>9</v>
      </c>
      <c r="L18" s="75">
        <f>IFERROR(__xludf.DUMMYFUNCTION("""COMPUTED_VALUE"""),2.0)</f>
        <v>2</v>
      </c>
      <c r="M18" s="75">
        <f>IFERROR(__xludf.DUMMYFUNCTION("""COMPUTED_VALUE"""),4.0)</f>
        <v>4</v>
      </c>
      <c r="N18" s="75">
        <f>IFERROR(__xludf.DUMMYFUNCTION("""COMPUTED_VALUE"""),11.0)</f>
        <v>11</v>
      </c>
      <c r="O18" s="75">
        <f>IFERROR(__xludf.DUMMYFUNCTION("""COMPUTED_VALUE"""),7.0)</f>
        <v>7</v>
      </c>
      <c r="P18" s="75">
        <f>IFERROR(__xludf.DUMMYFUNCTION("""COMPUTED_VALUE"""),4.0)</f>
        <v>4</v>
      </c>
      <c r="Q18" s="75">
        <f>IFERROR(__xludf.DUMMYFUNCTION("""COMPUTED_VALUE"""),1.0)</f>
        <v>1</v>
      </c>
      <c r="R18" s="75">
        <f>IFERROR(__xludf.DUMMYFUNCTION("""COMPUTED_VALUE"""),11.0)</f>
        <v>11</v>
      </c>
      <c r="S18" s="75">
        <f t="shared" si="2"/>
        <v>10</v>
      </c>
    </row>
    <row r="19">
      <c r="A19" s="124" t="str">
        <f>IFERROR(__xludf.DUMMYFUNCTION("""COMPUTED_VALUE"""),"Lalan Kumar")</f>
        <v>Lalan Kumar</v>
      </c>
      <c r="B19" s="75" t="str">
        <f>IFERROR(__xludf.DUMMYFUNCTION("""COMPUTED_VALUE"""),"Maharashtra")</f>
        <v>Maharashtra</v>
      </c>
      <c r="C19" s="75">
        <f>IFERROR(__xludf.DUMMYFUNCTION("""COMPUTED_VALUE"""),6.0)</f>
        <v>6</v>
      </c>
      <c r="D19" s="75">
        <f>IFERROR(__xludf.DUMMYFUNCTION("""COMPUTED_VALUE"""),4.0)</f>
        <v>4</v>
      </c>
      <c r="E19" s="75">
        <f>IFERROR(__xludf.DUMMYFUNCTION("""COMPUTED_VALUE"""),3.0)</f>
        <v>3</v>
      </c>
      <c r="F19" s="75">
        <f>IFERROR(__xludf.DUMMYFUNCTION("""COMPUTED_VALUE"""),10.0)</f>
        <v>10</v>
      </c>
      <c r="G19" s="75">
        <f>IFERROR(__xludf.DUMMYFUNCTION("""COMPUTED_VALUE"""),7.0)</f>
        <v>7</v>
      </c>
      <c r="H19" s="75">
        <f>IFERROR(__xludf.DUMMYFUNCTION("""COMPUTED_VALUE"""),6.0)</f>
        <v>6</v>
      </c>
      <c r="I19" s="75">
        <f>IFERROR(__xludf.DUMMYFUNCTION("""COMPUTED_VALUE"""),3.0)</f>
        <v>3</v>
      </c>
      <c r="J19" s="75">
        <f>IFERROR(__xludf.DUMMYFUNCTION("""COMPUTED_VALUE"""),13.0)</f>
        <v>13</v>
      </c>
      <c r="K19" s="75">
        <f>IFERROR(__xludf.DUMMYFUNCTION("""COMPUTED_VALUE"""),10.0)</f>
        <v>10</v>
      </c>
      <c r="L19" s="75">
        <f>IFERROR(__xludf.DUMMYFUNCTION("""COMPUTED_VALUE"""),4.0)</f>
        <v>4</v>
      </c>
      <c r="M19" s="75">
        <f>IFERROR(__xludf.DUMMYFUNCTION("""COMPUTED_VALUE"""),2.0)</f>
        <v>2</v>
      </c>
      <c r="N19" s="75">
        <f>IFERROR(__xludf.DUMMYFUNCTION("""COMPUTED_VALUE"""),14.0)</f>
        <v>14</v>
      </c>
      <c r="O19" s="75">
        <f>IFERROR(__xludf.DUMMYFUNCTION("""COMPUTED_VALUE"""),12.0)</f>
        <v>12</v>
      </c>
      <c r="P19" s="75">
        <f>IFERROR(__xludf.DUMMYFUNCTION("""COMPUTED_VALUE"""),5.0)</f>
        <v>5</v>
      </c>
      <c r="Q19" s="75">
        <f>IFERROR(__xludf.DUMMYFUNCTION("""COMPUTED_VALUE"""),5.0)</f>
        <v>5</v>
      </c>
      <c r="R19" s="75">
        <f>IFERROR(__xludf.DUMMYFUNCTION("""COMPUTED_VALUE"""),17.0)</f>
        <v>17</v>
      </c>
      <c r="S19" s="75">
        <f t="shared" si="2"/>
        <v>12</v>
      </c>
    </row>
    <row r="20">
      <c r="A20" s="124" t="str">
        <f>IFERROR(__xludf.DUMMYFUNCTION("""COMPUTED_VALUE"""),"Syed Aqil Rizvi")</f>
        <v>Syed Aqil Rizvi</v>
      </c>
      <c r="B20" s="75" t="str">
        <f>IFERROR(__xludf.DUMMYFUNCTION("""COMPUTED_VALUE"""),"Maharashtra 2")</f>
        <v>Maharashtra 2</v>
      </c>
      <c r="C20" s="75">
        <f>IFERROR(__xludf.DUMMYFUNCTION("""COMPUTED_VALUE"""),3.0)</f>
        <v>3</v>
      </c>
      <c r="D20" s="75">
        <f>IFERROR(__xludf.DUMMYFUNCTION("""COMPUTED_VALUE"""),1.0)</f>
        <v>1</v>
      </c>
      <c r="E20" s="75">
        <f>IFERROR(__xludf.DUMMYFUNCTION("""COMPUTED_VALUE"""),2.0)</f>
        <v>2</v>
      </c>
      <c r="F20" s="75">
        <f>IFERROR(__xludf.DUMMYFUNCTION("""COMPUTED_VALUE"""),4.0)</f>
        <v>4</v>
      </c>
      <c r="G20" s="75">
        <f>IFERROR(__xludf.DUMMYFUNCTION("""COMPUTED_VALUE"""),2.0)</f>
        <v>2</v>
      </c>
      <c r="H20" s="75">
        <f>IFERROR(__xludf.DUMMYFUNCTION("""COMPUTED_VALUE"""),4.0)</f>
        <v>4</v>
      </c>
      <c r="I20" s="75">
        <f>IFERROR(__xludf.DUMMYFUNCTION("""COMPUTED_VALUE"""),1.0)</f>
        <v>1</v>
      </c>
      <c r="J20" s="75">
        <f>IFERROR(__xludf.DUMMYFUNCTION("""COMPUTED_VALUE"""),6.0)</f>
        <v>6</v>
      </c>
      <c r="K20" s="75">
        <f>IFERROR(__xludf.DUMMYFUNCTION("""COMPUTED_VALUE"""),5.0)</f>
        <v>5</v>
      </c>
      <c r="L20" s="75">
        <f>IFERROR(__xludf.DUMMYFUNCTION("""COMPUTED_VALUE"""),0.0)</f>
        <v>0</v>
      </c>
      <c r="M20" s="75">
        <f>IFERROR(__xludf.DUMMYFUNCTION("""COMPUTED_VALUE"""),2.0)</f>
        <v>2</v>
      </c>
      <c r="N20" s="75">
        <f>IFERROR(__xludf.DUMMYFUNCTION("""COMPUTED_VALUE"""),5.0)</f>
        <v>5</v>
      </c>
      <c r="O20" s="75">
        <f>IFERROR(__xludf.DUMMYFUNCTION("""COMPUTED_VALUE"""),3.0)</f>
        <v>3</v>
      </c>
      <c r="P20" s="75">
        <f>IFERROR(__xludf.DUMMYFUNCTION("""COMPUTED_VALUE"""),0.0)</f>
        <v>0</v>
      </c>
      <c r="Q20" s="75">
        <f>IFERROR(__xludf.DUMMYFUNCTION("""COMPUTED_VALUE"""),0.0)</f>
        <v>0</v>
      </c>
      <c r="R20" s="75">
        <f>IFERROR(__xludf.DUMMYFUNCTION("""COMPUTED_VALUE"""),3.0)</f>
        <v>3</v>
      </c>
      <c r="S20" s="75">
        <f t="shared" si="2"/>
        <v>3</v>
      </c>
    </row>
    <row r="21">
      <c r="A21" s="124" t="str">
        <f>IFERROR(__xludf.DUMMYFUNCTION("""COMPUTED_VALUE"""),"Sandeep Dadheech")</f>
        <v>Sandeep Dadheech</v>
      </c>
      <c r="B21" s="75" t="str">
        <f>IFERROR(__xludf.DUMMYFUNCTION("""COMPUTED_VALUE"""),"North East")</f>
        <v>North East</v>
      </c>
      <c r="C21" s="75">
        <f>IFERROR(__xludf.DUMMYFUNCTION("""COMPUTED_VALUE"""),4.0)</f>
        <v>4</v>
      </c>
      <c r="D21" s="75">
        <f>IFERROR(__xludf.DUMMYFUNCTION("""COMPUTED_VALUE"""),4.0)</f>
        <v>4</v>
      </c>
      <c r="E21" s="75">
        <f>IFERROR(__xludf.DUMMYFUNCTION("""COMPUTED_VALUE"""),4.0)</f>
        <v>4</v>
      </c>
      <c r="F21" s="75">
        <f>IFERROR(__xludf.DUMMYFUNCTION("""COMPUTED_VALUE"""),8.0)</f>
        <v>8</v>
      </c>
      <c r="G21" s="75">
        <f>IFERROR(__xludf.DUMMYFUNCTION("""COMPUTED_VALUE"""),4.0)</f>
        <v>4</v>
      </c>
      <c r="H21" s="75">
        <f>IFERROR(__xludf.DUMMYFUNCTION("""COMPUTED_VALUE"""),5.0)</f>
        <v>5</v>
      </c>
      <c r="I21" s="75">
        <f>IFERROR(__xludf.DUMMYFUNCTION("""COMPUTED_VALUE"""),1.0)</f>
        <v>1</v>
      </c>
      <c r="J21" s="75">
        <f>IFERROR(__xludf.DUMMYFUNCTION("""COMPUTED_VALUE"""),9.0)</f>
        <v>9</v>
      </c>
      <c r="K21" s="75">
        <f>IFERROR(__xludf.DUMMYFUNCTION("""COMPUTED_VALUE"""),8.0)</f>
        <v>8</v>
      </c>
      <c r="L21" s="75">
        <f>IFERROR(__xludf.DUMMYFUNCTION("""COMPUTED_VALUE"""),0.0)</f>
        <v>0</v>
      </c>
      <c r="M21" s="75">
        <f>IFERROR(__xludf.DUMMYFUNCTION("""COMPUTED_VALUE"""),2.0)</f>
        <v>2</v>
      </c>
      <c r="N21" s="75">
        <f>IFERROR(__xludf.DUMMYFUNCTION("""COMPUTED_VALUE"""),8.0)</f>
        <v>8</v>
      </c>
      <c r="O21" s="75">
        <f>IFERROR(__xludf.DUMMYFUNCTION("""COMPUTED_VALUE"""),6.0)</f>
        <v>6</v>
      </c>
      <c r="P21" s="75">
        <f>IFERROR(__xludf.DUMMYFUNCTION("""COMPUTED_VALUE"""),1.0)</f>
        <v>1</v>
      </c>
      <c r="Q21" s="75">
        <f>IFERROR(__xludf.DUMMYFUNCTION("""COMPUTED_VALUE"""),0.0)</f>
        <v>0</v>
      </c>
      <c r="R21" s="75">
        <f>IFERROR(__xludf.DUMMYFUNCTION("""COMPUTED_VALUE"""),7.0)</f>
        <v>7</v>
      </c>
      <c r="S21" s="75">
        <f t="shared" si="2"/>
        <v>7</v>
      </c>
    </row>
    <row r="22">
      <c r="A22" s="124" t="str">
        <f>IFERROR(__xludf.DUMMYFUNCTION("""COMPUTED_VALUE"""),"Sandeep Dadheech")</f>
        <v>Sandeep Dadheech</v>
      </c>
      <c r="B22" s="75" t="str">
        <f>IFERROR(__xludf.DUMMYFUNCTION("""COMPUTED_VALUE"""),"Odisha")</f>
        <v>Odisha</v>
      </c>
      <c r="C22" s="75">
        <f>IFERROR(__xludf.DUMMYFUNCTION("""COMPUTED_VALUE"""),6.0)</f>
        <v>6</v>
      </c>
      <c r="D22" s="75">
        <f>IFERROR(__xludf.DUMMYFUNCTION("""COMPUTED_VALUE"""),0.0)</f>
        <v>0</v>
      </c>
      <c r="E22" s="75">
        <f>IFERROR(__xludf.DUMMYFUNCTION("""COMPUTED_VALUE"""),0.0)</f>
        <v>0</v>
      </c>
      <c r="F22" s="75">
        <f>IFERROR(__xludf.DUMMYFUNCTION("""COMPUTED_VALUE"""),6.0)</f>
        <v>6</v>
      </c>
      <c r="G22" s="75">
        <f>IFERROR(__xludf.DUMMYFUNCTION("""COMPUTED_VALUE"""),6.0)</f>
        <v>6</v>
      </c>
      <c r="H22" s="75">
        <f>IFERROR(__xludf.DUMMYFUNCTION("""COMPUTED_VALUE"""),2.0)</f>
        <v>2</v>
      </c>
      <c r="I22" s="75">
        <f>IFERROR(__xludf.DUMMYFUNCTION("""COMPUTED_VALUE"""),2.0)</f>
        <v>2</v>
      </c>
      <c r="J22" s="75">
        <f>IFERROR(__xludf.DUMMYFUNCTION("""COMPUTED_VALUE"""),8.0)</f>
        <v>8</v>
      </c>
      <c r="K22" s="75">
        <f>IFERROR(__xludf.DUMMYFUNCTION("""COMPUTED_VALUE"""),6.0)</f>
        <v>6</v>
      </c>
      <c r="L22" s="75">
        <f>IFERROR(__xludf.DUMMYFUNCTION("""COMPUTED_VALUE"""),1.0)</f>
        <v>1</v>
      </c>
      <c r="M22" s="75">
        <f>IFERROR(__xludf.DUMMYFUNCTION("""COMPUTED_VALUE"""),0.0)</f>
        <v>0</v>
      </c>
      <c r="N22" s="75">
        <f>IFERROR(__xludf.DUMMYFUNCTION("""COMPUTED_VALUE"""),7.0)</f>
        <v>7</v>
      </c>
      <c r="O22" s="75">
        <f>IFERROR(__xludf.DUMMYFUNCTION("""COMPUTED_VALUE"""),8.0)</f>
        <v>8</v>
      </c>
      <c r="P22" s="75">
        <f>IFERROR(__xludf.DUMMYFUNCTION("""COMPUTED_VALUE"""),0.0)</f>
        <v>0</v>
      </c>
      <c r="Q22" s="75">
        <f>IFERROR(__xludf.DUMMYFUNCTION("""COMPUTED_VALUE"""),2.0)</f>
        <v>2</v>
      </c>
      <c r="R22" s="75">
        <f>IFERROR(__xludf.DUMMYFUNCTION("""COMPUTED_VALUE"""),8.0)</f>
        <v>8</v>
      </c>
      <c r="S22" s="75">
        <f t="shared" si="2"/>
        <v>6</v>
      </c>
    </row>
    <row r="23">
      <c r="A23" s="124" t="str">
        <f>IFERROR(__xludf.DUMMYFUNCTION("""COMPUTED_VALUE"""),"Sulinder Pal")</f>
        <v>Sulinder Pal</v>
      </c>
      <c r="B23" s="75" t="str">
        <f>IFERROR(__xludf.DUMMYFUNCTION("""COMPUTED_VALUE"""),"Punjab")</f>
        <v>Punjab</v>
      </c>
      <c r="C23" s="75">
        <f>IFERROR(__xludf.DUMMYFUNCTION("""COMPUTED_VALUE"""),0.0)</f>
        <v>0</v>
      </c>
      <c r="D23" s="75">
        <f>IFERROR(__xludf.DUMMYFUNCTION("""COMPUTED_VALUE"""),2.0)</f>
        <v>2</v>
      </c>
      <c r="E23" s="75">
        <f>IFERROR(__xludf.DUMMYFUNCTION("""COMPUTED_VALUE"""),1.0)</f>
        <v>1</v>
      </c>
      <c r="F23" s="75">
        <f>IFERROR(__xludf.DUMMYFUNCTION("""COMPUTED_VALUE"""),2.0)</f>
        <v>2</v>
      </c>
      <c r="G23" s="75">
        <f>IFERROR(__xludf.DUMMYFUNCTION("""COMPUTED_VALUE"""),1.0)</f>
        <v>1</v>
      </c>
      <c r="H23" s="75">
        <f>IFERROR(__xludf.DUMMYFUNCTION("""COMPUTED_VALUE"""),5.0)</f>
        <v>5</v>
      </c>
      <c r="I23" s="75">
        <f>IFERROR(__xludf.DUMMYFUNCTION("""COMPUTED_VALUE"""),3.0)</f>
        <v>3</v>
      </c>
      <c r="J23" s="75">
        <f>IFERROR(__xludf.DUMMYFUNCTION("""COMPUTED_VALUE"""),6.0)</f>
        <v>6</v>
      </c>
      <c r="K23" s="75">
        <f>IFERROR(__xludf.DUMMYFUNCTION("""COMPUTED_VALUE"""),3.0)</f>
        <v>3</v>
      </c>
      <c r="L23" s="75">
        <f>IFERROR(__xludf.DUMMYFUNCTION("""COMPUTED_VALUE"""),2.0)</f>
        <v>2</v>
      </c>
      <c r="M23" s="75">
        <f>IFERROR(__xludf.DUMMYFUNCTION("""COMPUTED_VALUE"""),2.0)</f>
        <v>2</v>
      </c>
      <c r="N23" s="75">
        <f>IFERROR(__xludf.DUMMYFUNCTION("""COMPUTED_VALUE"""),5.0)</f>
        <v>5</v>
      </c>
      <c r="O23" s="75">
        <f>IFERROR(__xludf.DUMMYFUNCTION("""COMPUTED_VALUE"""),3.0)</f>
        <v>3</v>
      </c>
      <c r="P23" s="75">
        <f>IFERROR(__xludf.DUMMYFUNCTION("""COMPUTED_VALUE"""),1.0)</f>
        <v>1</v>
      </c>
      <c r="Q23" s="75">
        <f>IFERROR(__xludf.DUMMYFUNCTION("""COMPUTED_VALUE"""),1.0)</f>
        <v>1</v>
      </c>
      <c r="R23" s="75">
        <f>IFERROR(__xludf.DUMMYFUNCTION("""COMPUTED_VALUE"""),4.0)</f>
        <v>4</v>
      </c>
      <c r="S23" s="75">
        <f t="shared" si="2"/>
        <v>3</v>
      </c>
    </row>
    <row r="24">
      <c r="A24" s="124" t="str">
        <f>IFERROR(__xludf.DUMMYFUNCTION("""COMPUTED_VALUE"""),"Pawan Sharma")</f>
        <v>Pawan Sharma</v>
      </c>
      <c r="B24" s="75" t="str">
        <f>IFERROR(__xludf.DUMMYFUNCTION("""COMPUTED_VALUE"""),"Rajasthan")</f>
        <v>Rajasthan</v>
      </c>
      <c r="C24" s="75">
        <f>IFERROR(__xludf.DUMMYFUNCTION("""COMPUTED_VALUE"""),2.0)</f>
        <v>2</v>
      </c>
      <c r="D24" s="75">
        <f>IFERROR(__xludf.DUMMYFUNCTION("""COMPUTED_VALUE"""),2.0)</f>
        <v>2</v>
      </c>
      <c r="E24" s="75">
        <f>IFERROR(__xludf.DUMMYFUNCTION("""COMPUTED_VALUE"""),1.0)</f>
        <v>1</v>
      </c>
      <c r="F24" s="75">
        <f>IFERROR(__xludf.DUMMYFUNCTION("""COMPUTED_VALUE"""),4.0)</f>
        <v>4</v>
      </c>
      <c r="G24" s="75">
        <f>IFERROR(__xludf.DUMMYFUNCTION("""COMPUTED_VALUE"""),3.0)</f>
        <v>3</v>
      </c>
      <c r="H24" s="75">
        <f>IFERROR(__xludf.DUMMYFUNCTION("""COMPUTED_VALUE"""),19.0)</f>
        <v>19</v>
      </c>
      <c r="I24" s="75">
        <f>IFERROR(__xludf.DUMMYFUNCTION("""COMPUTED_VALUE"""),10.0)</f>
        <v>10</v>
      </c>
      <c r="J24" s="75">
        <f>IFERROR(__xludf.DUMMYFUNCTION("""COMPUTED_VALUE"""),22.0)</f>
        <v>22</v>
      </c>
      <c r="K24" s="75">
        <f>IFERROR(__xludf.DUMMYFUNCTION("""COMPUTED_VALUE"""),12.0)</f>
        <v>12</v>
      </c>
      <c r="L24" s="75">
        <f>IFERROR(__xludf.DUMMYFUNCTION("""COMPUTED_VALUE"""),18.0)</f>
        <v>18</v>
      </c>
      <c r="M24" s="75">
        <f>IFERROR(__xludf.DUMMYFUNCTION("""COMPUTED_VALUE"""),19.0)</f>
        <v>19</v>
      </c>
      <c r="N24" s="75">
        <f>IFERROR(__xludf.DUMMYFUNCTION("""COMPUTED_VALUE"""),30.0)</f>
        <v>30</v>
      </c>
      <c r="O24" s="75">
        <f>IFERROR(__xludf.DUMMYFUNCTION("""COMPUTED_VALUE"""),10.0)</f>
        <v>10</v>
      </c>
      <c r="P24" s="75">
        <f>IFERROR(__xludf.DUMMYFUNCTION("""COMPUTED_VALUE"""),5.0)</f>
        <v>5</v>
      </c>
      <c r="Q24" s="75">
        <f>IFERROR(__xludf.DUMMYFUNCTION("""COMPUTED_VALUE"""),9.0)</f>
        <v>9</v>
      </c>
      <c r="R24" s="75">
        <f>IFERROR(__xludf.DUMMYFUNCTION("""COMPUTED_VALUE"""),15.0)</f>
        <v>15</v>
      </c>
      <c r="S24" s="75">
        <f t="shared" si="2"/>
        <v>6</v>
      </c>
    </row>
    <row r="25">
      <c r="A25" s="124" t="str">
        <f>IFERROR(__xludf.DUMMYFUNCTION("""COMPUTED_VALUE"""),"Sandeep Dadheech")</f>
        <v>Sandeep Dadheech</v>
      </c>
      <c r="B25" s="75" t="str">
        <f>IFERROR(__xludf.DUMMYFUNCTION("""COMPUTED_VALUE"""),"Tamil Nadu")</f>
        <v>Tamil Nadu</v>
      </c>
      <c r="C25" s="75">
        <f>IFERROR(__xludf.DUMMYFUNCTION("""COMPUTED_VALUE"""),9.0)</f>
        <v>9</v>
      </c>
      <c r="D25" s="75">
        <f>IFERROR(__xludf.DUMMYFUNCTION("""COMPUTED_VALUE"""),6.0)</f>
        <v>6</v>
      </c>
      <c r="E25" s="75">
        <f>IFERROR(__xludf.DUMMYFUNCTION("""COMPUTED_VALUE"""),5.0)</f>
        <v>5</v>
      </c>
      <c r="F25" s="75">
        <f>IFERROR(__xludf.DUMMYFUNCTION("""COMPUTED_VALUE"""),15.0)</f>
        <v>15</v>
      </c>
      <c r="G25" s="75">
        <f>IFERROR(__xludf.DUMMYFUNCTION("""COMPUTED_VALUE"""),10.0)</f>
        <v>10</v>
      </c>
      <c r="H25" s="75">
        <f>IFERROR(__xludf.DUMMYFUNCTION("""COMPUTED_VALUE"""),13.0)</f>
        <v>13</v>
      </c>
      <c r="I25" s="75">
        <f>IFERROR(__xludf.DUMMYFUNCTION("""COMPUTED_VALUE"""),11.0)</f>
        <v>11</v>
      </c>
      <c r="J25" s="75">
        <f>IFERROR(__xludf.DUMMYFUNCTION("""COMPUTED_VALUE"""),23.0)</f>
        <v>23</v>
      </c>
      <c r="K25" s="75">
        <f>IFERROR(__xludf.DUMMYFUNCTION("""COMPUTED_VALUE"""),12.0)</f>
        <v>12</v>
      </c>
      <c r="L25" s="75">
        <f>IFERROR(__xludf.DUMMYFUNCTION("""COMPUTED_VALUE"""),8.0)</f>
        <v>8</v>
      </c>
      <c r="M25" s="75">
        <f>IFERROR(__xludf.DUMMYFUNCTION("""COMPUTED_VALUE"""),11.0)</f>
        <v>11</v>
      </c>
      <c r="N25" s="75">
        <f>IFERROR(__xludf.DUMMYFUNCTION("""COMPUTED_VALUE"""),20.0)</f>
        <v>20</v>
      </c>
      <c r="O25" s="75">
        <f>IFERROR(__xludf.DUMMYFUNCTION("""COMPUTED_VALUE"""),9.0)</f>
        <v>9</v>
      </c>
      <c r="P25" s="75">
        <f>IFERROR(__xludf.DUMMYFUNCTION("""COMPUTED_VALUE"""),5.0)</f>
        <v>5</v>
      </c>
      <c r="Q25" s="75">
        <f>IFERROR(__xludf.DUMMYFUNCTION("""COMPUTED_VALUE"""),10.0)</f>
        <v>10</v>
      </c>
      <c r="R25" s="75">
        <f>IFERROR(__xludf.DUMMYFUNCTION("""COMPUTED_VALUE"""),14.0)</f>
        <v>14</v>
      </c>
      <c r="S25" s="75">
        <f t="shared" si="2"/>
        <v>4</v>
      </c>
    </row>
    <row r="26">
      <c r="A26" s="124" t="str">
        <f>IFERROR(__xludf.DUMMYFUNCTION("""COMPUTED_VALUE"""),"Sandeep Dadheech")</f>
        <v>Sandeep Dadheech</v>
      </c>
      <c r="B26" s="75" t="str">
        <f>IFERROR(__xludf.DUMMYFUNCTION("""COMPUTED_VALUE"""),"Telangana")</f>
        <v>Telangana</v>
      </c>
      <c r="C26" s="75">
        <f>IFERROR(__xludf.DUMMYFUNCTION("""COMPUTED_VALUE"""),3.0)</f>
        <v>3</v>
      </c>
      <c r="D26" s="75">
        <f>IFERROR(__xludf.DUMMYFUNCTION("""COMPUTED_VALUE"""),0.0)</f>
        <v>0</v>
      </c>
      <c r="E26" s="75">
        <f>IFERROR(__xludf.DUMMYFUNCTION("""COMPUTED_VALUE"""),0.0)</f>
        <v>0</v>
      </c>
      <c r="F26" s="75">
        <f>IFERROR(__xludf.DUMMYFUNCTION("""COMPUTED_VALUE"""),3.0)</f>
        <v>3</v>
      </c>
      <c r="G26" s="75">
        <f>IFERROR(__xludf.DUMMYFUNCTION("""COMPUTED_VALUE"""),3.0)</f>
        <v>3</v>
      </c>
      <c r="H26" s="75">
        <f>IFERROR(__xludf.DUMMYFUNCTION("""COMPUTED_VALUE"""),1.0)</f>
        <v>1</v>
      </c>
      <c r="I26" s="75">
        <f>IFERROR(__xludf.DUMMYFUNCTION("""COMPUTED_VALUE"""),1.0)</f>
        <v>1</v>
      </c>
      <c r="J26" s="75">
        <f>IFERROR(__xludf.DUMMYFUNCTION("""COMPUTED_VALUE"""),4.0)</f>
        <v>4</v>
      </c>
      <c r="K26" s="75">
        <f>IFERROR(__xludf.DUMMYFUNCTION("""COMPUTED_VALUE"""),3.0)</f>
        <v>3</v>
      </c>
      <c r="L26" s="75">
        <f>IFERROR(__xludf.DUMMYFUNCTION("""COMPUTED_VALUE"""),2.0)</f>
        <v>2</v>
      </c>
      <c r="M26" s="75">
        <f>IFERROR(__xludf.DUMMYFUNCTION("""COMPUTED_VALUE"""),1.0)</f>
        <v>1</v>
      </c>
      <c r="N26" s="75">
        <f>IFERROR(__xludf.DUMMYFUNCTION("""COMPUTED_VALUE"""),5.0)</f>
        <v>5</v>
      </c>
      <c r="O26" s="75">
        <f>IFERROR(__xludf.DUMMYFUNCTION("""COMPUTED_VALUE"""),4.0)</f>
        <v>4</v>
      </c>
      <c r="P26" s="75">
        <f>IFERROR(__xludf.DUMMYFUNCTION("""COMPUTED_VALUE"""),0.0)</f>
        <v>0</v>
      </c>
      <c r="Q26" s="75">
        <f>IFERROR(__xludf.DUMMYFUNCTION("""COMPUTED_VALUE"""),1.0)</f>
        <v>1</v>
      </c>
      <c r="R26" s="75">
        <f>IFERROR(__xludf.DUMMYFUNCTION("""COMPUTED_VALUE"""),4.0)</f>
        <v>4</v>
      </c>
      <c r="S26" s="75">
        <f t="shared" si="2"/>
        <v>3</v>
      </c>
    </row>
    <row r="27">
      <c r="A27" s="124" t="str">
        <f>IFERROR(__xludf.DUMMYFUNCTION("""COMPUTED_VALUE"""),"Anant Singh")</f>
        <v>Anant Singh</v>
      </c>
      <c r="B27" s="75" t="str">
        <f>IFERROR(__xludf.DUMMYFUNCTION("""COMPUTED_VALUE"""),"Uttarakhand")</f>
        <v>Uttarakhand</v>
      </c>
      <c r="C27" s="75">
        <f>IFERROR(__xludf.DUMMYFUNCTION("""COMPUTED_VALUE"""),1.0)</f>
        <v>1</v>
      </c>
      <c r="D27" s="75">
        <f>IFERROR(__xludf.DUMMYFUNCTION("""COMPUTED_VALUE"""),1.0)</f>
        <v>1</v>
      </c>
      <c r="E27" s="75">
        <f>IFERROR(__xludf.DUMMYFUNCTION("""COMPUTED_VALUE"""),1.0)</f>
        <v>1</v>
      </c>
      <c r="F27" s="75">
        <f>IFERROR(__xludf.DUMMYFUNCTION("""COMPUTED_VALUE"""),2.0)</f>
        <v>2</v>
      </c>
      <c r="G27" s="75">
        <f>IFERROR(__xludf.DUMMYFUNCTION("""COMPUTED_VALUE"""),1.0)</f>
        <v>1</v>
      </c>
      <c r="H27" s="75">
        <f>IFERROR(__xludf.DUMMYFUNCTION("""COMPUTED_VALUE"""),2.0)</f>
        <v>2</v>
      </c>
      <c r="I27" s="75">
        <f>IFERROR(__xludf.DUMMYFUNCTION("""COMPUTED_VALUE"""),1.0)</f>
        <v>1</v>
      </c>
      <c r="J27" s="75">
        <f>IFERROR(__xludf.DUMMYFUNCTION("""COMPUTED_VALUE"""),3.0)</f>
        <v>3</v>
      </c>
      <c r="K27" s="75">
        <f>IFERROR(__xludf.DUMMYFUNCTION("""COMPUTED_VALUE"""),2.0)</f>
        <v>2</v>
      </c>
      <c r="L27" s="75">
        <f>IFERROR(__xludf.DUMMYFUNCTION("""COMPUTED_VALUE"""),3.0)</f>
        <v>3</v>
      </c>
      <c r="M27" s="75">
        <f>IFERROR(__xludf.DUMMYFUNCTION("""COMPUTED_VALUE"""),4.0)</f>
        <v>4</v>
      </c>
      <c r="N27" s="75">
        <f>IFERROR(__xludf.DUMMYFUNCTION("""COMPUTED_VALUE"""),5.0)</f>
        <v>5</v>
      </c>
      <c r="O27" s="75">
        <f>IFERROR(__xludf.DUMMYFUNCTION("""COMPUTED_VALUE"""),1.0)</f>
        <v>1</v>
      </c>
      <c r="P27" s="75">
        <f>IFERROR(__xludf.DUMMYFUNCTION("""COMPUTED_VALUE"""),2.0)</f>
        <v>2</v>
      </c>
      <c r="Q27" s="75">
        <f>IFERROR(__xludf.DUMMYFUNCTION("""COMPUTED_VALUE"""),1.0)</f>
        <v>1</v>
      </c>
      <c r="R27" s="75">
        <f>IFERROR(__xludf.DUMMYFUNCTION("""COMPUTED_VALUE"""),3.0)</f>
        <v>3</v>
      </c>
      <c r="S27" s="75">
        <f t="shared" si="2"/>
        <v>2</v>
      </c>
    </row>
    <row r="28">
      <c r="A28" s="124" t="str">
        <f>IFERROR(__xludf.DUMMYFUNCTION("""COMPUTED_VALUE"""),"Sandeep Dadheech")</f>
        <v>Sandeep Dadheech</v>
      </c>
      <c r="B28" s="75" t="str">
        <f>IFERROR(__xludf.DUMMYFUNCTION("""COMPUTED_VALUE"""),"West Bengal")</f>
        <v>West Bengal</v>
      </c>
      <c r="C28" s="75">
        <f>IFERROR(__xludf.DUMMYFUNCTION("""COMPUTED_VALUE"""),12.0)</f>
        <v>12</v>
      </c>
      <c r="D28" s="75">
        <f>IFERROR(__xludf.DUMMYFUNCTION("""COMPUTED_VALUE"""),2.0)</f>
        <v>2</v>
      </c>
      <c r="E28" s="75">
        <f>IFERROR(__xludf.DUMMYFUNCTION("""COMPUTED_VALUE"""),1.0)</f>
        <v>1</v>
      </c>
      <c r="F28" s="75">
        <f>IFERROR(__xludf.DUMMYFUNCTION("""COMPUTED_VALUE"""),14.0)</f>
        <v>14</v>
      </c>
      <c r="G28" s="75">
        <f>IFERROR(__xludf.DUMMYFUNCTION("""COMPUTED_VALUE"""),13.0)</f>
        <v>13</v>
      </c>
      <c r="H28" s="75">
        <f>IFERROR(__xludf.DUMMYFUNCTION("""COMPUTED_VALUE"""),23.0)</f>
        <v>23</v>
      </c>
      <c r="I28" s="75">
        <f>IFERROR(__xludf.DUMMYFUNCTION("""COMPUTED_VALUE"""),4.0)</f>
        <v>4</v>
      </c>
      <c r="J28" s="75">
        <f>IFERROR(__xludf.DUMMYFUNCTION("""COMPUTED_VALUE"""),36.0)</f>
        <v>36</v>
      </c>
      <c r="K28" s="75">
        <f>IFERROR(__xludf.DUMMYFUNCTION("""COMPUTED_VALUE"""),32.0)</f>
        <v>32</v>
      </c>
      <c r="L28" s="75">
        <f>IFERROR(__xludf.DUMMYFUNCTION("""COMPUTED_VALUE"""),4.0)</f>
        <v>4</v>
      </c>
      <c r="M28" s="75">
        <f>IFERROR(__xludf.DUMMYFUNCTION("""COMPUTED_VALUE"""),5.0)</f>
        <v>5</v>
      </c>
      <c r="N28" s="75">
        <f>IFERROR(__xludf.DUMMYFUNCTION("""COMPUTED_VALUE"""),36.0)</f>
        <v>36</v>
      </c>
      <c r="O28" s="75">
        <f>IFERROR(__xludf.DUMMYFUNCTION("""COMPUTED_VALUE"""),31.0)</f>
        <v>31</v>
      </c>
      <c r="P28" s="75">
        <f>IFERROR(__xludf.DUMMYFUNCTION("""COMPUTED_VALUE"""),10.0)</f>
        <v>10</v>
      </c>
      <c r="Q28" s="75">
        <f>IFERROR(__xludf.DUMMYFUNCTION("""COMPUTED_VALUE"""),9.0)</f>
        <v>9</v>
      </c>
      <c r="R28" s="75">
        <f>IFERROR(__xludf.DUMMYFUNCTION("""COMPUTED_VALUE"""),41.0)</f>
        <v>41</v>
      </c>
      <c r="S28" s="75">
        <f t="shared" si="2"/>
        <v>32</v>
      </c>
    </row>
    <row r="29">
      <c r="A29" s="124" t="str">
        <f>IFERROR(__xludf.DUMMYFUNCTION("""COMPUTED_VALUE"""),"Anant Singh")</f>
        <v>Anant Singh</v>
      </c>
      <c r="B29" s="75" t="str">
        <f>IFERROR(__xludf.DUMMYFUNCTION("""COMPUTED_VALUE"""),"West U.P")</f>
        <v>West U.P</v>
      </c>
      <c r="C29" s="75">
        <f>IFERROR(__xludf.DUMMYFUNCTION("""COMPUTED_VALUE"""),4.0)</f>
        <v>4</v>
      </c>
      <c r="D29" s="75">
        <f>IFERROR(__xludf.DUMMYFUNCTION("""COMPUTED_VALUE"""),3.0)</f>
        <v>3</v>
      </c>
      <c r="E29" s="75">
        <f>IFERROR(__xludf.DUMMYFUNCTION("""COMPUTED_VALUE"""),2.0)</f>
        <v>2</v>
      </c>
      <c r="F29" s="75">
        <f>IFERROR(__xludf.DUMMYFUNCTION("""COMPUTED_VALUE"""),7.0)</f>
        <v>7</v>
      </c>
      <c r="G29" s="75">
        <f>IFERROR(__xludf.DUMMYFUNCTION("""COMPUTED_VALUE"""),5.0)</f>
        <v>5</v>
      </c>
      <c r="H29" s="75">
        <f>IFERROR(__xludf.DUMMYFUNCTION("""COMPUTED_VALUE"""),2.0)</f>
        <v>2</v>
      </c>
      <c r="I29" s="75">
        <f>IFERROR(__xludf.DUMMYFUNCTION("""COMPUTED_VALUE"""),2.0)</f>
        <v>2</v>
      </c>
      <c r="J29" s="75">
        <f>IFERROR(__xludf.DUMMYFUNCTION("""COMPUTED_VALUE"""),7.0)</f>
        <v>7</v>
      </c>
      <c r="K29" s="75">
        <f>IFERROR(__xludf.DUMMYFUNCTION("""COMPUTED_VALUE"""),5.0)</f>
        <v>5</v>
      </c>
      <c r="L29" s="75">
        <f>IFERROR(__xludf.DUMMYFUNCTION("""COMPUTED_VALUE"""),7.0)</f>
        <v>7</v>
      </c>
      <c r="M29" s="75">
        <f>IFERROR(__xludf.DUMMYFUNCTION("""COMPUTED_VALUE"""),7.0)</f>
        <v>7</v>
      </c>
      <c r="N29" s="75">
        <f>IFERROR(__xludf.DUMMYFUNCTION("""COMPUTED_VALUE"""),12.0)</f>
        <v>12</v>
      </c>
      <c r="O29" s="75">
        <f>IFERROR(__xludf.DUMMYFUNCTION("""COMPUTED_VALUE"""),5.0)</f>
        <v>5</v>
      </c>
      <c r="P29" s="75">
        <f>IFERROR(__xludf.DUMMYFUNCTION("""COMPUTED_VALUE"""),4.0)</f>
        <v>4</v>
      </c>
      <c r="Q29" s="75">
        <f>IFERROR(__xludf.DUMMYFUNCTION("""COMPUTED_VALUE"""),4.0)</f>
        <v>4</v>
      </c>
      <c r="R29" s="75">
        <f>IFERROR(__xludf.DUMMYFUNCTION("""COMPUTED_VALUE"""),9.0)</f>
        <v>9</v>
      </c>
      <c r="S29" s="75">
        <f t="shared" si="2"/>
        <v>5</v>
      </c>
    </row>
    <row r="30">
      <c r="A30" s="124" t="str">
        <f>IFERROR(__xludf.DUMMYFUNCTION("""COMPUTED_VALUE"""),"#N/A")</f>
        <v>#N/A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</row>
    <row r="31">
      <c r="A31" s="124" t="str">
        <f>IFERROR(__xludf.DUMMYFUNCTION("""COMPUTED_VALUE"""),"#N/A")</f>
        <v>#N/A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</row>
    <row r="32">
      <c r="A32" s="124" t="str">
        <f>IFERROR(__xludf.DUMMYFUNCTION("""COMPUTED_VALUE"""),"#N/A")</f>
        <v>#N/A</v>
      </c>
      <c r="B32" s="124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</row>
    <row r="33">
      <c r="A33" s="124" t="str">
        <f>IFERROR(__xludf.DUMMYFUNCTION("""COMPUTED_VALUE"""),"#N/A")</f>
        <v>#N/A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</row>
    <row r="34">
      <c r="A34" s="124" t="str">
        <f>IFERROR(__xludf.DUMMYFUNCTION("""COMPUTED_VALUE"""),"#N/A")</f>
        <v>#N/A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</row>
    <row r="35">
      <c r="A35" s="124" t="str">
        <f>IFERROR(__xludf.DUMMYFUNCTION("""COMPUTED_VALUE"""),"#N/A")</f>
        <v>#N/A</v>
      </c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</row>
    <row r="36">
      <c r="A36" s="124" t="str">
        <f>IFERROR(__xludf.DUMMYFUNCTION("""COMPUTED_VALUE"""),"#N/A")</f>
        <v>#N/A</v>
      </c>
      <c r="B36" s="124"/>
      <c r="C36" s="124"/>
      <c r="D36" s="124"/>
      <c r="E36" s="124"/>
      <c r="F36" s="124"/>
      <c r="G36" s="124"/>
      <c r="H36" s="124"/>
      <c r="I36" s="124"/>
      <c r="J36" s="124"/>
      <c r="K36" s="124"/>
      <c r="L36" s="124"/>
      <c r="M36" s="124"/>
      <c r="N36" s="124"/>
      <c r="O36" s="124"/>
      <c r="P36" s="124"/>
      <c r="Q36" s="124"/>
      <c r="R36" s="124"/>
    </row>
    <row r="37">
      <c r="A37" s="124" t="str">
        <f>IFERROR(__xludf.DUMMYFUNCTION("""COMPUTED_VALUE"""),"#N/A")</f>
        <v>#N/A</v>
      </c>
      <c r="B37" s="124"/>
      <c r="C37" s="124"/>
      <c r="D37" s="124"/>
      <c r="E37" s="124"/>
      <c r="F37" s="124"/>
      <c r="G37" s="12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</row>
    <row r="38">
      <c r="A38" s="124" t="str">
        <f>IFERROR(__xludf.DUMMYFUNCTION("""COMPUTED_VALUE"""),"#N/A")</f>
        <v>#N/A</v>
      </c>
      <c r="B38" s="124"/>
      <c r="C38" s="124"/>
      <c r="D38" s="124"/>
      <c r="E38" s="124"/>
      <c r="F38" s="124"/>
      <c r="G38" s="12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</row>
    <row r="39">
      <c r="A39" s="124" t="str">
        <f>IFERROR(__xludf.DUMMYFUNCTION("""COMPUTED_VALUE"""),"#N/A")</f>
        <v>#N/A</v>
      </c>
      <c r="B39" s="124"/>
      <c r="C39" s="124"/>
      <c r="D39" s="124"/>
      <c r="E39" s="124"/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</row>
    <row r="40">
      <c r="A40" s="124" t="str">
        <f>IFERROR(__xludf.DUMMYFUNCTION("""COMPUTED_VALUE"""),"#N/A")</f>
        <v>#N/A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41">
      <c r="A41" s="124" t="str">
        <f>IFERROR(__xludf.DUMMYFUNCTION("""COMPUTED_VALUE"""),"#N/A")</f>
        <v>#N/A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124"/>
    </row>
    <row r="42">
      <c r="A42" s="124" t="str">
        <f>IFERROR(__xludf.DUMMYFUNCTION("""COMPUTED_VALUE"""),"#N/A")</f>
        <v>#N/A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</row>
    <row r="43">
      <c r="A43" s="124" t="str">
        <f>IFERROR(__xludf.DUMMYFUNCTION("""COMPUTED_VALUE"""),"#N/A")</f>
        <v>#N/A</v>
      </c>
      <c r="B43" s="124"/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</row>
    <row r="44">
      <c r="A44" s="124" t="str">
        <f>IFERROR(__xludf.DUMMYFUNCTION("""COMPUTED_VALUE"""),"#N/A")</f>
        <v>#N/A</v>
      </c>
      <c r="B44" s="124"/>
      <c r="C44" s="124"/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</row>
    <row r="45">
      <c r="A45" s="124" t="str">
        <f>IFERROR(__xludf.DUMMYFUNCTION("""COMPUTED_VALUE"""),"#N/A")</f>
        <v>#N/A</v>
      </c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</row>
    <row r="46">
      <c r="A46" s="124" t="str">
        <f>IFERROR(__xludf.DUMMYFUNCTION("""COMPUTED_VALUE"""),"#N/A")</f>
        <v>#N/A</v>
      </c>
      <c r="B46" s="124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</row>
    <row r="47">
      <c r="A47" s="124" t="str">
        <f>IFERROR(__xludf.DUMMYFUNCTION("""COMPUTED_VALUE"""),"#N/A")</f>
        <v>#N/A</v>
      </c>
      <c r="B47" s="124"/>
      <c r="C47" s="124"/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124"/>
    </row>
    <row r="48">
      <c r="A48" s="124" t="str">
        <f>IFERROR(__xludf.DUMMYFUNCTION("""COMPUTED_VALUE"""),"#N/A")</f>
        <v>#N/A</v>
      </c>
      <c r="B48" s="124"/>
      <c r="C48" s="124"/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124"/>
    </row>
    <row r="49">
      <c r="A49" s="124" t="str">
        <f>IFERROR(__xludf.DUMMYFUNCTION("""COMPUTED_VALUE"""),"#N/A")</f>
        <v>#N/A</v>
      </c>
      <c r="B49" s="124"/>
      <c r="C49" s="124"/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</row>
    <row r="50">
      <c r="A50" s="124" t="str">
        <f>IFERROR(__xludf.DUMMYFUNCTION("""COMPUTED_VALUE"""),"#N/A")</f>
        <v>#N/A</v>
      </c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</row>
    <row r="51">
      <c r="A51" s="124" t="str">
        <f>IFERROR(__xludf.DUMMYFUNCTION("""COMPUTED_VALUE"""),"#N/A")</f>
        <v>#N/A</v>
      </c>
      <c r="B51" s="124"/>
      <c r="C51" s="124"/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</row>
    <row r="52">
      <c r="A52" s="124" t="str">
        <f>IFERROR(__xludf.DUMMYFUNCTION("""COMPUTED_VALUE"""),"#N/A")</f>
        <v>#N/A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</row>
    <row r="53">
      <c r="A53" s="124" t="str">
        <f>IFERROR(__xludf.DUMMYFUNCTION("""COMPUTED_VALUE"""),"#N/A")</f>
        <v>#N/A</v>
      </c>
      <c r="B53" s="124"/>
      <c r="C53" s="124"/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</row>
    <row r="54">
      <c r="A54" s="124" t="str">
        <f>IFERROR(__xludf.DUMMYFUNCTION("""COMPUTED_VALUE"""),"#N/A")</f>
        <v>#N/A</v>
      </c>
      <c r="B54" s="124"/>
      <c r="C54" s="124"/>
      <c r="D54" s="124"/>
      <c r="E54" s="124"/>
      <c r="F54" s="124"/>
      <c r="G54" s="124"/>
      <c r="H54" s="124"/>
      <c r="I54" s="124"/>
      <c r="J54" s="124"/>
      <c r="K54" s="124"/>
      <c r="L54" s="124"/>
      <c r="M54" s="124"/>
      <c r="N54" s="124"/>
      <c r="O54" s="124"/>
      <c r="P54" s="124"/>
      <c r="Q54" s="124"/>
      <c r="R54" s="124"/>
    </row>
    <row r="55">
      <c r="A55" s="124" t="str">
        <f>IFERROR(__xludf.DUMMYFUNCTION("""COMPUTED_VALUE"""),"#N/A")</f>
        <v>#N/A</v>
      </c>
      <c r="B55" s="124"/>
      <c r="C55" s="124"/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124"/>
      <c r="Q55" s="124"/>
      <c r="R55" s="124"/>
    </row>
    <row r="56">
      <c r="A56" s="124" t="str">
        <f>IFERROR(__xludf.DUMMYFUNCTION("""COMPUTED_VALUE"""),"#N/A")</f>
        <v>#N/A</v>
      </c>
      <c r="B56" s="124"/>
      <c r="C56" s="124"/>
      <c r="D56" s="124"/>
      <c r="E56" s="124"/>
      <c r="F56" s="124"/>
      <c r="G56" s="124"/>
      <c r="H56" s="124"/>
      <c r="I56" s="124"/>
      <c r="J56" s="124"/>
      <c r="K56" s="124"/>
      <c r="L56" s="124"/>
      <c r="M56" s="124"/>
      <c r="N56" s="124"/>
      <c r="O56" s="124"/>
      <c r="P56" s="124"/>
      <c r="Q56" s="124"/>
      <c r="R56" s="124"/>
    </row>
    <row r="57">
      <c r="A57" s="124" t="str">
        <f>IFERROR(__xludf.DUMMYFUNCTION("""COMPUTED_VALUE"""),"#N/A")</f>
        <v>#N/A</v>
      </c>
      <c r="B57" s="124"/>
      <c r="C57" s="124"/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</row>
    <row r="58">
      <c r="A58" s="124" t="str">
        <f>IFERROR(__xludf.DUMMYFUNCTION("""COMPUTED_VALUE"""),"#N/A")</f>
        <v>#N/A</v>
      </c>
      <c r="B58" s="124"/>
      <c r="C58" s="124"/>
      <c r="D58" s="124"/>
      <c r="E58" s="124"/>
      <c r="F58" s="124"/>
      <c r="G58" s="124"/>
      <c r="H58" s="124"/>
      <c r="I58" s="124"/>
      <c r="J58" s="124"/>
      <c r="K58" s="124"/>
      <c r="L58" s="124"/>
      <c r="M58" s="124"/>
      <c r="N58" s="124"/>
      <c r="O58" s="124"/>
      <c r="P58" s="124"/>
      <c r="Q58" s="124"/>
      <c r="R58" s="124"/>
    </row>
    <row r="59">
      <c r="A59" s="124" t="str">
        <f>IFERROR(__xludf.DUMMYFUNCTION("""COMPUTED_VALUE"""),"#N/A")</f>
        <v>#N/A</v>
      </c>
      <c r="B59" s="124"/>
      <c r="C59" s="124"/>
      <c r="D59" s="124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</row>
    <row r="60">
      <c r="A60" s="124" t="str">
        <f>IFERROR(__xludf.DUMMYFUNCTION("""COMPUTED_VALUE"""),"#N/A")</f>
        <v>#N/A</v>
      </c>
      <c r="B60" s="124"/>
      <c r="C60" s="124"/>
      <c r="D60" s="124"/>
      <c r="E60" s="124"/>
      <c r="F60" s="124"/>
      <c r="G60" s="124"/>
      <c r="H60" s="124"/>
      <c r="I60" s="124"/>
      <c r="J60" s="124"/>
      <c r="K60" s="124"/>
      <c r="L60" s="124"/>
      <c r="M60" s="124"/>
      <c r="N60" s="124"/>
      <c r="O60" s="124"/>
      <c r="P60" s="124"/>
      <c r="Q60" s="124"/>
      <c r="R60" s="124"/>
    </row>
    <row r="61">
      <c r="A61" s="124" t="str">
        <f>IFERROR(__xludf.DUMMYFUNCTION("""COMPUTED_VALUE"""),"#N/A")</f>
        <v>#N/A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</row>
    <row r="62">
      <c r="A62" s="124" t="str">
        <f>IFERROR(__xludf.DUMMYFUNCTION("""COMPUTED_VALUE"""),"#N/A")</f>
        <v>#N/A</v>
      </c>
      <c r="B62" s="124"/>
      <c r="C62" s="124"/>
      <c r="D62" s="124"/>
      <c r="E62" s="124"/>
      <c r="F62" s="124"/>
      <c r="G62" s="124"/>
      <c r="H62" s="124"/>
      <c r="I62" s="124"/>
      <c r="J62" s="124"/>
      <c r="K62" s="124"/>
      <c r="L62" s="124"/>
      <c r="M62" s="124"/>
      <c r="N62" s="124"/>
      <c r="O62" s="124"/>
      <c r="P62" s="124"/>
      <c r="Q62" s="124"/>
      <c r="R62" s="124"/>
    </row>
    <row r="63">
      <c r="A63" s="124" t="str">
        <f>IFERROR(__xludf.DUMMYFUNCTION("""COMPUTED_VALUE"""),"#N/A")</f>
        <v>#N/A</v>
      </c>
      <c r="B63" s="124"/>
      <c r="C63" s="124"/>
      <c r="D63" s="124"/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124"/>
      <c r="R63" s="124"/>
    </row>
    <row r="64">
      <c r="A64" s="124" t="str">
        <f>IFERROR(__xludf.DUMMYFUNCTION("""COMPUTED_VALUE"""),"#N/A")</f>
        <v>#N/A</v>
      </c>
      <c r="B64" s="124"/>
      <c r="C64" s="124"/>
      <c r="D64" s="124"/>
      <c r="E64" s="124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</row>
    <row r="65">
      <c r="A65" s="124" t="str">
        <f>IFERROR(__xludf.DUMMYFUNCTION("""COMPUTED_VALUE"""),"#N/A")</f>
        <v>#N/A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</row>
    <row r="66">
      <c r="A66" s="124" t="str">
        <f>IFERROR(__xludf.DUMMYFUNCTION("""COMPUTED_VALUE"""),"#N/A")</f>
        <v>#N/A</v>
      </c>
      <c r="B66" s="124"/>
      <c r="C66" s="124"/>
      <c r="D66" s="124"/>
      <c r="E66" s="124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</row>
    <row r="67">
      <c r="A67" s="124" t="str">
        <f>IFERROR(__xludf.DUMMYFUNCTION("""COMPUTED_VALUE"""),"#N/A")</f>
        <v>#N/A</v>
      </c>
      <c r="B67" s="124"/>
      <c r="C67" s="124"/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</row>
    <row r="68">
      <c r="A68" s="124" t="str">
        <f>IFERROR(__xludf.DUMMYFUNCTION("""COMPUTED_VALUE"""),"#N/A")</f>
        <v>#N/A</v>
      </c>
      <c r="B68" s="124"/>
      <c r="C68" s="124"/>
      <c r="D68" s="124"/>
      <c r="E68" s="124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</row>
    <row r="69">
      <c r="A69" s="124" t="str">
        <f>IFERROR(__xludf.DUMMYFUNCTION("""COMPUTED_VALUE"""),"#N/A")</f>
        <v>#N/A</v>
      </c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</row>
    <row r="70">
      <c r="A70" s="124" t="str">
        <f>IFERROR(__xludf.DUMMYFUNCTION("""COMPUTED_VALUE"""),"#N/A")</f>
        <v>#N/A</v>
      </c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</row>
    <row r="71">
      <c r="A71" s="124" t="str">
        <f>IFERROR(__xludf.DUMMYFUNCTION("""COMPUTED_VALUE"""),"#N/A")</f>
        <v>#N/A</v>
      </c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</row>
    <row r="72">
      <c r="A72" s="124" t="str">
        <f>IFERROR(__xludf.DUMMYFUNCTION("""COMPUTED_VALUE"""),"#N/A")</f>
        <v>#N/A</v>
      </c>
      <c r="B72" s="124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</row>
    <row r="73">
      <c r="A73" s="124" t="str">
        <f>IFERROR(__xludf.DUMMYFUNCTION("""COMPUTED_VALUE"""),"#N/A")</f>
        <v>#N/A</v>
      </c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</row>
    <row r="74">
      <c r="A74" s="124" t="str">
        <f>IFERROR(__xludf.DUMMYFUNCTION("""COMPUTED_VALUE"""),"#N/A")</f>
        <v>#N/A</v>
      </c>
      <c r="B74" s="124"/>
      <c r="C74" s="124"/>
      <c r="D74" s="124"/>
      <c r="E74" s="124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</row>
    <row r="75">
      <c r="A75" s="124" t="str">
        <f>IFERROR(__xludf.DUMMYFUNCTION("""COMPUTED_VALUE"""),"#N/A")</f>
        <v>#N/A</v>
      </c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</row>
    <row r="76">
      <c r="A76" s="124" t="str">
        <f>IFERROR(__xludf.DUMMYFUNCTION("""COMPUTED_VALUE"""),"#N/A")</f>
        <v>#N/A</v>
      </c>
      <c r="B76" s="124"/>
      <c r="C76" s="124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</row>
    <row r="77">
      <c r="A77" s="124" t="str">
        <f>IFERROR(__xludf.DUMMYFUNCTION("""COMPUTED_VALUE"""),"#N/A")</f>
        <v>#N/A</v>
      </c>
      <c r="B77" s="124"/>
      <c r="C77" s="124"/>
      <c r="D77" s="124"/>
      <c r="E77" s="124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</row>
    <row r="78">
      <c r="A78" s="124" t="str">
        <f>IFERROR(__xludf.DUMMYFUNCTION("""COMPUTED_VALUE"""),"#N/A")</f>
        <v>#N/A</v>
      </c>
      <c r="B78" s="124"/>
      <c r="C78" s="124"/>
      <c r="D78" s="124"/>
      <c r="E78" s="124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</row>
    <row r="79">
      <c r="A79" s="124" t="str">
        <f>IFERROR(__xludf.DUMMYFUNCTION("""COMPUTED_VALUE"""),"#N/A")</f>
        <v>#N/A</v>
      </c>
      <c r="B79" s="124"/>
      <c r="C79" s="124"/>
      <c r="D79" s="124"/>
      <c r="E79" s="124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</row>
    <row r="80">
      <c r="A80" s="124" t="str">
        <f>IFERROR(__xludf.DUMMYFUNCTION("""COMPUTED_VALUE"""),"#N/A")</f>
        <v>#N/A</v>
      </c>
      <c r="B80" s="124"/>
      <c r="C80" s="124"/>
      <c r="D80" s="124"/>
      <c r="E80" s="124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</row>
    <row r="81">
      <c r="A81" s="124" t="str">
        <f>IFERROR(__xludf.DUMMYFUNCTION("""COMPUTED_VALUE"""),"#N/A")</f>
        <v>#N/A</v>
      </c>
      <c r="B81" s="124"/>
      <c r="C81" s="124"/>
      <c r="D81" s="124"/>
      <c r="E81" s="124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</row>
    <row r="82">
      <c r="A82" s="124" t="str">
        <f>IFERROR(__xludf.DUMMYFUNCTION("""COMPUTED_VALUE"""),"#N/A")</f>
        <v>#N/A</v>
      </c>
      <c r="B82" s="124"/>
      <c r="C82" s="124"/>
      <c r="D82" s="124"/>
      <c r="E82" s="124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</row>
    <row r="83">
      <c r="A83" s="124" t="str">
        <f>IFERROR(__xludf.DUMMYFUNCTION("""COMPUTED_VALUE"""),"#N/A")</f>
        <v>#N/A</v>
      </c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</row>
    <row r="84">
      <c r="A84" s="124" t="str">
        <f>IFERROR(__xludf.DUMMYFUNCTION("""COMPUTED_VALUE"""),"#N/A")</f>
        <v>#N/A</v>
      </c>
      <c r="B84" s="124"/>
      <c r="C84" s="124"/>
      <c r="D84" s="124"/>
      <c r="E84" s="124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</row>
    <row r="85">
      <c r="A85" s="124" t="str">
        <f>IFERROR(__xludf.DUMMYFUNCTION("""COMPUTED_VALUE"""),"#N/A")</f>
        <v>#N/A</v>
      </c>
      <c r="B85" s="124"/>
      <c r="C85" s="124"/>
      <c r="D85" s="124"/>
      <c r="E85" s="124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</row>
    <row r="86">
      <c r="A86" s="124" t="str">
        <f>IFERROR(__xludf.DUMMYFUNCTION("""COMPUTED_VALUE"""),"#N/A")</f>
        <v>#N/A</v>
      </c>
      <c r="B86" s="124"/>
      <c r="C86" s="124"/>
      <c r="D86" s="124"/>
      <c r="E86" s="124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</row>
    <row r="87">
      <c r="A87" s="124" t="str">
        <f>IFERROR(__xludf.DUMMYFUNCTION("""COMPUTED_VALUE"""),"#N/A")</f>
        <v>#N/A</v>
      </c>
      <c r="B87" s="124"/>
      <c r="C87" s="124"/>
      <c r="D87" s="124"/>
      <c r="E87" s="124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</row>
    <row r="88">
      <c r="A88" s="124" t="str">
        <f>IFERROR(__xludf.DUMMYFUNCTION("""COMPUTED_VALUE"""),"#N/A")</f>
        <v>#N/A</v>
      </c>
      <c r="B88" s="124"/>
      <c r="C88" s="124"/>
      <c r="D88" s="124"/>
      <c r="E88" s="124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</row>
    <row r="89">
      <c r="A89" s="124" t="str">
        <f>IFERROR(__xludf.DUMMYFUNCTION("""COMPUTED_VALUE"""),"#N/A")</f>
        <v>#N/A</v>
      </c>
      <c r="B89" s="124"/>
      <c r="C89" s="124"/>
      <c r="D89" s="124"/>
      <c r="E89" s="124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</row>
    <row r="90">
      <c r="A90" s="124" t="str">
        <f>IFERROR(__xludf.DUMMYFUNCTION("""COMPUTED_VALUE"""),"#N/A")</f>
        <v>#N/A</v>
      </c>
      <c r="B90" s="124"/>
      <c r="C90" s="124"/>
      <c r="D90" s="124"/>
      <c r="E90" s="124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</row>
    <row r="91">
      <c r="A91" s="124" t="str">
        <f>IFERROR(__xludf.DUMMYFUNCTION("""COMPUTED_VALUE"""),"#N/A")</f>
        <v>#N/A</v>
      </c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</row>
    <row r="92">
      <c r="A92" s="124" t="str">
        <f>IFERROR(__xludf.DUMMYFUNCTION("""COMPUTED_VALUE"""),"#N/A")</f>
        <v>#N/A</v>
      </c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</row>
    <row r="93">
      <c r="A93" s="124" t="str">
        <f>IFERROR(__xludf.DUMMYFUNCTION("""COMPUTED_VALUE"""),"#N/A")</f>
        <v>#N/A</v>
      </c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</row>
    <row r="94">
      <c r="A94" s="124" t="str">
        <f>IFERROR(__xludf.DUMMYFUNCTION("""COMPUTED_VALUE"""),"#N/A")</f>
        <v>#N/A</v>
      </c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</row>
    <row r="95">
      <c r="A95" s="124" t="str">
        <f>IFERROR(__xludf.DUMMYFUNCTION("""COMPUTED_VALUE"""),"#N/A")</f>
        <v>#N/A</v>
      </c>
      <c r="B95" s="124"/>
      <c r="C95" s="124"/>
      <c r="D95" s="124"/>
      <c r="E95" s="124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</row>
    <row r="96">
      <c r="A96" s="124" t="str">
        <f>IFERROR(__xludf.DUMMYFUNCTION("""COMPUTED_VALUE"""),"#N/A")</f>
        <v>#N/A</v>
      </c>
      <c r="B96" s="124"/>
      <c r="C96" s="124"/>
      <c r="D96" s="124"/>
      <c r="E96" s="12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</row>
    <row r="97">
      <c r="A97" s="124" t="str">
        <f>IFERROR(__xludf.DUMMYFUNCTION("""COMPUTED_VALUE"""),"#N/A")</f>
        <v>#N/A</v>
      </c>
      <c r="B97" s="124"/>
      <c r="C97" s="124"/>
      <c r="D97" s="124"/>
      <c r="E97" s="124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</row>
    <row r="98">
      <c r="A98" s="124" t="str">
        <f>IFERROR(__xludf.DUMMYFUNCTION("""COMPUTED_VALUE"""),"#N/A")</f>
        <v>#N/A</v>
      </c>
      <c r="B98" s="124"/>
      <c r="C98" s="124"/>
      <c r="D98" s="124"/>
      <c r="E98" s="124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</row>
    <row r="99">
      <c r="A99" s="124" t="str">
        <f>IFERROR(__xludf.DUMMYFUNCTION("""COMPUTED_VALUE"""),"#N/A")</f>
        <v>#N/A</v>
      </c>
      <c r="B99" s="124"/>
      <c r="C99" s="124"/>
      <c r="D99" s="124"/>
      <c r="E99" s="124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</row>
    <row r="100">
      <c r="A100" s="124" t="str">
        <f>IFERROR(__xludf.DUMMYFUNCTION("""COMPUTED_VALUE"""),"#N/A")</f>
        <v>#N/A</v>
      </c>
      <c r="B100" s="124"/>
      <c r="C100" s="124"/>
      <c r="D100" s="124"/>
      <c r="E100" s="124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</row>
    <row r="101">
      <c r="A101" s="124" t="str">
        <f>IFERROR(__xludf.DUMMYFUNCTION("""COMPUTED_VALUE"""),"#N/A")</f>
        <v>#N/A</v>
      </c>
      <c r="B101" s="124"/>
      <c r="C101" s="124"/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</row>
    <row r="102">
      <c r="A102" s="124" t="str">
        <f>IFERROR(__xludf.DUMMYFUNCTION("""COMPUTED_VALUE"""),"#N/A")</f>
        <v>#N/A</v>
      </c>
      <c r="B102" s="124"/>
      <c r="C102" s="124"/>
      <c r="D102" s="124"/>
      <c r="E102" s="124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</row>
    <row r="103">
      <c r="A103" s="124" t="str">
        <f>IFERROR(__xludf.DUMMYFUNCTION("""COMPUTED_VALUE"""),"#N/A")</f>
        <v>#N/A</v>
      </c>
      <c r="B103" s="124"/>
      <c r="C103" s="124"/>
      <c r="D103" s="124"/>
      <c r="E103" s="12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</row>
    <row r="104">
      <c r="A104" s="124" t="str">
        <f>IFERROR(__xludf.DUMMYFUNCTION("""COMPUTED_VALUE"""),"#N/A")</f>
        <v>#N/A</v>
      </c>
      <c r="B104" s="124"/>
      <c r="C104" s="124"/>
      <c r="D104" s="124"/>
      <c r="E104" s="124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</row>
    <row r="105">
      <c r="A105" s="124" t="str">
        <f>IFERROR(__xludf.DUMMYFUNCTION("""COMPUTED_VALUE"""),"#N/A")</f>
        <v>#N/A</v>
      </c>
      <c r="B105" s="124"/>
      <c r="C105" s="124"/>
      <c r="D105" s="124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</row>
    <row r="106">
      <c r="A106" s="124" t="str">
        <f>IFERROR(__xludf.DUMMYFUNCTION("""COMPUTED_VALUE"""),"#N/A")</f>
        <v>#N/A</v>
      </c>
      <c r="B106" s="124"/>
      <c r="C106" s="124"/>
      <c r="D106" s="124"/>
      <c r="E106" s="124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</row>
    <row r="107">
      <c r="A107" s="124" t="str">
        <f>IFERROR(__xludf.DUMMYFUNCTION("""COMPUTED_VALUE"""),"#N/A")</f>
        <v>#N/A</v>
      </c>
      <c r="B107" s="124"/>
      <c r="C107" s="124"/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</row>
    <row r="108">
      <c r="A108" s="124" t="str">
        <f>IFERROR(__xludf.DUMMYFUNCTION("""COMPUTED_VALUE"""),"#N/A")</f>
        <v>#N/A</v>
      </c>
      <c r="B108" s="124"/>
      <c r="C108" s="124"/>
      <c r="D108" s="124"/>
      <c r="E108" s="124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</row>
    <row r="109">
      <c r="A109" s="124" t="str">
        <f>IFERROR(__xludf.DUMMYFUNCTION("""COMPUTED_VALUE"""),"#N/A")</f>
        <v>#N/A</v>
      </c>
      <c r="B109" s="124"/>
      <c r="C109" s="124"/>
      <c r="D109" s="124"/>
      <c r="E109" s="124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</row>
    <row r="110">
      <c r="A110" s="124" t="str">
        <f>IFERROR(__xludf.DUMMYFUNCTION("""COMPUTED_VALUE"""),"#N/A")</f>
        <v>#N/A</v>
      </c>
      <c r="B110" s="124"/>
      <c r="C110" s="124"/>
      <c r="D110" s="124"/>
      <c r="E110" s="12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</row>
    <row r="111">
      <c r="A111" s="124" t="str">
        <f>IFERROR(__xludf.DUMMYFUNCTION("""COMPUTED_VALUE"""),"#N/A")</f>
        <v>#N/A</v>
      </c>
      <c r="B111" s="124"/>
      <c r="C111" s="124"/>
      <c r="D111" s="124"/>
      <c r="E111" s="124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</row>
    <row r="112">
      <c r="A112" s="124" t="str">
        <f>IFERROR(__xludf.DUMMYFUNCTION("""COMPUTED_VALUE"""),"#N/A")</f>
        <v>#N/A</v>
      </c>
      <c r="B112" s="124"/>
      <c r="C112" s="124"/>
      <c r="D112" s="124"/>
      <c r="E112" s="124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</row>
    <row r="113">
      <c r="A113" s="124" t="str">
        <f>IFERROR(__xludf.DUMMYFUNCTION("""COMPUTED_VALUE"""),"#N/A")</f>
        <v>#N/A</v>
      </c>
      <c r="B113" s="124"/>
      <c r="C113" s="124"/>
      <c r="D113" s="124"/>
      <c r="E113" s="124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</row>
    <row r="114">
      <c r="A114" s="124" t="str">
        <f>IFERROR(__xludf.DUMMYFUNCTION("""COMPUTED_VALUE"""),"#N/A")</f>
        <v>#N/A</v>
      </c>
      <c r="B114" s="124"/>
      <c r="C114" s="124"/>
      <c r="D114" s="124"/>
      <c r="E114" s="124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</row>
    <row r="115">
      <c r="A115" s="124" t="str">
        <f>IFERROR(__xludf.DUMMYFUNCTION("""COMPUTED_VALUE"""),"#N/A")</f>
        <v>#N/A</v>
      </c>
      <c r="B115" s="124"/>
      <c r="C115" s="124"/>
      <c r="D115" s="124"/>
      <c r="E115" s="124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</row>
    <row r="116">
      <c r="A116" s="124" t="str">
        <f>IFERROR(__xludf.DUMMYFUNCTION("""COMPUTED_VALUE"""),"#N/A")</f>
        <v>#N/A</v>
      </c>
      <c r="B116" s="124"/>
      <c r="C116" s="124"/>
      <c r="D116" s="124"/>
      <c r="E116" s="124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</row>
    <row r="117">
      <c r="A117" s="124" t="str">
        <f>IFERROR(__xludf.DUMMYFUNCTION("""COMPUTED_VALUE"""),"#N/A")</f>
        <v>#N/A</v>
      </c>
      <c r="B117" s="124"/>
      <c r="C117" s="124"/>
      <c r="D117" s="124"/>
      <c r="E117" s="12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</row>
    <row r="118">
      <c r="A118" s="124" t="str">
        <f>IFERROR(__xludf.DUMMYFUNCTION("""COMPUTED_VALUE"""),"#N/A")</f>
        <v>#N/A</v>
      </c>
      <c r="B118" s="124"/>
      <c r="C118" s="124"/>
      <c r="D118" s="124"/>
      <c r="E118" s="124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</row>
    <row r="119">
      <c r="A119" s="124" t="str">
        <f>IFERROR(__xludf.DUMMYFUNCTION("""COMPUTED_VALUE"""),"#N/A")</f>
        <v>#N/A</v>
      </c>
      <c r="B119" s="124"/>
      <c r="C119" s="124"/>
      <c r="D119" s="124"/>
      <c r="E119" s="124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</row>
    <row r="120">
      <c r="A120" s="124" t="str">
        <f>IFERROR(__xludf.DUMMYFUNCTION("""COMPUTED_VALUE"""),"#N/A")</f>
        <v>#N/A</v>
      </c>
      <c r="B120" s="124"/>
      <c r="C120" s="124"/>
      <c r="D120" s="124"/>
      <c r="E120" s="124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</row>
    <row r="121">
      <c r="A121" s="124" t="str">
        <f>IFERROR(__xludf.DUMMYFUNCTION("""COMPUTED_VALUE"""),"#N/A")</f>
        <v>#N/A</v>
      </c>
      <c r="B121" s="124"/>
      <c r="C121" s="124"/>
      <c r="D121" s="124"/>
      <c r="E121" s="124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</row>
    <row r="122">
      <c r="A122" s="124" t="str">
        <f>IFERROR(__xludf.DUMMYFUNCTION("""COMPUTED_VALUE"""),"#N/A")</f>
        <v>#N/A</v>
      </c>
      <c r="B122" s="124"/>
      <c r="C122" s="124"/>
      <c r="D122" s="124"/>
      <c r="E122" s="124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</row>
    <row r="123">
      <c r="A123" s="124" t="str">
        <f>IFERROR(__xludf.DUMMYFUNCTION("""COMPUTED_VALUE"""),"#N/A")</f>
        <v>#N/A</v>
      </c>
      <c r="B123" s="124"/>
      <c r="C123" s="124"/>
      <c r="D123" s="124"/>
      <c r="E123" s="124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</row>
    <row r="124">
      <c r="A124" s="124" t="str">
        <f>IFERROR(__xludf.DUMMYFUNCTION("""COMPUTED_VALUE"""),"#N/A")</f>
        <v>#N/A</v>
      </c>
      <c r="B124" s="124"/>
      <c r="C124" s="124"/>
      <c r="D124" s="124"/>
      <c r="E124" s="12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</row>
    <row r="125">
      <c r="A125" s="124" t="str">
        <f>IFERROR(__xludf.DUMMYFUNCTION("""COMPUTED_VALUE"""),"#N/A")</f>
        <v>#N/A</v>
      </c>
      <c r="B125" s="124"/>
      <c r="C125" s="124"/>
      <c r="D125" s="124"/>
      <c r="E125" s="124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</row>
    <row r="126">
      <c r="A126" s="124" t="str">
        <f>IFERROR(__xludf.DUMMYFUNCTION("""COMPUTED_VALUE"""),"#N/A")</f>
        <v>#N/A</v>
      </c>
      <c r="B126" s="124"/>
      <c r="C126" s="124"/>
      <c r="D126" s="124"/>
      <c r="E126" s="124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</row>
    <row r="127">
      <c r="A127" s="124" t="str">
        <f>IFERROR(__xludf.DUMMYFUNCTION("""COMPUTED_VALUE"""),"#N/A")</f>
        <v>#N/A</v>
      </c>
      <c r="B127" s="124"/>
      <c r="C127" s="124"/>
      <c r="D127" s="124"/>
      <c r="E127" s="124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</row>
    <row r="128">
      <c r="A128" s="124" t="str">
        <f>IFERROR(__xludf.DUMMYFUNCTION("""COMPUTED_VALUE"""),"#N/A")</f>
        <v>#N/A</v>
      </c>
      <c r="B128" s="124"/>
      <c r="C128" s="124"/>
      <c r="D128" s="124"/>
      <c r="E128" s="124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</row>
    <row r="129">
      <c r="A129" s="124" t="str">
        <f>IFERROR(__xludf.DUMMYFUNCTION("""COMPUTED_VALUE"""),"#N/A")</f>
        <v>#N/A</v>
      </c>
      <c r="B129" s="124"/>
      <c r="C129" s="124"/>
      <c r="D129" s="124"/>
      <c r="E129" s="124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</row>
    <row r="130">
      <c r="A130" s="124" t="str">
        <f>IFERROR(__xludf.DUMMYFUNCTION("""COMPUTED_VALUE"""),"#N/A")</f>
        <v>#N/A</v>
      </c>
      <c r="B130" s="124"/>
      <c r="C130" s="124"/>
      <c r="D130" s="124"/>
      <c r="E130" s="124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</row>
    <row r="131">
      <c r="A131" s="124" t="str">
        <f>IFERROR(__xludf.DUMMYFUNCTION("""COMPUTED_VALUE"""),"#N/A")</f>
        <v>#N/A</v>
      </c>
      <c r="B131" s="124"/>
      <c r="C131" s="124"/>
      <c r="D131" s="124"/>
      <c r="E131" s="124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</row>
    <row r="132">
      <c r="A132" s="124" t="str">
        <f>IFERROR(__xludf.DUMMYFUNCTION("""COMPUTED_VALUE"""),"#N/A")</f>
        <v>#N/A</v>
      </c>
      <c r="B132" s="124"/>
      <c r="C132" s="124"/>
      <c r="D132" s="124"/>
      <c r="E132" s="124"/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</row>
    <row r="133">
      <c r="A133" s="124" t="str">
        <f>IFERROR(__xludf.DUMMYFUNCTION("""COMPUTED_VALUE"""),"#N/A")</f>
        <v>#N/A</v>
      </c>
      <c r="B133" s="124"/>
      <c r="C133" s="124"/>
      <c r="D133" s="124"/>
      <c r="E133" s="124"/>
      <c r="F133" s="124"/>
      <c r="G133" s="124"/>
      <c r="H133" s="124"/>
      <c r="I133" s="124"/>
      <c r="J133" s="124"/>
      <c r="K133" s="124"/>
      <c r="L133" s="124"/>
      <c r="M133" s="124"/>
      <c r="N133" s="124"/>
      <c r="O133" s="124"/>
      <c r="P133" s="124"/>
      <c r="Q133" s="124"/>
      <c r="R133" s="124"/>
    </row>
    <row r="134">
      <c r="A134" s="124" t="str">
        <f>IFERROR(__xludf.DUMMYFUNCTION("""COMPUTED_VALUE"""),"#N/A")</f>
        <v>#N/A</v>
      </c>
      <c r="B134" s="124"/>
      <c r="C134" s="124"/>
      <c r="D134" s="124"/>
      <c r="E134" s="124"/>
      <c r="F134" s="124"/>
      <c r="G134" s="124"/>
      <c r="H134" s="124"/>
      <c r="I134" s="124"/>
      <c r="J134" s="124"/>
      <c r="K134" s="124"/>
      <c r="L134" s="124"/>
      <c r="M134" s="124"/>
      <c r="N134" s="124"/>
      <c r="O134" s="124"/>
      <c r="P134" s="124"/>
      <c r="Q134" s="124"/>
      <c r="R134" s="124"/>
    </row>
    <row r="135">
      <c r="A135" s="124" t="str">
        <f>IFERROR(__xludf.DUMMYFUNCTION("""COMPUTED_VALUE"""),"#N/A")</f>
        <v>#N/A</v>
      </c>
      <c r="B135" s="124"/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124"/>
      <c r="R135" s="124"/>
    </row>
    <row r="136">
      <c r="A136" s="124" t="str">
        <f>IFERROR(__xludf.DUMMYFUNCTION("""COMPUTED_VALUE"""),"#N/A")</f>
        <v>#N/A</v>
      </c>
      <c r="B136" s="124"/>
      <c r="C136" s="124"/>
      <c r="D136" s="124"/>
      <c r="E136" s="124"/>
      <c r="F136" s="124"/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124"/>
      <c r="R136" s="124"/>
    </row>
    <row r="137">
      <c r="A137" s="124" t="str">
        <f>IFERROR(__xludf.DUMMYFUNCTION("""COMPUTED_VALUE"""),"#N/A")</f>
        <v>#N/A</v>
      </c>
      <c r="B137" s="124"/>
      <c r="C137" s="124"/>
      <c r="D137" s="124"/>
      <c r="E137" s="124"/>
      <c r="F137" s="124"/>
      <c r="G137" s="124"/>
      <c r="H137" s="124"/>
      <c r="I137" s="124"/>
      <c r="J137" s="124"/>
      <c r="K137" s="124"/>
      <c r="L137" s="124"/>
      <c r="M137" s="124"/>
      <c r="N137" s="124"/>
      <c r="O137" s="124"/>
      <c r="P137" s="124"/>
      <c r="Q137" s="124"/>
      <c r="R137" s="124"/>
    </row>
    <row r="138">
      <c r="A138" s="124" t="str">
        <f>IFERROR(__xludf.DUMMYFUNCTION("""COMPUTED_VALUE"""),"#N/A")</f>
        <v>#N/A</v>
      </c>
      <c r="B138" s="124"/>
      <c r="C138" s="124"/>
      <c r="D138" s="124"/>
      <c r="E138" s="124"/>
      <c r="F138" s="124"/>
      <c r="G138" s="124"/>
      <c r="H138" s="124"/>
      <c r="I138" s="124"/>
      <c r="J138" s="124"/>
      <c r="K138" s="124"/>
      <c r="L138" s="124"/>
      <c r="M138" s="124"/>
      <c r="N138" s="124"/>
      <c r="O138" s="124"/>
      <c r="P138" s="124"/>
      <c r="Q138" s="124"/>
      <c r="R138" s="124"/>
    </row>
    <row r="139">
      <c r="A139" s="124" t="str">
        <f>IFERROR(__xludf.DUMMYFUNCTION("""COMPUTED_VALUE"""),"#N/A")</f>
        <v>#N/A</v>
      </c>
      <c r="B139" s="124"/>
      <c r="C139" s="124"/>
      <c r="D139" s="124"/>
      <c r="E139" s="124"/>
      <c r="F139" s="124"/>
      <c r="G139" s="124"/>
      <c r="H139" s="124"/>
      <c r="I139" s="124"/>
      <c r="J139" s="124"/>
      <c r="K139" s="124"/>
      <c r="L139" s="124"/>
      <c r="M139" s="124"/>
      <c r="N139" s="124"/>
      <c r="O139" s="124"/>
      <c r="P139" s="124"/>
      <c r="Q139" s="124"/>
      <c r="R139" s="124"/>
    </row>
    <row r="140">
      <c r="A140" s="124" t="str">
        <f>IFERROR(__xludf.DUMMYFUNCTION("""COMPUTED_VALUE"""),"#N/A")</f>
        <v>#N/A</v>
      </c>
      <c r="B140" s="124"/>
      <c r="C140" s="124"/>
      <c r="D140" s="124"/>
      <c r="E140" s="124"/>
      <c r="F140" s="124"/>
      <c r="G140" s="124"/>
      <c r="H140" s="124"/>
      <c r="I140" s="124"/>
      <c r="J140" s="124"/>
      <c r="K140" s="124"/>
      <c r="L140" s="124"/>
      <c r="M140" s="124"/>
      <c r="N140" s="124"/>
      <c r="O140" s="124"/>
      <c r="P140" s="124"/>
      <c r="Q140" s="124"/>
      <c r="R140" s="124"/>
    </row>
    <row r="141">
      <c r="A141" s="124" t="str">
        <f>IFERROR(__xludf.DUMMYFUNCTION("""COMPUTED_VALUE"""),"#N/A")</f>
        <v>#N/A</v>
      </c>
      <c r="B141" s="124"/>
      <c r="C141" s="124"/>
      <c r="D141" s="124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</row>
    <row r="142">
      <c r="A142" s="124" t="str">
        <f>IFERROR(__xludf.DUMMYFUNCTION("""COMPUTED_VALUE"""),"#N/A")</f>
        <v>#N/A</v>
      </c>
      <c r="B142" s="124"/>
      <c r="C142" s="124"/>
      <c r="D142" s="124"/>
      <c r="E142" s="124"/>
      <c r="F142" s="124"/>
      <c r="G142" s="124"/>
      <c r="H142" s="124"/>
      <c r="I142" s="124"/>
      <c r="J142" s="124"/>
      <c r="K142" s="124"/>
      <c r="L142" s="124"/>
      <c r="M142" s="124"/>
      <c r="N142" s="124"/>
      <c r="O142" s="124"/>
      <c r="P142" s="124"/>
      <c r="Q142" s="124"/>
      <c r="R142" s="124"/>
    </row>
    <row r="143">
      <c r="A143" s="124" t="str">
        <f>IFERROR(__xludf.DUMMYFUNCTION("""COMPUTED_VALUE"""),"#N/A")</f>
        <v>#N/A</v>
      </c>
      <c r="B143" s="124"/>
      <c r="C143" s="124"/>
      <c r="D143" s="124"/>
      <c r="E143" s="124"/>
      <c r="F143" s="124"/>
      <c r="G143" s="124"/>
      <c r="H143" s="124"/>
      <c r="I143" s="124"/>
      <c r="J143" s="124"/>
      <c r="K143" s="124"/>
      <c r="L143" s="124"/>
      <c r="M143" s="124"/>
      <c r="N143" s="124"/>
      <c r="O143" s="124"/>
      <c r="P143" s="124"/>
      <c r="Q143" s="124"/>
      <c r="R143" s="124"/>
    </row>
    <row r="144">
      <c r="A144" s="124" t="str">
        <f>IFERROR(__xludf.DUMMYFUNCTION("""COMPUTED_VALUE"""),"#N/A")</f>
        <v>#N/A</v>
      </c>
      <c r="B144" s="124"/>
      <c r="C144" s="124"/>
      <c r="D144" s="124"/>
      <c r="E144" s="124"/>
      <c r="F144" s="124"/>
      <c r="G144" s="124"/>
      <c r="H144" s="124"/>
      <c r="I144" s="124"/>
      <c r="J144" s="124"/>
      <c r="K144" s="124"/>
      <c r="L144" s="124"/>
      <c r="M144" s="124"/>
      <c r="N144" s="124"/>
      <c r="O144" s="124"/>
      <c r="P144" s="124"/>
      <c r="Q144" s="124"/>
      <c r="R144" s="124"/>
    </row>
    <row r="145">
      <c r="A145" s="124" t="str">
        <f>IFERROR(__xludf.DUMMYFUNCTION("""COMPUTED_VALUE"""),"#N/A")</f>
        <v>#N/A</v>
      </c>
      <c r="B145" s="124"/>
      <c r="C145" s="124"/>
      <c r="D145" s="124"/>
      <c r="E145" s="124"/>
      <c r="F145" s="124"/>
      <c r="G145" s="124"/>
      <c r="H145" s="124"/>
      <c r="I145" s="124"/>
      <c r="J145" s="124"/>
      <c r="K145" s="124"/>
      <c r="L145" s="124"/>
      <c r="M145" s="124"/>
      <c r="N145" s="124"/>
      <c r="O145" s="124"/>
      <c r="P145" s="124"/>
      <c r="Q145" s="124"/>
      <c r="R145" s="124"/>
    </row>
    <row r="146">
      <c r="A146" s="124" t="str">
        <f>IFERROR(__xludf.DUMMYFUNCTION("""COMPUTED_VALUE"""),"#N/A")</f>
        <v>#N/A</v>
      </c>
      <c r="B146" s="124"/>
      <c r="C146" s="124"/>
      <c r="D146" s="124"/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124"/>
      <c r="R146" s="124"/>
    </row>
    <row r="147">
      <c r="A147" s="124" t="str">
        <f>IFERROR(__xludf.DUMMYFUNCTION("""COMPUTED_VALUE"""),"#N/A")</f>
        <v>#N/A</v>
      </c>
      <c r="B147" s="124"/>
      <c r="C147" s="124"/>
      <c r="D147" s="124"/>
      <c r="E147" s="124"/>
      <c r="F147" s="124"/>
      <c r="G147" s="124"/>
      <c r="H147" s="124"/>
      <c r="I147" s="124"/>
      <c r="J147" s="124"/>
      <c r="K147" s="124"/>
      <c r="L147" s="124"/>
      <c r="M147" s="124"/>
      <c r="N147" s="124"/>
      <c r="O147" s="124"/>
      <c r="P147" s="124"/>
      <c r="Q147" s="124"/>
      <c r="R147" s="124"/>
    </row>
    <row r="148">
      <c r="A148" s="124" t="str">
        <f>IFERROR(__xludf.DUMMYFUNCTION("""COMPUTED_VALUE"""),"#N/A")</f>
        <v>#N/A</v>
      </c>
      <c r="B148" s="124"/>
      <c r="C148" s="124"/>
      <c r="D148" s="124"/>
      <c r="E148" s="124"/>
      <c r="F148" s="124"/>
      <c r="G148" s="124"/>
      <c r="H148" s="124"/>
      <c r="I148" s="124"/>
      <c r="J148" s="124"/>
      <c r="K148" s="124"/>
      <c r="L148" s="124"/>
      <c r="M148" s="124"/>
      <c r="N148" s="124"/>
      <c r="O148" s="124"/>
      <c r="P148" s="124"/>
      <c r="Q148" s="124"/>
      <c r="R148" s="124"/>
    </row>
    <row r="149">
      <c r="A149" s="124" t="str">
        <f>IFERROR(__xludf.DUMMYFUNCTION("""COMPUTED_VALUE"""),"#N/A")</f>
        <v>#N/A</v>
      </c>
      <c r="B149" s="124"/>
      <c r="C149" s="124"/>
      <c r="D149" s="124"/>
      <c r="E149" s="124"/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124"/>
      <c r="R149" s="124"/>
    </row>
    <row r="150">
      <c r="A150" s="124" t="str">
        <f>IFERROR(__xludf.DUMMYFUNCTION("""COMPUTED_VALUE"""),"#N/A")</f>
        <v>#N/A</v>
      </c>
      <c r="B150" s="124"/>
      <c r="C150" s="124"/>
      <c r="D150" s="124"/>
      <c r="E150" s="124"/>
      <c r="F150" s="124"/>
      <c r="G150" s="124"/>
      <c r="H150" s="124"/>
      <c r="I150" s="124"/>
      <c r="J150" s="124"/>
      <c r="K150" s="124"/>
      <c r="L150" s="124"/>
      <c r="M150" s="124"/>
      <c r="N150" s="124"/>
      <c r="O150" s="124"/>
      <c r="P150" s="124"/>
      <c r="Q150" s="124"/>
      <c r="R150" s="124"/>
    </row>
    <row r="151">
      <c r="A151" s="124" t="str">
        <f>IFERROR(__xludf.DUMMYFUNCTION("""COMPUTED_VALUE"""),"#N/A")</f>
        <v>#N/A</v>
      </c>
      <c r="B151" s="124"/>
      <c r="C151" s="124"/>
      <c r="D151" s="124"/>
      <c r="E151" s="124"/>
      <c r="F151" s="124"/>
      <c r="G151" s="124"/>
      <c r="H151" s="124"/>
      <c r="I151" s="124"/>
      <c r="J151" s="124"/>
      <c r="K151" s="124"/>
      <c r="L151" s="124"/>
      <c r="M151" s="124"/>
      <c r="N151" s="124"/>
      <c r="O151" s="124"/>
      <c r="P151" s="124"/>
      <c r="Q151" s="124"/>
      <c r="R151" s="124"/>
    </row>
    <row r="152">
      <c r="A152" s="124" t="str">
        <f>IFERROR(__xludf.DUMMYFUNCTION("""COMPUTED_VALUE"""),"#N/A")</f>
        <v>#N/A</v>
      </c>
      <c r="B152" s="124"/>
      <c r="C152" s="124"/>
      <c r="D152" s="124"/>
      <c r="E152" s="124"/>
      <c r="F152" s="124"/>
      <c r="G152" s="124"/>
      <c r="H152" s="124"/>
      <c r="I152" s="124"/>
      <c r="J152" s="124"/>
      <c r="K152" s="124"/>
      <c r="L152" s="124"/>
      <c r="M152" s="124"/>
      <c r="N152" s="124"/>
      <c r="O152" s="124"/>
      <c r="P152" s="124"/>
      <c r="Q152" s="124"/>
      <c r="R152" s="124"/>
    </row>
    <row r="153">
      <c r="A153" s="124" t="str">
        <f>IFERROR(__xludf.DUMMYFUNCTION("""COMPUTED_VALUE"""),"#N/A")</f>
        <v>#N/A</v>
      </c>
      <c r="B153" s="124"/>
      <c r="C153" s="124"/>
      <c r="D153" s="124"/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124"/>
      <c r="R153" s="124"/>
    </row>
    <row r="154">
      <c r="A154" s="124" t="str">
        <f>IFERROR(__xludf.DUMMYFUNCTION("""COMPUTED_VALUE"""),"#N/A")</f>
        <v>#N/A</v>
      </c>
      <c r="B154" s="124"/>
      <c r="C154" s="124"/>
      <c r="D154" s="124"/>
      <c r="E154" s="124"/>
      <c r="F154" s="124"/>
      <c r="G154" s="124"/>
      <c r="H154" s="124"/>
      <c r="I154" s="124"/>
      <c r="J154" s="124"/>
      <c r="K154" s="124"/>
      <c r="L154" s="124"/>
      <c r="M154" s="124"/>
      <c r="N154" s="124"/>
      <c r="O154" s="124"/>
      <c r="P154" s="124"/>
      <c r="Q154" s="124"/>
      <c r="R154" s="124"/>
    </row>
    <row r="155">
      <c r="A155" s="124" t="str">
        <f>IFERROR(__xludf.DUMMYFUNCTION("""COMPUTED_VALUE"""),"#N/A")</f>
        <v>#N/A</v>
      </c>
      <c r="B155" s="124"/>
      <c r="C155" s="124"/>
      <c r="D155" s="124"/>
      <c r="E155" s="124"/>
      <c r="F155" s="124"/>
      <c r="G155" s="124"/>
      <c r="H155" s="124"/>
      <c r="I155" s="124"/>
      <c r="J155" s="124"/>
      <c r="K155" s="124"/>
      <c r="L155" s="124"/>
      <c r="M155" s="124"/>
      <c r="N155" s="124"/>
      <c r="O155" s="124"/>
      <c r="P155" s="124"/>
      <c r="Q155" s="124"/>
      <c r="R155" s="124"/>
    </row>
    <row r="156">
      <c r="A156" s="124" t="str">
        <f>IFERROR(__xludf.DUMMYFUNCTION("""COMPUTED_VALUE"""),"#N/A")</f>
        <v>#N/A</v>
      </c>
      <c r="B156" s="124"/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124"/>
      <c r="R156" s="124"/>
    </row>
    <row r="157">
      <c r="A157" s="124" t="str">
        <f>IFERROR(__xludf.DUMMYFUNCTION("""COMPUTED_VALUE"""),"#N/A")</f>
        <v>#N/A</v>
      </c>
      <c r="B157" s="124"/>
      <c r="C157" s="124"/>
      <c r="D157" s="124"/>
      <c r="E157" s="124"/>
      <c r="F157" s="124"/>
      <c r="G157" s="124"/>
      <c r="H157" s="124"/>
      <c r="I157" s="124"/>
      <c r="J157" s="124"/>
      <c r="K157" s="124"/>
      <c r="L157" s="124"/>
      <c r="M157" s="124"/>
      <c r="N157" s="124"/>
      <c r="O157" s="124"/>
      <c r="P157" s="124"/>
      <c r="Q157" s="124"/>
      <c r="R157" s="124"/>
    </row>
    <row r="158">
      <c r="A158" s="124" t="str">
        <f>IFERROR(__xludf.DUMMYFUNCTION("""COMPUTED_VALUE"""),"#N/A")</f>
        <v>#N/A</v>
      </c>
      <c r="B158" s="124"/>
      <c r="C158" s="124"/>
      <c r="D158" s="124"/>
      <c r="E158" s="124"/>
      <c r="F158" s="124"/>
      <c r="G158" s="124"/>
      <c r="H158" s="124"/>
      <c r="I158" s="124"/>
      <c r="J158" s="124"/>
      <c r="K158" s="124"/>
      <c r="L158" s="124"/>
      <c r="M158" s="124"/>
      <c r="N158" s="124"/>
      <c r="O158" s="124"/>
      <c r="P158" s="124"/>
      <c r="Q158" s="124"/>
      <c r="R158" s="124"/>
    </row>
    <row r="159">
      <c r="A159" s="124" t="str">
        <f>IFERROR(__xludf.DUMMYFUNCTION("""COMPUTED_VALUE"""),"#N/A")</f>
        <v>#N/A</v>
      </c>
      <c r="B159" s="124"/>
      <c r="C159" s="124"/>
      <c r="D159" s="124"/>
      <c r="E159" s="124"/>
      <c r="F159" s="124"/>
      <c r="G159" s="124"/>
      <c r="H159" s="124"/>
      <c r="I159" s="124"/>
      <c r="J159" s="124"/>
      <c r="K159" s="124"/>
      <c r="L159" s="124"/>
      <c r="M159" s="124"/>
      <c r="N159" s="124"/>
      <c r="O159" s="124"/>
      <c r="P159" s="124"/>
      <c r="Q159" s="124"/>
      <c r="R159" s="124"/>
    </row>
    <row r="160">
      <c r="A160" s="124" t="str">
        <f>IFERROR(__xludf.DUMMYFUNCTION("""COMPUTED_VALUE"""),"#N/A")</f>
        <v>#N/A</v>
      </c>
      <c r="B160" s="124"/>
      <c r="C160" s="124"/>
      <c r="D160" s="124"/>
      <c r="E160" s="124"/>
      <c r="F160" s="124"/>
      <c r="G160" s="124"/>
      <c r="H160" s="124"/>
      <c r="I160" s="124"/>
      <c r="J160" s="124"/>
      <c r="K160" s="124"/>
      <c r="L160" s="124"/>
      <c r="M160" s="124"/>
      <c r="N160" s="124"/>
      <c r="O160" s="124"/>
      <c r="P160" s="124"/>
      <c r="Q160" s="124"/>
      <c r="R160" s="124"/>
    </row>
    <row r="161">
      <c r="A161" s="124" t="str">
        <f>IFERROR(__xludf.DUMMYFUNCTION("""COMPUTED_VALUE"""),"#N/A")</f>
        <v>#N/A</v>
      </c>
      <c r="B161" s="124"/>
      <c r="C161" s="124"/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</row>
    <row r="162">
      <c r="A162" s="124" t="str">
        <f>IFERROR(__xludf.DUMMYFUNCTION("""COMPUTED_VALUE"""),"#N/A")</f>
        <v>#N/A</v>
      </c>
      <c r="B162" s="124"/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124"/>
      <c r="R162" s="124"/>
    </row>
    <row r="163">
      <c r="A163" s="124" t="str">
        <f>IFERROR(__xludf.DUMMYFUNCTION("""COMPUTED_VALUE"""),"#N/A")</f>
        <v>#N/A</v>
      </c>
      <c r="B163" s="124"/>
      <c r="C163" s="124"/>
      <c r="D163" s="124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124"/>
      <c r="R163" s="124"/>
    </row>
    <row r="164">
      <c r="A164" s="124" t="str">
        <f>IFERROR(__xludf.DUMMYFUNCTION("""COMPUTED_VALUE"""),"#N/A")</f>
        <v>#N/A</v>
      </c>
      <c r="B164" s="124"/>
      <c r="C164" s="124"/>
      <c r="D164" s="124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124"/>
      <c r="R164" s="124"/>
    </row>
    <row r="165">
      <c r="A165" s="124" t="str">
        <f>IFERROR(__xludf.DUMMYFUNCTION("""COMPUTED_VALUE"""),"#N/A")</f>
        <v>#N/A</v>
      </c>
      <c r="B165" s="124"/>
      <c r="C165" s="124"/>
      <c r="D165" s="124"/>
      <c r="E165" s="124"/>
      <c r="F165" s="124"/>
      <c r="G165" s="124"/>
      <c r="H165" s="124"/>
      <c r="I165" s="124"/>
      <c r="J165" s="124"/>
      <c r="K165" s="124"/>
      <c r="L165" s="124"/>
      <c r="M165" s="124"/>
      <c r="N165" s="124"/>
      <c r="O165" s="124"/>
      <c r="P165" s="124"/>
      <c r="Q165" s="124"/>
      <c r="R165" s="124"/>
    </row>
    <row r="166">
      <c r="A166" s="124" t="str">
        <f>IFERROR(__xludf.DUMMYFUNCTION("""COMPUTED_VALUE"""),"#N/A")</f>
        <v>#N/A</v>
      </c>
      <c r="B166" s="124"/>
      <c r="C166" s="124"/>
      <c r="D166" s="124"/>
      <c r="E166" s="124"/>
      <c r="F166" s="124"/>
      <c r="G166" s="124"/>
      <c r="H166" s="124"/>
      <c r="I166" s="124"/>
      <c r="J166" s="124"/>
      <c r="K166" s="124"/>
      <c r="L166" s="124"/>
      <c r="M166" s="124"/>
      <c r="N166" s="124"/>
      <c r="O166" s="124"/>
      <c r="P166" s="124"/>
      <c r="Q166" s="124"/>
      <c r="R166" s="124"/>
    </row>
    <row r="167">
      <c r="A167" s="124" t="str">
        <f>IFERROR(__xludf.DUMMYFUNCTION("""COMPUTED_VALUE"""),"#N/A")</f>
        <v>#N/A</v>
      </c>
      <c r="B167" s="124"/>
      <c r="C167" s="124"/>
      <c r="D167" s="124"/>
      <c r="E167" s="124"/>
      <c r="F167" s="124"/>
      <c r="G167" s="124"/>
      <c r="H167" s="124"/>
      <c r="I167" s="124"/>
      <c r="J167" s="124"/>
      <c r="K167" s="124"/>
      <c r="L167" s="124"/>
      <c r="M167" s="124"/>
      <c r="N167" s="124"/>
      <c r="O167" s="124"/>
      <c r="P167" s="124"/>
      <c r="Q167" s="124"/>
      <c r="R167" s="124"/>
    </row>
    <row r="168">
      <c r="A168" s="124" t="str">
        <f>IFERROR(__xludf.DUMMYFUNCTION("""COMPUTED_VALUE"""),"#N/A")</f>
        <v>#N/A</v>
      </c>
      <c r="B168" s="124"/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4"/>
      <c r="O168" s="124"/>
      <c r="P168" s="124"/>
      <c r="Q168" s="124"/>
      <c r="R168" s="124"/>
    </row>
    <row r="169">
      <c r="A169" s="124" t="str">
        <f>IFERROR(__xludf.DUMMYFUNCTION("""COMPUTED_VALUE"""),"#N/A")</f>
        <v>#N/A</v>
      </c>
      <c r="B169" s="124"/>
      <c r="C169" s="124"/>
      <c r="D169" s="124"/>
      <c r="E169" s="124"/>
      <c r="F169" s="124"/>
      <c r="G169" s="124"/>
      <c r="H169" s="124"/>
      <c r="I169" s="124"/>
      <c r="J169" s="124"/>
      <c r="K169" s="124"/>
      <c r="L169" s="124"/>
      <c r="M169" s="124"/>
      <c r="N169" s="124"/>
      <c r="O169" s="124"/>
      <c r="P169" s="124"/>
      <c r="Q169" s="124"/>
      <c r="R169" s="124"/>
    </row>
    <row r="170">
      <c r="A170" s="124" t="str">
        <f>IFERROR(__xludf.DUMMYFUNCTION("""COMPUTED_VALUE"""),"#N/A")</f>
        <v>#N/A</v>
      </c>
      <c r="B170" s="124"/>
      <c r="C170" s="124"/>
      <c r="D170" s="124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</row>
    <row r="171">
      <c r="A171" s="124" t="str">
        <f>IFERROR(__xludf.DUMMYFUNCTION("""COMPUTED_VALUE"""),"#N/A")</f>
        <v>#N/A</v>
      </c>
      <c r="B171" s="124"/>
      <c r="C171" s="124"/>
      <c r="D171" s="124"/>
      <c r="E171" s="124"/>
      <c r="F171" s="124"/>
      <c r="G171" s="124"/>
      <c r="H171" s="124"/>
      <c r="I171" s="124"/>
      <c r="J171" s="124"/>
      <c r="K171" s="124"/>
      <c r="L171" s="124"/>
      <c r="M171" s="124"/>
      <c r="N171" s="124"/>
      <c r="O171" s="124"/>
      <c r="P171" s="124"/>
      <c r="Q171" s="124"/>
      <c r="R171" s="124"/>
    </row>
    <row r="172">
      <c r="A172" s="124" t="str">
        <f>IFERROR(__xludf.DUMMYFUNCTION("""COMPUTED_VALUE"""),"#N/A")</f>
        <v>#N/A</v>
      </c>
      <c r="B172" s="124"/>
      <c r="C172" s="124"/>
      <c r="D172" s="124"/>
      <c r="E172" s="124"/>
      <c r="F172" s="124"/>
      <c r="G172" s="124"/>
      <c r="H172" s="124"/>
      <c r="I172" s="124"/>
      <c r="J172" s="124"/>
      <c r="K172" s="124"/>
      <c r="L172" s="124"/>
      <c r="M172" s="124"/>
      <c r="N172" s="124"/>
      <c r="O172" s="124"/>
      <c r="P172" s="124"/>
      <c r="Q172" s="124"/>
      <c r="R172" s="124"/>
    </row>
    <row r="173">
      <c r="A173" s="124" t="str">
        <f>IFERROR(__xludf.DUMMYFUNCTION("""COMPUTED_VALUE"""),"#N/A")</f>
        <v>#N/A</v>
      </c>
      <c r="B173" s="124"/>
      <c r="C173" s="124"/>
      <c r="D173" s="124"/>
      <c r="E173" s="124"/>
      <c r="F173" s="124"/>
      <c r="G173" s="124"/>
      <c r="H173" s="124"/>
      <c r="I173" s="124"/>
      <c r="J173" s="124"/>
      <c r="K173" s="124"/>
      <c r="L173" s="124"/>
      <c r="M173" s="124"/>
      <c r="N173" s="124"/>
      <c r="O173" s="124"/>
      <c r="P173" s="124"/>
      <c r="Q173" s="124"/>
      <c r="R173" s="124"/>
    </row>
    <row r="174">
      <c r="A174" s="124" t="str">
        <f>IFERROR(__xludf.DUMMYFUNCTION("""COMPUTED_VALUE"""),"#N/A")</f>
        <v>#N/A</v>
      </c>
      <c r="B174" s="124"/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4"/>
      <c r="O174" s="124"/>
      <c r="P174" s="124"/>
      <c r="Q174" s="124"/>
      <c r="R174" s="124"/>
    </row>
    <row r="175">
      <c r="A175" s="124" t="str">
        <f>IFERROR(__xludf.DUMMYFUNCTION("""COMPUTED_VALUE"""),"#N/A")</f>
        <v>#N/A</v>
      </c>
      <c r="B175" s="124"/>
      <c r="C175" s="124"/>
      <c r="D175" s="124"/>
      <c r="E175" s="124"/>
      <c r="F175" s="124"/>
      <c r="G175" s="124"/>
      <c r="H175" s="124"/>
      <c r="I175" s="124"/>
      <c r="J175" s="124"/>
      <c r="K175" s="124"/>
      <c r="L175" s="124"/>
      <c r="M175" s="124"/>
      <c r="N175" s="124"/>
      <c r="O175" s="124"/>
      <c r="P175" s="124"/>
      <c r="Q175" s="124"/>
      <c r="R175" s="124"/>
    </row>
    <row r="176">
      <c r="A176" s="124" t="str">
        <f>IFERROR(__xludf.DUMMYFUNCTION("""COMPUTED_VALUE"""),"#N/A")</f>
        <v>#N/A</v>
      </c>
      <c r="B176" s="124"/>
      <c r="C176" s="124"/>
      <c r="D176" s="124"/>
      <c r="E176" s="124"/>
      <c r="F176" s="124"/>
      <c r="G176" s="124"/>
      <c r="H176" s="124"/>
      <c r="I176" s="124"/>
      <c r="J176" s="124"/>
      <c r="K176" s="124"/>
      <c r="L176" s="124"/>
      <c r="M176" s="124"/>
      <c r="N176" s="124"/>
      <c r="O176" s="124"/>
      <c r="P176" s="124"/>
      <c r="Q176" s="124"/>
      <c r="R176" s="124"/>
    </row>
    <row r="177">
      <c r="A177" s="124" t="str">
        <f>IFERROR(__xludf.DUMMYFUNCTION("""COMPUTED_VALUE"""),"#N/A")</f>
        <v>#N/A</v>
      </c>
      <c r="B177" s="124"/>
      <c r="C177" s="124"/>
      <c r="D177" s="124"/>
      <c r="E177" s="124"/>
      <c r="F177" s="124"/>
      <c r="G177" s="124"/>
      <c r="H177" s="124"/>
      <c r="I177" s="124"/>
      <c r="J177" s="124"/>
      <c r="K177" s="124"/>
      <c r="L177" s="124"/>
      <c r="M177" s="124"/>
      <c r="N177" s="124"/>
      <c r="O177" s="124"/>
      <c r="P177" s="124"/>
      <c r="Q177" s="124"/>
      <c r="R177" s="124"/>
    </row>
    <row r="178">
      <c r="A178" s="124" t="str">
        <f>IFERROR(__xludf.DUMMYFUNCTION("""COMPUTED_VALUE"""),"#N/A")</f>
        <v>#N/A</v>
      </c>
      <c r="B178" s="124"/>
      <c r="C178" s="124"/>
      <c r="D178" s="124"/>
      <c r="E178" s="124"/>
      <c r="F178" s="124"/>
      <c r="G178" s="124"/>
      <c r="H178" s="124"/>
      <c r="I178" s="124"/>
      <c r="J178" s="124"/>
      <c r="K178" s="124"/>
      <c r="L178" s="124"/>
      <c r="M178" s="124"/>
      <c r="N178" s="124"/>
      <c r="O178" s="124"/>
      <c r="P178" s="124"/>
      <c r="Q178" s="124"/>
      <c r="R178" s="124"/>
    </row>
    <row r="179">
      <c r="A179" s="124" t="str">
        <f>IFERROR(__xludf.DUMMYFUNCTION("""COMPUTED_VALUE"""),"#N/A")</f>
        <v>#N/A</v>
      </c>
      <c r="B179" s="124"/>
      <c r="C179" s="124"/>
      <c r="D179" s="124"/>
      <c r="E179" s="124"/>
      <c r="F179" s="124"/>
      <c r="G179" s="124"/>
      <c r="H179" s="124"/>
      <c r="I179" s="124"/>
      <c r="J179" s="124"/>
      <c r="K179" s="124"/>
      <c r="L179" s="124"/>
      <c r="M179" s="124"/>
      <c r="N179" s="124"/>
      <c r="O179" s="124"/>
      <c r="P179" s="124"/>
      <c r="Q179" s="124"/>
      <c r="R179" s="124"/>
    </row>
    <row r="180">
      <c r="A180" s="124" t="str">
        <f>IFERROR(__xludf.DUMMYFUNCTION("""COMPUTED_VALUE"""),"#N/A")</f>
        <v>#N/A</v>
      </c>
      <c r="B180" s="124"/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4"/>
      <c r="O180" s="124"/>
      <c r="P180" s="124"/>
      <c r="Q180" s="124"/>
      <c r="R180" s="124"/>
    </row>
    <row r="181">
      <c r="A181" s="124" t="str">
        <f>IFERROR(__xludf.DUMMYFUNCTION("""COMPUTED_VALUE"""),"#N/A")</f>
        <v>#N/A</v>
      </c>
      <c r="B181" s="124"/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  <c r="N181" s="124"/>
      <c r="O181" s="124"/>
      <c r="P181" s="124"/>
      <c r="Q181" s="124"/>
      <c r="R181" s="124"/>
    </row>
    <row r="182">
      <c r="A182" s="124" t="str">
        <f>IFERROR(__xludf.DUMMYFUNCTION("""COMPUTED_VALUE"""),"#N/A")</f>
        <v>#N/A</v>
      </c>
      <c r="B182" s="124"/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  <c r="N182" s="124"/>
      <c r="O182" s="124"/>
      <c r="P182" s="124"/>
      <c r="Q182" s="124"/>
      <c r="R182" s="124"/>
    </row>
    <row r="183">
      <c r="A183" s="124" t="str">
        <f>IFERROR(__xludf.DUMMYFUNCTION("""COMPUTED_VALUE"""),"#N/A")</f>
        <v>#N/A</v>
      </c>
      <c r="B183" s="124"/>
      <c r="C183" s="124"/>
      <c r="D183" s="124"/>
      <c r="E183" s="124"/>
      <c r="F183" s="124"/>
      <c r="G183" s="124"/>
      <c r="H183" s="124"/>
      <c r="I183" s="124"/>
      <c r="J183" s="124"/>
      <c r="K183" s="124"/>
      <c r="L183" s="124"/>
      <c r="M183" s="124"/>
      <c r="N183" s="124"/>
      <c r="O183" s="124"/>
      <c r="P183" s="124"/>
      <c r="Q183" s="124"/>
      <c r="R183" s="124"/>
    </row>
    <row r="184">
      <c r="A184" s="124" t="str">
        <f>IFERROR(__xludf.DUMMYFUNCTION("""COMPUTED_VALUE"""),"#N/A")</f>
        <v>#N/A</v>
      </c>
      <c r="B184" s="124"/>
      <c r="C184" s="124"/>
      <c r="D184" s="124"/>
      <c r="E184" s="124"/>
      <c r="F184" s="124"/>
      <c r="G184" s="124"/>
      <c r="H184" s="124"/>
      <c r="I184" s="124"/>
      <c r="J184" s="124"/>
      <c r="K184" s="124"/>
      <c r="L184" s="124"/>
      <c r="M184" s="124"/>
      <c r="N184" s="124"/>
      <c r="O184" s="124"/>
      <c r="P184" s="124"/>
      <c r="Q184" s="124"/>
      <c r="R184" s="124"/>
    </row>
    <row r="185">
      <c r="A185" s="124" t="str">
        <f>IFERROR(__xludf.DUMMYFUNCTION("""COMPUTED_VALUE"""),"#N/A")</f>
        <v>#N/A</v>
      </c>
      <c r="B185" s="124"/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4"/>
      <c r="O185" s="124"/>
      <c r="P185" s="124"/>
      <c r="Q185" s="124"/>
      <c r="R185" s="124"/>
    </row>
    <row r="186">
      <c r="A186" s="124" t="str">
        <f>IFERROR(__xludf.DUMMYFUNCTION("""COMPUTED_VALUE"""),"#N/A")</f>
        <v>#N/A</v>
      </c>
      <c r="B186" s="124"/>
      <c r="C186" s="124"/>
      <c r="D186" s="124"/>
      <c r="E186" s="124"/>
      <c r="F186" s="124"/>
      <c r="G186" s="124"/>
      <c r="H186" s="124"/>
      <c r="I186" s="124"/>
      <c r="J186" s="124"/>
      <c r="K186" s="124"/>
      <c r="L186" s="124"/>
      <c r="M186" s="124"/>
      <c r="N186" s="124"/>
      <c r="O186" s="124"/>
      <c r="P186" s="124"/>
      <c r="Q186" s="124"/>
      <c r="R186" s="124"/>
    </row>
    <row r="187">
      <c r="A187" s="124" t="str">
        <f>IFERROR(__xludf.DUMMYFUNCTION("""COMPUTED_VALUE"""),"#N/A")</f>
        <v>#N/A</v>
      </c>
      <c r="B187" s="124"/>
      <c r="C187" s="124"/>
      <c r="D187" s="124"/>
      <c r="E187" s="124"/>
      <c r="F187" s="124"/>
      <c r="G187" s="124"/>
      <c r="H187" s="124"/>
      <c r="I187" s="124"/>
      <c r="J187" s="124"/>
      <c r="K187" s="124"/>
      <c r="L187" s="124"/>
      <c r="M187" s="124"/>
      <c r="N187" s="124"/>
      <c r="O187" s="124"/>
      <c r="P187" s="124"/>
      <c r="Q187" s="124"/>
      <c r="R187" s="124"/>
    </row>
    <row r="188">
      <c r="A188" s="124" t="str">
        <f>IFERROR(__xludf.DUMMYFUNCTION("""COMPUTED_VALUE"""),"#N/A")</f>
        <v>#N/A</v>
      </c>
      <c r="B188" s="124"/>
      <c r="C188" s="124"/>
      <c r="D188" s="124"/>
      <c r="E188" s="124"/>
      <c r="F188" s="124"/>
      <c r="G188" s="124"/>
      <c r="H188" s="124"/>
      <c r="I188" s="124"/>
      <c r="J188" s="124"/>
      <c r="K188" s="124"/>
      <c r="L188" s="124"/>
      <c r="M188" s="124"/>
      <c r="N188" s="124"/>
      <c r="O188" s="124"/>
      <c r="P188" s="124"/>
      <c r="Q188" s="124"/>
      <c r="R188" s="124"/>
    </row>
    <row r="189">
      <c r="A189" s="124" t="str">
        <f>IFERROR(__xludf.DUMMYFUNCTION("""COMPUTED_VALUE"""),"#N/A")</f>
        <v>#N/A</v>
      </c>
      <c r="B189" s="124"/>
      <c r="C189" s="124"/>
      <c r="D189" s="124"/>
      <c r="E189" s="124"/>
      <c r="F189" s="124"/>
      <c r="G189" s="124"/>
      <c r="H189" s="124"/>
      <c r="I189" s="124"/>
      <c r="J189" s="124"/>
      <c r="K189" s="124"/>
      <c r="L189" s="124"/>
      <c r="M189" s="124"/>
      <c r="N189" s="124"/>
      <c r="O189" s="124"/>
      <c r="P189" s="124"/>
      <c r="Q189" s="124"/>
      <c r="R189" s="124"/>
    </row>
    <row r="190">
      <c r="A190" s="124" t="str">
        <f>IFERROR(__xludf.DUMMYFUNCTION("""COMPUTED_VALUE"""),"#N/A")</f>
        <v>#N/A</v>
      </c>
      <c r="B190" s="124"/>
      <c r="C190" s="124"/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</row>
    <row r="191">
      <c r="A191" s="124" t="str">
        <f>IFERROR(__xludf.DUMMYFUNCTION("""COMPUTED_VALUE"""),"#N/A")</f>
        <v>#N/A</v>
      </c>
      <c r="B191" s="124"/>
      <c r="C191" s="124"/>
      <c r="D191" s="124"/>
      <c r="E191" s="124"/>
      <c r="F191" s="124"/>
      <c r="G191" s="124"/>
      <c r="H191" s="124"/>
      <c r="I191" s="124"/>
      <c r="J191" s="124"/>
      <c r="K191" s="124"/>
      <c r="L191" s="124"/>
      <c r="M191" s="124"/>
      <c r="N191" s="124"/>
      <c r="O191" s="124"/>
      <c r="P191" s="124"/>
      <c r="Q191" s="124"/>
      <c r="R191" s="124"/>
    </row>
    <row r="192">
      <c r="A192" s="124" t="str">
        <f>IFERROR(__xludf.DUMMYFUNCTION("""COMPUTED_VALUE"""),"#N/A")</f>
        <v>#N/A</v>
      </c>
      <c r="B192" s="124"/>
      <c r="C192" s="124"/>
      <c r="D192" s="124"/>
      <c r="E192" s="124"/>
      <c r="F192" s="124"/>
      <c r="G192" s="124"/>
      <c r="H192" s="124"/>
      <c r="I192" s="124"/>
      <c r="J192" s="124"/>
      <c r="K192" s="124"/>
      <c r="L192" s="124"/>
      <c r="M192" s="124"/>
      <c r="N192" s="124"/>
      <c r="O192" s="124"/>
      <c r="P192" s="124"/>
      <c r="Q192" s="124"/>
      <c r="R192" s="124"/>
    </row>
    <row r="193">
      <c r="A193" s="124" t="str">
        <f>IFERROR(__xludf.DUMMYFUNCTION("""COMPUTED_VALUE"""),"#N/A")</f>
        <v>#N/A</v>
      </c>
      <c r="B193" s="124"/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4"/>
      <c r="O193" s="124"/>
      <c r="P193" s="124"/>
      <c r="Q193" s="124"/>
      <c r="R193" s="124"/>
    </row>
    <row r="194">
      <c r="A194" s="124" t="str">
        <f>IFERROR(__xludf.DUMMYFUNCTION("""COMPUTED_VALUE"""),"#N/A")</f>
        <v>#N/A</v>
      </c>
      <c r="B194" s="124"/>
      <c r="C194" s="124"/>
      <c r="D194" s="124"/>
      <c r="E194" s="124"/>
      <c r="F194" s="124"/>
      <c r="G194" s="124"/>
      <c r="H194" s="124"/>
      <c r="I194" s="124"/>
      <c r="J194" s="124"/>
      <c r="K194" s="124"/>
      <c r="L194" s="124"/>
      <c r="M194" s="124"/>
      <c r="N194" s="124"/>
      <c r="O194" s="124"/>
      <c r="P194" s="124"/>
      <c r="Q194" s="124"/>
      <c r="R194" s="124"/>
    </row>
    <row r="195">
      <c r="A195" s="124" t="str">
        <f>IFERROR(__xludf.DUMMYFUNCTION("""COMPUTED_VALUE"""),"#N/A")</f>
        <v>#N/A</v>
      </c>
      <c r="B195" s="124"/>
      <c r="C195" s="124"/>
      <c r="D195" s="124"/>
      <c r="E195" s="124"/>
      <c r="F195" s="124"/>
      <c r="G195" s="124"/>
      <c r="H195" s="124"/>
      <c r="I195" s="124"/>
      <c r="J195" s="124"/>
      <c r="K195" s="124"/>
      <c r="L195" s="124"/>
      <c r="M195" s="124"/>
      <c r="N195" s="124"/>
      <c r="O195" s="124"/>
      <c r="P195" s="124"/>
      <c r="Q195" s="124"/>
      <c r="R195" s="124"/>
    </row>
    <row r="196">
      <c r="A196" s="124" t="str">
        <f>IFERROR(__xludf.DUMMYFUNCTION("""COMPUTED_VALUE"""),"#N/A")</f>
        <v>#N/A</v>
      </c>
      <c r="B196" s="124"/>
      <c r="C196" s="124"/>
      <c r="D196" s="124"/>
      <c r="E196" s="124"/>
      <c r="F196" s="124"/>
      <c r="G196" s="124"/>
      <c r="H196" s="124"/>
      <c r="I196" s="124"/>
      <c r="J196" s="124"/>
      <c r="K196" s="124"/>
      <c r="L196" s="124"/>
      <c r="M196" s="124"/>
      <c r="N196" s="124"/>
      <c r="O196" s="124"/>
      <c r="P196" s="124"/>
      <c r="Q196" s="124"/>
      <c r="R196" s="124"/>
    </row>
    <row r="197">
      <c r="A197" s="124" t="str">
        <f>IFERROR(__xludf.DUMMYFUNCTION("""COMPUTED_VALUE"""),"#N/A")</f>
        <v>#N/A</v>
      </c>
      <c r="B197" s="124"/>
      <c r="C197" s="124"/>
      <c r="D197" s="124"/>
      <c r="E197" s="124"/>
      <c r="F197" s="124"/>
      <c r="G197" s="124"/>
      <c r="H197" s="124"/>
      <c r="I197" s="124"/>
      <c r="J197" s="124"/>
      <c r="K197" s="124"/>
      <c r="L197" s="124"/>
      <c r="M197" s="124"/>
      <c r="N197" s="124"/>
      <c r="O197" s="124"/>
      <c r="P197" s="124"/>
      <c r="Q197" s="124"/>
      <c r="R197" s="124"/>
    </row>
    <row r="198">
      <c r="A198" s="124" t="str">
        <f>IFERROR(__xludf.DUMMYFUNCTION("""COMPUTED_VALUE"""),"#N/A")</f>
        <v>#N/A</v>
      </c>
      <c r="B198" s="124"/>
      <c r="C198" s="124"/>
      <c r="D198" s="124"/>
      <c r="E198" s="124"/>
      <c r="F198" s="124"/>
      <c r="G198" s="124"/>
      <c r="H198" s="124"/>
      <c r="I198" s="124"/>
      <c r="J198" s="124"/>
      <c r="K198" s="124"/>
      <c r="L198" s="124"/>
      <c r="M198" s="124"/>
      <c r="N198" s="124"/>
      <c r="O198" s="124"/>
      <c r="P198" s="124"/>
      <c r="Q198" s="124"/>
      <c r="R198" s="124"/>
    </row>
    <row r="199">
      <c r="A199" s="124" t="str">
        <f>IFERROR(__xludf.DUMMYFUNCTION("""COMPUTED_VALUE"""),"#N/A")</f>
        <v>#N/A</v>
      </c>
      <c r="B199" s="124"/>
      <c r="C199" s="124"/>
      <c r="D199" s="124"/>
      <c r="E199" s="124"/>
      <c r="F199" s="124"/>
      <c r="G199" s="124"/>
      <c r="H199" s="124"/>
      <c r="I199" s="124"/>
      <c r="J199" s="124"/>
      <c r="K199" s="124"/>
      <c r="L199" s="124"/>
      <c r="M199" s="124"/>
      <c r="N199" s="124"/>
      <c r="O199" s="124"/>
      <c r="P199" s="124"/>
      <c r="Q199" s="124"/>
      <c r="R199" s="124"/>
    </row>
    <row r="200">
      <c r="A200" s="124" t="str">
        <f>IFERROR(__xludf.DUMMYFUNCTION("""COMPUTED_VALUE"""),"#N/A")</f>
        <v>#N/A</v>
      </c>
      <c r="B200" s="124"/>
      <c r="C200" s="124"/>
      <c r="D200" s="124"/>
      <c r="E200" s="124"/>
      <c r="F200" s="124"/>
      <c r="G200" s="124"/>
      <c r="H200" s="124"/>
      <c r="I200" s="124"/>
      <c r="J200" s="124"/>
      <c r="K200" s="124"/>
      <c r="L200" s="124"/>
      <c r="M200" s="124"/>
      <c r="N200" s="124"/>
      <c r="O200" s="124"/>
      <c r="P200" s="124"/>
      <c r="Q200" s="124"/>
      <c r="R200" s="124"/>
    </row>
    <row r="201">
      <c r="A201" s="124" t="str">
        <f>IFERROR(__xludf.DUMMYFUNCTION("""COMPUTED_VALUE"""),"#N/A")</f>
        <v>#N/A</v>
      </c>
      <c r="B201" s="124"/>
      <c r="C201" s="124"/>
      <c r="D201" s="124"/>
      <c r="E201" s="124"/>
      <c r="F201" s="124"/>
      <c r="G201" s="124"/>
      <c r="H201" s="124"/>
      <c r="I201" s="124"/>
      <c r="J201" s="124"/>
      <c r="K201" s="124"/>
      <c r="L201" s="124"/>
      <c r="M201" s="124"/>
      <c r="N201" s="124"/>
      <c r="O201" s="124"/>
      <c r="P201" s="124"/>
      <c r="Q201" s="124"/>
      <c r="R201" s="124"/>
    </row>
    <row r="202">
      <c r="A202" s="124" t="str">
        <f>IFERROR(__xludf.DUMMYFUNCTION("""COMPUTED_VALUE"""),"#N/A")</f>
        <v>#N/A</v>
      </c>
      <c r="B202" s="124"/>
      <c r="C202" s="124"/>
      <c r="D202" s="124"/>
      <c r="E202" s="124"/>
      <c r="F202" s="124"/>
      <c r="G202" s="124"/>
      <c r="H202" s="124"/>
      <c r="I202" s="124"/>
      <c r="J202" s="124"/>
      <c r="K202" s="124"/>
      <c r="L202" s="124"/>
      <c r="M202" s="124"/>
      <c r="N202" s="124"/>
      <c r="O202" s="124"/>
      <c r="P202" s="124"/>
      <c r="Q202" s="124"/>
      <c r="R202" s="124"/>
    </row>
    <row r="203">
      <c r="A203" s="124" t="str">
        <f>IFERROR(__xludf.DUMMYFUNCTION("""COMPUTED_VALUE"""),"#N/A")</f>
        <v>#N/A</v>
      </c>
      <c r="B203" s="124"/>
      <c r="C203" s="124"/>
      <c r="D203" s="124"/>
      <c r="E203" s="124"/>
      <c r="F203" s="124"/>
      <c r="G203" s="124"/>
      <c r="H203" s="124"/>
      <c r="I203" s="124"/>
      <c r="J203" s="124"/>
      <c r="K203" s="124"/>
      <c r="L203" s="124"/>
      <c r="M203" s="124"/>
      <c r="N203" s="124"/>
      <c r="O203" s="124"/>
      <c r="P203" s="124"/>
      <c r="Q203" s="124"/>
      <c r="R203" s="124"/>
    </row>
    <row r="204">
      <c r="A204" s="124" t="str">
        <f>IFERROR(__xludf.DUMMYFUNCTION("""COMPUTED_VALUE"""),"#N/A")</f>
        <v>#N/A</v>
      </c>
      <c r="B204" s="124"/>
      <c r="C204" s="124"/>
      <c r="D204" s="124"/>
      <c r="E204" s="124"/>
      <c r="F204" s="124"/>
      <c r="G204" s="124"/>
      <c r="H204" s="124"/>
      <c r="I204" s="124"/>
      <c r="J204" s="124"/>
      <c r="K204" s="124"/>
      <c r="L204" s="124"/>
      <c r="M204" s="124"/>
      <c r="N204" s="124"/>
      <c r="O204" s="124"/>
      <c r="P204" s="124"/>
      <c r="Q204" s="124"/>
      <c r="R204" s="124"/>
    </row>
    <row r="205">
      <c r="A205" s="124" t="str">
        <f>IFERROR(__xludf.DUMMYFUNCTION("""COMPUTED_VALUE"""),"#N/A")</f>
        <v>#N/A</v>
      </c>
      <c r="B205" s="124"/>
      <c r="C205" s="124"/>
      <c r="D205" s="124"/>
      <c r="E205" s="124"/>
      <c r="F205" s="124"/>
      <c r="G205" s="124"/>
      <c r="H205" s="124"/>
      <c r="I205" s="124"/>
      <c r="J205" s="124"/>
      <c r="K205" s="124"/>
      <c r="L205" s="124"/>
      <c r="M205" s="124"/>
      <c r="N205" s="124"/>
      <c r="O205" s="124"/>
      <c r="P205" s="124"/>
      <c r="Q205" s="124"/>
      <c r="R205" s="124"/>
    </row>
    <row r="206">
      <c r="A206" s="124" t="str">
        <f>IFERROR(__xludf.DUMMYFUNCTION("""COMPUTED_VALUE"""),"#N/A")</f>
        <v>#N/A</v>
      </c>
      <c r="B206" s="124"/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4"/>
      <c r="O206" s="124"/>
      <c r="P206" s="124"/>
      <c r="Q206" s="124"/>
      <c r="R206" s="124"/>
    </row>
    <row r="207">
      <c r="A207" s="124" t="str">
        <f>IFERROR(__xludf.DUMMYFUNCTION("""COMPUTED_VALUE"""),"#N/A")</f>
        <v>#N/A</v>
      </c>
      <c r="B207" s="124"/>
      <c r="C207" s="124"/>
      <c r="D207" s="124"/>
      <c r="E207" s="124"/>
      <c r="F207" s="124"/>
      <c r="G207" s="124"/>
      <c r="H207" s="124"/>
      <c r="I207" s="124"/>
      <c r="J207" s="124"/>
      <c r="K207" s="124"/>
      <c r="L207" s="124"/>
      <c r="M207" s="124"/>
      <c r="N207" s="124"/>
      <c r="O207" s="124"/>
      <c r="P207" s="124"/>
      <c r="Q207" s="124"/>
      <c r="R207" s="124"/>
    </row>
    <row r="208">
      <c r="A208" s="124" t="str">
        <f>IFERROR(__xludf.DUMMYFUNCTION("""COMPUTED_VALUE"""),"#N/A")</f>
        <v>#N/A</v>
      </c>
      <c r="B208" s="124"/>
      <c r="C208" s="124"/>
      <c r="D208" s="124"/>
      <c r="E208" s="124"/>
      <c r="F208" s="124"/>
      <c r="G208" s="124"/>
      <c r="H208" s="124"/>
      <c r="I208" s="124"/>
      <c r="J208" s="124"/>
      <c r="K208" s="124"/>
      <c r="L208" s="124"/>
      <c r="M208" s="124"/>
      <c r="N208" s="124"/>
      <c r="O208" s="124"/>
      <c r="P208" s="124"/>
      <c r="Q208" s="124"/>
      <c r="R208" s="124"/>
    </row>
    <row r="209">
      <c r="A209" s="124" t="str">
        <f>IFERROR(__xludf.DUMMYFUNCTION("""COMPUTED_VALUE"""),"#N/A")</f>
        <v>#N/A</v>
      </c>
      <c r="B209" s="124"/>
      <c r="C209" s="124"/>
      <c r="D209" s="124"/>
      <c r="E209" s="124"/>
      <c r="F209" s="124"/>
      <c r="G209" s="124"/>
      <c r="H209" s="124"/>
      <c r="I209" s="124"/>
      <c r="J209" s="124"/>
      <c r="K209" s="124"/>
      <c r="L209" s="124"/>
      <c r="M209" s="124"/>
      <c r="N209" s="124"/>
      <c r="O209" s="124"/>
      <c r="P209" s="124"/>
      <c r="Q209" s="124"/>
      <c r="R209" s="124"/>
    </row>
    <row r="210">
      <c r="A210" s="124" t="str">
        <f>IFERROR(__xludf.DUMMYFUNCTION("""COMPUTED_VALUE"""),"#N/A")</f>
        <v>#N/A</v>
      </c>
      <c r="B210" s="124"/>
      <c r="C210" s="124"/>
      <c r="D210" s="124"/>
      <c r="E210" s="124"/>
      <c r="F210" s="124"/>
      <c r="G210" s="124"/>
      <c r="H210" s="124"/>
      <c r="I210" s="124"/>
      <c r="J210" s="124"/>
      <c r="K210" s="124"/>
      <c r="L210" s="124"/>
      <c r="M210" s="124"/>
      <c r="N210" s="124"/>
      <c r="O210" s="124"/>
      <c r="P210" s="124"/>
      <c r="Q210" s="124"/>
      <c r="R210" s="124"/>
    </row>
    <row r="211">
      <c r="A211" s="124" t="str">
        <f>IFERROR(__xludf.DUMMYFUNCTION("""COMPUTED_VALUE"""),"#N/A")</f>
        <v>#N/A</v>
      </c>
      <c r="B211" s="124"/>
      <c r="C211" s="124"/>
      <c r="D211" s="124"/>
      <c r="E211" s="124"/>
      <c r="F211" s="124"/>
      <c r="G211" s="124"/>
      <c r="H211" s="124"/>
      <c r="I211" s="124"/>
      <c r="J211" s="124"/>
      <c r="K211" s="124"/>
      <c r="L211" s="124"/>
      <c r="M211" s="124"/>
      <c r="N211" s="124"/>
      <c r="O211" s="124"/>
      <c r="P211" s="124"/>
      <c r="Q211" s="124"/>
      <c r="R211" s="124"/>
    </row>
    <row r="212">
      <c r="A212" s="124" t="str">
        <f>IFERROR(__xludf.DUMMYFUNCTION("""COMPUTED_VALUE"""),"#N/A")</f>
        <v>#N/A</v>
      </c>
      <c r="B212" s="124"/>
      <c r="C212" s="124"/>
      <c r="D212" s="124"/>
      <c r="E212" s="124"/>
      <c r="F212" s="124"/>
      <c r="G212" s="124"/>
      <c r="H212" s="124"/>
      <c r="I212" s="124"/>
      <c r="J212" s="124"/>
      <c r="K212" s="124"/>
      <c r="L212" s="124"/>
      <c r="M212" s="124"/>
      <c r="N212" s="124"/>
      <c r="O212" s="124"/>
      <c r="P212" s="124"/>
      <c r="Q212" s="124"/>
      <c r="R212" s="124"/>
    </row>
    <row r="213">
      <c r="A213" s="124" t="str">
        <f>IFERROR(__xludf.DUMMYFUNCTION("""COMPUTED_VALUE"""),"#N/A")</f>
        <v>#N/A</v>
      </c>
      <c r="B213" s="124"/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4"/>
      <c r="O213" s="124"/>
      <c r="P213" s="124"/>
      <c r="Q213" s="124"/>
      <c r="R213" s="124"/>
    </row>
    <row r="214">
      <c r="A214" s="124" t="str">
        <f>IFERROR(__xludf.DUMMYFUNCTION("""COMPUTED_VALUE"""),"#N/A")</f>
        <v>#N/A</v>
      </c>
      <c r="B214" s="124"/>
      <c r="C214" s="124"/>
      <c r="D214" s="124"/>
      <c r="E214" s="124"/>
      <c r="F214" s="124"/>
      <c r="G214" s="124"/>
      <c r="H214" s="124"/>
      <c r="I214" s="124"/>
      <c r="J214" s="124"/>
      <c r="K214" s="124"/>
      <c r="L214" s="124"/>
      <c r="M214" s="124"/>
      <c r="N214" s="124"/>
      <c r="O214" s="124"/>
      <c r="P214" s="124"/>
      <c r="Q214" s="124"/>
      <c r="R214" s="124"/>
    </row>
    <row r="215">
      <c r="A215" s="124" t="str">
        <f>IFERROR(__xludf.DUMMYFUNCTION("""COMPUTED_VALUE"""),"#N/A")</f>
        <v>#N/A</v>
      </c>
      <c r="B215" s="124"/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  <c r="N215" s="124"/>
      <c r="O215" s="124"/>
      <c r="P215" s="124"/>
      <c r="Q215" s="124"/>
      <c r="R215" s="124"/>
    </row>
    <row r="216">
      <c r="A216" s="124" t="str">
        <f>IFERROR(__xludf.DUMMYFUNCTION("""COMPUTED_VALUE"""),"#N/A")</f>
        <v>#N/A</v>
      </c>
      <c r="B216" s="124"/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  <c r="N216" s="124"/>
      <c r="O216" s="124"/>
      <c r="P216" s="124"/>
      <c r="Q216" s="124"/>
      <c r="R216" s="124"/>
    </row>
    <row r="217">
      <c r="A217" s="124" t="str">
        <f>IFERROR(__xludf.DUMMYFUNCTION("""COMPUTED_VALUE"""),"#N/A")</f>
        <v>#N/A</v>
      </c>
      <c r="B217" s="124"/>
      <c r="C217" s="124"/>
      <c r="D217" s="124"/>
      <c r="E217" s="124"/>
      <c r="F217" s="124"/>
      <c r="G217" s="124"/>
      <c r="H217" s="124"/>
      <c r="I217" s="124"/>
      <c r="J217" s="124"/>
      <c r="K217" s="124"/>
      <c r="L217" s="124"/>
      <c r="M217" s="124"/>
      <c r="N217" s="124"/>
      <c r="O217" s="124"/>
      <c r="P217" s="124"/>
      <c r="Q217" s="124"/>
      <c r="R217" s="124"/>
    </row>
    <row r="218">
      <c r="A218" s="124" t="str">
        <f>IFERROR(__xludf.DUMMYFUNCTION("""COMPUTED_VALUE"""),"#N/A")</f>
        <v>#N/A</v>
      </c>
      <c r="B218" s="124"/>
      <c r="C218" s="124"/>
      <c r="D218" s="124"/>
      <c r="E218" s="124"/>
      <c r="F218" s="124"/>
      <c r="G218" s="124"/>
      <c r="H218" s="124"/>
      <c r="I218" s="124"/>
      <c r="J218" s="124"/>
      <c r="K218" s="124"/>
      <c r="L218" s="124"/>
      <c r="M218" s="124"/>
      <c r="N218" s="124"/>
      <c r="O218" s="124"/>
      <c r="P218" s="124"/>
      <c r="Q218" s="124"/>
      <c r="R218" s="124"/>
    </row>
    <row r="219">
      <c r="A219" s="124" t="str">
        <f>IFERROR(__xludf.DUMMYFUNCTION("""COMPUTED_VALUE"""),"#N/A")</f>
        <v>#N/A</v>
      </c>
      <c r="B219" s="124"/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4"/>
      <c r="O219" s="124"/>
      <c r="P219" s="124"/>
      <c r="Q219" s="124"/>
      <c r="R219" s="124"/>
    </row>
    <row r="220">
      <c r="A220" s="124" t="str">
        <f>IFERROR(__xludf.DUMMYFUNCTION("""COMPUTED_VALUE"""),"#N/A")</f>
        <v>#N/A</v>
      </c>
      <c r="B220" s="124"/>
      <c r="C220" s="124"/>
      <c r="D220" s="124"/>
      <c r="E220" s="124"/>
      <c r="F220" s="124"/>
      <c r="G220" s="124"/>
      <c r="H220" s="124"/>
      <c r="I220" s="124"/>
      <c r="J220" s="124"/>
      <c r="K220" s="124"/>
      <c r="L220" s="124"/>
      <c r="M220" s="124"/>
      <c r="N220" s="124"/>
      <c r="O220" s="124"/>
      <c r="P220" s="124"/>
      <c r="Q220" s="124"/>
      <c r="R220" s="124"/>
    </row>
    <row r="221">
      <c r="A221" s="124" t="str">
        <f>IFERROR(__xludf.DUMMYFUNCTION("""COMPUTED_VALUE"""),"#N/A")</f>
        <v>#N/A</v>
      </c>
      <c r="B221" s="124"/>
      <c r="C221" s="124"/>
      <c r="D221" s="124"/>
      <c r="E221" s="124"/>
      <c r="F221" s="124"/>
      <c r="G221" s="124"/>
      <c r="H221" s="124"/>
      <c r="I221" s="124"/>
      <c r="J221" s="124"/>
      <c r="K221" s="124"/>
      <c r="L221" s="124"/>
      <c r="M221" s="124"/>
      <c r="N221" s="124"/>
      <c r="O221" s="124"/>
      <c r="P221" s="124"/>
      <c r="Q221" s="124"/>
      <c r="R221" s="124"/>
    </row>
    <row r="222">
      <c r="A222" s="124" t="str">
        <f>IFERROR(__xludf.DUMMYFUNCTION("""COMPUTED_VALUE"""),"#N/A")</f>
        <v>#N/A</v>
      </c>
      <c r="B222" s="124"/>
      <c r="C222" s="124"/>
      <c r="D222" s="124"/>
      <c r="E222" s="124"/>
      <c r="F222" s="124"/>
      <c r="G222" s="124"/>
      <c r="H222" s="124"/>
      <c r="I222" s="124"/>
      <c r="J222" s="124"/>
      <c r="K222" s="124"/>
      <c r="L222" s="124"/>
      <c r="M222" s="124"/>
      <c r="N222" s="124"/>
      <c r="O222" s="124"/>
      <c r="P222" s="124"/>
      <c r="Q222" s="124"/>
      <c r="R222" s="124"/>
    </row>
    <row r="223">
      <c r="A223" s="124" t="str">
        <f>IFERROR(__xludf.DUMMYFUNCTION("""COMPUTED_VALUE"""),"#N/A")</f>
        <v>#N/A</v>
      </c>
      <c r="B223" s="124"/>
      <c r="C223" s="124"/>
      <c r="D223" s="124"/>
      <c r="E223" s="124"/>
      <c r="F223" s="124"/>
      <c r="G223" s="124"/>
      <c r="H223" s="124"/>
      <c r="I223" s="124"/>
      <c r="J223" s="124"/>
      <c r="K223" s="124"/>
      <c r="L223" s="124"/>
      <c r="M223" s="124"/>
      <c r="N223" s="124"/>
      <c r="O223" s="124"/>
      <c r="P223" s="124"/>
      <c r="Q223" s="124"/>
      <c r="R223" s="124"/>
    </row>
    <row r="224">
      <c r="A224" s="124" t="str">
        <f>IFERROR(__xludf.DUMMYFUNCTION("""COMPUTED_VALUE"""),"#N/A")</f>
        <v>#N/A</v>
      </c>
      <c r="B224" s="124"/>
      <c r="C224" s="124"/>
      <c r="D224" s="124"/>
      <c r="E224" s="124"/>
      <c r="F224" s="124"/>
      <c r="G224" s="124"/>
      <c r="H224" s="124"/>
      <c r="I224" s="124"/>
      <c r="J224" s="124"/>
      <c r="K224" s="124"/>
      <c r="L224" s="124"/>
      <c r="M224" s="124"/>
      <c r="N224" s="124"/>
      <c r="O224" s="124"/>
      <c r="P224" s="124"/>
      <c r="Q224" s="124"/>
      <c r="R224" s="124"/>
    </row>
    <row r="225">
      <c r="A225" s="124" t="str">
        <f>IFERROR(__xludf.DUMMYFUNCTION("""COMPUTED_VALUE"""),"#N/A")</f>
        <v>#N/A</v>
      </c>
      <c r="B225" s="124"/>
      <c r="C225" s="124"/>
      <c r="D225" s="124"/>
      <c r="E225" s="124"/>
      <c r="F225" s="124"/>
      <c r="G225" s="124"/>
      <c r="H225" s="124"/>
      <c r="I225" s="124"/>
      <c r="J225" s="124"/>
      <c r="K225" s="124"/>
      <c r="L225" s="124"/>
      <c r="M225" s="124"/>
      <c r="N225" s="124"/>
      <c r="O225" s="124"/>
      <c r="P225" s="124"/>
      <c r="Q225" s="124"/>
      <c r="R225" s="124"/>
    </row>
    <row r="226">
      <c r="A226" s="124" t="str">
        <f>IFERROR(__xludf.DUMMYFUNCTION("""COMPUTED_VALUE"""),"#N/A")</f>
        <v>#N/A</v>
      </c>
      <c r="B226" s="124"/>
      <c r="C226" s="124"/>
      <c r="D226" s="124"/>
      <c r="E226" s="124"/>
      <c r="F226" s="124"/>
      <c r="G226" s="124"/>
      <c r="H226" s="124"/>
      <c r="I226" s="124"/>
      <c r="J226" s="124"/>
      <c r="K226" s="124"/>
      <c r="L226" s="124"/>
      <c r="M226" s="124"/>
      <c r="N226" s="124"/>
      <c r="O226" s="124"/>
      <c r="P226" s="124"/>
      <c r="Q226" s="124"/>
      <c r="R226" s="124"/>
    </row>
    <row r="227">
      <c r="A227" s="124" t="str">
        <f>IFERROR(__xludf.DUMMYFUNCTION("""COMPUTED_VALUE"""),"#N/A")</f>
        <v>#N/A</v>
      </c>
      <c r="B227" s="124"/>
      <c r="C227" s="124"/>
      <c r="D227" s="124"/>
      <c r="E227" s="124"/>
      <c r="F227" s="124"/>
      <c r="G227" s="124"/>
      <c r="H227" s="124"/>
      <c r="I227" s="124"/>
      <c r="J227" s="124"/>
      <c r="K227" s="124"/>
      <c r="L227" s="124"/>
      <c r="M227" s="124"/>
      <c r="N227" s="124"/>
      <c r="O227" s="124"/>
      <c r="P227" s="124"/>
      <c r="Q227" s="124"/>
      <c r="R227" s="124"/>
    </row>
    <row r="228">
      <c r="A228" s="124" t="str">
        <f>IFERROR(__xludf.DUMMYFUNCTION("""COMPUTED_VALUE"""),"#N/A")</f>
        <v>#N/A</v>
      </c>
      <c r="B228" s="124"/>
      <c r="C228" s="124"/>
      <c r="D228" s="124"/>
      <c r="E228" s="124"/>
      <c r="F228" s="124"/>
      <c r="G228" s="124"/>
      <c r="H228" s="124"/>
      <c r="I228" s="124"/>
      <c r="J228" s="124"/>
      <c r="K228" s="124"/>
      <c r="L228" s="124"/>
      <c r="M228" s="124"/>
      <c r="N228" s="124"/>
      <c r="O228" s="124"/>
      <c r="P228" s="124"/>
      <c r="Q228" s="124"/>
      <c r="R228" s="124"/>
    </row>
    <row r="229">
      <c r="A229" s="124" t="str">
        <f>IFERROR(__xludf.DUMMYFUNCTION("""COMPUTED_VALUE"""),"#N/A")</f>
        <v>#N/A</v>
      </c>
      <c r="B229" s="124"/>
      <c r="C229" s="124"/>
      <c r="D229" s="124"/>
      <c r="E229" s="124"/>
      <c r="F229" s="124"/>
      <c r="G229" s="124"/>
      <c r="H229" s="124"/>
      <c r="I229" s="124"/>
      <c r="J229" s="124"/>
      <c r="K229" s="124"/>
      <c r="L229" s="124"/>
      <c r="M229" s="124"/>
      <c r="N229" s="124"/>
      <c r="O229" s="124"/>
      <c r="P229" s="124"/>
      <c r="Q229" s="124"/>
      <c r="R229" s="124"/>
    </row>
    <row r="230">
      <c r="A230" s="124" t="str">
        <f>IFERROR(__xludf.DUMMYFUNCTION("""COMPUTED_VALUE"""),"#N/A")</f>
        <v>#N/A</v>
      </c>
      <c r="B230" s="124"/>
      <c r="C230" s="124"/>
      <c r="D230" s="124"/>
      <c r="E230" s="124"/>
      <c r="F230" s="124"/>
      <c r="G230" s="124"/>
      <c r="H230" s="124"/>
      <c r="I230" s="124"/>
      <c r="J230" s="124"/>
      <c r="K230" s="124"/>
      <c r="L230" s="124"/>
      <c r="M230" s="124"/>
      <c r="N230" s="124"/>
      <c r="O230" s="124"/>
      <c r="P230" s="124"/>
      <c r="Q230" s="124"/>
      <c r="R230" s="124"/>
    </row>
    <row r="231">
      <c r="A231" s="124" t="str">
        <f>IFERROR(__xludf.DUMMYFUNCTION("""COMPUTED_VALUE"""),"#N/A")</f>
        <v>#N/A</v>
      </c>
      <c r="B231" s="124"/>
      <c r="C231" s="124"/>
      <c r="D231" s="124"/>
      <c r="E231" s="124"/>
      <c r="F231" s="124"/>
      <c r="G231" s="124"/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</row>
    <row r="232">
      <c r="A232" s="124" t="str">
        <f>IFERROR(__xludf.DUMMYFUNCTION("""COMPUTED_VALUE"""),"#N/A")</f>
        <v>#N/A</v>
      </c>
      <c r="B232" s="124"/>
      <c r="C232" s="124"/>
      <c r="D232" s="124"/>
      <c r="E232" s="124"/>
      <c r="F232" s="124"/>
      <c r="G232" s="124"/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</row>
    <row r="233">
      <c r="A233" s="124" t="str">
        <f>IFERROR(__xludf.DUMMYFUNCTION("""COMPUTED_VALUE"""),"#N/A")</f>
        <v>#N/A</v>
      </c>
      <c r="B233" s="124"/>
      <c r="C233" s="124"/>
      <c r="D233" s="124"/>
      <c r="E233" s="124"/>
      <c r="F233" s="124"/>
      <c r="G233" s="124"/>
      <c r="H233" s="124"/>
      <c r="I233" s="124"/>
      <c r="J233" s="124"/>
      <c r="K233" s="124"/>
      <c r="L233" s="124"/>
      <c r="M233" s="124"/>
      <c r="N233" s="124"/>
      <c r="O233" s="124"/>
      <c r="P233" s="124"/>
      <c r="Q233" s="124"/>
      <c r="R233" s="124"/>
    </row>
    <row r="234">
      <c r="A234" s="124" t="str">
        <f>IFERROR(__xludf.DUMMYFUNCTION("""COMPUTED_VALUE"""),"#N/A")</f>
        <v>#N/A</v>
      </c>
      <c r="B234" s="124"/>
      <c r="C234" s="124"/>
      <c r="D234" s="124"/>
      <c r="E234" s="124"/>
      <c r="F234" s="124"/>
      <c r="G234" s="124"/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</row>
    <row r="235">
      <c r="A235" s="124" t="str">
        <f>IFERROR(__xludf.DUMMYFUNCTION("""COMPUTED_VALUE"""),"#N/A")</f>
        <v>#N/A</v>
      </c>
      <c r="B235" s="124"/>
      <c r="C235" s="124"/>
      <c r="D235" s="124"/>
      <c r="E235" s="124"/>
      <c r="F235" s="124"/>
      <c r="G235" s="124"/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</row>
    <row r="236">
      <c r="A236" s="124" t="str">
        <f>IFERROR(__xludf.DUMMYFUNCTION("""COMPUTED_VALUE"""),"#N/A")</f>
        <v>#N/A</v>
      </c>
      <c r="B236" s="124"/>
      <c r="C236" s="124"/>
      <c r="D236" s="124"/>
      <c r="E236" s="124"/>
      <c r="F236" s="124"/>
      <c r="G236" s="124"/>
      <c r="H236" s="124"/>
      <c r="I236" s="124"/>
      <c r="J236" s="124"/>
      <c r="K236" s="124"/>
      <c r="L236" s="124"/>
      <c r="M236" s="124"/>
      <c r="N236" s="124"/>
      <c r="O236" s="124"/>
      <c r="P236" s="124"/>
      <c r="Q236" s="124"/>
      <c r="R236" s="124"/>
    </row>
    <row r="237">
      <c r="A237" s="124" t="str">
        <f>IFERROR(__xludf.DUMMYFUNCTION("""COMPUTED_VALUE"""),"#N/A")</f>
        <v>#N/A</v>
      </c>
      <c r="B237" s="124"/>
      <c r="C237" s="124"/>
      <c r="D237" s="124"/>
      <c r="E237" s="124"/>
      <c r="F237" s="124"/>
      <c r="G237" s="124"/>
      <c r="H237" s="124"/>
      <c r="I237" s="124"/>
      <c r="J237" s="124"/>
      <c r="K237" s="124"/>
      <c r="L237" s="124"/>
      <c r="M237" s="124"/>
      <c r="N237" s="124"/>
      <c r="O237" s="124"/>
      <c r="P237" s="124"/>
      <c r="Q237" s="124"/>
      <c r="R237" s="124"/>
    </row>
    <row r="238">
      <c r="A238" s="124" t="str">
        <f>IFERROR(__xludf.DUMMYFUNCTION("""COMPUTED_VALUE"""),"#N/A")</f>
        <v>#N/A</v>
      </c>
      <c r="B238" s="124"/>
      <c r="C238" s="124"/>
      <c r="D238" s="124"/>
      <c r="E238" s="124"/>
      <c r="F238" s="124"/>
      <c r="G238" s="124"/>
      <c r="H238" s="124"/>
      <c r="I238" s="124"/>
      <c r="J238" s="124"/>
      <c r="K238" s="124"/>
      <c r="L238" s="124"/>
      <c r="M238" s="124"/>
      <c r="N238" s="124"/>
      <c r="O238" s="124"/>
      <c r="P238" s="124"/>
      <c r="Q238" s="124"/>
      <c r="R238" s="124"/>
    </row>
    <row r="239">
      <c r="A239" s="124" t="str">
        <f>IFERROR(__xludf.DUMMYFUNCTION("""COMPUTED_VALUE"""),"#N/A")</f>
        <v>#N/A</v>
      </c>
      <c r="B239" s="124"/>
      <c r="C239" s="124"/>
      <c r="D239" s="124"/>
      <c r="E239" s="124"/>
      <c r="F239" s="124"/>
      <c r="G239" s="124"/>
      <c r="H239" s="124"/>
      <c r="I239" s="124"/>
      <c r="J239" s="124"/>
      <c r="K239" s="124"/>
      <c r="L239" s="124"/>
      <c r="M239" s="124"/>
      <c r="N239" s="124"/>
      <c r="O239" s="124"/>
      <c r="P239" s="124"/>
      <c r="Q239" s="124"/>
      <c r="R239" s="124"/>
    </row>
    <row r="240">
      <c r="A240" s="124" t="str">
        <f>IFERROR(__xludf.DUMMYFUNCTION("""COMPUTED_VALUE"""),"#N/A")</f>
        <v>#N/A</v>
      </c>
      <c r="B240" s="124"/>
      <c r="C240" s="124"/>
      <c r="D240" s="124"/>
      <c r="E240" s="124"/>
      <c r="F240" s="124"/>
      <c r="G240" s="124"/>
      <c r="H240" s="124"/>
      <c r="I240" s="124"/>
      <c r="J240" s="124"/>
      <c r="K240" s="124"/>
      <c r="L240" s="124"/>
      <c r="M240" s="124"/>
      <c r="N240" s="124"/>
      <c r="O240" s="124"/>
      <c r="P240" s="124"/>
      <c r="Q240" s="124"/>
      <c r="R240" s="124"/>
    </row>
    <row r="241">
      <c r="A241" s="124" t="str">
        <f>IFERROR(__xludf.DUMMYFUNCTION("""COMPUTED_VALUE"""),"#N/A")</f>
        <v>#N/A</v>
      </c>
      <c r="B241" s="124"/>
      <c r="C241" s="124"/>
      <c r="D241" s="124"/>
      <c r="E241" s="124"/>
      <c r="F241" s="124"/>
      <c r="G241" s="124"/>
      <c r="H241" s="124"/>
      <c r="I241" s="124"/>
      <c r="J241" s="124"/>
      <c r="K241" s="124"/>
      <c r="L241" s="124"/>
      <c r="M241" s="124"/>
      <c r="N241" s="124"/>
      <c r="O241" s="124"/>
      <c r="P241" s="124"/>
      <c r="Q241" s="124"/>
      <c r="R241" s="124"/>
    </row>
    <row r="242">
      <c r="A242" s="124" t="str">
        <f>IFERROR(__xludf.DUMMYFUNCTION("""COMPUTED_VALUE"""),"#N/A")</f>
        <v>#N/A</v>
      </c>
      <c r="B242" s="124"/>
      <c r="C242" s="124"/>
      <c r="D242" s="124"/>
      <c r="E242" s="124"/>
      <c r="F242" s="124"/>
      <c r="G242" s="124"/>
      <c r="H242" s="124"/>
      <c r="I242" s="124"/>
      <c r="J242" s="124"/>
      <c r="K242" s="124"/>
      <c r="L242" s="124"/>
      <c r="M242" s="124"/>
      <c r="N242" s="124"/>
      <c r="O242" s="124"/>
      <c r="P242" s="124"/>
      <c r="Q242" s="124"/>
      <c r="R242" s="124"/>
    </row>
    <row r="243">
      <c r="A243" s="124" t="str">
        <f>IFERROR(__xludf.DUMMYFUNCTION("""COMPUTED_VALUE"""),"#N/A")</f>
        <v>#N/A</v>
      </c>
      <c r="B243" s="124"/>
      <c r="C243" s="124"/>
      <c r="D243" s="124"/>
      <c r="E243" s="124"/>
      <c r="F243" s="124"/>
      <c r="G243" s="124"/>
      <c r="H243" s="124"/>
      <c r="I243" s="124"/>
      <c r="J243" s="124"/>
      <c r="K243" s="124"/>
      <c r="L243" s="124"/>
      <c r="M243" s="124"/>
      <c r="N243" s="124"/>
      <c r="O243" s="124"/>
      <c r="P243" s="124"/>
      <c r="Q243" s="124"/>
      <c r="R243" s="124"/>
    </row>
    <row r="244">
      <c r="A244" s="124" t="str">
        <f>IFERROR(__xludf.DUMMYFUNCTION("""COMPUTED_VALUE"""),"#N/A")</f>
        <v>#N/A</v>
      </c>
      <c r="B244" s="124"/>
      <c r="C244" s="124"/>
      <c r="D244" s="124"/>
      <c r="E244" s="124"/>
      <c r="F244" s="124"/>
      <c r="G244" s="124"/>
      <c r="H244" s="124"/>
      <c r="I244" s="124"/>
      <c r="J244" s="124"/>
      <c r="K244" s="124"/>
      <c r="L244" s="124"/>
      <c r="M244" s="124"/>
      <c r="N244" s="124"/>
      <c r="O244" s="124"/>
      <c r="P244" s="124"/>
      <c r="Q244" s="124"/>
      <c r="R244" s="124"/>
    </row>
    <row r="245">
      <c r="A245" s="124" t="str">
        <f>IFERROR(__xludf.DUMMYFUNCTION("""COMPUTED_VALUE"""),"#N/A")</f>
        <v>#N/A</v>
      </c>
      <c r="B245" s="124"/>
      <c r="C245" s="124"/>
      <c r="D245" s="124"/>
      <c r="E245" s="124"/>
      <c r="F245" s="124"/>
      <c r="G245" s="124"/>
      <c r="H245" s="124"/>
      <c r="I245" s="124"/>
      <c r="J245" s="124"/>
      <c r="K245" s="124"/>
      <c r="L245" s="124"/>
      <c r="M245" s="124"/>
      <c r="N245" s="124"/>
      <c r="O245" s="124"/>
      <c r="P245" s="124"/>
      <c r="Q245" s="124"/>
      <c r="R245" s="124"/>
    </row>
    <row r="246">
      <c r="A246" s="124" t="str">
        <f>IFERROR(__xludf.DUMMYFUNCTION("""COMPUTED_VALUE"""),"#N/A")</f>
        <v>#N/A</v>
      </c>
      <c r="B246" s="124"/>
      <c r="C246" s="124"/>
      <c r="D246" s="124"/>
      <c r="E246" s="124"/>
      <c r="F246" s="124"/>
      <c r="G246" s="124"/>
      <c r="H246" s="124"/>
      <c r="I246" s="124"/>
      <c r="J246" s="124"/>
      <c r="K246" s="124"/>
      <c r="L246" s="124"/>
      <c r="M246" s="124"/>
      <c r="N246" s="124"/>
      <c r="O246" s="124"/>
      <c r="P246" s="124"/>
      <c r="Q246" s="124"/>
      <c r="R246" s="124"/>
    </row>
    <row r="247">
      <c r="A247" s="124" t="str">
        <f>IFERROR(__xludf.DUMMYFUNCTION("""COMPUTED_VALUE"""),"#N/A")</f>
        <v>#N/A</v>
      </c>
      <c r="B247" s="124"/>
      <c r="C247" s="124"/>
      <c r="D247" s="124"/>
      <c r="E247" s="124"/>
      <c r="F247" s="124"/>
      <c r="G247" s="124"/>
      <c r="H247" s="124"/>
      <c r="I247" s="124"/>
      <c r="J247" s="124"/>
      <c r="K247" s="124"/>
      <c r="L247" s="124"/>
      <c r="M247" s="124"/>
      <c r="N247" s="124"/>
      <c r="O247" s="124"/>
      <c r="P247" s="124"/>
      <c r="Q247" s="124"/>
      <c r="R247" s="124"/>
    </row>
    <row r="248">
      <c r="A248" s="124" t="str">
        <f>IFERROR(__xludf.DUMMYFUNCTION("""COMPUTED_VALUE"""),"#N/A")</f>
        <v>#N/A</v>
      </c>
      <c r="B248" s="124"/>
      <c r="C248" s="124"/>
      <c r="D248" s="124"/>
      <c r="E248" s="124"/>
      <c r="F248" s="124"/>
      <c r="G248" s="124"/>
      <c r="H248" s="124"/>
      <c r="I248" s="124"/>
      <c r="J248" s="124"/>
      <c r="K248" s="124"/>
      <c r="L248" s="124"/>
      <c r="M248" s="124"/>
      <c r="N248" s="124"/>
      <c r="O248" s="124"/>
      <c r="P248" s="124"/>
      <c r="Q248" s="124"/>
      <c r="R248" s="124"/>
    </row>
    <row r="249">
      <c r="A249" s="124" t="str">
        <f>IFERROR(__xludf.DUMMYFUNCTION("""COMPUTED_VALUE"""),"#N/A")</f>
        <v>#N/A</v>
      </c>
      <c r="B249" s="124"/>
      <c r="C249" s="124"/>
      <c r="D249" s="124"/>
      <c r="E249" s="124"/>
      <c r="F249" s="124"/>
      <c r="G249" s="124"/>
      <c r="H249" s="124"/>
      <c r="I249" s="124"/>
      <c r="J249" s="124"/>
      <c r="K249" s="124"/>
      <c r="L249" s="124"/>
      <c r="M249" s="124"/>
      <c r="N249" s="124"/>
      <c r="O249" s="124"/>
      <c r="P249" s="124"/>
      <c r="Q249" s="124"/>
      <c r="R249" s="124"/>
    </row>
    <row r="250">
      <c r="A250" s="124" t="str">
        <f>IFERROR(__xludf.DUMMYFUNCTION("""COMPUTED_VALUE"""),"#N/A")</f>
        <v>#N/A</v>
      </c>
      <c r="B250" s="124"/>
      <c r="C250" s="124"/>
      <c r="D250" s="124"/>
      <c r="E250" s="124"/>
      <c r="F250" s="124"/>
      <c r="G250" s="124"/>
      <c r="H250" s="124"/>
      <c r="I250" s="124"/>
      <c r="J250" s="124"/>
      <c r="K250" s="124"/>
      <c r="L250" s="124"/>
      <c r="M250" s="124"/>
      <c r="N250" s="124"/>
      <c r="O250" s="124"/>
      <c r="P250" s="124"/>
      <c r="Q250" s="124"/>
      <c r="R250" s="124"/>
    </row>
    <row r="251">
      <c r="A251" s="124" t="str">
        <f>IFERROR(__xludf.DUMMYFUNCTION("""COMPUTED_VALUE"""),"#N/A")</f>
        <v>#N/A</v>
      </c>
      <c r="B251" s="124"/>
      <c r="C251" s="124"/>
      <c r="D251" s="124"/>
      <c r="E251" s="124"/>
      <c r="F251" s="124"/>
      <c r="G251" s="124"/>
      <c r="H251" s="124"/>
      <c r="I251" s="124"/>
      <c r="J251" s="124"/>
      <c r="K251" s="124"/>
      <c r="L251" s="124"/>
      <c r="M251" s="124"/>
      <c r="N251" s="124"/>
      <c r="O251" s="124"/>
      <c r="P251" s="124"/>
      <c r="Q251" s="124"/>
      <c r="R251" s="124"/>
    </row>
    <row r="252">
      <c r="A252" s="124" t="str">
        <f>IFERROR(__xludf.DUMMYFUNCTION("""COMPUTED_VALUE"""),"#N/A")</f>
        <v>#N/A</v>
      </c>
      <c r="B252" s="124"/>
      <c r="C252" s="124"/>
      <c r="D252" s="124"/>
      <c r="E252" s="124"/>
      <c r="F252" s="124"/>
      <c r="G252" s="124"/>
      <c r="H252" s="124"/>
      <c r="I252" s="124"/>
      <c r="J252" s="124"/>
      <c r="K252" s="124"/>
      <c r="L252" s="124"/>
      <c r="M252" s="124"/>
      <c r="N252" s="124"/>
      <c r="O252" s="124"/>
      <c r="P252" s="124"/>
      <c r="Q252" s="124"/>
      <c r="R252" s="124"/>
    </row>
    <row r="253">
      <c r="A253" s="124" t="str">
        <f>IFERROR(__xludf.DUMMYFUNCTION("""COMPUTED_VALUE"""),"#N/A")</f>
        <v>#N/A</v>
      </c>
      <c r="B253" s="124"/>
      <c r="C253" s="124"/>
      <c r="D253" s="124"/>
      <c r="E253" s="124"/>
      <c r="F253" s="124"/>
      <c r="G253" s="124"/>
      <c r="H253" s="124"/>
      <c r="I253" s="124"/>
      <c r="J253" s="124"/>
      <c r="K253" s="124"/>
      <c r="L253" s="124"/>
      <c r="M253" s="124"/>
      <c r="N253" s="124"/>
      <c r="O253" s="124"/>
      <c r="P253" s="124"/>
      <c r="Q253" s="124"/>
      <c r="R253" s="124"/>
    </row>
    <row r="254">
      <c r="A254" s="124" t="str">
        <f>IFERROR(__xludf.DUMMYFUNCTION("""COMPUTED_VALUE"""),"#N/A")</f>
        <v>#N/A</v>
      </c>
      <c r="B254" s="124"/>
      <c r="C254" s="124"/>
      <c r="D254" s="124"/>
      <c r="E254" s="124"/>
      <c r="F254" s="124"/>
      <c r="G254" s="124"/>
      <c r="H254" s="124"/>
      <c r="I254" s="124"/>
      <c r="J254" s="124"/>
      <c r="K254" s="124"/>
      <c r="L254" s="124"/>
      <c r="M254" s="124"/>
      <c r="N254" s="124"/>
      <c r="O254" s="124"/>
      <c r="P254" s="124"/>
      <c r="Q254" s="124"/>
      <c r="R254" s="124"/>
    </row>
    <row r="255">
      <c r="A255" s="124" t="str">
        <f>IFERROR(__xludf.DUMMYFUNCTION("""COMPUTED_VALUE"""),"#N/A")</f>
        <v>#N/A</v>
      </c>
      <c r="B255" s="124"/>
      <c r="C255" s="124"/>
      <c r="D255" s="124"/>
      <c r="E255" s="124"/>
      <c r="F255" s="124"/>
      <c r="G255" s="124"/>
      <c r="H255" s="124"/>
      <c r="I255" s="124"/>
      <c r="J255" s="124"/>
      <c r="K255" s="124"/>
      <c r="L255" s="124"/>
      <c r="M255" s="124"/>
      <c r="N255" s="124"/>
      <c r="O255" s="124"/>
      <c r="P255" s="124"/>
      <c r="Q255" s="124"/>
      <c r="R255" s="124"/>
    </row>
    <row r="256">
      <c r="A256" s="124" t="str">
        <f>IFERROR(__xludf.DUMMYFUNCTION("""COMPUTED_VALUE"""),"#N/A")</f>
        <v>#N/A</v>
      </c>
      <c r="B256" s="124"/>
      <c r="C256" s="124"/>
      <c r="D256" s="124"/>
      <c r="E256" s="124"/>
      <c r="F256" s="124"/>
      <c r="G256" s="124"/>
      <c r="H256" s="124"/>
      <c r="I256" s="124"/>
      <c r="J256" s="124"/>
      <c r="K256" s="124"/>
      <c r="L256" s="124"/>
      <c r="M256" s="124"/>
      <c r="N256" s="124"/>
      <c r="O256" s="124"/>
      <c r="P256" s="124"/>
      <c r="Q256" s="124"/>
      <c r="R256" s="124"/>
    </row>
    <row r="257">
      <c r="A257" s="124" t="str">
        <f>IFERROR(__xludf.DUMMYFUNCTION("""COMPUTED_VALUE"""),"#N/A")</f>
        <v>#N/A</v>
      </c>
      <c r="B257" s="124"/>
      <c r="C257" s="124"/>
      <c r="D257" s="124"/>
      <c r="E257" s="124"/>
      <c r="F257" s="124"/>
      <c r="G257" s="124"/>
      <c r="H257" s="124"/>
      <c r="I257" s="124"/>
      <c r="J257" s="124"/>
      <c r="K257" s="124"/>
      <c r="L257" s="124"/>
      <c r="M257" s="124"/>
      <c r="N257" s="124"/>
      <c r="O257" s="124"/>
      <c r="P257" s="124"/>
      <c r="Q257" s="124"/>
      <c r="R257" s="124"/>
    </row>
    <row r="258">
      <c r="A258" s="124" t="str">
        <f>IFERROR(__xludf.DUMMYFUNCTION("""COMPUTED_VALUE"""),"#N/A")</f>
        <v>#N/A</v>
      </c>
      <c r="B258" s="124"/>
      <c r="C258" s="124"/>
      <c r="D258" s="124"/>
      <c r="E258" s="124"/>
      <c r="F258" s="124"/>
      <c r="G258" s="124"/>
      <c r="H258" s="124"/>
      <c r="I258" s="124"/>
      <c r="J258" s="124"/>
      <c r="K258" s="124"/>
      <c r="L258" s="124"/>
      <c r="M258" s="124"/>
      <c r="N258" s="124"/>
      <c r="O258" s="124"/>
      <c r="P258" s="124"/>
      <c r="Q258" s="124"/>
      <c r="R258" s="124"/>
    </row>
    <row r="259">
      <c r="A259" s="124" t="str">
        <f>IFERROR(__xludf.DUMMYFUNCTION("""COMPUTED_VALUE"""),"#N/A")</f>
        <v>#N/A</v>
      </c>
      <c r="B259" s="124"/>
      <c r="C259" s="124"/>
      <c r="D259" s="124"/>
      <c r="E259" s="124"/>
      <c r="F259" s="124"/>
      <c r="G259" s="124"/>
      <c r="H259" s="124"/>
      <c r="I259" s="124"/>
      <c r="J259" s="124"/>
      <c r="K259" s="124"/>
      <c r="L259" s="124"/>
      <c r="M259" s="124"/>
      <c r="N259" s="124"/>
      <c r="O259" s="124"/>
      <c r="P259" s="124"/>
      <c r="Q259" s="124"/>
      <c r="R259" s="124"/>
    </row>
    <row r="260">
      <c r="A260" s="124" t="str">
        <f>IFERROR(__xludf.DUMMYFUNCTION("""COMPUTED_VALUE"""),"#N/A")</f>
        <v>#N/A</v>
      </c>
      <c r="B260" s="124"/>
      <c r="C260" s="124"/>
      <c r="D260" s="124"/>
      <c r="E260" s="124"/>
      <c r="F260" s="124"/>
      <c r="G260" s="124"/>
      <c r="H260" s="124"/>
      <c r="I260" s="124"/>
      <c r="J260" s="124"/>
      <c r="K260" s="124"/>
      <c r="L260" s="124"/>
      <c r="M260" s="124"/>
      <c r="N260" s="124"/>
      <c r="O260" s="124"/>
      <c r="P260" s="124"/>
      <c r="Q260" s="124"/>
      <c r="R260" s="124"/>
    </row>
    <row r="261">
      <c r="A261" s="124" t="str">
        <f>IFERROR(__xludf.DUMMYFUNCTION("""COMPUTED_VALUE"""),"#N/A")</f>
        <v>#N/A</v>
      </c>
      <c r="B261" s="124"/>
      <c r="C261" s="124"/>
      <c r="D261" s="124"/>
      <c r="E261" s="124"/>
      <c r="F261" s="124"/>
      <c r="G261" s="124"/>
      <c r="H261" s="124"/>
      <c r="I261" s="124"/>
      <c r="J261" s="124"/>
      <c r="K261" s="124"/>
      <c r="L261" s="124"/>
      <c r="M261" s="124"/>
      <c r="N261" s="124"/>
      <c r="O261" s="124"/>
      <c r="P261" s="124"/>
      <c r="Q261" s="124"/>
      <c r="R261" s="124"/>
    </row>
    <row r="262">
      <c r="A262" s="124" t="str">
        <f>IFERROR(__xludf.DUMMYFUNCTION("""COMPUTED_VALUE"""),"#N/A")</f>
        <v>#N/A</v>
      </c>
      <c r="B262" s="124"/>
      <c r="C262" s="124"/>
      <c r="D262" s="124"/>
      <c r="E262" s="124"/>
      <c r="F262" s="124"/>
      <c r="G262" s="124"/>
      <c r="H262" s="124"/>
      <c r="I262" s="124"/>
      <c r="J262" s="124"/>
      <c r="K262" s="124"/>
      <c r="L262" s="124"/>
      <c r="M262" s="124"/>
      <c r="N262" s="124"/>
      <c r="O262" s="124"/>
      <c r="P262" s="124"/>
      <c r="Q262" s="124"/>
      <c r="R262" s="124"/>
    </row>
    <row r="263">
      <c r="A263" s="124" t="str">
        <f>IFERROR(__xludf.DUMMYFUNCTION("""COMPUTED_VALUE"""),"#N/A")</f>
        <v>#N/A</v>
      </c>
      <c r="B263" s="124"/>
      <c r="C263" s="124"/>
      <c r="D263" s="124"/>
      <c r="E263" s="124"/>
      <c r="F263" s="124"/>
      <c r="G263" s="124"/>
      <c r="H263" s="124"/>
      <c r="I263" s="124"/>
      <c r="J263" s="124"/>
      <c r="K263" s="124"/>
      <c r="L263" s="124"/>
      <c r="M263" s="124"/>
      <c r="N263" s="124"/>
      <c r="O263" s="124"/>
      <c r="P263" s="124"/>
      <c r="Q263" s="124"/>
      <c r="R263" s="124"/>
    </row>
    <row r="264">
      <c r="A264" s="124" t="str">
        <f>IFERROR(__xludf.DUMMYFUNCTION("""COMPUTED_VALUE"""),"#N/A")</f>
        <v>#N/A</v>
      </c>
      <c r="B264" s="124"/>
      <c r="C264" s="124"/>
      <c r="D264" s="124"/>
      <c r="E264" s="124"/>
      <c r="F264" s="124"/>
      <c r="G264" s="124"/>
      <c r="H264" s="124"/>
      <c r="I264" s="124"/>
      <c r="J264" s="124"/>
      <c r="K264" s="124"/>
      <c r="L264" s="124"/>
      <c r="M264" s="124"/>
      <c r="N264" s="124"/>
      <c r="O264" s="124"/>
      <c r="P264" s="124"/>
      <c r="Q264" s="124"/>
      <c r="R264" s="124"/>
    </row>
    <row r="265">
      <c r="A265" s="124" t="str">
        <f>IFERROR(__xludf.DUMMYFUNCTION("""COMPUTED_VALUE"""),"#N/A")</f>
        <v>#N/A</v>
      </c>
      <c r="B265" s="124"/>
      <c r="C265" s="124"/>
      <c r="D265" s="124"/>
      <c r="E265" s="124"/>
      <c r="F265" s="124"/>
      <c r="G265" s="124"/>
      <c r="H265" s="124"/>
      <c r="I265" s="124"/>
      <c r="J265" s="124"/>
      <c r="K265" s="124"/>
      <c r="L265" s="124"/>
      <c r="M265" s="124"/>
      <c r="N265" s="124"/>
      <c r="O265" s="124"/>
      <c r="P265" s="124"/>
      <c r="Q265" s="124"/>
      <c r="R265" s="124"/>
    </row>
    <row r="266">
      <c r="A266" s="124" t="str">
        <f>IFERROR(__xludf.DUMMYFUNCTION("""COMPUTED_VALUE"""),"#N/A")</f>
        <v>#N/A</v>
      </c>
      <c r="B266" s="124"/>
      <c r="C266" s="124"/>
      <c r="D266" s="124"/>
      <c r="E266" s="124"/>
      <c r="F266" s="124"/>
      <c r="G266" s="124"/>
      <c r="H266" s="124"/>
      <c r="I266" s="124"/>
      <c r="J266" s="124"/>
      <c r="K266" s="124"/>
      <c r="L266" s="124"/>
      <c r="M266" s="124"/>
      <c r="N266" s="124"/>
      <c r="O266" s="124"/>
      <c r="P266" s="124"/>
      <c r="Q266" s="124"/>
      <c r="R266" s="124"/>
    </row>
    <row r="267">
      <c r="A267" s="124" t="str">
        <f>IFERROR(__xludf.DUMMYFUNCTION("""COMPUTED_VALUE"""),"#N/A")</f>
        <v>#N/A</v>
      </c>
      <c r="B267" s="124"/>
      <c r="C267" s="124"/>
      <c r="D267" s="124"/>
      <c r="E267" s="124"/>
      <c r="F267" s="124"/>
      <c r="G267" s="124"/>
      <c r="H267" s="124"/>
      <c r="I267" s="124"/>
      <c r="J267" s="124"/>
      <c r="K267" s="124"/>
      <c r="L267" s="124"/>
      <c r="M267" s="124"/>
      <c r="N267" s="124"/>
      <c r="O267" s="124"/>
      <c r="P267" s="124"/>
      <c r="Q267" s="124"/>
      <c r="R267" s="124"/>
    </row>
    <row r="268">
      <c r="A268" s="124" t="str">
        <f>IFERROR(__xludf.DUMMYFUNCTION("""COMPUTED_VALUE"""),"#N/A")</f>
        <v>#N/A</v>
      </c>
      <c r="B268" s="124"/>
      <c r="C268" s="124"/>
      <c r="D268" s="124"/>
      <c r="E268" s="124"/>
      <c r="F268" s="124"/>
      <c r="G268" s="124"/>
      <c r="H268" s="124"/>
      <c r="I268" s="124"/>
      <c r="J268" s="124"/>
      <c r="K268" s="124"/>
      <c r="L268" s="124"/>
      <c r="M268" s="124"/>
      <c r="N268" s="124"/>
      <c r="O268" s="124"/>
      <c r="P268" s="124"/>
      <c r="Q268" s="124"/>
      <c r="R268" s="124"/>
    </row>
    <row r="269">
      <c r="A269" s="124" t="str">
        <f>IFERROR(__xludf.DUMMYFUNCTION("""COMPUTED_VALUE"""),"#N/A")</f>
        <v>#N/A</v>
      </c>
      <c r="B269" s="124"/>
      <c r="C269" s="124"/>
      <c r="D269" s="124"/>
      <c r="E269" s="124"/>
      <c r="F269" s="124"/>
      <c r="G269" s="124"/>
      <c r="H269" s="124"/>
      <c r="I269" s="124"/>
      <c r="J269" s="124"/>
      <c r="K269" s="124"/>
      <c r="L269" s="124"/>
      <c r="M269" s="124"/>
      <c r="N269" s="124"/>
      <c r="O269" s="124"/>
      <c r="P269" s="124"/>
      <c r="Q269" s="124"/>
      <c r="R269" s="124"/>
    </row>
    <row r="270">
      <c r="A270" s="124" t="str">
        <f>IFERROR(__xludf.DUMMYFUNCTION("""COMPUTED_VALUE"""),"#N/A")</f>
        <v>#N/A</v>
      </c>
      <c r="B270" s="124"/>
      <c r="C270" s="124"/>
      <c r="D270" s="124"/>
      <c r="E270" s="124"/>
      <c r="F270" s="124"/>
      <c r="G270" s="124"/>
      <c r="H270" s="124"/>
      <c r="I270" s="124"/>
      <c r="J270" s="124"/>
      <c r="K270" s="124"/>
      <c r="L270" s="124"/>
      <c r="M270" s="124"/>
      <c r="N270" s="124"/>
      <c r="O270" s="124"/>
      <c r="P270" s="124"/>
      <c r="Q270" s="124"/>
      <c r="R270" s="124"/>
    </row>
    <row r="271">
      <c r="A271" s="124" t="str">
        <f>IFERROR(__xludf.DUMMYFUNCTION("""COMPUTED_VALUE"""),"#N/A")</f>
        <v>#N/A</v>
      </c>
      <c r="B271" s="124"/>
      <c r="C271" s="124"/>
      <c r="D271" s="124"/>
      <c r="E271" s="124"/>
      <c r="F271" s="124"/>
      <c r="G271" s="124"/>
      <c r="H271" s="124"/>
      <c r="I271" s="124"/>
      <c r="J271" s="124"/>
      <c r="K271" s="124"/>
      <c r="L271" s="124"/>
      <c r="M271" s="124"/>
      <c r="N271" s="124"/>
      <c r="O271" s="124"/>
      <c r="P271" s="124"/>
      <c r="Q271" s="124"/>
      <c r="R271" s="124"/>
    </row>
    <row r="272">
      <c r="A272" s="124" t="str">
        <f>IFERROR(__xludf.DUMMYFUNCTION("""COMPUTED_VALUE"""),"#N/A")</f>
        <v>#N/A</v>
      </c>
      <c r="B272" s="124"/>
      <c r="C272" s="124"/>
      <c r="D272" s="124"/>
      <c r="E272" s="124"/>
      <c r="F272" s="124"/>
      <c r="G272" s="124"/>
      <c r="H272" s="124"/>
      <c r="I272" s="124"/>
      <c r="J272" s="124"/>
      <c r="K272" s="124"/>
      <c r="L272" s="124"/>
      <c r="M272" s="124"/>
      <c r="N272" s="124"/>
      <c r="O272" s="124"/>
      <c r="P272" s="124"/>
      <c r="Q272" s="124"/>
      <c r="R272" s="124"/>
    </row>
    <row r="273">
      <c r="A273" s="124" t="str">
        <f>IFERROR(__xludf.DUMMYFUNCTION("""COMPUTED_VALUE"""),"#N/A")</f>
        <v>#N/A</v>
      </c>
      <c r="B273" s="124"/>
      <c r="C273" s="124"/>
      <c r="D273" s="124"/>
      <c r="E273" s="124"/>
      <c r="F273" s="124"/>
      <c r="G273" s="124"/>
      <c r="H273" s="124"/>
      <c r="I273" s="124"/>
      <c r="J273" s="124"/>
      <c r="K273" s="124"/>
      <c r="L273" s="124"/>
      <c r="M273" s="124"/>
      <c r="N273" s="124"/>
      <c r="O273" s="124"/>
      <c r="P273" s="124"/>
      <c r="Q273" s="124"/>
      <c r="R273" s="124"/>
    </row>
    <row r="274">
      <c r="A274" s="124" t="str">
        <f>IFERROR(__xludf.DUMMYFUNCTION("""COMPUTED_VALUE"""),"#N/A")</f>
        <v>#N/A</v>
      </c>
      <c r="B274" s="124"/>
      <c r="C274" s="124"/>
      <c r="D274" s="124"/>
      <c r="E274" s="124"/>
      <c r="F274" s="124"/>
      <c r="G274" s="124"/>
      <c r="H274" s="124"/>
      <c r="I274" s="124"/>
      <c r="J274" s="124"/>
      <c r="K274" s="124"/>
      <c r="L274" s="124"/>
      <c r="M274" s="124"/>
      <c r="N274" s="124"/>
      <c r="O274" s="124"/>
      <c r="P274" s="124"/>
      <c r="Q274" s="124"/>
      <c r="R274" s="124"/>
    </row>
    <row r="275">
      <c r="A275" s="124" t="str">
        <f>IFERROR(__xludf.DUMMYFUNCTION("""COMPUTED_VALUE"""),"#N/A")</f>
        <v>#N/A</v>
      </c>
      <c r="B275" s="124"/>
      <c r="C275" s="124"/>
      <c r="D275" s="124"/>
      <c r="E275" s="124"/>
      <c r="F275" s="124"/>
      <c r="G275" s="124"/>
      <c r="H275" s="124"/>
      <c r="I275" s="124"/>
      <c r="J275" s="124"/>
      <c r="K275" s="124"/>
      <c r="L275" s="124"/>
      <c r="M275" s="124"/>
      <c r="N275" s="124"/>
      <c r="O275" s="124"/>
      <c r="P275" s="124"/>
      <c r="Q275" s="124"/>
      <c r="R275" s="124"/>
    </row>
    <row r="276">
      <c r="A276" s="124" t="str">
        <f>IFERROR(__xludf.DUMMYFUNCTION("""COMPUTED_VALUE"""),"#N/A")</f>
        <v>#N/A</v>
      </c>
      <c r="B276" s="124"/>
      <c r="C276" s="124"/>
      <c r="D276" s="124"/>
      <c r="E276" s="124"/>
      <c r="F276" s="124"/>
      <c r="G276" s="124"/>
      <c r="H276" s="124"/>
      <c r="I276" s="124"/>
      <c r="J276" s="124"/>
      <c r="K276" s="124"/>
      <c r="L276" s="124"/>
      <c r="M276" s="124"/>
      <c r="N276" s="124"/>
      <c r="O276" s="124"/>
      <c r="P276" s="124"/>
      <c r="Q276" s="124"/>
      <c r="R276" s="124"/>
    </row>
    <row r="277">
      <c r="A277" s="124" t="str">
        <f>IFERROR(__xludf.DUMMYFUNCTION("""COMPUTED_VALUE"""),"#N/A")</f>
        <v>#N/A</v>
      </c>
      <c r="B277" s="124"/>
      <c r="C277" s="124"/>
      <c r="D277" s="124"/>
      <c r="E277" s="124"/>
      <c r="F277" s="124"/>
      <c r="G277" s="124"/>
      <c r="H277" s="124"/>
      <c r="I277" s="124"/>
      <c r="J277" s="124"/>
      <c r="K277" s="124"/>
      <c r="L277" s="124"/>
      <c r="M277" s="124"/>
      <c r="N277" s="124"/>
      <c r="O277" s="124"/>
      <c r="P277" s="124"/>
      <c r="Q277" s="124"/>
      <c r="R277" s="124"/>
    </row>
    <row r="278">
      <c r="A278" s="124" t="str">
        <f>IFERROR(__xludf.DUMMYFUNCTION("""COMPUTED_VALUE"""),"#N/A")</f>
        <v>#N/A</v>
      </c>
      <c r="B278" s="124"/>
      <c r="C278" s="124"/>
      <c r="D278" s="124"/>
      <c r="E278" s="124"/>
      <c r="F278" s="124"/>
      <c r="G278" s="124"/>
      <c r="H278" s="124"/>
      <c r="I278" s="124"/>
      <c r="J278" s="124"/>
      <c r="K278" s="124"/>
      <c r="L278" s="124"/>
      <c r="M278" s="124"/>
      <c r="N278" s="124"/>
      <c r="O278" s="124"/>
      <c r="P278" s="124"/>
      <c r="Q278" s="124"/>
      <c r="R278" s="124"/>
    </row>
    <row r="279">
      <c r="A279" s="124" t="str">
        <f>IFERROR(__xludf.DUMMYFUNCTION("""COMPUTED_VALUE"""),"#N/A")</f>
        <v>#N/A</v>
      </c>
      <c r="B279" s="124"/>
      <c r="C279" s="124"/>
      <c r="D279" s="124"/>
      <c r="E279" s="124"/>
      <c r="F279" s="124"/>
      <c r="G279" s="124"/>
      <c r="H279" s="124"/>
      <c r="I279" s="124"/>
      <c r="J279" s="124"/>
      <c r="K279" s="124"/>
      <c r="L279" s="124"/>
      <c r="M279" s="124"/>
      <c r="N279" s="124"/>
      <c r="O279" s="124"/>
      <c r="P279" s="124"/>
      <c r="Q279" s="124"/>
      <c r="R279" s="124"/>
    </row>
    <row r="280">
      <c r="A280" s="124" t="str">
        <f>IFERROR(__xludf.DUMMYFUNCTION("""COMPUTED_VALUE"""),"#N/A")</f>
        <v>#N/A</v>
      </c>
      <c r="B280" s="124"/>
      <c r="C280" s="124"/>
      <c r="D280" s="124"/>
      <c r="E280" s="124"/>
      <c r="F280" s="124"/>
      <c r="G280" s="124"/>
      <c r="H280" s="124"/>
      <c r="I280" s="124"/>
      <c r="J280" s="124"/>
      <c r="K280" s="124"/>
      <c r="L280" s="124"/>
      <c r="M280" s="124"/>
      <c r="N280" s="124"/>
      <c r="O280" s="124"/>
      <c r="P280" s="124"/>
      <c r="Q280" s="124"/>
      <c r="R280" s="124"/>
    </row>
    <row r="281">
      <c r="A281" s="124" t="str">
        <f>IFERROR(__xludf.DUMMYFUNCTION("""COMPUTED_VALUE"""),"#N/A")</f>
        <v>#N/A</v>
      </c>
      <c r="B281" s="124"/>
      <c r="C281" s="124"/>
      <c r="D281" s="124"/>
      <c r="E281" s="124"/>
      <c r="F281" s="124"/>
      <c r="G281" s="124"/>
      <c r="H281" s="124"/>
      <c r="I281" s="124"/>
      <c r="J281" s="124"/>
      <c r="K281" s="124"/>
      <c r="L281" s="124"/>
      <c r="M281" s="124"/>
      <c r="N281" s="124"/>
      <c r="O281" s="124"/>
      <c r="P281" s="124"/>
      <c r="Q281" s="124"/>
      <c r="R281" s="124"/>
    </row>
    <row r="282">
      <c r="A282" s="124" t="str">
        <f>IFERROR(__xludf.DUMMYFUNCTION("""COMPUTED_VALUE"""),"#N/A")</f>
        <v>#N/A</v>
      </c>
      <c r="B282" s="124"/>
      <c r="C282" s="124"/>
      <c r="D282" s="124"/>
      <c r="E282" s="124"/>
      <c r="F282" s="124"/>
      <c r="G282" s="124"/>
      <c r="H282" s="124"/>
      <c r="I282" s="124"/>
      <c r="J282" s="124"/>
      <c r="K282" s="124"/>
      <c r="L282" s="124"/>
      <c r="M282" s="124"/>
      <c r="N282" s="124"/>
      <c r="O282" s="124"/>
      <c r="P282" s="124"/>
      <c r="Q282" s="124"/>
      <c r="R282" s="124"/>
    </row>
    <row r="283">
      <c r="A283" s="124" t="str">
        <f>IFERROR(__xludf.DUMMYFUNCTION("""COMPUTED_VALUE"""),"#N/A")</f>
        <v>#N/A</v>
      </c>
      <c r="B283" s="124"/>
      <c r="C283" s="124"/>
      <c r="D283" s="124"/>
      <c r="E283" s="124"/>
      <c r="F283" s="124"/>
      <c r="G283" s="124"/>
      <c r="H283" s="124"/>
      <c r="I283" s="124"/>
      <c r="J283" s="124"/>
      <c r="K283" s="124"/>
      <c r="L283" s="124"/>
      <c r="M283" s="124"/>
      <c r="N283" s="124"/>
      <c r="O283" s="124"/>
      <c r="P283" s="124"/>
      <c r="Q283" s="124"/>
      <c r="R283" s="124"/>
    </row>
    <row r="284">
      <c r="A284" s="124" t="str">
        <f>IFERROR(__xludf.DUMMYFUNCTION("""COMPUTED_VALUE"""),"#N/A")</f>
        <v>#N/A</v>
      </c>
      <c r="B284" s="124"/>
      <c r="C284" s="124"/>
      <c r="D284" s="124"/>
      <c r="E284" s="124"/>
      <c r="F284" s="124"/>
      <c r="G284" s="124"/>
      <c r="H284" s="124"/>
      <c r="I284" s="124"/>
      <c r="J284" s="124"/>
      <c r="K284" s="124"/>
      <c r="L284" s="124"/>
      <c r="M284" s="124"/>
      <c r="N284" s="124"/>
      <c r="O284" s="124"/>
      <c r="P284" s="124"/>
      <c r="Q284" s="124"/>
      <c r="R284" s="124"/>
    </row>
    <row r="285">
      <c r="A285" s="124" t="str">
        <f>IFERROR(__xludf.DUMMYFUNCTION("""COMPUTED_VALUE"""),"#N/A")</f>
        <v>#N/A</v>
      </c>
      <c r="B285" s="124"/>
      <c r="C285" s="124"/>
      <c r="D285" s="124"/>
      <c r="E285" s="124"/>
      <c r="F285" s="124"/>
      <c r="G285" s="124"/>
      <c r="H285" s="124"/>
      <c r="I285" s="124"/>
      <c r="J285" s="124"/>
      <c r="K285" s="124"/>
      <c r="L285" s="124"/>
      <c r="M285" s="124"/>
      <c r="N285" s="124"/>
      <c r="O285" s="124"/>
      <c r="P285" s="124"/>
      <c r="Q285" s="124"/>
      <c r="R285" s="124"/>
    </row>
    <row r="286">
      <c r="A286" s="124" t="str">
        <f>IFERROR(__xludf.DUMMYFUNCTION("""COMPUTED_VALUE"""),"#N/A")</f>
        <v>#N/A</v>
      </c>
      <c r="B286" s="124"/>
      <c r="C286" s="124"/>
      <c r="D286" s="124"/>
      <c r="E286" s="124"/>
      <c r="F286" s="124"/>
      <c r="G286" s="124"/>
      <c r="H286" s="124"/>
      <c r="I286" s="124"/>
      <c r="J286" s="124"/>
      <c r="K286" s="124"/>
      <c r="L286" s="124"/>
      <c r="M286" s="124"/>
      <c r="N286" s="124"/>
      <c r="O286" s="124"/>
      <c r="P286" s="124"/>
      <c r="Q286" s="124"/>
      <c r="R286" s="124"/>
    </row>
    <row r="287">
      <c r="A287" s="124" t="str">
        <f>IFERROR(__xludf.DUMMYFUNCTION("""COMPUTED_VALUE"""),"#N/A")</f>
        <v>#N/A</v>
      </c>
      <c r="B287" s="124"/>
      <c r="C287" s="124"/>
      <c r="D287" s="124"/>
      <c r="E287" s="124"/>
      <c r="F287" s="124"/>
      <c r="G287" s="124"/>
      <c r="H287" s="124"/>
      <c r="I287" s="124"/>
      <c r="J287" s="124"/>
      <c r="K287" s="124"/>
      <c r="L287" s="124"/>
      <c r="M287" s="124"/>
      <c r="N287" s="124"/>
      <c r="O287" s="124"/>
      <c r="P287" s="124"/>
      <c r="Q287" s="124"/>
      <c r="R287" s="124"/>
    </row>
    <row r="288">
      <c r="A288" s="124" t="str">
        <f>IFERROR(__xludf.DUMMYFUNCTION("""COMPUTED_VALUE"""),"#N/A")</f>
        <v>#N/A</v>
      </c>
      <c r="B288" s="124"/>
      <c r="C288" s="124"/>
      <c r="D288" s="124"/>
      <c r="E288" s="124"/>
      <c r="F288" s="124"/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</row>
    <row r="289">
      <c r="A289" s="124" t="str">
        <f>IFERROR(__xludf.DUMMYFUNCTION("""COMPUTED_VALUE"""),"#N/A")</f>
        <v>#N/A</v>
      </c>
      <c r="B289" s="124"/>
      <c r="C289" s="124"/>
      <c r="D289" s="124"/>
      <c r="E289" s="124"/>
      <c r="F289" s="124"/>
      <c r="G289" s="124"/>
      <c r="H289" s="124"/>
      <c r="I289" s="124"/>
      <c r="J289" s="124"/>
      <c r="K289" s="124"/>
      <c r="L289" s="124"/>
      <c r="M289" s="124"/>
      <c r="N289" s="124"/>
      <c r="O289" s="124"/>
      <c r="P289" s="124"/>
      <c r="Q289" s="124"/>
      <c r="R289" s="124"/>
    </row>
    <row r="290">
      <c r="A290" s="124" t="str">
        <f>IFERROR(__xludf.DUMMYFUNCTION("""COMPUTED_VALUE"""),"#N/A")</f>
        <v>#N/A</v>
      </c>
      <c r="B290" s="124"/>
      <c r="C290" s="124"/>
      <c r="D290" s="124"/>
      <c r="E290" s="124"/>
      <c r="F290" s="124"/>
      <c r="G290" s="124"/>
      <c r="H290" s="124"/>
      <c r="I290" s="124"/>
      <c r="J290" s="124"/>
      <c r="K290" s="124"/>
      <c r="L290" s="124"/>
      <c r="M290" s="124"/>
      <c r="N290" s="124"/>
      <c r="O290" s="124"/>
      <c r="P290" s="124"/>
      <c r="Q290" s="124"/>
      <c r="R290" s="124"/>
    </row>
    <row r="291">
      <c r="A291" s="124" t="str">
        <f>IFERROR(__xludf.DUMMYFUNCTION("""COMPUTED_VALUE"""),"#N/A")</f>
        <v>#N/A</v>
      </c>
      <c r="B291" s="124"/>
      <c r="C291" s="124"/>
      <c r="D291" s="124"/>
      <c r="E291" s="124"/>
      <c r="F291" s="124"/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</row>
    <row r="292">
      <c r="A292" s="124" t="str">
        <f>IFERROR(__xludf.DUMMYFUNCTION("""COMPUTED_VALUE"""),"#N/A")</f>
        <v>#N/A</v>
      </c>
      <c r="B292" s="124"/>
      <c r="C292" s="124"/>
      <c r="D292" s="124"/>
      <c r="E292" s="124"/>
      <c r="F292" s="124"/>
      <c r="G292" s="124"/>
      <c r="H292" s="124"/>
      <c r="I292" s="124"/>
      <c r="J292" s="124"/>
      <c r="K292" s="124"/>
      <c r="L292" s="124"/>
      <c r="M292" s="124"/>
      <c r="N292" s="124"/>
      <c r="O292" s="124"/>
      <c r="P292" s="124"/>
      <c r="Q292" s="124"/>
      <c r="R292" s="124"/>
    </row>
    <row r="293">
      <c r="A293" s="124" t="str">
        <f>IFERROR(__xludf.DUMMYFUNCTION("""COMPUTED_VALUE"""),"#N/A")</f>
        <v>#N/A</v>
      </c>
      <c r="B293" s="124"/>
      <c r="C293" s="124"/>
      <c r="D293" s="124"/>
      <c r="E293" s="124"/>
      <c r="F293" s="124"/>
      <c r="G293" s="124"/>
      <c r="H293" s="124"/>
      <c r="I293" s="124"/>
      <c r="J293" s="124"/>
      <c r="K293" s="124"/>
      <c r="L293" s="124"/>
      <c r="M293" s="124"/>
      <c r="N293" s="124"/>
      <c r="O293" s="124"/>
      <c r="P293" s="124"/>
      <c r="Q293" s="124"/>
      <c r="R293" s="124"/>
    </row>
    <row r="294">
      <c r="A294" s="124" t="str">
        <f>IFERROR(__xludf.DUMMYFUNCTION("""COMPUTED_VALUE"""),"#N/A")</f>
        <v>#N/A</v>
      </c>
      <c r="B294" s="124"/>
      <c r="C294" s="124"/>
      <c r="D294" s="124"/>
      <c r="E294" s="124"/>
      <c r="F294" s="124"/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</row>
    <row r="295">
      <c r="A295" s="124" t="str">
        <f>IFERROR(__xludf.DUMMYFUNCTION("""COMPUTED_VALUE"""),"#N/A")</f>
        <v>#N/A</v>
      </c>
      <c r="B295" s="124"/>
      <c r="C295" s="124"/>
      <c r="D295" s="124"/>
      <c r="E295" s="124"/>
      <c r="F295" s="124"/>
      <c r="G295" s="124"/>
      <c r="H295" s="124"/>
      <c r="I295" s="124"/>
      <c r="J295" s="124"/>
      <c r="K295" s="124"/>
      <c r="L295" s="124"/>
      <c r="M295" s="124"/>
      <c r="N295" s="124"/>
      <c r="O295" s="124"/>
      <c r="P295" s="124"/>
      <c r="Q295" s="124"/>
      <c r="R295" s="124"/>
    </row>
    <row r="296">
      <c r="A296" s="124" t="str">
        <f>IFERROR(__xludf.DUMMYFUNCTION("""COMPUTED_VALUE"""),"#N/A")</f>
        <v>#N/A</v>
      </c>
      <c r="B296" s="124"/>
      <c r="C296" s="124"/>
      <c r="D296" s="124"/>
      <c r="E296" s="124"/>
      <c r="F296" s="124"/>
      <c r="G296" s="124"/>
      <c r="H296" s="124"/>
      <c r="I296" s="124"/>
      <c r="J296" s="124"/>
      <c r="K296" s="124"/>
      <c r="L296" s="124"/>
      <c r="M296" s="124"/>
      <c r="N296" s="124"/>
      <c r="O296" s="124"/>
      <c r="P296" s="124"/>
      <c r="Q296" s="124"/>
      <c r="R296" s="124"/>
    </row>
    <row r="297">
      <c r="A297" s="124" t="str">
        <f>IFERROR(__xludf.DUMMYFUNCTION("""COMPUTED_VALUE"""),"#N/A")</f>
        <v>#N/A</v>
      </c>
      <c r="B297" s="124"/>
      <c r="C297" s="124"/>
      <c r="D297" s="124"/>
      <c r="E297" s="124"/>
      <c r="F297" s="124"/>
      <c r="G297" s="124"/>
      <c r="H297" s="124"/>
      <c r="I297" s="124"/>
      <c r="J297" s="124"/>
      <c r="K297" s="124"/>
      <c r="L297" s="124"/>
      <c r="M297" s="124"/>
      <c r="N297" s="124"/>
      <c r="O297" s="124"/>
      <c r="P297" s="124"/>
      <c r="Q297" s="124"/>
      <c r="R297" s="124"/>
    </row>
    <row r="298">
      <c r="A298" s="124" t="str">
        <f>IFERROR(__xludf.DUMMYFUNCTION("""COMPUTED_VALUE"""),"#N/A")</f>
        <v>#N/A</v>
      </c>
      <c r="B298" s="124"/>
      <c r="C298" s="124"/>
      <c r="D298" s="124"/>
      <c r="E298" s="124"/>
      <c r="F298" s="124"/>
      <c r="G298" s="124"/>
      <c r="H298" s="124"/>
      <c r="I298" s="124"/>
      <c r="J298" s="124"/>
      <c r="K298" s="124"/>
      <c r="L298" s="124"/>
      <c r="M298" s="124"/>
      <c r="N298" s="124"/>
      <c r="O298" s="124"/>
      <c r="P298" s="124"/>
      <c r="Q298" s="124"/>
      <c r="R298" s="124"/>
    </row>
    <row r="299">
      <c r="A299" s="124" t="str">
        <f>IFERROR(__xludf.DUMMYFUNCTION("""COMPUTED_VALUE"""),"#N/A")</f>
        <v>#N/A</v>
      </c>
      <c r="B299" s="124"/>
      <c r="C299" s="124"/>
      <c r="D299" s="124"/>
      <c r="E299" s="124"/>
      <c r="F299" s="124"/>
      <c r="G299" s="124"/>
      <c r="H299" s="124"/>
      <c r="I299" s="124"/>
      <c r="J299" s="124"/>
      <c r="K299" s="124"/>
      <c r="L299" s="124"/>
      <c r="M299" s="124"/>
      <c r="N299" s="124"/>
      <c r="O299" s="124"/>
      <c r="P299" s="124"/>
      <c r="Q299" s="124"/>
      <c r="R299" s="124"/>
    </row>
    <row r="300">
      <c r="A300" s="124" t="str">
        <f>IFERROR(__xludf.DUMMYFUNCTION("""COMPUTED_VALUE"""),"#N/A")</f>
        <v>#N/A</v>
      </c>
      <c r="B300" s="124"/>
      <c r="C300" s="124"/>
      <c r="D300" s="124"/>
      <c r="E300" s="124"/>
      <c r="F300" s="124"/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</row>
    <row r="301">
      <c r="A301" s="124" t="str">
        <f>IFERROR(__xludf.DUMMYFUNCTION("""COMPUTED_VALUE"""),"#N/A")</f>
        <v>#N/A</v>
      </c>
      <c r="B301" s="124"/>
      <c r="C301" s="124"/>
      <c r="D301" s="124"/>
      <c r="E301" s="124"/>
      <c r="F301" s="124"/>
      <c r="G301" s="124"/>
      <c r="H301" s="124"/>
      <c r="I301" s="124"/>
      <c r="J301" s="124"/>
      <c r="K301" s="124"/>
      <c r="L301" s="124"/>
      <c r="M301" s="124"/>
      <c r="N301" s="124"/>
      <c r="O301" s="124"/>
      <c r="P301" s="124"/>
      <c r="Q301" s="124"/>
      <c r="R301" s="124"/>
    </row>
    <row r="302">
      <c r="A302" s="124" t="str">
        <f>IFERROR(__xludf.DUMMYFUNCTION("""COMPUTED_VALUE"""),"#N/A")</f>
        <v>#N/A</v>
      </c>
      <c r="B302" s="124"/>
      <c r="C302" s="124"/>
      <c r="D302" s="124"/>
      <c r="E302" s="124"/>
      <c r="F302" s="124"/>
      <c r="G302" s="124"/>
      <c r="H302" s="124"/>
      <c r="I302" s="124"/>
      <c r="J302" s="124"/>
      <c r="K302" s="124"/>
      <c r="L302" s="124"/>
      <c r="M302" s="124"/>
      <c r="N302" s="124"/>
      <c r="O302" s="124"/>
      <c r="P302" s="124"/>
      <c r="Q302" s="124"/>
      <c r="R302" s="124"/>
    </row>
    <row r="303">
      <c r="A303" s="124" t="str">
        <f>IFERROR(__xludf.DUMMYFUNCTION("""COMPUTED_VALUE"""),"#N/A")</f>
        <v>#N/A</v>
      </c>
      <c r="B303" s="124"/>
      <c r="C303" s="124"/>
      <c r="D303" s="124"/>
      <c r="E303" s="124"/>
      <c r="F303" s="124"/>
      <c r="G303" s="124"/>
      <c r="H303" s="124"/>
      <c r="I303" s="124"/>
      <c r="J303" s="124"/>
      <c r="K303" s="124"/>
      <c r="L303" s="124"/>
      <c r="M303" s="124"/>
      <c r="N303" s="124"/>
      <c r="O303" s="124"/>
      <c r="P303" s="124"/>
      <c r="Q303" s="124"/>
      <c r="R303" s="124"/>
    </row>
    <row r="304">
      <c r="A304" s="124" t="str">
        <f>IFERROR(__xludf.DUMMYFUNCTION("""COMPUTED_VALUE"""),"#N/A")</f>
        <v>#N/A</v>
      </c>
      <c r="B304" s="124"/>
      <c r="C304" s="124"/>
      <c r="D304" s="124"/>
      <c r="E304" s="124"/>
      <c r="F304" s="124"/>
      <c r="G304" s="124"/>
      <c r="H304" s="124"/>
      <c r="I304" s="124"/>
      <c r="J304" s="124"/>
      <c r="K304" s="124"/>
      <c r="L304" s="124"/>
      <c r="M304" s="124"/>
      <c r="N304" s="124"/>
      <c r="O304" s="124"/>
      <c r="P304" s="124"/>
      <c r="Q304" s="124"/>
      <c r="R304" s="124"/>
    </row>
    <row r="305">
      <c r="A305" s="124" t="str">
        <f>IFERROR(__xludf.DUMMYFUNCTION("""COMPUTED_VALUE"""),"#N/A")</f>
        <v>#N/A</v>
      </c>
      <c r="B305" s="124"/>
      <c r="C305" s="124"/>
      <c r="D305" s="124"/>
      <c r="E305" s="124"/>
      <c r="F305" s="124"/>
      <c r="G305" s="124"/>
      <c r="H305" s="124"/>
      <c r="I305" s="124"/>
      <c r="J305" s="124"/>
      <c r="K305" s="124"/>
      <c r="L305" s="124"/>
      <c r="M305" s="124"/>
      <c r="N305" s="124"/>
      <c r="O305" s="124"/>
      <c r="P305" s="124"/>
      <c r="Q305" s="124"/>
      <c r="R305" s="124"/>
    </row>
    <row r="306">
      <c r="A306" s="124" t="str">
        <f>IFERROR(__xludf.DUMMYFUNCTION("""COMPUTED_VALUE"""),"#N/A")</f>
        <v>#N/A</v>
      </c>
      <c r="B306" s="124"/>
      <c r="C306" s="124"/>
      <c r="D306" s="124"/>
      <c r="E306" s="124"/>
      <c r="F306" s="124"/>
      <c r="G306" s="124"/>
      <c r="H306" s="124"/>
      <c r="I306" s="124"/>
      <c r="J306" s="124"/>
      <c r="K306" s="124"/>
      <c r="L306" s="124"/>
      <c r="M306" s="124"/>
      <c r="N306" s="124"/>
      <c r="O306" s="124"/>
      <c r="P306" s="124"/>
      <c r="Q306" s="124"/>
      <c r="R306" s="124"/>
    </row>
    <row r="307">
      <c r="A307" s="124" t="str">
        <f>IFERROR(__xludf.DUMMYFUNCTION("""COMPUTED_VALUE"""),"#N/A")</f>
        <v>#N/A</v>
      </c>
      <c r="B307" s="124"/>
      <c r="C307" s="124"/>
      <c r="D307" s="124"/>
      <c r="E307" s="124"/>
      <c r="F307" s="124"/>
      <c r="G307" s="124"/>
      <c r="H307" s="124"/>
      <c r="I307" s="124"/>
      <c r="J307" s="124"/>
      <c r="K307" s="124"/>
      <c r="L307" s="124"/>
      <c r="M307" s="124"/>
      <c r="N307" s="124"/>
      <c r="O307" s="124"/>
      <c r="P307" s="124"/>
      <c r="Q307" s="124"/>
      <c r="R307" s="124"/>
    </row>
    <row r="308">
      <c r="A308" s="124" t="str">
        <f>IFERROR(__xludf.DUMMYFUNCTION("""COMPUTED_VALUE"""),"#N/A")</f>
        <v>#N/A</v>
      </c>
      <c r="B308" s="124"/>
      <c r="C308" s="124"/>
      <c r="D308" s="124"/>
      <c r="E308" s="124"/>
      <c r="F308" s="124"/>
      <c r="G308" s="124"/>
      <c r="H308" s="124"/>
      <c r="I308" s="124"/>
      <c r="J308" s="124"/>
      <c r="K308" s="124"/>
      <c r="L308" s="124"/>
      <c r="M308" s="124"/>
      <c r="N308" s="124"/>
      <c r="O308" s="124"/>
      <c r="P308" s="124"/>
      <c r="Q308" s="124"/>
      <c r="R308" s="124"/>
    </row>
    <row r="309">
      <c r="A309" s="124" t="str">
        <f>IFERROR(__xludf.DUMMYFUNCTION("""COMPUTED_VALUE"""),"#N/A")</f>
        <v>#N/A</v>
      </c>
      <c r="B309" s="124"/>
      <c r="C309" s="124"/>
      <c r="D309" s="124"/>
      <c r="E309" s="124"/>
      <c r="F309" s="124"/>
      <c r="G309" s="124"/>
      <c r="H309" s="124"/>
      <c r="I309" s="124"/>
      <c r="J309" s="124"/>
      <c r="K309" s="124"/>
      <c r="L309" s="124"/>
      <c r="M309" s="124"/>
      <c r="N309" s="124"/>
      <c r="O309" s="124"/>
      <c r="P309" s="124"/>
      <c r="Q309" s="124"/>
      <c r="R309" s="124"/>
    </row>
    <row r="310">
      <c r="A310" s="124" t="str">
        <f>IFERROR(__xludf.DUMMYFUNCTION("""COMPUTED_VALUE"""),"#N/A")</f>
        <v>#N/A</v>
      </c>
      <c r="B310" s="124"/>
      <c r="C310" s="124"/>
      <c r="D310" s="124"/>
      <c r="E310" s="124"/>
      <c r="F310" s="124"/>
      <c r="G310" s="124"/>
      <c r="H310" s="124"/>
      <c r="I310" s="124"/>
      <c r="J310" s="124"/>
      <c r="K310" s="124"/>
      <c r="L310" s="124"/>
      <c r="M310" s="124"/>
      <c r="N310" s="124"/>
      <c r="O310" s="124"/>
      <c r="P310" s="124"/>
      <c r="Q310" s="124"/>
      <c r="R310" s="124"/>
    </row>
    <row r="311">
      <c r="A311" s="124" t="str">
        <f>IFERROR(__xludf.DUMMYFUNCTION("""COMPUTED_VALUE"""),"#N/A")</f>
        <v>#N/A</v>
      </c>
      <c r="B311" s="124"/>
      <c r="C311" s="124"/>
      <c r="D311" s="124"/>
      <c r="E311" s="124"/>
      <c r="F311" s="124"/>
      <c r="G311" s="124"/>
      <c r="H311" s="124"/>
      <c r="I311" s="124"/>
      <c r="J311" s="124"/>
      <c r="K311" s="124"/>
      <c r="L311" s="124"/>
      <c r="M311" s="124"/>
      <c r="N311" s="124"/>
      <c r="O311" s="124"/>
      <c r="P311" s="124"/>
      <c r="Q311" s="124"/>
      <c r="R311" s="124"/>
    </row>
    <row r="312">
      <c r="A312" s="124" t="str">
        <f>IFERROR(__xludf.DUMMYFUNCTION("""COMPUTED_VALUE"""),"#N/A")</f>
        <v>#N/A</v>
      </c>
      <c r="B312" s="124"/>
      <c r="C312" s="124"/>
      <c r="D312" s="124"/>
      <c r="E312" s="124"/>
      <c r="F312" s="124"/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</row>
    <row r="313">
      <c r="A313" s="124" t="str">
        <f>IFERROR(__xludf.DUMMYFUNCTION("""COMPUTED_VALUE"""),"#N/A")</f>
        <v>#N/A</v>
      </c>
      <c r="B313" s="124"/>
      <c r="C313" s="124"/>
      <c r="D313" s="124"/>
      <c r="E313" s="124"/>
      <c r="F313" s="124"/>
      <c r="G313" s="124"/>
      <c r="H313" s="124"/>
      <c r="I313" s="124"/>
      <c r="J313" s="124"/>
      <c r="K313" s="124"/>
      <c r="L313" s="124"/>
      <c r="M313" s="124"/>
      <c r="N313" s="124"/>
      <c r="O313" s="124"/>
      <c r="P313" s="124"/>
      <c r="Q313" s="124"/>
      <c r="R313" s="124"/>
    </row>
    <row r="314">
      <c r="A314" s="124" t="str">
        <f>IFERROR(__xludf.DUMMYFUNCTION("""COMPUTED_VALUE"""),"#N/A")</f>
        <v>#N/A</v>
      </c>
      <c r="B314" s="124"/>
      <c r="C314" s="124"/>
      <c r="D314" s="124"/>
      <c r="E314" s="124"/>
      <c r="F314" s="124"/>
      <c r="G314" s="124"/>
      <c r="H314" s="124"/>
      <c r="I314" s="124"/>
      <c r="J314" s="124"/>
      <c r="K314" s="124"/>
      <c r="L314" s="124"/>
      <c r="M314" s="124"/>
      <c r="N314" s="124"/>
      <c r="O314" s="124"/>
      <c r="P314" s="124"/>
      <c r="Q314" s="124"/>
      <c r="R314" s="124"/>
    </row>
    <row r="315">
      <c r="A315" s="124" t="str">
        <f>IFERROR(__xludf.DUMMYFUNCTION("""COMPUTED_VALUE"""),"#N/A")</f>
        <v>#N/A</v>
      </c>
      <c r="B315" s="124"/>
      <c r="C315" s="124"/>
      <c r="D315" s="124"/>
      <c r="E315" s="124"/>
      <c r="F315" s="124"/>
      <c r="G315" s="124"/>
      <c r="H315" s="124"/>
      <c r="I315" s="124"/>
      <c r="J315" s="124"/>
      <c r="K315" s="124"/>
      <c r="L315" s="124"/>
      <c r="M315" s="124"/>
      <c r="N315" s="124"/>
      <c r="O315" s="124"/>
      <c r="P315" s="124"/>
      <c r="Q315" s="124"/>
      <c r="R315" s="124"/>
    </row>
    <row r="316">
      <c r="A316" s="124" t="str">
        <f>IFERROR(__xludf.DUMMYFUNCTION("""COMPUTED_VALUE"""),"#N/A")</f>
        <v>#N/A</v>
      </c>
      <c r="B316" s="124"/>
      <c r="C316" s="124"/>
      <c r="D316" s="124"/>
      <c r="E316" s="124"/>
      <c r="F316" s="124"/>
      <c r="G316" s="124"/>
      <c r="H316" s="124"/>
      <c r="I316" s="124"/>
      <c r="J316" s="124"/>
      <c r="K316" s="124"/>
      <c r="L316" s="124"/>
      <c r="M316" s="124"/>
      <c r="N316" s="124"/>
      <c r="O316" s="124"/>
      <c r="P316" s="124"/>
      <c r="Q316" s="124"/>
      <c r="R316" s="124"/>
    </row>
    <row r="317">
      <c r="A317" s="124" t="str">
        <f>IFERROR(__xludf.DUMMYFUNCTION("""COMPUTED_VALUE"""),"#N/A")</f>
        <v>#N/A</v>
      </c>
      <c r="B317" s="124"/>
      <c r="C317" s="124"/>
      <c r="D317" s="124"/>
      <c r="E317" s="124"/>
      <c r="F317" s="124"/>
      <c r="G317" s="124"/>
      <c r="H317" s="124"/>
      <c r="I317" s="124"/>
      <c r="J317" s="124"/>
      <c r="K317" s="124"/>
      <c r="L317" s="124"/>
      <c r="M317" s="124"/>
      <c r="N317" s="124"/>
      <c r="O317" s="124"/>
      <c r="P317" s="124"/>
      <c r="Q317" s="124"/>
      <c r="R317" s="124"/>
    </row>
    <row r="318">
      <c r="A318" s="124" t="str">
        <f>IFERROR(__xludf.DUMMYFUNCTION("""COMPUTED_VALUE"""),"#N/A")</f>
        <v>#N/A</v>
      </c>
      <c r="B318" s="124"/>
      <c r="C318" s="124"/>
      <c r="D318" s="124"/>
      <c r="E318" s="124"/>
      <c r="F318" s="124"/>
      <c r="G318" s="124"/>
      <c r="H318" s="124"/>
      <c r="I318" s="124"/>
      <c r="J318" s="124"/>
      <c r="K318" s="124"/>
      <c r="L318" s="124"/>
      <c r="M318" s="124"/>
      <c r="N318" s="124"/>
      <c r="O318" s="124"/>
      <c r="P318" s="124"/>
      <c r="Q318" s="124"/>
      <c r="R318" s="124"/>
    </row>
    <row r="319">
      <c r="A319" s="124" t="str">
        <f>IFERROR(__xludf.DUMMYFUNCTION("""COMPUTED_VALUE"""),"#N/A")</f>
        <v>#N/A</v>
      </c>
      <c r="B319" s="124"/>
      <c r="C319" s="124"/>
      <c r="D319" s="124"/>
      <c r="E319" s="124"/>
      <c r="F319" s="124"/>
      <c r="G319" s="124"/>
      <c r="H319" s="124"/>
      <c r="I319" s="124"/>
      <c r="J319" s="124"/>
      <c r="K319" s="124"/>
      <c r="L319" s="124"/>
      <c r="M319" s="124"/>
      <c r="N319" s="124"/>
      <c r="O319" s="124"/>
      <c r="P319" s="124"/>
      <c r="Q319" s="124"/>
      <c r="R319" s="124"/>
    </row>
    <row r="320">
      <c r="A320" s="124" t="str">
        <f>IFERROR(__xludf.DUMMYFUNCTION("""COMPUTED_VALUE"""),"#N/A")</f>
        <v>#N/A</v>
      </c>
      <c r="B320" s="124"/>
      <c r="C320" s="124"/>
      <c r="D320" s="124"/>
      <c r="E320" s="124"/>
      <c r="F320" s="124"/>
      <c r="G320" s="124"/>
      <c r="H320" s="124"/>
      <c r="I320" s="124"/>
      <c r="J320" s="124"/>
      <c r="K320" s="124"/>
      <c r="L320" s="124"/>
      <c r="M320" s="124"/>
      <c r="N320" s="124"/>
      <c r="O320" s="124"/>
      <c r="P320" s="124"/>
      <c r="Q320" s="124"/>
      <c r="R320" s="124"/>
    </row>
    <row r="321">
      <c r="A321" s="124" t="str">
        <f>IFERROR(__xludf.DUMMYFUNCTION("""COMPUTED_VALUE"""),"#N/A")</f>
        <v>#N/A</v>
      </c>
      <c r="B321" s="124"/>
      <c r="C321" s="124"/>
      <c r="D321" s="124"/>
      <c r="E321" s="124"/>
      <c r="F321" s="124"/>
      <c r="G321" s="124"/>
      <c r="H321" s="124"/>
      <c r="I321" s="124"/>
      <c r="J321" s="124"/>
      <c r="K321" s="124"/>
      <c r="L321" s="124"/>
      <c r="M321" s="124"/>
      <c r="N321" s="124"/>
      <c r="O321" s="124"/>
      <c r="P321" s="124"/>
      <c r="Q321" s="124"/>
      <c r="R321" s="124"/>
    </row>
    <row r="322">
      <c r="A322" s="124" t="str">
        <f>IFERROR(__xludf.DUMMYFUNCTION("""COMPUTED_VALUE"""),"#N/A")</f>
        <v>#N/A</v>
      </c>
      <c r="B322" s="124"/>
      <c r="C322" s="124"/>
      <c r="D322" s="124"/>
      <c r="E322" s="124"/>
      <c r="F322" s="124"/>
      <c r="G322" s="124"/>
      <c r="H322" s="124"/>
      <c r="I322" s="124"/>
      <c r="J322" s="124"/>
      <c r="K322" s="124"/>
      <c r="L322" s="124"/>
      <c r="M322" s="124"/>
      <c r="N322" s="124"/>
      <c r="O322" s="124"/>
      <c r="P322" s="124"/>
      <c r="Q322" s="124"/>
      <c r="R322" s="124"/>
    </row>
    <row r="323">
      <c r="A323" s="124" t="str">
        <f>IFERROR(__xludf.DUMMYFUNCTION("""COMPUTED_VALUE"""),"#N/A")</f>
        <v>#N/A</v>
      </c>
      <c r="B323" s="124"/>
      <c r="C323" s="124"/>
      <c r="D323" s="124"/>
      <c r="E323" s="124"/>
      <c r="F323" s="124"/>
      <c r="G323" s="124"/>
      <c r="H323" s="124"/>
      <c r="I323" s="124"/>
      <c r="J323" s="124"/>
      <c r="K323" s="124"/>
      <c r="L323" s="124"/>
      <c r="M323" s="124"/>
      <c r="N323" s="124"/>
      <c r="O323" s="124"/>
      <c r="P323" s="124"/>
      <c r="Q323" s="124"/>
      <c r="R323" s="124"/>
    </row>
    <row r="324">
      <c r="A324" s="124" t="str">
        <f>IFERROR(__xludf.DUMMYFUNCTION("""COMPUTED_VALUE"""),"#N/A")</f>
        <v>#N/A</v>
      </c>
      <c r="B324" s="124"/>
      <c r="C324" s="124"/>
      <c r="D324" s="124"/>
      <c r="E324" s="124"/>
      <c r="F324" s="124"/>
      <c r="G324" s="124"/>
      <c r="H324" s="124"/>
      <c r="I324" s="124"/>
      <c r="J324" s="124"/>
      <c r="K324" s="124"/>
      <c r="L324" s="124"/>
      <c r="M324" s="124"/>
      <c r="N324" s="124"/>
      <c r="O324" s="124"/>
      <c r="P324" s="124"/>
      <c r="Q324" s="124"/>
      <c r="R324" s="124"/>
    </row>
    <row r="325">
      <c r="A325" s="124" t="str">
        <f>IFERROR(__xludf.DUMMYFUNCTION("""COMPUTED_VALUE"""),"#N/A")</f>
        <v>#N/A</v>
      </c>
      <c r="B325" s="124"/>
      <c r="C325" s="124"/>
      <c r="D325" s="124"/>
      <c r="E325" s="124"/>
      <c r="F325" s="124"/>
      <c r="G325" s="124"/>
      <c r="H325" s="124"/>
      <c r="I325" s="124"/>
      <c r="J325" s="124"/>
      <c r="K325" s="124"/>
      <c r="L325" s="124"/>
      <c r="M325" s="124"/>
      <c r="N325" s="124"/>
      <c r="O325" s="124"/>
      <c r="P325" s="124"/>
      <c r="Q325" s="124"/>
      <c r="R325" s="124"/>
    </row>
    <row r="326">
      <c r="A326" s="124" t="str">
        <f>IFERROR(__xludf.DUMMYFUNCTION("""COMPUTED_VALUE"""),"#N/A")</f>
        <v>#N/A</v>
      </c>
      <c r="B326" s="124"/>
      <c r="C326" s="124"/>
      <c r="D326" s="124"/>
      <c r="E326" s="124"/>
      <c r="F326" s="124"/>
      <c r="G326" s="124"/>
      <c r="H326" s="124"/>
      <c r="I326" s="124"/>
      <c r="J326" s="124"/>
      <c r="K326" s="124"/>
      <c r="L326" s="124"/>
      <c r="M326" s="124"/>
      <c r="N326" s="124"/>
      <c r="O326" s="124"/>
      <c r="P326" s="124"/>
      <c r="Q326" s="124"/>
      <c r="R326" s="124"/>
    </row>
    <row r="327">
      <c r="A327" s="124" t="str">
        <f>IFERROR(__xludf.DUMMYFUNCTION("""COMPUTED_VALUE"""),"#N/A")</f>
        <v>#N/A</v>
      </c>
      <c r="B327" s="124"/>
      <c r="C327" s="124"/>
      <c r="D327" s="124"/>
      <c r="E327" s="124"/>
      <c r="F327" s="124"/>
      <c r="G327" s="124"/>
      <c r="H327" s="124"/>
      <c r="I327" s="124"/>
      <c r="J327" s="124"/>
      <c r="K327" s="124"/>
      <c r="L327" s="124"/>
      <c r="M327" s="124"/>
      <c r="N327" s="124"/>
      <c r="O327" s="124"/>
      <c r="P327" s="124"/>
      <c r="Q327" s="124"/>
      <c r="R327" s="124"/>
    </row>
    <row r="328">
      <c r="A328" s="124" t="str">
        <f>IFERROR(__xludf.DUMMYFUNCTION("""COMPUTED_VALUE"""),"#N/A")</f>
        <v>#N/A</v>
      </c>
      <c r="B328" s="124"/>
      <c r="C328" s="124"/>
      <c r="D328" s="124"/>
      <c r="E328" s="124"/>
      <c r="F328" s="124"/>
      <c r="G328" s="124"/>
      <c r="H328" s="124"/>
      <c r="I328" s="124"/>
      <c r="J328" s="124"/>
      <c r="K328" s="124"/>
      <c r="L328" s="124"/>
      <c r="M328" s="124"/>
      <c r="N328" s="124"/>
      <c r="O328" s="124"/>
      <c r="P328" s="124"/>
      <c r="Q328" s="124"/>
      <c r="R328" s="124"/>
    </row>
    <row r="329">
      <c r="A329" s="124" t="str">
        <f>IFERROR(__xludf.DUMMYFUNCTION("""COMPUTED_VALUE"""),"#N/A")</f>
        <v>#N/A</v>
      </c>
      <c r="B329" s="124"/>
      <c r="C329" s="124"/>
      <c r="D329" s="124"/>
      <c r="E329" s="124"/>
      <c r="F329" s="124"/>
      <c r="G329" s="124"/>
      <c r="H329" s="124"/>
      <c r="I329" s="124"/>
      <c r="J329" s="124"/>
      <c r="K329" s="124"/>
      <c r="L329" s="124"/>
      <c r="M329" s="124"/>
      <c r="N329" s="124"/>
      <c r="O329" s="124"/>
      <c r="P329" s="124"/>
      <c r="Q329" s="124"/>
      <c r="R329" s="124"/>
    </row>
    <row r="330">
      <c r="A330" s="124" t="str">
        <f>IFERROR(__xludf.DUMMYFUNCTION("""COMPUTED_VALUE"""),"#N/A")</f>
        <v>#N/A</v>
      </c>
      <c r="B330" s="124"/>
      <c r="C330" s="124"/>
      <c r="D330" s="124"/>
      <c r="E330" s="124"/>
      <c r="F330" s="124"/>
      <c r="G330" s="124"/>
      <c r="H330" s="124"/>
      <c r="I330" s="124"/>
      <c r="J330" s="124"/>
      <c r="K330" s="124"/>
      <c r="L330" s="124"/>
      <c r="M330" s="124"/>
      <c r="N330" s="124"/>
      <c r="O330" s="124"/>
      <c r="P330" s="124"/>
      <c r="Q330" s="124"/>
      <c r="R330" s="124"/>
    </row>
    <row r="331">
      <c r="A331" s="124" t="str">
        <f>IFERROR(__xludf.DUMMYFUNCTION("""COMPUTED_VALUE"""),"#N/A")</f>
        <v>#N/A</v>
      </c>
      <c r="B331" s="124"/>
      <c r="C331" s="124"/>
      <c r="D331" s="124"/>
      <c r="E331" s="124"/>
      <c r="F331" s="124"/>
      <c r="G331" s="124"/>
      <c r="H331" s="124"/>
      <c r="I331" s="124"/>
      <c r="J331" s="124"/>
      <c r="K331" s="124"/>
      <c r="L331" s="124"/>
      <c r="M331" s="124"/>
      <c r="N331" s="124"/>
      <c r="O331" s="124"/>
      <c r="P331" s="124"/>
      <c r="Q331" s="124"/>
      <c r="R331" s="124"/>
    </row>
    <row r="332">
      <c r="A332" s="124" t="str">
        <f>IFERROR(__xludf.DUMMYFUNCTION("""COMPUTED_VALUE"""),"#N/A")</f>
        <v>#N/A</v>
      </c>
      <c r="B332" s="124"/>
      <c r="C332" s="124"/>
      <c r="D332" s="124"/>
      <c r="E332" s="124"/>
      <c r="F332" s="124"/>
      <c r="G332" s="124"/>
      <c r="H332" s="124"/>
      <c r="I332" s="124"/>
      <c r="J332" s="124"/>
      <c r="K332" s="124"/>
      <c r="L332" s="124"/>
      <c r="M332" s="124"/>
      <c r="N332" s="124"/>
      <c r="O332" s="124"/>
      <c r="P332" s="124"/>
      <c r="Q332" s="124"/>
      <c r="R332" s="124"/>
    </row>
    <row r="333">
      <c r="A333" s="124" t="str">
        <f>IFERROR(__xludf.DUMMYFUNCTION("""COMPUTED_VALUE"""),"#N/A")</f>
        <v>#N/A</v>
      </c>
      <c r="B333" s="124"/>
      <c r="C333" s="124"/>
      <c r="D333" s="124"/>
      <c r="E333" s="124"/>
      <c r="F333" s="124"/>
      <c r="G333" s="124"/>
      <c r="H333" s="124"/>
      <c r="I333" s="124"/>
      <c r="J333" s="124"/>
      <c r="K333" s="124"/>
      <c r="L333" s="124"/>
      <c r="M333" s="124"/>
      <c r="N333" s="124"/>
      <c r="O333" s="124"/>
      <c r="P333" s="124"/>
      <c r="Q333" s="124"/>
      <c r="R333" s="124"/>
    </row>
    <row r="334">
      <c r="A334" s="124" t="str">
        <f>IFERROR(__xludf.DUMMYFUNCTION("""COMPUTED_VALUE"""),"#N/A")</f>
        <v>#N/A</v>
      </c>
      <c r="B334" s="124"/>
      <c r="C334" s="124"/>
      <c r="D334" s="124"/>
      <c r="E334" s="124"/>
      <c r="F334" s="124"/>
      <c r="G334" s="124"/>
      <c r="H334" s="124"/>
      <c r="I334" s="124"/>
      <c r="J334" s="124"/>
      <c r="K334" s="124"/>
      <c r="L334" s="124"/>
      <c r="M334" s="124"/>
      <c r="N334" s="124"/>
      <c r="O334" s="124"/>
      <c r="P334" s="124"/>
      <c r="Q334" s="124"/>
      <c r="R334" s="124"/>
    </row>
    <row r="335">
      <c r="A335" s="124" t="str">
        <f>IFERROR(__xludf.DUMMYFUNCTION("""COMPUTED_VALUE"""),"#N/A")</f>
        <v>#N/A</v>
      </c>
      <c r="B335" s="124"/>
      <c r="C335" s="124"/>
      <c r="D335" s="124"/>
      <c r="E335" s="124"/>
      <c r="F335" s="124"/>
      <c r="G335" s="124"/>
      <c r="H335" s="124"/>
      <c r="I335" s="124"/>
      <c r="J335" s="124"/>
      <c r="K335" s="124"/>
      <c r="L335" s="124"/>
      <c r="M335" s="124"/>
      <c r="N335" s="124"/>
      <c r="O335" s="124"/>
      <c r="P335" s="124"/>
      <c r="Q335" s="124"/>
      <c r="R335" s="124"/>
    </row>
    <row r="336">
      <c r="A336" s="124" t="str">
        <f>IFERROR(__xludf.DUMMYFUNCTION("""COMPUTED_VALUE"""),"#N/A")</f>
        <v>#N/A</v>
      </c>
      <c r="B336" s="124"/>
      <c r="C336" s="124"/>
      <c r="D336" s="124"/>
      <c r="E336" s="124"/>
      <c r="F336" s="124"/>
      <c r="G336" s="124"/>
      <c r="H336" s="124"/>
      <c r="I336" s="124"/>
      <c r="J336" s="124"/>
      <c r="K336" s="124"/>
      <c r="L336" s="124"/>
      <c r="M336" s="124"/>
      <c r="N336" s="124"/>
      <c r="O336" s="124"/>
      <c r="P336" s="124"/>
      <c r="Q336" s="124"/>
      <c r="R336" s="124"/>
    </row>
    <row r="337">
      <c r="A337" s="124" t="str">
        <f>IFERROR(__xludf.DUMMYFUNCTION("""COMPUTED_VALUE"""),"#N/A")</f>
        <v>#N/A</v>
      </c>
      <c r="B337" s="124"/>
      <c r="C337" s="124"/>
      <c r="D337" s="124"/>
      <c r="E337" s="124"/>
      <c r="F337" s="124"/>
      <c r="G337" s="124"/>
      <c r="H337" s="124"/>
      <c r="I337" s="124"/>
      <c r="J337" s="124"/>
      <c r="K337" s="124"/>
      <c r="L337" s="124"/>
      <c r="M337" s="124"/>
      <c r="N337" s="124"/>
      <c r="O337" s="124"/>
      <c r="P337" s="124"/>
      <c r="Q337" s="124"/>
      <c r="R337" s="124"/>
    </row>
    <row r="338">
      <c r="A338" s="124" t="str">
        <f>IFERROR(__xludf.DUMMYFUNCTION("""COMPUTED_VALUE"""),"#N/A")</f>
        <v>#N/A</v>
      </c>
      <c r="B338" s="124"/>
      <c r="C338" s="124"/>
      <c r="D338" s="124"/>
      <c r="E338" s="124"/>
      <c r="F338" s="124"/>
      <c r="G338" s="124"/>
      <c r="H338" s="124"/>
      <c r="I338" s="124"/>
      <c r="J338" s="124"/>
      <c r="K338" s="124"/>
      <c r="L338" s="124"/>
      <c r="M338" s="124"/>
      <c r="N338" s="124"/>
      <c r="O338" s="124"/>
      <c r="P338" s="124"/>
      <c r="Q338" s="124"/>
      <c r="R338" s="124"/>
    </row>
    <row r="339">
      <c r="A339" s="124" t="str">
        <f>IFERROR(__xludf.DUMMYFUNCTION("""COMPUTED_VALUE"""),"#N/A")</f>
        <v>#N/A</v>
      </c>
      <c r="B339" s="124"/>
      <c r="C339" s="124"/>
      <c r="D339" s="124"/>
      <c r="E339" s="124"/>
      <c r="F339" s="124"/>
      <c r="G339" s="124"/>
      <c r="H339" s="124"/>
      <c r="I339" s="124"/>
      <c r="J339" s="124"/>
      <c r="K339" s="124"/>
      <c r="L339" s="124"/>
      <c r="M339" s="124"/>
      <c r="N339" s="124"/>
      <c r="O339" s="124"/>
      <c r="P339" s="124"/>
      <c r="Q339" s="124"/>
      <c r="R339" s="124"/>
    </row>
    <row r="340">
      <c r="A340" s="124" t="str">
        <f>IFERROR(__xludf.DUMMYFUNCTION("""COMPUTED_VALUE"""),"#N/A")</f>
        <v>#N/A</v>
      </c>
      <c r="B340" s="124"/>
      <c r="C340" s="124"/>
      <c r="D340" s="124"/>
      <c r="E340" s="124"/>
      <c r="F340" s="124"/>
      <c r="G340" s="124"/>
      <c r="H340" s="124"/>
      <c r="I340" s="124"/>
      <c r="J340" s="124"/>
      <c r="K340" s="124"/>
      <c r="L340" s="124"/>
      <c r="M340" s="124"/>
      <c r="N340" s="124"/>
      <c r="O340" s="124"/>
      <c r="P340" s="124"/>
      <c r="Q340" s="124"/>
      <c r="R340" s="124"/>
    </row>
    <row r="341">
      <c r="A341" s="124" t="str">
        <f>IFERROR(__xludf.DUMMYFUNCTION("""COMPUTED_VALUE"""),"#N/A")</f>
        <v>#N/A</v>
      </c>
      <c r="B341" s="124"/>
      <c r="C341" s="124"/>
      <c r="D341" s="124"/>
      <c r="E341" s="124"/>
      <c r="F341" s="124"/>
      <c r="G341" s="124"/>
      <c r="H341" s="124"/>
      <c r="I341" s="124"/>
      <c r="J341" s="124"/>
      <c r="K341" s="124"/>
      <c r="L341" s="124"/>
      <c r="M341" s="124"/>
      <c r="N341" s="124"/>
      <c r="O341" s="124"/>
      <c r="P341" s="124"/>
      <c r="Q341" s="124"/>
      <c r="R341" s="124"/>
    </row>
    <row r="342">
      <c r="A342" s="124" t="str">
        <f>IFERROR(__xludf.DUMMYFUNCTION("""COMPUTED_VALUE"""),"#N/A")</f>
        <v>#N/A</v>
      </c>
      <c r="B342" s="124"/>
      <c r="C342" s="124"/>
      <c r="D342" s="124"/>
      <c r="E342" s="124"/>
      <c r="F342" s="124"/>
      <c r="G342" s="124"/>
      <c r="H342" s="124"/>
      <c r="I342" s="124"/>
      <c r="J342" s="124"/>
      <c r="K342" s="124"/>
      <c r="L342" s="124"/>
      <c r="M342" s="124"/>
      <c r="N342" s="124"/>
      <c r="O342" s="124"/>
      <c r="P342" s="124"/>
      <c r="Q342" s="124"/>
      <c r="R342" s="124"/>
    </row>
    <row r="343">
      <c r="A343" s="124" t="str">
        <f>IFERROR(__xludf.DUMMYFUNCTION("""COMPUTED_VALUE"""),"#N/A")</f>
        <v>#N/A</v>
      </c>
      <c r="B343" s="124"/>
      <c r="C343" s="124"/>
      <c r="D343" s="124"/>
      <c r="E343" s="124"/>
      <c r="F343" s="124"/>
      <c r="G343" s="124"/>
      <c r="H343" s="124"/>
      <c r="I343" s="124"/>
      <c r="J343" s="124"/>
      <c r="K343" s="124"/>
      <c r="L343" s="124"/>
      <c r="M343" s="124"/>
      <c r="N343" s="124"/>
      <c r="O343" s="124"/>
      <c r="P343" s="124"/>
      <c r="Q343" s="124"/>
      <c r="R343" s="124"/>
    </row>
    <row r="344">
      <c r="A344" s="124" t="str">
        <f>IFERROR(__xludf.DUMMYFUNCTION("""COMPUTED_VALUE"""),"#N/A")</f>
        <v>#N/A</v>
      </c>
      <c r="B344" s="124"/>
      <c r="C344" s="124"/>
      <c r="D344" s="124"/>
      <c r="E344" s="124"/>
      <c r="F344" s="124"/>
      <c r="G344" s="124"/>
      <c r="H344" s="124"/>
      <c r="I344" s="124"/>
      <c r="J344" s="124"/>
      <c r="K344" s="124"/>
      <c r="L344" s="124"/>
      <c r="M344" s="124"/>
      <c r="N344" s="124"/>
      <c r="O344" s="124"/>
      <c r="P344" s="124"/>
      <c r="Q344" s="124"/>
      <c r="R344" s="124"/>
    </row>
    <row r="345">
      <c r="A345" s="124" t="str">
        <f>IFERROR(__xludf.DUMMYFUNCTION("""COMPUTED_VALUE"""),"#N/A")</f>
        <v>#N/A</v>
      </c>
      <c r="B345" s="124"/>
      <c r="C345" s="124"/>
      <c r="D345" s="124"/>
      <c r="E345" s="124"/>
      <c r="F345" s="124"/>
      <c r="G345" s="124"/>
      <c r="H345" s="124"/>
      <c r="I345" s="124"/>
      <c r="J345" s="124"/>
      <c r="K345" s="124"/>
      <c r="L345" s="124"/>
      <c r="M345" s="124"/>
      <c r="N345" s="124"/>
      <c r="O345" s="124"/>
      <c r="P345" s="124"/>
      <c r="Q345" s="124"/>
      <c r="R345" s="124"/>
    </row>
    <row r="346">
      <c r="A346" s="124" t="str">
        <f>IFERROR(__xludf.DUMMYFUNCTION("""COMPUTED_VALUE"""),"#N/A")</f>
        <v>#N/A</v>
      </c>
      <c r="B346" s="124"/>
      <c r="C346" s="124"/>
      <c r="D346" s="124"/>
      <c r="E346" s="124"/>
      <c r="F346" s="124"/>
      <c r="G346" s="124"/>
      <c r="H346" s="124"/>
      <c r="I346" s="124"/>
      <c r="J346" s="124"/>
      <c r="K346" s="124"/>
      <c r="L346" s="124"/>
      <c r="M346" s="124"/>
      <c r="N346" s="124"/>
      <c r="O346" s="124"/>
      <c r="P346" s="124"/>
      <c r="Q346" s="124"/>
      <c r="R346" s="124"/>
    </row>
    <row r="347">
      <c r="A347" s="124" t="str">
        <f>IFERROR(__xludf.DUMMYFUNCTION("""COMPUTED_VALUE"""),"#N/A")</f>
        <v>#N/A</v>
      </c>
      <c r="B347" s="124"/>
      <c r="C347" s="124"/>
      <c r="D347" s="124"/>
      <c r="E347" s="124"/>
      <c r="F347" s="124"/>
      <c r="G347" s="124"/>
      <c r="H347" s="124"/>
      <c r="I347" s="124"/>
      <c r="J347" s="124"/>
      <c r="K347" s="124"/>
      <c r="L347" s="124"/>
      <c r="M347" s="124"/>
      <c r="N347" s="124"/>
      <c r="O347" s="124"/>
      <c r="P347" s="124"/>
      <c r="Q347" s="124"/>
      <c r="R347" s="124"/>
    </row>
    <row r="348">
      <c r="A348" s="124" t="str">
        <f>IFERROR(__xludf.DUMMYFUNCTION("""COMPUTED_VALUE"""),"#N/A")</f>
        <v>#N/A</v>
      </c>
      <c r="B348" s="124"/>
      <c r="C348" s="124"/>
      <c r="D348" s="124"/>
      <c r="E348" s="124"/>
      <c r="F348" s="124"/>
      <c r="G348" s="124"/>
      <c r="H348" s="124"/>
      <c r="I348" s="124"/>
      <c r="J348" s="124"/>
      <c r="K348" s="124"/>
      <c r="L348" s="124"/>
      <c r="M348" s="124"/>
      <c r="N348" s="124"/>
      <c r="O348" s="124"/>
      <c r="P348" s="124"/>
      <c r="Q348" s="124"/>
      <c r="R348" s="124"/>
    </row>
    <row r="349">
      <c r="A349" s="124" t="str">
        <f>IFERROR(__xludf.DUMMYFUNCTION("""COMPUTED_VALUE"""),"#N/A")</f>
        <v>#N/A</v>
      </c>
      <c r="B349" s="124"/>
      <c r="C349" s="124"/>
      <c r="D349" s="124"/>
      <c r="E349" s="124"/>
      <c r="F349" s="124"/>
      <c r="G349" s="124"/>
      <c r="H349" s="124"/>
      <c r="I349" s="124"/>
      <c r="J349" s="124"/>
      <c r="K349" s="124"/>
      <c r="L349" s="124"/>
      <c r="M349" s="124"/>
      <c r="N349" s="124"/>
      <c r="O349" s="124"/>
      <c r="P349" s="124"/>
      <c r="Q349" s="124"/>
      <c r="R349" s="124"/>
    </row>
    <row r="350">
      <c r="A350" s="124" t="str">
        <f>IFERROR(__xludf.DUMMYFUNCTION("""COMPUTED_VALUE"""),"#N/A")</f>
        <v>#N/A</v>
      </c>
      <c r="B350" s="124"/>
      <c r="C350" s="124"/>
      <c r="D350" s="124"/>
      <c r="E350" s="124"/>
      <c r="F350" s="124"/>
      <c r="G350" s="124"/>
      <c r="H350" s="124"/>
      <c r="I350" s="124"/>
      <c r="J350" s="124"/>
      <c r="K350" s="124"/>
      <c r="L350" s="124"/>
      <c r="M350" s="124"/>
      <c r="N350" s="124"/>
      <c r="O350" s="124"/>
      <c r="P350" s="124"/>
      <c r="Q350" s="124"/>
      <c r="R350" s="124"/>
    </row>
    <row r="351">
      <c r="A351" s="124" t="str">
        <f>IFERROR(__xludf.DUMMYFUNCTION("""COMPUTED_VALUE"""),"#N/A")</f>
        <v>#N/A</v>
      </c>
      <c r="B351" s="124"/>
      <c r="C351" s="124"/>
      <c r="D351" s="124"/>
      <c r="E351" s="124"/>
      <c r="F351" s="124"/>
      <c r="G351" s="124"/>
      <c r="H351" s="124"/>
      <c r="I351" s="124"/>
      <c r="J351" s="124"/>
      <c r="K351" s="124"/>
      <c r="L351" s="124"/>
      <c r="M351" s="124"/>
      <c r="N351" s="124"/>
      <c r="O351" s="124"/>
      <c r="P351" s="124"/>
      <c r="Q351" s="124"/>
      <c r="R351" s="124"/>
    </row>
    <row r="352">
      <c r="A352" s="124" t="str">
        <f>IFERROR(__xludf.DUMMYFUNCTION("""COMPUTED_VALUE"""),"#N/A")</f>
        <v>#N/A</v>
      </c>
      <c r="B352" s="124"/>
      <c r="C352" s="124"/>
      <c r="D352" s="124"/>
      <c r="E352" s="124"/>
      <c r="F352" s="124"/>
      <c r="G352" s="124"/>
      <c r="H352" s="124"/>
      <c r="I352" s="124"/>
      <c r="J352" s="124"/>
      <c r="K352" s="124"/>
      <c r="L352" s="124"/>
      <c r="M352" s="124"/>
      <c r="N352" s="124"/>
      <c r="O352" s="124"/>
      <c r="P352" s="124"/>
      <c r="Q352" s="124"/>
      <c r="R352" s="124"/>
    </row>
    <row r="353">
      <c r="A353" s="124" t="str">
        <f>IFERROR(__xludf.DUMMYFUNCTION("""COMPUTED_VALUE"""),"#N/A")</f>
        <v>#N/A</v>
      </c>
      <c r="B353" s="124"/>
      <c r="C353" s="124"/>
      <c r="D353" s="124"/>
      <c r="E353" s="124"/>
      <c r="F353" s="124"/>
      <c r="G353" s="124"/>
      <c r="H353" s="124"/>
      <c r="I353" s="124"/>
      <c r="J353" s="124"/>
      <c r="K353" s="124"/>
      <c r="L353" s="124"/>
      <c r="M353" s="124"/>
      <c r="N353" s="124"/>
      <c r="O353" s="124"/>
      <c r="P353" s="124"/>
      <c r="Q353" s="124"/>
      <c r="R353" s="124"/>
    </row>
    <row r="354">
      <c r="A354" s="124" t="str">
        <f>IFERROR(__xludf.DUMMYFUNCTION("""COMPUTED_VALUE"""),"#N/A")</f>
        <v>#N/A</v>
      </c>
      <c r="B354" s="124"/>
      <c r="C354" s="124"/>
      <c r="D354" s="124"/>
      <c r="E354" s="124"/>
      <c r="F354" s="124"/>
      <c r="G354" s="124"/>
      <c r="H354" s="124"/>
      <c r="I354" s="124"/>
      <c r="J354" s="124"/>
      <c r="K354" s="124"/>
      <c r="L354" s="124"/>
      <c r="M354" s="124"/>
      <c r="N354" s="124"/>
      <c r="O354" s="124"/>
      <c r="P354" s="124"/>
      <c r="Q354" s="124"/>
      <c r="R354" s="124"/>
    </row>
    <row r="355">
      <c r="A355" s="124" t="str">
        <f>IFERROR(__xludf.DUMMYFUNCTION("""COMPUTED_VALUE"""),"#N/A")</f>
        <v>#N/A</v>
      </c>
      <c r="B355" s="124"/>
      <c r="C355" s="124"/>
      <c r="D355" s="124"/>
      <c r="E355" s="124"/>
      <c r="F355" s="124"/>
      <c r="G355" s="124"/>
      <c r="H355" s="124"/>
      <c r="I355" s="124"/>
      <c r="J355" s="124"/>
      <c r="K355" s="124"/>
      <c r="L355" s="124"/>
      <c r="M355" s="124"/>
      <c r="N355" s="124"/>
      <c r="O355" s="124"/>
      <c r="P355" s="124"/>
      <c r="Q355" s="124"/>
      <c r="R355" s="124"/>
    </row>
    <row r="356">
      <c r="A356" s="124" t="str">
        <f>IFERROR(__xludf.DUMMYFUNCTION("""COMPUTED_VALUE"""),"#N/A")</f>
        <v>#N/A</v>
      </c>
      <c r="B356" s="124"/>
      <c r="C356" s="124"/>
      <c r="D356" s="124"/>
      <c r="E356" s="124"/>
      <c r="F356" s="124"/>
      <c r="G356" s="124"/>
      <c r="H356" s="124"/>
      <c r="I356" s="124"/>
      <c r="J356" s="124"/>
      <c r="K356" s="124"/>
      <c r="L356" s="124"/>
      <c r="M356" s="124"/>
      <c r="N356" s="124"/>
      <c r="O356" s="124"/>
      <c r="P356" s="124"/>
      <c r="Q356" s="124"/>
      <c r="R356" s="124"/>
    </row>
    <row r="357">
      <c r="A357" s="124" t="str">
        <f>IFERROR(__xludf.DUMMYFUNCTION("""COMPUTED_VALUE"""),"#N/A")</f>
        <v>#N/A</v>
      </c>
      <c r="B357" s="124"/>
      <c r="C357" s="124"/>
      <c r="D357" s="124"/>
      <c r="E357" s="124"/>
      <c r="F357" s="124"/>
      <c r="G357" s="124"/>
      <c r="H357" s="124"/>
      <c r="I357" s="124"/>
      <c r="J357" s="124"/>
      <c r="K357" s="124"/>
      <c r="L357" s="124"/>
      <c r="M357" s="124"/>
      <c r="N357" s="124"/>
      <c r="O357" s="124"/>
      <c r="P357" s="124"/>
      <c r="Q357" s="124"/>
      <c r="R357" s="124"/>
    </row>
    <row r="358">
      <c r="A358" s="124" t="str">
        <f>IFERROR(__xludf.DUMMYFUNCTION("""COMPUTED_VALUE"""),"#N/A")</f>
        <v>#N/A</v>
      </c>
      <c r="B358" s="124"/>
      <c r="C358" s="124"/>
      <c r="D358" s="124"/>
      <c r="E358" s="124"/>
      <c r="F358" s="124"/>
      <c r="G358" s="124"/>
      <c r="H358" s="124"/>
      <c r="I358" s="124"/>
      <c r="J358" s="124"/>
      <c r="K358" s="124"/>
      <c r="L358" s="124"/>
      <c r="M358" s="124"/>
      <c r="N358" s="124"/>
      <c r="O358" s="124"/>
      <c r="P358" s="124"/>
      <c r="Q358" s="124"/>
      <c r="R358" s="124"/>
    </row>
    <row r="359">
      <c r="A359" s="124" t="str">
        <f>IFERROR(__xludf.DUMMYFUNCTION("""COMPUTED_VALUE"""),"#N/A")</f>
        <v>#N/A</v>
      </c>
      <c r="B359" s="124"/>
      <c r="C359" s="124"/>
      <c r="D359" s="124"/>
      <c r="E359" s="124"/>
      <c r="F359" s="124"/>
      <c r="G359" s="124"/>
      <c r="H359" s="124"/>
      <c r="I359" s="124"/>
      <c r="J359" s="124"/>
      <c r="K359" s="124"/>
      <c r="L359" s="124"/>
      <c r="M359" s="124"/>
      <c r="N359" s="124"/>
      <c r="O359" s="124"/>
      <c r="P359" s="124"/>
      <c r="Q359" s="124"/>
      <c r="R359" s="124"/>
    </row>
    <row r="360">
      <c r="A360" s="124" t="str">
        <f>IFERROR(__xludf.DUMMYFUNCTION("""COMPUTED_VALUE"""),"#N/A")</f>
        <v>#N/A</v>
      </c>
      <c r="B360" s="124"/>
      <c r="C360" s="124"/>
      <c r="D360" s="124"/>
      <c r="E360" s="124"/>
      <c r="F360" s="124"/>
      <c r="G360" s="124"/>
      <c r="H360" s="124"/>
      <c r="I360" s="124"/>
      <c r="J360" s="124"/>
      <c r="K360" s="124"/>
      <c r="L360" s="124"/>
      <c r="M360" s="124"/>
      <c r="N360" s="124"/>
      <c r="O360" s="124"/>
      <c r="P360" s="124"/>
      <c r="Q360" s="124"/>
      <c r="R360" s="124"/>
    </row>
    <row r="361">
      <c r="A361" s="124" t="str">
        <f>IFERROR(__xludf.DUMMYFUNCTION("""COMPUTED_VALUE"""),"#N/A")</f>
        <v>#N/A</v>
      </c>
      <c r="B361" s="124"/>
      <c r="C361" s="124"/>
      <c r="D361" s="124"/>
      <c r="E361" s="124"/>
      <c r="F361" s="124"/>
      <c r="G361" s="124"/>
      <c r="H361" s="124"/>
      <c r="I361" s="124"/>
      <c r="J361" s="124"/>
      <c r="K361" s="124"/>
      <c r="L361" s="124"/>
      <c r="M361" s="124"/>
      <c r="N361" s="124"/>
      <c r="O361" s="124"/>
      <c r="P361" s="124"/>
      <c r="Q361" s="124"/>
      <c r="R361" s="124"/>
    </row>
    <row r="362">
      <c r="A362" s="124" t="str">
        <f>IFERROR(__xludf.DUMMYFUNCTION("""COMPUTED_VALUE"""),"#N/A")</f>
        <v>#N/A</v>
      </c>
      <c r="B362" s="124"/>
      <c r="C362" s="124"/>
      <c r="D362" s="124"/>
      <c r="E362" s="124"/>
      <c r="F362" s="124"/>
      <c r="G362" s="124"/>
      <c r="H362" s="124"/>
      <c r="I362" s="124"/>
      <c r="J362" s="124"/>
      <c r="K362" s="124"/>
      <c r="L362" s="124"/>
      <c r="M362" s="124"/>
      <c r="N362" s="124"/>
      <c r="O362" s="124"/>
      <c r="P362" s="124"/>
      <c r="Q362" s="124"/>
      <c r="R362" s="124"/>
    </row>
    <row r="363">
      <c r="A363" s="124" t="str">
        <f>IFERROR(__xludf.DUMMYFUNCTION("""COMPUTED_VALUE"""),"#N/A")</f>
        <v>#N/A</v>
      </c>
      <c r="B363" s="124"/>
      <c r="C363" s="124"/>
      <c r="D363" s="124"/>
      <c r="E363" s="124"/>
      <c r="F363" s="124"/>
      <c r="G363" s="124"/>
      <c r="H363" s="124"/>
      <c r="I363" s="124"/>
      <c r="J363" s="124"/>
      <c r="K363" s="124"/>
      <c r="L363" s="124"/>
      <c r="M363" s="124"/>
      <c r="N363" s="124"/>
      <c r="O363" s="124"/>
      <c r="P363" s="124"/>
      <c r="Q363" s="124"/>
      <c r="R363" s="124"/>
    </row>
    <row r="364">
      <c r="A364" s="124" t="str">
        <f>IFERROR(__xludf.DUMMYFUNCTION("""COMPUTED_VALUE"""),"#N/A")</f>
        <v>#N/A</v>
      </c>
      <c r="B364" s="124"/>
      <c r="C364" s="124"/>
      <c r="D364" s="124"/>
      <c r="E364" s="124"/>
      <c r="F364" s="124"/>
      <c r="G364" s="124"/>
      <c r="H364" s="124"/>
      <c r="I364" s="124"/>
      <c r="J364" s="124"/>
      <c r="K364" s="124"/>
      <c r="L364" s="124"/>
      <c r="M364" s="124"/>
      <c r="N364" s="124"/>
      <c r="O364" s="124"/>
      <c r="P364" s="124"/>
      <c r="Q364" s="124"/>
      <c r="R364" s="124"/>
    </row>
    <row r="365">
      <c r="A365" s="124" t="str">
        <f>IFERROR(__xludf.DUMMYFUNCTION("""COMPUTED_VALUE"""),"#N/A")</f>
        <v>#N/A</v>
      </c>
      <c r="B365" s="124"/>
      <c r="C365" s="124"/>
      <c r="D365" s="124"/>
      <c r="E365" s="124"/>
      <c r="F365" s="124"/>
      <c r="G365" s="124"/>
      <c r="H365" s="124"/>
      <c r="I365" s="124"/>
      <c r="J365" s="124"/>
      <c r="K365" s="124"/>
      <c r="L365" s="124"/>
      <c r="M365" s="124"/>
      <c r="N365" s="124"/>
      <c r="O365" s="124"/>
      <c r="P365" s="124"/>
      <c r="Q365" s="124"/>
      <c r="R365" s="124"/>
    </row>
    <row r="366">
      <c r="A366" s="124" t="str">
        <f>IFERROR(__xludf.DUMMYFUNCTION("""COMPUTED_VALUE"""),"#N/A")</f>
        <v>#N/A</v>
      </c>
      <c r="B366" s="124"/>
      <c r="C366" s="124"/>
      <c r="D366" s="124"/>
      <c r="E366" s="124"/>
      <c r="F366" s="124"/>
      <c r="G366" s="124"/>
      <c r="H366" s="124"/>
      <c r="I366" s="124"/>
      <c r="J366" s="124"/>
      <c r="K366" s="124"/>
      <c r="L366" s="124"/>
      <c r="M366" s="124"/>
      <c r="N366" s="124"/>
      <c r="O366" s="124"/>
      <c r="P366" s="124"/>
      <c r="Q366" s="124"/>
      <c r="R366" s="124"/>
    </row>
    <row r="367">
      <c r="A367" s="124" t="str">
        <f>IFERROR(__xludf.DUMMYFUNCTION("""COMPUTED_VALUE"""),"#N/A")</f>
        <v>#N/A</v>
      </c>
      <c r="B367" s="124"/>
      <c r="C367" s="124"/>
      <c r="D367" s="124"/>
      <c r="E367" s="124"/>
      <c r="F367" s="124"/>
      <c r="G367" s="124"/>
      <c r="H367" s="124"/>
      <c r="I367" s="124"/>
      <c r="J367" s="124"/>
      <c r="K367" s="124"/>
      <c r="L367" s="124"/>
      <c r="M367" s="124"/>
      <c r="N367" s="124"/>
      <c r="O367" s="124"/>
      <c r="P367" s="124"/>
      <c r="Q367" s="124"/>
      <c r="R367" s="124"/>
    </row>
    <row r="368">
      <c r="A368" s="124" t="str">
        <f>IFERROR(__xludf.DUMMYFUNCTION("""COMPUTED_VALUE"""),"#N/A")</f>
        <v>#N/A</v>
      </c>
      <c r="B368" s="124"/>
      <c r="C368" s="124"/>
      <c r="D368" s="124"/>
      <c r="E368" s="124"/>
      <c r="F368" s="124"/>
      <c r="G368" s="124"/>
      <c r="H368" s="124"/>
      <c r="I368" s="124"/>
      <c r="J368" s="124"/>
      <c r="K368" s="124"/>
      <c r="L368" s="124"/>
      <c r="M368" s="124"/>
      <c r="N368" s="124"/>
      <c r="O368" s="124"/>
      <c r="P368" s="124"/>
      <c r="Q368" s="124"/>
      <c r="R368" s="124"/>
    </row>
    <row r="369">
      <c r="A369" s="124" t="str">
        <f>IFERROR(__xludf.DUMMYFUNCTION("""COMPUTED_VALUE"""),"#N/A")</f>
        <v>#N/A</v>
      </c>
      <c r="B369" s="124"/>
      <c r="C369" s="124"/>
      <c r="D369" s="124"/>
      <c r="E369" s="124"/>
      <c r="F369" s="124"/>
      <c r="G369" s="124"/>
      <c r="H369" s="124"/>
      <c r="I369" s="124"/>
      <c r="J369" s="124"/>
      <c r="K369" s="124"/>
      <c r="L369" s="124"/>
      <c r="M369" s="124"/>
      <c r="N369" s="124"/>
      <c r="O369" s="124"/>
      <c r="P369" s="124"/>
      <c r="Q369" s="124"/>
      <c r="R369" s="124"/>
    </row>
    <row r="370">
      <c r="A370" s="124" t="str">
        <f>IFERROR(__xludf.DUMMYFUNCTION("""COMPUTED_VALUE"""),"#N/A")</f>
        <v>#N/A</v>
      </c>
      <c r="B370" s="124"/>
      <c r="C370" s="124"/>
      <c r="D370" s="124"/>
      <c r="E370" s="124"/>
      <c r="F370" s="124"/>
      <c r="G370" s="124"/>
      <c r="H370" s="124"/>
      <c r="I370" s="124"/>
      <c r="J370" s="124"/>
      <c r="K370" s="124"/>
      <c r="L370" s="124"/>
      <c r="M370" s="124"/>
      <c r="N370" s="124"/>
      <c r="O370" s="124"/>
      <c r="P370" s="124"/>
      <c r="Q370" s="124"/>
      <c r="R370" s="124"/>
    </row>
    <row r="371">
      <c r="A371" s="124" t="str">
        <f>IFERROR(__xludf.DUMMYFUNCTION("""COMPUTED_VALUE"""),"#N/A")</f>
        <v>#N/A</v>
      </c>
      <c r="B371" s="124"/>
      <c r="C371" s="124"/>
      <c r="D371" s="124"/>
      <c r="E371" s="124"/>
      <c r="F371" s="124"/>
      <c r="G371" s="124"/>
      <c r="H371" s="124"/>
      <c r="I371" s="124"/>
      <c r="J371" s="124"/>
      <c r="K371" s="124"/>
      <c r="L371" s="124"/>
      <c r="M371" s="124"/>
      <c r="N371" s="124"/>
      <c r="O371" s="124"/>
      <c r="P371" s="124"/>
      <c r="Q371" s="124"/>
      <c r="R371" s="124"/>
    </row>
    <row r="372">
      <c r="A372" s="124" t="str">
        <f>IFERROR(__xludf.DUMMYFUNCTION("""COMPUTED_VALUE"""),"#N/A")</f>
        <v>#N/A</v>
      </c>
      <c r="B372" s="124"/>
      <c r="C372" s="124"/>
      <c r="D372" s="124"/>
      <c r="E372" s="124"/>
      <c r="F372" s="124"/>
      <c r="G372" s="124"/>
      <c r="H372" s="124"/>
      <c r="I372" s="124"/>
      <c r="J372" s="124"/>
      <c r="K372" s="124"/>
      <c r="L372" s="124"/>
      <c r="M372" s="124"/>
      <c r="N372" s="124"/>
      <c r="O372" s="124"/>
      <c r="P372" s="124"/>
      <c r="Q372" s="124"/>
      <c r="R372" s="124"/>
    </row>
    <row r="373">
      <c r="A373" s="124" t="str">
        <f>IFERROR(__xludf.DUMMYFUNCTION("""COMPUTED_VALUE"""),"#N/A")</f>
        <v>#N/A</v>
      </c>
      <c r="B373" s="124"/>
      <c r="C373" s="124"/>
      <c r="D373" s="124"/>
      <c r="E373" s="124"/>
      <c r="F373" s="124"/>
      <c r="G373" s="124"/>
      <c r="H373" s="124"/>
      <c r="I373" s="124"/>
      <c r="J373" s="124"/>
      <c r="K373" s="124"/>
      <c r="L373" s="124"/>
      <c r="M373" s="124"/>
      <c r="N373" s="124"/>
      <c r="O373" s="124"/>
      <c r="P373" s="124"/>
      <c r="Q373" s="124"/>
      <c r="R373" s="124"/>
    </row>
    <row r="374">
      <c r="A374" s="124" t="str">
        <f>IFERROR(__xludf.DUMMYFUNCTION("""COMPUTED_VALUE"""),"#N/A")</f>
        <v>#N/A</v>
      </c>
      <c r="B374" s="124"/>
      <c r="C374" s="124"/>
      <c r="D374" s="124"/>
      <c r="E374" s="124"/>
      <c r="F374" s="124"/>
      <c r="G374" s="124"/>
      <c r="H374" s="124"/>
      <c r="I374" s="124"/>
      <c r="J374" s="124"/>
      <c r="K374" s="124"/>
      <c r="L374" s="124"/>
      <c r="M374" s="124"/>
      <c r="N374" s="124"/>
      <c r="O374" s="124"/>
      <c r="P374" s="124"/>
      <c r="Q374" s="124"/>
      <c r="R374" s="124"/>
    </row>
    <row r="375">
      <c r="A375" s="124" t="str">
        <f>IFERROR(__xludf.DUMMYFUNCTION("""COMPUTED_VALUE"""),"#N/A")</f>
        <v>#N/A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4"/>
      <c r="N375" s="124"/>
      <c r="O375" s="124"/>
      <c r="P375" s="124"/>
      <c r="Q375" s="124"/>
      <c r="R375" s="124"/>
    </row>
    <row r="376">
      <c r="A376" s="124" t="str">
        <f>IFERROR(__xludf.DUMMYFUNCTION("""COMPUTED_VALUE"""),"#N/A")</f>
        <v>#N/A</v>
      </c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4"/>
      <c r="N376" s="124"/>
      <c r="O376" s="124"/>
      <c r="P376" s="124"/>
      <c r="Q376" s="124"/>
      <c r="R376" s="124"/>
    </row>
    <row r="377">
      <c r="A377" s="124" t="str">
        <f>IFERROR(__xludf.DUMMYFUNCTION("""COMPUTED_VALUE"""),"#N/A")</f>
        <v>#N/A</v>
      </c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4"/>
      <c r="N377" s="124"/>
      <c r="O377" s="124"/>
      <c r="P377" s="124"/>
      <c r="Q377" s="124"/>
      <c r="R377" s="124"/>
    </row>
    <row r="378">
      <c r="A378" s="124" t="str">
        <f>IFERROR(__xludf.DUMMYFUNCTION("""COMPUTED_VALUE"""),"#N/A")</f>
        <v>#N/A</v>
      </c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4"/>
      <c r="N378" s="124"/>
      <c r="O378" s="124"/>
      <c r="P378" s="124"/>
      <c r="Q378" s="124"/>
      <c r="R378" s="124"/>
    </row>
    <row r="379">
      <c r="A379" s="124" t="str">
        <f>IFERROR(__xludf.DUMMYFUNCTION("""COMPUTED_VALUE"""),"#N/A")</f>
        <v>#N/A</v>
      </c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4"/>
      <c r="N379" s="124"/>
      <c r="O379" s="124"/>
      <c r="P379" s="124"/>
      <c r="Q379" s="124"/>
      <c r="R379" s="124"/>
    </row>
    <row r="380">
      <c r="A380" s="124" t="str">
        <f>IFERROR(__xludf.DUMMYFUNCTION("""COMPUTED_VALUE"""),"#N/A")</f>
        <v>#N/A</v>
      </c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4"/>
      <c r="N380" s="124"/>
      <c r="O380" s="124"/>
      <c r="P380" s="124"/>
      <c r="Q380" s="124"/>
      <c r="R380" s="124"/>
    </row>
    <row r="381">
      <c r="A381" s="124" t="str">
        <f>IFERROR(__xludf.DUMMYFUNCTION("""COMPUTED_VALUE"""),"#N/A")</f>
        <v>#N/A</v>
      </c>
      <c r="B381" s="124"/>
      <c r="C381" s="124"/>
      <c r="D381" s="124"/>
      <c r="E381" s="124"/>
      <c r="F381" s="124"/>
      <c r="G381" s="124"/>
      <c r="H381" s="124"/>
      <c r="I381" s="124"/>
      <c r="J381" s="124"/>
      <c r="K381" s="124"/>
      <c r="L381" s="124"/>
      <c r="M381" s="124"/>
      <c r="N381" s="124"/>
      <c r="O381" s="124"/>
      <c r="P381" s="124"/>
      <c r="Q381" s="124"/>
      <c r="R381" s="124"/>
    </row>
    <row r="382">
      <c r="A382" s="124" t="str">
        <f>IFERROR(__xludf.DUMMYFUNCTION("""COMPUTED_VALUE"""),"#N/A")</f>
        <v>#N/A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</row>
    <row r="383">
      <c r="A383" s="124" t="str">
        <f>IFERROR(__xludf.DUMMYFUNCTION("""COMPUTED_VALUE"""),"#N/A")</f>
        <v>#N/A</v>
      </c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</row>
    <row r="384">
      <c r="A384" s="124" t="str">
        <f>IFERROR(__xludf.DUMMYFUNCTION("""COMPUTED_VALUE"""),"#N/A")</f>
        <v>#N/A</v>
      </c>
      <c r="B384" s="124"/>
      <c r="C384" s="124"/>
      <c r="D384" s="124"/>
      <c r="E384" s="124"/>
      <c r="F384" s="124"/>
      <c r="G384" s="124"/>
      <c r="H384" s="124"/>
      <c r="I384" s="124"/>
      <c r="J384" s="124"/>
      <c r="K384" s="124"/>
      <c r="L384" s="124"/>
      <c r="M384" s="124"/>
      <c r="N384" s="124"/>
      <c r="O384" s="124"/>
      <c r="P384" s="124"/>
      <c r="Q384" s="124"/>
      <c r="R384" s="124"/>
    </row>
    <row r="385">
      <c r="A385" s="124" t="str">
        <f>IFERROR(__xludf.DUMMYFUNCTION("""COMPUTED_VALUE"""),"#N/A")</f>
        <v>#N/A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</row>
    <row r="386">
      <c r="A386" s="124" t="str">
        <f>IFERROR(__xludf.DUMMYFUNCTION("""COMPUTED_VALUE"""),"#N/A")</f>
        <v>#N/A</v>
      </c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</row>
    <row r="387">
      <c r="A387" s="124" t="str">
        <f>IFERROR(__xludf.DUMMYFUNCTION("""COMPUTED_VALUE"""),"#N/A")</f>
        <v>#N/A</v>
      </c>
      <c r="B387" s="124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124"/>
      <c r="Q387" s="124"/>
      <c r="R387" s="124"/>
    </row>
    <row r="388">
      <c r="A388" s="124" t="str">
        <f>IFERROR(__xludf.DUMMYFUNCTION("""COMPUTED_VALUE"""),"#N/A")</f>
        <v>#N/A</v>
      </c>
      <c r="B388" s="124"/>
      <c r="C388" s="124"/>
      <c r="D388" s="124"/>
      <c r="E388" s="124"/>
      <c r="F388" s="124"/>
      <c r="G388" s="124"/>
      <c r="H388" s="124"/>
      <c r="I388" s="124"/>
      <c r="J388" s="124"/>
      <c r="K388" s="124"/>
      <c r="L388" s="124"/>
      <c r="M388" s="124"/>
      <c r="N388" s="124"/>
      <c r="O388" s="124"/>
      <c r="P388" s="124"/>
      <c r="Q388" s="124"/>
      <c r="R388" s="124"/>
    </row>
    <row r="389">
      <c r="A389" s="124" t="str">
        <f>IFERROR(__xludf.DUMMYFUNCTION("""COMPUTED_VALUE"""),"#N/A")</f>
        <v>#N/A</v>
      </c>
      <c r="B389" s="124"/>
      <c r="C389" s="124"/>
      <c r="D389" s="124"/>
      <c r="E389" s="124"/>
      <c r="F389" s="124"/>
      <c r="G389" s="124"/>
      <c r="H389" s="124"/>
      <c r="I389" s="124"/>
      <c r="J389" s="124"/>
      <c r="K389" s="124"/>
      <c r="L389" s="124"/>
      <c r="M389" s="124"/>
      <c r="N389" s="124"/>
      <c r="O389" s="124"/>
      <c r="P389" s="124"/>
      <c r="Q389" s="124"/>
      <c r="R389" s="124"/>
    </row>
    <row r="390">
      <c r="A390" s="124" t="str">
        <f>IFERROR(__xludf.DUMMYFUNCTION("""COMPUTED_VALUE"""),"#N/A")</f>
        <v>#N/A</v>
      </c>
      <c r="B390" s="124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124"/>
      <c r="Q390" s="124"/>
      <c r="R390" s="124"/>
    </row>
    <row r="391">
      <c r="A391" s="124" t="str">
        <f>IFERROR(__xludf.DUMMYFUNCTION("""COMPUTED_VALUE"""),"#N/A")</f>
        <v>#N/A</v>
      </c>
      <c r="B391" s="124"/>
      <c r="C391" s="124"/>
      <c r="D391" s="124"/>
      <c r="E391" s="124"/>
      <c r="F391" s="124"/>
      <c r="G391" s="124"/>
      <c r="H391" s="124"/>
      <c r="I391" s="124"/>
      <c r="J391" s="124"/>
      <c r="K391" s="124"/>
      <c r="L391" s="124"/>
      <c r="M391" s="124"/>
      <c r="N391" s="124"/>
      <c r="O391" s="124"/>
      <c r="P391" s="124"/>
      <c r="Q391" s="124"/>
      <c r="R391" s="124"/>
    </row>
    <row r="392">
      <c r="A392" s="124" t="str">
        <f>IFERROR(__xludf.DUMMYFUNCTION("""COMPUTED_VALUE"""),"#N/A")</f>
        <v>#N/A</v>
      </c>
      <c r="B392" s="124"/>
      <c r="C392" s="124"/>
      <c r="D392" s="124"/>
      <c r="E392" s="124"/>
      <c r="F392" s="124"/>
      <c r="G392" s="124"/>
      <c r="H392" s="124"/>
      <c r="I392" s="124"/>
      <c r="J392" s="124"/>
      <c r="K392" s="124"/>
      <c r="L392" s="124"/>
      <c r="M392" s="124"/>
      <c r="N392" s="124"/>
      <c r="O392" s="124"/>
      <c r="P392" s="124"/>
      <c r="Q392" s="124"/>
      <c r="R392" s="124"/>
    </row>
    <row r="393">
      <c r="A393" s="124" t="str">
        <f>IFERROR(__xludf.DUMMYFUNCTION("""COMPUTED_VALUE"""),"#N/A")</f>
        <v>#N/A</v>
      </c>
      <c r="B393" s="124"/>
      <c r="C393" s="124"/>
      <c r="D393" s="124"/>
      <c r="E393" s="124"/>
      <c r="F393" s="124"/>
      <c r="G393" s="124"/>
      <c r="H393" s="124"/>
      <c r="I393" s="124"/>
      <c r="J393" s="124"/>
      <c r="K393" s="124"/>
      <c r="L393" s="124"/>
      <c r="M393" s="124"/>
      <c r="N393" s="124"/>
      <c r="O393" s="124"/>
      <c r="P393" s="124"/>
      <c r="Q393" s="124"/>
      <c r="R393" s="124"/>
    </row>
    <row r="394">
      <c r="A394" s="124" t="str">
        <f>IFERROR(__xludf.DUMMYFUNCTION("""COMPUTED_VALUE"""),"#N/A")</f>
        <v>#N/A</v>
      </c>
      <c r="B394" s="124"/>
      <c r="C394" s="124"/>
      <c r="D394" s="124"/>
      <c r="E394" s="124"/>
      <c r="F394" s="124"/>
      <c r="G394" s="124"/>
      <c r="H394" s="124"/>
      <c r="I394" s="124"/>
      <c r="J394" s="124"/>
      <c r="K394" s="124"/>
      <c r="L394" s="124"/>
      <c r="M394" s="124"/>
      <c r="N394" s="124"/>
      <c r="O394" s="124"/>
      <c r="P394" s="124"/>
      <c r="Q394" s="124"/>
      <c r="R394" s="124"/>
    </row>
    <row r="395">
      <c r="A395" s="124" t="str">
        <f>IFERROR(__xludf.DUMMYFUNCTION("""COMPUTED_VALUE"""),"#N/A")</f>
        <v>#N/A</v>
      </c>
      <c r="B395" s="124"/>
      <c r="C395" s="124"/>
      <c r="D395" s="124"/>
      <c r="E395" s="124"/>
      <c r="F395" s="124"/>
      <c r="G395" s="124"/>
      <c r="H395" s="124"/>
      <c r="I395" s="124"/>
      <c r="J395" s="124"/>
      <c r="K395" s="124"/>
      <c r="L395" s="124"/>
      <c r="M395" s="124"/>
      <c r="N395" s="124"/>
      <c r="O395" s="124"/>
      <c r="P395" s="124"/>
      <c r="Q395" s="124"/>
      <c r="R395" s="124"/>
    </row>
    <row r="396">
      <c r="A396" s="124" t="str">
        <f>IFERROR(__xludf.DUMMYFUNCTION("""COMPUTED_VALUE"""),"#N/A")</f>
        <v>#N/A</v>
      </c>
      <c r="B396" s="124"/>
      <c r="C396" s="124"/>
      <c r="D396" s="124"/>
      <c r="E396" s="124"/>
      <c r="F396" s="124"/>
      <c r="G396" s="124"/>
      <c r="H396" s="124"/>
      <c r="I396" s="124"/>
      <c r="J396" s="124"/>
      <c r="K396" s="124"/>
      <c r="L396" s="124"/>
      <c r="M396" s="124"/>
      <c r="N396" s="124"/>
      <c r="O396" s="124"/>
      <c r="P396" s="124"/>
      <c r="Q396" s="124"/>
      <c r="R396" s="124"/>
    </row>
    <row r="397">
      <c r="A397" s="124" t="str">
        <f>IFERROR(__xludf.DUMMYFUNCTION("""COMPUTED_VALUE"""),"#N/A")</f>
        <v>#N/A</v>
      </c>
      <c r="B397" s="124"/>
      <c r="C397" s="124"/>
      <c r="D397" s="124"/>
      <c r="E397" s="124"/>
      <c r="F397" s="124"/>
      <c r="G397" s="124"/>
      <c r="H397" s="124"/>
      <c r="I397" s="124"/>
      <c r="J397" s="124"/>
      <c r="K397" s="124"/>
      <c r="L397" s="124"/>
      <c r="M397" s="124"/>
      <c r="N397" s="124"/>
      <c r="O397" s="124"/>
      <c r="P397" s="124"/>
      <c r="Q397" s="124"/>
      <c r="R397" s="124"/>
    </row>
    <row r="398">
      <c r="A398" s="124" t="str">
        <f>IFERROR(__xludf.DUMMYFUNCTION("""COMPUTED_VALUE"""),"#N/A")</f>
        <v>#N/A</v>
      </c>
      <c r="B398" s="124"/>
      <c r="C398" s="124"/>
      <c r="D398" s="124"/>
      <c r="E398" s="124"/>
      <c r="F398" s="124"/>
      <c r="G398" s="124"/>
      <c r="H398" s="124"/>
      <c r="I398" s="124"/>
      <c r="J398" s="124"/>
      <c r="K398" s="124"/>
      <c r="L398" s="124"/>
      <c r="M398" s="124"/>
      <c r="N398" s="124"/>
      <c r="O398" s="124"/>
      <c r="P398" s="124"/>
      <c r="Q398" s="124"/>
      <c r="R398" s="124"/>
    </row>
    <row r="399">
      <c r="A399" s="124" t="str">
        <f>IFERROR(__xludf.DUMMYFUNCTION("""COMPUTED_VALUE"""),"#N/A")</f>
        <v>#N/A</v>
      </c>
      <c r="B399" s="124"/>
      <c r="C399" s="124"/>
      <c r="D399" s="124"/>
      <c r="E399" s="124"/>
      <c r="F399" s="124"/>
      <c r="G399" s="124"/>
      <c r="H399" s="124"/>
      <c r="I399" s="124"/>
      <c r="J399" s="124"/>
      <c r="K399" s="124"/>
      <c r="L399" s="124"/>
      <c r="M399" s="124"/>
      <c r="N399" s="124"/>
      <c r="O399" s="124"/>
      <c r="P399" s="124"/>
      <c r="Q399" s="124"/>
      <c r="R399" s="124"/>
    </row>
    <row r="400">
      <c r="A400" s="124" t="str">
        <f>IFERROR(__xludf.DUMMYFUNCTION("""COMPUTED_VALUE"""),"#N/A")</f>
        <v>#N/A</v>
      </c>
      <c r="B400" s="124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124"/>
      <c r="Q400" s="124"/>
      <c r="R400" s="124"/>
    </row>
    <row r="401">
      <c r="A401" s="124" t="str">
        <f>IFERROR(__xludf.DUMMYFUNCTION("""COMPUTED_VALUE"""),"#N/A")</f>
        <v>#N/A</v>
      </c>
      <c r="B401" s="124"/>
      <c r="C401" s="124"/>
      <c r="D401" s="124"/>
      <c r="E401" s="124"/>
      <c r="F401" s="124"/>
      <c r="G401" s="124"/>
      <c r="H401" s="124"/>
      <c r="I401" s="124"/>
      <c r="J401" s="124"/>
      <c r="K401" s="124"/>
      <c r="L401" s="124"/>
      <c r="M401" s="124"/>
      <c r="N401" s="124"/>
      <c r="O401" s="124"/>
      <c r="P401" s="124"/>
      <c r="Q401" s="124"/>
      <c r="R401" s="124"/>
    </row>
    <row r="402">
      <c r="A402" s="124" t="str">
        <f>IFERROR(__xludf.DUMMYFUNCTION("""COMPUTED_VALUE"""),"#N/A")</f>
        <v>#N/A</v>
      </c>
      <c r="B402" s="124"/>
      <c r="C402" s="124"/>
      <c r="D402" s="124"/>
      <c r="E402" s="124"/>
      <c r="F402" s="124"/>
      <c r="G402" s="124"/>
      <c r="H402" s="124"/>
      <c r="I402" s="124"/>
      <c r="J402" s="124"/>
      <c r="K402" s="124"/>
      <c r="L402" s="124"/>
      <c r="M402" s="124"/>
      <c r="N402" s="124"/>
      <c r="O402" s="124"/>
      <c r="P402" s="124"/>
      <c r="Q402" s="124"/>
      <c r="R402" s="124"/>
    </row>
    <row r="403">
      <c r="A403" s="124" t="str">
        <f>IFERROR(__xludf.DUMMYFUNCTION("""COMPUTED_VALUE"""),"#N/A")</f>
        <v>#N/A</v>
      </c>
      <c r="B403" s="124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124"/>
      <c r="Q403" s="124"/>
      <c r="R403" s="124"/>
    </row>
    <row r="404">
      <c r="A404" s="124" t="str">
        <f>IFERROR(__xludf.DUMMYFUNCTION("""COMPUTED_VALUE"""),"#N/A")</f>
        <v>#N/A</v>
      </c>
      <c r="B404" s="124"/>
      <c r="C404" s="124"/>
      <c r="D404" s="124"/>
      <c r="E404" s="124"/>
      <c r="F404" s="124"/>
      <c r="G404" s="124"/>
      <c r="H404" s="124"/>
      <c r="I404" s="124"/>
      <c r="J404" s="124"/>
      <c r="K404" s="124"/>
      <c r="L404" s="124"/>
      <c r="M404" s="124"/>
      <c r="N404" s="124"/>
      <c r="O404" s="124"/>
      <c r="P404" s="124"/>
      <c r="Q404" s="124"/>
      <c r="R404" s="124"/>
    </row>
    <row r="405">
      <c r="A405" s="124" t="str">
        <f>IFERROR(__xludf.DUMMYFUNCTION("""COMPUTED_VALUE"""),"#N/A")</f>
        <v>#N/A</v>
      </c>
      <c r="B405" s="124"/>
      <c r="C405" s="124"/>
      <c r="D405" s="124"/>
      <c r="E405" s="124"/>
      <c r="F405" s="124"/>
      <c r="G405" s="124"/>
      <c r="H405" s="124"/>
      <c r="I405" s="124"/>
      <c r="J405" s="124"/>
      <c r="K405" s="124"/>
      <c r="L405" s="124"/>
      <c r="M405" s="124"/>
      <c r="N405" s="124"/>
      <c r="O405" s="124"/>
      <c r="P405" s="124"/>
      <c r="Q405" s="124"/>
      <c r="R405" s="124"/>
    </row>
    <row r="406">
      <c r="A406" s="124" t="str">
        <f>IFERROR(__xludf.DUMMYFUNCTION("""COMPUTED_VALUE"""),"#N/A")</f>
        <v>#N/A</v>
      </c>
      <c r="B406" s="124"/>
      <c r="C406" s="124"/>
      <c r="D406" s="124"/>
      <c r="E406" s="124"/>
      <c r="F406" s="124"/>
      <c r="G406" s="124"/>
      <c r="H406" s="124"/>
      <c r="I406" s="124"/>
      <c r="J406" s="124"/>
      <c r="K406" s="124"/>
      <c r="L406" s="124"/>
      <c r="M406" s="124"/>
      <c r="N406" s="124"/>
      <c r="O406" s="124"/>
      <c r="P406" s="124"/>
      <c r="Q406" s="124"/>
      <c r="R406" s="124"/>
    </row>
    <row r="407">
      <c r="A407" s="124" t="str">
        <f>IFERROR(__xludf.DUMMYFUNCTION("""COMPUTED_VALUE"""),"#N/A")</f>
        <v>#N/A</v>
      </c>
      <c r="B407" s="124"/>
      <c r="C407" s="124"/>
      <c r="D407" s="124"/>
      <c r="E407" s="124"/>
      <c r="F407" s="124"/>
      <c r="G407" s="124"/>
      <c r="H407" s="124"/>
      <c r="I407" s="124"/>
      <c r="J407" s="124"/>
      <c r="K407" s="124"/>
      <c r="L407" s="124"/>
      <c r="M407" s="124"/>
      <c r="N407" s="124"/>
      <c r="O407" s="124"/>
      <c r="P407" s="124"/>
      <c r="Q407" s="124"/>
      <c r="R407" s="124"/>
    </row>
    <row r="408">
      <c r="A408" s="124" t="str">
        <f>IFERROR(__xludf.DUMMYFUNCTION("""COMPUTED_VALUE"""),"#N/A")</f>
        <v>#N/A</v>
      </c>
      <c r="B408" s="124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124"/>
      <c r="Q408" s="124"/>
      <c r="R408" s="124"/>
    </row>
    <row r="409">
      <c r="A409" s="124" t="str">
        <f>IFERROR(__xludf.DUMMYFUNCTION("""COMPUTED_VALUE"""),"#N/A")</f>
        <v>#N/A</v>
      </c>
      <c r="B409" s="124"/>
      <c r="C409" s="124"/>
      <c r="D409" s="124"/>
      <c r="E409" s="124"/>
      <c r="F409" s="124"/>
      <c r="G409" s="124"/>
      <c r="H409" s="124"/>
      <c r="I409" s="124"/>
      <c r="J409" s="124"/>
      <c r="K409" s="124"/>
      <c r="L409" s="124"/>
      <c r="M409" s="124"/>
      <c r="N409" s="124"/>
      <c r="O409" s="124"/>
      <c r="P409" s="124"/>
      <c r="Q409" s="124"/>
      <c r="R409" s="124"/>
    </row>
    <row r="410">
      <c r="A410" s="124" t="str">
        <f>IFERROR(__xludf.DUMMYFUNCTION("""COMPUTED_VALUE"""),"#N/A")</f>
        <v>#N/A</v>
      </c>
      <c r="B410" s="124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124"/>
      <c r="Q410" s="124"/>
      <c r="R410" s="124"/>
    </row>
    <row r="411">
      <c r="A411" s="124" t="str">
        <f>IFERROR(__xludf.DUMMYFUNCTION("""COMPUTED_VALUE"""),"#N/A")</f>
        <v>#N/A</v>
      </c>
      <c r="B411" s="124"/>
      <c r="C411" s="124"/>
      <c r="D411" s="124"/>
      <c r="E411" s="124"/>
      <c r="F411" s="124"/>
      <c r="G411" s="124"/>
      <c r="H411" s="124"/>
      <c r="I411" s="124"/>
      <c r="J411" s="124"/>
      <c r="K411" s="124"/>
      <c r="L411" s="124"/>
      <c r="M411" s="124"/>
      <c r="N411" s="124"/>
      <c r="O411" s="124"/>
      <c r="P411" s="124"/>
      <c r="Q411" s="124"/>
      <c r="R411" s="124"/>
    </row>
    <row r="412">
      <c r="A412" s="124" t="str">
        <f>IFERROR(__xludf.DUMMYFUNCTION("""COMPUTED_VALUE"""),"#N/A")</f>
        <v>#N/A</v>
      </c>
      <c r="B412" s="124"/>
      <c r="C412" s="124"/>
      <c r="D412" s="124"/>
      <c r="E412" s="124"/>
      <c r="F412" s="124"/>
      <c r="G412" s="124"/>
      <c r="H412" s="124"/>
      <c r="I412" s="124"/>
      <c r="J412" s="124"/>
      <c r="K412" s="124"/>
      <c r="L412" s="124"/>
      <c r="M412" s="124"/>
      <c r="N412" s="124"/>
      <c r="O412" s="124"/>
      <c r="P412" s="124"/>
      <c r="Q412" s="124"/>
      <c r="R412" s="124"/>
    </row>
    <row r="413">
      <c r="A413" s="124" t="str">
        <f>IFERROR(__xludf.DUMMYFUNCTION("""COMPUTED_VALUE"""),"#N/A")</f>
        <v>#N/A</v>
      </c>
      <c r="B413" s="124"/>
      <c r="C413" s="124"/>
      <c r="D413" s="124"/>
      <c r="E413" s="124"/>
      <c r="F413" s="124"/>
      <c r="G413" s="124"/>
      <c r="H413" s="124"/>
      <c r="I413" s="124"/>
      <c r="J413" s="124"/>
      <c r="K413" s="124"/>
      <c r="L413" s="124"/>
      <c r="M413" s="124"/>
      <c r="N413" s="124"/>
      <c r="O413" s="124"/>
      <c r="P413" s="124"/>
      <c r="Q413" s="124"/>
      <c r="R413" s="124"/>
    </row>
    <row r="414">
      <c r="A414" s="124" t="str">
        <f>IFERROR(__xludf.DUMMYFUNCTION("""COMPUTED_VALUE"""),"#N/A")</f>
        <v>#N/A</v>
      </c>
      <c r="B414" s="124"/>
      <c r="C414" s="124"/>
      <c r="D414" s="124"/>
      <c r="E414" s="124"/>
      <c r="F414" s="124"/>
      <c r="G414" s="124"/>
      <c r="H414" s="124"/>
      <c r="I414" s="124"/>
      <c r="J414" s="124"/>
      <c r="K414" s="124"/>
      <c r="L414" s="124"/>
      <c r="M414" s="124"/>
      <c r="N414" s="124"/>
      <c r="O414" s="124"/>
      <c r="P414" s="124"/>
      <c r="Q414" s="124"/>
      <c r="R414" s="124"/>
    </row>
    <row r="415">
      <c r="A415" s="124" t="str">
        <f>IFERROR(__xludf.DUMMYFUNCTION("""COMPUTED_VALUE"""),"#N/A")</f>
        <v>#N/A</v>
      </c>
      <c r="B415" s="124"/>
      <c r="C415" s="124"/>
      <c r="D415" s="124"/>
      <c r="E415" s="124"/>
      <c r="F415" s="124"/>
      <c r="G415" s="124"/>
      <c r="H415" s="124"/>
      <c r="I415" s="124"/>
      <c r="J415" s="124"/>
      <c r="K415" s="124"/>
      <c r="L415" s="124"/>
      <c r="M415" s="124"/>
      <c r="N415" s="124"/>
      <c r="O415" s="124"/>
      <c r="P415" s="124"/>
      <c r="Q415" s="124"/>
      <c r="R415" s="124"/>
    </row>
    <row r="416">
      <c r="A416" s="124" t="str">
        <f>IFERROR(__xludf.DUMMYFUNCTION("""COMPUTED_VALUE"""),"#N/A")</f>
        <v>#N/A</v>
      </c>
      <c r="B416" s="124"/>
      <c r="C416" s="124"/>
      <c r="D416" s="124"/>
      <c r="E416" s="124"/>
      <c r="F416" s="124"/>
      <c r="G416" s="124"/>
      <c r="H416" s="124"/>
      <c r="I416" s="124"/>
      <c r="J416" s="124"/>
      <c r="K416" s="124"/>
      <c r="L416" s="124"/>
      <c r="M416" s="124"/>
      <c r="N416" s="124"/>
      <c r="O416" s="124"/>
      <c r="P416" s="124"/>
      <c r="Q416" s="124"/>
      <c r="R416" s="124"/>
    </row>
    <row r="417">
      <c r="A417" s="124" t="str">
        <f>IFERROR(__xludf.DUMMYFUNCTION("""COMPUTED_VALUE"""),"#N/A")</f>
        <v>#N/A</v>
      </c>
      <c r="B417" s="124"/>
      <c r="C417" s="124"/>
      <c r="D417" s="124"/>
      <c r="E417" s="124"/>
      <c r="F417" s="124"/>
      <c r="G417" s="124"/>
      <c r="H417" s="124"/>
      <c r="I417" s="124"/>
      <c r="J417" s="124"/>
      <c r="K417" s="124"/>
      <c r="L417" s="124"/>
      <c r="M417" s="124"/>
      <c r="N417" s="124"/>
      <c r="O417" s="124"/>
      <c r="P417" s="124"/>
      <c r="Q417" s="124"/>
      <c r="R417" s="124"/>
    </row>
    <row r="418">
      <c r="A418" s="124" t="str">
        <f>IFERROR(__xludf.DUMMYFUNCTION("""COMPUTED_VALUE"""),"#N/A")</f>
        <v>#N/A</v>
      </c>
      <c r="B418" s="124"/>
      <c r="C418" s="124"/>
      <c r="D418" s="124"/>
      <c r="E418" s="124"/>
      <c r="F418" s="124"/>
      <c r="G418" s="124"/>
      <c r="H418" s="124"/>
      <c r="I418" s="124"/>
      <c r="J418" s="124"/>
      <c r="K418" s="124"/>
      <c r="L418" s="124"/>
      <c r="M418" s="124"/>
      <c r="N418" s="124"/>
      <c r="O418" s="124"/>
      <c r="P418" s="124"/>
      <c r="Q418" s="124"/>
      <c r="R418" s="124"/>
    </row>
    <row r="419">
      <c r="A419" s="124" t="str">
        <f>IFERROR(__xludf.DUMMYFUNCTION("""COMPUTED_VALUE"""),"#N/A")</f>
        <v>#N/A</v>
      </c>
      <c r="B419" s="124"/>
      <c r="C419" s="124"/>
      <c r="D419" s="124"/>
      <c r="E419" s="124"/>
      <c r="F419" s="124"/>
      <c r="G419" s="124"/>
      <c r="H419" s="124"/>
      <c r="I419" s="124"/>
      <c r="J419" s="124"/>
      <c r="K419" s="124"/>
      <c r="L419" s="124"/>
      <c r="M419" s="124"/>
      <c r="N419" s="124"/>
      <c r="O419" s="124"/>
      <c r="P419" s="124"/>
      <c r="Q419" s="124"/>
      <c r="R419" s="124"/>
    </row>
    <row r="420">
      <c r="A420" s="124" t="str">
        <f>IFERROR(__xludf.DUMMYFUNCTION("""COMPUTED_VALUE"""),"#N/A")</f>
        <v>#N/A</v>
      </c>
      <c r="B420" s="124"/>
      <c r="C420" s="124"/>
      <c r="D420" s="124"/>
      <c r="E420" s="124"/>
      <c r="F420" s="124"/>
      <c r="G420" s="124"/>
      <c r="H420" s="124"/>
      <c r="I420" s="124"/>
      <c r="J420" s="124"/>
      <c r="K420" s="124"/>
      <c r="L420" s="124"/>
      <c r="M420" s="124"/>
      <c r="N420" s="124"/>
      <c r="O420" s="124"/>
      <c r="P420" s="124"/>
      <c r="Q420" s="124"/>
      <c r="R420" s="124"/>
    </row>
    <row r="421">
      <c r="A421" s="124" t="str">
        <f>IFERROR(__xludf.DUMMYFUNCTION("""COMPUTED_VALUE"""),"#N/A")</f>
        <v>#N/A</v>
      </c>
      <c r="B421" s="12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124"/>
      <c r="Q421" s="124"/>
      <c r="R421" s="124"/>
    </row>
    <row r="422">
      <c r="A422" s="124" t="str">
        <f>IFERROR(__xludf.DUMMYFUNCTION("""COMPUTED_VALUE"""),"#N/A")</f>
        <v>#N/A</v>
      </c>
      <c r="B422" s="124"/>
      <c r="C422" s="124"/>
      <c r="D422" s="124"/>
      <c r="E422" s="124"/>
      <c r="F422" s="124"/>
      <c r="G422" s="124"/>
      <c r="H422" s="124"/>
      <c r="I422" s="124"/>
      <c r="J422" s="124"/>
      <c r="K422" s="124"/>
      <c r="L422" s="124"/>
      <c r="M422" s="124"/>
      <c r="N422" s="124"/>
      <c r="O422" s="124"/>
      <c r="P422" s="124"/>
      <c r="Q422" s="124"/>
      <c r="R422" s="124"/>
    </row>
    <row r="423">
      <c r="A423" s="124" t="str">
        <f>IFERROR(__xludf.DUMMYFUNCTION("""COMPUTED_VALUE"""),"#N/A")</f>
        <v>#N/A</v>
      </c>
      <c r="B423" s="124"/>
      <c r="C423" s="124"/>
      <c r="D423" s="124"/>
      <c r="E423" s="124"/>
      <c r="F423" s="124"/>
      <c r="G423" s="124"/>
      <c r="H423" s="124"/>
      <c r="I423" s="124"/>
      <c r="J423" s="124"/>
      <c r="K423" s="124"/>
      <c r="L423" s="124"/>
      <c r="M423" s="124"/>
      <c r="N423" s="124"/>
      <c r="O423" s="124"/>
      <c r="P423" s="124"/>
      <c r="Q423" s="124"/>
      <c r="R423" s="124"/>
    </row>
    <row r="424">
      <c r="A424" s="124" t="str">
        <f>IFERROR(__xludf.DUMMYFUNCTION("""COMPUTED_VALUE"""),"#N/A")</f>
        <v>#N/A</v>
      </c>
      <c r="B424" s="124"/>
      <c r="C424" s="124"/>
      <c r="D424" s="124"/>
      <c r="E424" s="124"/>
      <c r="F424" s="124"/>
      <c r="G424" s="124"/>
      <c r="H424" s="124"/>
      <c r="I424" s="124"/>
      <c r="J424" s="124"/>
      <c r="K424" s="124"/>
      <c r="L424" s="124"/>
      <c r="M424" s="124"/>
      <c r="N424" s="124"/>
      <c r="O424" s="124"/>
      <c r="P424" s="124"/>
      <c r="Q424" s="124"/>
      <c r="R424" s="124"/>
    </row>
    <row r="425">
      <c r="A425" s="124" t="str">
        <f>IFERROR(__xludf.DUMMYFUNCTION("""COMPUTED_VALUE"""),"#N/A")</f>
        <v>#N/A</v>
      </c>
      <c r="B425" s="124"/>
      <c r="C425" s="124"/>
      <c r="D425" s="124"/>
      <c r="E425" s="124"/>
      <c r="F425" s="124"/>
      <c r="G425" s="124"/>
      <c r="H425" s="124"/>
      <c r="I425" s="124"/>
      <c r="J425" s="124"/>
      <c r="K425" s="124"/>
      <c r="L425" s="124"/>
      <c r="M425" s="124"/>
      <c r="N425" s="124"/>
      <c r="O425" s="124"/>
      <c r="P425" s="124"/>
      <c r="Q425" s="124"/>
      <c r="R425" s="124"/>
    </row>
    <row r="426">
      <c r="A426" s="124" t="str">
        <f>IFERROR(__xludf.DUMMYFUNCTION("""COMPUTED_VALUE"""),"#N/A")</f>
        <v>#N/A</v>
      </c>
      <c r="B426" s="124"/>
      <c r="C426" s="124"/>
      <c r="D426" s="124"/>
      <c r="E426" s="124"/>
      <c r="F426" s="124"/>
      <c r="G426" s="124"/>
      <c r="H426" s="124"/>
      <c r="I426" s="124"/>
      <c r="J426" s="124"/>
      <c r="K426" s="124"/>
      <c r="L426" s="124"/>
      <c r="M426" s="124"/>
      <c r="N426" s="124"/>
      <c r="O426" s="124"/>
      <c r="P426" s="124"/>
      <c r="Q426" s="124"/>
      <c r="R426" s="124"/>
    </row>
    <row r="427">
      <c r="A427" s="124" t="str">
        <f>IFERROR(__xludf.DUMMYFUNCTION("""COMPUTED_VALUE"""),"#N/A")</f>
        <v>#N/A</v>
      </c>
      <c r="B427" s="124"/>
      <c r="C427" s="124"/>
      <c r="D427" s="124"/>
      <c r="E427" s="124"/>
      <c r="F427" s="124"/>
      <c r="G427" s="124"/>
      <c r="H427" s="124"/>
      <c r="I427" s="124"/>
      <c r="J427" s="124"/>
      <c r="K427" s="124"/>
      <c r="L427" s="124"/>
      <c r="M427" s="124"/>
      <c r="N427" s="124"/>
      <c r="O427" s="124"/>
      <c r="P427" s="124"/>
      <c r="Q427" s="124"/>
      <c r="R427" s="124"/>
    </row>
    <row r="428">
      <c r="A428" s="124" t="str">
        <f>IFERROR(__xludf.DUMMYFUNCTION("""COMPUTED_VALUE"""),"#N/A")</f>
        <v>#N/A</v>
      </c>
      <c r="B428" s="124"/>
      <c r="C428" s="124"/>
      <c r="D428" s="124"/>
      <c r="E428" s="124"/>
      <c r="F428" s="124"/>
      <c r="G428" s="124"/>
      <c r="H428" s="124"/>
      <c r="I428" s="124"/>
      <c r="J428" s="124"/>
      <c r="K428" s="124"/>
      <c r="L428" s="124"/>
      <c r="M428" s="124"/>
      <c r="N428" s="124"/>
      <c r="O428" s="124"/>
      <c r="P428" s="124"/>
      <c r="Q428" s="124"/>
      <c r="R428" s="124"/>
    </row>
    <row r="429">
      <c r="A429" s="124" t="str">
        <f>IFERROR(__xludf.DUMMYFUNCTION("""COMPUTED_VALUE"""),"#N/A")</f>
        <v>#N/A</v>
      </c>
      <c r="B429" s="124"/>
      <c r="C429" s="124"/>
      <c r="D429" s="124"/>
      <c r="E429" s="124"/>
      <c r="F429" s="124"/>
      <c r="G429" s="124"/>
      <c r="H429" s="124"/>
      <c r="I429" s="124"/>
      <c r="J429" s="124"/>
      <c r="K429" s="124"/>
      <c r="L429" s="124"/>
      <c r="M429" s="124"/>
      <c r="N429" s="124"/>
      <c r="O429" s="124"/>
      <c r="P429" s="124"/>
      <c r="Q429" s="124"/>
      <c r="R429" s="124"/>
    </row>
    <row r="430">
      <c r="A430" s="124" t="str">
        <f>IFERROR(__xludf.DUMMYFUNCTION("""COMPUTED_VALUE"""),"#N/A")</f>
        <v>#N/A</v>
      </c>
      <c r="B430" s="124"/>
      <c r="C430" s="124"/>
      <c r="D430" s="124"/>
      <c r="E430" s="124"/>
      <c r="F430" s="124"/>
      <c r="G430" s="124"/>
      <c r="H430" s="124"/>
      <c r="I430" s="124"/>
      <c r="J430" s="124"/>
      <c r="K430" s="124"/>
      <c r="L430" s="124"/>
      <c r="M430" s="124"/>
      <c r="N430" s="124"/>
      <c r="O430" s="124"/>
      <c r="P430" s="124"/>
      <c r="Q430" s="124"/>
      <c r="R430" s="124"/>
    </row>
    <row r="431">
      <c r="A431" s="124" t="str">
        <f>IFERROR(__xludf.DUMMYFUNCTION("""COMPUTED_VALUE"""),"#N/A")</f>
        <v>#N/A</v>
      </c>
      <c r="B431" s="124"/>
      <c r="C431" s="124"/>
      <c r="D431" s="124"/>
      <c r="E431" s="124"/>
      <c r="F431" s="124"/>
      <c r="G431" s="124"/>
      <c r="H431" s="124"/>
      <c r="I431" s="124"/>
      <c r="J431" s="124"/>
      <c r="K431" s="124"/>
      <c r="L431" s="124"/>
      <c r="M431" s="124"/>
      <c r="N431" s="124"/>
      <c r="O431" s="124"/>
      <c r="P431" s="124"/>
      <c r="Q431" s="124"/>
      <c r="R431" s="124"/>
    </row>
    <row r="432">
      <c r="A432" s="124" t="str">
        <f>IFERROR(__xludf.DUMMYFUNCTION("""COMPUTED_VALUE"""),"#N/A")</f>
        <v>#N/A</v>
      </c>
      <c r="B432" s="124"/>
      <c r="C432" s="124"/>
      <c r="D432" s="124"/>
      <c r="E432" s="124"/>
      <c r="F432" s="124"/>
      <c r="G432" s="124"/>
      <c r="H432" s="124"/>
      <c r="I432" s="124"/>
      <c r="J432" s="124"/>
      <c r="K432" s="124"/>
      <c r="L432" s="124"/>
      <c r="M432" s="124"/>
      <c r="N432" s="124"/>
      <c r="O432" s="124"/>
      <c r="P432" s="124"/>
      <c r="Q432" s="124"/>
      <c r="R432" s="124"/>
    </row>
    <row r="433">
      <c r="A433" s="124" t="str">
        <f>IFERROR(__xludf.DUMMYFUNCTION("""COMPUTED_VALUE"""),"#N/A")</f>
        <v>#N/A</v>
      </c>
      <c r="B433" s="124"/>
      <c r="C433" s="124"/>
      <c r="D433" s="124"/>
      <c r="E433" s="124"/>
      <c r="F433" s="124"/>
      <c r="G433" s="124"/>
      <c r="H433" s="124"/>
      <c r="I433" s="124"/>
      <c r="J433" s="124"/>
      <c r="K433" s="124"/>
      <c r="L433" s="124"/>
      <c r="M433" s="124"/>
      <c r="N433" s="124"/>
      <c r="O433" s="124"/>
      <c r="P433" s="124"/>
      <c r="Q433" s="124"/>
      <c r="R433" s="124"/>
    </row>
    <row r="434">
      <c r="A434" s="124" t="str">
        <f>IFERROR(__xludf.DUMMYFUNCTION("""COMPUTED_VALUE"""),"#N/A")</f>
        <v>#N/A</v>
      </c>
      <c r="B434" s="124"/>
      <c r="C434" s="124"/>
      <c r="D434" s="124"/>
      <c r="E434" s="124"/>
      <c r="F434" s="124"/>
      <c r="G434" s="124"/>
      <c r="H434" s="124"/>
      <c r="I434" s="124"/>
      <c r="J434" s="124"/>
      <c r="K434" s="124"/>
      <c r="L434" s="124"/>
      <c r="M434" s="124"/>
      <c r="N434" s="124"/>
      <c r="O434" s="124"/>
      <c r="P434" s="124"/>
      <c r="Q434" s="124"/>
      <c r="R434" s="124"/>
    </row>
    <row r="435">
      <c r="A435" s="124" t="str">
        <f>IFERROR(__xludf.DUMMYFUNCTION("""COMPUTED_VALUE"""),"#N/A")</f>
        <v>#N/A</v>
      </c>
      <c r="B435" s="124"/>
      <c r="C435" s="124"/>
      <c r="D435" s="124"/>
      <c r="E435" s="124"/>
      <c r="F435" s="124"/>
      <c r="G435" s="124"/>
      <c r="H435" s="124"/>
      <c r="I435" s="124"/>
      <c r="J435" s="124"/>
      <c r="K435" s="124"/>
      <c r="L435" s="124"/>
      <c r="M435" s="124"/>
      <c r="N435" s="124"/>
      <c r="O435" s="124"/>
      <c r="P435" s="124"/>
      <c r="Q435" s="124"/>
      <c r="R435" s="124"/>
    </row>
    <row r="436">
      <c r="A436" s="124" t="str">
        <f>IFERROR(__xludf.DUMMYFUNCTION("""COMPUTED_VALUE"""),"#N/A")</f>
        <v>#N/A</v>
      </c>
      <c r="B436" s="124"/>
      <c r="C436" s="124"/>
      <c r="D436" s="124"/>
      <c r="E436" s="124"/>
      <c r="F436" s="124"/>
      <c r="G436" s="124"/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</row>
    <row r="437">
      <c r="A437" s="124" t="str">
        <f>IFERROR(__xludf.DUMMYFUNCTION("""COMPUTED_VALUE"""),"#N/A")</f>
        <v>#N/A</v>
      </c>
      <c r="B437" s="124"/>
      <c r="C437" s="124"/>
      <c r="D437" s="124"/>
      <c r="E437" s="124"/>
      <c r="F437" s="124"/>
      <c r="G437" s="124"/>
      <c r="H437" s="124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</row>
    <row r="438">
      <c r="A438" s="124" t="str">
        <f>IFERROR(__xludf.DUMMYFUNCTION("""COMPUTED_VALUE"""),"#N/A")</f>
        <v>#N/A</v>
      </c>
      <c r="B438" s="124"/>
      <c r="C438" s="124"/>
      <c r="D438" s="124"/>
      <c r="E438" s="124"/>
      <c r="F438" s="124"/>
      <c r="G438" s="124"/>
      <c r="H438" s="124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</row>
    <row r="439">
      <c r="A439" s="124" t="str">
        <f>IFERROR(__xludf.DUMMYFUNCTION("""COMPUTED_VALUE"""),"#N/A")</f>
        <v>#N/A</v>
      </c>
      <c r="B439" s="124"/>
      <c r="C439" s="124"/>
      <c r="D439" s="124"/>
      <c r="E439" s="124"/>
      <c r="F439" s="124"/>
      <c r="G439" s="124"/>
      <c r="H439" s="124"/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</row>
    <row r="440">
      <c r="A440" s="124" t="str">
        <f>IFERROR(__xludf.DUMMYFUNCTION("""COMPUTED_VALUE"""),"#N/A")</f>
        <v>#N/A</v>
      </c>
      <c r="B440" s="124"/>
      <c r="C440" s="124"/>
      <c r="D440" s="124"/>
      <c r="E440" s="124"/>
      <c r="F440" s="124"/>
      <c r="G440" s="124"/>
      <c r="H440" s="124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</row>
    <row r="441">
      <c r="A441" s="124" t="str">
        <f>IFERROR(__xludf.DUMMYFUNCTION("""COMPUTED_VALUE"""),"#N/A")</f>
        <v>#N/A</v>
      </c>
      <c r="B441" s="124"/>
      <c r="C441" s="124"/>
      <c r="D441" s="124"/>
      <c r="E441" s="124"/>
      <c r="F441" s="124"/>
      <c r="G441" s="124"/>
      <c r="H441" s="124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</row>
    <row r="442">
      <c r="A442" s="124" t="str">
        <f>IFERROR(__xludf.DUMMYFUNCTION("""COMPUTED_VALUE"""),"#N/A")</f>
        <v>#N/A</v>
      </c>
      <c r="B442" s="124"/>
      <c r="C442" s="124"/>
      <c r="D442" s="124"/>
      <c r="E442" s="124"/>
      <c r="F442" s="124"/>
      <c r="G442" s="124"/>
      <c r="H442" s="124"/>
      <c r="I442" s="124"/>
      <c r="J442" s="124"/>
      <c r="K442" s="124"/>
      <c r="L442" s="124"/>
      <c r="M442" s="124"/>
      <c r="N442" s="124"/>
      <c r="O442" s="124"/>
      <c r="P442" s="124"/>
      <c r="Q442" s="124"/>
      <c r="R442" s="124"/>
    </row>
    <row r="443">
      <c r="A443" s="124" t="str">
        <f>IFERROR(__xludf.DUMMYFUNCTION("""COMPUTED_VALUE"""),"#N/A")</f>
        <v>#N/A</v>
      </c>
      <c r="B443" s="124"/>
      <c r="C443" s="124"/>
      <c r="D443" s="124"/>
      <c r="E443" s="124"/>
      <c r="F443" s="124"/>
      <c r="G443" s="124"/>
      <c r="H443" s="124"/>
      <c r="I443" s="124"/>
      <c r="J443" s="124"/>
      <c r="K443" s="124"/>
      <c r="L443" s="124"/>
      <c r="M443" s="124"/>
      <c r="N443" s="124"/>
      <c r="O443" s="124"/>
      <c r="P443" s="124"/>
      <c r="Q443" s="124"/>
      <c r="R443" s="124"/>
    </row>
    <row r="444">
      <c r="A444" s="124" t="str">
        <f>IFERROR(__xludf.DUMMYFUNCTION("""COMPUTED_VALUE"""),"#N/A")</f>
        <v>#N/A</v>
      </c>
      <c r="B444" s="124"/>
      <c r="C444" s="124"/>
      <c r="D444" s="124"/>
      <c r="E444" s="124"/>
      <c r="F444" s="124"/>
      <c r="G444" s="124"/>
      <c r="H444" s="124"/>
      <c r="I444" s="124"/>
      <c r="J444" s="124"/>
      <c r="K444" s="124"/>
      <c r="L444" s="124"/>
      <c r="M444" s="124"/>
      <c r="N444" s="124"/>
      <c r="O444" s="124"/>
      <c r="P444" s="124"/>
      <c r="Q444" s="124"/>
      <c r="R444" s="124"/>
    </row>
    <row r="445">
      <c r="A445" s="124" t="str">
        <f>IFERROR(__xludf.DUMMYFUNCTION("""COMPUTED_VALUE"""),"#N/A")</f>
        <v>#N/A</v>
      </c>
      <c r="B445" s="124"/>
      <c r="C445" s="124"/>
      <c r="D445" s="124"/>
      <c r="E445" s="124"/>
      <c r="F445" s="124"/>
      <c r="G445" s="124"/>
      <c r="H445" s="124"/>
      <c r="I445" s="124"/>
      <c r="J445" s="124"/>
      <c r="K445" s="124"/>
      <c r="L445" s="124"/>
      <c r="M445" s="124"/>
      <c r="N445" s="124"/>
      <c r="O445" s="124"/>
      <c r="P445" s="124"/>
      <c r="Q445" s="124"/>
      <c r="R445" s="124"/>
    </row>
    <row r="446">
      <c r="A446" s="124" t="str">
        <f>IFERROR(__xludf.DUMMYFUNCTION("""COMPUTED_VALUE"""),"#N/A")</f>
        <v>#N/A</v>
      </c>
      <c r="B446" s="124"/>
      <c r="C446" s="124"/>
      <c r="D446" s="124"/>
      <c r="E446" s="124"/>
      <c r="F446" s="124"/>
      <c r="G446" s="124"/>
      <c r="H446" s="124"/>
      <c r="I446" s="124"/>
      <c r="J446" s="124"/>
      <c r="K446" s="124"/>
      <c r="L446" s="124"/>
      <c r="M446" s="124"/>
      <c r="N446" s="124"/>
      <c r="O446" s="124"/>
      <c r="P446" s="124"/>
      <c r="Q446" s="124"/>
      <c r="R446" s="124"/>
    </row>
    <row r="447">
      <c r="A447" s="124" t="str">
        <f>IFERROR(__xludf.DUMMYFUNCTION("""COMPUTED_VALUE"""),"#N/A")</f>
        <v>#N/A</v>
      </c>
      <c r="B447" s="124"/>
      <c r="C447" s="124"/>
      <c r="D447" s="124"/>
      <c r="E447" s="124"/>
      <c r="F447" s="124"/>
      <c r="G447" s="124"/>
      <c r="H447" s="124"/>
      <c r="I447" s="124"/>
      <c r="J447" s="124"/>
      <c r="K447" s="124"/>
      <c r="L447" s="124"/>
      <c r="M447" s="124"/>
      <c r="N447" s="124"/>
      <c r="O447" s="124"/>
      <c r="P447" s="124"/>
      <c r="Q447" s="124"/>
      <c r="R447" s="124"/>
    </row>
    <row r="448">
      <c r="A448" s="124" t="str">
        <f>IFERROR(__xludf.DUMMYFUNCTION("""COMPUTED_VALUE"""),"#N/A")</f>
        <v>#N/A</v>
      </c>
      <c r="B448" s="124"/>
      <c r="C448" s="124"/>
      <c r="D448" s="124"/>
      <c r="E448" s="124"/>
      <c r="F448" s="124"/>
      <c r="G448" s="124"/>
      <c r="H448" s="124"/>
      <c r="I448" s="124"/>
      <c r="J448" s="124"/>
      <c r="K448" s="124"/>
      <c r="L448" s="124"/>
      <c r="M448" s="124"/>
      <c r="N448" s="124"/>
      <c r="O448" s="124"/>
      <c r="P448" s="124"/>
      <c r="Q448" s="124"/>
      <c r="R448" s="124"/>
    </row>
    <row r="449">
      <c r="A449" s="124" t="str">
        <f>IFERROR(__xludf.DUMMYFUNCTION("""COMPUTED_VALUE"""),"#N/A")</f>
        <v>#N/A</v>
      </c>
      <c r="B449" s="124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124"/>
      <c r="Q449" s="124"/>
      <c r="R449" s="124"/>
    </row>
    <row r="450">
      <c r="A450" s="124" t="str">
        <f>IFERROR(__xludf.DUMMYFUNCTION("""COMPUTED_VALUE"""),"#N/A")</f>
        <v>#N/A</v>
      </c>
      <c r="B450" s="124"/>
      <c r="C450" s="124"/>
      <c r="D450" s="124"/>
      <c r="E450" s="124"/>
      <c r="F450" s="124"/>
      <c r="G450" s="124"/>
      <c r="H450" s="124"/>
      <c r="I450" s="124"/>
      <c r="J450" s="124"/>
      <c r="K450" s="124"/>
      <c r="L450" s="124"/>
      <c r="M450" s="124"/>
      <c r="N450" s="124"/>
      <c r="O450" s="124"/>
      <c r="P450" s="124"/>
      <c r="Q450" s="124"/>
      <c r="R450" s="124"/>
    </row>
    <row r="451">
      <c r="A451" s="124" t="str">
        <f>IFERROR(__xludf.DUMMYFUNCTION("""COMPUTED_VALUE"""),"#N/A")</f>
        <v>#N/A</v>
      </c>
      <c r="B451" s="124"/>
      <c r="C451" s="124"/>
      <c r="D451" s="124"/>
      <c r="E451" s="124"/>
      <c r="F451" s="124"/>
      <c r="G451" s="124"/>
      <c r="H451" s="124"/>
      <c r="I451" s="124"/>
      <c r="J451" s="124"/>
      <c r="K451" s="124"/>
      <c r="L451" s="124"/>
      <c r="M451" s="124"/>
      <c r="N451" s="124"/>
      <c r="O451" s="124"/>
      <c r="P451" s="124"/>
      <c r="Q451" s="124"/>
      <c r="R451" s="124"/>
    </row>
    <row r="452">
      <c r="A452" s="124" t="str">
        <f>IFERROR(__xludf.DUMMYFUNCTION("""COMPUTED_VALUE"""),"#N/A")</f>
        <v>#N/A</v>
      </c>
      <c r="B452" s="124"/>
      <c r="C452" s="124"/>
      <c r="D452" s="124"/>
      <c r="E452" s="124"/>
      <c r="F452" s="124"/>
      <c r="G452" s="124"/>
      <c r="H452" s="124"/>
      <c r="I452" s="124"/>
      <c r="J452" s="124"/>
      <c r="K452" s="124"/>
      <c r="L452" s="124"/>
      <c r="M452" s="124"/>
      <c r="N452" s="124"/>
      <c r="O452" s="124"/>
      <c r="P452" s="124"/>
      <c r="Q452" s="124"/>
      <c r="R452" s="124"/>
    </row>
    <row r="453">
      <c r="A453" s="124" t="str">
        <f>IFERROR(__xludf.DUMMYFUNCTION("""COMPUTED_VALUE"""),"#N/A")</f>
        <v>#N/A</v>
      </c>
      <c r="B453" s="124"/>
      <c r="C453" s="124"/>
      <c r="D453" s="124"/>
      <c r="E453" s="124"/>
      <c r="F453" s="124"/>
      <c r="G453" s="124"/>
      <c r="H453" s="124"/>
      <c r="I453" s="124"/>
      <c r="J453" s="124"/>
      <c r="K453" s="124"/>
      <c r="L453" s="124"/>
      <c r="M453" s="124"/>
      <c r="N453" s="124"/>
      <c r="O453" s="124"/>
      <c r="P453" s="124"/>
      <c r="Q453" s="124"/>
      <c r="R453" s="124"/>
    </row>
    <row r="454">
      <c r="A454" s="124" t="str">
        <f>IFERROR(__xludf.DUMMYFUNCTION("""COMPUTED_VALUE"""),"#N/A")</f>
        <v>#N/A</v>
      </c>
      <c r="B454" s="124"/>
      <c r="C454" s="124"/>
      <c r="D454" s="124"/>
      <c r="E454" s="124"/>
      <c r="F454" s="124"/>
      <c r="G454" s="124"/>
      <c r="H454" s="124"/>
      <c r="I454" s="124"/>
      <c r="J454" s="124"/>
      <c r="K454" s="124"/>
      <c r="L454" s="124"/>
      <c r="M454" s="124"/>
      <c r="N454" s="124"/>
      <c r="O454" s="124"/>
      <c r="P454" s="124"/>
      <c r="Q454" s="124"/>
      <c r="R454" s="124"/>
    </row>
    <row r="455">
      <c r="A455" s="124" t="str">
        <f>IFERROR(__xludf.DUMMYFUNCTION("""COMPUTED_VALUE"""),"#N/A")</f>
        <v>#N/A</v>
      </c>
      <c r="B455" s="124"/>
      <c r="C455" s="124"/>
      <c r="D455" s="124"/>
      <c r="E455" s="124"/>
      <c r="F455" s="124"/>
      <c r="G455" s="124"/>
      <c r="H455" s="124"/>
      <c r="I455" s="124"/>
      <c r="J455" s="124"/>
      <c r="K455" s="124"/>
      <c r="L455" s="124"/>
      <c r="M455" s="124"/>
      <c r="N455" s="124"/>
      <c r="O455" s="124"/>
      <c r="P455" s="124"/>
      <c r="Q455" s="124"/>
      <c r="R455" s="124"/>
    </row>
    <row r="456">
      <c r="A456" s="124" t="str">
        <f>IFERROR(__xludf.DUMMYFUNCTION("""COMPUTED_VALUE"""),"#N/A")</f>
        <v>#N/A</v>
      </c>
      <c r="B456" s="124"/>
      <c r="C456" s="124"/>
      <c r="D456" s="124"/>
      <c r="E456" s="124"/>
      <c r="F456" s="124"/>
      <c r="G456" s="124"/>
      <c r="H456" s="124"/>
      <c r="I456" s="124"/>
      <c r="J456" s="124"/>
      <c r="K456" s="124"/>
      <c r="L456" s="124"/>
      <c r="M456" s="124"/>
      <c r="N456" s="124"/>
      <c r="O456" s="124"/>
      <c r="P456" s="124"/>
      <c r="Q456" s="124"/>
      <c r="R456" s="124"/>
    </row>
    <row r="457">
      <c r="A457" s="124" t="str">
        <f>IFERROR(__xludf.DUMMYFUNCTION("""COMPUTED_VALUE"""),"#N/A")</f>
        <v>#N/A</v>
      </c>
      <c r="B457" s="124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124"/>
      <c r="Q457" s="124"/>
      <c r="R457" s="124"/>
    </row>
    <row r="458">
      <c r="A458" s="124" t="str">
        <f>IFERROR(__xludf.DUMMYFUNCTION("""COMPUTED_VALUE"""),"#N/A")</f>
        <v>#N/A</v>
      </c>
      <c r="B458" s="124"/>
      <c r="C458" s="124"/>
      <c r="D458" s="124"/>
      <c r="E458" s="124"/>
      <c r="F458" s="124"/>
      <c r="G458" s="124"/>
      <c r="H458" s="124"/>
      <c r="I458" s="124"/>
      <c r="J458" s="124"/>
      <c r="K458" s="124"/>
      <c r="L458" s="124"/>
      <c r="M458" s="124"/>
      <c r="N458" s="124"/>
      <c r="O458" s="124"/>
      <c r="P458" s="124"/>
      <c r="Q458" s="124"/>
      <c r="R458" s="124"/>
    </row>
    <row r="459">
      <c r="A459" s="124" t="str">
        <f>IFERROR(__xludf.DUMMYFUNCTION("""COMPUTED_VALUE"""),"#N/A")</f>
        <v>#N/A</v>
      </c>
      <c r="B459" s="124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124"/>
      <c r="Q459" s="124"/>
      <c r="R459" s="124"/>
    </row>
    <row r="460">
      <c r="A460" s="124" t="str">
        <f>IFERROR(__xludf.DUMMYFUNCTION("""COMPUTED_VALUE"""),"#N/A")</f>
        <v>#N/A</v>
      </c>
      <c r="B460" s="124"/>
      <c r="C460" s="124"/>
      <c r="D460" s="124"/>
      <c r="E460" s="124"/>
      <c r="F460" s="124"/>
      <c r="G460" s="124"/>
      <c r="H460" s="124"/>
      <c r="I460" s="124"/>
      <c r="J460" s="124"/>
      <c r="K460" s="124"/>
      <c r="L460" s="124"/>
      <c r="M460" s="124"/>
      <c r="N460" s="124"/>
      <c r="O460" s="124"/>
      <c r="P460" s="124"/>
      <c r="Q460" s="124"/>
      <c r="R460" s="124"/>
    </row>
    <row r="461">
      <c r="A461" s="124" t="str">
        <f>IFERROR(__xludf.DUMMYFUNCTION("""COMPUTED_VALUE"""),"#N/A")</f>
        <v>#N/A</v>
      </c>
      <c r="B461" s="124"/>
      <c r="C461" s="124"/>
      <c r="D461" s="124"/>
      <c r="E461" s="124"/>
      <c r="F461" s="124"/>
      <c r="G461" s="124"/>
      <c r="H461" s="124"/>
      <c r="I461" s="124"/>
      <c r="J461" s="124"/>
      <c r="K461" s="124"/>
      <c r="L461" s="124"/>
      <c r="M461" s="124"/>
      <c r="N461" s="124"/>
      <c r="O461" s="124"/>
      <c r="P461" s="124"/>
      <c r="Q461" s="124"/>
      <c r="R461" s="124"/>
    </row>
    <row r="462">
      <c r="A462" s="124" t="str">
        <f>IFERROR(__xludf.DUMMYFUNCTION("""COMPUTED_VALUE"""),"#N/A")</f>
        <v>#N/A</v>
      </c>
      <c r="B462" s="124"/>
      <c r="C462" s="124"/>
      <c r="D462" s="124"/>
      <c r="E462" s="124"/>
      <c r="F462" s="124"/>
      <c r="G462" s="124"/>
      <c r="H462" s="124"/>
      <c r="I462" s="124"/>
      <c r="J462" s="124"/>
      <c r="K462" s="124"/>
      <c r="L462" s="124"/>
      <c r="M462" s="124"/>
      <c r="N462" s="124"/>
      <c r="O462" s="124"/>
      <c r="P462" s="124"/>
      <c r="Q462" s="124"/>
      <c r="R462" s="124"/>
    </row>
    <row r="463">
      <c r="A463" s="124" t="str">
        <f>IFERROR(__xludf.DUMMYFUNCTION("""COMPUTED_VALUE"""),"#N/A")</f>
        <v>#N/A</v>
      </c>
      <c r="B463" s="124"/>
      <c r="C463" s="124"/>
      <c r="D463" s="124"/>
      <c r="E463" s="124"/>
      <c r="F463" s="124"/>
      <c r="G463" s="124"/>
      <c r="H463" s="124"/>
      <c r="I463" s="124"/>
      <c r="J463" s="124"/>
      <c r="K463" s="124"/>
      <c r="L463" s="124"/>
      <c r="M463" s="124"/>
      <c r="N463" s="124"/>
      <c r="O463" s="124"/>
      <c r="P463" s="124"/>
      <c r="Q463" s="124"/>
      <c r="R463" s="124"/>
    </row>
    <row r="464">
      <c r="A464" s="124" t="str">
        <f>IFERROR(__xludf.DUMMYFUNCTION("""COMPUTED_VALUE"""),"#N/A")</f>
        <v>#N/A</v>
      </c>
      <c r="B464" s="124"/>
      <c r="C464" s="124"/>
      <c r="D464" s="124"/>
      <c r="E464" s="124"/>
      <c r="F464" s="124"/>
      <c r="G464" s="124"/>
      <c r="H464" s="124"/>
      <c r="I464" s="124"/>
      <c r="J464" s="124"/>
      <c r="K464" s="124"/>
      <c r="L464" s="124"/>
      <c r="M464" s="124"/>
      <c r="N464" s="124"/>
      <c r="O464" s="124"/>
      <c r="P464" s="124"/>
      <c r="Q464" s="124"/>
      <c r="R464" s="124"/>
    </row>
    <row r="465">
      <c r="A465" s="124" t="str">
        <f>IFERROR(__xludf.DUMMYFUNCTION("""COMPUTED_VALUE"""),"#N/A")</f>
        <v>#N/A</v>
      </c>
      <c r="B465" s="124"/>
      <c r="C465" s="124"/>
      <c r="D465" s="124"/>
      <c r="E465" s="124"/>
      <c r="F465" s="124"/>
      <c r="G465" s="124"/>
      <c r="H465" s="124"/>
      <c r="I465" s="124"/>
      <c r="J465" s="124"/>
      <c r="K465" s="124"/>
      <c r="L465" s="124"/>
      <c r="M465" s="124"/>
      <c r="N465" s="124"/>
      <c r="O465" s="124"/>
      <c r="P465" s="124"/>
      <c r="Q465" s="124"/>
      <c r="R465" s="124"/>
    </row>
    <row r="466">
      <c r="A466" s="124" t="str">
        <f>IFERROR(__xludf.DUMMYFUNCTION("""COMPUTED_VALUE"""),"#N/A")</f>
        <v>#N/A</v>
      </c>
      <c r="B466" s="124"/>
      <c r="C466" s="124"/>
      <c r="D466" s="124"/>
      <c r="E466" s="124"/>
      <c r="F466" s="124"/>
      <c r="G466" s="124"/>
      <c r="H466" s="124"/>
      <c r="I466" s="124"/>
      <c r="J466" s="124"/>
      <c r="K466" s="124"/>
      <c r="L466" s="124"/>
      <c r="M466" s="124"/>
      <c r="N466" s="124"/>
      <c r="O466" s="124"/>
      <c r="P466" s="124"/>
      <c r="Q466" s="124"/>
      <c r="R466" s="124"/>
    </row>
    <row r="467">
      <c r="A467" s="124" t="str">
        <f>IFERROR(__xludf.DUMMYFUNCTION("""COMPUTED_VALUE"""),"#N/A")</f>
        <v>#N/A</v>
      </c>
      <c r="B467" s="124"/>
      <c r="C467" s="124"/>
      <c r="D467" s="124"/>
      <c r="E467" s="124"/>
      <c r="F467" s="124"/>
      <c r="G467" s="124"/>
      <c r="H467" s="124"/>
      <c r="I467" s="124"/>
      <c r="J467" s="124"/>
      <c r="K467" s="124"/>
      <c r="L467" s="124"/>
      <c r="M467" s="124"/>
      <c r="N467" s="124"/>
      <c r="O467" s="124"/>
      <c r="P467" s="124"/>
      <c r="Q467" s="124"/>
      <c r="R467" s="124"/>
    </row>
    <row r="468">
      <c r="A468" s="124" t="str">
        <f>IFERROR(__xludf.DUMMYFUNCTION("""COMPUTED_VALUE"""),"#N/A")</f>
        <v>#N/A</v>
      </c>
      <c r="B468" s="124"/>
      <c r="C468" s="124"/>
      <c r="D468" s="124"/>
      <c r="E468" s="124"/>
      <c r="F468" s="124"/>
      <c r="G468" s="124"/>
      <c r="H468" s="124"/>
      <c r="I468" s="124"/>
      <c r="J468" s="124"/>
      <c r="K468" s="124"/>
      <c r="L468" s="124"/>
      <c r="M468" s="124"/>
      <c r="N468" s="124"/>
      <c r="O468" s="124"/>
      <c r="P468" s="124"/>
      <c r="Q468" s="124"/>
      <c r="R468" s="124"/>
    </row>
    <row r="469">
      <c r="A469" s="124" t="str">
        <f>IFERROR(__xludf.DUMMYFUNCTION("""COMPUTED_VALUE"""),"#N/A")</f>
        <v>#N/A</v>
      </c>
      <c r="B469" s="124"/>
      <c r="C469" s="124"/>
      <c r="D469" s="124"/>
      <c r="E469" s="124"/>
      <c r="F469" s="124"/>
      <c r="G469" s="124"/>
      <c r="H469" s="124"/>
      <c r="I469" s="124"/>
      <c r="J469" s="124"/>
      <c r="K469" s="124"/>
      <c r="L469" s="124"/>
      <c r="M469" s="124"/>
      <c r="N469" s="124"/>
      <c r="O469" s="124"/>
      <c r="P469" s="124"/>
      <c r="Q469" s="124"/>
      <c r="R469" s="124"/>
    </row>
    <row r="470">
      <c r="A470" s="124" t="str">
        <f>IFERROR(__xludf.DUMMYFUNCTION("""COMPUTED_VALUE"""),"#N/A")</f>
        <v>#N/A</v>
      </c>
      <c r="B470" s="124"/>
      <c r="C470" s="124"/>
      <c r="D470" s="124"/>
      <c r="E470" s="124"/>
      <c r="F470" s="124"/>
      <c r="G470" s="124"/>
      <c r="H470" s="124"/>
      <c r="I470" s="124"/>
      <c r="J470" s="124"/>
      <c r="K470" s="124"/>
      <c r="L470" s="124"/>
      <c r="M470" s="124"/>
      <c r="N470" s="124"/>
      <c r="O470" s="124"/>
      <c r="P470" s="124"/>
      <c r="Q470" s="124"/>
      <c r="R470" s="124"/>
    </row>
    <row r="471">
      <c r="A471" s="124" t="str">
        <f>IFERROR(__xludf.DUMMYFUNCTION("""COMPUTED_VALUE"""),"#N/A")</f>
        <v>#N/A</v>
      </c>
      <c r="B471" s="124"/>
      <c r="C471" s="124"/>
      <c r="D471" s="124"/>
      <c r="E471" s="124"/>
      <c r="F471" s="124"/>
      <c r="G471" s="124"/>
      <c r="H471" s="124"/>
      <c r="I471" s="124"/>
      <c r="J471" s="124"/>
      <c r="K471" s="124"/>
      <c r="L471" s="124"/>
      <c r="M471" s="124"/>
      <c r="N471" s="124"/>
      <c r="O471" s="124"/>
      <c r="P471" s="124"/>
      <c r="Q471" s="124"/>
      <c r="R471" s="124"/>
    </row>
    <row r="472">
      <c r="A472" s="124" t="str">
        <f>IFERROR(__xludf.DUMMYFUNCTION("""COMPUTED_VALUE"""),"#N/A")</f>
        <v>#N/A</v>
      </c>
      <c r="B472" s="124"/>
      <c r="C472" s="124"/>
      <c r="D472" s="124"/>
      <c r="E472" s="124"/>
      <c r="F472" s="124"/>
      <c r="G472" s="124"/>
      <c r="H472" s="124"/>
      <c r="I472" s="124"/>
      <c r="J472" s="124"/>
      <c r="K472" s="124"/>
      <c r="L472" s="124"/>
      <c r="M472" s="124"/>
      <c r="N472" s="124"/>
      <c r="O472" s="124"/>
      <c r="P472" s="124"/>
      <c r="Q472" s="124"/>
      <c r="R472" s="124"/>
    </row>
    <row r="473">
      <c r="A473" s="124" t="str">
        <f>IFERROR(__xludf.DUMMYFUNCTION("""COMPUTED_VALUE"""),"#N/A")</f>
        <v>#N/A</v>
      </c>
      <c r="B473" s="124"/>
      <c r="C473" s="124"/>
      <c r="D473" s="124"/>
      <c r="E473" s="124"/>
      <c r="F473" s="124"/>
      <c r="G473" s="124"/>
      <c r="H473" s="124"/>
      <c r="I473" s="124"/>
      <c r="J473" s="124"/>
      <c r="K473" s="124"/>
      <c r="L473" s="124"/>
      <c r="M473" s="124"/>
      <c r="N473" s="124"/>
      <c r="O473" s="124"/>
      <c r="P473" s="124"/>
      <c r="Q473" s="124"/>
      <c r="R473" s="124"/>
    </row>
    <row r="474">
      <c r="A474" s="124" t="str">
        <f>IFERROR(__xludf.DUMMYFUNCTION("""COMPUTED_VALUE"""),"#N/A")</f>
        <v>#N/A</v>
      </c>
      <c r="B474" s="124"/>
      <c r="C474" s="124"/>
      <c r="D474" s="124"/>
      <c r="E474" s="124"/>
      <c r="F474" s="124"/>
      <c r="G474" s="124"/>
      <c r="H474" s="124"/>
      <c r="I474" s="124"/>
      <c r="J474" s="124"/>
      <c r="K474" s="124"/>
      <c r="L474" s="124"/>
      <c r="M474" s="124"/>
      <c r="N474" s="124"/>
      <c r="O474" s="124"/>
      <c r="P474" s="124"/>
      <c r="Q474" s="124"/>
      <c r="R474" s="124"/>
    </row>
    <row r="475">
      <c r="A475" s="124" t="str">
        <f>IFERROR(__xludf.DUMMYFUNCTION("""COMPUTED_VALUE"""),"#N/A")</f>
        <v>#N/A</v>
      </c>
      <c r="B475" s="124"/>
      <c r="C475" s="124"/>
      <c r="D475" s="124"/>
      <c r="E475" s="124"/>
      <c r="F475" s="124"/>
      <c r="G475" s="124"/>
      <c r="H475" s="124"/>
      <c r="I475" s="124"/>
      <c r="J475" s="124"/>
      <c r="K475" s="124"/>
      <c r="L475" s="124"/>
      <c r="M475" s="124"/>
      <c r="N475" s="124"/>
      <c r="O475" s="124"/>
      <c r="P475" s="124"/>
      <c r="Q475" s="124"/>
      <c r="R475" s="124"/>
    </row>
    <row r="476">
      <c r="A476" s="124" t="str">
        <f>IFERROR(__xludf.DUMMYFUNCTION("""COMPUTED_VALUE"""),"#N/A")</f>
        <v>#N/A</v>
      </c>
      <c r="B476" s="124"/>
      <c r="C476" s="124"/>
      <c r="D476" s="124"/>
      <c r="E476" s="124"/>
      <c r="F476" s="124"/>
      <c r="G476" s="124"/>
      <c r="H476" s="124"/>
      <c r="I476" s="124"/>
      <c r="J476" s="124"/>
      <c r="K476" s="124"/>
      <c r="L476" s="124"/>
      <c r="M476" s="124"/>
      <c r="N476" s="124"/>
      <c r="O476" s="124"/>
      <c r="P476" s="124"/>
      <c r="Q476" s="124"/>
      <c r="R476" s="124"/>
    </row>
    <row r="477">
      <c r="A477" s="124" t="str">
        <f>IFERROR(__xludf.DUMMYFUNCTION("""COMPUTED_VALUE"""),"#N/A")</f>
        <v>#N/A</v>
      </c>
      <c r="B477" s="124"/>
      <c r="C477" s="124"/>
      <c r="D477" s="124"/>
      <c r="E477" s="124"/>
      <c r="F477" s="124"/>
      <c r="G477" s="124"/>
      <c r="H477" s="124"/>
      <c r="I477" s="124"/>
      <c r="J477" s="124"/>
      <c r="K477" s="124"/>
      <c r="L477" s="124"/>
      <c r="M477" s="124"/>
      <c r="N477" s="124"/>
      <c r="O477" s="124"/>
      <c r="P477" s="124"/>
      <c r="Q477" s="124"/>
      <c r="R477" s="124"/>
    </row>
    <row r="478">
      <c r="A478" s="124" t="str">
        <f>IFERROR(__xludf.DUMMYFUNCTION("""COMPUTED_VALUE"""),"#N/A")</f>
        <v>#N/A</v>
      </c>
      <c r="B478" s="124"/>
      <c r="C478" s="124"/>
      <c r="D478" s="124"/>
      <c r="E478" s="124"/>
      <c r="F478" s="124"/>
      <c r="G478" s="124"/>
      <c r="H478" s="124"/>
      <c r="I478" s="124"/>
      <c r="J478" s="124"/>
      <c r="K478" s="124"/>
      <c r="L478" s="124"/>
      <c r="M478" s="124"/>
      <c r="N478" s="124"/>
      <c r="O478" s="124"/>
      <c r="P478" s="124"/>
      <c r="Q478" s="124"/>
      <c r="R478" s="124"/>
    </row>
    <row r="479">
      <c r="A479" s="124" t="str">
        <f>IFERROR(__xludf.DUMMYFUNCTION("""COMPUTED_VALUE"""),"#N/A")</f>
        <v>#N/A</v>
      </c>
      <c r="B479" s="124"/>
      <c r="C479" s="124"/>
      <c r="D479" s="124"/>
      <c r="E479" s="124"/>
      <c r="F479" s="124"/>
      <c r="G479" s="124"/>
      <c r="H479" s="124"/>
      <c r="I479" s="124"/>
      <c r="J479" s="124"/>
      <c r="K479" s="124"/>
      <c r="L479" s="124"/>
      <c r="M479" s="124"/>
      <c r="N479" s="124"/>
      <c r="O479" s="124"/>
      <c r="P479" s="124"/>
      <c r="Q479" s="124"/>
      <c r="R479" s="124"/>
    </row>
    <row r="480">
      <c r="A480" s="124" t="str">
        <f>IFERROR(__xludf.DUMMYFUNCTION("""COMPUTED_VALUE"""),"#N/A")</f>
        <v>#N/A</v>
      </c>
      <c r="B480" s="124"/>
      <c r="C480" s="124"/>
      <c r="D480" s="124"/>
      <c r="E480" s="124"/>
      <c r="F480" s="124"/>
      <c r="G480" s="124"/>
      <c r="H480" s="124"/>
      <c r="I480" s="124"/>
      <c r="J480" s="124"/>
      <c r="K480" s="124"/>
      <c r="L480" s="124"/>
      <c r="M480" s="124"/>
      <c r="N480" s="124"/>
      <c r="O480" s="124"/>
      <c r="P480" s="124"/>
      <c r="Q480" s="124"/>
      <c r="R480" s="124"/>
    </row>
    <row r="481">
      <c r="A481" s="124" t="str">
        <f>IFERROR(__xludf.DUMMYFUNCTION("""COMPUTED_VALUE"""),"#N/A")</f>
        <v>#N/A</v>
      </c>
      <c r="B481" s="124"/>
      <c r="C481" s="124"/>
      <c r="D481" s="124"/>
      <c r="E481" s="124"/>
      <c r="F481" s="124"/>
      <c r="G481" s="124"/>
      <c r="H481" s="124"/>
      <c r="I481" s="124"/>
      <c r="J481" s="124"/>
      <c r="K481" s="124"/>
      <c r="L481" s="124"/>
      <c r="M481" s="124"/>
      <c r="N481" s="124"/>
      <c r="O481" s="124"/>
      <c r="P481" s="124"/>
      <c r="Q481" s="124"/>
      <c r="R481" s="124"/>
    </row>
    <row r="482">
      <c r="A482" s="124" t="str">
        <f>IFERROR(__xludf.DUMMYFUNCTION("""COMPUTED_VALUE"""),"#N/A")</f>
        <v>#N/A</v>
      </c>
      <c r="B482" s="124"/>
      <c r="C482" s="124"/>
      <c r="D482" s="124"/>
      <c r="E482" s="124"/>
      <c r="F482" s="124"/>
      <c r="G482" s="124"/>
      <c r="H482" s="124"/>
      <c r="I482" s="124"/>
      <c r="J482" s="124"/>
      <c r="K482" s="124"/>
      <c r="L482" s="124"/>
      <c r="M482" s="124"/>
      <c r="N482" s="124"/>
      <c r="O482" s="124"/>
      <c r="P482" s="124"/>
      <c r="Q482" s="124"/>
      <c r="R482" s="124"/>
    </row>
    <row r="483">
      <c r="A483" s="124" t="str">
        <f>IFERROR(__xludf.DUMMYFUNCTION("""COMPUTED_VALUE"""),"#N/A")</f>
        <v>#N/A</v>
      </c>
      <c r="B483" s="124"/>
      <c r="C483" s="124"/>
      <c r="D483" s="124"/>
      <c r="E483" s="124"/>
      <c r="F483" s="124"/>
      <c r="G483" s="124"/>
      <c r="H483" s="124"/>
      <c r="I483" s="124"/>
      <c r="J483" s="124"/>
      <c r="K483" s="124"/>
      <c r="L483" s="124"/>
      <c r="M483" s="124"/>
      <c r="N483" s="124"/>
      <c r="O483" s="124"/>
      <c r="P483" s="124"/>
      <c r="Q483" s="124"/>
      <c r="R483" s="124"/>
    </row>
    <row r="484">
      <c r="A484" s="124" t="str">
        <f>IFERROR(__xludf.DUMMYFUNCTION("""COMPUTED_VALUE"""),"#N/A")</f>
        <v>#N/A</v>
      </c>
      <c r="B484" s="124"/>
      <c r="C484" s="124"/>
      <c r="D484" s="124"/>
      <c r="E484" s="124"/>
      <c r="F484" s="124"/>
      <c r="G484" s="124"/>
      <c r="H484" s="124"/>
      <c r="I484" s="124"/>
      <c r="J484" s="124"/>
      <c r="K484" s="124"/>
      <c r="L484" s="124"/>
      <c r="M484" s="124"/>
      <c r="N484" s="124"/>
      <c r="O484" s="124"/>
      <c r="P484" s="124"/>
      <c r="Q484" s="124"/>
      <c r="R484" s="124"/>
    </row>
    <row r="485">
      <c r="A485" s="124" t="str">
        <f>IFERROR(__xludf.DUMMYFUNCTION("""COMPUTED_VALUE"""),"#N/A")</f>
        <v>#N/A</v>
      </c>
      <c r="B485" s="124"/>
      <c r="C485" s="124"/>
      <c r="D485" s="124"/>
      <c r="E485" s="124"/>
      <c r="F485" s="124"/>
      <c r="G485" s="124"/>
      <c r="H485" s="124"/>
      <c r="I485" s="124"/>
      <c r="J485" s="124"/>
      <c r="K485" s="124"/>
      <c r="L485" s="124"/>
      <c r="M485" s="124"/>
      <c r="N485" s="124"/>
      <c r="O485" s="124"/>
      <c r="P485" s="124"/>
      <c r="Q485" s="124"/>
      <c r="R485" s="124"/>
    </row>
    <row r="486">
      <c r="A486" s="124" t="str">
        <f>IFERROR(__xludf.DUMMYFUNCTION("""COMPUTED_VALUE"""),"#N/A")</f>
        <v>#N/A</v>
      </c>
      <c r="B486" s="124"/>
      <c r="C486" s="124"/>
      <c r="D486" s="124"/>
      <c r="E486" s="124"/>
      <c r="F486" s="124"/>
      <c r="G486" s="124"/>
      <c r="H486" s="124"/>
      <c r="I486" s="124"/>
      <c r="J486" s="124"/>
      <c r="K486" s="124"/>
      <c r="L486" s="124"/>
      <c r="M486" s="124"/>
      <c r="N486" s="124"/>
      <c r="O486" s="124"/>
      <c r="P486" s="124"/>
      <c r="Q486" s="124"/>
      <c r="R486" s="124"/>
    </row>
    <row r="487">
      <c r="A487" s="124" t="str">
        <f>IFERROR(__xludf.DUMMYFUNCTION("""COMPUTED_VALUE"""),"#N/A")</f>
        <v>#N/A</v>
      </c>
      <c r="B487" s="124"/>
      <c r="C487" s="124"/>
      <c r="D487" s="124"/>
      <c r="E487" s="124"/>
      <c r="F487" s="124"/>
      <c r="G487" s="124"/>
      <c r="H487" s="124"/>
      <c r="I487" s="124"/>
      <c r="J487" s="124"/>
      <c r="K487" s="124"/>
      <c r="L487" s="124"/>
      <c r="M487" s="124"/>
      <c r="N487" s="124"/>
      <c r="O487" s="124"/>
      <c r="P487" s="124"/>
      <c r="Q487" s="124"/>
      <c r="R487" s="124"/>
    </row>
    <row r="488">
      <c r="A488" s="124" t="str">
        <f>IFERROR(__xludf.DUMMYFUNCTION("""COMPUTED_VALUE"""),"#N/A")</f>
        <v>#N/A</v>
      </c>
      <c r="B488" s="124"/>
      <c r="C488" s="124"/>
      <c r="D488" s="124"/>
      <c r="E488" s="124"/>
      <c r="F488" s="124"/>
      <c r="G488" s="124"/>
      <c r="H488" s="124"/>
      <c r="I488" s="124"/>
      <c r="J488" s="124"/>
      <c r="K488" s="124"/>
      <c r="L488" s="124"/>
      <c r="M488" s="124"/>
      <c r="N488" s="124"/>
      <c r="O488" s="124"/>
      <c r="P488" s="124"/>
      <c r="Q488" s="124"/>
      <c r="R488" s="124"/>
    </row>
    <row r="489">
      <c r="A489" s="124" t="str">
        <f>IFERROR(__xludf.DUMMYFUNCTION("""COMPUTED_VALUE"""),"#N/A")</f>
        <v>#N/A</v>
      </c>
      <c r="B489" s="124"/>
      <c r="C489" s="124"/>
      <c r="D489" s="124"/>
      <c r="E489" s="124"/>
      <c r="F489" s="124"/>
      <c r="G489" s="124"/>
      <c r="H489" s="124"/>
      <c r="I489" s="124"/>
      <c r="J489" s="124"/>
      <c r="K489" s="124"/>
      <c r="L489" s="124"/>
      <c r="M489" s="124"/>
      <c r="N489" s="124"/>
      <c r="O489" s="124"/>
      <c r="P489" s="124"/>
      <c r="Q489" s="124"/>
      <c r="R489" s="124"/>
    </row>
    <row r="490">
      <c r="A490" s="124" t="str">
        <f>IFERROR(__xludf.DUMMYFUNCTION("""COMPUTED_VALUE"""),"#N/A")</f>
        <v>#N/A</v>
      </c>
      <c r="B490" s="124"/>
      <c r="C490" s="124"/>
      <c r="D490" s="124"/>
      <c r="E490" s="124"/>
      <c r="F490" s="124"/>
      <c r="G490" s="124"/>
      <c r="H490" s="124"/>
      <c r="I490" s="124"/>
      <c r="J490" s="124"/>
      <c r="K490" s="124"/>
      <c r="L490" s="124"/>
      <c r="M490" s="124"/>
      <c r="N490" s="124"/>
      <c r="O490" s="124"/>
      <c r="P490" s="124"/>
      <c r="Q490" s="124"/>
      <c r="R490" s="124"/>
    </row>
    <row r="491">
      <c r="A491" s="124" t="str">
        <f>IFERROR(__xludf.DUMMYFUNCTION("""COMPUTED_VALUE"""),"#N/A")</f>
        <v>#N/A</v>
      </c>
      <c r="B491" s="124"/>
      <c r="C491" s="124"/>
      <c r="D491" s="124"/>
      <c r="E491" s="124"/>
      <c r="F491" s="124"/>
      <c r="G491" s="124"/>
      <c r="H491" s="124"/>
      <c r="I491" s="124"/>
      <c r="J491" s="124"/>
      <c r="K491" s="124"/>
      <c r="L491" s="124"/>
      <c r="M491" s="124"/>
      <c r="N491" s="124"/>
      <c r="O491" s="124"/>
      <c r="P491" s="124"/>
      <c r="Q491" s="124"/>
      <c r="R491" s="124"/>
    </row>
    <row r="492">
      <c r="A492" s="124" t="str">
        <f>IFERROR(__xludf.DUMMYFUNCTION("""COMPUTED_VALUE"""),"#N/A")</f>
        <v>#N/A</v>
      </c>
      <c r="B492" s="124"/>
      <c r="C492" s="124"/>
      <c r="D492" s="124"/>
      <c r="E492" s="124"/>
      <c r="F492" s="124"/>
      <c r="G492" s="124"/>
      <c r="H492" s="124"/>
      <c r="I492" s="124"/>
      <c r="J492" s="124"/>
      <c r="K492" s="124"/>
      <c r="L492" s="124"/>
      <c r="M492" s="124"/>
      <c r="N492" s="124"/>
      <c r="O492" s="124"/>
      <c r="P492" s="124"/>
      <c r="Q492" s="124"/>
      <c r="R492" s="124"/>
    </row>
    <row r="493">
      <c r="A493" s="124" t="str">
        <f>IFERROR(__xludf.DUMMYFUNCTION("""COMPUTED_VALUE"""),"#N/A")</f>
        <v>#N/A</v>
      </c>
      <c r="B493" s="124"/>
      <c r="C493" s="124"/>
      <c r="D493" s="124"/>
      <c r="E493" s="124"/>
      <c r="F493" s="124"/>
      <c r="G493" s="124"/>
      <c r="H493" s="124"/>
      <c r="I493" s="124"/>
      <c r="J493" s="124"/>
      <c r="K493" s="124"/>
      <c r="L493" s="124"/>
      <c r="M493" s="124"/>
      <c r="N493" s="124"/>
      <c r="O493" s="124"/>
      <c r="P493" s="124"/>
      <c r="Q493" s="124"/>
      <c r="R493" s="124"/>
    </row>
    <row r="494">
      <c r="A494" s="124" t="str">
        <f>IFERROR(__xludf.DUMMYFUNCTION("""COMPUTED_VALUE"""),"#N/A")</f>
        <v>#N/A</v>
      </c>
      <c r="B494" s="124"/>
      <c r="C494" s="124"/>
      <c r="D494" s="124"/>
      <c r="E494" s="124"/>
      <c r="F494" s="124"/>
      <c r="G494" s="124"/>
      <c r="H494" s="124"/>
      <c r="I494" s="124"/>
      <c r="J494" s="124"/>
      <c r="K494" s="124"/>
      <c r="L494" s="124"/>
      <c r="M494" s="124"/>
      <c r="N494" s="124"/>
      <c r="O494" s="124"/>
      <c r="P494" s="124"/>
      <c r="Q494" s="124"/>
      <c r="R494" s="124"/>
    </row>
    <row r="495">
      <c r="A495" s="124" t="str">
        <f>IFERROR(__xludf.DUMMYFUNCTION("""COMPUTED_VALUE"""),"#N/A")</f>
        <v>#N/A</v>
      </c>
      <c r="B495" s="124"/>
      <c r="C495" s="124"/>
      <c r="D495" s="124"/>
      <c r="E495" s="124"/>
      <c r="F495" s="124"/>
      <c r="G495" s="124"/>
      <c r="H495" s="124"/>
      <c r="I495" s="124"/>
      <c r="J495" s="124"/>
      <c r="K495" s="124"/>
      <c r="L495" s="124"/>
      <c r="M495" s="124"/>
      <c r="N495" s="124"/>
      <c r="O495" s="124"/>
      <c r="P495" s="124"/>
      <c r="Q495" s="124"/>
      <c r="R495" s="124"/>
    </row>
    <row r="496">
      <c r="A496" s="124" t="str">
        <f>IFERROR(__xludf.DUMMYFUNCTION("""COMPUTED_VALUE"""),"#N/A")</f>
        <v>#N/A</v>
      </c>
      <c r="B496" s="124"/>
      <c r="C496" s="124"/>
      <c r="D496" s="124"/>
      <c r="E496" s="124"/>
      <c r="F496" s="124"/>
      <c r="G496" s="124"/>
      <c r="H496" s="124"/>
      <c r="I496" s="124"/>
      <c r="J496" s="124"/>
      <c r="K496" s="124"/>
      <c r="L496" s="124"/>
      <c r="M496" s="124"/>
      <c r="N496" s="124"/>
      <c r="O496" s="124"/>
      <c r="P496" s="124"/>
      <c r="Q496" s="124"/>
      <c r="R496" s="124"/>
    </row>
    <row r="497">
      <c r="A497" s="124" t="str">
        <f>IFERROR(__xludf.DUMMYFUNCTION("""COMPUTED_VALUE"""),"#N/A")</f>
        <v>#N/A</v>
      </c>
      <c r="B497" s="124"/>
      <c r="C497" s="124"/>
      <c r="D497" s="124"/>
      <c r="E497" s="124"/>
      <c r="F497" s="124"/>
      <c r="G497" s="124"/>
      <c r="H497" s="124"/>
      <c r="I497" s="124"/>
      <c r="J497" s="124"/>
      <c r="K497" s="124"/>
      <c r="L497" s="124"/>
      <c r="M497" s="124"/>
      <c r="N497" s="124"/>
      <c r="O497" s="124"/>
      <c r="P497" s="124"/>
      <c r="Q497" s="124"/>
      <c r="R497" s="124"/>
    </row>
    <row r="498">
      <c r="A498" s="124" t="str">
        <f>IFERROR(__xludf.DUMMYFUNCTION("""COMPUTED_VALUE"""),"#N/A")</f>
        <v>#N/A</v>
      </c>
      <c r="B498" s="124"/>
      <c r="C498" s="124"/>
      <c r="D498" s="124"/>
      <c r="E498" s="124"/>
      <c r="F498" s="124"/>
      <c r="G498" s="124"/>
      <c r="H498" s="124"/>
      <c r="I498" s="124"/>
      <c r="J498" s="124"/>
      <c r="K498" s="124"/>
      <c r="L498" s="124"/>
      <c r="M498" s="124"/>
      <c r="N498" s="124"/>
      <c r="O498" s="124"/>
      <c r="P498" s="124"/>
      <c r="Q498" s="124"/>
      <c r="R498" s="124"/>
    </row>
    <row r="499">
      <c r="A499" s="124" t="str">
        <f>IFERROR(__xludf.DUMMYFUNCTION("""COMPUTED_VALUE"""),"#N/A")</f>
        <v>#N/A</v>
      </c>
      <c r="B499" s="124"/>
      <c r="C499" s="124"/>
      <c r="D499" s="124"/>
      <c r="E499" s="124"/>
      <c r="F499" s="124"/>
      <c r="G499" s="124"/>
      <c r="H499" s="124"/>
      <c r="I499" s="124"/>
      <c r="J499" s="124"/>
      <c r="K499" s="124"/>
      <c r="L499" s="124"/>
      <c r="M499" s="124"/>
      <c r="N499" s="124"/>
      <c r="O499" s="124"/>
      <c r="P499" s="124"/>
      <c r="Q499" s="124"/>
      <c r="R499" s="124"/>
    </row>
    <row r="500">
      <c r="A500" s="124" t="str">
        <f>IFERROR(__xludf.DUMMYFUNCTION("""COMPUTED_VALUE"""),"#N/A")</f>
        <v>#N/A</v>
      </c>
      <c r="B500" s="124"/>
      <c r="C500" s="124"/>
      <c r="D500" s="124"/>
      <c r="E500" s="124"/>
      <c r="F500" s="124"/>
      <c r="G500" s="124"/>
      <c r="H500" s="124"/>
      <c r="I500" s="124"/>
      <c r="J500" s="124"/>
      <c r="K500" s="124"/>
      <c r="L500" s="124"/>
      <c r="M500" s="124"/>
      <c r="N500" s="124"/>
      <c r="O500" s="124"/>
      <c r="P500" s="124"/>
      <c r="Q500" s="124"/>
      <c r="R500" s="124"/>
    </row>
    <row r="501">
      <c r="A501" s="124" t="str">
        <f>IFERROR(__xludf.DUMMYFUNCTION("""COMPUTED_VALUE"""),"#N/A")</f>
        <v>#N/A</v>
      </c>
      <c r="B501" s="124"/>
      <c r="C501" s="124"/>
      <c r="D501" s="124"/>
      <c r="E501" s="124"/>
      <c r="F501" s="124"/>
      <c r="G501" s="124"/>
      <c r="H501" s="124"/>
      <c r="I501" s="124"/>
      <c r="J501" s="124"/>
      <c r="K501" s="124"/>
      <c r="L501" s="124"/>
      <c r="M501" s="124"/>
      <c r="N501" s="124"/>
      <c r="O501" s="124"/>
      <c r="P501" s="124"/>
      <c r="Q501" s="124"/>
      <c r="R501" s="124"/>
    </row>
    <row r="502">
      <c r="A502" s="124" t="str">
        <f>IFERROR(__xludf.DUMMYFUNCTION("""COMPUTED_VALUE"""),"#N/A")</f>
        <v>#N/A</v>
      </c>
      <c r="B502" s="124"/>
      <c r="C502" s="124"/>
      <c r="D502" s="124"/>
      <c r="E502" s="124"/>
      <c r="F502" s="124"/>
      <c r="G502" s="124"/>
      <c r="H502" s="124"/>
      <c r="I502" s="124"/>
      <c r="J502" s="124"/>
      <c r="K502" s="124"/>
      <c r="L502" s="124"/>
      <c r="M502" s="124"/>
      <c r="N502" s="124"/>
      <c r="O502" s="124"/>
      <c r="P502" s="124"/>
      <c r="Q502" s="124"/>
      <c r="R502" s="124"/>
    </row>
    <row r="503">
      <c r="A503" s="124" t="str">
        <f>IFERROR(__xludf.DUMMYFUNCTION("""COMPUTED_VALUE"""),"#N/A")</f>
        <v>#N/A</v>
      </c>
      <c r="B503" s="124"/>
      <c r="C503" s="124"/>
      <c r="D503" s="124"/>
      <c r="E503" s="124"/>
      <c r="F503" s="124"/>
      <c r="G503" s="124"/>
      <c r="H503" s="124"/>
      <c r="I503" s="124"/>
      <c r="J503" s="124"/>
      <c r="K503" s="124"/>
      <c r="L503" s="124"/>
      <c r="M503" s="124"/>
      <c r="N503" s="124"/>
      <c r="O503" s="124"/>
      <c r="P503" s="124"/>
      <c r="Q503" s="124"/>
      <c r="R503" s="124"/>
    </row>
    <row r="504">
      <c r="A504" s="124" t="str">
        <f>IFERROR(__xludf.DUMMYFUNCTION("""COMPUTED_VALUE"""),"#N/A")</f>
        <v>#N/A</v>
      </c>
      <c r="B504" s="124"/>
      <c r="C504" s="124"/>
      <c r="D504" s="124"/>
      <c r="E504" s="124"/>
      <c r="F504" s="124"/>
      <c r="G504" s="124"/>
      <c r="H504" s="124"/>
      <c r="I504" s="124"/>
      <c r="J504" s="124"/>
      <c r="K504" s="124"/>
      <c r="L504" s="124"/>
      <c r="M504" s="124"/>
      <c r="N504" s="124"/>
      <c r="O504" s="124"/>
      <c r="P504" s="124"/>
      <c r="Q504" s="124"/>
      <c r="R504" s="124"/>
    </row>
    <row r="505">
      <c r="A505" s="124" t="str">
        <f>IFERROR(__xludf.DUMMYFUNCTION("""COMPUTED_VALUE"""),"#N/A")</f>
        <v>#N/A</v>
      </c>
      <c r="B505" s="124"/>
      <c r="C505" s="124"/>
      <c r="D505" s="124"/>
      <c r="E505" s="124"/>
      <c r="F505" s="124"/>
      <c r="G505" s="124"/>
      <c r="H505" s="124"/>
      <c r="I505" s="124"/>
      <c r="J505" s="124"/>
      <c r="K505" s="124"/>
      <c r="L505" s="124"/>
      <c r="M505" s="124"/>
      <c r="N505" s="124"/>
      <c r="O505" s="124"/>
      <c r="P505" s="124"/>
      <c r="Q505" s="124"/>
      <c r="R505" s="124"/>
    </row>
    <row r="506">
      <c r="A506" s="124" t="str">
        <f>IFERROR(__xludf.DUMMYFUNCTION("""COMPUTED_VALUE"""),"#N/A")</f>
        <v>#N/A</v>
      </c>
      <c r="B506" s="124"/>
      <c r="C506" s="124"/>
      <c r="D506" s="124"/>
      <c r="E506" s="124"/>
      <c r="F506" s="124"/>
      <c r="G506" s="124"/>
      <c r="H506" s="124"/>
      <c r="I506" s="124"/>
      <c r="J506" s="124"/>
      <c r="K506" s="124"/>
      <c r="L506" s="124"/>
      <c r="M506" s="124"/>
      <c r="N506" s="124"/>
      <c r="O506" s="124"/>
      <c r="P506" s="124"/>
      <c r="Q506" s="124"/>
      <c r="R506" s="124"/>
    </row>
    <row r="507">
      <c r="A507" s="124" t="str">
        <f>IFERROR(__xludf.DUMMYFUNCTION("""COMPUTED_VALUE"""),"#N/A")</f>
        <v>#N/A</v>
      </c>
      <c r="B507" s="124"/>
      <c r="C507" s="124"/>
      <c r="D507" s="124"/>
      <c r="E507" s="124"/>
      <c r="F507" s="124"/>
      <c r="G507" s="124"/>
      <c r="H507" s="124"/>
      <c r="I507" s="124"/>
      <c r="J507" s="124"/>
      <c r="K507" s="124"/>
      <c r="L507" s="124"/>
      <c r="M507" s="124"/>
      <c r="N507" s="124"/>
      <c r="O507" s="124"/>
      <c r="P507" s="124"/>
      <c r="Q507" s="124"/>
      <c r="R507" s="124"/>
    </row>
    <row r="508">
      <c r="A508" s="124" t="str">
        <f>IFERROR(__xludf.DUMMYFUNCTION("""COMPUTED_VALUE"""),"#N/A")</f>
        <v>#N/A</v>
      </c>
      <c r="B508" s="124"/>
      <c r="C508" s="124"/>
      <c r="D508" s="124"/>
      <c r="E508" s="124"/>
      <c r="F508" s="124"/>
      <c r="G508" s="124"/>
      <c r="H508" s="124"/>
      <c r="I508" s="124"/>
      <c r="J508" s="124"/>
      <c r="K508" s="124"/>
      <c r="L508" s="124"/>
      <c r="M508" s="124"/>
      <c r="N508" s="124"/>
      <c r="O508" s="124"/>
      <c r="P508" s="124"/>
      <c r="Q508" s="124"/>
      <c r="R508" s="124"/>
    </row>
    <row r="509">
      <c r="A509" s="124" t="str">
        <f>IFERROR(__xludf.DUMMYFUNCTION("""COMPUTED_VALUE"""),"#N/A")</f>
        <v>#N/A</v>
      </c>
      <c r="B509" s="124"/>
      <c r="C509" s="124"/>
      <c r="D509" s="124"/>
      <c r="E509" s="124"/>
      <c r="F509" s="124"/>
      <c r="G509" s="124"/>
      <c r="H509" s="124"/>
      <c r="I509" s="124"/>
      <c r="J509" s="124"/>
      <c r="K509" s="124"/>
      <c r="L509" s="124"/>
      <c r="M509" s="124"/>
      <c r="N509" s="124"/>
      <c r="O509" s="124"/>
      <c r="P509" s="124"/>
      <c r="Q509" s="124"/>
      <c r="R509" s="124"/>
    </row>
    <row r="510">
      <c r="A510" s="124" t="str">
        <f>IFERROR(__xludf.DUMMYFUNCTION("""COMPUTED_VALUE"""),"#N/A")</f>
        <v>#N/A</v>
      </c>
      <c r="B510" s="124"/>
      <c r="C510" s="124"/>
      <c r="D510" s="124"/>
      <c r="E510" s="124"/>
      <c r="F510" s="124"/>
      <c r="G510" s="124"/>
      <c r="H510" s="124"/>
      <c r="I510" s="124"/>
      <c r="J510" s="124"/>
      <c r="K510" s="124"/>
      <c r="L510" s="124"/>
      <c r="M510" s="124"/>
      <c r="N510" s="124"/>
      <c r="O510" s="124"/>
      <c r="P510" s="124"/>
      <c r="Q510" s="124"/>
      <c r="R510" s="124"/>
    </row>
    <row r="511">
      <c r="A511" s="124" t="str">
        <f>IFERROR(__xludf.DUMMYFUNCTION("""COMPUTED_VALUE"""),"#N/A")</f>
        <v>#N/A</v>
      </c>
      <c r="B511" s="124"/>
      <c r="C511" s="124"/>
      <c r="D511" s="124"/>
      <c r="E511" s="124"/>
      <c r="F511" s="124"/>
      <c r="G511" s="124"/>
      <c r="H511" s="124"/>
      <c r="I511" s="124"/>
      <c r="J511" s="124"/>
      <c r="K511" s="124"/>
      <c r="L511" s="124"/>
      <c r="M511" s="124"/>
      <c r="N511" s="124"/>
      <c r="O511" s="124"/>
      <c r="P511" s="124"/>
      <c r="Q511" s="124"/>
      <c r="R511" s="124"/>
    </row>
    <row r="512">
      <c r="A512" s="124" t="str">
        <f>IFERROR(__xludf.DUMMYFUNCTION("""COMPUTED_VALUE"""),"#N/A")</f>
        <v>#N/A</v>
      </c>
      <c r="B512" s="124"/>
      <c r="C512" s="124"/>
      <c r="D512" s="124"/>
      <c r="E512" s="124"/>
      <c r="F512" s="124"/>
      <c r="G512" s="124"/>
      <c r="H512" s="124"/>
      <c r="I512" s="124"/>
      <c r="J512" s="124"/>
      <c r="K512" s="124"/>
      <c r="L512" s="124"/>
      <c r="M512" s="124"/>
      <c r="N512" s="124"/>
      <c r="O512" s="124"/>
      <c r="P512" s="124"/>
      <c r="Q512" s="124"/>
      <c r="R512" s="124"/>
    </row>
    <row r="513">
      <c r="A513" s="124" t="str">
        <f>IFERROR(__xludf.DUMMYFUNCTION("""COMPUTED_VALUE"""),"#N/A")</f>
        <v>#N/A</v>
      </c>
      <c r="B513" s="124"/>
      <c r="C513" s="124"/>
      <c r="D513" s="124"/>
      <c r="E513" s="124"/>
      <c r="F513" s="124"/>
      <c r="G513" s="124"/>
      <c r="H513" s="124"/>
      <c r="I513" s="124"/>
      <c r="J513" s="124"/>
      <c r="K513" s="124"/>
      <c r="L513" s="124"/>
      <c r="M513" s="124"/>
      <c r="N513" s="124"/>
      <c r="O513" s="124"/>
      <c r="P513" s="124"/>
      <c r="Q513" s="124"/>
      <c r="R513" s="124"/>
    </row>
    <row r="514">
      <c r="A514" s="124" t="str">
        <f>IFERROR(__xludf.DUMMYFUNCTION("""COMPUTED_VALUE"""),"#N/A")</f>
        <v>#N/A</v>
      </c>
      <c r="B514" s="124"/>
      <c r="C514" s="124"/>
      <c r="D514" s="124"/>
      <c r="E514" s="124"/>
      <c r="F514" s="124"/>
      <c r="G514" s="124"/>
      <c r="H514" s="124"/>
      <c r="I514" s="124"/>
      <c r="J514" s="124"/>
      <c r="K514" s="124"/>
      <c r="L514" s="124"/>
      <c r="M514" s="124"/>
      <c r="N514" s="124"/>
      <c r="O514" s="124"/>
      <c r="P514" s="124"/>
      <c r="Q514" s="124"/>
      <c r="R514" s="124"/>
    </row>
    <row r="515">
      <c r="A515" s="124" t="str">
        <f>IFERROR(__xludf.DUMMYFUNCTION("""COMPUTED_VALUE"""),"#N/A")</f>
        <v>#N/A</v>
      </c>
      <c r="B515" s="124"/>
      <c r="C515" s="124"/>
      <c r="D515" s="124"/>
      <c r="E515" s="124"/>
      <c r="F515" s="124"/>
      <c r="G515" s="124"/>
      <c r="H515" s="124"/>
      <c r="I515" s="124"/>
      <c r="J515" s="124"/>
      <c r="K515" s="124"/>
      <c r="L515" s="124"/>
      <c r="M515" s="124"/>
      <c r="N515" s="124"/>
      <c r="O515" s="124"/>
      <c r="P515" s="124"/>
      <c r="Q515" s="124"/>
      <c r="R515" s="124"/>
    </row>
    <row r="516">
      <c r="A516" s="124" t="str">
        <f>IFERROR(__xludf.DUMMYFUNCTION("""COMPUTED_VALUE"""),"#N/A")</f>
        <v>#N/A</v>
      </c>
      <c r="B516" s="124"/>
      <c r="C516" s="124"/>
      <c r="D516" s="124"/>
      <c r="E516" s="124"/>
      <c r="F516" s="124"/>
      <c r="G516" s="124"/>
      <c r="H516" s="124"/>
      <c r="I516" s="124"/>
      <c r="J516" s="124"/>
      <c r="K516" s="124"/>
      <c r="L516" s="124"/>
      <c r="M516" s="124"/>
      <c r="N516" s="124"/>
      <c r="O516" s="124"/>
      <c r="P516" s="124"/>
      <c r="Q516" s="124"/>
      <c r="R516" s="124"/>
    </row>
    <row r="517">
      <c r="A517" s="124" t="str">
        <f>IFERROR(__xludf.DUMMYFUNCTION("""COMPUTED_VALUE"""),"#N/A")</f>
        <v>#N/A</v>
      </c>
      <c r="B517" s="124"/>
      <c r="C517" s="124"/>
      <c r="D517" s="124"/>
      <c r="E517" s="124"/>
      <c r="F517" s="124"/>
      <c r="G517" s="124"/>
      <c r="H517" s="124"/>
      <c r="I517" s="124"/>
      <c r="J517" s="124"/>
      <c r="K517" s="124"/>
      <c r="L517" s="124"/>
      <c r="M517" s="124"/>
      <c r="N517" s="124"/>
      <c r="O517" s="124"/>
      <c r="P517" s="124"/>
      <c r="Q517" s="124"/>
      <c r="R517" s="124"/>
    </row>
    <row r="518">
      <c r="A518" s="124" t="str">
        <f>IFERROR(__xludf.DUMMYFUNCTION("""COMPUTED_VALUE"""),"#N/A")</f>
        <v>#N/A</v>
      </c>
      <c r="B518" s="124"/>
      <c r="C518" s="124"/>
      <c r="D518" s="124"/>
      <c r="E518" s="124"/>
      <c r="F518" s="124"/>
      <c r="G518" s="124"/>
      <c r="H518" s="124"/>
      <c r="I518" s="124"/>
      <c r="J518" s="124"/>
      <c r="K518" s="124"/>
      <c r="L518" s="124"/>
      <c r="M518" s="124"/>
      <c r="N518" s="124"/>
      <c r="O518" s="124"/>
      <c r="P518" s="124"/>
      <c r="Q518" s="124"/>
      <c r="R518" s="124"/>
    </row>
    <row r="519">
      <c r="A519" s="124" t="str">
        <f>IFERROR(__xludf.DUMMYFUNCTION("""COMPUTED_VALUE"""),"#N/A")</f>
        <v>#N/A</v>
      </c>
      <c r="B519" s="124"/>
      <c r="C519" s="124"/>
      <c r="D519" s="124"/>
      <c r="E519" s="124"/>
      <c r="F519" s="124"/>
      <c r="G519" s="124"/>
      <c r="H519" s="124"/>
      <c r="I519" s="124"/>
      <c r="J519" s="124"/>
      <c r="K519" s="124"/>
      <c r="L519" s="124"/>
      <c r="M519" s="124"/>
      <c r="N519" s="124"/>
      <c r="O519" s="124"/>
      <c r="P519" s="124"/>
      <c r="Q519" s="124"/>
      <c r="R519" s="124"/>
    </row>
    <row r="520">
      <c r="A520" s="124" t="str">
        <f>IFERROR(__xludf.DUMMYFUNCTION("""COMPUTED_VALUE"""),"#N/A")</f>
        <v>#N/A</v>
      </c>
      <c r="B520" s="124"/>
      <c r="C520" s="124"/>
      <c r="D520" s="124"/>
      <c r="E520" s="124"/>
      <c r="F520" s="124"/>
      <c r="G520" s="124"/>
      <c r="H520" s="124"/>
      <c r="I520" s="124"/>
      <c r="J520" s="124"/>
      <c r="K520" s="124"/>
      <c r="L520" s="124"/>
      <c r="M520" s="124"/>
      <c r="N520" s="124"/>
      <c r="O520" s="124"/>
      <c r="P520" s="124"/>
      <c r="Q520" s="124"/>
      <c r="R520" s="124"/>
    </row>
    <row r="521">
      <c r="A521" s="124" t="str">
        <f>IFERROR(__xludf.DUMMYFUNCTION("""COMPUTED_VALUE"""),"#N/A")</f>
        <v>#N/A</v>
      </c>
      <c r="B521" s="124"/>
      <c r="C521" s="124"/>
      <c r="D521" s="124"/>
      <c r="E521" s="124"/>
      <c r="F521" s="124"/>
      <c r="G521" s="124"/>
      <c r="H521" s="124"/>
      <c r="I521" s="124"/>
      <c r="J521" s="124"/>
      <c r="K521" s="124"/>
      <c r="L521" s="124"/>
      <c r="M521" s="124"/>
      <c r="N521" s="124"/>
      <c r="O521" s="124"/>
      <c r="P521" s="124"/>
      <c r="Q521" s="124"/>
      <c r="R521" s="124"/>
    </row>
    <row r="522">
      <c r="A522" s="124" t="str">
        <f>IFERROR(__xludf.DUMMYFUNCTION("""COMPUTED_VALUE"""),"#N/A")</f>
        <v>#N/A</v>
      </c>
      <c r="B522" s="124"/>
      <c r="C522" s="124"/>
      <c r="D522" s="124"/>
      <c r="E522" s="124"/>
      <c r="F522" s="124"/>
      <c r="G522" s="124"/>
      <c r="H522" s="124"/>
      <c r="I522" s="124"/>
      <c r="J522" s="124"/>
      <c r="K522" s="124"/>
      <c r="L522" s="124"/>
      <c r="M522" s="124"/>
      <c r="N522" s="124"/>
      <c r="O522" s="124"/>
      <c r="P522" s="124"/>
      <c r="Q522" s="124"/>
      <c r="R522" s="124"/>
    </row>
    <row r="523">
      <c r="A523" s="124" t="str">
        <f>IFERROR(__xludf.DUMMYFUNCTION("""COMPUTED_VALUE"""),"#N/A")</f>
        <v>#N/A</v>
      </c>
      <c r="B523" s="124"/>
      <c r="C523" s="124"/>
      <c r="D523" s="124"/>
      <c r="E523" s="124"/>
      <c r="F523" s="124"/>
      <c r="G523" s="124"/>
      <c r="H523" s="124"/>
      <c r="I523" s="124"/>
      <c r="J523" s="124"/>
      <c r="K523" s="124"/>
      <c r="L523" s="124"/>
      <c r="M523" s="124"/>
      <c r="N523" s="124"/>
      <c r="O523" s="124"/>
      <c r="P523" s="124"/>
      <c r="Q523" s="124"/>
      <c r="R523" s="124"/>
    </row>
    <row r="524">
      <c r="A524" s="124" t="str">
        <f>IFERROR(__xludf.DUMMYFUNCTION("""COMPUTED_VALUE"""),"#N/A")</f>
        <v>#N/A</v>
      </c>
      <c r="B524" s="124"/>
      <c r="C524" s="124"/>
      <c r="D524" s="124"/>
      <c r="E524" s="124"/>
      <c r="F524" s="124"/>
      <c r="G524" s="124"/>
      <c r="H524" s="124"/>
      <c r="I524" s="124"/>
      <c r="J524" s="124"/>
      <c r="K524" s="124"/>
      <c r="L524" s="124"/>
      <c r="M524" s="124"/>
      <c r="N524" s="124"/>
      <c r="O524" s="124"/>
      <c r="P524" s="124"/>
      <c r="Q524" s="124"/>
      <c r="R524" s="124"/>
    </row>
    <row r="525">
      <c r="A525" s="124" t="str">
        <f>IFERROR(__xludf.DUMMYFUNCTION("""COMPUTED_VALUE"""),"#N/A")</f>
        <v>#N/A</v>
      </c>
      <c r="B525" s="124"/>
      <c r="C525" s="124"/>
      <c r="D525" s="124"/>
      <c r="E525" s="124"/>
      <c r="F525" s="124"/>
      <c r="G525" s="124"/>
      <c r="H525" s="124"/>
      <c r="I525" s="124"/>
      <c r="J525" s="124"/>
      <c r="K525" s="124"/>
      <c r="L525" s="124"/>
      <c r="M525" s="124"/>
      <c r="N525" s="124"/>
      <c r="O525" s="124"/>
      <c r="P525" s="124"/>
      <c r="Q525" s="124"/>
      <c r="R525" s="124"/>
    </row>
    <row r="526">
      <c r="A526" s="124" t="str">
        <f>IFERROR(__xludf.DUMMYFUNCTION("""COMPUTED_VALUE"""),"#N/A")</f>
        <v>#N/A</v>
      </c>
      <c r="B526" s="124"/>
      <c r="C526" s="124"/>
      <c r="D526" s="124"/>
      <c r="E526" s="124"/>
      <c r="F526" s="124"/>
      <c r="G526" s="124"/>
      <c r="H526" s="124"/>
      <c r="I526" s="124"/>
      <c r="J526" s="124"/>
      <c r="K526" s="124"/>
      <c r="L526" s="124"/>
      <c r="M526" s="124"/>
      <c r="N526" s="124"/>
      <c r="O526" s="124"/>
      <c r="P526" s="124"/>
      <c r="Q526" s="124"/>
      <c r="R526" s="124"/>
    </row>
    <row r="527">
      <c r="A527" s="124" t="str">
        <f>IFERROR(__xludf.DUMMYFUNCTION("""COMPUTED_VALUE"""),"#N/A")</f>
        <v>#N/A</v>
      </c>
      <c r="B527" s="124"/>
      <c r="C527" s="124"/>
      <c r="D527" s="124"/>
      <c r="E527" s="124"/>
      <c r="F527" s="124"/>
      <c r="G527" s="124"/>
      <c r="H527" s="124"/>
      <c r="I527" s="124"/>
      <c r="J527" s="124"/>
      <c r="K527" s="124"/>
      <c r="L527" s="124"/>
      <c r="M527" s="124"/>
      <c r="N527" s="124"/>
      <c r="O527" s="124"/>
      <c r="P527" s="124"/>
      <c r="Q527" s="124"/>
      <c r="R527" s="124"/>
    </row>
    <row r="528">
      <c r="A528" s="124" t="str">
        <f>IFERROR(__xludf.DUMMYFUNCTION("""COMPUTED_VALUE"""),"#N/A")</f>
        <v>#N/A</v>
      </c>
      <c r="B528" s="124"/>
      <c r="C528" s="124"/>
      <c r="D528" s="124"/>
      <c r="E528" s="124"/>
      <c r="F528" s="124"/>
      <c r="G528" s="124"/>
      <c r="H528" s="124"/>
      <c r="I528" s="124"/>
      <c r="J528" s="124"/>
      <c r="K528" s="124"/>
      <c r="L528" s="124"/>
      <c r="M528" s="124"/>
      <c r="N528" s="124"/>
      <c r="O528" s="124"/>
      <c r="P528" s="124"/>
      <c r="Q528" s="124"/>
      <c r="R528" s="124"/>
    </row>
    <row r="529">
      <c r="A529" s="124" t="str">
        <f>IFERROR(__xludf.DUMMYFUNCTION("""COMPUTED_VALUE"""),"#N/A")</f>
        <v>#N/A</v>
      </c>
      <c r="B529" s="124"/>
      <c r="C529" s="124"/>
      <c r="D529" s="124"/>
      <c r="E529" s="124"/>
      <c r="F529" s="124"/>
      <c r="G529" s="124"/>
      <c r="H529" s="124"/>
      <c r="I529" s="124"/>
      <c r="J529" s="124"/>
      <c r="K529" s="124"/>
      <c r="L529" s="124"/>
      <c r="M529" s="124"/>
      <c r="N529" s="124"/>
      <c r="O529" s="124"/>
      <c r="P529" s="124"/>
      <c r="Q529" s="124"/>
      <c r="R529" s="124"/>
    </row>
    <row r="530">
      <c r="A530" s="124" t="str">
        <f>IFERROR(__xludf.DUMMYFUNCTION("""COMPUTED_VALUE"""),"#N/A")</f>
        <v>#N/A</v>
      </c>
      <c r="B530" s="124"/>
      <c r="C530" s="124"/>
      <c r="D530" s="124"/>
      <c r="E530" s="124"/>
      <c r="F530" s="124"/>
      <c r="G530" s="124"/>
      <c r="H530" s="124"/>
      <c r="I530" s="124"/>
      <c r="J530" s="124"/>
      <c r="K530" s="124"/>
      <c r="L530" s="124"/>
      <c r="M530" s="124"/>
      <c r="N530" s="124"/>
      <c r="O530" s="124"/>
      <c r="P530" s="124"/>
      <c r="Q530" s="124"/>
      <c r="R530" s="124"/>
    </row>
    <row r="531">
      <c r="A531" s="124" t="str">
        <f>IFERROR(__xludf.DUMMYFUNCTION("""COMPUTED_VALUE"""),"#N/A")</f>
        <v>#N/A</v>
      </c>
      <c r="B531" s="124"/>
      <c r="C531" s="124"/>
      <c r="D531" s="124"/>
      <c r="E531" s="124"/>
      <c r="F531" s="124"/>
      <c r="G531" s="124"/>
      <c r="H531" s="124"/>
      <c r="I531" s="124"/>
      <c r="J531" s="124"/>
      <c r="K531" s="124"/>
      <c r="L531" s="124"/>
      <c r="M531" s="124"/>
      <c r="N531" s="124"/>
      <c r="O531" s="124"/>
      <c r="P531" s="124"/>
      <c r="Q531" s="124"/>
      <c r="R531" s="124"/>
    </row>
    <row r="532">
      <c r="A532" s="124" t="str">
        <f>IFERROR(__xludf.DUMMYFUNCTION("""COMPUTED_VALUE"""),"#N/A")</f>
        <v>#N/A</v>
      </c>
      <c r="B532" s="124"/>
      <c r="C532" s="124"/>
      <c r="D532" s="124"/>
      <c r="E532" s="124"/>
      <c r="F532" s="124"/>
      <c r="G532" s="124"/>
      <c r="H532" s="124"/>
      <c r="I532" s="124"/>
      <c r="J532" s="124"/>
      <c r="K532" s="124"/>
      <c r="L532" s="124"/>
      <c r="M532" s="124"/>
      <c r="N532" s="124"/>
      <c r="O532" s="124"/>
      <c r="P532" s="124"/>
      <c r="Q532" s="124"/>
      <c r="R532" s="124"/>
    </row>
    <row r="533">
      <c r="A533" s="124" t="str">
        <f>IFERROR(__xludf.DUMMYFUNCTION("""COMPUTED_VALUE"""),"#N/A")</f>
        <v>#N/A</v>
      </c>
      <c r="B533" s="124"/>
      <c r="C533" s="124"/>
      <c r="D533" s="124"/>
      <c r="E533" s="124"/>
      <c r="F533" s="124"/>
      <c r="G533" s="124"/>
      <c r="H533" s="124"/>
      <c r="I533" s="124"/>
      <c r="J533" s="124"/>
      <c r="K533" s="124"/>
      <c r="L533" s="124"/>
      <c r="M533" s="124"/>
      <c r="N533" s="124"/>
      <c r="O533" s="124"/>
      <c r="P533" s="124"/>
      <c r="Q533" s="124"/>
      <c r="R533" s="124"/>
    </row>
    <row r="534">
      <c r="A534" s="124" t="str">
        <f>IFERROR(__xludf.DUMMYFUNCTION("""COMPUTED_VALUE"""),"#N/A")</f>
        <v>#N/A</v>
      </c>
      <c r="B534" s="124"/>
      <c r="C534" s="124"/>
      <c r="D534" s="124"/>
      <c r="E534" s="124"/>
      <c r="F534" s="124"/>
      <c r="G534" s="124"/>
      <c r="H534" s="124"/>
      <c r="I534" s="124"/>
      <c r="J534" s="124"/>
      <c r="K534" s="124"/>
      <c r="L534" s="124"/>
      <c r="M534" s="124"/>
      <c r="N534" s="124"/>
      <c r="O534" s="124"/>
      <c r="P534" s="124"/>
      <c r="Q534" s="124"/>
      <c r="R534" s="124"/>
    </row>
    <row r="535">
      <c r="A535" s="124" t="str">
        <f>IFERROR(__xludf.DUMMYFUNCTION("""COMPUTED_VALUE"""),"#N/A")</f>
        <v>#N/A</v>
      </c>
      <c r="B535" s="124"/>
      <c r="C535" s="124"/>
      <c r="D535" s="124"/>
      <c r="E535" s="124"/>
      <c r="F535" s="124"/>
      <c r="G535" s="124"/>
      <c r="H535" s="124"/>
      <c r="I535" s="124"/>
      <c r="J535" s="124"/>
      <c r="K535" s="124"/>
      <c r="L535" s="124"/>
      <c r="M535" s="124"/>
      <c r="N535" s="124"/>
      <c r="O535" s="124"/>
      <c r="P535" s="124"/>
      <c r="Q535" s="124"/>
      <c r="R535" s="124"/>
    </row>
    <row r="536">
      <c r="A536" s="124" t="str">
        <f>IFERROR(__xludf.DUMMYFUNCTION("""COMPUTED_VALUE"""),"#N/A")</f>
        <v>#N/A</v>
      </c>
      <c r="B536" s="124"/>
      <c r="C536" s="124"/>
      <c r="D536" s="124"/>
      <c r="E536" s="124"/>
      <c r="F536" s="124"/>
      <c r="G536" s="124"/>
      <c r="H536" s="124"/>
      <c r="I536" s="124"/>
      <c r="J536" s="124"/>
      <c r="K536" s="124"/>
      <c r="L536" s="124"/>
      <c r="M536" s="124"/>
      <c r="N536" s="124"/>
      <c r="O536" s="124"/>
      <c r="P536" s="124"/>
      <c r="Q536" s="124"/>
      <c r="R536" s="124"/>
    </row>
    <row r="537">
      <c r="A537" s="124" t="str">
        <f>IFERROR(__xludf.DUMMYFUNCTION("""COMPUTED_VALUE"""),"#N/A")</f>
        <v>#N/A</v>
      </c>
      <c r="B537" s="124"/>
      <c r="C537" s="124"/>
      <c r="D537" s="124"/>
      <c r="E537" s="124"/>
      <c r="F537" s="124"/>
      <c r="G537" s="124"/>
      <c r="H537" s="124"/>
      <c r="I537" s="124"/>
      <c r="J537" s="124"/>
      <c r="K537" s="124"/>
      <c r="L537" s="124"/>
      <c r="M537" s="124"/>
      <c r="N537" s="124"/>
      <c r="O537" s="124"/>
      <c r="P537" s="124"/>
      <c r="Q537" s="124"/>
      <c r="R537" s="124"/>
    </row>
    <row r="538">
      <c r="A538" s="124" t="str">
        <f>IFERROR(__xludf.DUMMYFUNCTION("""COMPUTED_VALUE"""),"#N/A")</f>
        <v>#N/A</v>
      </c>
      <c r="B538" s="124"/>
      <c r="C538" s="124"/>
      <c r="D538" s="124"/>
      <c r="E538" s="124"/>
      <c r="F538" s="124"/>
      <c r="G538" s="124"/>
      <c r="H538" s="124"/>
      <c r="I538" s="124"/>
      <c r="J538" s="124"/>
      <c r="K538" s="124"/>
      <c r="L538" s="124"/>
      <c r="M538" s="124"/>
      <c r="N538" s="124"/>
      <c r="O538" s="124"/>
      <c r="P538" s="124"/>
      <c r="Q538" s="124"/>
      <c r="R538" s="124"/>
    </row>
    <row r="539">
      <c r="A539" s="124" t="str">
        <f>IFERROR(__xludf.DUMMYFUNCTION("""COMPUTED_VALUE"""),"#N/A")</f>
        <v>#N/A</v>
      </c>
      <c r="B539" s="124"/>
      <c r="C539" s="124"/>
      <c r="D539" s="124"/>
      <c r="E539" s="124"/>
      <c r="F539" s="124"/>
      <c r="G539" s="124"/>
      <c r="H539" s="124"/>
      <c r="I539" s="124"/>
      <c r="J539" s="124"/>
      <c r="K539" s="124"/>
      <c r="L539" s="124"/>
      <c r="M539" s="124"/>
      <c r="N539" s="124"/>
      <c r="O539" s="124"/>
      <c r="P539" s="124"/>
      <c r="Q539" s="124"/>
      <c r="R539" s="124"/>
    </row>
    <row r="540">
      <c r="A540" s="124" t="str">
        <f>IFERROR(__xludf.DUMMYFUNCTION("""COMPUTED_VALUE"""),"#N/A")</f>
        <v>#N/A</v>
      </c>
      <c r="B540" s="124"/>
      <c r="C540" s="124"/>
      <c r="D540" s="124"/>
      <c r="E540" s="124"/>
      <c r="F540" s="124"/>
      <c r="G540" s="124"/>
      <c r="H540" s="124"/>
      <c r="I540" s="124"/>
      <c r="J540" s="124"/>
      <c r="K540" s="124"/>
      <c r="L540" s="124"/>
      <c r="M540" s="124"/>
      <c r="N540" s="124"/>
      <c r="O540" s="124"/>
      <c r="P540" s="124"/>
      <c r="Q540" s="124"/>
      <c r="R540" s="124"/>
    </row>
    <row r="541">
      <c r="A541" s="124" t="str">
        <f>IFERROR(__xludf.DUMMYFUNCTION("""COMPUTED_VALUE"""),"#N/A")</f>
        <v>#N/A</v>
      </c>
      <c r="B541" s="124"/>
      <c r="C541" s="124"/>
      <c r="D541" s="124"/>
      <c r="E541" s="124"/>
      <c r="F541" s="124"/>
      <c r="G541" s="124"/>
      <c r="H541" s="124"/>
      <c r="I541" s="124"/>
      <c r="J541" s="124"/>
      <c r="K541" s="124"/>
      <c r="L541" s="124"/>
      <c r="M541" s="124"/>
      <c r="N541" s="124"/>
      <c r="O541" s="124"/>
      <c r="P541" s="124"/>
      <c r="Q541" s="124"/>
      <c r="R541" s="124"/>
    </row>
    <row r="542">
      <c r="A542" s="124" t="str">
        <f>IFERROR(__xludf.DUMMYFUNCTION("""COMPUTED_VALUE"""),"#N/A")</f>
        <v>#N/A</v>
      </c>
      <c r="B542" s="124"/>
      <c r="C542" s="124"/>
      <c r="D542" s="124"/>
      <c r="E542" s="124"/>
      <c r="F542" s="124"/>
      <c r="G542" s="124"/>
      <c r="H542" s="124"/>
      <c r="I542" s="124"/>
      <c r="J542" s="124"/>
      <c r="K542" s="124"/>
      <c r="L542" s="124"/>
      <c r="M542" s="124"/>
      <c r="N542" s="124"/>
      <c r="O542" s="124"/>
      <c r="P542" s="124"/>
      <c r="Q542" s="124"/>
      <c r="R542" s="124"/>
    </row>
    <row r="543">
      <c r="A543" s="124" t="str">
        <f>IFERROR(__xludf.DUMMYFUNCTION("""COMPUTED_VALUE"""),"#N/A")</f>
        <v>#N/A</v>
      </c>
      <c r="B543" s="124"/>
      <c r="C543" s="124"/>
      <c r="D543" s="124"/>
      <c r="E543" s="124"/>
      <c r="F543" s="124"/>
      <c r="G543" s="124"/>
      <c r="H543" s="124"/>
      <c r="I543" s="124"/>
      <c r="J543" s="124"/>
      <c r="K543" s="124"/>
      <c r="L543" s="124"/>
      <c r="M543" s="124"/>
      <c r="N543" s="124"/>
      <c r="O543" s="124"/>
      <c r="P543" s="124"/>
      <c r="Q543" s="124"/>
      <c r="R543" s="124"/>
    </row>
    <row r="544">
      <c r="A544" s="124" t="str">
        <f>IFERROR(__xludf.DUMMYFUNCTION("""COMPUTED_VALUE"""),"#N/A")</f>
        <v>#N/A</v>
      </c>
      <c r="B544" s="124"/>
      <c r="C544" s="124"/>
      <c r="D544" s="124"/>
      <c r="E544" s="124"/>
      <c r="F544" s="124"/>
      <c r="G544" s="124"/>
      <c r="H544" s="124"/>
      <c r="I544" s="124"/>
      <c r="J544" s="124"/>
      <c r="K544" s="124"/>
      <c r="L544" s="124"/>
      <c r="M544" s="124"/>
      <c r="N544" s="124"/>
      <c r="O544" s="124"/>
      <c r="P544" s="124"/>
      <c r="Q544" s="124"/>
      <c r="R544" s="124"/>
    </row>
    <row r="545">
      <c r="A545" s="124" t="str">
        <f>IFERROR(__xludf.DUMMYFUNCTION("""COMPUTED_VALUE"""),"#N/A")</f>
        <v>#N/A</v>
      </c>
      <c r="B545" s="124"/>
      <c r="C545" s="124"/>
      <c r="D545" s="124"/>
      <c r="E545" s="124"/>
      <c r="F545" s="124"/>
      <c r="G545" s="124"/>
      <c r="H545" s="124"/>
      <c r="I545" s="124"/>
      <c r="J545" s="124"/>
      <c r="K545" s="124"/>
      <c r="L545" s="124"/>
      <c r="M545" s="124"/>
      <c r="N545" s="124"/>
      <c r="O545" s="124"/>
      <c r="P545" s="124"/>
      <c r="Q545" s="124"/>
      <c r="R545" s="124"/>
    </row>
    <row r="546">
      <c r="A546" s="124" t="str">
        <f>IFERROR(__xludf.DUMMYFUNCTION("""COMPUTED_VALUE"""),"#N/A")</f>
        <v>#N/A</v>
      </c>
      <c r="B546" s="124"/>
      <c r="C546" s="124"/>
      <c r="D546" s="124"/>
      <c r="E546" s="124"/>
      <c r="F546" s="124"/>
      <c r="G546" s="124"/>
      <c r="H546" s="124"/>
      <c r="I546" s="124"/>
      <c r="J546" s="124"/>
      <c r="K546" s="124"/>
      <c r="L546" s="124"/>
      <c r="M546" s="124"/>
      <c r="N546" s="124"/>
      <c r="O546" s="124"/>
      <c r="P546" s="124"/>
      <c r="Q546" s="124"/>
      <c r="R546" s="124"/>
    </row>
    <row r="547">
      <c r="A547" s="124" t="str">
        <f>IFERROR(__xludf.DUMMYFUNCTION("""COMPUTED_VALUE"""),"#N/A")</f>
        <v>#N/A</v>
      </c>
      <c r="B547" s="124"/>
      <c r="C547" s="124"/>
      <c r="D547" s="124"/>
      <c r="E547" s="124"/>
      <c r="F547" s="124"/>
      <c r="G547" s="124"/>
      <c r="H547" s="124"/>
      <c r="I547" s="124"/>
      <c r="J547" s="124"/>
      <c r="K547" s="124"/>
      <c r="L547" s="124"/>
      <c r="M547" s="124"/>
      <c r="N547" s="124"/>
      <c r="O547" s="124"/>
      <c r="P547" s="124"/>
      <c r="Q547" s="124"/>
      <c r="R547" s="124"/>
    </row>
    <row r="548">
      <c r="A548" s="124" t="str">
        <f>IFERROR(__xludf.DUMMYFUNCTION("""COMPUTED_VALUE"""),"#N/A")</f>
        <v>#N/A</v>
      </c>
      <c r="B548" s="124"/>
      <c r="C548" s="124"/>
      <c r="D548" s="124"/>
      <c r="E548" s="124"/>
      <c r="F548" s="124"/>
      <c r="G548" s="124"/>
      <c r="H548" s="124"/>
      <c r="I548" s="124"/>
      <c r="J548" s="124"/>
      <c r="K548" s="124"/>
      <c r="L548" s="124"/>
      <c r="M548" s="124"/>
      <c r="N548" s="124"/>
      <c r="O548" s="124"/>
      <c r="P548" s="124"/>
      <c r="Q548" s="124"/>
      <c r="R548" s="124"/>
    </row>
    <row r="549">
      <c r="A549" s="124" t="str">
        <f>IFERROR(__xludf.DUMMYFUNCTION("""COMPUTED_VALUE"""),"#N/A")</f>
        <v>#N/A</v>
      </c>
      <c r="B549" s="124"/>
      <c r="C549" s="124"/>
      <c r="D549" s="124"/>
      <c r="E549" s="124"/>
      <c r="F549" s="124"/>
      <c r="G549" s="124"/>
      <c r="H549" s="124"/>
      <c r="I549" s="124"/>
      <c r="J549" s="124"/>
      <c r="K549" s="124"/>
      <c r="L549" s="124"/>
      <c r="M549" s="124"/>
      <c r="N549" s="124"/>
      <c r="O549" s="124"/>
      <c r="P549" s="124"/>
      <c r="Q549" s="124"/>
      <c r="R549" s="124"/>
    </row>
    <row r="550">
      <c r="A550" s="124" t="str">
        <f>IFERROR(__xludf.DUMMYFUNCTION("""COMPUTED_VALUE"""),"#N/A")</f>
        <v>#N/A</v>
      </c>
      <c r="B550" s="124"/>
      <c r="C550" s="124"/>
      <c r="D550" s="124"/>
      <c r="E550" s="124"/>
      <c r="F550" s="124"/>
      <c r="G550" s="124"/>
      <c r="H550" s="124"/>
      <c r="I550" s="124"/>
      <c r="J550" s="124"/>
      <c r="K550" s="124"/>
      <c r="L550" s="124"/>
      <c r="M550" s="124"/>
      <c r="N550" s="124"/>
      <c r="O550" s="124"/>
      <c r="P550" s="124"/>
      <c r="Q550" s="124"/>
      <c r="R550" s="124"/>
    </row>
    <row r="551">
      <c r="A551" s="124" t="str">
        <f>IFERROR(__xludf.DUMMYFUNCTION("""COMPUTED_VALUE"""),"#N/A")</f>
        <v>#N/A</v>
      </c>
      <c r="B551" s="124"/>
      <c r="C551" s="124"/>
      <c r="D551" s="124"/>
      <c r="E551" s="124"/>
      <c r="F551" s="124"/>
      <c r="G551" s="124"/>
      <c r="H551" s="124"/>
      <c r="I551" s="124"/>
      <c r="J551" s="124"/>
      <c r="K551" s="124"/>
      <c r="L551" s="124"/>
      <c r="M551" s="124"/>
      <c r="N551" s="124"/>
      <c r="O551" s="124"/>
      <c r="P551" s="124"/>
      <c r="Q551" s="124"/>
      <c r="R551" s="124"/>
    </row>
    <row r="552">
      <c r="A552" s="124" t="str">
        <f>IFERROR(__xludf.DUMMYFUNCTION("""COMPUTED_VALUE"""),"#N/A")</f>
        <v>#N/A</v>
      </c>
      <c r="B552" s="124"/>
      <c r="C552" s="124"/>
      <c r="D552" s="124"/>
      <c r="E552" s="124"/>
      <c r="F552" s="124"/>
      <c r="G552" s="124"/>
      <c r="H552" s="124"/>
      <c r="I552" s="124"/>
      <c r="J552" s="124"/>
      <c r="K552" s="124"/>
      <c r="L552" s="124"/>
      <c r="M552" s="124"/>
      <c r="N552" s="124"/>
      <c r="O552" s="124"/>
      <c r="P552" s="124"/>
      <c r="Q552" s="124"/>
      <c r="R552" s="124"/>
    </row>
    <row r="553">
      <c r="A553" s="124" t="str">
        <f>IFERROR(__xludf.DUMMYFUNCTION("""COMPUTED_VALUE"""),"#N/A")</f>
        <v>#N/A</v>
      </c>
      <c r="B553" s="124"/>
      <c r="C553" s="124"/>
      <c r="D553" s="124"/>
      <c r="E553" s="124"/>
      <c r="F553" s="124"/>
      <c r="G553" s="124"/>
      <c r="H553" s="124"/>
      <c r="I553" s="124"/>
      <c r="J553" s="124"/>
      <c r="K553" s="124"/>
      <c r="L553" s="124"/>
      <c r="M553" s="124"/>
      <c r="N553" s="124"/>
      <c r="O553" s="124"/>
      <c r="P553" s="124"/>
      <c r="Q553" s="124"/>
      <c r="R553" s="124"/>
    </row>
    <row r="554">
      <c r="A554" s="124" t="str">
        <f>IFERROR(__xludf.DUMMYFUNCTION("""COMPUTED_VALUE"""),"#N/A")</f>
        <v>#N/A</v>
      </c>
      <c r="B554" s="124"/>
      <c r="C554" s="124"/>
      <c r="D554" s="124"/>
      <c r="E554" s="124"/>
      <c r="F554" s="124"/>
      <c r="G554" s="124"/>
      <c r="H554" s="124"/>
      <c r="I554" s="124"/>
      <c r="J554" s="124"/>
      <c r="K554" s="124"/>
      <c r="L554" s="124"/>
      <c r="M554" s="124"/>
      <c r="N554" s="124"/>
      <c r="O554" s="124"/>
      <c r="P554" s="124"/>
      <c r="Q554" s="124"/>
      <c r="R554" s="124"/>
    </row>
    <row r="555">
      <c r="A555" s="124" t="str">
        <f>IFERROR(__xludf.DUMMYFUNCTION("""COMPUTED_VALUE"""),"#N/A")</f>
        <v>#N/A</v>
      </c>
      <c r="B555" s="124"/>
      <c r="C555" s="124"/>
      <c r="D555" s="124"/>
      <c r="E555" s="124"/>
      <c r="F555" s="124"/>
      <c r="G555" s="124"/>
      <c r="H555" s="124"/>
      <c r="I555" s="124"/>
      <c r="J555" s="124"/>
      <c r="K555" s="124"/>
      <c r="L555" s="124"/>
      <c r="M555" s="124"/>
      <c r="N555" s="124"/>
      <c r="O555" s="124"/>
      <c r="P555" s="124"/>
      <c r="Q555" s="124"/>
      <c r="R555" s="124"/>
    </row>
    <row r="556">
      <c r="A556" s="124" t="str">
        <f>IFERROR(__xludf.DUMMYFUNCTION("""COMPUTED_VALUE"""),"#N/A")</f>
        <v>#N/A</v>
      </c>
      <c r="B556" s="124"/>
      <c r="C556" s="124"/>
      <c r="D556" s="124"/>
      <c r="E556" s="124"/>
      <c r="F556" s="124"/>
      <c r="G556" s="124"/>
      <c r="H556" s="124"/>
      <c r="I556" s="124"/>
      <c r="J556" s="124"/>
      <c r="K556" s="124"/>
      <c r="L556" s="124"/>
      <c r="M556" s="124"/>
      <c r="N556" s="124"/>
      <c r="O556" s="124"/>
      <c r="P556" s="124"/>
      <c r="Q556" s="124"/>
      <c r="R556" s="124"/>
    </row>
    <row r="557">
      <c r="A557" s="124" t="str">
        <f>IFERROR(__xludf.DUMMYFUNCTION("""COMPUTED_VALUE"""),"#N/A")</f>
        <v>#N/A</v>
      </c>
      <c r="B557" s="124"/>
      <c r="C557" s="124"/>
      <c r="D557" s="124"/>
      <c r="E557" s="124"/>
      <c r="F557" s="124"/>
      <c r="G557" s="124"/>
      <c r="H557" s="124"/>
      <c r="I557" s="124"/>
      <c r="J557" s="124"/>
      <c r="K557" s="124"/>
      <c r="L557" s="124"/>
      <c r="M557" s="124"/>
      <c r="N557" s="124"/>
      <c r="O557" s="124"/>
      <c r="P557" s="124"/>
      <c r="Q557" s="124"/>
      <c r="R557" s="124"/>
    </row>
    <row r="558">
      <c r="A558" s="124" t="str">
        <f>IFERROR(__xludf.DUMMYFUNCTION("""COMPUTED_VALUE"""),"#N/A")</f>
        <v>#N/A</v>
      </c>
      <c r="B558" s="124"/>
      <c r="C558" s="124"/>
      <c r="D558" s="124"/>
      <c r="E558" s="124"/>
      <c r="F558" s="124"/>
      <c r="G558" s="124"/>
      <c r="H558" s="124"/>
      <c r="I558" s="124"/>
      <c r="J558" s="124"/>
      <c r="K558" s="124"/>
      <c r="L558" s="124"/>
      <c r="M558" s="124"/>
      <c r="N558" s="124"/>
      <c r="O558" s="124"/>
      <c r="P558" s="124"/>
      <c r="Q558" s="124"/>
      <c r="R558" s="124"/>
    </row>
    <row r="559">
      <c r="A559" s="124" t="str">
        <f>IFERROR(__xludf.DUMMYFUNCTION("""COMPUTED_VALUE"""),"#N/A")</f>
        <v>#N/A</v>
      </c>
      <c r="B559" s="124"/>
      <c r="C559" s="124"/>
      <c r="D559" s="124"/>
      <c r="E559" s="124"/>
      <c r="F559" s="124"/>
      <c r="G559" s="124"/>
      <c r="H559" s="124"/>
      <c r="I559" s="124"/>
      <c r="J559" s="124"/>
      <c r="K559" s="124"/>
      <c r="L559" s="124"/>
      <c r="M559" s="124"/>
      <c r="N559" s="124"/>
      <c r="O559" s="124"/>
      <c r="P559" s="124"/>
      <c r="Q559" s="124"/>
      <c r="R559" s="124"/>
    </row>
    <row r="560">
      <c r="A560" s="124" t="str">
        <f>IFERROR(__xludf.DUMMYFUNCTION("""COMPUTED_VALUE"""),"#N/A")</f>
        <v>#N/A</v>
      </c>
      <c r="B560" s="124"/>
      <c r="C560" s="124"/>
      <c r="D560" s="124"/>
      <c r="E560" s="124"/>
      <c r="F560" s="124"/>
      <c r="G560" s="124"/>
      <c r="H560" s="124"/>
      <c r="I560" s="124"/>
      <c r="J560" s="124"/>
      <c r="K560" s="124"/>
      <c r="L560" s="124"/>
      <c r="M560" s="124"/>
      <c r="N560" s="124"/>
      <c r="O560" s="124"/>
      <c r="P560" s="124"/>
      <c r="Q560" s="124"/>
      <c r="R560" s="124"/>
    </row>
    <row r="561">
      <c r="A561" s="124" t="str">
        <f>IFERROR(__xludf.DUMMYFUNCTION("""COMPUTED_VALUE"""),"#N/A")</f>
        <v>#N/A</v>
      </c>
      <c r="B561" s="124"/>
      <c r="C561" s="124"/>
      <c r="D561" s="124"/>
      <c r="E561" s="124"/>
      <c r="F561" s="124"/>
      <c r="G561" s="124"/>
      <c r="H561" s="124"/>
      <c r="I561" s="124"/>
      <c r="J561" s="124"/>
      <c r="K561" s="124"/>
      <c r="L561" s="124"/>
      <c r="M561" s="124"/>
      <c r="N561" s="124"/>
      <c r="O561" s="124"/>
      <c r="P561" s="124"/>
      <c r="Q561" s="124"/>
      <c r="R561" s="124"/>
    </row>
    <row r="562">
      <c r="A562" s="124" t="str">
        <f>IFERROR(__xludf.DUMMYFUNCTION("""COMPUTED_VALUE"""),"#N/A")</f>
        <v>#N/A</v>
      </c>
      <c r="B562" s="124"/>
      <c r="C562" s="124"/>
      <c r="D562" s="124"/>
      <c r="E562" s="124"/>
      <c r="F562" s="124"/>
      <c r="G562" s="124"/>
      <c r="H562" s="124"/>
      <c r="I562" s="124"/>
      <c r="J562" s="124"/>
      <c r="K562" s="124"/>
      <c r="L562" s="124"/>
      <c r="M562" s="124"/>
      <c r="N562" s="124"/>
      <c r="O562" s="124"/>
      <c r="P562" s="124"/>
      <c r="Q562" s="124"/>
      <c r="R562" s="124"/>
    </row>
    <row r="563">
      <c r="A563" s="124" t="str">
        <f>IFERROR(__xludf.DUMMYFUNCTION("""COMPUTED_VALUE"""),"#N/A")</f>
        <v>#N/A</v>
      </c>
      <c r="B563" s="124"/>
      <c r="C563" s="124"/>
      <c r="D563" s="124"/>
      <c r="E563" s="124"/>
      <c r="F563" s="124"/>
      <c r="G563" s="124"/>
      <c r="H563" s="124"/>
      <c r="I563" s="124"/>
      <c r="J563" s="124"/>
      <c r="K563" s="124"/>
      <c r="L563" s="124"/>
      <c r="M563" s="124"/>
      <c r="N563" s="124"/>
      <c r="O563" s="124"/>
      <c r="P563" s="124"/>
      <c r="Q563" s="124"/>
      <c r="R563" s="124"/>
    </row>
    <row r="564">
      <c r="A564" s="124" t="str">
        <f>IFERROR(__xludf.DUMMYFUNCTION("""COMPUTED_VALUE"""),"#N/A")</f>
        <v>#N/A</v>
      </c>
      <c r="B564" s="124"/>
      <c r="C564" s="124"/>
      <c r="D564" s="124"/>
      <c r="E564" s="124"/>
      <c r="F564" s="124"/>
      <c r="G564" s="124"/>
      <c r="H564" s="124"/>
      <c r="I564" s="124"/>
      <c r="J564" s="124"/>
      <c r="K564" s="124"/>
      <c r="L564" s="124"/>
      <c r="M564" s="124"/>
      <c r="N564" s="124"/>
      <c r="O564" s="124"/>
      <c r="P564" s="124"/>
      <c r="Q564" s="124"/>
      <c r="R564" s="124"/>
    </row>
    <row r="565">
      <c r="A565" s="124" t="str">
        <f>IFERROR(__xludf.DUMMYFUNCTION("""COMPUTED_VALUE"""),"#N/A")</f>
        <v>#N/A</v>
      </c>
      <c r="B565" s="124"/>
      <c r="C565" s="124"/>
      <c r="D565" s="124"/>
      <c r="E565" s="124"/>
      <c r="F565" s="124"/>
      <c r="G565" s="124"/>
      <c r="H565" s="124"/>
      <c r="I565" s="124"/>
      <c r="J565" s="124"/>
      <c r="K565" s="124"/>
      <c r="L565" s="124"/>
      <c r="M565" s="124"/>
      <c r="N565" s="124"/>
      <c r="O565" s="124"/>
      <c r="P565" s="124"/>
      <c r="Q565" s="124"/>
      <c r="R565" s="124"/>
    </row>
    <row r="566">
      <c r="A566" s="124" t="str">
        <f>IFERROR(__xludf.DUMMYFUNCTION("""COMPUTED_VALUE"""),"#N/A")</f>
        <v>#N/A</v>
      </c>
      <c r="B566" s="124"/>
      <c r="C566" s="124"/>
      <c r="D566" s="124"/>
      <c r="E566" s="124"/>
      <c r="F566" s="124"/>
      <c r="G566" s="124"/>
      <c r="H566" s="124"/>
      <c r="I566" s="124"/>
      <c r="J566" s="124"/>
      <c r="K566" s="124"/>
      <c r="L566" s="124"/>
      <c r="M566" s="124"/>
      <c r="N566" s="124"/>
      <c r="O566" s="124"/>
      <c r="P566" s="124"/>
      <c r="Q566" s="124"/>
      <c r="R566" s="124"/>
    </row>
    <row r="567">
      <c r="A567" s="124" t="str">
        <f>IFERROR(__xludf.DUMMYFUNCTION("""COMPUTED_VALUE"""),"#N/A")</f>
        <v>#N/A</v>
      </c>
      <c r="B567" s="124"/>
      <c r="C567" s="124"/>
      <c r="D567" s="124"/>
      <c r="E567" s="124"/>
      <c r="F567" s="124"/>
      <c r="G567" s="124"/>
      <c r="H567" s="124"/>
      <c r="I567" s="124"/>
      <c r="J567" s="124"/>
      <c r="K567" s="124"/>
      <c r="L567" s="124"/>
      <c r="M567" s="124"/>
      <c r="N567" s="124"/>
      <c r="O567" s="124"/>
      <c r="P567" s="124"/>
      <c r="Q567" s="124"/>
      <c r="R567" s="124"/>
    </row>
    <row r="568">
      <c r="A568" s="124" t="str">
        <f>IFERROR(__xludf.DUMMYFUNCTION("""COMPUTED_VALUE"""),"#N/A")</f>
        <v>#N/A</v>
      </c>
      <c r="B568" s="124"/>
      <c r="C568" s="124"/>
      <c r="D568" s="124"/>
      <c r="E568" s="124"/>
      <c r="F568" s="124"/>
      <c r="G568" s="124"/>
      <c r="H568" s="124"/>
      <c r="I568" s="124"/>
      <c r="J568" s="124"/>
      <c r="K568" s="124"/>
      <c r="L568" s="124"/>
      <c r="M568" s="124"/>
      <c r="N568" s="124"/>
      <c r="O568" s="124"/>
      <c r="P568" s="124"/>
      <c r="Q568" s="124"/>
      <c r="R568" s="124"/>
    </row>
    <row r="569">
      <c r="A569" s="124" t="str">
        <f>IFERROR(__xludf.DUMMYFUNCTION("""COMPUTED_VALUE"""),"#N/A")</f>
        <v>#N/A</v>
      </c>
      <c r="B569" s="124"/>
      <c r="C569" s="124"/>
      <c r="D569" s="124"/>
      <c r="E569" s="124"/>
      <c r="F569" s="124"/>
      <c r="G569" s="124"/>
      <c r="H569" s="124"/>
      <c r="I569" s="124"/>
      <c r="J569" s="124"/>
      <c r="K569" s="124"/>
      <c r="L569" s="124"/>
      <c r="M569" s="124"/>
      <c r="N569" s="124"/>
      <c r="O569" s="124"/>
      <c r="P569" s="124"/>
      <c r="Q569" s="124"/>
      <c r="R569" s="124"/>
    </row>
    <row r="570">
      <c r="A570" s="124" t="str">
        <f>IFERROR(__xludf.DUMMYFUNCTION("""COMPUTED_VALUE"""),"#N/A")</f>
        <v>#N/A</v>
      </c>
      <c r="B570" s="124"/>
      <c r="C570" s="124"/>
      <c r="D570" s="124"/>
      <c r="E570" s="124"/>
      <c r="F570" s="124"/>
      <c r="G570" s="124"/>
      <c r="H570" s="124"/>
      <c r="I570" s="124"/>
      <c r="J570" s="124"/>
      <c r="K570" s="124"/>
      <c r="L570" s="124"/>
      <c r="M570" s="124"/>
      <c r="N570" s="124"/>
      <c r="O570" s="124"/>
      <c r="P570" s="124"/>
      <c r="Q570" s="124"/>
      <c r="R570" s="124"/>
    </row>
    <row r="571">
      <c r="A571" s="124" t="str">
        <f>IFERROR(__xludf.DUMMYFUNCTION("""COMPUTED_VALUE"""),"#N/A")</f>
        <v>#N/A</v>
      </c>
      <c r="B571" s="124"/>
      <c r="C571" s="124"/>
      <c r="D571" s="124"/>
      <c r="E571" s="124"/>
      <c r="F571" s="124"/>
      <c r="G571" s="124"/>
      <c r="H571" s="124"/>
      <c r="I571" s="124"/>
      <c r="J571" s="124"/>
      <c r="K571" s="124"/>
      <c r="L571" s="124"/>
      <c r="M571" s="124"/>
      <c r="N571" s="124"/>
      <c r="O571" s="124"/>
      <c r="P571" s="124"/>
      <c r="Q571" s="124"/>
      <c r="R571" s="124"/>
    </row>
    <row r="572">
      <c r="A572" s="124" t="str">
        <f>IFERROR(__xludf.DUMMYFUNCTION("""COMPUTED_VALUE"""),"#N/A")</f>
        <v>#N/A</v>
      </c>
      <c r="B572" s="124"/>
      <c r="C572" s="124"/>
      <c r="D572" s="124"/>
      <c r="E572" s="124"/>
      <c r="F572" s="124"/>
      <c r="G572" s="124"/>
      <c r="H572" s="124"/>
      <c r="I572" s="124"/>
      <c r="J572" s="124"/>
      <c r="K572" s="124"/>
      <c r="L572" s="124"/>
      <c r="M572" s="124"/>
      <c r="N572" s="124"/>
      <c r="O572" s="124"/>
      <c r="P572" s="124"/>
      <c r="Q572" s="124"/>
      <c r="R572" s="124"/>
    </row>
    <row r="573">
      <c r="A573" s="124" t="str">
        <f>IFERROR(__xludf.DUMMYFUNCTION("""COMPUTED_VALUE"""),"#N/A")</f>
        <v>#N/A</v>
      </c>
      <c r="B573" s="124"/>
      <c r="C573" s="124"/>
      <c r="D573" s="124"/>
      <c r="E573" s="124"/>
      <c r="F573" s="124"/>
      <c r="G573" s="124"/>
      <c r="H573" s="124"/>
      <c r="I573" s="124"/>
      <c r="J573" s="124"/>
      <c r="K573" s="124"/>
      <c r="L573" s="124"/>
      <c r="M573" s="124"/>
      <c r="N573" s="124"/>
      <c r="O573" s="124"/>
      <c r="P573" s="124"/>
      <c r="Q573" s="124"/>
      <c r="R573" s="124"/>
    </row>
    <row r="574">
      <c r="A574" s="124" t="str">
        <f>IFERROR(__xludf.DUMMYFUNCTION("""COMPUTED_VALUE"""),"#N/A")</f>
        <v>#N/A</v>
      </c>
      <c r="B574" s="124"/>
      <c r="C574" s="124"/>
      <c r="D574" s="124"/>
      <c r="E574" s="124"/>
      <c r="F574" s="124"/>
      <c r="G574" s="124"/>
      <c r="H574" s="124"/>
      <c r="I574" s="124"/>
      <c r="J574" s="124"/>
      <c r="K574" s="124"/>
      <c r="L574" s="124"/>
      <c r="M574" s="124"/>
      <c r="N574" s="124"/>
      <c r="O574" s="124"/>
      <c r="P574" s="124"/>
      <c r="Q574" s="124"/>
      <c r="R574" s="124"/>
    </row>
    <row r="575">
      <c r="A575" s="124" t="str">
        <f>IFERROR(__xludf.DUMMYFUNCTION("""COMPUTED_VALUE"""),"#N/A")</f>
        <v>#N/A</v>
      </c>
      <c r="B575" s="124"/>
      <c r="C575" s="124"/>
      <c r="D575" s="124"/>
      <c r="E575" s="124"/>
      <c r="F575" s="124"/>
      <c r="G575" s="124"/>
      <c r="H575" s="124"/>
      <c r="I575" s="124"/>
      <c r="J575" s="124"/>
      <c r="K575" s="124"/>
      <c r="L575" s="124"/>
      <c r="M575" s="124"/>
      <c r="N575" s="124"/>
      <c r="O575" s="124"/>
      <c r="P575" s="124"/>
      <c r="Q575" s="124"/>
      <c r="R575" s="124"/>
    </row>
    <row r="576">
      <c r="A576" s="124" t="str">
        <f>IFERROR(__xludf.DUMMYFUNCTION("""COMPUTED_VALUE"""),"#N/A")</f>
        <v>#N/A</v>
      </c>
      <c r="B576" s="124"/>
      <c r="C576" s="124"/>
      <c r="D576" s="124"/>
      <c r="E576" s="124"/>
      <c r="F576" s="124"/>
      <c r="G576" s="124"/>
      <c r="H576" s="124"/>
      <c r="I576" s="124"/>
      <c r="J576" s="124"/>
      <c r="K576" s="124"/>
      <c r="L576" s="124"/>
      <c r="M576" s="124"/>
      <c r="N576" s="124"/>
      <c r="O576" s="124"/>
      <c r="P576" s="124"/>
      <c r="Q576" s="124"/>
      <c r="R576" s="124"/>
    </row>
    <row r="577">
      <c r="A577" s="124" t="str">
        <f>IFERROR(__xludf.DUMMYFUNCTION("""COMPUTED_VALUE"""),"#N/A")</f>
        <v>#N/A</v>
      </c>
      <c r="B577" s="124"/>
      <c r="C577" s="124"/>
      <c r="D577" s="124"/>
      <c r="E577" s="124"/>
      <c r="F577" s="124"/>
      <c r="G577" s="124"/>
      <c r="H577" s="124"/>
      <c r="I577" s="124"/>
      <c r="J577" s="124"/>
      <c r="K577" s="124"/>
      <c r="L577" s="124"/>
      <c r="M577" s="124"/>
      <c r="N577" s="124"/>
      <c r="O577" s="124"/>
      <c r="P577" s="124"/>
      <c r="Q577" s="124"/>
      <c r="R577" s="124"/>
    </row>
  </sheetData>
  <mergeCells count="6">
    <mergeCell ref="C1:S1"/>
    <mergeCell ref="B2:B3"/>
    <mergeCell ref="C3:F3"/>
    <mergeCell ref="G3:J3"/>
    <mergeCell ref="K3:N3"/>
    <mergeCell ref="O3:S3"/>
  </mergeCells>
  <conditionalFormatting sqref="D5:D29">
    <cfRule type="colorScale" priority="1">
      <colorScale>
        <cfvo type="min"/>
        <cfvo type="max"/>
        <color rgb="FFFFFFFF"/>
        <color rgb="FF57BB8A"/>
      </colorScale>
    </cfRule>
  </conditionalFormatting>
  <conditionalFormatting sqref="E5:E29">
    <cfRule type="colorScale" priority="2">
      <colorScale>
        <cfvo type="min"/>
        <cfvo type="max"/>
        <color rgb="FFFFFFFF"/>
        <color rgb="FFE67C73"/>
      </colorScale>
    </cfRule>
  </conditionalFormatting>
  <conditionalFormatting sqref="H5:H29">
    <cfRule type="colorScale" priority="3">
      <colorScale>
        <cfvo type="min"/>
        <cfvo type="max"/>
        <color rgb="FFFFFFFF"/>
        <color rgb="FF57BB8A"/>
      </colorScale>
    </cfRule>
  </conditionalFormatting>
  <conditionalFormatting sqref="I5:I29">
    <cfRule type="colorScale" priority="4">
      <colorScale>
        <cfvo type="min"/>
        <cfvo type="max"/>
        <color rgb="FFFFFFFF"/>
        <color rgb="FFE67C73"/>
      </colorScale>
    </cfRule>
  </conditionalFormatting>
  <conditionalFormatting sqref="L5:L29">
    <cfRule type="colorScale" priority="5">
      <colorScale>
        <cfvo type="min"/>
        <cfvo type="max"/>
        <color rgb="FFFFFFFF"/>
        <color rgb="FF57BB8A"/>
      </colorScale>
    </cfRule>
  </conditionalFormatting>
  <conditionalFormatting sqref="M5:M29">
    <cfRule type="colorScale" priority="6">
      <colorScale>
        <cfvo type="min"/>
        <cfvo type="max"/>
        <color rgb="FFFFFFFF"/>
        <color rgb="FFE67C73"/>
      </colorScale>
    </cfRule>
  </conditionalFormatting>
  <conditionalFormatting sqref="P5:P29">
    <cfRule type="colorScale" priority="7">
      <colorScale>
        <cfvo type="min"/>
        <cfvo type="max"/>
        <color rgb="FFFFFFFF"/>
        <color rgb="FF57BB8A"/>
      </colorScale>
    </cfRule>
  </conditionalFormatting>
  <conditionalFormatting sqref="Q5:Q29">
    <cfRule type="colorScale" priority="8">
      <colorScale>
        <cfvo type="min"/>
        <cfvo type="max"/>
        <color rgb="FFFFFFFF"/>
        <color rgb="FFE67C73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C1" s="484" t="s">
        <v>1018</v>
      </c>
      <c r="F1" s="485" t="s">
        <v>1021</v>
      </c>
      <c r="I1" s="486" t="s">
        <v>1024</v>
      </c>
      <c r="L1" s="485" t="s">
        <v>1025</v>
      </c>
      <c r="O1" s="486" t="s">
        <v>1026</v>
      </c>
      <c r="R1" s="485" t="s">
        <v>1030</v>
      </c>
      <c r="U1" s="486" t="s">
        <v>1033</v>
      </c>
      <c r="X1" s="485" t="s">
        <v>1035</v>
      </c>
      <c r="AA1" s="486" t="s">
        <v>1037</v>
      </c>
      <c r="AD1" s="485" t="s">
        <v>1040</v>
      </c>
      <c r="AG1" s="486" t="s">
        <v>1041</v>
      </c>
      <c r="AJ1" s="485" t="s">
        <v>1043</v>
      </c>
    </row>
    <row r="2">
      <c r="B2" s="208" t="s">
        <v>892</v>
      </c>
      <c r="C2" s="487" t="s">
        <v>975</v>
      </c>
      <c r="D2" s="487" t="s">
        <v>1006</v>
      </c>
      <c r="E2" s="487" t="s">
        <v>1232</v>
      </c>
      <c r="F2" s="488" t="s">
        <v>975</v>
      </c>
      <c r="G2" s="489" t="s">
        <v>1006</v>
      </c>
      <c r="H2" s="488" t="s">
        <v>1232</v>
      </c>
      <c r="I2" s="490" t="s">
        <v>975</v>
      </c>
      <c r="J2" s="490" t="s">
        <v>1006</v>
      </c>
      <c r="K2" s="490" t="s">
        <v>1232</v>
      </c>
      <c r="L2" s="488" t="s">
        <v>975</v>
      </c>
      <c r="M2" s="488" t="s">
        <v>1006</v>
      </c>
      <c r="N2" s="488" t="s">
        <v>1232</v>
      </c>
      <c r="O2" s="490" t="s">
        <v>975</v>
      </c>
      <c r="P2" s="490" t="s">
        <v>1006</v>
      </c>
      <c r="Q2" s="490" t="s">
        <v>1232</v>
      </c>
      <c r="R2" s="488" t="s">
        <v>975</v>
      </c>
      <c r="S2" s="488" t="s">
        <v>1006</v>
      </c>
      <c r="T2" s="488" t="s">
        <v>1232</v>
      </c>
      <c r="U2" s="490" t="s">
        <v>975</v>
      </c>
      <c r="V2" s="490" t="s">
        <v>1006</v>
      </c>
      <c r="W2" s="490" t="s">
        <v>1232</v>
      </c>
      <c r="X2" s="488" t="s">
        <v>975</v>
      </c>
      <c r="Y2" s="488" t="s">
        <v>1006</v>
      </c>
      <c r="Z2" s="488" t="s">
        <v>1232</v>
      </c>
      <c r="AA2" s="490" t="s">
        <v>975</v>
      </c>
      <c r="AB2" s="490" t="s">
        <v>1006</v>
      </c>
      <c r="AC2" s="490" t="s">
        <v>1232</v>
      </c>
      <c r="AD2" s="488" t="s">
        <v>975</v>
      </c>
      <c r="AE2" s="488" t="s">
        <v>1006</v>
      </c>
      <c r="AF2" s="488" t="s">
        <v>1232</v>
      </c>
      <c r="AG2" s="490" t="s">
        <v>975</v>
      </c>
      <c r="AH2" s="490" t="s">
        <v>1006</v>
      </c>
      <c r="AI2" s="490" t="s">
        <v>1232</v>
      </c>
      <c r="AJ2" s="488" t="s">
        <v>975</v>
      </c>
      <c r="AK2" s="488" t="s">
        <v>1006</v>
      </c>
      <c r="AL2" s="488" t="s">
        <v>1232</v>
      </c>
    </row>
    <row r="3">
      <c r="B3" s="124" t="str">
        <f t="array" ref="B3:B27">sort(UNIQUE(Data!B3:B1000),1,1)</f>
        <v>Andhra Pradesh</v>
      </c>
      <c r="C3" s="124">
        <f>countifs(Data!$B:$B,$B3,Data!$F:$F, "&lt;=" &amp; DATE(2025,4,1))</f>
        <v>7</v>
      </c>
      <c r="D3" s="124">
        <f>COUNTIFS(Data!$AZ:$AZ, "&gt;=" &amp; DATE(2025,4,1), Data!$AZ:$AZ, "&lt;=" &amp; DATE(2025,4,30),Data!$B:$B,$B3)</f>
        <v>0</v>
      </c>
      <c r="E3" s="124">
        <f>COUNTIFS(Data!$F:$F, "&gt;=" &amp; DATE(2025,4,1), Data!$F:$F, "&lt;=" &amp; DATE(2025,4,30),Data!$B:$B,$B3)</f>
        <v>0</v>
      </c>
      <c r="F3" s="124">
        <f>countifs(Data!$B:$B,$B3,Data!$F:$F, "&lt;=" &amp; DATE(2025,4,30))-COUNTIFS(Data!$B:$B,$B3,Data!AZ:AZ, "&gt;=" &amp; DATE(2025,4,1), Data!AZ:AZ, "&lt;=" &amp; DATE(2025,4,30))</f>
        <v>7</v>
      </c>
      <c r="G3" s="124">
        <f>COUNTIFS(Data!$AZ:$AZ, "&gt;=" &amp; DATE(2025,5,1), Data!$AZ:$AZ, "&lt;=" &amp; DATE(2025,5,31),Data!$B:$B,$B3)</f>
        <v>1</v>
      </c>
      <c r="H3" s="124">
        <f>COUNTIFS(Data!$F:$F, "&gt;=" &amp; DATE(2025,5,1), Data!$F:$F, "&lt;=" &amp; DATE(2025,5,31),Data!$B:$B,$B3)</f>
        <v>0</v>
      </c>
      <c r="I3" s="124">
        <f>countifs(Data!$B:$B,$B3,Data!$F:$F, "&lt;=" &amp; DATE(2025,5,31))-COUNTIFS(Data!$B:$B,$B3,Data!$AZ:$AZ, "&gt;=" &amp; DATE(2025,4,1), Data!$AZ:$AZ, "&lt;=" &amp; DATE(2025,5,31))</f>
        <v>6</v>
      </c>
      <c r="J3" s="124">
        <f>COUNTIFS(Data!$AZ:$AZ, "&gt;=" &amp; DATE(2025,6,1), Data!$AZ:$AZ, "&lt;=" &amp; DATE(2025,6,30),Data!$B:$B,$B3)</f>
        <v>1</v>
      </c>
      <c r="K3" s="124">
        <f>COUNTIFS(Data!$F:$F, "&gt;=" &amp; DATE(2025,6,1), Data!$F:$F, "&lt;=" &amp; DATE(2025,6,30),Data!$B:$B,$B3)</f>
        <v>0</v>
      </c>
      <c r="L3" s="124">
        <f>countifs(Data!$B:$B,$B3,Data!$F:$F, "&lt;=" &amp; DATE(2025,6,30))-COUNTIFS(Data!$B:$B,$B3,Data!$AZ:$AZ, "&gt;=" &amp; DATE(2025,4,1), Data!$AZ:$AZ, "&lt;=" &amp; DATE(2025,6,30))</f>
        <v>5</v>
      </c>
      <c r="M3" s="124">
        <f>COUNTIFS(Data!$AZ:$AZ, "&gt;=" &amp; DATE(2025,7,1), Data!$AZ:$AZ, "&lt;=" &amp; DATE(2025,7,31),Data!$B:$B,$B3)</f>
        <v>1</v>
      </c>
      <c r="N3" s="124">
        <f>COUNTIFS(Data!$F:$F, "&gt;=" &amp; DATE(2025,7,1), Data!$F:$F, "&lt;=" &amp; DATE(2025,7,31),Data!$B:$B,$B3)</f>
        <v>0</v>
      </c>
      <c r="O3" s="124">
        <f>countifs(Data!$B:$B,$B3,Data!$F:$F, "&lt;=" &amp; DATE(2025,7,31))-COUNTIFS(Data!$B:$B,$B3,Data!$AZ:$AZ, "&gt;=" &amp; DATE(2025,4,1), Data!$AZ:$AZ, "&lt;=" &amp; DATE(2025,7,31))</f>
        <v>4</v>
      </c>
      <c r="P3" s="124">
        <f>COUNTIFS(Data!$AZ:$AZ, "&gt;=" &amp; DATE(2025,8,1), Data!$AZ:$AZ, "&lt;=" &amp; DATE(2025,8,31),Data!$B:$B,$B3)</f>
        <v>0</v>
      </c>
      <c r="Q3" s="124">
        <f>COUNTIFS(Data!$F:$F, "&gt;=" &amp; DATE(2025,8,1), Data!$F:$F, "&lt;=" &amp; DATE(2025,8,31),Data!$B:$B,$B3)</f>
        <v>0</v>
      </c>
      <c r="R3" s="124">
        <f>countifs(Data!$B:$B,$B3,Data!$F:$F, "&lt;=" &amp; DATE(2025,8,31))-COUNTIFS(Data!$B:$B,$B3,Data!$AZ:$AZ, "&gt;=" &amp; DATE(2025,4,1), Data!$AZ:$AZ, "&lt;=" &amp; DATE(2025,8,31))</f>
        <v>4</v>
      </c>
      <c r="S3" s="124">
        <f>COUNTIFS(Data!$AZ:$AZ, "&gt;=" &amp; DATE(2025,9,1), Data!$AZ:$AZ, "&lt;=" &amp; DATE(2025,9,30),Data!$B:$B,$B3)</f>
        <v>0</v>
      </c>
      <c r="T3" s="124">
        <f>COUNTIFS(Data!$F:$F, "&gt;=" &amp; DATE(2025,9,1), Data!$F:$F, "&lt;=" &amp; DATE(2025,9,30),Data!$B:$B,$B3)</f>
        <v>0</v>
      </c>
    </row>
    <row r="4">
      <c r="B4" s="124" t="s">
        <v>212</v>
      </c>
      <c r="C4" s="124">
        <f>countifs(Data!B:B,B4,Data!F:F, "&lt;=" &amp; DATE(2025,4,1))</f>
        <v>11</v>
      </c>
      <c r="D4" s="124">
        <f>COUNTIFS(Data!AZ:AZ, "&gt;=" &amp; DATE(2025,4,1), Data!AZ:AZ, "&lt;=" &amp; DATE(2025,4,30),Data!B:B,B4)</f>
        <v>0</v>
      </c>
      <c r="E4" s="124">
        <f>COUNTIFS(Data!F:F, "&gt;=" &amp; DATE(2025,4,1), Data!F:F, "&lt;=" &amp; DATE(2025,4,30),Data!B:B,B4)</f>
        <v>0</v>
      </c>
      <c r="F4" s="124">
        <f>countifs(Data!$B:$B,$B4,Data!$F:$F, "&lt;=" &amp; DATE(2025,4,30))-COUNTIFS(Data!$B:$B,$B4,Data!AZ:AZ, "&gt;=" &amp; DATE(2025,4,1), Data!AZ:AZ, "&lt;=" &amp; DATE(2025,4,30))</f>
        <v>11</v>
      </c>
      <c r="G4" s="124">
        <f>COUNTIFS(Data!$AZ:$AZ, "&gt;=" &amp; DATE(2025,5,1), Data!$AZ:$AZ, "&lt;=" &amp; DATE(2025,5,31),Data!$B:$B,$B4)</f>
        <v>0</v>
      </c>
      <c r="H4" s="124">
        <f>COUNTIFS(Data!$F:$F, "&gt;=" &amp; DATE(2025,5,1), Data!$F:$F, "&lt;=" &amp; DATE(2025,5,31),Data!$B:$B,$B4)</f>
        <v>1</v>
      </c>
      <c r="I4" s="124">
        <f>countifs(Data!$B:$B,$B4,Data!$F:$F, "&lt;=" &amp; DATE(2025,5,31))-COUNTIFS(Data!$B:$B,$B4,Data!$AZ:$AZ, "&gt;=" &amp; DATE(2025,4,1), Data!$AZ:$AZ, "&lt;=" &amp; DATE(2025,5,31))</f>
        <v>12</v>
      </c>
      <c r="J4" s="124">
        <f>COUNTIFS(Data!$AZ:$AZ, "&gt;=" &amp; DATE(2025,6,1), Data!$AZ:$AZ, "&lt;=" &amp; DATE(2025,6,30),Data!$B:$B,$B4)</f>
        <v>0</v>
      </c>
      <c r="K4" s="124">
        <f>COUNTIFS(Data!$F:$F, "&gt;=" &amp; DATE(2025,6,1), Data!$F:$F, "&lt;=" &amp; DATE(2025,6,30),Data!$B:$B,$B4)</f>
        <v>0</v>
      </c>
      <c r="L4" s="124">
        <f>countifs(Data!$B:$B,$B4,Data!$F:$F, "&lt;=" &amp; DATE(2025,6,30))-COUNTIFS(Data!$B:$B,$B4,Data!$AZ:$AZ, "&gt;=" &amp; DATE(2025,4,1), Data!$AZ:$AZ, "&lt;=" &amp; DATE(2025,6,30))</f>
        <v>12</v>
      </c>
      <c r="M4" s="124">
        <f>COUNTIFS(Data!$AZ:$AZ, "&gt;=" &amp; DATE(2025,7,1), Data!$AZ:$AZ, "&lt;=" &amp; DATE(2025,7,31),Data!$B:$B,$B4)</f>
        <v>0</v>
      </c>
      <c r="N4" s="124">
        <f>COUNTIFS(Data!$F:$F, "&gt;=" &amp; DATE(2025,7,1), Data!$F:$F, "&lt;=" &amp; DATE(2025,7,31),Data!$B:$B,$B4)</f>
        <v>0</v>
      </c>
      <c r="O4" s="124">
        <f>countifs(Data!$B:$B,$B4,Data!$F:$F, "&lt;=" &amp; DATE(2025,7,31))-COUNTIFS(Data!$B:$B,$B4,Data!$AZ:$AZ, "&gt;=" &amp; DATE(2025,4,1), Data!$AZ:$AZ, "&lt;=" &amp; DATE(2025,7,31))</f>
        <v>12</v>
      </c>
      <c r="P4" s="124">
        <f>COUNTIFS(Data!$AZ:$AZ, "&gt;=" &amp; DATE(2025,8,1), Data!$AZ:$AZ, "&lt;=" &amp; DATE(2025,8,31),Data!$B:$B,$B4)</f>
        <v>1</v>
      </c>
      <c r="Q4" s="124">
        <f>COUNTIFS(Data!$F:$F, "&gt;=" &amp; DATE(2025,8,1), Data!$F:$F, "&lt;=" &amp; DATE(2025,8,31),Data!$B:$B,$B4)</f>
        <v>0</v>
      </c>
      <c r="R4" s="124">
        <f>countifs(Data!$B:$B,$B4,Data!$F:$F, "&lt;=" &amp; DATE(2025,8,31))-COUNTIFS(Data!$B:$B,$B4,Data!$AZ:$AZ, "&gt;=" &amp; DATE(2025,4,1), Data!$AZ:$AZ, "&lt;=" &amp; DATE(2025,8,31))</f>
        <v>11</v>
      </c>
      <c r="S4" s="124">
        <f>COUNTIFS(Data!$AZ:$AZ, "&gt;=" &amp; DATE(2025,9,1), Data!$AZ:$AZ, "&lt;=" &amp; DATE(2025,9,30),Data!$B:$B,$B4)</f>
        <v>0</v>
      </c>
      <c r="T4" s="124">
        <f>COUNTIFS(Data!$F:$F, "&gt;=" &amp; DATE(2025,9,1), Data!$F:$F, "&lt;=" &amp; DATE(2025,9,30),Data!$B:$B,$B4)</f>
        <v>0</v>
      </c>
    </row>
    <row r="5">
      <c r="B5" s="124" t="s">
        <v>140</v>
      </c>
      <c r="C5" s="124">
        <f>countifs(Data!B:B,B5,Data!F:F, "&lt;=" &amp; DATE(2025,4,1))</f>
        <v>3</v>
      </c>
      <c r="D5" s="124">
        <f>COUNTIFS(Data!AZ:AZ, "&gt;=" &amp; DATE(2025,4,1), Data!AZ:AZ, "&lt;=" &amp; DATE(2025,4,30),Data!B:B,B5)</f>
        <v>1</v>
      </c>
      <c r="E5" s="124">
        <f>COUNTIFS(Data!F:F, "&gt;=" &amp; DATE(2025,4,1), Data!F:F, "&lt;=" &amp; DATE(2025,4,30),Data!B:B,B5)</f>
        <v>0</v>
      </c>
      <c r="F5" s="124">
        <f>countifs(Data!$B:$B,$B5,Data!$F:$F, "&lt;=" &amp; DATE(2025,4,30))-COUNTIFS(Data!$B:$B,$B5,Data!AZ:AZ, "&gt;=" &amp; DATE(2025,4,1), Data!AZ:AZ, "&lt;=" &amp; DATE(2025,4,30))</f>
        <v>2</v>
      </c>
      <c r="G5" s="124">
        <f>COUNTIFS(Data!$AZ:$AZ, "&gt;=" &amp; DATE(2025,5,1), Data!$AZ:$AZ, "&lt;=" &amp; DATE(2025,5,31),Data!$B:$B,$B5)</f>
        <v>0</v>
      </c>
      <c r="H5" s="124">
        <f>COUNTIFS(Data!$F:$F, "&gt;=" &amp; DATE(2025,5,1), Data!$F:$F, "&lt;=" &amp; DATE(2025,5,31),Data!$B:$B,$B5)</f>
        <v>0</v>
      </c>
      <c r="I5" s="124">
        <f>countifs(Data!$B:$B,$B5,Data!$F:$F, "&lt;=" &amp; DATE(2025,5,31))-COUNTIFS(Data!$B:$B,$B5,Data!$AZ:$AZ, "&gt;=" &amp; DATE(2025,4,1), Data!$AZ:$AZ, "&lt;=" &amp; DATE(2025,5,31))</f>
        <v>2</v>
      </c>
      <c r="J5" s="124">
        <f>COUNTIFS(Data!$AZ:$AZ, "&gt;=" &amp; DATE(2025,6,1), Data!$AZ:$AZ, "&lt;=" &amp; DATE(2025,6,30),Data!$B:$B,$B5)</f>
        <v>0</v>
      </c>
      <c r="K5" s="124">
        <f>COUNTIFS(Data!$F:$F, "&gt;=" &amp; DATE(2025,6,1), Data!$F:$F, "&lt;=" &amp; DATE(2025,6,30),Data!$B:$B,$B5)</f>
        <v>0</v>
      </c>
      <c r="L5" s="124">
        <f>countifs(Data!$B:$B,$B5,Data!$F:$F, "&lt;=" &amp; DATE(2025,6,30))-COUNTIFS(Data!$B:$B,$B5,Data!$AZ:$AZ, "&gt;=" &amp; DATE(2025,4,1), Data!$AZ:$AZ, "&lt;=" &amp; DATE(2025,6,30))</f>
        <v>2</v>
      </c>
      <c r="M5" s="124">
        <f>COUNTIFS(Data!$AZ:$AZ, "&gt;=" &amp; DATE(2025,7,1), Data!$AZ:$AZ, "&lt;=" &amp; DATE(2025,7,31),Data!$B:$B,$B5)</f>
        <v>0</v>
      </c>
      <c r="N5" s="124">
        <f>COUNTIFS(Data!$F:$F, "&gt;=" &amp; DATE(2025,7,1), Data!$F:$F, "&lt;=" &amp; DATE(2025,7,31),Data!$B:$B,$B5)</f>
        <v>1</v>
      </c>
      <c r="O5" s="124">
        <f>countifs(Data!$B:$B,$B5,Data!$F:$F, "&lt;=" &amp; DATE(2025,7,31))-COUNTIFS(Data!$B:$B,$B5,Data!$AZ:$AZ, "&gt;=" &amp; DATE(2025,4,1), Data!$AZ:$AZ, "&lt;=" &amp; DATE(2025,7,31))</f>
        <v>3</v>
      </c>
      <c r="P5" s="124">
        <f>COUNTIFS(Data!$AZ:$AZ, "&gt;=" &amp; DATE(2025,8,1), Data!$AZ:$AZ, "&lt;=" &amp; DATE(2025,8,31),Data!$B:$B,$B5)</f>
        <v>0</v>
      </c>
      <c r="Q5" s="124">
        <f>COUNTIFS(Data!$F:$F, "&gt;=" &amp; DATE(2025,8,1), Data!$F:$F, "&lt;=" &amp; DATE(2025,8,31),Data!$B:$B,$B5)</f>
        <v>0</v>
      </c>
      <c r="R5" s="124">
        <f>countifs(Data!$B:$B,$B5,Data!$F:$F, "&lt;=" &amp; DATE(2025,8,31))-COUNTIFS(Data!$B:$B,$B5,Data!$AZ:$AZ, "&gt;=" &amp; DATE(2025,4,1), Data!$AZ:$AZ, "&lt;=" &amp; DATE(2025,8,31))</f>
        <v>3</v>
      </c>
      <c r="S5" s="124">
        <f>COUNTIFS(Data!$AZ:$AZ, "&gt;=" &amp; DATE(2025,9,1), Data!$AZ:$AZ, "&lt;=" &amp; DATE(2025,9,30),Data!$B:$B,$B5)</f>
        <v>0</v>
      </c>
      <c r="T5" s="124">
        <f>COUNTIFS(Data!$F:$F, "&gt;=" &amp; DATE(2025,9,1), Data!$F:$F, "&lt;=" &amp; DATE(2025,9,30),Data!$B:$B,$B5)</f>
        <v>0</v>
      </c>
    </row>
    <row r="6">
      <c r="B6" s="124" t="s">
        <v>27</v>
      </c>
      <c r="C6" s="124">
        <f>countifs(Data!B:B,B6,Data!F:F, "&lt;=" &amp; DATE(2025,4,1))</f>
        <v>2</v>
      </c>
      <c r="D6" s="124">
        <f>COUNTIFS(Data!AZ:AZ, "&gt;=" &amp; DATE(2025,4,1), Data!AZ:AZ, "&lt;=" &amp; DATE(2025,4,30),Data!B:B,B6)</f>
        <v>0</v>
      </c>
      <c r="E6" s="124">
        <f>COUNTIFS(Data!F:F, "&gt;=" &amp; DATE(2025,4,1), Data!F:F, "&lt;=" &amp; DATE(2025,4,30),Data!B:B,B6)</f>
        <v>0</v>
      </c>
      <c r="F6" s="124">
        <f>countifs(Data!$B:$B,$B6,Data!$F:$F, "&lt;=" &amp; DATE(2025,4,30))-COUNTIFS(Data!$B:$B,$B6,Data!AZ:AZ, "&gt;=" &amp; DATE(2025,4,1), Data!AZ:AZ, "&lt;=" &amp; DATE(2025,4,30))</f>
        <v>2</v>
      </c>
      <c r="G6" s="124">
        <f>COUNTIFS(Data!$AZ:$AZ, "&gt;=" &amp; DATE(2025,5,1), Data!$AZ:$AZ, "&lt;=" &amp; DATE(2025,5,31),Data!$B:$B,$B6)</f>
        <v>0</v>
      </c>
      <c r="H6" s="124">
        <f>COUNTIFS(Data!$F:$F, "&gt;=" &amp; DATE(2025,5,1), Data!$F:$F, "&lt;=" &amp; DATE(2025,5,31),Data!$B:$B,$B6)</f>
        <v>0</v>
      </c>
      <c r="I6" s="124">
        <f>countifs(Data!$B:$B,$B6,Data!$F:$F, "&lt;=" &amp; DATE(2025,5,31))-COUNTIFS(Data!$B:$B,$B6,Data!$AZ:$AZ, "&gt;=" &amp; DATE(2025,4,1), Data!$AZ:$AZ, "&lt;=" &amp; DATE(2025,5,31))</f>
        <v>2</v>
      </c>
      <c r="J6" s="124">
        <f>COUNTIFS(Data!$AZ:$AZ, "&gt;=" &amp; DATE(2025,6,1), Data!$AZ:$AZ, "&lt;=" &amp; DATE(2025,6,30),Data!$B:$B,$B6)</f>
        <v>0</v>
      </c>
      <c r="K6" s="124">
        <f>COUNTIFS(Data!$F:$F, "&gt;=" &amp; DATE(2025,6,1), Data!$F:$F, "&lt;=" &amp; DATE(2025,6,30),Data!$B:$B,$B6)</f>
        <v>1</v>
      </c>
      <c r="L6" s="124">
        <f>countifs(Data!$B:$B,$B6,Data!$F:$F, "&lt;=" &amp; DATE(2025,6,30))-COUNTIFS(Data!$B:$B,$B6,Data!$AZ:$AZ, "&gt;=" &amp; DATE(2025,4,1), Data!$AZ:$AZ, "&lt;=" &amp; DATE(2025,6,30))</f>
        <v>3</v>
      </c>
      <c r="M6" s="124">
        <f>COUNTIFS(Data!$AZ:$AZ, "&gt;=" &amp; DATE(2025,7,1), Data!$AZ:$AZ, "&lt;=" &amp; DATE(2025,7,31),Data!$B:$B,$B6)</f>
        <v>0</v>
      </c>
      <c r="N6" s="124">
        <f>COUNTIFS(Data!$F:$F, "&gt;=" &amp; DATE(2025,7,1), Data!$F:$F, "&lt;=" &amp; DATE(2025,7,31),Data!$B:$B,$B6)</f>
        <v>0</v>
      </c>
      <c r="O6" s="124">
        <f>countifs(Data!$B:$B,$B6,Data!$F:$F, "&lt;=" &amp; DATE(2025,7,31))-COUNTIFS(Data!$B:$B,$B6,Data!$AZ:$AZ, "&gt;=" &amp; DATE(2025,4,1), Data!$AZ:$AZ, "&lt;=" &amp; DATE(2025,7,31))</f>
        <v>3</v>
      </c>
      <c r="P6" s="124">
        <f>COUNTIFS(Data!$AZ:$AZ, "&gt;=" &amp; DATE(2025,8,1), Data!$AZ:$AZ, "&lt;=" &amp; DATE(2025,8,31),Data!$B:$B,$B6)</f>
        <v>0</v>
      </c>
      <c r="Q6" s="124">
        <f>COUNTIFS(Data!$F:$F, "&gt;=" &amp; DATE(2025,8,1), Data!$F:$F, "&lt;=" &amp; DATE(2025,8,31),Data!$B:$B,$B6)</f>
        <v>0</v>
      </c>
      <c r="R6" s="124">
        <f>countifs(Data!$B:$B,$B6,Data!$F:$F, "&lt;=" &amp; DATE(2025,8,31))-COUNTIFS(Data!$B:$B,$B6,Data!$AZ:$AZ, "&gt;=" &amp; DATE(2025,4,1), Data!$AZ:$AZ, "&lt;=" &amp; DATE(2025,8,31))</f>
        <v>3</v>
      </c>
      <c r="S6" s="124">
        <f>COUNTIFS(Data!$AZ:$AZ, "&gt;=" &amp; DATE(2025,9,1), Data!$AZ:$AZ, "&lt;=" &amp; DATE(2025,9,30),Data!$B:$B,$B6)</f>
        <v>1</v>
      </c>
      <c r="T6" s="124">
        <f>COUNTIFS(Data!$F:$F, "&gt;=" &amp; DATE(2025,9,1), Data!$F:$F, "&lt;=" &amp; DATE(2025,9,30),Data!$B:$B,$B6)</f>
        <v>0</v>
      </c>
    </row>
    <row r="7">
      <c r="B7" s="124" t="s">
        <v>40</v>
      </c>
      <c r="C7" s="124">
        <f>countifs(Data!B:B,B7,Data!F:F, "&lt;=" &amp; DATE(2025,4,1))</f>
        <v>1</v>
      </c>
      <c r="D7" s="124">
        <f>COUNTIFS(Data!AZ:AZ, "&gt;=" &amp; DATE(2025,4,1), Data!AZ:AZ, "&lt;=" &amp; DATE(2025,4,30),Data!B:B,B7)</f>
        <v>0</v>
      </c>
      <c r="E7" s="124">
        <f>COUNTIFS(Data!F:F, "&gt;=" &amp; DATE(2025,4,1), Data!F:F, "&lt;=" &amp; DATE(2025,4,30),Data!B:B,B7)</f>
        <v>0</v>
      </c>
      <c r="F7" s="124">
        <f>countifs(Data!$B:$B,$B7,Data!$F:$F, "&lt;=" &amp; DATE(2025,4,30))-COUNTIFS(Data!$B:$B,$B7,Data!AZ:AZ, "&gt;=" &amp; DATE(2025,4,1), Data!AZ:AZ, "&lt;=" &amp; DATE(2025,4,30))</f>
        <v>1</v>
      </c>
      <c r="G7" s="124">
        <f>COUNTIFS(Data!$AZ:$AZ, "&gt;=" &amp; DATE(2025,5,1), Data!$AZ:$AZ, "&lt;=" &amp; DATE(2025,5,31),Data!$B:$B,$B7)</f>
        <v>0</v>
      </c>
      <c r="H7" s="124">
        <f>COUNTIFS(Data!$F:$F, "&gt;=" &amp; DATE(2025,5,1), Data!$F:$F, "&lt;=" &amp; DATE(2025,5,31),Data!$B:$B,$B7)</f>
        <v>0</v>
      </c>
      <c r="I7" s="124">
        <f>countifs(Data!$B:$B,$B7,Data!$F:$F, "&lt;=" &amp; DATE(2025,5,31))-COUNTIFS(Data!$B:$B,$B7,Data!$AZ:$AZ, "&gt;=" &amp; DATE(2025,4,1), Data!$AZ:$AZ, "&lt;=" &amp; DATE(2025,5,31))</f>
        <v>1</v>
      </c>
      <c r="J7" s="124">
        <f>COUNTIFS(Data!$AZ:$AZ, "&gt;=" &amp; DATE(2025,6,1), Data!$AZ:$AZ, "&lt;=" &amp; DATE(2025,6,30),Data!$B:$B,$B7)</f>
        <v>0</v>
      </c>
      <c r="K7" s="124">
        <f>COUNTIFS(Data!$F:$F, "&gt;=" &amp; DATE(2025,6,1), Data!$F:$F, "&lt;=" &amp; DATE(2025,6,30),Data!$B:$B,$B7)</f>
        <v>0</v>
      </c>
      <c r="L7" s="124">
        <f>countifs(Data!$B:$B,$B7,Data!$F:$F, "&lt;=" &amp; DATE(2025,6,30))-COUNTIFS(Data!$B:$B,$B7,Data!$AZ:$AZ, "&gt;=" &amp; DATE(2025,4,1), Data!$AZ:$AZ, "&lt;=" &amp; DATE(2025,6,30))</f>
        <v>1</v>
      </c>
      <c r="M7" s="124">
        <f>COUNTIFS(Data!$AZ:$AZ, "&gt;=" &amp; DATE(2025,7,1), Data!$AZ:$AZ, "&lt;=" &amp; DATE(2025,7,31),Data!$B:$B,$B7)</f>
        <v>0</v>
      </c>
      <c r="N7" s="124">
        <f>COUNTIFS(Data!$F:$F, "&gt;=" &amp; DATE(2025,7,1), Data!$F:$F, "&lt;=" &amp; DATE(2025,7,31),Data!$B:$B,$B7)</f>
        <v>0</v>
      </c>
      <c r="O7" s="124">
        <f>countifs(Data!$B:$B,$B7,Data!$F:$F, "&lt;=" &amp; DATE(2025,7,31))-COUNTIFS(Data!$B:$B,$B7,Data!$AZ:$AZ, "&gt;=" &amp; DATE(2025,4,1), Data!$AZ:$AZ, "&lt;=" &amp; DATE(2025,7,31))</f>
        <v>1</v>
      </c>
      <c r="P7" s="124">
        <f>COUNTIFS(Data!$AZ:$AZ, "&gt;=" &amp; DATE(2025,8,1), Data!$AZ:$AZ, "&lt;=" &amp; DATE(2025,8,31),Data!$B:$B,$B7)</f>
        <v>0</v>
      </c>
      <c r="Q7" s="124">
        <f>COUNTIFS(Data!$F:$F, "&gt;=" &amp; DATE(2025,8,1), Data!$F:$F, "&lt;=" &amp; DATE(2025,8,31),Data!$B:$B,$B7)</f>
        <v>0</v>
      </c>
      <c r="R7" s="124">
        <f>countifs(Data!$B:$B,$B7,Data!$F:$F, "&lt;=" &amp; DATE(2025,8,31))-COUNTIFS(Data!$B:$B,$B7,Data!$AZ:$AZ, "&gt;=" &amp; DATE(2025,4,1), Data!$AZ:$AZ, "&lt;=" &amp; DATE(2025,8,31))</f>
        <v>1</v>
      </c>
      <c r="S7" s="124">
        <f>COUNTIFS(Data!$AZ:$AZ, "&gt;=" &amp; DATE(2025,9,1), Data!$AZ:$AZ, "&lt;=" &amp; DATE(2025,9,30),Data!$B:$B,$B7)</f>
        <v>0</v>
      </c>
      <c r="T7" s="124">
        <f>COUNTIFS(Data!$F:$F, "&gt;=" &amp; DATE(2025,9,1), Data!$F:$F, "&lt;=" &amp; DATE(2025,9,30),Data!$B:$B,$B7)</f>
        <v>0</v>
      </c>
    </row>
    <row r="8">
      <c r="B8" s="124" t="s">
        <v>130</v>
      </c>
      <c r="C8" s="124">
        <f>countifs(Data!B:B,B8,Data!F:F, "&lt;=" &amp; DATE(2025,4,1))</f>
        <v>17</v>
      </c>
      <c r="D8" s="124">
        <f>COUNTIFS(Data!AZ:AZ, "&gt;=" &amp; DATE(2025,4,1), Data!AZ:AZ, "&lt;=" &amp; DATE(2025,4,30),Data!B:B,B8)</f>
        <v>0</v>
      </c>
      <c r="E8" s="124">
        <f>COUNTIFS(Data!F:F, "&gt;=" &amp; DATE(2025,4,1), Data!F:F, "&lt;=" &amp; DATE(2025,4,30),Data!B:B,B8)</f>
        <v>0</v>
      </c>
      <c r="F8" s="124">
        <f>countifs(Data!$B:$B,$B8,Data!$F:$F, "&lt;=" &amp; DATE(2025,4,30))-COUNTIFS(Data!$B:$B,$B8,Data!AZ:AZ, "&gt;=" &amp; DATE(2025,4,1), Data!AZ:AZ, "&lt;=" &amp; DATE(2025,4,30))</f>
        <v>17</v>
      </c>
      <c r="G8" s="124">
        <f>COUNTIFS(Data!$AZ:$AZ, "&gt;=" &amp; DATE(2025,5,1), Data!$AZ:$AZ, "&lt;=" &amp; DATE(2025,5,31),Data!$B:$B,$B8)</f>
        <v>0</v>
      </c>
      <c r="H8" s="124">
        <f>COUNTIFS(Data!$F:$F, "&gt;=" &amp; DATE(2025,5,1), Data!$F:$F, "&lt;=" &amp; DATE(2025,5,31),Data!$B:$B,$B8)</f>
        <v>1</v>
      </c>
      <c r="I8" s="124">
        <f>countifs(Data!$B:$B,$B8,Data!$F:$F, "&lt;=" &amp; DATE(2025,5,31))-COUNTIFS(Data!$B:$B,$B8,Data!$AZ:$AZ, "&gt;=" &amp; DATE(2025,4,1), Data!$AZ:$AZ, "&lt;=" &amp; DATE(2025,5,31))</f>
        <v>18</v>
      </c>
      <c r="J8" s="124">
        <f>COUNTIFS(Data!$AZ:$AZ, "&gt;=" &amp; DATE(2025,6,1), Data!$AZ:$AZ, "&lt;=" &amp; DATE(2025,6,30),Data!$B:$B,$B8)</f>
        <v>0</v>
      </c>
      <c r="K8" s="124">
        <f>COUNTIFS(Data!$F:$F, "&gt;=" &amp; DATE(2025,6,1), Data!$F:$F, "&lt;=" &amp; DATE(2025,6,30),Data!$B:$B,$B8)</f>
        <v>0</v>
      </c>
      <c r="L8" s="124">
        <f>countifs(Data!$B:$B,$B8,Data!$F:$F, "&lt;=" &amp; DATE(2025,6,30))-COUNTIFS(Data!$B:$B,$B8,Data!$AZ:$AZ, "&gt;=" &amp; DATE(2025,4,1), Data!$AZ:$AZ, "&lt;=" &amp; DATE(2025,6,30))</f>
        <v>18</v>
      </c>
      <c r="M8" s="124">
        <f>COUNTIFS(Data!$AZ:$AZ, "&gt;=" &amp; DATE(2025,7,1), Data!$AZ:$AZ, "&lt;=" &amp; DATE(2025,7,31),Data!$B:$B,$B8)</f>
        <v>0</v>
      </c>
      <c r="N8" s="124">
        <f>COUNTIFS(Data!$F:$F, "&gt;=" &amp; DATE(2025,7,1), Data!$F:$F, "&lt;=" &amp; DATE(2025,7,31),Data!$B:$B,$B8)</f>
        <v>2</v>
      </c>
      <c r="O8" s="124">
        <f>countifs(Data!$B:$B,$B8,Data!$F:$F, "&lt;=" &amp; DATE(2025,7,31))-COUNTIFS(Data!$B:$B,$B8,Data!$AZ:$AZ, "&gt;=" &amp; DATE(2025,4,1), Data!$AZ:$AZ, "&lt;=" &amp; DATE(2025,7,31))</f>
        <v>20</v>
      </c>
      <c r="P8" s="124">
        <f>COUNTIFS(Data!$AZ:$AZ, "&gt;=" &amp; DATE(2025,8,1), Data!$AZ:$AZ, "&lt;=" &amp; DATE(2025,8,31),Data!$B:$B,$B8)</f>
        <v>1</v>
      </c>
      <c r="Q8" s="124">
        <f>COUNTIFS(Data!$F:$F, "&gt;=" &amp; DATE(2025,8,1), Data!$F:$F, "&lt;=" &amp; DATE(2025,8,31),Data!$B:$B,$B8)</f>
        <v>0</v>
      </c>
      <c r="R8" s="124">
        <f>countifs(Data!$B:$B,$B8,Data!$F:$F, "&lt;=" &amp; DATE(2025,8,31))-COUNTIFS(Data!$B:$B,$B8,Data!$AZ:$AZ, "&gt;=" &amp; DATE(2025,4,1), Data!$AZ:$AZ, "&lt;=" &amp; DATE(2025,8,31))</f>
        <v>19</v>
      </c>
      <c r="S8" s="124">
        <f>COUNTIFS(Data!$AZ:$AZ, "&gt;=" &amp; DATE(2025,9,1), Data!$AZ:$AZ, "&lt;=" &amp; DATE(2025,9,30),Data!$B:$B,$B8)</f>
        <v>1</v>
      </c>
      <c r="T8" s="124">
        <f>COUNTIFS(Data!$F:$F, "&gt;=" &amp; DATE(2025,9,1), Data!$F:$F, "&lt;=" &amp; DATE(2025,9,30),Data!$B:$B,$B8)</f>
        <v>0</v>
      </c>
    </row>
    <row r="9">
      <c r="B9" s="124" t="s">
        <v>325</v>
      </c>
      <c r="C9" s="124">
        <f>countifs(Data!B:B,B9,Data!F:F, "&lt;=" &amp; DATE(2025,4,1))</f>
        <v>3</v>
      </c>
      <c r="D9" s="124">
        <f>COUNTIFS(Data!AZ:AZ, "&gt;=" &amp; DATE(2025,4,1), Data!AZ:AZ, "&lt;=" &amp; DATE(2025,4,30),Data!B:B,B9)</f>
        <v>0</v>
      </c>
      <c r="E9" s="124">
        <f>COUNTIFS(Data!F:F, "&gt;=" &amp; DATE(2025,4,1), Data!F:F, "&lt;=" &amp; DATE(2025,4,30),Data!B:B,B9)</f>
        <v>0</v>
      </c>
      <c r="F9" s="124">
        <f>countifs(Data!$B:$B,$B9,Data!$F:$F, "&lt;=" &amp; DATE(2025,4,30))-COUNTIFS(Data!$B:$B,$B9,Data!AZ:AZ, "&gt;=" &amp; DATE(2025,4,1), Data!AZ:AZ, "&lt;=" &amp; DATE(2025,4,30))</f>
        <v>3</v>
      </c>
      <c r="G9" s="124">
        <f>COUNTIFS(Data!$AZ:$AZ, "&gt;=" &amp; DATE(2025,5,1), Data!$AZ:$AZ, "&lt;=" &amp; DATE(2025,5,31),Data!$B:$B,$B9)</f>
        <v>0</v>
      </c>
      <c r="H9" s="124">
        <f>COUNTIFS(Data!$F:$F, "&gt;=" &amp; DATE(2025,5,1), Data!$F:$F, "&lt;=" &amp; DATE(2025,5,31),Data!$B:$B,$B9)</f>
        <v>0</v>
      </c>
      <c r="I9" s="124">
        <f>countifs(Data!$B:$B,$B9,Data!$F:$F, "&lt;=" &amp; DATE(2025,5,31))-COUNTIFS(Data!$B:$B,$B9,Data!$AZ:$AZ, "&gt;=" &amp; DATE(2025,4,1), Data!$AZ:$AZ, "&lt;=" &amp; DATE(2025,5,31))</f>
        <v>3</v>
      </c>
      <c r="J9" s="124">
        <f>COUNTIFS(Data!$AZ:$AZ, "&gt;=" &amp; DATE(2025,6,1), Data!$AZ:$AZ, "&lt;=" &amp; DATE(2025,6,30),Data!$B:$B,$B9)</f>
        <v>0</v>
      </c>
      <c r="K9" s="124">
        <f>COUNTIFS(Data!$F:$F, "&gt;=" &amp; DATE(2025,6,1), Data!$F:$F, "&lt;=" &amp; DATE(2025,6,30),Data!$B:$B,$B9)</f>
        <v>1</v>
      </c>
      <c r="L9" s="124">
        <f>countifs(Data!$B:$B,$B9,Data!$F:$F, "&lt;=" &amp; DATE(2025,6,30))-COUNTIFS(Data!$B:$B,$B9,Data!$AZ:$AZ, "&gt;=" &amp; DATE(2025,4,1), Data!$AZ:$AZ, "&lt;=" &amp; DATE(2025,6,30))</f>
        <v>4</v>
      </c>
      <c r="M9" s="124">
        <f>COUNTIFS(Data!$AZ:$AZ, "&gt;=" &amp; DATE(2025,7,1), Data!$AZ:$AZ, "&lt;=" &amp; DATE(2025,7,31),Data!$B:$B,$B9)</f>
        <v>0</v>
      </c>
      <c r="N9" s="124">
        <f>COUNTIFS(Data!$F:$F, "&gt;=" &amp; DATE(2025,7,1), Data!$F:$F, "&lt;=" &amp; DATE(2025,7,31),Data!$B:$B,$B9)</f>
        <v>0</v>
      </c>
      <c r="O9" s="124">
        <f>countifs(Data!$B:$B,$B9,Data!$F:$F, "&lt;=" &amp; DATE(2025,7,31))-COUNTIFS(Data!$B:$B,$B9,Data!$AZ:$AZ, "&gt;=" &amp; DATE(2025,4,1), Data!$AZ:$AZ, "&lt;=" &amp; DATE(2025,7,31))</f>
        <v>4</v>
      </c>
      <c r="P9" s="124">
        <f>COUNTIFS(Data!$AZ:$AZ, "&gt;=" &amp; DATE(2025,8,1), Data!$AZ:$AZ, "&lt;=" &amp; DATE(2025,8,31),Data!$B:$B,$B9)</f>
        <v>0</v>
      </c>
      <c r="Q9" s="124">
        <f>COUNTIFS(Data!$F:$F, "&gt;=" &amp; DATE(2025,8,1), Data!$F:$F, "&lt;=" &amp; DATE(2025,8,31),Data!$B:$B,$B9)</f>
        <v>0</v>
      </c>
      <c r="R9" s="124">
        <f>countifs(Data!$B:$B,$B9,Data!$F:$F, "&lt;=" &amp; DATE(2025,8,31))-COUNTIFS(Data!$B:$B,$B9,Data!$AZ:$AZ, "&gt;=" &amp; DATE(2025,4,1), Data!$AZ:$AZ, "&lt;=" &amp; DATE(2025,8,31))</f>
        <v>4</v>
      </c>
      <c r="S9" s="124">
        <f>COUNTIFS(Data!$AZ:$AZ, "&gt;=" &amp; DATE(2025,9,1), Data!$AZ:$AZ, "&lt;=" &amp; DATE(2025,9,30),Data!$B:$B,$B9)</f>
        <v>0</v>
      </c>
      <c r="T9" s="124">
        <f>COUNTIFS(Data!$F:$F, "&gt;=" &amp; DATE(2025,9,1), Data!$F:$F, "&lt;=" &amp; DATE(2025,9,30),Data!$B:$B,$B9)</f>
        <v>0</v>
      </c>
    </row>
    <row r="10">
      <c r="B10" s="124" t="s">
        <v>61</v>
      </c>
      <c r="C10" s="124">
        <f>countifs(Data!B:B,B10,Data!F:F, "&lt;=" &amp; DATE(2025,4,1))</f>
        <v>3</v>
      </c>
      <c r="D10" s="124">
        <f>COUNTIFS(Data!AZ:AZ, "&gt;=" &amp; DATE(2025,4,1), Data!AZ:AZ, "&lt;=" &amp; DATE(2025,4,30),Data!B:B,B10)</f>
        <v>0</v>
      </c>
      <c r="E10" s="124">
        <f>COUNTIFS(Data!F:F, "&gt;=" &amp; DATE(2025,4,1), Data!F:F, "&lt;=" &amp; DATE(2025,4,30),Data!B:B,B10)</f>
        <v>0</v>
      </c>
      <c r="F10" s="124">
        <f>countifs(Data!$B:$B,$B10,Data!$F:$F, "&lt;=" &amp; DATE(2025,4,30))-COUNTIFS(Data!$B:$B,$B10,Data!AZ:AZ, "&gt;=" &amp; DATE(2025,4,1), Data!AZ:AZ, "&lt;=" &amp; DATE(2025,4,30))</f>
        <v>3</v>
      </c>
      <c r="G10" s="124">
        <f>COUNTIFS(Data!$AZ:$AZ, "&gt;=" &amp; DATE(2025,5,1), Data!$AZ:$AZ, "&lt;=" &amp; DATE(2025,5,31),Data!$B:$B,$B10)</f>
        <v>1</v>
      </c>
      <c r="H10" s="124">
        <f>COUNTIFS(Data!$F:$F, "&gt;=" &amp; DATE(2025,5,1), Data!$F:$F, "&lt;=" &amp; DATE(2025,5,31),Data!$B:$B,$B10)</f>
        <v>2</v>
      </c>
      <c r="I10" s="124">
        <f>countifs(Data!$B:$B,$B10,Data!$F:$F, "&lt;=" &amp; DATE(2025,5,31))-COUNTIFS(Data!$B:$B,$B10,Data!$AZ:$AZ, "&gt;=" &amp; DATE(2025,4,1), Data!$AZ:$AZ, "&lt;=" &amp; DATE(2025,5,31))</f>
        <v>4</v>
      </c>
      <c r="J10" s="124">
        <f>COUNTIFS(Data!$AZ:$AZ, "&gt;=" &amp; DATE(2025,6,1), Data!$AZ:$AZ, "&lt;=" &amp; DATE(2025,6,30),Data!$B:$B,$B10)</f>
        <v>0</v>
      </c>
      <c r="K10" s="124">
        <f>COUNTIFS(Data!$F:$F, "&gt;=" &amp; DATE(2025,6,1), Data!$F:$F, "&lt;=" &amp; DATE(2025,6,30),Data!$B:$B,$B10)</f>
        <v>0</v>
      </c>
      <c r="L10" s="124">
        <f>countifs(Data!$B:$B,$B10,Data!$F:$F, "&lt;=" &amp; DATE(2025,6,30))-COUNTIFS(Data!$B:$B,$B10,Data!$AZ:$AZ, "&gt;=" &amp; DATE(2025,4,1), Data!$AZ:$AZ, "&lt;=" &amp; DATE(2025,6,30))</f>
        <v>4</v>
      </c>
      <c r="M10" s="124">
        <f>COUNTIFS(Data!$AZ:$AZ, "&gt;=" &amp; DATE(2025,7,1), Data!$AZ:$AZ, "&lt;=" &amp; DATE(2025,7,31),Data!$B:$B,$B10)</f>
        <v>1</v>
      </c>
      <c r="N10" s="124">
        <f>COUNTIFS(Data!$F:$F, "&gt;=" &amp; DATE(2025,7,1), Data!$F:$F, "&lt;=" &amp; DATE(2025,7,31),Data!$B:$B,$B10)</f>
        <v>1</v>
      </c>
      <c r="O10" s="124">
        <f>countifs(Data!$B:$B,$B10,Data!$F:$F, "&lt;=" &amp; DATE(2025,7,31))-COUNTIFS(Data!$B:$B,$B10,Data!$AZ:$AZ, "&gt;=" &amp; DATE(2025,4,1), Data!$AZ:$AZ, "&lt;=" &amp; DATE(2025,7,31))</f>
        <v>4</v>
      </c>
      <c r="P10" s="124">
        <f>COUNTIFS(Data!$AZ:$AZ, "&gt;=" &amp; DATE(2025,8,1), Data!$AZ:$AZ, "&lt;=" &amp; DATE(2025,8,31),Data!$B:$B,$B10)</f>
        <v>2</v>
      </c>
      <c r="Q10" s="124">
        <f>COUNTIFS(Data!$F:$F, "&gt;=" &amp; DATE(2025,8,1), Data!$F:$F, "&lt;=" &amp; DATE(2025,8,31),Data!$B:$B,$B10)</f>
        <v>0</v>
      </c>
      <c r="R10" s="124">
        <f>countifs(Data!$B:$B,$B10,Data!$F:$F, "&lt;=" &amp; DATE(2025,8,31))-COUNTIFS(Data!$B:$B,$B10,Data!$AZ:$AZ, "&gt;=" &amp; DATE(2025,4,1), Data!$AZ:$AZ, "&lt;=" &amp; DATE(2025,8,31))</f>
        <v>2</v>
      </c>
      <c r="S10" s="124">
        <f>COUNTIFS(Data!$AZ:$AZ, "&gt;=" &amp; DATE(2025,9,1), Data!$AZ:$AZ, "&lt;=" &amp; DATE(2025,9,30),Data!$B:$B,$B10)</f>
        <v>1</v>
      </c>
      <c r="T10" s="124">
        <f>COUNTIFS(Data!$F:$F, "&gt;=" &amp; DATE(2025,9,1), Data!$F:$F, "&lt;=" &amp; DATE(2025,9,30),Data!$B:$B,$B10)</f>
        <v>1</v>
      </c>
    </row>
    <row r="11">
      <c r="B11" s="124" t="s">
        <v>422</v>
      </c>
      <c r="C11" s="124">
        <f>countifs(Data!B:B,B11,Data!F:F, "&lt;=" &amp; DATE(2025,4,1))</f>
        <v>3</v>
      </c>
      <c r="D11" s="124">
        <f>COUNTIFS(Data!AZ:AZ, "&gt;=" &amp; DATE(2025,4,1), Data!AZ:AZ, "&lt;=" &amp; DATE(2025,4,30),Data!B:B,B11)</f>
        <v>0</v>
      </c>
      <c r="E11" s="124">
        <f>COUNTIFS(Data!F:F, "&gt;=" &amp; DATE(2025,4,1), Data!F:F, "&lt;=" &amp; DATE(2025,4,30),Data!B:B,B11)</f>
        <v>1</v>
      </c>
      <c r="F11" s="124">
        <f>countifs(Data!$B:$B,$B11,Data!$F:$F, "&lt;=" &amp; DATE(2025,4,30))-COUNTIFS(Data!$B:$B,$B11,Data!AZ:AZ, "&gt;=" &amp; DATE(2025,4,1), Data!AZ:AZ, "&lt;=" &amp; DATE(2025,4,30))</f>
        <v>4</v>
      </c>
      <c r="G11" s="124">
        <f>COUNTIFS(Data!$AZ:$AZ, "&gt;=" &amp; DATE(2025,5,1), Data!$AZ:$AZ, "&lt;=" &amp; DATE(2025,5,31),Data!$B:$B,$B11)</f>
        <v>0</v>
      </c>
      <c r="H11" s="124">
        <f>COUNTIFS(Data!$F:$F, "&gt;=" &amp; DATE(2025,5,1), Data!$F:$F, "&lt;=" &amp; DATE(2025,5,31),Data!$B:$B,$B11)</f>
        <v>0</v>
      </c>
      <c r="I11" s="124">
        <f>countifs(Data!$B:$B,$B11,Data!$F:$F, "&lt;=" &amp; DATE(2025,5,31))-COUNTIFS(Data!$B:$B,$B11,Data!$AZ:$AZ, "&gt;=" &amp; DATE(2025,4,1), Data!$AZ:$AZ, "&lt;=" &amp; DATE(2025,5,31))</f>
        <v>4</v>
      </c>
      <c r="J11" s="124">
        <f>COUNTIFS(Data!$AZ:$AZ, "&gt;=" &amp; DATE(2025,6,1), Data!$AZ:$AZ, "&lt;=" &amp; DATE(2025,6,30),Data!$B:$B,$B11)</f>
        <v>0</v>
      </c>
      <c r="K11" s="124">
        <f>COUNTIFS(Data!$F:$F, "&gt;=" &amp; DATE(2025,6,1), Data!$F:$F, "&lt;=" &amp; DATE(2025,6,30),Data!$B:$B,$B11)</f>
        <v>0</v>
      </c>
      <c r="L11" s="124">
        <f>countifs(Data!$B:$B,$B11,Data!$F:$F, "&lt;=" &amp; DATE(2025,6,30))-COUNTIFS(Data!$B:$B,$B11,Data!$AZ:$AZ, "&gt;=" &amp; DATE(2025,4,1), Data!$AZ:$AZ, "&lt;=" &amp; DATE(2025,6,30))</f>
        <v>4</v>
      </c>
      <c r="M11" s="124">
        <f>COUNTIFS(Data!$AZ:$AZ, "&gt;=" &amp; DATE(2025,7,1), Data!$AZ:$AZ, "&lt;=" &amp; DATE(2025,7,31),Data!$B:$B,$B11)</f>
        <v>0</v>
      </c>
      <c r="N11" s="124">
        <f>COUNTIFS(Data!$F:$F, "&gt;=" &amp; DATE(2025,7,1), Data!$F:$F, "&lt;=" &amp; DATE(2025,7,31),Data!$B:$B,$B11)</f>
        <v>0</v>
      </c>
      <c r="O11" s="124">
        <f>countifs(Data!$B:$B,$B11,Data!$F:$F, "&lt;=" &amp; DATE(2025,7,31))-COUNTIFS(Data!$B:$B,$B11,Data!$AZ:$AZ, "&gt;=" &amp; DATE(2025,4,1), Data!$AZ:$AZ, "&lt;=" &amp; DATE(2025,7,31))</f>
        <v>4</v>
      </c>
      <c r="P11" s="124">
        <f>COUNTIFS(Data!$AZ:$AZ, "&gt;=" &amp; DATE(2025,8,1), Data!$AZ:$AZ, "&lt;=" &amp; DATE(2025,8,31),Data!$B:$B,$B11)</f>
        <v>1</v>
      </c>
      <c r="Q11" s="124">
        <f>COUNTIFS(Data!$F:$F, "&gt;=" &amp; DATE(2025,8,1), Data!$F:$F, "&lt;=" &amp; DATE(2025,8,31),Data!$B:$B,$B11)</f>
        <v>0</v>
      </c>
      <c r="R11" s="124">
        <f>countifs(Data!$B:$B,$B11,Data!$F:$F, "&lt;=" &amp; DATE(2025,8,31))-COUNTIFS(Data!$B:$B,$B11,Data!$AZ:$AZ, "&gt;=" &amp; DATE(2025,4,1), Data!$AZ:$AZ, "&lt;=" &amp; DATE(2025,8,31))</f>
        <v>3</v>
      </c>
      <c r="S11" s="124">
        <f>COUNTIFS(Data!$AZ:$AZ, "&gt;=" &amp; DATE(2025,9,1), Data!$AZ:$AZ, "&lt;=" &amp; DATE(2025,9,30),Data!$B:$B,$B11)</f>
        <v>0</v>
      </c>
      <c r="T11" s="124">
        <f>COUNTIFS(Data!$F:$F, "&gt;=" &amp; DATE(2025,9,1), Data!$F:$F, "&lt;=" &amp; DATE(2025,9,30),Data!$B:$B,$B11)</f>
        <v>0</v>
      </c>
    </row>
    <row r="12">
      <c r="B12" s="124" t="s">
        <v>76</v>
      </c>
      <c r="C12" s="124">
        <f>countifs(Data!B:B,B12,Data!F:F, "&lt;=" &amp; DATE(2025,4,1))</f>
        <v>3</v>
      </c>
      <c r="D12" s="124">
        <f>COUNTIFS(Data!AZ:AZ, "&gt;=" &amp; DATE(2025,4,1), Data!AZ:AZ, "&lt;=" &amp; DATE(2025,4,30),Data!B:B,B12)</f>
        <v>0</v>
      </c>
      <c r="E12" s="124">
        <f>COUNTIFS(Data!F:F, "&gt;=" &amp; DATE(2025,4,1), Data!F:F, "&lt;=" &amp; DATE(2025,4,30),Data!B:B,B12)</f>
        <v>1</v>
      </c>
      <c r="F12" s="124">
        <f>countifs(Data!$B:$B,$B12,Data!$F:$F, "&lt;=" &amp; DATE(2025,4,30))-COUNTIFS(Data!$B:$B,$B12,Data!AZ:AZ, "&gt;=" &amp; DATE(2025,4,1), Data!AZ:AZ, "&lt;=" &amp; DATE(2025,4,30))</f>
        <v>4</v>
      </c>
      <c r="G12" s="124">
        <f>COUNTIFS(Data!$AZ:$AZ, "&gt;=" &amp; DATE(2025,5,1), Data!$AZ:$AZ, "&lt;=" &amp; DATE(2025,5,31),Data!$B:$B,$B12)</f>
        <v>0</v>
      </c>
      <c r="H12" s="124">
        <f>COUNTIFS(Data!$F:$F, "&gt;=" &amp; DATE(2025,5,1), Data!$F:$F, "&lt;=" &amp; DATE(2025,5,31),Data!$B:$B,$B12)</f>
        <v>0</v>
      </c>
      <c r="I12" s="124">
        <f>countifs(Data!$B:$B,$B12,Data!$F:$F, "&lt;=" &amp; DATE(2025,5,31))-COUNTIFS(Data!$B:$B,$B12,Data!$AZ:$AZ, "&gt;=" &amp; DATE(2025,4,1), Data!$AZ:$AZ, "&lt;=" &amp; DATE(2025,5,31))</f>
        <v>4</v>
      </c>
      <c r="J12" s="124">
        <f>COUNTIFS(Data!$AZ:$AZ, "&gt;=" &amp; DATE(2025,6,1), Data!$AZ:$AZ, "&lt;=" &amp; DATE(2025,6,30),Data!$B:$B,$B12)</f>
        <v>0</v>
      </c>
      <c r="K12" s="124">
        <f>COUNTIFS(Data!$F:$F, "&gt;=" &amp; DATE(2025,6,1), Data!$F:$F, "&lt;=" &amp; DATE(2025,6,30),Data!$B:$B,$B12)</f>
        <v>0</v>
      </c>
      <c r="L12" s="124">
        <f>countifs(Data!$B:$B,$B12,Data!$F:$F, "&lt;=" &amp; DATE(2025,6,30))-COUNTIFS(Data!$B:$B,$B12,Data!$AZ:$AZ, "&gt;=" &amp; DATE(2025,4,1), Data!$AZ:$AZ, "&lt;=" &amp; DATE(2025,6,30))</f>
        <v>4</v>
      </c>
      <c r="M12" s="124">
        <f>COUNTIFS(Data!$AZ:$AZ, "&gt;=" &amp; DATE(2025,7,1), Data!$AZ:$AZ, "&lt;=" &amp; DATE(2025,7,31),Data!$B:$B,$B12)</f>
        <v>0</v>
      </c>
      <c r="N12" s="124">
        <f>COUNTIFS(Data!$F:$F, "&gt;=" &amp; DATE(2025,7,1), Data!$F:$F, "&lt;=" &amp; DATE(2025,7,31),Data!$B:$B,$B12)</f>
        <v>0</v>
      </c>
      <c r="O12" s="124">
        <f>countifs(Data!$B:$B,$B12,Data!$F:$F, "&lt;=" &amp; DATE(2025,7,31))-COUNTIFS(Data!$B:$B,$B12,Data!$AZ:$AZ, "&gt;=" &amp; DATE(2025,4,1), Data!$AZ:$AZ, "&lt;=" &amp; DATE(2025,7,31))</f>
        <v>4</v>
      </c>
      <c r="P12" s="124">
        <f>COUNTIFS(Data!$AZ:$AZ, "&gt;=" &amp; DATE(2025,8,1), Data!$AZ:$AZ, "&lt;=" &amp; DATE(2025,8,31),Data!$B:$B,$B12)</f>
        <v>0</v>
      </c>
      <c r="Q12" s="124">
        <f>COUNTIFS(Data!$F:$F, "&gt;=" &amp; DATE(2025,8,1), Data!$F:$F, "&lt;=" &amp; DATE(2025,8,31),Data!$B:$B,$B12)</f>
        <v>0</v>
      </c>
      <c r="R12" s="124">
        <f>countifs(Data!$B:$B,$B12,Data!$F:$F, "&lt;=" &amp; DATE(2025,8,31))-COUNTIFS(Data!$B:$B,$B12,Data!$AZ:$AZ, "&gt;=" &amp; DATE(2025,4,1), Data!$AZ:$AZ, "&lt;=" &amp; DATE(2025,8,31))</f>
        <v>4</v>
      </c>
      <c r="S12" s="124">
        <f>COUNTIFS(Data!$AZ:$AZ, "&gt;=" &amp; DATE(2025,9,1), Data!$AZ:$AZ, "&lt;=" &amp; DATE(2025,9,30),Data!$B:$B,$B12)</f>
        <v>0</v>
      </c>
      <c r="T12" s="124">
        <f>COUNTIFS(Data!$F:$F, "&gt;=" &amp; DATE(2025,9,1), Data!$F:$F, "&lt;=" &amp; DATE(2025,9,30),Data!$B:$B,$B12)</f>
        <v>0</v>
      </c>
    </row>
    <row r="13">
      <c r="B13" s="124" t="s">
        <v>215</v>
      </c>
      <c r="C13" s="124">
        <f>countifs(Data!B:B,B13,Data!F:F, "&lt;=" &amp; DATE(2025,4,1))</f>
        <v>8</v>
      </c>
      <c r="D13" s="124">
        <f>COUNTIFS(Data!AZ:AZ, "&gt;=" &amp; DATE(2025,4,1), Data!AZ:AZ, "&lt;=" &amp; DATE(2025,4,30),Data!B:B,B13)</f>
        <v>0</v>
      </c>
      <c r="E13" s="124">
        <f>COUNTIFS(Data!F:F, "&gt;=" &amp; DATE(2025,4,1), Data!F:F, "&lt;=" &amp; DATE(2025,4,30),Data!B:B,B13)</f>
        <v>0</v>
      </c>
      <c r="F13" s="124">
        <f>countifs(Data!$B:$B,$B13,Data!$F:$F, "&lt;=" &amp; DATE(2025,4,30))-COUNTIFS(Data!$B:$B,$B13,Data!AZ:AZ, "&gt;=" &amp; DATE(2025,4,1), Data!AZ:AZ, "&lt;=" &amp; DATE(2025,4,30))</f>
        <v>8</v>
      </c>
      <c r="G13" s="124">
        <f>COUNTIFS(Data!$AZ:$AZ, "&gt;=" &amp; DATE(2025,5,1), Data!$AZ:$AZ, "&lt;=" &amp; DATE(2025,5,31),Data!$B:$B,$B13)</f>
        <v>0</v>
      </c>
      <c r="H13" s="124">
        <f>COUNTIFS(Data!$F:$F, "&gt;=" &amp; DATE(2025,5,1), Data!$F:$F, "&lt;=" &amp; DATE(2025,5,31),Data!$B:$B,$B13)</f>
        <v>0</v>
      </c>
      <c r="I13" s="124">
        <f>countifs(Data!$B:$B,$B13,Data!$F:$F, "&lt;=" &amp; DATE(2025,5,31))-COUNTIFS(Data!$B:$B,$B13,Data!$AZ:$AZ, "&gt;=" &amp; DATE(2025,4,1), Data!$AZ:$AZ, "&lt;=" &amp; DATE(2025,5,31))</f>
        <v>8</v>
      </c>
      <c r="J13" s="124">
        <f>COUNTIFS(Data!$AZ:$AZ, "&gt;=" &amp; DATE(2025,6,1), Data!$AZ:$AZ, "&lt;=" &amp; DATE(2025,6,30),Data!$B:$B,$B13)</f>
        <v>0</v>
      </c>
      <c r="K13" s="124">
        <f>COUNTIFS(Data!$F:$F, "&gt;=" &amp; DATE(2025,6,1), Data!$F:$F, "&lt;=" &amp; DATE(2025,6,30),Data!$B:$B,$B13)</f>
        <v>0</v>
      </c>
      <c r="L13" s="124">
        <f>countifs(Data!$B:$B,$B13,Data!$F:$F, "&lt;=" &amp; DATE(2025,6,30))-COUNTIFS(Data!$B:$B,$B13,Data!$AZ:$AZ, "&gt;=" &amp; DATE(2025,4,1), Data!$AZ:$AZ, "&lt;=" &amp; DATE(2025,6,30))</f>
        <v>8</v>
      </c>
      <c r="M13" s="124">
        <f>COUNTIFS(Data!$AZ:$AZ, "&gt;=" &amp; DATE(2025,7,1), Data!$AZ:$AZ, "&lt;=" &amp; DATE(2025,7,31),Data!$B:$B,$B13)</f>
        <v>0</v>
      </c>
      <c r="N13" s="124">
        <f>COUNTIFS(Data!$F:$F, "&gt;=" &amp; DATE(2025,7,1), Data!$F:$F, "&lt;=" &amp; DATE(2025,7,31),Data!$B:$B,$B13)</f>
        <v>0</v>
      </c>
      <c r="O13" s="124">
        <f>countifs(Data!$B:$B,$B13,Data!$F:$F, "&lt;=" &amp; DATE(2025,7,31))-COUNTIFS(Data!$B:$B,$B13,Data!$AZ:$AZ, "&gt;=" &amp; DATE(2025,4,1), Data!$AZ:$AZ, "&lt;=" &amp; DATE(2025,7,31))</f>
        <v>8</v>
      </c>
      <c r="P13" s="124">
        <f>COUNTIFS(Data!$AZ:$AZ, "&gt;=" &amp; DATE(2025,8,1), Data!$AZ:$AZ, "&lt;=" &amp; DATE(2025,8,31),Data!$B:$B,$B13)</f>
        <v>0</v>
      </c>
      <c r="Q13" s="124">
        <f>COUNTIFS(Data!$F:$F, "&gt;=" &amp; DATE(2025,8,1), Data!$F:$F, "&lt;=" &amp; DATE(2025,8,31),Data!$B:$B,$B13)</f>
        <v>0</v>
      </c>
      <c r="R13" s="124">
        <f>countifs(Data!$B:$B,$B13,Data!$F:$F, "&lt;=" &amp; DATE(2025,8,31))-COUNTIFS(Data!$B:$B,$B13,Data!$AZ:$AZ, "&gt;=" &amp; DATE(2025,4,1), Data!$AZ:$AZ, "&lt;=" &amp; DATE(2025,8,31))</f>
        <v>8</v>
      </c>
      <c r="S13" s="124">
        <f>COUNTIFS(Data!$AZ:$AZ, "&gt;=" &amp; DATE(2025,9,1), Data!$AZ:$AZ, "&lt;=" &amp; DATE(2025,9,30),Data!$B:$B,$B13)</f>
        <v>0</v>
      </c>
      <c r="T13" s="124">
        <f>COUNTIFS(Data!$F:$F, "&gt;=" &amp; DATE(2025,9,1), Data!$F:$F, "&lt;=" &amp; DATE(2025,9,30),Data!$B:$B,$B13)</f>
        <v>0</v>
      </c>
    </row>
    <row r="14">
      <c r="B14" s="124" t="s">
        <v>96</v>
      </c>
      <c r="C14" s="124">
        <f>countifs(Data!B:B,B14,Data!F:F, "&lt;=" &amp; DATE(2025,4,1))</f>
        <v>3</v>
      </c>
      <c r="D14" s="124">
        <f>COUNTIFS(Data!AZ:AZ, "&gt;=" &amp; DATE(2025,4,1), Data!AZ:AZ, "&lt;=" &amp; DATE(2025,4,30),Data!B:B,B14)</f>
        <v>0</v>
      </c>
      <c r="E14" s="124">
        <f>COUNTIFS(Data!F:F, "&gt;=" &amp; DATE(2025,4,1), Data!F:F, "&lt;=" &amp; DATE(2025,4,30),Data!B:B,B14)</f>
        <v>0</v>
      </c>
      <c r="F14" s="124">
        <f>countifs(Data!$B:$B,$B14,Data!$F:$F, "&lt;=" &amp; DATE(2025,4,30))-COUNTIFS(Data!$B:$B,$B14,Data!AZ:AZ, "&gt;=" &amp; DATE(2025,4,1), Data!AZ:AZ, "&lt;=" &amp; DATE(2025,4,30))</f>
        <v>3</v>
      </c>
      <c r="G14" s="124">
        <f>COUNTIFS(Data!$AZ:$AZ, "&gt;=" &amp; DATE(2025,5,1), Data!$AZ:$AZ, "&lt;=" &amp; DATE(2025,5,31),Data!$B:$B,$B14)</f>
        <v>0</v>
      </c>
      <c r="H14" s="124">
        <f>COUNTIFS(Data!$F:$F, "&gt;=" &amp; DATE(2025,5,1), Data!$F:$F, "&lt;=" &amp; DATE(2025,5,31),Data!$B:$B,$B14)</f>
        <v>0</v>
      </c>
      <c r="I14" s="124">
        <f>countifs(Data!$B:$B,$B14,Data!$F:$F, "&lt;=" &amp; DATE(2025,5,31))-COUNTIFS(Data!$B:$B,$B14,Data!$AZ:$AZ, "&gt;=" &amp; DATE(2025,4,1), Data!$AZ:$AZ, "&lt;=" &amp; DATE(2025,5,31))</f>
        <v>3</v>
      </c>
      <c r="J14" s="124">
        <f>COUNTIFS(Data!$AZ:$AZ, "&gt;=" &amp; DATE(2025,6,1), Data!$AZ:$AZ, "&lt;=" &amp; DATE(2025,6,30),Data!$B:$B,$B14)</f>
        <v>0</v>
      </c>
      <c r="K14" s="124">
        <f>COUNTIFS(Data!$F:$F, "&gt;=" &amp; DATE(2025,6,1), Data!$F:$F, "&lt;=" &amp; DATE(2025,6,30),Data!$B:$B,$B14)</f>
        <v>0</v>
      </c>
      <c r="L14" s="124">
        <f>countifs(Data!$B:$B,$B14,Data!$F:$F, "&lt;=" &amp; DATE(2025,6,30))-COUNTIFS(Data!$B:$B,$B14,Data!$AZ:$AZ, "&gt;=" &amp; DATE(2025,4,1), Data!$AZ:$AZ, "&lt;=" &amp; DATE(2025,6,30))</f>
        <v>3</v>
      </c>
      <c r="M14" s="124">
        <f>COUNTIFS(Data!$AZ:$AZ, "&gt;=" &amp; DATE(2025,7,1), Data!$AZ:$AZ, "&lt;=" &amp; DATE(2025,7,31),Data!$B:$B,$B14)</f>
        <v>2</v>
      </c>
      <c r="N14" s="124">
        <f>COUNTIFS(Data!$F:$F, "&gt;=" &amp; DATE(2025,7,1), Data!$F:$F, "&lt;=" &amp; DATE(2025,7,31),Data!$B:$B,$B14)</f>
        <v>0</v>
      </c>
      <c r="O14" s="124">
        <f>countifs(Data!$B:$B,$B14,Data!$F:$F, "&lt;=" &amp; DATE(2025,7,31))-COUNTIFS(Data!$B:$B,$B14,Data!$AZ:$AZ, "&gt;=" &amp; DATE(2025,4,1), Data!$AZ:$AZ, "&lt;=" &amp; DATE(2025,7,31))</f>
        <v>1</v>
      </c>
      <c r="P14" s="124">
        <f>COUNTIFS(Data!$AZ:$AZ, "&gt;=" &amp; DATE(2025,8,1), Data!$AZ:$AZ, "&lt;=" &amp; DATE(2025,8,31),Data!$B:$B,$B14)</f>
        <v>0</v>
      </c>
      <c r="Q14" s="124">
        <f>COUNTIFS(Data!$F:$F, "&gt;=" &amp; DATE(2025,8,1), Data!$F:$F, "&lt;=" &amp; DATE(2025,8,31),Data!$B:$B,$B14)</f>
        <v>0</v>
      </c>
      <c r="R14" s="124">
        <f>countifs(Data!$B:$B,$B14,Data!$F:$F, "&lt;=" &amp; DATE(2025,8,31))-COUNTIFS(Data!$B:$B,$B14,Data!$AZ:$AZ, "&gt;=" &amp; DATE(2025,4,1), Data!$AZ:$AZ, "&lt;=" &amp; DATE(2025,8,31))</f>
        <v>1</v>
      </c>
      <c r="S14" s="124">
        <f>COUNTIFS(Data!$AZ:$AZ, "&gt;=" &amp; DATE(2025,9,1), Data!$AZ:$AZ, "&lt;=" &amp; DATE(2025,9,30),Data!$B:$B,$B14)</f>
        <v>0</v>
      </c>
      <c r="T14" s="124">
        <f>COUNTIFS(Data!$F:$F, "&gt;=" &amp; DATE(2025,9,1), Data!$F:$F, "&lt;=" &amp; DATE(2025,9,30),Data!$B:$B,$B14)</f>
        <v>0</v>
      </c>
    </row>
    <row r="15">
      <c r="B15" s="124" t="s">
        <v>101</v>
      </c>
      <c r="C15" s="124">
        <f>countifs(Data!B:B,B15,Data!F:F, "&lt;=" &amp; DATE(2025,4,1))</f>
        <v>7</v>
      </c>
      <c r="D15" s="124">
        <f>COUNTIFS(Data!AZ:AZ, "&gt;=" &amp; DATE(2025,4,1), Data!AZ:AZ, "&lt;=" &amp; DATE(2025,4,30),Data!B:B,B15)</f>
        <v>1</v>
      </c>
      <c r="E15" s="124">
        <f>COUNTIFS(Data!F:F, "&gt;=" &amp; DATE(2025,4,1), Data!F:F, "&lt;=" &amp; DATE(2025,4,30),Data!B:B,B15)</f>
        <v>1</v>
      </c>
      <c r="F15" s="124">
        <f>countifs(Data!$B:$B,$B15,Data!$F:$F, "&lt;=" &amp; DATE(2025,4,30))-COUNTIFS(Data!$B:$B,$B15,Data!AZ:AZ, "&gt;=" &amp; DATE(2025,4,1), Data!AZ:AZ, "&lt;=" &amp; DATE(2025,4,30))</f>
        <v>7</v>
      </c>
      <c r="G15" s="124">
        <f>COUNTIFS(Data!$AZ:$AZ, "&gt;=" &amp; DATE(2025,5,1), Data!$AZ:$AZ, "&lt;=" &amp; DATE(2025,5,31),Data!$B:$B,$B15)</f>
        <v>0</v>
      </c>
      <c r="H15" s="124">
        <f>COUNTIFS(Data!$F:$F, "&gt;=" &amp; DATE(2025,5,1), Data!$F:$F, "&lt;=" &amp; DATE(2025,5,31),Data!$B:$B,$B15)</f>
        <v>1</v>
      </c>
      <c r="I15" s="124">
        <f>countifs(Data!$B:$B,$B15,Data!$F:$F, "&lt;=" &amp; DATE(2025,5,31))-COUNTIFS(Data!$B:$B,$B15,Data!$AZ:$AZ, "&gt;=" &amp; DATE(2025,4,1), Data!$AZ:$AZ, "&lt;=" &amp; DATE(2025,5,31))</f>
        <v>8</v>
      </c>
      <c r="J15" s="124">
        <f>COUNTIFS(Data!$AZ:$AZ, "&gt;=" &amp; DATE(2025,6,1), Data!$AZ:$AZ, "&lt;=" &amp; DATE(2025,6,30),Data!$B:$B,$B15)</f>
        <v>0</v>
      </c>
      <c r="K15" s="124">
        <f>COUNTIFS(Data!$F:$F, "&gt;=" &amp; DATE(2025,6,1), Data!$F:$F, "&lt;=" &amp; DATE(2025,6,30),Data!$B:$B,$B15)</f>
        <v>0</v>
      </c>
      <c r="L15" s="124">
        <f>countifs(Data!$B:$B,$B15,Data!$F:$F, "&lt;=" &amp; DATE(2025,6,30))-COUNTIFS(Data!$B:$B,$B15,Data!$AZ:$AZ, "&gt;=" &amp; DATE(2025,4,1), Data!$AZ:$AZ, "&lt;=" &amp; DATE(2025,6,30))</f>
        <v>8</v>
      </c>
      <c r="M15" s="124">
        <f>COUNTIFS(Data!$AZ:$AZ, "&gt;=" &amp; DATE(2025,7,1), Data!$AZ:$AZ, "&lt;=" &amp; DATE(2025,7,31),Data!$B:$B,$B15)</f>
        <v>0</v>
      </c>
      <c r="N15" s="124">
        <f>COUNTIFS(Data!$F:$F, "&gt;=" &amp; DATE(2025,7,1), Data!$F:$F, "&lt;=" &amp; DATE(2025,7,31),Data!$B:$B,$B15)</f>
        <v>3</v>
      </c>
      <c r="O15" s="124">
        <f>countifs(Data!$B:$B,$B15,Data!$F:$F, "&lt;=" &amp; DATE(2025,7,31))-COUNTIFS(Data!$B:$B,$B15,Data!$AZ:$AZ, "&gt;=" &amp; DATE(2025,4,1), Data!$AZ:$AZ, "&lt;=" &amp; DATE(2025,7,31))</f>
        <v>11</v>
      </c>
      <c r="P15" s="124">
        <f>COUNTIFS(Data!$AZ:$AZ, "&gt;=" &amp; DATE(2025,8,1), Data!$AZ:$AZ, "&lt;=" &amp; DATE(2025,8,31),Data!$B:$B,$B15)</f>
        <v>2</v>
      </c>
      <c r="Q15" s="124">
        <f>COUNTIFS(Data!$F:$F, "&gt;=" &amp; DATE(2025,8,1), Data!$F:$F, "&lt;=" &amp; DATE(2025,8,31),Data!$B:$B,$B15)</f>
        <v>1</v>
      </c>
      <c r="R15" s="124">
        <f>countifs(Data!$B:$B,$B15,Data!$F:$F, "&lt;=" &amp; DATE(2025,8,31))-COUNTIFS(Data!$B:$B,$B15,Data!$AZ:$AZ, "&gt;=" &amp; DATE(2025,4,1), Data!$AZ:$AZ, "&lt;=" &amp; DATE(2025,8,31))</f>
        <v>10</v>
      </c>
      <c r="S15" s="124">
        <f>COUNTIFS(Data!$AZ:$AZ, "&gt;=" &amp; DATE(2025,9,1), Data!$AZ:$AZ, "&lt;=" &amp; DATE(2025,9,30),Data!$B:$B,$B15)</f>
        <v>1</v>
      </c>
      <c r="T15" s="124">
        <f>COUNTIFS(Data!$F:$F, "&gt;=" &amp; DATE(2025,9,1), Data!$F:$F, "&lt;=" &amp; DATE(2025,9,30),Data!$B:$B,$B15)</f>
        <v>0</v>
      </c>
    </row>
    <row r="16">
      <c r="B16" s="124" t="s">
        <v>135</v>
      </c>
      <c r="C16" s="124">
        <f>countifs(Data!B:B,B16,Data!F:F, "&lt;=" &amp; DATE(2025,4,1))</f>
        <v>7</v>
      </c>
      <c r="D16" s="124">
        <f>COUNTIFS(Data!AZ:AZ, "&gt;=" &amp; DATE(2025,4,1), Data!AZ:AZ, "&lt;=" &amp; DATE(2025,4,30),Data!B:B,B16)</f>
        <v>0</v>
      </c>
      <c r="E16" s="124">
        <f>COUNTIFS(Data!F:F, "&gt;=" &amp; DATE(2025,4,1), Data!F:F, "&lt;=" &amp; DATE(2025,4,30),Data!B:B,B16)</f>
        <v>0</v>
      </c>
      <c r="F16" s="124">
        <f>countifs(Data!$B:$B,$B16,Data!$F:$F, "&lt;=" &amp; DATE(2025,4,30))-COUNTIFS(Data!$B:$B,$B16,Data!AZ:AZ, "&gt;=" &amp; DATE(2025,4,1), Data!AZ:AZ, "&lt;=" &amp; DATE(2025,4,30))</f>
        <v>7</v>
      </c>
      <c r="G16" s="124">
        <f>COUNTIFS(Data!$AZ:$AZ, "&gt;=" &amp; DATE(2025,5,1), Data!$AZ:$AZ, "&lt;=" &amp; DATE(2025,5,31),Data!$B:$B,$B16)</f>
        <v>0</v>
      </c>
      <c r="H16" s="124">
        <f>COUNTIFS(Data!$F:$F, "&gt;=" &amp; DATE(2025,5,1), Data!$F:$F, "&lt;=" &amp; DATE(2025,5,31),Data!$B:$B,$B16)</f>
        <v>0</v>
      </c>
      <c r="I16" s="124">
        <f>countifs(Data!$B:$B,$B16,Data!$F:$F, "&lt;=" &amp; DATE(2025,5,31))-COUNTIFS(Data!$B:$B,$B16,Data!$AZ:$AZ, "&gt;=" &amp; DATE(2025,4,1), Data!$AZ:$AZ, "&lt;=" &amp; DATE(2025,5,31))</f>
        <v>7</v>
      </c>
      <c r="J16" s="124">
        <f>COUNTIFS(Data!$AZ:$AZ, "&gt;=" &amp; DATE(2025,6,1), Data!$AZ:$AZ, "&lt;=" &amp; DATE(2025,6,30),Data!$B:$B,$B16)</f>
        <v>0</v>
      </c>
      <c r="K16" s="124">
        <f>COUNTIFS(Data!$F:$F, "&gt;=" &amp; DATE(2025,6,1), Data!$F:$F, "&lt;=" &amp; DATE(2025,6,30),Data!$B:$B,$B16)</f>
        <v>0</v>
      </c>
      <c r="L16" s="124">
        <f>countifs(Data!$B:$B,$B16,Data!$F:$F, "&lt;=" &amp; DATE(2025,6,30))-COUNTIFS(Data!$B:$B,$B16,Data!$AZ:$AZ, "&gt;=" &amp; DATE(2025,4,1), Data!$AZ:$AZ, "&lt;=" &amp; DATE(2025,6,30))</f>
        <v>7</v>
      </c>
      <c r="M16" s="124">
        <f>COUNTIFS(Data!$AZ:$AZ, "&gt;=" &amp; DATE(2025,7,1), Data!$AZ:$AZ, "&lt;=" &amp; DATE(2025,7,31),Data!$B:$B,$B16)</f>
        <v>0</v>
      </c>
      <c r="N16" s="124">
        <f>COUNTIFS(Data!$F:$F, "&gt;=" &amp; DATE(2025,7,1), Data!$F:$F, "&lt;=" &amp; DATE(2025,7,31),Data!$B:$B,$B16)</f>
        <v>0</v>
      </c>
      <c r="O16" s="124">
        <f>countifs(Data!$B:$B,$B16,Data!$F:$F, "&lt;=" &amp; DATE(2025,7,31))-COUNTIFS(Data!$B:$B,$B16,Data!$AZ:$AZ, "&gt;=" &amp; DATE(2025,4,1), Data!$AZ:$AZ, "&lt;=" &amp; DATE(2025,7,31))</f>
        <v>7</v>
      </c>
      <c r="P16" s="124">
        <f>COUNTIFS(Data!$AZ:$AZ, "&gt;=" &amp; DATE(2025,8,1), Data!$AZ:$AZ, "&lt;=" &amp; DATE(2025,8,31),Data!$B:$B,$B16)</f>
        <v>0</v>
      </c>
      <c r="Q16" s="124">
        <f>COUNTIFS(Data!$F:$F, "&gt;=" &amp; DATE(2025,8,1), Data!$F:$F, "&lt;=" &amp; DATE(2025,8,31),Data!$B:$B,$B16)</f>
        <v>0</v>
      </c>
      <c r="R16" s="124">
        <f>countifs(Data!$B:$B,$B16,Data!$F:$F, "&lt;=" &amp; DATE(2025,8,31))-COUNTIFS(Data!$B:$B,$B16,Data!$AZ:$AZ, "&gt;=" &amp; DATE(2025,4,1), Data!$AZ:$AZ, "&lt;=" &amp; DATE(2025,8,31))</f>
        <v>7</v>
      </c>
      <c r="S16" s="124">
        <f>COUNTIFS(Data!$AZ:$AZ, "&gt;=" &amp; DATE(2025,9,1), Data!$AZ:$AZ, "&lt;=" &amp; DATE(2025,9,30),Data!$B:$B,$B16)</f>
        <v>1</v>
      </c>
      <c r="T16" s="124">
        <f>COUNTIFS(Data!$F:$F, "&gt;=" &amp; DATE(2025,9,1), Data!$F:$F, "&lt;=" &amp; DATE(2025,9,30),Data!$B:$B,$B16)</f>
        <v>0</v>
      </c>
    </row>
    <row r="17">
      <c r="B17" s="124" t="s">
        <v>301</v>
      </c>
      <c r="C17" s="124">
        <f>countifs(Data!B:B,B17,Data!F:F, "&lt;=" &amp; DATE(2025,4,1))</f>
        <v>12</v>
      </c>
      <c r="D17" s="124">
        <f>COUNTIFS(Data!AZ:AZ, "&gt;=" &amp; DATE(2025,4,1), Data!AZ:AZ, "&lt;=" &amp; DATE(2025,4,30),Data!B:B,B17)</f>
        <v>1</v>
      </c>
      <c r="E17" s="124">
        <f>COUNTIFS(Data!F:F, "&gt;=" &amp; DATE(2025,4,1), Data!F:F, "&lt;=" &amp; DATE(2025,4,30),Data!B:B,B17)</f>
        <v>0</v>
      </c>
      <c r="F17" s="124">
        <f>countifs(Data!$B:$B,$B17,Data!$F:$F, "&lt;=" &amp; DATE(2025,4,30))-COUNTIFS(Data!$B:$B,$B17,Data!AZ:AZ, "&gt;=" &amp; DATE(2025,4,1), Data!AZ:AZ, "&lt;=" &amp; DATE(2025,4,30))</f>
        <v>11</v>
      </c>
      <c r="G17" s="124">
        <f>COUNTIFS(Data!$AZ:$AZ, "&gt;=" &amp; DATE(2025,5,1), Data!$AZ:$AZ, "&lt;=" &amp; DATE(2025,5,31),Data!$B:$B,$B17)</f>
        <v>1</v>
      </c>
      <c r="H17" s="124">
        <f>COUNTIFS(Data!$F:$F, "&gt;=" &amp; DATE(2025,5,1), Data!$F:$F, "&lt;=" &amp; DATE(2025,5,31),Data!$B:$B,$B17)</f>
        <v>1</v>
      </c>
      <c r="I17" s="124">
        <f>countifs(Data!$B:$B,$B17,Data!$F:$F, "&lt;=" &amp; DATE(2025,5,31))-COUNTIFS(Data!$B:$B,$B17,Data!$AZ:$AZ, "&gt;=" &amp; DATE(2025,4,1), Data!$AZ:$AZ, "&lt;=" &amp; DATE(2025,5,31))</f>
        <v>11</v>
      </c>
      <c r="J17" s="124">
        <f>COUNTIFS(Data!$AZ:$AZ, "&gt;=" &amp; DATE(2025,6,1), Data!$AZ:$AZ, "&lt;=" &amp; DATE(2025,6,30),Data!$B:$B,$B17)</f>
        <v>0</v>
      </c>
      <c r="K17" s="124">
        <f>COUNTIFS(Data!$F:$F, "&gt;=" &amp; DATE(2025,6,1), Data!$F:$F, "&lt;=" &amp; DATE(2025,6,30),Data!$B:$B,$B17)</f>
        <v>0</v>
      </c>
      <c r="L17" s="124">
        <f>countifs(Data!$B:$B,$B17,Data!$F:$F, "&lt;=" &amp; DATE(2025,6,30))-COUNTIFS(Data!$B:$B,$B17,Data!$AZ:$AZ, "&gt;=" &amp; DATE(2025,4,1), Data!$AZ:$AZ, "&lt;=" &amp; DATE(2025,6,30))</f>
        <v>11</v>
      </c>
      <c r="M17" s="124">
        <f>COUNTIFS(Data!$AZ:$AZ, "&gt;=" &amp; DATE(2025,7,1), Data!$AZ:$AZ, "&lt;=" &amp; DATE(2025,7,31),Data!$B:$B,$B17)</f>
        <v>0</v>
      </c>
      <c r="N17" s="124">
        <f>COUNTIFS(Data!$F:$F, "&gt;=" &amp; DATE(2025,7,1), Data!$F:$F, "&lt;=" &amp; DATE(2025,7,31),Data!$B:$B,$B17)</f>
        <v>1</v>
      </c>
      <c r="O17" s="124">
        <f>countifs(Data!$B:$B,$B17,Data!$F:$F, "&lt;=" &amp; DATE(2025,7,31))-COUNTIFS(Data!$B:$B,$B17,Data!$AZ:$AZ, "&gt;=" &amp; DATE(2025,4,1), Data!$AZ:$AZ, "&lt;=" &amp; DATE(2025,7,31))</f>
        <v>12</v>
      </c>
      <c r="P17" s="124">
        <f>COUNTIFS(Data!$AZ:$AZ, "&gt;=" &amp; DATE(2025,8,1), Data!$AZ:$AZ, "&lt;=" &amp; DATE(2025,8,31),Data!$B:$B,$B17)</f>
        <v>1</v>
      </c>
      <c r="Q17" s="124">
        <f>COUNTIFS(Data!$F:$F, "&gt;=" &amp; DATE(2025,8,1), Data!$F:$F, "&lt;=" &amp; DATE(2025,8,31),Data!$B:$B,$B17)</f>
        <v>1</v>
      </c>
      <c r="R17" s="124">
        <f>countifs(Data!$B:$B,$B17,Data!$F:$F, "&lt;=" &amp; DATE(2025,8,31))-COUNTIFS(Data!$B:$B,$B17,Data!$AZ:$AZ, "&gt;=" &amp; DATE(2025,4,1), Data!$AZ:$AZ, "&lt;=" &amp; DATE(2025,8,31))</f>
        <v>12</v>
      </c>
      <c r="S17" s="124">
        <f>COUNTIFS(Data!$AZ:$AZ, "&gt;=" &amp; DATE(2025,9,1), Data!$AZ:$AZ, "&lt;=" &amp; DATE(2025,9,30),Data!$B:$B,$B17)</f>
        <v>0</v>
      </c>
      <c r="T17" s="124">
        <f>COUNTIFS(Data!$F:$F, "&gt;=" &amp; DATE(2025,9,1), Data!$F:$F, "&lt;=" &amp; DATE(2025,9,30),Data!$B:$B,$B17)</f>
        <v>1</v>
      </c>
    </row>
    <row r="18">
      <c r="B18" s="124" t="s">
        <v>145</v>
      </c>
      <c r="C18" s="124">
        <f>countifs(Data!B:B,B18,Data!F:F, "&lt;=" &amp; DATE(2025,4,1))</f>
        <v>3</v>
      </c>
      <c r="D18" s="124">
        <f>COUNTIFS(Data!AZ:AZ, "&gt;=" &amp; DATE(2025,4,1), Data!AZ:AZ, "&lt;=" &amp; DATE(2025,4,30),Data!B:B,B18)</f>
        <v>0</v>
      </c>
      <c r="E18" s="124">
        <f>COUNTIFS(Data!F:F, "&gt;=" &amp; DATE(2025,4,1), Data!F:F, "&lt;=" &amp; DATE(2025,4,30),Data!B:B,B18)</f>
        <v>0</v>
      </c>
      <c r="F18" s="124">
        <f>countifs(Data!$B:$B,$B18,Data!$F:$F, "&lt;=" &amp; DATE(2025,4,30))-COUNTIFS(Data!$B:$B,$B18,Data!AZ:AZ, "&gt;=" &amp; DATE(2025,4,1), Data!AZ:AZ, "&lt;=" &amp; DATE(2025,4,30))</f>
        <v>3</v>
      </c>
      <c r="G18" s="124">
        <f>COUNTIFS(Data!$AZ:$AZ, "&gt;=" &amp; DATE(2025,5,1), Data!$AZ:$AZ, "&lt;=" &amp; DATE(2025,5,31),Data!$B:$B,$B18)</f>
        <v>0</v>
      </c>
      <c r="H18" s="124">
        <f>COUNTIFS(Data!$F:$F, "&gt;=" &amp; DATE(2025,5,1), Data!$F:$F, "&lt;=" &amp; DATE(2025,5,31),Data!$B:$B,$B18)</f>
        <v>0</v>
      </c>
      <c r="I18" s="124">
        <f>countifs(Data!$B:$B,$B18,Data!$F:$F, "&lt;=" &amp; DATE(2025,5,31))-COUNTIFS(Data!$B:$B,$B18,Data!$AZ:$AZ, "&gt;=" &amp; DATE(2025,4,1), Data!$AZ:$AZ, "&lt;=" &amp; DATE(2025,5,31))</f>
        <v>3</v>
      </c>
      <c r="J18" s="124">
        <f>COUNTIFS(Data!$AZ:$AZ, "&gt;=" &amp; DATE(2025,6,1), Data!$AZ:$AZ, "&lt;=" &amp; DATE(2025,6,30),Data!$B:$B,$B18)</f>
        <v>0</v>
      </c>
      <c r="K18" s="124">
        <f>COUNTIFS(Data!$F:$F, "&gt;=" &amp; DATE(2025,6,1), Data!$F:$F, "&lt;=" &amp; DATE(2025,6,30),Data!$B:$B,$B18)</f>
        <v>0</v>
      </c>
      <c r="L18" s="124">
        <f>countifs(Data!$B:$B,$B18,Data!$F:$F, "&lt;=" &amp; DATE(2025,6,30))-COUNTIFS(Data!$B:$B,$B18,Data!$AZ:$AZ, "&gt;=" &amp; DATE(2025,4,1), Data!$AZ:$AZ, "&lt;=" &amp; DATE(2025,6,30))</f>
        <v>3</v>
      </c>
      <c r="M18" s="124">
        <f>COUNTIFS(Data!$AZ:$AZ, "&gt;=" &amp; DATE(2025,7,1), Data!$AZ:$AZ, "&lt;=" &amp; DATE(2025,7,31),Data!$B:$B,$B18)</f>
        <v>0</v>
      </c>
      <c r="N18" s="124">
        <f>COUNTIFS(Data!$F:$F, "&gt;=" &amp; DATE(2025,7,1), Data!$F:$F, "&lt;=" &amp; DATE(2025,7,31),Data!$B:$B,$B18)</f>
        <v>0</v>
      </c>
      <c r="O18" s="124">
        <f>countifs(Data!$B:$B,$B18,Data!$F:$F, "&lt;=" &amp; DATE(2025,7,31))-COUNTIFS(Data!$B:$B,$B18,Data!$AZ:$AZ, "&gt;=" &amp; DATE(2025,4,1), Data!$AZ:$AZ, "&lt;=" &amp; DATE(2025,7,31))</f>
        <v>3</v>
      </c>
      <c r="P18" s="124">
        <f>COUNTIFS(Data!$AZ:$AZ, "&gt;=" &amp; DATE(2025,8,1), Data!$AZ:$AZ, "&lt;=" &amp; DATE(2025,8,31),Data!$B:$B,$B18)</f>
        <v>0</v>
      </c>
      <c r="Q18" s="124">
        <f>COUNTIFS(Data!$F:$F, "&gt;=" &amp; DATE(2025,8,1), Data!$F:$F, "&lt;=" &amp; DATE(2025,8,31),Data!$B:$B,$B18)</f>
        <v>0</v>
      </c>
      <c r="R18" s="124">
        <f>countifs(Data!$B:$B,$B18,Data!$F:$F, "&lt;=" &amp; DATE(2025,8,31))-COUNTIFS(Data!$B:$B,$B18,Data!$AZ:$AZ, "&gt;=" &amp; DATE(2025,4,1), Data!$AZ:$AZ, "&lt;=" &amp; DATE(2025,8,31))</f>
        <v>3</v>
      </c>
      <c r="S18" s="124">
        <f>COUNTIFS(Data!$AZ:$AZ, "&gt;=" &amp; DATE(2025,9,1), Data!$AZ:$AZ, "&lt;=" &amp; DATE(2025,9,30),Data!$B:$B,$B18)</f>
        <v>0</v>
      </c>
      <c r="T18" s="124">
        <f>COUNTIFS(Data!$F:$F, "&gt;=" &amp; DATE(2025,9,1), Data!$F:$F, "&lt;=" &amp; DATE(2025,9,30),Data!$B:$B,$B18)</f>
        <v>0</v>
      </c>
    </row>
    <row r="19">
      <c r="B19" s="124" t="s">
        <v>222</v>
      </c>
      <c r="C19" s="124">
        <f>countifs(Data!B:B,B19,Data!F:F, "&lt;=" &amp; DATE(2025,4,1))</f>
        <v>6</v>
      </c>
      <c r="D19" s="124">
        <f>COUNTIFS(Data!AZ:AZ, "&gt;=" &amp; DATE(2025,4,1), Data!AZ:AZ, "&lt;=" &amp; DATE(2025,4,30),Data!B:B,B19)</f>
        <v>0</v>
      </c>
      <c r="E19" s="124">
        <f>COUNTIFS(Data!F:F, "&gt;=" &amp; DATE(2025,4,1), Data!F:F, "&lt;=" &amp; DATE(2025,4,30),Data!B:B,B19)</f>
        <v>0</v>
      </c>
      <c r="F19" s="124">
        <f>countifs(Data!$B:$B,$B19,Data!$F:$F, "&lt;=" &amp; DATE(2025,4,30))-COUNTIFS(Data!$B:$B,$B19,Data!AZ:AZ, "&gt;=" &amp; DATE(2025,4,1), Data!AZ:AZ, "&lt;=" &amp; DATE(2025,4,30))</f>
        <v>6</v>
      </c>
      <c r="G19" s="124">
        <f>COUNTIFS(Data!$AZ:$AZ, "&gt;=" &amp; DATE(2025,5,1), Data!$AZ:$AZ, "&lt;=" &amp; DATE(2025,5,31),Data!$B:$B,$B19)</f>
        <v>0</v>
      </c>
      <c r="H19" s="124">
        <f>COUNTIFS(Data!$F:$F, "&gt;=" &amp; DATE(2025,5,1), Data!$F:$F, "&lt;=" &amp; DATE(2025,5,31),Data!$B:$B,$B19)</f>
        <v>0</v>
      </c>
      <c r="I19" s="124">
        <f>countifs(Data!$B:$B,$B19,Data!$F:$F, "&lt;=" &amp; DATE(2025,5,31))-COUNTIFS(Data!$B:$B,$B19,Data!$AZ:$AZ, "&gt;=" &amp; DATE(2025,4,1), Data!$AZ:$AZ, "&lt;=" &amp; DATE(2025,5,31))</f>
        <v>6</v>
      </c>
      <c r="J19" s="124">
        <f>COUNTIFS(Data!$AZ:$AZ, "&gt;=" &amp; DATE(2025,6,1), Data!$AZ:$AZ, "&lt;=" &amp; DATE(2025,6,30),Data!$B:$B,$B19)</f>
        <v>0</v>
      </c>
      <c r="K19" s="124">
        <f>COUNTIFS(Data!$F:$F, "&gt;=" &amp; DATE(2025,6,1), Data!$F:$F, "&lt;=" &amp; DATE(2025,6,30),Data!$B:$B,$B19)</f>
        <v>0</v>
      </c>
      <c r="L19" s="124">
        <f>countifs(Data!$B:$B,$B19,Data!$F:$F, "&lt;=" &amp; DATE(2025,6,30))-COUNTIFS(Data!$B:$B,$B19,Data!$AZ:$AZ, "&gt;=" &amp; DATE(2025,4,1), Data!$AZ:$AZ, "&lt;=" &amp; DATE(2025,6,30))</f>
        <v>6</v>
      </c>
      <c r="M19" s="124">
        <f>COUNTIFS(Data!$AZ:$AZ, "&gt;=" &amp; DATE(2025,7,1), Data!$AZ:$AZ, "&lt;=" &amp; DATE(2025,7,31),Data!$B:$B,$B19)</f>
        <v>0</v>
      </c>
      <c r="N19" s="124">
        <f>COUNTIFS(Data!$F:$F, "&gt;=" &amp; DATE(2025,7,1), Data!$F:$F, "&lt;=" &amp; DATE(2025,7,31),Data!$B:$B,$B19)</f>
        <v>0</v>
      </c>
      <c r="O19" s="124">
        <f>countifs(Data!$B:$B,$B19,Data!$F:$F, "&lt;=" &amp; DATE(2025,7,31))-COUNTIFS(Data!$B:$B,$B19,Data!$AZ:$AZ, "&gt;=" &amp; DATE(2025,4,1), Data!$AZ:$AZ, "&lt;=" &amp; DATE(2025,7,31))</f>
        <v>6</v>
      </c>
      <c r="P19" s="124">
        <f>COUNTIFS(Data!$AZ:$AZ, "&gt;=" &amp; DATE(2025,8,1), Data!$AZ:$AZ, "&lt;=" &amp; DATE(2025,8,31),Data!$B:$B,$B19)</f>
        <v>0</v>
      </c>
      <c r="Q19" s="124">
        <f>COUNTIFS(Data!$F:$F, "&gt;=" &amp; DATE(2025,8,1), Data!$F:$F, "&lt;=" &amp; DATE(2025,8,31),Data!$B:$B,$B19)</f>
        <v>0</v>
      </c>
      <c r="R19" s="124">
        <f>countifs(Data!$B:$B,$B19,Data!$F:$F, "&lt;=" &amp; DATE(2025,8,31))-COUNTIFS(Data!$B:$B,$B19,Data!$AZ:$AZ, "&gt;=" &amp; DATE(2025,4,1), Data!$AZ:$AZ, "&lt;=" &amp; DATE(2025,8,31))</f>
        <v>6</v>
      </c>
      <c r="S19" s="124">
        <f>COUNTIFS(Data!$AZ:$AZ, "&gt;=" &amp; DATE(2025,9,1), Data!$AZ:$AZ, "&lt;=" &amp; DATE(2025,9,30),Data!$B:$B,$B19)</f>
        <v>0</v>
      </c>
      <c r="T19" s="124">
        <f>COUNTIFS(Data!$F:$F, "&gt;=" &amp; DATE(2025,9,1), Data!$F:$F, "&lt;=" &amp; DATE(2025,9,30),Data!$B:$B,$B19)</f>
        <v>0</v>
      </c>
    </row>
    <row r="20">
      <c r="B20" s="124" t="s">
        <v>196</v>
      </c>
      <c r="C20" s="124">
        <f>countifs(Data!B:B,B20,Data!F:F, "&lt;=" &amp; DATE(2025,4,1))</f>
        <v>8</v>
      </c>
      <c r="D20" s="124">
        <f>COUNTIFS(Data!AZ:AZ, "&gt;=" &amp; DATE(2025,4,1), Data!AZ:AZ, "&lt;=" &amp; DATE(2025,4,30),Data!B:B,B20)</f>
        <v>0</v>
      </c>
      <c r="E20" s="124">
        <f>COUNTIFS(Data!F:F, "&gt;=" &amp; DATE(2025,4,1), Data!F:F, "&lt;=" &amp; DATE(2025,4,30),Data!B:B,B20)</f>
        <v>0</v>
      </c>
      <c r="F20" s="124">
        <f>countifs(Data!$B:$B,$B20,Data!$F:$F, "&lt;=" &amp; DATE(2025,4,30))-COUNTIFS(Data!$B:$B,$B20,Data!AZ:AZ, "&gt;=" &amp; DATE(2025,4,1), Data!AZ:AZ, "&lt;=" &amp; DATE(2025,4,30))</f>
        <v>8</v>
      </c>
      <c r="G20" s="124">
        <f>COUNTIFS(Data!$AZ:$AZ, "&gt;=" &amp; DATE(2025,5,1), Data!$AZ:$AZ, "&lt;=" &amp; DATE(2025,5,31),Data!$B:$B,$B20)</f>
        <v>0</v>
      </c>
      <c r="H20" s="124">
        <f>COUNTIFS(Data!$F:$F, "&gt;=" &amp; DATE(2025,5,1), Data!$F:$F, "&lt;=" &amp; DATE(2025,5,31),Data!$B:$B,$B20)</f>
        <v>0</v>
      </c>
      <c r="I20" s="124">
        <f>countifs(Data!$B:$B,$B20,Data!$F:$F, "&lt;=" &amp; DATE(2025,5,31))-COUNTIFS(Data!$B:$B,$B20,Data!$AZ:$AZ, "&gt;=" &amp; DATE(2025,4,1), Data!$AZ:$AZ, "&lt;=" &amp; DATE(2025,5,31))</f>
        <v>8</v>
      </c>
      <c r="J20" s="124">
        <f>COUNTIFS(Data!$AZ:$AZ, "&gt;=" &amp; DATE(2025,6,1), Data!$AZ:$AZ, "&lt;=" &amp; DATE(2025,6,30),Data!$B:$B,$B20)</f>
        <v>0</v>
      </c>
      <c r="K20" s="124">
        <f>COUNTIFS(Data!$F:$F, "&gt;=" &amp; DATE(2025,6,1), Data!$F:$F, "&lt;=" &amp; DATE(2025,6,30),Data!$B:$B,$B20)</f>
        <v>0</v>
      </c>
      <c r="L20" s="124">
        <f>countifs(Data!$B:$B,$B20,Data!$F:$F, "&lt;=" &amp; DATE(2025,6,30))-COUNTIFS(Data!$B:$B,$B20,Data!$AZ:$AZ, "&gt;=" &amp; DATE(2025,4,1), Data!$AZ:$AZ, "&lt;=" &amp; DATE(2025,6,30))</f>
        <v>8</v>
      </c>
      <c r="M20" s="124">
        <f>COUNTIFS(Data!$AZ:$AZ, "&gt;=" &amp; DATE(2025,7,1), Data!$AZ:$AZ, "&lt;=" &amp; DATE(2025,7,31),Data!$B:$B,$B20)</f>
        <v>0</v>
      </c>
      <c r="N20" s="124">
        <f>COUNTIFS(Data!$F:$F, "&gt;=" &amp; DATE(2025,7,1), Data!$F:$F, "&lt;=" &amp; DATE(2025,7,31),Data!$B:$B,$B20)</f>
        <v>0</v>
      </c>
      <c r="O20" s="124">
        <f>countifs(Data!$B:$B,$B20,Data!$F:$F, "&lt;=" &amp; DATE(2025,7,31))-COUNTIFS(Data!$B:$B,$B20,Data!$AZ:$AZ, "&gt;=" &amp; DATE(2025,4,1), Data!$AZ:$AZ, "&lt;=" &amp; DATE(2025,7,31))</f>
        <v>8</v>
      </c>
      <c r="P20" s="124">
        <f>COUNTIFS(Data!$AZ:$AZ, "&gt;=" &amp; DATE(2025,8,1), Data!$AZ:$AZ, "&lt;=" &amp; DATE(2025,8,31),Data!$B:$B,$B20)</f>
        <v>1</v>
      </c>
      <c r="Q20" s="124">
        <f>COUNTIFS(Data!$F:$F, "&gt;=" &amp; DATE(2025,8,1), Data!$F:$F, "&lt;=" &amp; DATE(2025,8,31),Data!$B:$B,$B20)</f>
        <v>0</v>
      </c>
      <c r="R20" s="124">
        <f>countifs(Data!$B:$B,$B20,Data!$F:$F, "&lt;=" &amp; DATE(2025,8,31))-COUNTIFS(Data!$B:$B,$B20,Data!$AZ:$AZ, "&gt;=" &amp; DATE(2025,4,1), Data!$AZ:$AZ, "&lt;=" &amp; DATE(2025,8,31))</f>
        <v>7</v>
      </c>
      <c r="S20" s="124">
        <f>COUNTIFS(Data!$AZ:$AZ, "&gt;=" &amp; DATE(2025,9,1), Data!$AZ:$AZ, "&lt;=" &amp; DATE(2025,9,30),Data!$B:$B,$B20)</f>
        <v>0</v>
      </c>
      <c r="T20" s="124">
        <f>COUNTIFS(Data!$F:$F, "&gt;=" &amp; DATE(2025,9,1), Data!$F:$F, "&lt;=" &amp; DATE(2025,9,30),Data!$B:$B,$B20)</f>
        <v>0</v>
      </c>
    </row>
    <row r="21">
      <c r="B21" s="124" t="s">
        <v>50</v>
      </c>
      <c r="C21" s="124">
        <f>countifs(Data!B:B,B21,Data!F:F, "&lt;=" &amp; DATE(2025,4,1))</f>
        <v>3</v>
      </c>
      <c r="D21" s="124">
        <f>COUNTIFS(Data!AZ:AZ, "&gt;=" &amp; DATE(2025,4,1), Data!AZ:AZ, "&lt;=" &amp; DATE(2025,4,30),Data!B:B,B21)</f>
        <v>0</v>
      </c>
      <c r="E21" s="124">
        <f>COUNTIFS(Data!F:F, "&gt;=" &amp; DATE(2025,4,1), Data!F:F, "&lt;=" &amp; DATE(2025,4,30),Data!B:B,B21)</f>
        <v>0</v>
      </c>
      <c r="F21" s="124">
        <f>countifs(Data!$B:$B,$B21,Data!$F:$F, "&lt;=" &amp; DATE(2025,4,30))-COUNTIFS(Data!$B:$B,$B21,Data!AZ:AZ, "&gt;=" &amp; DATE(2025,4,1), Data!AZ:AZ, "&lt;=" &amp; DATE(2025,4,30))</f>
        <v>3</v>
      </c>
      <c r="G21" s="124">
        <f>COUNTIFS(Data!$AZ:$AZ, "&gt;=" &amp; DATE(2025,5,1), Data!$AZ:$AZ, "&lt;=" &amp; DATE(2025,5,31),Data!$B:$B,$B21)</f>
        <v>0</v>
      </c>
      <c r="H21" s="124">
        <f>COUNTIFS(Data!$F:$F, "&gt;=" &amp; DATE(2025,5,1), Data!$F:$F, "&lt;=" &amp; DATE(2025,5,31),Data!$B:$B,$B21)</f>
        <v>1</v>
      </c>
      <c r="I21" s="124">
        <f>countifs(Data!$B:$B,$B21,Data!$F:$F, "&lt;=" &amp; DATE(2025,5,31))-COUNTIFS(Data!$B:$B,$B21,Data!$AZ:$AZ, "&gt;=" &amp; DATE(2025,4,1), Data!$AZ:$AZ, "&lt;=" &amp; DATE(2025,5,31))</f>
        <v>4</v>
      </c>
      <c r="J21" s="124">
        <f>COUNTIFS(Data!$AZ:$AZ, "&gt;=" &amp; DATE(2025,6,1), Data!$AZ:$AZ, "&lt;=" &amp; DATE(2025,6,30),Data!$B:$B,$B21)</f>
        <v>0</v>
      </c>
      <c r="K21" s="124">
        <f>COUNTIFS(Data!$F:$F, "&gt;=" &amp; DATE(2025,6,1), Data!$F:$F, "&lt;=" &amp; DATE(2025,6,30),Data!$B:$B,$B21)</f>
        <v>0</v>
      </c>
      <c r="L21" s="124">
        <f>countifs(Data!$B:$B,$B21,Data!$F:$F, "&lt;=" &amp; DATE(2025,6,30))-COUNTIFS(Data!$B:$B,$B21,Data!$AZ:$AZ, "&gt;=" &amp; DATE(2025,4,1), Data!$AZ:$AZ, "&lt;=" &amp; DATE(2025,6,30))</f>
        <v>4</v>
      </c>
      <c r="M21" s="124">
        <f>COUNTIFS(Data!$AZ:$AZ, "&gt;=" &amp; DATE(2025,7,1), Data!$AZ:$AZ, "&lt;=" &amp; DATE(2025,7,31),Data!$B:$B,$B21)</f>
        <v>0</v>
      </c>
      <c r="N21" s="124">
        <f>COUNTIFS(Data!$F:$F, "&gt;=" &amp; DATE(2025,7,1), Data!$F:$F, "&lt;=" &amp; DATE(2025,7,31),Data!$B:$B,$B21)</f>
        <v>0</v>
      </c>
      <c r="O21" s="124">
        <f>countifs(Data!$B:$B,$B21,Data!$F:$F, "&lt;=" &amp; DATE(2025,7,31))-COUNTIFS(Data!$B:$B,$B21,Data!$AZ:$AZ, "&gt;=" &amp; DATE(2025,4,1), Data!$AZ:$AZ, "&lt;=" &amp; DATE(2025,7,31))</f>
        <v>4</v>
      </c>
      <c r="P21" s="124">
        <f>COUNTIFS(Data!$AZ:$AZ, "&gt;=" &amp; DATE(2025,8,1), Data!$AZ:$AZ, "&lt;=" &amp; DATE(2025,8,31),Data!$B:$B,$B21)</f>
        <v>0</v>
      </c>
      <c r="Q21" s="124">
        <f>COUNTIFS(Data!$F:$F, "&gt;=" &amp; DATE(2025,8,1), Data!$F:$F, "&lt;=" &amp; DATE(2025,8,31),Data!$B:$B,$B21)</f>
        <v>0</v>
      </c>
      <c r="R21" s="124">
        <f>countifs(Data!$B:$B,$B21,Data!$F:$F, "&lt;=" &amp; DATE(2025,8,31))-COUNTIFS(Data!$B:$B,$B21,Data!$AZ:$AZ, "&gt;=" &amp; DATE(2025,4,1), Data!$AZ:$AZ, "&lt;=" &amp; DATE(2025,8,31))</f>
        <v>4</v>
      </c>
      <c r="S21" s="124">
        <f>COUNTIFS(Data!$AZ:$AZ, "&gt;=" &amp; DATE(2025,9,1), Data!$AZ:$AZ, "&lt;=" &amp; DATE(2025,9,30),Data!$B:$B,$B21)</f>
        <v>1</v>
      </c>
      <c r="T21" s="124">
        <f>COUNTIFS(Data!$F:$F, "&gt;=" &amp; DATE(2025,9,1), Data!$F:$F, "&lt;=" &amp; DATE(2025,9,30),Data!$B:$B,$B21)</f>
        <v>0</v>
      </c>
    </row>
    <row r="22">
      <c r="B22" s="124" t="s">
        <v>56</v>
      </c>
      <c r="C22" s="124">
        <f>countifs(Data!B:B,B22,Data!F:F, "&lt;=" &amp; DATE(2025,4,1))</f>
        <v>10</v>
      </c>
      <c r="D22" s="124">
        <f>COUNTIFS(Data!AZ:AZ, "&gt;=" &amp; DATE(2025,4,1), Data!AZ:AZ, "&lt;=" &amp; DATE(2025,4,30),Data!B:B,B22)</f>
        <v>2</v>
      </c>
      <c r="E22" s="124">
        <f>COUNTIFS(Data!F:F, "&gt;=" &amp; DATE(2025,4,1), Data!F:F, "&lt;=" &amp; DATE(2025,4,30),Data!B:B,B22)</f>
        <v>1</v>
      </c>
      <c r="F22" s="124">
        <f>countifs(Data!$B:$B,$B22,Data!$F:$F, "&lt;=" &amp; DATE(2025,4,30))-COUNTIFS(Data!$B:$B,$B22,Data!AZ:AZ, "&gt;=" &amp; DATE(2025,4,1), Data!AZ:AZ, "&lt;=" &amp; DATE(2025,4,30))</f>
        <v>9</v>
      </c>
      <c r="G22" s="124">
        <f>COUNTIFS(Data!$AZ:$AZ, "&gt;=" &amp; DATE(2025,5,1), Data!$AZ:$AZ, "&lt;=" &amp; DATE(2025,5,31),Data!$B:$B,$B22)</f>
        <v>0</v>
      </c>
      <c r="H22" s="124">
        <f>COUNTIFS(Data!$F:$F, "&gt;=" &amp; DATE(2025,5,1), Data!$F:$F, "&lt;=" &amp; DATE(2025,5,31),Data!$B:$B,$B22)</f>
        <v>0</v>
      </c>
      <c r="I22" s="124">
        <f>countifs(Data!$B:$B,$B22,Data!$F:$F, "&lt;=" &amp; DATE(2025,5,31))-COUNTIFS(Data!$B:$B,$B22,Data!$AZ:$AZ, "&gt;=" &amp; DATE(2025,4,1), Data!$AZ:$AZ, "&lt;=" &amp; DATE(2025,5,31))</f>
        <v>9</v>
      </c>
      <c r="J22" s="124">
        <f>COUNTIFS(Data!$AZ:$AZ, "&gt;=" &amp; DATE(2025,6,1), Data!$AZ:$AZ, "&lt;=" &amp; DATE(2025,6,30),Data!$B:$B,$B22)</f>
        <v>1</v>
      </c>
      <c r="K22" s="124">
        <f>COUNTIFS(Data!$F:$F, "&gt;=" &amp; DATE(2025,6,1), Data!$F:$F, "&lt;=" &amp; DATE(2025,6,30),Data!$B:$B,$B22)</f>
        <v>1</v>
      </c>
      <c r="L22" s="124">
        <f>countifs(Data!$B:$B,$B22,Data!$F:$F, "&lt;=" &amp; DATE(2025,6,30))-COUNTIFS(Data!$B:$B,$B22,Data!$AZ:$AZ, "&gt;=" &amp; DATE(2025,4,1), Data!$AZ:$AZ, "&lt;=" &amp; DATE(2025,6,30))</f>
        <v>9</v>
      </c>
      <c r="M22" s="124">
        <f>COUNTIFS(Data!$AZ:$AZ, "&gt;=" &amp; DATE(2025,7,1), Data!$AZ:$AZ, "&lt;=" &amp; DATE(2025,7,31),Data!$B:$B,$B22)</f>
        <v>2</v>
      </c>
      <c r="N22" s="124">
        <f>COUNTIFS(Data!$F:$F, "&gt;=" &amp; DATE(2025,7,1), Data!$F:$F, "&lt;=" &amp; DATE(2025,7,31),Data!$B:$B,$B22)</f>
        <v>2</v>
      </c>
      <c r="O22" s="124">
        <f>countifs(Data!$B:$B,$B22,Data!$F:$F, "&lt;=" &amp; DATE(2025,7,31))-COUNTIFS(Data!$B:$B,$B22,Data!$AZ:$AZ, "&gt;=" &amp; DATE(2025,4,1), Data!$AZ:$AZ, "&lt;=" &amp; DATE(2025,7,31))</f>
        <v>9</v>
      </c>
      <c r="P22" s="124">
        <f>COUNTIFS(Data!$AZ:$AZ, "&gt;=" &amp; DATE(2025,8,1), Data!$AZ:$AZ, "&lt;=" &amp; DATE(2025,8,31),Data!$B:$B,$B22)</f>
        <v>1</v>
      </c>
      <c r="Q22" s="124">
        <f>COUNTIFS(Data!$F:$F, "&gt;=" &amp; DATE(2025,8,1), Data!$F:$F, "&lt;=" &amp; DATE(2025,8,31),Data!$B:$B,$B22)</f>
        <v>0</v>
      </c>
      <c r="R22" s="124">
        <f>countifs(Data!$B:$B,$B22,Data!$F:$F, "&lt;=" &amp; DATE(2025,8,31))-COUNTIFS(Data!$B:$B,$B22,Data!$AZ:$AZ, "&gt;=" &amp; DATE(2025,4,1), Data!$AZ:$AZ, "&lt;=" &amp; DATE(2025,8,31))</f>
        <v>8</v>
      </c>
      <c r="S22" s="124">
        <f>COUNTIFS(Data!$AZ:$AZ, "&gt;=" &amp; DATE(2025,9,1), Data!$AZ:$AZ, "&lt;=" &amp; DATE(2025,9,30),Data!$B:$B,$B22)</f>
        <v>1</v>
      </c>
      <c r="T22" s="124">
        <f>COUNTIFS(Data!$F:$F, "&gt;=" &amp; DATE(2025,9,1), Data!$F:$F, "&lt;=" &amp; DATE(2025,9,30),Data!$B:$B,$B22)</f>
        <v>0</v>
      </c>
    </row>
    <row r="23">
      <c r="B23" s="124" t="s">
        <v>85</v>
      </c>
      <c r="C23" s="124">
        <f>countifs(Data!B:B,B23,Data!F:F, "&lt;=" &amp; DATE(2025,4,1))</f>
        <v>9</v>
      </c>
      <c r="D23" s="124">
        <f>COUNTIFS(Data!AZ:AZ, "&gt;=" &amp; DATE(2025,4,1), Data!AZ:AZ, "&lt;=" &amp; DATE(2025,4,30),Data!B:B,B23)</f>
        <v>2</v>
      </c>
      <c r="E23" s="124">
        <f>COUNTIFS(Data!F:F, "&gt;=" &amp; DATE(2025,4,1), Data!F:F, "&lt;=" &amp; DATE(2025,4,30),Data!B:B,B23)</f>
        <v>0</v>
      </c>
      <c r="F23" s="124">
        <f>countifs(Data!$B:$B,$B23,Data!$F:$F, "&lt;=" &amp; DATE(2025,4,30))-COUNTIFS(Data!$B:$B,$B23,Data!AZ:AZ, "&gt;=" &amp; DATE(2025,4,1), Data!AZ:AZ, "&lt;=" &amp; DATE(2025,4,30))</f>
        <v>7</v>
      </c>
      <c r="G23" s="124">
        <f>COUNTIFS(Data!$AZ:$AZ, "&gt;=" &amp; DATE(2025,5,1), Data!$AZ:$AZ, "&lt;=" &amp; DATE(2025,5,31),Data!$B:$B,$B23)</f>
        <v>1</v>
      </c>
      <c r="H23" s="124">
        <f>COUNTIFS(Data!$F:$F, "&gt;=" &amp; DATE(2025,5,1), Data!$F:$F, "&lt;=" &amp; DATE(2025,5,31),Data!$B:$B,$B23)</f>
        <v>0</v>
      </c>
      <c r="I23" s="124">
        <f>countifs(Data!$B:$B,$B23,Data!$F:$F, "&lt;=" &amp; DATE(2025,5,31))-COUNTIFS(Data!$B:$B,$B23,Data!$AZ:$AZ, "&gt;=" &amp; DATE(2025,4,1), Data!$AZ:$AZ, "&lt;=" &amp; DATE(2025,5,31))</f>
        <v>6</v>
      </c>
      <c r="J23" s="124">
        <f>COUNTIFS(Data!$AZ:$AZ, "&gt;=" &amp; DATE(2025,6,1), Data!$AZ:$AZ, "&lt;=" &amp; DATE(2025,6,30),Data!$B:$B,$B23)</f>
        <v>1</v>
      </c>
      <c r="K23" s="124">
        <f>COUNTIFS(Data!$F:$F, "&gt;=" &amp; DATE(2025,6,1), Data!$F:$F, "&lt;=" &amp; DATE(2025,6,30),Data!$B:$B,$B23)</f>
        <v>3</v>
      </c>
      <c r="L23" s="124">
        <f>countifs(Data!$B:$B,$B23,Data!$F:$F, "&lt;=" &amp; DATE(2025,6,30))-COUNTIFS(Data!$B:$B,$B23,Data!$AZ:$AZ, "&gt;=" &amp; DATE(2025,4,1), Data!$AZ:$AZ, "&lt;=" &amp; DATE(2025,6,30))</f>
        <v>8</v>
      </c>
      <c r="M23" s="124">
        <f>COUNTIFS(Data!$AZ:$AZ, "&gt;=" &amp; DATE(2025,7,1), Data!$AZ:$AZ, "&lt;=" &amp; DATE(2025,7,31),Data!$B:$B,$B23)</f>
        <v>0</v>
      </c>
      <c r="N23" s="124">
        <f>COUNTIFS(Data!$F:$F, "&gt;=" &amp; DATE(2025,7,1), Data!$F:$F, "&lt;=" &amp; DATE(2025,7,31),Data!$B:$B,$B23)</f>
        <v>1</v>
      </c>
      <c r="O23" s="124">
        <f>countifs(Data!$B:$B,$B23,Data!$F:$F, "&lt;=" &amp; DATE(2025,7,31))-COUNTIFS(Data!$B:$B,$B23,Data!$AZ:$AZ, "&gt;=" &amp; DATE(2025,4,1), Data!$AZ:$AZ, "&lt;=" &amp; DATE(2025,7,31))</f>
        <v>9</v>
      </c>
      <c r="P23" s="124">
        <f>COUNTIFS(Data!$AZ:$AZ, "&gt;=" &amp; DATE(2025,8,1), Data!$AZ:$AZ, "&lt;=" &amp; DATE(2025,8,31),Data!$B:$B,$B23)</f>
        <v>1</v>
      </c>
      <c r="Q23" s="124">
        <f>COUNTIFS(Data!$F:$F, "&gt;=" &amp; DATE(2025,8,1), Data!$F:$F, "&lt;=" &amp; DATE(2025,8,31),Data!$B:$B,$B23)</f>
        <v>0</v>
      </c>
      <c r="R23" s="124">
        <f>countifs(Data!$B:$B,$B23,Data!$F:$F, "&lt;=" &amp; DATE(2025,8,31))-COUNTIFS(Data!$B:$B,$B23,Data!$AZ:$AZ, "&gt;=" &amp; DATE(2025,4,1), Data!$AZ:$AZ, "&lt;=" &amp; DATE(2025,8,31))</f>
        <v>8</v>
      </c>
      <c r="S23" s="124">
        <f>COUNTIFS(Data!$AZ:$AZ, "&gt;=" &amp; DATE(2025,9,1), Data!$AZ:$AZ, "&lt;=" &amp; DATE(2025,9,30),Data!$B:$B,$B23)</f>
        <v>0</v>
      </c>
      <c r="T23" s="124">
        <f>COUNTIFS(Data!$F:$F, "&gt;=" &amp; DATE(2025,9,1), Data!$F:$F, "&lt;=" &amp; DATE(2025,9,30),Data!$B:$B,$B23)</f>
        <v>0</v>
      </c>
    </row>
    <row r="24">
      <c r="B24" s="124" t="s">
        <v>114</v>
      </c>
      <c r="C24" s="124">
        <f>countifs(Data!B:B,B24,Data!F:F, "&lt;=" &amp; DATE(2025,4,1))</f>
        <v>4</v>
      </c>
      <c r="D24" s="124">
        <f>COUNTIFS(Data!AZ:AZ, "&gt;=" &amp; DATE(2025,4,1), Data!AZ:AZ, "&lt;=" &amp; DATE(2025,4,30),Data!B:B,B24)</f>
        <v>0</v>
      </c>
      <c r="E24" s="124">
        <f>COUNTIFS(Data!F:F, "&gt;=" &amp; DATE(2025,4,1), Data!F:F, "&lt;=" &amp; DATE(2025,4,30),Data!B:B,B24)</f>
        <v>0</v>
      </c>
      <c r="F24" s="124">
        <f>countifs(Data!$B:$B,$B24,Data!$F:$F, "&lt;=" &amp; DATE(2025,4,30))-COUNTIFS(Data!$B:$B,$B24,Data!AZ:AZ, "&gt;=" &amp; DATE(2025,4,1), Data!AZ:AZ, "&lt;=" &amp; DATE(2025,4,30))</f>
        <v>4</v>
      </c>
      <c r="G24" s="124">
        <f>COUNTIFS(Data!$AZ:$AZ, "&gt;=" &amp; DATE(2025,5,1), Data!$AZ:$AZ, "&lt;=" &amp; DATE(2025,5,31),Data!$B:$B,$B24)</f>
        <v>0</v>
      </c>
      <c r="H24" s="124">
        <f>COUNTIFS(Data!$F:$F, "&gt;=" &amp; DATE(2025,5,1), Data!$F:$F, "&lt;=" &amp; DATE(2025,5,31),Data!$B:$B,$B24)</f>
        <v>0</v>
      </c>
      <c r="I24" s="124">
        <f>countifs(Data!$B:$B,$B24,Data!$F:$F, "&lt;=" &amp; DATE(2025,5,31))-COUNTIFS(Data!$B:$B,$B24,Data!$AZ:$AZ, "&gt;=" &amp; DATE(2025,4,1), Data!$AZ:$AZ, "&lt;=" &amp; DATE(2025,5,31))</f>
        <v>4</v>
      </c>
      <c r="J24" s="124">
        <f>COUNTIFS(Data!$AZ:$AZ, "&gt;=" &amp; DATE(2025,6,1), Data!$AZ:$AZ, "&lt;=" &amp; DATE(2025,6,30),Data!$B:$B,$B24)</f>
        <v>0</v>
      </c>
      <c r="K24" s="124">
        <f>COUNTIFS(Data!$F:$F, "&gt;=" &amp; DATE(2025,6,1), Data!$F:$F, "&lt;=" &amp; DATE(2025,6,30),Data!$B:$B,$B24)</f>
        <v>0</v>
      </c>
      <c r="L24" s="124">
        <f>countifs(Data!$B:$B,$B24,Data!$F:$F, "&lt;=" &amp; DATE(2025,6,30))-COUNTIFS(Data!$B:$B,$B24,Data!$AZ:$AZ, "&gt;=" &amp; DATE(2025,4,1), Data!$AZ:$AZ, "&lt;=" &amp; DATE(2025,6,30))</f>
        <v>4</v>
      </c>
      <c r="M24" s="124">
        <f>COUNTIFS(Data!$AZ:$AZ, "&gt;=" &amp; DATE(2025,7,1), Data!$AZ:$AZ, "&lt;=" &amp; DATE(2025,7,31),Data!$B:$B,$B24)</f>
        <v>0</v>
      </c>
      <c r="N24" s="124">
        <f>COUNTIFS(Data!$F:$F, "&gt;=" &amp; DATE(2025,7,1), Data!$F:$F, "&lt;=" &amp; DATE(2025,7,31),Data!$B:$B,$B24)</f>
        <v>0</v>
      </c>
      <c r="O24" s="124">
        <f>countifs(Data!$B:$B,$B24,Data!$F:$F, "&lt;=" &amp; DATE(2025,7,31))-COUNTIFS(Data!$B:$B,$B24,Data!$AZ:$AZ, "&gt;=" &amp; DATE(2025,4,1), Data!$AZ:$AZ, "&lt;=" &amp; DATE(2025,7,31))</f>
        <v>4</v>
      </c>
      <c r="P24" s="124">
        <f>COUNTIFS(Data!$AZ:$AZ, "&gt;=" &amp; DATE(2025,8,1), Data!$AZ:$AZ, "&lt;=" &amp; DATE(2025,8,31),Data!$B:$B,$B24)</f>
        <v>0</v>
      </c>
      <c r="Q24" s="124">
        <f>COUNTIFS(Data!$F:$F, "&gt;=" &amp; DATE(2025,8,1), Data!$F:$F, "&lt;=" &amp; DATE(2025,8,31),Data!$B:$B,$B24)</f>
        <v>0</v>
      </c>
      <c r="R24" s="124">
        <f>countifs(Data!$B:$B,$B24,Data!$F:$F, "&lt;=" &amp; DATE(2025,8,31))-COUNTIFS(Data!$B:$B,$B24,Data!$AZ:$AZ, "&gt;=" &amp; DATE(2025,4,1), Data!$AZ:$AZ, "&lt;=" &amp; DATE(2025,8,31))</f>
        <v>4</v>
      </c>
      <c r="S24" s="124">
        <f>COUNTIFS(Data!$AZ:$AZ, "&gt;=" &amp; DATE(2025,9,1), Data!$AZ:$AZ, "&lt;=" &amp; DATE(2025,9,30),Data!$B:$B,$B24)</f>
        <v>0</v>
      </c>
      <c r="T24" s="124">
        <f>COUNTIFS(Data!$F:$F, "&gt;=" &amp; DATE(2025,9,1), Data!$F:$F, "&lt;=" &amp; DATE(2025,9,30),Data!$B:$B,$B24)</f>
        <v>0</v>
      </c>
    </row>
    <row r="25">
      <c r="B25" s="124" t="s">
        <v>37</v>
      </c>
      <c r="C25" s="124">
        <f>countifs(Data!B:B,B25,Data!F:F, "&lt;=" &amp; DATE(2025,4,1))</f>
        <v>1</v>
      </c>
      <c r="D25" s="124">
        <f>COUNTIFS(Data!AZ:AZ, "&gt;=" &amp; DATE(2025,4,1), Data!AZ:AZ, "&lt;=" &amp; DATE(2025,4,30),Data!B:B,B25)</f>
        <v>0</v>
      </c>
      <c r="E25" s="124">
        <f>COUNTIFS(Data!F:F, "&gt;=" &amp; DATE(2025,4,1), Data!F:F, "&lt;=" &amp; DATE(2025,4,30),Data!B:B,B25)</f>
        <v>0</v>
      </c>
      <c r="F25" s="124">
        <f>countifs(Data!$B:$B,$B25,Data!$F:$F, "&lt;=" &amp; DATE(2025,4,30))-COUNTIFS(Data!$B:$B,$B25,Data!AZ:AZ, "&gt;=" &amp; DATE(2025,4,1), Data!AZ:AZ, "&lt;=" &amp; DATE(2025,4,30))</f>
        <v>1</v>
      </c>
      <c r="G25" s="124">
        <f>COUNTIFS(Data!$AZ:$AZ, "&gt;=" &amp; DATE(2025,5,1), Data!$AZ:$AZ, "&lt;=" &amp; DATE(2025,5,31),Data!$B:$B,$B25)</f>
        <v>0</v>
      </c>
      <c r="H25" s="124">
        <f>COUNTIFS(Data!$F:$F, "&gt;=" &amp; DATE(2025,5,1), Data!$F:$F, "&lt;=" &amp; DATE(2025,5,31),Data!$B:$B,$B25)</f>
        <v>0</v>
      </c>
      <c r="I25" s="124">
        <f>countifs(Data!$B:$B,$B25,Data!$F:$F, "&lt;=" &amp; DATE(2025,5,31))-COUNTIFS(Data!$B:$B,$B25,Data!$AZ:$AZ, "&gt;=" &amp; DATE(2025,4,1), Data!$AZ:$AZ, "&lt;=" &amp; DATE(2025,5,31))</f>
        <v>1</v>
      </c>
      <c r="J25" s="124">
        <f>COUNTIFS(Data!$AZ:$AZ, "&gt;=" &amp; DATE(2025,6,1), Data!$AZ:$AZ, "&lt;=" &amp; DATE(2025,6,30),Data!$B:$B,$B25)</f>
        <v>1</v>
      </c>
      <c r="K25" s="124">
        <f>COUNTIFS(Data!$F:$F, "&gt;=" &amp; DATE(2025,6,1), Data!$F:$F, "&lt;=" &amp; DATE(2025,6,30),Data!$B:$B,$B25)</f>
        <v>1</v>
      </c>
      <c r="L25" s="124">
        <f>countifs(Data!$B:$B,$B25,Data!$F:$F, "&lt;=" &amp; DATE(2025,6,30))-COUNTIFS(Data!$B:$B,$B25,Data!$AZ:$AZ, "&gt;=" &amp; DATE(2025,4,1), Data!$AZ:$AZ, "&lt;=" &amp; DATE(2025,6,30))</f>
        <v>1</v>
      </c>
      <c r="M25" s="124">
        <f>COUNTIFS(Data!$AZ:$AZ, "&gt;=" &amp; DATE(2025,7,1), Data!$AZ:$AZ, "&lt;=" &amp; DATE(2025,7,31),Data!$B:$B,$B25)</f>
        <v>0</v>
      </c>
      <c r="N25" s="124">
        <f>COUNTIFS(Data!$F:$F, "&gt;=" &amp; DATE(2025,7,1), Data!$F:$F, "&lt;=" &amp; DATE(2025,7,31),Data!$B:$B,$B25)</f>
        <v>0</v>
      </c>
      <c r="O25" s="124">
        <f>countifs(Data!$B:$B,$B25,Data!$F:$F, "&lt;=" &amp; DATE(2025,7,31))-COUNTIFS(Data!$B:$B,$B25,Data!$AZ:$AZ, "&gt;=" &amp; DATE(2025,4,1), Data!$AZ:$AZ, "&lt;=" &amp; DATE(2025,7,31))</f>
        <v>1</v>
      </c>
      <c r="P25" s="124">
        <f>COUNTIFS(Data!$AZ:$AZ, "&gt;=" &amp; DATE(2025,8,1), Data!$AZ:$AZ, "&lt;=" &amp; DATE(2025,8,31),Data!$B:$B,$B25)</f>
        <v>0</v>
      </c>
      <c r="Q25" s="124">
        <f>COUNTIFS(Data!$F:$F, "&gt;=" &amp; DATE(2025,8,1), Data!$F:$F, "&lt;=" &amp; DATE(2025,8,31),Data!$B:$B,$B25)</f>
        <v>1</v>
      </c>
      <c r="R25" s="124">
        <f>countifs(Data!$B:$B,$B25,Data!$F:$F, "&lt;=" &amp; DATE(2025,8,31))-COUNTIFS(Data!$B:$B,$B25,Data!$AZ:$AZ, "&gt;=" &amp; DATE(2025,4,1), Data!$AZ:$AZ, "&lt;=" &amp; DATE(2025,8,31))</f>
        <v>2</v>
      </c>
      <c r="S25" s="124">
        <f>COUNTIFS(Data!$AZ:$AZ, "&gt;=" &amp; DATE(2025,9,1), Data!$AZ:$AZ, "&lt;=" &amp; DATE(2025,9,30),Data!$B:$B,$B25)</f>
        <v>0</v>
      </c>
      <c r="T25" s="124">
        <f>COUNTIFS(Data!$F:$F, "&gt;=" &amp; DATE(2025,9,1), Data!$F:$F, "&lt;=" &amp; DATE(2025,9,30),Data!$B:$B,$B25)</f>
        <v>0</v>
      </c>
    </row>
    <row r="26">
      <c r="B26" s="124" t="s">
        <v>189</v>
      </c>
      <c r="C26" s="124">
        <f>countifs(Data!B:B,B26,Data!F:F, "&lt;=" &amp; DATE(2025,4,1))</f>
        <v>31</v>
      </c>
      <c r="D26" s="124">
        <f>COUNTIFS(Data!AZ:AZ, "&gt;=" &amp; DATE(2025,4,1), Data!AZ:AZ, "&lt;=" &amp; DATE(2025,4,30),Data!B:B,B26)</f>
        <v>0</v>
      </c>
      <c r="E26" s="124">
        <f>COUNTIFS(Data!F:F, "&gt;=" &amp; DATE(2025,4,1), Data!F:F, "&lt;=" &amp; DATE(2025,4,30),Data!B:B,B26)</f>
        <v>0</v>
      </c>
      <c r="F26" s="124">
        <f>countifs(Data!$B:$B,$B26,Data!$F:$F, "&lt;=" &amp; DATE(2025,4,30))-COUNTIFS(Data!$B:$B,$B26,Data!AZ:AZ, "&gt;=" &amp; DATE(2025,4,1), Data!AZ:AZ, "&lt;=" &amp; DATE(2025,4,30))</f>
        <v>31</v>
      </c>
      <c r="G26" s="124">
        <f>COUNTIFS(Data!$AZ:$AZ, "&gt;=" &amp; DATE(2025,5,1), Data!$AZ:$AZ, "&lt;=" &amp; DATE(2025,5,31),Data!$B:$B,$B26)</f>
        <v>1</v>
      </c>
      <c r="H26" s="124">
        <f>COUNTIFS(Data!$F:$F, "&gt;=" &amp; DATE(2025,5,1), Data!$F:$F, "&lt;=" &amp; DATE(2025,5,31),Data!$B:$B,$B26)</f>
        <v>2</v>
      </c>
      <c r="I26" s="124">
        <f>countifs(Data!$B:$B,$B26,Data!$F:$F, "&lt;=" &amp; DATE(2025,5,31))-COUNTIFS(Data!$B:$B,$B26,Data!$AZ:$AZ, "&gt;=" &amp; DATE(2025,4,1), Data!$AZ:$AZ, "&lt;=" &amp; DATE(2025,5,31))</f>
        <v>32</v>
      </c>
      <c r="J26" s="124">
        <f>COUNTIFS(Data!$AZ:$AZ, "&gt;=" &amp; DATE(2025,6,1), Data!$AZ:$AZ, "&lt;=" &amp; DATE(2025,6,30),Data!$B:$B,$B26)</f>
        <v>0</v>
      </c>
      <c r="K26" s="124">
        <f>COUNTIFS(Data!$F:$F, "&gt;=" &amp; DATE(2025,6,1), Data!$F:$F, "&lt;=" &amp; DATE(2025,6,30),Data!$B:$B,$B26)</f>
        <v>2</v>
      </c>
      <c r="L26" s="124">
        <f>countifs(Data!$B:$B,$B26,Data!$F:$F, "&lt;=" &amp; DATE(2025,6,30))-COUNTIFS(Data!$B:$B,$B26,Data!$AZ:$AZ, "&gt;=" &amp; DATE(2025,4,1), Data!$AZ:$AZ, "&lt;=" &amp; DATE(2025,6,30))</f>
        <v>34</v>
      </c>
      <c r="M26" s="124">
        <f>COUNTIFS(Data!$AZ:$AZ, "&gt;=" &amp; DATE(2025,7,1), Data!$AZ:$AZ, "&lt;=" &amp; DATE(2025,7,31),Data!$B:$B,$B26)</f>
        <v>3</v>
      </c>
      <c r="N26" s="124">
        <f>COUNTIFS(Data!$F:$F, "&gt;=" &amp; DATE(2025,7,1), Data!$F:$F, "&lt;=" &amp; DATE(2025,7,31),Data!$B:$B,$B26)</f>
        <v>1</v>
      </c>
      <c r="O26" s="124">
        <f>countifs(Data!$B:$B,$B26,Data!$F:$F, "&lt;=" &amp; DATE(2025,7,31))-COUNTIFS(Data!$B:$B,$B26,Data!$AZ:$AZ, "&gt;=" &amp; DATE(2025,4,1), Data!$AZ:$AZ, "&lt;=" &amp; DATE(2025,7,31))</f>
        <v>32</v>
      </c>
      <c r="P26" s="124">
        <f>COUNTIFS(Data!$AZ:$AZ, "&gt;=" &amp; DATE(2025,8,1), Data!$AZ:$AZ, "&lt;=" &amp; DATE(2025,8,31),Data!$B:$B,$B26)</f>
        <v>0</v>
      </c>
      <c r="Q26" s="124">
        <f>COUNTIFS(Data!$F:$F, "&gt;=" &amp; DATE(2025,8,1), Data!$F:$F, "&lt;=" &amp; DATE(2025,8,31),Data!$B:$B,$B26)</f>
        <v>2</v>
      </c>
      <c r="R26" s="124">
        <f>countifs(Data!$B:$B,$B26,Data!$F:$F, "&lt;=" &amp; DATE(2025,8,31))-COUNTIFS(Data!$B:$B,$B26,Data!$AZ:$AZ, "&gt;=" &amp; DATE(2025,4,1), Data!$AZ:$AZ, "&lt;=" &amp; DATE(2025,8,31))</f>
        <v>34</v>
      </c>
      <c r="S26" s="124">
        <f>COUNTIFS(Data!$AZ:$AZ, "&gt;=" &amp; DATE(2025,9,1), Data!$AZ:$AZ, "&lt;=" &amp; DATE(2025,9,30),Data!$B:$B,$B26)</f>
        <v>0</v>
      </c>
      <c r="T26" s="124">
        <f>COUNTIFS(Data!$F:$F, "&gt;=" &amp; DATE(2025,9,1), Data!$F:$F, "&lt;=" &amp; DATE(2025,9,30),Data!$B:$B,$B26)</f>
        <v>0</v>
      </c>
    </row>
    <row r="27">
      <c r="B27" s="124" t="s">
        <v>30</v>
      </c>
    </row>
  </sheetData>
  <mergeCells count="12">
    <mergeCell ref="X1:Z1"/>
    <mergeCell ref="AA1:AC1"/>
    <mergeCell ref="AD1:AF1"/>
    <mergeCell ref="AG1:AI1"/>
    <mergeCell ref="AJ1:AL1"/>
    <mergeCell ref="C1:E1"/>
    <mergeCell ref="F1:H1"/>
    <mergeCell ref="I1:K1"/>
    <mergeCell ref="L1:N1"/>
    <mergeCell ref="O1:Q1"/>
    <mergeCell ref="R1:T1"/>
    <mergeCell ref="U1:W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75"/>
    <col customWidth="1" min="2" max="2" width="14.63"/>
    <col customWidth="1" min="3" max="3" width="26.75"/>
    <col customWidth="1" min="4" max="4" width="17.13"/>
    <col customWidth="1" min="5" max="5" width="10.38"/>
    <col customWidth="1" min="7" max="8" width="10.88"/>
    <col customWidth="1" min="9" max="9" width="9.5"/>
    <col customWidth="1" min="10" max="10" width="8.88"/>
    <col customWidth="1" min="11" max="11" width="9.38"/>
    <col customWidth="1" min="12" max="12" width="9.13"/>
    <col customWidth="1" min="13" max="13" width="8.63"/>
    <col customWidth="1" min="14" max="14" width="6.75"/>
    <col customWidth="1" min="15" max="16" width="8.25"/>
    <col customWidth="1" min="17" max="17" width="8.13"/>
    <col customWidth="1" min="18" max="18" width="9.75"/>
    <col customWidth="1" min="19" max="19" width="11.88"/>
    <col customWidth="1" min="20" max="20" width="6.63"/>
    <col customWidth="1" min="21" max="21" width="8.38"/>
    <col customWidth="1" min="22" max="22" width="5.63"/>
    <col customWidth="1" min="23" max="23" width="7.75"/>
    <col customWidth="1" min="24" max="24" width="6.63"/>
    <col customWidth="1" min="25" max="25" width="11.5"/>
    <col customWidth="1" min="26" max="26" width="6.75"/>
    <col customWidth="1" min="27" max="27" width="7.63"/>
    <col customWidth="1" min="28" max="28" width="8.0"/>
    <col customWidth="1" min="29" max="29" width="8.38"/>
    <col customWidth="1" min="30" max="30" width="7.63"/>
    <col customWidth="1" min="31" max="31" width="8.38"/>
    <col customWidth="1" min="32" max="32" width="7.38"/>
    <col customWidth="1" min="33" max="33" width="7.63"/>
    <col customWidth="1" min="34" max="34" width="8.13"/>
    <col customWidth="1" hidden="1" min="35" max="35" width="8.0"/>
    <col customWidth="1" hidden="1" min="36" max="36" width="8.88"/>
    <col customWidth="1" hidden="1" min="37" max="37" width="12.13"/>
    <col customWidth="1" hidden="1" min="38" max="38" width="8.13"/>
    <col customWidth="1" min="39" max="40" width="9.0"/>
    <col hidden="1" min="42" max="48" width="12.63"/>
  </cols>
  <sheetData>
    <row r="1">
      <c r="A1" s="491"/>
      <c r="B1" s="492" t="s">
        <v>1233</v>
      </c>
      <c r="C1" s="493">
        <f>counta(C3:C196)</f>
        <v>194</v>
      </c>
      <c r="D1" s="157"/>
      <c r="E1" s="173" t="s">
        <v>963</v>
      </c>
      <c r="F1" s="157"/>
      <c r="G1" s="232"/>
      <c r="H1" s="242">
        <f t="shared" ref="H1:K1" si="1">sum(H3:H196)</f>
        <v>925297260.8</v>
      </c>
      <c r="I1" s="242">
        <f t="shared" si="1"/>
        <v>521992810.1</v>
      </c>
      <c r="J1" s="242">
        <f t="shared" si="1"/>
        <v>8730099.67</v>
      </c>
      <c r="K1" s="242">
        <f t="shared" si="1"/>
        <v>516279503.4</v>
      </c>
      <c r="L1" s="243">
        <f>iferror(Sum(I1:J1)/H1,"")</f>
        <v>0.5735701728</v>
      </c>
      <c r="M1" s="242">
        <f t="shared" ref="M1:AB1" si="2">sum(M3:M196)</f>
        <v>12878</v>
      </c>
      <c r="N1" s="242">
        <f t="shared" si="2"/>
        <v>10076</v>
      </c>
      <c r="O1" s="242">
        <f t="shared" si="2"/>
        <v>887</v>
      </c>
      <c r="P1" s="242">
        <f t="shared" si="2"/>
        <v>13765</v>
      </c>
      <c r="Q1" s="242">
        <f t="shared" si="2"/>
        <v>3689</v>
      </c>
      <c r="R1" s="242">
        <f t="shared" si="2"/>
        <v>5420</v>
      </c>
      <c r="S1" s="242">
        <f t="shared" si="2"/>
        <v>42</v>
      </c>
      <c r="T1" s="242">
        <f t="shared" si="2"/>
        <v>745</v>
      </c>
      <c r="U1" s="242">
        <f t="shared" si="2"/>
        <v>7269</v>
      </c>
      <c r="V1" s="242">
        <f t="shared" si="2"/>
        <v>11554</v>
      </c>
      <c r="W1" s="242">
        <f t="shared" si="2"/>
        <v>4123</v>
      </c>
      <c r="X1" s="242">
        <f t="shared" si="2"/>
        <v>456</v>
      </c>
      <c r="Y1" s="242">
        <f t="shared" si="2"/>
        <v>2076</v>
      </c>
      <c r="Z1" s="242">
        <f t="shared" si="2"/>
        <v>40187</v>
      </c>
      <c r="AA1" s="242">
        <f t="shared" si="2"/>
        <v>58396</v>
      </c>
      <c r="AB1" s="242">
        <f t="shared" si="2"/>
        <v>12183</v>
      </c>
      <c r="AC1" s="242">
        <f>Sum(I1:J1)/AB1</f>
        <v>43562.5798</v>
      </c>
      <c r="AD1" s="242">
        <f>Z1/AB1</f>
        <v>3.298612821</v>
      </c>
      <c r="AE1" s="242">
        <f t="shared" ref="AE1:AF1" si="3">sum(AE3:AE196)</f>
        <v>20106380.35</v>
      </c>
      <c r="AF1" s="242">
        <f t="shared" si="3"/>
        <v>4516058</v>
      </c>
      <c r="AG1" s="243">
        <f>sum(AE1:AF1)/SUM(I1:J1)</f>
        <v>0.04639415013</v>
      </c>
      <c r="AH1" s="242">
        <f>I1/R1</f>
        <v>96308.63654</v>
      </c>
      <c r="AI1" s="223"/>
      <c r="AJ1" s="223"/>
      <c r="AK1" s="223"/>
      <c r="AL1" s="223"/>
      <c r="AM1" s="157"/>
      <c r="AN1" s="157"/>
      <c r="AT1" s="124" t="s">
        <v>97</v>
      </c>
      <c r="AU1" s="124" t="s">
        <v>964</v>
      </c>
    </row>
    <row r="2" ht="48.75" customHeight="1">
      <c r="A2" s="172" t="s">
        <v>3</v>
      </c>
      <c r="B2" s="172" t="s">
        <v>892</v>
      </c>
      <c r="C2" s="173" t="s">
        <v>458</v>
      </c>
      <c r="D2" s="173" t="s">
        <v>893</v>
      </c>
      <c r="E2" s="173" t="s">
        <v>894</v>
      </c>
      <c r="F2" s="173" t="s">
        <v>895</v>
      </c>
      <c r="G2" s="175" t="s">
        <v>896</v>
      </c>
      <c r="H2" s="175" t="s">
        <v>898</v>
      </c>
      <c r="I2" s="175" t="s">
        <v>899</v>
      </c>
      <c r="J2" s="174" t="s">
        <v>900</v>
      </c>
      <c r="K2" s="174" t="s">
        <v>901</v>
      </c>
      <c r="L2" s="176" t="s">
        <v>902</v>
      </c>
      <c r="M2" s="174" t="s">
        <v>905</v>
      </c>
      <c r="N2" s="174" t="s">
        <v>906</v>
      </c>
      <c r="O2" s="174" t="s">
        <v>907</v>
      </c>
      <c r="P2" s="174" t="s">
        <v>909</v>
      </c>
      <c r="Q2" s="174" t="s">
        <v>910</v>
      </c>
      <c r="R2" s="174" t="s">
        <v>915</v>
      </c>
      <c r="S2" s="174" t="s">
        <v>916</v>
      </c>
      <c r="T2" s="174" t="s">
        <v>987</v>
      </c>
      <c r="U2" s="174" t="s">
        <v>917</v>
      </c>
      <c r="V2" s="174" t="s">
        <v>918</v>
      </c>
      <c r="W2" s="174" t="s">
        <v>921</v>
      </c>
      <c r="X2" s="174" t="s">
        <v>923</v>
      </c>
      <c r="Y2" s="174" t="s">
        <v>925</v>
      </c>
      <c r="Z2" s="174" t="s">
        <v>926</v>
      </c>
      <c r="AA2" s="174" t="s">
        <v>927</v>
      </c>
      <c r="AB2" s="174" t="s">
        <v>928</v>
      </c>
      <c r="AC2" s="174" t="s">
        <v>986</v>
      </c>
      <c r="AD2" s="174" t="s">
        <v>930</v>
      </c>
      <c r="AE2" s="174" t="s">
        <v>931</v>
      </c>
      <c r="AF2" s="174" t="s">
        <v>932</v>
      </c>
      <c r="AG2" s="176" t="s">
        <v>933</v>
      </c>
      <c r="AH2" s="174" t="s">
        <v>934</v>
      </c>
      <c r="AI2" s="177" t="s">
        <v>935</v>
      </c>
      <c r="AJ2" s="177" t="s">
        <v>936</v>
      </c>
      <c r="AK2" s="177" t="s">
        <v>937</v>
      </c>
      <c r="AL2" s="177" t="s">
        <v>938</v>
      </c>
      <c r="AM2" s="174" t="s">
        <v>942</v>
      </c>
      <c r="AN2" s="174" t="s">
        <v>943</v>
      </c>
      <c r="AO2" s="180" t="s">
        <v>944</v>
      </c>
      <c r="AQ2" s="265"/>
      <c r="AR2" s="265"/>
      <c r="AS2" s="265"/>
      <c r="AT2" s="265" t="s">
        <v>298</v>
      </c>
      <c r="AU2" s="265" t="s">
        <v>965</v>
      </c>
      <c r="AV2" s="265"/>
    </row>
    <row r="3">
      <c r="A3" s="183" t="s">
        <v>185</v>
      </c>
      <c r="B3" s="183" t="s">
        <v>189</v>
      </c>
      <c r="C3" s="184" t="s">
        <v>186</v>
      </c>
      <c r="D3" s="75" t="s">
        <v>241</v>
      </c>
      <c r="E3" s="185">
        <v>39859.0</v>
      </c>
      <c r="F3" s="184" t="s">
        <v>1016</v>
      </c>
      <c r="G3" s="186">
        <v>2.869078284E7</v>
      </c>
      <c r="H3" s="186">
        <v>0.0</v>
      </c>
      <c r="I3" s="186">
        <v>1199546.82</v>
      </c>
      <c r="J3" s="186">
        <v>0.0</v>
      </c>
      <c r="K3" s="186">
        <v>0.0</v>
      </c>
      <c r="L3" s="187"/>
      <c r="M3" s="188">
        <v>136.0</v>
      </c>
      <c r="N3" s="189">
        <v>107.0</v>
      </c>
      <c r="O3" s="188">
        <v>3.0</v>
      </c>
      <c r="P3" s="188">
        <v>139.0</v>
      </c>
      <c r="Q3" s="188">
        <v>32.0</v>
      </c>
      <c r="R3" s="188">
        <v>12.0</v>
      </c>
      <c r="S3" s="188">
        <v>0.0</v>
      </c>
      <c r="T3" s="188">
        <v>0.0</v>
      </c>
      <c r="U3" s="188">
        <v>4.0</v>
      </c>
      <c r="V3" s="188">
        <v>4.0</v>
      </c>
      <c r="W3" s="188">
        <v>55.0</v>
      </c>
      <c r="X3" s="188">
        <v>9.0</v>
      </c>
      <c r="Y3" s="188">
        <v>0.0</v>
      </c>
      <c r="Z3" s="188">
        <v>238.0</v>
      </c>
      <c r="AA3" s="188">
        <v>306.0</v>
      </c>
      <c r="AB3" s="188">
        <v>75.0</v>
      </c>
      <c r="AC3" s="186">
        <v>15993.957600000002</v>
      </c>
      <c r="AD3" s="189">
        <v>3.1733333333333333</v>
      </c>
      <c r="AE3" s="186">
        <v>195501.0</v>
      </c>
      <c r="AF3" s="188">
        <v>43105.0</v>
      </c>
      <c r="AG3" s="187">
        <v>0.19891345299885835</v>
      </c>
      <c r="AH3" s="186">
        <v>99962.235</v>
      </c>
      <c r="AI3" s="75">
        <v>21.0</v>
      </c>
      <c r="AJ3" s="262">
        <v>901.0</v>
      </c>
      <c r="AK3" s="75">
        <v>19014.45</v>
      </c>
      <c r="AL3" s="219">
        <v>178.0</v>
      </c>
      <c r="AM3" s="191"/>
      <c r="AN3" s="75"/>
      <c r="AO3" s="192">
        <v>-1199546.82</v>
      </c>
      <c r="AQ3" s="219"/>
      <c r="AR3" s="256"/>
      <c r="AT3" s="124" t="s">
        <v>73</v>
      </c>
      <c r="AU3" s="124" t="s">
        <v>970</v>
      </c>
    </row>
    <row r="4">
      <c r="A4" s="183" t="s">
        <v>185</v>
      </c>
      <c r="B4" s="183" t="s">
        <v>189</v>
      </c>
      <c r="C4" s="184" t="s">
        <v>190</v>
      </c>
      <c r="D4" s="75" t="s">
        <v>241</v>
      </c>
      <c r="E4" s="256">
        <v>39859.0</v>
      </c>
      <c r="F4" s="75" t="s">
        <v>1016</v>
      </c>
      <c r="G4" s="186">
        <v>3.847593054E7</v>
      </c>
      <c r="H4" s="186">
        <v>1.515E7</v>
      </c>
      <c r="I4" s="186">
        <v>9856419.63</v>
      </c>
      <c r="J4" s="186">
        <v>0.0</v>
      </c>
      <c r="K4" s="186">
        <v>1.1659258E7</v>
      </c>
      <c r="L4" s="187">
        <v>0.6505887544554456</v>
      </c>
      <c r="M4" s="188">
        <v>104.0</v>
      </c>
      <c r="N4" s="188">
        <v>80.0</v>
      </c>
      <c r="O4" s="188">
        <v>2.0</v>
      </c>
      <c r="P4" s="188">
        <v>106.0</v>
      </c>
      <c r="Q4" s="188">
        <v>26.0</v>
      </c>
      <c r="R4" s="188">
        <v>47.0</v>
      </c>
      <c r="S4" s="188">
        <v>0.0</v>
      </c>
      <c r="T4" s="188">
        <v>2.0</v>
      </c>
      <c r="U4" s="188">
        <v>2.0</v>
      </c>
      <c r="V4" s="188">
        <v>2.0</v>
      </c>
      <c r="W4" s="188">
        <v>46.0</v>
      </c>
      <c r="X4" s="188">
        <v>0.0</v>
      </c>
      <c r="Y4" s="188">
        <v>0.0</v>
      </c>
      <c r="Z4" s="188">
        <v>231.0</v>
      </c>
      <c r="AA4" s="188">
        <v>279.0</v>
      </c>
      <c r="AB4" s="188">
        <v>73.0</v>
      </c>
      <c r="AC4" s="186">
        <v>135019.4469863014</v>
      </c>
      <c r="AD4" s="189">
        <v>3.164383561643836</v>
      </c>
      <c r="AE4" s="186">
        <v>168000.0</v>
      </c>
      <c r="AF4" s="188">
        <v>16620.0</v>
      </c>
      <c r="AG4" s="187">
        <v>0.01873093952271186</v>
      </c>
      <c r="AH4" s="186">
        <v>209711.05595744684</v>
      </c>
      <c r="AI4" s="219">
        <v>114.0</v>
      </c>
      <c r="AJ4" s="219">
        <v>763.0</v>
      </c>
      <c r="AK4" s="219">
        <v>5969.86</v>
      </c>
      <c r="AL4" s="219">
        <v>75.0</v>
      </c>
      <c r="AM4" s="191"/>
      <c r="AN4" s="195"/>
      <c r="AO4" s="192">
        <v>1802838.3699999992</v>
      </c>
      <c r="AT4" s="124" t="s">
        <v>53</v>
      </c>
      <c r="AU4" s="124" t="s">
        <v>971</v>
      </c>
    </row>
    <row r="5">
      <c r="A5" s="183" t="s">
        <v>126</v>
      </c>
      <c r="B5" s="183" t="s">
        <v>130</v>
      </c>
      <c r="C5" s="184" t="s">
        <v>128</v>
      </c>
      <c r="D5" s="75" t="s">
        <v>129</v>
      </c>
      <c r="E5" s="256">
        <v>41004.0</v>
      </c>
      <c r="F5" s="75" t="s">
        <v>1022</v>
      </c>
      <c r="G5" s="186">
        <v>4.538167E7</v>
      </c>
      <c r="H5" s="186">
        <v>1.2500001E7</v>
      </c>
      <c r="I5" s="186">
        <v>8779321.73</v>
      </c>
      <c r="J5" s="186">
        <v>609406.62</v>
      </c>
      <c r="K5" s="186">
        <v>9284916.0</v>
      </c>
      <c r="L5" s="187">
        <v>0.7510982079121433</v>
      </c>
      <c r="M5" s="188">
        <v>50.0</v>
      </c>
      <c r="N5" s="188">
        <v>46.0</v>
      </c>
      <c r="O5" s="188">
        <v>5.0</v>
      </c>
      <c r="P5" s="188">
        <v>55.0</v>
      </c>
      <c r="Q5" s="188">
        <v>9.0</v>
      </c>
      <c r="R5" s="188">
        <v>37.0</v>
      </c>
      <c r="S5" s="188">
        <v>4.0</v>
      </c>
      <c r="T5" s="188">
        <v>5.0</v>
      </c>
      <c r="U5" s="188">
        <v>7.0</v>
      </c>
      <c r="V5" s="188">
        <v>9.0</v>
      </c>
      <c r="W5" s="188">
        <v>111.0</v>
      </c>
      <c r="X5" s="188">
        <v>19.0</v>
      </c>
      <c r="Y5" s="188">
        <v>0.0</v>
      </c>
      <c r="Z5" s="188">
        <v>134.0</v>
      </c>
      <c r="AA5" s="188">
        <v>273.0</v>
      </c>
      <c r="AB5" s="188">
        <v>64.0</v>
      </c>
      <c r="AC5" s="186">
        <v>146698.88046875</v>
      </c>
      <c r="AD5" s="189">
        <v>2.09375</v>
      </c>
      <c r="AE5" s="186">
        <v>250005.0</v>
      </c>
      <c r="AF5" s="188">
        <v>37010.0</v>
      </c>
      <c r="AG5" s="187">
        <v>0.030570167684103887</v>
      </c>
      <c r="AH5" s="186">
        <v>237278.9656756757</v>
      </c>
      <c r="AI5" s="219">
        <v>121.0</v>
      </c>
      <c r="AJ5" s="219">
        <v>467.0</v>
      </c>
      <c r="AK5" s="219">
        <v>3589.7</v>
      </c>
      <c r="AL5" s="219">
        <v>78.0</v>
      </c>
      <c r="AM5" s="191"/>
      <c r="AN5" s="75"/>
      <c r="AO5" s="192">
        <v>-103812.34999999963</v>
      </c>
      <c r="AT5" s="124" t="s">
        <v>866</v>
      </c>
      <c r="AU5" s="124" t="s">
        <v>972</v>
      </c>
    </row>
    <row r="6">
      <c r="A6" s="183" t="s">
        <v>185</v>
      </c>
      <c r="B6" s="183" t="s">
        <v>189</v>
      </c>
      <c r="C6" s="184" t="s">
        <v>191</v>
      </c>
      <c r="D6" s="75" t="s">
        <v>243</v>
      </c>
      <c r="E6" s="256">
        <v>41159.0</v>
      </c>
      <c r="F6" s="75" t="s">
        <v>1016</v>
      </c>
      <c r="G6" s="186">
        <v>6.309046E7</v>
      </c>
      <c r="H6" s="186">
        <v>2.0499999E7</v>
      </c>
      <c r="I6" s="186">
        <v>1.133669786E7</v>
      </c>
      <c r="J6" s="186">
        <v>0.0</v>
      </c>
      <c r="K6" s="186">
        <v>1.5622599E7</v>
      </c>
      <c r="L6" s="187">
        <v>0.5530096786833989</v>
      </c>
      <c r="M6" s="188">
        <v>139.0</v>
      </c>
      <c r="N6" s="188">
        <v>119.0</v>
      </c>
      <c r="O6" s="188">
        <v>2.0</v>
      </c>
      <c r="P6" s="188">
        <v>141.0</v>
      </c>
      <c r="Q6" s="188">
        <v>22.0</v>
      </c>
      <c r="R6" s="188">
        <v>50.0</v>
      </c>
      <c r="S6" s="188">
        <v>0.0</v>
      </c>
      <c r="T6" s="188">
        <v>1.0</v>
      </c>
      <c r="U6" s="188">
        <v>10.0</v>
      </c>
      <c r="V6" s="188">
        <v>15.0</v>
      </c>
      <c r="W6" s="188">
        <v>7.0</v>
      </c>
      <c r="X6" s="188">
        <v>0.0</v>
      </c>
      <c r="Y6" s="188">
        <v>0.0</v>
      </c>
      <c r="Z6" s="188">
        <v>391.0</v>
      </c>
      <c r="AA6" s="188">
        <v>413.0</v>
      </c>
      <c r="AB6" s="188">
        <v>77.0</v>
      </c>
      <c r="AC6" s="186">
        <v>147229.84233766233</v>
      </c>
      <c r="AD6" s="189">
        <v>5.077922077922078</v>
      </c>
      <c r="AE6" s="186">
        <v>217005.0</v>
      </c>
      <c r="AF6" s="188">
        <v>21651.0</v>
      </c>
      <c r="AG6" s="187">
        <v>0.021051632754725283</v>
      </c>
      <c r="AH6" s="186">
        <v>226733.95719999998</v>
      </c>
      <c r="AI6" s="219">
        <v>106.0</v>
      </c>
      <c r="AJ6" s="219">
        <v>871.0</v>
      </c>
      <c r="AK6" s="219">
        <v>3725.07</v>
      </c>
      <c r="AL6" s="219">
        <v>31.0</v>
      </c>
      <c r="AM6" s="191"/>
      <c r="AN6" s="75"/>
      <c r="AO6" s="192">
        <v>4285901.140000001</v>
      </c>
      <c r="AT6" s="124" t="s">
        <v>185</v>
      </c>
    </row>
    <row r="7">
      <c r="A7" s="183" t="s">
        <v>185</v>
      </c>
      <c r="B7" s="183" t="s">
        <v>189</v>
      </c>
      <c r="C7" s="184" t="s">
        <v>193</v>
      </c>
      <c r="D7" s="75" t="s">
        <v>241</v>
      </c>
      <c r="E7" s="256">
        <v>41400.0</v>
      </c>
      <c r="F7" s="75" t="s">
        <v>1016</v>
      </c>
      <c r="G7" s="186">
        <v>6.796965242E7</v>
      </c>
      <c r="H7" s="186">
        <v>2.55E7</v>
      </c>
      <c r="I7" s="186">
        <v>1.749766476E7</v>
      </c>
      <c r="J7" s="186">
        <v>0.0</v>
      </c>
      <c r="K7" s="186">
        <v>1.71778356E7</v>
      </c>
      <c r="L7" s="187">
        <v>0.6861829317647059</v>
      </c>
      <c r="M7" s="188">
        <v>54.0</v>
      </c>
      <c r="N7" s="188">
        <v>45.0</v>
      </c>
      <c r="O7" s="188">
        <v>0.0</v>
      </c>
      <c r="P7" s="188">
        <v>54.0</v>
      </c>
      <c r="Q7" s="188">
        <v>9.0</v>
      </c>
      <c r="R7" s="188">
        <v>43.0</v>
      </c>
      <c r="S7" s="188">
        <v>0.0</v>
      </c>
      <c r="T7" s="188">
        <v>0.0</v>
      </c>
      <c r="U7" s="188">
        <v>1.0</v>
      </c>
      <c r="V7" s="188">
        <v>2.0</v>
      </c>
      <c r="W7" s="188">
        <v>60.0</v>
      </c>
      <c r="X7" s="188">
        <v>0.0</v>
      </c>
      <c r="Y7" s="188">
        <v>0.0</v>
      </c>
      <c r="Z7" s="188">
        <v>360.0</v>
      </c>
      <c r="AA7" s="188">
        <v>422.0</v>
      </c>
      <c r="AB7" s="188">
        <v>65.0</v>
      </c>
      <c r="AC7" s="186">
        <v>269194.8424615385</v>
      </c>
      <c r="AD7" s="189">
        <v>5.538461538461538</v>
      </c>
      <c r="AE7" s="186">
        <v>222501.0</v>
      </c>
      <c r="AF7" s="188">
        <v>14214.0</v>
      </c>
      <c r="AG7" s="187">
        <v>0.013528376686078421</v>
      </c>
      <c r="AH7" s="186">
        <v>406922.4362790698</v>
      </c>
      <c r="AI7" s="219">
        <v>267.0</v>
      </c>
      <c r="AJ7" s="219">
        <v>618.0</v>
      </c>
      <c r="AK7" s="219">
        <v>973.0</v>
      </c>
      <c r="AL7" s="219">
        <v>22.0</v>
      </c>
      <c r="AM7" s="191"/>
      <c r="AN7" s="75"/>
      <c r="AO7" s="192">
        <v>-319829.16000000015</v>
      </c>
      <c r="AT7" s="124" t="s">
        <v>47</v>
      </c>
    </row>
    <row r="8">
      <c r="A8" s="183" t="s">
        <v>185</v>
      </c>
      <c r="B8" s="183" t="s">
        <v>196</v>
      </c>
      <c r="C8" s="184" t="s">
        <v>194</v>
      </c>
      <c r="D8" s="75" t="s">
        <v>1028</v>
      </c>
      <c r="E8" s="256">
        <v>41563.0</v>
      </c>
      <c r="F8" s="75" t="s">
        <v>1027</v>
      </c>
      <c r="G8" s="186">
        <v>1.7275853090000004E7</v>
      </c>
      <c r="H8" s="186">
        <v>6300000.0</v>
      </c>
      <c r="I8" s="186">
        <v>5395769.49</v>
      </c>
      <c r="J8" s="186">
        <v>0.0</v>
      </c>
      <c r="K8" s="186">
        <v>5003774.54</v>
      </c>
      <c r="L8" s="187">
        <v>0.8564713476190476</v>
      </c>
      <c r="M8" s="188">
        <v>38.0</v>
      </c>
      <c r="N8" s="188">
        <v>36.0</v>
      </c>
      <c r="O8" s="188">
        <v>0.0</v>
      </c>
      <c r="P8" s="188">
        <v>38.0</v>
      </c>
      <c r="Q8" s="188">
        <v>2.0</v>
      </c>
      <c r="R8" s="188">
        <v>21.0</v>
      </c>
      <c r="S8" s="188">
        <v>0.0</v>
      </c>
      <c r="T8" s="188">
        <v>0.0</v>
      </c>
      <c r="U8" s="188">
        <v>0.0</v>
      </c>
      <c r="V8" s="188">
        <v>0.0</v>
      </c>
      <c r="W8" s="188">
        <v>5.0</v>
      </c>
      <c r="X8" s="188">
        <v>0.0</v>
      </c>
      <c r="Y8" s="188">
        <v>0.0</v>
      </c>
      <c r="Z8" s="188">
        <v>208.0</v>
      </c>
      <c r="AA8" s="188">
        <v>213.0</v>
      </c>
      <c r="AB8" s="188">
        <v>74.0</v>
      </c>
      <c r="AC8" s="186">
        <v>72915.80391891891</v>
      </c>
      <c r="AD8" s="189">
        <v>2.810810810810811</v>
      </c>
      <c r="AE8" s="186">
        <v>126501.0</v>
      </c>
      <c r="AF8" s="188">
        <v>37091.0</v>
      </c>
      <c r="AG8" s="187">
        <v>0.03031856722255939</v>
      </c>
      <c r="AH8" s="186">
        <v>256941.4042857143</v>
      </c>
      <c r="AI8" s="219">
        <v>84.0</v>
      </c>
      <c r="AJ8" s="219">
        <v>872.0</v>
      </c>
      <c r="AK8" s="219">
        <v>7184.02</v>
      </c>
      <c r="AL8" s="219">
        <v>200.0</v>
      </c>
      <c r="AM8" s="191"/>
      <c r="AN8" s="75"/>
      <c r="AO8" s="192">
        <v>-391994.9500000002</v>
      </c>
      <c r="AT8" s="124" t="s">
        <v>322</v>
      </c>
    </row>
    <row r="9">
      <c r="A9" s="183" t="s">
        <v>185</v>
      </c>
      <c r="B9" s="183" t="s">
        <v>212</v>
      </c>
      <c r="C9" s="184" t="s">
        <v>489</v>
      </c>
      <c r="D9" s="75" t="s">
        <v>1032</v>
      </c>
      <c r="E9" s="256">
        <v>41719.0</v>
      </c>
      <c r="F9" s="75" t="s">
        <v>1031</v>
      </c>
      <c r="G9" s="186"/>
      <c r="H9" s="186">
        <v>0.0</v>
      </c>
      <c r="I9" s="186">
        <v>0.0</v>
      </c>
      <c r="J9" s="186">
        <v>0.0</v>
      </c>
      <c r="K9" s="186"/>
      <c r="L9" s="187"/>
      <c r="M9" s="188">
        <v>157.0</v>
      </c>
      <c r="N9" s="188">
        <v>36.0</v>
      </c>
      <c r="O9" s="188">
        <v>4.0</v>
      </c>
      <c r="P9" s="188">
        <v>161.0</v>
      </c>
      <c r="Q9" s="188">
        <v>125.0</v>
      </c>
      <c r="R9" s="188">
        <v>0.0</v>
      </c>
      <c r="S9" s="188">
        <v>0.0</v>
      </c>
      <c r="T9" s="188">
        <v>0.0</v>
      </c>
      <c r="U9" s="188">
        <v>25.0</v>
      </c>
      <c r="V9" s="188">
        <v>36.0</v>
      </c>
      <c r="W9" s="188">
        <v>66.0</v>
      </c>
      <c r="X9" s="188">
        <v>11.0</v>
      </c>
      <c r="Y9" s="188">
        <v>8.0</v>
      </c>
      <c r="Z9" s="188">
        <v>64.0</v>
      </c>
      <c r="AA9" s="188">
        <v>185.0</v>
      </c>
      <c r="AB9" s="188">
        <v>74.0</v>
      </c>
      <c r="AC9" s="186">
        <v>0.0</v>
      </c>
      <c r="AD9" s="189">
        <v>0.8648648648648649</v>
      </c>
      <c r="AE9" s="186">
        <v>230001.0</v>
      </c>
      <c r="AF9" s="188"/>
      <c r="AG9" s="187"/>
      <c r="AH9" s="186"/>
      <c r="AI9" s="219">
        <v>0.0</v>
      </c>
      <c r="AJ9" s="219">
        <v>726.0</v>
      </c>
      <c r="AK9" s="219">
        <v>24224.13</v>
      </c>
      <c r="AL9" s="219">
        <v>673.0</v>
      </c>
      <c r="AM9" s="191"/>
      <c r="AN9" s="75"/>
      <c r="AO9" s="192">
        <v>0.0</v>
      </c>
      <c r="AT9" s="124" t="s">
        <v>111</v>
      </c>
    </row>
    <row r="10">
      <c r="A10" s="183" t="s">
        <v>185</v>
      </c>
      <c r="B10" s="183" t="s">
        <v>189</v>
      </c>
      <c r="C10" s="184" t="s">
        <v>197</v>
      </c>
      <c r="D10" s="75" t="s">
        <v>1034</v>
      </c>
      <c r="E10" s="256">
        <v>41791.0</v>
      </c>
      <c r="F10" s="75" t="s">
        <v>1016</v>
      </c>
      <c r="G10" s="186">
        <v>1.036809112E8</v>
      </c>
      <c r="H10" s="186">
        <v>3.75E7</v>
      </c>
      <c r="I10" s="186">
        <v>1.852102353E7</v>
      </c>
      <c r="J10" s="186">
        <v>0.0</v>
      </c>
      <c r="K10" s="186">
        <v>1.9965173E7</v>
      </c>
      <c r="L10" s="187">
        <v>0.49389396080000003</v>
      </c>
      <c r="M10" s="188">
        <v>99.0</v>
      </c>
      <c r="N10" s="188">
        <v>79.0</v>
      </c>
      <c r="O10" s="188">
        <v>0.0</v>
      </c>
      <c r="P10" s="188">
        <v>99.0</v>
      </c>
      <c r="Q10" s="188">
        <v>20.0</v>
      </c>
      <c r="R10" s="188">
        <v>65.0</v>
      </c>
      <c r="S10" s="188">
        <v>0.0</v>
      </c>
      <c r="T10" s="188">
        <v>0.0</v>
      </c>
      <c r="U10" s="188">
        <v>5.0</v>
      </c>
      <c r="V10" s="188">
        <v>5.0</v>
      </c>
      <c r="W10" s="188">
        <v>51.0</v>
      </c>
      <c r="X10" s="188">
        <v>0.0</v>
      </c>
      <c r="Y10" s="188">
        <v>0.0</v>
      </c>
      <c r="Z10" s="188">
        <v>246.0</v>
      </c>
      <c r="AA10" s="188">
        <v>302.0</v>
      </c>
      <c r="AB10" s="188">
        <v>71.0</v>
      </c>
      <c r="AC10" s="186">
        <v>260859.4863380282</v>
      </c>
      <c r="AD10" s="189">
        <v>3.464788732394366</v>
      </c>
      <c r="AE10" s="186">
        <v>234255.0</v>
      </c>
      <c r="AF10" s="188">
        <v>27767.0</v>
      </c>
      <c r="AG10" s="187">
        <v>0.014147274289435557</v>
      </c>
      <c r="AH10" s="186">
        <v>284938.8235384616</v>
      </c>
      <c r="AI10" s="219">
        <v>197.0</v>
      </c>
      <c r="AJ10" s="219">
        <v>863.0</v>
      </c>
      <c r="AK10" s="219">
        <v>9566.14</v>
      </c>
      <c r="AL10" s="219">
        <v>121.0</v>
      </c>
      <c r="AM10" s="191"/>
      <c r="AN10" s="75"/>
      <c r="AO10" s="192">
        <v>1444149.4699999988</v>
      </c>
      <c r="AT10" s="124" t="s">
        <v>126</v>
      </c>
    </row>
    <row r="11">
      <c r="A11" s="183" t="s">
        <v>185</v>
      </c>
      <c r="B11" s="183" t="s">
        <v>196</v>
      </c>
      <c r="C11" s="184" t="s">
        <v>199</v>
      </c>
      <c r="D11" s="75" t="s">
        <v>1036</v>
      </c>
      <c r="E11" s="256">
        <v>42125.0</v>
      </c>
      <c r="F11" s="75" t="s">
        <v>1027</v>
      </c>
      <c r="G11" s="186">
        <v>6.022327444E7</v>
      </c>
      <c r="H11" s="186">
        <v>1.9674E7</v>
      </c>
      <c r="I11" s="186">
        <v>1.821383168E7</v>
      </c>
      <c r="J11" s="186">
        <v>0.0</v>
      </c>
      <c r="K11" s="186">
        <v>1.8476626E7</v>
      </c>
      <c r="L11" s="187">
        <v>0.9257818277930263</v>
      </c>
      <c r="M11" s="188">
        <v>81.0</v>
      </c>
      <c r="N11" s="188">
        <v>84.0</v>
      </c>
      <c r="O11" s="188">
        <v>4.0</v>
      </c>
      <c r="P11" s="188">
        <v>85.0</v>
      </c>
      <c r="Q11" s="188">
        <v>1.0</v>
      </c>
      <c r="R11" s="188">
        <v>73.0</v>
      </c>
      <c r="S11" s="188">
        <v>0.0</v>
      </c>
      <c r="T11" s="188">
        <v>4.0</v>
      </c>
      <c r="U11" s="188">
        <v>0.0</v>
      </c>
      <c r="V11" s="188">
        <v>0.0</v>
      </c>
      <c r="W11" s="188">
        <v>66.0</v>
      </c>
      <c r="X11" s="188">
        <v>0.0</v>
      </c>
      <c r="Y11" s="188">
        <v>0.0</v>
      </c>
      <c r="Z11" s="188">
        <v>399.0</v>
      </c>
      <c r="AA11" s="188">
        <v>465.0</v>
      </c>
      <c r="AB11" s="188">
        <v>78.0</v>
      </c>
      <c r="AC11" s="186">
        <v>233510.66256410256</v>
      </c>
      <c r="AD11" s="189">
        <v>5.115384615384615</v>
      </c>
      <c r="AE11" s="186">
        <v>212505.0</v>
      </c>
      <c r="AF11" s="188">
        <v>37950.0</v>
      </c>
      <c r="AG11" s="187">
        <v>0.013750813359882768</v>
      </c>
      <c r="AH11" s="186">
        <v>249504.54356164383</v>
      </c>
      <c r="AI11" s="219">
        <v>363.0</v>
      </c>
      <c r="AJ11" s="219">
        <v>957.0</v>
      </c>
      <c r="AK11" s="219">
        <v>7679.03</v>
      </c>
      <c r="AL11" s="219">
        <v>91.0</v>
      </c>
      <c r="AM11" s="191"/>
      <c r="AN11" s="75"/>
      <c r="AO11" s="192">
        <v>262794.3200000003</v>
      </c>
    </row>
    <row r="12">
      <c r="A12" s="183" t="s">
        <v>126</v>
      </c>
      <c r="B12" s="183" t="s">
        <v>130</v>
      </c>
      <c r="C12" s="184" t="s">
        <v>131</v>
      </c>
      <c r="D12" s="75" t="s">
        <v>1038</v>
      </c>
      <c r="E12" s="256">
        <v>42530.0</v>
      </c>
      <c r="F12" s="75" t="s">
        <v>130</v>
      </c>
      <c r="G12" s="186">
        <v>2.1287274E7</v>
      </c>
      <c r="H12" s="186">
        <v>9375000.0</v>
      </c>
      <c r="I12" s="186">
        <v>5563811.85</v>
      </c>
      <c r="J12" s="186">
        <v>0.0</v>
      </c>
      <c r="K12" s="186">
        <v>5783808.8</v>
      </c>
      <c r="L12" s="187">
        <v>0.593473264</v>
      </c>
      <c r="M12" s="188">
        <v>69.0</v>
      </c>
      <c r="N12" s="188">
        <v>49.0</v>
      </c>
      <c r="O12" s="188">
        <v>8.0</v>
      </c>
      <c r="P12" s="188">
        <v>77.0</v>
      </c>
      <c r="Q12" s="188">
        <v>28.0</v>
      </c>
      <c r="R12" s="188">
        <v>37.0</v>
      </c>
      <c r="S12" s="188">
        <v>0.0</v>
      </c>
      <c r="T12" s="188">
        <v>2.0</v>
      </c>
      <c r="U12" s="188">
        <v>47.0</v>
      </c>
      <c r="V12" s="188">
        <v>56.0</v>
      </c>
      <c r="W12" s="188">
        <v>46.0</v>
      </c>
      <c r="X12" s="188">
        <v>0.0</v>
      </c>
      <c r="Y12" s="188">
        <v>0.0</v>
      </c>
      <c r="Z12" s="188">
        <v>150.0</v>
      </c>
      <c r="AA12" s="188">
        <v>252.0</v>
      </c>
      <c r="AB12" s="188">
        <v>71.0</v>
      </c>
      <c r="AC12" s="186">
        <v>78363.54718309859</v>
      </c>
      <c r="AD12" s="189">
        <v>2.112676056338028</v>
      </c>
      <c r="AE12" s="186">
        <v>193755.0</v>
      </c>
      <c r="AF12" s="188">
        <v>39420.0</v>
      </c>
      <c r="AG12" s="187">
        <v>0.04190921732912302</v>
      </c>
      <c r="AH12" s="186">
        <v>150373.29324324324</v>
      </c>
      <c r="AI12" s="219">
        <v>75.0</v>
      </c>
      <c r="AJ12" s="219">
        <v>628.0</v>
      </c>
      <c r="AK12" s="219">
        <v>4213.14</v>
      </c>
      <c r="AL12" s="219">
        <v>86.0</v>
      </c>
      <c r="AM12" s="191"/>
      <c r="AN12" s="75"/>
      <c r="AO12" s="192">
        <v>219996.9500000002</v>
      </c>
    </row>
    <row r="13">
      <c r="A13" s="183" t="s">
        <v>185</v>
      </c>
      <c r="B13" s="183" t="s">
        <v>189</v>
      </c>
      <c r="C13" s="184" t="s">
        <v>201</v>
      </c>
      <c r="D13" s="75" t="s">
        <v>238</v>
      </c>
      <c r="E13" s="256">
        <v>42660.0</v>
      </c>
      <c r="F13" s="75" t="s">
        <v>1016</v>
      </c>
      <c r="G13" s="186">
        <v>2.7594897E7</v>
      </c>
      <c r="H13" s="186">
        <v>1.0149999E7</v>
      </c>
      <c r="I13" s="186">
        <v>7175719.68</v>
      </c>
      <c r="J13" s="186">
        <v>0.0</v>
      </c>
      <c r="K13" s="186">
        <v>7087384.0</v>
      </c>
      <c r="L13" s="187">
        <v>0.7069675258096084</v>
      </c>
      <c r="M13" s="188">
        <v>49.0</v>
      </c>
      <c r="N13" s="188">
        <v>41.0</v>
      </c>
      <c r="O13" s="188">
        <v>0.0</v>
      </c>
      <c r="P13" s="188">
        <v>49.0</v>
      </c>
      <c r="Q13" s="188">
        <v>8.0</v>
      </c>
      <c r="R13" s="188">
        <v>32.0</v>
      </c>
      <c r="S13" s="188">
        <v>0.0</v>
      </c>
      <c r="T13" s="188">
        <v>0.0</v>
      </c>
      <c r="U13" s="188">
        <v>2.0</v>
      </c>
      <c r="V13" s="188">
        <v>2.0</v>
      </c>
      <c r="W13" s="188">
        <v>72.0</v>
      </c>
      <c r="X13" s="188">
        <v>0.0</v>
      </c>
      <c r="Y13" s="188">
        <v>0.0</v>
      </c>
      <c r="Z13" s="188">
        <v>220.0</v>
      </c>
      <c r="AA13" s="188">
        <v>294.0</v>
      </c>
      <c r="AB13" s="188">
        <v>69.0</v>
      </c>
      <c r="AC13" s="186">
        <v>103995.93739130434</v>
      </c>
      <c r="AD13" s="189">
        <v>3.1884057971014492</v>
      </c>
      <c r="AE13" s="186">
        <v>121500.0</v>
      </c>
      <c r="AF13" s="188">
        <v>31042.0</v>
      </c>
      <c r="AG13" s="187">
        <v>0.021258076792654197</v>
      </c>
      <c r="AH13" s="186">
        <v>224241.24</v>
      </c>
      <c r="AI13" s="219">
        <v>93.0</v>
      </c>
      <c r="AJ13" s="219">
        <v>736.0</v>
      </c>
      <c r="AK13" s="219">
        <v>4906.24</v>
      </c>
      <c r="AL13" s="219">
        <v>120.0</v>
      </c>
      <c r="AM13" s="191"/>
      <c r="AN13" s="75"/>
      <c r="AO13" s="192">
        <v>-88335.6799999997</v>
      </c>
    </row>
    <row r="14">
      <c r="A14" s="183" t="s">
        <v>126</v>
      </c>
      <c r="B14" s="183" t="s">
        <v>135</v>
      </c>
      <c r="C14" s="184" t="s">
        <v>133</v>
      </c>
      <c r="D14" s="75" t="s">
        <v>180</v>
      </c>
      <c r="E14" s="256">
        <v>42720.0</v>
      </c>
      <c r="F14" s="75" t="s">
        <v>1042</v>
      </c>
      <c r="G14" s="186">
        <v>1.9644499E7</v>
      </c>
      <c r="H14" s="186">
        <v>9375000.0</v>
      </c>
      <c r="I14" s="186">
        <v>3278832.35</v>
      </c>
      <c r="J14" s="186">
        <v>1055807.38</v>
      </c>
      <c r="K14" s="186">
        <v>2500500.0</v>
      </c>
      <c r="L14" s="187">
        <v>0.46236157120000004</v>
      </c>
      <c r="M14" s="188">
        <v>59.0</v>
      </c>
      <c r="N14" s="188">
        <v>51.0</v>
      </c>
      <c r="O14" s="188">
        <v>5.0</v>
      </c>
      <c r="P14" s="188">
        <v>64.0</v>
      </c>
      <c r="Q14" s="188">
        <v>13.0</v>
      </c>
      <c r="R14" s="188">
        <v>27.0</v>
      </c>
      <c r="S14" s="188">
        <v>4.0</v>
      </c>
      <c r="T14" s="188">
        <v>4.0</v>
      </c>
      <c r="U14" s="188">
        <v>28.0</v>
      </c>
      <c r="V14" s="188">
        <v>41.0</v>
      </c>
      <c r="W14" s="188">
        <v>15.0</v>
      </c>
      <c r="X14" s="188">
        <v>14.0</v>
      </c>
      <c r="Y14" s="188">
        <v>13.0</v>
      </c>
      <c r="Z14" s="188">
        <v>165.0</v>
      </c>
      <c r="AA14" s="188">
        <v>248.0</v>
      </c>
      <c r="AB14" s="188">
        <v>74.0</v>
      </c>
      <c r="AC14" s="186">
        <v>58576.21256756757</v>
      </c>
      <c r="AD14" s="189">
        <v>2.22972972972973</v>
      </c>
      <c r="AE14" s="186">
        <v>161250.0</v>
      </c>
      <c r="AF14" s="188">
        <v>13115.0</v>
      </c>
      <c r="AG14" s="187">
        <v>0.04022594975845893</v>
      </c>
      <c r="AH14" s="186">
        <v>121438.23518518519</v>
      </c>
      <c r="AI14" s="219">
        <v>59.0</v>
      </c>
      <c r="AJ14" s="219">
        <v>537.0</v>
      </c>
      <c r="AK14" s="219">
        <v>4769.04</v>
      </c>
      <c r="AL14" s="219">
        <v>94.0</v>
      </c>
      <c r="AM14" s="191"/>
      <c r="AN14" s="75"/>
      <c r="AO14" s="192">
        <v>-1834139.7300000004</v>
      </c>
    </row>
    <row r="15">
      <c r="A15" s="494" t="s">
        <v>185</v>
      </c>
      <c r="B15" s="183" t="s">
        <v>117</v>
      </c>
      <c r="C15" s="184" t="s">
        <v>434</v>
      </c>
      <c r="D15" s="75" t="s">
        <v>435</v>
      </c>
      <c r="E15" s="256">
        <v>42769.0</v>
      </c>
      <c r="F15" s="75" t="s">
        <v>1044</v>
      </c>
      <c r="G15" s="186">
        <v>8136889.0</v>
      </c>
      <c r="H15" s="186">
        <v>4200000.0</v>
      </c>
      <c r="I15" s="186">
        <v>1303584.32</v>
      </c>
      <c r="J15" s="186">
        <v>0.0</v>
      </c>
      <c r="K15" s="186">
        <v>1412499.0</v>
      </c>
      <c r="L15" s="187">
        <v>0.31037721904761906</v>
      </c>
      <c r="M15" s="188">
        <v>44.0</v>
      </c>
      <c r="N15" s="188">
        <v>45.0</v>
      </c>
      <c r="O15" s="188">
        <v>1.0</v>
      </c>
      <c r="P15" s="188">
        <v>45.0</v>
      </c>
      <c r="Q15" s="188">
        <v>0.0</v>
      </c>
      <c r="R15" s="188">
        <v>29.0</v>
      </c>
      <c r="S15" s="188">
        <v>0.0</v>
      </c>
      <c r="T15" s="188">
        <v>1.0</v>
      </c>
      <c r="U15" s="188">
        <v>4.0</v>
      </c>
      <c r="V15" s="188">
        <v>5.0</v>
      </c>
      <c r="W15" s="188">
        <v>9.0</v>
      </c>
      <c r="X15" s="188">
        <v>0.0</v>
      </c>
      <c r="Y15" s="188">
        <v>0.0</v>
      </c>
      <c r="Z15" s="188">
        <v>228.0</v>
      </c>
      <c r="AA15" s="188">
        <v>242.0</v>
      </c>
      <c r="AB15" s="188">
        <v>78.0</v>
      </c>
      <c r="AC15" s="186">
        <v>16712.619487179487</v>
      </c>
      <c r="AD15" s="189">
        <v>2.923076923076923</v>
      </c>
      <c r="AE15" s="186">
        <v>103755.0</v>
      </c>
      <c r="AF15" s="188">
        <v>19450.0</v>
      </c>
      <c r="AG15" s="187">
        <v>0.09451248999374279</v>
      </c>
      <c r="AH15" s="186">
        <v>44951.183448275864</v>
      </c>
      <c r="AI15" s="219">
        <v>58.0</v>
      </c>
      <c r="AJ15" s="219">
        <v>860.0</v>
      </c>
      <c r="AK15" s="219">
        <v>6029.0</v>
      </c>
      <c r="AL15" s="219">
        <v>134.0</v>
      </c>
      <c r="AM15" s="191"/>
      <c r="AN15" s="75"/>
      <c r="AO15" s="192">
        <v>108914.67999999993</v>
      </c>
    </row>
    <row r="16">
      <c r="A16" s="183" t="s">
        <v>185</v>
      </c>
      <c r="B16" s="183" t="s">
        <v>196</v>
      </c>
      <c r="C16" s="184" t="s">
        <v>413</v>
      </c>
      <c r="D16" s="75" t="s">
        <v>1046</v>
      </c>
      <c r="E16" s="256">
        <v>42826.0</v>
      </c>
      <c r="F16" s="75" t="s">
        <v>1027</v>
      </c>
      <c r="G16" s="186">
        <v>5631228.72</v>
      </c>
      <c r="H16" s="186">
        <v>6000000.0</v>
      </c>
      <c r="I16" s="186">
        <v>1627540.09</v>
      </c>
      <c r="J16" s="186">
        <v>0.0</v>
      </c>
      <c r="K16" s="186">
        <v>3306155.8100000005</v>
      </c>
      <c r="L16" s="187">
        <v>0.27125668166666667</v>
      </c>
      <c r="M16" s="188">
        <v>71.0</v>
      </c>
      <c r="N16" s="188">
        <v>71.0</v>
      </c>
      <c r="O16" s="188">
        <v>13.0</v>
      </c>
      <c r="P16" s="188">
        <v>84.0</v>
      </c>
      <c r="Q16" s="188">
        <v>13.0</v>
      </c>
      <c r="R16" s="188">
        <v>40.0</v>
      </c>
      <c r="S16" s="188">
        <v>0.0</v>
      </c>
      <c r="T16" s="188">
        <v>13.0</v>
      </c>
      <c r="U16" s="188">
        <v>0.0</v>
      </c>
      <c r="V16" s="188">
        <v>0.0</v>
      </c>
      <c r="W16" s="188">
        <v>55.0</v>
      </c>
      <c r="X16" s="188">
        <v>0.0</v>
      </c>
      <c r="Y16" s="188">
        <v>0.0</v>
      </c>
      <c r="Z16" s="188">
        <v>280.0</v>
      </c>
      <c r="AA16" s="188">
        <v>335.0</v>
      </c>
      <c r="AB16" s="188">
        <v>68.0</v>
      </c>
      <c r="AC16" s="186">
        <v>23934.413088235295</v>
      </c>
      <c r="AD16" s="189">
        <v>4.117647058823529</v>
      </c>
      <c r="AE16" s="186">
        <v>220002.0</v>
      </c>
      <c r="AF16" s="188">
        <v>28673.0</v>
      </c>
      <c r="AG16" s="187">
        <v>0.15279193522047127</v>
      </c>
      <c r="AH16" s="186">
        <v>40688.502250000005</v>
      </c>
      <c r="AI16" s="219">
        <v>65.0</v>
      </c>
      <c r="AJ16" s="219">
        <v>574.0</v>
      </c>
      <c r="AK16" s="219">
        <v>3403.13</v>
      </c>
      <c r="AL16" s="219">
        <v>48.0</v>
      </c>
      <c r="AM16" s="191"/>
      <c r="AN16" s="75"/>
      <c r="AO16" s="192">
        <v>1678615.7200000004</v>
      </c>
    </row>
    <row r="17">
      <c r="A17" s="183" t="s">
        <v>185</v>
      </c>
      <c r="B17" s="183" t="s">
        <v>189</v>
      </c>
      <c r="C17" s="184" t="s">
        <v>202</v>
      </c>
      <c r="D17" s="75" t="s">
        <v>243</v>
      </c>
      <c r="E17" s="256">
        <v>42826.0</v>
      </c>
      <c r="F17" s="75" t="s">
        <v>1016</v>
      </c>
      <c r="G17" s="186">
        <v>4.497067861E7</v>
      </c>
      <c r="H17" s="186">
        <v>1.14E7</v>
      </c>
      <c r="I17" s="186">
        <v>1.040807002E7</v>
      </c>
      <c r="J17" s="186">
        <v>0.0</v>
      </c>
      <c r="K17" s="186">
        <v>5845175.75</v>
      </c>
      <c r="L17" s="187">
        <v>0.912988598245614</v>
      </c>
      <c r="M17" s="188">
        <v>125.0</v>
      </c>
      <c r="N17" s="188">
        <v>60.0</v>
      </c>
      <c r="O17" s="188">
        <v>1.0</v>
      </c>
      <c r="P17" s="188">
        <v>126.0</v>
      </c>
      <c r="Q17" s="188">
        <v>66.0</v>
      </c>
      <c r="R17" s="188">
        <v>12.0</v>
      </c>
      <c r="S17" s="188">
        <v>0.0</v>
      </c>
      <c r="T17" s="188">
        <v>0.0</v>
      </c>
      <c r="U17" s="188">
        <v>4.0</v>
      </c>
      <c r="V17" s="188">
        <v>5.0</v>
      </c>
      <c r="W17" s="188">
        <v>33.0</v>
      </c>
      <c r="X17" s="188">
        <v>0.0</v>
      </c>
      <c r="Y17" s="188">
        <v>0.0</v>
      </c>
      <c r="Z17" s="188">
        <v>215.0</v>
      </c>
      <c r="AA17" s="188">
        <v>253.0</v>
      </c>
      <c r="AB17" s="188">
        <v>74.0</v>
      </c>
      <c r="AC17" s="186">
        <v>140649.59486486486</v>
      </c>
      <c r="AD17" s="189">
        <v>2.9054054054054053</v>
      </c>
      <c r="AE17" s="186">
        <v>172500.0</v>
      </c>
      <c r="AF17" s="188">
        <v>19724.0</v>
      </c>
      <c r="AG17" s="187">
        <v>0.018468745851116016</v>
      </c>
      <c r="AH17" s="186">
        <v>867339.1683333333</v>
      </c>
      <c r="AI17" s="219">
        <v>27.0</v>
      </c>
      <c r="AJ17" s="219">
        <v>906.0</v>
      </c>
      <c r="AK17" s="219">
        <v>13642.54</v>
      </c>
      <c r="AL17" s="219">
        <v>227.0</v>
      </c>
      <c r="AM17" s="191"/>
      <c r="AN17" s="75"/>
      <c r="AO17" s="192">
        <v>-4562894.27</v>
      </c>
    </row>
    <row r="18">
      <c r="A18" s="183" t="s">
        <v>298</v>
      </c>
      <c r="B18" s="183" t="s">
        <v>301</v>
      </c>
      <c r="C18" s="183" t="s">
        <v>299</v>
      </c>
      <c r="D18" s="75" t="s">
        <v>1048</v>
      </c>
      <c r="E18" s="256">
        <v>42926.0</v>
      </c>
      <c r="F18" s="75" t="s">
        <v>1047</v>
      </c>
      <c r="G18" s="186">
        <v>2.0081138E7</v>
      </c>
      <c r="H18" s="186">
        <v>6000000.0</v>
      </c>
      <c r="I18" s="186">
        <v>5705529.1</v>
      </c>
      <c r="J18" s="186">
        <v>0.0</v>
      </c>
      <c r="K18" s="186">
        <v>6180258.0</v>
      </c>
      <c r="L18" s="187">
        <v>0.9509215166666666</v>
      </c>
      <c r="M18" s="188">
        <v>139.0</v>
      </c>
      <c r="N18" s="188">
        <v>72.0</v>
      </c>
      <c r="O18" s="188">
        <v>2.0</v>
      </c>
      <c r="P18" s="188">
        <v>141.0</v>
      </c>
      <c r="Q18" s="188">
        <v>69.0</v>
      </c>
      <c r="R18" s="188">
        <v>66.0</v>
      </c>
      <c r="S18" s="188">
        <v>0.0</v>
      </c>
      <c r="T18" s="188">
        <v>2.0</v>
      </c>
      <c r="U18" s="188">
        <v>7.0</v>
      </c>
      <c r="V18" s="188">
        <v>8.0</v>
      </c>
      <c r="W18" s="188">
        <v>22.0</v>
      </c>
      <c r="X18" s="188">
        <v>0.0</v>
      </c>
      <c r="Y18" s="188">
        <v>0.0</v>
      </c>
      <c r="Z18" s="188">
        <v>191.0</v>
      </c>
      <c r="AA18" s="188">
        <v>221.0</v>
      </c>
      <c r="AB18" s="188">
        <v>74.0</v>
      </c>
      <c r="AC18" s="186">
        <v>77101.7445945946</v>
      </c>
      <c r="AD18" s="189">
        <v>2.581081081081081</v>
      </c>
      <c r="AE18" s="186">
        <v>116250.0</v>
      </c>
      <c r="AF18" s="188">
        <v>44070.0</v>
      </c>
      <c r="AG18" s="187">
        <v>0.028099059209074934</v>
      </c>
      <c r="AH18" s="186">
        <v>86447.4106060606</v>
      </c>
      <c r="AI18" s="219">
        <v>163.0</v>
      </c>
      <c r="AJ18" s="219">
        <v>550.0</v>
      </c>
      <c r="AK18" s="219">
        <v>5335.97</v>
      </c>
      <c r="AL18" s="219">
        <v>74.0</v>
      </c>
      <c r="AM18" s="191"/>
      <c r="AN18" s="75"/>
      <c r="AO18" s="192">
        <v>474728.9000000004</v>
      </c>
    </row>
    <row r="19">
      <c r="A19" s="183" t="s">
        <v>322</v>
      </c>
      <c r="B19" s="183" t="s">
        <v>325</v>
      </c>
      <c r="C19" s="184" t="s">
        <v>323</v>
      </c>
      <c r="D19" s="75" t="s">
        <v>1050</v>
      </c>
      <c r="E19" s="256">
        <v>42993.0</v>
      </c>
      <c r="F19" s="75" t="s">
        <v>1049</v>
      </c>
      <c r="G19" s="186">
        <v>8386751.0</v>
      </c>
      <c r="H19" s="186">
        <v>3750000.0</v>
      </c>
      <c r="I19" s="186">
        <v>2583368.74</v>
      </c>
      <c r="J19" s="186">
        <v>0.0</v>
      </c>
      <c r="K19" s="186">
        <v>2538455.0</v>
      </c>
      <c r="L19" s="187">
        <v>0.6888983306666667</v>
      </c>
      <c r="M19" s="188">
        <v>126.0</v>
      </c>
      <c r="N19" s="188">
        <v>90.0</v>
      </c>
      <c r="O19" s="188">
        <v>4.0</v>
      </c>
      <c r="P19" s="188">
        <v>130.0</v>
      </c>
      <c r="Q19" s="188">
        <v>40.0</v>
      </c>
      <c r="R19" s="188">
        <v>73.0</v>
      </c>
      <c r="S19" s="188">
        <v>0.0</v>
      </c>
      <c r="T19" s="188">
        <v>4.0</v>
      </c>
      <c r="U19" s="188">
        <v>113.0</v>
      </c>
      <c r="V19" s="188">
        <v>131.0</v>
      </c>
      <c r="W19" s="188">
        <v>92.0</v>
      </c>
      <c r="X19" s="188">
        <v>0.0</v>
      </c>
      <c r="Y19" s="188">
        <v>0.0</v>
      </c>
      <c r="Z19" s="188">
        <v>188.0</v>
      </c>
      <c r="AA19" s="188">
        <v>411.0</v>
      </c>
      <c r="AB19" s="188">
        <v>78.0</v>
      </c>
      <c r="AC19" s="186">
        <v>33120.112051282056</v>
      </c>
      <c r="AD19" s="189">
        <v>2.41025641025641</v>
      </c>
      <c r="AE19" s="186">
        <v>140001.0</v>
      </c>
      <c r="AF19" s="188">
        <v>26321.0</v>
      </c>
      <c r="AG19" s="187">
        <v>0.06438182727255574</v>
      </c>
      <c r="AH19" s="186">
        <v>35388.61287671233</v>
      </c>
      <c r="AI19" s="219">
        <v>161.0</v>
      </c>
      <c r="AJ19" s="219">
        <v>737.0</v>
      </c>
      <c r="AK19" s="219">
        <v>7455.54</v>
      </c>
      <c r="AL19" s="219">
        <v>83.0</v>
      </c>
      <c r="AM19" s="191"/>
      <c r="AN19" s="75"/>
      <c r="AO19" s="192">
        <v>-44913.74000000022</v>
      </c>
    </row>
    <row r="20">
      <c r="A20" s="183" t="s">
        <v>185</v>
      </c>
      <c r="B20" s="183" t="s">
        <v>189</v>
      </c>
      <c r="C20" s="184" t="s">
        <v>203</v>
      </c>
      <c r="D20" s="75" t="s">
        <v>230</v>
      </c>
      <c r="E20" s="256">
        <v>43009.0</v>
      </c>
      <c r="F20" s="75" t="s">
        <v>1016</v>
      </c>
      <c r="G20" s="186">
        <v>1.317485741E8</v>
      </c>
      <c r="H20" s="186">
        <v>0.0</v>
      </c>
      <c r="I20" s="186">
        <v>1259297.28</v>
      </c>
      <c r="J20" s="186">
        <v>0.0</v>
      </c>
      <c r="K20" s="186">
        <v>0.0</v>
      </c>
      <c r="L20" s="187"/>
      <c r="M20" s="188">
        <v>182.0</v>
      </c>
      <c r="N20" s="188">
        <v>87.0</v>
      </c>
      <c r="O20" s="188">
        <v>5.0</v>
      </c>
      <c r="P20" s="188">
        <v>187.0</v>
      </c>
      <c r="Q20" s="188">
        <v>100.0</v>
      </c>
      <c r="R20" s="188">
        <v>8.0</v>
      </c>
      <c r="S20" s="188">
        <v>0.0</v>
      </c>
      <c r="T20" s="188">
        <v>1.0</v>
      </c>
      <c r="U20" s="188">
        <v>2.0</v>
      </c>
      <c r="V20" s="188">
        <v>3.0</v>
      </c>
      <c r="W20" s="188">
        <v>46.0</v>
      </c>
      <c r="X20" s="188">
        <v>0.0</v>
      </c>
      <c r="Y20" s="188">
        <v>0.0</v>
      </c>
      <c r="Z20" s="188">
        <v>190.0</v>
      </c>
      <c r="AA20" s="188">
        <v>239.0</v>
      </c>
      <c r="AB20" s="188">
        <v>77.0</v>
      </c>
      <c r="AC20" s="186">
        <v>16354.51012987013</v>
      </c>
      <c r="AD20" s="189">
        <v>2.4675324675324677</v>
      </c>
      <c r="AE20" s="186">
        <v>151251.0</v>
      </c>
      <c r="AF20" s="188">
        <v>29364.0</v>
      </c>
      <c r="AG20" s="187">
        <v>0.14342522839404528</v>
      </c>
      <c r="AH20" s="186">
        <v>157412.16</v>
      </c>
      <c r="AI20" s="219">
        <v>11.0</v>
      </c>
      <c r="AJ20" s="219">
        <v>829.0</v>
      </c>
      <c r="AK20" s="219">
        <v>6377.72</v>
      </c>
      <c r="AL20" s="219">
        <v>73.0</v>
      </c>
      <c r="AM20" s="191"/>
      <c r="AN20" s="75"/>
      <c r="AO20" s="192">
        <v>-1259297.28</v>
      </c>
    </row>
    <row r="21">
      <c r="A21" s="183" t="s">
        <v>185</v>
      </c>
      <c r="B21" s="183" t="s">
        <v>189</v>
      </c>
      <c r="C21" s="184" t="s">
        <v>205</v>
      </c>
      <c r="D21" s="75" t="s">
        <v>243</v>
      </c>
      <c r="E21" s="256">
        <v>43119.0</v>
      </c>
      <c r="F21" s="75" t="s">
        <v>1016</v>
      </c>
      <c r="G21" s="186">
        <v>8.333392183E7</v>
      </c>
      <c r="H21" s="186">
        <v>1.1499999E7</v>
      </c>
      <c r="I21" s="186">
        <v>7070338.0</v>
      </c>
      <c r="J21" s="186">
        <v>0.0</v>
      </c>
      <c r="K21" s="186">
        <v>1.6702862E7</v>
      </c>
      <c r="L21" s="187">
        <v>0.6148120534619177</v>
      </c>
      <c r="M21" s="188">
        <v>54.0</v>
      </c>
      <c r="N21" s="188">
        <v>20.0</v>
      </c>
      <c r="O21" s="188">
        <v>0.0</v>
      </c>
      <c r="P21" s="188">
        <v>54.0</v>
      </c>
      <c r="Q21" s="188">
        <v>34.0</v>
      </c>
      <c r="R21" s="188">
        <v>2.0</v>
      </c>
      <c r="S21" s="188">
        <v>0.0</v>
      </c>
      <c r="T21" s="188">
        <v>0.0</v>
      </c>
      <c r="U21" s="188">
        <v>4.0</v>
      </c>
      <c r="V21" s="188">
        <v>4.0</v>
      </c>
      <c r="W21" s="188">
        <v>9.0</v>
      </c>
      <c r="X21" s="188">
        <v>0.0</v>
      </c>
      <c r="Y21" s="188">
        <v>0.0</v>
      </c>
      <c r="Z21" s="188">
        <v>95.0</v>
      </c>
      <c r="AA21" s="188">
        <v>108.0</v>
      </c>
      <c r="AB21" s="188">
        <v>71.0</v>
      </c>
      <c r="AC21" s="186">
        <v>99582.22535211267</v>
      </c>
      <c r="AD21" s="189">
        <v>1.3380281690140845</v>
      </c>
      <c r="AE21" s="186">
        <v>157500.0</v>
      </c>
      <c r="AF21" s="188">
        <v>29385.0</v>
      </c>
      <c r="AG21" s="187">
        <v>0.026432258259788996</v>
      </c>
      <c r="AH21" s="186">
        <v>3535169.0</v>
      </c>
      <c r="AI21" s="219">
        <v>4.0</v>
      </c>
      <c r="AJ21" s="219">
        <v>600.0</v>
      </c>
      <c r="AK21" s="219">
        <v>1960.11</v>
      </c>
      <c r="AL21" s="219">
        <v>98.0</v>
      </c>
      <c r="AM21" s="191"/>
      <c r="AN21" s="75"/>
      <c r="AO21" s="192">
        <v>9632524.0</v>
      </c>
    </row>
    <row r="22">
      <c r="A22" s="494" t="s">
        <v>185</v>
      </c>
      <c r="B22" s="183" t="s">
        <v>1228</v>
      </c>
      <c r="C22" s="184" t="s">
        <v>112</v>
      </c>
      <c r="D22" s="75" t="s">
        <v>1052</v>
      </c>
      <c r="E22" s="256">
        <v>43185.0</v>
      </c>
      <c r="F22" s="75" t="s">
        <v>1051</v>
      </c>
      <c r="G22" s="186">
        <v>7359568.470000002</v>
      </c>
      <c r="H22" s="495">
        <v>1608334.0</v>
      </c>
      <c r="I22" s="186">
        <v>108830.0</v>
      </c>
      <c r="J22" s="186">
        <v>0.0</v>
      </c>
      <c r="K22" s="186">
        <v>0.0</v>
      </c>
      <c r="L22" s="187">
        <v>0.11981284403449885</v>
      </c>
      <c r="M22" s="188">
        <v>94.0</v>
      </c>
      <c r="N22" s="188">
        <v>35.0</v>
      </c>
      <c r="O22" s="188">
        <v>1.0</v>
      </c>
      <c r="P22" s="188">
        <v>95.0</v>
      </c>
      <c r="Q22" s="188">
        <v>60.0</v>
      </c>
      <c r="R22" s="188">
        <v>7.0</v>
      </c>
      <c r="S22" s="188">
        <v>0.0</v>
      </c>
      <c r="T22" s="188">
        <v>0.0</v>
      </c>
      <c r="U22" s="188">
        <v>3.0</v>
      </c>
      <c r="V22" s="188">
        <v>3.0</v>
      </c>
      <c r="W22" s="188">
        <v>0.0</v>
      </c>
      <c r="X22" s="188">
        <v>1.0</v>
      </c>
      <c r="Y22" s="188">
        <v>0.0</v>
      </c>
      <c r="Z22" s="188">
        <v>36.0</v>
      </c>
      <c r="AA22" s="188">
        <v>40.0</v>
      </c>
      <c r="AB22" s="188">
        <v>8.0</v>
      </c>
      <c r="AC22" s="186">
        <v>13603.75</v>
      </c>
      <c r="AD22" s="189">
        <v>4.5</v>
      </c>
      <c r="AE22" s="186">
        <v>16042.5</v>
      </c>
      <c r="AF22" s="188">
        <v>4550.0</v>
      </c>
      <c r="AG22" s="187">
        <v>0.189217127630249</v>
      </c>
      <c r="AH22" s="186">
        <v>15547.142857142857</v>
      </c>
      <c r="AI22" s="219">
        <v>7.0</v>
      </c>
      <c r="AJ22" s="219">
        <v>83.0</v>
      </c>
      <c r="AK22" s="219">
        <v>456.65</v>
      </c>
      <c r="AL22" s="219">
        <v>13.0</v>
      </c>
      <c r="AM22" s="191"/>
      <c r="AN22" s="75" t="s">
        <v>1234</v>
      </c>
      <c r="AO22" s="192">
        <v>-108830.0</v>
      </c>
    </row>
    <row r="23">
      <c r="A23" s="183" t="s">
        <v>185</v>
      </c>
      <c r="B23" s="183" t="s">
        <v>189</v>
      </c>
      <c r="C23" s="184" t="s">
        <v>206</v>
      </c>
      <c r="D23" s="75" t="s">
        <v>192</v>
      </c>
      <c r="E23" s="256">
        <v>43255.0</v>
      </c>
      <c r="F23" s="75" t="s">
        <v>1016</v>
      </c>
      <c r="G23" s="186">
        <v>4.2087785E7</v>
      </c>
      <c r="H23" s="186">
        <v>1.5999999E7</v>
      </c>
      <c r="I23" s="186">
        <v>7120233.27</v>
      </c>
      <c r="J23" s="186">
        <v>0.0</v>
      </c>
      <c r="K23" s="186">
        <v>8341293.0</v>
      </c>
      <c r="L23" s="187">
        <v>0.4450146071884129</v>
      </c>
      <c r="M23" s="188">
        <v>142.0</v>
      </c>
      <c r="N23" s="188">
        <v>109.0</v>
      </c>
      <c r="O23" s="188">
        <v>0.0</v>
      </c>
      <c r="P23" s="188">
        <v>142.0</v>
      </c>
      <c r="Q23" s="188">
        <v>33.0</v>
      </c>
      <c r="R23" s="188">
        <v>37.0</v>
      </c>
      <c r="S23" s="188">
        <v>0.0</v>
      </c>
      <c r="T23" s="188">
        <v>0.0</v>
      </c>
      <c r="U23" s="188">
        <v>8.0</v>
      </c>
      <c r="V23" s="188">
        <v>8.0</v>
      </c>
      <c r="W23" s="188">
        <v>7.0</v>
      </c>
      <c r="X23" s="188">
        <v>0.0</v>
      </c>
      <c r="Y23" s="188">
        <v>0.0</v>
      </c>
      <c r="Z23" s="188">
        <v>367.0</v>
      </c>
      <c r="AA23" s="188">
        <v>382.0</v>
      </c>
      <c r="AB23" s="188">
        <v>77.0</v>
      </c>
      <c r="AC23" s="186">
        <v>92470.56194805194</v>
      </c>
      <c r="AD23" s="189">
        <v>4.766233766233766</v>
      </c>
      <c r="AE23" s="186">
        <v>118752.0</v>
      </c>
      <c r="AF23" s="188">
        <v>15525.0</v>
      </c>
      <c r="AG23" s="187">
        <v>0.018858511358856085</v>
      </c>
      <c r="AH23" s="186">
        <v>192438.737027027</v>
      </c>
      <c r="AI23" s="219">
        <v>92.0</v>
      </c>
      <c r="AJ23" s="219">
        <v>836.0</v>
      </c>
      <c r="AK23" s="219">
        <v>5082.76</v>
      </c>
      <c r="AL23" s="219">
        <v>47.0</v>
      </c>
      <c r="AM23" s="191"/>
      <c r="AN23" s="75"/>
      <c r="AO23" s="192">
        <v>1221059.7300000004</v>
      </c>
    </row>
    <row r="24">
      <c r="A24" s="183" t="s">
        <v>126</v>
      </c>
      <c r="B24" s="183" t="s">
        <v>135</v>
      </c>
      <c r="C24" s="183" t="s">
        <v>136</v>
      </c>
      <c r="D24" s="75" t="s">
        <v>137</v>
      </c>
      <c r="E24" s="256">
        <v>43315.0</v>
      </c>
      <c r="F24" s="75" t="s">
        <v>1042</v>
      </c>
      <c r="G24" s="186">
        <v>4.2196144E7</v>
      </c>
      <c r="H24" s="186">
        <v>1.2500001E7</v>
      </c>
      <c r="I24" s="186">
        <v>1.125450784E7</v>
      </c>
      <c r="J24" s="186">
        <v>0.0</v>
      </c>
      <c r="K24" s="186">
        <v>1.1120719E7</v>
      </c>
      <c r="L24" s="187">
        <v>0.9003605551711555</v>
      </c>
      <c r="M24" s="188">
        <v>94.0</v>
      </c>
      <c r="N24" s="188">
        <v>91.0</v>
      </c>
      <c r="O24" s="188">
        <v>4.0</v>
      </c>
      <c r="P24" s="188">
        <v>98.0</v>
      </c>
      <c r="Q24" s="188">
        <v>7.0</v>
      </c>
      <c r="R24" s="188">
        <v>79.0</v>
      </c>
      <c r="S24" s="188">
        <v>0.0</v>
      </c>
      <c r="T24" s="188">
        <v>4.0</v>
      </c>
      <c r="U24" s="188">
        <v>5.0</v>
      </c>
      <c r="V24" s="188">
        <v>6.0</v>
      </c>
      <c r="W24" s="188">
        <v>14.0</v>
      </c>
      <c r="X24" s="188">
        <v>0.0</v>
      </c>
      <c r="Y24" s="188">
        <v>1.0</v>
      </c>
      <c r="Z24" s="188">
        <v>347.0</v>
      </c>
      <c r="AA24" s="188">
        <v>368.0</v>
      </c>
      <c r="AB24" s="188">
        <v>77.0</v>
      </c>
      <c r="AC24" s="186">
        <v>146162.43948051948</v>
      </c>
      <c r="AD24" s="189">
        <v>4.5064935064935066</v>
      </c>
      <c r="AE24" s="186">
        <v>375000.0</v>
      </c>
      <c r="AF24" s="188">
        <v>41980.0</v>
      </c>
      <c r="AG24" s="187">
        <v>0.03705004305190479</v>
      </c>
      <c r="AH24" s="186">
        <v>142462.12455696202</v>
      </c>
      <c r="AI24" s="219">
        <v>317.0</v>
      </c>
      <c r="AJ24" s="219">
        <v>574.0</v>
      </c>
      <c r="AK24" s="219">
        <v>4215.41</v>
      </c>
      <c r="AL24" s="219">
        <v>46.0</v>
      </c>
      <c r="AM24" s="191"/>
      <c r="AN24" s="75"/>
      <c r="AO24" s="192">
        <v>-133788.83999999985</v>
      </c>
    </row>
    <row r="25">
      <c r="A25" s="494" t="s">
        <v>185</v>
      </c>
      <c r="B25" s="183" t="s">
        <v>117</v>
      </c>
      <c r="C25" s="184" t="s">
        <v>524</v>
      </c>
      <c r="D25" s="75" t="s">
        <v>1054</v>
      </c>
      <c r="E25" s="256">
        <v>43424.0</v>
      </c>
      <c r="F25" s="75" t="s">
        <v>1044</v>
      </c>
      <c r="G25" s="186">
        <v>1.176726816E7</v>
      </c>
      <c r="H25" s="186">
        <v>8799999.9999</v>
      </c>
      <c r="I25" s="186">
        <v>2663327.38</v>
      </c>
      <c r="J25" s="186">
        <v>371067.3</v>
      </c>
      <c r="K25" s="186">
        <v>0.0</v>
      </c>
      <c r="L25" s="187">
        <v>0.34481757727664564</v>
      </c>
      <c r="M25" s="188">
        <v>109.0</v>
      </c>
      <c r="N25" s="188">
        <v>74.0</v>
      </c>
      <c r="O25" s="188">
        <v>1.0</v>
      </c>
      <c r="P25" s="188">
        <v>110.0</v>
      </c>
      <c r="Q25" s="188">
        <v>36.0</v>
      </c>
      <c r="R25" s="188">
        <v>66.0</v>
      </c>
      <c r="S25" s="188">
        <v>2.0</v>
      </c>
      <c r="T25" s="188">
        <v>1.0</v>
      </c>
      <c r="U25" s="188">
        <v>1.0</v>
      </c>
      <c r="V25" s="188">
        <v>1.0</v>
      </c>
      <c r="W25" s="188">
        <v>29.0</v>
      </c>
      <c r="X25" s="188">
        <v>21.0</v>
      </c>
      <c r="Y25" s="188">
        <v>0.0</v>
      </c>
      <c r="Z25" s="188">
        <v>284.0</v>
      </c>
      <c r="AA25" s="188">
        <v>335.0</v>
      </c>
      <c r="AB25" s="188">
        <v>73.0</v>
      </c>
      <c r="AC25" s="186">
        <v>41567.0504109589</v>
      </c>
      <c r="AD25" s="189">
        <v>3.8904109589041096</v>
      </c>
      <c r="AE25" s="186">
        <v>111255.0</v>
      </c>
      <c r="AF25" s="188">
        <v>35180.0</v>
      </c>
      <c r="AG25" s="187">
        <v>0.04825838937998666</v>
      </c>
      <c r="AH25" s="186">
        <v>40353.44515151515</v>
      </c>
      <c r="AI25" s="219">
        <v>156.0</v>
      </c>
      <c r="AJ25" s="219">
        <v>599.0</v>
      </c>
      <c r="AK25" s="219">
        <v>4734.79</v>
      </c>
      <c r="AL25" s="219">
        <v>64.0</v>
      </c>
      <c r="AM25" s="191"/>
      <c r="AN25" s="75"/>
      <c r="AO25" s="192">
        <v>-3034394.6799999997</v>
      </c>
    </row>
    <row r="26">
      <c r="A26" s="183" t="s">
        <v>185</v>
      </c>
      <c r="B26" s="183" t="s">
        <v>196</v>
      </c>
      <c r="C26" s="183" t="s">
        <v>207</v>
      </c>
      <c r="D26" s="75" t="s">
        <v>200</v>
      </c>
      <c r="E26" s="256">
        <v>43556.0</v>
      </c>
      <c r="F26" s="75" t="s">
        <v>1027</v>
      </c>
      <c r="G26" s="186">
        <v>1.69698946E7</v>
      </c>
      <c r="H26" s="186">
        <v>6000000.0</v>
      </c>
      <c r="I26" s="186">
        <v>4434309.57</v>
      </c>
      <c r="J26" s="186">
        <v>0.0</v>
      </c>
      <c r="K26" s="186">
        <v>4549746.0</v>
      </c>
      <c r="L26" s="187">
        <v>0.7390515950000001</v>
      </c>
      <c r="M26" s="188">
        <v>70.0</v>
      </c>
      <c r="N26" s="188">
        <v>68.0</v>
      </c>
      <c r="O26" s="188">
        <v>3.0</v>
      </c>
      <c r="P26" s="188">
        <v>73.0</v>
      </c>
      <c r="Q26" s="188">
        <v>5.0</v>
      </c>
      <c r="R26" s="188">
        <v>31.0</v>
      </c>
      <c r="S26" s="188">
        <v>0.0</v>
      </c>
      <c r="T26" s="188">
        <v>1.0</v>
      </c>
      <c r="U26" s="188">
        <v>0.0</v>
      </c>
      <c r="V26" s="188">
        <v>0.0</v>
      </c>
      <c r="W26" s="188">
        <v>73.0</v>
      </c>
      <c r="X26" s="188">
        <v>0.0</v>
      </c>
      <c r="Y26" s="188">
        <v>0.0</v>
      </c>
      <c r="Z26" s="188">
        <v>264.0</v>
      </c>
      <c r="AA26" s="188">
        <v>337.0</v>
      </c>
      <c r="AB26" s="188">
        <v>78.0</v>
      </c>
      <c r="AC26" s="186">
        <v>56850.1226923077</v>
      </c>
      <c r="AD26" s="189">
        <v>3.3846153846153846</v>
      </c>
      <c r="AE26" s="186">
        <v>106251.0</v>
      </c>
      <c r="AF26" s="188">
        <v>26680.0</v>
      </c>
      <c r="AG26" s="187">
        <v>0.029977834858291138</v>
      </c>
      <c r="AH26" s="186">
        <v>143042.2441935484</v>
      </c>
      <c r="AI26" s="219">
        <v>61.0</v>
      </c>
      <c r="AJ26" s="219">
        <v>627.0</v>
      </c>
      <c r="AK26" s="219">
        <v>2320.84</v>
      </c>
      <c r="AL26" s="219">
        <v>34.0</v>
      </c>
      <c r="AM26" s="191"/>
      <c r="AN26" s="75"/>
      <c r="AO26" s="192">
        <v>115436.4299999997</v>
      </c>
    </row>
    <row r="27">
      <c r="A27" s="183" t="s">
        <v>185</v>
      </c>
      <c r="B27" s="183" t="s">
        <v>85</v>
      </c>
      <c r="C27" s="184" t="s">
        <v>86</v>
      </c>
      <c r="D27" s="75" t="s">
        <v>87</v>
      </c>
      <c r="E27" s="256">
        <v>43557.0</v>
      </c>
      <c r="F27" s="75" t="s">
        <v>1055</v>
      </c>
      <c r="G27" s="186">
        <v>1.3932526E7</v>
      </c>
      <c r="H27" s="186">
        <v>5000001.0</v>
      </c>
      <c r="I27" s="186">
        <v>3499948.86</v>
      </c>
      <c r="J27" s="186">
        <v>0.0</v>
      </c>
      <c r="K27" s="186">
        <v>3521392.0</v>
      </c>
      <c r="L27" s="187">
        <v>0.6999896320020735</v>
      </c>
      <c r="M27" s="188">
        <v>121.0</v>
      </c>
      <c r="N27" s="188">
        <v>105.0</v>
      </c>
      <c r="O27" s="188">
        <v>3.0</v>
      </c>
      <c r="P27" s="188">
        <v>124.0</v>
      </c>
      <c r="Q27" s="188">
        <v>19.0</v>
      </c>
      <c r="R27" s="188">
        <v>55.0</v>
      </c>
      <c r="S27" s="188">
        <v>0.0</v>
      </c>
      <c r="T27" s="188">
        <v>3.0</v>
      </c>
      <c r="U27" s="188">
        <v>8.0</v>
      </c>
      <c r="V27" s="188">
        <v>9.0</v>
      </c>
      <c r="W27" s="188">
        <v>29.0</v>
      </c>
      <c r="X27" s="188">
        <v>0.0</v>
      </c>
      <c r="Y27" s="188">
        <v>0.0</v>
      </c>
      <c r="Z27" s="188">
        <v>367.0</v>
      </c>
      <c r="AA27" s="188">
        <v>405.0</v>
      </c>
      <c r="AB27" s="188">
        <v>74.0</v>
      </c>
      <c r="AC27" s="186">
        <v>47296.60621621621</v>
      </c>
      <c r="AD27" s="189">
        <v>4.95945945945946</v>
      </c>
      <c r="AE27" s="186">
        <v>151050.0</v>
      </c>
      <c r="AF27" s="188">
        <v>52247.0</v>
      </c>
      <c r="AG27" s="187">
        <v>0.05808570585799931</v>
      </c>
      <c r="AH27" s="186">
        <v>63635.43381818182</v>
      </c>
      <c r="AI27" s="219">
        <v>143.0</v>
      </c>
      <c r="AJ27" s="219">
        <v>676.0</v>
      </c>
      <c r="AK27" s="219">
        <v>6233.49</v>
      </c>
      <c r="AL27" s="219">
        <v>59.0</v>
      </c>
      <c r="AM27" s="191"/>
      <c r="AN27" s="75"/>
      <c r="AO27" s="192">
        <v>21443.14000000013</v>
      </c>
    </row>
    <row r="28">
      <c r="A28" s="183" t="s">
        <v>185</v>
      </c>
      <c r="B28" s="183" t="s">
        <v>212</v>
      </c>
      <c r="C28" s="183" t="s">
        <v>210</v>
      </c>
      <c r="D28" s="75" t="s">
        <v>211</v>
      </c>
      <c r="E28" s="256">
        <v>43647.0</v>
      </c>
      <c r="F28" s="75" t="s">
        <v>1031</v>
      </c>
      <c r="G28" s="186">
        <v>7.106953432E7</v>
      </c>
      <c r="H28" s="186">
        <v>1.875E7</v>
      </c>
      <c r="I28" s="186">
        <v>1.17630222E7</v>
      </c>
      <c r="J28" s="186">
        <v>0.0</v>
      </c>
      <c r="K28" s="186">
        <v>1.3663947E7</v>
      </c>
      <c r="L28" s="187">
        <v>0.627361184</v>
      </c>
      <c r="M28" s="188">
        <v>86.0</v>
      </c>
      <c r="N28" s="188">
        <v>87.0</v>
      </c>
      <c r="O28" s="188">
        <v>10.0</v>
      </c>
      <c r="P28" s="188">
        <v>96.0</v>
      </c>
      <c r="Q28" s="188">
        <v>9.0</v>
      </c>
      <c r="R28" s="188">
        <v>63.0</v>
      </c>
      <c r="S28" s="188">
        <v>0.0</v>
      </c>
      <c r="T28" s="188">
        <v>9.0</v>
      </c>
      <c r="U28" s="188">
        <v>11.0</v>
      </c>
      <c r="V28" s="188">
        <v>15.0</v>
      </c>
      <c r="W28" s="188">
        <v>22.0</v>
      </c>
      <c r="X28" s="188">
        <v>0.0</v>
      </c>
      <c r="Y28" s="188">
        <v>0.0</v>
      </c>
      <c r="Z28" s="188">
        <v>318.0</v>
      </c>
      <c r="AA28" s="188">
        <v>355.0</v>
      </c>
      <c r="AB28" s="188">
        <v>75.0</v>
      </c>
      <c r="AC28" s="186">
        <v>156840.296</v>
      </c>
      <c r="AD28" s="189">
        <v>4.24</v>
      </c>
      <c r="AE28" s="186">
        <v>85005.0</v>
      </c>
      <c r="AF28" s="188">
        <v>33320.0</v>
      </c>
      <c r="AG28" s="187">
        <v>0.010059064582909654</v>
      </c>
      <c r="AH28" s="186">
        <v>186714.63809523807</v>
      </c>
      <c r="AI28" s="219">
        <v>163.0</v>
      </c>
      <c r="AJ28" s="219">
        <v>775.0</v>
      </c>
      <c r="AK28" s="219">
        <v>5887.46</v>
      </c>
      <c r="AL28" s="219">
        <v>68.0</v>
      </c>
      <c r="AM28" s="191"/>
      <c r="AN28" s="75"/>
      <c r="AO28" s="192">
        <v>1900924.8000000007</v>
      </c>
    </row>
    <row r="29">
      <c r="A29" s="183" t="s">
        <v>185</v>
      </c>
      <c r="B29" s="183" t="s">
        <v>196</v>
      </c>
      <c r="C29" s="184" t="s">
        <v>208</v>
      </c>
      <c r="D29" s="75" t="s">
        <v>1056</v>
      </c>
      <c r="E29" s="256">
        <v>43710.0</v>
      </c>
      <c r="F29" s="75" t="s">
        <v>1027</v>
      </c>
      <c r="G29" s="186">
        <v>1.375314449E7</v>
      </c>
      <c r="H29" s="186">
        <v>6000000.0</v>
      </c>
      <c r="I29" s="186">
        <v>4171953.26</v>
      </c>
      <c r="J29" s="495">
        <v>319925.0</v>
      </c>
      <c r="K29" s="186">
        <v>4963636.0</v>
      </c>
      <c r="L29" s="187">
        <v>0.6953255433333333</v>
      </c>
      <c r="M29" s="188">
        <v>52.0</v>
      </c>
      <c r="N29" s="188">
        <v>49.0</v>
      </c>
      <c r="O29" s="188">
        <v>2.0</v>
      </c>
      <c r="P29" s="188">
        <v>54.0</v>
      </c>
      <c r="Q29" s="188">
        <v>5.0</v>
      </c>
      <c r="R29" s="188">
        <v>41.0</v>
      </c>
      <c r="S29" s="188">
        <v>0.0</v>
      </c>
      <c r="T29" s="188">
        <v>2.0</v>
      </c>
      <c r="U29" s="188">
        <v>10.0</v>
      </c>
      <c r="V29" s="188">
        <v>18.0</v>
      </c>
      <c r="W29" s="188">
        <v>3.0</v>
      </c>
      <c r="X29" s="188">
        <v>11.0</v>
      </c>
      <c r="Y29" s="188">
        <v>0.0</v>
      </c>
      <c r="Z29" s="188">
        <v>261.0</v>
      </c>
      <c r="AA29" s="188">
        <v>293.0</v>
      </c>
      <c r="AB29" s="188">
        <v>66.0</v>
      </c>
      <c r="AC29" s="186">
        <v>63211.413030303025</v>
      </c>
      <c r="AD29" s="189">
        <v>3.9545454545454546</v>
      </c>
      <c r="AE29" s="186">
        <v>135501.0</v>
      </c>
      <c r="AF29" s="188">
        <v>33764.0</v>
      </c>
      <c r="AG29" s="187">
        <v>0.04057212280465482</v>
      </c>
      <c r="AH29" s="186">
        <v>101754.9575609756</v>
      </c>
      <c r="AI29" s="219">
        <v>120.0</v>
      </c>
      <c r="AJ29" s="219">
        <v>703.0</v>
      </c>
      <c r="AK29" s="219">
        <v>6493.66</v>
      </c>
      <c r="AL29" s="219">
        <v>133.0</v>
      </c>
      <c r="AM29" s="191"/>
      <c r="AN29" s="75"/>
      <c r="AO29" s="192">
        <v>791682.7400000002</v>
      </c>
    </row>
    <row r="30">
      <c r="A30" s="183" t="s">
        <v>185</v>
      </c>
      <c r="B30" s="183" t="s">
        <v>222</v>
      </c>
      <c r="C30" s="184" t="s">
        <v>223</v>
      </c>
      <c r="D30" s="75" t="s">
        <v>224</v>
      </c>
      <c r="E30" s="256">
        <v>43710.0</v>
      </c>
      <c r="F30" s="75" t="s">
        <v>1057</v>
      </c>
      <c r="G30" s="186">
        <v>1.0055911E7</v>
      </c>
      <c r="H30" s="186">
        <v>4500000.0</v>
      </c>
      <c r="I30" s="186">
        <v>3632109.63</v>
      </c>
      <c r="J30" s="186">
        <v>0.0</v>
      </c>
      <c r="K30" s="186">
        <v>3339591.0</v>
      </c>
      <c r="L30" s="187">
        <v>0.8071354733333334</v>
      </c>
      <c r="M30" s="188">
        <v>77.0</v>
      </c>
      <c r="N30" s="188">
        <v>58.0</v>
      </c>
      <c r="O30" s="188">
        <v>1.0</v>
      </c>
      <c r="P30" s="188">
        <v>78.0</v>
      </c>
      <c r="Q30" s="188">
        <v>20.0</v>
      </c>
      <c r="R30" s="188">
        <v>35.0</v>
      </c>
      <c r="S30" s="188">
        <v>0.0</v>
      </c>
      <c r="T30" s="188">
        <v>1.0</v>
      </c>
      <c r="U30" s="188">
        <v>6.0</v>
      </c>
      <c r="V30" s="188">
        <v>10.0</v>
      </c>
      <c r="W30" s="188">
        <v>24.0</v>
      </c>
      <c r="X30" s="188">
        <v>0.0</v>
      </c>
      <c r="Y30" s="188">
        <v>1.0</v>
      </c>
      <c r="Z30" s="188">
        <v>316.0</v>
      </c>
      <c r="AA30" s="188">
        <v>351.0</v>
      </c>
      <c r="AB30" s="188">
        <v>74.0</v>
      </c>
      <c r="AC30" s="186">
        <v>49082.56256756757</v>
      </c>
      <c r="AD30" s="189">
        <v>4.27027027027027</v>
      </c>
      <c r="AE30" s="186">
        <v>76500.0</v>
      </c>
      <c r="AF30" s="188">
        <v>28980.0</v>
      </c>
      <c r="AG30" s="187">
        <v>0.02904097363382724</v>
      </c>
      <c r="AH30" s="186">
        <v>103774.56085714286</v>
      </c>
      <c r="AI30" s="219">
        <v>72.0</v>
      </c>
      <c r="AJ30" s="219">
        <v>730.0</v>
      </c>
      <c r="AK30" s="219">
        <v>2883.28</v>
      </c>
      <c r="AL30" s="219">
        <v>50.0</v>
      </c>
      <c r="AM30" s="191"/>
      <c r="AN30" s="75"/>
      <c r="AO30" s="192">
        <v>-292518.6299999999</v>
      </c>
    </row>
    <row r="31">
      <c r="A31" s="183" t="s">
        <v>185</v>
      </c>
      <c r="B31" s="183" t="s">
        <v>85</v>
      </c>
      <c r="C31" s="184" t="s">
        <v>88</v>
      </c>
      <c r="D31" s="75" t="s">
        <v>1059</v>
      </c>
      <c r="E31" s="256">
        <v>44046.0</v>
      </c>
      <c r="F31" s="75" t="s">
        <v>1058</v>
      </c>
      <c r="G31" s="186">
        <v>1.624149224E7</v>
      </c>
      <c r="H31" s="186">
        <v>5874999.0</v>
      </c>
      <c r="I31" s="186">
        <v>3521017.67</v>
      </c>
      <c r="J31" s="186">
        <v>0.0</v>
      </c>
      <c r="K31" s="186">
        <v>2776302.79</v>
      </c>
      <c r="L31" s="187">
        <v>0.599322258608044</v>
      </c>
      <c r="M31" s="188">
        <v>100.0</v>
      </c>
      <c r="N31" s="188">
        <v>102.0</v>
      </c>
      <c r="O31" s="188">
        <v>2.0</v>
      </c>
      <c r="P31" s="188">
        <v>102.0</v>
      </c>
      <c r="Q31" s="188">
        <v>0.0</v>
      </c>
      <c r="R31" s="188">
        <v>72.0</v>
      </c>
      <c r="S31" s="188">
        <v>0.0</v>
      </c>
      <c r="T31" s="188">
        <v>2.0</v>
      </c>
      <c r="U31" s="188">
        <v>2.0</v>
      </c>
      <c r="V31" s="188">
        <v>5.0</v>
      </c>
      <c r="W31" s="188">
        <v>3.0</v>
      </c>
      <c r="X31" s="188">
        <v>0.0</v>
      </c>
      <c r="Y31" s="188">
        <v>1.0</v>
      </c>
      <c r="Z31" s="188">
        <v>467.0</v>
      </c>
      <c r="AA31" s="188">
        <v>476.0</v>
      </c>
      <c r="AB31" s="188">
        <v>72.0</v>
      </c>
      <c r="AC31" s="186">
        <v>48903.023194444446</v>
      </c>
      <c r="AD31" s="189">
        <v>6.486111111111111</v>
      </c>
      <c r="AE31" s="186">
        <v>95928.0</v>
      </c>
      <c r="AF31" s="186">
        <v>37017.0</v>
      </c>
      <c r="AG31" s="187">
        <v>0.0377575497938356</v>
      </c>
      <c r="AH31" s="186">
        <v>48903.023194444446</v>
      </c>
      <c r="AI31" s="219">
        <v>155.0</v>
      </c>
      <c r="AJ31" s="219">
        <v>795.0</v>
      </c>
      <c r="AK31" s="219">
        <v>8186.67</v>
      </c>
      <c r="AL31" s="219">
        <v>80.0</v>
      </c>
      <c r="AM31" s="191"/>
      <c r="AN31" s="75"/>
      <c r="AO31" s="192">
        <v>-744714.8799999999</v>
      </c>
    </row>
    <row r="32">
      <c r="A32" s="183" t="s">
        <v>185</v>
      </c>
      <c r="B32" s="183" t="s">
        <v>212</v>
      </c>
      <c r="C32" s="184" t="s">
        <v>225</v>
      </c>
      <c r="D32" s="75" t="s">
        <v>226</v>
      </c>
      <c r="E32" s="256">
        <v>44166.0</v>
      </c>
      <c r="F32" s="75" t="s">
        <v>1031</v>
      </c>
      <c r="G32" s="186">
        <v>6083540.0</v>
      </c>
      <c r="H32" s="186">
        <v>4500000.0</v>
      </c>
      <c r="I32" s="186">
        <v>3098487.61</v>
      </c>
      <c r="J32" s="186">
        <v>0.0</v>
      </c>
      <c r="K32" s="186">
        <v>8078989.0</v>
      </c>
      <c r="L32" s="187">
        <v>0.6885528022222221</v>
      </c>
      <c r="M32" s="188">
        <v>42.0</v>
      </c>
      <c r="N32" s="188">
        <v>40.0</v>
      </c>
      <c r="O32" s="188">
        <v>0.0</v>
      </c>
      <c r="P32" s="188">
        <v>42.0</v>
      </c>
      <c r="Q32" s="188">
        <v>2.0</v>
      </c>
      <c r="R32" s="188">
        <v>18.0</v>
      </c>
      <c r="S32" s="188">
        <v>0.0</v>
      </c>
      <c r="T32" s="188">
        <v>0.0</v>
      </c>
      <c r="U32" s="188">
        <v>8.0</v>
      </c>
      <c r="V32" s="188">
        <v>10.0</v>
      </c>
      <c r="W32" s="188">
        <v>18.0</v>
      </c>
      <c r="X32" s="188">
        <v>0.0</v>
      </c>
      <c r="Y32" s="188">
        <v>0.0</v>
      </c>
      <c r="Z32" s="188">
        <v>215.0</v>
      </c>
      <c r="AA32" s="188">
        <v>243.0</v>
      </c>
      <c r="AB32" s="188">
        <v>72.0</v>
      </c>
      <c r="AC32" s="186">
        <v>43034.55013888889</v>
      </c>
      <c r="AD32" s="189">
        <v>2.986111111111111</v>
      </c>
      <c r="AE32" s="186">
        <v>75501.0</v>
      </c>
      <c r="AF32" s="186">
        <v>28946.0</v>
      </c>
      <c r="AG32" s="187">
        <v>0.03370902619165226</v>
      </c>
      <c r="AH32" s="186">
        <v>172138.20055555555</v>
      </c>
      <c r="AI32" s="219">
        <v>27.0</v>
      </c>
      <c r="AJ32" s="219">
        <v>594.0</v>
      </c>
      <c r="AK32" s="219">
        <v>2591.75</v>
      </c>
      <c r="AL32" s="219">
        <v>65.0</v>
      </c>
      <c r="AM32" s="191"/>
      <c r="AN32" s="75"/>
      <c r="AO32" s="192">
        <v>4980501.390000001</v>
      </c>
    </row>
    <row r="33">
      <c r="A33" s="183" t="s">
        <v>126</v>
      </c>
      <c r="B33" s="183" t="s">
        <v>140</v>
      </c>
      <c r="C33" s="184" t="s">
        <v>591</v>
      </c>
      <c r="D33" s="75" t="s">
        <v>174</v>
      </c>
      <c r="E33" s="256">
        <v>44207.0</v>
      </c>
      <c r="F33" s="75" t="s">
        <v>1061</v>
      </c>
      <c r="G33" s="186">
        <v>7509183.0</v>
      </c>
      <c r="H33" s="186">
        <v>0.0</v>
      </c>
      <c r="I33" s="186">
        <v>306632.08</v>
      </c>
      <c r="J33" s="186">
        <v>0.0</v>
      </c>
      <c r="K33" s="186">
        <v>0.0</v>
      </c>
      <c r="L33" s="187"/>
      <c r="M33" s="188">
        <v>70.0</v>
      </c>
      <c r="N33" s="188">
        <v>43.0</v>
      </c>
      <c r="O33" s="188">
        <v>0.0</v>
      </c>
      <c r="P33" s="188">
        <v>70.0</v>
      </c>
      <c r="Q33" s="188">
        <v>27.0</v>
      </c>
      <c r="R33" s="188">
        <v>13.0</v>
      </c>
      <c r="S33" s="188">
        <v>0.0</v>
      </c>
      <c r="T33" s="188">
        <v>0.0</v>
      </c>
      <c r="U33" s="188">
        <v>4.0</v>
      </c>
      <c r="V33" s="188">
        <v>5.0</v>
      </c>
      <c r="W33" s="188">
        <v>1.0</v>
      </c>
      <c r="X33" s="188">
        <v>0.0</v>
      </c>
      <c r="Y33" s="188">
        <v>0.0</v>
      </c>
      <c r="Z33" s="188">
        <v>73.0</v>
      </c>
      <c r="AA33" s="188">
        <v>79.0</v>
      </c>
      <c r="AB33" s="188">
        <v>23.0</v>
      </c>
      <c r="AC33" s="186">
        <v>13331.829565217393</v>
      </c>
      <c r="AD33" s="189">
        <v>3.1739130434782608</v>
      </c>
      <c r="AE33" s="186">
        <v>40085.0</v>
      </c>
      <c r="AF33" s="186">
        <v>10260.0</v>
      </c>
      <c r="AG33" s="187">
        <v>0.16418699569855835</v>
      </c>
      <c r="AH33" s="186">
        <v>23587.083076923078</v>
      </c>
      <c r="AI33" s="219">
        <v>19.0</v>
      </c>
      <c r="AJ33" s="219">
        <v>196.0</v>
      </c>
      <c r="AK33" s="219">
        <v>734.57</v>
      </c>
      <c r="AL33" s="219">
        <v>17.0</v>
      </c>
      <c r="AM33" s="191">
        <v>45777.0</v>
      </c>
      <c r="AN33" s="75"/>
      <c r="AO33" s="192">
        <v>-306632.08</v>
      </c>
    </row>
    <row r="34">
      <c r="A34" s="183" t="s">
        <v>97</v>
      </c>
      <c r="B34" s="183" t="s">
        <v>101</v>
      </c>
      <c r="C34" s="184" t="s">
        <v>597</v>
      </c>
      <c r="D34" s="75" t="s">
        <v>1063</v>
      </c>
      <c r="E34" s="256">
        <v>44224.0</v>
      </c>
      <c r="F34" s="75" t="s">
        <v>1062</v>
      </c>
      <c r="G34" s="186"/>
      <c r="H34" s="186">
        <v>0.0</v>
      </c>
      <c r="I34" s="186">
        <v>0.0</v>
      </c>
      <c r="J34" s="186">
        <v>0.0</v>
      </c>
      <c r="K34" s="186"/>
      <c r="L34" s="187"/>
      <c r="M34" s="188">
        <v>146.0</v>
      </c>
      <c r="N34" s="188">
        <v>42.0</v>
      </c>
      <c r="O34" s="188">
        <v>2.0</v>
      </c>
      <c r="P34" s="188">
        <v>148.0</v>
      </c>
      <c r="Q34" s="188">
        <v>106.0</v>
      </c>
      <c r="R34" s="188">
        <v>0.0</v>
      </c>
      <c r="S34" s="188">
        <v>0.0</v>
      </c>
      <c r="T34" s="188">
        <v>0.0</v>
      </c>
      <c r="U34" s="188">
        <v>3.0</v>
      </c>
      <c r="V34" s="188">
        <v>3.0</v>
      </c>
      <c r="W34" s="188">
        <v>1.0</v>
      </c>
      <c r="X34" s="188">
        <v>0.0</v>
      </c>
      <c r="Y34" s="188">
        <v>0.0</v>
      </c>
      <c r="Z34" s="188">
        <v>75.0</v>
      </c>
      <c r="AA34" s="188">
        <v>79.0</v>
      </c>
      <c r="AB34" s="188">
        <v>18.0</v>
      </c>
      <c r="AC34" s="186">
        <v>0.0</v>
      </c>
      <c r="AD34" s="189">
        <v>4.166666666666667</v>
      </c>
      <c r="AE34" s="186">
        <v>31988.7</v>
      </c>
      <c r="AF34" s="186">
        <v>9680.0</v>
      </c>
      <c r="AG34" s="187"/>
      <c r="AH34" s="186"/>
      <c r="AI34" s="219">
        <v>0.0</v>
      </c>
      <c r="AJ34" s="219">
        <v>142.0</v>
      </c>
      <c r="AK34" s="219">
        <v>655.94</v>
      </c>
      <c r="AL34" s="219">
        <v>16.0</v>
      </c>
      <c r="AM34" s="191">
        <v>45774.0</v>
      </c>
      <c r="AN34" s="75"/>
      <c r="AO34" s="192">
        <v>0.0</v>
      </c>
    </row>
    <row r="35">
      <c r="A35" s="183" t="s">
        <v>185</v>
      </c>
      <c r="B35" s="183" t="s">
        <v>215</v>
      </c>
      <c r="C35" s="183" t="s">
        <v>213</v>
      </c>
      <c r="D35" s="75" t="s">
        <v>214</v>
      </c>
      <c r="E35" s="256">
        <v>44228.0</v>
      </c>
      <c r="F35" s="75" t="s">
        <v>1064</v>
      </c>
      <c r="G35" s="186">
        <v>2.7236545E7</v>
      </c>
      <c r="H35" s="186">
        <v>1.05E7</v>
      </c>
      <c r="I35" s="186">
        <v>3878092.24</v>
      </c>
      <c r="J35" s="186">
        <v>0.0</v>
      </c>
      <c r="K35" s="186">
        <v>7415352.0</v>
      </c>
      <c r="L35" s="187">
        <v>0.3693421180952381</v>
      </c>
      <c r="M35" s="188">
        <v>75.0</v>
      </c>
      <c r="N35" s="188">
        <v>64.0</v>
      </c>
      <c r="O35" s="188">
        <v>0.0</v>
      </c>
      <c r="P35" s="188">
        <v>75.0</v>
      </c>
      <c r="Q35" s="188">
        <v>11.0</v>
      </c>
      <c r="R35" s="188">
        <v>39.0</v>
      </c>
      <c r="S35" s="188">
        <v>0.0</v>
      </c>
      <c r="T35" s="188">
        <v>0.0</v>
      </c>
      <c r="U35" s="188">
        <v>27.0</v>
      </c>
      <c r="V35" s="188">
        <v>36.0</v>
      </c>
      <c r="W35" s="188">
        <v>61.0</v>
      </c>
      <c r="X35" s="188">
        <v>0.0</v>
      </c>
      <c r="Y35" s="188">
        <v>0.0</v>
      </c>
      <c r="Z35" s="188">
        <v>132.0</v>
      </c>
      <c r="AA35" s="188">
        <v>229.0</v>
      </c>
      <c r="AB35" s="188">
        <v>74.0</v>
      </c>
      <c r="AC35" s="186">
        <v>52406.651891891896</v>
      </c>
      <c r="AD35" s="189">
        <v>1.7837837837837838</v>
      </c>
      <c r="AE35" s="186">
        <v>112500.0</v>
      </c>
      <c r="AF35" s="186">
        <v>29215.0</v>
      </c>
      <c r="AG35" s="187">
        <v>0.036542452120736556</v>
      </c>
      <c r="AH35" s="186">
        <v>99438.26256410257</v>
      </c>
      <c r="AI35" s="219">
        <v>61.0</v>
      </c>
      <c r="AJ35" s="219">
        <v>726.0</v>
      </c>
      <c r="AK35" s="219">
        <v>3415.88</v>
      </c>
      <c r="AL35" s="219">
        <v>53.0</v>
      </c>
      <c r="AM35" s="191"/>
      <c r="AN35" s="75"/>
      <c r="AO35" s="192">
        <v>3537259.76</v>
      </c>
    </row>
    <row r="36">
      <c r="A36" s="183" t="s">
        <v>126</v>
      </c>
      <c r="B36" s="183" t="s">
        <v>140</v>
      </c>
      <c r="C36" s="184" t="s">
        <v>604</v>
      </c>
      <c r="D36" s="75" t="s">
        <v>139</v>
      </c>
      <c r="E36" s="256">
        <v>44245.0</v>
      </c>
      <c r="F36" s="75" t="s">
        <v>1061</v>
      </c>
      <c r="G36" s="186">
        <v>1.5003664E7</v>
      </c>
      <c r="H36" s="186">
        <v>6999999.0</v>
      </c>
      <c r="I36" s="186">
        <v>3281936.76</v>
      </c>
      <c r="J36" s="186">
        <v>0.0</v>
      </c>
      <c r="K36" s="186">
        <v>2728072.0</v>
      </c>
      <c r="L36" s="187">
        <v>0.46884817554973934</v>
      </c>
      <c r="M36" s="188">
        <v>99.0</v>
      </c>
      <c r="N36" s="188">
        <v>81.0</v>
      </c>
      <c r="O36" s="188">
        <v>4.0</v>
      </c>
      <c r="P36" s="188">
        <v>103.0</v>
      </c>
      <c r="Q36" s="188">
        <v>22.0</v>
      </c>
      <c r="R36" s="188">
        <v>48.0</v>
      </c>
      <c r="S36" s="188">
        <v>0.0</v>
      </c>
      <c r="T36" s="188">
        <v>4.0</v>
      </c>
      <c r="U36" s="188">
        <v>17.0</v>
      </c>
      <c r="V36" s="188">
        <v>26.0</v>
      </c>
      <c r="W36" s="188">
        <v>8.0</v>
      </c>
      <c r="X36" s="188">
        <v>0.0</v>
      </c>
      <c r="Y36" s="188">
        <v>0.0</v>
      </c>
      <c r="Z36" s="188">
        <v>201.0</v>
      </c>
      <c r="AA36" s="188">
        <v>235.0</v>
      </c>
      <c r="AB36" s="188">
        <v>68.0</v>
      </c>
      <c r="AC36" s="186">
        <v>48263.77588235294</v>
      </c>
      <c r="AD36" s="189">
        <v>2.9558823529411766</v>
      </c>
      <c r="AE36" s="186">
        <v>108750.0</v>
      </c>
      <c r="AF36" s="186">
        <v>31829.0</v>
      </c>
      <c r="AG36" s="187">
        <v>0.042834158693539244</v>
      </c>
      <c r="AH36" s="186">
        <v>68373.6825</v>
      </c>
      <c r="AI36" s="219">
        <v>95.0</v>
      </c>
      <c r="AJ36" s="219">
        <v>669.0</v>
      </c>
      <c r="AK36" s="219">
        <v>4522.59</v>
      </c>
      <c r="AL36" s="219">
        <v>56.0</v>
      </c>
      <c r="AM36" s="191"/>
      <c r="AN36" s="75"/>
      <c r="AO36" s="192">
        <v>-553864.7599999998</v>
      </c>
    </row>
    <row r="37">
      <c r="A37" s="183" t="s">
        <v>126</v>
      </c>
      <c r="B37" s="183" t="s">
        <v>130</v>
      </c>
      <c r="C37" s="184" t="s">
        <v>141</v>
      </c>
      <c r="D37" s="75" t="s">
        <v>142</v>
      </c>
      <c r="E37" s="256">
        <v>44247.0</v>
      </c>
      <c r="F37" s="75" t="s">
        <v>130</v>
      </c>
      <c r="G37" s="186">
        <v>1.8863938540000003E7</v>
      </c>
      <c r="H37" s="186">
        <v>9999999.0</v>
      </c>
      <c r="I37" s="186">
        <v>6370623.03</v>
      </c>
      <c r="J37" s="186">
        <v>0.0</v>
      </c>
      <c r="K37" s="186">
        <v>2319789.08</v>
      </c>
      <c r="L37" s="187">
        <v>0.6370623667062367</v>
      </c>
      <c r="M37" s="188">
        <v>74.0</v>
      </c>
      <c r="N37" s="188">
        <v>42.0</v>
      </c>
      <c r="O37" s="188">
        <v>17.0</v>
      </c>
      <c r="P37" s="188">
        <v>91.0</v>
      </c>
      <c r="Q37" s="188">
        <v>49.0</v>
      </c>
      <c r="R37" s="188">
        <v>50.0</v>
      </c>
      <c r="S37" s="188">
        <v>0.0</v>
      </c>
      <c r="T37" s="188">
        <v>17.0</v>
      </c>
      <c r="U37" s="188">
        <v>1.0</v>
      </c>
      <c r="V37" s="188">
        <v>1.0</v>
      </c>
      <c r="W37" s="188">
        <v>51.0</v>
      </c>
      <c r="X37" s="188">
        <v>0.0</v>
      </c>
      <c r="Y37" s="188">
        <v>0.0</v>
      </c>
      <c r="Z37" s="188">
        <v>178.0</v>
      </c>
      <c r="AA37" s="188">
        <v>230.0</v>
      </c>
      <c r="AB37" s="188">
        <v>71.0</v>
      </c>
      <c r="AC37" s="186">
        <v>89727.08492957747</v>
      </c>
      <c r="AD37" s="189">
        <v>2.507042253521127</v>
      </c>
      <c r="AE37" s="186">
        <v>113751.0</v>
      </c>
      <c r="AF37" s="186">
        <v>25140.0</v>
      </c>
      <c r="AG37" s="187">
        <v>0.02180179228090349</v>
      </c>
      <c r="AH37" s="186">
        <v>127412.4606</v>
      </c>
      <c r="AI37" s="219">
        <v>174.0</v>
      </c>
      <c r="AJ37" s="219">
        <v>738.0</v>
      </c>
      <c r="AK37" s="219">
        <v>3121.96</v>
      </c>
      <c r="AL37" s="219">
        <v>74.0</v>
      </c>
      <c r="AM37" s="191"/>
      <c r="AN37" s="75"/>
      <c r="AO37" s="192">
        <v>-4050833.95</v>
      </c>
    </row>
    <row r="38">
      <c r="A38" s="183" t="s">
        <v>185</v>
      </c>
      <c r="B38" s="183" t="s">
        <v>212</v>
      </c>
      <c r="C38" s="184" t="s">
        <v>218</v>
      </c>
      <c r="D38" s="75" t="s">
        <v>219</v>
      </c>
      <c r="E38" s="256">
        <v>44396.0</v>
      </c>
      <c r="F38" s="75" t="s">
        <v>1031</v>
      </c>
      <c r="G38" s="186">
        <v>0.0</v>
      </c>
      <c r="H38" s="186">
        <v>7500000.0</v>
      </c>
      <c r="I38" s="186">
        <v>7253032.94</v>
      </c>
      <c r="J38" s="186">
        <v>0.0</v>
      </c>
      <c r="K38" s="186">
        <v>1.030346E7</v>
      </c>
      <c r="L38" s="187">
        <v>0.9670710586666668</v>
      </c>
      <c r="M38" s="188">
        <v>242.0</v>
      </c>
      <c r="N38" s="188">
        <v>114.0</v>
      </c>
      <c r="O38" s="188">
        <v>3.0</v>
      </c>
      <c r="P38" s="188">
        <v>245.0</v>
      </c>
      <c r="Q38" s="188">
        <v>131.0</v>
      </c>
      <c r="R38" s="188">
        <v>48.0</v>
      </c>
      <c r="S38" s="188">
        <v>0.0</v>
      </c>
      <c r="T38" s="188">
        <v>1.0</v>
      </c>
      <c r="U38" s="188">
        <v>123.0</v>
      </c>
      <c r="V38" s="188">
        <v>138.0</v>
      </c>
      <c r="W38" s="188">
        <v>42.0</v>
      </c>
      <c r="X38" s="188">
        <v>0.0</v>
      </c>
      <c r="Y38" s="188">
        <v>2.0</v>
      </c>
      <c r="Z38" s="188">
        <v>223.0</v>
      </c>
      <c r="AA38" s="188">
        <v>405.0</v>
      </c>
      <c r="AB38" s="188">
        <v>76.0</v>
      </c>
      <c r="AC38" s="186">
        <v>95434.64394736843</v>
      </c>
      <c r="AD38" s="189">
        <v>2.9342105263157894</v>
      </c>
      <c r="AE38" s="186">
        <v>135501.0</v>
      </c>
      <c r="AF38" s="186">
        <v>57939.0</v>
      </c>
      <c r="AG38" s="187">
        <v>0.026670222181563674</v>
      </c>
      <c r="AH38" s="186">
        <v>151104.85291666668</v>
      </c>
      <c r="AI38" s="219">
        <v>80.0</v>
      </c>
      <c r="AJ38" s="219">
        <v>776.0</v>
      </c>
      <c r="AK38" s="219">
        <v>4160.82</v>
      </c>
      <c r="AL38" s="219">
        <v>36.0</v>
      </c>
      <c r="AM38" s="191"/>
      <c r="AN38" s="75"/>
      <c r="AO38" s="192">
        <v>3050427.0599999996</v>
      </c>
    </row>
    <row r="39">
      <c r="A39" s="183" t="s">
        <v>185</v>
      </c>
      <c r="B39" s="183" t="s">
        <v>215</v>
      </c>
      <c r="C39" s="184" t="s">
        <v>216</v>
      </c>
      <c r="D39" s="75" t="s">
        <v>217</v>
      </c>
      <c r="E39" s="256">
        <v>44424.0</v>
      </c>
      <c r="F39" s="75" t="s">
        <v>1065</v>
      </c>
      <c r="G39" s="186">
        <v>5.8277388E7</v>
      </c>
      <c r="H39" s="186">
        <v>2.2250001E7</v>
      </c>
      <c r="I39" s="186">
        <v>5959699.84</v>
      </c>
      <c r="J39" s="186">
        <v>0.0</v>
      </c>
      <c r="K39" s="186">
        <v>1.514E7</v>
      </c>
      <c r="L39" s="187">
        <v>0.26785166616397005</v>
      </c>
      <c r="M39" s="188">
        <v>72.0</v>
      </c>
      <c r="N39" s="188">
        <v>70.0</v>
      </c>
      <c r="O39" s="188">
        <v>3.0</v>
      </c>
      <c r="P39" s="188">
        <v>75.0</v>
      </c>
      <c r="Q39" s="188">
        <v>5.0</v>
      </c>
      <c r="R39" s="188">
        <v>31.0</v>
      </c>
      <c r="S39" s="188">
        <v>0.0</v>
      </c>
      <c r="T39" s="188">
        <v>2.0</v>
      </c>
      <c r="U39" s="188">
        <v>11.0</v>
      </c>
      <c r="V39" s="188">
        <v>15.0</v>
      </c>
      <c r="W39" s="188">
        <v>48.0</v>
      </c>
      <c r="X39" s="188">
        <v>0.0</v>
      </c>
      <c r="Y39" s="188">
        <v>0.0</v>
      </c>
      <c r="Z39" s="188">
        <v>268.0</v>
      </c>
      <c r="AA39" s="188">
        <v>331.0</v>
      </c>
      <c r="AB39" s="188">
        <v>69.0</v>
      </c>
      <c r="AC39" s="186">
        <v>86372.46144927536</v>
      </c>
      <c r="AD39" s="189">
        <v>3.8840579710144927</v>
      </c>
      <c r="AE39" s="186">
        <v>135240.0</v>
      </c>
      <c r="AF39" s="186">
        <v>28867.0</v>
      </c>
      <c r="AG39" s="187">
        <v>0.027536118329073433</v>
      </c>
      <c r="AH39" s="186">
        <v>192248.38193548386</v>
      </c>
      <c r="AI39" s="219">
        <v>47.0</v>
      </c>
      <c r="AJ39" s="219">
        <v>744.0</v>
      </c>
      <c r="AK39" s="219">
        <v>3994.27</v>
      </c>
      <c r="AL39" s="219">
        <v>57.0</v>
      </c>
      <c r="AM39" s="191"/>
      <c r="AN39" s="75"/>
      <c r="AO39" s="192">
        <v>9180300.16</v>
      </c>
    </row>
    <row r="40">
      <c r="A40" s="183" t="s">
        <v>298</v>
      </c>
      <c r="B40" s="183" t="s">
        <v>301</v>
      </c>
      <c r="C40" s="184" t="s">
        <v>302</v>
      </c>
      <c r="D40" s="75" t="s">
        <v>303</v>
      </c>
      <c r="E40" s="256">
        <v>44459.0</v>
      </c>
      <c r="F40" s="75" t="s">
        <v>1066</v>
      </c>
      <c r="G40" s="186">
        <v>2.4878609E7</v>
      </c>
      <c r="H40" s="495">
        <v>5400000.0</v>
      </c>
      <c r="I40" s="186">
        <v>3034883.68</v>
      </c>
      <c r="J40" s="186">
        <v>0.0</v>
      </c>
      <c r="K40" s="186">
        <v>0.0</v>
      </c>
      <c r="L40" s="187">
        <v>0.4398382144927536</v>
      </c>
      <c r="M40" s="188">
        <v>84.0</v>
      </c>
      <c r="N40" s="188">
        <v>29.0</v>
      </c>
      <c r="O40" s="188">
        <v>0.0</v>
      </c>
      <c r="P40" s="188">
        <v>84.0</v>
      </c>
      <c r="Q40" s="188">
        <v>55.0</v>
      </c>
      <c r="R40" s="188">
        <v>26.0</v>
      </c>
      <c r="S40" s="188">
        <v>0.0</v>
      </c>
      <c r="T40" s="188">
        <v>0.0</v>
      </c>
      <c r="U40" s="188">
        <v>6.0</v>
      </c>
      <c r="V40" s="188">
        <v>6.0</v>
      </c>
      <c r="W40" s="188">
        <v>57.0</v>
      </c>
      <c r="X40" s="188">
        <v>0.0</v>
      </c>
      <c r="Y40" s="188">
        <v>1.0</v>
      </c>
      <c r="Z40" s="188">
        <v>65.0</v>
      </c>
      <c r="AA40" s="188">
        <v>129.0</v>
      </c>
      <c r="AB40" s="188">
        <v>75.0</v>
      </c>
      <c r="AC40" s="186">
        <v>40465.11573333333</v>
      </c>
      <c r="AD40" s="189">
        <v>0.8666666666666667</v>
      </c>
      <c r="AE40" s="186">
        <v>148755.0</v>
      </c>
      <c r="AF40" s="186">
        <v>45268.0</v>
      </c>
      <c r="AG40" s="187">
        <v>0.06393095105378141</v>
      </c>
      <c r="AH40" s="186">
        <v>116726.2953846154</v>
      </c>
      <c r="AI40" s="219">
        <v>45.0</v>
      </c>
      <c r="AJ40" s="219">
        <v>772.0</v>
      </c>
      <c r="AK40" s="219">
        <v>6789.55</v>
      </c>
      <c r="AL40" s="219">
        <v>234.0</v>
      </c>
      <c r="AM40" s="191"/>
      <c r="AN40" s="75"/>
      <c r="AO40" s="192">
        <v>-3034883.68</v>
      </c>
    </row>
    <row r="41">
      <c r="A41" s="183" t="s">
        <v>185</v>
      </c>
      <c r="B41" s="183" t="s">
        <v>222</v>
      </c>
      <c r="C41" s="184" t="s">
        <v>220</v>
      </c>
      <c r="D41" s="75" t="s">
        <v>221</v>
      </c>
      <c r="E41" s="256">
        <v>44501.0</v>
      </c>
      <c r="F41" s="75" t="s">
        <v>1057</v>
      </c>
      <c r="G41" s="186">
        <v>3.525324E7</v>
      </c>
      <c r="H41" s="186">
        <v>1.35E7</v>
      </c>
      <c r="I41" s="186">
        <v>1.107705179E7</v>
      </c>
      <c r="J41" s="186">
        <v>0.0</v>
      </c>
      <c r="K41" s="186">
        <v>1.105246E7</v>
      </c>
      <c r="L41" s="187">
        <v>0.8205223548148147</v>
      </c>
      <c r="M41" s="188">
        <v>101.0</v>
      </c>
      <c r="N41" s="188">
        <v>88.0</v>
      </c>
      <c r="O41" s="188">
        <v>3.0</v>
      </c>
      <c r="P41" s="188">
        <v>104.0</v>
      </c>
      <c r="Q41" s="188">
        <v>16.0</v>
      </c>
      <c r="R41" s="188">
        <v>36.0</v>
      </c>
      <c r="S41" s="188">
        <v>0.0</v>
      </c>
      <c r="T41" s="188">
        <v>3.0</v>
      </c>
      <c r="U41" s="188">
        <v>4.0</v>
      </c>
      <c r="V41" s="188">
        <v>6.0</v>
      </c>
      <c r="W41" s="188">
        <v>1.0</v>
      </c>
      <c r="X41" s="188">
        <v>0.0</v>
      </c>
      <c r="Y41" s="188">
        <v>0.0</v>
      </c>
      <c r="Z41" s="188">
        <v>527.0</v>
      </c>
      <c r="AA41" s="188">
        <v>534.0</v>
      </c>
      <c r="AB41" s="188">
        <v>76.0</v>
      </c>
      <c r="AC41" s="186">
        <v>145750.6814473684</v>
      </c>
      <c r="AD41" s="189">
        <v>6.934210526315789</v>
      </c>
      <c r="AE41" s="186">
        <v>144660.0</v>
      </c>
      <c r="AF41" s="186">
        <v>60750.0</v>
      </c>
      <c r="AG41" s="187">
        <v>0.018543742856329103</v>
      </c>
      <c r="AH41" s="186">
        <v>307695.8830555555</v>
      </c>
      <c r="AI41" s="219">
        <v>68.0</v>
      </c>
      <c r="AJ41" s="219">
        <v>763.0</v>
      </c>
      <c r="AK41" s="219">
        <v>3519.25</v>
      </c>
      <c r="AL41" s="219">
        <v>40.0</v>
      </c>
      <c r="AM41" s="191"/>
      <c r="AN41" s="75"/>
      <c r="AO41" s="192">
        <v>-24591.789999999106</v>
      </c>
    </row>
    <row r="42">
      <c r="A42" s="183" t="s">
        <v>126</v>
      </c>
      <c r="B42" s="183" t="s">
        <v>301</v>
      </c>
      <c r="C42" s="183" t="s">
        <v>143</v>
      </c>
      <c r="D42" s="75" t="s">
        <v>1067</v>
      </c>
      <c r="E42" s="256">
        <v>44501.0</v>
      </c>
      <c r="F42" s="75" t="s">
        <v>1066</v>
      </c>
      <c r="G42" s="186">
        <v>6088405.5</v>
      </c>
      <c r="H42" s="186">
        <v>5280000.0</v>
      </c>
      <c r="I42" s="186">
        <v>1980099.93</v>
      </c>
      <c r="J42" s="186">
        <v>0.0</v>
      </c>
      <c r="K42" s="186">
        <v>1614757.0</v>
      </c>
      <c r="L42" s="187">
        <v>0.3750189261363636</v>
      </c>
      <c r="M42" s="188">
        <v>73.0</v>
      </c>
      <c r="N42" s="188">
        <v>61.0</v>
      </c>
      <c r="O42" s="188">
        <v>2.0</v>
      </c>
      <c r="P42" s="188">
        <v>75.0</v>
      </c>
      <c r="Q42" s="188">
        <v>14.0</v>
      </c>
      <c r="R42" s="188">
        <v>31.0</v>
      </c>
      <c r="S42" s="188">
        <v>0.0</v>
      </c>
      <c r="T42" s="188">
        <v>2.0</v>
      </c>
      <c r="U42" s="188">
        <v>43.0</v>
      </c>
      <c r="V42" s="188">
        <v>54.0</v>
      </c>
      <c r="W42" s="188">
        <v>0.0</v>
      </c>
      <c r="X42" s="188">
        <v>0.0</v>
      </c>
      <c r="Y42" s="188">
        <v>0.0</v>
      </c>
      <c r="Z42" s="188">
        <v>229.0</v>
      </c>
      <c r="AA42" s="188">
        <v>283.0</v>
      </c>
      <c r="AB42" s="188">
        <v>74.0</v>
      </c>
      <c r="AC42" s="186">
        <v>26758.10716216216</v>
      </c>
      <c r="AD42" s="189">
        <v>3.0945945945945947</v>
      </c>
      <c r="AE42" s="186">
        <v>77505.0</v>
      </c>
      <c r="AF42" s="186">
        <v>18476.0</v>
      </c>
      <c r="AG42" s="187">
        <v>0.04847280611741651</v>
      </c>
      <c r="AH42" s="186">
        <v>63874.19129032258</v>
      </c>
      <c r="AI42" s="219">
        <v>89.0</v>
      </c>
      <c r="AJ42" s="219">
        <v>878.0</v>
      </c>
      <c r="AK42" s="219">
        <v>11916.25</v>
      </c>
      <c r="AL42" s="219">
        <v>195.0</v>
      </c>
      <c r="AM42" s="191"/>
      <c r="AN42" s="75"/>
      <c r="AO42" s="192">
        <v>-365342.92999999993</v>
      </c>
    </row>
    <row r="43">
      <c r="A43" s="183" t="s">
        <v>185</v>
      </c>
      <c r="B43" s="183" t="s">
        <v>85</v>
      </c>
      <c r="C43" s="184" t="s">
        <v>630</v>
      </c>
      <c r="D43" s="75" t="s">
        <v>386</v>
      </c>
      <c r="E43" s="256">
        <v>44508.0</v>
      </c>
      <c r="F43" s="75" t="s">
        <v>1058</v>
      </c>
      <c r="G43" s="186">
        <v>3914074.0</v>
      </c>
      <c r="H43" s="186">
        <v>0.0</v>
      </c>
      <c r="I43" s="186">
        <v>44994.4</v>
      </c>
      <c r="J43" s="186">
        <v>0.0</v>
      </c>
      <c r="K43" s="186">
        <v>0.0</v>
      </c>
      <c r="L43" s="187"/>
      <c r="M43" s="188">
        <v>95.0</v>
      </c>
      <c r="N43" s="188">
        <v>40.0</v>
      </c>
      <c r="O43" s="188">
        <v>0.0</v>
      </c>
      <c r="P43" s="188">
        <v>95.0</v>
      </c>
      <c r="Q43" s="188">
        <v>55.0</v>
      </c>
      <c r="R43" s="188">
        <v>7.0</v>
      </c>
      <c r="S43" s="188">
        <v>0.0</v>
      </c>
      <c r="T43" s="188">
        <v>0.0</v>
      </c>
      <c r="U43" s="188">
        <v>14.0</v>
      </c>
      <c r="V43" s="188">
        <v>14.0</v>
      </c>
      <c r="W43" s="188">
        <v>1.0</v>
      </c>
      <c r="X43" s="188">
        <v>0.0</v>
      </c>
      <c r="Y43" s="188">
        <v>0.0</v>
      </c>
      <c r="Z43" s="188">
        <v>47.0</v>
      </c>
      <c r="AA43" s="188">
        <v>62.0</v>
      </c>
      <c r="AB43" s="188">
        <v>10.0</v>
      </c>
      <c r="AC43" s="186">
        <v>4499.4400000000005</v>
      </c>
      <c r="AD43" s="189">
        <v>4.7</v>
      </c>
      <c r="AE43" s="186">
        <v>8666.800000000001</v>
      </c>
      <c r="AF43" s="186">
        <v>6357.0</v>
      </c>
      <c r="AG43" s="187">
        <v>0.3339037746919617</v>
      </c>
      <c r="AH43" s="186">
        <v>6427.771428571429</v>
      </c>
      <c r="AI43" s="219">
        <v>7.0</v>
      </c>
      <c r="AJ43" s="219">
        <v>126.0</v>
      </c>
      <c r="AK43" s="219">
        <v>987.37</v>
      </c>
      <c r="AL43" s="219">
        <v>25.0</v>
      </c>
      <c r="AM43" s="191">
        <v>45759.0</v>
      </c>
      <c r="AN43" s="75"/>
      <c r="AO43" s="192">
        <v>-44994.4</v>
      </c>
    </row>
    <row r="44">
      <c r="A44" s="183" t="s">
        <v>126</v>
      </c>
      <c r="B44" s="183" t="s">
        <v>130</v>
      </c>
      <c r="C44" s="184" t="s">
        <v>146</v>
      </c>
      <c r="D44" s="75" t="s">
        <v>1068</v>
      </c>
      <c r="E44" s="256">
        <v>44511.0</v>
      </c>
      <c r="F44" s="75" t="s">
        <v>130</v>
      </c>
      <c r="G44" s="186">
        <v>1.494292836E7</v>
      </c>
      <c r="H44" s="495">
        <v>6500001.0</v>
      </c>
      <c r="I44" s="186">
        <v>4402161.7</v>
      </c>
      <c r="J44" s="186">
        <v>543914.39</v>
      </c>
      <c r="K44" s="186">
        <v>2342560.0</v>
      </c>
      <c r="L44" s="187">
        <v>0.8383178392681628</v>
      </c>
      <c r="M44" s="188">
        <v>74.0</v>
      </c>
      <c r="N44" s="188">
        <v>60.0</v>
      </c>
      <c r="O44" s="188">
        <v>3.0</v>
      </c>
      <c r="P44" s="188">
        <v>77.0</v>
      </c>
      <c r="Q44" s="188">
        <v>17.0</v>
      </c>
      <c r="R44" s="188">
        <v>43.0</v>
      </c>
      <c r="S44" s="188">
        <v>1.0</v>
      </c>
      <c r="T44" s="188">
        <v>3.0</v>
      </c>
      <c r="U44" s="188">
        <v>7.0</v>
      </c>
      <c r="V44" s="188">
        <v>11.0</v>
      </c>
      <c r="W44" s="188">
        <v>17.0</v>
      </c>
      <c r="X44" s="188">
        <v>8.0</v>
      </c>
      <c r="Y44" s="188">
        <v>5.0</v>
      </c>
      <c r="Z44" s="188">
        <v>208.0</v>
      </c>
      <c r="AA44" s="188">
        <v>249.0</v>
      </c>
      <c r="AB44" s="188">
        <v>74.0</v>
      </c>
      <c r="AC44" s="186">
        <v>66838.86608108108</v>
      </c>
      <c r="AD44" s="189">
        <v>2.810810810810811</v>
      </c>
      <c r="AE44" s="186">
        <v>120255.0</v>
      </c>
      <c r="AF44" s="186">
        <v>21356.0</v>
      </c>
      <c r="AG44" s="187">
        <v>0.028630978865511147</v>
      </c>
      <c r="AH44" s="186">
        <v>102375.8534883721</v>
      </c>
      <c r="AI44" s="219">
        <v>84.0</v>
      </c>
      <c r="AJ44" s="219">
        <v>513.0</v>
      </c>
      <c r="AK44" s="219">
        <v>3666.23</v>
      </c>
      <c r="AL44" s="219">
        <v>61.0</v>
      </c>
      <c r="AM44" s="191"/>
      <c r="AN44" s="75"/>
      <c r="AO44" s="192">
        <v>-2603516.09</v>
      </c>
    </row>
    <row r="45">
      <c r="A45" s="183" t="s">
        <v>298</v>
      </c>
      <c r="B45" s="183" t="s">
        <v>301</v>
      </c>
      <c r="C45" s="184" t="s">
        <v>355</v>
      </c>
      <c r="D45" s="75" t="s">
        <v>319</v>
      </c>
      <c r="E45" s="256">
        <v>44635.0</v>
      </c>
      <c r="F45" s="75" t="s">
        <v>1066</v>
      </c>
      <c r="G45" s="186">
        <v>1.3608518E7</v>
      </c>
      <c r="H45" s="186">
        <v>0.0</v>
      </c>
      <c r="I45" s="186">
        <v>0.0</v>
      </c>
      <c r="J45" s="186">
        <v>0.0</v>
      </c>
      <c r="K45" s="186">
        <v>0.0</v>
      </c>
      <c r="L45" s="187"/>
      <c r="M45" s="188">
        <v>116.0</v>
      </c>
      <c r="N45" s="188">
        <v>6.0</v>
      </c>
      <c r="O45" s="188">
        <v>1.0</v>
      </c>
      <c r="P45" s="188">
        <v>117.0</v>
      </c>
      <c r="Q45" s="188">
        <v>111.0</v>
      </c>
      <c r="R45" s="188">
        <v>0.0</v>
      </c>
      <c r="S45" s="188">
        <v>0.0</v>
      </c>
      <c r="T45" s="188">
        <v>0.0</v>
      </c>
      <c r="U45" s="188">
        <v>0.0</v>
      </c>
      <c r="V45" s="188">
        <v>0.0</v>
      </c>
      <c r="W45" s="188">
        <v>0.0</v>
      </c>
      <c r="X45" s="188">
        <v>0.0</v>
      </c>
      <c r="Y45" s="188">
        <v>0.0</v>
      </c>
      <c r="Z45" s="188">
        <v>9.0</v>
      </c>
      <c r="AA45" s="188">
        <v>9.0</v>
      </c>
      <c r="AB45" s="188">
        <v>3.0</v>
      </c>
      <c r="AC45" s="186">
        <v>0.0</v>
      </c>
      <c r="AD45" s="189">
        <v>3.0</v>
      </c>
      <c r="AE45" s="186">
        <v>8740.0</v>
      </c>
      <c r="AF45" s="186"/>
      <c r="AG45" s="187"/>
      <c r="AH45" s="186"/>
      <c r="AI45" s="219">
        <v>0.0</v>
      </c>
      <c r="AJ45" s="219">
        <v>24.0</v>
      </c>
      <c r="AK45" s="219">
        <v>24.37</v>
      </c>
      <c r="AL45" s="219">
        <v>4.0</v>
      </c>
      <c r="AM45" s="191">
        <v>45754.0</v>
      </c>
      <c r="AN45" s="75"/>
      <c r="AO45" s="192">
        <v>0.0</v>
      </c>
    </row>
    <row r="46">
      <c r="A46" s="183" t="s">
        <v>126</v>
      </c>
      <c r="B46" s="183" t="s">
        <v>135</v>
      </c>
      <c r="C46" s="184" t="s">
        <v>148</v>
      </c>
      <c r="D46" s="75" t="s">
        <v>149</v>
      </c>
      <c r="E46" s="256">
        <v>44662.0</v>
      </c>
      <c r="F46" s="75" t="s">
        <v>1042</v>
      </c>
      <c r="G46" s="186">
        <v>6008130.0</v>
      </c>
      <c r="H46" s="186">
        <v>5199999.0</v>
      </c>
      <c r="I46" s="186">
        <v>1638062.73</v>
      </c>
      <c r="J46" s="186">
        <v>0.0</v>
      </c>
      <c r="K46" s="186">
        <v>2140993.0</v>
      </c>
      <c r="L46" s="187">
        <v>0.3150121240407931</v>
      </c>
      <c r="M46" s="188">
        <v>37.0</v>
      </c>
      <c r="N46" s="188">
        <v>23.0</v>
      </c>
      <c r="O46" s="188">
        <v>0.0</v>
      </c>
      <c r="P46" s="188">
        <v>37.0</v>
      </c>
      <c r="Q46" s="188">
        <v>14.0</v>
      </c>
      <c r="R46" s="188">
        <v>18.0</v>
      </c>
      <c r="S46" s="188">
        <v>0.0</v>
      </c>
      <c r="T46" s="188">
        <v>0.0</v>
      </c>
      <c r="U46" s="188">
        <v>72.0</v>
      </c>
      <c r="V46" s="188">
        <v>92.0</v>
      </c>
      <c r="W46" s="188">
        <v>0.0</v>
      </c>
      <c r="X46" s="188">
        <v>2.0</v>
      </c>
      <c r="Y46" s="188">
        <v>13.0</v>
      </c>
      <c r="Z46" s="188">
        <v>105.0</v>
      </c>
      <c r="AA46" s="188">
        <v>212.0</v>
      </c>
      <c r="AB46" s="188">
        <v>50.0</v>
      </c>
      <c r="AC46" s="186">
        <v>32761.2546</v>
      </c>
      <c r="AD46" s="189">
        <v>2.1</v>
      </c>
      <c r="AE46" s="186">
        <v>139155.0</v>
      </c>
      <c r="AF46" s="186">
        <v>0.0</v>
      </c>
      <c r="AG46" s="187">
        <v>0.08495095911253656</v>
      </c>
      <c r="AH46" s="186">
        <v>91003.485</v>
      </c>
      <c r="AI46" s="219">
        <v>26.0</v>
      </c>
      <c r="AJ46" s="219">
        <v>337.0</v>
      </c>
      <c r="AK46" s="219">
        <v>2219.17</v>
      </c>
      <c r="AL46" s="219">
        <v>96.0</v>
      </c>
      <c r="AM46" s="191"/>
      <c r="AN46" s="75"/>
      <c r="AO46" s="192">
        <v>502930.27</v>
      </c>
    </row>
    <row r="47">
      <c r="A47" s="183" t="s">
        <v>73</v>
      </c>
      <c r="B47" s="183" t="s">
        <v>1229</v>
      </c>
      <c r="C47" s="184" t="s">
        <v>74</v>
      </c>
      <c r="D47" s="75" t="s">
        <v>1069</v>
      </c>
      <c r="E47" s="256">
        <v>44684.0</v>
      </c>
      <c r="F47" s="75" t="s">
        <v>76</v>
      </c>
      <c r="G47" s="186">
        <v>1.2210958E7</v>
      </c>
      <c r="H47" s="186">
        <v>6999999.0</v>
      </c>
      <c r="I47" s="186">
        <v>2348715.42</v>
      </c>
      <c r="J47" s="186">
        <v>0.0</v>
      </c>
      <c r="K47" s="186">
        <v>1001185.0</v>
      </c>
      <c r="L47" s="187">
        <v>0.33553082221868885</v>
      </c>
      <c r="M47" s="188">
        <v>31.0</v>
      </c>
      <c r="N47" s="188">
        <v>26.0</v>
      </c>
      <c r="O47" s="188">
        <v>1.0</v>
      </c>
      <c r="P47" s="188">
        <v>32.0</v>
      </c>
      <c r="Q47" s="188">
        <v>6.0</v>
      </c>
      <c r="R47" s="188">
        <v>14.0</v>
      </c>
      <c r="S47" s="188">
        <v>0.0</v>
      </c>
      <c r="T47" s="188">
        <v>1.0</v>
      </c>
      <c r="U47" s="188">
        <v>6.0</v>
      </c>
      <c r="V47" s="188">
        <v>6.0</v>
      </c>
      <c r="W47" s="188">
        <v>15.0</v>
      </c>
      <c r="X47" s="188">
        <v>0.0</v>
      </c>
      <c r="Y47" s="188">
        <v>0.0</v>
      </c>
      <c r="Z47" s="188">
        <v>76.0</v>
      </c>
      <c r="AA47" s="188">
        <v>97.0</v>
      </c>
      <c r="AB47" s="188">
        <v>73.0</v>
      </c>
      <c r="AC47" s="186">
        <v>32174.183835616437</v>
      </c>
      <c r="AD47" s="189">
        <v>1.0410958904109588</v>
      </c>
      <c r="AE47" s="186">
        <v>113505.0</v>
      </c>
      <c r="AF47" s="186">
        <v>9175.0</v>
      </c>
      <c r="AG47" s="187">
        <v>0.05223280732750501</v>
      </c>
      <c r="AH47" s="186">
        <v>167765.38714285713</v>
      </c>
      <c r="AI47" s="219">
        <v>26.0</v>
      </c>
      <c r="AJ47" s="219">
        <v>21.0</v>
      </c>
      <c r="AK47" s="219">
        <v>81.78</v>
      </c>
      <c r="AL47" s="219">
        <v>20.0</v>
      </c>
      <c r="AM47" s="191"/>
      <c r="AN47" s="75"/>
      <c r="AO47" s="192">
        <v>-1347530.42</v>
      </c>
    </row>
    <row r="48">
      <c r="A48" s="183" t="s">
        <v>97</v>
      </c>
      <c r="B48" s="183" t="s">
        <v>101</v>
      </c>
      <c r="C48" s="184" t="s">
        <v>99</v>
      </c>
      <c r="D48" s="75" t="s">
        <v>100</v>
      </c>
      <c r="E48" s="256">
        <v>44693.0</v>
      </c>
      <c r="F48" s="75" t="s">
        <v>1062</v>
      </c>
      <c r="G48" s="186">
        <v>8046618.0</v>
      </c>
      <c r="H48" s="186">
        <v>3840000.0</v>
      </c>
      <c r="I48" s="186">
        <v>2711761.57</v>
      </c>
      <c r="J48" s="186">
        <v>0.0</v>
      </c>
      <c r="K48" s="186">
        <v>2756926.0</v>
      </c>
      <c r="L48" s="187">
        <v>0.7061879088541666</v>
      </c>
      <c r="M48" s="188">
        <v>67.0</v>
      </c>
      <c r="N48" s="188">
        <v>57.0</v>
      </c>
      <c r="O48" s="188">
        <v>0.0</v>
      </c>
      <c r="P48" s="188">
        <v>67.0</v>
      </c>
      <c r="Q48" s="188">
        <v>10.0</v>
      </c>
      <c r="R48" s="188">
        <v>29.0</v>
      </c>
      <c r="S48" s="188">
        <v>0.0</v>
      </c>
      <c r="T48" s="188">
        <v>0.0</v>
      </c>
      <c r="U48" s="188">
        <v>4.0</v>
      </c>
      <c r="V48" s="188">
        <v>5.0</v>
      </c>
      <c r="W48" s="188">
        <v>2.0</v>
      </c>
      <c r="X48" s="188">
        <v>0.0</v>
      </c>
      <c r="Y48" s="188">
        <v>0.0</v>
      </c>
      <c r="Z48" s="188">
        <v>342.0</v>
      </c>
      <c r="AA48" s="188">
        <v>349.0</v>
      </c>
      <c r="AB48" s="188">
        <v>68.0</v>
      </c>
      <c r="AC48" s="186">
        <v>39878.846617647054</v>
      </c>
      <c r="AD48" s="189">
        <v>5.029411764705882</v>
      </c>
      <c r="AE48" s="186">
        <v>89700.0</v>
      </c>
      <c r="AF48" s="186">
        <v>19340.0</v>
      </c>
      <c r="AG48" s="187">
        <v>0.04021002480686383</v>
      </c>
      <c r="AH48" s="186">
        <v>93509.01965517241</v>
      </c>
      <c r="AI48" s="219">
        <v>49.0</v>
      </c>
      <c r="AJ48" s="219">
        <v>580.0</v>
      </c>
      <c r="AK48" s="219">
        <v>2605.48</v>
      </c>
      <c r="AL48" s="219">
        <v>46.0</v>
      </c>
      <c r="AM48" s="191"/>
      <c r="AN48" s="75"/>
      <c r="AO48" s="192">
        <v>45164.43000000017</v>
      </c>
    </row>
    <row r="49">
      <c r="A49" s="183" t="s">
        <v>298</v>
      </c>
      <c r="B49" s="183" t="s">
        <v>301</v>
      </c>
      <c r="C49" s="184" t="s">
        <v>304</v>
      </c>
      <c r="D49" s="75" t="s">
        <v>305</v>
      </c>
      <c r="E49" s="256">
        <v>44697.0</v>
      </c>
      <c r="F49" s="75" t="s">
        <v>1066</v>
      </c>
      <c r="G49" s="186">
        <v>8307773.0</v>
      </c>
      <c r="H49" s="186">
        <v>3600000.0</v>
      </c>
      <c r="I49" s="186">
        <v>1401253.2</v>
      </c>
      <c r="J49" s="186">
        <v>0.0</v>
      </c>
      <c r="K49" s="186">
        <v>1463070.0</v>
      </c>
      <c r="L49" s="187">
        <v>0.389237</v>
      </c>
      <c r="M49" s="188">
        <v>75.0</v>
      </c>
      <c r="N49" s="188">
        <v>50.0</v>
      </c>
      <c r="O49" s="188">
        <v>1.0</v>
      </c>
      <c r="P49" s="188">
        <v>76.0</v>
      </c>
      <c r="Q49" s="188">
        <v>26.0</v>
      </c>
      <c r="R49" s="188">
        <v>24.0</v>
      </c>
      <c r="S49" s="188">
        <v>0.0</v>
      </c>
      <c r="T49" s="188">
        <v>1.0</v>
      </c>
      <c r="U49" s="188">
        <v>33.0</v>
      </c>
      <c r="V49" s="188">
        <v>39.0</v>
      </c>
      <c r="W49" s="188">
        <v>0.0</v>
      </c>
      <c r="X49" s="188">
        <v>0.0</v>
      </c>
      <c r="Y49" s="188">
        <v>0.0</v>
      </c>
      <c r="Z49" s="188">
        <v>278.0</v>
      </c>
      <c r="AA49" s="188">
        <v>317.0</v>
      </c>
      <c r="AB49" s="188">
        <v>74.0</v>
      </c>
      <c r="AC49" s="186">
        <v>18935.854054054053</v>
      </c>
      <c r="AD49" s="189">
        <v>3.7567567567567566</v>
      </c>
      <c r="AE49" s="186">
        <v>102000.0</v>
      </c>
      <c r="AF49" s="186">
        <v>24258.0</v>
      </c>
      <c r="AG49" s="187">
        <v>0.09010363009340497</v>
      </c>
      <c r="AH49" s="186">
        <v>58385.549999999996</v>
      </c>
      <c r="AI49" s="219">
        <v>62.0</v>
      </c>
      <c r="AJ49" s="219">
        <v>604.0</v>
      </c>
      <c r="AK49" s="219">
        <v>5001.9</v>
      </c>
      <c r="AL49" s="219">
        <v>100.0</v>
      </c>
      <c r="AM49" s="191"/>
      <c r="AN49" s="75"/>
      <c r="AO49" s="192">
        <v>61816.80000000005</v>
      </c>
    </row>
    <row r="50">
      <c r="A50" s="494" t="s">
        <v>185</v>
      </c>
      <c r="B50" s="183" t="s">
        <v>117</v>
      </c>
      <c r="C50" s="184" t="s">
        <v>118</v>
      </c>
      <c r="D50" s="75" t="s">
        <v>119</v>
      </c>
      <c r="E50" s="256">
        <v>44743.0</v>
      </c>
      <c r="F50" s="75" t="s">
        <v>1044</v>
      </c>
      <c r="G50" s="186">
        <v>4730158.0</v>
      </c>
      <c r="H50" s="186">
        <v>3600000.0</v>
      </c>
      <c r="I50" s="186">
        <v>1121516.11</v>
      </c>
      <c r="J50" s="186">
        <v>0.0</v>
      </c>
      <c r="K50" s="186">
        <v>97310.0</v>
      </c>
      <c r="L50" s="187">
        <v>0.3115322527777778</v>
      </c>
      <c r="M50" s="188">
        <v>73.0</v>
      </c>
      <c r="N50" s="188">
        <v>68.0</v>
      </c>
      <c r="O50" s="188">
        <v>2.0</v>
      </c>
      <c r="P50" s="188">
        <v>75.0</v>
      </c>
      <c r="Q50" s="188">
        <v>7.0</v>
      </c>
      <c r="R50" s="188">
        <v>33.0</v>
      </c>
      <c r="S50" s="188">
        <v>0.0</v>
      </c>
      <c r="T50" s="188">
        <v>2.0</v>
      </c>
      <c r="U50" s="188">
        <v>7.0</v>
      </c>
      <c r="V50" s="188">
        <v>9.0</v>
      </c>
      <c r="W50" s="188">
        <v>7.0</v>
      </c>
      <c r="X50" s="188">
        <v>0.0</v>
      </c>
      <c r="Y50" s="188">
        <v>0.0</v>
      </c>
      <c r="Z50" s="188">
        <v>279.0</v>
      </c>
      <c r="AA50" s="188">
        <v>295.0</v>
      </c>
      <c r="AB50" s="188">
        <v>75.0</v>
      </c>
      <c r="AC50" s="186">
        <v>14953.548133333335</v>
      </c>
      <c r="AD50" s="189">
        <v>3.72</v>
      </c>
      <c r="AE50" s="186">
        <v>69720.0</v>
      </c>
      <c r="AF50" s="186">
        <v>9982.0</v>
      </c>
      <c r="AG50" s="187">
        <v>0.07106629970745583</v>
      </c>
      <c r="AH50" s="186">
        <v>33985.33666666667</v>
      </c>
      <c r="AI50" s="219">
        <v>69.0</v>
      </c>
      <c r="AJ50" s="219">
        <v>792.0</v>
      </c>
      <c r="AK50" s="219">
        <v>4811.11</v>
      </c>
      <c r="AL50" s="219">
        <v>71.0</v>
      </c>
      <c r="AM50" s="191"/>
      <c r="AN50" s="75"/>
      <c r="AO50" s="192">
        <v>-1024206.1100000001</v>
      </c>
    </row>
    <row r="51">
      <c r="A51" s="183" t="s">
        <v>126</v>
      </c>
      <c r="B51" s="183" t="s">
        <v>135</v>
      </c>
      <c r="C51" s="184" t="s">
        <v>437</v>
      </c>
      <c r="D51" s="75" t="s">
        <v>176</v>
      </c>
      <c r="E51" s="256">
        <v>44805.0</v>
      </c>
      <c r="F51" s="75" t="s">
        <v>1042</v>
      </c>
      <c r="G51" s="186">
        <v>3178281.0</v>
      </c>
      <c r="H51" s="186">
        <v>5000001.0</v>
      </c>
      <c r="I51" s="186">
        <v>670340.45</v>
      </c>
      <c r="J51" s="186">
        <v>461289.61</v>
      </c>
      <c r="K51" s="186">
        <v>540368.0</v>
      </c>
      <c r="L51" s="187">
        <v>0.22632596673480668</v>
      </c>
      <c r="M51" s="188">
        <v>77.0</v>
      </c>
      <c r="N51" s="188">
        <v>62.0</v>
      </c>
      <c r="O51" s="188">
        <v>0.0</v>
      </c>
      <c r="P51" s="188">
        <v>77.0</v>
      </c>
      <c r="Q51" s="188">
        <v>15.0</v>
      </c>
      <c r="R51" s="188">
        <v>27.0</v>
      </c>
      <c r="S51" s="188">
        <v>1.0</v>
      </c>
      <c r="T51" s="188">
        <v>0.0</v>
      </c>
      <c r="U51" s="188">
        <v>61.0</v>
      </c>
      <c r="V51" s="188">
        <v>73.0</v>
      </c>
      <c r="W51" s="188">
        <v>17.0</v>
      </c>
      <c r="X51" s="188">
        <v>9.0</v>
      </c>
      <c r="Y51" s="188">
        <v>0.0</v>
      </c>
      <c r="Z51" s="188">
        <v>189.0</v>
      </c>
      <c r="AA51" s="188">
        <v>288.0</v>
      </c>
      <c r="AB51" s="188">
        <v>71.0</v>
      </c>
      <c r="AC51" s="186">
        <v>15938.451549295776</v>
      </c>
      <c r="AD51" s="189">
        <v>2.6619718309859155</v>
      </c>
      <c r="AE51" s="186">
        <v>109005.0</v>
      </c>
      <c r="AF51" s="186">
        <v>23675.0</v>
      </c>
      <c r="AG51" s="187">
        <v>0.11724679706723237</v>
      </c>
      <c r="AH51" s="186">
        <v>24827.42407407407</v>
      </c>
      <c r="AI51" s="219">
        <v>48.0</v>
      </c>
      <c r="AJ51" s="219">
        <v>579.0</v>
      </c>
      <c r="AK51" s="219">
        <v>2865.62</v>
      </c>
      <c r="AL51" s="219">
        <v>46.0</v>
      </c>
      <c r="AM51" s="191"/>
      <c r="AN51" s="75"/>
      <c r="AO51" s="192">
        <v>-591262.06</v>
      </c>
    </row>
    <row r="52">
      <c r="A52" s="183" t="s">
        <v>23</v>
      </c>
      <c r="B52" s="183" t="s">
        <v>30</v>
      </c>
      <c r="C52" s="184" t="s">
        <v>24</v>
      </c>
      <c r="D52" s="75" t="s">
        <v>25</v>
      </c>
      <c r="E52" s="256">
        <v>44809.0</v>
      </c>
      <c r="F52" s="75" t="s">
        <v>30</v>
      </c>
      <c r="G52" s="186">
        <v>2.192709E7</v>
      </c>
      <c r="H52" s="186">
        <v>5400000.0</v>
      </c>
      <c r="I52" s="186">
        <v>5096544.61</v>
      </c>
      <c r="J52" s="186">
        <v>0.0</v>
      </c>
      <c r="K52" s="186">
        <v>5423666.0</v>
      </c>
      <c r="L52" s="187">
        <v>0.9438045574074074</v>
      </c>
      <c r="M52" s="188">
        <v>94.0</v>
      </c>
      <c r="N52" s="188">
        <v>87.0</v>
      </c>
      <c r="O52" s="188">
        <v>5.0</v>
      </c>
      <c r="P52" s="188">
        <v>99.0</v>
      </c>
      <c r="Q52" s="188">
        <v>12.0</v>
      </c>
      <c r="R52" s="188">
        <v>69.0</v>
      </c>
      <c r="S52" s="188">
        <v>0.0</v>
      </c>
      <c r="T52" s="188">
        <v>5.0</v>
      </c>
      <c r="U52" s="188">
        <v>22.0</v>
      </c>
      <c r="V52" s="188">
        <v>31.0</v>
      </c>
      <c r="W52" s="188">
        <v>58.0</v>
      </c>
      <c r="X52" s="188">
        <v>0.0</v>
      </c>
      <c r="Y52" s="188">
        <v>3.0</v>
      </c>
      <c r="Z52" s="188">
        <v>335.0</v>
      </c>
      <c r="AA52" s="188">
        <v>427.0</v>
      </c>
      <c r="AB52" s="188">
        <v>71.0</v>
      </c>
      <c r="AC52" s="186">
        <v>71782.31845070423</v>
      </c>
      <c r="AD52" s="189">
        <v>4.71830985915493</v>
      </c>
      <c r="AE52" s="186">
        <v>98730.0</v>
      </c>
      <c r="AF52" s="186">
        <v>23894.0</v>
      </c>
      <c r="AG52" s="187">
        <v>0.024060223030207124</v>
      </c>
      <c r="AH52" s="186">
        <v>73862.96536231885</v>
      </c>
      <c r="AI52" s="219">
        <v>233.0</v>
      </c>
      <c r="AJ52" s="219">
        <v>668.0</v>
      </c>
      <c r="AK52" s="219">
        <v>2918.18</v>
      </c>
      <c r="AL52" s="219">
        <v>34.0</v>
      </c>
      <c r="AM52" s="191"/>
      <c r="AN52" s="75"/>
      <c r="AO52" s="192">
        <v>327121.38999999966</v>
      </c>
    </row>
    <row r="53">
      <c r="A53" s="183" t="s">
        <v>298</v>
      </c>
      <c r="B53" s="183" t="s">
        <v>301</v>
      </c>
      <c r="C53" s="183" t="s">
        <v>306</v>
      </c>
      <c r="D53" s="75" t="s">
        <v>226</v>
      </c>
      <c r="E53" s="256">
        <v>44825.0</v>
      </c>
      <c r="F53" s="75" t="s">
        <v>1066</v>
      </c>
      <c r="G53" s="186">
        <v>1.1046346E7</v>
      </c>
      <c r="H53" s="186">
        <v>5400000.0</v>
      </c>
      <c r="I53" s="186">
        <v>2506694.86</v>
      </c>
      <c r="J53" s="186">
        <v>0.0</v>
      </c>
      <c r="K53" s="186">
        <v>2562000.0</v>
      </c>
      <c r="L53" s="187">
        <v>0.46420275185185184</v>
      </c>
      <c r="M53" s="188">
        <v>91.0</v>
      </c>
      <c r="N53" s="188">
        <v>82.0</v>
      </c>
      <c r="O53" s="188">
        <v>1.0</v>
      </c>
      <c r="P53" s="188">
        <v>92.0</v>
      </c>
      <c r="Q53" s="188">
        <v>10.0</v>
      </c>
      <c r="R53" s="188">
        <v>39.0</v>
      </c>
      <c r="S53" s="188">
        <v>0.0</v>
      </c>
      <c r="T53" s="188">
        <v>1.0</v>
      </c>
      <c r="U53" s="188">
        <v>17.0</v>
      </c>
      <c r="V53" s="188">
        <v>28.0</v>
      </c>
      <c r="W53" s="188">
        <v>28.0</v>
      </c>
      <c r="X53" s="188">
        <v>0.0</v>
      </c>
      <c r="Y53" s="188">
        <v>0.0</v>
      </c>
      <c r="Z53" s="188">
        <v>374.0</v>
      </c>
      <c r="AA53" s="188">
        <v>430.0</v>
      </c>
      <c r="AB53" s="188">
        <v>75.0</v>
      </c>
      <c r="AC53" s="186">
        <v>33422.59813333333</v>
      </c>
      <c r="AD53" s="189">
        <v>4.986666666666666</v>
      </c>
      <c r="AE53" s="186">
        <v>125001.0</v>
      </c>
      <c r="AF53" s="186">
        <v>30319.0</v>
      </c>
      <c r="AG53" s="187">
        <v>0.061962069048962745</v>
      </c>
      <c r="AH53" s="186">
        <v>64274.22717948718</v>
      </c>
      <c r="AI53" s="219">
        <v>87.0</v>
      </c>
      <c r="AJ53" s="219">
        <v>644.0</v>
      </c>
      <c r="AK53" s="219">
        <v>4508.3</v>
      </c>
      <c r="AL53" s="219">
        <v>55.0</v>
      </c>
      <c r="AM53" s="191"/>
      <c r="AN53" s="75"/>
      <c r="AO53" s="192">
        <v>55305.14000000013</v>
      </c>
    </row>
    <row r="54">
      <c r="A54" s="183" t="s">
        <v>185</v>
      </c>
      <c r="B54" s="183" t="s">
        <v>222</v>
      </c>
      <c r="C54" s="184" t="s">
        <v>227</v>
      </c>
      <c r="D54" s="75" t="s">
        <v>228</v>
      </c>
      <c r="E54" s="256">
        <v>44868.0</v>
      </c>
      <c r="F54" s="75" t="s">
        <v>1070</v>
      </c>
      <c r="G54" s="186">
        <v>1.0577915360000001E7</v>
      </c>
      <c r="H54" s="186">
        <v>4500000.0</v>
      </c>
      <c r="I54" s="186">
        <v>2060801.21</v>
      </c>
      <c r="J54" s="186">
        <v>0.0</v>
      </c>
      <c r="K54" s="186">
        <v>2148565.89</v>
      </c>
      <c r="L54" s="187">
        <v>0.45795582444444444</v>
      </c>
      <c r="M54" s="188">
        <v>58.0</v>
      </c>
      <c r="N54" s="188">
        <v>34.0</v>
      </c>
      <c r="O54" s="188">
        <v>0.0</v>
      </c>
      <c r="P54" s="188">
        <v>58.0</v>
      </c>
      <c r="Q54" s="188">
        <v>24.0</v>
      </c>
      <c r="R54" s="188">
        <v>18.0</v>
      </c>
      <c r="S54" s="188">
        <v>0.0</v>
      </c>
      <c r="T54" s="188">
        <v>0.0</v>
      </c>
      <c r="U54" s="188">
        <v>1.0</v>
      </c>
      <c r="V54" s="188">
        <v>2.0</v>
      </c>
      <c r="W54" s="188">
        <v>17.0</v>
      </c>
      <c r="X54" s="188">
        <v>0.0</v>
      </c>
      <c r="Y54" s="188">
        <v>0.0</v>
      </c>
      <c r="Z54" s="188">
        <v>110.0</v>
      </c>
      <c r="AA54" s="188">
        <v>129.0</v>
      </c>
      <c r="AB54" s="188">
        <v>52.0</v>
      </c>
      <c r="AC54" s="186">
        <v>39630.792499999996</v>
      </c>
      <c r="AD54" s="189">
        <v>2.1153846153846154</v>
      </c>
      <c r="AE54" s="186">
        <v>86250.0</v>
      </c>
      <c r="AF54" s="186">
        <v>19707.0</v>
      </c>
      <c r="AG54" s="187">
        <v>0.05141543953188964</v>
      </c>
      <c r="AH54" s="186">
        <v>114488.95611111111</v>
      </c>
      <c r="AI54" s="219">
        <v>22.0</v>
      </c>
      <c r="AJ54" s="219">
        <v>470.0</v>
      </c>
      <c r="AK54" s="219">
        <v>868.91</v>
      </c>
      <c r="AL54" s="219">
        <v>26.0</v>
      </c>
      <c r="AM54" s="191"/>
      <c r="AN54" s="75"/>
      <c r="AO54" s="192">
        <v>87764.68000000017</v>
      </c>
    </row>
    <row r="55">
      <c r="A55" s="183" t="s">
        <v>126</v>
      </c>
      <c r="B55" s="183" t="s">
        <v>130</v>
      </c>
      <c r="C55" s="184" t="s">
        <v>150</v>
      </c>
      <c r="D55" s="75" t="s">
        <v>151</v>
      </c>
      <c r="E55" s="256">
        <v>44911.0</v>
      </c>
      <c r="F55" s="75" t="s">
        <v>130</v>
      </c>
      <c r="G55" s="186">
        <v>1.3718152E7</v>
      </c>
      <c r="H55" s="186">
        <v>5000001.0</v>
      </c>
      <c r="I55" s="186">
        <v>5112426.93</v>
      </c>
      <c r="J55" s="186">
        <v>0.0</v>
      </c>
      <c r="K55" s="186">
        <v>5181141.0</v>
      </c>
      <c r="L55" s="187">
        <v>1.0224851815029636</v>
      </c>
      <c r="M55" s="188">
        <v>194.0</v>
      </c>
      <c r="N55" s="188">
        <v>139.0</v>
      </c>
      <c r="O55" s="188">
        <v>12.0</v>
      </c>
      <c r="P55" s="188">
        <v>206.0</v>
      </c>
      <c r="Q55" s="188">
        <v>67.0</v>
      </c>
      <c r="R55" s="188">
        <v>122.0</v>
      </c>
      <c r="S55" s="188">
        <v>0.0</v>
      </c>
      <c r="T55" s="188">
        <v>11.0</v>
      </c>
      <c r="U55" s="188">
        <v>18.0</v>
      </c>
      <c r="V55" s="188">
        <v>21.0</v>
      </c>
      <c r="W55" s="188">
        <v>59.0</v>
      </c>
      <c r="X55" s="188">
        <v>0.0</v>
      </c>
      <c r="Y55" s="188">
        <v>0.0</v>
      </c>
      <c r="Z55" s="188">
        <v>359.0</v>
      </c>
      <c r="AA55" s="188">
        <v>439.0</v>
      </c>
      <c r="AB55" s="188">
        <v>71.0</v>
      </c>
      <c r="AC55" s="186">
        <v>72006.01309859155</v>
      </c>
      <c r="AD55" s="189">
        <v>5.056338028169014</v>
      </c>
      <c r="AE55" s="186">
        <v>114855.0</v>
      </c>
      <c r="AF55" s="186">
        <v>37975.0</v>
      </c>
      <c r="AG55" s="187">
        <v>0.02989382578813699</v>
      </c>
      <c r="AH55" s="186">
        <v>41905.1387704918</v>
      </c>
      <c r="AI55" s="219">
        <v>254.0</v>
      </c>
      <c r="AJ55" s="219">
        <v>516.0</v>
      </c>
      <c r="AK55" s="219">
        <v>4526.22</v>
      </c>
      <c r="AL55" s="219">
        <v>33.0</v>
      </c>
      <c r="AM55" s="191"/>
      <c r="AN55" s="75"/>
      <c r="AO55" s="192">
        <v>68714.0700000003</v>
      </c>
    </row>
    <row r="56">
      <c r="A56" s="183" t="s">
        <v>322</v>
      </c>
      <c r="B56" s="183" t="s">
        <v>325</v>
      </c>
      <c r="C56" s="184" t="s">
        <v>689</v>
      </c>
      <c r="D56" s="75" t="s">
        <v>1071</v>
      </c>
      <c r="E56" s="256">
        <v>44928.0</v>
      </c>
      <c r="F56" s="75" t="s">
        <v>1049</v>
      </c>
      <c r="G56" s="186">
        <v>3181012.0</v>
      </c>
      <c r="H56" s="186">
        <v>2499999.0</v>
      </c>
      <c r="I56" s="186">
        <v>746766.9</v>
      </c>
      <c r="J56" s="186">
        <v>0.0</v>
      </c>
      <c r="K56" s="186">
        <v>638166.0</v>
      </c>
      <c r="L56" s="187">
        <v>0.2987068794827518</v>
      </c>
      <c r="M56" s="188">
        <v>64.0</v>
      </c>
      <c r="N56" s="188">
        <v>65.0</v>
      </c>
      <c r="O56" s="188">
        <v>9.0</v>
      </c>
      <c r="P56" s="188">
        <v>73.0</v>
      </c>
      <c r="Q56" s="188">
        <v>8.0</v>
      </c>
      <c r="R56" s="188">
        <v>36.0</v>
      </c>
      <c r="S56" s="188">
        <v>0.0</v>
      </c>
      <c r="T56" s="188">
        <v>9.0</v>
      </c>
      <c r="U56" s="188">
        <v>67.0</v>
      </c>
      <c r="V56" s="188">
        <v>97.0</v>
      </c>
      <c r="W56" s="188">
        <v>23.0</v>
      </c>
      <c r="X56" s="188">
        <v>0.0</v>
      </c>
      <c r="Y56" s="188">
        <v>3.0</v>
      </c>
      <c r="Z56" s="188">
        <v>171.0</v>
      </c>
      <c r="AA56" s="188">
        <v>294.0</v>
      </c>
      <c r="AB56" s="188">
        <v>73.0</v>
      </c>
      <c r="AC56" s="186">
        <v>10229.683561643837</v>
      </c>
      <c r="AD56" s="189">
        <v>2.3424657534246576</v>
      </c>
      <c r="AE56" s="186">
        <v>135000.0</v>
      </c>
      <c r="AF56" s="186">
        <v>19368.0</v>
      </c>
      <c r="AG56" s="187">
        <v>0.20671510748534783</v>
      </c>
      <c r="AH56" s="186">
        <v>20743.525</v>
      </c>
      <c r="AI56" s="219">
        <v>51.0</v>
      </c>
      <c r="AJ56" s="219">
        <v>683.0</v>
      </c>
      <c r="AK56" s="219">
        <v>4645.29</v>
      </c>
      <c r="AL56" s="219">
        <v>71.0</v>
      </c>
      <c r="AM56" s="191"/>
      <c r="AN56" s="75"/>
      <c r="AO56" s="192">
        <v>-108600.90000000002</v>
      </c>
    </row>
    <row r="57">
      <c r="A57" s="494" t="s">
        <v>185</v>
      </c>
      <c r="B57" s="183" t="s">
        <v>117</v>
      </c>
      <c r="C57" s="184" t="s">
        <v>120</v>
      </c>
      <c r="D57" s="75" t="s">
        <v>121</v>
      </c>
      <c r="E57" s="256">
        <v>44953.0</v>
      </c>
      <c r="F57" s="75" t="s">
        <v>1044</v>
      </c>
      <c r="G57" s="186">
        <v>1.1302117E7</v>
      </c>
      <c r="H57" s="186">
        <v>4200000.0</v>
      </c>
      <c r="I57" s="186">
        <v>1929822.87</v>
      </c>
      <c r="J57" s="186">
        <v>0.0</v>
      </c>
      <c r="K57" s="186">
        <v>2084174.0</v>
      </c>
      <c r="L57" s="187">
        <v>0.45948163571428574</v>
      </c>
      <c r="M57" s="188">
        <v>132.0</v>
      </c>
      <c r="N57" s="188">
        <v>126.0</v>
      </c>
      <c r="O57" s="188">
        <v>7.0</v>
      </c>
      <c r="P57" s="188">
        <v>139.0</v>
      </c>
      <c r="Q57" s="188">
        <v>13.0</v>
      </c>
      <c r="R57" s="188">
        <v>78.0</v>
      </c>
      <c r="S57" s="188">
        <v>0.0</v>
      </c>
      <c r="T57" s="188">
        <v>7.0</v>
      </c>
      <c r="U57" s="188">
        <v>1.0</v>
      </c>
      <c r="V57" s="188">
        <v>1.0</v>
      </c>
      <c r="W57" s="188">
        <v>0.0</v>
      </c>
      <c r="X57" s="188">
        <v>0.0</v>
      </c>
      <c r="Y57" s="188">
        <v>0.0</v>
      </c>
      <c r="Z57" s="188">
        <v>512.0</v>
      </c>
      <c r="AA57" s="188">
        <v>513.0</v>
      </c>
      <c r="AB57" s="188">
        <v>73.0</v>
      </c>
      <c r="AC57" s="186">
        <v>26435.9297260274</v>
      </c>
      <c r="AD57" s="189">
        <v>7.013698630136986</v>
      </c>
      <c r="AE57" s="186">
        <v>97005.0</v>
      </c>
      <c r="AF57" s="186">
        <v>29380.0</v>
      </c>
      <c r="AG57" s="187">
        <v>0.06549046649032612</v>
      </c>
      <c r="AH57" s="186">
        <v>24741.31884615385</v>
      </c>
      <c r="AI57" s="219">
        <v>172.0</v>
      </c>
      <c r="AJ57" s="219">
        <v>793.0</v>
      </c>
      <c r="AK57" s="219">
        <v>5450.14</v>
      </c>
      <c r="AL57" s="219">
        <v>43.0</v>
      </c>
      <c r="AM57" s="191"/>
      <c r="AN57" s="75"/>
      <c r="AO57" s="192">
        <v>154351.1299999999</v>
      </c>
    </row>
    <row r="58">
      <c r="A58" s="183" t="s">
        <v>185</v>
      </c>
      <c r="B58" s="183" t="s">
        <v>189</v>
      </c>
      <c r="C58" s="184" t="s">
        <v>697</v>
      </c>
      <c r="D58" s="75" t="s">
        <v>1072</v>
      </c>
      <c r="E58" s="256">
        <v>44958.0</v>
      </c>
      <c r="F58" s="75" t="s">
        <v>1016</v>
      </c>
      <c r="G58" s="186">
        <v>1.94065394E7</v>
      </c>
      <c r="H58" s="186">
        <v>1.2E7</v>
      </c>
      <c r="I58" s="186">
        <v>7983792.26</v>
      </c>
      <c r="J58" s="186">
        <v>0.0</v>
      </c>
      <c r="K58" s="186">
        <v>8116979.0</v>
      </c>
      <c r="L58" s="187">
        <v>0.6653160216666667</v>
      </c>
      <c r="M58" s="188">
        <v>64.0</v>
      </c>
      <c r="N58" s="188">
        <v>63.0</v>
      </c>
      <c r="O58" s="188">
        <v>1.0</v>
      </c>
      <c r="P58" s="188">
        <v>65.0</v>
      </c>
      <c r="Q58" s="188">
        <v>2.0</v>
      </c>
      <c r="R58" s="188">
        <v>42.0</v>
      </c>
      <c r="S58" s="188">
        <v>0.0</v>
      </c>
      <c r="T58" s="188">
        <v>1.0</v>
      </c>
      <c r="U58" s="188">
        <v>1.0</v>
      </c>
      <c r="V58" s="188">
        <v>1.0</v>
      </c>
      <c r="W58" s="188">
        <v>11.0</v>
      </c>
      <c r="X58" s="188">
        <v>0.0</v>
      </c>
      <c r="Y58" s="188">
        <v>0.0</v>
      </c>
      <c r="Z58" s="188">
        <v>330.0</v>
      </c>
      <c r="AA58" s="188">
        <v>342.0</v>
      </c>
      <c r="AB58" s="188">
        <v>73.0</v>
      </c>
      <c r="AC58" s="186">
        <v>109367.01726027398</v>
      </c>
      <c r="AD58" s="189">
        <v>4.52054794520548</v>
      </c>
      <c r="AE58" s="186">
        <v>58755.0</v>
      </c>
      <c r="AF58" s="186">
        <v>19421.0</v>
      </c>
      <c r="AG58" s="187">
        <v>0.009791837945442734</v>
      </c>
      <c r="AH58" s="186">
        <v>190090.2919047619</v>
      </c>
      <c r="AI58" s="219">
        <v>78.0</v>
      </c>
      <c r="AJ58" s="219">
        <v>808.0</v>
      </c>
      <c r="AK58" s="219">
        <v>3802.92</v>
      </c>
      <c r="AL58" s="219">
        <v>60.0</v>
      </c>
      <c r="AM58" s="191"/>
      <c r="AN58" s="75"/>
      <c r="AO58" s="192">
        <v>133186.74000000022</v>
      </c>
    </row>
    <row r="59">
      <c r="A59" s="183" t="s">
        <v>23</v>
      </c>
      <c r="B59" s="183" t="s">
        <v>27</v>
      </c>
      <c r="C59" s="183" t="s">
        <v>702</v>
      </c>
      <c r="D59" s="75" t="s">
        <v>27</v>
      </c>
      <c r="E59" s="256">
        <v>44994.0</v>
      </c>
      <c r="F59" s="75" t="s">
        <v>1073</v>
      </c>
      <c r="G59" s="186">
        <v>1.1621619E7</v>
      </c>
      <c r="H59" s="186">
        <v>5100000.0</v>
      </c>
      <c r="I59" s="186">
        <v>3155049.04</v>
      </c>
      <c r="J59" s="186">
        <v>271023.53</v>
      </c>
      <c r="K59" s="186">
        <v>3683201.0</v>
      </c>
      <c r="L59" s="187">
        <v>0.6717789352941177</v>
      </c>
      <c r="M59" s="188">
        <v>82.0</v>
      </c>
      <c r="N59" s="188">
        <v>50.0</v>
      </c>
      <c r="O59" s="188">
        <v>2.0</v>
      </c>
      <c r="P59" s="188">
        <v>84.0</v>
      </c>
      <c r="Q59" s="188">
        <v>34.0</v>
      </c>
      <c r="R59" s="188">
        <v>31.0</v>
      </c>
      <c r="S59" s="188">
        <v>3.0</v>
      </c>
      <c r="T59" s="188">
        <v>2.0</v>
      </c>
      <c r="U59" s="188">
        <v>8.0</v>
      </c>
      <c r="V59" s="188">
        <v>8.0</v>
      </c>
      <c r="W59" s="188">
        <v>25.0</v>
      </c>
      <c r="X59" s="188">
        <v>40.0</v>
      </c>
      <c r="Y59" s="188">
        <v>20.0</v>
      </c>
      <c r="Z59" s="188">
        <v>265.0</v>
      </c>
      <c r="AA59" s="188">
        <v>358.0</v>
      </c>
      <c r="AB59" s="188">
        <v>71.0</v>
      </c>
      <c r="AC59" s="186">
        <v>48254.54323943662</v>
      </c>
      <c r="AD59" s="189">
        <v>3.732394366197183</v>
      </c>
      <c r="AE59" s="186">
        <v>124251.0</v>
      </c>
      <c r="AF59" s="186">
        <v>14880.0</v>
      </c>
      <c r="AG59" s="187">
        <v>0.04060947255416717</v>
      </c>
      <c r="AH59" s="186">
        <v>101775.77548387097</v>
      </c>
      <c r="AI59" s="219">
        <v>79.0</v>
      </c>
      <c r="AJ59" s="219">
        <v>675.0</v>
      </c>
      <c r="AK59" s="219">
        <v>1982.2</v>
      </c>
      <c r="AL59" s="219">
        <v>40.0</v>
      </c>
      <c r="AM59" s="191"/>
      <c r="AN59" s="75"/>
      <c r="AO59" s="192">
        <v>257128.4299999997</v>
      </c>
    </row>
    <row r="60">
      <c r="A60" s="183" t="s">
        <v>126</v>
      </c>
      <c r="B60" s="183" t="s">
        <v>130</v>
      </c>
      <c r="C60" s="184" t="s">
        <v>704</v>
      </c>
      <c r="D60" s="75" t="s">
        <v>439</v>
      </c>
      <c r="E60" s="256">
        <v>45000.0</v>
      </c>
      <c r="F60" s="75" t="s">
        <v>130</v>
      </c>
      <c r="G60" s="186">
        <v>8973760.0</v>
      </c>
      <c r="H60" s="186">
        <v>6249999.0</v>
      </c>
      <c r="I60" s="186">
        <v>1423653.11</v>
      </c>
      <c r="J60" s="186">
        <v>0.0</v>
      </c>
      <c r="K60" s="186">
        <v>618604.0</v>
      </c>
      <c r="L60" s="187">
        <v>0.22778453404552546</v>
      </c>
      <c r="M60" s="188">
        <v>30.0</v>
      </c>
      <c r="N60" s="188">
        <v>26.0</v>
      </c>
      <c r="O60" s="188">
        <v>4.0</v>
      </c>
      <c r="P60" s="188">
        <v>34.0</v>
      </c>
      <c r="Q60" s="188">
        <v>8.0</v>
      </c>
      <c r="R60" s="188">
        <v>17.0</v>
      </c>
      <c r="S60" s="188">
        <v>0.0</v>
      </c>
      <c r="T60" s="188">
        <v>4.0</v>
      </c>
      <c r="U60" s="188">
        <v>8.0</v>
      </c>
      <c r="V60" s="188">
        <v>9.0</v>
      </c>
      <c r="W60" s="188">
        <v>11.0</v>
      </c>
      <c r="X60" s="188">
        <v>0.0</v>
      </c>
      <c r="Y60" s="188">
        <v>0.0</v>
      </c>
      <c r="Z60" s="188">
        <v>241.0</v>
      </c>
      <c r="AA60" s="188">
        <v>261.0</v>
      </c>
      <c r="AB60" s="188">
        <v>67.0</v>
      </c>
      <c r="AC60" s="186">
        <v>21248.553880597017</v>
      </c>
      <c r="AD60" s="189">
        <v>3.5970149253731343</v>
      </c>
      <c r="AE60" s="186">
        <v>79500.0</v>
      </c>
      <c r="AF60" s="186">
        <v>30040.0</v>
      </c>
      <c r="AG60" s="187">
        <v>0.07694290078852144</v>
      </c>
      <c r="AH60" s="186">
        <v>83744.3005882353</v>
      </c>
      <c r="AI60" s="219">
        <v>27.0</v>
      </c>
      <c r="AJ60" s="219">
        <v>465.0</v>
      </c>
      <c r="AK60" s="219">
        <v>2744.07</v>
      </c>
      <c r="AL60" s="219">
        <v>106.0</v>
      </c>
      <c r="AM60" s="191"/>
      <c r="AN60" s="75"/>
      <c r="AO60" s="192">
        <v>-805049.1100000001</v>
      </c>
    </row>
    <row r="61">
      <c r="A61" s="183" t="s">
        <v>185</v>
      </c>
      <c r="B61" s="183" t="s">
        <v>215</v>
      </c>
      <c r="C61" s="184" t="s">
        <v>713</v>
      </c>
      <c r="D61" s="75" t="s">
        <v>1074</v>
      </c>
      <c r="E61" s="256">
        <v>45040.0</v>
      </c>
      <c r="F61" s="75" t="s">
        <v>1064</v>
      </c>
      <c r="G61" s="186">
        <v>9731676.0</v>
      </c>
      <c r="H61" s="186">
        <v>4500000.0</v>
      </c>
      <c r="I61" s="186">
        <v>2102049.13</v>
      </c>
      <c r="J61" s="186">
        <v>0.0</v>
      </c>
      <c r="K61" s="186">
        <v>1446286.0</v>
      </c>
      <c r="L61" s="187">
        <v>0.4671220288888889</v>
      </c>
      <c r="M61" s="188">
        <v>27.0</v>
      </c>
      <c r="N61" s="188">
        <v>29.0</v>
      </c>
      <c r="O61" s="188">
        <v>4.0</v>
      </c>
      <c r="P61" s="188">
        <v>31.0</v>
      </c>
      <c r="Q61" s="188">
        <v>2.0</v>
      </c>
      <c r="R61" s="188">
        <v>14.0</v>
      </c>
      <c r="S61" s="188">
        <v>0.0</v>
      </c>
      <c r="T61" s="188">
        <v>4.0</v>
      </c>
      <c r="U61" s="188">
        <v>18.0</v>
      </c>
      <c r="V61" s="188">
        <v>26.0</v>
      </c>
      <c r="W61" s="188">
        <v>3.0</v>
      </c>
      <c r="X61" s="188">
        <v>0.0</v>
      </c>
      <c r="Y61" s="188">
        <v>0.0</v>
      </c>
      <c r="Z61" s="188">
        <v>319.0</v>
      </c>
      <c r="AA61" s="188">
        <v>348.0</v>
      </c>
      <c r="AB61" s="188">
        <v>72.0</v>
      </c>
      <c r="AC61" s="186">
        <v>29195.126805555556</v>
      </c>
      <c r="AD61" s="189">
        <v>4.430555555555555</v>
      </c>
      <c r="AE61" s="186">
        <v>99270.0</v>
      </c>
      <c r="AF61" s="186">
        <v>35986.0</v>
      </c>
      <c r="AG61" s="187">
        <v>0.06434483289170316</v>
      </c>
      <c r="AH61" s="186">
        <v>150146.36642857143</v>
      </c>
      <c r="AI61" s="219">
        <v>26.0</v>
      </c>
      <c r="AJ61" s="219">
        <v>617.0</v>
      </c>
      <c r="AK61" s="219">
        <v>3779.22</v>
      </c>
      <c r="AL61" s="219">
        <v>130.0</v>
      </c>
      <c r="AM61" s="191"/>
      <c r="AN61" s="75"/>
      <c r="AO61" s="192">
        <v>-655763.1299999999</v>
      </c>
    </row>
    <row r="62">
      <c r="A62" s="183" t="s">
        <v>185</v>
      </c>
      <c r="B62" s="183" t="s">
        <v>189</v>
      </c>
      <c r="C62" s="183" t="s">
        <v>402</v>
      </c>
      <c r="D62" s="75" t="s">
        <v>192</v>
      </c>
      <c r="E62" s="256">
        <v>45040.0</v>
      </c>
      <c r="F62" s="75" t="s">
        <v>1016</v>
      </c>
      <c r="G62" s="186">
        <v>2706692.0</v>
      </c>
      <c r="H62" s="186">
        <v>4500000.0</v>
      </c>
      <c r="I62" s="186">
        <v>2273147.85</v>
      </c>
      <c r="J62" s="186">
        <v>0.0</v>
      </c>
      <c r="K62" s="186">
        <v>1982004.0</v>
      </c>
      <c r="L62" s="187">
        <v>0.5051439666666667</v>
      </c>
      <c r="M62" s="188">
        <v>69.0</v>
      </c>
      <c r="N62" s="188">
        <v>47.0</v>
      </c>
      <c r="O62" s="188">
        <v>0.0</v>
      </c>
      <c r="P62" s="188">
        <v>69.0</v>
      </c>
      <c r="Q62" s="188">
        <v>22.0</v>
      </c>
      <c r="R62" s="188">
        <v>18.0</v>
      </c>
      <c r="S62" s="188">
        <v>0.0</v>
      </c>
      <c r="T62" s="188">
        <v>0.0</v>
      </c>
      <c r="U62" s="188">
        <v>4.0</v>
      </c>
      <c r="V62" s="188">
        <v>8.0</v>
      </c>
      <c r="W62" s="188">
        <v>1.0</v>
      </c>
      <c r="X62" s="188">
        <v>0.0</v>
      </c>
      <c r="Y62" s="188">
        <v>0.0</v>
      </c>
      <c r="Z62" s="188">
        <v>346.0</v>
      </c>
      <c r="AA62" s="188">
        <v>355.0</v>
      </c>
      <c r="AB62" s="188">
        <v>75.0</v>
      </c>
      <c r="AC62" s="186">
        <v>30308.638000000003</v>
      </c>
      <c r="AD62" s="189">
        <v>4.613333333333333</v>
      </c>
      <c r="AE62" s="186">
        <v>72000.0</v>
      </c>
      <c r="AF62" s="186">
        <v>15499.0</v>
      </c>
      <c r="AG62" s="187">
        <v>0.0384924368205966</v>
      </c>
      <c r="AH62" s="186">
        <v>126285.99166666667</v>
      </c>
      <c r="AI62" s="219">
        <v>46.0</v>
      </c>
      <c r="AJ62" s="219">
        <v>628.0</v>
      </c>
      <c r="AK62" s="219">
        <v>3321.61</v>
      </c>
      <c r="AL62" s="219">
        <v>71.0</v>
      </c>
      <c r="AM62" s="191"/>
      <c r="AN62" s="75"/>
      <c r="AO62" s="192">
        <v>-291143.8500000001</v>
      </c>
    </row>
    <row r="63">
      <c r="A63" s="183" t="s">
        <v>298</v>
      </c>
      <c r="B63" s="183" t="s">
        <v>301</v>
      </c>
      <c r="C63" s="184" t="s">
        <v>715</v>
      </c>
      <c r="D63" s="75" t="s">
        <v>303</v>
      </c>
      <c r="E63" s="256">
        <v>45047.0</v>
      </c>
      <c r="F63" s="75" t="s">
        <v>1066</v>
      </c>
      <c r="G63" s="186">
        <v>7311644.0</v>
      </c>
      <c r="H63" s="186">
        <v>3600000.0</v>
      </c>
      <c r="I63" s="186">
        <v>689409.46</v>
      </c>
      <c r="J63" s="186">
        <v>0.0</v>
      </c>
      <c r="K63" s="186">
        <v>833127.0</v>
      </c>
      <c r="L63" s="187">
        <v>0.19150262777777777</v>
      </c>
      <c r="M63" s="188">
        <v>109.0</v>
      </c>
      <c r="N63" s="188">
        <v>84.0</v>
      </c>
      <c r="O63" s="188">
        <v>1.0</v>
      </c>
      <c r="P63" s="188">
        <v>110.0</v>
      </c>
      <c r="Q63" s="188">
        <v>26.0</v>
      </c>
      <c r="R63" s="188">
        <v>40.0</v>
      </c>
      <c r="S63" s="188">
        <v>0.0</v>
      </c>
      <c r="T63" s="188">
        <v>1.0</v>
      </c>
      <c r="U63" s="188">
        <v>6.0</v>
      </c>
      <c r="V63" s="188">
        <v>10.0</v>
      </c>
      <c r="W63" s="188">
        <v>11.0</v>
      </c>
      <c r="X63" s="188">
        <v>0.0</v>
      </c>
      <c r="Y63" s="188">
        <v>0.0</v>
      </c>
      <c r="Z63" s="188">
        <v>272.0</v>
      </c>
      <c r="AA63" s="188">
        <v>293.0</v>
      </c>
      <c r="AB63" s="188">
        <v>70.0</v>
      </c>
      <c r="AC63" s="186">
        <v>9848.70657142857</v>
      </c>
      <c r="AD63" s="189">
        <v>3.8857142857142857</v>
      </c>
      <c r="AE63" s="186">
        <v>105501.0</v>
      </c>
      <c r="AF63" s="186">
        <v>22376.0</v>
      </c>
      <c r="AG63" s="187">
        <v>0.18548773612709057</v>
      </c>
      <c r="AH63" s="186">
        <v>17235.2365</v>
      </c>
      <c r="AI63" s="219">
        <v>65.0</v>
      </c>
      <c r="AJ63" s="219">
        <v>692.0</v>
      </c>
      <c r="AK63" s="219">
        <v>4458.43</v>
      </c>
      <c r="AL63" s="219">
        <v>53.0</v>
      </c>
      <c r="AM63" s="191"/>
      <c r="AN63" s="75"/>
      <c r="AO63" s="192">
        <v>143717.54000000004</v>
      </c>
    </row>
    <row r="64">
      <c r="A64" s="183" t="s">
        <v>298</v>
      </c>
      <c r="B64" s="183" t="s">
        <v>301</v>
      </c>
      <c r="C64" s="184" t="s">
        <v>716</v>
      </c>
      <c r="D64" s="75" t="s">
        <v>317</v>
      </c>
      <c r="E64" s="256">
        <v>45047.0</v>
      </c>
      <c r="F64" s="75" t="s">
        <v>1066</v>
      </c>
      <c r="G64" s="186">
        <v>3836040.0</v>
      </c>
      <c r="H64" s="186">
        <v>0.0</v>
      </c>
      <c r="I64" s="186">
        <v>0.0</v>
      </c>
      <c r="J64" s="186">
        <v>0.0</v>
      </c>
      <c r="K64" s="186">
        <v>0.0</v>
      </c>
      <c r="L64" s="187"/>
      <c r="M64" s="188">
        <v>35.0</v>
      </c>
      <c r="N64" s="188">
        <v>28.0</v>
      </c>
      <c r="O64" s="188">
        <v>0.0</v>
      </c>
      <c r="P64" s="188">
        <v>35.0</v>
      </c>
      <c r="Q64" s="188">
        <v>7.0</v>
      </c>
      <c r="R64" s="188">
        <v>0.0</v>
      </c>
      <c r="S64" s="188">
        <v>0.0</v>
      </c>
      <c r="T64" s="188">
        <v>0.0</v>
      </c>
      <c r="U64" s="188">
        <v>3.0</v>
      </c>
      <c r="V64" s="188">
        <v>4.0</v>
      </c>
      <c r="W64" s="188">
        <v>26.0</v>
      </c>
      <c r="X64" s="188">
        <v>4.0</v>
      </c>
      <c r="Y64" s="188">
        <v>5.0</v>
      </c>
      <c r="Z64" s="188">
        <v>74.0</v>
      </c>
      <c r="AA64" s="188">
        <v>113.0</v>
      </c>
      <c r="AB64" s="188">
        <v>32.0</v>
      </c>
      <c r="AC64" s="186">
        <v>0.0</v>
      </c>
      <c r="AD64" s="189">
        <v>2.3125</v>
      </c>
      <c r="AE64" s="186">
        <v>47042.1</v>
      </c>
      <c r="AF64" s="186">
        <v>11050.0</v>
      </c>
      <c r="AG64" s="187"/>
      <c r="AH64" s="186"/>
      <c r="AI64" s="219">
        <v>0.0</v>
      </c>
      <c r="AJ64" s="219">
        <v>275.0</v>
      </c>
      <c r="AK64" s="219">
        <v>2661.84</v>
      </c>
      <c r="AL64" s="219">
        <v>95.0</v>
      </c>
      <c r="AM64" s="191">
        <v>45785.0</v>
      </c>
      <c r="AN64" s="75"/>
      <c r="AO64" s="192">
        <v>0.0</v>
      </c>
    </row>
    <row r="65">
      <c r="A65" s="183" t="s">
        <v>185</v>
      </c>
      <c r="B65" s="183" t="s">
        <v>189</v>
      </c>
      <c r="C65" s="184" t="s">
        <v>726</v>
      </c>
      <c r="D65" s="75" t="s">
        <v>1075</v>
      </c>
      <c r="E65" s="256">
        <v>45047.0</v>
      </c>
      <c r="F65" s="75" t="s">
        <v>1016</v>
      </c>
      <c r="G65" s="186">
        <v>7721539.0</v>
      </c>
      <c r="H65" s="186">
        <v>4500000.0</v>
      </c>
      <c r="I65" s="186">
        <v>2559366.62</v>
      </c>
      <c r="J65" s="186">
        <v>0.0</v>
      </c>
      <c r="K65" s="186">
        <v>2534605.0</v>
      </c>
      <c r="L65" s="187">
        <v>0.5687481377777778</v>
      </c>
      <c r="M65" s="188">
        <v>41.0</v>
      </c>
      <c r="N65" s="188">
        <v>38.0</v>
      </c>
      <c r="O65" s="188">
        <v>1.0</v>
      </c>
      <c r="P65" s="188">
        <v>42.0</v>
      </c>
      <c r="Q65" s="188">
        <v>4.0</v>
      </c>
      <c r="R65" s="188">
        <v>12.0</v>
      </c>
      <c r="S65" s="188">
        <v>0.0</v>
      </c>
      <c r="T65" s="188">
        <v>1.0</v>
      </c>
      <c r="U65" s="188">
        <v>32.0</v>
      </c>
      <c r="V65" s="188">
        <v>72.0</v>
      </c>
      <c r="W65" s="188">
        <v>4.0</v>
      </c>
      <c r="X65" s="188">
        <v>0.0</v>
      </c>
      <c r="Y65" s="188">
        <v>0.0</v>
      </c>
      <c r="Z65" s="188">
        <v>375.0</v>
      </c>
      <c r="AA65" s="188">
        <v>451.0</v>
      </c>
      <c r="AB65" s="188">
        <v>74.0</v>
      </c>
      <c r="AC65" s="186">
        <v>34586.035405405404</v>
      </c>
      <c r="AD65" s="189">
        <v>5.0675675675675675</v>
      </c>
      <c r="AE65" s="186">
        <v>87501.0</v>
      </c>
      <c r="AF65" s="186">
        <v>22662.0</v>
      </c>
      <c r="AG65" s="187">
        <v>0.04304307133614175</v>
      </c>
      <c r="AH65" s="186">
        <v>213280.55166666667</v>
      </c>
      <c r="AI65" s="219">
        <v>22.0</v>
      </c>
      <c r="AJ65" s="219">
        <v>751.0</v>
      </c>
      <c r="AK65" s="219">
        <v>6225.77</v>
      </c>
      <c r="AL65" s="219">
        <v>164.0</v>
      </c>
      <c r="AM65" s="191"/>
      <c r="AN65" s="75"/>
      <c r="AO65" s="192">
        <v>-24761.62000000011</v>
      </c>
    </row>
    <row r="66">
      <c r="A66" s="183" t="s">
        <v>185</v>
      </c>
      <c r="B66" s="183" t="s">
        <v>189</v>
      </c>
      <c r="C66" s="184" t="s">
        <v>728</v>
      </c>
      <c r="D66" s="75" t="s">
        <v>1075</v>
      </c>
      <c r="E66" s="256">
        <v>45047.0</v>
      </c>
      <c r="F66" s="75" t="s">
        <v>1016</v>
      </c>
      <c r="G66" s="186">
        <v>1.0161192E7</v>
      </c>
      <c r="H66" s="186">
        <v>4500000.0</v>
      </c>
      <c r="I66" s="186">
        <v>2785326.54</v>
      </c>
      <c r="J66" s="186">
        <v>0.0</v>
      </c>
      <c r="K66" s="186">
        <v>2785361.0</v>
      </c>
      <c r="L66" s="187">
        <v>0.6189614533333333</v>
      </c>
      <c r="M66" s="188">
        <v>48.0</v>
      </c>
      <c r="N66" s="188">
        <v>37.0</v>
      </c>
      <c r="O66" s="188">
        <v>2.0</v>
      </c>
      <c r="P66" s="188">
        <v>50.0</v>
      </c>
      <c r="Q66" s="188">
        <v>13.0</v>
      </c>
      <c r="R66" s="188">
        <v>11.0</v>
      </c>
      <c r="S66" s="188">
        <v>0.0</v>
      </c>
      <c r="T66" s="188">
        <v>1.0</v>
      </c>
      <c r="U66" s="188">
        <v>46.0</v>
      </c>
      <c r="V66" s="188">
        <v>74.0</v>
      </c>
      <c r="W66" s="188">
        <v>3.0</v>
      </c>
      <c r="X66" s="188">
        <v>0.0</v>
      </c>
      <c r="Y66" s="188">
        <v>0.0</v>
      </c>
      <c r="Z66" s="188">
        <v>258.0</v>
      </c>
      <c r="AA66" s="188">
        <v>335.0</v>
      </c>
      <c r="AB66" s="188">
        <v>77.0</v>
      </c>
      <c r="AC66" s="186">
        <v>36173.07194805195</v>
      </c>
      <c r="AD66" s="189">
        <v>3.3506493506493507</v>
      </c>
      <c r="AE66" s="186">
        <v>72000.0</v>
      </c>
      <c r="AF66" s="186">
        <v>23941.0</v>
      </c>
      <c r="AG66" s="187">
        <v>0.03444515342176002</v>
      </c>
      <c r="AH66" s="186">
        <v>253211.50363636363</v>
      </c>
      <c r="AI66" s="258">
        <v>28.0</v>
      </c>
      <c r="AJ66" s="258">
        <v>585.0</v>
      </c>
      <c r="AK66" s="258">
        <v>3484.68</v>
      </c>
      <c r="AL66" s="258">
        <v>94.0</v>
      </c>
      <c r="AM66" s="422"/>
      <c r="AN66" s="259"/>
      <c r="AO66" s="192">
        <v>34.45999999996275</v>
      </c>
    </row>
    <row r="67">
      <c r="A67" s="183" t="s">
        <v>185</v>
      </c>
      <c r="B67" s="183" t="s">
        <v>189</v>
      </c>
      <c r="C67" s="184" t="s">
        <v>732</v>
      </c>
      <c r="D67" s="75" t="s">
        <v>187</v>
      </c>
      <c r="E67" s="256">
        <v>45047.0</v>
      </c>
      <c r="F67" s="75" t="s">
        <v>1016</v>
      </c>
      <c r="G67" s="186">
        <v>2.6259193E7</v>
      </c>
      <c r="H67" s="186">
        <v>9900000.0</v>
      </c>
      <c r="I67" s="186">
        <v>4564949.76</v>
      </c>
      <c r="J67" s="186">
        <v>0.0</v>
      </c>
      <c r="K67" s="186">
        <v>4787969.0</v>
      </c>
      <c r="L67" s="187">
        <v>0.46110603636363634</v>
      </c>
      <c r="M67" s="188">
        <v>108.0</v>
      </c>
      <c r="N67" s="188">
        <v>105.0</v>
      </c>
      <c r="O67" s="188">
        <v>2.0</v>
      </c>
      <c r="P67" s="188">
        <v>110.0</v>
      </c>
      <c r="Q67" s="188">
        <v>5.0</v>
      </c>
      <c r="R67" s="188">
        <v>69.0</v>
      </c>
      <c r="S67" s="188">
        <v>0.0</v>
      </c>
      <c r="T67" s="188">
        <v>2.0</v>
      </c>
      <c r="U67" s="188">
        <v>1.0</v>
      </c>
      <c r="V67" s="188">
        <v>2.0</v>
      </c>
      <c r="W67" s="188">
        <v>10.0</v>
      </c>
      <c r="X67" s="188">
        <v>0.0</v>
      </c>
      <c r="Y67" s="188">
        <v>0.0</v>
      </c>
      <c r="Z67" s="188">
        <v>387.0</v>
      </c>
      <c r="AA67" s="188">
        <v>399.0</v>
      </c>
      <c r="AB67" s="188">
        <v>78.0</v>
      </c>
      <c r="AC67" s="186">
        <v>58524.99692307692</v>
      </c>
      <c r="AD67" s="189">
        <v>4.961538461538462</v>
      </c>
      <c r="AE67" s="186">
        <v>75501.0</v>
      </c>
      <c r="AF67" s="186">
        <v>19158.0</v>
      </c>
      <c r="AG67" s="187">
        <v>0.02073604420128383</v>
      </c>
      <c r="AH67" s="186">
        <v>66158.69217391303</v>
      </c>
      <c r="AI67" s="258">
        <v>137.0</v>
      </c>
      <c r="AJ67" s="258">
        <v>782.0</v>
      </c>
      <c r="AK67" s="258">
        <v>4934.49</v>
      </c>
      <c r="AL67" s="258">
        <v>47.0</v>
      </c>
      <c r="AM67" s="422"/>
      <c r="AN67" s="259"/>
      <c r="AO67" s="192">
        <v>223019.24000000022</v>
      </c>
    </row>
    <row r="68">
      <c r="A68" s="183" t="s">
        <v>185</v>
      </c>
      <c r="B68" s="183" t="s">
        <v>189</v>
      </c>
      <c r="C68" s="183" t="s">
        <v>237</v>
      </c>
      <c r="D68" s="75" t="s">
        <v>1076</v>
      </c>
      <c r="E68" s="256">
        <v>45048.0</v>
      </c>
      <c r="F68" s="75" t="s">
        <v>1016</v>
      </c>
      <c r="G68" s="186">
        <v>1.0441561E7</v>
      </c>
      <c r="H68" s="186">
        <v>4500000.0</v>
      </c>
      <c r="I68" s="186">
        <v>3398893.68</v>
      </c>
      <c r="J68" s="186">
        <v>0.0</v>
      </c>
      <c r="K68" s="186">
        <v>3910118.0</v>
      </c>
      <c r="L68" s="187">
        <v>0.7553097066666667</v>
      </c>
      <c r="M68" s="188">
        <v>49.0</v>
      </c>
      <c r="N68" s="188">
        <v>46.0</v>
      </c>
      <c r="O68" s="188">
        <v>2.0</v>
      </c>
      <c r="P68" s="188">
        <v>51.0</v>
      </c>
      <c r="Q68" s="188">
        <v>5.0</v>
      </c>
      <c r="R68" s="188">
        <v>34.0</v>
      </c>
      <c r="S68" s="188">
        <v>0.0</v>
      </c>
      <c r="T68" s="188">
        <v>2.0</v>
      </c>
      <c r="U68" s="188">
        <v>1.0</v>
      </c>
      <c r="V68" s="188">
        <v>1.0</v>
      </c>
      <c r="W68" s="188">
        <v>54.0</v>
      </c>
      <c r="X68" s="188">
        <v>0.0</v>
      </c>
      <c r="Y68" s="188">
        <v>0.0</v>
      </c>
      <c r="Z68" s="188">
        <v>271.0</v>
      </c>
      <c r="AA68" s="188">
        <v>326.0</v>
      </c>
      <c r="AB68" s="188">
        <v>73.0</v>
      </c>
      <c r="AC68" s="186">
        <v>46560.18739726028</v>
      </c>
      <c r="AD68" s="189">
        <v>3.712328767123288</v>
      </c>
      <c r="AE68" s="186">
        <v>72000.0</v>
      </c>
      <c r="AF68" s="186">
        <v>24538.0</v>
      </c>
      <c r="AG68" s="187">
        <v>0.028402771339408297</v>
      </c>
      <c r="AH68" s="186">
        <v>99967.46117647059</v>
      </c>
      <c r="AI68" s="258">
        <v>80.0</v>
      </c>
      <c r="AJ68" s="258">
        <v>656.0</v>
      </c>
      <c r="AK68" s="258">
        <v>4103.05</v>
      </c>
      <c r="AL68" s="258">
        <v>89.0</v>
      </c>
      <c r="AM68" s="422"/>
      <c r="AN68" s="259"/>
      <c r="AO68" s="192">
        <v>511224.31999999983</v>
      </c>
    </row>
    <row r="69">
      <c r="A69" s="183" t="s">
        <v>185</v>
      </c>
      <c r="B69" s="183" t="s">
        <v>85</v>
      </c>
      <c r="C69" s="184" t="s">
        <v>387</v>
      </c>
      <c r="D69" s="75" t="s">
        <v>87</v>
      </c>
      <c r="E69" s="256">
        <v>45054.0</v>
      </c>
      <c r="F69" s="75" t="s">
        <v>1058</v>
      </c>
      <c r="G69" s="186">
        <v>5601796.0</v>
      </c>
      <c r="H69" s="186">
        <v>0.0</v>
      </c>
      <c r="I69" s="186">
        <v>490239.24</v>
      </c>
      <c r="J69" s="186">
        <v>0.0</v>
      </c>
      <c r="K69" s="186">
        <v>314657.0</v>
      </c>
      <c r="L69" s="187"/>
      <c r="M69" s="188">
        <v>86.0</v>
      </c>
      <c r="N69" s="188">
        <v>71.0</v>
      </c>
      <c r="O69" s="188">
        <v>3.0</v>
      </c>
      <c r="P69" s="188">
        <v>89.0</v>
      </c>
      <c r="Q69" s="188">
        <v>18.0</v>
      </c>
      <c r="R69" s="188">
        <v>25.0</v>
      </c>
      <c r="S69" s="188">
        <v>0.0</v>
      </c>
      <c r="T69" s="188">
        <v>3.0</v>
      </c>
      <c r="U69" s="188">
        <v>1.0</v>
      </c>
      <c r="V69" s="188">
        <v>1.0</v>
      </c>
      <c r="W69" s="188">
        <v>2.0</v>
      </c>
      <c r="X69" s="188">
        <v>0.0</v>
      </c>
      <c r="Y69" s="188">
        <v>0.0</v>
      </c>
      <c r="Z69" s="188">
        <v>241.0</v>
      </c>
      <c r="AA69" s="188">
        <v>244.0</v>
      </c>
      <c r="AB69" s="188">
        <v>43.0</v>
      </c>
      <c r="AC69" s="186">
        <v>11400.912558139535</v>
      </c>
      <c r="AD69" s="189">
        <v>5.604651162790698</v>
      </c>
      <c r="AE69" s="186">
        <v>39471.0</v>
      </c>
      <c r="AF69" s="186">
        <v>31945.0</v>
      </c>
      <c r="AG69" s="187">
        <v>0.14567581330290902</v>
      </c>
      <c r="AH69" s="186">
        <v>19609.5696</v>
      </c>
      <c r="AI69" s="258">
        <v>31.0</v>
      </c>
      <c r="AJ69" s="258">
        <v>431.0</v>
      </c>
      <c r="AK69" s="258">
        <v>5661.48</v>
      </c>
      <c r="AL69" s="258">
        <v>80.0</v>
      </c>
      <c r="AM69" s="422">
        <v>45801.0</v>
      </c>
      <c r="AN69" s="259"/>
      <c r="AO69" s="192">
        <v>-175582.24</v>
      </c>
    </row>
    <row r="70">
      <c r="A70" s="183" t="s">
        <v>185</v>
      </c>
      <c r="B70" s="183" t="s">
        <v>189</v>
      </c>
      <c r="C70" s="184" t="s">
        <v>738</v>
      </c>
      <c r="D70" s="75" t="s">
        <v>1075</v>
      </c>
      <c r="E70" s="256">
        <v>45056.0</v>
      </c>
      <c r="F70" s="75" t="s">
        <v>1016</v>
      </c>
      <c r="G70" s="186">
        <v>1.0208613E7</v>
      </c>
      <c r="H70" s="186">
        <v>4500000.0</v>
      </c>
      <c r="I70" s="186">
        <v>3530551.47</v>
      </c>
      <c r="J70" s="186">
        <v>0.0</v>
      </c>
      <c r="K70" s="186">
        <v>3561477.0</v>
      </c>
      <c r="L70" s="187">
        <v>0.7845669933333334</v>
      </c>
      <c r="M70" s="188">
        <v>56.0</v>
      </c>
      <c r="N70" s="188">
        <v>49.0</v>
      </c>
      <c r="O70" s="188">
        <v>3.0</v>
      </c>
      <c r="P70" s="188">
        <v>59.0</v>
      </c>
      <c r="Q70" s="188">
        <v>10.0</v>
      </c>
      <c r="R70" s="188">
        <v>18.0</v>
      </c>
      <c r="S70" s="188">
        <v>0.0</v>
      </c>
      <c r="T70" s="188">
        <v>2.0</v>
      </c>
      <c r="U70" s="188">
        <v>71.0</v>
      </c>
      <c r="V70" s="188">
        <v>148.0</v>
      </c>
      <c r="W70" s="188">
        <v>3.0</v>
      </c>
      <c r="X70" s="188">
        <v>0.0</v>
      </c>
      <c r="Y70" s="188">
        <v>0.0</v>
      </c>
      <c r="Z70" s="188">
        <v>289.0</v>
      </c>
      <c r="AA70" s="188">
        <v>440.0</v>
      </c>
      <c r="AB70" s="188">
        <v>72.0</v>
      </c>
      <c r="AC70" s="186">
        <v>49035.43708333334</v>
      </c>
      <c r="AD70" s="189">
        <v>4.013888888888889</v>
      </c>
      <c r="AE70" s="186">
        <v>68751.0</v>
      </c>
      <c r="AF70" s="186">
        <v>26444.0</v>
      </c>
      <c r="AG70" s="187">
        <v>0.026963209801328856</v>
      </c>
      <c r="AH70" s="186">
        <v>196141.74833333335</v>
      </c>
      <c r="AI70" s="258">
        <v>35.0</v>
      </c>
      <c r="AJ70" s="258">
        <v>794.0</v>
      </c>
      <c r="AK70" s="258">
        <v>4805.79</v>
      </c>
      <c r="AL70" s="258">
        <v>98.0</v>
      </c>
      <c r="AM70" s="422"/>
      <c r="AN70" s="259"/>
      <c r="AO70" s="192">
        <v>30925.529999999795</v>
      </c>
    </row>
    <row r="71">
      <c r="A71" s="183" t="s">
        <v>185</v>
      </c>
      <c r="B71" s="183" t="s">
        <v>212</v>
      </c>
      <c r="C71" s="184" t="s">
        <v>744</v>
      </c>
      <c r="D71" s="75" t="s">
        <v>219</v>
      </c>
      <c r="E71" s="256">
        <v>45058.0</v>
      </c>
      <c r="F71" s="75" t="s">
        <v>1031</v>
      </c>
      <c r="G71" s="186">
        <v>3848383.0</v>
      </c>
      <c r="H71" s="186">
        <v>6000000.0</v>
      </c>
      <c r="I71" s="186">
        <v>1796254.91</v>
      </c>
      <c r="J71" s="186">
        <v>0.0</v>
      </c>
      <c r="K71" s="186">
        <v>4678508.2</v>
      </c>
      <c r="L71" s="187">
        <v>0.2993758183333333</v>
      </c>
      <c r="M71" s="188">
        <v>111.0</v>
      </c>
      <c r="N71" s="188">
        <v>82.0</v>
      </c>
      <c r="O71" s="188">
        <v>4.0</v>
      </c>
      <c r="P71" s="188">
        <v>115.0</v>
      </c>
      <c r="Q71" s="188">
        <v>33.0</v>
      </c>
      <c r="R71" s="188">
        <v>31.0</v>
      </c>
      <c r="S71" s="188">
        <v>0.0</v>
      </c>
      <c r="T71" s="188">
        <v>3.0</v>
      </c>
      <c r="U71" s="188">
        <v>64.0</v>
      </c>
      <c r="V71" s="188">
        <v>74.0</v>
      </c>
      <c r="W71" s="188">
        <v>44.0</v>
      </c>
      <c r="X71" s="188">
        <v>0.0</v>
      </c>
      <c r="Y71" s="188">
        <v>0.0</v>
      </c>
      <c r="Z71" s="188">
        <v>205.0</v>
      </c>
      <c r="AA71" s="188">
        <v>323.0</v>
      </c>
      <c r="AB71" s="188">
        <v>74.0</v>
      </c>
      <c r="AC71" s="186">
        <v>24273.715</v>
      </c>
      <c r="AD71" s="189">
        <v>2.77027027027027</v>
      </c>
      <c r="AE71" s="186">
        <v>86250.0</v>
      </c>
      <c r="AF71" s="186">
        <v>28202.0</v>
      </c>
      <c r="AG71" s="187">
        <v>0.06371701441862726</v>
      </c>
      <c r="AH71" s="186">
        <v>57943.706774193546</v>
      </c>
      <c r="AI71" s="258">
        <v>50.0</v>
      </c>
      <c r="AJ71" s="258">
        <v>696.0</v>
      </c>
      <c r="AK71" s="258">
        <v>2629.82</v>
      </c>
      <c r="AL71" s="258">
        <v>32.0</v>
      </c>
      <c r="AM71" s="422"/>
      <c r="AN71" s="259"/>
      <c r="AO71" s="192">
        <v>2882253.29</v>
      </c>
    </row>
    <row r="72">
      <c r="A72" s="183" t="s">
        <v>53</v>
      </c>
      <c r="B72" s="183" t="s">
        <v>61</v>
      </c>
      <c r="C72" s="184" t="s">
        <v>746</v>
      </c>
      <c r="D72" s="75" t="s">
        <v>60</v>
      </c>
      <c r="E72" s="256">
        <v>45061.0</v>
      </c>
      <c r="F72" s="75" t="s">
        <v>1077</v>
      </c>
      <c r="G72" s="186">
        <v>1.0859936E7</v>
      </c>
      <c r="H72" s="186">
        <v>4500000.0</v>
      </c>
      <c r="I72" s="186">
        <v>3819522.05</v>
      </c>
      <c r="J72" s="186">
        <v>0.0</v>
      </c>
      <c r="K72" s="186">
        <v>4399310.0</v>
      </c>
      <c r="L72" s="187">
        <v>0.8487826777777777</v>
      </c>
      <c r="M72" s="188">
        <v>109.0</v>
      </c>
      <c r="N72" s="188">
        <v>98.0</v>
      </c>
      <c r="O72" s="188">
        <v>9.0</v>
      </c>
      <c r="P72" s="188">
        <v>118.0</v>
      </c>
      <c r="Q72" s="188">
        <v>20.0</v>
      </c>
      <c r="R72" s="188">
        <v>40.0</v>
      </c>
      <c r="S72" s="188">
        <v>0.0</v>
      </c>
      <c r="T72" s="188">
        <v>9.0</v>
      </c>
      <c r="U72" s="188">
        <v>81.0</v>
      </c>
      <c r="V72" s="188">
        <v>104.0</v>
      </c>
      <c r="W72" s="188">
        <v>18.0</v>
      </c>
      <c r="X72" s="188">
        <v>0.0</v>
      </c>
      <c r="Y72" s="188">
        <v>6.0</v>
      </c>
      <c r="Z72" s="188">
        <v>424.0</v>
      </c>
      <c r="AA72" s="188">
        <v>552.0</v>
      </c>
      <c r="AB72" s="188">
        <v>69.0</v>
      </c>
      <c r="AC72" s="186">
        <v>55355.3920289855</v>
      </c>
      <c r="AD72" s="189">
        <v>6.144927536231884</v>
      </c>
      <c r="AE72" s="186">
        <v>108570.0</v>
      </c>
      <c r="AF72" s="186">
        <v>18986.0</v>
      </c>
      <c r="AG72" s="187">
        <v>0.033395801445890334</v>
      </c>
      <c r="AH72" s="186">
        <v>95488.05124999999</v>
      </c>
      <c r="AI72" s="258">
        <v>70.0</v>
      </c>
      <c r="AJ72" s="258">
        <v>762.0</v>
      </c>
      <c r="AK72" s="258">
        <v>6448.47</v>
      </c>
      <c r="AL72" s="258">
        <v>66.0</v>
      </c>
      <c r="AM72" s="260"/>
      <c r="AN72" s="260"/>
      <c r="AO72" s="192">
        <v>579787.9500000002</v>
      </c>
    </row>
    <row r="73">
      <c r="A73" s="183" t="s">
        <v>73</v>
      </c>
      <c r="B73" s="183" t="s">
        <v>1229</v>
      </c>
      <c r="C73" s="184" t="s">
        <v>77</v>
      </c>
      <c r="D73" s="75" t="s">
        <v>78</v>
      </c>
      <c r="E73" s="256">
        <v>45068.0</v>
      </c>
      <c r="F73" s="75" t="s">
        <v>76</v>
      </c>
      <c r="G73" s="186">
        <v>9383403.0</v>
      </c>
      <c r="H73" s="186">
        <v>6375000.0</v>
      </c>
      <c r="I73" s="186">
        <v>1973201.9</v>
      </c>
      <c r="J73" s="186">
        <v>1361032.44</v>
      </c>
      <c r="K73" s="186">
        <v>3219320.0</v>
      </c>
      <c r="L73" s="187">
        <v>0.523017151372549</v>
      </c>
      <c r="M73" s="188">
        <v>48.0</v>
      </c>
      <c r="N73" s="188">
        <v>36.0</v>
      </c>
      <c r="O73" s="188">
        <v>0.0</v>
      </c>
      <c r="P73" s="188">
        <v>48.0</v>
      </c>
      <c r="Q73" s="188">
        <v>12.0</v>
      </c>
      <c r="R73" s="188">
        <v>22.0</v>
      </c>
      <c r="S73" s="188">
        <v>6.0</v>
      </c>
      <c r="T73" s="188">
        <v>0.0</v>
      </c>
      <c r="U73" s="188">
        <v>14.0</v>
      </c>
      <c r="V73" s="188">
        <v>27.0</v>
      </c>
      <c r="W73" s="188">
        <v>33.0</v>
      </c>
      <c r="X73" s="188">
        <v>46.0</v>
      </c>
      <c r="Y73" s="188">
        <v>4.0</v>
      </c>
      <c r="Z73" s="188">
        <v>138.0</v>
      </c>
      <c r="AA73" s="188">
        <v>248.0</v>
      </c>
      <c r="AB73" s="188">
        <v>76.0</v>
      </c>
      <c r="AC73" s="186">
        <v>43871.50447368421</v>
      </c>
      <c r="AD73" s="189">
        <v>1.8157894736842106</v>
      </c>
      <c r="AE73" s="186">
        <v>82500.0</v>
      </c>
      <c r="AF73" s="186">
        <v>9490.0</v>
      </c>
      <c r="AG73" s="187">
        <v>0.02758954249148547</v>
      </c>
      <c r="AH73" s="186">
        <v>89690.99545454545</v>
      </c>
      <c r="AI73" s="258">
        <v>44.0</v>
      </c>
      <c r="AJ73" s="258">
        <v>623.0</v>
      </c>
      <c r="AK73" s="258">
        <v>3304.68</v>
      </c>
      <c r="AL73" s="258">
        <v>92.0</v>
      </c>
      <c r="AM73" s="260"/>
      <c r="AN73" s="260"/>
      <c r="AO73" s="192">
        <v>-114914.33999999985</v>
      </c>
    </row>
    <row r="74">
      <c r="A74" s="183" t="s">
        <v>185</v>
      </c>
      <c r="B74" s="183" t="s">
        <v>189</v>
      </c>
      <c r="C74" s="184" t="s">
        <v>747</v>
      </c>
      <c r="D74" s="75" t="s">
        <v>1078</v>
      </c>
      <c r="E74" s="256">
        <v>45069.0</v>
      </c>
      <c r="F74" s="75" t="s">
        <v>1016</v>
      </c>
      <c r="G74" s="186">
        <v>1.22809189E7</v>
      </c>
      <c r="H74" s="186">
        <v>4500000.0</v>
      </c>
      <c r="I74" s="186">
        <v>1856755.06</v>
      </c>
      <c r="J74" s="186">
        <v>0.0</v>
      </c>
      <c r="K74" s="186">
        <v>2176861.0</v>
      </c>
      <c r="L74" s="187">
        <v>0.4126122355555556</v>
      </c>
      <c r="M74" s="188">
        <v>41.0</v>
      </c>
      <c r="N74" s="188">
        <v>36.0</v>
      </c>
      <c r="O74" s="188">
        <v>2.0</v>
      </c>
      <c r="P74" s="188">
        <v>43.0</v>
      </c>
      <c r="Q74" s="188">
        <v>7.0</v>
      </c>
      <c r="R74" s="188">
        <v>23.0</v>
      </c>
      <c r="S74" s="188">
        <v>0.0</v>
      </c>
      <c r="T74" s="188">
        <v>2.0</v>
      </c>
      <c r="U74" s="188">
        <v>20.0</v>
      </c>
      <c r="V74" s="188">
        <v>51.0</v>
      </c>
      <c r="W74" s="188">
        <v>6.0</v>
      </c>
      <c r="X74" s="188">
        <v>0.0</v>
      </c>
      <c r="Y74" s="188">
        <v>0.0</v>
      </c>
      <c r="Z74" s="188">
        <v>314.0</v>
      </c>
      <c r="AA74" s="188">
        <v>371.0</v>
      </c>
      <c r="AB74" s="188">
        <v>77.0</v>
      </c>
      <c r="AC74" s="186">
        <v>24113.70207792208</v>
      </c>
      <c r="AD74" s="189">
        <v>4.077922077922078</v>
      </c>
      <c r="AE74" s="186">
        <v>79500.0</v>
      </c>
      <c r="AF74" s="186">
        <v>18478.0</v>
      </c>
      <c r="AG74" s="187">
        <v>0.052768403388651595</v>
      </c>
      <c r="AH74" s="186">
        <v>80728.48086956522</v>
      </c>
      <c r="AI74" s="258">
        <v>49.0</v>
      </c>
      <c r="AJ74" s="258">
        <v>841.0</v>
      </c>
      <c r="AK74" s="258">
        <v>4245.82</v>
      </c>
      <c r="AL74" s="258">
        <v>118.0</v>
      </c>
      <c r="AM74" s="260"/>
      <c r="AN74" s="260"/>
      <c r="AO74" s="192">
        <v>320105.93999999994</v>
      </c>
    </row>
    <row r="75">
      <c r="A75" s="183" t="s">
        <v>185</v>
      </c>
      <c r="B75" s="183" t="s">
        <v>189</v>
      </c>
      <c r="C75" s="184" t="s">
        <v>240</v>
      </c>
      <c r="D75" s="75" t="s">
        <v>187</v>
      </c>
      <c r="E75" s="256">
        <v>45069.0</v>
      </c>
      <c r="F75" s="75" t="s">
        <v>1016</v>
      </c>
      <c r="G75" s="186">
        <v>1.6611055629999999E7</v>
      </c>
      <c r="H75" s="186">
        <v>4500000.0</v>
      </c>
      <c r="I75" s="186">
        <v>4339586.4</v>
      </c>
      <c r="J75" s="186">
        <v>0.0</v>
      </c>
      <c r="K75" s="186">
        <v>4402927.0</v>
      </c>
      <c r="L75" s="187">
        <v>0.9643525333333334</v>
      </c>
      <c r="M75" s="188">
        <v>122.0</v>
      </c>
      <c r="N75" s="188">
        <v>100.0</v>
      </c>
      <c r="O75" s="188">
        <v>1.0</v>
      </c>
      <c r="P75" s="188">
        <v>123.0</v>
      </c>
      <c r="Q75" s="188">
        <v>23.0</v>
      </c>
      <c r="R75" s="188">
        <v>83.0</v>
      </c>
      <c r="S75" s="188">
        <v>0.0</v>
      </c>
      <c r="T75" s="188">
        <v>0.0</v>
      </c>
      <c r="U75" s="188">
        <v>2.0</v>
      </c>
      <c r="V75" s="188">
        <v>2.0</v>
      </c>
      <c r="W75" s="188">
        <v>12.0</v>
      </c>
      <c r="X75" s="188">
        <v>0.0</v>
      </c>
      <c r="Y75" s="188">
        <v>0.0</v>
      </c>
      <c r="Z75" s="188">
        <v>383.0</v>
      </c>
      <c r="AA75" s="188">
        <v>397.0</v>
      </c>
      <c r="AB75" s="188">
        <v>74.0</v>
      </c>
      <c r="AC75" s="186">
        <v>58643.059459459466</v>
      </c>
      <c r="AD75" s="189">
        <v>5.175675675675675</v>
      </c>
      <c r="AE75" s="186">
        <v>68751.0</v>
      </c>
      <c r="AF75" s="186">
        <v>11250.0</v>
      </c>
      <c r="AG75" s="187">
        <v>0.01843516700116859</v>
      </c>
      <c r="AH75" s="186">
        <v>52284.17349397591</v>
      </c>
      <c r="AI75" s="258">
        <v>155.0</v>
      </c>
      <c r="AJ75" s="258">
        <v>794.0</v>
      </c>
      <c r="AK75" s="258">
        <v>4542.35</v>
      </c>
      <c r="AL75" s="258">
        <v>45.0</v>
      </c>
      <c r="AM75" s="260"/>
      <c r="AN75" s="260"/>
      <c r="AO75" s="192">
        <v>63340.59999999963</v>
      </c>
    </row>
    <row r="76">
      <c r="A76" s="494" t="s">
        <v>185</v>
      </c>
      <c r="B76" s="183" t="s">
        <v>117</v>
      </c>
      <c r="C76" s="184" t="s">
        <v>428</v>
      </c>
      <c r="D76" s="75" t="s">
        <v>429</v>
      </c>
      <c r="E76" s="256">
        <v>45071.0</v>
      </c>
      <c r="F76" s="75" t="s">
        <v>1044</v>
      </c>
      <c r="G76" s="186">
        <v>3069474.0</v>
      </c>
      <c r="H76" s="186">
        <v>2400000.0</v>
      </c>
      <c r="I76" s="186">
        <v>606786.61</v>
      </c>
      <c r="J76" s="186">
        <v>0.0</v>
      </c>
      <c r="K76" s="186">
        <v>0.0</v>
      </c>
      <c r="L76" s="187">
        <v>0.25282775416666664</v>
      </c>
      <c r="M76" s="188">
        <v>56.0</v>
      </c>
      <c r="N76" s="188">
        <v>55.0</v>
      </c>
      <c r="O76" s="188">
        <v>1.0</v>
      </c>
      <c r="P76" s="188">
        <v>57.0</v>
      </c>
      <c r="Q76" s="188">
        <v>2.0</v>
      </c>
      <c r="R76" s="188">
        <v>22.0</v>
      </c>
      <c r="S76" s="188">
        <v>0.0</v>
      </c>
      <c r="T76" s="188">
        <v>1.0</v>
      </c>
      <c r="U76" s="188">
        <v>32.0</v>
      </c>
      <c r="V76" s="188">
        <v>44.0</v>
      </c>
      <c r="W76" s="188">
        <v>1.0</v>
      </c>
      <c r="X76" s="188">
        <v>0.0</v>
      </c>
      <c r="Y76" s="188">
        <v>0.0</v>
      </c>
      <c r="Z76" s="188">
        <v>221.0</v>
      </c>
      <c r="AA76" s="188">
        <v>266.0</v>
      </c>
      <c r="AB76" s="188">
        <v>49.0</v>
      </c>
      <c r="AC76" s="186">
        <v>12383.400204081632</v>
      </c>
      <c r="AD76" s="189">
        <v>4.510204081632653</v>
      </c>
      <c r="AE76" s="186">
        <v>48334.0</v>
      </c>
      <c r="AF76" s="186">
        <v>27708.0</v>
      </c>
      <c r="AG76" s="187">
        <v>0.12531917934049336</v>
      </c>
      <c r="AH76" s="186">
        <v>27581.209545454545</v>
      </c>
      <c r="AI76" s="258">
        <v>31.0</v>
      </c>
      <c r="AJ76" s="258">
        <v>400.0</v>
      </c>
      <c r="AK76" s="258">
        <v>3724.0</v>
      </c>
      <c r="AL76" s="258">
        <v>68.0</v>
      </c>
      <c r="AM76" s="260">
        <v>45808.0</v>
      </c>
      <c r="AN76" s="260"/>
      <c r="AO76" s="192">
        <v>-606786.61</v>
      </c>
    </row>
    <row r="77">
      <c r="A77" s="183" t="s">
        <v>53</v>
      </c>
      <c r="B77" s="183" t="s">
        <v>61</v>
      </c>
      <c r="C77" s="184" t="s">
        <v>363</v>
      </c>
      <c r="D77" s="75" t="s">
        <v>60</v>
      </c>
      <c r="E77" s="256">
        <v>45079.0</v>
      </c>
      <c r="F77" s="75" t="s">
        <v>1077</v>
      </c>
      <c r="G77" s="186">
        <v>6258334.0</v>
      </c>
      <c r="H77" s="186">
        <v>0.0</v>
      </c>
      <c r="I77" s="186">
        <v>301773.35</v>
      </c>
      <c r="J77" s="186">
        <v>0.0</v>
      </c>
      <c r="K77" s="186">
        <v>0.0</v>
      </c>
      <c r="L77" s="187"/>
      <c r="M77" s="188">
        <v>94.0</v>
      </c>
      <c r="N77" s="188">
        <v>70.0</v>
      </c>
      <c r="O77" s="188">
        <v>4.0</v>
      </c>
      <c r="P77" s="188">
        <v>98.0</v>
      </c>
      <c r="Q77" s="188">
        <v>28.0</v>
      </c>
      <c r="R77" s="188">
        <v>31.0</v>
      </c>
      <c r="S77" s="188">
        <v>0.0</v>
      </c>
      <c r="T77" s="188">
        <v>1.0</v>
      </c>
      <c r="U77" s="188">
        <v>108.0</v>
      </c>
      <c r="V77" s="188">
        <v>117.0</v>
      </c>
      <c r="W77" s="188">
        <v>12.0</v>
      </c>
      <c r="X77" s="188">
        <v>0.0</v>
      </c>
      <c r="Y77" s="188">
        <v>1.0</v>
      </c>
      <c r="Z77" s="188">
        <v>126.0</v>
      </c>
      <c r="AA77" s="188">
        <v>256.0</v>
      </c>
      <c r="AB77" s="188">
        <v>37.0</v>
      </c>
      <c r="AC77" s="186">
        <v>8156.036486486486</v>
      </c>
      <c r="AD77" s="189">
        <v>3.4054054054054053</v>
      </c>
      <c r="AE77" s="186">
        <v>37331.75</v>
      </c>
      <c r="AF77" s="186">
        <v>24883.0</v>
      </c>
      <c r="AG77" s="187">
        <v>0.20616383123294355</v>
      </c>
      <c r="AH77" s="186">
        <v>9734.624193548387</v>
      </c>
      <c r="AI77" s="258">
        <v>35.0</v>
      </c>
      <c r="AJ77" s="258">
        <v>441.0</v>
      </c>
      <c r="AK77" s="258">
        <v>3921.81</v>
      </c>
      <c r="AL77" s="258">
        <v>56.0</v>
      </c>
      <c r="AM77" s="260">
        <v>45794.0</v>
      </c>
      <c r="AN77" s="260"/>
      <c r="AO77" s="192">
        <v>-301773.35</v>
      </c>
    </row>
    <row r="78">
      <c r="A78" s="183" t="s">
        <v>126</v>
      </c>
      <c r="B78" s="183" t="s">
        <v>130</v>
      </c>
      <c r="C78" s="184" t="s">
        <v>152</v>
      </c>
      <c r="D78" s="75" t="s">
        <v>153</v>
      </c>
      <c r="E78" s="256">
        <v>45080.0</v>
      </c>
      <c r="F78" s="75" t="s">
        <v>130</v>
      </c>
      <c r="G78" s="186">
        <v>1.7874712E7</v>
      </c>
      <c r="H78" s="186">
        <v>7500000.0</v>
      </c>
      <c r="I78" s="186">
        <v>3762036.0</v>
      </c>
      <c r="J78" s="186">
        <v>1301195.2</v>
      </c>
      <c r="K78" s="186">
        <v>4104179.0</v>
      </c>
      <c r="L78" s="187">
        <v>0.6750974933333334</v>
      </c>
      <c r="M78" s="188">
        <v>115.0</v>
      </c>
      <c r="N78" s="188">
        <v>85.0</v>
      </c>
      <c r="O78" s="188">
        <v>4.0</v>
      </c>
      <c r="P78" s="188">
        <v>119.0</v>
      </c>
      <c r="Q78" s="188">
        <v>34.0</v>
      </c>
      <c r="R78" s="188">
        <v>32.0</v>
      </c>
      <c r="S78" s="188">
        <v>6.0</v>
      </c>
      <c r="T78" s="188">
        <v>3.0</v>
      </c>
      <c r="U78" s="188">
        <v>60.0</v>
      </c>
      <c r="V78" s="188">
        <v>77.0</v>
      </c>
      <c r="W78" s="188">
        <v>38.0</v>
      </c>
      <c r="X78" s="188">
        <v>37.0</v>
      </c>
      <c r="Y78" s="188">
        <v>0.0</v>
      </c>
      <c r="Z78" s="188">
        <v>298.0</v>
      </c>
      <c r="AA78" s="188">
        <v>450.0</v>
      </c>
      <c r="AB78" s="188">
        <v>76.0</v>
      </c>
      <c r="AC78" s="186">
        <v>66621.46315789474</v>
      </c>
      <c r="AD78" s="189">
        <v>3.9210526315789473</v>
      </c>
      <c r="AE78" s="186">
        <v>151251.0</v>
      </c>
      <c r="AF78" s="186">
        <v>29355.0</v>
      </c>
      <c r="AG78" s="187">
        <v>0.035670107262729775</v>
      </c>
      <c r="AH78" s="186">
        <v>117563.625</v>
      </c>
      <c r="AI78" s="258">
        <v>68.0</v>
      </c>
      <c r="AJ78" s="258">
        <v>818.0</v>
      </c>
      <c r="AK78" s="258">
        <v>5761.86</v>
      </c>
      <c r="AL78" s="258">
        <v>68.0</v>
      </c>
      <c r="AM78" s="260"/>
      <c r="AN78" s="260"/>
      <c r="AO78" s="192">
        <v>-959052.2000000002</v>
      </c>
    </row>
    <row r="79">
      <c r="A79" s="183" t="s">
        <v>185</v>
      </c>
      <c r="B79" s="183" t="s">
        <v>189</v>
      </c>
      <c r="C79" s="184" t="s">
        <v>755</v>
      </c>
      <c r="D79" s="75" t="s">
        <v>1079</v>
      </c>
      <c r="E79" s="256">
        <v>45084.0</v>
      </c>
      <c r="F79" s="75" t="s">
        <v>1016</v>
      </c>
      <c r="G79" s="186">
        <v>7732005.0</v>
      </c>
      <c r="H79" s="186">
        <v>7500000.0</v>
      </c>
      <c r="I79" s="186">
        <v>1653904.09</v>
      </c>
      <c r="J79" s="186">
        <v>0.0</v>
      </c>
      <c r="K79" s="186">
        <v>1904689.0</v>
      </c>
      <c r="L79" s="187">
        <v>0.22052054533333335</v>
      </c>
      <c r="M79" s="188">
        <v>78.0</v>
      </c>
      <c r="N79" s="188">
        <v>77.0</v>
      </c>
      <c r="O79" s="188">
        <v>6.0</v>
      </c>
      <c r="P79" s="188">
        <v>84.0</v>
      </c>
      <c r="Q79" s="188">
        <v>7.0</v>
      </c>
      <c r="R79" s="188">
        <v>20.0</v>
      </c>
      <c r="S79" s="188">
        <v>0.0</v>
      </c>
      <c r="T79" s="188">
        <v>3.0</v>
      </c>
      <c r="U79" s="188">
        <v>30.0</v>
      </c>
      <c r="V79" s="188">
        <v>46.0</v>
      </c>
      <c r="W79" s="188">
        <v>8.0</v>
      </c>
      <c r="X79" s="188">
        <v>0.0</v>
      </c>
      <c r="Y79" s="188">
        <v>0.0</v>
      </c>
      <c r="Z79" s="188">
        <v>210.0</v>
      </c>
      <c r="AA79" s="188">
        <v>264.0</v>
      </c>
      <c r="AB79" s="188">
        <v>48.0</v>
      </c>
      <c r="AC79" s="186">
        <v>34456.33520833334</v>
      </c>
      <c r="AD79" s="189">
        <v>4.375</v>
      </c>
      <c r="AE79" s="186">
        <v>70500.0</v>
      </c>
      <c r="AF79" s="186">
        <v>5450.0</v>
      </c>
      <c r="AG79" s="187">
        <v>0.045921647125257425</v>
      </c>
      <c r="AH79" s="186">
        <v>82695.2045</v>
      </c>
      <c r="AI79" s="258">
        <v>27.0</v>
      </c>
      <c r="AJ79" s="258">
        <v>398.0</v>
      </c>
      <c r="AK79" s="258">
        <v>5315.99</v>
      </c>
      <c r="AL79" s="258">
        <v>69.0</v>
      </c>
      <c r="AM79" s="260"/>
      <c r="AN79" s="260"/>
      <c r="AO79" s="192">
        <v>250784.90999999992</v>
      </c>
    </row>
    <row r="80">
      <c r="A80" s="183" t="s">
        <v>185</v>
      </c>
      <c r="B80" s="183" t="s">
        <v>222</v>
      </c>
      <c r="C80" s="184" t="s">
        <v>244</v>
      </c>
      <c r="D80" s="75" t="s">
        <v>245</v>
      </c>
      <c r="E80" s="256">
        <v>45108.0</v>
      </c>
      <c r="F80" s="75" t="s">
        <v>1080</v>
      </c>
      <c r="G80" s="186">
        <v>1.0769962E7</v>
      </c>
      <c r="H80" s="186">
        <v>4500000.0</v>
      </c>
      <c r="I80" s="186">
        <v>4345155.85</v>
      </c>
      <c r="J80" s="186">
        <v>0.0</v>
      </c>
      <c r="K80" s="186">
        <v>3149457.0</v>
      </c>
      <c r="L80" s="187">
        <v>0.9655901888888888</v>
      </c>
      <c r="M80" s="188">
        <v>57.0</v>
      </c>
      <c r="N80" s="188">
        <v>59.0</v>
      </c>
      <c r="O80" s="188">
        <v>5.0</v>
      </c>
      <c r="P80" s="188">
        <v>62.0</v>
      </c>
      <c r="Q80" s="188">
        <v>3.0</v>
      </c>
      <c r="R80" s="188">
        <v>25.0</v>
      </c>
      <c r="S80" s="188">
        <v>0.0</v>
      </c>
      <c r="T80" s="188">
        <v>5.0</v>
      </c>
      <c r="U80" s="188">
        <v>56.0</v>
      </c>
      <c r="V80" s="188">
        <v>105.0</v>
      </c>
      <c r="W80" s="188">
        <v>1.0</v>
      </c>
      <c r="X80" s="188">
        <v>0.0</v>
      </c>
      <c r="Y80" s="188">
        <v>0.0</v>
      </c>
      <c r="Z80" s="188">
        <v>316.0</v>
      </c>
      <c r="AA80" s="188">
        <v>422.0</v>
      </c>
      <c r="AB80" s="188">
        <v>75.0</v>
      </c>
      <c r="AC80" s="186">
        <v>57935.41133333333</v>
      </c>
      <c r="AD80" s="189">
        <v>4.213333333333333</v>
      </c>
      <c r="AE80" s="186">
        <v>75495.0</v>
      </c>
      <c r="AF80" s="186">
        <v>30088.0</v>
      </c>
      <c r="AG80" s="187">
        <v>0.02429901334839348</v>
      </c>
      <c r="AH80" s="186">
        <v>173806.234</v>
      </c>
      <c r="AI80" s="258">
        <v>36.0</v>
      </c>
      <c r="AJ80" s="258">
        <v>818.0</v>
      </c>
      <c r="AK80" s="258">
        <v>7261.08</v>
      </c>
      <c r="AL80" s="258">
        <v>123.0</v>
      </c>
      <c r="AM80" s="260"/>
      <c r="AN80" s="260"/>
      <c r="AO80" s="192">
        <v>-1195698.8499999996</v>
      </c>
    </row>
    <row r="81">
      <c r="A81" s="183" t="s">
        <v>185</v>
      </c>
      <c r="B81" s="183" t="s">
        <v>189</v>
      </c>
      <c r="C81" s="184" t="s">
        <v>246</v>
      </c>
      <c r="D81" s="75" t="s">
        <v>247</v>
      </c>
      <c r="E81" s="256">
        <v>45108.0</v>
      </c>
      <c r="F81" s="75" t="s">
        <v>1016</v>
      </c>
      <c r="G81" s="186">
        <v>1.655081031E7</v>
      </c>
      <c r="H81" s="186">
        <v>1.2E7</v>
      </c>
      <c r="I81" s="186">
        <v>8376576.3</v>
      </c>
      <c r="J81" s="186">
        <v>0.0</v>
      </c>
      <c r="K81" s="186">
        <v>6272809.0</v>
      </c>
      <c r="L81" s="187">
        <v>0.698048025</v>
      </c>
      <c r="M81" s="188">
        <v>136.0</v>
      </c>
      <c r="N81" s="188">
        <v>74.0</v>
      </c>
      <c r="O81" s="188">
        <v>6.0</v>
      </c>
      <c r="P81" s="188">
        <v>142.0</v>
      </c>
      <c r="Q81" s="188">
        <v>68.0</v>
      </c>
      <c r="R81" s="188">
        <v>39.0</v>
      </c>
      <c r="S81" s="188">
        <v>0.0</v>
      </c>
      <c r="T81" s="188">
        <v>4.0</v>
      </c>
      <c r="U81" s="188">
        <v>3.0</v>
      </c>
      <c r="V81" s="188">
        <v>4.0</v>
      </c>
      <c r="W81" s="188">
        <v>18.0</v>
      </c>
      <c r="X81" s="188">
        <v>0.0</v>
      </c>
      <c r="Y81" s="188">
        <v>0.0</v>
      </c>
      <c r="Z81" s="188">
        <v>339.0</v>
      </c>
      <c r="AA81" s="188">
        <v>361.0</v>
      </c>
      <c r="AB81" s="188">
        <v>74.0</v>
      </c>
      <c r="AC81" s="186">
        <v>113196.97702702702</v>
      </c>
      <c r="AD81" s="189">
        <v>4.581081081081081</v>
      </c>
      <c r="AE81" s="186">
        <v>54960.0</v>
      </c>
      <c r="AF81" s="186">
        <v>20495.0</v>
      </c>
      <c r="AG81" s="187">
        <v>0.009007856825705748</v>
      </c>
      <c r="AH81" s="186">
        <v>214784.0076923077</v>
      </c>
      <c r="AI81" s="258">
        <v>60.0</v>
      </c>
      <c r="AJ81" s="258">
        <v>756.0</v>
      </c>
      <c r="AK81" s="258">
        <v>3265.93</v>
      </c>
      <c r="AL81" s="258">
        <v>44.0</v>
      </c>
      <c r="AM81" s="260"/>
      <c r="AN81" s="260"/>
      <c r="AO81" s="192">
        <v>-2103767.3</v>
      </c>
    </row>
    <row r="82">
      <c r="A82" s="183" t="s">
        <v>185</v>
      </c>
      <c r="B82" s="183" t="s">
        <v>189</v>
      </c>
      <c r="C82" s="184" t="s">
        <v>248</v>
      </c>
      <c r="D82" s="75" t="s">
        <v>192</v>
      </c>
      <c r="E82" s="256">
        <v>45117.0</v>
      </c>
      <c r="F82" s="75" t="s">
        <v>1016</v>
      </c>
      <c r="G82" s="186">
        <v>1.3630333E7</v>
      </c>
      <c r="H82" s="186">
        <v>4500000.0</v>
      </c>
      <c r="I82" s="186">
        <v>2583041.94</v>
      </c>
      <c r="J82" s="186">
        <v>0.0</v>
      </c>
      <c r="K82" s="186">
        <v>2411045.0</v>
      </c>
      <c r="L82" s="187">
        <v>0.5740093199999999</v>
      </c>
      <c r="M82" s="188">
        <v>57.0</v>
      </c>
      <c r="N82" s="188">
        <v>44.0</v>
      </c>
      <c r="O82" s="188">
        <v>5.0</v>
      </c>
      <c r="P82" s="188">
        <v>62.0</v>
      </c>
      <c r="Q82" s="188">
        <v>18.0</v>
      </c>
      <c r="R82" s="188">
        <v>27.0</v>
      </c>
      <c r="S82" s="188">
        <v>0.0</v>
      </c>
      <c r="T82" s="188">
        <v>5.0</v>
      </c>
      <c r="U82" s="188">
        <v>13.0</v>
      </c>
      <c r="V82" s="188">
        <v>41.0</v>
      </c>
      <c r="W82" s="188">
        <v>10.0</v>
      </c>
      <c r="X82" s="188">
        <v>0.0</v>
      </c>
      <c r="Y82" s="188">
        <v>0.0</v>
      </c>
      <c r="Z82" s="188">
        <v>326.0</v>
      </c>
      <c r="AA82" s="188">
        <v>377.0</v>
      </c>
      <c r="AB82" s="188">
        <v>68.0</v>
      </c>
      <c r="AC82" s="186">
        <v>37985.91088235294</v>
      </c>
      <c r="AD82" s="189">
        <v>4.794117647058823</v>
      </c>
      <c r="AE82" s="186">
        <v>72360.0</v>
      </c>
      <c r="AF82" s="186">
        <v>19023.0</v>
      </c>
      <c r="AG82" s="187">
        <v>0.03537805506944266</v>
      </c>
      <c r="AH82" s="186">
        <v>95668.22</v>
      </c>
      <c r="AI82" s="258">
        <v>70.0</v>
      </c>
      <c r="AJ82" s="258">
        <v>733.0</v>
      </c>
      <c r="AK82" s="258">
        <v>4265.85</v>
      </c>
      <c r="AL82" s="258">
        <v>97.0</v>
      </c>
      <c r="AM82" s="260"/>
      <c r="AN82" s="260"/>
      <c r="AO82" s="192">
        <v>-171996.93999999994</v>
      </c>
    </row>
    <row r="83">
      <c r="A83" s="183" t="s">
        <v>126</v>
      </c>
      <c r="B83" s="183" t="s">
        <v>130</v>
      </c>
      <c r="C83" s="184" t="s">
        <v>154</v>
      </c>
      <c r="D83" s="75" t="s">
        <v>155</v>
      </c>
      <c r="E83" s="256">
        <v>45121.0</v>
      </c>
      <c r="F83" s="75" t="s">
        <v>130</v>
      </c>
      <c r="G83" s="186">
        <v>2.218899E7</v>
      </c>
      <c r="H83" s="186">
        <v>6624999.0</v>
      </c>
      <c r="I83" s="186">
        <v>6463041.52</v>
      </c>
      <c r="J83" s="186">
        <v>0.0</v>
      </c>
      <c r="K83" s="186">
        <v>6411926.0</v>
      </c>
      <c r="L83" s="187">
        <v>0.9755535842345032</v>
      </c>
      <c r="M83" s="188">
        <v>61.0</v>
      </c>
      <c r="N83" s="188">
        <v>55.0</v>
      </c>
      <c r="O83" s="188">
        <v>3.0</v>
      </c>
      <c r="P83" s="188">
        <v>64.0</v>
      </c>
      <c r="Q83" s="188">
        <v>9.0</v>
      </c>
      <c r="R83" s="188">
        <v>25.0</v>
      </c>
      <c r="S83" s="188">
        <v>0.0</v>
      </c>
      <c r="T83" s="188">
        <v>3.0</v>
      </c>
      <c r="U83" s="188">
        <v>15.0</v>
      </c>
      <c r="V83" s="188">
        <v>19.0</v>
      </c>
      <c r="W83" s="188">
        <v>8.0</v>
      </c>
      <c r="X83" s="188">
        <v>0.0</v>
      </c>
      <c r="Y83" s="188">
        <v>0.0</v>
      </c>
      <c r="Z83" s="188">
        <v>198.0</v>
      </c>
      <c r="AA83" s="188">
        <v>225.0</v>
      </c>
      <c r="AB83" s="188">
        <v>67.0</v>
      </c>
      <c r="AC83" s="186">
        <v>96463.30626865671</v>
      </c>
      <c r="AD83" s="189">
        <v>2.955223880597015</v>
      </c>
      <c r="AE83" s="186">
        <v>72360.0</v>
      </c>
      <c r="AF83" s="186">
        <v>14146.0</v>
      </c>
      <c r="AG83" s="187">
        <v>0.013384719830795703</v>
      </c>
      <c r="AH83" s="186">
        <v>258521.66079999998</v>
      </c>
      <c r="AI83" s="258">
        <v>48.0</v>
      </c>
      <c r="AJ83" s="258">
        <v>503.0</v>
      </c>
      <c r="AK83" s="258">
        <v>1774.52</v>
      </c>
      <c r="AL83" s="258">
        <v>32.0</v>
      </c>
      <c r="AM83" s="260"/>
      <c r="AN83" s="260"/>
      <c r="AO83" s="192">
        <v>-51115.51999999955</v>
      </c>
    </row>
    <row r="84">
      <c r="A84" s="183" t="s">
        <v>126</v>
      </c>
      <c r="B84" s="183" t="s">
        <v>130</v>
      </c>
      <c r="C84" s="184" t="s">
        <v>156</v>
      </c>
      <c r="D84" s="75" t="s">
        <v>157</v>
      </c>
      <c r="E84" s="256">
        <v>45122.0</v>
      </c>
      <c r="F84" s="75" t="s">
        <v>130</v>
      </c>
      <c r="G84" s="186">
        <v>6564514.0</v>
      </c>
      <c r="H84" s="186">
        <v>5375001.0</v>
      </c>
      <c r="I84" s="186">
        <v>3072307.52</v>
      </c>
      <c r="J84" s="186">
        <v>0.0</v>
      </c>
      <c r="K84" s="186">
        <v>2464541.0</v>
      </c>
      <c r="L84" s="187">
        <v>0.5715919904014901</v>
      </c>
      <c r="M84" s="188">
        <v>48.0</v>
      </c>
      <c r="N84" s="188">
        <v>42.0</v>
      </c>
      <c r="O84" s="188">
        <v>2.0</v>
      </c>
      <c r="P84" s="188">
        <v>50.0</v>
      </c>
      <c r="Q84" s="188">
        <v>8.0</v>
      </c>
      <c r="R84" s="188">
        <v>29.0</v>
      </c>
      <c r="S84" s="188">
        <v>0.0</v>
      </c>
      <c r="T84" s="188">
        <v>2.0</v>
      </c>
      <c r="U84" s="188">
        <v>57.0</v>
      </c>
      <c r="V84" s="188">
        <v>87.0</v>
      </c>
      <c r="W84" s="188">
        <v>2.0</v>
      </c>
      <c r="X84" s="188">
        <v>0.0</v>
      </c>
      <c r="Y84" s="188">
        <v>0.0</v>
      </c>
      <c r="Z84" s="188">
        <v>370.0</v>
      </c>
      <c r="AA84" s="188">
        <v>459.0</v>
      </c>
      <c r="AB84" s="188">
        <v>71.0</v>
      </c>
      <c r="AC84" s="186">
        <v>43271.93690140845</v>
      </c>
      <c r="AD84" s="189">
        <v>5.211267605633803</v>
      </c>
      <c r="AE84" s="186">
        <v>65955.0</v>
      </c>
      <c r="AF84" s="186">
        <v>10100.0</v>
      </c>
      <c r="AG84" s="187">
        <v>0.024755008899629942</v>
      </c>
      <c r="AH84" s="186">
        <v>105941.63862068966</v>
      </c>
      <c r="AI84" s="258">
        <v>81.0</v>
      </c>
      <c r="AJ84" s="258">
        <v>510.0</v>
      </c>
      <c r="AK84" s="258">
        <v>2941.48</v>
      </c>
      <c r="AL84" s="258">
        <v>70.0</v>
      </c>
      <c r="AM84" s="260"/>
      <c r="AN84" s="260"/>
      <c r="AO84" s="192">
        <v>-607766.52</v>
      </c>
    </row>
    <row r="85">
      <c r="A85" s="183" t="s">
        <v>126</v>
      </c>
      <c r="B85" s="183" t="s">
        <v>301</v>
      </c>
      <c r="C85" s="184" t="s">
        <v>158</v>
      </c>
      <c r="D85" s="75" t="s">
        <v>159</v>
      </c>
      <c r="E85" s="256">
        <v>45124.0</v>
      </c>
      <c r="F85" s="75" t="s">
        <v>1066</v>
      </c>
      <c r="G85" s="186">
        <v>9816935.0</v>
      </c>
      <c r="H85" s="186">
        <v>4950000.0</v>
      </c>
      <c r="I85" s="186">
        <v>2457259.57</v>
      </c>
      <c r="J85" s="186">
        <v>0.0</v>
      </c>
      <c r="K85" s="186">
        <v>2136410.0</v>
      </c>
      <c r="L85" s="187">
        <v>0.49641607474747473</v>
      </c>
      <c r="M85" s="188">
        <v>40.0</v>
      </c>
      <c r="N85" s="188">
        <v>35.0</v>
      </c>
      <c r="O85" s="188">
        <v>1.0</v>
      </c>
      <c r="P85" s="188">
        <v>41.0</v>
      </c>
      <c r="Q85" s="188">
        <v>6.0</v>
      </c>
      <c r="R85" s="188">
        <v>27.0</v>
      </c>
      <c r="S85" s="188">
        <v>0.0</v>
      </c>
      <c r="T85" s="188">
        <v>1.0</v>
      </c>
      <c r="U85" s="188">
        <v>85.0</v>
      </c>
      <c r="V85" s="188">
        <v>152.0</v>
      </c>
      <c r="W85" s="188">
        <v>0.0</v>
      </c>
      <c r="X85" s="188">
        <v>0.0</v>
      </c>
      <c r="Y85" s="188">
        <v>0.0</v>
      </c>
      <c r="Z85" s="188">
        <v>89.0</v>
      </c>
      <c r="AA85" s="188">
        <v>241.0</v>
      </c>
      <c r="AB85" s="188">
        <v>62.0</v>
      </c>
      <c r="AC85" s="186">
        <v>39633.218870967736</v>
      </c>
      <c r="AD85" s="189">
        <v>1.435483870967742</v>
      </c>
      <c r="AE85" s="186">
        <v>79500.0</v>
      </c>
      <c r="AF85" s="186">
        <v>30339.0</v>
      </c>
      <c r="AG85" s="187">
        <v>0.04469979539035838</v>
      </c>
      <c r="AH85" s="186">
        <v>91009.6137037037</v>
      </c>
      <c r="AI85" s="258">
        <v>88.0</v>
      </c>
      <c r="AJ85" s="258">
        <v>719.0</v>
      </c>
      <c r="AK85" s="258">
        <v>4305.04</v>
      </c>
      <c r="AL85" s="258">
        <v>123.0</v>
      </c>
      <c r="AM85" s="260"/>
      <c r="AN85" s="260"/>
      <c r="AO85" s="192">
        <v>-320849.56999999983</v>
      </c>
    </row>
    <row r="86">
      <c r="A86" s="183" t="s">
        <v>126</v>
      </c>
      <c r="B86" s="183" t="s">
        <v>135</v>
      </c>
      <c r="C86" s="184" t="s">
        <v>770</v>
      </c>
      <c r="D86" s="75" t="s">
        <v>1081</v>
      </c>
      <c r="E86" s="256">
        <v>45145.0</v>
      </c>
      <c r="F86" s="75" t="s">
        <v>1022</v>
      </c>
      <c r="G86" s="186">
        <v>1.1115196659999998E7</v>
      </c>
      <c r="H86" s="186">
        <v>5499999.0</v>
      </c>
      <c r="I86" s="186">
        <v>2799441.57</v>
      </c>
      <c r="J86" s="186">
        <v>0.0</v>
      </c>
      <c r="K86" s="186">
        <v>2398055.1799999997</v>
      </c>
      <c r="L86" s="187">
        <v>0.5089894689071761</v>
      </c>
      <c r="M86" s="188">
        <v>63.0</v>
      </c>
      <c r="N86" s="188">
        <v>54.0</v>
      </c>
      <c r="O86" s="188">
        <v>1.0</v>
      </c>
      <c r="P86" s="188">
        <v>64.0</v>
      </c>
      <c r="Q86" s="188">
        <v>10.0</v>
      </c>
      <c r="R86" s="188">
        <v>33.0</v>
      </c>
      <c r="S86" s="188">
        <v>0.0</v>
      </c>
      <c r="T86" s="188">
        <v>1.0</v>
      </c>
      <c r="U86" s="188">
        <v>13.0</v>
      </c>
      <c r="V86" s="188">
        <v>21.0</v>
      </c>
      <c r="W86" s="188">
        <v>22.0</v>
      </c>
      <c r="X86" s="188">
        <v>0.0</v>
      </c>
      <c r="Y86" s="188">
        <v>0.0</v>
      </c>
      <c r="Z86" s="188">
        <v>221.0</v>
      </c>
      <c r="AA86" s="188">
        <v>264.0</v>
      </c>
      <c r="AB86" s="188">
        <v>69.0</v>
      </c>
      <c r="AC86" s="186">
        <v>40571.616956521735</v>
      </c>
      <c r="AD86" s="189">
        <v>3.2028985507246377</v>
      </c>
      <c r="AE86" s="186">
        <v>108570.0</v>
      </c>
      <c r="AF86" s="186">
        <v>23960.0</v>
      </c>
      <c r="AG86" s="187">
        <v>0.047341584628965844</v>
      </c>
      <c r="AH86" s="186">
        <v>84831.56272727273</v>
      </c>
      <c r="AI86" s="258">
        <v>139.0</v>
      </c>
      <c r="AJ86" s="258">
        <v>636.0</v>
      </c>
      <c r="AK86" s="258">
        <v>4508.59</v>
      </c>
      <c r="AL86" s="258">
        <v>83.0</v>
      </c>
      <c r="AM86" s="260"/>
      <c r="AN86" s="260"/>
      <c r="AO86" s="192">
        <v>-401386.39000000013</v>
      </c>
    </row>
    <row r="87">
      <c r="A87" s="183" t="s">
        <v>185</v>
      </c>
      <c r="B87" s="183" t="s">
        <v>189</v>
      </c>
      <c r="C87" s="184" t="s">
        <v>414</v>
      </c>
      <c r="D87" s="75" t="s">
        <v>415</v>
      </c>
      <c r="E87" s="256">
        <v>45148.0</v>
      </c>
      <c r="F87" s="75" t="s">
        <v>1016</v>
      </c>
      <c r="G87" s="186">
        <v>1.3172623E7</v>
      </c>
      <c r="H87" s="186">
        <v>5199999.0</v>
      </c>
      <c r="I87" s="186">
        <v>3738353.09</v>
      </c>
      <c r="J87" s="186">
        <v>0.0</v>
      </c>
      <c r="K87" s="186">
        <v>2913215.0</v>
      </c>
      <c r="L87" s="187">
        <v>0.7189141940219603</v>
      </c>
      <c r="M87" s="188">
        <v>84.0</v>
      </c>
      <c r="N87" s="188">
        <v>88.0</v>
      </c>
      <c r="O87" s="188">
        <v>9.0</v>
      </c>
      <c r="P87" s="188">
        <v>93.0</v>
      </c>
      <c r="Q87" s="188">
        <v>5.0</v>
      </c>
      <c r="R87" s="188">
        <v>51.0</v>
      </c>
      <c r="S87" s="188">
        <v>0.0</v>
      </c>
      <c r="T87" s="188">
        <v>7.0</v>
      </c>
      <c r="U87" s="188">
        <v>28.0</v>
      </c>
      <c r="V87" s="188">
        <v>36.0</v>
      </c>
      <c r="W87" s="188">
        <v>26.0</v>
      </c>
      <c r="X87" s="188">
        <v>0.0</v>
      </c>
      <c r="Y87" s="188">
        <v>0.0</v>
      </c>
      <c r="Z87" s="188">
        <v>311.0</v>
      </c>
      <c r="AA87" s="188">
        <v>373.0</v>
      </c>
      <c r="AB87" s="188">
        <v>72.0</v>
      </c>
      <c r="AC87" s="186">
        <v>51921.57069444444</v>
      </c>
      <c r="AD87" s="189">
        <v>4.319444444444445</v>
      </c>
      <c r="AE87" s="186">
        <v>73275.0</v>
      </c>
      <c r="AF87" s="186">
        <v>21354.0</v>
      </c>
      <c r="AG87" s="187">
        <v>0.025313018252109513</v>
      </c>
      <c r="AH87" s="186">
        <v>73301.04098039215</v>
      </c>
      <c r="AI87" s="258">
        <v>85.0</v>
      </c>
      <c r="AJ87" s="258">
        <v>831.0</v>
      </c>
      <c r="AK87" s="258">
        <v>5319.25</v>
      </c>
      <c r="AL87" s="258">
        <v>60.0</v>
      </c>
      <c r="AM87" s="260"/>
      <c r="AN87" s="260"/>
      <c r="AO87" s="192">
        <v>-825138.0899999999</v>
      </c>
    </row>
    <row r="88">
      <c r="A88" s="183" t="s">
        <v>126</v>
      </c>
      <c r="B88" s="183" t="s">
        <v>135</v>
      </c>
      <c r="C88" s="184" t="s">
        <v>772</v>
      </c>
      <c r="D88" s="75" t="s">
        <v>180</v>
      </c>
      <c r="E88" s="256">
        <v>45152.0</v>
      </c>
      <c r="F88" s="75" t="s">
        <v>1042</v>
      </c>
      <c r="G88" s="186">
        <v>8371588.0</v>
      </c>
      <c r="H88" s="186">
        <v>6000000.0</v>
      </c>
      <c r="I88" s="186">
        <v>4902712.76</v>
      </c>
      <c r="J88" s="186">
        <v>0.0</v>
      </c>
      <c r="K88" s="186">
        <v>4129907.0</v>
      </c>
      <c r="L88" s="187">
        <v>0.8171187933333333</v>
      </c>
      <c r="M88" s="188">
        <v>89.0</v>
      </c>
      <c r="N88" s="188">
        <v>84.0</v>
      </c>
      <c r="O88" s="188">
        <v>19.0</v>
      </c>
      <c r="P88" s="188">
        <v>108.0</v>
      </c>
      <c r="Q88" s="188">
        <v>24.0</v>
      </c>
      <c r="R88" s="188">
        <v>58.0</v>
      </c>
      <c r="S88" s="188">
        <v>0.0</v>
      </c>
      <c r="T88" s="188">
        <v>16.0</v>
      </c>
      <c r="U88" s="188">
        <v>39.0</v>
      </c>
      <c r="V88" s="188">
        <v>44.0</v>
      </c>
      <c r="W88" s="188">
        <v>12.0</v>
      </c>
      <c r="X88" s="188">
        <v>0.0</v>
      </c>
      <c r="Y88" s="188">
        <v>22.0</v>
      </c>
      <c r="Z88" s="188">
        <v>167.0</v>
      </c>
      <c r="AA88" s="188">
        <v>245.0</v>
      </c>
      <c r="AB88" s="188">
        <v>70.0</v>
      </c>
      <c r="AC88" s="186">
        <v>70038.75371428572</v>
      </c>
      <c r="AD88" s="189">
        <v>2.3857142857142857</v>
      </c>
      <c r="AE88" s="186">
        <v>117996.0</v>
      </c>
      <c r="AF88" s="186">
        <v>25402.0</v>
      </c>
      <c r="AG88" s="187">
        <v>0.029248705159712438</v>
      </c>
      <c r="AH88" s="186">
        <v>84529.53034482758</v>
      </c>
      <c r="AI88" s="258">
        <v>243.0</v>
      </c>
      <c r="AJ88" s="258">
        <v>599.0</v>
      </c>
      <c r="AK88" s="258">
        <v>3792.66</v>
      </c>
      <c r="AL88" s="258">
        <v>45.0</v>
      </c>
      <c r="AM88" s="260"/>
      <c r="AN88" s="260"/>
      <c r="AO88" s="192">
        <v>-772805.7599999998</v>
      </c>
    </row>
    <row r="89">
      <c r="A89" s="183" t="s">
        <v>298</v>
      </c>
      <c r="B89" s="183" t="s">
        <v>301</v>
      </c>
      <c r="C89" s="184" t="s">
        <v>773</v>
      </c>
      <c r="D89" s="75" t="s">
        <v>310</v>
      </c>
      <c r="E89" s="256">
        <v>45159.0</v>
      </c>
      <c r="F89" s="75" t="s">
        <v>1066</v>
      </c>
      <c r="G89" s="186">
        <v>1.3420107E7</v>
      </c>
      <c r="H89" s="186">
        <v>4500000.0</v>
      </c>
      <c r="I89" s="186">
        <v>2640419.29</v>
      </c>
      <c r="J89" s="186">
        <v>0.0</v>
      </c>
      <c r="K89" s="186">
        <v>2665332.0</v>
      </c>
      <c r="L89" s="187">
        <v>0.5867598422222222</v>
      </c>
      <c r="M89" s="188">
        <v>61.0</v>
      </c>
      <c r="N89" s="188">
        <v>57.0</v>
      </c>
      <c r="O89" s="188">
        <v>4.0</v>
      </c>
      <c r="P89" s="188">
        <v>65.0</v>
      </c>
      <c r="Q89" s="188">
        <v>8.0</v>
      </c>
      <c r="R89" s="188">
        <v>34.0</v>
      </c>
      <c r="S89" s="188">
        <v>0.0</v>
      </c>
      <c r="T89" s="188">
        <v>4.0</v>
      </c>
      <c r="U89" s="188">
        <v>31.0</v>
      </c>
      <c r="V89" s="188">
        <v>45.0</v>
      </c>
      <c r="W89" s="188">
        <v>0.0</v>
      </c>
      <c r="X89" s="188">
        <v>0.0</v>
      </c>
      <c r="Y89" s="188">
        <v>0.0</v>
      </c>
      <c r="Z89" s="188">
        <v>334.0</v>
      </c>
      <c r="AA89" s="188">
        <v>379.0</v>
      </c>
      <c r="AB89" s="188">
        <v>73.0</v>
      </c>
      <c r="AC89" s="186">
        <v>36170.12726027397</v>
      </c>
      <c r="AD89" s="189">
        <v>4.575342465753424</v>
      </c>
      <c r="AE89" s="186">
        <v>75495.0</v>
      </c>
      <c r="AF89" s="186">
        <v>10072.0</v>
      </c>
      <c r="AG89" s="187">
        <v>0.03240659554490681</v>
      </c>
      <c r="AH89" s="186">
        <v>77659.39088235295</v>
      </c>
      <c r="AI89" s="258">
        <v>78.0</v>
      </c>
      <c r="AJ89" s="258">
        <v>746.0</v>
      </c>
      <c r="AK89" s="258">
        <v>5177.59</v>
      </c>
      <c r="AL89" s="258">
        <v>91.0</v>
      </c>
      <c r="AM89" s="260"/>
      <c r="AN89" s="260"/>
      <c r="AO89" s="192">
        <v>24912.709999999963</v>
      </c>
    </row>
    <row r="90">
      <c r="A90" s="183" t="s">
        <v>185</v>
      </c>
      <c r="B90" s="183" t="s">
        <v>215</v>
      </c>
      <c r="C90" s="184" t="s">
        <v>776</v>
      </c>
      <c r="D90" s="75" t="s">
        <v>278</v>
      </c>
      <c r="E90" s="256">
        <v>45170.0</v>
      </c>
      <c r="F90" s="75" t="s">
        <v>1064</v>
      </c>
      <c r="G90" s="186"/>
      <c r="H90" s="186">
        <v>0.0</v>
      </c>
      <c r="I90" s="186">
        <v>0.0</v>
      </c>
      <c r="J90" s="186">
        <v>0.0</v>
      </c>
      <c r="K90" s="186"/>
      <c r="L90" s="187"/>
      <c r="M90" s="188">
        <v>135.0</v>
      </c>
      <c r="N90" s="188">
        <v>99.0</v>
      </c>
      <c r="O90" s="188">
        <v>11.0</v>
      </c>
      <c r="P90" s="188">
        <v>146.0</v>
      </c>
      <c r="Q90" s="188">
        <v>47.0</v>
      </c>
      <c r="R90" s="188">
        <v>0.0</v>
      </c>
      <c r="S90" s="188">
        <v>0.0</v>
      </c>
      <c r="T90" s="188">
        <v>0.0</v>
      </c>
      <c r="U90" s="188">
        <v>23.0</v>
      </c>
      <c r="V90" s="188">
        <v>31.0</v>
      </c>
      <c r="W90" s="188">
        <v>41.0</v>
      </c>
      <c r="X90" s="188">
        <v>0.0</v>
      </c>
      <c r="Y90" s="188">
        <v>0.0</v>
      </c>
      <c r="Z90" s="188">
        <v>152.0</v>
      </c>
      <c r="AA90" s="188">
        <v>224.0</v>
      </c>
      <c r="AB90" s="188">
        <v>63.0</v>
      </c>
      <c r="AC90" s="186">
        <v>0.0</v>
      </c>
      <c r="AD90" s="189">
        <v>2.4126984126984126</v>
      </c>
      <c r="AE90" s="186">
        <v>256155.0</v>
      </c>
      <c r="AF90" s="186">
        <v>85667.0</v>
      </c>
      <c r="AG90" s="187"/>
      <c r="AH90" s="186"/>
      <c r="AI90" s="258">
        <v>0.0</v>
      </c>
      <c r="AJ90" s="258">
        <v>631.0</v>
      </c>
      <c r="AK90" s="258">
        <v>3680.13</v>
      </c>
      <c r="AL90" s="258">
        <v>37.0</v>
      </c>
      <c r="AM90" s="260"/>
      <c r="AN90" s="260"/>
      <c r="AO90" s="192">
        <v>0.0</v>
      </c>
    </row>
    <row r="91">
      <c r="A91" s="183" t="s">
        <v>126</v>
      </c>
      <c r="B91" s="183" t="s">
        <v>130</v>
      </c>
      <c r="C91" s="184" t="s">
        <v>781</v>
      </c>
      <c r="D91" s="75" t="s">
        <v>441</v>
      </c>
      <c r="E91" s="256">
        <v>45171.0</v>
      </c>
      <c r="F91" s="75" t="s">
        <v>1082</v>
      </c>
      <c r="G91" s="186">
        <v>711581.0</v>
      </c>
      <c r="H91" s="186">
        <v>3000000.0</v>
      </c>
      <c r="I91" s="186">
        <v>352693.33</v>
      </c>
      <c r="J91" s="186">
        <v>0.0</v>
      </c>
      <c r="K91" s="186">
        <v>162786.0</v>
      </c>
      <c r="L91" s="187">
        <v>0.11756444333333334</v>
      </c>
      <c r="M91" s="188">
        <v>23.0</v>
      </c>
      <c r="N91" s="188">
        <v>22.0</v>
      </c>
      <c r="O91" s="188">
        <v>1.0</v>
      </c>
      <c r="P91" s="188">
        <v>24.0</v>
      </c>
      <c r="Q91" s="188">
        <v>2.0</v>
      </c>
      <c r="R91" s="188">
        <v>9.0</v>
      </c>
      <c r="S91" s="188">
        <v>0.0</v>
      </c>
      <c r="T91" s="188">
        <v>1.0</v>
      </c>
      <c r="U91" s="188">
        <v>42.0</v>
      </c>
      <c r="V91" s="188">
        <v>60.0</v>
      </c>
      <c r="W91" s="188">
        <v>32.0</v>
      </c>
      <c r="X91" s="188">
        <v>9.0</v>
      </c>
      <c r="Y91" s="188">
        <v>62.0</v>
      </c>
      <c r="Z91" s="188">
        <v>178.0</v>
      </c>
      <c r="AA91" s="188">
        <v>341.0</v>
      </c>
      <c r="AB91" s="188">
        <v>74.0</v>
      </c>
      <c r="AC91" s="186">
        <v>4766.126081081081</v>
      </c>
      <c r="AD91" s="189">
        <v>2.4054054054054053</v>
      </c>
      <c r="AE91" s="186">
        <v>102270.0</v>
      </c>
      <c r="AF91" s="186">
        <v>17165.0</v>
      </c>
      <c r="AG91" s="187">
        <v>0.33863696826928935</v>
      </c>
      <c r="AH91" s="186">
        <v>39188.147777777776</v>
      </c>
      <c r="AI91" s="258">
        <v>19.0</v>
      </c>
      <c r="AJ91" s="258">
        <v>712.0</v>
      </c>
      <c r="AK91" s="258">
        <v>2985.13</v>
      </c>
      <c r="AL91" s="258">
        <v>136.0</v>
      </c>
      <c r="AM91" s="260"/>
      <c r="AN91" s="260"/>
      <c r="AO91" s="192">
        <v>-189907.33000000002</v>
      </c>
    </row>
    <row r="92">
      <c r="A92" s="183" t="s">
        <v>185</v>
      </c>
      <c r="B92" s="183" t="s">
        <v>215</v>
      </c>
      <c r="C92" s="184" t="s">
        <v>783</v>
      </c>
      <c r="D92" s="75" t="s">
        <v>250</v>
      </c>
      <c r="E92" s="256">
        <v>45184.0</v>
      </c>
      <c r="F92" s="75" t="s">
        <v>1064</v>
      </c>
      <c r="G92" s="186">
        <v>1.4189383E7</v>
      </c>
      <c r="H92" s="186">
        <v>5574999.0</v>
      </c>
      <c r="I92" s="186">
        <v>3198999.0</v>
      </c>
      <c r="J92" s="186">
        <v>0.0</v>
      </c>
      <c r="K92" s="186">
        <v>3517343.0</v>
      </c>
      <c r="L92" s="187">
        <v>0.5738115827464723</v>
      </c>
      <c r="M92" s="188">
        <v>44.0</v>
      </c>
      <c r="N92" s="188">
        <v>39.0</v>
      </c>
      <c r="O92" s="188">
        <v>3.0</v>
      </c>
      <c r="P92" s="188">
        <v>47.0</v>
      </c>
      <c r="Q92" s="188">
        <v>8.0</v>
      </c>
      <c r="R92" s="188">
        <v>21.0</v>
      </c>
      <c r="S92" s="188">
        <v>0.0</v>
      </c>
      <c r="T92" s="188">
        <v>3.0</v>
      </c>
      <c r="U92" s="188">
        <v>7.0</v>
      </c>
      <c r="V92" s="188">
        <v>7.0</v>
      </c>
      <c r="W92" s="188">
        <v>3.0</v>
      </c>
      <c r="X92" s="188">
        <v>0.0</v>
      </c>
      <c r="Y92" s="188">
        <v>0.0</v>
      </c>
      <c r="Z92" s="188">
        <v>251.0</v>
      </c>
      <c r="AA92" s="188">
        <v>261.0</v>
      </c>
      <c r="AB92" s="188">
        <v>77.0</v>
      </c>
      <c r="AC92" s="186">
        <v>41545.44155844156</v>
      </c>
      <c r="AD92" s="189">
        <v>3.25974025974026</v>
      </c>
      <c r="AE92" s="186">
        <v>97500.0</v>
      </c>
      <c r="AF92" s="186">
        <v>36094.0</v>
      </c>
      <c r="AG92" s="187">
        <v>0.04176118842175318</v>
      </c>
      <c r="AH92" s="186">
        <v>152333.2857142857</v>
      </c>
      <c r="AI92" s="258">
        <v>49.0</v>
      </c>
      <c r="AJ92" s="258">
        <v>657.0</v>
      </c>
      <c r="AK92" s="258">
        <v>2994.74</v>
      </c>
      <c r="AL92" s="258">
        <v>77.0</v>
      </c>
      <c r="AM92" s="260"/>
      <c r="AN92" s="260"/>
      <c r="AO92" s="192">
        <v>318344.0</v>
      </c>
    </row>
    <row r="93">
      <c r="A93" s="183" t="s">
        <v>126</v>
      </c>
      <c r="B93" s="183" t="s">
        <v>130</v>
      </c>
      <c r="C93" s="184" t="s">
        <v>163</v>
      </c>
      <c r="D93" s="75" t="s">
        <v>151</v>
      </c>
      <c r="E93" s="256">
        <v>45187.0</v>
      </c>
      <c r="F93" s="75" t="s">
        <v>130</v>
      </c>
      <c r="G93" s="186">
        <v>5985747.0</v>
      </c>
      <c r="H93" s="186">
        <v>5499999.0</v>
      </c>
      <c r="I93" s="186">
        <v>2114157.62</v>
      </c>
      <c r="J93" s="186">
        <v>0.0</v>
      </c>
      <c r="K93" s="186">
        <v>1369431.0</v>
      </c>
      <c r="L93" s="187">
        <v>0.3843923644349754</v>
      </c>
      <c r="M93" s="188">
        <v>94.0</v>
      </c>
      <c r="N93" s="188">
        <v>76.0</v>
      </c>
      <c r="O93" s="188">
        <v>11.0</v>
      </c>
      <c r="P93" s="188">
        <v>105.0</v>
      </c>
      <c r="Q93" s="188">
        <v>29.0</v>
      </c>
      <c r="R93" s="188">
        <v>49.0</v>
      </c>
      <c r="S93" s="188">
        <v>0.0</v>
      </c>
      <c r="T93" s="188">
        <v>8.0</v>
      </c>
      <c r="U93" s="188">
        <v>28.0</v>
      </c>
      <c r="V93" s="188">
        <v>35.0</v>
      </c>
      <c r="W93" s="188">
        <v>37.0</v>
      </c>
      <c r="X93" s="188">
        <v>0.0</v>
      </c>
      <c r="Y93" s="188">
        <v>0.0</v>
      </c>
      <c r="Z93" s="188">
        <v>284.0</v>
      </c>
      <c r="AA93" s="188">
        <v>356.0</v>
      </c>
      <c r="AB93" s="188">
        <v>72.0</v>
      </c>
      <c r="AC93" s="186">
        <v>29363.30027777778</v>
      </c>
      <c r="AD93" s="189">
        <v>3.9444444444444446</v>
      </c>
      <c r="AE93" s="186">
        <v>133095.0</v>
      </c>
      <c r="AF93" s="186">
        <v>17488.0</v>
      </c>
      <c r="AG93" s="187">
        <v>0.07122600442629248</v>
      </c>
      <c r="AH93" s="186">
        <v>43146.073877551025</v>
      </c>
      <c r="AI93" s="258">
        <v>117.0</v>
      </c>
      <c r="AJ93" s="258">
        <v>610.0</v>
      </c>
      <c r="AK93" s="258">
        <v>3144.91</v>
      </c>
      <c r="AL93" s="258">
        <v>41.0</v>
      </c>
      <c r="AM93" s="260"/>
      <c r="AN93" s="260"/>
      <c r="AO93" s="192">
        <v>-744726.6200000001</v>
      </c>
    </row>
    <row r="94">
      <c r="A94" s="183" t="s">
        <v>185</v>
      </c>
      <c r="B94" s="183" t="s">
        <v>189</v>
      </c>
      <c r="C94" s="184" t="s">
        <v>405</v>
      </c>
      <c r="D94" s="75" t="s">
        <v>406</v>
      </c>
      <c r="E94" s="256">
        <v>45202.0</v>
      </c>
      <c r="F94" s="75" t="s">
        <v>1083</v>
      </c>
      <c r="G94" s="186">
        <v>9796166.0</v>
      </c>
      <c r="H94" s="186">
        <v>4500000.0</v>
      </c>
      <c r="I94" s="186">
        <v>2986909.03</v>
      </c>
      <c r="J94" s="186">
        <v>0.0</v>
      </c>
      <c r="K94" s="186">
        <v>1996004.0</v>
      </c>
      <c r="L94" s="187">
        <v>0.6637575622222222</v>
      </c>
      <c r="M94" s="188">
        <v>37.0</v>
      </c>
      <c r="N94" s="188">
        <v>37.0</v>
      </c>
      <c r="O94" s="188">
        <v>1.0</v>
      </c>
      <c r="P94" s="188">
        <v>38.0</v>
      </c>
      <c r="Q94" s="188">
        <v>1.0</v>
      </c>
      <c r="R94" s="188">
        <v>16.0</v>
      </c>
      <c r="S94" s="188">
        <v>0.0</v>
      </c>
      <c r="T94" s="188">
        <v>1.0</v>
      </c>
      <c r="U94" s="188">
        <v>6.0</v>
      </c>
      <c r="V94" s="188">
        <v>11.0</v>
      </c>
      <c r="W94" s="188">
        <v>6.0</v>
      </c>
      <c r="X94" s="188">
        <v>0.0</v>
      </c>
      <c r="Y94" s="188">
        <v>0.0</v>
      </c>
      <c r="Z94" s="188">
        <v>307.0</v>
      </c>
      <c r="AA94" s="188">
        <v>324.0</v>
      </c>
      <c r="AB94" s="188">
        <v>69.0</v>
      </c>
      <c r="AC94" s="186">
        <v>43288.53666666667</v>
      </c>
      <c r="AD94" s="189">
        <v>4.449275362318841</v>
      </c>
      <c r="AE94" s="186">
        <v>72360.0</v>
      </c>
      <c r="AF94" s="186">
        <v>22665.0</v>
      </c>
      <c r="AG94" s="187">
        <v>0.03181382460784218</v>
      </c>
      <c r="AH94" s="186">
        <v>186681.814375</v>
      </c>
      <c r="AI94" s="258">
        <v>53.0</v>
      </c>
      <c r="AJ94" s="258">
        <v>798.0</v>
      </c>
      <c r="AK94" s="258">
        <v>3679.04</v>
      </c>
      <c r="AL94" s="258">
        <v>99.0</v>
      </c>
      <c r="AM94" s="260"/>
      <c r="AN94" s="260"/>
      <c r="AO94" s="192">
        <v>-990905.0299999998</v>
      </c>
    </row>
    <row r="95">
      <c r="A95" s="183" t="s">
        <v>185</v>
      </c>
      <c r="B95" s="183" t="s">
        <v>189</v>
      </c>
      <c r="C95" s="184" t="s">
        <v>787</v>
      </c>
      <c r="D95" s="75" t="s">
        <v>187</v>
      </c>
      <c r="E95" s="256">
        <v>45202.0</v>
      </c>
      <c r="F95" s="75" t="s">
        <v>1016</v>
      </c>
      <c r="G95" s="186"/>
      <c r="H95" s="186">
        <v>0.0</v>
      </c>
      <c r="I95" s="186">
        <v>0.0</v>
      </c>
      <c r="J95" s="186">
        <v>0.0</v>
      </c>
      <c r="K95" s="186"/>
      <c r="L95" s="187"/>
      <c r="M95" s="188">
        <v>77.0</v>
      </c>
      <c r="N95" s="188">
        <v>43.0</v>
      </c>
      <c r="O95" s="188">
        <v>1.0</v>
      </c>
      <c r="P95" s="188">
        <v>78.0</v>
      </c>
      <c r="Q95" s="188">
        <v>35.0</v>
      </c>
      <c r="R95" s="188">
        <v>0.0</v>
      </c>
      <c r="S95" s="188">
        <v>0.0</v>
      </c>
      <c r="T95" s="188">
        <v>0.0</v>
      </c>
      <c r="U95" s="188">
        <v>9.0</v>
      </c>
      <c r="V95" s="188">
        <v>13.0</v>
      </c>
      <c r="W95" s="188">
        <v>26.0</v>
      </c>
      <c r="X95" s="188">
        <v>0.0</v>
      </c>
      <c r="Y95" s="188">
        <v>0.0</v>
      </c>
      <c r="Z95" s="188">
        <v>79.0</v>
      </c>
      <c r="AA95" s="188">
        <v>118.0</v>
      </c>
      <c r="AB95" s="188">
        <v>75.0</v>
      </c>
      <c r="AC95" s="186">
        <v>0.0</v>
      </c>
      <c r="AD95" s="189">
        <v>1.0533333333333332</v>
      </c>
      <c r="AE95" s="186">
        <v>255870.0</v>
      </c>
      <c r="AF95" s="186">
        <v>20898.0</v>
      </c>
      <c r="AG95" s="187"/>
      <c r="AH95" s="186"/>
      <c r="AI95" s="258">
        <v>0.0</v>
      </c>
      <c r="AJ95" s="258">
        <v>739.0</v>
      </c>
      <c r="AK95" s="258">
        <v>4375.39</v>
      </c>
      <c r="AL95" s="258">
        <v>102.0</v>
      </c>
      <c r="AM95" s="260"/>
      <c r="AN95" s="260"/>
      <c r="AO95" s="192">
        <v>0.0</v>
      </c>
    </row>
    <row r="96">
      <c r="A96" s="183" t="s">
        <v>73</v>
      </c>
      <c r="B96" s="183" t="s">
        <v>1229</v>
      </c>
      <c r="C96" s="184" t="s">
        <v>79</v>
      </c>
      <c r="D96" s="75" t="s">
        <v>80</v>
      </c>
      <c r="E96" s="256">
        <v>45208.0</v>
      </c>
      <c r="F96" s="75" t="s">
        <v>76</v>
      </c>
      <c r="G96" s="186">
        <v>2772546.0</v>
      </c>
      <c r="H96" s="186">
        <v>3500001.0</v>
      </c>
      <c r="I96" s="186">
        <v>38657.39</v>
      </c>
      <c r="J96" s="186">
        <v>435045.81</v>
      </c>
      <c r="K96" s="186">
        <v>452799.0</v>
      </c>
      <c r="L96" s="187">
        <v>0.1353437327589335</v>
      </c>
      <c r="M96" s="188">
        <v>22.0</v>
      </c>
      <c r="N96" s="188">
        <v>18.0</v>
      </c>
      <c r="O96" s="188">
        <v>0.0</v>
      </c>
      <c r="P96" s="188">
        <v>22.0</v>
      </c>
      <c r="Q96" s="188">
        <v>4.0</v>
      </c>
      <c r="R96" s="188">
        <v>3.0</v>
      </c>
      <c r="S96" s="188">
        <v>2.0</v>
      </c>
      <c r="T96" s="188">
        <v>0.0</v>
      </c>
      <c r="U96" s="188">
        <v>4.0</v>
      </c>
      <c r="V96" s="188">
        <v>5.0</v>
      </c>
      <c r="W96" s="188">
        <v>3.0</v>
      </c>
      <c r="X96" s="188">
        <v>17.0</v>
      </c>
      <c r="Y96" s="188">
        <v>0.0</v>
      </c>
      <c r="Z96" s="188">
        <v>241.0</v>
      </c>
      <c r="AA96" s="188">
        <v>266.0</v>
      </c>
      <c r="AB96" s="188">
        <v>71.0</v>
      </c>
      <c r="AC96" s="186">
        <v>6671.876056338028</v>
      </c>
      <c r="AD96" s="189">
        <v>3.3943661971830985</v>
      </c>
      <c r="AE96" s="186">
        <v>65946.0</v>
      </c>
      <c r="AF96" s="186">
        <v>6665.0</v>
      </c>
      <c r="AG96" s="187">
        <v>0.15328374391391064</v>
      </c>
      <c r="AH96" s="186">
        <v>12885.796666666667</v>
      </c>
      <c r="AI96" s="258">
        <v>3.0</v>
      </c>
      <c r="AJ96" s="258">
        <v>695.0</v>
      </c>
      <c r="AK96" s="258">
        <v>2843.85</v>
      </c>
      <c r="AL96" s="258">
        <v>158.0</v>
      </c>
      <c r="AM96" s="260"/>
      <c r="AN96" s="260"/>
      <c r="AO96" s="192">
        <v>-20904.20000000001</v>
      </c>
    </row>
    <row r="97">
      <c r="A97" s="183" t="s">
        <v>185</v>
      </c>
      <c r="B97" s="183" t="s">
        <v>212</v>
      </c>
      <c r="C97" s="184" t="s">
        <v>251</v>
      </c>
      <c r="D97" s="75" t="s">
        <v>252</v>
      </c>
      <c r="E97" s="256">
        <v>45231.0</v>
      </c>
      <c r="F97" s="75" t="s">
        <v>1065</v>
      </c>
      <c r="G97" s="186">
        <v>4021075.0</v>
      </c>
      <c r="H97" s="186">
        <v>4500000.0</v>
      </c>
      <c r="I97" s="186">
        <v>3312861.46</v>
      </c>
      <c r="J97" s="186">
        <v>0.0</v>
      </c>
      <c r="K97" s="186">
        <v>1046116.0</v>
      </c>
      <c r="L97" s="187">
        <v>0.7361914355555556</v>
      </c>
      <c r="M97" s="188">
        <v>37.0</v>
      </c>
      <c r="N97" s="188">
        <v>35.0</v>
      </c>
      <c r="O97" s="188">
        <v>1.0</v>
      </c>
      <c r="P97" s="188">
        <v>38.0</v>
      </c>
      <c r="Q97" s="188">
        <v>3.0</v>
      </c>
      <c r="R97" s="188">
        <v>11.0</v>
      </c>
      <c r="S97" s="188">
        <v>0.0</v>
      </c>
      <c r="T97" s="188">
        <v>1.0</v>
      </c>
      <c r="U97" s="188">
        <v>17.0</v>
      </c>
      <c r="V97" s="188">
        <v>23.0</v>
      </c>
      <c r="W97" s="188">
        <v>53.0</v>
      </c>
      <c r="X97" s="188">
        <v>0.0</v>
      </c>
      <c r="Y97" s="188">
        <v>0.0</v>
      </c>
      <c r="Z97" s="188">
        <v>233.0</v>
      </c>
      <c r="AA97" s="188">
        <v>309.0</v>
      </c>
      <c r="AB97" s="188">
        <v>69.0</v>
      </c>
      <c r="AC97" s="186">
        <v>48012.48492753623</v>
      </c>
      <c r="AD97" s="189">
        <v>3.3768115942028984</v>
      </c>
      <c r="AE97" s="186">
        <v>72360.0</v>
      </c>
      <c r="AF97" s="186">
        <v>23294.0</v>
      </c>
      <c r="AG97" s="187">
        <v>0.028873528565845914</v>
      </c>
      <c r="AH97" s="186">
        <v>301169.22363636363</v>
      </c>
      <c r="AI97" s="258">
        <v>17.0</v>
      </c>
      <c r="AJ97" s="258">
        <v>667.0</v>
      </c>
      <c r="AK97" s="258">
        <v>3021.47</v>
      </c>
      <c r="AL97" s="258">
        <v>86.0</v>
      </c>
      <c r="AM97" s="260"/>
      <c r="AN97" s="260"/>
      <c r="AO97" s="192">
        <v>-2266745.46</v>
      </c>
    </row>
    <row r="98">
      <c r="A98" s="183" t="s">
        <v>185</v>
      </c>
      <c r="B98" s="183" t="s">
        <v>212</v>
      </c>
      <c r="C98" s="184" t="s">
        <v>253</v>
      </c>
      <c r="D98" s="75" t="s">
        <v>254</v>
      </c>
      <c r="E98" s="256">
        <v>45233.0</v>
      </c>
      <c r="F98" s="75" t="s">
        <v>1031</v>
      </c>
      <c r="G98" s="186">
        <v>1.1446272782999998E7</v>
      </c>
      <c r="H98" s="186">
        <v>4500000.0</v>
      </c>
      <c r="I98" s="186">
        <v>1169685.91</v>
      </c>
      <c r="J98" s="186">
        <v>0.0</v>
      </c>
      <c r="K98" s="186">
        <v>2479608.6799999997</v>
      </c>
      <c r="L98" s="187">
        <v>0.2599302022222222</v>
      </c>
      <c r="M98" s="188">
        <v>33.0</v>
      </c>
      <c r="N98" s="188">
        <v>30.0</v>
      </c>
      <c r="O98" s="188">
        <v>9.0</v>
      </c>
      <c r="P98" s="188">
        <v>42.0</v>
      </c>
      <c r="Q98" s="188">
        <v>12.0</v>
      </c>
      <c r="R98" s="188">
        <v>23.0</v>
      </c>
      <c r="S98" s="188">
        <v>0.0</v>
      </c>
      <c r="T98" s="188">
        <v>9.0</v>
      </c>
      <c r="U98" s="188">
        <v>19.0</v>
      </c>
      <c r="V98" s="188">
        <v>29.0</v>
      </c>
      <c r="W98" s="188">
        <v>20.0</v>
      </c>
      <c r="X98" s="188">
        <v>8.0</v>
      </c>
      <c r="Y98" s="188">
        <v>2.0</v>
      </c>
      <c r="Z98" s="188">
        <v>134.0</v>
      </c>
      <c r="AA98" s="188">
        <v>193.0</v>
      </c>
      <c r="AB98" s="188">
        <v>61.0</v>
      </c>
      <c r="AC98" s="186">
        <v>19175.178852459016</v>
      </c>
      <c r="AD98" s="189">
        <v>2.19672131147541</v>
      </c>
      <c r="AE98" s="186">
        <v>72360.0</v>
      </c>
      <c r="AF98" s="186">
        <v>17327.0</v>
      </c>
      <c r="AG98" s="187">
        <v>0.07667613949457594</v>
      </c>
      <c r="AH98" s="186">
        <v>50855.90913043478</v>
      </c>
      <c r="AI98" s="258">
        <v>37.0</v>
      </c>
      <c r="AJ98" s="258">
        <v>629.0</v>
      </c>
      <c r="AK98" s="258">
        <v>3849.59</v>
      </c>
      <c r="AL98" s="258">
        <v>128.0</v>
      </c>
      <c r="AM98" s="260"/>
      <c r="AN98" s="260"/>
      <c r="AO98" s="192">
        <v>1309922.7699999998</v>
      </c>
    </row>
    <row r="99">
      <c r="A99" s="183" t="s">
        <v>185</v>
      </c>
      <c r="B99" s="183" t="s">
        <v>212</v>
      </c>
      <c r="C99" s="184" t="s">
        <v>255</v>
      </c>
      <c r="D99" s="75" t="s">
        <v>256</v>
      </c>
      <c r="E99" s="256">
        <v>45236.0</v>
      </c>
      <c r="F99" s="75" t="s">
        <v>1031</v>
      </c>
      <c r="G99" s="186">
        <v>7452303.0</v>
      </c>
      <c r="H99" s="186">
        <v>4500000.0</v>
      </c>
      <c r="I99" s="186">
        <v>3370191.15</v>
      </c>
      <c r="J99" s="186">
        <v>0.0</v>
      </c>
      <c r="K99" s="186">
        <v>2166600.0</v>
      </c>
      <c r="L99" s="187">
        <v>0.7489313666666666</v>
      </c>
      <c r="M99" s="188">
        <v>53.0</v>
      </c>
      <c r="N99" s="188">
        <v>48.0</v>
      </c>
      <c r="O99" s="188">
        <v>3.0</v>
      </c>
      <c r="P99" s="188">
        <v>56.0</v>
      </c>
      <c r="Q99" s="188">
        <v>8.0</v>
      </c>
      <c r="R99" s="188">
        <v>36.0</v>
      </c>
      <c r="S99" s="188">
        <v>0.0</v>
      </c>
      <c r="T99" s="188">
        <v>3.0</v>
      </c>
      <c r="U99" s="188">
        <v>22.0</v>
      </c>
      <c r="V99" s="188">
        <v>32.0</v>
      </c>
      <c r="W99" s="188">
        <v>0.0</v>
      </c>
      <c r="X99" s="188">
        <v>0.0</v>
      </c>
      <c r="Y99" s="188">
        <v>0.0</v>
      </c>
      <c r="Z99" s="188">
        <v>413.0</v>
      </c>
      <c r="AA99" s="188">
        <v>445.0</v>
      </c>
      <c r="AB99" s="188">
        <v>72.0</v>
      </c>
      <c r="AC99" s="186">
        <v>46808.21041666667</v>
      </c>
      <c r="AD99" s="189">
        <v>5.736111111111111</v>
      </c>
      <c r="AE99" s="186">
        <v>75495.0</v>
      </c>
      <c r="AF99" s="186">
        <v>33731.0</v>
      </c>
      <c r="AG99" s="187">
        <v>0.032409437666465896</v>
      </c>
      <c r="AH99" s="186">
        <v>93616.42083333334</v>
      </c>
      <c r="AI99" s="258">
        <v>171.0</v>
      </c>
      <c r="AJ99" s="258">
        <v>563.0</v>
      </c>
      <c r="AK99" s="258">
        <v>4748.11</v>
      </c>
      <c r="AL99" s="258">
        <v>99.0</v>
      </c>
      <c r="AM99" s="260"/>
      <c r="AN99" s="260"/>
      <c r="AO99" s="192">
        <v>-1203591.15</v>
      </c>
    </row>
    <row r="100">
      <c r="A100" s="183" t="s">
        <v>185</v>
      </c>
      <c r="B100" s="183" t="s">
        <v>215</v>
      </c>
      <c r="C100" s="184" t="s">
        <v>257</v>
      </c>
      <c r="D100" s="75" t="s">
        <v>258</v>
      </c>
      <c r="E100" s="256">
        <v>45236.0</v>
      </c>
      <c r="F100" s="75" t="s">
        <v>1065</v>
      </c>
      <c r="G100" s="186">
        <v>1.6070321E7</v>
      </c>
      <c r="H100" s="186">
        <v>5850000.0</v>
      </c>
      <c r="I100" s="186">
        <v>3528904.25</v>
      </c>
      <c r="J100" s="186">
        <v>0.0</v>
      </c>
      <c r="K100" s="186">
        <v>4216563.36</v>
      </c>
      <c r="L100" s="187">
        <v>0.6032314957264957</v>
      </c>
      <c r="M100" s="188">
        <v>26.0</v>
      </c>
      <c r="N100" s="188">
        <v>28.0</v>
      </c>
      <c r="O100" s="188">
        <v>3.0</v>
      </c>
      <c r="P100" s="188">
        <v>29.0</v>
      </c>
      <c r="Q100" s="188">
        <v>1.0</v>
      </c>
      <c r="R100" s="188">
        <v>17.0</v>
      </c>
      <c r="S100" s="188">
        <v>0.0</v>
      </c>
      <c r="T100" s="188">
        <v>2.0</v>
      </c>
      <c r="U100" s="188">
        <v>13.0</v>
      </c>
      <c r="V100" s="188">
        <v>21.0</v>
      </c>
      <c r="W100" s="188">
        <v>1.0</v>
      </c>
      <c r="X100" s="188">
        <v>0.0</v>
      </c>
      <c r="Y100" s="188">
        <v>0.0</v>
      </c>
      <c r="Z100" s="188">
        <v>276.0</v>
      </c>
      <c r="AA100" s="188">
        <v>298.0</v>
      </c>
      <c r="AB100" s="188">
        <v>71.0</v>
      </c>
      <c r="AC100" s="186">
        <v>49702.876760563384</v>
      </c>
      <c r="AD100" s="189">
        <v>3.887323943661972</v>
      </c>
      <c r="AE100" s="186">
        <v>81780.0</v>
      </c>
      <c r="AF100" s="186">
        <v>38760.0</v>
      </c>
      <c r="AG100" s="187">
        <v>0.03415791176538723</v>
      </c>
      <c r="AH100" s="186">
        <v>207582.60294117648</v>
      </c>
      <c r="AI100" s="258">
        <v>25.0</v>
      </c>
      <c r="AJ100" s="258">
        <v>774.0</v>
      </c>
      <c r="AK100" s="258">
        <v>5601.62</v>
      </c>
      <c r="AL100" s="258">
        <v>200.0</v>
      </c>
      <c r="AM100" s="260"/>
      <c r="AN100" s="260"/>
      <c r="AO100" s="192">
        <v>687659.1100000003</v>
      </c>
    </row>
    <row r="101">
      <c r="A101" s="183" t="s">
        <v>23</v>
      </c>
      <c r="B101" s="183" t="s">
        <v>30</v>
      </c>
      <c r="C101" s="184" t="s">
        <v>28</v>
      </c>
      <c r="D101" s="75" t="s">
        <v>29</v>
      </c>
      <c r="E101" s="256">
        <v>45261.0</v>
      </c>
      <c r="F101" s="75" t="s">
        <v>30</v>
      </c>
      <c r="G101" s="186">
        <v>1.029647E7</v>
      </c>
      <c r="H101" s="186">
        <v>4200000.0</v>
      </c>
      <c r="I101" s="186">
        <v>2846927.82</v>
      </c>
      <c r="J101" s="186">
        <v>291671.86</v>
      </c>
      <c r="K101" s="186">
        <v>3209331.0</v>
      </c>
      <c r="L101" s="187">
        <v>0.7472856380952381</v>
      </c>
      <c r="M101" s="188">
        <v>71.0</v>
      </c>
      <c r="N101" s="188">
        <v>73.0</v>
      </c>
      <c r="O101" s="188">
        <v>11.0</v>
      </c>
      <c r="P101" s="188">
        <v>82.0</v>
      </c>
      <c r="Q101" s="188">
        <v>9.0</v>
      </c>
      <c r="R101" s="188">
        <v>37.0</v>
      </c>
      <c r="S101" s="188">
        <v>2.0</v>
      </c>
      <c r="T101" s="188">
        <v>11.0</v>
      </c>
      <c r="U101" s="188">
        <v>41.0</v>
      </c>
      <c r="V101" s="188">
        <v>70.0</v>
      </c>
      <c r="W101" s="188">
        <v>60.0</v>
      </c>
      <c r="X101" s="188">
        <v>14.0</v>
      </c>
      <c r="Y101" s="188">
        <v>0.0</v>
      </c>
      <c r="Z101" s="188">
        <v>294.0</v>
      </c>
      <c r="AA101" s="188">
        <v>438.0</v>
      </c>
      <c r="AB101" s="188">
        <v>77.0</v>
      </c>
      <c r="AC101" s="186">
        <v>40761.0348051948</v>
      </c>
      <c r="AD101" s="189">
        <v>3.8181818181818183</v>
      </c>
      <c r="AE101" s="186">
        <v>72348.0</v>
      </c>
      <c r="AF101" s="186">
        <v>22401.0</v>
      </c>
      <c r="AG101" s="187">
        <v>0.030188303594041024</v>
      </c>
      <c r="AH101" s="186">
        <v>76943.99513513513</v>
      </c>
      <c r="AI101" s="258">
        <v>68.0</v>
      </c>
      <c r="AJ101" s="258">
        <v>791.0</v>
      </c>
      <c r="AK101" s="258">
        <v>4564.59</v>
      </c>
      <c r="AL101" s="258">
        <v>63.0</v>
      </c>
      <c r="AM101" s="260"/>
      <c r="AN101" s="260"/>
      <c r="AO101" s="192">
        <v>70731.3200000003</v>
      </c>
    </row>
    <row r="102">
      <c r="A102" s="183" t="s">
        <v>185</v>
      </c>
      <c r="B102" s="183" t="s">
        <v>1228</v>
      </c>
      <c r="C102" s="184" t="s">
        <v>111</v>
      </c>
      <c r="D102" s="75" t="s">
        <v>125</v>
      </c>
      <c r="E102" s="256">
        <v>45264.0</v>
      </c>
      <c r="F102" s="75" t="s">
        <v>1084</v>
      </c>
      <c r="G102" s="186"/>
      <c r="H102" s="186">
        <v>0.0</v>
      </c>
      <c r="I102" s="186">
        <v>1639585.16</v>
      </c>
      <c r="J102" s="186">
        <v>0.0</v>
      </c>
      <c r="K102" s="186"/>
      <c r="L102" s="187"/>
      <c r="M102" s="188">
        <v>250.0</v>
      </c>
      <c r="N102" s="188">
        <v>109.0</v>
      </c>
      <c r="O102" s="188">
        <v>25.0</v>
      </c>
      <c r="P102" s="188">
        <v>275.0</v>
      </c>
      <c r="Q102" s="188">
        <v>166.0</v>
      </c>
      <c r="R102" s="188">
        <v>29.0</v>
      </c>
      <c r="S102" s="188">
        <v>0.0</v>
      </c>
      <c r="T102" s="188">
        <v>2.0</v>
      </c>
      <c r="U102" s="188">
        <v>91.0</v>
      </c>
      <c r="V102" s="188">
        <v>105.0</v>
      </c>
      <c r="W102" s="188">
        <v>22.0</v>
      </c>
      <c r="X102" s="188">
        <v>0.0</v>
      </c>
      <c r="Y102" s="188">
        <v>7.0</v>
      </c>
      <c r="Z102" s="188">
        <v>200.0</v>
      </c>
      <c r="AA102" s="188">
        <v>334.0</v>
      </c>
      <c r="AB102" s="188">
        <v>74.0</v>
      </c>
      <c r="AC102" s="186">
        <v>22156.556216216217</v>
      </c>
      <c r="AD102" s="189">
        <v>2.7027027027027026</v>
      </c>
      <c r="AE102" s="186">
        <v>0.0</v>
      </c>
      <c r="AF102" s="186">
        <v>101380.0</v>
      </c>
      <c r="AG102" s="187">
        <v>0.06183271383110103</v>
      </c>
      <c r="AH102" s="186">
        <v>56537.41931034483</v>
      </c>
      <c r="AI102" s="258">
        <v>63.0</v>
      </c>
      <c r="AJ102" s="258">
        <v>863.0</v>
      </c>
      <c r="AK102" s="258">
        <v>4403.92</v>
      </c>
      <c r="AL102" s="258">
        <v>40.0</v>
      </c>
      <c r="AM102" s="260"/>
      <c r="AN102" s="260"/>
      <c r="AO102" s="192">
        <v>-1639585.16</v>
      </c>
    </row>
    <row r="103">
      <c r="A103" s="183" t="s">
        <v>47</v>
      </c>
      <c r="B103" s="183" t="s">
        <v>50</v>
      </c>
      <c r="C103" s="184" t="s">
        <v>801</v>
      </c>
      <c r="D103" s="75" t="s">
        <v>1086</v>
      </c>
      <c r="E103" s="256">
        <v>45271.0</v>
      </c>
      <c r="F103" s="75" t="s">
        <v>1085</v>
      </c>
      <c r="G103" s="186"/>
      <c r="H103" s="186">
        <v>0.0</v>
      </c>
      <c r="I103" s="186">
        <v>0.0</v>
      </c>
      <c r="J103" s="186">
        <v>0.0</v>
      </c>
      <c r="K103" s="186"/>
      <c r="L103" s="187"/>
      <c r="M103" s="188">
        <v>61.0</v>
      </c>
      <c r="N103" s="188">
        <v>17.0</v>
      </c>
      <c r="O103" s="188">
        <v>1.0</v>
      </c>
      <c r="P103" s="188">
        <v>62.0</v>
      </c>
      <c r="Q103" s="188">
        <v>45.0</v>
      </c>
      <c r="R103" s="188">
        <v>0.0</v>
      </c>
      <c r="S103" s="188">
        <v>0.0</v>
      </c>
      <c r="T103" s="188">
        <v>0.0</v>
      </c>
      <c r="U103" s="188">
        <v>9.0</v>
      </c>
      <c r="V103" s="188">
        <v>11.0</v>
      </c>
      <c r="W103" s="188">
        <v>24.0</v>
      </c>
      <c r="X103" s="188">
        <v>0.0</v>
      </c>
      <c r="Y103" s="188">
        <v>138.0</v>
      </c>
      <c r="Z103" s="188">
        <v>20.0</v>
      </c>
      <c r="AA103" s="188">
        <v>193.0</v>
      </c>
      <c r="AB103" s="188">
        <v>69.0</v>
      </c>
      <c r="AC103" s="186">
        <v>0.0</v>
      </c>
      <c r="AD103" s="189">
        <v>0.2898550724637681</v>
      </c>
      <c r="AE103" s="186">
        <v>110085.0</v>
      </c>
      <c r="AF103" s="186">
        <v>48226.0</v>
      </c>
      <c r="AG103" s="187"/>
      <c r="AH103" s="186"/>
      <c r="AI103" s="258">
        <v>0.0</v>
      </c>
      <c r="AJ103" s="258">
        <v>662.0</v>
      </c>
      <c r="AK103" s="258">
        <v>9159.03</v>
      </c>
      <c r="AL103" s="258">
        <v>539.0</v>
      </c>
      <c r="AM103" s="260"/>
      <c r="AN103" s="260"/>
      <c r="AO103" s="192">
        <v>0.0</v>
      </c>
    </row>
    <row r="104">
      <c r="A104" s="183" t="s">
        <v>185</v>
      </c>
      <c r="B104" s="183" t="s">
        <v>196</v>
      </c>
      <c r="C104" s="184" t="s">
        <v>259</v>
      </c>
      <c r="D104" s="75" t="s">
        <v>260</v>
      </c>
      <c r="E104" s="256">
        <v>45278.0</v>
      </c>
      <c r="F104" s="75" t="s">
        <v>1027</v>
      </c>
      <c r="G104" s="186">
        <v>1.0015957879999999E7</v>
      </c>
      <c r="H104" s="186">
        <v>5100000.0</v>
      </c>
      <c r="I104" s="186">
        <v>2721546.27</v>
      </c>
      <c r="J104" s="186">
        <v>0.0</v>
      </c>
      <c r="K104" s="186">
        <v>3225912.0</v>
      </c>
      <c r="L104" s="187">
        <v>0.5336365235294118</v>
      </c>
      <c r="M104" s="188">
        <v>62.0</v>
      </c>
      <c r="N104" s="188">
        <v>62.0</v>
      </c>
      <c r="O104" s="188">
        <v>2.0</v>
      </c>
      <c r="P104" s="188">
        <v>64.0</v>
      </c>
      <c r="Q104" s="188">
        <v>2.0</v>
      </c>
      <c r="R104" s="188">
        <v>27.0</v>
      </c>
      <c r="S104" s="188">
        <v>0.0</v>
      </c>
      <c r="T104" s="188">
        <v>2.0</v>
      </c>
      <c r="U104" s="188">
        <v>21.0</v>
      </c>
      <c r="V104" s="188">
        <v>47.0</v>
      </c>
      <c r="W104" s="188">
        <v>11.0</v>
      </c>
      <c r="X104" s="188">
        <v>0.0</v>
      </c>
      <c r="Y104" s="188">
        <v>0.0</v>
      </c>
      <c r="Z104" s="188">
        <v>304.0</v>
      </c>
      <c r="AA104" s="188">
        <v>362.0</v>
      </c>
      <c r="AB104" s="188">
        <v>73.0</v>
      </c>
      <c r="AC104" s="186">
        <v>37281.455753424656</v>
      </c>
      <c r="AD104" s="189">
        <v>4.164383561643835</v>
      </c>
      <c r="AE104" s="186">
        <v>108570.0</v>
      </c>
      <c r="AF104" s="186">
        <v>35025.0</v>
      </c>
      <c r="AG104" s="187">
        <v>0.05276228502262429</v>
      </c>
      <c r="AH104" s="186">
        <v>100798.01</v>
      </c>
      <c r="AI104" s="258">
        <v>77.0</v>
      </c>
      <c r="AJ104" s="258">
        <v>857.0</v>
      </c>
      <c r="AK104" s="258">
        <v>6314.4</v>
      </c>
      <c r="AL104" s="258">
        <v>102.0</v>
      </c>
      <c r="AM104" s="260"/>
      <c r="AN104" s="260"/>
      <c r="AO104" s="192">
        <v>504365.73</v>
      </c>
    </row>
    <row r="105">
      <c r="A105" s="183" t="s">
        <v>185</v>
      </c>
      <c r="B105" s="183" t="s">
        <v>222</v>
      </c>
      <c r="C105" s="184" t="s">
        <v>261</v>
      </c>
      <c r="D105" s="75" t="s">
        <v>262</v>
      </c>
      <c r="E105" s="256">
        <v>45292.0</v>
      </c>
      <c r="F105" s="75" t="s">
        <v>1088</v>
      </c>
      <c r="G105" s="186">
        <v>9030360.0</v>
      </c>
      <c r="H105" s="186">
        <v>4500000.0</v>
      </c>
      <c r="I105" s="186">
        <v>3416502.69</v>
      </c>
      <c r="J105" s="186">
        <v>0.0</v>
      </c>
      <c r="K105" s="186">
        <v>3417445.0</v>
      </c>
      <c r="L105" s="187">
        <v>0.75922282</v>
      </c>
      <c r="M105" s="188">
        <v>41.0</v>
      </c>
      <c r="N105" s="188">
        <v>37.0</v>
      </c>
      <c r="O105" s="188">
        <v>1.0</v>
      </c>
      <c r="P105" s="188">
        <v>42.0</v>
      </c>
      <c r="Q105" s="188">
        <v>5.0</v>
      </c>
      <c r="R105" s="188">
        <v>15.0</v>
      </c>
      <c r="S105" s="188">
        <v>0.0</v>
      </c>
      <c r="T105" s="188">
        <v>1.0</v>
      </c>
      <c r="U105" s="188">
        <v>11.0</v>
      </c>
      <c r="V105" s="188">
        <v>13.0</v>
      </c>
      <c r="W105" s="188">
        <v>1.0</v>
      </c>
      <c r="X105" s="188">
        <v>0.0</v>
      </c>
      <c r="Y105" s="188">
        <v>0.0</v>
      </c>
      <c r="Z105" s="188">
        <v>385.0</v>
      </c>
      <c r="AA105" s="188">
        <v>399.0</v>
      </c>
      <c r="AB105" s="188">
        <v>68.0</v>
      </c>
      <c r="AC105" s="186">
        <v>50242.68661764706</v>
      </c>
      <c r="AD105" s="189">
        <v>5.661764705882353</v>
      </c>
      <c r="AE105" s="186">
        <v>80265.0</v>
      </c>
      <c r="AF105" s="186">
        <v>33270.0</v>
      </c>
      <c r="AG105" s="187">
        <v>0.03323135097546199</v>
      </c>
      <c r="AH105" s="186">
        <v>227766.846</v>
      </c>
      <c r="AI105" s="258">
        <v>31.0</v>
      </c>
      <c r="AJ105" s="258">
        <v>787.0</v>
      </c>
      <c r="AK105" s="258">
        <v>2560.16</v>
      </c>
      <c r="AL105" s="258">
        <v>69.0</v>
      </c>
      <c r="AM105" s="260"/>
      <c r="AN105" s="260"/>
      <c r="AO105" s="192">
        <v>942.3100000000559</v>
      </c>
    </row>
    <row r="106">
      <c r="A106" s="183" t="s">
        <v>185</v>
      </c>
      <c r="B106" s="183" t="s">
        <v>85</v>
      </c>
      <c r="C106" s="184" t="s">
        <v>394</v>
      </c>
      <c r="D106" s="75" t="s">
        <v>91</v>
      </c>
      <c r="E106" s="256">
        <v>45294.0</v>
      </c>
      <c r="F106" s="75" t="s">
        <v>1058</v>
      </c>
      <c r="G106" s="186">
        <v>6456256.0</v>
      </c>
      <c r="H106" s="186">
        <v>5000001.0</v>
      </c>
      <c r="I106" s="186">
        <v>2709801.6</v>
      </c>
      <c r="J106" s="186">
        <v>0.0</v>
      </c>
      <c r="K106" s="186">
        <v>3025064.0</v>
      </c>
      <c r="L106" s="187">
        <v>0.5419602116079577</v>
      </c>
      <c r="M106" s="188">
        <v>65.0</v>
      </c>
      <c r="N106" s="188">
        <v>20.0</v>
      </c>
      <c r="O106" s="188">
        <v>5.0</v>
      </c>
      <c r="P106" s="188">
        <v>70.0</v>
      </c>
      <c r="Q106" s="188">
        <v>50.0</v>
      </c>
      <c r="R106" s="188">
        <v>22.0</v>
      </c>
      <c r="S106" s="188">
        <v>0.0</v>
      </c>
      <c r="T106" s="188">
        <v>2.0</v>
      </c>
      <c r="U106" s="188">
        <v>3.0</v>
      </c>
      <c r="V106" s="188">
        <v>10.0</v>
      </c>
      <c r="W106" s="188">
        <v>6.0</v>
      </c>
      <c r="X106" s="188">
        <v>17.0</v>
      </c>
      <c r="Y106" s="188">
        <v>6.0</v>
      </c>
      <c r="Z106" s="188">
        <v>71.0</v>
      </c>
      <c r="AA106" s="188">
        <v>110.0</v>
      </c>
      <c r="AB106" s="188">
        <v>77.0</v>
      </c>
      <c r="AC106" s="186">
        <v>35192.228571428575</v>
      </c>
      <c r="AD106" s="189">
        <v>0.922077922077922</v>
      </c>
      <c r="AE106" s="186">
        <v>187455.0</v>
      </c>
      <c r="AF106" s="186">
        <v>65159.0</v>
      </c>
      <c r="AG106" s="187">
        <v>0.09322232299220724</v>
      </c>
      <c r="AH106" s="186">
        <v>123172.8</v>
      </c>
      <c r="AI106" s="258">
        <v>37.0</v>
      </c>
      <c r="AJ106" s="258">
        <v>799.0</v>
      </c>
      <c r="AK106" s="258">
        <v>5560.71</v>
      </c>
      <c r="AL106" s="258">
        <v>278.0</v>
      </c>
      <c r="AM106" s="260"/>
      <c r="AN106" s="260"/>
      <c r="AO106" s="192">
        <v>315262.3999999999</v>
      </c>
    </row>
    <row r="107">
      <c r="A107" s="183" t="s">
        <v>185</v>
      </c>
      <c r="B107" s="183" t="s">
        <v>189</v>
      </c>
      <c r="C107" s="184" t="s">
        <v>804</v>
      </c>
      <c r="D107" s="75" t="s">
        <v>187</v>
      </c>
      <c r="E107" s="256">
        <v>45295.0</v>
      </c>
      <c r="F107" s="75" t="s">
        <v>1016</v>
      </c>
      <c r="G107" s="186"/>
      <c r="H107" s="186">
        <v>0.0</v>
      </c>
      <c r="I107" s="186">
        <v>0.0</v>
      </c>
      <c r="J107" s="186">
        <v>0.0</v>
      </c>
      <c r="K107" s="186"/>
      <c r="L107" s="187"/>
      <c r="M107" s="188">
        <v>110.0</v>
      </c>
      <c r="N107" s="188">
        <v>74.0</v>
      </c>
      <c r="O107" s="188">
        <v>2.0</v>
      </c>
      <c r="P107" s="188">
        <v>112.0</v>
      </c>
      <c r="Q107" s="188">
        <v>38.0</v>
      </c>
      <c r="R107" s="188">
        <v>0.0</v>
      </c>
      <c r="S107" s="188">
        <v>0.0</v>
      </c>
      <c r="T107" s="188">
        <v>0.0</v>
      </c>
      <c r="U107" s="188">
        <v>2.0</v>
      </c>
      <c r="V107" s="188">
        <v>2.0</v>
      </c>
      <c r="W107" s="188">
        <v>22.0</v>
      </c>
      <c r="X107" s="188">
        <v>0.0</v>
      </c>
      <c r="Y107" s="188">
        <v>0.0</v>
      </c>
      <c r="Z107" s="188">
        <v>121.0</v>
      </c>
      <c r="AA107" s="188">
        <v>145.0</v>
      </c>
      <c r="AB107" s="188">
        <v>74.0</v>
      </c>
      <c r="AC107" s="186">
        <v>0.0</v>
      </c>
      <c r="AD107" s="189">
        <v>1.635135135135135</v>
      </c>
      <c r="AE107" s="186">
        <v>241500.0</v>
      </c>
      <c r="AF107" s="186">
        <v>29063.0</v>
      </c>
      <c r="AG107" s="187"/>
      <c r="AH107" s="186"/>
      <c r="AI107" s="258">
        <v>0.0</v>
      </c>
      <c r="AJ107" s="258">
        <v>815.0</v>
      </c>
      <c r="AK107" s="258">
        <v>6414.46</v>
      </c>
      <c r="AL107" s="258">
        <v>87.0</v>
      </c>
      <c r="AM107" s="260"/>
      <c r="AN107" s="260"/>
      <c r="AO107" s="192">
        <v>0.0</v>
      </c>
    </row>
    <row r="108">
      <c r="A108" s="183" t="s">
        <v>185</v>
      </c>
      <c r="B108" s="183" t="s">
        <v>222</v>
      </c>
      <c r="C108" s="184" t="s">
        <v>809</v>
      </c>
      <c r="D108" s="75" t="s">
        <v>1090</v>
      </c>
      <c r="E108" s="256">
        <v>45309.0</v>
      </c>
      <c r="F108" s="75" t="s">
        <v>1089</v>
      </c>
      <c r="G108" s="186">
        <v>1.1640474E7</v>
      </c>
      <c r="H108" s="186">
        <v>4500000.0</v>
      </c>
      <c r="I108" s="186">
        <v>4763317.3</v>
      </c>
      <c r="J108" s="186">
        <v>0.0</v>
      </c>
      <c r="K108" s="186">
        <v>4763288.0</v>
      </c>
      <c r="L108" s="187">
        <v>1.0585149555555555</v>
      </c>
      <c r="M108" s="188">
        <v>103.0</v>
      </c>
      <c r="N108" s="188">
        <v>87.0</v>
      </c>
      <c r="O108" s="188">
        <v>2.0</v>
      </c>
      <c r="P108" s="188">
        <v>105.0</v>
      </c>
      <c r="Q108" s="188">
        <v>18.0</v>
      </c>
      <c r="R108" s="188">
        <v>39.0</v>
      </c>
      <c r="S108" s="188">
        <v>0.0</v>
      </c>
      <c r="T108" s="188">
        <v>2.0</v>
      </c>
      <c r="U108" s="188">
        <v>7.0</v>
      </c>
      <c r="V108" s="188">
        <v>13.0</v>
      </c>
      <c r="W108" s="188">
        <v>5.0</v>
      </c>
      <c r="X108" s="188">
        <v>0.0</v>
      </c>
      <c r="Y108" s="188">
        <v>0.0</v>
      </c>
      <c r="Z108" s="188">
        <v>300.0</v>
      </c>
      <c r="AA108" s="188">
        <v>318.0</v>
      </c>
      <c r="AB108" s="188">
        <v>69.0</v>
      </c>
      <c r="AC108" s="186">
        <v>69033.584057971</v>
      </c>
      <c r="AD108" s="189">
        <v>4.3478260869565215</v>
      </c>
      <c r="AE108" s="186">
        <v>111705.0</v>
      </c>
      <c r="AF108" s="186">
        <v>35440.0</v>
      </c>
      <c r="AG108" s="187">
        <v>0.030891286624974576</v>
      </c>
      <c r="AH108" s="186">
        <v>122136.34102564103</v>
      </c>
      <c r="AI108" s="258">
        <v>71.0</v>
      </c>
      <c r="AJ108" s="258">
        <v>663.0</v>
      </c>
      <c r="AK108" s="258">
        <v>3713.41</v>
      </c>
      <c r="AL108" s="258">
        <v>43.0</v>
      </c>
      <c r="AM108" s="260"/>
      <c r="AN108" s="260"/>
      <c r="AO108" s="192">
        <v>-29.299999999813735</v>
      </c>
    </row>
    <row r="109">
      <c r="A109" s="183" t="s">
        <v>47</v>
      </c>
      <c r="B109" s="183" t="s">
        <v>50</v>
      </c>
      <c r="C109" s="184" t="s">
        <v>48</v>
      </c>
      <c r="D109" s="75" t="s">
        <v>49</v>
      </c>
      <c r="E109" s="256">
        <v>45311.0</v>
      </c>
      <c r="F109" s="75" t="s">
        <v>1091</v>
      </c>
      <c r="G109" s="186">
        <v>5256136.0</v>
      </c>
      <c r="H109" s="186">
        <v>2499999.0</v>
      </c>
      <c r="I109" s="186">
        <v>1812580.85</v>
      </c>
      <c r="J109" s="186">
        <v>0.0</v>
      </c>
      <c r="K109" s="186">
        <v>1894467.0</v>
      </c>
      <c r="L109" s="187">
        <v>0.7250326300130521</v>
      </c>
      <c r="M109" s="188">
        <v>67.0</v>
      </c>
      <c r="N109" s="188">
        <v>71.0</v>
      </c>
      <c r="O109" s="188">
        <v>4.0</v>
      </c>
      <c r="P109" s="188">
        <v>71.0</v>
      </c>
      <c r="Q109" s="188">
        <v>0.0</v>
      </c>
      <c r="R109" s="188">
        <v>68.0</v>
      </c>
      <c r="S109" s="188">
        <v>0.0</v>
      </c>
      <c r="T109" s="188">
        <v>4.0</v>
      </c>
      <c r="U109" s="188">
        <v>50.0</v>
      </c>
      <c r="V109" s="188">
        <v>81.0</v>
      </c>
      <c r="W109" s="188">
        <v>46.0</v>
      </c>
      <c r="X109" s="188">
        <v>1.0</v>
      </c>
      <c r="Y109" s="188">
        <v>0.0</v>
      </c>
      <c r="Z109" s="188">
        <v>392.0</v>
      </c>
      <c r="AA109" s="188">
        <v>520.0</v>
      </c>
      <c r="AB109" s="188">
        <v>72.0</v>
      </c>
      <c r="AC109" s="186">
        <v>25174.73402777778</v>
      </c>
      <c r="AD109" s="189">
        <v>5.444444444444445</v>
      </c>
      <c r="AE109" s="186">
        <v>77070.0</v>
      </c>
      <c r="AF109" s="186">
        <v>22171.0</v>
      </c>
      <c r="AG109" s="187">
        <v>0.05475121289072429</v>
      </c>
      <c r="AH109" s="186">
        <v>26655.60073529412</v>
      </c>
      <c r="AI109" s="258">
        <v>243.0</v>
      </c>
      <c r="AJ109" s="258">
        <v>681.0</v>
      </c>
      <c r="AK109" s="258">
        <v>8744.49</v>
      </c>
      <c r="AL109" s="258">
        <v>123.0</v>
      </c>
      <c r="AM109" s="260"/>
      <c r="AN109" s="260"/>
      <c r="AO109" s="192">
        <v>81886.1499999999</v>
      </c>
    </row>
    <row r="110">
      <c r="A110" s="183" t="s">
        <v>53</v>
      </c>
      <c r="B110" s="183" t="s">
        <v>56</v>
      </c>
      <c r="C110" s="184" t="s">
        <v>361</v>
      </c>
      <c r="D110" s="75" t="s">
        <v>1093</v>
      </c>
      <c r="E110" s="256">
        <v>45313.0</v>
      </c>
      <c r="F110" s="75" t="s">
        <v>1092</v>
      </c>
      <c r="G110" s="186">
        <v>675146.0</v>
      </c>
      <c r="H110" s="186">
        <v>0.0</v>
      </c>
      <c r="I110" s="186">
        <v>0.0</v>
      </c>
      <c r="J110" s="186">
        <v>0.0</v>
      </c>
      <c r="K110" s="186">
        <v>0.0</v>
      </c>
      <c r="L110" s="187"/>
      <c r="M110" s="188">
        <v>40.0</v>
      </c>
      <c r="N110" s="188">
        <v>20.0</v>
      </c>
      <c r="O110" s="188">
        <v>1.0</v>
      </c>
      <c r="P110" s="188">
        <v>41.0</v>
      </c>
      <c r="Q110" s="188">
        <v>21.0</v>
      </c>
      <c r="R110" s="188">
        <v>0.0</v>
      </c>
      <c r="S110" s="188">
        <v>0.0</v>
      </c>
      <c r="T110" s="188">
        <v>0.0</v>
      </c>
      <c r="U110" s="188">
        <v>18.0</v>
      </c>
      <c r="V110" s="188">
        <v>21.0</v>
      </c>
      <c r="W110" s="188">
        <v>9.0</v>
      </c>
      <c r="X110" s="188">
        <v>0.0</v>
      </c>
      <c r="Y110" s="188">
        <v>0.0</v>
      </c>
      <c r="Z110" s="188">
        <v>34.0</v>
      </c>
      <c r="AA110" s="188">
        <v>64.0</v>
      </c>
      <c r="AB110" s="188">
        <v>16.0</v>
      </c>
      <c r="AC110" s="186">
        <v>0.0</v>
      </c>
      <c r="AD110" s="189">
        <v>2.125</v>
      </c>
      <c r="AE110" s="186">
        <v>17097.5</v>
      </c>
      <c r="AF110" s="186">
        <v>11425.0</v>
      </c>
      <c r="AG110" s="187"/>
      <c r="AH110" s="186"/>
      <c r="AI110" s="258">
        <v>0.0</v>
      </c>
      <c r="AJ110" s="258">
        <v>130.0</v>
      </c>
      <c r="AK110" s="258">
        <v>1233.12</v>
      </c>
      <c r="AL110" s="258">
        <v>62.0</v>
      </c>
      <c r="AM110" s="260">
        <v>45768.0</v>
      </c>
      <c r="AN110" s="260"/>
      <c r="AO110" s="192">
        <v>0.0</v>
      </c>
    </row>
    <row r="111">
      <c r="A111" s="183" t="s">
        <v>126</v>
      </c>
      <c r="B111" s="183" t="s">
        <v>130</v>
      </c>
      <c r="C111" s="184" t="s">
        <v>164</v>
      </c>
      <c r="D111" s="75" t="s">
        <v>153</v>
      </c>
      <c r="E111" s="256">
        <v>45323.0</v>
      </c>
      <c r="F111" s="75" t="s">
        <v>130</v>
      </c>
      <c r="G111" s="186">
        <v>1.3537922E7</v>
      </c>
      <c r="H111" s="186">
        <v>7500000.0</v>
      </c>
      <c r="I111" s="186">
        <v>4234978.18</v>
      </c>
      <c r="J111" s="186">
        <v>194495.19</v>
      </c>
      <c r="K111" s="186">
        <v>0.0</v>
      </c>
      <c r="L111" s="187">
        <v>0.5905964493333333</v>
      </c>
      <c r="M111" s="188">
        <v>115.0</v>
      </c>
      <c r="N111" s="188">
        <v>102.0</v>
      </c>
      <c r="O111" s="188">
        <v>5.0</v>
      </c>
      <c r="P111" s="188">
        <v>120.0</v>
      </c>
      <c r="Q111" s="188">
        <v>18.0</v>
      </c>
      <c r="R111" s="188">
        <v>63.0</v>
      </c>
      <c r="S111" s="188">
        <v>2.0</v>
      </c>
      <c r="T111" s="188">
        <v>3.0</v>
      </c>
      <c r="U111" s="188">
        <v>25.0</v>
      </c>
      <c r="V111" s="188">
        <v>39.0</v>
      </c>
      <c r="W111" s="188">
        <v>70.0</v>
      </c>
      <c r="X111" s="188">
        <v>3.0</v>
      </c>
      <c r="Y111" s="188">
        <v>0.0</v>
      </c>
      <c r="Z111" s="188">
        <v>334.0</v>
      </c>
      <c r="AA111" s="188">
        <v>446.0</v>
      </c>
      <c r="AB111" s="188">
        <v>76.0</v>
      </c>
      <c r="AC111" s="186">
        <v>58282.54434210526</v>
      </c>
      <c r="AD111" s="189">
        <v>4.394736842105263</v>
      </c>
      <c r="AE111" s="186">
        <v>140010.0</v>
      </c>
      <c r="AF111" s="186">
        <v>28610.0</v>
      </c>
      <c r="AG111" s="187">
        <v>0.03806773083726655</v>
      </c>
      <c r="AH111" s="186">
        <v>67221.87587301587</v>
      </c>
      <c r="AI111" s="258">
        <v>116.0</v>
      </c>
      <c r="AJ111" s="258">
        <v>605.0</v>
      </c>
      <c r="AK111" s="258">
        <v>4195.13</v>
      </c>
      <c r="AL111" s="258">
        <v>41.0</v>
      </c>
      <c r="AM111" s="260"/>
      <c r="AN111" s="260"/>
      <c r="AO111" s="192">
        <v>-4429473.37</v>
      </c>
    </row>
    <row r="112">
      <c r="A112" s="183" t="s">
        <v>185</v>
      </c>
      <c r="B112" s="183" t="s">
        <v>189</v>
      </c>
      <c r="C112" s="184" t="s">
        <v>265</v>
      </c>
      <c r="D112" s="75" t="s">
        <v>266</v>
      </c>
      <c r="E112" s="256">
        <v>45323.0</v>
      </c>
      <c r="F112" s="75" t="s">
        <v>1016</v>
      </c>
      <c r="G112" s="186">
        <v>1.1715104E7</v>
      </c>
      <c r="H112" s="186">
        <v>6000000.0</v>
      </c>
      <c r="I112" s="186">
        <v>3635403.54</v>
      </c>
      <c r="J112" s="186">
        <v>0.0</v>
      </c>
      <c r="K112" s="186">
        <v>3645516.0</v>
      </c>
      <c r="L112" s="187">
        <v>0.60590059</v>
      </c>
      <c r="M112" s="188">
        <v>58.0</v>
      </c>
      <c r="N112" s="188">
        <v>61.0</v>
      </c>
      <c r="O112" s="188">
        <v>6.0</v>
      </c>
      <c r="P112" s="188">
        <v>64.0</v>
      </c>
      <c r="Q112" s="188">
        <v>3.0</v>
      </c>
      <c r="R112" s="188">
        <v>37.0</v>
      </c>
      <c r="S112" s="188">
        <v>0.0</v>
      </c>
      <c r="T112" s="188">
        <v>6.0</v>
      </c>
      <c r="U112" s="188">
        <v>51.0</v>
      </c>
      <c r="V112" s="188">
        <v>68.0</v>
      </c>
      <c r="W112" s="188">
        <v>12.0</v>
      </c>
      <c r="X112" s="188">
        <v>0.0</v>
      </c>
      <c r="Y112" s="188">
        <v>0.0</v>
      </c>
      <c r="Z112" s="188">
        <v>295.0</v>
      </c>
      <c r="AA112" s="188">
        <v>375.0</v>
      </c>
      <c r="AB112" s="188">
        <v>74.0</v>
      </c>
      <c r="AC112" s="186">
        <v>49127.074864864866</v>
      </c>
      <c r="AD112" s="189">
        <v>3.9864864864864864</v>
      </c>
      <c r="AE112" s="186">
        <v>77100.0</v>
      </c>
      <c r="AF112" s="186">
        <v>29460.0</v>
      </c>
      <c r="AG112" s="187">
        <v>0.029311739075877117</v>
      </c>
      <c r="AH112" s="186">
        <v>98254.14972972973</v>
      </c>
      <c r="AI112" s="258">
        <v>83.0</v>
      </c>
      <c r="AJ112" s="258">
        <v>899.0</v>
      </c>
      <c r="AK112" s="258">
        <v>5504.04</v>
      </c>
      <c r="AL112" s="258">
        <v>90.0</v>
      </c>
      <c r="AM112" s="260"/>
      <c r="AN112" s="260"/>
      <c r="AO112" s="192">
        <v>10112.459999999963</v>
      </c>
    </row>
    <row r="113">
      <c r="A113" s="183" t="s">
        <v>126</v>
      </c>
      <c r="B113" s="183" t="s">
        <v>301</v>
      </c>
      <c r="C113" s="184" t="s">
        <v>167</v>
      </c>
      <c r="D113" s="75" t="s">
        <v>168</v>
      </c>
      <c r="E113" s="256">
        <v>45331.0</v>
      </c>
      <c r="F113" s="75" t="s">
        <v>1066</v>
      </c>
      <c r="G113" s="186">
        <v>4318430.0</v>
      </c>
      <c r="H113" s="186">
        <v>3450000.0</v>
      </c>
      <c r="I113" s="186">
        <v>1293121.35</v>
      </c>
      <c r="J113" s="186">
        <v>0.0</v>
      </c>
      <c r="K113" s="186">
        <v>1141759.0</v>
      </c>
      <c r="L113" s="187">
        <v>0.3748177826086957</v>
      </c>
      <c r="M113" s="188">
        <v>30.0</v>
      </c>
      <c r="N113" s="188">
        <v>29.0</v>
      </c>
      <c r="O113" s="188">
        <v>0.0</v>
      </c>
      <c r="P113" s="188">
        <v>30.0</v>
      </c>
      <c r="Q113" s="188">
        <v>1.0</v>
      </c>
      <c r="R113" s="188">
        <v>20.0</v>
      </c>
      <c r="S113" s="188">
        <v>0.0</v>
      </c>
      <c r="T113" s="188">
        <v>0.0</v>
      </c>
      <c r="U113" s="188">
        <v>77.0</v>
      </c>
      <c r="V113" s="188">
        <v>155.0</v>
      </c>
      <c r="W113" s="188">
        <v>0.0</v>
      </c>
      <c r="X113" s="188">
        <v>0.0</v>
      </c>
      <c r="Y113" s="188">
        <v>0.0</v>
      </c>
      <c r="Z113" s="188">
        <v>192.0</v>
      </c>
      <c r="AA113" s="188">
        <v>347.0</v>
      </c>
      <c r="AB113" s="188">
        <v>72.0</v>
      </c>
      <c r="AC113" s="186">
        <v>17960.018750000003</v>
      </c>
      <c r="AD113" s="189">
        <v>2.6666666666666665</v>
      </c>
      <c r="AE113" s="186">
        <v>73275.0</v>
      </c>
      <c r="AF113" s="186">
        <v>17148.0</v>
      </c>
      <c r="AG113" s="187">
        <v>0.06992615194235251</v>
      </c>
      <c r="AH113" s="186">
        <v>64656.067500000005</v>
      </c>
      <c r="AI113" s="258">
        <v>58.0</v>
      </c>
      <c r="AJ113" s="258">
        <v>834.0</v>
      </c>
      <c r="AK113" s="258">
        <v>4292.97</v>
      </c>
      <c r="AL113" s="258">
        <v>148.0</v>
      </c>
      <c r="AM113" s="260"/>
      <c r="AN113" s="260"/>
      <c r="AO113" s="192">
        <v>-151362.3500000001</v>
      </c>
    </row>
    <row r="114">
      <c r="A114" s="183" t="s">
        <v>23</v>
      </c>
      <c r="B114" s="183" t="s">
        <v>30</v>
      </c>
      <c r="C114" s="184" t="s">
        <v>335</v>
      </c>
      <c r="D114" s="75" t="s">
        <v>46</v>
      </c>
      <c r="E114" s="256">
        <v>45384.0</v>
      </c>
      <c r="F114" s="75" t="s">
        <v>30</v>
      </c>
      <c r="G114" s="186">
        <v>9014519.0</v>
      </c>
      <c r="H114" s="186">
        <v>4500000.0</v>
      </c>
      <c r="I114" s="186">
        <v>2390613.2</v>
      </c>
      <c r="J114" s="186">
        <v>187206.82</v>
      </c>
      <c r="K114" s="186">
        <v>2276816.0</v>
      </c>
      <c r="L114" s="187">
        <v>0.5728488933333333</v>
      </c>
      <c r="M114" s="188">
        <v>52.0</v>
      </c>
      <c r="N114" s="188">
        <v>51.0</v>
      </c>
      <c r="O114" s="188">
        <v>6.0</v>
      </c>
      <c r="P114" s="188">
        <v>58.0</v>
      </c>
      <c r="Q114" s="188">
        <v>7.0</v>
      </c>
      <c r="R114" s="188">
        <v>36.0</v>
      </c>
      <c r="S114" s="188">
        <v>2.0</v>
      </c>
      <c r="T114" s="188">
        <v>6.0</v>
      </c>
      <c r="U114" s="188">
        <v>135.0</v>
      </c>
      <c r="V114" s="188">
        <v>216.0</v>
      </c>
      <c r="W114" s="188">
        <v>9.0</v>
      </c>
      <c r="X114" s="188">
        <v>11.0</v>
      </c>
      <c r="Y114" s="188">
        <v>0.0</v>
      </c>
      <c r="Z114" s="188">
        <v>124.0</v>
      </c>
      <c r="AA114" s="188">
        <v>360.0</v>
      </c>
      <c r="AB114" s="188">
        <v>79.0</v>
      </c>
      <c r="AC114" s="186">
        <v>32630.633164556963</v>
      </c>
      <c r="AD114" s="189">
        <v>1.5696202531645569</v>
      </c>
      <c r="AE114" s="186">
        <v>97500.0</v>
      </c>
      <c r="AF114" s="186">
        <v>27850.0</v>
      </c>
      <c r="AG114" s="187">
        <v>0.04862635832892631</v>
      </c>
      <c r="AH114" s="186">
        <v>66405.92222222223</v>
      </c>
      <c r="AI114" s="258">
        <v>86.0</v>
      </c>
      <c r="AJ114" s="258">
        <v>824.0</v>
      </c>
      <c r="AK114" s="258">
        <v>5910.52</v>
      </c>
      <c r="AL114" s="258">
        <v>116.0</v>
      </c>
      <c r="AM114" s="260"/>
      <c r="AN114" s="260"/>
      <c r="AO114" s="192">
        <v>-301004.02</v>
      </c>
    </row>
    <row r="115">
      <c r="A115" s="183" t="s">
        <v>47</v>
      </c>
      <c r="B115" s="183" t="s">
        <v>50</v>
      </c>
      <c r="C115" s="184" t="s">
        <v>51</v>
      </c>
      <c r="D115" s="75" t="s">
        <v>52</v>
      </c>
      <c r="E115" s="256">
        <v>45393.0</v>
      </c>
      <c r="F115" s="75" t="s">
        <v>1091</v>
      </c>
      <c r="G115" s="186">
        <v>2751805.0</v>
      </c>
      <c r="H115" s="186">
        <v>2250000.0</v>
      </c>
      <c r="I115" s="186">
        <v>1353345.69</v>
      </c>
      <c r="J115" s="186">
        <v>0.0</v>
      </c>
      <c r="K115" s="186">
        <v>1762358.5</v>
      </c>
      <c r="L115" s="187">
        <v>0.6014869733333333</v>
      </c>
      <c r="M115" s="188">
        <v>117.0</v>
      </c>
      <c r="N115" s="188">
        <v>97.0</v>
      </c>
      <c r="O115" s="188">
        <v>16.0</v>
      </c>
      <c r="P115" s="188">
        <v>133.0</v>
      </c>
      <c r="Q115" s="188">
        <v>36.0</v>
      </c>
      <c r="R115" s="188">
        <v>74.0</v>
      </c>
      <c r="S115" s="188">
        <v>0.0</v>
      </c>
      <c r="T115" s="188">
        <v>16.0</v>
      </c>
      <c r="U115" s="188">
        <v>45.0</v>
      </c>
      <c r="V115" s="188">
        <v>62.0</v>
      </c>
      <c r="W115" s="188">
        <v>24.0</v>
      </c>
      <c r="X115" s="188">
        <v>0.0</v>
      </c>
      <c r="Y115" s="188">
        <v>0.0</v>
      </c>
      <c r="Z115" s="188">
        <v>443.0</v>
      </c>
      <c r="AA115" s="188">
        <v>529.0</v>
      </c>
      <c r="AB115" s="188">
        <v>76.0</v>
      </c>
      <c r="AC115" s="186">
        <v>17807.180131578945</v>
      </c>
      <c r="AD115" s="189">
        <v>5.828947368421052</v>
      </c>
      <c r="AE115" s="186">
        <v>72348.0</v>
      </c>
      <c r="AF115" s="186">
        <v>18023.0</v>
      </c>
      <c r="AG115" s="187">
        <v>0.06677599128423722</v>
      </c>
      <c r="AH115" s="186">
        <v>18288.45527027027</v>
      </c>
      <c r="AI115" s="258">
        <v>145.0</v>
      </c>
      <c r="AJ115" s="258">
        <v>684.0</v>
      </c>
      <c r="AK115" s="258">
        <v>5068.21</v>
      </c>
      <c r="AL115" s="258">
        <v>52.0</v>
      </c>
      <c r="AM115" s="260"/>
      <c r="AN115" s="260"/>
      <c r="AO115" s="192">
        <v>409012.81000000006</v>
      </c>
    </row>
    <row r="116">
      <c r="A116" s="183" t="s">
        <v>47</v>
      </c>
      <c r="B116" s="183" t="s">
        <v>422</v>
      </c>
      <c r="C116" s="184" t="s">
        <v>420</v>
      </c>
      <c r="D116" s="75" t="s">
        <v>421</v>
      </c>
      <c r="E116" s="256">
        <v>45411.0</v>
      </c>
      <c r="F116" s="75" t="s">
        <v>1094</v>
      </c>
      <c r="G116" s="186">
        <v>3448380.07</v>
      </c>
      <c r="H116" s="186">
        <v>1749999.0</v>
      </c>
      <c r="I116" s="186">
        <v>1049571.05</v>
      </c>
      <c r="J116" s="186">
        <v>0.0</v>
      </c>
      <c r="K116" s="186">
        <v>971833.61</v>
      </c>
      <c r="L116" s="187">
        <v>0.5997552284315592</v>
      </c>
      <c r="M116" s="188">
        <v>85.0</v>
      </c>
      <c r="N116" s="188">
        <v>76.0</v>
      </c>
      <c r="O116" s="188">
        <v>6.0</v>
      </c>
      <c r="P116" s="188">
        <v>91.0</v>
      </c>
      <c r="Q116" s="188">
        <v>15.0</v>
      </c>
      <c r="R116" s="188">
        <v>32.0</v>
      </c>
      <c r="S116" s="188">
        <v>0.0</v>
      </c>
      <c r="T116" s="188">
        <v>3.0</v>
      </c>
      <c r="U116" s="188">
        <v>148.0</v>
      </c>
      <c r="V116" s="188">
        <v>212.0</v>
      </c>
      <c r="W116" s="188">
        <v>7.0</v>
      </c>
      <c r="X116" s="188">
        <v>0.0</v>
      </c>
      <c r="Y116" s="188">
        <v>24.0</v>
      </c>
      <c r="Z116" s="188">
        <v>275.0</v>
      </c>
      <c r="AA116" s="188">
        <v>518.0</v>
      </c>
      <c r="AB116" s="188">
        <v>74.0</v>
      </c>
      <c r="AC116" s="186">
        <v>14183.392567567567</v>
      </c>
      <c r="AD116" s="189">
        <v>3.7162162162162162</v>
      </c>
      <c r="AE116" s="186">
        <v>77070.0</v>
      </c>
      <c r="AF116" s="186">
        <v>41544.0</v>
      </c>
      <c r="AG116" s="187">
        <v>0.11301188233040535</v>
      </c>
      <c r="AH116" s="186">
        <v>32799.0953125</v>
      </c>
      <c r="AI116" s="258">
        <v>42.0</v>
      </c>
      <c r="AJ116" s="258">
        <v>825.0</v>
      </c>
      <c r="AK116" s="258">
        <v>5768.43</v>
      </c>
      <c r="AL116" s="258">
        <v>76.0</v>
      </c>
      <c r="AM116" s="260"/>
      <c r="AN116" s="260"/>
      <c r="AO116" s="192">
        <v>-77737.44000000006</v>
      </c>
    </row>
    <row r="117">
      <c r="A117" s="183" t="s">
        <v>53</v>
      </c>
      <c r="B117" s="183" t="s">
        <v>56</v>
      </c>
      <c r="C117" s="184" t="s">
        <v>733</v>
      </c>
      <c r="D117" s="75" t="s">
        <v>1095</v>
      </c>
      <c r="E117" s="256">
        <v>45428.0</v>
      </c>
      <c r="F117" s="75" t="s">
        <v>1092</v>
      </c>
      <c r="G117" s="186"/>
      <c r="H117" s="186">
        <v>0.0</v>
      </c>
      <c r="I117" s="186">
        <v>0.0</v>
      </c>
      <c r="J117" s="186">
        <v>0.0</v>
      </c>
      <c r="K117" s="186"/>
      <c r="L117" s="187"/>
      <c r="M117" s="188">
        <v>59.0</v>
      </c>
      <c r="N117" s="188">
        <v>33.0</v>
      </c>
      <c r="O117" s="188">
        <v>3.0</v>
      </c>
      <c r="P117" s="188">
        <v>62.0</v>
      </c>
      <c r="Q117" s="188">
        <v>29.0</v>
      </c>
      <c r="R117" s="188">
        <v>0.0</v>
      </c>
      <c r="S117" s="188">
        <v>0.0</v>
      </c>
      <c r="T117" s="188">
        <v>0.0</v>
      </c>
      <c r="U117" s="188">
        <v>83.0</v>
      </c>
      <c r="V117" s="188">
        <v>126.0</v>
      </c>
      <c r="W117" s="188">
        <v>46.0</v>
      </c>
      <c r="X117" s="188">
        <v>0.0</v>
      </c>
      <c r="Y117" s="188">
        <v>12.0</v>
      </c>
      <c r="Z117" s="188">
        <v>90.0</v>
      </c>
      <c r="AA117" s="188">
        <v>274.0</v>
      </c>
      <c r="AB117" s="188">
        <v>73.0</v>
      </c>
      <c r="AC117" s="186">
        <v>0.0</v>
      </c>
      <c r="AD117" s="189">
        <v>1.2328767123287672</v>
      </c>
      <c r="AE117" s="186">
        <v>89640.0</v>
      </c>
      <c r="AF117" s="186">
        <v>15314.0</v>
      </c>
      <c r="AG117" s="187"/>
      <c r="AH117" s="186"/>
      <c r="AI117" s="258">
        <v>0.0</v>
      </c>
      <c r="AJ117" s="258">
        <v>604.0</v>
      </c>
      <c r="AK117" s="258">
        <v>5031.62</v>
      </c>
      <c r="AL117" s="258">
        <v>152.0</v>
      </c>
      <c r="AM117" s="260"/>
      <c r="AN117" s="260"/>
      <c r="AO117" s="192">
        <v>0.0</v>
      </c>
    </row>
    <row r="118">
      <c r="A118" s="183" t="s">
        <v>53</v>
      </c>
      <c r="B118" s="183" t="s">
        <v>56</v>
      </c>
      <c r="C118" s="184" t="s">
        <v>54</v>
      </c>
      <c r="D118" s="75" t="s">
        <v>55</v>
      </c>
      <c r="E118" s="256">
        <v>45428.0</v>
      </c>
      <c r="F118" s="75" t="s">
        <v>1092</v>
      </c>
      <c r="G118" s="186">
        <v>2995523.0</v>
      </c>
      <c r="H118" s="186">
        <v>3000000.0</v>
      </c>
      <c r="I118" s="186">
        <v>1323245.7</v>
      </c>
      <c r="J118" s="186">
        <v>0.0</v>
      </c>
      <c r="K118" s="186">
        <v>1349380.0</v>
      </c>
      <c r="L118" s="187">
        <v>0.44108189999999997</v>
      </c>
      <c r="M118" s="188">
        <v>80.0</v>
      </c>
      <c r="N118" s="188">
        <v>70.0</v>
      </c>
      <c r="O118" s="188">
        <v>7.0</v>
      </c>
      <c r="P118" s="188">
        <v>87.0</v>
      </c>
      <c r="Q118" s="188">
        <v>17.0</v>
      </c>
      <c r="R118" s="188">
        <v>30.0</v>
      </c>
      <c r="S118" s="188">
        <v>0.0</v>
      </c>
      <c r="T118" s="188">
        <v>1.0</v>
      </c>
      <c r="U118" s="188">
        <v>49.0</v>
      </c>
      <c r="V118" s="188">
        <v>78.0</v>
      </c>
      <c r="W118" s="188">
        <v>33.0</v>
      </c>
      <c r="X118" s="188">
        <v>0.0</v>
      </c>
      <c r="Y118" s="188">
        <v>0.0</v>
      </c>
      <c r="Z118" s="188">
        <v>312.0</v>
      </c>
      <c r="AA118" s="188">
        <v>423.0</v>
      </c>
      <c r="AB118" s="188">
        <v>65.0</v>
      </c>
      <c r="AC118" s="186">
        <v>20357.626153846155</v>
      </c>
      <c r="AD118" s="189">
        <v>4.8</v>
      </c>
      <c r="AE118" s="186">
        <v>72348.0</v>
      </c>
      <c r="AF118" s="186">
        <v>19944.0</v>
      </c>
      <c r="AG118" s="187">
        <v>0.06974668423256543</v>
      </c>
      <c r="AH118" s="186">
        <v>44108.189999999995</v>
      </c>
      <c r="AI118" s="258">
        <v>47.0</v>
      </c>
      <c r="AJ118" s="258">
        <v>612.0</v>
      </c>
      <c r="AK118" s="258">
        <v>4459.38</v>
      </c>
      <c r="AL118" s="258">
        <v>64.0</v>
      </c>
      <c r="AM118" s="260"/>
      <c r="AN118" s="260"/>
      <c r="AO118" s="192">
        <v>26134.300000000047</v>
      </c>
    </row>
    <row r="119">
      <c r="A119" s="183" t="s">
        <v>185</v>
      </c>
      <c r="B119" s="183" t="s">
        <v>215</v>
      </c>
      <c r="C119" s="184" t="s">
        <v>267</v>
      </c>
      <c r="D119" s="75" t="s">
        <v>268</v>
      </c>
      <c r="E119" s="256">
        <v>45432.0</v>
      </c>
      <c r="F119" s="75" t="s">
        <v>1064</v>
      </c>
      <c r="G119" s="186">
        <v>2.0489164E7</v>
      </c>
      <c r="H119" s="186">
        <v>7449999.0</v>
      </c>
      <c r="I119" s="186">
        <v>5549196.23</v>
      </c>
      <c r="J119" s="186">
        <v>0.0</v>
      </c>
      <c r="K119" s="186">
        <v>4428148.0</v>
      </c>
      <c r="L119" s="187">
        <v>0.7448586543434436</v>
      </c>
      <c r="M119" s="188">
        <v>101.0</v>
      </c>
      <c r="N119" s="188">
        <v>91.0</v>
      </c>
      <c r="O119" s="188">
        <v>5.0</v>
      </c>
      <c r="P119" s="188">
        <v>106.0</v>
      </c>
      <c r="Q119" s="188">
        <v>15.0</v>
      </c>
      <c r="R119" s="188">
        <v>63.0</v>
      </c>
      <c r="S119" s="188">
        <v>0.0</v>
      </c>
      <c r="T119" s="188">
        <v>5.0</v>
      </c>
      <c r="U119" s="188">
        <v>57.0</v>
      </c>
      <c r="V119" s="188">
        <v>77.0</v>
      </c>
      <c r="W119" s="188">
        <v>44.0</v>
      </c>
      <c r="X119" s="188">
        <v>0.0</v>
      </c>
      <c r="Y119" s="188">
        <v>0.0</v>
      </c>
      <c r="Z119" s="188">
        <v>348.0</v>
      </c>
      <c r="AA119" s="188">
        <v>469.0</v>
      </c>
      <c r="AB119" s="188">
        <v>73.0</v>
      </c>
      <c r="AC119" s="186">
        <v>76016.38671232878</v>
      </c>
      <c r="AD119" s="189">
        <v>4.767123287671233</v>
      </c>
      <c r="AE119" s="186">
        <v>124290.0</v>
      </c>
      <c r="AF119" s="186">
        <v>23995.0</v>
      </c>
      <c r="AG119" s="187">
        <v>0.026721887973314647</v>
      </c>
      <c r="AH119" s="186">
        <v>88082.47984126984</v>
      </c>
      <c r="AI119" s="258">
        <v>153.0</v>
      </c>
      <c r="AJ119" s="258">
        <v>687.0</v>
      </c>
      <c r="AK119" s="258">
        <v>2359.05</v>
      </c>
      <c r="AL119" s="258">
        <v>26.0</v>
      </c>
      <c r="AM119" s="260"/>
      <c r="AN119" s="260"/>
      <c r="AO119" s="192">
        <v>-1121048.2300000004</v>
      </c>
    </row>
    <row r="120">
      <c r="A120" s="183" t="s">
        <v>185</v>
      </c>
      <c r="B120" s="183" t="s">
        <v>196</v>
      </c>
      <c r="C120" s="184" t="s">
        <v>269</v>
      </c>
      <c r="D120" s="75" t="s">
        <v>270</v>
      </c>
      <c r="E120" s="256">
        <v>45434.0</v>
      </c>
      <c r="F120" s="75" t="s">
        <v>1027</v>
      </c>
      <c r="G120" s="186">
        <v>5834843.78</v>
      </c>
      <c r="H120" s="186">
        <v>6000000.0</v>
      </c>
      <c r="I120" s="186">
        <v>2906350.64</v>
      </c>
      <c r="J120" s="186">
        <v>0.0</v>
      </c>
      <c r="K120" s="186">
        <v>3613624.0</v>
      </c>
      <c r="L120" s="187">
        <v>0.48439177333333333</v>
      </c>
      <c r="M120" s="188">
        <v>68.0</v>
      </c>
      <c r="N120" s="188">
        <v>50.0</v>
      </c>
      <c r="O120" s="188">
        <v>3.0</v>
      </c>
      <c r="P120" s="188">
        <v>71.0</v>
      </c>
      <c r="Q120" s="188">
        <v>21.0</v>
      </c>
      <c r="R120" s="188">
        <v>35.0</v>
      </c>
      <c r="S120" s="188">
        <v>0.0</v>
      </c>
      <c r="T120" s="188">
        <v>2.0</v>
      </c>
      <c r="U120" s="188">
        <v>9.0</v>
      </c>
      <c r="V120" s="188">
        <v>11.0</v>
      </c>
      <c r="W120" s="188">
        <v>30.0</v>
      </c>
      <c r="X120" s="188">
        <v>0.0</v>
      </c>
      <c r="Y120" s="188">
        <v>0.0</v>
      </c>
      <c r="Z120" s="188">
        <v>231.0</v>
      </c>
      <c r="AA120" s="188">
        <v>272.0</v>
      </c>
      <c r="AB120" s="188">
        <v>69.0</v>
      </c>
      <c r="AC120" s="186">
        <v>42121.02376811594</v>
      </c>
      <c r="AD120" s="189">
        <v>3.347826086956522</v>
      </c>
      <c r="AE120" s="186">
        <v>190605.0</v>
      </c>
      <c r="AF120" s="186"/>
      <c r="AG120" s="187">
        <v>0.06558224509345506</v>
      </c>
      <c r="AH120" s="186">
        <v>83038.58971428571</v>
      </c>
      <c r="AI120" s="258">
        <v>143.0</v>
      </c>
      <c r="AJ120" s="258">
        <v>763.0</v>
      </c>
      <c r="AK120" s="258">
        <v>4604.21</v>
      </c>
      <c r="AL120" s="258">
        <v>92.0</v>
      </c>
      <c r="AM120" s="260"/>
      <c r="AN120" s="260"/>
      <c r="AO120" s="192">
        <v>707273.3599999999</v>
      </c>
    </row>
    <row r="121">
      <c r="A121" s="494" t="s">
        <v>185</v>
      </c>
      <c r="B121" s="183" t="s">
        <v>117</v>
      </c>
      <c r="C121" s="184" t="s">
        <v>432</v>
      </c>
      <c r="D121" s="75" t="s">
        <v>433</v>
      </c>
      <c r="E121" s="256">
        <v>45444.0</v>
      </c>
      <c r="F121" s="75" t="s">
        <v>1044</v>
      </c>
      <c r="G121" s="186">
        <v>1374117.0</v>
      </c>
      <c r="H121" s="186">
        <v>3000000.0</v>
      </c>
      <c r="I121" s="186">
        <v>560081.52</v>
      </c>
      <c r="J121" s="186">
        <v>0.0</v>
      </c>
      <c r="K121" s="186">
        <v>544771.0</v>
      </c>
      <c r="L121" s="187">
        <v>0.18669384</v>
      </c>
      <c r="M121" s="188">
        <v>27.0</v>
      </c>
      <c r="N121" s="188">
        <v>24.0</v>
      </c>
      <c r="O121" s="188">
        <v>0.0</v>
      </c>
      <c r="P121" s="188">
        <v>27.0</v>
      </c>
      <c r="Q121" s="188">
        <v>3.0</v>
      </c>
      <c r="R121" s="188">
        <v>11.0</v>
      </c>
      <c r="S121" s="188">
        <v>0.0</v>
      </c>
      <c r="T121" s="188">
        <v>0.0</v>
      </c>
      <c r="U121" s="188">
        <v>0.0</v>
      </c>
      <c r="V121" s="188">
        <v>0.0</v>
      </c>
      <c r="W121" s="188">
        <v>5.0</v>
      </c>
      <c r="X121" s="188">
        <v>0.0</v>
      </c>
      <c r="Y121" s="188">
        <v>1.0</v>
      </c>
      <c r="Z121" s="188">
        <v>74.0</v>
      </c>
      <c r="AA121" s="188">
        <v>80.0</v>
      </c>
      <c r="AB121" s="188">
        <v>71.0</v>
      </c>
      <c r="AC121" s="186">
        <v>7888.472112676057</v>
      </c>
      <c r="AD121" s="189">
        <v>1.0422535211267605</v>
      </c>
      <c r="AE121" s="186">
        <v>81000.0</v>
      </c>
      <c r="AF121" s="186">
        <v>9780.0</v>
      </c>
      <c r="AG121" s="187">
        <v>0.1620835481234946</v>
      </c>
      <c r="AH121" s="186">
        <v>50916.50181818182</v>
      </c>
      <c r="AI121" s="258">
        <v>19.0</v>
      </c>
      <c r="AJ121" s="258">
        <v>668.0</v>
      </c>
      <c r="AK121" s="258">
        <v>4126.2</v>
      </c>
      <c r="AL121" s="258">
        <v>172.0</v>
      </c>
      <c r="AM121" s="260"/>
      <c r="AN121" s="260"/>
      <c r="AO121" s="192">
        <v>-15310.520000000019</v>
      </c>
    </row>
    <row r="122">
      <c r="A122" s="183" t="s">
        <v>298</v>
      </c>
      <c r="B122" s="183" t="s">
        <v>301</v>
      </c>
      <c r="C122" s="184" t="s">
        <v>311</v>
      </c>
      <c r="D122" s="75" t="s">
        <v>303</v>
      </c>
      <c r="E122" s="256">
        <v>45446.0</v>
      </c>
      <c r="F122" s="75" t="s">
        <v>1066</v>
      </c>
      <c r="G122" s="186">
        <v>2169373.0</v>
      </c>
      <c r="H122" s="186">
        <v>3600000.0</v>
      </c>
      <c r="I122" s="186">
        <v>1470047.9</v>
      </c>
      <c r="J122" s="186">
        <v>0.0</v>
      </c>
      <c r="K122" s="186">
        <v>1470047.0</v>
      </c>
      <c r="L122" s="187">
        <v>0.40834663888888884</v>
      </c>
      <c r="M122" s="188">
        <v>28.0</v>
      </c>
      <c r="N122" s="188">
        <v>28.0</v>
      </c>
      <c r="O122" s="188">
        <v>9.0</v>
      </c>
      <c r="P122" s="188">
        <v>37.0</v>
      </c>
      <c r="Q122" s="188">
        <v>9.0</v>
      </c>
      <c r="R122" s="188">
        <v>21.0</v>
      </c>
      <c r="S122" s="188">
        <v>0.0</v>
      </c>
      <c r="T122" s="188">
        <v>9.0</v>
      </c>
      <c r="U122" s="188">
        <v>83.0</v>
      </c>
      <c r="V122" s="188">
        <v>124.0</v>
      </c>
      <c r="W122" s="188">
        <v>46.0</v>
      </c>
      <c r="X122" s="188">
        <v>0.0</v>
      </c>
      <c r="Y122" s="188">
        <v>0.0</v>
      </c>
      <c r="Z122" s="188">
        <v>104.0</v>
      </c>
      <c r="AA122" s="188">
        <v>274.0</v>
      </c>
      <c r="AB122" s="188">
        <v>75.0</v>
      </c>
      <c r="AC122" s="186">
        <v>19600.638666666666</v>
      </c>
      <c r="AD122" s="189">
        <v>1.3866666666666667</v>
      </c>
      <c r="AE122" s="186">
        <v>119520.0</v>
      </c>
      <c r="AF122" s="186">
        <v>17952.0</v>
      </c>
      <c r="AG122" s="187">
        <v>0.093515320147051</v>
      </c>
      <c r="AH122" s="186">
        <v>70002.28095238094</v>
      </c>
      <c r="AI122" s="258">
        <v>52.0</v>
      </c>
      <c r="AJ122" s="258">
        <v>752.0</v>
      </c>
      <c r="AK122" s="258">
        <v>3171.85</v>
      </c>
      <c r="AL122" s="258">
        <v>113.0</v>
      </c>
      <c r="AM122" s="260"/>
      <c r="AN122" s="260"/>
      <c r="AO122" s="192">
        <v>-0.8999999999068677</v>
      </c>
    </row>
    <row r="123">
      <c r="A123" s="494" t="s">
        <v>185</v>
      </c>
      <c r="B123" s="183" t="s">
        <v>1228</v>
      </c>
      <c r="C123" s="184" t="s">
        <v>122</v>
      </c>
      <c r="D123" s="75" t="s">
        <v>123</v>
      </c>
      <c r="E123" s="256">
        <v>45453.0</v>
      </c>
      <c r="F123" s="75" t="s">
        <v>1051</v>
      </c>
      <c r="G123" s="186">
        <v>6342486.850000001</v>
      </c>
      <c r="H123" s="186">
        <v>3600000.0</v>
      </c>
      <c r="I123" s="186">
        <v>2947658.4</v>
      </c>
      <c r="J123" s="186">
        <v>0.0</v>
      </c>
      <c r="K123" s="186">
        <v>2333457.48</v>
      </c>
      <c r="L123" s="187">
        <v>0.818794</v>
      </c>
      <c r="M123" s="188">
        <v>112.0</v>
      </c>
      <c r="N123" s="188">
        <v>115.0</v>
      </c>
      <c r="O123" s="188">
        <v>11.0</v>
      </c>
      <c r="P123" s="188">
        <v>123.0</v>
      </c>
      <c r="Q123" s="188">
        <v>8.0</v>
      </c>
      <c r="R123" s="188">
        <v>71.0</v>
      </c>
      <c r="S123" s="188">
        <v>0.0</v>
      </c>
      <c r="T123" s="188">
        <v>11.0</v>
      </c>
      <c r="U123" s="188">
        <v>40.0</v>
      </c>
      <c r="V123" s="188">
        <v>63.0</v>
      </c>
      <c r="W123" s="188">
        <v>0.0</v>
      </c>
      <c r="X123" s="188">
        <v>0.0</v>
      </c>
      <c r="Y123" s="188">
        <v>0.0</v>
      </c>
      <c r="Z123" s="188">
        <v>336.0</v>
      </c>
      <c r="AA123" s="188">
        <v>399.0</v>
      </c>
      <c r="AB123" s="188">
        <v>57.0</v>
      </c>
      <c r="AC123" s="186">
        <v>51713.30526315789</v>
      </c>
      <c r="AD123" s="189">
        <v>5.894736842105263</v>
      </c>
      <c r="AE123" s="186">
        <v>100710.0</v>
      </c>
      <c r="AF123" s="186">
        <v>45990.0</v>
      </c>
      <c r="AG123" s="187">
        <v>0.04976831779421931</v>
      </c>
      <c r="AH123" s="186">
        <v>41516.31549295774</v>
      </c>
      <c r="AI123" s="258">
        <v>165.0</v>
      </c>
      <c r="AJ123" s="258">
        <v>674.0</v>
      </c>
      <c r="AK123" s="258">
        <v>13156.01</v>
      </c>
      <c r="AL123" s="258">
        <v>114.0</v>
      </c>
      <c r="AM123" s="260"/>
      <c r="AN123" s="260"/>
      <c r="AO123" s="192">
        <v>-614200.9199999999</v>
      </c>
    </row>
    <row r="124">
      <c r="A124" s="183" t="s">
        <v>185</v>
      </c>
      <c r="B124" s="183" t="s">
        <v>189</v>
      </c>
      <c r="C124" s="184" t="s">
        <v>271</v>
      </c>
      <c r="D124" s="75" t="s">
        <v>272</v>
      </c>
      <c r="E124" s="256">
        <v>45460.0</v>
      </c>
      <c r="F124" s="75" t="s">
        <v>1016</v>
      </c>
      <c r="G124" s="186">
        <v>6346376.0</v>
      </c>
      <c r="H124" s="186">
        <v>4500000.0</v>
      </c>
      <c r="I124" s="186">
        <v>4364039.17</v>
      </c>
      <c r="J124" s="186">
        <v>0.0</v>
      </c>
      <c r="K124" s="186">
        <v>3896349.0</v>
      </c>
      <c r="L124" s="187">
        <v>0.9697864822222222</v>
      </c>
      <c r="M124" s="188">
        <v>62.0</v>
      </c>
      <c r="N124" s="188">
        <v>61.0</v>
      </c>
      <c r="O124" s="188">
        <v>7.0</v>
      </c>
      <c r="P124" s="188">
        <v>69.0</v>
      </c>
      <c r="Q124" s="188">
        <v>8.0</v>
      </c>
      <c r="R124" s="188">
        <v>34.0</v>
      </c>
      <c r="S124" s="188">
        <v>0.0</v>
      </c>
      <c r="T124" s="188">
        <v>7.0</v>
      </c>
      <c r="U124" s="188">
        <v>9.0</v>
      </c>
      <c r="V124" s="188">
        <v>13.0</v>
      </c>
      <c r="W124" s="188">
        <v>4.0</v>
      </c>
      <c r="X124" s="188">
        <v>0.0</v>
      </c>
      <c r="Y124" s="188">
        <v>0.0</v>
      </c>
      <c r="Z124" s="188">
        <v>291.0</v>
      </c>
      <c r="AA124" s="188">
        <v>308.0</v>
      </c>
      <c r="AB124" s="188">
        <v>78.0</v>
      </c>
      <c r="AC124" s="186">
        <v>55949.220128205125</v>
      </c>
      <c r="AD124" s="189">
        <v>3.730769230769231</v>
      </c>
      <c r="AE124" s="186">
        <v>89700.0</v>
      </c>
      <c r="AF124" s="186">
        <v>13703.0</v>
      </c>
      <c r="AG124" s="187">
        <v>0.023694333614333714</v>
      </c>
      <c r="AH124" s="186">
        <v>128354.09323529412</v>
      </c>
      <c r="AI124" s="258">
        <v>69.0</v>
      </c>
      <c r="AJ124" s="258">
        <v>888.0</v>
      </c>
      <c r="AK124" s="258">
        <v>4912.59</v>
      </c>
      <c r="AL124" s="258">
        <v>81.0</v>
      </c>
      <c r="AM124" s="260"/>
      <c r="AN124" s="260"/>
      <c r="AO124" s="192">
        <v>-467690.1699999999</v>
      </c>
    </row>
    <row r="125">
      <c r="A125" s="494" t="s">
        <v>185</v>
      </c>
      <c r="B125" s="183" t="s">
        <v>117</v>
      </c>
      <c r="C125" s="184" t="s">
        <v>430</v>
      </c>
      <c r="D125" s="75" t="s">
        <v>1097</v>
      </c>
      <c r="E125" s="256">
        <v>45462.0</v>
      </c>
      <c r="F125" s="75" t="s">
        <v>1044</v>
      </c>
      <c r="G125" s="186">
        <v>1888089.46</v>
      </c>
      <c r="H125" s="186">
        <v>3600000.0</v>
      </c>
      <c r="I125" s="186">
        <v>812156.53</v>
      </c>
      <c r="J125" s="186">
        <v>0.0</v>
      </c>
      <c r="K125" s="186">
        <v>207270.0</v>
      </c>
      <c r="L125" s="187">
        <v>0.22559903611111112</v>
      </c>
      <c r="M125" s="188">
        <v>48.0</v>
      </c>
      <c r="N125" s="188">
        <v>47.0</v>
      </c>
      <c r="O125" s="188">
        <v>0.0</v>
      </c>
      <c r="P125" s="188">
        <v>48.0</v>
      </c>
      <c r="Q125" s="188">
        <v>1.0</v>
      </c>
      <c r="R125" s="188">
        <v>20.0</v>
      </c>
      <c r="S125" s="188">
        <v>0.0</v>
      </c>
      <c r="T125" s="188">
        <v>0.0</v>
      </c>
      <c r="U125" s="188">
        <v>14.0</v>
      </c>
      <c r="V125" s="188">
        <v>24.0</v>
      </c>
      <c r="W125" s="188">
        <v>48.0</v>
      </c>
      <c r="X125" s="188">
        <v>0.0</v>
      </c>
      <c r="Y125" s="188">
        <v>0.0</v>
      </c>
      <c r="Z125" s="188">
        <v>228.0</v>
      </c>
      <c r="AA125" s="188">
        <v>300.0</v>
      </c>
      <c r="AB125" s="188">
        <v>61.0</v>
      </c>
      <c r="AC125" s="186">
        <v>13314.041475409836</v>
      </c>
      <c r="AD125" s="189">
        <v>3.737704918032787</v>
      </c>
      <c r="AE125" s="186">
        <v>72348.0</v>
      </c>
      <c r="AF125" s="186">
        <v>14780.0</v>
      </c>
      <c r="AG125" s="187">
        <v>0.10727981218103362</v>
      </c>
      <c r="AH125" s="186">
        <v>40607.8265</v>
      </c>
      <c r="AI125" s="258">
        <v>38.0</v>
      </c>
      <c r="AJ125" s="258">
        <v>493.0</v>
      </c>
      <c r="AK125" s="258">
        <v>4640.3</v>
      </c>
      <c r="AL125" s="258">
        <v>99.0</v>
      </c>
      <c r="AM125" s="260">
        <v>45838.0</v>
      </c>
      <c r="AN125" s="260"/>
      <c r="AO125" s="192">
        <v>-604886.53</v>
      </c>
    </row>
    <row r="126">
      <c r="A126" s="183" t="s">
        <v>53</v>
      </c>
      <c r="B126" s="183" t="s">
        <v>56</v>
      </c>
      <c r="C126" s="184" t="s">
        <v>831</v>
      </c>
      <c r="D126" s="75" t="s">
        <v>71</v>
      </c>
      <c r="E126" s="256">
        <v>45464.0</v>
      </c>
      <c r="F126" s="75" t="s">
        <v>1092</v>
      </c>
      <c r="G126" s="186">
        <v>698221.0</v>
      </c>
      <c r="H126" s="186">
        <v>4500000.0</v>
      </c>
      <c r="I126" s="186">
        <v>462446.74</v>
      </c>
      <c r="J126" s="186">
        <v>0.0</v>
      </c>
      <c r="K126" s="186">
        <v>923900.0</v>
      </c>
      <c r="L126" s="187">
        <v>0.10276594222222223</v>
      </c>
      <c r="M126" s="188">
        <v>31.0</v>
      </c>
      <c r="N126" s="188">
        <v>24.0</v>
      </c>
      <c r="O126" s="188">
        <v>3.0</v>
      </c>
      <c r="P126" s="188">
        <v>34.0</v>
      </c>
      <c r="Q126" s="188">
        <v>10.0</v>
      </c>
      <c r="R126" s="188">
        <v>8.0</v>
      </c>
      <c r="S126" s="188">
        <v>0.0</v>
      </c>
      <c r="T126" s="188">
        <v>3.0</v>
      </c>
      <c r="U126" s="188">
        <v>94.0</v>
      </c>
      <c r="V126" s="188">
        <v>145.0</v>
      </c>
      <c r="W126" s="188">
        <v>23.0</v>
      </c>
      <c r="X126" s="188">
        <v>0.0</v>
      </c>
      <c r="Y126" s="188">
        <v>4.0</v>
      </c>
      <c r="Z126" s="188">
        <v>209.0</v>
      </c>
      <c r="AA126" s="188">
        <v>381.0</v>
      </c>
      <c r="AB126" s="188">
        <v>75.0</v>
      </c>
      <c r="AC126" s="186">
        <v>6165.956533333333</v>
      </c>
      <c r="AD126" s="189">
        <v>2.7866666666666666</v>
      </c>
      <c r="AE126" s="186">
        <v>114855.0</v>
      </c>
      <c r="AF126" s="186">
        <v>20210.0</v>
      </c>
      <c r="AG126" s="187">
        <v>0.2920660658133302</v>
      </c>
      <c r="AH126" s="186">
        <v>57805.8425</v>
      </c>
      <c r="AI126" s="258">
        <v>15.0</v>
      </c>
      <c r="AJ126" s="258">
        <v>784.0</v>
      </c>
      <c r="AK126" s="258">
        <v>2047.74</v>
      </c>
      <c r="AL126" s="258">
        <v>85.0</v>
      </c>
      <c r="AM126" s="260">
        <v>45838.0</v>
      </c>
      <c r="AN126" s="260"/>
      <c r="AO126" s="192">
        <v>461453.26</v>
      </c>
    </row>
    <row r="127">
      <c r="A127" s="183" t="s">
        <v>126</v>
      </c>
      <c r="B127" s="183" t="s">
        <v>140</v>
      </c>
      <c r="C127" s="184" t="s">
        <v>442</v>
      </c>
      <c r="D127" s="75" t="s">
        <v>443</v>
      </c>
      <c r="E127" s="256">
        <v>45467.0</v>
      </c>
      <c r="F127" s="75" t="s">
        <v>1061</v>
      </c>
      <c r="G127" s="186">
        <v>5519917.0</v>
      </c>
      <c r="H127" s="186">
        <v>5000001.0</v>
      </c>
      <c r="I127" s="186">
        <v>1451314.07</v>
      </c>
      <c r="J127" s="186">
        <v>0.0</v>
      </c>
      <c r="K127" s="186">
        <v>698574.0</v>
      </c>
      <c r="L127" s="187">
        <v>0.2902627559474488</v>
      </c>
      <c r="M127" s="188">
        <v>45.0</v>
      </c>
      <c r="N127" s="188">
        <v>44.0</v>
      </c>
      <c r="O127" s="188">
        <v>1.0</v>
      </c>
      <c r="P127" s="188">
        <v>46.0</v>
      </c>
      <c r="Q127" s="188">
        <v>2.0</v>
      </c>
      <c r="R127" s="188">
        <v>29.0</v>
      </c>
      <c r="S127" s="188">
        <v>0.0</v>
      </c>
      <c r="T127" s="188">
        <v>1.0</v>
      </c>
      <c r="U127" s="188">
        <v>6.0</v>
      </c>
      <c r="V127" s="188">
        <v>9.0</v>
      </c>
      <c r="W127" s="188">
        <v>11.0</v>
      </c>
      <c r="X127" s="188">
        <v>0.0</v>
      </c>
      <c r="Y127" s="188">
        <v>0.0</v>
      </c>
      <c r="Z127" s="188">
        <v>216.0</v>
      </c>
      <c r="AA127" s="188">
        <v>236.0</v>
      </c>
      <c r="AB127" s="188">
        <v>71.0</v>
      </c>
      <c r="AC127" s="186">
        <v>20441.04323943662</v>
      </c>
      <c r="AD127" s="189">
        <v>3.0422535211267605</v>
      </c>
      <c r="AE127" s="186">
        <v>81780.0</v>
      </c>
      <c r="AF127" s="186">
        <v>22088.0</v>
      </c>
      <c r="AG127" s="187">
        <v>0.07156824435664708</v>
      </c>
      <c r="AH127" s="186">
        <v>50045.31275862069</v>
      </c>
      <c r="AI127" s="258">
        <v>48.0</v>
      </c>
      <c r="AJ127" s="258">
        <v>621.0</v>
      </c>
      <c r="AK127" s="258">
        <v>3037.73</v>
      </c>
      <c r="AL127" s="258">
        <v>69.0</v>
      </c>
      <c r="AM127" s="260"/>
      <c r="AN127" s="260"/>
      <c r="AO127" s="192">
        <v>-752740.0700000001</v>
      </c>
    </row>
    <row r="128">
      <c r="A128" s="183" t="s">
        <v>97</v>
      </c>
      <c r="B128" s="183" t="s">
        <v>101</v>
      </c>
      <c r="C128" s="184" t="s">
        <v>346</v>
      </c>
      <c r="D128" s="75" t="s">
        <v>347</v>
      </c>
      <c r="E128" s="256">
        <v>45474.0</v>
      </c>
      <c r="F128" s="75" t="s">
        <v>1062</v>
      </c>
      <c r="G128" s="186">
        <v>1.386868072E7</v>
      </c>
      <c r="H128" s="186">
        <v>3960000.0</v>
      </c>
      <c r="I128" s="186">
        <v>2243990.8</v>
      </c>
      <c r="J128" s="186">
        <v>0.0</v>
      </c>
      <c r="K128" s="186">
        <v>0.0</v>
      </c>
      <c r="L128" s="187">
        <v>0.5666643434343434</v>
      </c>
      <c r="M128" s="188">
        <v>77.0</v>
      </c>
      <c r="N128" s="188">
        <v>54.0</v>
      </c>
      <c r="O128" s="188">
        <v>0.0</v>
      </c>
      <c r="P128" s="188">
        <v>77.0</v>
      </c>
      <c r="Q128" s="188">
        <v>23.0</v>
      </c>
      <c r="R128" s="188">
        <v>26.0</v>
      </c>
      <c r="S128" s="188">
        <v>0.0</v>
      </c>
      <c r="T128" s="188">
        <v>0.0</v>
      </c>
      <c r="U128" s="188">
        <v>0.0</v>
      </c>
      <c r="V128" s="188">
        <v>0.0</v>
      </c>
      <c r="W128" s="188">
        <v>7.0</v>
      </c>
      <c r="X128" s="188">
        <v>0.0</v>
      </c>
      <c r="Y128" s="188">
        <v>0.0</v>
      </c>
      <c r="Z128" s="188">
        <v>354.0</v>
      </c>
      <c r="AA128" s="188">
        <v>361.0</v>
      </c>
      <c r="AB128" s="188">
        <v>59.0</v>
      </c>
      <c r="AC128" s="186">
        <v>38033.74237288135</v>
      </c>
      <c r="AD128" s="189">
        <v>6.0</v>
      </c>
      <c r="AE128" s="186">
        <v>108000.0</v>
      </c>
      <c r="AF128" s="186">
        <v>0.0</v>
      </c>
      <c r="AG128" s="187">
        <v>0.04812853956442246</v>
      </c>
      <c r="AH128" s="186">
        <v>86307.33846153846</v>
      </c>
      <c r="AI128" s="258">
        <v>56.0</v>
      </c>
      <c r="AJ128" s="258">
        <v>502.0</v>
      </c>
      <c r="AK128" s="258">
        <v>3527.88</v>
      </c>
      <c r="AL128" s="258">
        <v>65.0</v>
      </c>
      <c r="AM128" s="260"/>
      <c r="AN128" s="260"/>
      <c r="AO128" s="192">
        <v>-2243990.8</v>
      </c>
    </row>
    <row r="129">
      <c r="A129" s="183" t="s">
        <v>185</v>
      </c>
      <c r="B129" s="183" t="s">
        <v>85</v>
      </c>
      <c r="C129" s="184" t="s">
        <v>832</v>
      </c>
      <c r="D129" s="75" t="s">
        <v>393</v>
      </c>
      <c r="E129" s="256">
        <v>45474.0</v>
      </c>
      <c r="F129" s="75" t="s">
        <v>1058</v>
      </c>
      <c r="G129" s="186">
        <v>0.0</v>
      </c>
      <c r="H129" s="186">
        <v>3750000.0</v>
      </c>
      <c r="I129" s="186">
        <v>546972.11</v>
      </c>
      <c r="J129" s="186">
        <v>0.0</v>
      </c>
      <c r="K129" s="186">
        <v>561658.0</v>
      </c>
      <c r="L129" s="187">
        <v>0.14585922933333334</v>
      </c>
      <c r="M129" s="188">
        <v>20.0</v>
      </c>
      <c r="N129" s="188">
        <v>7.0</v>
      </c>
      <c r="O129" s="188">
        <v>1.0</v>
      </c>
      <c r="P129" s="188">
        <v>21.0</v>
      </c>
      <c r="Q129" s="188">
        <v>14.0</v>
      </c>
      <c r="R129" s="188">
        <v>1.0</v>
      </c>
      <c r="S129" s="188">
        <v>0.0</v>
      </c>
      <c r="T129" s="188">
        <v>1.0</v>
      </c>
      <c r="U129" s="188">
        <v>275.0</v>
      </c>
      <c r="V129" s="188">
        <v>369.0</v>
      </c>
      <c r="W129" s="188">
        <v>2.0</v>
      </c>
      <c r="X129" s="188">
        <v>1.0</v>
      </c>
      <c r="Y129" s="188">
        <v>1.0</v>
      </c>
      <c r="Z129" s="188">
        <v>11.0</v>
      </c>
      <c r="AA129" s="188">
        <v>384.0</v>
      </c>
      <c r="AB129" s="188">
        <v>67.0</v>
      </c>
      <c r="AC129" s="186">
        <v>8163.762835820895</v>
      </c>
      <c r="AD129" s="189">
        <v>0.16417910447761194</v>
      </c>
      <c r="AE129" s="186">
        <v>106950.0</v>
      </c>
      <c r="AF129" s="186">
        <v>41029.0</v>
      </c>
      <c r="AG129" s="187">
        <v>0.2705421305667669</v>
      </c>
      <c r="AH129" s="186">
        <v>546972.11</v>
      </c>
      <c r="AI129" s="258">
        <v>4.0</v>
      </c>
      <c r="AJ129" s="258">
        <v>708.0</v>
      </c>
      <c r="AK129" s="258">
        <v>5609.04</v>
      </c>
      <c r="AL129" s="258">
        <v>801.0</v>
      </c>
      <c r="AM129" s="260"/>
      <c r="AN129" s="260"/>
      <c r="AO129" s="192">
        <v>14685.890000000014</v>
      </c>
    </row>
    <row r="130">
      <c r="A130" s="183" t="s">
        <v>126</v>
      </c>
      <c r="B130" s="183" t="s">
        <v>130</v>
      </c>
      <c r="C130" s="184" t="s">
        <v>165</v>
      </c>
      <c r="D130" s="75" t="s">
        <v>166</v>
      </c>
      <c r="E130" s="256">
        <v>45482.0</v>
      </c>
      <c r="F130" s="75" t="s">
        <v>130</v>
      </c>
      <c r="G130" s="186">
        <v>5199880.0</v>
      </c>
      <c r="H130" s="186">
        <v>4749999.0</v>
      </c>
      <c r="I130" s="186">
        <v>2700423.92</v>
      </c>
      <c r="J130" s="186">
        <v>0.0</v>
      </c>
      <c r="K130" s="186">
        <v>2700428.0</v>
      </c>
      <c r="L130" s="187">
        <v>0.5685104186337723</v>
      </c>
      <c r="M130" s="188">
        <v>55.0</v>
      </c>
      <c r="N130" s="188">
        <v>55.0</v>
      </c>
      <c r="O130" s="188">
        <v>7.0</v>
      </c>
      <c r="P130" s="188">
        <v>62.0</v>
      </c>
      <c r="Q130" s="188">
        <v>7.0</v>
      </c>
      <c r="R130" s="188">
        <v>37.0</v>
      </c>
      <c r="S130" s="188">
        <v>0.0</v>
      </c>
      <c r="T130" s="188">
        <v>7.0</v>
      </c>
      <c r="U130" s="188">
        <v>66.0</v>
      </c>
      <c r="V130" s="188">
        <v>90.0</v>
      </c>
      <c r="W130" s="188">
        <v>25.0</v>
      </c>
      <c r="X130" s="188">
        <v>0.0</v>
      </c>
      <c r="Y130" s="188">
        <v>0.0</v>
      </c>
      <c r="Z130" s="188">
        <v>256.0</v>
      </c>
      <c r="AA130" s="188">
        <v>371.0</v>
      </c>
      <c r="AB130" s="188">
        <v>72.0</v>
      </c>
      <c r="AC130" s="186">
        <v>37505.887777777774</v>
      </c>
      <c r="AD130" s="189">
        <v>3.5555555555555554</v>
      </c>
      <c r="AE130" s="186">
        <v>75495.0</v>
      </c>
      <c r="AF130" s="186">
        <v>21761.0</v>
      </c>
      <c r="AG130" s="187">
        <v>0.036015086105443773</v>
      </c>
      <c r="AH130" s="186">
        <v>72984.43027027027</v>
      </c>
      <c r="AI130" s="258">
        <v>82.0</v>
      </c>
      <c r="AJ130" s="258">
        <v>570.0</v>
      </c>
      <c r="AK130" s="258">
        <v>3864.15</v>
      </c>
      <c r="AL130" s="258">
        <v>70.0</v>
      </c>
      <c r="AM130" s="260"/>
      <c r="AN130" s="260"/>
      <c r="AO130" s="192">
        <v>4.080000000074506</v>
      </c>
    </row>
    <row r="131">
      <c r="A131" s="183" t="s">
        <v>298</v>
      </c>
      <c r="B131" s="183" t="s">
        <v>301</v>
      </c>
      <c r="C131" s="184" t="s">
        <v>312</v>
      </c>
      <c r="D131" s="75" t="s">
        <v>313</v>
      </c>
      <c r="E131" s="256">
        <v>45483.0</v>
      </c>
      <c r="F131" s="75" t="s">
        <v>1066</v>
      </c>
      <c r="G131" s="186">
        <v>2646944.0</v>
      </c>
      <c r="H131" s="186">
        <v>3000000.0</v>
      </c>
      <c r="I131" s="186">
        <v>1022739.52</v>
      </c>
      <c r="J131" s="186">
        <v>0.0</v>
      </c>
      <c r="K131" s="186">
        <v>882987.0</v>
      </c>
      <c r="L131" s="187">
        <v>0.3409131733333333</v>
      </c>
      <c r="M131" s="188">
        <v>57.0</v>
      </c>
      <c r="N131" s="188">
        <v>55.0</v>
      </c>
      <c r="O131" s="188">
        <v>4.0</v>
      </c>
      <c r="P131" s="188">
        <v>61.0</v>
      </c>
      <c r="Q131" s="188">
        <v>6.0</v>
      </c>
      <c r="R131" s="188">
        <v>43.0</v>
      </c>
      <c r="S131" s="188">
        <v>0.0</v>
      </c>
      <c r="T131" s="188">
        <v>4.0</v>
      </c>
      <c r="U131" s="188">
        <v>60.0</v>
      </c>
      <c r="V131" s="188">
        <v>85.0</v>
      </c>
      <c r="W131" s="188">
        <v>35.0</v>
      </c>
      <c r="X131" s="188">
        <v>0.0</v>
      </c>
      <c r="Y131" s="188">
        <v>0.0</v>
      </c>
      <c r="Z131" s="188">
        <v>209.0</v>
      </c>
      <c r="AA131" s="188">
        <v>329.0</v>
      </c>
      <c r="AB131" s="188">
        <v>72.0</v>
      </c>
      <c r="AC131" s="186">
        <v>14204.715555555556</v>
      </c>
      <c r="AD131" s="189">
        <v>2.9027777777777777</v>
      </c>
      <c r="AE131" s="186">
        <v>127425.0</v>
      </c>
      <c r="AF131" s="186">
        <v>25450.0</v>
      </c>
      <c r="AG131" s="187">
        <v>0.1494759877862156</v>
      </c>
      <c r="AH131" s="186">
        <v>23784.64</v>
      </c>
      <c r="AI131" s="258">
        <v>84.0</v>
      </c>
      <c r="AJ131" s="258">
        <v>659.0</v>
      </c>
      <c r="AK131" s="258">
        <v>5642.51</v>
      </c>
      <c r="AL131" s="258">
        <v>103.0</v>
      </c>
      <c r="AM131" s="260"/>
      <c r="AN131" s="260"/>
      <c r="AO131" s="192">
        <v>-139752.52000000002</v>
      </c>
    </row>
    <row r="132">
      <c r="A132" s="183" t="s">
        <v>53</v>
      </c>
      <c r="B132" s="183" t="s">
        <v>61</v>
      </c>
      <c r="C132" s="184" t="s">
        <v>373</v>
      </c>
      <c r="D132" s="75" t="s">
        <v>374</v>
      </c>
      <c r="E132" s="256">
        <v>45488.0</v>
      </c>
      <c r="F132" s="75" t="s">
        <v>1098</v>
      </c>
      <c r="G132" s="186">
        <v>442567.0</v>
      </c>
      <c r="H132" s="186">
        <v>4500000.0</v>
      </c>
      <c r="I132" s="186">
        <v>477497.83</v>
      </c>
      <c r="J132" s="186">
        <v>0.0</v>
      </c>
      <c r="K132" s="186">
        <v>0.0</v>
      </c>
      <c r="L132" s="187">
        <v>0.10611062888888889</v>
      </c>
      <c r="M132" s="188">
        <v>91.0</v>
      </c>
      <c r="N132" s="188">
        <v>66.0</v>
      </c>
      <c r="O132" s="188">
        <v>7.0</v>
      </c>
      <c r="P132" s="188">
        <v>98.0</v>
      </c>
      <c r="Q132" s="188">
        <v>32.0</v>
      </c>
      <c r="R132" s="188">
        <v>22.0</v>
      </c>
      <c r="S132" s="188">
        <v>0.0</v>
      </c>
      <c r="T132" s="188">
        <v>5.0</v>
      </c>
      <c r="U132" s="188">
        <v>173.0</v>
      </c>
      <c r="V132" s="188">
        <v>244.0</v>
      </c>
      <c r="W132" s="188">
        <v>33.0</v>
      </c>
      <c r="X132" s="188">
        <v>0.0</v>
      </c>
      <c r="Y132" s="188">
        <v>27.0</v>
      </c>
      <c r="Z132" s="188">
        <v>159.0</v>
      </c>
      <c r="AA132" s="188">
        <v>463.0</v>
      </c>
      <c r="AB132" s="188">
        <v>75.0</v>
      </c>
      <c r="AC132" s="186">
        <v>6366.637733333334</v>
      </c>
      <c r="AD132" s="189">
        <v>2.12</v>
      </c>
      <c r="AE132" s="186">
        <v>97500.0</v>
      </c>
      <c r="AF132" s="186">
        <v>17768.0</v>
      </c>
      <c r="AG132" s="187">
        <v>0.24140004992273995</v>
      </c>
      <c r="AH132" s="186">
        <v>21704.44681818182</v>
      </c>
      <c r="AI132" s="258">
        <v>36.0</v>
      </c>
      <c r="AJ132" s="258">
        <v>792.0</v>
      </c>
      <c r="AK132" s="258">
        <v>6496.32</v>
      </c>
      <c r="AL132" s="258">
        <v>98.0</v>
      </c>
      <c r="AM132" s="260"/>
      <c r="AN132" s="260"/>
      <c r="AO132" s="192">
        <v>-477497.83</v>
      </c>
    </row>
    <row r="133">
      <c r="A133" s="183" t="s">
        <v>97</v>
      </c>
      <c r="B133" s="183" t="s">
        <v>101</v>
      </c>
      <c r="C133" s="184" t="s">
        <v>102</v>
      </c>
      <c r="D133" s="75" t="s">
        <v>103</v>
      </c>
      <c r="E133" s="256">
        <v>45488.0</v>
      </c>
      <c r="F133" s="75" t="s">
        <v>1062</v>
      </c>
      <c r="G133" s="186">
        <v>4785530.0</v>
      </c>
      <c r="H133" s="186">
        <v>3039600.0</v>
      </c>
      <c r="I133" s="186">
        <v>1889067.0</v>
      </c>
      <c r="J133" s="186">
        <v>0.0</v>
      </c>
      <c r="K133" s="186">
        <v>2264411.0</v>
      </c>
      <c r="L133" s="187">
        <v>0.621485392814844</v>
      </c>
      <c r="M133" s="188">
        <v>101.0</v>
      </c>
      <c r="N133" s="188">
        <v>102.0</v>
      </c>
      <c r="O133" s="188">
        <v>6.0</v>
      </c>
      <c r="P133" s="188">
        <v>107.0</v>
      </c>
      <c r="Q133" s="188">
        <v>5.0</v>
      </c>
      <c r="R133" s="188">
        <v>60.0</v>
      </c>
      <c r="S133" s="188">
        <v>0.0</v>
      </c>
      <c r="T133" s="188">
        <v>6.0</v>
      </c>
      <c r="U133" s="188">
        <v>16.0</v>
      </c>
      <c r="V133" s="188">
        <v>32.0</v>
      </c>
      <c r="W133" s="188">
        <v>16.0</v>
      </c>
      <c r="X133" s="188">
        <v>0.0</v>
      </c>
      <c r="Y133" s="188">
        <v>0.0</v>
      </c>
      <c r="Z133" s="188">
        <v>480.0</v>
      </c>
      <c r="AA133" s="188">
        <v>528.0</v>
      </c>
      <c r="AB133" s="188">
        <v>70.0</v>
      </c>
      <c r="AC133" s="186">
        <v>26986.67142857143</v>
      </c>
      <c r="AD133" s="189">
        <v>6.857142857142857</v>
      </c>
      <c r="AE133" s="186">
        <v>60000.0</v>
      </c>
      <c r="AF133" s="186">
        <v>19950.0</v>
      </c>
      <c r="AG133" s="187">
        <v>0.04232247982734334</v>
      </c>
      <c r="AH133" s="186">
        <v>31484.45</v>
      </c>
      <c r="AI133" s="258">
        <v>156.0</v>
      </c>
      <c r="AJ133" s="258">
        <v>646.0</v>
      </c>
      <c r="AK133" s="258">
        <v>5138.71</v>
      </c>
      <c r="AL133" s="258">
        <v>50.0</v>
      </c>
      <c r="AM133" s="260"/>
      <c r="AN133" s="260"/>
      <c r="AO133" s="192">
        <v>375344.0</v>
      </c>
    </row>
    <row r="134">
      <c r="A134" s="183" t="s">
        <v>185</v>
      </c>
      <c r="B134" s="183" t="s">
        <v>212</v>
      </c>
      <c r="C134" s="184" t="s">
        <v>839</v>
      </c>
      <c r="D134" s="75" t="s">
        <v>417</v>
      </c>
      <c r="E134" s="256">
        <v>45488.0</v>
      </c>
      <c r="F134" s="75" t="s">
        <v>1031</v>
      </c>
      <c r="G134" s="186">
        <v>5701215.6</v>
      </c>
      <c r="H134" s="186">
        <v>4500000.0</v>
      </c>
      <c r="I134" s="186">
        <v>1211438.72</v>
      </c>
      <c r="J134" s="186">
        <v>0.0</v>
      </c>
      <c r="K134" s="186">
        <v>1324996.62</v>
      </c>
      <c r="L134" s="187">
        <v>0.26920860444444444</v>
      </c>
      <c r="M134" s="188">
        <v>44.0</v>
      </c>
      <c r="N134" s="188">
        <v>49.0</v>
      </c>
      <c r="O134" s="188">
        <v>8.0</v>
      </c>
      <c r="P134" s="188">
        <v>52.0</v>
      </c>
      <c r="Q134" s="188">
        <v>3.0</v>
      </c>
      <c r="R134" s="188">
        <v>19.0</v>
      </c>
      <c r="S134" s="188">
        <v>0.0</v>
      </c>
      <c r="T134" s="188">
        <v>8.0</v>
      </c>
      <c r="U134" s="188">
        <v>7.0</v>
      </c>
      <c r="V134" s="188">
        <v>8.0</v>
      </c>
      <c r="W134" s="188">
        <v>35.0</v>
      </c>
      <c r="X134" s="188">
        <v>0.0</v>
      </c>
      <c r="Y134" s="188">
        <v>0.0</v>
      </c>
      <c r="Z134" s="188">
        <v>139.0</v>
      </c>
      <c r="AA134" s="188">
        <v>182.0</v>
      </c>
      <c r="AB134" s="188">
        <v>68.0</v>
      </c>
      <c r="AC134" s="186">
        <v>17815.275294117648</v>
      </c>
      <c r="AD134" s="189">
        <v>2.0441176470588234</v>
      </c>
      <c r="AE134" s="186">
        <v>92850.0</v>
      </c>
      <c r="AF134" s="186">
        <v>14578.0</v>
      </c>
      <c r="AG134" s="187">
        <v>0.08867803069725227</v>
      </c>
      <c r="AH134" s="186">
        <v>63759.932631578944</v>
      </c>
      <c r="AI134" s="258">
        <v>22.0</v>
      </c>
      <c r="AJ134" s="258">
        <v>744.0</v>
      </c>
      <c r="AK134" s="258">
        <v>4662.22</v>
      </c>
      <c r="AL134" s="258">
        <v>95.0</v>
      </c>
      <c r="AM134" s="260"/>
      <c r="AN134" s="260"/>
      <c r="AO134" s="192">
        <v>113557.90000000014</v>
      </c>
    </row>
    <row r="135">
      <c r="A135" s="183" t="s">
        <v>53</v>
      </c>
      <c r="B135" s="183" t="s">
        <v>56</v>
      </c>
      <c r="C135" s="184" t="s">
        <v>847</v>
      </c>
      <c r="D135" s="75" t="s">
        <v>1099</v>
      </c>
      <c r="E135" s="256">
        <v>45502.0</v>
      </c>
      <c r="F135" s="75" t="s">
        <v>1092</v>
      </c>
      <c r="G135" s="186">
        <v>541267.0</v>
      </c>
      <c r="H135" s="186">
        <v>4500000.0</v>
      </c>
      <c r="I135" s="186">
        <v>316190.84</v>
      </c>
      <c r="J135" s="186">
        <v>0.0</v>
      </c>
      <c r="K135" s="186">
        <v>316192.0</v>
      </c>
      <c r="L135" s="187">
        <v>0.07026463111111111</v>
      </c>
      <c r="M135" s="188">
        <v>30.0</v>
      </c>
      <c r="N135" s="188">
        <v>25.0</v>
      </c>
      <c r="O135" s="188">
        <v>1.0</v>
      </c>
      <c r="P135" s="188">
        <v>31.0</v>
      </c>
      <c r="Q135" s="188">
        <v>6.0</v>
      </c>
      <c r="R135" s="188">
        <v>8.0</v>
      </c>
      <c r="S135" s="188">
        <v>0.0</v>
      </c>
      <c r="T135" s="188">
        <v>1.0</v>
      </c>
      <c r="U135" s="188">
        <v>18.0</v>
      </c>
      <c r="V135" s="188">
        <v>36.0</v>
      </c>
      <c r="W135" s="188">
        <v>25.0</v>
      </c>
      <c r="X135" s="188">
        <v>0.0</v>
      </c>
      <c r="Y135" s="188">
        <v>0.0</v>
      </c>
      <c r="Z135" s="188">
        <v>148.0</v>
      </c>
      <c r="AA135" s="188">
        <v>209.0</v>
      </c>
      <c r="AB135" s="188">
        <v>55.0</v>
      </c>
      <c r="AC135" s="186">
        <v>5748.924363636364</v>
      </c>
      <c r="AD135" s="189">
        <v>2.690909090909091</v>
      </c>
      <c r="AE135" s="186">
        <v>140010.0</v>
      </c>
      <c r="AF135" s="186">
        <v>24185.0</v>
      </c>
      <c r="AG135" s="187">
        <v>0.5192908181653839</v>
      </c>
      <c r="AH135" s="186">
        <v>39523.855</v>
      </c>
      <c r="AI135" s="258">
        <v>15.0</v>
      </c>
      <c r="AJ135" s="258">
        <v>441.0</v>
      </c>
      <c r="AK135" s="258">
        <v>1210.48</v>
      </c>
      <c r="AL135" s="258">
        <v>48.0</v>
      </c>
      <c r="AM135" s="260"/>
      <c r="AN135" s="260"/>
      <c r="AO135" s="192">
        <v>1.1599999999743886</v>
      </c>
    </row>
    <row r="136">
      <c r="A136" s="183" t="s">
        <v>126</v>
      </c>
      <c r="B136" s="183" t="s">
        <v>130</v>
      </c>
      <c r="C136" s="184" t="s">
        <v>444</v>
      </c>
      <c r="D136" s="75" t="s">
        <v>445</v>
      </c>
      <c r="E136" s="256">
        <v>45506.0</v>
      </c>
      <c r="F136" s="75" t="s">
        <v>130</v>
      </c>
      <c r="G136" s="186">
        <v>985472.76</v>
      </c>
      <c r="H136" s="186">
        <v>3750000.0</v>
      </c>
      <c r="I136" s="186">
        <v>663566.8</v>
      </c>
      <c r="J136" s="186">
        <v>502677.91</v>
      </c>
      <c r="K136" s="186">
        <v>467734.0</v>
      </c>
      <c r="L136" s="187">
        <v>0.3380419449275362</v>
      </c>
      <c r="M136" s="188">
        <v>32.0</v>
      </c>
      <c r="N136" s="188">
        <v>27.0</v>
      </c>
      <c r="O136" s="188">
        <v>4.0</v>
      </c>
      <c r="P136" s="188">
        <v>36.0</v>
      </c>
      <c r="Q136" s="188">
        <v>9.0</v>
      </c>
      <c r="R136" s="188">
        <v>18.0</v>
      </c>
      <c r="S136" s="188">
        <v>1.0</v>
      </c>
      <c r="T136" s="188">
        <v>3.0</v>
      </c>
      <c r="U136" s="188">
        <v>26.0</v>
      </c>
      <c r="V136" s="188">
        <v>61.0</v>
      </c>
      <c r="W136" s="188">
        <v>13.0</v>
      </c>
      <c r="X136" s="188">
        <v>40.0</v>
      </c>
      <c r="Y136" s="188">
        <v>3.0</v>
      </c>
      <c r="Z136" s="188">
        <v>131.0</v>
      </c>
      <c r="AA136" s="188">
        <v>248.0</v>
      </c>
      <c r="AB136" s="188">
        <v>71.0</v>
      </c>
      <c r="AC136" s="186">
        <v>16425.981830985915</v>
      </c>
      <c r="AD136" s="189">
        <v>1.8450704225352113</v>
      </c>
      <c r="AE136" s="186">
        <v>88080.0</v>
      </c>
      <c r="AF136" s="186">
        <v>6150.0</v>
      </c>
      <c r="AG136" s="187">
        <v>0.08079779414390656</v>
      </c>
      <c r="AH136" s="186">
        <v>36864.822222222225</v>
      </c>
      <c r="AI136" s="258">
        <v>23.0</v>
      </c>
      <c r="AJ136" s="258">
        <v>740.0</v>
      </c>
      <c r="AK136" s="258">
        <v>1425.16</v>
      </c>
      <c r="AL136" s="258">
        <v>53.0</v>
      </c>
      <c r="AM136" s="260"/>
      <c r="AN136" s="260"/>
      <c r="AO136" s="192">
        <v>-698510.71</v>
      </c>
    </row>
    <row r="137">
      <c r="A137" s="183" t="s">
        <v>185</v>
      </c>
      <c r="B137" s="183" t="s">
        <v>196</v>
      </c>
      <c r="C137" s="184" t="s">
        <v>412</v>
      </c>
      <c r="D137" s="75" t="s">
        <v>209</v>
      </c>
      <c r="E137" s="256">
        <v>45516.0</v>
      </c>
      <c r="F137" s="75" t="s">
        <v>1027</v>
      </c>
      <c r="G137" s="186">
        <v>0.0</v>
      </c>
      <c r="H137" s="186">
        <v>4500000.0</v>
      </c>
      <c r="I137" s="186">
        <v>0.0</v>
      </c>
      <c r="J137" s="186">
        <v>383734.19</v>
      </c>
      <c r="K137" s="186">
        <v>383564.0</v>
      </c>
      <c r="L137" s="187">
        <v>0.08527426444444444</v>
      </c>
      <c r="M137" s="188">
        <v>13.0</v>
      </c>
      <c r="N137" s="188">
        <v>11.0</v>
      </c>
      <c r="O137" s="188">
        <v>0.0</v>
      </c>
      <c r="P137" s="188">
        <v>13.0</v>
      </c>
      <c r="Q137" s="188">
        <v>2.0</v>
      </c>
      <c r="R137" s="188">
        <v>0.0</v>
      </c>
      <c r="S137" s="188">
        <v>1.0</v>
      </c>
      <c r="T137" s="188">
        <v>0.0</v>
      </c>
      <c r="U137" s="188">
        <v>7.0</v>
      </c>
      <c r="V137" s="188">
        <v>10.0</v>
      </c>
      <c r="W137" s="188">
        <v>9.0</v>
      </c>
      <c r="X137" s="188">
        <v>17.0</v>
      </c>
      <c r="Y137" s="188">
        <v>0.0</v>
      </c>
      <c r="Z137" s="188">
        <v>124.0</v>
      </c>
      <c r="AA137" s="188">
        <v>160.0</v>
      </c>
      <c r="AB137" s="188">
        <v>57.0</v>
      </c>
      <c r="AC137" s="186">
        <v>6732.1787719298245</v>
      </c>
      <c r="AD137" s="189">
        <v>2.175438596491228</v>
      </c>
      <c r="AE137" s="186">
        <v>77100.0</v>
      </c>
      <c r="AF137" s="186"/>
      <c r="AG137" s="187">
        <v>0.20092032977306504</v>
      </c>
      <c r="AH137" s="186"/>
      <c r="AI137" s="258">
        <v>0.0</v>
      </c>
      <c r="AJ137" s="258">
        <v>396.0</v>
      </c>
      <c r="AK137" s="258">
        <v>1299.11</v>
      </c>
      <c r="AL137" s="258">
        <v>118.0</v>
      </c>
      <c r="AM137" s="260"/>
      <c r="AN137" s="260"/>
      <c r="AO137" s="192">
        <v>-170.19000000000233</v>
      </c>
    </row>
    <row r="138">
      <c r="A138" s="183" t="s">
        <v>298</v>
      </c>
      <c r="B138" s="183" t="s">
        <v>301</v>
      </c>
      <c r="C138" s="184" t="s">
        <v>314</v>
      </c>
      <c r="D138" s="75" t="s">
        <v>1100</v>
      </c>
      <c r="E138" s="256">
        <v>45516.0</v>
      </c>
      <c r="F138" s="75" t="s">
        <v>1066</v>
      </c>
      <c r="G138" s="186">
        <v>2236625.0</v>
      </c>
      <c r="H138" s="186">
        <v>3000000.0</v>
      </c>
      <c r="I138" s="186">
        <v>1073586.45</v>
      </c>
      <c r="J138" s="186">
        <v>0.0</v>
      </c>
      <c r="K138" s="186">
        <v>1100671.0</v>
      </c>
      <c r="L138" s="187">
        <v>0.35786215</v>
      </c>
      <c r="M138" s="188">
        <v>128.0</v>
      </c>
      <c r="N138" s="188">
        <v>94.0</v>
      </c>
      <c r="O138" s="188">
        <v>5.0</v>
      </c>
      <c r="P138" s="188">
        <v>133.0</v>
      </c>
      <c r="Q138" s="188">
        <v>39.0</v>
      </c>
      <c r="R138" s="188">
        <v>61.0</v>
      </c>
      <c r="S138" s="188">
        <v>0.0</v>
      </c>
      <c r="T138" s="188">
        <v>5.0</v>
      </c>
      <c r="U138" s="188">
        <v>134.0</v>
      </c>
      <c r="V138" s="188">
        <v>158.0</v>
      </c>
      <c r="W138" s="188">
        <v>11.0</v>
      </c>
      <c r="X138" s="188">
        <v>0.0</v>
      </c>
      <c r="Y138" s="188">
        <v>0.0</v>
      </c>
      <c r="Z138" s="188">
        <v>196.0</v>
      </c>
      <c r="AA138" s="188">
        <v>365.0</v>
      </c>
      <c r="AB138" s="188">
        <v>76.0</v>
      </c>
      <c r="AC138" s="186">
        <v>14126.137499999999</v>
      </c>
      <c r="AD138" s="189">
        <v>2.5789473684210527</v>
      </c>
      <c r="AE138" s="186">
        <v>81780.0</v>
      </c>
      <c r="AF138" s="186">
        <v>21144.0</v>
      </c>
      <c r="AG138" s="187">
        <v>0.09586931727761654</v>
      </c>
      <c r="AH138" s="186">
        <v>17599.77786885246</v>
      </c>
      <c r="AI138" s="258">
        <v>112.0</v>
      </c>
      <c r="AJ138" s="258">
        <v>731.0</v>
      </c>
      <c r="AK138" s="258">
        <v>4751.72</v>
      </c>
      <c r="AL138" s="258">
        <v>51.0</v>
      </c>
      <c r="AM138" s="260"/>
      <c r="AN138" s="260"/>
      <c r="AO138" s="192">
        <v>27084.550000000047</v>
      </c>
    </row>
    <row r="139">
      <c r="A139" s="183" t="s">
        <v>53</v>
      </c>
      <c r="B139" s="183" t="s">
        <v>56</v>
      </c>
      <c r="C139" s="184" t="s">
        <v>57</v>
      </c>
      <c r="D139" s="75" t="s">
        <v>58</v>
      </c>
      <c r="E139" s="256">
        <v>45518.0</v>
      </c>
      <c r="F139" s="75" t="s">
        <v>1092</v>
      </c>
      <c r="G139" s="186">
        <v>0.0</v>
      </c>
      <c r="H139" s="186">
        <v>2100000.0</v>
      </c>
      <c r="I139" s="186">
        <v>676892.04</v>
      </c>
      <c r="J139" s="186">
        <v>0.0</v>
      </c>
      <c r="K139" s="186">
        <v>175147.0</v>
      </c>
      <c r="L139" s="187">
        <v>0.3223295428571429</v>
      </c>
      <c r="M139" s="188">
        <v>67.0</v>
      </c>
      <c r="N139" s="188">
        <v>67.0</v>
      </c>
      <c r="O139" s="188">
        <v>5.0</v>
      </c>
      <c r="P139" s="188">
        <v>72.0</v>
      </c>
      <c r="Q139" s="188">
        <v>5.0</v>
      </c>
      <c r="R139" s="188">
        <v>33.0</v>
      </c>
      <c r="S139" s="188">
        <v>0.0</v>
      </c>
      <c r="T139" s="188">
        <v>5.0</v>
      </c>
      <c r="U139" s="188">
        <v>66.0</v>
      </c>
      <c r="V139" s="188">
        <v>100.0</v>
      </c>
      <c r="W139" s="188">
        <v>63.0</v>
      </c>
      <c r="X139" s="188">
        <v>0.0</v>
      </c>
      <c r="Y139" s="188">
        <v>0.0</v>
      </c>
      <c r="Z139" s="188">
        <v>361.0</v>
      </c>
      <c r="AA139" s="188">
        <v>524.0</v>
      </c>
      <c r="AB139" s="188">
        <v>71.0</v>
      </c>
      <c r="AC139" s="186">
        <v>9533.690704225353</v>
      </c>
      <c r="AD139" s="189">
        <v>5.084507042253521</v>
      </c>
      <c r="AE139" s="186">
        <v>70710.0</v>
      </c>
      <c r="AF139" s="186">
        <v>35210.0</v>
      </c>
      <c r="AG139" s="187">
        <v>0.1564799018762283</v>
      </c>
      <c r="AH139" s="186">
        <v>20511.88</v>
      </c>
      <c r="AI139" s="258">
        <v>59.0</v>
      </c>
      <c r="AJ139" s="258">
        <v>757.0</v>
      </c>
      <c r="AK139" s="258">
        <v>6126.37</v>
      </c>
      <c r="AL139" s="258">
        <v>91.0</v>
      </c>
      <c r="AM139" s="260"/>
      <c r="AN139" s="260"/>
      <c r="AO139" s="192">
        <v>-501745.04000000004</v>
      </c>
    </row>
    <row r="140">
      <c r="A140" s="183" t="s">
        <v>185</v>
      </c>
      <c r="B140" s="183" t="s">
        <v>1101</v>
      </c>
      <c r="C140" s="184" t="s">
        <v>850</v>
      </c>
      <c r="D140" s="75" t="s">
        <v>1102</v>
      </c>
      <c r="E140" s="256">
        <v>45523.0</v>
      </c>
      <c r="F140" s="75" t="s">
        <v>1101</v>
      </c>
      <c r="G140" s="186"/>
      <c r="H140" s="186">
        <v>0.0</v>
      </c>
      <c r="I140" s="186">
        <v>0.0</v>
      </c>
      <c r="J140" s="186">
        <v>0.0</v>
      </c>
      <c r="K140" s="186"/>
      <c r="L140" s="187"/>
      <c r="M140" s="188">
        <v>1.0</v>
      </c>
      <c r="N140" s="188">
        <v>1.0</v>
      </c>
      <c r="O140" s="188">
        <v>0.0</v>
      </c>
      <c r="P140" s="188">
        <v>1.0</v>
      </c>
      <c r="Q140" s="188">
        <v>0.0</v>
      </c>
      <c r="R140" s="188">
        <v>0.0</v>
      </c>
      <c r="S140" s="188">
        <v>0.0</v>
      </c>
      <c r="T140" s="188">
        <v>0.0</v>
      </c>
      <c r="U140" s="188">
        <v>35.0</v>
      </c>
      <c r="V140" s="188">
        <v>62.0</v>
      </c>
      <c r="W140" s="188">
        <v>8.0</v>
      </c>
      <c r="X140" s="188">
        <v>0.0</v>
      </c>
      <c r="Y140" s="188">
        <v>260.0</v>
      </c>
      <c r="Z140" s="188">
        <v>1.0</v>
      </c>
      <c r="AA140" s="188">
        <v>331.0</v>
      </c>
      <c r="AB140" s="188">
        <v>72.0</v>
      </c>
      <c r="AC140" s="186">
        <v>0.0</v>
      </c>
      <c r="AD140" s="189">
        <v>0.013888888888888888</v>
      </c>
      <c r="AE140" s="186">
        <v>218910.0</v>
      </c>
      <c r="AF140" s="186">
        <v>93104.0</v>
      </c>
      <c r="AG140" s="187"/>
      <c r="AH140" s="186"/>
      <c r="AI140" s="258">
        <v>0.0</v>
      </c>
      <c r="AJ140" s="258">
        <v>762.0</v>
      </c>
      <c r="AK140" s="258">
        <v>9770.58</v>
      </c>
      <c r="AL140" s="258">
        <v>9771.0</v>
      </c>
      <c r="AM140" s="260"/>
      <c r="AN140" s="260"/>
      <c r="AO140" s="192">
        <v>0.0</v>
      </c>
    </row>
    <row r="141">
      <c r="A141" s="183" t="s">
        <v>23</v>
      </c>
      <c r="B141" s="183" t="s">
        <v>27</v>
      </c>
      <c r="C141" s="184" t="s">
        <v>31</v>
      </c>
      <c r="D141" s="75" t="s">
        <v>32</v>
      </c>
      <c r="E141" s="256">
        <v>45551.0</v>
      </c>
      <c r="F141" s="75" t="s">
        <v>1103</v>
      </c>
      <c r="G141" s="186">
        <v>5386902.27</v>
      </c>
      <c r="H141" s="186">
        <v>3900000.0</v>
      </c>
      <c r="I141" s="186">
        <v>2640913.07</v>
      </c>
      <c r="J141" s="186">
        <v>0.0</v>
      </c>
      <c r="K141" s="186">
        <v>2622330.9999999995</v>
      </c>
      <c r="L141" s="187">
        <v>0.6771571974358974</v>
      </c>
      <c r="M141" s="188">
        <v>113.0</v>
      </c>
      <c r="N141" s="188">
        <v>93.0</v>
      </c>
      <c r="O141" s="188">
        <v>8.0</v>
      </c>
      <c r="P141" s="188">
        <v>121.0</v>
      </c>
      <c r="Q141" s="188">
        <v>28.0</v>
      </c>
      <c r="R141" s="188">
        <v>70.0</v>
      </c>
      <c r="S141" s="188">
        <v>0.0</v>
      </c>
      <c r="T141" s="188">
        <v>8.0</v>
      </c>
      <c r="U141" s="188">
        <v>55.0</v>
      </c>
      <c r="V141" s="188">
        <v>80.0</v>
      </c>
      <c r="W141" s="188">
        <v>40.0</v>
      </c>
      <c r="X141" s="188">
        <v>0.0</v>
      </c>
      <c r="Y141" s="188">
        <v>7.0</v>
      </c>
      <c r="Z141" s="188">
        <v>378.0</v>
      </c>
      <c r="AA141" s="188">
        <v>505.0</v>
      </c>
      <c r="AB141" s="188">
        <v>78.0</v>
      </c>
      <c r="AC141" s="186">
        <v>33857.85987179487</v>
      </c>
      <c r="AD141" s="189">
        <v>4.846153846153846</v>
      </c>
      <c r="AE141" s="186">
        <v>84930.0</v>
      </c>
      <c r="AF141" s="186">
        <v>20670.0</v>
      </c>
      <c r="AG141" s="187">
        <v>0.03998617038916771</v>
      </c>
      <c r="AH141" s="186">
        <v>37727.32957142857</v>
      </c>
      <c r="AI141" s="258">
        <v>145.0</v>
      </c>
      <c r="AJ141" s="258">
        <v>742.0</v>
      </c>
      <c r="AK141" s="258">
        <v>1714.38</v>
      </c>
      <c r="AL141" s="258">
        <v>18.0</v>
      </c>
      <c r="AM141" s="260"/>
      <c r="AN141" s="260"/>
      <c r="AO141" s="192">
        <v>-18582.070000000298</v>
      </c>
    </row>
    <row r="142">
      <c r="A142" s="183" t="s">
        <v>23</v>
      </c>
      <c r="B142" s="183" t="s">
        <v>30</v>
      </c>
      <c r="C142" s="184" t="s">
        <v>33</v>
      </c>
      <c r="D142" s="75" t="s">
        <v>34</v>
      </c>
      <c r="E142" s="256">
        <v>45568.0</v>
      </c>
      <c r="F142" s="75" t="s">
        <v>1104</v>
      </c>
      <c r="G142" s="186">
        <v>5312043.0</v>
      </c>
      <c r="H142" s="186">
        <v>4200000.0</v>
      </c>
      <c r="I142" s="186">
        <v>2234727.07</v>
      </c>
      <c r="J142" s="186">
        <v>345080.51</v>
      </c>
      <c r="K142" s="186">
        <v>2930350.0</v>
      </c>
      <c r="L142" s="187">
        <v>0.6142399000000001</v>
      </c>
      <c r="M142" s="188">
        <v>23.0</v>
      </c>
      <c r="N142" s="188">
        <v>24.0</v>
      </c>
      <c r="O142" s="188">
        <v>1.0</v>
      </c>
      <c r="P142" s="188">
        <v>24.0</v>
      </c>
      <c r="Q142" s="188">
        <v>0.0</v>
      </c>
      <c r="R142" s="188">
        <v>18.0</v>
      </c>
      <c r="S142" s="188">
        <v>4.0</v>
      </c>
      <c r="T142" s="188">
        <v>1.0</v>
      </c>
      <c r="U142" s="188">
        <v>42.0</v>
      </c>
      <c r="V142" s="188">
        <v>81.0</v>
      </c>
      <c r="W142" s="188">
        <v>26.0</v>
      </c>
      <c r="X142" s="188">
        <v>39.0</v>
      </c>
      <c r="Y142" s="188">
        <v>0.0</v>
      </c>
      <c r="Z142" s="188">
        <v>177.0</v>
      </c>
      <c r="AA142" s="188">
        <v>323.0</v>
      </c>
      <c r="AB142" s="188">
        <v>71.0</v>
      </c>
      <c r="AC142" s="186">
        <v>36335.318028169015</v>
      </c>
      <c r="AD142" s="189">
        <v>2.492957746478873</v>
      </c>
      <c r="AE142" s="186">
        <v>91215.0</v>
      </c>
      <c r="AF142" s="186">
        <v>10198.0</v>
      </c>
      <c r="AG142" s="187">
        <v>0.0393102961578243</v>
      </c>
      <c r="AH142" s="186">
        <v>124151.50388888888</v>
      </c>
      <c r="AI142" s="258">
        <v>34.0</v>
      </c>
      <c r="AJ142" s="258">
        <v>558.0</v>
      </c>
      <c r="AK142" s="258">
        <v>3875.89</v>
      </c>
      <c r="AL142" s="258">
        <v>161.0</v>
      </c>
      <c r="AM142" s="260"/>
      <c r="AN142" s="260"/>
      <c r="AO142" s="192">
        <v>350542.4199999999</v>
      </c>
    </row>
    <row r="143">
      <c r="A143" s="183" t="s">
        <v>185</v>
      </c>
      <c r="B143" s="183" t="s">
        <v>1101</v>
      </c>
      <c r="C143" s="184" t="s">
        <v>857</v>
      </c>
      <c r="D143" s="75" t="s">
        <v>1105</v>
      </c>
      <c r="E143" s="256">
        <v>45569.0</v>
      </c>
      <c r="F143" s="75" t="s">
        <v>1101</v>
      </c>
      <c r="G143" s="186"/>
      <c r="H143" s="186">
        <v>0.0</v>
      </c>
      <c r="I143" s="186">
        <v>0.0</v>
      </c>
      <c r="J143" s="186">
        <v>0.0</v>
      </c>
      <c r="K143" s="186"/>
      <c r="L143" s="187"/>
      <c r="M143" s="188">
        <v>5.0</v>
      </c>
      <c r="N143" s="188">
        <v>4.0</v>
      </c>
      <c r="O143" s="188">
        <v>0.0</v>
      </c>
      <c r="P143" s="188">
        <v>5.0</v>
      </c>
      <c r="Q143" s="188">
        <v>1.0</v>
      </c>
      <c r="R143" s="188">
        <v>0.0</v>
      </c>
      <c r="S143" s="188">
        <v>0.0</v>
      </c>
      <c r="T143" s="188">
        <v>0.0</v>
      </c>
      <c r="U143" s="188">
        <v>34.0</v>
      </c>
      <c r="V143" s="188">
        <v>69.0</v>
      </c>
      <c r="W143" s="188">
        <v>0.0</v>
      </c>
      <c r="X143" s="188">
        <v>0.0</v>
      </c>
      <c r="Y143" s="188">
        <v>240.0</v>
      </c>
      <c r="Z143" s="188">
        <v>20.0</v>
      </c>
      <c r="AA143" s="188">
        <v>329.0</v>
      </c>
      <c r="AB143" s="188">
        <v>75.0</v>
      </c>
      <c r="AC143" s="186">
        <v>0.0</v>
      </c>
      <c r="AD143" s="189">
        <v>0.26666666666666666</v>
      </c>
      <c r="AE143" s="186">
        <v>453000.0</v>
      </c>
      <c r="AF143" s="186">
        <v>54383.0</v>
      </c>
      <c r="AG143" s="187"/>
      <c r="AH143" s="186"/>
      <c r="AI143" s="258">
        <v>0.0</v>
      </c>
      <c r="AJ143" s="258">
        <v>790.0</v>
      </c>
      <c r="AK143" s="258">
        <v>5409.35</v>
      </c>
      <c r="AL143" s="258">
        <v>1352.0</v>
      </c>
      <c r="AM143" s="260"/>
      <c r="AN143" s="260"/>
      <c r="AO143" s="192">
        <v>0.0</v>
      </c>
    </row>
    <row r="144">
      <c r="A144" s="183" t="s">
        <v>185</v>
      </c>
      <c r="B144" s="183" t="s">
        <v>1101</v>
      </c>
      <c r="C144" s="184" t="s">
        <v>858</v>
      </c>
      <c r="D144" s="75" t="s">
        <v>1106</v>
      </c>
      <c r="E144" s="256">
        <v>45569.0</v>
      </c>
      <c r="F144" s="75" t="s">
        <v>1101</v>
      </c>
      <c r="G144" s="186"/>
      <c r="H144" s="186">
        <v>0.0</v>
      </c>
      <c r="I144" s="186">
        <v>0.0</v>
      </c>
      <c r="J144" s="186">
        <v>0.0</v>
      </c>
      <c r="K144" s="186"/>
      <c r="L144" s="187"/>
      <c r="M144" s="188">
        <v>2.0</v>
      </c>
      <c r="N144" s="188">
        <v>1.0</v>
      </c>
      <c r="O144" s="188">
        <v>0.0</v>
      </c>
      <c r="P144" s="188">
        <v>2.0</v>
      </c>
      <c r="Q144" s="188">
        <v>1.0</v>
      </c>
      <c r="R144" s="188">
        <v>0.0</v>
      </c>
      <c r="S144" s="188">
        <v>0.0</v>
      </c>
      <c r="T144" s="188">
        <v>0.0</v>
      </c>
      <c r="U144" s="188">
        <v>26.0</v>
      </c>
      <c r="V144" s="188">
        <v>31.0</v>
      </c>
      <c r="W144" s="188">
        <v>0.0</v>
      </c>
      <c r="X144" s="188">
        <v>2.0</v>
      </c>
      <c r="Y144" s="188">
        <v>227.0</v>
      </c>
      <c r="Z144" s="188">
        <v>2.0</v>
      </c>
      <c r="AA144" s="188">
        <v>262.0</v>
      </c>
      <c r="AB144" s="188">
        <v>75.0</v>
      </c>
      <c r="AC144" s="186">
        <v>0.0</v>
      </c>
      <c r="AD144" s="189">
        <v>0.02666666666666667</v>
      </c>
      <c r="AE144" s="186">
        <v>459330.0</v>
      </c>
      <c r="AF144" s="186">
        <v>107123.0</v>
      </c>
      <c r="AG144" s="187"/>
      <c r="AH144" s="186"/>
      <c r="AI144" s="258">
        <v>0.0</v>
      </c>
      <c r="AJ144" s="258">
        <v>819.0</v>
      </c>
      <c r="AK144" s="258">
        <v>10809.07</v>
      </c>
      <c r="AL144" s="258">
        <v>10809.0</v>
      </c>
      <c r="AM144" s="260"/>
      <c r="AN144" s="260"/>
      <c r="AO144" s="192">
        <v>0.0</v>
      </c>
    </row>
    <row r="145">
      <c r="A145" s="183" t="s">
        <v>97</v>
      </c>
      <c r="B145" s="183" t="s">
        <v>101</v>
      </c>
      <c r="C145" s="184" t="s">
        <v>348</v>
      </c>
      <c r="D145" s="75" t="s">
        <v>349</v>
      </c>
      <c r="E145" s="256">
        <v>45597.0</v>
      </c>
      <c r="F145" s="75" t="s">
        <v>1107</v>
      </c>
      <c r="G145" s="186">
        <v>0.0</v>
      </c>
      <c r="H145" s="186">
        <v>3360000.0</v>
      </c>
      <c r="I145" s="186">
        <v>1629411.24</v>
      </c>
      <c r="J145" s="186">
        <v>0.0</v>
      </c>
      <c r="K145" s="186">
        <v>0.0</v>
      </c>
      <c r="L145" s="187">
        <v>0.48494382142857145</v>
      </c>
      <c r="M145" s="188">
        <v>90.0</v>
      </c>
      <c r="N145" s="188">
        <v>80.0</v>
      </c>
      <c r="O145" s="188">
        <v>5.0</v>
      </c>
      <c r="P145" s="188">
        <v>95.0</v>
      </c>
      <c r="Q145" s="188">
        <v>15.0</v>
      </c>
      <c r="R145" s="188">
        <v>35.0</v>
      </c>
      <c r="S145" s="188">
        <v>0.0</v>
      </c>
      <c r="T145" s="188">
        <v>2.0</v>
      </c>
      <c r="U145" s="188">
        <v>12.0</v>
      </c>
      <c r="V145" s="188">
        <v>22.0</v>
      </c>
      <c r="W145" s="188">
        <v>34.0</v>
      </c>
      <c r="X145" s="188">
        <v>0.0</v>
      </c>
      <c r="Y145" s="188">
        <v>0.0</v>
      </c>
      <c r="Z145" s="188">
        <v>399.0</v>
      </c>
      <c r="AA145" s="188">
        <v>455.0</v>
      </c>
      <c r="AB145" s="188">
        <v>69.0</v>
      </c>
      <c r="AC145" s="186">
        <v>23614.65565217391</v>
      </c>
      <c r="AD145" s="189">
        <v>5.782608695652174</v>
      </c>
      <c r="AE145" s="186">
        <v>80400.0</v>
      </c>
      <c r="AF145" s="186">
        <v>30630.0</v>
      </c>
      <c r="AG145" s="187">
        <v>0.06814117717759208</v>
      </c>
      <c r="AH145" s="186">
        <v>46554.606857142855</v>
      </c>
      <c r="AI145" s="258">
        <v>72.0</v>
      </c>
      <c r="AJ145" s="258">
        <v>689.0</v>
      </c>
      <c r="AK145" s="258">
        <v>4182.0</v>
      </c>
      <c r="AL145" s="258">
        <v>52.0</v>
      </c>
      <c r="AM145" s="260"/>
      <c r="AN145" s="260"/>
      <c r="AO145" s="192">
        <v>-1629411.24</v>
      </c>
    </row>
    <row r="146">
      <c r="A146" s="183" t="s">
        <v>126</v>
      </c>
      <c r="B146" s="183" t="s">
        <v>130</v>
      </c>
      <c r="C146" s="184" t="s">
        <v>169</v>
      </c>
      <c r="D146" s="75" t="s">
        <v>151</v>
      </c>
      <c r="E146" s="256">
        <v>45600.0</v>
      </c>
      <c r="F146" s="75" t="s">
        <v>130</v>
      </c>
      <c r="G146" s="186">
        <v>2120729.0</v>
      </c>
      <c r="H146" s="186">
        <v>6249999.0</v>
      </c>
      <c r="I146" s="186">
        <v>4656987.87</v>
      </c>
      <c r="J146" s="186">
        <v>0.0</v>
      </c>
      <c r="K146" s="186">
        <v>4669008.0</v>
      </c>
      <c r="L146" s="187">
        <v>0.7451181784189086</v>
      </c>
      <c r="M146" s="188">
        <v>99.0</v>
      </c>
      <c r="N146" s="188">
        <v>92.0</v>
      </c>
      <c r="O146" s="188">
        <v>11.0</v>
      </c>
      <c r="P146" s="188">
        <v>110.0</v>
      </c>
      <c r="Q146" s="188">
        <v>18.0</v>
      </c>
      <c r="R146" s="188">
        <v>57.0</v>
      </c>
      <c r="S146" s="188">
        <v>0.0</v>
      </c>
      <c r="T146" s="188">
        <v>9.0</v>
      </c>
      <c r="U146" s="188">
        <v>17.0</v>
      </c>
      <c r="V146" s="188">
        <v>25.0</v>
      </c>
      <c r="W146" s="188">
        <v>40.0</v>
      </c>
      <c r="X146" s="188">
        <v>0.0</v>
      </c>
      <c r="Y146" s="188">
        <v>0.0</v>
      </c>
      <c r="Z146" s="188">
        <v>288.0</v>
      </c>
      <c r="AA146" s="188">
        <v>353.0</v>
      </c>
      <c r="AB146" s="188">
        <v>75.0</v>
      </c>
      <c r="AC146" s="186">
        <v>62093.1716</v>
      </c>
      <c r="AD146" s="189">
        <v>3.84</v>
      </c>
      <c r="AE146" s="186">
        <v>155730.0</v>
      </c>
      <c r="AF146" s="186">
        <v>37895.0</v>
      </c>
      <c r="AG146" s="187">
        <v>0.04157730391511627</v>
      </c>
      <c r="AH146" s="186">
        <v>81701.54157894738</v>
      </c>
      <c r="AI146" s="258">
        <v>83.0</v>
      </c>
      <c r="AJ146" s="258">
        <v>608.0</v>
      </c>
      <c r="AK146" s="258">
        <v>5979.17</v>
      </c>
      <c r="AL146" s="258">
        <v>65.0</v>
      </c>
      <c r="AM146" s="260"/>
      <c r="AN146" s="260"/>
      <c r="AO146" s="192">
        <v>12020.129999999888</v>
      </c>
    </row>
    <row r="147">
      <c r="A147" s="183" t="s">
        <v>126</v>
      </c>
      <c r="B147" s="183" t="s">
        <v>130</v>
      </c>
      <c r="C147" s="184" t="s">
        <v>170</v>
      </c>
      <c r="D147" s="75" t="s">
        <v>151</v>
      </c>
      <c r="E147" s="256">
        <v>45607.0</v>
      </c>
      <c r="F147" s="75" t="s">
        <v>130</v>
      </c>
      <c r="G147" s="186">
        <v>2524674.0</v>
      </c>
      <c r="H147" s="186">
        <v>5499999.0</v>
      </c>
      <c r="I147" s="186">
        <v>1724454.46</v>
      </c>
      <c r="J147" s="186">
        <v>0.0</v>
      </c>
      <c r="K147" s="186">
        <v>1816265.0</v>
      </c>
      <c r="L147" s="187">
        <v>0.3135372315522239</v>
      </c>
      <c r="M147" s="188">
        <v>89.0</v>
      </c>
      <c r="N147" s="188">
        <v>88.0</v>
      </c>
      <c r="O147" s="188">
        <v>9.0</v>
      </c>
      <c r="P147" s="188">
        <v>98.0</v>
      </c>
      <c r="Q147" s="188">
        <v>10.0</v>
      </c>
      <c r="R147" s="188">
        <v>29.0</v>
      </c>
      <c r="S147" s="188">
        <v>0.0</v>
      </c>
      <c r="T147" s="188">
        <v>6.0</v>
      </c>
      <c r="U147" s="188">
        <v>54.0</v>
      </c>
      <c r="V147" s="188">
        <v>83.0</v>
      </c>
      <c r="W147" s="188">
        <v>56.0</v>
      </c>
      <c r="X147" s="188">
        <v>0.0</v>
      </c>
      <c r="Y147" s="188">
        <v>0.0</v>
      </c>
      <c r="Z147" s="188">
        <v>376.0</v>
      </c>
      <c r="AA147" s="188">
        <v>515.0</v>
      </c>
      <c r="AB147" s="188">
        <v>75.0</v>
      </c>
      <c r="AC147" s="186">
        <v>22992.726133333334</v>
      </c>
      <c r="AD147" s="189">
        <v>5.013333333333334</v>
      </c>
      <c r="AE147" s="186">
        <v>99150.0</v>
      </c>
      <c r="AF147" s="186">
        <v>13660.0</v>
      </c>
      <c r="AG147" s="187">
        <v>0.06541779015724196</v>
      </c>
      <c r="AH147" s="186">
        <v>59463.94689655172</v>
      </c>
      <c r="AI147" s="258">
        <v>61.0</v>
      </c>
      <c r="AJ147" s="258">
        <v>647.0</v>
      </c>
      <c r="AK147" s="258">
        <v>3231.46</v>
      </c>
      <c r="AL147" s="258">
        <v>37.0</v>
      </c>
      <c r="AM147" s="260"/>
      <c r="AN147" s="260"/>
      <c r="AO147" s="192">
        <v>91810.54000000004</v>
      </c>
    </row>
    <row r="148">
      <c r="A148" s="183" t="s">
        <v>185</v>
      </c>
      <c r="B148" s="183" t="s">
        <v>189</v>
      </c>
      <c r="C148" s="184" t="s">
        <v>418</v>
      </c>
      <c r="D148" s="75" t="s">
        <v>419</v>
      </c>
      <c r="E148" s="256">
        <v>45614.0</v>
      </c>
      <c r="F148" s="75" t="s">
        <v>1108</v>
      </c>
      <c r="G148" s="186">
        <v>322722.0</v>
      </c>
      <c r="H148" s="186">
        <v>0.0</v>
      </c>
      <c r="I148" s="186">
        <v>869582.06</v>
      </c>
      <c r="J148" s="186">
        <v>0.0</v>
      </c>
      <c r="K148" s="186">
        <v>0.0</v>
      </c>
      <c r="L148" s="187"/>
      <c r="M148" s="188">
        <v>51.0</v>
      </c>
      <c r="N148" s="188">
        <v>54.0</v>
      </c>
      <c r="O148" s="188">
        <v>15.0</v>
      </c>
      <c r="P148" s="188">
        <v>66.0</v>
      </c>
      <c r="Q148" s="188">
        <v>12.0</v>
      </c>
      <c r="R148" s="188">
        <v>30.0</v>
      </c>
      <c r="S148" s="188">
        <v>0.0</v>
      </c>
      <c r="T148" s="188">
        <v>15.0</v>
      </c>
      <c r="U148" s="188">
        <v>62.0</v>
      </c>
      <c r="V148" s="188">
        <v>88.0</v>
      </c>
      <c r="W148" s="188">
        <v>54.0</v>
      </c>
      <c r="X148" s="188">
        <v>0.0</v>
      </c>
      <c r="Y148" s="188">
        <v>14.0</v>
      </c>
      <c r="Z148" s="188">
        <v>237.0</v>
      </c>
      <c r="AA148" s="188">
        <v>393.0</v>
      </c>
      <c r="AB148" s="188">
        <v>74.0</v>
      </c>
      <c r="AC148" s="186">
        <v>11751.108918918919</v>
      </c>
      <c r="AD148" s="189">
        <v>3.2027027027027026</v>
      </c>
      <c r="AE148" s="186">
        <v>140010.0</v>
      </c>
      <c r="AF148" s="186">
        <v>39287.0</v>
      </c>
      <c r="AG148" s="187">
        <v>0.20618755635322097</v>
      </c>
      <c r="AH148" s="186">
        <v>28986.06866666667</v>
      </c>
      <c r="AI148" s="258">
        <v>52.0</v>
      </c>
      <c r="AJ148" s="258">
        <v>747.0</v>
      </c>
      <c r="AK148" s="258">
        <v>3249.96</v>
      </c>
      <c r="AL148" s="258">
        <v>60.0</v>
      </c>
      <c r="AM148" s="260"/>
      <c r="AN148" s="260"/>
      <c r="AO148" s="192">
        <v>-869582.06</v>
      </c>
    </row>
    <row r="149">
      <c r="A149" s="183" t="s">
        <v>185</v>
      </c>
      <c r="B149" s="183" t="s">
        <v>212</v>
      </c>
      <c r="C149" s="184" t="s">
        <v>273</v>
      </c>
      <c r="D149" s="75" t="s">
        <v>274</v>
      </c>
      <c r="E149" s="256">
        <v>45628.0</v>
      </c>
      <c r="F149" s="75" t="s">
        <v>1031</v>
      </c>
      <c r="G149" s="186">
        <v>3867360.0</v>
      </c>
      <c r="H149" s="186">
        <v>4500000.0</v>
      </c>
      <c r="I149" s="186">
        <v>2456024.51</v>
      </c>
      <c r="J149" s="186">
        <v>0.0</v>
      </c>
      <c r="K149" s="186">
        <v>3299433.0</v>
      </c>
      <c r="L149" s="187">
        <v>0.5457832244444444</v>
      </c>
      <c r="M149" s="188">
        <v>68.0</v>
      </c>
      <c r="N149" s="188">
        <v>65.0</v>
      </c>
      <c r="O149" s="188">
        <v>5.0</v>
      </c>
      <c r="P149" s="188">
        <v>73.0</v>
      </c>
      <c r="Q149" s="188">
        <v>8.0</v>
      </c>
      <c r="R149" s="188">
        <v>32.0</v>
      </c>
      <c r="S149" s="188">
        <v>0.0</v>
      </c>
      <c r="T149" s="188">
        <v>5.0</v>
      </c>
      <c r="U149" s="188">
        <v>63.0</v>
      </c>
      <c r="V149" s="188">
        <v>97.0</v>
      </c>
      <c r="W149" s="188">
        <v>17.0</v>
      </c>
      <c r="X149" s="188">
        <v>0.0</v>
      </c>
      <c r="Y149" s="188">
        <v>0.0</v>
      </c>
      <c r="Z149" s="188">
        <v>294.0</v>
      </c>
      <c r="AA149" s="188">
        <v>408.0</v>
      </c>
      <c r="AB149" s="188">
        <v>71.0</v>
      </c>
      <c r="AC149" s="186">
        <v>34591.89450704225</v>
      </c>
      <c r="AD149" s="189">
        <v>4.140845070422535</v>
      </c>
      <c r="AE149" s="186">
        <v>80265.0</v>
      </c>
      <c r="AF149" s="186">
        <v>14693.0</v>
      </c>
      <c r="AG149" s="187">
        <v>0.0386632949359288</v>
      </c>
      <c r="AH149" s="186">
        <v>76750.7659375</v>
      </c>
      <c r="AI149" s="258">
        <v>48.0</v>
      </c>
      <c r="AJ149" s="258">
        <v>759.0</v>
      </c>
      <c r="AK149" s="258">
        <v>4034.15</v>
      </c>
      <c r="AL149" s="258">
        <v>62.0</v>
      </c>
      <c r="AM149" s="260"/>
      <c r="AN149" s="260"/>
      <c r="AO149" s="192">
        <v>843408.4900000002</v>
      </c>
    </row>
    <row r="150">
      <c r="A150" s="183" t="s">
        <v>185</v>
      </c>
      <c r="B150" s="183" t="s">
        <v>85</v>
      </c>
      <c r="C150" s="184" t="s">
        <v>90</v>
      </c>
      <c r="D150" s="75" t="s">
        <v>91</v>
      </c>
      <c r="E150" s="256">
        <v>45635.0</v>
      </c>
      <c r="F150" s="75" t="s">
        <v>1058</v>
      </c>
      <c r="G150" s="186">
        <v>1158936.1400000001</v>
      </c>
      <c r="H150" s="186">
        <v>3750000.0</v>
      </c>
      <c r="I150" s="186">
        <v>1691427.55</v>
      </c>
      <c r="J150" s="186">
        <v>0.0</v>
      </c>
      <c r="K150" s="186">
        <v>1780818.6</v>
      </c>
      <c r="L150" s="187">
        <v>0.4510473466666667</v>
      </c>
      <c r="M150" s="188">
        <v>73.0</v>
      </c>
      <c r="N150" s="188">
        <v>75.0</v>
      </c>
      <c r="O150" s="188">
        <v>10.0</v>
      </c>
      <c r="P150" s="188">
        <v>83.0</v>
      </c>
      <c r="Q150" s="188">
        <v>8.0</v>
      </c>
      <c r="R150" s="188">
        <v>43.0</v>
      </c>
      <c r="S150" s="188">
        <v>0.0</v>
      </c>
      <c r="T150" s="188">
        <v>10.0</v>
      </c>
      <c r="U150" s="188">
        <v>28.0</v>
      </c>
      <c r="V150" s="188">
        <v>40.0</v>
      </c>
      <c r="W150" s="188">
        <v>33.0</v>
      </c>
      <c r="X150" s="188">
        <v>15.0</v>
      </c>
      <c r="Y150" s="188">
        <v>18.0</v>
      </c>
      <c r="Z150" s="188">
        <v>342.0</v>
      </c>
      <c r="AA150" s="188">
        <v>448.0</v>
      </c>
      <c r="AB150" s="188">
        <v>73.0</v>
      </c>
      <c r="AC150" s="186">
        <v>23170.240410958904</v>
      </c>
      <c r="AD150" s="189">
        <v>4.684931506849315</v>
      </c>
      <c r="AE150" s="186">
        <v>108570.0</v>
      </c>
      <c r="AF150" s="186">
        <v>32261.0</v>
      </c>
      <c r="AG150" s="187">
        <v>0.08326162122640134</v>
      </c>
      <c r="AH150" s="186">
        <v>39335.524418604655</v>
      </c>
      <c r="AI150" s="258">
        <v>92.0</v>
      </c>
      <c r="AJ150" s="258">
        <v>856.0</v>
      </c>
      <c r="AK150" s="258">
        <v>7554.07</v>
      </c>
      <c r="AL150" s="258">
        <v>101.0</v>
      </c>
      <c r="AM150" s="260"/>
      <c r="AN150" s="260"/>
      <c r="AO150" s="192">
        <v>89391.05000000005</v>
      </c>
    </row>
    <row r="151">
      <c r="A151" s="494" t="s">
        <v>185</v>
      </c>
      <c r="B151" s="183" t="s">
        <v>1228</v>
      </c>
      <c r="C151" s="184" t="s">
        <v>124</v>
      </c>
      <c r="D151" s="75" t="s">
        <v>125</v>
      </c>
      <c r="E151" s="256">
        <v>45636.0</v>
      </c>
      <c r="F151" s="75" t="s">
        <v>1051</v>
      </c>
      <c r="G151" s="186">
        <v>2196264.0</v>
      </c>
      <c r="H151" s="186">
        <v>6375000.0</v>
      </c>
      <c r="I151" s="186">
        <v>4106921.33</v>
      </c>
      <c r="J151" s="186">
        <v>0.0</v>
      </c>
      <c r="K151" s="186">
        <v>3151018.0</v>
      </c>
      <c r="L151" s="187">
        <v>0.6442229537254902</v>
      </c>
      <c r="M151" s="188">
        <v>92.0</v>
      </c>
      <c r="N151" s="188">
        <v>109.0</v>
      </c>
      <c r="O151" s="188">
        <v>35.0</v>
      </c>
      <c r="P151" s="188">
        <v>127.0</v>
      </c>
      <c r="Q151" s="188">
        <v>18.0</v>
      </c>
      <c r="R151" s="188">
        <v>82.0</v>
      </c>
      <c r="S151" s="188">
        <v>0.0</v>
      </c>
      <c r="T151" s="188">
        <v>35.0</v>
      </c>
      <c r="U151" s="188">
        <v>167.0</v>
      </c>
      <c r="V151" s="188">
        <v>313.0</v>
      </c>
      <c r="W151" s="188">
        <v>18.0</v>
      </c>
      <c r="X151" s="188">
        <v>0.0</v>
      </c>
      <c r="Y151" s="188">
        <v>12.0</v>
      </c>
      <c r="Z151" s="188">
        <v>294.0</v>
      </c>
      <c r="AA151" s="188">
        <v>637.0</v>
      </c>
      <c r="AB151" s="188">
        <v>74.0</v>
      </c>
      <c r="AC151" s="186">
        <v>55498.93689189189</v>
      </c>
      <c r="AD151" s="189">
        <v>3.972972972972973</v>
      </c>
      <c r="AE151" s="186">
        <v>155700.0</v>
      </c>
      <c r="AF151" s="186">
        <v>28770.0</v>
      </c>
      <c r="AG151" s="187">
        <v>0.0449168574651027</v>
      </c>
      <c r="AH151" s="186">
        <v>50084.406463414634</v>
      </c>
      <c r="AI151" s="258">
        <v>140.0</v>
      </c>
      <c r="AJ151" s="258">
        <v>908.0</v>
      </c>
      <c r="AK151" s="258">
        <v>5278.81</v>
      </c>
      <c r="AL151" s="258">
        <v>48.0</v>
      </c>
      <c r="AM151" s="260"/>
      <c r="AN151" s="260"/>
      <c r="AO151" s="192">
        <v>-955903.3300000001</v>
      </c>
    </row>
    <row r="152">
      <c r="A152" s="183" t="s">
        <v>185</v>
      </c>
      <c r="B152" s="183" t="s">
        <v>189</v>
      </c>
      <c r="C152" s="184" t="s">
        <v>275</v>
      </c>
      <c r="D152" s="75" t="s">
        <v>276</v>
      </c>
      <c r="E152" s="256">
        <v>45637.0</v>
      </c>
      <c r="F152" s="75" t="s">
        <v>1016</v>
      </c>
      <c r="G152" s="186">
        <v>2407183.0</v>
      </c>
      <c r="H152" s="186">
        <v>1.275E7</v>
      </c>
      <c r="I152" s="186">
        <v>9444854.24</v>
      </c>
      <c r="J152" s="186">
        <v>0.0</v>
      </c>
      <c r="K152" s="186">
        <v>8530725.0</v>
      </c>
      <c r="L152" s="187">
        <v>0.7407728815686274</v>
      </c>
      <c r="M152" s="188">
        <v>79.0</v>
      </c>
      <c r="N152" s="188">
        <v>82.0</v>
      </c>
      <c r="O152" s="188">
        <v>5.0</v>
      </c>
      <c r="P152" s="188">
        <v>84.0</v>
      </c>
      <c r="Q152" s="188">
        <v>2.0</v>
      </c>
      <c r="R152" s="188">
        <v>46.0</v>
      </c>
      <c r="S152" s="188">
        <v>0.0</v>
      </c>
      <c r="T152" s="188">
        <v>5.0</v>
      </c>
      <c r="U152" s="188">
        <v>19.0</v>
      </c>
      <c r="V152" s="188">
        <v>26.0</v>
      </c>
      <c r="W152" s="188">
        <v>9.0</v>
      </c>
      <c r="X152" s="188">
        <v>0.0</v>
      </c>
      <c r="Y152" s="188">
        <v>0.0</v>
      </c>
      <c r="Z152" s="188">
        <v>344.0</v>
      </c>
      <c r="AA152" s="188">
        <v>379.0</v>
      </c>
      <c r="AB152" s="188">
        <v>76.0</v>
      </c>
      <c r="AC152" s="186">
        <v>124274.39789473685</v>
      </c>
      <c r="AD152" s="189">
        <v>4.526315789473684</v>
      </c>
      <c r="AE152" s="186">
        <v>102270.0</v>
      </c>
      <c r="AF152" s="186">
        <v>22238.0</v>
      </c>
      <c r="AG152" s="187">
        <v>0.01318262800422</v>
      </c>
      <c r="AH152" s="186">
        <v>205322.91826086957</v>
      </c>
      <c r="AI152" s="258">
        <v>84.0</v>
      </c>
      <c r="AJ152" s="258">
        <v>815.0</v>
      </c>
      <c r="AK152" s="258">
        <v>6651.47</v>
      </c>
      <c r="AL152" s="258">
        <v>81.0</v>
      </c>
      <c r="AM152" s="260"/>
      <c r="AN152" s="260"/>
      <c r="AO152" s="192">
        <v>-914129.2400000002</v>
      </c>
    </row>
    <row r="153">
      <c r="A153" s="183" t="s">
        <v>322</v>
      </c>
      <c r="B153" s="183" t="s">
        <v>325</v>
      </c>
      <c r="C153" s="184" t="s">
        <v>326</v>
      </c>
      <c r="D153" s="75" t="s">
        <v>327</v>
      </c>
      <c r="E153" s="256">
        <v>45638.0</v>
      </c>
      <c r="F153" s="75" t="s">
        <v>1049</v>
      </c>
      <c r="G153" s="186">
        <v>0.0</v>
      </c>
      <c r="H153" s="186">
        <v>3125001.0</v>
      </c>
      <c r="I153" s="186">
        <v>1.0</v>
      </c>
      <c r="J153" s="186">
        <v>0.0</v>
      </c>
      <c r="K153" s="186">
        <v>0.0</v>
      </c>
      <c r="L153" s="187">
        <v>3.1999989760003274E-7</v>
      </c>
      <c r="M153" s="188">
        <v>97.0</v>
      </c>
      <c r="N153" s="188">
        <v>3.0</v>
      </c>
      <c r="O153" s="188">
        <v>0.0</v>
      </c>
      <c r="P153" s="188">
        <v>97.0</v>
      </c>
      <c r="Q153" s="188">
        <v>94.0</v>
      </c>
      <c r="R153" s="188">
        <v>0.0</v>
      </c>
      <c r="S153" s="188">
        <v>0.0</v>
      </c>
      <c r="T153" s="188">
        <v>0.0</v>
      </c>
      <c r="U153" s="188">
        <v>86.0</v>
      </c>
      <c r="V153" s="188">
        <v>161.0</v>
      </c>
      <c r="W153" s="188">
        <v>7.0</v>
      </c>
      <c r="X153" s="188">
        <v>0.0</v>
      </c>
      <c r="Y153" s="188">
        <v>0.0</v>
      </c>
      <c r="Z153" s="188">
        <v>6.0</v>
      </c>
      <c r="AA153" s="188">
        <v>174.0</v>
      </c>
      <c r="AB153" s="188">
        <v>74.0</v>
      </c>
      <c r="AC153" s="186">
        <v>0.013513513513513514</v>
      </c>
      <c r="AD153" s="189">
        <v>0.08108108108108109</v>
      </c>
      <c r="AE153" s="186">
        <v>143160.0</v>
      </c>
      <c r="AF153" s="186">
        <v>24562.0</v>
      </c>
      <c r="AG153" s="187">
        <v>167722.0</v>
      </c>
      <c r="AH153" s="186"/>
      <c r="AI153" s="258">
        <v>0.0</v>
      </c>
      <c r="AJ153" s="258">
        <v>869.0</v>
      </c>
      <c r="AK153" s="258">
        <v>3558.91</v>
      </c>
      <c r="AL153" s="258">
        <v>1186.0</v>
      </c>
      <c r="AM153" s="260"/>
      <c r="AN153" s="260"/>
      <c r="AO153" s="192">
        <v>-1.0</v>
      </c>
    </row>
    <row r="154">
      <c r="A154" s="183" t="s">
        <v>126</v>
      </c>
      <c r="B154" s="183" t="s">
        <v>130</v>
      </c>
      <c r="C154" s="184" t="s">
        <v>446</v>
      </c>
      <c r="D154" s="75" t="s">
        <v>129</v>
      </c>
      <c r="E154" s="256">
        <v>45639.0</v>
      </c>
      <c r="F154" s="75" t="s">
        <v>130</v>
      </c>
      <c r="G154" s="186">
        <v>2332678.0</v>
      </c>
      <c r="H154" s="186">
        <v>5375001.0</v>
      </c>
      <c r="I154" s="186">
        <v>2405011.39</v>
      </c>
      <c r="J154" s="186">
        <v>0.0</v>
      </c>
      <c r="K154" s="186">
        <v>2316202.0</v>
      </c>
      <c r="L154" s="187">
        <v>0.4474438962895077</v>
      </c>
      <c r="M154" s="188">
        <v>40.0</v>
      </c>
      <c r="N154" s="188">
        <v>43.0</v>
      </c>
      <c r="O154" s="188">
        <v>11.0</v>
      </c>
      <c r="P154" s="188">
        <v>51.0</v>
      </c>
      <c r="Q154" s="188">
        <v>8.0</v>
      </c>
      <c r="R154" s="188">
        <v>36.0</v>
      </c>
      <c r="S154" s="188">
        <v>0.0</v>
      </c>
      <c r="T154" s="188">
        <v>10.0</v>
      </c>
      <c r="U154" s="188">
        <v>67.0</v>
      </c>
      <c r="V154" s="188">
        <v>109.0</v>
      </c>
      <c r="W154" s="188">
        <v>52.0</v>
      </c>
      <c r="X154" s="188">
        <v>0.0</v>
      </c>
      <c r="Y154" s="188">
        <v>0.0</v>
      </c>
      <c r="Z154" s="188">
        <v>229.0</v>
      </c>
      <c r="AA154" s="188">
        <v>390.0</v>
      </c>
      <c r="AB154" s="188">
        <v>70.0</v>
      </c>
      <c r="AC154" s="186">
        <v>34357.30557142857</v>
      </c>
      <c r="AD154" s="189">
        <v>3.2714285714285714</v>
      </c>
      <c r="AE154" s="186">
        <v>105420.0</v>
      </c>
      <c r="AF154" s="186">
        <v>14765.0</v>
      </c>
      <c r="AG154" s="187">
        <v>0.04997273630375613</v>
      </c>
      <c r="AH154" s="186">
        <v>66805.87194444444</v>
      </c>
      <c r="AI154" s="258">
        <v>61.0</v>
      </c>
      <c r="AJ154" s="258">
        <v>581.0</v>
      </c>
      <c r="AK154" s="258">
        <v>2027.14</v>
      </c>
      <c r="AL154" s="258">
        <v>47.0</v>
      </c>
      <c r="AM154" s="260"/>
      <c r="AN154" s="260"/>
      <c r="AO154" s="192">
        <v>-88809.39000000013</v>
      </c>
    </row>
    <row r="155">
      <c r="A155" s="183" t="s">
        <v>185</v>
      </c>
      <c r="B155" s="183" t="s">
        <v>215</v>
      </c>
      <c r="C155" s="184" t="s">
        <v>277</v>
      </c>
      <c r="D155" s="75" t="s">
        <v>278</v>
      </c>
      <c r="E155" s="256">
        <v>45639.0</v>
      </c>
      <c r="F155" s="75" t="s">
        <v>1064</v>
      </c>
      <c r="G155" s="186">
        <v>0.0</v>
      </c>
      <c r="H155" s="186">
        <v>6000000.0</v>
      </c>
      <c r="I155" s="186">
        <v>3695240.07</v>
      </c>
      <c r="J155" s="186">
        <v>0.0</v>
      </c>
      <c r="K155" s="186">
        <v>4518520.0</v>
      </c>
      <c r="L155" s="187">
        <v>0.615873345</v>
      </c>
      <c r="M155" s="188">
        <v>77.0</v>
      </c>
      <c r="N155" s="188">
        <v>70.0</v>
      </c>
      <c r="O155" s="188">
        <v>8.0</v>
      </c>
      <c r="P155" s="188">
        <v>85.0</v>
      </c>
      <c r="Q155" s="188">
        <v>15.0</v>
      </c>
      <c r="R155" s="188">
        <v>32.0</v>
      </c>
      <c r="S155" s="188">
        <v>0.0</v>
      </c>
      <c r="T155" s="188">
        <v>8.0</v>
      </c>
      <c r="U155" s="188">
        <v>80.0</v>
      </c>
      <c r="V155" s="188">
        <v>119.0</v>
      </c>
      <c r="W155" s="188">
        <v>20.0</v>
      </c>
      <c r="X155" s="188">
        <v>0.0</v>
      </c>
      <c r="Y155" s="188">
        <v>0.0</v>
      </c>
      <c r="Z155" s="188">
        <v>220.0</v>
      </c>
      <c r="AA155" s="188">
        <v>359.0</v>
      </c>
      <c r="AB155" s="188">
        <v>73.0</v>
      </c>
      <c r="AC155" s="186">
        <v>50619.726986301364</v>
      </c>
      <c r="AD155" s="189">
        <v>3.0136986301369864</v>
      </c>
      <c r="AE155" s="186">
        <v>100710.0</v>
      </c>
      <c r="AF155" s="186">
        <v>21475.0</v>
      </c>
      <c r="AG155" s="187">
        <v>0.03306551068006794</v>
      </c>
      <c r="AH155" s="186">
        <v>115476.2521875</v>
      </c>
      <c r="AI155" s="258">
        <v>50.0</v>
      </c>
      <c r="AJ155" s="258">
        <v>685.0</v>
      </c>
      <c r="AK155" s="258">
        <v>3394.98</v>
      </c>
      <c r="AL155" s="258">
        <v>48.0</v>
      </c>
      <c r="AM155" s="260"/>
      <c r="AN155" s="260"/>
      <c r="AO155" s="192">
        <v>823279.9300000002</v>
      </c>
    </row>
    <row r="156">
      <c r="A156" s="183" t="s">
        <v>185</v>
      </c>
      <c r="B156" s="183" t="s">
        <v>212</v>
      </c>
      <c r="C156" s="184" t="s">
        <v>279</v>
      </c>
      <c r="D156" s="75" t="s">
        <v>280</v>
      </c>
      <c r="E156" s="256">
        <v>45640.0</v>
      </c>
      <c r="F156" s="75" t="s">
        <v>1031</v>
      </c>
      <c r="G156" s="186">
        <v>3804407.77</v>
      </c>
      <c r="H156" s="186">
        <v>6000000.0</v>
      </c>
      <c r="I156" s="186">
        <v>3448292.3</v>
      </c>
      <c r="J156" s="186">
        <v>0.0</v>
      </c>
      <c r="K156" s="186">
        <v>3483062.66</v>
      </c>
      <c r="L156" s="187">
        <v>0.7662871777777778</v>
      </c>
      <c r="M156" s="188">
        <v>15.0</v>
      </c>
      <c r="N156" s="188">
        <v>20.0</v>
      </c>
      <c r="O156" s="188">
        <v>5.0</v>
      </c>
      <c r="P156" s="188">
        <v>20.0</v>
      </c>
      <c r="Q156" s="188">
        <v>0.0</v>
      </c>
      <c r="R156" s="188">
        <v>19.0</v>
      </c>
      <c r="S156" s="188">
        <v>0.0</v>
      </c>
      <c r="T156" s="188">
        <v>5.0</v>
      </c>
      <c r="U156" s="188">
        <v>71.0</v>
      </c>
      <c r="V156" s="188">
        <v>140.0</v>
      </c>
      <c r="W156" s="188">
        <v>7.0</v>
      </c>
      <c r="X156" s="188">
        <v>0.0</v>
      </c>
      <c r="Y156" s="188">
        <v>0.0</v>
      </c>
      <c r="Z156" s="188">
        <v>149.0</v>
      </c>
      <c r="AA156" s="188">
        <v>296.0</v>
      </c>
      <c r="AB156" s="188">
        <v>66.0</v>
      </c>
      <c r="AC156" s="186">
        <v>52246.85303030303</v>
      </c>
      <c r="AD156" s="189">
        <v>2.257575757575758</v>
      </c>
      <c r="AE156" s="186">
        <v>86550.0</v>
      </c>
      <c r="AF156" s="186">
        <v>8612.0</v>
      </c>
      <c r="AG156" s="187">
        <v>0.02759684844582346</v>
      </c>
      <c r="AH156" s="186">
        <v>181489.06842105262</v>
      </c>
      <c r="AI156" s="258">
        <v>47.0</v>
      </c>
      <c r="AJ156" s="258">
        <v>723.0</v>
      </c>
      <c r="AK156" s="258">
        <v>3466.55</v>
      </c>
      <c r="AL156" s="258">
        <v>173.0</v>
      </c>
      <c r="AM156" s="260"/>
      <c r="AN156" s="260"/>
      <c r="AO156" s="192">
        <v>34770.360000000335</v>
      </c>
    </row>
    <row r="157">
      <c r="A157" s="183" t="s">
        <v>185</v>
      </c>
      <c r="B157" s="183" t="s">
        <v>85</v>
      </c>
      <c r="C157" s="184" t="s">
        <v>388</v>
      </c>
      <c r="D157" s="75" t="s">
        <v>389</v>
      </c>
      <c r="E157" s="256">
        <v>45646.0</v>
      </c>
      <c r="F157" s="75" t="s">
        <v>1058</v>
      </c>
      <c r="G157" s="186">
        <v>386440.49000000005</v>
      </c>
      <c r="H157" s="186">
        <v>0.0</v>
      </c>
      <c r="I157" s="186">
        <v>47630.0</v>
      </c>
      <c r="J157" s="186">
        <v>0.0</v>
      </c>
      <c r="K157" s="186">
        <v>0.0</v>
      </c>
      <c r="L157" s="187"/>
      <c r="M157" s="188">
        <v>30.0</v>
      </c>
      <c r="N157" s="188">
        <v>12.0</v>
      </c>
      <c r="O157" s="188">
        <v>0.0</v>
      </c>
      <c r="P157" s="188">
        <v>30.0</v>
      </c>
      <c r="Q157" s="188">
        <v>18.0</v>
      </c>
      <c r="R157" s="188">
        <v>8.0</v>
      </c>
      <c r="S157" s="188">
        <v>0.0</v>
      </c>
      <c r="T157" s="188">
        <v>0.0</v>
      </c>
      <c r="U157" s="188">
        <v>19.0</v>
      </c>
      <c r="V157" s="188">
        <v>20.0</v>
      </c>
      <c r="W157" s="188">
        <v>2.0</v>
      </c>
      <c r="X157" s="188">
        <v>0.0</v>
      </c>
      <c r="Y157" s="188">
        <v>0.0</v>
      </c>
      <c r="Z157" s="188">
        <v>17.0</v>
      </c>
      <c r="AA157" s="188">
        <v>39.0</v>
      </c>
      <c r="AB157" s="188">
        <v>11.0</v>
      </c>
      <c r="AC157" s="186">
        <v>4330.0</v>
      </c>
      <c r="AD157" s="189">
        <v>1.5454545454545454</v>
      </c>
      <c r="AE157" s="186">
        <v>16785.0</v>
      </c>
      <c r="AF157" s="186">
        <v>5260.0</v>
      </c>
      <c r="AG157" s="187">
        <v>0.4628385471341591</v>
      </c>
      <c r="AH157" s="186">
        <v>5953.75</v>
      </c>
      <c r="AI157" s="258">
        <v>9.0</v>
      </c>
      <c r="AJ157" s="258">
        <v>107.0</v>
      </c>
      <c r="AK157" s="258">
        <v>1075.74</v>
      </c>
      <c r="AL157" s="258">
        <v>90.0</v>
      </c>
      <c r="AM157" s="260">
        <v>45762.0</v>
      </c>
      <c r="AN157" s="260"/>
      <c r="AO157" s="192">
        <v>-47630.0</v>
      </c>
    </row>
    <row r="158">
      <c r="A158" s="183" t="s">
        <v>298</v>
      </c>
      <c r="B158" s="183" t="s">
        <v>301</v>
      </c>
      <c r="C158" s="184" t="s">
        <v>356</v>
      </c>
      <c r="D158" s="75" t="s">
        <v>319</v>
      </c>
      <c r="E158" s="256">
        <v>45651.0</v>
      </c>
      <c r="F158" s="75" t="s">
        <v>1066</v>
      </c>
      <c r="G158" s="186">
        <v>2501918.0</v>
      </c>
      <c r="H158" s="186">
        <v>3000000.0</v>
      </c>
      <c r="I158" s="186">
        <v>1464739.43</v>
      </c>
      <c r="J158" s="186">
        <v>0.0</v>
      </c>
      <c r="K158" s="186">
        <v>2065468.0</v>
      </c>
      <c r="L158" s="187">
        <v>0.48824647666666665</v>
      </c>
      <c r="M158" s="188">
        <v>66.0</v>
      </c>
      <c r="N158" s="188">
        <v>59.0</v>
      </c>
      <c r="O158" s="188">
        <v>5.0</v>
      </c>
      <c r="P158" s="188">
        <v>71.0</v>
      </c>
      <c r="Q158" s="188">
        <v>12.0</v>
      </c>
      <c r="R158" s="188">
        <v>24.0</v>
      </c>
      <c r="S158" s="188">
        <v>0.0</v>
      </c>
      <c r="T158" s="188">
        <v>5.0</v>
      </c>
      <c r="U158" s="188">
        <v>47.0</v>
      </c>
      <c r="V158" s="188">
        <v>74.0</v>
      </c>
      <c r="W158" s="188">
        <v>30.0</v>
      </c>
      <c r="X158" s="188">
        <v>0.0</v>
      </c>
      <c r="Y158" s="188">
        <v>0.0</v>
      </c>
      <c r="Z158" s="188">
        <v>175.0</v>
      </c>
      <c r="AA158" s="188">
        <v>279.0</v>
      </c>
      <c r="AB158" s="188">
        <v>68.0</v>
      </c>
      <c r="AC158" s="186">
        <v>21540.285735294117</v>
      </c>
      <c r="AD158" s="189">
        <v>2.573529411764706</v>
      </c>
      <c r="AE158" s="186">
        <v>75495.0</v>
      </c>
      <c r="AF158" s="186">
        <v>11056.0</v>
      </c>
      <c r="AG158" s="187">
        <v>0.05908969078547985</v>
      </c>
      <c r="AH158" s="186">
        <v>61030.80958333333</v>
      </c>
      <c r="AI158" s="258">
        <v>53.0</v>
      </c>
      <c r="AJ158" s="258">
        <v>680.0</v>
      </c>
      <c r="AK158" s="258">
        <v>4418.25</v>
      </c>
      <c r="AL158" s="258">
        <v>75.0</v>
      </c>
      <c r="AM158" s="260"/>
      <c r="AN158" s="260"/>
      <c r="AO158" s="192">
        <v>600728.5700000001</v>
      </c>
    </row>
    <row r="159">
      <c r="A159" s="183" t="s">
        <v>23</v>
      </c>
      <c r="B159" s="183" t="s">
        <v>37</v>
      </c>
      <c r="C159" s="184" t="s">
        <v>35</v>
      </c>
      <c r="D159" s="75" t="s">
        <v>36</v>
      </c>
      <c r="E159" s="256">
        <v>45658.0</v>
      </c>
      <c r="F159" s="75" t="s">
        <v>1110</v>
      </c>
      <c r="G159" s="186">
        <v>0.0</v>
      </c>
      <c r="H159" s="186">
        <v>3600000.0</v>
      </c>
      <c r="I159" s="186">
        <v>579076.68</v>
      </c>
      <c r="J159" s="186">
        <v>0.0</v>
      </c>
      <c r="K159" s="186">
        <v>738778.0</v>
      </c>
      <c r="L159" s="187">
        <v>0.16085463333333336</v>
      </c>
      <c r="M159" s="188">
        <v>11.0</v>
      </c>
      <c r="N159" s="188">
        <v>28.0</v>
      </c>
      <c r="O159" s="188">
        <v>18.0</v>
      </c>
      <c r="P159" s="188">
        <v>29.0</v>
      </c>
      <c r="Q159" s="188">
        <v>1.0</v>
      </c>
      <c r="R159" s="188">
        <v>22.0</v>
      </c>
      <c r="S159" s="188">
        <v>0.0</v>
      </c>
      <c r="T159" s="188">
        <v>18.0</v>
      </c>
      <c r="U159" s="188">
        <v>139.0</v>
      </c>
      <c r="V159" s="188">
        <v>233.0</v>
      </c>
      <c r="W159" s="188">
        <v>26.0</v>
      </c>
      <c r="X159" s="188">
        <v>8.0</v>
      </c>
      <c r="Y159" s="188">
        <v>144.0</v>
      </c>
      <c r="Z159" s="188">
        <v>78.0</v>
      </c>
      <c r="AA159" s="188">
        <v>489.0</v>
      </c>
      <c r="AB159" s="188">
        <v>77.0</v>
      </c>
      <c r="AC159" s="186">
        <v>7520.476363636364</v>
      </c>
      <c r="AD159" s="189">
        <v>1.0129870129870129</v>
      </c>
      <c r="AE159" s="186">
        <v>94365.0</v>
      </c>
      <c r="AF159" s="186">
        <v>12404.0</v>
      </c>
      <c r="AG159" s="187">
        <v>0.18437799981860778</v>
      </c>
      <c r="AH159" s="186">
        <v>26321.667272727274</v>
      </c>
      <c r="AI159" s="258">
        <v>40.0</v>
      </c>
      <c r="AJ159" s="258">
        <v>744.0</v>
      </c>
      <c r="AK159" s="258">
        <v>6325.46</v>
      </c>
      <c r="AL159" s="258">
        <v>226.0</v>
      </c>
      <c r="AM159" s="260"/>
      <c r="AN159" s="260"/>
      <c r="AO159" s="192">
        <v>159701.31999999995</v>
      </c>
    </row>
    <row r="160">
      <c r="A160" s="183" t="s">
        <v>126</v>
      </c>
      <c r="B160" s="183" t="s">
        <v>135</v>
      </c>
      <c r="C160" s="184" t="s">
        <v>171</v>
      </c>
      <c r="D160" s="75" t="s">
        <v>137</v>
      </c>
      <c r="E160" s="256">
        <v>45658.0</v>
      </c>
      <c r="F160" s="75" t="s">
        <v>1042</v>
      </c>
      <c r="G160" s="186">
        <v>336189.0</v>
      </c>
      <c r="H160" s="186">
        <v>3500001.0</v>
      </c>
      <c r="I160" s="186">
        <v>1388846.49</v>
      </c>
      <c r="J160" s="186">
        <v>0.0</v>
      </c>
      <c r="K160" s="186">
        <v>468597.0</v>
      </c>
      <c r="L160" s="187">
        <v>0.5952169482009733</v>
      </c>
      <c r="M160" s="188">
        <v>20.0</v>
      </c>
      <c r="N160" s="188">
        <v>35.0</v>
      </c>
      <c r="O160" s="188">
        <v>18.0</v>
      </c>
      <c r="P160" s="188">
        <v>38.0</v>
      </c>
      <c r="Q160" s="188">
        <v>3.0</v>
      </c>
      <c r="R160" s="188">
        <v>28.0</v>
      </c>
      <c r="S160" s="188">
        <v>0.0</v>
      </c>
      <c r="T160" s="188">
        <v>18.0</v>
      </c>
      <c r="U160" s="188">
        <v>127.0</v>
      </c>
      <c r="V160" s="188">
        <v>204.0</v>
      </c>
      <c r="W160" s="188">
        <v>4.0</v>
      </c>
      <c r="X160" s="188">
        <v>0.0</v>
      </c>
      <c r="Y160" s="188">
        <v>0.0</v>
      </c>
      <c r="Z160" s="188">
        <v>200.0</v>
      </c>
      <c r="AA160" s="188">
        <v>408.0</v>
      </c>
      <c r="AB160" s="188">
        <v>71.0</v>
      </c>
      <c r="AC160" s="186">
        <v>19561.218169014086</v>
      </c>
      <c r="AD160" s="189">
        <v>2.816901408450704</v>
      </c>
      <c r="AE160" s="186">
        <v>108570.0</v>
      </c>
      <c r="AF160" s="186">
        <v>6230.0</v>
      </c>
      <c r="AG160" s="187">
        <v>0.0826585233332735</v>
      </c>
      <c r="AH160" s="186">
        <v>49601.66035714286</v>
      </c>
      <c r="AI160" s="258">
        <v>64.0</v>
      </c>
      <c r="AJ160" s="258">
        <v>580.0</v>
      </c>
      <c r="AK160" s="258">
        <v>3306.81</v>
      </c>
      <c r="AL160" s="258">
        <v>94.0</v>
      </c>
      <c r="AM160" s="260"/>
      <c r="AN160" s="260"/>
      <c r="AO160" s="192">
        <v>-920249.49</v>
      </c>
    </row>
    <row r="161">
      <c r="A161" s="183" t="s">
        <v>185</v>
      </c>
      <c r="B161" s="183" t="s">
        <v>85</v>
      </c>
      <c r="C161" s="184" t="s">
        <v>390</v>
      </c>
      <c r="D161" s="75" t="s">
        <v>391</v>
      </c>
      <c r="E161" s="256">
        <v>45660.0</v>
      </c>
      <c r="F161" s="75" t="s">
        <v>1058</v>
      </c>
      <c r="G161" s="186">
        <v>1730514.0</v>
      </c>
      <c r="H161" s="186">
        <v>0.0</v>
      </c>
      <c r="I161" s="186">
        <v>818223.7</v>
      </c>
      <c r="J161" s="186">
        <v>0.0</v>
      </c>
      <c r="K161" s="186">
        <v>1187403.0</v>
      </c>
      <c r="L161" s="187"/>
      <c r="M161" s="188">
        <v>67.0</v>
      </c>
      <c r="N161" s="188">
        <v>59.0</v>
      </c>
      <c r="O161" s="188">
        <v>6.0</v>
      </c>
      <c r="P161" s="188">
        <v>73.0</v>
      </c>
      <c r="Q161" s="188">
        <v>14.0</v>
      </c>
      <c r="R161" s="188">
        <v>40.0</v>
      </c>
      <c r="S161" s="188">
        <v>0.0</v>
      </c>
      <c r="T161" s="188">
        <v>6.0</v>
      </c>
      <c r="U161" s="188">
        <v>58.0</v>
      </c>
      <c r="V161" s="188">
        <v>92.0</v>
      </c>
      <c r="W161" s="188">
        <v>21.0</v>
      </c>
      <c r="X161" s="188">
        <v>0.0</v>
      </c>
      <c r="Y161" s="188">
        <v>0.0</v>
      </c>
      <c r="Z161" s="188">
        <v>258.0</v>
      </c>
      <c r="AA161" s="188">
        <v>371.0</v>
      </c>
      <c r="AB161" s="188">
        <v>50.0</v>
      </c>
      <c r="AC161" s="186">
        <v>16364.473999999998</v>
      </c>
      <c r="AD161" s="189">
        <v>5.16</v>
      </c>
      <c r="AE161" s="186">
        <v>80307.45</v>
      </c>
      <c r="AF161" s="186">
        <v>17378.0</v>
      </c>
      <c r="AG161" s="187">
        <v>0.1193872164788187</v>
      </c>
      <c r="AH161" s="186">
        <v>20455.5925</v>
      </c>
      <c r="AI161" s="258">
        <v>94.0</v>
      </c>
      <c r="AJ161" s="258">
        <v>392.0</v>
      </c>
      <c r="AK161" s="258">
        <v>2496.35</v>
      </c>
      <c r="AL161" s="258">
        <v>42.0</v>
      </c>
      <c r="AM161" s="260">
        <v>45819.0</v>
      </c>
      <c r="AN161" s="260"/>
      <c r="AO161" s="192">
        <v>369179.30000000005</v>
      </c>
    </row>
    <row r="162">
      <c r="A162" s="183" t="s">
        <v>47</v>
      </c>
      <c r="B162" s="183" t="s">
        <v>422</v>
      </c>
      <c r="C162" s="184" t="s">
        <v>866</v>
      </c>
      <c r="D162" s="75" t="s">
        <v>1111</v>
      </c>
      <c r="E162" s="256">
        <v>45663.0</v>
      </c>
      <c r="F162" s="75" t="s">
        <v>1094</v>
      </c>
      <c r="G162" s="186"/>
      <c r="H162" s="186">
        <v>0.0</v>
      </c>
      <c r="I162" s="186">
        <v>0.0</v>
      </c>
      <c r="J162" s="186">
        <v>0.0</v>
      </c>
      <c r="K162" s="186"/>
      <c r="L162" s="187"/>
      <c r="M162" s="188">
        <v>16.0</v>
      </c>
      <c r="N162" s="188">
        <v>17.0</v>
      </c>
      <c r="O162" s="188">
        <v>5.0</v>
      </c>
      <c r="P162" s="188">
        <v>21.0</v>
      </c>
      <c r="Q162" s="188">
        <v>4.0</v>
      </c>
      <c r="R162" s="188">
        <v>0.0</v>
      </c>
      <c r="S162" s="188">
        <v>0.0</v>
      </c>
      <c r="T162" s="188">
        <v>0.0</v>
      </c>
      <c r="U162" s="188">
        <v>73.0</v>
      </c>
      <c r="V162" s="188">
        <v>115.0</v>
      </c>
      <c r="W162" s="188">
        <v>34.0</v>
      </c>
      <c r="X162" s="188">
        <v>0.0</v>
      </c>
      <c r="Y162" s="188">
        <v>186.0</v>
      </c>
      <c r="Z162" s="188">
        <v>29.0</v>
      </c>
      <c r="AA162" s="188">
        <v>364.0</v>
      </c>
      <c r="AB162" s="188">
        <v>74.0</v>
      </c>
      <c r="AC162" s="186">
        <v>0.0</v>
      </c>
      <c r="AD162" s="189">
        <v>0.3918918918918919</v>
      </c>
      <c r="AE162" s="186">
        <v>200001.0</v>
      </c>
      <c r="AF162" s="186">
        <v>83954.0</v>
      </c>
      <c r="AG162" s="187"/>
      <c r="AH162" s="186"/>
      <c r="AI162" s="258">
        <v>0.0</v>
      </c>
      <c r="AJ162" s="258">
        <v>797.0</v>
      </c>
      <c r="AK162" s="258">
        <v>5579.77</v>
      </c>
      <c r="AL162" s="258">
        <v>328.0</v>
      </c>
      <c r="AM162" s="260"/>
      <c r="AN162" s="260"/>
      <c r="AO162" s="192">
        <v>0.0</v>
      </c>
    </row>
    <row r="163">
      <c r="A163" s="183" t="s">
        <v>47</v>
      </c>
      <c r="B163" s="183" t="s">
        <v>422</v>
      </c>
      <c r="C163" s="184" t="s">
        <v>867</v>
      </c>
      <c r="D163" s="75" t="s">
        <v>1112</v>
      </c>
      <c r="E163" s="256">
        <v>45663.0</v>
      </c>
      <c r="F163" s="75" t="s">
        <v>1094</v>
      </c>
      <c r="G163" s="186"/>
      <c r="H163" s="186">
        <v>0.0</v>
      </c>
      <c r="I163" s="186">
        <v>0.0</v>
      </c>
      <c r="J163" s="186">
        <v>0.0</v>
      </c>
      <c r="K163" s="186"/>
      <c r="L163" s="187"/>
      <c r="M163" s="188">
        <v>4.0</v>
      </c>
      <c r="N163" s="188">
        <v>0.0</v>
      </c>
      <c r="O163" s="188">
        <v>0.0</v>
      </c>
      <c r="P163" s="188">
        <v>4.0</v>
      </c>
      <c r="Q163" s="188">
        <v>4.0</v>
      </c>
      <c r="R163" s="188">
        <v>0.0</v>
      </c>
      <c r="S163" s="188">
        <v>0.0</v>
      </c>
      <c r="T163" s="188">
        <v>0.0</v>
      </c>
      <c r="U163" s="188">
        <v>46.0</v>
      </c>
      <c r="V163" s="188">
        <v>67.0</v>
      </c>
      <c r="W163" s="188">
        <v>25.0</v>
      </c>
      <c r="X163" s="188">
        <v>0.0</v>
      </c>
      <c r="Y163" s="188">
        <v>171.0</v>
      </c>
      <c r="Z163" s="188">
        <v>0.0</v>
      </c>
      <c r="AA163" s="188">
        <v>263.0</v>
      </c>
      <c r="AB163" s="188">
        <v>75.0</v>
      </c>
      <c r="AC163" s="186">
        <v>0.0</v>
      </c>
      <c r="AD163" s="189">
        <v>0.0</v>
      </c>
      <c r="AE163" s="186">
        <v>187500.0</v>
      </c>
      <c r="AF163" s="186">
        <v>57700.0</v>
      </c>
      <c r="AG163" s="187"/>
      <c r="AH163" s="186"/>
      <c r="AI163" s="258">
        <v>0.0</v>
      </c>
      <c r="AJ163" s="258">
        <v>767.0</v>
      </c>
      <c r="AK163" s="258">
        <v>3735.68</v>
      </c>
      <c r="AL163" s="258">
        <v>0.0</v>
      </c>
      <c r="AM163" s="260"/>
      <c r="AN163" s="260"/>
      <c r="AO163" s="192">
        <v>0.0</v>
      </c>
    </row>
    <row r="164">
      <c r="A164" s="183" t="s">
        <v>185</v>
      </c>
      <c r="B164" s="183" t="s">
        <v>189</v>
      </c>
      <c r="C164" s="184" t="s">
        <v>281</v>
      </c>
      <c r="D164" s="75" t="s">
        <v>282</v>
      </c>
      <c r="E164" s="256">
        <v>45670.0</v>
      </c>
      <c r="F164" s="75" t="s">
        <v>1016</v>
      </c>
      <c r="G164" s="186">
        <v>1327099.74</v>
      </c>
      <c r="H164" s="186">
        <v>4500000.0</v>
      </c>
      <c r="I164" s="186">
        <v>2688890.89</v>
      </c>
      <c r="J164" s="186">
        <v>0.0</v>
      </c>
      <c r="K164" s="186">
        <v>2688891.7800000003</v>
      </c>
      <c r="L164" s="187">
        <v>0.597531308888889</v>
      </c>
      <c r="M164" s="188">
        <v>10.0</v>
      </c>
      <c r="N164" s="188">
        <v>28.0</v>
      </c>
      <c r="O164" s="188">
        <v>18.0</v>
      </c>
      <c r="P164" s="188">
        <v>28.0</v>
      </c>
      <c r="Q164" s="188">
        <v>0.0</v>
      </c>
      <c r="R164" s="188">
        <v>25.0</v>
      </c>
      <c r="S164" s="188">
        <v>0.0</v>
      </c>
      <c r="T164" s="188">
        <v>18.0</v>
      </c>
      <c r="U164" s="188">
        <v>57.0</v>
      </c>
      <c r="V164" s="188">
        <v>83.0</v>
      </c>
      <c r="W164" s="188">
        <v>22.0</v>
      </c>
      <c r="X164" s="188">
        <v>0.0</v>
      </c>
      <c r="Y164" s="188">
        <v>0.0</v>
      </c>
      <c r="Z164" s="188">
        <v>88.0</v>
      </c>
      <c r="AA164" s="188">
        <v>193.0</v>
      </c>
      <c r="AB164" s="188">
        <v>65.0</v>
      </c>
      <c r="AC164" s="186">
        <v>41367.552153846154</v>
      </c>
      <c r="AD164" s="189">
        <v>1.353846153846154</v>
      </c>
      <c r="AE164" s="186">
        <v>88125.0</v>
      </c>
      <c r="AF164" s="186">
        <v>14574.0</v>
      </c>
      <c r="AG164" s="187">
        <v>0.03819381455080165</v>
      </c>
      <c r="AH164" s="186">
        <v>107555.63560000001</v>
      </c>
      <c r="AI164" s="258">
        <v>40.0</v>
      </c>
      <c r="AJ164" s="258">
        <v>711.0</v>
      </c>
      <c r="AK164" s="258">
        <v>1960.4</v>
      </c>
      <c r="AL164" s="258">
        <v>70.0</v>
      </c>
      <c r="AM164" s="260"/>
      <c r="AN164" s="260"/>
      <c r="AO164" s="192">
        <v>0.8900000001303852</v>
      </c>
    </row>
    <row r="165">
      <c r="A165" s="183" t="s">
        <v>97</v>
      </c>
      <c r="B165" s="183" t="s">
        <v>101</v>
      </c>
      <c r="C165" s="184" t="s">
        <v>341</v>
      </c>
      <c r="D165" s="75" t="s">
        <v>105</v>
      </c>
      <c r="E165" s="256">
        <v>45694.0</v>
      </c>
      <c r="F165" s="75" t="s">
        <v>1062</v>
      </c>
      <c r="G165" s="186">
        <v>0.0</v>
      </c>
      <c r="H165" s="186">
        <v>3840000.0</v>
      </c>
      <c r="I165" s="186">
        <v>2905682.71</v>
      </c>
      <c r="J165" s="186">
        <v>0.0</v>
      </c>
      <c r="K165" s="186">
        <v>2843665.6799999997</v>
      </c>
      <c r="L165" s="187">
        <v>0.7566882057291666</v>
      </c>
      <c r="M165" s="188">
        <v>61.0</v>
      </c>
      <c r="N165" s="188">
        <v>61.0</v>
      </c>
      <c r="O165" s="188">
        <v>9.0</v>
      </c>
      <c r="P165" s="188">
        <v>70.0</v>
      </c>
      <c r="Q165" s="188">
        <v>9.0</v>
      </c>
      <c r="R165" s="188">
        <v>45.0</v>
      </c>
      <c r="S165" s="188">
        <v>0.0</v>
      </c>
      <c r="T165" s="188">
        <v>9.0</v>
      </c>
      <c r="U165" s="188">
        <v>8.0</v>
      </c>
      <c r="V165" s="188">
        <v>27.0</v>
      </c>
      <c r="W165" s="188">
        <v>36.0</v>
      </c>
      <c r="X165" s="188">
        <v>0.0</v>
      </c>
      <c r="Y165" s="188">
        <v>0.0</v>
      </c>
      <c r="Z165" s="188">
        <v>385.0</v>
      </c>
      <c r="AA165" s="188">
        <v>448.0</v>
      </c>
      <c r="AB165" s="188">
        <v>73.0</v>
      </c>
      <c r="AC165" s="186">
        <v>39803.87273972603</v>
      </c>
      <c r="AD165" s="189">
        <v>5.273972602739726</v>
      </c>
      <c r="AE165" s="186">
        <v>69000.0</v>
      </c>
      <c r="AF165" s="186">
        <v>20360.0</v>
      </c>
      <c r="AG165" s="187">
        <v>0.03075352986493147</v>
      </c>
      <c r="AH165" s="186">
        <v>64570.72688888889</v>
      </c>
      <c r="AI165" s="258">
        <v>197.0</v>
      </c>
      <c r="AJ165" s="258">
        <v>693.0</v>
      </c>
      <c r="AK165" s="258">
        <v>13470.11</v>
      </c>
      <c r="AL165" s="258">
        <v>221.0</v>
      </c>
      <c r="AM165" s="260"/>
      <c r="AN165" s="260"/>
      <c r="AO165" s="192">
        <v>-62017.03000000026</v>
      </c>
    </row>
    <row r="166">
      <c r="A166" s="183" t="s">
        <v>97</v>
      </c>
      <c r="B166" s="183" t="s">
        <v>101</v>
      </c>
      <c r="C166" s="184" t="s">
        <v>104</v>
      </c>
      <c r="D166" s="75" t="s">
        <v>105</v>
      </c>
      <c r="E166" s="256">
        <v>45719.0</v>
      </c>
      <c r="F166" s="75" t="s">
        <v>1062</v>
      </c>
      <c r="G166" s="186">
        <v>0.0</v>
      </c>
      <c r="H166" s="186">
        <v>3840000.0</v>
      </c>
      <c r="I166" s="186">
        <v>3847290.41</v>
      </c>
      <c r="J166" s="186">
        <v>0.0</v>
      </c>
      <c r="K166" s="186">
        <v>1600372.03</v>
      </c>
      <c r="L166" s="187">
        <v>1.0018985442708335</v>
      </c>
      <c r="M166" s="188">
        <v>93.0</v>
      </c>
      <c r="N166" s="188">
        <v>53.0</v>
      </c>
      <c r="O166" s="188">
        <v>10.0</v>
      </c>
      <c r="P166" s="188">
        <v>103.0</v>
      </c>
      <c r="Q166" s="188">
        <v>50.0</v>
      </c>
      <c r="R166" s="188">
        <v>41.0</v>
      </c>
      <c r="S166" s="188">
        <v>0.0</v>
      </c>
      <c r="T166" s="188">
        <v>9.0</v>
      </c>
      <c r="U166" s="188">
        <v>5.0</v>
      </c>
      <c r="V166" s="188">
        <v>14.0</v>
      </c>
      <c r="W166" s="188">
        <v>7.0</v>
      </c>
      <c r="X166" s="188">
        <v>0.0</v>
      </c>
      <c r="Y166" s="188">
        <v>0.0</v>
      </c>
      <c r="Z166" s="188">
        <v>416.0</v>
      </c>
      <c r="AA166" s="188">
        <v>437.0</v>
      </c>
      <c r="AB166" s="188">
        <v>73.0</v>
      </c>
      <c r="AC166" s="186">
        <v>52702.60835616438</v>
      </c>
      <c r="AD166" s="189">
        <v>5.698630136986301</v>
      </c>
      <c r="AE166" s="186">
        <v>69000.0</v>
      </c>
      <c r="AF166" s="186">
        <v>25176.0</v>
      </c>
      <c r="AG166" s="187">
        <v>0.024478526433880512</v>
      </c>
      <c r="AH166" s="186">
        <v>93836.35146341464</v>
      </c>
      <c r="AI166" s="258">
        <v>111.0</v>
      </c>
      <c r="AJ166" s="258">
        <v>709.0</v>
      </c>
      <c r="AK166" s="258">
        <v>4626.39</v>
      </c>
      <c r="AL166" s="258">
        <v>87.0</v>
      </c>
      <c r="AM166" s="260"/>
      <c r="AN166" s="260"/>
      <c r="AO166" s="192">
        <v>-2246918.38</v>
      </c>
    </row>
    <row r="167">
      <c r="A167" s="183" t="s">
        <v>23</v>
      </c>
      <c r="B167" s="183" t="s">
        <v>30</v>
      </c>
      <c r="C167" s="184" t="s">
        <v>336</v>
      </c>
      <c r="D167" s="75" t="s">
        <v>44</v>
      </c>
      <c r="E167" s="256">
        <v>45722.0</v>
      </c>
      <c r="F167" s="75" t="s">
        <v>30</v>
      </c>
      <c r="G167" s="186">
        <v>327344.0</v>
      </c>
      <c r="H167" s="186">
        <v>3600000.0</v>
      </c>
      <c r="I167" s="186">
        <v>1816001.73</v>
      </c>
      <c r="J167" s="186">
        <v>0.0</v>
      </c>
      <c r="K167" s="186">
        <v>1867588.0</v>
      </c>
      <c r="L167" s="187">
        <v>0.504444925</v>
      </c>
      <c r="M167" s="188">
        <v>53.0</v>
      </c>
      <c r="N167" s="188">
        <v>56.0</v>
      </c>
      <c r="O167" s="188">
        <v>7.0</v>
      </c>
      <c r="P167" s="188">
        <v>60.0</v>
      </c>
      <c r="Q167" s="188">
        <v>4.0</v>
      </c>
      <c r="R167" s="188">
        <v>33.0</v>
      </c>
      <c r="S167" s="188">
        <v>0.0</v>
      </c>
      <c r="T167" s="188">
        <v>7.0</v>
      </c>
      <c r="U167" s="188">
        <v>173.0</v>
      </c>
      <c r="V167" s="188">
        <v>342.0</v>
      </c>
      <c r="W167" s="188">
        <v>39.0</v>
      </c>
      <c r="X167" s="188">
        <v>0.0</v>
      </c>
      <c r="Y167" s="188">
        <v>0.0</v>
      </c>
      <c r="Z167" s="188">
        <v>233.0</v>
      </c>
      <c r="AA167" s="188">
        <v>614.0</v>
      </c>
      <c r="AB167" s="188">
        <v>75.0</v>
      </c>
      <c r="AC167" s="186">
        <v>24213.3564</v>
      </c>
      <c r="AD167" s="189">
        <v>3.1066666666666665</v>
      </c>
      <c r="AE167" s="186">
        <v>81780.0</v>
      </c>
      <c r="AF167" s="186">
        <v>26037.0</v>
      </c>
      <c r="AG167" s="187">
        <v>0.059370538154718606</v>
      </c>
      <c r="AH167" s="186">
        <v>55030.35545454545</v>
      </c>
      <c r="AI167" s="258">
        <v>90.0</v>
      </c>
      <c r="AJ167" s="258">
        <v>731.0</v>
      </c>
      <c r="AK167" s="258">
        <v>5317.32</v>
      </c>
      <c r="AL167" s="258">
        <v>95.0</v>
      </c>
      <c r="AM167" s="260"/>
      <c r="AN167" s="260"/>
      <c r="AO167" s="192">
        <v>51586.27000000002</v>
      </c>
    </row>
    <row r="168">
      <c r="A168" s="183" t="s">
        <v>53</v>
      </c>
      <c r="B168" s="183" t="s">
        <v>56</v>
      </c>
      <c r="C168" s="184" t="s">
        <v>62</v>
      </c>
      <c r="D168" s="75" t="s">
        <v>63</v>
      </c>
      <c r="E168" s="256">
        <v>45733.0</v>
      </c>
      <c r="F168" s="75" t="s">
        <v>1092</v>
      </c>
      <c r="G168" s="186"/>
      <c r="H168" s="186">
        <v>4500000.0</v>
      </c>
      <c r="I168" s="186">
        <v>3051986.59</v>
      </c>
      <c r="J168" s="186">
        <v>0.0</v>
      </c>
      <c r="K168" s="186">
        <v>1453506.0</v>
      </c>
      <c r="L168" s="187">
        <v>0.6782192422222222</v>
      </c>
      <c r="M168" s="188">
        <v>40.0</v>
      </c>
      <c r="N168" s="188">
        <v>67.0</v>
      </c>
      <c r="O168" s="188">
        <v>28.0</v>
      </c>
      <c r="P168" s="188">
        <v>68.0</v>
      </c>
      <c r="Q168" s="188">
        <v>1.0</v>
      </c>
      <c r="R168" s="188">
        <v>45.0</v>
      </c>
      <c r="S168" s="188">
        <v>0.0</v>
      </c>
      <c r="T168" s="188">
        <v>28.0</v>
      </c>
      <c r="U168" s="188">
        <v>134.0</v>
      </c>
      <c r="V168" s="188">
        <v>272.0</v>
      </c>
      <c r="W168" s="188">
        <v>34.0</v>
      </c>
      <c r="X168" s="188">
        <v>1.0</v>
      </c>
      <c r="Y168" s="188">
        <v>17.0</v>
      </c>
      <c r="Z168" s="188">
        <v>253.0</v>
      </c>
      <c r="AA168" s="188">
        <v>577.0</v>
      </c>
      <c r="AB168" s="188">
        <v>77.0</v>
      </c>
      <c r="AC168" s="186">
        <v>39636.189480519475</v>
      </c>
      <c r="AD168" s="189">
        <v>3.2857142857142856</v>
      </c>
      <c r="AE168" s="186">
        <v>100650.0</v>
      </c>
      <c r="AF168" s="186">
        <v>32306.0</v>
      </c>
      <c r="AG168" s="187">
        <v>0.04356375628767098</v>
      </c>
      <c r="AH168" s="186">
        <v>67821.92422222222</v>
      </c>
      <c r="AI168" s="258">
        <v>91.0</v>
      </c>
      <c r="AJ168" s="258">
        <v>736.0</v>
      </c>
      <c r="AK168" s="258">
        <v>7411.25</v>
      </c>
      <c r="AL168" s="258">
        <v>111.0</v>
      </c>
      <c r="AM168" s="260"/>
      <c r="AN168" s="260"/>
      <c r="AO168" s="192">
        <v>-1598480.5899999999</v>
      </c>
    </row>
    <row r="169">
      <c r="A169" s="183" t="s">
        <v>53</v>
      </c>
      <c r="B169" s="183" t="s">
        <v>56</v>
      </c>
      <c r="C169" s="184" t="s">
        <v>364</v>
      </c>
      <c r="D169" s="75" t="s">
        <v>365</v>
      </c>
      <c r="E169" s="256">
        <v>45735.0</v>
      </c>
      <c r="F169" s="75" t="s">
        <v>1092</v>
      </c>
      <c r="G169" s="186"/>
      <c r="H169" s="186">
        <v>2100000.0</v>
      </c>
      <c r="I169" s="186">
        <v>19908.0</v>
      </c>
      <c r="J169" s="186">
        <v>0.0</v>
      </c>
      <c r="K169" s="186">
        <v>0.0</v>
      </c>
      <c r="L169" s="187">
        <v>0.00948</v>
      </c>
      <c r="M169" s="188">
        <v>32.0</v>
      </c>
      <c r="N169" s="188">
        <v>25.0</v>
      </c>
      <c r="O169" s="188">
        <v>0.0</v>
      </c>
      <c r="P169" s="188">
        <v>32.0</v>
      </c>
      <c r="Q169" s="188">
        <v>7.0</v>
      </c>
      <c r="R169" s="188">
        <v>1.0</v>
      </c>
      <c r="S169" s="188">
        <v>0.0</v>
      </c>
      <c r="T169" s="188">
        <v>0.0</v>
      </c>
      <c r="U169" s="188">
        <v>147.0</v>
      </c>
      <c r="V169" s="188">
        <v>334.0</v>
      </c>
      <c r="W169" s="188">
        <v>2.0</v>
      </c>
      <c r="X169" s="188">
        <v>0.0</v>
      </c>
      <c r="Y169" s="188">
        <v>7.0</v>
      </c>
      <c r="Z169" s="188">
        <v>81.0</v>
      </c>
      <c r="AA169" s="188">
        <v>424.0</v>
      </c>
      <c r="AB169" s="188">
        <v>73.0</v>
      </c>
      <c r="AC169" s="186">
        <v>272.71232876712327</v>
      </c>
      <c r="AD169" s="189">
        <v>1.1095890410958904</v>
      </c>
      <c r="AE169" s="186">
        <v>75495.0</v>
      </c>
      <c r="AF169" s="186">
        <v>12462.0</v>
      </c>
      <c r="AG169" s="187">
        <v>4.418173598553345</v>
      </c>
      <c r="AH169" s="186">
        <v>19908.0</v>
      </c>
      <c r="AI169" s="258">
        <v>1.0</v>
      </c>
      <c r="AJ169" s="258">
        <v>598.0</v>
      </c>
      <c r="AK169" s="258">
        <v>3877.86</v>
      </c>
      <c r="AL169" s="258">
        <v>155.0</v>
      </c>
      <c r="AM169" s="260"/>
      <c r="AN169" s="260"/>
      <c r="AO169" s="192">
        <v>-19908.0</v>
      </c>
    </row>
    <row r="170">
      <c r="A170" s="183" t="s">
        <v>53</v>
      </c>
      <c r="B170" s="183" t="s">
        <v>56</v>
      </c>
      <c r="C170" s="184" t="s">
        <v>377</v>
      </c>
      <c r="D170" s="75" t="s">
        <v>378</v>
      </c>
      <c r="E170" s="256">
        <v>45735.0</v>
      </c>
      <c r="F170" s="75" t="s">
        <v>1092</v>
      </c>
      <c r="G170" s="186"/>
      <c r="H170" s="186">
        <v>2100000.0</v>
      </c>
      <c r="I170" s="186">
        <v>365057.57</v>
      </c>
      <c r="J170" s="186">
        <v>0.0</v>
      </c>
      <c r="K170" s="186">
        <v>0.0</v>
      </c>
      <c r="L170" s="187">
        <v>0.1738369380952381</v>
      </c>
      <c r="M170" s="188">
        <v>44.0</v>
      </c>
      <c r="N170" s="188">
        <v>57.0</v>
      </c>
      <c r="O170" s="188">
        <v>17.0</v>
      </c>
      <c r="P170" s="188">
        <v>61.0</v>
      </c>
      <c r="Q170" s="188">
        <v>4.0</v>
      </c>
      <c r="R170" s="188">
        <v>20.0</v>
      </c>
      <c r="S170" s="188">
        <v>0.0</v>
      </c>
      <c r="T170" s="188">
        <v>17.0</v>
      </c>
      <c r="U170" s="188">
        <v>180.0</v>
      </c>
      <c r="V170" s="188">
        <v>362.0</v>
      </c>
      <c r="W170" s="188">
        <v>23.0</v>
      </c>
      <c r="X170" s="188">
        <v>0.0</v>
      </c>
      <c r="Y170" s="188">
        <v>25.0</v>
      </c>
      <c r="Z170" s="188">
        <v>153.0</v>
      </c>
      <c r="AA170" s="188">
        <v>563.0</v>
      </c>
      <c r="AB170" s="188">
        <v>75.0</v>
      </c>
      <c r="AC170" s="186">
        <v>4867.434266666667</v>
      </c>
      <c r="AD170" s="189">
        <v>2.04</v>
      </c>
      <c r="AE170" s="186">
        <v>75495.0</v>
      </c>
      <c r="AF170" s="186">
        <v>31623.0</v>
      </c>
      <c r="AG170" s="187">
        <v>0.2934276914186439</v>
      </c>
      <c r="AH170" s="186">
        <v>18252.8785</v>
      </c>
      <c r="AI170" s="258">
        <v>25.0</v>
      </c>
      <c r="AJ170" s="258">
        <v>893.0</v>
      </c>
      <c r="AK170" s="258">
        <v>7010.08</v>
      </c>
      <c r="AL170" s="258">
        <v>123.0</v>
      </c>
      <c r="AM170" s="260"/>
      <c r="AN170" s="260"/>
      <c r="AO170" s="192">
        <v>-365057.57</v>
      </c>
    </row>
    <row r="171">
      <c r="A171" s="183" t="s">
        <v>23</v>
      </c>
      <c r="B171" s="183" t="s">
        <v>40</v>
      </c>
      <c r="C171" s="184" t="s">
        <v>38</v>
      </c>
      <c r="D171" s="75" t="s">
        <v>39</v>
      </c>
      <c r="E171" s="256">
        <v>45736.0</v>
      </c>
      <c r="F171" s="75" t="s">
        <v>40</v>
      </c>
      <c r="G171" s="186">
        <v>0.0</v>
      </c>
      <c r="H171" s="186">
        <v>3750000.0</v>
      </c>
      <c r="I171" s="186">
        <v>834332.4</v>
      </c>
      <c r="J171" s="186">
        <v>95525.91</v>
      </c>
      <c r="K171" s="186">
        <v>0.0</v>
      </c>
      <c r="L171" s="187">
        <v>0.258293975</v>
      </c>
      <c r="M171" s="188">
        <v>15.0</v>
      </c>
      <c r="N171" s="188">
        <v>23.0</v>
      </c>
      <c r="O171" s="188">
        <v>8.0</v>
      </c>
      <c r="P171" s="188">
        <v>23.0</v>
      </c>
      <c r="Q171" s="188">
        <v>0.0</v>
      </c>
      <c r="R171" s="188">
        <v>12.0</v>
      </c>
      <c r="S171" s="188">
        <v>1.0</v>
      </c>
      <c r="T171" s="188">
        <v>8.0</v>
      </c>
      <c r="U171" s="188">
        <v>141.0</v>
      </c>
      <c r="V171" s="188">
        <v>321.0</v>
      </c>
      <c r="W171" s="188">
        <v>11.0</v>
      </c>
      <c r="X171" s="188">
        <v>12.0</v>
      </c>
      <c r="Y171" s="188">
        <v>12.0</v>
      </c>
      <c r="Z171" s="188">
        <v>117.0</v>
      </c>
      <c r="AA171" s="188">
        <v>473.0</v>
      </c>
      <c r="AB171" s="188">
        <v>71.0</v>
      </c>
      <c r="AC171" s="186">
        <v>13096.595915492959</v>
      </c>
      <c r="AD171" s="189">
        <v>1.647887323943662</v>
      </c>
      <c r="AE171" s="186">
        <v>81780.0</v>
      </c>
      <c r="AF171" s="186">
        <v>19259.0</v>
      </c>
      <c r="AG171" s="187">
        <v>0.10866064099593839</v>
      </c>
      <c r="AH171" s="186">
        <v>69527.7</v>
      </c>
      <c r="AI171" s="258">
        <v>26.0</v>
      </c>
      <c r="AJ171" s="258">
        <v>623.0</v>
      </c>
      <c r="AK171" s="258">
        <v>2386.95</v>
      </c>
      <c r="AL171" s="258">
        <v>104.0</v>
      </c>
      <c r="AM171" s="260"/>
      <c r="AN171" s="260"/>
      <c r="AO171" s="192">
        <v>-929858.31</v>
      </c>
    </row>
    <row r="172">
      <c r="A172" s="183" t="s">
        <v>53</v>
      </c>
      <c r="B172" s="183" t="s">
        <v>56</v>
      </c>
      <c r="C172" s="184" t="s">
        <v>869</v>
      </c>
      <c r="D172" s="75" t="s">
        <v>1093</v>
      </c>
      <c r="E172" s="256">
        <v>45736.0</v>
      </c>
      <c r="F172" s="75" t="s">
        <v>1113</v>
      </c>
      <c r="G172" s="186"/>
      <c r="H172" s="186">
        <v>0.0</v>
      </c>
      <c r="I172" s="186">
        <v>0.0</v>
      </c>
      <c r="J172" s="186">
        <v>0.0</v>
      </c>
      <c r="K172" s="186"/>
      <c r="L172" s="187"/>
      <c r="M172" s="188">
        <v>24.0</v>
      </c>
      <c r="N172" s="188">
        <v>29.0</v>
      </c>
      <c r="O172" s="188">
        <v>6.0</v>
      </c>
      <c r="P172" s="188">
        <v>30.0</v>
      </c>
      <c r="Q172" s="188">
        <v>1.0</v>
      </c>
      <c r="R172" s="188">
        <v>0.0</v>
      </c>
      <c r="S172" s="188">
        <v>0.0</v>
      </c>
      <c r="T172" s="188">
        <v>0.0</v>
      </c>
      <c r="U172" s="188">
        <v>102.0</v>
      </c>
      <c r="V172" s="188">
        <v>232.0</v>
      </c>
      <c r="W172" s="188">
        <v>14.0</v>
      </c>
      <c r="X172" s="188">
        <v>0.0</v>
      </c>
      <c r="Y172" s="188">
        <v>35.0</v>
      </c>
      <c r="Z172" s="188">
        <v>56.0</v>
      </c>
      <c r="AA172" s="188">
        <v>337.0</v>
      </c>
      <c r="AB172" s="188">
        <v>73.0</v>
      </c>
      <c r="AC172" s="186">
        <v>0.0</v>
      </c>
      <c r="AD172" s="189">
        <v>0.7671232876712328</v>
      </c>
      <c r="AE172" s="186">
        <v>113220.0</v>
      </c>
      <c r="AF172" s="186">
        <v>11785.0</v>
      </c>
      <c r="AG172" s="187"/>
      <c r="AH172" s="186"/>
      <c r="AI172" s="258">
        <v>0.0</v>
      </c>
      <c r="AJ172" s="258">
        <v>728.0</v>
      </c>
      <c r="AK172" s="258">
        <v>9472.49</v>
      </c>
      <c r="AL172" s="258">
        <v>327.0</v>
      </c>
      <c r="AM172" s="260"/>
      <c r="AN172" s="260"/>
      <c r="AO172" s="192">
        <v>0.0</v>
      </c>
    </row>
    <row r="173">
      <c r="A173" s="183" t="s">
        <v>97</v>
      </c>
      <c r="B173" s="183" t="s">
        <v>101</v>
      </c>
      <c r="C173" s="184" t="s">
        <v>342</v>
      </c>
      <c r="D173" s="75" t="s">
        <v>343</v>
      </c>
      <c r="E173" s="256">
        <v>45751.0</v>
      </c>
      <c r="F173" s="75" t="s">
        <v>1062</v>
      </c>
      <c r="G173" s="186"/>
      <c r="H173" s="186">
        <v>5418000.0</v>
      </c>
      <c r="I173" s="186">
        <v>2226653.71</v>
      </c>
      <c r="J173" s="186">
        <v>0.0</v>
      </c>
      <c r="K173" s="186">
        <v>0.0</v>
      </c>
      <c r="L173" s="187">
        <v>0.4109733684016242</v>
      </c>
      <c r="M173" s="188">
        <v>203.0</v>
      </c>
      <c r="N173" s="188">
        <v>89.0</v>
      </c>
      <c r="O173" s="188">
        <v>23.0</v>
      </c>
      <c r="P173" s="188">
        <v>226.0</v>
      </c>
      <c r="Q173" s="188">
        <v>137.0</v>
      </c>
      <c r="R173" s="188">
        <v>51.0</v>
      </c>
      <c r="S173" s="188">
        <v>0.0</v>
      </c>
      <c r="T173" s="188">
        <v>23.0</v>
      </c>
      <c r="U173" s="188">
        <v>60.0</v>
      </c>
      <c r="V173" s="188">
        <v>130.0</v>
      </c>
      <c r="W173" s="188">
        <v>43.0</v>
      </c>
      <c r="X173" s="188">
        <v>0.0</v>
      </c>
      <c r="Y173" s="188">
        <v>0.0</v>
      </c>
      <c r="Z173" s="188">
        <v>343.0</v>
      </c>
      <c r="AA173" s="188">
        <v>516.0</v>
      </c>
      <c r="AB173" s="188">
        <v>62.0</v>
      </c>
      <c r="AC173" s="186">
        <v>35913.76951612903</v>
      </c>
      <c r="AD173" s="189">
        <v>5.532258064516129</v>
      </c>
      <c r="AE173" s="186">
        <v>113280.0</v>
      </c>
      <c r="AF173" s="186">
        <v>26742.0</v>
      </c>
      <c r="AG173" s="187">
        <v>0.06288449765275805</v>
      </c>
      <c r="AH173" s="186">
        <v>43659.87666666666</v>
      </c>
      <c r="AI173" s="258">
        <v>111.0</v>
      </c>
      <c r="AJ173" s="258">
        <v>614.0</v>
      </c>
      <c r="AK173" s="258">
        <v>4462.64</v>
      </c>
      <c r="AL173" s="258">
        <v>50.0</v>
      </c>
      <c r="AM173" s="260"/>
      <c r="AN173" s="260"/>
      <c r="AO173" s="192">
        <v>-2226653.71</v>
      </c>
    </row>
    <row r="174">
      <c r="A174" s="183" t="s">
        <v>53</v>
      </c>
      <c r="B174" s="183" t="s">
        <v>56</v>
      </c>
      <c r="C174" s="184" t="s">
        <v>870</v>
      </c>
      <c r="D174" s="75" t="s">
        <v>71</v>
      </c>
      <c r="E174" s="256">
        <v>45761.0</v>
      </c>
      <c r="F174" s="75" t="s">
        <v>1092</v>
      </c>
      <c r="G174" s="186"/>
      <c r="H174" s="186">
        <v>0.0</v>
      </c>
      <c r="I174" s="186">
        <v>0.0</v>
      </c>
      <c r="J174" s="186">
        <v>0.0</v>
      </c>
      <c r="K174" s="186"/>
      <c r="L174" s="187"/>
      <c r="M174" s="188">
        <v>7.0</v>
      </c>
      <c r="N174" s="188">
        <v>8.0</v>
      </c>
      <c r="O174" s="188">
        <v>1.0</v>
      </c>
      <c r="P174" s="188">
        <v>8.0</v>
      </c>
      <c r="Q174" s="188">
        <v>0.0</v>
      </c>
      <c r="R174" s="188">
        <v>0.0</v>
      </c>
      <c r="S174" s="188">
        <v>0.0</v>
      </c>
      <c r="T174" s="188">
        <v>0.0</v>
      </c>
      <c r="U174" s="188">
        <v>9.0</v>
      </c>
      <c r="V174" s="188">
        <v>11.0</v>
      </c>
      <c r="W174" s="188">
        <v>3.0</v>
      </c>
      <c r="X174" s="188">
        <v>0.0</v>
      </c>
      <c r="Y174" s="188">
        <v>6.0</v>
      </c>
      <c r="Z174" s="188">
        <v>9.0</v>
      </c>
      <c r="AA174" s="188">
        <v>29.0</v>
      </c>
      <c r="AB174" s="188">
        <v>9.0</v>
      </c>
      <c r="AC174" s="186">
        <v>0.0</v>
      </c>
      <c r="AD174" s="189">
        <v>1.0</v>
      </c>
      <c r="AE174" s="186">
        <v>21450.0</v>
      </c>
      <c r="AF174" s="186">
        <v>2872.0</v>
      </c>
      <c r="AG174" s="187"/>
      <c r="AH174" s="186"/>
      <c r="AI174" s="258">
        <v>0.0</v>
      </c>
      <c r="AJ174" s="258">
        <v>89.0</v>
      </c>
      <c r="AK174" s="258">
        <v>247.98</v>
      </c>
      <c r="AL174" s="258">
        <v>31.0</v>
      </c>
      <c r="AM174" s="260">
        <v>45771.0</v>
      </c>
      <c r="AN174" s="260"/>
      <c r="AO174" s="192">
        <v>0.0</v>
      </c>
    </row>
    <row r="175">
      <c r="A175" s="183" t="s">
        <v>47</v>
      </c>
      <c r="B175" s="183" t="s">
        <v>422</v>
      </c>
      <c r="C175" s="184" t="s">
        <v>871</v>
      </c>
      <c r="D175" s="75" t="s">
        <v>421</v>
      </c>
      <c r="E175" s="256">
        <v>45761.0</v>
      </c>
      <c r="F175" s="75" t="s">
        <v>1094</v>
      </c>
      <c r="G175" s="186"/>
      <c r="H175" s="186">
        <v>1333334.0</v>
      </c>
      <c r="I175" s="186">
        <v>459344.65</v>
      </c>
      <c r="J175" s="186">
        <v>0.0</v>
      </c>
      <c r="K175" s="186">
        <v>575894.9</v>
      </c>
      <c r="L175" s="187">
        <v>0.2680998562224455</v>
      </c>
      <c r="M175" s="188">
        <v>13.0</v>
      </c>
      <c r="N175" s="188">
        <v>27.0</v>
      </c>
      <c r="O175" s="188">
        <v>15.0</v>
      </c>
      <c r="P175" s="188">
        <v>28.0</v>
      </c>
      <c r="Q175" s="188">
        <v>1.0</v>
      </c>
      <c r="R175" s="188">
        <v>16.0</v>
      </c>
      <c r="S175" s="188">
        <v>0.0</v>
      </c>
      <c r="T175" s="188">
        <v>14.0</v>
      </c>
      <c r="U175" s="188">
        <v>207.0</v>
      </c>
      <c r="V175" s="188">
        <v>381.0</v>
      </c>
      <c r="W175" s="188">
        <v>36.0</v>
      </c>
      <c r="X175" s="188">
        <v>0.0</v>
      </c>
      <c r="Y175" s="188">
        <v>20.0</v>
      </c>
      <c r="Z175" s="188">
        <v>53.0</v>
      </c>
      <c r="AA175" s="188">
        <v>490.0</v>
      </c>
      <c r="AB175" s="188">
        <v>60.0</v>
      </c>
      <c r="AC175" s="186">
        <v>7655.744166666667</v>
      </c>
      <c r="AD175" s="189">
        <v>0.8833333333333333</v>
      </c>
      <c r="AE175" s="186">
        <v>61988.399999999994</v>
      </c>
      <c r="AF175" s="186">
        <v>14954.0</v>
      </c>
      <c r="AG175" s="187">
        <v>0.16750472657077858</v>
      </c>
      <c r="AH175" s="186">
        <v>28709.040625</v>
      </c>
      <c r="AI175" s="258">
        <v>19.0</v>
      </c>
      <c r="AJ175" s="258">
        <v>590.0</v>
      </c>
      <c r="AK175" s="258">
        <v>2467.9</v>
      </c>
      <c r="AL175" s="258">
        <v>91.0</v>
      </c>
      <c r="AM175" s="260"/>
      <c r="AN175" s="260"/>
      <c r="AO175" s="192">
        <v>116550.25</v>
      </c>
    </row>
    <row r="176">
      <c r="A176" s="183" t="s">
        <v>73</v>
      </c>
      <c r="B176" s="183" t="s">
        <v>1229</v>
      </c>
      <c r="C176" s="184" t="s">
        <v>360</v>
      </c>
      <c r="D176" s="75" t="s">
        <v>82</v>
      </c>
      <c r="E176" s="256">
        <v>45765.0</v>
      </c>
      <c r="F176" s="75" t="s">
        <v>76</v>
      </c>
      <c r="G176" s="186"/>
      <c r="H176" s="186">
        <v>2800000.8</v>
      </c>
      <c r="I176" s="186">
        <v>213424.4</v>
      </c>
      <c r="J176" s="186">
        <v>0.0</v>
      </c>
      <c r="K176" s="186">
        <v>415320.0</v>
      </c>
      <c r="L176" s="187">
        <v>0.07622297822200623</v>
      </c>
      <c r="M176" s="188">
        <v>9.0</v>
      </c>
      <c r="N176" s="188">
        <v>11.0</v>
      </c>
      <c r="O176" s="188">
        <v>2.0</v>
      </c>
      <c r="P176" s="188">
        <v>11.0</v>
      </c>
      <c r="Q176" s="188">
        <v>0.0</v>
      </c>
      <c r="R176" s="188">
        <v>6.0</v>
      </c>
      <c r="S176" s="188">
        <v>0.0</v>
      </c>
      <c r="T176" s="188">
        <v>2.0</v>
      </c>
      <c r="U176" s="188">
        <v>84.0</v>
      </c>
      <c r="V176" s="188">
        <v>155.0</v>
      </c>
      <c r="W176" s="188">
        <v>63.0</v>
      </c>
      <c r="X176" s="188">
        <v>5.0</v>
      </c>
      <c r="Y176" s="188">
        <v>12.0</v>
      </c>
      <c r="Z176" s="188">
        <v>31.0</v>
      </c>
      <c r="AA176" s="188">
        <v>266.0</v>
      </c>
      <c r="AB176" s="188">
        <v>57.0</v>
      </c>
      <c r="AC176" s="186">
        <v>3744.2877192982455</v>
      </c>
      <c r="AD176" s="189">
        <v>0.543859649122807</v>
      </c>
      <c r="AE176" s="186">
        <v>61680.0</v>
      </c>
      <c r="AF176" s="186">
        <v>2200.0</v>
      </c>
      <c r="AG176" s="187">
        <v>0.29930973215808504</v>
      </c>
      <c r="AH176" s="186">
        <v>35570.73333333333</v>
      </c>
      <c r="AI176" s="258">
        <v>10.0</v>
      </c>
      <c r="AJ176" s="258">
        <v>478.0</v>
      </c>
      <c r="AK176" s="258">
        <v>3187.2</v>
      </c>
      <c r="AL176" s="258">
        <v>290.0</v>
      </c>
      <c r="AM176" s="260"/>
      <c r="AN176" s="260"/>
      <c r="AO176" s="192">
        <v>201895.6</v>
      </c>
    </row>
    <row r="177">
      <c r="A177" s="183" t="s">
        <v>298</v>
      </c>
      <c r="B177" s="183" t="s">
        <v>301</v>
      </c>
      <c r="C177" s="184" t="s">
        <v>637</v>
      </c>
      <c r="D177" s="75" t="s">
        <v>317</v>
      </c>
      <c r="E177" s="256">
        <v>45778.0</v>
      </c>
      <c r="F177" s="75" t="s">
        <v>1066</v>
      </c>
      <c r="G177" s="186"/>
      <c r="H177" s="186">
        <v>2400000.0</v>
      </c>
      <c r="I177" s="186">
        <v>922461.99</v>
      </c>
      <c r="J177" s="186">
        <v>0.0</v>
      </c>
      <c r="K177" s="186"/>
      <c r="L177" s="187">
        <v>0.3843591625</v>
      </c>
      <c r="M177" s="188">
        <v>65.0</v>
      </c>
      <c r="N177" s="188">
        <v>40.0</v>
      </c>
      <c r="O177" s="188">
        <v>9.0</v>
      </c>
      <c r="P177" s="188">
        <v>74.0</v>
      </c>
      <c r="Q177" s="188">
        <v>34.0</v>
      </c>
      <c r="R177" s="188">
        <v>10.0</v>
      </c>
      <c r="S177" s="188">
        <v>0.0</v>
      </c>
      <c r="T177" s="188">
        <v>9.0</v>
      </c>
      <c r="U177" s="188">
        <v>19.0</v>
      </c>
      <c r="V177" s="188">
        <v>31.0</v>
      </c>
      <c r="W177" s="188">
        <v>9.0</v>
      </c>
      <c r="X177" s="188">
        <v>4.0</v>
      </c>
      <c r="Y177" s="188">
        <v>0.0</v>
      </c>
      <c r="Z177" s="188">
        <v>74.0</v>
      </c>
      <c r="AA177" s="188">
        <v>118.0</v>
      </c>
      <c r="AB177" s="188">
        <v>42.0</v>
      </c>
      <c r="AC177" s="186">
        <v>21963.380714285715</v>
      </c>
      <c r="AD177" s="189">
        <v>1.7619047619047619</v>
      </c>
      <c r="AE177" s="186">
        <v>93780.0</v>
      </c>
      <c r="AF177" s="186">
        <v>5250.0</v>
      </c>
      <c r="AG177" s="187">
        <v>0.10735401683054713</v>
      </c>
      <c r="AH177" s="186">
        <v>92246.199</v>
      </c>
      <c r="AI177" s="258">
        <v>20.0</v>
      </c>
      <c r="AJ177" s="258">
        <v>345.0</v>
      </c>
      <c r="AK177" s="258">
        <v>1483.89</v>
      </c>
      <c r="AL177" s="258">
        <v>37.0</v>
      </c>
      <c r="AM177" s="260"/>
      <c r="AN177" s="260"/>
      <c r="AO177" s="192">
        <v>-922461.99</v>
      </c>
    </row>
    <row r="178">
      <c r="A178" s="183" t="s">
        <v>53</v>
      </c>
      <c r="B178" s="183" t="s">
        <v>61</v>
      </c>
      <c r="C178" s="184" t="s">
        <v>654</v>
      </c>
      <c r="D178" s="75" t="s">
        <v>1114</v>
      </c>
      <c r="E178" s="256">
        <v>45778.0</v>
      </c>
      <c r="F178" s="75" t="s">
        <v>1077</v>
      </c>
      <c r="G178" s="186"/>
      <c r="H178" s="186">
        <v>0.0</v>
      </c>
      <c r="I178" s="186">
        <v>0.0</v>
      </c>
      <c r="J178" s="186">
        <v>0.0</v>
      </c>
      <c r="K178" s="186"/>
      <c r="L178" s="187"/>
      <c r="M178" s="188">
        <v>57.0</v>
      </c>
      <c r="N178" s="188">
        <v>10.0</v>
      </c>
      <c r="O178" s="188">
        <v>0.0</v>
      </c>
      <c r="P178" s="188">
        <v>57.0</v>
      </c>
      <c r="Q178" s="188">
        <v>47.0</v>
      </c>
      <c r="R178" s="188">
        <v>0.0</v>
      </c>
      <c r="S178" s="188">
        <v>0.0</v>
      </c>
      <c r="T178" s="188">
        <v>0.0</v>
      </c>
      <c r="U178" s="188">
        <v>14.0</v>
      </c>
      <c r="V178" s="188">
        <v>25.0</v>
      </c>
      <c r="W178" s="188">
        <v>30.0</v>
      </c>
      <c r="X178" s="188">
        <v>0.0</v>
      </c>
      <c r="Y178" s="188">
        <v>15.0</v>
      </c>
      <c r="Z178" s="188">
        <v>28.0</v>
      </c>
      <c r="AA178" s="188">
        <v>98.0</v>
      </c>
      <c r="AB178" s="188">
        <v>46.0</v>
      </c>
      <c r="AC178" s="186">
        <v>0.0</v>
      </c>
      <c r="AD178" s="189">
        <v>0.6086956521739131</v>
      </c>
      <c r="AE178" s="186">
        <v>101720.0</v>
      </c>
      <c r="AF178" s="186">
        <v>0.0</v>
      </c>
      <c r="AG178" s="187"/>
      <c r="AH178" s="186"/>
      <c r="AI178" s="258">
        <v>0.0</v>
      </c>
      <c r="AJ178" s="258">
        <v>484.0</v>
      </c>
      <c r="AK178" s="258">
        <v>7158.71</v>
      </c>
      <c r="AL178" s="258">
        <v>716.0</v>
      </c>
      <c r="AM178" s="260"/>
      <c r="AN178" s="260"/>
      <c r="AO178" s="192">
        <v>0.0</v>
      </c>
    </row>
    <row r="179">
      <c r="A179" s="183" t="s">
        <v>47</v>
      </c>
      <c r="B179" s="183" t="s">
        <v>50</v>
      </c>
      <c r="C179" s="184" t="s">
        <v>872</v>
      </c>
      <c r="D179" s="75" t="s">
        <v>1115</v>
      </c>
      <c r="E179" s="256">
        <v>45782.0</v>
      </c>
      <c r="F179" s="75" t="s">
        <v>1091</v>
      </c>
      <c r="G179" s="186"/>
      <c r="H179" s="186">
        <v>0.0</v>
      </c>
      <c r="I179" s="186">
        <v>0.0</v>
      </c>
      <c r="J179" s="186">
        <v>0.0</v>
      </c>
      <c r="K179" s="186"/>
      <c r="L179" s="187"/>
      <c r="M179" s="188">
        <v>0.0</v>
      </c>
      <c r="N179" s="188">
        <v>0.0</v>
      </c>
      <c r="O179" s="188">
        <v>0.0</v>
      </c>
      <c r="P179" s="188">
        <v>0.0</v>
      </c>
      <c r="Q179" s="188">
        <v>0.0</v>
      </c>
      <c r="R179" s="188">
        <v>0.0</v>
      </c>
      <c r="S179" s="188">
        <v>0.0</v>
      </c>
      <c r="T179" s="188">
        <v>0.0</v>
      </c>
      <c r="U179" s="188">
        <v>10.0</v>
      </c>
      <c r="V179" s="188">
        <v>16.0</v>
      </c>
      <c r="W179" s="188">
        <v>9.0</v>
      </c>
      <c r="X179" s="188">
        <v>0.0</v>
      </c>
      <c r="Y179" s="188">
        <v>237.0</v>
      </c>
      <c r="Z179" s="188">
        <v>0.0</v>
      </c>
      <c r="AA179" s="188">
        <v>262.0</v>
      </c>
      <c r="AB179" s="188">
        <v>44.0</v>
      </c>
      <c r="AC179" s="186">
        <v>0.0</v>
      </c>
      <c r="AD179" s="189">
        <v>0.0</v>
      </c>
      <c r="AE179" s="186">
        <v>129170.0</v>
      </c>
      <c r="AF179" s="186">
        <v>43728.0</v>
      </c>
      <c r="AG179" s="187"/>
      <c r="AH179" s="186"/>
      <c r="AI179" s="258">
        <v>0.0</v>
      </c>
      <c r="AJ179" s="258">
        <v>511.0</v>
      </c>
      <c r="AK179" s="258">
        <v>5645.74</v>
      </c>
      <c r="AL179" s="258">
        <v>0.0</v>
      </c>
      <c r="AM179" s="260"/>
      <c r="AN179" s="260"/>
      <c r="AO179" s="192">
        <v>0.0</v>
      </c>
    </row>
    <row r="180">
      <c r="A180" s="183" t="s">
        <v>185</v>
      </c>
      <c r="B180" s="183" t="s">
        <v>189</v>
      </c>
      <c r="C180" s="184" t="s">
        <v>283</v>
      </c>
      <c r="D180" s="75" t="s">
        <v>1117</v>
      </c>
      <c r="E180" s="256">
        <v>45784.0</v>
      </c>
      <c r="F180" s="75" t="s">
        <v>1016</v>
      </c>
      <c r="G180" s="186"/>
      <c r="H180" s="186">
        <v>5000000.0</v>
      </c>
      <c r="I180" s="186">
        <v>2067540.64</v>
      </c>
      <c r="J180" s="186">
        <v>0.0</v>
      </c>
      <c r="K180" s="186">
        <v>1924436.9</v>
      </c>
      <c r="L180" s="187">
        <v>0.413508128</v>
      </c>
      <c r="M180" s="188">
        <v>29.0</v>
      </c>
      <c r="N180" s="188">
        <v>38.0</v>
      </c>
      <c r="O180" s="188">
        <v>11.0</v>
      </c>
      <c r="P180" s="188">
        <v>40.0</v>
      </c>
      <c r="Q180" s="188">
        <v>2.0</v>
      </c>
      <c r="R180" s="188">
        <v>25.0</v>
      </c>
      <c r="S180" s="188">
        <v>0.0</v>
      </c>
      <c r="T180" s="188">
        <v>11.0</v>
      </c>
      <c r="U180" s="188">
        <v>19.0</v>
      </c>
      <c r="V180" s="188">
        <v>55.0</v>
      </c>
      <c r="W180" s="188">
        <v>2.0</v>
      </c>
      <c r="X180" s="188">
        <v>0.0</v>
      </c>
      <c r="Y180" s="188">
        <v>0.0</v>
      </c>
      <c r="Z180" s="188">
        <v>208.0</v>
      </c>
      <c r="AA180" s="188">
        <v>265.0</v>
      </c>
      <c r="AB180" s="188">
        <v>43.0</v>
      </c>
      <c r="AC180" s="186">
        <v>48082.34046511628</v>
      </c>
      <c r="AD180" s="189">
        <v>4.837209302325581</v>
      </c>
      <c r="AE180" s="186">
        <v>51400.0</v>
      </c>
      <c r="AF180" s="186">
        <v>6990.0</v>
      </c>
      <c r="AG180" s="187">
        <v>0.028241282841240792</v>
      </c>
      <c r="AH180" s="186">
        <v>82701.6256</v>
      </c>
      <c r="AI180" s="258">
        <v>54.0</v>
      </c>
      <c r="AJ180" s="258">
        <v>451.0</v>
      </c>
      <c r="AK180" s="258">
        <v>3508.67</v>
      </c>
      <c r="AL180" s="258">
        <v>92.0</v>
      </c>
      <c r="AM180" s="260"/>
      <c r="AN180" s="260"/>
      <c r="AO180" s="192">
        <v>-143103.74</v>
      </c>
    </row>
    <row r="181">
      <c r="A181" s="183" t="s">
        <v>53</v>
      </c>
      <c r="B181" s="183" t="s">
        <v>61</v>
      </c>
      <c r="C181" s="184" t="s">
        <v>375</v>
      </c>
      <c r="D181" s="75" t="s">
        <v>376</v>
      </c>
      <c r="E181" s="256">
        <v>45789.0</v>
      </c>
      <c r="F181" s="75" t="s">
        <v>1077</v>
      </c>
      <c r="G181" s="186">
        <v>1273352.0</v>
      </c>
      <c r="H181" s="186">
        <v>1000000.0</v>
      </c>
      <c r="I181" s="186">
        <v>408270.54</v>
      </c>
      <c r="J181" s="186">
        <v>0.0</v>
      </c>
      <c r="K181" s="186">
        <v>333568.0</v>
      </c>
      <c r="L181" s="187">
        <v>0.5071683726708074</v>
      </c>
      <c r="M181" s="188">
        <v>84.0</v>
      </c>
      <c r="N181" s="188">
        <v>58.0</v>
      </c>
      <c r="O181" s="188">
        <v>5.0</v>
      </c>
      <c r="P181" s="188">
        <v>89.0</v>
      </c>
      <c r="Q181" s="188">
        <v>31.0</v>
      </c>
      <c r="R181" s="188">
        <v>10.0</v>
      </c>
      <c r="S181" s="188">
        <v>0.0</v>
      </c>
      <c r="T181" s="188">
        <v>2.0</v>
      </c>
      <c r="U181" s="188">
        <v>44.0</v>
      </c>
      <c r="V181" s="188">
        <v>65.0</v>
      </c>
      <c r="W181" s="188">
        <v>9.0</v>
      </c>
      <c r="X181" s="188">
        <v>0.0</v>
      </c>
      <c r="Y181" s="188">
        <v>6.0</v>
      </c>
      <c r="Z181" s="188">
        <v>127.0</v>
      </c>
      <c r="AA181" s="188">
        <v>207.0</v>
      </c>
      <c r="AB181" s="188">
        <v>39.0</v>
      </c>
      <c r="AC181" s="186">
        <v>10468.475384615384</v>
      </c>
      <c r="AD181" s="189">
        <v>3.2564102564102564</v>
      </c>
      <c r="AE181" s="186">
        <v>48944.0</v>
      </c>
      <c r="AF181" s="186">
        <v>0.0</v>
      </c>
      <c r="AG181" s="187">
        <v>0.11988129243907729</v>
      </c>
      <c r="AH181" s="186">
        <v>40827.054</v>
      </c>
      <c r="AI181" s="258">
        <v>14.0</v>
      </c>
      <c r="AJ181" s="258">
        <v>388.0</v>
      </c>
      <c r="AK181" s="258">
        <v>2839.01</v>
      </c>
      <c r="AL181" s="258">
        <v>49.0</v>
      </c>
      <c r="AM181" s="260"/>
      <c r="AN181" s="260"/>
      <c r="AO181" s="192">
        <v>-74702.53999999998</v>
      </c>
    </row>
    <row r="182">
      <c r="A182" s="183" t="s">
        <v>97</v>
      </c>
      <c r="B182" s="183" t="s">
        <v>101</v>
      </c>
      <c r="C182" s="184" t="s">
        <v>106</v>
      </c>
      <c r="D182" s="75" t="s">
        <v>107</v>
      </c>
      <c r="E182" s="256">
        <v>45793.0</v>
      </c>
      <c r="F182" s="75" t="s">
        <v>1062</v>
      </c>
      <c r="G182" s="186"/>
      <c r="H182" s="186">
        <v>2304000.0</v>
      </c>
      <c r="I182" s="186">
        <v>1024185.0</v>
      </c>
      <c r="J182" s="186">
        <v>0.0</v>
      </c>
      <c r="K182" s="186">
        <v>0.0</v>
      </c>
      <c r="L182" s="187">
        <v>0.3333935546875</v>
      </c>
      <c r="M182" s="188">
        <v>32.0</v>
      </c>
      <c r="N182" s="188">
        <v>39.0</v>
      </c>
      <c r="O182" s="188">
        <v>19.0</v>
      </c>
      <c r="P182" s="188">
        <v>51.0</v>
      </c>
      <c r="Q182" s="188">
        <v>12.0</v>
      </c>
      <c r="R182" s="188">
        <v>33.0</v>
      </c>
      <c r="S182" s="188">
        <v>0.0</v>
      </c>
      <c r="T182" s="188">
        <v>19.0</v>
      </c>
      <c r="U182" s="188">
        <v>3.0</v>
      </c>
      <c r="V182" s="188">
        <v>7.0</v>
      </c>
      <c r="W182" s="188">
        <v>3.0</v>
      </c>
      <c r="X182" s="188">
        <v>0.0</v>
      </c>
      <c r="Y182" s="188">
        <v>0.0</v>
      </c>
      <c r="Z182" s="188">
        <v>93.0</v>
      </c>
      <c r="AA182" s="188">
        <v>103.0</v>
      </c>
      <c r="AB182" s="188">
        <v>36.0</v>
      </c>
      <c r="AC182" s="186">
        <v>28449.583333333332</v>
      </c>
      <c r="AD182" s="189">
        <v>2.5833333333333335</v>
      </c>
      <c r="AE182" s="186">
        <v>39960.0</v>
      </c>
      <c r="AF182" s="186">
        <v>6244.0</v>
      </c>
      <c r="AG182" s="187">
        <v>0.045112943462362755</v>
      </c>
      <c r="AH182" s="186">
        <v>31035.909090909092</v>
      </c>
      <c r="AI182" s="258">
        <v>51.0</v>
      </c>
      <c r="AJ182" s="258">
        <v>346.0</v>
      </c>
      <c r="AK182" s="258">
        <v>2046.4</v>
      </c>
      <c r="AL182" s="258">
        <v>52.0</v>
      </c>
      <c r="AM182" s="260"/>
      <c r="AN182" s="260"/>
      <c r="AO182" s="192">
        <v>-1024185.0</v>
      </c>
    </row>
    <row r="183">
      <c r="A183" s="183" t="s">
        <v>185</v>
      </c>
      <c r="B183" s="183" t="s">
        <v>189</v>
      </c>
      <c r="C183" s="184" t="s">
        <v>874</v>
      </c>
      <c r="D183" s="75" t="s">
        <v>1118</v>
      </c>
      <c r="E183" s="256">
        <v>45796.0</v>
      </c>
      <c r="F183" s="75" t="s">
        <v>1016</v>
      </c>
      <c r="G183" s="186"/>
      <c r="H183" s="186">
        <v>0.0</v>
      </c>
      <c r="I183" s="186">
        <v>0.0</v>
      </c>
      <c r="J183" s="186">
        <v>0.0</v>
      </c>
      <c r="K183" s="186"/>
      <c r="L183" s="187"/>
      <c r="M183" s="188">
        <v>0.0</v>
      </c>
      <c r="N183" s="188">
        <v>0.0</v>
      </c>
      <c r="O183" s="188">
        <v>0.0</v>
      </c>
      <c r="P183" s="188">
        <v>0.0</v>
      </c>
      <c r="Q183" s="188">
        <v>0.0</v>
      </c>
      <c r="R183" s="188">
        <v>0.0</v>
      </c>
      <c r="S183" s="188">
        <v>0.0</v>
      </c>
      <c r="T183" s="188">
        <v>0.0</v>
      </c>
      <c r="U183" s="188">
        <v>0.0</v>
      </c>
      <c r="V183" s="188">
        <v>0.0</v>
      </c>
      <c r="W183" s="188">
        <v>0.0</v>
      </c>
      <c r="X183" s="188">
        <v>0.0</v>
      </c>
      <c r="Y183" s="188">
        <v>1.0</v>
      </c>
      <c r="Z183" s="188">
        <v>0.0</v>
      </c>
      <c r="AA183" s="188">
        <v>1.0</v>
      </c>
      <c r="AB183" s="188">
        <v>1.0</v>
      </c>
      <c r="AC183" s="186">
        <v>0.0</v>
      </c>
      <c r="AD183" s="189">
        <v>0.0</v>
      </c>
      <c r="AE183" s="186">
        <v>5720.0</v>
      </c>
      <c r="AF183" s="186"/>
      <c r="AG183" s="187"/>
      <c r="AH183" s="186"/>
      <c r="AI183" s="258">
        <v>0.0</v>
      </c>
      <c r="AJ183" s="258">
        <v>18.0</v>
      </c>
      <c r="AK183" s="258">
        <v>19.72</v>
      </c>
      <c r="AL183" s="258">
        <v>0.0</v>
      </c>
      <c r="AM183" s="260">
        <v>45804.0</v>
      </c>
      <c r="AN183" s="260"/>
      <c r="AO183" s="192">
        <v>0.0</v>
      </c>
    </row>
    <row r="184">
      <c r="A184" s="183" t="s">
        <v>185</v>
      </c>
      <c r="B184" s="183" t="s">
        <v>212</v>
      </c>
      <c r="C184" s="184" t="s">
        <v>784</v>
      </c>
      <c r="D184" s="75" t="s">
        <v>219</v>
      </c>
      <c r="E184" s="256">
        <v>45797.0</v>
      </c>
      <c r="F184" s="75" t="s">
        <v>1031</v>
      </c>
      <c r="G184" s="186">
        <v>0.0</v>
      </c>
      <c r="H184" s="186">
        <v>0.0</v>
      </c>
      <c r="I184" s="186">
        <v>0.0</v>
      </c>
      <c r="J184" s="186">
        <v>0.0</v>
      </c>
      <c r="K184" s="186"/>
      <c r="L184" s="187"/>
      <c r="M184" s="188">
        <v>46.0</v>
      </c>
      <c r="N184" s="188">
        <v>0.0</v>
      </c>
      <c r="O184" s="188">
        <v>1.0</v>
      </c>
      <c r="P184" s="188">
        <v>47.0</v>
      </c>
      <c r="Q184" s="188">
        <v>47.0</v>
      </c>
      <c r="R184" s="188">
        <v>0.0</v>
      </c>
      <c r="S184" s="188">
        <v>0.0</v>
      </c>
      <c r="T184" s="188">
        <v>0.0</v>
      </c>
      <c r="U184" s="188">
        <v>0.0</v>
      </c>
      <c r="V184" s="188">
        <v>0.0</v>
      </c>
      <c r="W184" s="188">
        <v>0.0</v>
      </c>
      <c r="X184" s="188">
        <v>0.0</v>
      </c>
      <c r="Y184" s="188">
        <v>0.0</v>
      </c>
      <c r="Z184" s="188">
        <v>0.0</v>
      </c>
      <c r="AA184" s="188">
        <v>0.0</v>
      </c>
      <c r="AB184" s="188">
        <v>0.0</v>
      </c>
      <c r="AC184" s="186"/>
      <c r="AD184" s="189"/>
      <c r="AE184" s="186">
        <v>161055.0</v>
      </c>
      <c r="AF184" s="186"/>
      <c r="AG184" s="187"/>
      <c r="AH184" s="186"/>
      <c r="AI184" s="258">
        <v>0.0</v>
      </c>
      <c r="AJ184" s="258">
        <v>0.0</v>
      </c>
      <c r="AK184" s="258">
        <v>0.0</v>
      </c>
      <c r="AL184" s="258">
        <v>0.0</v>
      </c>
      <c r="AM184" s="260"/>
      <c r="AN184" s="260"/>
      <c r="AO184" s="192">
        <v>0.0</v>
      </c>
    </row>
    <row r="185">
      <c r="A185" s="183" t="s">
        <v>126</v>
      </c>
      <c r="B185" s="183" t="s">
        <v>130</v>
      </c>
      <c r="C185" s="184" t="s">
        <v>447</v>
      </c>
      <c r="D185" s="75" t="s">
        <v>448</v>
      </c>
      <c r="E185" s="256">
        <v>45797.0</v>
      </c>
      <c r="F185" s="75" t="s">
        <v>130</v>
      </c>
      <c r="G185" s="186"/>
      <c r="H185" s="186">
        <v>1200000.0</v>
      </c>
      <c r="I185" s="186">
        <v>344499.98</v>
      </c>
      <c r="J185" s="186">
        <v>0.0</v>
      </c>
      <c r="K185" s="186">
        <v>344140.0</v>
      </c>
      <c r="L185" s="187">
        <v>0.2126543086419753</v>
      </c>
      <c r="M185" s="188">
        <v>18.0</v>
      </c>
      <c r="N185" s="188">
        <v>20.0</v>
      </c>
      <c r="O185" s="188">
        <v>5.0</v>
      </c>
      <c r="P185" s="188">
        <v>23.0</v>
      </c>
      <c r="Q185" s="188">
        <v>3.0</v>
      </c>
      <c r="R185" s="188">
        <v>6.0</v>
      </c>
      <c r="S185" s="188">
        <v>0.0</v>
      </c>
      <c r="T185" s="188">
        <v>5.0</v>
      </c>
      <c r="U185" s="188">
        <v>93.0</v>
      </c>
      <c r="V185" s="188">
        <v>191.0</v>
      </c>
      <c r="W185" s="188">
        <v>6.0</v>
      </c>
      <c r="X185" s="188">
        <v>0.0</v>
      </c>
      <c r="Y185" s="188">
        <v>0.0</v>
      </c>
      <c r="Z185" s="188">
        <v>45.0</v>
      </c>
      <c r="AA185" s="188">
        <v>242.0</v>
      </c>
      <c r="AB185" s="188">
        <v>33.0</v>
      </c>
      <c r="AC185" s="186">
        <v>10439.393333333333</v>
      </c>
      <c r="AD185" s="189">
        <v>1.3636363636363635</v>
      </c>
      <c r="AE185" s="186">
        <v>44617.5</v>
      </c>
      <c r="AF185" s="186">
        <v>5166.0</v>
      </c>
      <c r="AG185" s="187">
        <v>0.14450944235178187</v>
      </c>
      <c r="AH185" s="186">
        <v>57416.66333333333</v>
      </c>
      <c r="AI185" s="258">
        <v>6.0</v>
      </c>
      <c r="AJ185" s="258">
        <v>314.0</v>
      </c>
      <c r="AK185" s="258">
        <v>2024.24</v>
      </c>
      <c r="AL185" s="258">
        <v>101.0</v>
      </c>
      <c r="AM185" s="260"/>
      <c r="AN185" s="260"/>
      <c r="AO185" s="192">
        <v>-359.9799999999814</v>
      </c>
    </row>
    <row r="186">
      <c r="A186" s="183" t="s">
        <v>322</v>
      </c>
      <c r="B186" s="183" t="s">
        <v>325</v>
      </c>
      <c r="C186" s="184" t="s">
        <v>328</v>
      </c>
      <c r="D186" s="75" t="s">
        <v>329</v>
      </c>
      <c r="E186" s="256">
        <v>45810.0</v>
      </c>
      <c r="F186" s="75" t="s">
        <v>1049</v>
      </c>
      <c r="G186" s="186"/>
      <c r="H186" s="186">
        <v>800000.0</v>
      </c>
      <c r="I186" s="186">
        <v>47444.28</v>
      </c>
      <c r="J186" s="186">
        <v>0.0</v>
      </c>
      <c r="K186" s="186"/>
      <c r="L186" s="187">
        <v>0.05930535</v>
      </c>
      <c r="M186" s="188">
        <v>10.0</v>
      </c>
      <c r="N186" s="188">
        <v>9.0</v>
      </c>
      <c r="O186" s="188">
        <v>1.0</v>
      </c>
      <c r="P186" s="188">
        <v>11.0</v>
      </c>
      <c r="Q186" s="188">
        <v>2.0</v>
      </c>
      <c r="R186" s="188">
        <v>3.0</v>
      </c>
      <c r="S186" s="188">
        <v>0.0</v>
      </c>
      <c r="T186" s="188">
        <v>1.0</v>
      </c>
      <c r="U186" s="188">
        <v>39.0</v>
      </c>
      <c r="V186" s="188">
        <v>46.0</v>
      </c>
      <c r="W186" s="188">
        <v>2.0</v>
      </c>
      <c r="X186" s="188">
        <v>0.0</v>
      </c>
      <c r="Y186" s="188">
        <v>1.0</v>
      </c>
      <c r="Z186" s="188">
        <v>19.0</v>
      </c>
      <c r="AA186" s="188">
        <v>68.0</v>
      </c>
      <c r="AB186" s="188">
        <v>14.0</v>
      </c>
      <c r="AC186" s="186">
        <v>3388.8771428571426</v>
      </c>
      <c r="AD186" s="189">
        <v>1.3571428571428572</v>
      </c>
      <c r="AE186" s="186">
        <v>38285.0</v>
      </c>
      <c r="AF186" s="186"/>
      <c r="AG186" s="187">
        <v>0.8069465908219073</v>
      </c>
      <c r="AH186" s="186">
        <v>15814.76</v>
      </c>
      <c r="AI186" s="258">
        <v>4.0</v>
      </c>
      <c r="AJ186" s="258">
        <v>144.0</v>
      </c>
      <c r="AK186" s="258">
        <v>432.92</v>
      </c>
      <c r="AL186" s="258">
        <v>48.0</v>
      </c>
      <c r="AM186" s="260"/>
      <c r="AN186" s="260"/>
      <c r="AO186" s="192">
        <v>-47444.28</v>
      </c>
    </row>
    <row r="187">
      <c r="A187" s="183" t="s">
        <v>53</v>
      </c>
      <c r="B187" s="183" t="s">
        <v>56</v>
      </c>
      <c r="C187" s="184" t="s">
        <v>366</v>
      </c>
      <c r="D187" s="75" t="s">
        <v>71</v>
      </c>
      <c r="E187" s="256">
        <v>45812.0</v>
      </c>
      <c r="F187" s="75" t="s">
        <v>1092</v>
      </c>
      <c r="G187" s="186"/>
      <c r="H187" s="186">
        <v>500000.0</v>
      </c>
      <c r="I187" s="186">
        <v>39699.2</v>
      </c>
      <c r="J187" s="186">
        <v>0.0</v>
      </c>
      <c r="K187" s="186"/>
      <c r="L187" s="187">
        <v>0.0793984</v>
      </c>
      <c r="M187" s="188">
        <v>10.0</v>
      </c>
      <c r="N187" s="188">
        <v>9.0</v>
      </c>
      <c r="O187" s="188">
        <v>2.0</v>
      </c>
      <c r="P187" s="188">
        <v>12.0</v>
      </c>
      <c r="Q187" s="188">
        <v>3.0</v>
      </c>
      <c r="R187" s="188">
        <v>3.0</v>
      </c>
      <c r="S187" s="188">
        <v>0.0</v>
      </c>
      <c r="T187" s="188">
        <v>1.0</v>
      </c>
      <c r="U187" s="188">
        <v>61.0</v>
      </c>
      <c r="V187" s="188">
        <v>76.0</v>
      </c>
      <c r="W187" s="188">
        <v>2.0</v>
      </c>
      <c r="X187" s="188">
        <v>0.0</v>
      </c>
      <c r="Y187" s="188">
        <v>1.0</v>
      </c>
      <c r="Z187" s="188">
        <v>14.0</v>
      </c>
      <c r="AA187" s="188">
        <v>93.0</v>
      </c>
      <c r="AB187" s="188">
        <v>16.0</v>
      </c>
      <c r="AC187" s="186">
        <v>2481.2</v>
      </c>
      <c r="AD187" s="189">
        <v>0.875</v>
      </c>
      <c r="AE187" s="186">
        <v>24120.0</v>
      </c>
      <c r="AF187" s="186"/>
      <c r="AG187" s="187">
        <v>0.6075689182653555</v>
      </c>
      <c r="AH187" s="186">
        <v>13233.066666666666</v>
      </c>
      <c r="AI187" s="258">
        <v>3.0</v>
      </c>
      <c r="AJ187" s="258">
        <v>153.0</v>
      </c>
      <c r="AK187" s="258">
        <v>1366.91</v>
      </c>
      <c r="AL187" s="258">
        <v>152.0</v>
      </c>
      <c r="AM187" s="260"/>
      <c r="AN187" s="260"/>
      <c r="AO187" s="192">
        <v>-39699.2</v>
      </c>
    </row>
    <row r="188">
      <c r="A188" s="183" t="s">
        <v>185</v>
      </c>
      <c r="B188" s="183" t="s">
        <v>85</v>
      </c>
      <c r="C188" s="184" t="s">
        <v>395</v>
      </c>
      <c r="D188" s="75" t="s">
        <v>396</v>
      </c>
      <c r="E188" s="256">
        <v>45817.0</v>
      </c>
      <c r="F188" s="75" t="s">
        <v>1058</v>
      </c>
      <c r="G188" s="186"/>
      <c r="H188" s="186">
        <v>1500000.0</v>
      </c>
      <c r="I188" s="186">
        <v>0.0</v>
      </c>
      <c r="J188" s="186">
        <v>0.0</v>
      </c>
      <c r="K188" s="186"/>
      <c r="L188" s="187">
        <v>0.0</v>
      </c>
      <c r="M188" s="188">
        <v>3.0</v>
      </c>
      <c r="N188" s="188">
        <v>3.0</v>
      </c>
      <c r="O188" s="188">
        <v>0.0</v>
      </c>
      <c r="P188" s="188">
        <v>3.0</v>
      </c>
      <c r="Q188" s="188">
        <v>0.0</v>
      </c>
      <c r="R188" s="188">
        <v>0.0</v>
      </c>
      <c r="S188" s="188">
        <v>0.0</v>
      </c>
      <c r="T188" s="188">
        <v>0.0</v>
      </c>
      <c r="U188" s="188">
        <v>6.0</v>
      </c>
      <c r="V188" s="188">
        <v>11.0</v>
      </c>
      <c r="W188" s="188">
        <v>1.0</v>
      </c>
      <c r="X188" s="188">
        <v>0.0</v>
      </c>
      <c r="Y188" s="188">
        <v>0.0</v>
      </c>
      <c r="Z188" s="188">
        <v>5.0</v>
      </c>
      <c r="AA188" s="188">
        <v>17.0</v>
      </c>
      <c r="AB188" s="188">
        <v>14.0</v>
      </c>
      <c r="AC188" s="186">
        <v>0.0</v>
      </c>
      <c r="AD188" s="189">
        <v>0.35714285714285715</v>
      </c>
      <c r="AE188" s="186">
        <v>24120.0</v>
      </c>
      <c r="AF188" s="186">
        <v>0.0</v>
      </c>
      <c r="AG188" s="187"/>
      <c r="AH188" s="186"/>
      <c r="AI188" s="258">
        <v>0.0</v>
      </c>
      <c r="AJ188" s="258">
        <v>154.0</v>
      </c>
      <c r="AK188" s="258">
        <v>1191.42</v>
      </c>
      <c r="AL188" s="258">
        <v>397.0</v>
      </c>
      <c r="AM188" s="260"/>
      <c r="AN188" s="260"/>
      <c r="AO188" s="192">
        <v>0.0</v>
      </c>
    </row>
    <row r="189">
      <c r="A189" s="183" t="s">
        <v>185</v>
      </c>
      <c r="B189" s="183" t="s">
        <v>189</v>
      </c>
      <c r="C189" s="184" t="s">
        <v>285</v>
      </c>
      <c r="D189" s="75" t="s">
        <v>187</v>
      </c>
      <c r="E189" s="256">
        <v>45817.0</v>
      </c>
      <c r="F189" s="75" t="s">
        <v>1016</v>
      </c>
      <c r="G189" s="186"/>
      <c r="H189" s="186">
        <v>1500000.0</v>
      </c>
      <c r="I189" s="186">
        <v>56499.05</v>
      </c>
      <c r="J189" s="186">
        <v>0.0</v>
      </c>
      <c r="K189" s="186"/>
      <c r="L189" s="187">
        <v>0.037666033333333335</v>
      </c>
      <c r="M189" s="188">
        <v>23.0</v>
      </c>
      <c r="N189" s="188">
        <v>21.0</v>
      </c>
      <c r="O189" s="188">
        <v>2.0</v>
      </c>
      <c r="P189" s="188">
        <v>25.0</v>
      </c>
      <c r="Q189" s="188">
        <v>4.0</v>
      </c>
      <c r="R189" s="188">
        <v>3.0</v>
      </c>
      <c r="S189" s="188">
        <v>0.0</v>
      </c>
      <c r="T189" s="188">
        <v>2.0</v>
      </c>
      <c r="U189" s="188">
        <v>94.0</v>
      </c>
      <c r="V189" s="188">
        <v>99.0</v>
      </c>
      <c r="W189" s="188">
        <v>1.0</v>
      </c>
      <c r="X189" s="188">
        <v>0.0</v>
      </c>
      <c r="Y189" s="188">
        <v>0.0</v>
      </c>
      <c r="Z189" s="188">
        <v>23.0</v>
      </c>
      <c r="AA189" s="188">
        <v>123.0</v>
      </c>
      <c r="AB189" s="188">
        <v>18.0</v>
      </c>
      <c r="AC189" s="186">
        <v>3138.836111111111</v>
      </c>
      <c r="AD189" s="189">
        <v>1.2777777777777777</v>
      </c>
      <c r="AE189" s="186">
        <v>32500.0</v>
      </c>
      <c r="AF189" s="186"/>
      <c r="AG189" s="187">
        <v>0.5752309109622197</v>
      </c>
      <c r="AH189" s="186">
        <v>18833.016666666666</v>
      </c>
      <c r="AI189" s="258">
        <v>3.0</v>
      </c>
      <c r="AJ189" s="258">
        <v>182.0</v>
      </c>
      <c r="AK189" s="258">
        <v>860.49</v>
      </c>
      <c r="AL189" s="258">
        <v>41.0</v>
      </c>
      <c r="AM189" s="260"/>
      <c r="AN189" s="260"/>
      <c r="AO189" s="192">
        <v>-56499.05</v>
      </c>
    </row>
    <row r="190">
      <c r="A190" s="183" t="s">
        <v>185</v>
      </c>
      <c r="B190" s="183" t="s">
        <v>189</v>
      </c>
      <c r="C190" s="183" t="s">
        <v>408</v>
      </c>
      <c r="D190" s="75" t="s">
        <v>409</v>
      </c>
      <c r="E190" s="256">
        <v>45824.0</v>
      </c>
      <c r="F190" s="75" t="s">
        <v>1016</v>
      </c>
      <c r="G190" s="190"/>
      <c r="H190" s="186">
        <v>0.0</v>
      </c>
      <c r="I190" s="190">
        <v>1319427.69</v>
      </c>
      <c r="J190" s="75">
        <v>0.0</v>
      </c>
      <c r="K190" s="75"/>
      <c r="L190" s="262"/>
      <c r="M190" s="75">
        <v>12.0</v>
      </c>
      <c r="N190" s="75">
        <v>10.0</v>
      </c>
      <c r="O190" s="75">
        <v>0.0</v>
      </c>
      <c r="P190" s="75">
        <v>12.0</v>
      </c>
      <c r="Q190" s="75">
        <v>2.0</v>
      </c>
      <c r="R190" s="75">
        <v>7.0</v>
      </c>
      <c r="S190" s="75">
        <v>0.0</v>
      </c>
      <c r="T190" s="75">
        <v>0.0</v>
      </c>
      <c r="U190" s="75">
        <v>2.0</v>
      </c>
      <c r="V190" s="75">
        <v>2.0</v>
      </c>
      <c r="W190" s="75">
        <v>0.0</v>
      </c>
      <c r="X190" s="75">
        <v>0.0</v>
      </c>
      <c r="Y190" s="75">
        <v>0.0</v>
      </c>
      <c r="Z190" s="75">
        <v>11.0</v>
      </c>
      <c r="AA190" s="75">
        <v>13.0</v>
      </c>
      <c r="AB190" s="75">
        <v>9.0</v>
      </c>
      <c r="AC190" s="190">
        <v>146603.07666666666</v>
      </c>
      <c r="AD190" s="190">
        <v>1.2222222222222223</v>
      </c>
      <c r="AE190" s="75">
        <v>13559.5</v>
      </c>
      <c r="AF190" s="75"/>
      <c r="AG190" s="262">
        <v>0.010276804180151776</v>
      </c>
      <c r="AH190" s="190">
        <v>188489.66999999998</v>
      </c>
      <c r="AI190" s="219">
        <v>10.0</v>
      </c>
      <c r="AJ190" s="219">
        <v>81.0</v>
      </c>
      <c r="AK190" s="219">
        <v>331.22</v>
      </c>
      <c r="AL190" s="219">
        <v>33.0</v>
      </c>
      <c r="AM190" s="191"/>
      <c r="AN190" s="75"/>
      <c r="AO190" s="190">
        <v>-1319427.69</v>
      </c>
    </row>
    <row r="191">
      <c r="A191" s="183" t="s">
        <v>185</v>
      </c>
      <c r="B191" s="183" t="s">
        <v>85</v>
      </c>
      <c r="C191" s="184" t="s">
        <v>397</v>
      </c>
      <c r="D191" s="75" t="s">
        <v>398</v>
      </c>
      <c r="E191" s="256">
        <v>45824.0</v>
      </c>
      <c r="F191" s="75" t="s">
        <v>1058</v>
      </c>
      <c r="G191" s="190"/>
      <c r="H191" s="186"/>
      <c r="I191" s="190">
        <v>0.0</v>
      </c>
      <c r="J191" s="75">
        <v>0.0</v>
      </c>
      <c r="K191" s="75"/>
      <c r="L191" s="262">
        <v>0.0</v>
      </c>
      <c r="M191" s="75">
        <v>1.0</v>
      </c>
      <c r="N191" s="75">
        <v>1.0</v>
      </c>
      <c r="O191" s="75">
        <v>0.0</v>
      </c>
      <c r="P191" s="75">
        <v>1.0</v>
      </c>
      <c r="Q191" s="75">
        <v>0.0</v>
      </c>
      <c r="R191" s="75">
        <v>0.0</v>
      </c>
      <c r="S191" s="75">
        <v>0.0</v>
      </c>
      <c r="T191" s="75">
        <v>0.0</v>
      </c>
      <c r="U191" s="75">
        <v>2.0</v>
      </c>
      <c r="V191" s="75">
        <v>2.0</v>
      </c>
      <c r="W191" s="75">
        <v>0.0</v>
      </c>
      <c r="X191" s="75">
        <v>0.0</v>
      </c>
      <c r="Y191" s="75">
        <v>0.0</v>
      </c>
      <c r="Z191" s="75">
        <v>1.0</v>
      </c>
      <c r="AA191" s="75">
        <v>3.0</v>
      </c>
      <c r="AB191" s="75">
        <v>4.0</v>
      </c>
      <c r="AC191" s="190">
        <v>0.0</v>
      </c>
      <c r="AD191" s="190">
        <v>0.25</v>
      </c>
      <c r="AE191" s="75">
        <v>15275.0</v>
      </c>
      <c r="AF191" s="75"/>
      <c r="AG191" s="262"/>
      <c r="AH191" s="190"/>
      <c r="AI191" s="219">
        <v>0.0</v>
      </c>
      <c r="AJ191" s="219">
        <v>35.0</v>
      </c>
      <c r="AK191" s="219">
        <v>102.68</v>
      </c>
      <c r="AL191" s="219">
        <v>103.0</v>
      </c>
      <c r="AM191" s="191"/>
      <c r="AN191" s="75"/>
      <c r="AO191" s="190">
        <v>0.0</v>
      </c>
    </row>
    <row r="192">
      <c r="A192" s="183" t="s">
        <v>23</v>
      </c>
      <c r="B192" s="183" t="s">
        <v>1110</v>
      </c>
      <c r="C192" s="261" t="s">
        <v>875</v>
      </c>
      <c r="D192" s="75" t="s">
        <v>42</v>
      </c>
      <c r="E192" s="256">
        <v>45828.0</v>
      </c>
      <c r="F192" s="75" t="s">
        <v>1110</v>
      </c>
      <c r="G192" s="190"/>
      <c r="H192" s="186">
        <v>0.0</v>
      </c>
      <c r="I192" s="190">
        <v>0.0</v>
      </c>
      <c r="J192" s="75">
        <v>0.0</v>
      </c>
      <c r="K192" s="75"/>
      <c r="L192" s="262"/>
      <c r="M192" s="75">
        <v>0.0</v>
      </c>
      <c r="N192" s="75">
        <v>0.0</v>
      </c>
      <c r="O192" s="75">
        <v>0.0</v>
      </c>
      <c r="P192" s="75">
        <v>0.0</v>
      </c>
      <c r="Q192" s="75">
        <v>0.0</v>
      </c>
      <c r="R192" s="75">
        <v>0.0</v>
      </c>
      <c r="S192" s="75">
        <v>0.0</v>
      </c>
      <c r="T192" s="75">
        <v>0.0</v>
      </c>
      <c r="U192" s="75">
        <v>1.0</v>
      </c>
      <c r="V192" s="75">
        <v>1.0</v>
      </c>
      <c r="W192" s="75">
        <v>0.0</v>
      </c>
      <c r="X192" s="75">
        <v>0.0</v>
      </c>
      <c r="Y192" s="75">
        <v>0.0</v>
      </c>
      <c r="Z192" s="75">
        <v>0.0</v>
      </c>
      <c r="AA192" s="75">
        <v>1.0</v>
      </c>
      <c r="AB192" s="75">
        <v>1.0</v>
      </c>
      <c r="AC192" s="190">
        <v>0.0</v>
      </c>
      <c r="AD192" s="190">
        <v>0.0</v>
      </c>
      <c r="AE192" s="75">
        <v>0.0</v>
      </c>
      <c r="AF192" s="75"/>
      <c r="AG192" s="262"/>
      <c r="AH192" s="190"/>
      <c r="AI192" s="219">
        <v>0.0</v>
      </c>
      <c r="AJ192" s="219">
        <v>4.0</v>
      </c>
      <c r="AK192" s="219">
        <v>25.92</v>
      </c>
      <c r="AL192" s="219">
        <v>0.0</v>
      </c>
      <c r="AM192" s="191">
        <v>45831.0</v>
      </c>
      <c r="AN192" s="75"/>
      <c r="AO192" s="190">
        <v>0.0</v>
      </c>
    </row>
    <row r="193">
      <c r="A193" s="183" t="s">
        <v>23</v>
      </c>
      <c r="B193" s="183" t="s">
        <v>27</v>
      </c>
      <c r="C193" s="184" t="s">
        <v>337</v>
      </c>
      <c r="D193" s="75" t="s">
        <v>338</v>
      </c>
      <c r="E193" s="256">
        <v>45831.0</v>
      </c>
      <c r="F193" s="75" t="s">
        <v>1073</v>
      </c>
      <c r="G193" s="190"/>
      <c r="H193" s="186"/>
      <c r="I193" s="190">
        <v>0.0</v>
      </c>
      <c r="J193" s="75">
        <v>0.0</v>
      </c>
      <c r="K193" s="75"/>
      <c r="L193" s="262">
        <v>0.0</v>
      </c>
      <c r="M193" s="75">
        <v>5.0</v>
      </c>
      <c r="N193" s="75">
        <v>2.0</v>
      </c>
      <c r="O193" s="75">
        <v>0.0</v>
      </c>
      <c r="P193" s="75">
        <v>5.0</v>
      </c>
      <c r="Q193" s="75">
        <v>3.0</v>
      </c>
      <c r="R193" s="75">
        <v>0.0</v>
      </c>
      <c r="S193" s="75">
        <v>0.0</v>
      </c>
      <c r="T193" s="75">
        <v>0.0</v>
      </c>
      <c r="U193" s="75">
        <v>36.0</v>
      </c>
      <c r="V193" s="75">
        <v>36.0</v>
      </c>
      <c r="W193" s="75">
        <v>2.0</v>
      </c>
      <c r="X193" s="75">
        <v>0.0</v>
      </c>
      <c r="Y193" s="75">
        <v>6.0</v>
      </c>
      <c r="Z193" s="75">
        <v>2.0</v>
      </c>
      <c r="AA193" s="75">
        <v>46.0</v>
      </c>
      <c r="AB193" s="75">
        <v>7.0</v>
      </c>
      <c r="AC193" s="190">
        <v>0.0</v>
      </c>
      <c r="AD193" s="190">
        <v>0.2857142857142857</v>
      </c>
      <c r="AE193" s="75">
        <v>5547.6</v>
      </c>
      <c r="AF193" s="75"/>
      <c r="AG193" s="262"/>
      <c r="AH193" s="190"/>
      <c r="AI193" s="219">
        <v>0.0</v>
      </c>
      <c r="AJ193" s="219">
        <v>53.0</v>
      </c>
      <c r="AK193" s="219">
        <v>141.27</v>
      </c>
      <c r="AL193" s="219">
        <v>71.0</v>
      </c>
      <c r="AM193" s="191"/>
      <c r="AN193" s="75"/>
      <c r="AO193" s="190">
        <v>0.0</v>
      </c>
    </row>
    <row r="194">
      <c r="A194" s="183" t="s">
        <v>185</v>
      </c>
      <c r="B194" s="183" t="s">
        <v>85</v>
      </c>
      <c r="C194" s="184" t="s">
        <v>399</v>
      </c>
      <c r="D194" s="75" t="s">
        <v>87</v>
      </c>
      <c r="E194" s="256">
        <v>45831.0</v>
      </c>
      <c r="F194" s="75" t="s">
        <v>1058</v>
      </c>
      <c r="G194" s="190"/>
      <c r="H194" s="186"/>
      <c r="I194" s="190">
        <v>0.0</v>
      </c>
      <c r="J194" s="75">
        <v>0.0</v>
      </c>
      <c r="K194" s="75"/>
      <c r="L194" s="262">
        <v>0.0</v>
      </c>
      <c r="M194" s="75">
        <v>12.0</v>
      </c>
      <c r="N194" s="75">
        <v>9.0</v>
      </c>
      <c r="O194" s="75">
        <v>1.0</v>
      </c>
      <c r="P194" s="75">
        <v>13.0</v>
      </c>
      <c r="Q194" s="75">
        <v>4.0</v>
      </c>
      <c r="R194" s="75">
        <v>0.0</v>
      </c>
      <c r="S194" s="75">
        <v>0.0</v>
      </c>
      <c r="T194" s="75">
        <v>0.0</v>
      </c>
      <c r="U194" s="75">
        <v>29.0</v>
      </c>
      <c r="V194" s="75">
        <v>29.0</v>
      </c>
      <c r="W194" s="75">
        <v>0.0</v>
      </c>
      <c r="X194" s="75">
        <v>0.0</v>
      </c>
      <c r="Y194" s="75">
        <v>0.0</v>
      </c>
      <c r="Z194" s="75">
        <v>9.0</v>
      </c>
      <c r="AA194" s="75">
        <v>38.0</v>
      </c>
      <c r="AB194" s="75">
        <v>5.0</v>
      </c>
      <c r="AC194" s="190">
        <v>0.0</v>
      </c>
      <c r="AD194" s="190">
        <v>1.8</v>
      </c>
      <c r="AE194" s="75">
        <v>6390.55</v>
      </c>
      <c r="AF194" s="75"/>
      <c r="AG194" s="262"/>
      <c r="AH194" s="190"/>
      <c r="AI194" s="219">
        <v>0.0</v>
      </c>
      <c r="AJ194" s="219">
        <v>47.0</v>
      </c>
      <c r="AK194" s="219">
        <v>286.02</v>
      </c>
      <c r="AL194" s="219">
        <v>32.0</v>
      </c>
      <c r="AM194" s="191"/>
      <c r="AN194" s="75"/>
      <c r="AO194" s="190">
        <v>0.0</v>
      </c>
    </row>
    <row r="195">
      <c r="A195" s="183" t="s">
        <v>126</v>
      </c>
      <c r="B195" s="183" t="s">
        <v>130</v>
      </c>
      <c r="C195" s="184" t="s">
        <v>449</v>
      </c>
      <c r="D195" s="75" t="s">
        <v>151</v>
      </c>
      <c r="E195" s="256">
        <v>45839.0</v>
      </c>
      <c r="F195" s="75" t="s">
        <v>130</v>
      </c>
      <c r="G195" s="190"/>
      <c r="H195" s="186">
        <v>0.0</v>
      </c>
      <c r="I195" s="190">
        <v>0.0</v>
      </c>
      <c r="J195" s="75">
        <v>0.0</v>
      </c>
      <c r="K195" s="75"/>
      <c r="L195" s="262"/>
      <c r="M195" s="75">
        <v>4.0</v>
      </c>
      <c r="N195" s="75">
        <v>0.0</v>
      </c>
      <c r="O195" s="75">
        <v>0.0</v>
      </c>
      <c r="P195" s="75">
        <v>4.0</v>
      </c>
      <c r="Q195" s="75">
        <v>4.0</v>
      </c>
      <c r="R195" s="75">
        <v>0.0</v>
      </c>
      <c r="S195" s="75">
        <v>0.0</v>
      </c>
      <c r="T195" s="75">
        <v>0.0</v>
      </c>
      <c r="U195" s="75">
        <v>0.0</v>
      </c>
      <c r="V195" s="75">
        <v>0.0</v>
      </c>
      <c r="W195" s="75">
        <v>0.0</v>
      </c>
      <c r="X195" s="75">
        <v>0.0</v>
      </c>
      <c r="Y195" s="75">
        <v>0.0</v>
      </c>
      <c r="Z195" s="75">
        <v>0.0</v>
      </c>
      <c r="AA195" s="75">
        <v>0.0</v>
      </c>
      <c r="AB195" s="75">
        <v>0.0</v>
      </c>
      <c r="AC195" s="190"/>
      <c r="AD195" s="190"/>
      <c r="AE195" s="75">
        <v>0.0</v>
      </c>
      <c r="AF195" s="75"/>
      <c r="AG195" s="262"/>
      <c r="AH195" s="190"/>
      <c r="AI195" s="219">
        <v>0.0</v>
      </c>
      <c r="AJ195" s="219">
        <v>0.0</v>
      </c>
      <c r="AK195" s="219">
        <v>0.0</v>
      </c>
      <c r="AL195" s="219">
        <v>0.0</v>
      </c>
      <c r="AM195" s="191"/>
      <c r="AN195" s="75"/>
      <c r="AO195" s="190">
        <v>0.0</v>
      </c>
    </row>
    <row r="196">
      <c r="A196" s="183" t="s">
        <v>126</v>
      </c>
      <c r="B196" s="183" t="s">
        <v>140</v>
      </c>
      <c r="C196" s="183" t="s">
        <v>173</v>
      </c>
      <c r="D196" s="75" t="s">
        <v>174</v>
      </c>
      <c r="E196" s="256">
        <v>45839.0</v>
      </c>
      <c r="F196" s="75" t="s">
        <v>1061</v>
      </c>
      <c r="G196" s="190"/>
      <c r="H196" s="186">
        <v>0.0</v>
      </c>
      <c r="I196" s="190">
        <v>0.0</v>
      </c>
      <c r="J196" s="75">
        <v>0.0</v>
      </c>
      <c r="K196" s="75"/>
      <c r="L196" s="262"/>
      <c r="M196" s="75">
        <v>0.0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75">
        <v>0.0</v>
      </c>
      <c r="T196" s="75">
        <v>0.0</v>
      </c>
      <c r="U196" s="75">
        <v>0.0</v>
      </c>
      <c r="V196" s="75">
        <v>0.0</v>
      </c>
      <c r="W196" s="75">
        <v>0.0</v>
      </c>
      <c r="X196" s="75">
        <v>0.0</v>
      </c>
      <c r="Y196" s="75">
        <v>0.0</v>
      </c>
      <c r="Z196" s="75">
        <v>0.0</v>
      </c>
      <c r="AA196" s="75">
        <v>0.0</v>
      </c>
      <c r="AB196" s="75">
        <v>0.0</v>
      </c>
      <c r="AC196" s="190"/>
      <c r="AD196" s="190"/>
      <c r="AE196" s="75">
        <v>0.0</v>
      </c>
      <c r="AF196" s="75"/>
      <c r="AG196" s="262"/>
      <c r="AH196" s="190"/>
      <c r="AI196" s="219">
        <v>0.0</v>
      </c>
      <c r="AJ196" s="219">
        <v>0.0</v>
      </c>
      <c r="AK196" s="219">
        <v>0.0</v>
      </c>
      <c r="AL196" s="219">
        <v>0.0</v>
      </c>
      <c r="AM196" s="191"/>
      <c r="AN196" s="75"/>
      <c r="AO196" s="190">
        <v>0.0</v>
      </c>
    </row>
  </sheetData>
  <conditionalFormatting sqref="AM1:AM196 AN1 AN3:AN196 AR3">
    <cfRule type="notContainsBlanks" dxfId="1" priority="1">
      <formula>LEN(TRIM(AM1))&gt;0</formula>
    </cfRule>
  </conditionalFormatting>
  <conditionalFormatting sqref="C3:C196">
    <cfRule type="expression" dxfId="1" priority="2">
      <formula>AM3:AM196</formula>
    </cfRule>
  </conditionalFormatting>
  <conditionalFormatting sqref="L1:L196">
    <cfRule type="cellIs" dxfId="1" priority="3" operator="lessThan">
      <formula>"50%"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 outlineLevelCol="1"/>
  <cols>
    <col customWidth="1" min="1" max="1" width="19.13"/>
    <col customWidth="1" min="2" max="2" width="8.25"/>
    <col customWidth="1" hidden="1" min="3" max="3" width="11.13"/>
    <col customWidth="1" min="4" max="4" width="17.13"/>
    <col customWidth="1" min="5" max="5" width="10.13"/>
    <col customWidth="1" min="6" max="6" width="17.13"/>
    <col customWidth="1" min="7" max="7" width="10.13"/>
    <col customWidth="1" min="8" max="8" width="13.75"/>
    <col customWidth="1" min="9" max="9" width="10.13"/>
    <col customWidth="1" min="10" max="10" width="17.13"/>
    <col customWidth="1" min="11" max="11" width="10.13"/>
    <col customWidth="1" min="12" max="12" width="8.13"/>
    <col customWidth="1" min="13" max="15" width="9.75"/>
    <col collapsed="1" customWidth="1" min="16" max="16" width="9.75"/>
    <col customWidth="1" hidden="1" min="17" max="17" width="9.38" outlineLevel="1"/>
    <col customWidth="1" hidden="1" min="18" max="18" width="10.13" outlineLevel="1"/>
    <col customWidth="1" hidden="1" min="19" max="25" width="15.63" outlineLevel="1"/>
    <col customWidth="1" min="26" max="27" width="10.13"/>
    <col customWidth="1" min="28" max="28" width="10.0"/>
    <col customWidth="1" min="29" max="29" width="8.5"/>
    <col customWidth="1" min="30" max="32" width="12.63"/>
    <col customWidth="1" hidden="1" min="33" max="36" width="12.63"/>
  </cols>
  <sheetData>
    <row r="1">
      <c r="B1" s="496" t="s">
        <v>1235</v>
      </c>
      <c r="AG1" s="497"/>
      <c r="AH1" s="498"/>
      <c r="AI1" s="498"/>
      <c r="AJ1" s="498"/>
    </row>
    <row r="2">
      <c r="A2" s="157"/>
      <c r="B2" s="499"/>
      <c r="C2" s="500">
        <v>2.346978229999998E9</v>
      </c>
      <c r="D2" s="499"/>
      <c r="E2" s="501">
        <f>C3-C2</f>
        <v>1.870001793</v>
      </c>
      <c r="F2" s="499"/>
      <c r="G2" s="499"/>
      <c r="H2" s="499"/>
      <c r="I2" s="499"/>
      <c r="J2" s="499"/>
      <c r="K2" s="499"/>
      <c r="L2" s="502"/>
      <c r="M2" s="502"/>
      <c r="N2" s="502"/>
      <c r="O2" s="503"/>
      <c r="P2" s="502"/>
      <c r="Q2" s="504"/>
      <c r="R2" s="504"/>
      <c r="S2" s="504"/>
      <c r="T2" s="504"/>
      <c r="U2" s="504"/>
      <c r="V2" s="504"/>
      <c r="W2" s="504"/>
      <c r="X2" s="504"/>
      <c r="Y2" s="504"/>
      <c r="Z2" s="505"/>
      <c r="AA2" s="502"/>
      <c r="AB2" s="502"/>
      <c r="AC2" s="502"/>
      <c r="AD2" s="502"/>
      <c r="AE2" s="502"/>
      <c r="AF2" s="502"/>
      <c r="AG2" s="502" t="s">
        <v>1236</v>
      </c>
      <c r="AH2" s="506"/>
      <c r="AI2" s="506"/>
      <c r="AJ2" s="506"/>
    </row>
    <row r="3">
      <c r="A3" s="507" t="s">
        <v>963</v>
      </c>
      <c r="B3" s="508">
        <f t="shared" ref="B3:K3" si="1">SUM(B6:B15)</f>
        <v>240</v>
      </c>
      <c r="C3" s="509">
        <f t="shared" si="1"/>
        <v>2346978232</v>
      </c>
      <c r="D3" s="509">
        <f t="shared" si="1"/>
        <v>23822189.52</v>
      </c>
      <c r="E3" s="509">
        <f t="shared" si="1"/>
        <v>530722909.7</v>
      </c>
      <c r="F3" s="509">
        <f t="shared" si="1"/>
        <v>24042704.8</v>
      </c>
      <c r="G3" s="509">
        <f t="shared" si="1"/>
        <v>592966430.4</v>
      </c>
      <c r="H3" s="509">
        <f t="shared" si="1"/>
        <v>36151870.81</v>
      </c>
      <c r="I3" s="509">
        <f t="shared" si="1"/>
        <v>557076490.6</v>
      </c>
      <c r="J3" s="509">
        <f t="shared" si="1"/>
        <v>31848169.8</v>
      </c>
      <c r="K3" s="509">
        <f t="shared" si="1"/>
        <v>666212401.1</v>
      </c>
      <c r="L3" s="510">
        <f>iferror((E3-D3)/D3,"")</f>
        <v>21.27851094</v>
      </c>
      <c r="M3" s="510">
        <f>(G3-F3)/F3</f>
        <v>23.66304999</v>
      </c>
      <c r="N3" s="510">
        <f>(I3-H3)/H3</f>
        <v>14.4093406</v>
      </c>
      <c r="O3" s="510">
        <f>(K3-J3)/J3</f>
        <v>19.91838888</v>
      </c>
      <c r="P3" s="509">
        <f t="shared" ref="P3:AB3" si="2">SUM(P6:P15)</f>
        <v>925297260.8</v>
      </c>
      <c r="Q3" s="509">
        <f t="shared" si="2"/>
        <v>521992810.1</v>
      </c>
      <c r="R3" s="509">
        <f t="shared" si="2"/>
        <v>8730099.67</v>
      </c>
      <c r="S3" s="509">
        <f t="shared" si="2"/>
        <v>583370732.9</v>
      </c>
      <c r="T3" s="509">
        <f t="shared" si="2"/>
        <v>9595697.52</v>
      </c>
      <c r="U3" s="509">
        <f t="shared" si="2"/>
        <v>548272578.4</v>
      </c>
      <c r="V3" s="509">
        <f t="shared" si="2"/>
        <v>8803912.23</v>
      </c>
      <c r="W3" s="509">
        <f t="shared" si="2"/>
        <v>657276772.9</v>
      </c>
      <c r="X3" s="509">
        <f t="shared" si="2"/>
        <v>8935628.15</v>
      </c>
      <c r="Y3" s="509">
        <f t="shared" si="2"/>
        <v>2401382930</v>
      </c>
      <c r="Z3" s="508">
        <f t="shared" si="2"/>
        <v>965843309</v>
      </c>
      <c r="AA3" s="508">
        <f t="shared" si="2"/>
        <v>945594438</v>
      </c>
      <c r="AB3" s="508">
        <f t="shared" si="2"/>
        <v>894350699</v>
      </c>
      <c r="AC3" s="510">
        <f>E3/P3</f>
        <v>0.5735701728</v>
      </c>
      <c r="AD3" s="510">
        <f t="shared" ref="AD3:AE3" si="3">G3/Z3</f>
        <v>0.6139364687</v>
      </c>
      <c r="AE3" s="510">
        <f t="shared" si="3"/>
        <v>0.03823189875</v>
      </c>
      <c r="AF3" s="510">
        <f>K3/AB3</f>
        <v>0.7449118135</v>
      </c>
      <c r="AG3" s="511">
        <f>P3+Z3+AA3+AB3</f>
        <v>3731085707</v>
      </c>
      <c r="AH3" s="512"/>
      <c r="AI3" s="513">
        <f>sum(AI6:AI24)</f>
        <v>3731085707</v>
      </c>
      <c r="AJ3" s="512"/>
    </row>
    <row r="4">
      <c r="A4" s="507"/>
      <c r="B4" s="507"/>
      <c r="C4" s="514"/>
      <c r="D4" s="515" t="s">
        <v>1237</v>
      </c>
      <c r="E4" s="35"/>
      <c r="F4" s="515" t="s">
        <v>1238</v>
      </c>
      <c r="G4" s="35"/>
      <c r="H4" s="515" t="s">
        <v>1239</v>
      </c>
      <c r="I4" s="35"/>
      <c r="J4" s="515" t="s">
        <v>1240</v>
      </c>
      <c r="K4" s="35"/>
      <c r="L4" s="516" t="s">
        <v>1241</v>
      </c>
      <c r="M4" s="516" t="s">
        <v>1242</v>
      </c>
      <c r="N4" s="516" t="s">
        <v>1243</v>
      </c>
      <c r="O4" s="516" t="s">
        <v>1244</v>
      </c>
      <c r="P4" s="516" t="s">
        <v>1245</v>
      </c>
      <c r="Q4" s="516" t="s">
        <v>1246</v>
      </c>
      <c r="R4" s="516" t="s">
        <v>1247</v>
      </c>
      <c r="S4" s="516" t="s">
        <v>1248</v>
      </c>
      <c r="T4" s="516" t="s">
        <v>1249</v>
      </c>
      <c r="U4" s="516" t="s">
        <v>1250</v>
      </c>
      <c r="V4" s="516" t="s">
        <v>1251</v>
      </c>
      <c r="W4" s="516" t="s">
        <v>1252</v>
      </c>
      <c r="X4" s="516" t="s">
        <v>1253</v>
      </c>
      <c r="Y4" s="516" t="s">
        <v>901</v>
      </c>
      <c r="Z4" s="516" t="s">
        <v>1254</v>
      </c>
      <c r="AA4" s="516" t="s">
        <v>1255</v>
      </c>
      <c r="AB4" s="516" t="s">
        <v>1256</v>
      </c>
      <c r="AC4" s="517" t="s">
        <v>1257</v>
      </c>
      <c r="AD4" s="517" t="s">
        <v>1258</v>
      </c>
      <c r="AE4" s="517" t="s">
        <v>1259</v>
      </c>
      <c r="AF4" s="517" t="s">
        <v>1260</v>
      </c>
      <c r="AG4" s="518">
        <v>3.73108570646655E9</v>
      </c>
      <c r="AH4" s="519"/>
      <c r="AI4" s="519"/>
      <c r="AJ4" s="519"/>
    </row>
    <row r="5" ht="42.0" customHeight="1">
      <c r="A5" s="507" t="s">
        <v>1261</v>
      </c>
      <c r="B5" s="520" t="s">
        <v>4</v>
      </c>
      <c r="C5" s="514" t="s">
        <v>1262</v>
      </c>
      <c r="D5" s="521" t="s">
        <v>1263</v>
      </c>
      <c r="E5" s="522" t="s">
        <v>1264</v>
      </c>
      <c r="F5" s="521" t="s">
        <v>1263</v>
      </c>
      <c r="G5" s="522" t="s">
        <v>1264</v>
      </c>
      <c r="H5" s="521" t="s">
        <v>1263</v>
      </c>
      <c r="I5" s="522" t="s">
        <v>1264</v>
      </c>
      <c r="J5" s="521" t="s">
        <v>1263</v>
      </c>
      <c r="K5" s="522" t="s">
        <v>1264</v>
      </c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523">
        <f>AG4-AG3</f>
        <v>-0.3333501816</v>
      </c>
      <c r="AH5" s="524" t="s">
        <v>1265</v>
      </c>
      <c r="AI5" s="524" t="s">
        <v>1266</v>
      </c>
      <c r="AJ5" s="524"/>
    </row>
    <row r="6">
      <c r="A6" s="75" t="str">
        <f t="array" ref="A6:A16">sort(UNIQUE(Data!A3:A1001),1,1)</f>
        <v>Anant Singh</v>
      </c>
      <c r="B6" s="525">
        <f>COUNTIF(Data!$A$3:$A1001,$A6)</f>
        <v>16</v>
      </c>
      <c r="C6" s="511">
        <f t="shared" ref="C6:C15" si="4">E6+G6+I6+K6</f>
        <v>98697163.58</v>
      </c>
      <c r="D6" s="511">
        <f>SUMIF(Data!$A$3:$A1001,$A6,Data!$BO$3:$BO1001)</f>
        <v>0</v>
      </c>
      <c r="E6" s="511">
        <f t="shared" ref="E6:E15" si="5">Q6+R6</f>
        <v>22784694.25</v>
      </c>
      <c r="F6" s="511">
        <f>SUMIF(Data!$A$3:$A1001,$A6,Data!$BP$3:$BP1001)</f>
        <v>0</v>
      </c>
      <c r="G6" s="511">
        <f t="shared" ref="G6:G15" si="6">S6+T6</f>
        <v>27649318.43</v>
      </c>
      <c r="H6" s="511">
        <f>SUMIF(Data!$A$3:$A1001,$A6,Data!$BQ$3:$BQ1001)</f>
        <v>0</v>
      </c>
      <c r="I6" s="511">
        <f t="shared" ref="I6:I15" si="7">U6+V6</f>
        <v>22740986.33</v>
      </c>
      <c r="J6" s="511">
        <f>SUMIF(Data!$A$3:$A1001,$A6,Data!$BR$3:$BR1001)</f>
        <v>0</v>
      </c>
      <c r="K6" s="511">
        <f t="shared" ref="K6:K15" si="8">W6+X6</f>
        <v>25522164.57</v>
      </c>
      <c r="L6" s="526" t="str">
        <f t="shared" ref="L6:L15" si="9">iferror((E6-D6)/D6,"")</f>
        <v/>
      </c>
      <c r="M6" s="526" t="str">
        <f t="shared" ref="M6:M10" si="10">(G6-F6)/F6</f>
        <v>#DIV/0!</v>
      </c>
      <c r="N6" s="526" t="str">
        <f t="shared" ref="N6:N10" si="11">(I6-H6)/H6</f>
        <v>#DIV/0!</v>
      </c>
      <c r="O6" s="526" t="str">
        <f t="shared" ref="O6:O10" si="12">(K6-J6)/J6</f>
        <v>#DIV/0!</v>
      </c>
      <c r="P6" s="511">
        <f>sumif('25-26(Q1)'!A:A,A6,'25-26(Q1)'!H:H)</f>
        <v>38250000</v>
      </c>
      <c r="Q6" s="511">
        <f>sumif('25-26(Q1)'!A:A,A6,'25-26(Q1)'!I:I)</f>
        <v>21594185.62</v>
      </c>
      <c r="R6" s="511">
        <f>sumif('25-26(Q1)'!A:A,A6,'25-26(Q1)'!J:J)</f>
        <v>1190508.63</v>
      </c>
      <c r="S6" s="511">
        <f>sumif('25-26 (Q2)'!$A:$A,$A6,'25-26 (Q2)'!$J:$J)</f>
        <v>26854295.46</v>
      </c>
      <c r="T6" s="511">
        <f>sumif('25-26 (Q2)'!$A:$A,$A6,'25-26 (Q2)'!$K:$K)</f>
        <v>795022.97</v>
      </c>
      <c r="U6" s="511">
        <f>sumif('25-26 (Q3)'!$A:$A,$A6,'25-26 (Q3)'!$J:$J)</f>
        <v>22127359.4</v>
      </c>
      <c r="V6" s="511">
        <f>sumif('25-26 (Q3)'!$A:$A,$A6,'25-26 (Q3)'!$K:$K)</f>
        <v>613626.93</v>
      </c>
      <c r="W6" s="511">
        <f>sumif('25-26 (Q4)'!$A:$A,$A6,'25-26 (Q4)'!$J:$J)</f>
        <v>24314186.46</v>
      </c>
      <c r="X6" s="511">
        <f>sumif('25-26 (Q4)'!$A:$A,$A6,'25-26 (Q4)'!$K:$K)</f>
        <v>1207978.11</v>
      </c>
      <c r="Y6" s="511">
        <f>SUMIF(Data!$A$3:$A1001,$A6,Data!$AY$3:$AY1001)</f>
        <v>98587903</v>
      </c>
      <c r="Z6" s="527">
        <f>sumif('25-26 (Q2)'!$A:$A,$A6,'25-26 (Q2)'!$H:$H)+sumif('25-26 (Q2)'!$A:$A,$A6,'25-26 (Q2)'!$I:$I)</f>
        <v>43623226</v>
      </c>
      <c r="AA6" s="527">
        <f>sumif('25-26 (Q3)'!$A:$A,$A6,'25-26 (Q3)'!$H:$H)+sumif('25-26 (Q3)'!$A:$A,$A6,'25-26 (Q3)'!$I:$I)</f>
        <v>46224194</v>
      </c>
      <c r="AB6" s="527">
        <f>sumif('25-26 (Q4)'!$A:$A,$A6,'25-26 (Q4)'!$H:$H)+sumif('25-26 (Q4)'!$A:$A,$A6,'25-26 (Q4)'!$I:$I)</f>
        <v>46564286</v>
      </c>
      <c r="AC6" s="526">
        <f t="shared" ref="AC6:AC10" si="13">E6/P6</f>
        <v>0.595678281</v>
      </c>
      <c r="AD6" s="526">
        <f t="shared" ref="AD6:AD10" si="14">G6/Z6</f>
        <v>0.633821039</v>
      </c>
      <c r="AE6" s="526">
        <f t="shared" ref="AE6:AE10" si="15">I6/AA6</f>
        <v>0.4919715059</v>
      </c>
      <c r="AF6" s="526">
        <f t="shared" ref="AF6:AF10" si="16">K6/AB6</f>
        <v>0.5481060006</v>
      </c>
      <c r="AG6" s="528"/>
      <c r="AH6" s="529">
        <f>sumif(Data!$A:$A,$A6,Data!$G:$G)+sumif(Data!$A:$A,$A6,Data!$H:$H)</f>
        <v>174661706</v>
      </c>
      <c r="AI6" s="530">
        <f t="shared" ref="AI6:AI15" si="17">P6+Z6+AA6+AB6</f>
        <v>174661706</v>
      </c>
      <c r="AJ6" s="530">
        <f t="shared" ref="AJ6:AJ15" si="18">AH6-AI6</f>
        <v>0</v>
      </c>
    </row>
    <row r="7">
      <c r="A7" s="75" t="s">
        <v>97</v>
      </c>
      <c r="B7" s="525">
        <f>COUNTIF(Data!$A$3:$A1001,$A7)</f>
        <v>14</v>
      </c>
      <c r="C7" s="511">
        <f t="shared" si="4"/>
        <v>76413509.22</v>
      </c>
      <c r="D7" s="511">
        <f>SUMIF(Data!$A$3:$A1001,$A7,Data!$BO$3:$BO1001)</f>
        <v>0</v>
      </c>
      <c r="E7" s="511">
        <f t="shared" si="5"/>
        <v>18478042.44</v>
      </c>
      <c r="F7" s="511">
        <f>SUMIF(Data!$A$3:$A1001,$A7,Data!$BP$3:$BP1001)</f>
        <v>0</v>
      </c>
      <c r="G7" s="511">
        <f t="shared" si="6"/>
        <v>17908009.6</v>
      </c>
      <c r="H7" s="511">
        <f>SUMIF(Data!$A$3:$A1001,$A7,Data!$BQ$3:$BQ1001)</f>
        <v>0</v>
      </c>
      <c r="I7" s="511">
        <f t="shared" si="7"/>
        <v>17311727.99</v>
      </c>
      <c r="J7" s="511">
        <f>SUMIF(Data!$A$3:$A1001,$A7,Data!$BR$3:$BR1001)</f>
        <v>0</v>
      </c>
      <c r="K7" s="511">
        <f t="shared" si="8"/>
        <v>22715729.19</v>
      </c>
      <c r="L7" s="526" t="str">
        <f t="shared" si="9"/>
        <v/>
      </c>
      <c r="M7" s="526" t="str">
        <f t="shared" si="10"/>
        <v>#DIV/0!</v>
      </c>
      <c r="N7" s="526" t="str">
        <f t="shared" si="11"/>
        <v>#DIV/0!</v>
      </c>
      <c r="O7" s="526" t="str">
        <f t="shared" si="12"/>
        <v>#DIV/0!</v>
      </c>
      <c r="P7" s="511">
        <f>sumif('25-26(Q1)'!A:A,A7,'25-26(Q1)'!H:H)</f>
        <v>29601600</v>
      </c>
      <c r="Q7" s="511">
        <f>sumif('25-26(Q1)'!A:A,A7,'25-26(Q1)'!I:I)</f>
        <v>18478042.44</v>
      </c>
      <c r="R7" s="511">
        <f>sumif('25-26(Q1)'!A:A,A7,'25-26(Q1)'!J:J)</f>
        <v>0</v>
      </c>
      <c r="S7" s="511">
        <f>sumif('25-26 (Q2)'!$A:$A,$A7,'25-26 (Q2)'!$J:$J)</f>
        <v>17908009.6</v>
      </c>
      <c r="T7" s="511">
        <f>sumif('25-26 (Q2)'!$A:$A,$A7,'25-26 (Q2)'!$K:$K)</f>
        <v>0</v>
      </c>
      <c r="U7" s="511">
        <f>sumif('25-26 (Q3)'!$A:$A,$A7,'25-26 (Q3)'!$J:$J)</f>
        <v>17311727.99</v>
      </c>
      <c r="V7" s="511">
        <f>sumif('25-26 (Q3)'!$A:$A,$A7,'25-26 (Q3)'!$K:$K)</f>
        <v>0</v>
      </c>
      <c r="W7" s="511">
        <f>sumif('25-26 (Q4)'!$A:$A,$A7,'25-26 (Q4)'!$J:$J)</f>
        <v>22715729.19</v>
      </c>
      <c r="X7" s="511">
        <f>sumif('25-26 (Q4)'!$A:$A,$A7,'25-26 (Q4)'!$K:$K)</f>
        <v>0</v>
      </c>
      <c r="Y7" s="511">
        <f>SUMIF(Data!$A$3:$A1001,$A7,Data!$AY$3:$AY1001)</f>
        <v>55545857.52</v>
      </c>
      <c r="Z7" s="527">
        <f>sumif('25-26 (Q2)'!$A:$A,$A7,'25-26 (Q2)'!$H:$H)+sumif('25-26 (Q2)'!$A:$A,$A7,'25-26 (Q2)'!$I:$I)</f>
        <v>33552200</v>
      </c>
      <c r="AA7" s="527">
        <f>sumif('25-26 (Q3)'!$A:$A,$A7,'25-26 (Q3)'!$H:$H)+sumif('25-26 (Q3)'!$A:$A,$A7,'25-26 (Q3)'!$I:$I)</f>
        <v>34041251</v>
      </c>
      <c r="AB7" s="527">
        <f>sumif('25-26 (Q4)'!$A:$A,$A7,'25-26 (Q4)'!$H:$H)+sumif('25-26 (Q4)'!$A:$A,$A7,'25-26 (Q4)'!$I:$I)</f>
        <v>36027851</v>
      </c>
      <c r="AC7" s="526">
        <f t="shared" si="13"/>
        <v>0.6242244487</v>
      </c>
      <c r="AD7" s="526">
        <f t="shared" si="14"/>
        <v>0.5337357789</v>
      </c>
      <c r="AE7" s="526">
        <f t="shared" si="15"/>
        <v>0.5085514628</v>
      </c>
      <c r="AF7" s="526">
        <f t="shared" si="16"/>
        <v>0.6305046945</v>
      </c>
      <c r="AG7" s="528"/>
      <c r="AH7" s="529">
        <f>sumif(Data!$A:$A,$A7,Data!$G:$G)+sumif(Data!$A:$A,$A7,Data!$H:$H)</f>
        <v>133222902</v>
      </c>
      <c r="AI7" s="530">
        <f t="shared" si="17"/>
        <v>133222902</v>
      </c>
      <c r="AJ7" s="530">
        <f t="shared" si="18"/>
        <v>0</v>
      </c>
    </row>
    <row r="8">
      <c r="A8" s="75" t="s">
        <v>298</v>
      </c>
      <c r="B8" s="525">
        <f>COUNTIF(Data!$A$3:$A1001,$A8)</f>
        <v>17</v>
      </c>
      <c r="C8" s="511">
        <f t="shared" si="4"/>
        <v>121320984.7</v>
      </c>
      <c r="D8" s="511">
        <f>SUMIF(Data!$A$3:$A1001,$A8,Data!$BO$3:$BO1001)</f>
        <v>3414186.4</v>
      </c>
      <c r="E8" s="511">
        <f t="shared" si="5"/>
        <v>21931764.88</v>
      </c>
      <c r="F8" s="511">
        <f>SUMIF(Data!$A$3:$A1001,$A8,Data!$BP$3:$BP1001)</f>
        <v>3947897.01</v>
      </c>
      <c r="G8" s="511">
        <f t="shared" si="6"/>
        <v>29683204.13</v>
      </c>
      <c r="H8" s="511">
        <f>SUMIF(Data!$A$3:$A1001,$A8,Data!$BQ$3:$BQ1001)</f>
        <v>4856648.37</v>
      </c>
      <c r="I8" s="511">
        <f t="shared" si="7"/>
        <v>27397412.76</v>
      </c>
      <c r="J8" s="511">
        <f>SUMIF(Data!$A$3:$A1001,$A8,Data!$BR$3:$BR1001)</f>
        <v>6606157.69</v>
      </c>
      <c r="K8" s="511">
        <f t="shared" si="8"/>
        <v>42308602.89</v>
      </c>
      <c r="L8" s="526">
        <f t="shared" si="9"/>
        <v>5.423716315</v>
      </c>
      <c r="M8" s="526">
        <f t="shared" si="10"/>
        <v>6.518738218</v>
      </c>
      <c r="N8" s="526">
        <f t="shared" si="11"/>
        <v>4.641218114</v>
      </c>
      <c r="O8" s="526">
        <f t="shared" si="12"/>
        <v>5.404419161</v>
      </c>
      <c r="P8" s="511">
        <f>sumif('25-26(Q1)'!A:A,A8,'25-26(Q1)'!H:H)</f>
        <v>43500000</v>
      </c>
      <c r="Q8" s="511">
        <f>sumif('25-26(Q1)'!A:A,A8,'25-26(Q1)'!I:I)</f>
        <v>21931764.88</v>
      </c>
      <c r="R8" s="511">
        <f>sumif('25-26(Q1)'!A:A,A8,'25-26(Q1)'!J:J)</f>
        <v>0</v>
      </c>
      <c r="S8" s="511">
        <f>sumif('25-26 (Q2)'!$A:$A,$A8,'25-26 (Q2)'!$J:$J)</f>
        <v>29683204.13</v>
      </c>
      <c r="T8" s="511">
        <f>sumif('25-26 (Q2)'!$A:$A,$A8,'25-26 (Q2)'!$K:$K)</f>
        <v>0</v>
      </c>
      <c r="U8" s="511">
        <f>sumif('25-26 (Q3)'!$A:$A,$A8,'25-26 (Q3)'!$J:$J)</f>
        <v>27397412.76</v>
      </c>
      <c r="V8" s="511">
        <f>sumif('25-26 (Q3)'!$A:$A,$A8,'25-26 (Q3)'!$K:$K)</f>
        <v>0</v>
      </c>
      <c r="W8" s="511">
        <f>sumif('25-26 (Q4)'!$A:$A,$A8,'25-26 (Q4)'!$J:$J)</f>
        <v>42308602.89</v>
      </c>
      <c r="X8" s="511">
        <f>sumif('25-26 (Q4)'!$A:$A,$A8,'25-26 (Q4)'!$K:$K)</f>
        <v>0</v>
      </c>
      <c r="Y8" s="511">
        <f>SUMIF(Data!$A$3:$A1001,$A8,Data!$AY$3:$AY1001)</f>
        <v>132532180</v>
      </c>
      <c r="Z8" s="527">
        <f>sumif('25-26 (Q2)'!$A:$A,$A8,'25-26 (Q2)'!$H:$H)+sumif('25-26 (Q2)'!$A:$A,$A8,'25-26 (Q2)'!$I:$I)</f>
        <v>50900000</v>
      </c>
      <c r="AA8" s="527">
        <f>sumif('25-26 (Q3)'!$A:$A,$A8,'25-26 (Q3)'!$H:$H)+sumif('25-26 (Q3)'!$A:$A,$A8,'25-26 (Q3)'!$I:$I)</f>
        <v>56100000</v>
      </c>
      <c r="AB8" s="527">
        <f>sumif('25-26 (Q4)'!$A:$A,$A8,'25-26 (Q4)'!$H:$H)+sumif('25-26 (Q4)'!$A:$A,$A8,'25-26 (Q4)'!$I:$I)</f>
        <v>41700000</v>
      </c>
      <c r="AC8" s="526">
        <f t="shared" si="13"/>
        <v>0.504178503</v>
      </c>
      <c r="AD8" s="526">
        <f t="shared" si="14"/>
        <v>0.5831670752</v>
      </c>
      <c r="AE8" s="526">
        <f t="shared" si="15"/>
        <v>0.4883674289</v>
      </c>
      <c r="AF8" s="526">
        <f t="shared" si="16"/>
        <v>1.014594794</v>
      </c>
      <c r="AG8" s="528"/>
      <c r="AH8" s="529">
        <f>sumif(Data!$A:$A,$A8,Data!$G:$G)+sumif(Data!$A:$A,$A8,Data!$H:$H)</f>
        <v>192200000</v>
      </c>
      <c r="AI8" s="530">
        <f t="shared" si="17"/>
        <v>192200000</v>
      </c>
      <c r="AJ8" s="530">
        <f t="shared" si="18"/>
        <v>0</v>
      </c>
    </row>
    <row r="9">
      <c r="A9" s="75" t="s">
        <v>73</v>
      </c>
      <c r="B9" s="525">
        <f>COUNTIF(Data!$A$3:$A1001,$A9)</f>
        <v>6</v>
      </c>
      <c r="C9" s="511">
        <f t="shared" si="4"/>
        <v>31776767.76</v>
      </c>
      <c r="D9" s="511">
        <f>SUMIF(Data!$A$3:$A1001,$A9,Data!$BO$3:$BO1001)</f>
        <v>0</v>
      </c>
      <c r="E9" s="511">
        <f t="shared" si="5"/>
        <v>6370077.36</v>
      </c>
      <c r="F9" s="511">
        <f>SUMIF(Data!$A$3:$A1001,$A9,Data!$BP$3:$BP1001)</f>
        <v>0</v>
      </c>
      <c r="G9" s="511">
        <f t="shared" si="6"/>
        <v>9487001.03</v>
      </c>
      <c r="H9" s="511">
        <f>SUMIF(Data!$A$3:$A1001,$A9,Data!$BQ$3:$BQ1001)</f>
        <v>0</v>
      </c>
      <c r="I9" s="511">
        <f t="shared" si="7"/>
        <v>8927957.76</v>
      </c>
      <c r="J9" s="511">
        <f>SUMIF(Data!$A$3:$A1001,$A9,Data!$BR$3:$BR1001)</f>
        <v>0</v>
      </c>
      <c r="K9" s="511">
        <f t="shared" si="8"/>
        <v>6991731.61</v>
      </c>
      <c r="L9" s="526" t="str">
        <f t="shared" si="9"/>
        <v/>
      </c>
      <c r="M9" s="526" t="str">
        <f t="shared" si="10"/>
        <v>#DIV/0!</v>
      </c>
      <c r="N9" s="526" t="str">
        <f t="shared" si="11"/>
        <v>#DIV/0!</v>
      </c>
      <c r="O9" s="526" t="str">
        <f t="shared" si="12"/>
        <v>#DIV/0!</v>
      </c>
      <c r="P9" s="511">
        <f>sumif('25-26(Q1)'!A:A,A9,'25-26(Q1)'!H:H)</f>
        <v>19675000.8</v>
      </c>
      <c r="Q9" s="511">
        <f>sumif('25-26(Q1)'!A:A,A9,'25-26(Q1)'!I:I)</f>
        <v>4573999.11</v>
      </c>
      <c r="R9" s="511">
        <f>sumif('25-26(Q1)'!A:A,A9,'25-26(Q1)'!J:J)</f>
        <v>1796078.25</v>
      </c>
      <c r="S9" s="511">
        <f>sumif('25-26 (Q2)'!$A:$A,$A9,'25-26 (Q2)'!$J:$J)</f>
        <v>6793302.67</v>
      </c>
      <c r="T9" s="511">
        <f>sumif('25-26 (Q2)'!$A:$A,$A9,'25-26 (Q2)'!$K:$K)</f>
        <v>2693698.36</v>
      </c>
      <c r="U9" s="511">
        <f>sumif('25-26 (Q3)'!$A:$A,$A9,'25-26 (Q3)'!$J:$J)</f>
        <v>6552385.28</v>
      </c>
      <c r="V9" s="511">
        <f>sumif('25-26 (Q3)'!$A:$A,$A9,'25-26 (Q3)'!$K:$K)</f>
        <v>2375572.48</v>
      </c>
      <c r="W9" s="511">
        <f>sumif('25-26 (Q4)'!$A:$A,$A9,'25-26 (Q4)'!$J:$J)</f>
        <v>5618548.55</v>
      </c>
      <c r="X9" s="511">
        <f>sumif('25-26 (Q4)'!$A:$A,$A9,'25-26 (Q4)'!$K:$K)</f>
        <v>1373183.06</v>
      </c>
      <c r="Y9" s="511">
        <f>SUMIF(Data!$A$3:$A1001,$A9,Data!$AY$3:$AY1001)</f>
        <v>30711804</v>
      </c>
      <c r="Z9" s="527">
        <f>sumif('25-26 (Q2)'!$A:$A,$A9,'25-26 (Q2)'!$H:$H)+sumif('25-26 (Q2)'!$A:$A,$A9,'25-26 (Q2)'!$I:$I)</f>
        <v>20375001</v>
      </c>
      <c r="AA9" s="527">
        <f>sumif('25-26 (Q3)'!$A:$A,$A9,'25-26 (Q3)'!$H:$H)+sumif('25-26 (Q3)'!$A:$A,$A9,'25-26 (Q3)'!$I:$I)</f>
        <v>19441667</v>
      </c>
      <c r="AB9" s="527">
        <f>sumif('25-26 (Q4)'!$A:$A,$A9,'25-26 (Q4)'!$H:$H)+sumif('25-26 (Q4)'!$A:$A,$A9,'25-26 (Q4)'!$I:$I)</f>
        <v>19675000</v>
      </c>
      <c r="AC9" s="526">
        <f t="shared" si="13"/>
        <v>0.3237650369</v>
      </c>
      <c r="AD9" s="526">
        <f t="shared" si="14"/>
        <v>0.4656196596</v>
      </c>
      <c r="AE9" s="526">
        <f t="shared" si="15"/>
        <v>0.459217708</v>
      </c>
      <c r="AF9" s="526">
        <f t="shared" si="16"/>
        <v>0.3553612</v>
      </c>
      <c r="AG9" s="528"/>
      <c r="AH9" s="529">
        <f>sumif(Data!$A:$A,$A9,Data!$G:$G)+sumif(Data!$A:$A,$A9,Data!$H:$H)</f>
        <v>79166669</v>
      </c>
      <c r="AI9" s="530">
        <f t="shared" si="17"/>
        <v>79166668.8</v>
      </c>
      <c r="AJ9" s="530">
        <f t="shared" si="18"/>
        <v>0.200000003</v>
      </c>
    </row>
    <row r="10">
      <c r="A10" s="75" t="s">
        <v>53</v>
      </c>
      <c r="B10" s="525">
        <f>COUNTIF(Data!$A$3:$A1001,$A10)</f>
        <v>27</v>
      </c>
      <c r="C10" s="511">
        <f t="shared" si="4"/>
        <v>37964369.57</v>
      </c>
      <c r="D10" s="511">
        <f>SUMIF(Data!$A$3:$A1001,$A10,Data!$BO$3:$BO1001)</f>
        <v>0</v>
      </c>
      <c r="E10" s="511">
        <f t="shared" si="5"/>
        <v>11262490.45</v>
      </c>
      <c r="F10" s="511">
        <f>SUMIF(Data!$A$3:$A1001,$A10,Data!$BP$3:$BP1001)</f>
        <v>0</v>
      </c>
      <c r="G10" s="511">
        <f t="shared" si="6"/>
        <v>9350361.3</v>
      </c>
      <c r="H10" s="511">
        <f>SUMIF(Data!$A$3:$A1001,$A10,Data!$BQ$3:$BQ1001)</f>
        <v>0</v>
      </c>
      <c r="I10" s="511">
        <f t="shared" si="7"/>
        <v>9215156.47</v>
      </c>
      <c r="J10" s="511">
        <f>SUMIF(Data!$A$3:$A1001,$A10,Data!$BR$3:$BR1001)</f>
        <v>0</v>
      </c>
      <c r="K10" s="511">
        <f t="shared" si="8"/>
        <v>8136361.35</v>
      </c>
      <c r="L10" s="526" t="str">
        <f t="shared" si="9"/>
        <v/>
      </c>
      <c r="M10" s="526" t="str">
        <f t="shared" si="10"/>
        <v>#DIV/0!</v>
      </c>
      <c r="N10" s="526" t="str">
        <f t="shared" si="11"/>
        <v>#DIV/0!</v>
      </c>
      <c r="O10" s="526" t="str">
        <f t="shared" si="12"/>
        <v>#DIV/0!</v>
      </c>
      <c r="P10" s="511">
        <f>sumif('25-26(Q1)'!A:A,A10,'25-26(Q1)'!H:H)</f>
        <v>33300000</v>
      </c>
      <c r="Q10" s="511">
        <f>sumif('25-26(Q1)'!A:A,A10,'25-26(Q1)'!I:I)</f>
        <v>11262490.45</v>
      </c>
      <c r="R10" s="511">
        <f>sumif('25-26(Q1)'!A:A,A10,'25-26(Q1)'!J:J)</f>
        <v>0</v>
      </c>
      <c r="S10" s="511">
        <f>sumif('25-26 (Q2)'!$A:$A,$A10,'25-26 (Q2)'!$J:$J)</f>
        <v>9350361.3</v>
      </c>
      <c r="T10" s="511">
        <f>sumif('25-26 (Q2)'!$A:$A,$A10,'25-26 (Q2)'!$K:$K)</f>
        <v>0</v>
      </c>
      <c r="U10" s="511">
        <f>sumif('25-26 (Q3)'!$A:$A,$A10,'25-26 (Q3)'!$J:$J)</f>
        <v>9215156.47</v>
      </c>
      <c r="V10" s="511">
        <f>sumif('25-26 (Q3)'!$A:$A,$A10,'25-26 (Q3)'!$K:$K)</f>
        <v>0</v>
      </c>
      <c r="W10" s="511">
        <f>sumif('25-26 (Q4)'!$A:$A,$A10,'25-26 (Q4)'!$J:$J)</f>
        <v>8136361.35</v>
      </c>
      <c r="X10" s="511">
        <f>sumif('25-26 (Q4)'!$A:$A,$A10,'25-26 (Q4)'!$K:$K)</f>
        <v>0</v>
      </c>
      <c r="Y10" s="511">
        <f>SUMIF(Data!$A$3:$A1001,$A10,Data!$AY$3:$AY1001)</f>
        <v>30216909</v>
      </c>
      <c r="Z10" s="527">
        <f>sumif('25-26 (Q2)'!$A:$A,$A10,'25-26 (Q2)'!$H:$H)+sumif('25-26 (Q2)'!$A:$A,$A10,'25-26 (Q2)'!$I:$I)</f>
        <v>25922222</v>
      </c>
      <c r="AA10" s="527">
        <f>sumif('25-26 (Q3)'!$A:$A,$A10,'25-26 (Q3)'!$H:$H)+sumif('25-26 (Q3)'!$A:$A,$A10,'25-26 (Q3)'!$I:$I)</f>
        <v>23333333</v>
      </c>
      <c r="AB10" s="527">
        <f>sumif('25-26 (Q4)'!$A:$A,$A10,'25-26 (Q4)'!$H:$H)+sumif('25-26 (Q4)'!$A:$A,$A10,'25-26 (Q4)'!$I:$I)</f>
        <v>27012903</v>
      </c>
      <c r="AC10" s="526">
        <f t="shared" si="13"/>
        <v>0.3382129264</v>
      </c>
      <c r="AD10" s="526">
        <f t="shared" si="14"/>
        <v>0.3607083259</v>
      </c>
      <c r="AE10" s="526">
        <f t="shared" si="15"/>
        <v>0.3949352829</v>
      </c>
      <c r="AF10" s="526">
        <f t="shared" si="16"/>
        <v>0.3012027752</v>
      </c>
      <c r="AG10" s="528"/>
      <c r="AH10" s="529">
        <f>sumif(Data!$A:$A,$A10,Data!$G:$G)+sumif(Data!$A:$A,$A10,Data!$H:$H)</f>
        <v>105568458</v>
      </c>
      <c r="AI10" s="530">
        <f t="shared" si="17"/>
        <v>109568458</v>
      </c>
      <c r="AJ10" s="530">
        <f t="shared" si="18"/>
        <v>-4000000</v>
      </c>
    </row>
    <row r="11">
      <c r="A11" s="75" t="s">
        <v>885</v>
      </c>
      <c r="B11" s="525">
        <f>COUNTIF(Data!$A$3:$A1001,$A11)</f>
        <v>2</v>
      </c>
      <c r="C11" s="511">
        <f t="shared" si="4"/>
        <v>0</v>
      </c>
      <c r="D11" s="511">
        <f>SUMIF(Data!$A$3:$A1001,$A11,Data!$BO$3:$BO1001)</f>
        <v>0</v>
      </c>
      <c r="E11" s="511">
        <f t="shared" si="5"/>
        <v>0</v>
      </c>
      <c r="F11" s="511">
        <f>SUMIF(Data!$A$3:$A1001,$A11,Data!$BP$3:$BP1001)</f>
        <v>0</v>
      </c>
      <c r="G11" s="511">
        <f t="shared" si="6"/>
        <v>0</v>
      </c>
      <c r="H11" s="511">
        <f>SUMIF(Data!$A$3:$A1001,$A11,Data!$BQ$3:$BQ1001)</f>
        <v>0</v>
      </c>
      <c r="I11" s="511">
        <f t="shared" si="7"/>
        <v>0</v>
      </c>
      <c r="J11" s="511">
        <f>SUMIF(Data!$A$3:$A1001,$A11,Data!$BR$3:$BR1001)</f>
        <v>0</v>
      </c>
      <c r="K11" s="511">
        <f t="shared" si="8"/>
        <v>0</v>
      </c>
      <c r="L11" s="526" t="str">
        <f t="shared" si="9"/>
        <v/>
      </c>
      <c r="M11" s="526" t="str">
        <f>iferror((G11-F11)/F11,"")</f>
        <v/>
      </c>
      <c r="N11" s="526" t="str">
        <f>iferror((I11-H11)/H11,"")</f>
        <v/>
      </c>
      <c r="O11" s="526" t="str">
        <f>iferror((K11-J11)/J11,"")</f>
        <v/>
      </c>
      <c r="P11" s="511">
        <f>sumif('25-26(Q1)'!A:A,A11,'25-26(Q1)'!H:H)</f>
        <v>0</v>
      </c>
      <c r="Q11" s="511">
        <f>sumif('25-26(Q1)'!A:A,A11,'25-26(Q1)'!I:I)</f>
        <v>0</v>
      </c>
      <c r="R11" s="511">
        <f>sumif('25-26(Q1)'!A:A,A11,'25-26(Q1)'!J:J)</f>
        <v>0</v>
      </c>
      <c r="S11" s="511">
        <f>sumif('25-26 (Q2)'!$A:$A,$A11,'25-26 (Q2)'!$J:$J)</f>
        <v>0</v>
      </c>
      <c r="T11" s="511">
        <f>sumif('25-26 (Q2)'!$A:$A,$A11,'25-26 (Q2)'!$K:$K)</f>
        <v>0</v>
      </c>
      <c r="U11" s="511">
        <f>sumif('25-26 (Q3)'!$A:$A,$A11,'25-26 (Q3)'!$J:$J)</f>
        <v>0</v>
      </c>
      <c r="V11" s="511">
        <f>sumif('25-26 (Q3)'!$A:$A,$A11,'25-26 (Q3)'!$K:$K)</f>
        <v>0</v>
      </c>
      <c r="W11" s="511">
        <f>sumif('25-26 (Q4)'!$A:$A,$A11,'25-26 (Q4)'!$J:$J)</f>
        <v>0</v>
      </c>
      <c r="X11" s="511">
        <f>sumif('25-26 (Q4)'!$A:$A,$A11,'25-26 (Q4)'!$K:$K)</f>
        <v>0</v>
      </c>
      <c r="Y11" s="511">
        <f>SUMIF(Data!$A$3:$A1001,$A11,Data!$AY$3:$AY1001)</f>
        <v>0</v>
      </c>
      <c r="Z11" s="527">
        <f>sumif('25-26 (Q2)'!$A:$A,$A11,'25-26 (Q2)'!$H:$H)+sumif('25-26 (Q2)'!$A:$A,$A11,'25-26 (Q2)'!$I:$I)</f>
        <v>0</v>
      </c>
      <c r="AA11" s="527">
        <f>sumif('25-26 (Q3)'!$A:$A,$A11,'25-26 (Q3)'!$H:$H)+sumif('25-26 (Q3)'!$A:$A,$A11,'25-26 (Q3)'!$I:$I)</f>
        <v>0</v>
      </c>
      <c r="AB11" s="527">
        <f>sumif('25-26 (Q4)'!$A:$A,$A11,'25-26 (Q4)'!$H:$H)+sumif('25-26 (Q4)'!$A:$A,$A11,'25-26 (Q4)'!$I:$I)</f>
        <v>0</v>
      </c>
      <c r="AC11" s="526" t="str">
        <f>iferror(E11/P11,"")</f>
        <v/>
      </c>
      <c r="AD11" s="526" t="str">
        <f>iferror(G11/Z11,"")</f>
        <v/>
      </c>
      <c r="AE11" s="526" t="str">
        <f>iferror(I11/AA11,"")</f>
        <v/>
      </c>
      <c r="AF11" s="526" t="str">
        <f>iferror(K11/AB11,"")</f>
        <v/>
      </c>
      <c r="AG11" s="528"/>
      <c r="AH11" s="529">
        <f>sumif(Data!$A:$A,$A11,Data!$G:$G)+sumif(Data!$A:$A,$A11,Data!$H:$H)</f>
        <v>0</v>
      </c>
      <c r="AI11" s="530">
        <f t="shared" si="17"/>
        <v>0</v>
      </c>
      <c r="AJ11" s="530">
        <f t="shared" si="18"/>
        <v>0</v>
      </c>
    </row>
    <row r="12">
      <c r="A12" s="75" t="s">
        <v>185</v>
      </c>
      <c r="B12" s="525">
        <f>COUNTIF(Data!$A$3:$A1001,$A12)</f>
        <v>104</v>
      </c>
      <c r="C12" s="511">
        <f t="shared" si="4"/>
        <v>1467582171</v>
      </c>
      <c r="D12" s="511">
        <f>SUMIF(Data!$A$3:$A1001,$A12,Data!$BO$3:$BO1001)</f>
        <v>20408003.12</v>
      </c>
      <c r="E12" s="511">
        <f t="shared" si="5"/>
        <v>336325366</v>
      </c>
      <c r="F12" s="511">
        <f>SUMIF(Data!$A$3:$A1001,$A12,Data!$BP$3:$BP1001)</f>
        <v>20094807.79</v>
      </c>
      <c r="G12" s="511">
        <f t="shared" si="6"/>
        <v>373107464.7</v>
      </c>
      <c r="H12" s="511">
        <f>SUMIF(Data!$A$3:$A1001,$A12,Data!$BQ$3:$BQ1001)</f>
        <v>31295222.44</v>
      </c>
      <c r="I12" s="511">
        <f t="shared" si="7"/>
        <v>346585068.4</v>
      </c>
      <c r="J12" s="511">
        <f>SUMIF(Data!$A$3:$A1001,$A12,Data!$BR$3:$BR1001)</f>
        <v>25242012.11</v>
      </c>
      <c r="K12" s="511">
        <f t="shared" si="8"/>
        <v>411564272.2</v>
      </c>
      <c r="L12" s="526">
        <f t="shared" si="9"/>
        <v>15.48007226</v>
      </c>
      <c r="M12" s="526">
        <f t="shared" ref="M12:M15" si="19">(G12-F12)/F12</f>
        <v>17.56735673</v>
      </c>
      <c r="N12" s="526">
        <f t="shared" ref="N12:N15" si="20">(I12-H12)/H12</f>
        <v>10.0746958</v>
      </c>
      <c r="O12" s="526">
        <f t="shared" ref="O12:O15" si="21">(K12-J12)/J12</f>
        <v>15.30473317</v>
      </c>
      <c r="P12" s="511">
        <f>sumif('25-26(Q1)'!A:A,A12,'25-26(Q1)'!H:H)</f>
        <v>558257329</v>
      </c>
      <c r="Q12" s="511">
        <f>sumif('25-26(Q1)'!A:A,A12,'25-26(Q1)'!I:I)</f>
        <v>335250639.5</v>
      </c>
      <c r="R12" s="511">
        <f>sumif('25-26(Q1)'!A:A,A12,'25-26(Q1)'!J:J)</f>
        <v>1074726.49</v>
      </c>
      <c r="S12" s="511">
        <f>sumif('25-26 (Q2)'!$A:$A,$A12,'25-26 (Q2)'!$J:$J)</f>
        <v>372423838.9</v>
      </c>
      <c r="T12" s="511">
        <f>sumif('25-26 (Q2)'!$A:$A,$A12,'25-26 (Q2)'!$K:$K)</f>
        <v>683625.79</v>
      </c>
      <c r="U12" s="511">
        <f>sumif('25-26 (Q3)'!$A:$A,$A12,'25-26 (Q3)'!$J:$J)</f>
        <v>346274080.9</v>
      </c>
      <c r="V12" s="511">
        <f>sumif('25-26 (Q3)'!$A:$A,$A12,'25-26 (Q3)'!$K:$K)</f>
        <v>310987.48</v>
      </c>
      <c r="W12" s="511">
        <f>sumif('25-26 (Q4)'!$A:$A,$A12,'25-26 (Q4)'!$J:$J)</f>
        <v>411313894.1</v>
      </c>
      <c r="X12" s="511">
        <f>sumif('25-26 (Q4)'!$A:$A,$A12,'25-26 (Q4)'!$K:$K)</f>
        <v>250378.14</v>
      </c>
      <c r="Y12" s="511">
        <f>SUMIF(Data!$A$3:$A1001,$A12,Data!$AY$3:$AY1001)</f>
        <v>1573867350</v>
      </c>
      <c r="Z12" s="527">
        <f>sumif('25-26 (Q2)'!$A:$A,$A12,'25-26 (Q2)'!$H:$H)+sumif('25-26 (Q2)'!$A:$A,$A12,'25-26 (Q2)'!$I:$I)</f>
        <v>563807328</v>
      </c>
      <c r="AA12" s="527">
        <f>sumif('25-26 (Q3)'!$A:$A,$A12,'25-26 (Q3)'!$H:$H)+sumif('25-26 (Q3)'!$A:$A,$A12,'25-26 (Q3)'!$I:$I)</f>
        <v>550548995</v>
      </c>
      <c r="AB12" s="527">
        <f>sumif('25-26 (Q4)'!$A:$A,$A12,'25-26 (Q4)'!$H:$H)+sumif('25-26 (Q4)'!$A:$A,$A12,'25-26 (Q4)'!$I:$I)</f>
        <v>514048995</v>
      </c>
      <c r="AC12" s="526">
        <f t="shared" ref="AC12:AC15" si="22">E12/P12</f>
        <v>0.6024558005</v>
      </c>
      <c r="AD12" s="526">
        <f t="shared" ref="AD12:AD15" si="23">G12/Z12</f>
        <v>0.6617641278</v>
      </c>
      <c r="AE12" s="526">
        <f t="shared" ref="AE12:AE15" si="24">I12/AA12</f>
        <v>0.6295262938</v>
      </c>
      <c r="AF12" s="526">
        <f t="shared" ref="AF12:AF15" si="25">K12/AB12</f>
        <v>0.8006323837</v>
      </c>
      <c r="AG12" s="528"/>
      <c r="AH12" s="529">
        <f>sumif(Data!$A:$A,$A12,Data!$G:$G)+sumif(Data!$A:$A,$A12,Data!$H:$H)</f>
        <v>2186662643</v>
      </c>
      <c r="AI12" s="530">
        <f t="shared" si="17"/>
        <v>2186662647</v>
      </c>
      <c r="AJ12" s="530">
        <f t="shared" si="18"/>
        <v>-3.999899864</v>
      </c>
    </row>
    <row r="13">
      <c r="A13" s="75" t="s">
        <v>47</v>
      </c>
      <c r="B13" s="525">
        <f>COUNTIF(Data!$A$3:$A1001,$A13)</f>
        <v>9</v>
      </c>
      <c r="C13" s="511">
        <f t="shared" si="4"/>
        <v>17914466.49</v>
      </c>
      <c r="D13" s="511">
        <f>SUMIF(Data!$A$3:$A1001,$A13,Data!$BO$3:$BO1001)</f>
        <v>0</v>
      </c>
      <c r="E13" s="511">
        <f t="shared" si="5"/>
        <v>4674842.24</v>
      </c>
      <c r="F13" s="511">
        <f>SUMIF(Data!$A$3:$A1001,$A13,Data!$BP$3:$BP1001)</f>
        <v>0</v>
      </c>
      <c r="G13" s="511">
        <f t="shared" si="6"/>
        <v>4460597.72</v>
      </c>
      <c r="H13" s="511">
        <f>SUMIF(Data!$A$3:$A1001,$A13,Data!$BQ$3:$BQ1001)</f>
        <v>0</v>
      </c>
      <c r="I13" s="511">
        <f t="shared" si="7"/>
        <v>3571236.66</v>
      </c>
      <c r="J13" s="511">
        <f>SUMIF(Data!$A$3:$A1001,$A13,Data!$BR$3:$BR1001)</f>
        <v>0</v>
      </c>
      <c r="K13" s="511">
        <f t="shared" si="8"/>
        <v>5207789.87</v>
      </c>
      <c r="L13" s="526" t="str">
        <f t="shared" si="9"/>
        <v/>
      </c>
      <c r="M13" s="526" t="str">
        <f t="shared" si="19"/>
        <v>#DIV/0!</v>
      </c>
      <c r="N13" s="526" t="str">
        <f t="shared" si="20"/>
        <v>#DIV/0!</v>
      </c>
      <c r="O13" s="526" t="str">
        <f t="shared" si="21"/>
        <v>#DIV/0!</v>
      </c>
      <c r="P13" s="511">
        <f>sumif('25-26(Q1)'!A:A,A13,'25-26(Q1)'!H:H)</f>
        <v>7833332</v>
      </c>
      <c r="Q13" s="511">
        <f>sumif('25-26(Q1)'!A:A,A13,'25-26(Q1)'!I:I)</f>
        <v>4674842.24</v>
      </c>
      <c r="R13" s="511">
        <f>sumif('25-26(Q1)'!A:A,A13,'25-26(Q1)'!J:J)</f>
        <v>0</v>
      </c>
      <c r="S13" s="511">
        <f>sumif('25-26 (Q2)'!$A:$A,$A13,'25-26 (Q2)'!$J:$J)</f>
        <v>4460597.72</v>
      </c>
      <c r="T13" s="511">
        <f>sumif('25-26 (Q2)'!$A:$A,$A13,'25-26 (Q2)'!$K:$K)</f>
        <v>0</v>
      </c>
      <c r="U13" s="511">
        <f>sumif('25-26 (Q3)'!$A:$A,$A13,'25-26 (Q3)'!$J:$J)</f>
        <v>3571236.66</v>
      </c>
      <c r="V13" s="511">
        <f>sumif('25-26 (Q3)'!$A:$A,$A13,'25-26 (Q3)'!$K:$K)</f>
        <v>0</v>
      </c>
      <c r="W13" s="511">
        <f>sumif('25-26 (Q4)'!$A:$A,$A13,'25-26 (Q4)'!$J:$J)</f>
        <v>5207789.87</v>
      </c>
      <c r="X13" s="511">
        <f>sumif('25-26 (Q4)'!$A:$A,$A13,'25-26 (Q4)'!$K:$K)</f>
        <v>0</v>
      </c>
      <c r="Y13" s="511">
        <f>SUMIF(Data!$A$3:$A1001,$A13,Data!$AY$3:$AY1001)</f>
        <v>15853766.28</v>
      </c>
      <c r="Z13" s="527">
        <f>sumif('25-26 (Q2)'!$A:$A,$A13,'25-26 (Q2)'!$H:$H)+sumif('25-26 (Q2)'!$A:$A,$A13,'25-26 (Q2)'!$I:$I)</f>
        <v>9416666</v>
      </c>
      <c r="AA13" s="527">
        <f>sumif('25-26 (Q3)'!$A:$A,$A13,'25-26 (Q3)'!$H:$H)+sumif('25-26 (Q3)'!$A:$A,$A13,'25-26 (Q3)'!$I:$I)</f>
        <v>7666666</v>
      </c>
      <c r="AB13" s="527">
        <f>sumif('25-26 (Q4)'!$A:$A,$A13,'25-26 (Q4)'!$H:$H)+sumif('25-26 (Q4)'!$A:$A,$A13,'25-26 (Q4)'!$I:$I)</f>
        <v>6999999</v>
      </c>
      <c r="AC13" s="526">
        <f t="shared" si="22"/>
        <v>0.5967884726</v>
      </c>
      <c r="AD13" s="526">
        <f t="shared" si="23"/>
        <v>0.4736918268</v>
      </c>
      <c r="AE13" s="526">
        <f t="shared" si="24"/>
        <v>0.4658135179</v>
      </c>
      <c r="AF13" s="526">
        <f t="shared" si="25"/>
        <v>0.7439700877</v>
      </c>
      <c r="AG13" s="528"/>
      <c r="AH13" s="529">
        <f>sumif(Data!$A:$A,$A13,Data!$G:$G)+sumif(Data!$A:$A,$A13,Data!$H:$H)</f>
        <v>31916663</v>
      </c>
      <c r="AI13" s="530">
        <f t="shared" si="17"/>
        <v>31916663</v>
      </c>
      <c r="AJ13" s="530">
        <f t="shared" si="18"/>
        <v>0</v>
      </c>
    </row>
    <row r="14">
      <c r="A14" s="75" t="s">
        <v>322</v>
      </c>
      <c r="B14" s="525">
        <f>COUNTIF(Data!$A$3:$A1001,$A14)</f>
        <v>6</v>
      </c>
      <c r="C14" s="511">
        <f t="shared" si="4"/>
        <v>16549630.81</v>
      </c>
      <c r="D14" s="511">
        <f>SUMIF(Data!$A$3:$A1001,$A14,Data!$BO$3:$BO1001)</f>
        <v>0</v>
      </c>
      <c r="E14" s="511">
        <f t="shared" si="5"/>
        <v>3377580.92</v>
      </c>
      <c r="F14" s="511">
        <f>SUMIF(Data!$A$3:$A1001,$A14,Data!$BP$3:$BP1001)</f>
        <v>0</v>
      </c>
      <c r="G14" s="511">
        <f t="shared" si="6"/>
        <v>4374538.06</v>
      </c>
      <c r="H14" s="511">
        <f>SUMIF(Data!$A$3:$A1001,$A14,Data!$BQ$3:$BQ1001)</f>
        <v>0</v>
      </c>
      <c r="I14" s="511">
        <f t="shared" si="7"/>
        <v>4046207.67</v>
      </c>
      <c r="J14" s="511">
        <f>SUMIF(Data!$A$3:$A1001,$A14,Data!$BR$3:$BR1001)</f>
        <v>0</v>
      </c>
      <c r="K14" s="511">
        <f t="shared" si="8"/>
        <v>4751304.16</v>
      </c>
      <c r="L14" s="526" t="str">
        <f t="shared" si="9"/>
        <v/>
      </c>
      <c r="M14" s="526" t="str">
        <f t="shared" si="19"/>
        <v>#DIV/0!</v>
      </c>
      <c r="N14" s="526" t="str">
        <f t="shared" si="20"/>
        <v>#DIV/0!</v>
      </c>
      <c r="O14" s="526" t="str">
        <f t="shared" si="21"/>
        <v>#DIV/0!</v>
      </c>
      <c r="P14" s="511">
        <f>sumif('25-26(Q1)'!A:A,A14,'25-26(Q1)'!H:H)</f>
        <v>10175000</v>
      </c>
      <c r="Q14" s="511">
        <f>sumif('25-26(Q1)'!A:A,A14,'25-26(Q1)'!I:I)</f>
        <v>3377580.92</v>
      </c>
      <c r="R14" s="511">
        <f>sumif('25-26(Q1)'!A:A,A14,'25-26(Q1)'!J:J)</f>
        <v>0</v>
      </c>
      <c r="S14" s="511">
        <f>sumif('25-26 (Q2)'!$A:$A,$A14,'25-26 (Q2)'!$J:$J)</f>
        <v>4374538.06</v>
      </c>
      <c r="T14" s="511">
        <f>sumif('25-26 (Q2)'!$A:$A,$A14,'25-26 (Q2)'!$K:$K)</f>
        <v>0</v>
      </c>
      <c r="U14" s="511">
        <f>sumif('25-26 (Q3)'!$A:$A,$A14,'25-26 (Q3)'!$J:$J)</f>
        <v>4046207.67</v>
      </c>
      <c r="V14" s="511">
        <f>sumif('25-26 (Q3)'!$A:$A,$A14,'25-26 (Q3)'!$K:$K)</f>
        <v>0</v>
      </c>
      <c r="W14" s="511">
        <f>sumif('25-26 (Q4)'!$A:$A,$A14,'25-26 (Q4)'!$J:$J)</f>
        <v>4751304.16</v>
      </c>
      <c r="X14" s="511">
        <f>sumif('25-26 (Q4)'!$A:$A,$A14,'25-26 (Q4)'!$K:$K)</f>
        <v>0</v>
      </c>
      <c r="Y14" s="511">
        <f>SUMIF(Data!$A$3:$A1001,$A14,Data!$AY$3:$AY1001)</f>
        <v>11729765</v>
      </c>
      <c r="Z14" s="527">
        <f>sumif('25-26 (Q2)'!$A:$A,$A14,'25-26 (Q2)'!$H:$H)+sumif('25-26 (Q2)'!$A:$A,$A14,'25-26 (Q2)'!$I:$I)</f>
        <v>11775000</v>
      </c>
      <c r="AA14" s="527">
        <f>sumif('25-26 (Q3)'!$A:$A,$A14,'25-26 (Q3)'!$H:$H)+sumif('25-26 (Q3)'!$A:$A,$A14,'25-26 (Q3)'!$I:$I)</f>
        <v>10108334</v>
      </c>
      <c r="AB14" s="527">
        <f>sumif('25-26 (Q4)'!$A:$A,$A14,'25-26 (Q4)'!$H:$H)+sumif('25-26 (Q4)'!$A:$A,$A14,'25-26 (Q4)'!$I:$I)</f>
        <v>9275001</v>
      </c>
      <c r="AC14" s="526">
        <f t="shared" si="22"/>
        <v>0.3319489848</v>
      </c>
      <c r="AD14" s="526">
        <f t="shared" si="23"/>
        <v>0.3715106633</v>
      </c>
      <c r="AE14" s="526">
        <f t="shared" si="24"/>
        <v>0.4002843268</v>
      </c>
      <c r="AF14" s="526">
        <f t="shared" si="25"/>
        <v>0.5122699351</v>
      </c>
      <c r="AG14" s="528"/>
      <c r="AH14" s="529">
        <f>sumif(Data!$A:$A,$A14,Data!$G:$G)+sumif(Data!$A:$A,$A14,Data!$H:$H)</f>
        <v>41333335</v>
      </c>
      <c r="AI14" s="530">
        <f t="shared" si="17"/>
        <v>41333335</v>
      </c>
      <c r="AJ14" s="530">
        <f t="shared" si="18"/>
        <v>0</v>
      </c>
    </row>
    <row r="15">
      <c r="A15" s="75" t="s">
        <v>126</v>
      </c>
      <c r="B15" s="525">
        <f>COUNTIF(Data!$A$3:$A1001,$A15)</f>
        <v>39</v>
      </c>
      <c r="C15" s="511">
        <f t="shared" si="4"/>
        <v>478759168.5</v>
      </c>
      <c r="D15" s="511">
        <f>SUMIF(Data!$A$3:$A1001,$A15,Data!$BO$3:$BO1001)</f>
        <v>0</v>
      </c>
      <c r="E15" s="511">
        <f t="shared" si="5"/>
        <v>105518051.2</v>
      </c>
      <c r="F15" s="511">
        <f>SUMIF(Data!$A$3:$A1001,$A15,Data!$BP$3:$BP1001)</f>
        <v>0</v>
      </c>
      <c r="G15" s="511">
        <f t="shared" si="6"/>
        <v>116945935.5</v>
      </c>
      <c r="H15" s="511">
        <f>SUMIF(Data!$A$3:$A1001,$A15,Data!$BQ$3:$BQ1001)</f>
        <v>0</v>
      </c>
      <c r="I15" s="511">
        <f t="shared" si="7"/>
        <v>117280736.6</v>
      </c>
      <c r="J15" s="511">
        <f>SUMIF(Data!$A$3:$A1001,$A15,Data!$BR$3:$BR1001)</f>
        <v>0</v>
      </c>
      <c r="K15" s="511">
        <f t="shared" si="8"/>
        <v>139014445.2</v>
      </c>
      <c r="L15" s="526" t="str">
        <f t="shared" si="9"/>
        <v/>
      </c>
      <c r="M15" s="526" t="str">
        <f t="shared" si="19"/>
        <v>#DIV/0!</v>
      </c>
      <c r="N15" s="526" t="str">
        <f t="shared" si="20"/>
        <v>#DIV/0!</v>
      </c>
      <c r="O15" s="526" t="str">
        <f t="shared" si="21"/>
        <v>#DIV/0!</v>
      </c>
      <c r="P15" s="511">
        <f>sumif('25-26(Q1)'!A:A,A15,'25-26(Q1)'!H:H)</f>
        <v>184704999</v>
      </c>
      <c r="Q15" s="511">
        <f>sumif('25-26(Q1)'!A:A,A15,'25-26(Q1)'!I:I)</f>
        <v>100849264.9</v>
      </c>
      <c r="R15" s="511">
        <f>sumif('25-26(Q1)'!A:A,A15,'25-26(Q1)'!J:J)</f>
        <v>4668786.3</v>
      </c>
      <c r="S15" s="511">
        <f>sumif('25-26 (Q2)'!$A:$A,$A15,'25-26 (Q2)'!$J:$J)</f>
        <v>111522585.1</v>
      </c>
      <c r="T15" s="511">
        <f>sumif('25-26 (Q2)'!$A:$A,$A15,'25-26 (Q2)'!$K:$K)</f>
        <v>5423350.4</v>
      </c>
      <c r="U15" s="511">
        <f>sumif('25-26 (Q3)'!$A:$A,$A15,'25-26 (Q3)'!$J:$J)</f>
        <v>111777011.3</v>
      </c>
      <c r="V15" s="511">
        <f>sumif('25-26 (Q3)'!$A:$A,$A15,'25-26 (Q3)'!$K:$K)</f>
        <v>5503725.34</v>
      </c>
      <c r="W15" s="511">
        <f>sumif('25-26 (Q4)'!$A:$A,$A15,'25-26 (Q4)'!$J:$J)</f>
        <v>132910356.4</v>
      </c>
      <c r="X15" s="511">
        <f>sumif('25-26 (Q4)'!$A:$A,$A15,'25-26 (Q4)'!$K:$K)</f>
        <v>6104088.84</v>
      </c>
      <c r="Y15" s="511">
        <f>SUMIF(Data!$A$3:$A1001,$A15,Data!$AY$3:$AY1001)</f>
        <v>452337395</v>
      </c>
      <c r="Z15" s="527">
        <f>sumif('25-26 (Q2)'!$A:$A,$A15,'25-26 (Q2)'!$H:$H)+sumif('25-26 (Q2)'!$A:$A,$A15,'25-26 (Q2)'!$I:$I)</f>
        <v>206471666</v>
      </c>
      <c r="AA15" s="527">
        <f>sumif('25-26 (Q3)'!$A:$A,$A15,'25-26 (Q3)'!$H:$H)+sumif('25-26 (Q3)'!$A:$A,$A15,'25-26 (Q3)'!$I:$I)</f>
        <v>198129998</v>
      </c>
      <c r="AB15" s="527">
        <f>sumif('25-26 (Q4)'!$A:$A,$A15,'25-26 (Q4)'!$H:$H)+sumif('25-26 (Q4)'!$A:$A,$A15,'25-26 (Q4)'!$I:$I)</f>
        <v>193046664</v>
      </c>
      <c r="AC15" s="526">
        <f t="shared" si="22"/>
        <v>0.5712788055</v>
      </c>
      <c r="AD15" s="526">
        <f t="shared" si="23"/>
        <v>0.5664018592</v>
      </c>
      <c r="AE15" s="526">
        <f t="shared" si="24"/>
        <v>0.5919383122</v>
      </c>
      <c r="AF15" s="526">
        <f t="shared" si="25"/>
        <v>0.7201079903</v>
      </c>
      <c r="AG15" s="528"/>
      <c r="AH15" s="529">
        <f>sumif(Data!$A:$A,$A15,Data!$G:$G)+sumif(Data!$A:$A,$A15,Data!$H:$H)</f>
        <v>782353327</v>
      </c>
      <c r="AI15" s="530">
        <f t="shared" si="17"/>
        <v>782353327</v>
      </c>
      <c r="AJ15" s="530">
        <f t="shared" si="18"/>
        <v>0</v>
      </c>
    </row>
    <row r="16">
      <c r="A16" s="124"/>
      <c r="B16" s="531"/>
      <c r="C16" s="531"/>
      <c r="D16" s="531"/>
      <c r="E16" s="531"/>
      <c r="F16" s="531"/>
      <c r="G16" s="531"/>
      <c r="H16" s="531"/>
      <c r="I16" s="531"/>
      <c r="J16" s="531"/>
      <c r="K16" s="531"/>
      <c r="L16" s="531"/>
      <c r="M16" s="531"/>
      <c r="N16" s="531"/>
      <c r="O16" s="531"/>
      <c r="P16" s="531"/>
      <c r="Q16" s="531"/>
      <c r="R16" s="531"/>
      <c r="S16" s="532"/>
      <c r="T16" s="532"/>
      <c r="U16" s="532"/>
      <c r="V16" s="532"/>
      <c r="W16" s="532"/>
      <c r="X16" s="532"/>
      <c r="Y16" s="532"/>
      <c r="Z16" s="531"/>
      <c r="AA16" s="531"/>
      <c r="AB16" s="531"/>
      <c r="AC16" s="531"/>
      <c r="AD16" s="531"/>
      <c r="AE16" s="531"/>
      <c r="AF16" s="531"/>
      <c r="AG16" s="531"/>
    </row>
    <row r="17">
      <c r="B17" s="531"/>
      <c r="C17" s="531"/>
      <c r="D17" s="531"/>
      <c r="E17" s="531"/>
      <c r="F17" s="531"/>
      <c r="G17" s="531"/>
      <c r="H17" s="531"/>
      <c r="I17" s="531"/>
      <c r="J17" s="531"/>
      <c r="K17" s="531"/>
      <c r="L17" s="531"/>
      <c r="M17" s="531"/>
      <c r="N17" s="531"/>
      <c r="O17" s="531"/>
      <c r="P17" s="531"/>
      <c r="Q17" s="531"/>
      <c r="R17" s="531"/>
      <c r="S17" s="532"/>
      <c r="T17" s="532"/>
      <c r="U17" s="532"/>
      <c r="V17" s="532"/>
      <c r="W17" s="532"/>
      <c r="X17" s="532"/>
      <c r="Y17" s="532"/>
      <c r="Z17" s="531"/>
      <c r="AA17" s="531"/>
      <c r="AB17" s="531"/>
      <c r="AC17" s="531"/>
      <c r="AD17" s="531"/>
      <c r="AE17" s="531"/>
      <c r="AF17" s="531"/>
      <c r="AG17" s="531"/>
    </row>
    <row r="18">
      <c r="B18" s="531"/>
      <c r="C18" s="531"/>
      <c r="D18" s="531"/>
      <c r="E18" s="531"/>
      <c r="F18" s="531"/>
      <c r="G18" s="531"/>
      <c r="H18" s="531"/>
      <c r="I18" s="531"/>
      <c r="J18" s="531"/>
      <c r="K18" s="531"/>
      <c r="L18" s="531"/>
      <c r="M18" s="531"/>
      <c r="N18" s="531"/>
      <c r="O18" s="531"/>
      <c r="P18" s="531"/>
      <c r="Q18" s="531"/>
      <c r="R18" s="531"/>
      <c r="S18" s="532"/>
      <c r="T18" s="532"/>
      <c r="U18" s="532"/>
      <c r="V18" s="532"/>
      <c r="W18" s="532"/>
      <c r="X18" s="532"/>
      <c r="Y18" s="532"/>
      <c r="Z18" s="531"/>
      <c r="AA18" s="531"/>
      <c r="AB18" s="531"/>
      <c r="AC18" s="531"/>
      <c r="AD18" s="531"/>
      <c r="AE18" s="531"/>
      <c r="AF18" s="531"/>
      <c r="AG18" s="531"/>
    </row>
    <row r="19">
      <c r="B19" s="531"/>
      <c r="C19" s="531"/>
      <c r="D19" s="531"/>
      <c r="E19" s="531"/>
      <c r="F19" s="531"/>
      <c r="G19" s="531"/>
      <c r="H19" s="531"/>
      <c r="I19" s="531"/>
      <c r="J19" s="531"/>
      <c r="K19" s="531"/>
      <c r="L19" s="531"/>
      <c r="M19" s="531"/>
      <c r="N19" s="531"/>
      <c r="O19" s="531"/>
      <c r="P19" s="531"/>
      <c r="Q19" s="531"/>
      <c r="R19" s="531"/>
      <c r="S19" s="532"/>
      <c r="T19" s="532"/>
      <c r="U19" s="532"/>
      <c r="V19" s="532"/>
      <c r="W19" s="532"/>
      <c r="X19" s="532"/>
      <c r="Y19" s="532"/>
      <c r="Z19" s="531"/>
      <c r="AA19" s="531"/>
      <c r="AB19" s="531"/>
      <c r="AC19" s="531"/>
      <c r="AD19" s="531"/>
      <c r="AE19" s="531"/>
      <c r="AF19" s="531"/>
      <c r="AG19" s="531"/>
    </row>
    <row r="20">
      <c r="B20" s="531"/>
      <c r="C20" s="531"/>
      <c r="D20" s="531"/>
      <c r="E20" s="531"/>
      <c r="F20" s="531"/>
      <c r="G20" s="531"/>
      <c r="H20" s="531"/>
      <c r="I20" s="531"/>
      <c r="J20" s="531"/>
      <c r="K20" s="531"/>
      <c r="L20" s="531"/>
      <c r="M20" s="531"/>
      <c r="N20" s="531"/>
      <c r="O20" s="531"/>
      <c r="P20" s="531"/>
      <c r="Q20" s="531"/>
      <c r="R20" s="531"/>
      <c r="S20" s="532"/>
      <c r="T20" s="532"/>
      <c r="U20" s="532"/>
      <c r="V20" s="532"/>
      <c r="W20" s="532"/>
      <c r="X20" s="532"/>
      <c r="Y20" s="532"/>
      <c r="Z20" s="531"/>
      <c r="AA20" s="531"/>
      <c r="AB20" s="531"/>
      <c r="AC20" s="531"/>
      <c r="AD20" s="531"/>
      <c r="AE20" s="531"/>
      <c r="AF20" s="531"/>
      <c r="AG20" s="531"/>
    </row>
    <row r="21">
      <c r="B21" s="531"/>
      <c r="C21" s="531"/>
      <c r="D21" s="531"/>
      <c r="E21" s="531"/>
      <c r="F21" s="531"/>
      <c r="G21" s="531"/>
      <c r="H21" s="531"/>
      <c r="I21" s="531"/>
      <c r="J21" s="531"/>
      <c r="K21" s="531"/>
      <c r="L21" s="531"/>
      <c r="M21" s="531"/>
      <c r="N21" s="531"/>
      <c r="O21" s="531"/>
      <c r="P21" s="531"/>
      <c r="Q21" s="531"/>
      <c r="R21" s="531"/>
      <c r="S21" s="532"/>
      <c r="T21" s="532"/>
      <c r="U21" s="532"/>
      <c r="V21" s="532"/>
      <c r="W21" s="532"/>
      <c r="X21" s="532"/>
      <c r="Y21" s="532"/>
      <c r="Z21" s="531"/>
      <c r="AA21" s="531"/>
      <c r="AB21" s="531"/>
      <c r="AC21" s="531"/>
      <c r="AD21" s="531"/>
      <c r="AE21" s="531"/>
      <c r="AF21" s="531"/>
      <c r="AG21" s="531"/>
    </row>
    <row r="22">
      <c r="B22" s="531"/>
      <c r="C22" s="531"/>
      <c r="D22" s="531"/>
      <c r="E22" s="531"/>
      <c r="F22" s="531"/>
      <c r="G22" s="531"/>
      <c r="H22" s="531"/>
      <c r="I22" s="531"/>
      <c r="J22" s="531"/>
      <c r="K22" s="531"/>
      <c r="L22" s="531"/>
      <c r="M22" s="531"/>
      <c r="N22" s="531"/>
      <c r="O22" s="531"/>
      <c r="P22" s="531"/>
      <c r="Q22" s="531"/>
      <c r="R22" s="531"/>
      <c r="S22" s="532"/>
      <c r="T22" s="532"/>
      <c r="U22" s="532"/>
      <c r="V22" s="532"/>
      <c r="W22" s="532"/>
      <c r="X22" s="532"/>
      <c r="Y22" s="532"/>
      <c r="Z22" s="531"/>
      <c r="AA22" s="531"/>
      <c r="AB22" s="531"/>
      <c r="AC22" s="531"/>
      <c r="AD22" s="531"/>
      <c r="AE22" s="531"/>
      <c r="AF22" s="531"/>
      <c r="AG22" s="531"/>
    </row>
    <row r="23">
      <c r="B23" s="531"/>
      <c r="C23" s="531"/>
      <c r="D23" s="531"/>
      <c r="E23" s="531"/>
      <c r="F23" s="531"/>
      <c r="G23" s="531"/>
      <c r="H23" s="531"/>
      <c r="I23" s="531"/>
      <c r="J23" s="531"/>
      <c r="K23" s="531"/>
      <c r="L23" s="531"/>
      <c r="M23" s="531"/>
      <c r="N23" s="531"/>
      <c r="O23" s="531"/>
      <c r="P23" s="531"/>
      <c r="Q23" s="531"/>
      <c r="R23" s="531"/>
      <c r="S23" s="532"/>
      <c r="T23" s="532"/>
      <c r="U23" s="532"/>
      <c r="V23" s="532"/>
      <c r="W23" s="532"/>
      <c r="X23" s="532"/>
      <c r="Y23" s="532"/>
      <c r="Z23" s="531"/>
      <c r="AA23" s="531"/>
      <c r="AB23" s="531"/>
      <c r="AC23" s="531"/>
      <c r="AD23" s="531"/>
      <c r="AE23" s="531"/>
      <c r="AF23" s="531"/>
      <c r="AG23" s="531"/>
    </row>
    <row r="24">
      <c r="B24" s="531"/>
      <c r="C24" s="531"/>
      <c r="D24" s="531"/>
      <c r="E24" s="531"/>
      <c r="F24" s="531"/>
      <c r="G24" s="531"/>
      <c r="H24" s="531"/>
      <c r="I24" s="531"/>
      <c r="J24" s="531"/>
      <c r="K24" s="531"/>
      <c r="L24" s="531"/>
      <c r="M24" s="531"/>
      <c r="N24" s="531"/>
      <c r="O24" s="531"/>
      <c r="P24" s="531"/>
      <c r="Q24" s="531"/>
      <c r="R24" s="531"/>
      <c r="S24" s="532"/>
      <c r="T24" s="532"/>
      <c r="U24" s="532"/>
      <c r="V24" s="532"/>
      <c r="W24" s="532"/>
      <c r="X24" s="532"/>
      <c r="Y24" s="532"/>
      <c r="Z24" s="531"/>
      <c r="AA24" s="531"/>
      <c r="AB24" s="531"/>
      <c r="AC24" s="531"/>
      <c r="AD24" s="531"/>
      <c r="AE24" s="531"/>
      <c r="AF24" s="531"/>
      <c r="AG24" s="531"/>
    </row>
    <row r="25">
      <c r="B25" s="531"/>
      <c r="C25" s="531"/>
      <c r="D25" s="531"/>
      <c r="E25" s="531"/>
      <c r="F25" s="531"/>
      <c r="G25" s="531"/>
      <c r="H25" s="531"/>
      <c r="I25" s="531"/>
      <c r="J25" s="531"/>
      <c r="K25" s="531"/>
      <c r="L25" s="531"/>
      <c r="M25" s="531"/>
      <c r="N25" s="531"/>
      <c r="O25" s="531"/>
      <c r="P25" s="531"/>
      <c r="Q25" s="531"/>
      <c r="R25" s="531"/>
      <c r="S25" s="532"/>
      <c r="T25" s="532"/>
      <c r="U25" s="532"/>
      <c r="V25" s="532"/>
      <c r="W25" s="532"/>
      <c r="X25" s="532"/>
      <c r="Y25" s="532"/>
      <c r="Z25" s="531"/>
      <c r="AA25" s="531"/>
      <c r="AB25" s="531"/>
      <c r="AC25" s="531"/>
      <c r="AD25" s="531"/>
      <c r="AE25" s="531"/>
      <c r="AF25" s="531"/>
      <c r="AG25" s="531"/>
    </row>
    <row r="26">
      <c r="B26" s="531"/>
      <c r="C26" s="531"/>
      <c r="D26" s="531"/>
      <c r="E26" s="531"/>
      <c r="F26" s="531"/>
      <c r="G26" s="531"/>
      <c r="H26" s="531"/>
      <c r="I26" s="531"/>
      <c r="J26" s="531"/>
      <c r="K26" s="531"/>
      <c r="L26" s="531"/>
      <c r="M26" s="531"/>
      <c r="N26" s="531"/>
      <c r="O26" s="531"/>
      <c r="P26" s="531"/>
      <c r="Q26" s="531"/>
      <c r="R26" s="531"/>
      <c r="S26" s="532"/>
      <c r="T26" s="532"/>
      <c r="U26" s="532"/>
      <c r="V26" s="532"/>
      <c r="W26" s="532"/>
      <c r="X26" s="532"/>
      <c r="Y26" s="532"/>
      <c r="Z26" s="531"/>
      <c r="AA26" s="531"/>
      <c r="AB26" s="531"/>
      <c r="AC26" s="531"/>
      <c r="AD26" s="531"/>
      <c r="AE26" s="531"/>
      <c r="AF26" s="531"/>
      <c r="AG26" s="531"/>
    </row>
    <row r="27">
      <c r="B27" s="531"/>
      <c r="C27" s="531"/>
      <c r="D27" s="531"/>
      <c r="E27" s="531"/>
      <c r="F27" s="531"/>
      <c r="G27" s="531"/>
      <c r="H27" s="531"/>
      <c r="I27" s="531"/>
      <c r="J27" s="531"/>
      <c r="K27" s="531"/>
      <c r="L27" s="531"/>
      <c r="M27" s="531"/>
      <c r="N27" s="531"/>
      <c r="O27" s="531"/>
      <c r="P27" s="531"/>
      <c r="Q27" s="531"/>
      <c r="R27" s="531"/>
      <c r="S27" s="532"/>
      <c r="T27" s="532"/>
      <c r="U27" s="532"/>
      <c r="V27" s="532"/>
      <c r="W27" s="532"/>
      <c r="X27" s="532"/>
      <c r="Y27" s="532"/>
      <c r="Z27" s="531"/>
      <c r="AA27" s="531"/>
      <c r="AB27" s="531"/>
      <c r="AC27" s="531"/>
      <c r="AD27" s="531"/>
      <c r="AE27" s="531"/>
      <c r="AF27" s="531"/>
      <c r="AG27" s="531"/>
    </row>
    <row r="28">
      <c r="B28" s="531"/>
      <c r="C28" s="531"/>
      <c r="D28" s="531"/>
      <c r="E28" s="531"/>
      <c r="F28" s="531"/>
      <c r="G28" s="531"/>
      <c r="H28" s="531"/>
      <c r="I28" s="531"/>
      <c r="J28" s="531"/>
      <c r="K28" s="531"/>
      <c r="L28" s="531"/>
      <c r="M28" s="531"/>
      <c r="N28" s="531"/>
      <c r="O28" s="531"/>
      <c r="P28" s="531"/>
      <c r="Q28" s="531"/>
      <c r="R28" s="531"/>
      <c r="S28" s="532"/>
      <c r="T28" s="532"/>
      <c r="U28" s="532"/>
      <c r="V28" s="532"/>
      <c r="W28" s="532"/>
      <c r="X28" s="532"/>
      <c r="Y28" s="532"/>
      <c r="Z28" s="531"/>
      <c r="AA28" s="531"/>
      <c r="AB28" s="531"/>
      <c r="AC28" s="531"/>
      <c r="AD28" s="531"/>
      <c r="AE28" s="531"/>
      <c r="AF28" s="531"/>
      <c r="AG28" s="531"/>
    </row>
    <row r="29">
      <c r="B29" s="531"/>
      <c r="C29" s="531"/>
      <c r="D29" s="531"/>
      <c r="E29" s="531"/>
      <c r="F29" s="531"/>
      <c r="G29" s="531"/>
      <c r="H29" s="531"/>
      <c r="I29" s="531"/>
      <c r="J29" s="531"/>
      <c r="K29" s="531"/>
      <c r="L29" s="531"/>
      <c r="M29" s="531"/>
      <c r="N29" s="531"/>
      <c r="O29" s="531"/>
      <c r="P29" s="531"/>
      <c r="Q29" s="531"/>
      <c r="R29" s="531"/>
      <c r="S29" s="532"/>
      <c r="T29" s="532"/>
      <c r="U29" s="532"/>
      <c r="V29" s="532"/>
      <c r="W29" s="532"/>
      <c r="X29" s="532"/>
      <c r="Y29" s="532"/>
      <c r="Z29" s="531"/>
      <c r="AA29" s="531"/>
      <c r="AB29" s="531"/>
      <c r="AC29" s="531"/>
      <c r="AD29" s="531"/>
      <c r="AE29" s="531"/>
      <c r="AF29" s="531"/>
      <c r="AG29" s="531"/>
    </row>
    <row r="30">
      <c r="B30" s="531"/>
      <c r="C30" s="531"/>
      <c r="D30" s="531"/>
      <c r="E30" s="531"/>
      <c r="F30" s="531"/>
      <c r="G30" s="531"/>
      <c r="H30" s="531"/>
      <c r="I30" s="531"/>
      <c r="J30" s="531"/>
      <c r="K30" s="531"/>
      <c r="L30" s="531"/>
      <c r="M30" s="531"/>
      <c r="N30" s="531"/>
      <c r="O30" s="531"/>
      <c r="P30" s="531"/>
      <c r="Q30" s="531"/>
      <c r="R30" s="531"/>
      <c r="S30" s="532"/>
      <c r="T30" s="532"/>
      <c r="U30" s="532"/>
      <c r="V30" s="532"/>
      <c r="W30" s="532"/>
      <c r="X30" s="532"/>
      <c r="Y30" s="532"/>
      <c r="Z30" s="531"/>
      <c r="AA30" s="531"/>
      <c r="AB30" s="531"/>
      <c r="AC30" s="531"/>
      <c r="AD30" s="531"/>
      <c r="AE30" s="531"/>
      <c r="AF30" s="531"/>
      <c r="AG30" s="531"/>
    </row>
    <row r="31">
      <c r="B31" s="531"/>
      <c r="C31" s="531"/>
      <c r="D31" s="531"/>
      <c r="E31" s="531"/>
      <c r="F31" s="531"/>
      <c r="G31" s="531"/>
      <c r="H31" s="531"/>
      <c r="I31" s="531"/>
      <c r="J31" s="531"/>
      <c r="K31" s="531"/>
      <c r="L31" s="531"/>
      <c r="M31" s="531"/>
      <c r="N31" s="531"/>
      <c r="O31" s="531"/>
      <c r="P31" s="531"/>
      <c r="Q31" s="531"/>
      <c r="R31" s="531"/>
      <c r="S31" s="532"/>
      <c r="T31" s="532"/>
      <c r="U31" s="532"/>
      <c r="V31" s="532"/>
      <c r="W31" s="532"/>
      <c r="X31" s="532"/>
      <c r="Y31" s="532"/>
      <c r="Z31" s="531"/>
      <c r="AA31" s="531"/>
      <c r="AB31" s="531"/>
      <c r="AC31" s="531"/>
      <c r="AD31" s="531"/>
      <c r="AE31" s="531"/>
      <c r="AF31" s="531"/>
      <c r="AG31" s="531"/>
    </row>
    <row r="32">
      <c r="B32" s="531"/>
      <c r="C32" s="531"/>
      <c r="D32" s="531"/>
      <c r="E32" s="531"/>
      <c r="F32" s="531"/>
      <c r="G32" s="531"/>
      <c r="H32" s="531"/>
      <c r="I32" s="531"/>
      <c r="J32" s="531"/>
      <c r="K32" s="531"/>
      <c r="L32" s="531"/>
      <c r="M32" s="531"/>
      <c r="N32" s="531"/>
      <c r="O32" s="531"/>
      <c r="P32" s="531"/>
      <c r="Q32" s="531"/>
      <c r="R32" s="531"/>
      <c r="S32" s="532"/>
      <c r="T32" s="532"/>
      <c r="U32" s="532"/>
      <c r="V32" s="532"/>
      <c r="W32" s="532"/>
      <c r="X32" s="532"/>
      <c r="Y32" s="532"/>
      <c r="Z32" s="531"/>
      <c r="AA32" s="531"/>
      <c r="AB32" s="531"/>
      <c r="AC32" s="531"/>
      <c r="AD32" s="531"/>
      <c r="AE32" s="531"/>
      <c r="AF32" s="531"/>
      <c r="AG32" s="531"/>
    </row>
    <row r="33">
      <c r="B33" s="531"/>
      <c r="C33" s="531"/>
      <c r="D33" s="531"/>
      <c r="E33" s="531"/>
      <c r="F33" s="531"/>
      <c r="G33" s="531"/>
      <c r="H33" s="531"/>
      <c r="I33" s="531"/>
      <c r="J33" s="531"/>
      <c r="K33" s="531"/>
      <c r="L33" s="531"/>
      <c r="M33" s="531"/>
      <c r="N33" s="531"/>
      <c r="O33" s="531"/>
      <c r="P33" s="531"/>
      <c r="Q33" s="531"/>
      <c r="R33" s="531"/>
      <c r="S33" s="532"/>
      <c r="T33" s="532"/>
      <c r="U33" s="532"/>
      <c r="V33" s="532"/>
      <c r="W33" s="532"/>
      <c r="X33" s="532"/>
      <c r="Y33" s="532"/>
      <c r="Z33" s="531"/>
      <c r="AA33" s="531"/>
      <c r="AB33" s="531"/>
      <c r="AC33" s="531"/>
      <c r="AD33" s="531"/>
      <c r="AE33" s="531"/>
      <c r="AF33" s="531"/>
      <c r="AG33" s="531"/>
    </row>
    <row r="34">
      <c r="B34" s="531"/>
      <c r="C34" s="531"/>
      <c r="D34" s="531"/>
      <c r="E34" s="531"/>
      <c r="F34" s="531"/>
      <c r="G34" s="531"/>
      <c r="H34" s="531"/>
      <c r="I34" s="531"/>
      <c r="J34" s="531"/>
      <c r="K34" s="531"/>
      <c r="L34" s="531"/>
      <c r="M34" s="531"/>
      <c r="N34" s="531"/>
      <c r="O34" s="531"/>
      <c r="P34" s="531"/>
      <c r="Q34" s="531"/>
      <c r="R34" s="531"/>
      <c r="S34" s="532"/>
      <c r="T34" s="532"/>
      <c r="U34" s="532"/>
      <c r="V34" s="532"/>
      <c r="W34" s="532"/>
      <c r="X34" s="532"/>
      <c r="Y34" s="532"/>
      <c r="Z34" s="531"/>
      <c r="AA34" s="531"/>
      <c r="AB34" s="531"/>
      <c r="AC34" s="531"/>
      <c r="AD34" s="531"/>
      <c r="AE34" s="531"/>
      <c r="AF34" s="531"/>
      <c r="AG34" s="531"/>
    </row>
    <row r="35">
      <c r="B35" s="531"/>
      <c r="C35" s="531"/>
      <c r="D35" s="531"/>
      <c r="E35" s="531"/>
      <c r="F35" s="531"/>
      <c r="G35" s="531"/>
      <c r="H35" s="531"/>
      <c r="I35" s="531"/>
      <c r="J35" s="531"/>
      <c r="K35" s="531"/>
      <c r="L35" s="531"/>
      <c r="M35" s="531"/>
      <c r="N35" s="531"/>
      <c r="O35" s="531"/>
      <c r="P35" s="531"/>
      <c r="Q35" s="531"/>
      <c r="R35" s="531"/>
      <c r="S35" s="532"/>
      <c r="T35" s="532"/>
      <c r="U35" s="532"/>
      <c r="V35" s="532"/>
      <c r="W35" s="532"/>
      <c r="X35" s="532"/>
      <c r="Y35" s="532"/>
      <c r="Z35" s="531"/>
      <c r="AA35" s="531"/>
      <c r="AB35" s="531"/>
      <c r="AC35" s="531"/>
      <c r="AD35" s="531"/>
      <c r="AE35" s="531"/>
      <c r="AF35" s="531"/>
      <c r="AG35" s="531"/>
    </row>
    <row r="36">
      <c r="B36" s="531"/>
      <c r="C36" s="531"/>
      <c r="D36" s="531"/>
      <c r="E36" s="531"/>
      <c r="F36" s="531"/>
      <c r="G36" s="531"/>
      <c r="H36" s="531"/>
      <c r="I36" s="531"/>
      <c r="J36" s="531"/>
      <c r="K36" s="531"/>
      <c r="L36" s="531"/>
      <c r="M36" s="531"/>
      <c r="N36" s="531"/>
      <c r="O36" s="531"/>
      <c r="P36" s="531"/>
      <c r="Q36" s="531"/>
      <c r="R36" s="531"/>
      <c r="S36" s="532"/>
      <c r="T36" s="532"/>
      <c r="U36" s="532"/>
      <c r="V36" s="532"/>
      <c r="W36" s="532"/>
      <c r="X36" s="532"/>
      <c r="Y36" s="532"/>
      <c r="Z36" s="531"/>
      <c r="AA36" s="531"/>
      <c r="AB36" s="531"/>
      <c r="AC36" s="531"/>
      <c r="AD36" s="531"/>
      <c r="AE36" s="531"/>
      <c r="AF36" s="531"/>
      <c r="AG36" s="531"/>
    </row>
    <row r="37">
      <c r="B37" s="531"/>
      <c r="C37" s="531"/>
      <c r="D37" s="531"/>
      <c r="E37" s="531"/>
      <c r="F37" s="531"/>
      <c r="G37" s="531"/>
      <c r="H37" s="531"/>
      <c r="I37" s="531"/>
      <c r="J37" s="531"/>
      <c r="K37" s="531"/>
      <c r="L37" s="531"/>
      <c r="M37" s="531"/>
      <c r="N37" s="531"/>
      <c r="O37" s="531"/>
      <c r="P37" s="531"/>
      <c r="Q37" s="531"/>
      <c r="R37" s="531"/>
      <c r="S37" s="532"/>
      <c r="T37" s="532"/>
      <c r="U37" s="532"/>
      <c r="V37" s="532"/>
      <c r="W37" s="532"/>
      <c r="X37" s="532"/>
      <c r="Y37" s="532"/>
      <c r="Z37" s="531"/>
      <c r="AA37" s="531"/>
      <c r="AB37" s="531"/>
      <c r="AC37" s="531"/>
      <c r="AD37" s="531"/>
      <c r="AE37" s="531"/>
      <c r="AF37" s="531"/>
      <c r="AG37" s="531"/>
    </row>
    <row r="38">
      <c r="B38" s="531"/>
      <c r="C38" s="531"/>
      <c r="D38" s="531"/>
      <c r="E38" s="531"/>
      <c r="F38" s="531"/>
      <c r="G38" s="531"/>
      <c r="H38" s="531"/>
      <c r="I38" s="531"/>
      <c r="J38" s="531"/>
      <c r="K38" s="531"/>
      <c r="L38" s="531"/>
      <c r="M38" s="531"/>
      <c r="N38" s="531"/>
      <c r="O38" s="531"/>
      <c r="P38" s="531"/>
      <c r="Q38" s="531"/>
      <c r="R38" s="531"/>
      <c r="S38" s="532"/>
      <c r="T38" s="532"/>
      <c r="U38" s="532"/>
      <c r="V38" s="532"/>
      <c r="W38" s="532"/>
      <c r="X38" s="532"/>
      <c r="Y38" s="532"/>
      <c r="Z38" s="531"/>
      <c r="AA38" s="531"/>
      <c r="AB38" s="531"/>
      <c r="AC38" s="531"/>
      <c r="AD38" s="531"/>
      <c r="AE38" s="531"/>
      <c r="AF38" s="531"/>
      <c r="AG38" s="531"/>
    </row>
    <row r="39">
      <c r="B39" s="531"/>
      <c r="C39" s="531"/>
      <c r="D39" s="531"/>
      <c r="E39" s="531"/>
      <c r="F39" s="531"/>
      <c r="G39" s="531"/>
      <c r="H39" s="531"/>
      <c r="I39" s="531"/>
      <c r="J39" s="531"/>
      <c r="K39" s="531"/>
      <c r="L39" s="531"/>
      <c r="M39" s="531"/>
      <c r="N39" s="531"/>
      <c r="O39" s="531"/>
      <c r="P39" s="531"/>
      <c r="Q39" s="531"/>
      <c r="R39" s="531"/>
      <c r="S39" s="532"/>
      <c r="T39" s="532"/>
      <c r="U39" s="532"/>
      <c r="V39" s="532"/>
      <c r="W39" s="532"/>
      <c r="X39" s="532"/>
      <c r="Y39" s="532"/>
      <c r="Z39" s="531"/>
      <c r="AA39" s="531"/>
      <c r="AB39" s="531"/>
      <c r="AC39" s="531"/>
      <c r="AD39" s="531"/>
      <c r="AE39" s="531"/>
      <c r="AF39" s="531"/>
      <c r="AG39" s="531"/>
    </row>
    <row r="40">
      <c r="B40" s="531"/>
      <c r="C40" s="531"/>
      <c r="D40" s="531"/>
      <c r="E40" s="531"/>
      <c r="F40" s="531"/>
      <c r="G40" s="531"/>
      <c r="H40" s="531"/>
      <c r="I40" s="531"/>
      <c r="J40" s="531"/>
      <c r="K40" s="531"/>
      <c r="L40" s="531"/>
      <c r="M40" s="531"/>
      <c r="N40" s="531"/>
      <c r="O40" s="531"/>
      <c r="P40" s="531"/>
      <c r="Q40" s="531"/>
      <c r="R40" s="531"/>
      <c r="S40" s="532"/>
      <c r="T40" s="532"/>
      <c r="U40" s="532"/>
      <c r="V40" s="532"/>
      <c r="W40" s="532"/>
      <c r="X40" s="532"/>
      <c r="Y40" s="532"/>
      <c r="Z40" s="531"/>
      <c r="AA40" s="531"/>
      <c r="AB40" s="531"/>
      <c r="AC40" s="531"/>
      <c r="AD40" s="531"/>
      <c r="AE40" s="531"/>
      <c r="AF40" s="531"/>
      <c r="AG40" s="531"/>
    </row>
    <row r="41">
      <c r="B41" s="531"/>
      <c r="C41" s="531"/>
      <c r="D41" s="531"/>
      <c r="E41" s="531"/>
      <c r="F41" s="531"/>
      <c r="G41" s="531"/>
      <c r="H41" s="531"/>
      <c r="I41" s="531"/>
      <c r="J41" s="531"/>
      <c r="K41" s="531"/>
      <c r="L41" s="531"/>
      <c r="M41" s="531"/>
      <c r="N41" s="531"/>
      <c r="O41" s="531"/>
      <c r="P41" s="531"/>
      <c r="Q41" s="531"/>
      <c r="R41" s="531"/>
      <c r="S41" s="532"/>
      <c r="T41" s="532"/>
      <c r="U41" s="532"/>
      <c r="V41" s="532"/>
      <c r="W41" s="532"/>
      <c r="X41" s="532"/>
      <c r="Y41" s="532"/>
      <c r="Z41" s="531"/>
      <c r="AA41" s="531"/>
      <c r="AB41" s="531"/>
      <c r="AC41" s="531"/>
      <c r="AD41" s="531"/>
      <c r="AE41" s="531"/>
      <c r="AF41" s="531"/>
      <c r="AG41" s="531"/>
    </row>
    <row r="42">
      <c r="B42" s="531"/>
      <c r="C42" s="531"/>
      <c r="D42" s="531"/>
      <c r="E42" s="531"/>
      <c r="F42" s="531"/>
      <c r="G42" s="531"/>
      <c r="H42" s="531"/>
      <c r="I42" s="531"/>
      <c r="J42" s="531"/>
      <c r="K42" s="531"/>
      <c r="L42" s="531"/>
      <c r="M42" s="531"/>
      <c r="N42" s="531"/>
      <c r="O42" s="531"/>
      <c r="P42" s="531"/>
      <c r="Q42" s="531"/>
      <c r="R42" s="531"/>
      <c r="S42" s="532"/>
      <c r="T42" s="532"/>
      <c r="U42" s="532"/>
      <c r="V42" s="532"/>
      <c r="W42" s="532"/>
      <c r="X42" s="532"/>
      <c r="Y42" s="532"/>
      <c r="Z42" s="531"/>
      <c r="AA42" s="531"/>
      <c r="AB42" s="531"/>
      <c r="AC42" s="531"/>
      <c r="AD42" s="531"/>
      <c r="AE42" s="531"/>
      <c r="AF42" s="531"/>
      <c r="AG42" s="531"/>
    </row>
    <row r="43">
      <c r="B43" s="531"/>
      <c r="C43" s="531"/>
      <c r="D43" s="531"/>
      <c r="E43" s="531"/>
      <c r="F43" s="531"/>
      <c r="G43" s="531"/>
      <c r="H43" s="531"/>
      <c r="I43" s="531"/>
      <c r="J43" s="531"/>
      <c r="K43" s="531"/>
      <c r="L43" s="531"/>
      <c r="M43" s="531"/>
      <c r="N43" s="531"/>
      <c r="O43" s="531"/>
      <c r="P43" s="531"/>
      <c r="Q43" s="531"/>
      <c r="R43" s="531"/>
      <c r="S43" s="532"/>
      <c r="T43" s="532"/>
      <c r="U43" s="532"/>
      <c r="V43" s="532"/>
      <c r="W43" s="532"/>
      <c r="X43" s="532"/>
      <c r="Y43" s="532"/>
      <c r="Z43" s="531"/>
      <c r="AA43" s="531"/>
      <c r="AB43" s="531"/>
      <c r="AC43" s="531"/>
      <c r="AD43" s="531"/>
      <c r="AE43" s="531"/>
      <c r="AF43" s="531"/>
      <c r="AG43" s="531"/>
    </row>
    <row r="44">
      <c r="B44" s="531"/>
      <c r="C44" s="531"/>
      <c r="D44" s="531"/>
      <c r="E44" s="531"/>
      <c r="F44" s="531"/>
      <c r="G44" s="531"/>
      <c r="H44" s="531"/>
      <c r="I44" s="531"/>
      <c r="J44" s="531"/>
      <c r="K44" s="531"/>
      <c r="L44" s="531"/>
      <c r="M44" s="531"/>
      <c r="N44" s="531"/>
      <c r="O44" s="531"/>
      <c r="P44" s="531"/>
      <c r="Q44" s="531"/>
      <c r="R44" s="531"/>
      <c r="S44" s="532"/>
      <c r="T44" s="532"/>
      <c r="U44" s="532"/>
      <c r="V44" s="532"/>
      <c r="W44" s="532"/>
      <c r="X44" s="532"/>
      <c r="Y44" s="532"/>
      <c r="Z44" s="531"/>
      <c r="AA44" s="531"/>
      <c r="AB44" s="531"/>
      <c r="AC44" s="531"/>
      <c r="AD44" s="531"/>
      <c r="AE44" s="531"/>
      <c r="AF44" s="531"/>
      <c r="AG44" s="531"/>
    </row>
    <row r="45">
      <c r="B45" s="531"/>
      <c r="C45" s="531"/>
      <c r="D45" s="531"/>
      <c r="E45" s="531"/>
      <c r="F45" s="531"/>
      <c r="G45" s="531"/>
      <c r="H45" s="531"/>
      <c r="I45" s="531"/>
      <c r="J45" s="531"/>
      <c r="K45" s="531"/>
      <c r="L45" s="531"/>
      <c r="M45" s="531"/>
      <c r="N45" s="531"/>
      <c r="O45" s="531"/>
      <c r="P45" s="531"/>
      <c r="Q45" s="531"/>
      <c r="R45" s="531"/>
      <c r="S45" s="532"/>
      <c r="T45" s="532"/>
      <c r="U45" s="532"/>
      <c r="V45" s="532"/>
      <c r="W45" s="532"/>
      <c r="X45" s="532"/>
      <c r="Y45" s="532"/>
      <c r="Z45" s="531"/>
      <c r="AA45" s="531"/>
      <c r="AB45" s="531"/>
      <c r="AC45" s="531"/>
      <c r="AD45" s="531"/>
      <c r="AE45" s="531"/>
      <c r="AF45" s="531"/>
      <c r="AG45" s="531"/>
    </row>
    <row r="46">
      <c r="B46" s="531"/>
      <c r="C46" s="531"/>
      <c r="D46" s="531"/>
      <c r="E46" s="531"/>
      <c r="F46" s="531"/>
      <c r="G46" s="531"/>
      <c r="H46" s="531"/>
      <c r="I46" s="531"/>
      <c r="J46" s="531"/>
      <c r="K46" s="531"/>
      <c r="L46" s="531"/>
      <c r="M46" s="531"/>
      <c r="N46" s="531"/>
      <c r="O46" s="531"/>
      <c r="P46" s="531"/>
      <c r="Q46" s="531"/>
      <c r="R46" s="531"/>
      <c r="S46" s="532"/>
      <c r="T46" s="532"/>
      <c r="U46" s="532"/>
      <c r="V46" s="532"/>
      <c r="W46" s="532"/>
      <c r="X46" s="532"/>
      <c r="Y46" s="532"/>
      <c r="Z46" s="531"/>
      <c r="AA46" s="531"/>
      <c r="AB46" s="531"/>
      <c r="AC46" s="531"/>
      <c r="AD46" s="531"/>
      <c r="AE46" s="531"/>
      <c r="AF46" s="531"/>
      <c r="AG46" s="531"/>
    </row>
    <row r="47">
      <c r="B47" s="531"/>
      <c r="C47" s="531"/>
      <c r="D47" s="531"/>
      <c r="E47" s="531"/>
      <c r="F47" s="531"/>
      <c r="G47" s="531"/>
      <c r="H47" s="531"/>
      <c r="I47" s="531"/>
      <c r="J47" s="531"/>
      <c r="K47" s="531"/>
      <c r="L47" s="531"/>
      <c r="M47" s="531"/>
      <c r="N47" s="531"/>
      <c r="O47" s="531"/>
      <c r="P47" s="531"/>
      <c r="Q47" s="531"/>
      <c r="R47" s="531"/>
      <c r="S47" s="532"/>
      <c r="T47" s="532"/>
      <c r="U47" s="532"/>
      <c r="V47" s="532"/>
      <c r="W47" s="532"/>
      <c r="X47" s="532"/>
      <c r="Y47" s="532"/>
      <c r="Z47" s="531"/>
      <c r="AA47" s="531"/>
      <c r="AB47" s="531"/>
      <c r="AC47" s="531"/>
      <c r="AD47" s="531"/>
      <c r="AE47" s="531"/>
      <c r="AF47" s="531"/>
      <c r="AG47" s="531"/>
    </row>
    <row r="48">
      <c r="B48" s="531"/>
      <c r="C48" s="531"/>
      <c r="D48" s="531"/>
      <c r="E48" s="531"/>
      <c r="F48" s="531"/>
      <c r="G48" s="531"/>
      <c r="H48" s="531"/>
      <c r="I48" s="531"/>
      <c r="J48" s="531"/>
      <c r="K48" s="531"/>
      <c r="L48" s="531"/>
      <c r="M48" s="531"/>
      <c r="N48" s="531"/>
      <c r="O48" s="531"/>
      <c r="P48" s="531"/>
      <c r="Q48" s="531"/>
      <c r="R48" s="531"/>
      <c r="S48" s="532"/>
      <c r="T48" s="532"/>
      <c r="U48" s="532"/>
      <c r="V48" s="532"/>
      <c r="W48" s="532"/>
      <c r="X48" s="532"/>
      <c r="Y48" s="532"/>
      <c r="Z48" s="531"/>
      <c r="AA48" s="531"/>
      <c r="AB48" s="531"/>
      <c r="AC48" s="531"/>
      <c r="AD48" s="531"/>
      <c r="AE48" s="531"/>
      <c r="AF48" s="531"/>
      <c r="AG48" s="531"/>
    </row>
    <row r="49">
      <c r="B49" s="531"/>
      <c r="C49" s="531"/>
      <c r="D49" s="531"/>
      <c r="E49" s="531"/>
      <c r="F49" s="531"/>
      <c r="G49" s="531"/>
      <c r="H49" s="531"/>
      <c r="I49" s="531"/>
      <c r="J49" s="531"/>
      <c r="K49" s="531"/>
      <c r="L49" s="531"/>
      <c r="M49" s="531"/>
      <c r="N49" s="531"/>
      <c r="O49" s="531"/>
      <c r="P49" s="531"/>
      <c r="Q49" s="531"/>
      <c r="R49" s="531"/>
      <c r="S49" s="532"/>
      <c r="T49" s="532"/>
      <c r="U49" s="532"/>
      <c r="V49" s="532"/>
      <c r="W49" s="532"/>
      <c r="X49" s="532"/>
      <c r="Y49" s="532"/>
      <c r="Z49" s="531"/>
      <c r="AA49" s="531"/>
      <c r="AB49" s="531"/>
      <c r="AC49" s="531"/>
      <c r="AD49" s="531"/>
      <c r="AE49" s="531"/>
      <c r="AF49" s="531"/>
      <c r="AG49" s="531"/>
    </row>
    <row r="50">
      <c r="B50" s="531"/>
      <c r="C50" s="531"/>
      <c r="D50" s="531"/>
      <c r="E50" s="531"/>
      <c r="F50" s="531"/>
      <c r="G50" s="531"/>
      <c r="H50" s="531"/>
      <c r="I50" s="531"/>
      <c r="J50" s="531"/>
      <c r="K50" s="531"/>
      <c r="L50" s="531"/>
      <c r="M50" s="531"/>
      <c r="N50" s="531"/>
      <c r="O50" s="531"/>
      <c r="P50" s="531"/>
      <c r="Q50" s="531"/>
      <c r="R50" s="531"/>
      <c r="S50" s="532"/>
      <c r="T50" s="532"/>
      <c r="U50" s="532"/>
      <c r="V50" s="532"/>
      <c r="W50" s="532"/>
      <c r="X50" s="532"/>
      <c r="Y50" s="532"/>
      <c r="Z50" s="531"/>
      <c r="AA50" s="531"/>
      <c r="AB50" s="531"/>
      <c r="AC50" s="531"/>
      <c r="AD50" s="531"/>
      <c r="AE50" s="531"/>
      <c r="AF50" s="531"/>
      <c r="AG50" s="531"/>
    </row>
    <row r="51">
      <c r="B51" s="531"/>
      <c r="C51" s="531"/>
      <c r="D51" s="531"/>
      <c r="E51" s="531"/>
      <c r="F51" s="531"/>
      <c r="G51" s="531"/>
      <c r="H51" s="531"/>
      <c r="I51" s="531"/>
      <c r="J51" s="531"/>
      <c r="K51" s="531"/>
      <c r="L51" s="531"/>
      <c r="M51" s="531"/>
      <c r="N51" s="531"/>
      <c r="O51" s="531"/>
      <c r="P51" s="531"/>
      <c r="Q51" s="531"/>
      <c r="R51" s="531"/>
      <c r="S51" s="532"/>
      <c r="T51" s="532"/>
      <c r="U51" s="532"/>
      <c r="V51" s="532"/>
      <c r="W51" s="532"/>
      <c r="X51" s="532"/>
      <c r="Y51" s="532"/>
      <c r="Z51" s="531"/>
      <c r="AA51" s="531"/>
      <c r="AB51" s="531"/>
      <c r="AC51" s="531"/>
      <c r="AD51" s="531"/>
      <c r="AE51" s="531"/>
      <c r="AF51" s="531"/>
      <c r="AG51" s="531"/>
    </row>
    <row r="52">
      <c r="B52" s="531"/>
      <c r="C52" s="531"/>
      <c r="D52" s="531"/>
      <c r="E52" s="531"/>
      <c r="F52" s="531"/>
      <c r="G52" s="531"/>
      <c r="H52" s="531"/>
      <c r="I52" s="531"/>
      <c r="J52" s="531"/>
      <c r="K52" s="531"/>
      <c r="L52" s="531"/>
      <c r="M52" s="531"/>
      <c r="N52" s="531"/>
      <c r="O52" s="531"/>
      <c r="P52" s="531"/>
      <c r="Q52" s="531"/>
      <c r="R52" s="531"/>
      <c r="S52" s="532"/>
      <c r="T52" s="532"/>
      <c r="U52" s="532"/>
      <c r="V52" s="532"/>
      <c r="W52" s="532"/>
      <c r="X52" s="532"/>
      <c r="Y52" s="532"/>
      <c r="Z52" s="531"/>
      <c r="AA52" s="531"/>
      <c r="AB52" s="531"/>
      <c r="AC52" s="531"/>
      <c r="AD52" s="531"/>
      <c r="AE52" s="531"/>
      <c r="AF52" s="531"/>
      <c r="AG52" s="531"/>
    </row>
    <row r="53">
      <c r="B53" s="531"/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1"/>
      <c r="Q53" s="531"/>
      <c r="R53" s="531"/>
      <c r="S53" s="532"/>
      <c r="T53" s="532"/>
      <c r="U53" s="532"/>
      <c r="V53" s="532"/>
      <c r="W53" s="532"/>
      <c r="X53" s="532"/>
      <c r="Y53" s="532"/>
      <c r="Z53" s="531"/>
      <c r="AA53" s="531"/>
      <c r="AB53" s="531"/>
      <c r="AC53" s="531"/>
      <c r="AD53" s="531"/>
      <c r="AE53" s="531"/>
      <c r="AF53" s="531"/>
      <c r="AG53" s="531"/>
    </row>
    <row r="54">
      <c r="B54" s="531"/>
      <c r="C54" s="531"/>
      <c r="D54" s="531"/>
      <c r="E54" s="531"/>
      <c r="F54" s="531"/>
      <c r="G54" s="531"/>
      <c r="H54" s="531"/>
      <c r="I54" s="531"/>
      <c r="J54" s="531"/>
      <c r="K54" s="531"/>
      <c r="L54" s="531"/>
      <c r="M54" s="531"/>
      <c r="N54" s="531"/>
      <c r="O54" s="531"/>
      <c r="P54" s="531"/>
      <c r="Q54" s="531"/>
      <c r="R54" s="531"/>
      <c r="S54" s="532"/>
      <c r="T54" s="532"/>
      <c r="U54" s="532"/>
      <c r="V54" s="532"/>
      <c r="W54" s="532"/>
      <c r="X54" s="532"/>
      <c r="Y54" s="532"/>
      <c r="Z54" s="531"/>
      <c r="AA54" s="531"/>
      <c r="AB54" s="531"/>
      <c r="AC54" s="531"/>
      <c r="AD54" s="531"/>
      <c r="AE54" s="531"/>
      <c r="AF54" s="531"/>
      <c r="AG54" s="531"/>
    </row>
    <row r="55">
      <c r="B55" s="531"/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2"/>
      <c r="T55" s="532"/>
      <c r="U55" s="532"/>
      <c r="V55" s="532"/>
      <c r="W55" s="532"/>
      <c r="X55" s="532"/>
      <c r="Y55" s="532"/>
      <c r="Z55" s="531"/>
      <c r="AA55" s="531"/>
      <c r="AB55" s="531"/>
      <c r="AC55" s="531"/>
      <c r="AD55" s="531"/>
      <c r="AE55" s="531"/>
      <c r="AF55" s="531"/>
      <c r="AG55" s="531"/>
    </row>
    <row r="56">
      <c r="B56" s="531"/>
      <c r="C56" s="531"/>
      <c r="D56" s="531"/>
      <c r="E56" s="531"/>
      <c r="F56" s="531"/>
      <c r="G56" s="531"/>
      <c r="H56" s="531"/>
      <c r="I56" s="531"/>
      <c r="J56" s="531"/>
      <c r="K56" s="531"/>
      <c r="L56" s="531"/>
      <c r="M56" s="531"/>
      <c r="N56" s="531"/>
      <c r="O56" s="531"/>
      <c r="P56" s="531"/>
      <c r="Q56" s="531"/>
      <c r="R56" s="531"/>
      <c r="S56" s="532"/>
      <c r="T56" s="532"/>
      <c r="U56" s="532"/>
      <c r="V56" s="532"/>
      <c r="W56" s="532"/>
      <c r="X56" s="532"/>
      <c r="Y56" s="532"/>
      <c r="Z56" s="531"/>
      <c r="AA56" s="531"/>
      <c r="AB56" s="531"/>
      <c r="AC56" s="531"/>
      <c r="AD56" s="531"/>
      <c r="AE56" s="531"/>
      <c r="AF56" s="531"/>
      <c r="AG56" s="531"/>
    </row>
    <row r="57">
      <c r="B57" s="531"/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2"/>
      <c r="T57" s="532"/>
      <c r="U57" s="532"/>
      <c r="V57" s="532"/>
      <c r="W57" s="532"/>
      <c r="X57" s="532"/>
      <c r="Y57" s="532"/>
      <c r="Z57" s="531"/>
      <c r="AA57" s="531"/>
      <c r="AB57" s="531"/>
      <c r="AC57" s="531"/>
      <c r="AD57" s="531"/>
      <c r="AE57" s="531"/>
      <c r="AF57" s="531"/>
      <c r="AG57" s="531"/>
    </row>
    <row r="58">
      <c r="B58" s="531"/>
      <c r="C58" s="531"/>
      <c r="D58" s="531"/>
      <c r="E58" s="531"/>
      <c r="F58" s="531"/>
      <c r="G58" s="531"/>
      <c r="H58" s="531"/>
      <c r="I58" s="531"/>
      <c r="J58" s="531"/>
      <c r="K58" s="531"/>
      <c r="L58" s="531"/>
      <c r="M58" s="531"/>
      <c r="N58" s="531"/>
      <c r="O58" s="531"/>
      <c r="P58" s="531"/>
      <c r="Q58" s="531"/>
      <c r="R58" s="531"/>
      <c r="S58" s="532"/>
      <c r="T58" s="532"/>
      <c r="U58" s="532"/>
      <c r="V58" s="532"/>
      <c r="W58" s="532"/>
      <c r="X58" s="532"/>
      <c r="Y58" s="532"/>
      <c r="Z58" s="531"/>
      <c r="AA58" s="531"/>
      <c r="AB58" s="531"/>
      <c r="AC58" s="531"/>
      <c r="AD58" s="531"/>
      <c r="AE58" s="531"/>
      <c r="AF58" s="531"/>
      <c r="AG58" s="531"/>
    </row>
    <row r="59">
      <c r="B59" s="531"/>
      <c r="C59" s="531"/>
      <c r="D59" s="531"/>
      <c r="E59" s="531"/>
      <c r="F59" s="531"/>
      <c r="G59" s="531"/>
      <c r="H59" s="531"/>
      <c r="I59" s="531"/>
      <c r="J59" s="531"/>
      <c r="K59" s="531"/>
      <c r="L59" s="531"/>
      <c r="M59" s="531"/>
      <c r="N59" s="531"/>
      <c r="O59" s="531"/>
      <c r="P59" s="531"/>
      <c r="Q59" s="531"/>
      <c r="R59" s="531"/>
      <c r="S59" s="532"/>
      <c r="T59" s="532"/>
      <c r="U59" s="532"/>
      <c r="V59" s="532"/>
      <c r="W59" s="532"/>
      <c r="X59" s="532"/>
      <c r="Y59" s="532"/>
      <c r="Z59" s="531"/>
      <c r="AA59" s="531"/>
      <c r="AB59" s="531"/>
      <c r="AC59" s="531"/>
      <c r="AD59" s="531"/>
      <c r="AE59" s="531"/>
      <c r="AF59" s="531"/>
      <c r="AG59" s="531"/>
    </row>
    <row r="60">
      <c r="B60" s="531"/>
      <c r="C60" s="531"/>
      <c r="D60" s="531"/>
      <c r="E60" s="531"/>
      <c r="F60" s="531"/>
      <c r="G60" s="531"/>
      <c r="H60" s="531"/>
      <c r="I60" s="531"/>
      <c r="J60" s="531"/>
      <c r="K60" s="531"/>
      <c r="L60" s="531"/>
      <c r="M60" s="531"/>
      <c r="N60" s="531"/>
      <c r="O60" s="531"/>
      <c r="P60" s="531"/>
      <c r="Q60" s="531"/>
      <c r="R60" s="531"/>
      <c r="S60" s="532"/>
      <c r="T60" s="532"/>
      <c r="U60" s="532"/>
      <c r="V60" s="532"/>
      <c r="W60" s="532"/>
      <c r="X60" s="532"/>
      <c r="Y60" s="532"/>
      <c r="Z60" s="531"/>
      <c r="AA60" s="531"/>
      <c r="AB60" s="531"/>
      <c r="AC60" s="531"/>
      <c r="AD60" s="531"/>
      <c r="AE60" s="531"/>
      <c r="AF60" s="531"/>
      <c r="AG60" s="531"/>
    </row>
    <row r="61">
      <c r="B61" s="531"/>
      <c r="C61" s="531"/>
      <c r="D61" s="531"/>
      <c r="E61" s="531"/>
      <c r="F61" s="531"/>
      <c r="G61" s="531"/>
      <c r="H61" s="531"/>
      <c r="I61" s="531"/>
      <c r="J61" s="531"/>
      <c r="K61" s="531"/>
      <c r="L61" s="531"/>
      <c r="M61" s="531"/>
      <c r="N61" s="531"/>
      <c r="O61" s="531"/>
      <c r="P61" s="531"/>
      <c r="Q61" s="531"/>
      <c r="R61" s="531"/>
      <c r="S61" s="532"/>
      <c r="T61" s="532"/>
      <c r="U61" s="532"/>
      <c r="V61" s="532"/>
      <c r="W61" s="532"/>
      <c r="X61" s="532"/>
      <c r="Y61" s="532"/>
      <c r="Z61" s="531"/>
      <c r="AA61" s="531"/>
      <c r="AB61" s="531"/>
      <c r="AC61" s="531"/>
      <c r="AD61" s="531"/>
      <c r="AE61" s="531"/>
      <c r="AF61" s="531"/>
      <c r="AG61" s="531"/>
    </row>
    <row r="62">
      <c r="B62" s="531"/>
      <c r="C62" s="531"/>
      <c r="D62" s="531"/>
      <c r="E62" s="531"/>
      <c r="F62" s="531"/>
      <c r="G62" s="531"/>
      <c r="H62" s="531"/>
      <c r="I62" s="531"/>
      <c r="J62" s="531"/>
      <c r="K62" s="531"/>
      <c r="L62" s="531"/>
      <c r="M62" s="531"/>
      <c r="N62" s="531"/>
      <c r="O62" s="531"/>
      <c r="P62" s="531"/>
      <c r="Q62" s="531"/>
      <c r="R62" s="531"/>
      <c r="S62" s="532"/>
      <c r="T62" s="532"/>
      <c r="U62" s="532"/>
      <c r="V62" s="532"/>
      <c r="W62" s="532"/>
      <c r="X62" s="532"/>
      <c r="Y62" s="532"/>
      <c r="Z62" s="531"/>
      <c r="AA62" s="531"/>
      <c r="AB62" s="531"/>
      <c r="AC62" s="531"/>
      <c r="AD62" s="531"/>
      <c r="AE62" s="531"/>
      <c r="AF62" s="531"/>
      <c r="AG62" s="531"/>
    </row>
    <row r="63">
      <c r="B63" s="531"/>
      <c r="C63" s="531"/>
      <c r="D63" s="531"/>
      <c r="E63" s="531"/>
      <c r="F63" s="531"/>
      <c r="G63" s="531"/>
      <c r="H63" s="531"/>
      <c r="I63" s="531"/>
      <c r="J63" s="531"/>
      <c r="K63" s="531"/>
      <c r="L63" s="531"/>
      <c r="M63" s="531"/>
      <c r="N63" s="531"/>
      <c r="O63" s="531"/>
      <c r="P63" s="531"/>
      <c r="Q63" s="531"/>
      <c r="R63" s="531"/>
      <c r="S63" s="532"/>
      <c r="T63" s="532"/>
      <c r="U63" s="532"/>
      <c r="V63" s="532"/>
      <c r="W63" s="532"/>
      <c r="X63" s="532"/>
      <c r="Y63" s="532"/>
      <c r="Z63" s="531"/>
      <c r="AA63" s="531"/>
      <c r="AB63" s="531"/>
      <c r="AC63" s="531"/>
      <c r="AD63" s="531"/>
      <c r="AE63" s="531"/>
      <c r="AF63" s="531"/>
      <c r="AG63" s="531"/>
    </row>
    <row r="64">
      <c r="B64" s="531"/>
      <c r="C64" s="531"/>
      <c r="D64" s="531"/>
      <c r="E64" s="531"/>
      <c r="F64" s="531"/>
      <c r="G64" s="531"/>
      <c r="H64" s="531"/>
      <c r="I64" s="531"/>
      <c r="J64" s="531"/>
      <c r="K64" s="531"/>
      <c r="L64" s="531"/>
      <c r="M64" s="531"/>
      <c r="N64" s="531"/>
      <c r="O64" s="531"/>
      <c r="P64" s="531"/>
      <c r="Q64" s="531"/>
      <c r="R64" s="531"/>
      <c r="S64" s="532"/>
      <c r="T64" s="532"/>
      <c r="U64" s="532"/>
      <c r="V64" s="532"/>
      <c r="W64" s="532"/>
      <c r="X64" s="532"/>
      <c r="Y64" s="532"/>
      <c r="Z64" s="531"/>
      <c r="AA64" s="531"/>
      <c r="AB64" s="531"/>
      <c r="AC64" s="531"/>
      <c r="AD64" s="531"/>
      <c r="AE64" s="531"/>
      <c r="AF64" s="531"/>
      <c r="AG64" s="531"/>
    </row>
    <row r="65">
      <c r="B65" s="531"/>
      <c r="C65" s="531"/>
      <c r="D65" s="531"/>
      <c r="E65" s="531"/>
      <c r="F65" s="531"/>
      <c r="G65" s="531"/>
      <c r="H65" s="531"/>
      <c r="I65" s="531"/>
      <c r="J65" s="531"/>
      <c r="K65" s="531"/>
      <c r="L65" s="531"/>
      <c r="M65" s="531"/>
      <c r="N65" s="531"/>
      <c r="O65" s="531"/>
      <c r="P65" s="531"/>
      <c r="Q65" s="531"/>
      <c r="R65" s="531"/>
      <c r="S65" s="532"/>
      <c r="T65" s="532"/>
      <c r="U65" s="532"/>
      <c r="V65" s="532"/>
      <c r="W65" s="532"/>
      <c r="X65" s="532"/>
      <c r="Y65" s="532"/>
      <c r="Z65" s="531"/>
      <c r="AA65" s="531"/>
      <c r="AB65" s="531"/>
      <c r="AC65" s="531"/>
      <c r="AD65" s="531"/>
      <c r="AE65" s="531"/>
      <c r="AF65" s="531"/>
      <c r="AG65" s="531"/>
    </row>
    <row r="66">
      <c r="B66" s="531"/>
      <c r="C66" s="531"/>
      <c r="D66" s="531"/>
      <c r="E66" s="531"/>
      <c r="F66" s="531"/>
      <c r="G66" s="531"/>
      <c r="H66" s="531"/>
      <c r="I66" s="531"/>
      <c r="J66" s="531"/>
      <c r="K66" s="531"/>
      <c r="L66" s="531"/>
      <c r="M66" s="531"/>
      <c r="N66" s="531"/>
      <c r="O66" s="531"/>
      <c r="P66" s="531"/>
      <c r="Q66" s="531"/>
      <c r="R66" s="531"/>
      <c r="S66" s="532"/>
      <c r="T66" s="532"/>
      <c r="U66" s="532"/>
      <c r="V66" s="532"/>
      <c r="W66" s="532"/>
      <c r="X66" s="532"/>
      <c r="Y66" s="532"/>
      <c r="Z66" s="531"/>
      <c r="AA66" s="531"/>
      <c r="AB66" s="531"/>
      <c r="AC66" s="531"/>
      <c r="AD66" s="531"/>
      <c r="AE66" s="531"/>
      <c r="AF66" s="531"/>
      <c r="AG66" s="531"/>
    </row>
    <row r="67">
      <c r="B67" s="531"/>
      <c r="C67" s="531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2"/>
      <c r="T67" s="532"/>
      <c r="U67" s="532"/>
      <c r="V67" s="532"/>
      <c r="W67" s="532"/>
      <c r="X67" s="532"/>
      <c r="Y67" s="532"/>
      <c r="Z67" s="531"/>
      <c r="AA67" s="531"/>
      <c r="AB67" s="531"/>
      <c r="AC67" s="531"/>
      <c r="AD67" s="531"/>
      <c r="AE67" s="531"/>
      <c r="AF67" s="531"/>
      <c r="AG67" s="531"/>
    </row>
    <row r="68">
      <c r="B68" s="531"/>
      <c r="C68" s="531"/>
      <c r="D68" s="531"/>
      <c r="E68" s="531"/>
      <c r="F68" s="531"/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2"/>
      <c r="T68" s="532"/>
      <c r="U68" s="532"/>
      <c r="V68" s="532"/>
      <c r="W68" s="532"/>
      <c r="X68" s="532"/>
      <c r="Y68" s="532"/>
      <c r="Z68" s="531"/>
      <c r="AA68" s="531"/>
      <c r="AB68" s="531"/>
      <c r="AC68" s="531"/>
      <c r="AD68" s="531"/>
      <c r="AE68" s="531"/>
      <c r="AF68" s="531"/>
      <c r="AG68" s="531"/>
    </row>
    <row r="69">
      <c r="B69" s="531"/>
      <c r="C69" s="531"/>
      <c r="D69" s="531"/>
      <c r="E69" s="531"/>
      <c r="F69" s="531"/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2"/>
      <c r="T69" s="532"/>
      <c r="U69" s="532"/>
      <c r="V69" s="532"/>
      <c r="W69" s="532"/>
      <c r="X69" s="532"/>
      <c r="Y69" s="532"/>
      <c r="Z69" s="531"/>
      <c r="AA69" s="531"/>
      <c r="AB69" s="531"/>
      <c r="AC69" s="531"/>
      <c r="AD69" s="531"/>
      <c r="AE69" s="531"/>
      <c r="AF69" s="531"/>
      <c r="AG69" s="531"/>
    </row>
    <row r="70">
      <c r="B70" s="531"/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2"/>
      <c r="T70" s="532"/>
      <c r="U70" s="532"/>
      <c r="V70" s="532"/>
      <c r="W70" s="532"/>
      <c r="X70" s="532"/>
      <c r="Y70" s="532"/>
      <c r="Z70" s="531"/>
      <c r="AA70" s="531"/>
      <c r="AB70" s="531"/>
      <c r="AC70" s="531"/>
      <c r="AD70" s="531"/>
      <c r="AE70" s="531"/>
      <c r="AF70" s="531"/>
      <c r="AG70" s="531"/>
    </row>
    <row r="71">
      <c r="B71" s="531"/>
      <c r="C71" s="531"/>
      <c r="D71" s="531"/>
      <c r="E71" s="531"/>
      <c r="F71" s="5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2"/>
      <c r="T71" s="532"/>
      <c r="U71" s="532"/>
      <c r="V71" s="532"/>
      <c r="W71" s="532"/>
      <c r="X71" s="532"/>
      <c r="Y71" s="532"/>
      <c r="Z71" s="531"/>
      <c r="AA71" s="531"/>
      <c r="AB71" s="531"/>
      <c r="AC71" s="531"/>
      <c r="AD71" s="531"/>
      <c r="AE71" s="531"/>
      <c r="AF71" s="531"/>
      <c r="AG71" s="531"/>
    </row>
    <row r="72">
      <c r="B72" s="531"/>
      <c r="C72" s="531"/>
      <c r="D72" s="531"/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2"/>
      <c r="T72" s="532"/>
      <c r="U72" s="532"/>
      <c r="V72" s="532"/>
      <c r="W72" s="532"/>
      <c r="X72" s="532"/>
      <c r="Y72" s="532"/>
      <c r="Z72" s="531"/>
      <c r="AA72" s="531"/>
      <c r="AB72" s="531"/>
      <c r="AC72" s="531"/>
      <c r="AD72" s="531"/>
      <c r="AE72" s="531"/>
      <c r="AF72" s="531"/>
      <c r="AG72" s="531"/>
    </row>
    <row r="73">
      <c r="B73" s="531"/>
      <c r="C73" s="531"/>
      <c r="D73" s="531"/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2"/>
      <c r="T73" s="532"/>
      <c r="U73" s="532"/>
      <c r="V73" s="532"/>
      <c r="W73" s="532"/>
      <c r="X73" s="532"/>
      <c r="Y73" s="532"/>
      <c r="Z73" s="531"/>
      <c r="AA73" s="531"/>
      <c r="AB73" s="531"/>
      <c r="AC73" s="531"/>
      <c r="AD73" s="531"/>
      <c r="AE73" s="531"/>
      <c r="AF73" s="531"/>
      <c r="AG73" s="531"/>
    </row>
    <row r="74">
      <c r="B74" s="531"/>
      <c r="C74" s="531"/>
      <c r="D74" s="531"/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2"/>
      <c r="T74" s="532"/>
      <c r="U74" s="532"/>
      <c r="V74" s="532"/>
      <c r="W74" s="532"/>
      <c r="X74" s="532"/>
      <c r="Y74" s="532"/>
      <c r="Z74" s="531"/>
      <c r="AA74" s="531"/>
      <c r="AB74" s="531"/>
      <c r="AC74" s="531"/>
      <c r="AD74" s="531"/>
      <c r="AE74" s="531"/>
      <c r="AF74" s="531"/>
      <c r="AG74" s="531"/>
    </row>
    <row r="75">
      <c r="B75" s="531"/>
      <c r="C75" s="531"/>
      <c r="D75" s="531"/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2"/>
      <c r="T75" s="532"/>
      <c r="U75" s="532"/>
      <c r="V75" s="532"/>
      <c r="W75" s="532"/>
      <c r="X75" s="532"/>
      <c r="Y75" s="532"/>
      <c r="Z75" s="531"/>
      <c r="AA75" s="531"/>
      <c r="AB75" s="531"/>
      <c r="AC75" s="531"/>
      <c r="AD75" s="531"/>
      <c r="AE75" s="531"/>
      <c r="AF75" s="531"/>
      <c r="AG75" s="531"/>
    </row>
    <row r="76">
      <c r="B76" s="531"/>
      <c r="C76" s="531"/>
      <c r="D76" s="531"/>
      <c r="E76" s="531"/>
      <c r="F76" s="531"/>
      <c r="G76" s="531"/>
      <c r="H76" s="531"/>
      <c r="I76" s="531"/>
      <c r="J76" s="531"/>
      <c r="K76" s="531"/>
      <c r="L76" s="531"/>
      <c r="M76" s="531"/>
      <c r="N76" s="531"/>
      <c r="O76" s="531"/>
      <c r="P76" s="531"/>
      <c r="Q76" s="531"/>
      <c r="R76" s="531"/>
      <c r="S76" s="532"/>
      <c r="T76" s="532"/>
      <c r="U76" s="532"/>
      <c r="V76" s="532"/>
      <c r="W76" s="532"/>
      <c r="X76" s="532"/>
      <c r="Y76" s="532"/>
      <c r="Z76" s="531"/>
      <c r="AA76" s="531"/>
      <c r="AB76" s="531"/>
      <c r="AC76" s="531"/>
      <c r="AD76" s="531"/>
      <c r="AE76" s="531"/>
      <c r="AF76" s="531"/>
      <c r="AG76" s="531"/>
    </row>
    <row r="77">
      <c r="B77" s="531"/>
      <c r="C77" s="531"/>
      <c r="D77" s="531"/>
      <c r="E77" s="531"/>
      <c r="F77" s="531"/>
      <c r="G77" s="531"/>
      <c r="H77" s="531"/>
      <c r="I77" s="531"/>
      <c r="J77" s="531"/>
      <c r="K77" s="531"/>
      <c r="L77" s="531"/>
      <c r="M77" s="531"/>
      <c r="N77" s="531"/>
      <c r="O77" s="531"/>
      <c r="P77" s="531"/>
      <c r="Q77" s="531"/>
      <c r="R77" s="531"/>
      <c r="S77" s="532"/>
      <c r="T77" s="532"/>
      <c r="U77" s="532"/>
      <c r="V77" s="532"/>
      <c r="W77" s="532"/>
      <c r="X77" s="532"/>
      <c r="Y77" s="532"/>
      <c r="Z77" s="531"/>
      <c r="AA77" s="531"/>
      <c r="AB77" s="531"/>
      <c r="AC77" s="531"/>
      <c r="AD77" s="531"/>
      <c r="AE77" s="531"/>
      <c r="AF77" s="531"/>
      <c r="AG77" s="531"/>
    </row>
    <row r="78">
      <c r="B78" s="531"/>
      <c r="C78" s="531"/>
      <c r="D78" s="531"/>
      <c r="E78" s="531"/>
      <c r="F78" s="531"/>
      <c r="G78" s="531"/>
      <c r="H78" s="531"/>
      <c r="I78" s="531"/>
      <c r="J78" s="531"/>
      <c r="K78" s="531"/>
      <c r="L78" s="531"/>
      <c r="M78" s="531"/>
      <c r="N78" s="531"/>
      <c r="O78" s="531"/>
      <c r="P78" s="531"/>
      <c r="Q78" s="531"/>
      <c r="R78" s="531"/>
      <c r="S78" s="532"/>
      <c r="T78" s="532"/>
      <c r="U78" s="532"/>
      <c r="V78" s="532"/>
      <c r="W78" s="532"/>
      <c r="X78" s="532"/>
      <c r="Y78" s="532"/>
      <c r="Z78" s="531"/>
      <c r="AA78" s="531"/>
      <c r="AB78" s="531"/>
      <c r="AC78" s="531"/>
      <c r="AD78" s="531"/>
      <c r="AE78" s="531"/>
      <c r="AF78" s="531"/>
      <c r="AG78" s="531"/>
    </row>
    <row r="79">
      <c r="B79" s="531"/>
      <c r="C79" s="531"/>
      <c r="D79" s="531"/>
      <c r="E79" s="531"/>
      <c r="F79" s="531"/>
      <c r="G79" s="531"/>
      <c r="H79" s="531"/>
      <c r="I79" s="531"/>
      <c r="J79" s="531"/>
      <c r="K79" s="531"/>
      <c r="L79" s="531"/>
      <c r="M79" s="531"/>
      <c r="N79" s="531"/>
      <c r="O79" s="531"/>
      <c r="P79" s="531"/>
      <c r="Q79" s="531"/>
      <c r="R79" s="531"/>
      <c r="S79" s="532"/>
      <c r="T79" s="532"/>
      <c r="U79" s="532"/>
      <c r="V79" s="532"/>
      <c r="W79" s="532"/>
      <c r="X79" s="532"/>
      <c r="Y79" s="532"/>
      <c r="Z79" s="531"/>
      <c r="AA79" s="531"/>
      <c r="AB79" s="531"/>
      <c r="AC79" s="531"/>
      <c r="AD79" s="531"/>
      <c r="AE79" s="531"/>
      <c r="AF79" s="531"/>
      <c r="AG79" s="531"/>
    </row>
    <row r="80">
      <c r="B80" s="531"/>
      <c r="C80" s="531"/>
      <c r="D80" s="531"/>
      <c r="E80" s="531"/>
      <c r="F80" s="531"/>
      <c r="G80" s="531"/>
      <c r="H80" s="531"/>
      <c r="I80" s="531"/>
      <c r="J80" s="531"/>
      <c r="K80" s="531"/>
      <c r="L80" s="531"/>
      <c r="M80" s="531"/>
      <c r="N80" s="531"/>
      <c r="O80" s="531"/>
      <c r="P80" s="531"/>
      <c r="Q80" s="531"/>
      <c r="R80" s="531"/>
      <c r="S80" s="532"/>
      <c r="T80" s="532"/>
      <c r="U80" s="532"/>
      <c r="V80" s="532"/>
      <c r="W80" s="532"/>
      <c r="X80" s="532"/>
      <c r="Y80" s="532"/>
      <c r="Z80" s="531"/>
      <c r="AA80" s="531"/>
      <c r="AB80" s="531"/>
      <c r="AC80" s="531"/>
      <c r="AD80" s="531"/>
      <c r="AE80" s="531"/>
      <c r="AF80" s="531"/>
      <c r="AG80" s="531"/>
    </row>
    <row r="81">
      <c r="B81" s="531"/>
      <c r="C81" s="531"/>
      <c r="D81" s="531"/>
      <c r="E81" s="531"/>
      <c r="F81" s="531"/>
      <c r="G81" s="531"/>
      <c r="H81" s="531"/>
      <c r="I81" s="531"/>
      <c r="J81" s="531"/>
      <c r="K81" s="531"/>
      <c r="L81" s="531"/>
      <c r="M81" s="531"/>
      <c r="N81" s="531"/>
      <c r="O81" s="531"/>
      <c r="P81" s="531"/>
      <c r="Q81" s="531"/>
      <c r="R81" s="531"/>
      <c r="S81" s="532"/>
      <c r="T81" s="532"/>
      <c r="U81" s="532"/>
      <c r="V81" s="532"/>
      <c r="W81" s="532"/>
      <c r="X81" s="532"/>
      <c r="Y81" s="532"/>
      <c r="Z81" s="531"/>
      <c r="AA81" s="531"/>
      <c r="AB81" s="531"/>
      <c r="AC81" s="531"/>
      <c r="AD81" s="531"/>
      <c r="AE81" s="531"/>
      <c r="AF81" s="531"/>
      <c r="AG81" s="531"/>
    </row>
    <row r="82">
      <c r="B82" s="531"/>
      <c r="C82" s="531"/>
      <c r="D82" s="531"/>
      <c r="E82" s="531"/>
      <c r="F82" s="531"/>
      <c r="G82" s="531"/>
      <c r="H82" s="531"/>
      <c r="I82" s="531"/>
      <c r="J82" s="531"/>
      <c r="K82" s="531"/>
      <c r="L82" s="531"/>
      <c r="M82" s="531"/>
      <c r="N82" s="531"/>
      <c r="O82" s="531"/>
      <c r="P82" s="531"/>
      <c r="Q82" s="531"/>
      <c r="R82" s="531"/>
      <c r="S82" s="532"/>
      <c r="T82" s="532"/>
      <c r="U82" s="532"/>
      <c r="V82" s="532"/>
      <c r="W82" s="532"/>
      <c r="X82" s="532"/>
      <c r="Y82" s="532"/>
      <c r="Z82" s="531"/>
      <c r="AA82" s="531"/>
      <c r="AB82" s="531"/>
      <c r="AC82" s="531"/>
      <c r="AD82" s="531"/>
      <c r="AE82" s="531"/>
      <c r="AF82" s="531"/>
      <c r="AG82" s="531"/>
    </row>
    <row r="83">
      <c r="B83" s="531"/>
      <c r="C83" s="531"/>
      <c r="D83" s="531"/>
      <c r="E83" s="531"/>
      <c r="F83" s="531"/>
      <c r="G83" s="531"/>
      <c r="H83" s="531"/>
      <c r="I83" s="531"/>
      <c r="J83" s="531"/>
      <c r="K83" s="531"/>
      <c r="L83" s="531"/>
      <c r="M83" s="531"/>
      <c r="N83" s="531"/>
      <c r="O83" s="531"/>
      <c r="P83" s="531"/>
      <c r="Q83" s="531"/>
      <c r="R83" s="531"/>
      <c r="S83" s="532"/>
      <c r="T83" s="532"/>
      <c r="U83" s="532"/>
      <c r="V83" s="532"/>
      <c r="W83" s="532"/>
      <c r="X83" s="532"/>
      <c r="Y83" s="532"/>
      <c r="Z83" s="531"/>
      <c r="AA83" s="531"/>
      <c r="AB83" s="531"/>
      <c r="AC83" s="531"/>
      <c r="AD83" s="531"/>
      <c r="AE83" s="531"/>
      <c r="AF83" s="531"/>
      <c r="AG83" s="531"/>
    </row>
    <row r="84">
      <c r="B84" s="531"/>
      <c r="C84" s="531"/>
      <c r="D84" s="531"/>
      <c r="E84" s="531"/>
      <c r="F84" s="531"/>
      <c r="G84" s="531"/>
      <c r="H84" s="531"/>
      <c r="I84" s="531"/>
      <c r="J84" s="531"/>
      <c r="K84" s="531"/>
      <c r="L84" s="531"/>
      <c r="M84" s="531"/>
      <c r="N84" s="531"/>
      <c r="O84" s="531"/>
      <c r="P84" s="531"/>
      <c r="Q84" s="531"/>
      <c r="R84" s="531"/>
      <c r="S84" s="532"/>
      <c r="T84" s="532"/>
      <c r="U84" s="532"/>
      <c r="V84" s="532"/>
      <c r="W84" s="532"/>
      <c r="X84" s="532"/>
      <c r="Y84" s="532"/>
      <c r="Z84" s="531"/>
      <c r="AA84" s="531"/>
      <c r="AB84" s="531"/>
      <c r="AC84" s="531"/>
      <c r="AD84" s="531"/>
      <c r="AE84" s="531"/>
      <c r="AF84" s="531"/>
      <c r="AG84" s="531"/>
    </row>
    <row r="85">
      <c r="B85" s="531"/>
      <c r="C85" s="531"/>
      <c r="D85" s="531"/>
      <c r="E85" s="531"/>
      <c r="F85" s="531"/>
      <c r="G85" s="531"/>
      <c r="H85" s="531"/>
      <c r="I85" s="531"/>
      <c r="J85" s="531"/>
      <c r="K85" s="531"/>
      <c r="L85" s="531"/>
      <c r="M85" s="531"/>
      <c r="N85" s="531"/>
      <c r="O85" s="531"/>
      <c r="P85" s="531"/>
      <c r="Q85" s="531"/>
      <c r="R85" s="531"/>
      <c r="S85" s="532"/>
      <c r="T85" s="532"/>
      <c r="U85" s="532"/>
      <c r="V85" s="532"/>
      <c r="W85" s="532"/>
      <c r="X85" s="532"/>
      <c r="Y85" s="532"/>
      <c r="Z85" s="531"/>
      <c r="AA85" s="531"/>
      <c r="AB85" s="531"/>
      <c r="AC85" s="531"/>
      <c r="AD85" s="531"/>
      <c r="AE85" s="531"/>
      <c r="AF85" s="531"/>
      <c r="AG85" s="531"/>
    </row>
    <row r="86">
      <c r="B86" s="531"/>
      <c r="C86" s="531"/>
      <c r="D86" s="531"/>
      <c r="E86" s="531"/>
      <c r="F86" s="531"/>
      <c r="G86" s="531"/>
      <c r="H86" s="531"/>
      <c r="I86" s="531"/>
      <c r="J86" s="531"/>
      <c r="K86" s="531"/>
      <c r="L86" s="531"/>
      <c r="M86" s="531"/>
      <c r="N86" s="531"/>
      <c r="O86" s="531"/>
      <c r="P86" s="531"/>
      <c r="Q86" s="531"/>
      <c r="R86" s="531"/>
      <c r="S86" s="532"/>
      <c r="T86" s="532"/>
      <c r="U86" s="532"/>
      <c r="V86" s="532"/>
      <c r="W86" s="532"/>
      <c r="X86" s="532"/>
      <c r="Y86" s="532"/>
      <c r="Z86" s="531"/>
      <c r="AA86" s="531"/>
      <c r="AB86" s="531"/>
      <c r="AC86" s="531"/>
      <c r="AD86" s="531"/>
      <c r="AE86" s="531"/>
      <c r="AF86" s="531"/>
      <c r="AG86" s="531"/>
    </row>
    <row r="87">
      <c r="B87" s="531"/>
      <c r="C87" s="531"/>
      <c r="D87" s="531"/>
      <c r="E87" s="531"/>
      <c r="F87" s="531"/>
      <c r="G87" s="531"/>
      <c r="H87" s="531"/>
      <c r="I87" s="531"/>
      <c r="J87" s="531"/>
      <c r="K87" s="531"/>
      <c r="L87" s="531"/>
      <c r="M87" s="531"/>
      <c r="N87" s="531"/>
      <c r="O87" s="531"/>
      <c r="P87" s="531"/>
      <c r="Q87" s="531"/>
      <c r="R87" s="531"/>
      <c r="S87" s="532"/>
      <c r="T87" s="532"/>
      <c r="U87" s="532"/>
      <c r="V87" s="532"/>
      <c r="W87" s="532"/>
      <c r="X87" s="532"/>
      <c r="Y87" s="532"/>
      <c r="Z87" s="531"/>
      <c r="AA87" s="531"/>
      <c r="AB87" s="531"/>
      <c r="AC87" s="531"/>
      <c r="AD87" s="531"/>
      <c r="AE87" s="531"/>
      <c r="AF87" s="531"/>
      <c r="AG87" s="531"/>
    </row>
    <row r="88">
      <c r="B88" s="531"/>
      <c r="C88" s="531"/>
      <c r="D88" s="531"/>
      <c r="E88" s="531"/>
      <c r="F88" s="531"/>
      <c r="G88" s="531"/>
      <c r="H88" s="531"/>
      <c r="I88" s="531"/>
      <c r="J88" s="531"/>
      <c r="K88" s="531"/>
      <c r="L88" s="531"/>
      <c r="M88" s="531"/>
      <c r="N88" s="531"/>
      <c r="O88" s="531"/>
      <c r="P88" s="531"/>
      <c r="Q88" s="531"/>
      <c r="R88" s="531"/>
      <c r="S88" s="532"/>
      <c r="T88" s="532"/>
      <c r="U88" s="532"/>
      <c r="V88" s="532"/>
      <c r="W88" s="532"/>
      <c r="X88" s="532"/>
      <c r="Y88" s="532"/>
      <c r="Z88" s="531"/>
      <c r="AA88" s="531"/>
      <c r="AB88" s="531"/>
      <c r="AC88" s="531"/>
      <c r="AD88" s="531"/>
      <c r="AE88" s="531"/>
      <c r="AF88" s="531"/>
      <c r="AG88" s="531"/>
    </row>
    <row r="89">
      <c r="B89" s="531"/>
      <c r="C89" s="531"/>
      <c r="D89" s="531"/>
      <c r="E89" s="531"/>
      <c r="F89" s="531"/>
      <c r="G89" s="531"/>
      <c r="H89" s="531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2"/>
      <c r="T89" s="532"/>
      <c r="U89" s="532"/>
      <c r="V89" s="532"/>
      <c r="W89" s="532"/>
      <c r="X89" s="532"/>
      <c r="Y89" s="532"/>
      <c r="Z89" s="531"/>
      <c r="AA89" s="531"/>
      <c r="AB89" s="531"/>
      <c r="AC89" s="531"/>
      <c r="AD89" s="531"/>
      <c r="AE89" s="531"/>
      <c r="AF89" s="531"/>
      <c r="AG89" s="531"/>
    </row>
    <row r="90">
      <c r="B90" s="531"/>
      <c r="C90" s="531"/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31"/>
      <c r="O90" s="531"/>
      <c r="P90" s="531"/>
      <c r="Q90" s="531"/>
      <c r="R90" s="531"/>
      <c r="S90" s="532"/>
      <c r="T90" s="532"/>
      <c r="U90" s="532"/>
      <c r="V90" s="532"/>
      <c r="W90" s="532"/>
      <c r="X90" s="532"/>
      <c r="Y90" s="532"/>
      <c r="Z90" s="531"/>
      <c r="AA90" s="531"/>
      <c r="AB90" s="531"/>
      <c r="AC90" s="531"/>
      <c r="AD90" s="531"/>
      <c r="AE90" s="531"/>
      <c r="AF90" s="531"/>
      <c r="AG90" s="531"/>
    </row>
    <row r="91">
      <c r="B91" s="531"/>
      <c r="C91" s="531"/>
      <c r="D91" s="531"/>
      <c r="E91" s="531"/>
      <c r="F91" s="531"/>
      <c r="G91" s="531"/>
      <c r="H91" s="531"/>
      <c r="I91" s="531"/>
      <c r="J91" s="531"/>
      <c r="K91" s="531"/>
      <c r="L91" s="531"/>
      <c r="M91" s="531"/>
      <c r="N91" s="531"/>
      <c r="O91" s="531"/>
      <c r="P91" s="531"/>
      <c r="Q91" s="531"/>
      <c r="R91" s="531"/>
      <c r="S91" s="532"/>
      <c r="T91" s="532"/>
      <c r="U91" s="532"/>
      <c r="V91" s="532"/>
      <c r="W91" s="532"/>
      <c r="X91" s="532"/>
      <c r="Y91" s="532"/>
      <c r="Z91" s="531"/>
      <c r="AA91" s="531"/>
      <c r="AB91" s="531"/>
      <c r="AC91" s="531"/>
      <c r="AD91" s="531"/>
      <c r="AE91" s="531"/>
      <c r="AF91" s="531"/>
      <c r="AG91" s="531"/>
    </row>
    <row r="92">
      <c r="B92" s="531"/>
      <c r="C92" s="531"/>
      <c r="D92" s="531"/>
      <c r="E92" s="531"/>
      <c r="F92" s="531"/>
      <c r="G92" s="531"/>
      <c r="H92" s="531"/>
      <c r="I92" s="531"/>
      <c r="J92" s="531"/>
      <c r="K92" s="531"/>
      <c r="L92" s="531"/>
      <c r="M92" s="531"/>
      <c r="N92" s="531"/>
      <c r="O92" s="531"/>
      <c r="P92" s="531"/>
      <c r="Q92" s="531"/>
      <c r="R92" s="531"/>
      <c r="S92" s="532"/>
      <c r="T92" s="532"/>
      <c r="U92" s="532"/>
      <c r="V92" s="532"/>
      <c r="W92" s="532"/>
      <c r="X92" s="532"/>
      <c r="Y92" s="532"/>
      <c r="Z92" s="531"/>
      <c r="AA92" s="531"/>
      <c r="AB92" s="531"/>
      <c r="AC92" s="531"/>
      <c r="AD92" s="531"/>
      <c r="AE92" s="531"/>
      <c r="AF92" s="531"/>
      <c r="AG92" s="531"/>
    </row>
    <row r="93">
      <c r="B93" s="531"/>
      <c r="C93" s="531"/>
      <c r="D93" s="531"/>
      <c r="E93" s="531"/>
      <c r="F93" s="531"/>
      <c r="G93" s="531"/>
      <c r="H93" s="531"/>
      <c r="I93" s="531"/>
      <c r="J93" s="531"/>
      <c r="K93" s="531"/>
      <c r="L93" s="531"/>
      <c r="M93" s="531"/>
      <c r="N93" s="531"/>
      <c r="O93" s="531"/>
      <c r="P93" s="531"/>
      <c r="Q93" s="531"/>
      <c r="R93" s="531"/>
      <c r="S93" s="532"/>
      <c r="T93" s="532"/>
      <c r="U93" s="532"/>
      <c r="V93" s="532"/>
      <c r="W93" s="532"/>
      <c r="X93" s="532"/>
      <c r="Y93" s="532"/>
      <c r="Z93" s="531"/>
      <c r="AA93" s="531"/>
      <c r="AB93" s="531"/>
      <c r="AC93" s="531"/>
      <c r="AD93" s="531"/>
      <c r="AE93" s="531"/>
      <c r="AF93" s="531"/>
      <c r="AG93" s="531"/>
    </row>
    <row r="94">
      <c r="B94" s="531"/>
      <c r="C94" s="531"/>
      <c r="D94" s="531"/>
      <c r="E94" s="531"/>
      <c r="F94" s="531"/>
      <c r="G94" s="531"/>
      <c r="H94" s="531"/>
      <c r="I94" s="531"/>
      <c r="J94" s="531"/>
      <c r="K94" s="531"/>
      <c r="L94" s="531"/>
      <c r="M94" s="531"/>
      <c r="N94" s="531"/>
      <c r="O94" s="531"/>
      <c r="P94" s="531"/>
      <c r="Q94" s="531"/>
      <c r="R94" s="531"/>
      <c r="S94" s="532"/>
      <c r="T94" s="532"/>
      <c r="U94" s="532"/>
      <c r="V94" s="532"/>
      <c r="W94" s="532"/>
      <c r="X94" s="532"/>
      <c r="Y94" s="532"/>
      <c r="Z94" s="531"/>
      <c r="AA94" s="531"/>
      <c r="AB94" s="531"/>
      <c r="AC94" s="531"/>
      <c r="AD94" s="531"/>
      <c r="AE94" s="531"/>
      <c r="AF94" s="531"/>
      <c r="AG94" s="531"/>
    </row>
    <row r="95">
      <c r="B95" s="531"/>
      <c r="C95" s="531"/>
      <c r="D95" s="531"/>
      <c r="E95" s="531"/>
      <c r="F95" s="531"/>
      <c r="G95" s="531"/>
      <c r="H95" s="531"/>
      <c r="I95" s="531"/>
      <c r="J95" s="531"/>
      <c r="K95" s="531"/>
      <c r="L95" s="531"/>
      <c r="M95" s="531"/>
      <c r="N95" s="531"/>
      <c r="O95" s="531"/>
      <c r="P95" s="531"/>
      <c r="Q95" s="531"/>
      <c r="R95" s="531"/>
      <c r="S95" s="532"/>
      <c r="T95" s="532"/>
      <c r="U95" s="532"/>
      <c r="V95" s="532"/>
      <c r="W95" s="532"/>
      <c r="X95" s="532"/>
      <c r="Y95" s="532"/>
      <c r="Z95" s="531"/>
      <c r="AA95" s="531"/>
      <c r="AB95" s="531"/>
      <c r="AC95" s="531"/>
      <c r="AD95" s="531"/>
      <c r="AE95" s="531"/>
      <c r="AF95" s="531"/>
      <c r="AG95" s="531"/>
    </row>
    <row r="96">
      <c r="B96" s="531"/>
      <c r="C96" s="531"/>
      <c r="D96" s="531"/>
      <c r="E96" s="531"/>
      <c r="F96" s="531"/>
      <c r="G96" s="531"/>
      <c r="H96" s="531"/>
      <c r="I96" s="531"/>
      <c r="J96" s="531"/>
      <c r="K96" s="531"/>
      <c r="L96" s="531"/>
      <c r="M96" s="531"/>
      <c r="N96" s="531"/>
      <c r="O96" s="531"/>
      <c r="P96" s="531"/>
      <c r="Q96" s="531"/>
      <c r="R96" s="531"/>
      <c r="S96" s="532"/>
      <c r="T96" s="532"/>
      <c r="U96" s="532"/>
      <c r="V96" s="532"/>
      <c r="W96" s="532"/>
      <c r="X96" s="532"/>
      <c r="Y96" s="532"/>
      <c r="Z96" s="531"/>
      <c r="AA96" s="531"/>
      <c r="AB96" s="531"/>
      <c r="AC96" s="531"/>
      <c r="AD96" s="531"/>
      <c r="AE96" s="531"/>
      <c r="AF96" s="531"/>
      <c r="AG96" s="531"/>
    </row>
    <row r="97">
      <c r="B97" s="531"/>
      <c r="C97" s="531"/>
      <c r="D97" s="531"/>
      <c r="E97" s="531"/>
      <c r="F97" s="531"/>
      <c r="G97" s="531"/>
      <c r="H97" s="531"/>
      <c r="I97" s="531"/>
      <c r="J97" s="531"/>
      <c r="K97" s="531"/>
      <c r="L97" s="531"/>
      <c r="M97" s="531"/>
      <c r="N97" s="531"/>
      <c r="O97" s="531"/>
      <c r="P97" s="531"/>
      <c r="Q97" s="531"/>
      <c r="R97" s="531"/>
      <c r="S97" s="532"/>
      <c r="T97" s="532"/>
      <c r="U97" s="532"/>
      <c r="V97" s="532"/>
      <c r="W97" s="532"/>
      <c r="X97" s="532"/>
      <c r="Y97" s="532"/>
      <c r="Z97" s="531"/>
      <c r="AA97" s="531"/>
      <c r="AB97" s="531"/>
      <c r="AC97" s="531"/>
      <c r="AD97" s="531"/>
      <c r="AE97" s="531"/>
      <c r="AF97" s="531"/>
      <c r="AG97" s="531"/>
    </row>
    <row r="98">
      <c r="B98" s="531"/>
      <c r="C98" s="531"/>
      <c r="D98" s="531"/>
      <c r="E98" s="531"/>
      <c r="F98" s="531"/>
      <c r="G98" s="531"/>
      <c r="H98" s="531"/>
      <c r="I98" s="531"/>
      <c r="J98" s="531"/>
      <c r="K98" s="531"/>
      <c r="L98" s="531"/>
      <c r="M98" s="531"/>
      <c r="N98" s="531"/>
      <c r="O98" s="531"/>
      <c r="P98" s="531"/>
      <c r="Q98" s="531"/>
      <c r="R98" s="531"/>
      <c r="S98" s="532"/>
      <c r="T98" s="532"/>
      <c r="U98" s="532"/>
      <c r="V98" s="532"/>
      <c r="W98" s="532"/>
      <c r="X98" s="532"/>
      <c r="Y98" s="532"/>
      <c r="Z98" s="531"/>
      <c r="AA98" s="531"/>
      <c r="AB98" s="531"/>
      <c r="AC98" s="531"/>
      <c r="AD98" s="531"/>
      <c r="AE98" s="531"/>
      <c r="AF98" s="531"/>
      <c r="AG98" s="531"/>
    </row>
    <row r="99">
      <c r="B99" s="531"/>
      <c r="C99" s="531"/>
      <c r="D99" s="531"/>
      <c r="E99" s="531"/>
      <c r="F99" s="531"/>
      <c r="G99" s="531"/>
      <c r="H99" s="531"/>
      <c r="I99" s="531"/>
      <c r="J99" s="531"/>
      <c r="K99" s="531"/>
      <c r="L99" s="531"/>
      <c r="M99" s="531"/>
      <c r="N99" s="531"/>
      <c r="O99" s="531"/>
      <c r="P99" s="531"/>
      <c r="Q99" s="531"/>
      <c r="R99" s="531"/>
      <c r="S99" s="532"/>
      <c r="T99" s="532"/>
      <c r="U99" s="532"/>
      <c r="V99" s="532"/>
      <c r="W99" s="532"/>
      <c r="X99" s="532"/>
      <c r="Y99" s="532"/>
      <c r="Z99" s="531"/>
      <c r="AA99" s="531"/>
      <c r="AB99" s="531"/>
      <c r="AC99" s="531"/>
      <c r="AD99" s="531"/>
      <c r="AE99" s="531"/>
      <c r="AF99" s="531"/>
      <c r="AG99" s="531"/>
    </row>
    <row r="100">
      <c r="B100" s="531"/>
      <c r="C100" s="531"/>
      <c r="D100" s="531"/>
      <c r="E100" s="531"/>
      <c r="F100" s="531"/>
      <c r="G100" s="531"/>
      <c r="H100" s="531"/>
      <c r="I100" s="531"/>
      <c r="J100" s="531"/>
      <c r="K100" s="531"/>
      <c r="L100" s="531"/>
      <c r="M100" s="531"/>
      <c r="N100" s="531"/>
      <c r="O100" s="531"/>
      <c r="P100" s="531"/>
      <c r="Q100" s="531"/>
      <c r="R100" s="531"/>
      <c r="S100" s="532"/>
      <c r="T100" s="532"/>
      <c r="U100" s="532"/>
      <c r="V100" s="532"/>
      <c r="W100" s="532"/>
      <c r="X100" s="532"/>
      <c r="Y100" s="532"/>
      <c r="Z100" s="531"/>
      <c r="AA100" s="531"/>
      <c r="AB100" s="531"/>
      <c r="AC100" s="531"/>
      <c r="AD100" s="531"/>
      <c r="AE100" s="531"/>
      <c r="AF100" s="531"/>
      <c r="AG100" s="531"/>
    </row>
    <row r="101">
      <c r="B101" s="531"/>
      <c r="C101" s="531"/>
      <c r="D101" s="531"/>
      <c r="E101" s="531"/>
      <c r="F101" s="531"/>
      <c r="G101" s="531"/>
      <c r="H101" s="531"/>
      <c r="I101" s="531"/>
      <c r="J101" s="531"/>
      <c r="K101" s="531"/>
      <c r="L101" s="531"/>
      <c r="M101" s="531"/>
      <c r="N101" s="531"/>
      <c r="O101" s="531"/>
      <c r="P101" s="531"/>
      <c r="Q101" s="531"/>
      <c r="R101" s="531"/>
      <c r="S101" s="532"/>
      <c r="T101" s="532"/>
      <c r="U101" s="532"/>
      <c r="V101" s="532"/>
      <c r="W101" s="532"/>
      <c r="X101" s="532"/>
      <c r="Y101" s="532"/>
      <c r="Z101" s="531"/>
      <c r="AA101" s="531"/>
      <c r="AB101" s="531"/>
      <c r="AC101" s="531"/>
      <c r="AD101" s="531"/>
      <c r="AE101" s="531"/>
      <c r="AF101" s="531"/>
      <c r="AG101" s="531"/>
    </row>
    <row r="102">
      <c r="B102" s="531"/>
      <c r="C102" s="531"/>
      <c r="D102" s="531"/>
      <c r="E102" s="531"/>
      <c r="F102" s="531"/>
      <c r="G102" s="531"/>
      <c r="H102" s="531"/>
      <c r="I102" s="531"/>
      <c r="J102" s="531"/>
      <c r="K102" s="531"/>
      <c r="L102" s="531"/>
      <c r="M102" s="531"/>
      <c r="N102" s="531"/>
      <c r="O102" s="531"/>
      <c r="P102" s="531"/>
      <c r="Q102" s="531"/>
      <c r="R102" s="531"/>
      <c r="S102" s="532"/>
      <c r="T102" s="532"/>
      <c r="U102" s="532"/>
      <c r="V102" s="532"/>
      <c r="W102" s="532"/>
      <c r="X102" s="532"/>
      <c r="Y102" s="532"/>
      <c r="Z102" s="531"/>
      <c r="AA102" s="531"/>
      <c r="AB102" s="531"/>
      <c r="AC102" s="531"/>
      <c r="AD102" s="531"/>
      <c r="AE102" s="531"/>
      <c r="AF102" s="531"/>
      <c r="AG102" s="531"/>
    </row>
    <row r="103">
      <c r="B103" s="531"/>
      <c r="C103" s="531"/>
      <c r="D103" s="531"/>
      <c r="E103" s="531"/>
      <c r="F103" s="531"/>
      <c r="G103" s="531"/>
      <c r="H103" s="531"/>
      <c r="I103" s="531"/>
      <c r="J103" s="531"/>
      <c r="K103" s="531"/>
      <c r="L103" s="531"/>
      <c r="M103" s="531"/>
      <c r="N103" s="531"/>
      <c r="O103" s="531"/>
      <c r="P103" s="531"/>
      <c r="Q103" s="531"/>
      <c r="R103" s="531"/>
      <c r="S103" s="532"/>
      <c r="T103" s="532"/>
      <c r="U103" s="532"/>
      <c r="V103" s="532"/>
      <c r="W103" s="532"/>
      <c r="X103" s="532"/>
      <c r="Y103" s="532"/>
      <c r="Z103" s="531"/>
      <c r="AA103" s="531"/>
      <c r="AB103" s="531"/>
      <c r="AC103" s="531"/>
      <c r="AD103" s="531"/>
      <c r="AE103" s="531"/>
      <c r="AF103" s="531"/>
      <c r="AG103" s="531"/>
    </row>
    <row r="104">
      <c r="B104" s="531"/>
      <c r="C104" s="531"/>
      <c r="D104" s="531"/>
      <c r="E104" s="531"/>
      <c r="F104" s="531"/>
      <c r="G104" s="531"/>
      <c r="H104" s="531"/>
      <c r="I104" s="531"/>
      <c r="J104" s="531"/>
      <c r="K104" s="531"/>
      <c r="L104" s="531"/>
      <c r="M104" s="531"/>
      <c r="N104" s="531"/>
      <c r="O104" s="531"/>
      <c r="P104" s="531"/>
      <c r="Q104" s="531"/>
      <c r="R104" s="531"/>
      <c r="S104" s="532"/>
      <c r="T104" s="532"/>
      <c r="U104" s="532"/>
      <c r="V104" s="532"/>
      <c r="W104" s="532"/>
      <c r="X104" s="532"/>
      <c r="Y104" s="532"/>
      <c r="Z104" s="531"/>
      <c r="AA104" s="531"/>
      <c r="AB104" s="531"/>
      <c r="AC104" s="531"/>
      <c r="AD104" s="531"/>
      <c r="AE104" s="531"/>
      <c r="AF104" s="531"/>
      <c r="AG104" s="531"/>
    </row>
    <row r="105">
      <c r="B105" s="531"/>
      <c r="C105" s="531"/>
      <c r="D105" s="531"/>
      <c r="E105" s="531"/>
      <c r="F105" s="531"/>
      <c r="G105" s="531"/>
      <c r="H105" s="531"/>
      <c r="I105" s="531"/>
      <c r="J105" s="531"/>
      <c r="K105" s="531"/>
      <c r="L105" s="531"/>
      <c r="M105" s="531"/>
      <c r="N105" s="531"/>
      <c r="O105" s="531"/>
      <c r="P105" s="531"/>
      <c r="Q105" s="531"/>
      <c r="R105" s="531"/>
      <c r="S105" s="532"/>
      <c r="T105" s="532"/>
      <c r="U105" s="532"/>
      <c r="V105" s="532"/>
      <c r="W105" s="532"/>
      <c r="X105" s="532"/>
      <c r="Y105" s="532"/>
      <c r="Z105" s="531"/>
      <c r="AA105" s="531"/>
      <c r="AB105" s="531"/>
      <c r="AC105" s="531"/>
      <c r="AD105" s="531"/>
      <c r="AE105" s="531"/>
      <c r="AF105" s="531"/>
      <c r="AG105" s="531"/>
    </row>
    <row r="106">
      <c r="B106" s="531"/>
      <c r="C106" s="531"/>
      <c r="D106" s="531"/>
      <c r="E106" s="531"/>
      <c r="F106" s="531"/>
      <c r="G106" s="531"/>
      <c r="H106" s="531"/>
      <c r="I106" s="531"/>
      <c r="J106" s="531"/>
      <c r="K106" s="531"/>
      <c r="L106" s="531"/>
      <c r="M106" s="531"/>
      <c r="N106" s="531"/>
      <c r="O106" s="531"/>
      <c r="P106" s="531"/>
      <c r="Q106" s="531"/>
      <c r="R106" s="531"/>
      <c r="S106" s="532"/>
      <c r="T106" s="532"/>
      <c r="U106" s="532"/>
      <c r="V106" s="532"/>
      <c r="W106" s="532"/>
      <c r="X106" s="532"/>
      <c r="Y106" s="532"/>
      <c r="Z106" s="531"/>
      <c r="AA106" s="531"/>
      <c r="AB106" s="531"/>
      <c r="AC106" s="531"/>
      <c r="AD106" s="531"/>
      <c r="AE106" s="531"/>
      <c r="AF106" s="531"/>
      <c r="AG106" s="531"/>
    </row>
    <row r="107">
      <c r="B107" s="531"/>
      <c r="C107" s="531"/>
      <c r="D107" s="531"/>
      <c r="E107" s="531"/>
      <c r="F107" s="531"/>
      <c r="G107" s="531"/>
      <c r="H107" s="531"/>
      <c r="I107" s="531"/>
      <c r="J107" s="531"/>
      <c r="K107" s="531"/>
      <c r="L107" s="531"/>
      <c r="M107" s="531"/>
      <c r="N107" s="531"/>
      <c r="O107" s="531"/>
      <c r="P107" s="531"/>
      <c r="Q107" s="531"/>
      <c r="R107" s="531"/>
      <c r="S107" s="532"/>
      <c r="T107" s="532"/>
      <c r="U107" s="532"/>
      <c r="V107" s="532"/>
      <c r="W107" s="532"/>
      <c r="X107" s="532"/>
      <c r="Y107" s="532"/>
      <c r="Z107" s="531"/>
      <c r="AA107" s="531"/>
      <c r="AB107" s="531"/>
      <c r="AC107" s="531"/>
      <c r="AD107" s="531"/>
      <c r="AE107" s="531"/>
      <c r="AF107" s="531"/>
      <c r="AG107" s="531"/>
    </row>
    <row r="108">
      <c r="B108" s="531"/>
      <c r="C108" s="531"/>
      <c r="D108" s="531"/>
      <c r="E108" s="531"/>
      <c r="F108" s="531"/>
      <c r="G108" s="531"/>
      <c r="H108" s="531"/>
      <c r="I108" s="531"/>
      <c r="J108" s="531"/>
      <c r="K108" s="531"/>
      <c r="L108" s="531"/>
      <c r="M108" s="531"/>
      <c r="N108" s="531"/>
      <c r="O108" s="531"/>
      <c r="P108" s="531"/>
      <c r="Q108" s="531"/>
      <c r="R108" s="531"/>
      <c r="S108" s="532"/>
      <c r="T108" s="532"/>
      <c r="U108" s="532"/>
      <c r="V108" s="532"/>
      <c r="W108" s="532"/>
      <c r="X108" s="532"/>
      <c r="Y108" s="532"/>
      <c r="Z108" s="531"/>
      <c r="AA108" s="531"/>
      <c r="AB108" s="531"/>
      <c r="AC108" s="531"/>
      <c r="AD108" s="531"/>
      <c r="AE108" s="531"/>
      <c r="AF108" s="531"/>
      <c r="AG108" s="531"/>
    </row>
    <row r="109">
      <c r="B109" s="531"/>
      <c r="C109" s="531"/>
      <c r="D109" s="531"/>
      <c r="E109" s="531"/>
      <c r="F109" s="531"/>
      <c r="G109" s="531"/>
      <c r="H109" s="531"/>
      <c r="I109" s="531"/>
      <c r="J109" s="531"/>
      <c r="K109" s="531"/>
      <c r="L109" s="531"/>
      <c r="M109" s="531"/>
      <c r="N109" s="531"/>
      <c r="O109" s="531"/>
      <c r="P109" s="531"/>
      <c r="Q109" s="531"/>
      <c r="R109" s="531"/>
      <c r="S109" s="532"/>
      <c r="T109" s="532"/>
      <c r="U109" s="532"/>
      <c r="V109" s="532"/>
      <c r="W109" s="532"/>
      <c r="X109" s="532"/>
      <c r="Y109" s="532"/>
      <c r="Z109" s="531"/>
      <c r="AA109" s="531"/>
      <c r="AB109" s="531"/>
      <c r="AC109" s="531"/>
      <c r="AD109" s="531"/>
      <c r="AE109" s="531"/>
      <c r="AF109" s="531"/>
      <c r="AG109" s="531"/>
    </row>
    <row r="110">
      <c r="B110" s="531"/>
      <c r="C110" s="531"/>
      <c r="D110" s="531"/>
      <c r="E110" s="531"/>
      <c r="F110" s="531"/>
      <c r="G110" s="531"/>
      <c r="H110" s="531"/>
      <c r="I110" s="531"/>
      <c r="J110" s="531"/>
      <c r="K110" s="531"/>
      <c r="L110" s="531"/>
      <c r="M110" s="531"/>
      <c r="N110" s="531"/>
      <c r="O110" s="531"/>
      <c r="P110" s="531"/>
      <c r="Q110" s="531"/>
      <c r="R110" s="531"/>
      <c r="S110" s="532"/>
      <c r="T110" s="532"/>
      <c r="U110" s="532"/>
      <c r="V110" s="532"/>
      <c r="W110" s="532"/>
      <c r="X110" s="532"/>
      <c r="Y110" s="532"/>
      <c r="Z110" s="531"/>
      <c r="AA110" s="531"/>
      <c r="AB110" s="531"/>
      <c r="AC110" s="531"/>
      <c r="AD110" s="531"/>
      <c r="AE110" s="531"/>
      <c r="AF110" s="531"/>
      <c r="AG110" s="531"/>
    </row>
    <row r="111">
      <c r="B111" s="531"/>
      <c r="C111" s="531"/>
      <c r="D111" s="531"/>
      <c r="E111" s="531"/>
      <c r="F111" s="531"/>
      <c r="G111" s="531"/>
      <c r="H111" s="531"/>
      <c r="I111" s="531"/>
      <c r="J111" s="531"/>
      <c r="K111" s="531"/>
      <c r="L111" s="531"/>
      <c r="M111" s="531"/>
      <c r="N111" s="531"/>
      <c r="O111" s="531"/>
      <c r="P111" s="531"/>
      <c r="Q111" s="531"/>
      <c r="R111" s="531"/>
      <c r="S111" s="532"/>
      <c r="T111" s="532"/>
      <c r="U111" s="532"/>
      <c r="V111" s="532"/>
      <c r="W111" s="532"/>
      <c r="X111" s="532"/>
      <c r="Y111" s="532"/>
      <c r="Z111" s="531"/>
      <c r="AA111" s="531"/>
      <c r="AB111" s="531"/>
      <c r="AC111" s="531"/>
      <c r="AD111" s="531"/>
      <c r="AE111" s="531"/>
      <c r="AF111" s="531"/>
      <c r="AG111" s="531"/>
    </row>
    <row r="112">
      <c r="B112" s="531"/>
      <c r="C112" s="531"/>
      <c r="D112" s="531"/>
      <c r="E112" s="531"/>
      <c r="F112" s="531"/>
      <c r="G112" s="531"/>
      <c r="H112" s="531"/>
      <c r="I112" s="531"/>
      <c r="J112" s="531"/>
      <c r="K112" s="531"/>
      <c r="L112" s="531"/>
      <c r="M112" s="531"/>
      <c r="N112" s="531"/>
      <c r="O112" s="531"/>
      <c r="P112" s="531"/>
      <c r="Q112" s="531"/>
      <c r="R112" s="531"/>
      <c r="S112" s="532"/>
      <c r="T112" s="532"/>
      <c r="U112" s="532"/>
      <c r="V112" s="532"/>
      <c r="W112" s="532"/>
      <c r="X112" s="532"/>
      <c r="Y112" s="532"/>
      <c r="Z112" s="531"/>
      <c r="AA112" s="531"/>
      <c r="AB112" s="531"/>
      <c r="AC112" s="531"/>
      <c r="AD112" s="531"/>
      <c r="AE112" s="531"/>
      <c r="AF112" s="531"/>
      <c r="AG112" s="531"/>
    </row>
    <row r="113">
      <c r="B113" s="531"/>
      <c r="C113" s="531"/>
      <c r="D113" s="531"/>
      <c r="E113" s="531"/>
      <c r="F113" s="531"/>
      <c r="G113" s="531"/>
      <c r="H113" s="531"/>
      <c r="I113" s="531"/>
      <c r="J113" s="531"/>
      <c r="K113" s="531"/>
      <c r="L113" s="531"/>
      <c r="M113" s="531"/>
      <c r="N113" s="531"/>
      <c r="O113" s="531"/>
      <c r="P113" s="531"/>
      <c r="Q113" s="531"/>
      <c r="R113" s="531"/>
      <c r="S113" s="532"/>
      <c r="T113" s="532"/>
      <c r="U113" s="532"/>
      <c r="V113" s="532"/>
      <c r="W113" s="532"/>
      <c r="X113" s="532"/>
      <c r="Y113" s="532"/>
      <c r="Z113" s="531"/>
      <c r="AA113" s="531"/>
      <c r="AB113" s="531"/>
      <c r="AC113" s="531"/>
      <c r="AD113" s="531"/>
      <c r="AE113" s="531"/>
      <c r="AF113" s="531"/>
      <c r="AG113" s="531"/>
    </row>
    <row r="114">
      <c r="B114" s="531"/>
      <c r="C114" s="531"/>
      <c r="D114" s="531"/>
      <c r="E114" s="531"/>
      <c r="F114" s="531"/>
      <c r="G114" s="531"/>
      <c r="H114" s="531"/>
      <c r="I114" s="531"/>
      <c r="J114" s="531"/>
      <c r="K114" s="531"/>
      <c r="L114" s="531"/>
      <c r="M114" s="531"/>
      <c r="N114" s="531"/>
      <c r="O114" s="531"/>
      <c r="P114" s="531"/>
      <c r="Q114" s="531"/>
      <c r="R114" s="531"/>
      <c r="S114" s="532"/>
      <c r="T114" s="532"/>
      <c r="U114" s="532"/>
      <c r="V114" s="532"/>
      <c r="W114" s="532"/>
      <c r="X114" s="532"/>
      <c r="Y114" s="532"/>
      <c r="Z114" s="531"/>
      <c r="AA114" s="531"/>
      <c r="AB114" s="531"/>
      <c r="AC114" s="531"/>
      <c r="AD114" s="531"/>
      <c r="AE114" s="531"/>
      <c r="AF114" s="531"/>
      <c r="AG114" s="531"/>
    </row>
    <row r="115">
      <c r="B115" s="531"/>
      <c r="C115" s="531"/>
      <c r="D115" s="531"/>
      <c r="E115" s="531"/>
      <c r="F115" s="531"/>
      <c r="G115" s="531"/>
      <c r="H115" s="531"/>
      <c r="I115" s="531"/>
      <c r="J115" s="531"/>
      <c r="K115" s="531"/>
      <c r="L115" s="531"/>
      <c r="M115" s="531"/>
      <c r="N115" s="531"/>
      <c r="O115" s="531"/>
      <c r="P115" s="531"/>
      <c r="Q115" s="531"/>
      <c r="R115" s="531"/>
      <c r="S115" s="532"/>
      <c r="T115" s="532"/>
      <c r="U115" s="532"/>
      <c r="V115" s="532"/>
      <c r="W115" s="532"/>
      <c r="X115" s="532"/>
      <c r="Y115" s="532"/>
      <c r="Z115" s="531"/>
      <c r="AA115" s="531"/>
      <c r="AB115" s="531"/>
      <c r="AC115" s="531"/>
      <c r="AD115" s="531"/>
      <c r="AE115" s="531"/>
      <c r="AF115" s="531"/>
      <c r="AG115" s="531"/>
    </row>
    <row r="116">
      <c r="B116" s="531"/>
      <c r="C116" s="531"/>
      <c r="D116" s="531"/>
      <c r="E116" s="531"/>
      <c r="F116" s="531"/>
      <c r="G116" s="531"/>
      <c r="H116" s="531"/>
      <c r="I116" s="531"/>
      <c r="J116" s="531"/>
      <c r="K116" s="531"/>
      <c r="L116" s="531"/>
      <c r="M116" s="531"/>
      <c r="N116" s="531"/>
      <c r="O116" s="531"/>
      <c r="P116" s="531"/>
      <c r="Q116" s="531"/>
      <c r="R116" s="531"/>
      <c r="S116" s="532"/>
      <c r="T116" s="532"/>
      <c r="U116" s="532"/>
      <c r="V116" s="532"/>
      <c r="W116" s="532"/>
      <c r="X116" s="532"/>
      <c r="Y116" s="532"/>
      <c r="Z116" s="531"/>
      <c r="AA116" s="531"/>
      <c r="AB116" s="531"/>
      <c r="AC116" s="531"/>
      <c r="AD116" s="531"/>
      <c r="AE116" s="531"/>
      <c r="AF116" s="531"/>
      <c r="AG116" s="531"/>
    </row>
    <row r="117">
      <c r="B117" s="531"/>
      <c r="C117" s="531"/>
      <c r="D117" s="531"/>
      <c r="E117" s="531"/>
      <c r="F117" s="531"/>
      <c r="G117" s="531"/>
      <c r="H117" s="531"/>
      <c r="I117" s="531"/>
      <c r="J117" s="531"/>
      <c r="K117" s="531"/>
      <c r="L117" s="531"/>
      <c r="M117" s="531"/>
      <c r="N117" s="531"/>
      <c r="O117" s="531"/>
      <c r="P117" s="531"/>
      <c r="Q117" s="531"/>
      <c r="R117" s="531"/>
      <c r="S117" s="532"/>
      <c r="T117" s="532"/>
      <c r="U117" s="532"/>
      <c r="V117" s="532"/>
      <c r="W117" s="532"/>
      <c r="X117" s="532"/>
      <c r="Y117" s="532"/>
      <c r="Z117" s="531"/>
      <c r="AA117" s="531"/>
      <c r="AB117" s="531"/>
      <c r="AC117" s="531"/>
      <c r="AD117" s="531"/>
      <c r="AE117" s="531"/>
      <c r="AF117" s="531"/>
      <c r="AG117" s="531"/>
    </row>
    <row r="118">
      <c r="B118" s="531"/>
      <c r="C118" s="531"/>
      <c r="D118" s="531"/>
      <c r="E118" s="531"/>
      <c r="F118" s="531"/>
      <c r="G118" s="531"/>
      <c r="H118" s="531"/>
      <c r="I118" s="531"/>
      <c r="J118" s="531"/>
      <c r="K118" s="531"/>
      <c r="L118" s="531"/>
      <c r="M118" s="531"/>
      <c r="N118" s="531"/>
      <c r="O118" s="531"/>
      <c r="P118" s="531"/>
      <c r="Q118" s="531"/>
      <c r="R118" s="531"/>
      <c r="S118" s="532"/>
      <c r="T118" s="532"/>
      <c r="U118" s="532"/>
      <c r="V118" s="532"/>
      <c r="W118" s="532"/>
      <c r="X118" s="532"/>
      <c r="Y118" s="532"/>
      <c r="Z118" s="531"/>
      <c r="AA118" s="531"/>
      <c r="AB118" s="531"/>
      <c r="AC118" s="531"/>
      <c r="AD118" s="531"/>
      <c r="AE118" s="531"/>
      <c r="AF118" s="531"/>
      <c r="AG118" s="531"/>
    </row>
    <row r="119">
      <c r="B119" s="531"/>
      <c r="C119" s="531"/>
      <c r="D119" s="531"/>
      <c r="E119" s="531"/>
      <c r="F119" s="531"/>
      <c r="G119" s="531"/>
      <c r="H119" s="531"/>
      <c r="I119" s="531"/>
      <c r="J119" s="531"/>
      <c r="K119" s="531"/>
      <c r="L119" s="531"/>
      <c r="M119" s="531"/>
      <c r="N119" s="531"/>
      <c r="O119" s="531"/>
      <c r="P119" s="531"/>
      <c r="Q119" s="531"/>
      <c r="R119" s="531"/>
      <c r="S119" s="532"/>
      <c r="T119" s="532"/>
      <c r="U119" s="532"/>
      <c r="V119" s="532"/>
      <c r="W119" s="532"/>
      <c r="X119" s="532"/>
      <c r="Y119" s="532"/>
      <c r="Z119" s="531"/>
      <c r="AA119" s="531"/>
      <c r="AB119" s="531"/>
      <c r="AC119" s="531"/>
      <c r="AD119" s="531"/>
      <c r="AE119" s="531"/>
      <c r="AF119" s="531"/>
      <c r="AG119" s="531"/>
    </row>
    <row r="120">
      <c r="B120" s="531"/>
      <c r="C120" s="531"/>
      <c r="D120" s="531"/>
      <c r="E120" s="531"/>
      <c r="F120" s="531"/>
      <c r="G120" s="531"/>
      <c r="H120" s="531"/>
      <c r="I120" s="531"/>
      <c r="J120" s="531"/>
      <c r="K120" s="531"/>
      <c r="L120" s="531"/>
      <c r="M120" s="531"/>
      <c r="N120" s="531"/>
      <c r="O120" s="531"/>
      <c r="P120" s="531"/>
      <c r="Q120" s="531"/>
      <c r="R120" s="531"/>
      <c r="S120" s="532"/>
      <c r="T120" s="532"/>
      <c r="U120" s="532"/>
      <c r="V120" s="532"/>
      <c r="W120" s="532"/>
      <c r="X120" s="532"/>
      <c r="Y120" s="532"/>
      <c r="Z120" s="531"/>
      <c r="AA120" s="531"/>
      <c r="AB120" s="531"/>
      <c r="AC120" s="531"/>
      <c r="AD120" s="531"/>
      <c r="AE120" s="531"/>
      <c r="AF120" s="531"/>
      <c r="AG120" s="531"/>
    </row>
    <row r="121">
      <c r="B121" s="531"/>
      <c r="C121" s="531"/>
      <c r="D121" s="531"/>
      <c r="E121" s="531"/>
      <c r="F121" s="531"/>
      <c r="G121" s="531"/>
      <c r="H121" s="531"/>
      <c r="I121" s="531"/>
      <c r="J121" s="531"/>
      <c r="K121" s="531"/>
      <c r="L121" s="531"/>
      <c r="M121" s="531"/>
      <c r="N121" s="531"/>
      <c r="O121" s="531"/>
      <c r="P121" s="531"/>
      <c r="Q121" s="531"/>
      <c r="R121" s="531"/>
      <c r="S121" s="532"/>
      <c r="T121" s="532"/>
      <c r="U121" s="532"/>
      <c r="V121" s="532"/>
      <c r="W121" s="532"/>
      <c r="X121" s="532"/>
      <c r="Y121" s="532"/>
      <c r="Z121" s="531"/>
      <c r="AA121" s="531"/>
      <c r="AB121" s="531"/>
      <c r="AC121" s="531"/>
      <c r="AD121" s="531"/>
      <c r="AE121" s="531"/>
      <c r="AF121" s="531"/>
      <c r="AG121" s="531"/>
    </row>
    <row r="122">
      <c r="B122" s="531"/>
      <c r="C122" s="531"/>
      <c r="D122" s="531"/>
      <c r="E122" s="531"/>
      <c r="F122" s="531"/>
      <c r="G122" s="531"/>
      <c r="H122" s="531"/>
      <c r="I122" s="531"/>
      <c r="J122" s="531"/>
      <c r="K122" s="531"/>
      <c r="L122" s="531"/>
      <c r="M122" s="531"/>
      <c r="N122" s="531"/>
      <c r="O122" s="531"/>
      <c r="P122" s="531"/>
      <c r="Q122" s="531"/>
      <c r="R122" s="531"/>
      <c r="S122" s="532"/>
      <c r="T122" s="532"/>
      <c r="U122" s="532"/>
      <c r="V122" s="532"/>
      <c r="W122" s="532"/>
      <c r="X122" s="532"/>
      <c r="Y122" s="532"/>
      <c r="Z122" s="531"/>
      <c r="AA122" s="531"/>
      <c r="AB122" s="531"/>
      <c r="AC122" s="531"/>
      <c r="AD122" s="531"/>
      <c r="AE122" s="531"/>
      <c r="AF122" s="531"/>
      <c r="AG122" s="531"/>
    </row>
    <row r="123">
      <c r="B123" s="531"/>
      <c r="C123" s="531"/>
      <c r="D123" s="531"/>
      <c r="E123" s="531"/>
      <c r="F123" s="531"/>
      <c r="G123" s="531"/>
      <c r="H123" s="531"/>
      <c r="I123" s="531"/>
      <c r="J123" s="531"/>
      <c r="K123" s="531"/>
      <c r="L123" s="531"/>
      <c r="M123" s="531"/>
      <c r="N123" s="531"/>
      <c r="O123" s="531"/>
      <c r="P123" s="531"/>
      <c r="Q123" s="531"/>
      <c r="R123" s="531"/>
      <c r="S123" s="532"/>
      <c r="T123" s="532"/>
      <c r="U123" s="532"/>
      <c r="V123" s="532"/>
      <c r="W123" s="532"/>
      <c r="X123" s="532"/>
      <c r="Y123" s="532"/>
      <c r="Z123" s="531"/>
      <c r="AA123" s="531"/>
      <c r="AB123" s="531"/>
      <c r="AC123" s="531"/>
      <c r="AD123" s="531"/>
      <c r="AE123" s="531"/>
      <c r="AF123" s="531"/>
      <c r="AG123" s="531"/>
    </row>
    <row r="124">
      <c r="B124" s="531"/>
      <c r="C124" s="531"/>
      <c r="D124" s="531"/>
      <c r="E124" s="531"/>
      <c r="F124" s="531"/>
      <c r="G124" s="531"/>
      <c r="H124" s="531"/>
      <c r="I124" s="531"/>
      <c r="J124" s="531"/>
      <c r="K124" s="531"/>
      <c r="L124" s="531"/>
      <c r="M124" s="531"/>
      <c r="N124" s="531"/>
      <c r="O124" s="531"/>
      <c r="P124" s="531"/>
      <c r="Q124" s="531"/>
      <c r="R124" s="531"/>
      <c r="S124" s="532"/>
      <c r="T124" s="532"/>
      <c r="U124" s="532"/>
      <c r="V124" s="532"/>
      <c r="W124" s="532"/>
      <c r="X124" s="532"/>
      <c r="Y124" s="532"/>
      <c r="Z124" s="531"/>
      <c r="AA124" s="531"/>
      <c r="AB124" s="531"/>
      <c r="AC124" s="531"/>
      <c r="AD124" s="531"/>
      <c r="AE124" s="531"/>
      <c r="AF124" s="531"/>
      <c r="AG124" s="531"/>
    </row>
    <row r="125">
      <c r="B125" s="531"/>
      <c r="C125" s="531"/>
      <c r="D125" s="531"/>
      <c r="E125" s="531"/>
      <c r="F125" s="531"/>
      <c r="G125" s="531"/>
      <c r="H125" s="531"/>
      <c r="I125" s="531"/>
      <c r="J125" s="531"/>
      <c r="K125" s="531"/>
      <c r="L125" s="531"/>
      <c r="M125" s="531"/>
      <c r="N125" s="531"/>
      <c r="O125" s="531"/>
      <c r="P125" s="531"/>
      <c r="Q125" s="531"/>
      <c r="R125" s="531"/>
      <c r="S125" s="532"/>
      <c r="T125" s="532"/>
      <c r="U125" s="532"/>
      <c r="V125" s="532"/>
      <c r="W125" s="532"/>
      <c r="X125" s="532"/>
      <c r="Y125" s="532"/>
      <c r="Z125" s="531"/>
      <c r="AA125" s="531"/>
      <c r="AB125" s="531"/>
      <c r="AC125" s="531"/>
      <c r="AD125" s="531"/>
      <c r="AE125" s="531"/>
      <c r="AF125" s="531"/>
      <c r="AG125" s="531"/>
    </row>
    <row r="126">
      <c r="B126" s="531"/>
      <c r="C126" s="531"/>
      <c r="D126" s="531"/>
      <c r="E126" s="531"/>
      <c r="F126" s="531"/>
      <c r="G126" s="531"/>
      <c r="H126" s="531"/>
      <c r="I126" s="531"/>
      <c r="J126" s="531"/>
      <c r="K126" s="531"/>
      <c r="L126" s="531"/>
      <c r="M126" s="531"/>
      <c r="N126" s="531"/>
      <c r="O126" s="531"/>
      <c r="P126" s="531"/>
      <c r="Q126" s="531"/>
      <c r="R126" s="531"/>
      <c r="S126" s="532"/>
      <c r="T126" s="532"/>
      <c r="U126" s="532"/>
      <c r="V126" s="532"/>
      <c r="W126" s="532"/>
      <c r="X126" s="532"/>
      <c r="Y126" s="532"/>
      <c r="Z126" s="531"/>
      <c r="AA126" s="531"/>
      <c r="AB126" s="531"/>
      <c r="AC126" s="531"/>
      <c r="AD126" s="531"/>
      <c r="AE126" s="531"/>
      <c r="AF126" s="531"/>
      <c r="AG126" s="531"/>
    </row>
    <row r="127">
      <c r="B127" s="531"/>
      <c r="C127" s="531"/>
      <c r="D127" s="531"/>
      <c r="E127" s="531"/>
      <c r="F127" s="531"/>
      <c r="G127" s="531"/>
      <c r="H127" s="531"/>
      <c r="I127" s="531"/>
      <c r="J127" s="531"/>
      <c r="K127" s="531"/>
      <c r="L127" s="531"/>
      <c r="M127" s="531"/>
      <c r="N127" s="531"/>
      <c r="O127" s="531"/>
      <c r="P127" s="531"/>
      <c r="Q127" s="531"/>
      <c r="R127" s="531"/>
      <c r="S127" s="532"/>
      <c r="T127" s="532"/>
      <c r="U127" s="532"/>
      <c r="V127" s="532"/>
      <c r="W127" s="532"/>
      <c r="X127" s="532"/>
      <c r="Y127" s="532"/>
      <c r="Z127" s="531"/>
      <c r="AA127" s="531"/>
      <c r="AB127" s="531"/>
      <c r="AC127" s="531"/>
      <c r="AD127" s="531"/>
      <c r="AE127" s="531"/>
      <c r="AF127" s="531"/>
      <c r="AG127" s="531"/>
    </row>
    <row r="128">
      <c r="B128" s="531"/>
      <c r="C128" s="531"/>
      <c r="D128" s="531"/>
      <c r="E128" s="531"/>
      <c r="F128" s="531"/>
      <c r="G128" s="531"/>
      <c r="H128" s="531"/>
      <c r="I128" s="531"/>
      <c r="J128" s="531"/>
      <c r="K128" s="531"/>
      <c r="L128" s="531"/>
      <c r="M128" s="531"/>
      <c r="N128" s="531"/>
      <c r="O128" s="531"/>
      <c r="P128" s="531"/>
      <c r="Q128" s="531"/>
      <c r="R128" s="531"/>
      <c r="S128" s="532"/>
      <c r="T128" s="532"/>
      <c r="U128" s="532"/>
      <c r="V128" s="532"/>
      <c r="W128" s="532"/>
      <c r="X128" s="532"/>
      <c r="Y128" s="532"/>
      <c r="Z128" s="531"/>
      <c r="AA128" s="531"/>
      <c r="AB128" s="531"/>
      <c r="AC128" s="531"/>
      <c r="AD128" s="531"/>
      <c r="AE128" s="531"/>
      <c r="AF128" s="531"/>
      <c r="AG128" s="531"/>
    </row>
    <row r="129">
      <c r="B129" s="531"/>
      <c r="C129" s="531"/>
      <c r="D129" s="531"/>
      <c r="E129" s="531"/>
      <c r="F129" s="531"/>
      <c r="G129" s="531"/>
      <c r="H129" s="531"/>
      <c r="I129" s="531"/>
      <c r="J129" s="531"/>
      <c r="K129" s="531"/>
      <c r="L129" s="531"/>
      <c r="M129" s="531"/>
      <c r="N129" s="531"/>
      <c r="O129" s="531"/>
      <c r="P129" s="531"/>
      <c r="Q129" s="531"/>
      <c r="R129" s="531"/>
      <c r="S129" s="532"/>
      <c r="T129" s="532"/>
      <c r="U129" s="532"/>
      <c r="V129" s="532"/>
      <c r="W129" s="532"/>
      <c r="X129" s="532"/>
      <c r="Y129" s="532"/>
      <c r="Z129" s="531"/>
      <c r="AA129" s="531"/>
      <c r="AB129" s="531"/>
      <c r="AC129" s="531"/>
      <c r="AD129" s="531"/>
      <c r="AE129" s="531"/>
      <c r="AF129" s="531"/>
      <c r="AG129" s="531"/>
    </row>
    <row r="130">
      <c r="B130" s="531"/>
      <c r="C130" s="531"/>
      <c r="D130" s="531"/>
      <c r="E130" s="531"/>
      <c r="F130" s="531"/>
      <c r="G130" s="531"/>
      <c r="H130" s="531"/>
      <c r="I130" s="531"/>
      <c r="J130" s="531"/>
      <c r="K130" s="531"/>
      <c r="L130" s="531"/>
      <c r="M130" s="531"/>
      <c r="N130" s="531"/>
      <c r="O130" s="531"/>
      <c r="P130" s="531"/>
      <c r="Q130" s="531"/>
      <c r="R130" s="531"/>
      <c r="S130" s="532"/>
      <c r="T130" s="532"/>
      <c r="U130" s="532"/>
      <c r="V130" s="532"/>
      <c r="W130" s="532"/>
      <c r="X130" s="532"/>
      <c r="Y130" s="532"/>
      <c r="Z130" s="531"/>
      <c r="AA130" s="531"/>
      <c r="AB130" s="531"/>
      <c r="AC130" s="531"/>
      <c r="AD130" s="531"/>
      <c r="AE130" s="531"/>
      <c r="AF130" s="531"/>
      <c r="AG130" s="531"/>
    </row>
    <row r="131">
      <c r="B131" s="531"/>
      <c r="C131" s="531"/>
      <c r="D131" s="531"/>
      <c r="E131" s="531"/>
      <c r="F131" s="531"/>
      <c r="G131" s="531"/>
      <c r="H131" s="531"/>
      <c r="I131" s="531"/>
      <c r="J131" s="531"/>
      <c r="K131" s="531"/>
      <c r="L131" s="531"/>
      <c r="M131" s="531"/>
      <c r="N131" s="531"/>
      <c r="O131" s="531"/>
      <c r="P131" s="531"/>
      <c r="Q131" s="531"/>
      <c r="R131" s="531"/>
      <c r="S131" s="532"/>
      <c r="T131" s="532"/>
      <c r="U131" s="532"/>
      <c r="V131" s="532"/>
      <c r="W131" s="532"/>
      <c r="X131" s="532"/>
      <c r="Y131" s="532"/>
      <c r="Z131" s="531"/>
      <c r="AA131" s="531"/>
      <c r="AB131" s="531"/>
      <c r="AC131" s="531"/>
      <c r="AD131" s="531"/>
      <c r="AE131" s="531"/>
      <c r="AF131" s="531"/>
      <c r="AG131" s="531"/>
    </row>
    <row r="132">
      <c r="B132" s="531"/>
      <c r="C132" s="531"/>
      <c r="D132" s="531"/>
      <c r="E132" s="531"/>
      <c r="F132" s="531"/>
      <c r="G132" s="531"/>
      <c r="H132" s="531"/>
      <c r="I132" s="531"/>
      <c r="J132" s="531"/>
      <c r="K132" s="531"/>
      <c r="L132" s="531"/>
      <c r="M132" s="531"/>
      <c r="N132" s="531"/>
      <c r="O132" s="531"/>
      <c r="P132" s="531"/>
      <c r="Q132" s="531"/>
      <c r="R132" s="531"/>
      <c r="S132" s="532"/>
      <c r="T132" s="532"/>
      <c r="U132" s="532"/>
      <c r="V132" s="532"/>
      <c r="W132" s="532"/>
      <c r="X132" s="532"/>
      <c r="Y132" s="532"/>
      <c r="Z132" s="531"/>
      <c r="AA132" s="531"/>
      <c r="AB132" s="531"/>
      <c r="AC132" s="531"/>
      <c r="AD132" s="531"/>
      <c r="AE132" s="531"/>
      <c r="AF132" s="531"/>
      <c r="AG132" s="531"/>
    </row>
    <row r="133">
      <c r="B133" s="531"/>
      <c r="C133" s="531"/>
      <c r="D133" s="531"/>
      <c r="E133" s="531"/>
      <c r="F133" s="531"/>
      <c r="G133" s="531"/>
      <c r="H133" s="531"/>
      <c r="I133" s="531"/>
      <c r="J133" s="531"/>
      <c r="K133" s="531"/>
      <c r="L133" s="531"/>
      <c r="M133" s="531"/>
      <c r="N133" s="531"/>
      <c r="O133" s="531"/>
      <c r="P133" s="531"/>
      <c r="Q133" s="531"/>
      <c r="R133" s="531"/>
      <c r="S133" s="532"/>
      <c r="T133" s="532"/>
      <c r="U133" s="532"/>
      <c r="V133" s="532"/>
      <c r="W133" s="532"/>
      <c r="X133" s="532"/>
      <c r="Y133" s="532"/>
      <c r="Z133" s="531"/>
      <c r="AA133" s="531"/>
      <c r="AB133" s="531"/>
      <c r="AC133" s="531"/>
      <c r="AD133" s="531"/>
      <c r="AE133" s="531"/>
      <c r="AF133" s="531"/>
      <c r="AG133" s="531"/>
    </row>
    <row r="134">
      <c r="B134" s="531"/>
      <c r="C134" s="531"/>
      <c r="D134" s="531"/>
      <c r="E134" s="531"/>
      <c r="F134" s="531"/>
      <c r="G134" s="531"/>
      <c r="H134" s="531"/>
      <c r="I134" s="531"/>
      <c r="J134" s="531"/>
      <c r="K134" s="531"/>
      <c r="L134" s="531"/>
      <c r="M134" s="531"/>
      <c r="N134" s="531"/>
      <c r="O134" s="531"/>
      <c r="P134" s="531"/>
      <c r="Q134" s="531"/>
      <c r="R134" s="531"/>
      <c r="S134" s="532"/>
      <c r="T134" s="532"/>
      <c r="U134" s="532"/>
      <c r="V134" s="532"/>
      <c r="W134" s="532"/>
      <c r="X134" s="532"/>
      <c r="Y134" s="532"/>
      <c r="Z134" s="531"/>
      <c r="AA134" s="531"/>
      <c r="AB134" s="531"/>
      <c r="AC134" s="531"/>
      <c r="AD134" s="531"/>
      <c r="AE134" s="531"/>
      <c r="AF134" s="531"/>
      <c r="AG134" s="531"/>
    </row>
    <row r="135">
      <c r="B135" s="531"/>
      <c r="C135" s="531"/>
      <c r="D135" s="531"/>
      <c r="E135" s="531"/>
      <c r="F135" s="531"/>
      <c r="G135" s="531"/>
      <c r="H135" s="531"/>
      <c r="I135" s="531"/>
      <c r="J135" s="531"/>
      <c r="K135" s="531"/>
      <c r="L135" s="531"/>
      <c r="M135" s="531"/>
      <c r="N135" s="531"/>
      <c r="O135" s="531"/>
      <c r="P135" s="531"/>
      <c r="Q135" s="531"/>
      <c r="R135" s="531"/>
      <c r="S135" s="532"/>
      <c r="T135" s="532"/>
      <c r="U135" s="532"/>
      <c r="V135" s="532"/>
      <c r="W135" s="532"/>
      <c r="X135" s="532"/>
      <c r="Y135" s="532"/>
      <c r="Z135" s="531"/>
      <c r="AA135" s="531"/>
      <c r="AB135" s="531"/>
      <c r="AC135" s="531"/>
      <c r="AD135" s="531"/>
      <c r="AE135" s="531"/>
      <c r="AF135" s="531"/>
      <c r="AG135" s="531"/>
    </row>
    <row r="136">
      <c r="B136" s="531"/>
      <c r="C136" s="531"/>
      <c r="D136" s="531"/>
      <c r="E136" s="531"/>
      <c r="F136" s="531"/>
      <c r="G136" s="531"/>
      <c r="H136" s="531"/>
      <c r="I136" s="531"/>
      <c r="J136" s="531"/>
      <c r="K136" s="531"/>
      <c r="L136" s="531"/>
      <c r="M136" s="531"/>
      <c r="N136" s="531"/>
      <c r="O136" s="531"/>
      <c r="P136" s="531"/>
      <c r="Q136" s="531"/>
      <c r="R136" s="531"/>
      <c r="S136" s="532"/>
      <c r="T136" s="532"/>
      <c r="U136" s="532"/>
      <c r="V136" s="532"/>
      <c r="W136" s="532"/>
      <c r="X136" s="532"/>
      <c r="Y136" s="532"/>
      <c r="Z136" s="531"/>
      <c r="AA136" s="531"/>
      <c r="AB136" s="531"/>
      <c r="AC136" s="531"/>
      <c r="AD136" s="531"/>
      <c r="AE136" s="531"/>
      <c r="AF136" s="531"/>
      <c r="AG136" s="531"/>
    </row>
    <row r="137">
      <c r="B137" s="531"/>
      <c r="C137" s="531"/>
      <c r="D137" s="531"/>
      <c r="E137" s="531"/>
      <c r="F137" s="531"/>
      <c r="G137" s="531"/>
      <c r="H137" s="531"/>
      <c r="I137" s="531"/>
      <c r="J137" s="531"/>
      <c r="K137" s="531"/>
      <c r="L137" s="531"/>
      <c r="M137" s="531"/>
      <c r="N137" s="531"/>
      <c r="O137" s="531"/>
      <c r="P137" s="531"/>
      <c r="Q137" s="531"/>
      <c r="R137" s="531"/>
      <c r="S137" s="532"/>
      <c r="T137" s="532"/>
      <c r="U137" s="532"/>
      <c r="V137" s="532"/>
      <c r="W137" s="532"/>
      <c r="X137" s="532"/>
      <c r="Y137" s="532"/>
      <c r="Z137" s="531"/>
      <c r="AA137" s="531"/>
      <c r="AB137" s="531"/>
      <c r="AC137" s="531"/>
      <c r="AD137" s="531"/>
      <c r="AE137" s="531"/>
      <c r="AF137" s="531"/>
      <c r="AG137" s="531"/>
    </row>
    <row r="138">
      <c r="B138" s="531"/>
      <c r="C138" s="531"/>
      <c r="D138" s="531"/>
      <c r="E138" s="531"/>
      <c r="F138" s="531"/>
      <c r="G138" s="531"/>
      <c r="H138" s="531"/>
      <c r="I138" s="531"/>
      <c r="J138" s="531"/>
      <c r="K138" s="531"/>
      <c r="L138" s="531"/>
      <c r="M138" s="531"/>
      <c r="N138" s="531"/>
      <c r="O138" s="531"/>
      <c r="P138" s="531"/>
      <c r="Q138" s="531"/>
      <c r="R138" s="531"/>
      <c r="S138" s="532"/>
      <c r="T138" s="532"/>
      <c r="U138" s="532"/>
      <c r="V138" s="532"/>
      <c r="W138" s="532"/>
      <c r="X138" s="532"/>
      <c r="Y138" s="532"/>
      <c r="Z138" s="531"/>
      <c r="AA138" s="531"/>
      <c r="AB138" s="531"/>
      <c r="AC138" s="531"/>
      <c r="AD138" s="531"/>
      <c r="AE138" s="531"/>
      <c r="AF138" s="531"/>
      <c r="AG138" s="531"/>
    </row>
    <row r="139">
      <c r="B139" s="531"/>
      <c r="C139" s="531"/>
      <c r="D139" s="531"/>
      <c r="E139" s="531"/>
      <c r="F139" s="531"/>
      <c r="G139" s="531"/>
      <c r="H139" s="531"/>
      <c r="I139" s="531"/>
      <c r="J139" s="531"/>
      <c r="K139" s="531"/>
      <c r="L139" s="531"/>
      <c r="M139" s="531"/>
      <c r="N139" s="531"/>
      <c r="O139" s="531"/>
      <c r="P139" s="531"/>
      <c r="Q139" s="531"/>
      <c r="R139" s="531"/>
      <c r="S139" s="532"/>
      <c r="T139" s="532"/>
      <c r="U139" s="532"/>
      <c r="V139" s="532"/>
      <c r="W139" s="532"/>
      <c r="X139" s="532"/>
      <c r="Y139" s="532"/>
      <c r="Z139" s="531"/>
      <c r="AA139" s="531"/>
      <c r="AB139" s="531"/>
      <c r="AC139" s="531"/>
      <c r="AD139" s="531"/>
      <c r="AE139" s="531"/>
      <c r="AF139" s="531"/>
      <c r="AG139" s="531"/>
    </row>
    <row r="140">
      <c r="B140" s="531"/>
      <c r="C140" s="531"/>
      <c r="D140" s="531"/>
      <c r="E140" s="531"/>
      <c r="F140" s="531"/>
      <c r="G140" s="531"/>
      <c r="H140" s="531"/>
      <c r="I140" s="531"/>
      <c r="J140" s="531"/>
      <c r="K140" s="531"/>
      <c r="L140" s="531"/>
      <c r="M140" s="531"/>
      <c r="N140" s="531"/>
      <c r="O140" s="531"/>
      <c r="P140" s="531"/>
      <c r="Q140" s="531"/>
      <c r="R140" s="531"/>
      <c r="S140" s="532"/>
      <c r="T140" s="532"/>
      <c r="U140" s="532"/>
      <c r="V140" s="532"/>
      <c r="W140" s="532"/>
      <c r="X140" s="532"/>
      <c r="Y140" s="532"/>
      <c r="Z140" s="531"/>
      <c r="AA140" s="531"/>
      <c r="AB140" s="531"/>
      <c r="AC140" s="531"/>
      <c r="AD140" s="531"/>
      <c r="AE140" s="531"/>
      <c r="AF140" s="531"/>
      <c r="AG140" s="531"/>
    </row>
    <row r="141">
      <c r="B141" s="531"/>
      <c r="C141" s="531"/>
      <c r="D141" s="531"/>
      <c r="E141" s="531"/>
      <c r="F141" s="531"/>
      <c r="G141" s="531"/>
      <c r="H141" s="531"/>
      <c r="I141" s="531"/>
      <c r="J141" s="531"/>
      <c r="K141" s="531"/>
      <c r="L141" s="531"/>
      <c r="M141" s="531"/>
      <c r="N141" s="531"/>
      <c r="O141" s="531"/>
      <c r="P141" s="531"/>
      <c r="Q141" s="531"/>
      <c r="R141" s="531"/>
      <c r="S141" s="532"/>
      <c r="T141" s="532"/>
      <c r="U141" s="532"/>
      <c r="V141" s="532"/>
      <c r="W141" s="532"/>
      <c r="X141" s="532"/>
      <c r="Y141" s="532"/>
      <c r="Z141" s="531"/>
      <c r="AA141" s="531"/>
      <c r="AB141" s="531"/>
      <c r="AC141" s="531"/>
      <c r="AD141" s="531"/>
      <c r="AE141" s="531"/>
      <c r="AF141" s="531"/>
      <c r="AG141" s="531"/>
    </row>
    <row r="142">
      <c r="B142" s="531"/>
      <c r="C142" s="531"/>
      <c r="D142" s="531"/>
      <c r="E142" s="531"/>
      <c r="F142" s="531"/>
      <c r="G142" s="531"/>
      <c r="H142" s="531"/>
      <c r="I142" s="531"/>
      <c r="J142" s="531"/>
      <c r="K142" s="531"/>
      <c r="L142" s="531"/>
      <c r="M142" s="531"/>
      <c r="N142" s="531"/>
      <c r="O142" s="531"/>
      <c r="P142" s="531"/>
      <c r="Q142" s="531"/>
      <c r="R142" s="531"/>
      <c r="S142" s="532"/>
      <c r="T142" s="532"/>
      <c r="U142" s="532"/>
      <c r="V142" s="532"/>
      <c r="W142" s="532"/>
      <c r="X142" s="532"/>
      <c r="Y142" s="532"/>
      <c r="Z142" s="531"/>
      <c r="AA142" s="531"/>
      <c r="AB142" s="531"/>
      <c r="AC142" s="531"/>
      <c r="AD142" s="531"/>
      <c r="AE142" s="531"/>
      <c r="AF142" s="531"/>
      <c r="AG142" s="531"/>
    </row>
    <row r="143">
      <c r="B143" s="531"/>
      <c r="C143" s="531"/>
      <c r="D143" s="531"/>
      <c r="E143" s="531"/>
      <c r="F143" s="531"/>
      <c r="G143" s="531"/>
      <c r="H143" s="531"/>
      <c r="I143" s="531"/>
      <c r="J143" s="531"/>
      <c r="K143" s="531"/>
      <c r="L143" s="531"/>
      <c r="M143" s="531"/>
      <c r="N143" s="531"/>
      <c r="O143" s="531"/>
      <c r="P143" s="531"/>
      <c r="Q143" s="531"/>
      <c r="R143" s="531"/>
      <c r="S143" s="532"/>
      <c r="T143" s="532"/>
      <c r="U143" s="532"/>
      <c r="V143" s="532"/>
      <c r="W143" s="532"/>
      <c r="X143" s="532"/>
      <c r="Y143" s="532"/>
      <c r="Z143" s="531"/>
      <c r="AA143" s="531"/>
      <c r="AB143" s="531"/>
      <c r="AC143" s="531"/>
      <c r="AD143" s="531"/>
      <c r="AE143" s="531"/>
      <c r="AF143" s="531"/>
      <c r="AG143" s="531"/>
    </row>
    <row r="144">
      <c r="B144" s="531"/>
      <c r="C144" s="531"/>
      <c r="D144" s="531"/>
      <c r="E144" s="531"/>
      <c r="F144" s="531"/>
      <c r="G144" s="531"/>
      <c r="H144" s="531"/>
      <c r="I144" s="531"/>
      <c r="J144" s="531"/>
      <c r="K144" s="531"/>
      <c r="L144" s="531"/>
      <c r="M144" s="531"/>
      <c r="N144" s="531"/>
      <c r="O144" s="531"/>
      <c r="P144" s="531"/>
      <c r="Q144" s="531"/>
      <c r="R144" s="531"/>
      <c r="S144" s="532"/>
      <c r="T144" s="532"/>
      <c r="U144" s="532"/>
      <c r="V144" s="532"/>
      <c r="W144" s="532"/>
      <c r="X144" s="532"/>
      <c r="Y144" s="532"/>
      <c r="Z144" s="531"/>
      <c r="AA144" s="531"/>
      <c r="AB144" s="531"/>
      <c r="AC144" s="531"/>
      <c r="AD144" s="531"/>
      <c r="AE144" s="531"/>
      <c r="AF144" s="531"/>
      <c r="AG144" s="531"/>
    </row>
    <row r="145">
      <c r="B145" s="531"/>
      <c r="C145" s="531"/>
      <c r="D145" s="531"/>
      <c r="E145" s="531"/>
      <c r="F145" s="531"/>
      <c r="G145" s="531"/>
      <c r="H145" s="531"/>
      <c r="I145" s="531"/>
      <c r="J145" s="531"/>
      <c r="K145" s="531"/>
      <c r="L145" s="531"/>
      <c r="M145" s="531"/>
      <c r="N145" s="531"/>
      <c r="O145" s="531"/>
      <c r="P145" s="531"/>
      <c r="Q145" s="531"/>
      <c r="R145" s="531"/>
      <c r="S145" s="532"/>
      <c r="T145" s="532"/>
      <c r="U145" s="532"/>
      <c r="V145" s="532"/>
      <c r="W145" s="532"/>
      <c r="X145" s="532"/>
      <c r="Y145" s="532"/>
      <c r="Z145" s="531"/>
      <c r="AA145" s="531"/>
      <c r="AB145" s="531"/>
      <c r="AC145" s="531"/>
      <c r="AD145" s="531"/>
      <c r="AE145" s="531"/>
      <c r="AF145" s="531"/>
      <c r="AG145" s="531"/>
    </row>
    <row r="146">
      <c r="B146" s="531"/>
      <c r="C146" s="531"/>
      <c r="D146" s="531"/>
      <c r="E146" s="531"/>
      <c r="F146" s="531"/>
      <c r="G146" s="531"/>
      <c r="H146" s="531"/>
      <c r="I146" s="531"/>
      <c r="J146" s="531"/>
      <c r="K146" s="531"/>
      <c r="L146" s="531"/>
      <c r="M146" s="531"/>
      <c r="N146" s="531"/>
      <c r="O146" s="531"/>
      <c r="P146" s="531"/>
      <c r="Q146" s="531"/>
      <c r="R146" s="531"/>
      <c r="S146" s="532"/>
      <c r="T146" s="532"/>
      <c r="U146" s="532"/>
      <c r="V146" s="532"/>
      <c r="W146" s="532"/>
      <c r="X146" s="532"/>
      <c r="Y146" s="532"/>
      <c r="Z146" s="531"/>
      <c r="AA146" s="531"/>
      <c r="AB146" s="531"/>
      <c r="AC146" s="531"/>
      <c r="AD146" s="531"/>
      <c r="AE146" s="531"/>
      <c r="AF146" s="531"/>
      <c r="AG146" s="531"/>
    </row>
    <row r="147">
      <c r="B147" s="531"/>
      <c r="C147" s="531"/>
      <c r="D147" s="531"/>
      <c r="E147" s="531"/>
      <c r="F147" s="531"/>
      <c r="G147" s="531"/>
      <c r="H147" s="531"/>
      <c r="I147" s="531"/>
      <c r="J147" s="531"/>
      <c r="K147" s="531"/>
      <c r="L147" s="531"/>
      <c r="M147" s="531"/>
      <c r="N147" s="531"/>
      <c r="O147" s="531"/>
      <c r="P147" s="531"/>
      <c r="Q147" s="531"/>
      <c r="R147" s="531"/>
      <c r="S147" s="532"/>
      <c r="T147" s="532"/>
      <c r="U147" s="532"/>
      <c r="V147" s="532"/>
      <c r="W147" s="532"/>
      <c r="X147" s="532"/>
      <c r="Y147" s="532"/>
      <c r="Z147" s="531"/>
      <c r="AA147" s="531"/>
      <c r="AB147" s="531"/>
      <c r="AC147" s="531"/>
      <c r="AD147" s="531"/>
      <c r="AE147" s="531"/>
      <c r="AF147" s="531"/>
      <c r="AG147" s="531"/>
    </row>
    <row r="148">
      <c r="B148" s="531"/>
      <c r="C148" s="531"/>
      <c r="D148" s="531"/>
      <c r="E148" s="531"/>
      <c r="F148" s="531"/>
      <c r="G148" s="531"/>
      <c r="H148" s="531"/>
      <c r="I148" s="531"/>
      <c r="J148" s="531"/>
      <c r="K148" s="531"/>
      <c r="L148" s="531"/>
      <c r="M148" s="531"/>
      <c r="N148" s="531"/>
      <c r="O148" s="531"/>
      <c r="P148" s="531"/>
      <c r="Q148" s="531"/>
      <c r="R148" s="531"/>
      <c r="S148" s="532"/>
      <c r="T148" s="532"/>
      <c r="U148" s="532"/>
      <c r="V148" s="532"/>
      <c r="W148" s="532"/>
      <c r="X148" s="532"/>
      <c r="Y148" s="532"/>
      <c r="Z148" s="531"/>
      <c r="AA148" s="531"/>
      <c r="AB148" s="531"/>
      <c r="AC148" s="531"/>
      <c r="AD148" s="531"/>
      <c r="AE148" s="531"/>
      <c r="AF148" s="531"/>
      <c r="AG148" s="531"/>
    </row>
    <row r="149">
      <c r="B149" s="531"/>
      <c r="C149" s="531"/>
      <c r="D149" s="531"/>
      <c r="E149" s="531"/>
      <c r="F149" s="531"/>
      <c r="G149" s="531"/>
      <c r="H149" s="531"/>
      <c r="I149" s="531"/>
      <c r="J149" s="531"/>
      <c r="K149" s="531"/>
      <c r="L149" s="531"/>
      <c r="M149" s="531"/>
      <c r="N149" s="531"/>
      <c r="O149" s="531"/>
      <c r="P149" s="531"/>
      <c r="Q149" s="531"/>
      <c r="R149" s="531"/>
      <c r="S149" s="532"/>
      <c r="T149" s="532"/>
      <c r="U149" s="532"/>
      <c r="V149" s="532"/>
      <c r="W149" s="532"/>
      <c r="X149" s="532"/>
      <c r="Y149" s="532"/>
      <c r="Z149" s="531"/>
      <c r="AA149" s="531"/>
      <c r="AB149" s="531"/>
      <c r="AC149" s="531"/>
      <c r="AD149" s="531"/>
      <c r="AE149" s="531"/>
      <c r="AF149" s="531"/>
      <c r="AG149" s="531"/>
    </row>
    <row r="150">
      <c r="B150" s="531"/>
      <c r="C150" s="531"/>
      <c r="D150" s="531"/>
      <c r="E150" s="531"/>
      <c r="F150" s="531"/>
      <c r="G150" s="531"/>
      <c r="H150" s="531"/>
      <c r="I150" s="531"/>
      <c r="J150" s="531"/>
      <c r="K150" s="531"/>
      <c r="L150" s="531"/>
      <c r="M150" s="531"/>
      <c r="N150" s="531"/>
      <c r="O150" s="531"/>
      <c r="P150" s="531"/>
      <c r="Q150" s="531"/>
      <c r="R150" s="531"/>
      <c r="S150" s="532"/>
      <c r="T150" s="532"/>
      <c r="U150" s="532"/>
      <c r="V150" s="532"/>
      <c r="W150" s="532"/>
      <c r="X150" s="532"/>
      <c r="Y150" s="532"/>
      <c r="Z150" s="531"/>
      <c r="AA150" s="531"/>
      <c r="AB150" s="531"/>
      <c r="AC150" s="531"/>
      <c r="AD150" s="531"/>
      <c r="AE150" s="531"/>
      <c r="AF150" s="531"/>
      <c r="AG150" s="531"/>
    </row>
    <row r="151">
      <c r="B151" s="531"/>
      <c r="C151" s="531"/>
      <c r="D151" s="531"/>
      <c r="E151" s="531"/>
      <c r="F151" s="531"/>
      <c r="G151" s="531"/>
      <c r="H151" s="531"/>
      <c r="I151" s="531"/>
      <c r="J151" s="531"/>
      <c r="K151" s="531"/>
      <c r="L151" s="531"/>
      <c r="M151" s="531"/>
      <c r="N151" s="531"/>
      <c r="O151" s="531"/>
      <c r="P151" s="531"/>
      <c r="Q151" s="531"/>
      <c r="R151" s="531"/>
      <c r="S151" s="532"/>
      <c r="T151" s="532"/>
      <c r="U151" s="532"/>
      <c r="V151" s="532"/>
      <c r="W151" s="532"/>
      <c r="X151" s="532"/>
      <c r="Y151" s="532"/>
      <c r="Z151" s="531"/>
      <c r="AA151" s="531"/>
      <c r="AB151" s="531"/>
      <c r="AC151" s="531"/>
      <c r="AD151" s="531"/>
      <c r="AE151" s="531"/>
      <c r="AF151" s="531"/>
      <c r="AG151" s="531"/>
    </row>
    <row r="152">
      <c r="B152" s="531"/>
      <c r="C152" s="531"/>
      <c r="D152" s="531"/>
      <c r="E152" s="531"/>
      <c r="F152" s="531"/>
      <c r="G152" s="531"/>
      <c r="H152" s="531"/>
      <c r="I152" s="531"/>
      <c r="J152" s="531"/>
      <c r="K152" s="531"/>
      <c r="L152" s="531"/>
      <c r="M152" s="531"/>
      <c r="N152" s="531"/>
      <c r="O152" s="531"/>
      <c r="P152" s="531"/>
      <c r="Q152" s="531"/>
      <c r="R152" s="531"/>
      <c r="S152" s="532"/>
      <c r="T152" s="532"/>
      <c r="U152" s="532"/>
      <c r="V152" s="532"/>
      <c r="W152" s="532"/>
      <c r="X152" s="532"/>
      <c r="Y152" s="532"/>
      <c r="Z152" s="531"/>
      <c r="AA152" s="531"/>
      <c r="AB152" s="531"/>
      <c r="AC152" s="531"/>
      <c r="AD152" s="531"/>
      <c r="AE152" s="531"/>
      <c r="AF152" s="531"/>
      <c r="AG152" s="531"/>
    </row>
    <row r="153">
      <c r="B153" s="531"/>
      <c r="C153" s="531"/>
      <c r="D153" s="531"/>
      <c r="E153" s="531"/>
      <c r="F153" s="531"/>
      <c r="G153" s="531"/>
      <c r="H153" s="531"/>
      <c r="I153" s="531"/>
      <c r="J153" s="531"/>
      <c r="K153" s="531"/>
      <c r="L153" s="531"/>
      <c r="M153" s="531"/>
      <c r="N153" s="531"/>
      <c r="O153" s="531"/>
      <c r="P153" s="531"/>
      <c r="Q153" s="531"/>
      <c r="R153" s="531"/>
      <c r="S153" s="532"/>
      <c r="T153" s="532"/>
      <c r="U153" s="532"/>
      <c r="V153" s="532"/>
      <c r="W153" s="532"/>
      <c r="X153" s="532"/>
      <c r="Y153" s="532"/>
      <c r="Z153" s="531"/>
      <c r="AA153" s="531"/>
      <c r="AB153" s="531"/>
      <c r="AC153" s="531"/>
      <c r="AD153" s="531"/>
      <c r="AE153" s="531"/>
      <c r="AF153" s="531"/>
      <c r="AG153" s="531"/>
    </row>
    <row r="154">
      <c r="B154" s="531"/>
      <c r="C154" s="531"/>
      <c r="D154" s="531"/>
      <c r="E154" s="531"/>
      <c r="F154" s="531"/>
      <c r="G154" s="531"/>
      <c r="H154" s="531"/>
      <c r="I154" s="531"/>
      <c r="J154" s="531"/>
      <c r="K154" s="531"/>
      <c r="L154" s="531"/>
      <c r="M154" s="531"/>
      <c r="N154" s="531"/>
      <c r="O154" s="531"/>
      <c r="P154" s="531"/>
      <c r="Q154" s="531"/>
      <c r="R154" s="531"/>
      <c r="S154" s="532"/>
      <c r="T154" s="532"/>
      <c r="U154" s="532"/>
      <c r="V154" s="532"/>
      <c r="W154" s="532"/>
      <c r="X154" s="532"/>
      <c r="Y154" s="532"/>
      <c r="Z154" s="531"/>
      <c r="AA154" s="531"/>
      <c r="AB154" s="531"/>
      <c r="AC154" s="531"/>
      <c r="AD154" s="531"/>
      <c r="AE154" s="531"/>
      <c r="AF154" s="531"/>
      <c r="AG154" s="531"/>
    </row>
    <row r="155">
      <c r="B155" s="531"/>
      <c r="C155" s="531"/>
      <c r="D155" s="531"/>
      <c r="E155" s="531"/>
      <c r="F155" s="531"/>
      <c r="G155" s="531"/>
      <c r="H155" s="531"/>
      <c r="I155" s="531"/>
      <c r="J155" s="531"/>
      <c r="K155" s="531"/>
      <c r="L155" s="531"/>
      <c r="M155" s="531"/>
      <c r="N155" s="531"/>
      <c r="O155" s="531"/>
      <c r="P155" s="531"/>
      <c r="Q155" s="531"/>
      <c r="R155" s="531"/>
      <c r="S155" s="532"/>
      <c r="T155" s="532"/>
      <c r="U155" s="532"/>
      <c r="V155" s="532"/>
      <c r="W155" s="532"/>
      <c r="X155" s="532"/>
      <c r="Y155" s="532"/>
      <c r="Z155" s="531"/>
      <c r="AA155" s="531"/>
      <c r="AB155" s="531"/>
      <c r="AC155" s="531"/>
      <c r="AD155" s="531"/>
      <c r="AE155" s="531"/>
      <c r="AF155" s="531"/>
      <c r="AG155" s="531"/>
    </row>
    <row r="156">
      <c r="B156" s="531"/>
      <c r="C156" s="531"/>
      <c r="D156" s="531"/>
      <c r="E156" s="531"/>
      <c r="F156" s="531"/>
      <c r="G156" s="531"/>
      <c r="H156" s="531"/>
      <c r="I156" s="531"/>
      <c r="J156" s="531"/>
      <c r="K156" s="531"/>
      <c r="L156" s="531"/>
      <c r="M156" s="531"/>
      <c r="N156" s="531"/>
      <c r="O156" s="531"/>
      <c r="P156" s="531"/>
      <c r="Q156" s="531"/>
      <c r="R156" s="531"/>
      <c r="S156" s="532"/>
      <c r="T156" s="532"/>
      <c r="U156" s="532"/>
      <c r="V156" s="532"/>
      <c r="W156" s="532"/>
      <c r="X156" s="532"/>
      <c r="Y156" s="532"/>
      <c r="Z156" s="531"/>
      <c r="AA156" s="531"/>
      <c r="AB156" s="531"/>
      <c r="AC156" s="531"/>
      <c r="AD156" s="531"/>
      <c r="AE156" s="531"/>
      <c r="AF156" s="531"/>
      <c r="AG156" s="531"/>
    </row>
    <row r="157">
      <c r="B157" s="531"/>
      <c r="C157" s="531"/>
      <c r="D157" s="531"/>
      <c r="E157" s="531"/>
      <c r="F157" s="531"/>
      <c r="G157" s="531"/>
      <c r="H157" s="531"/>
      <c r="I157" s="531"/>
      <c r="J157" s="531"/>
      <c r="K157" s="531"/>
      <c r="L157" s="531"/>
      <c r="M157" s="531"/>
      <c r="N157" s="531"/>
      <c r="O157" s="531"/>
      <c r="P157" s="531"/>
      <c r="Q157" s="531"/>
      <c r="R157" s="531"/>
      <c r="S157" s="532"/>
      <c r="T157" s="532"/>
      <c r="U157" s="532"/>
      <c r="V157" s="532"/>
      <c r="W157" s="532"/>
      <c r="X157" s="532"/>
      <c r="Y157" s="532"/>
      <c r="Z157" s="531"/>
      <c r="AA157" s="531"/>
      <c r="AB157" s="531"/>
      <c r="AC157" s="531"/>
      <c r="AD157" s="531"/>
      <c r="AE157" s="531"/>
      <c r="AF157" s="531"/>
      <c r="AG157" s="531"/>
    </row>
    <row r="158">
      <c r="B158" s="531"/>
      <c r="C158" s="531"/>
      <c r="D158" s="531"/>
      <c r="E158" s="531"/>
      <c r="F158" s="531"/>
      <c r="G158" s="531"/>
      <c r="H158" s="531"/>
      <c r="I158" s="531"/>
      <c r="J158" s="531"/>
      <c r="K158" s="531"/>
      <c r="L158" s="531"/>
      <c r="M158" s="531"/>
      <c r="N158" s="531"/>
      <c r="O158" s="531"/>
      <c r="P158" s="531"/>
      <c r="Q158" s="531"/>
      <c r="R158" s="531"/>
      <c r="S158" s="532"/>
      <c r="T158" s="532"/>
      <c r="U158" s="532"/>
      <c r="V158" s="532"/>
      <c r="W158" s="532"/>
      <c r="X158" s="532"/>
      <c r="Y158" s="532"/>
      <c r="Z158" s="531"/>
      <c r="AA158" s="531"/>
      <c r="AB158" s="531"/>
      <c r="AC158" s="531"/>
      <c r="AD158" s="531"/>
      <c r="AE158" s="531"/>
      <c r="AF158" s="531"/>
      <c r="AG158" s="531"/>
    </row>
    <row r="159">
      <c r="B159" s="531"/>
      <c r="C159" s="531"/>
      <c r="D159" s="531"/>
      <c r="E159" s="531"/>
      <c r="F159" s="531"/>
      <c r="G159" s="531"/>
      <c r="H159" s="531"/>
      <c r="I159" s="531"/>
      <c r="J159" s="531"/>
      <c r="K159" s="531"/>
      <c r="L159" s="531"/>
      <c r="M159" s="531"/>
      <c r="N159" s="531"/>
      <c r="O159" s="531"/>
      <c r="P159" s="531"/>
      <c r="Q159" s="531"/>
      <c r="R159" s="531"/>
      <c r="S159" s="532"/>
      <c r="T159" s="532"/>
      <c r="U159" s="532"/>
      <c r="V159" s="532"/>
      <c r="W159" s="532"/>
      <c r="X159" s="532"/>
      <c r="Y159" s="532"/>
      <c r="Z159" s="531"/>
      <c r="AA159" s="531"/>
      <c r="AB159" s="531"/>
      <c r="AC159" s="531"/>
      <c r="AD159" s="531"/>
      <c r="AE159" s="531"/>
      <c r="AF159" s="531"/>
      <c r="AG159" s="531"/>
    </row>
    <row r="160">
      <c r="B160" s="531"/>
      <c r="C160" s="531"/>
      <c r="D160" s="531"/>
      <c r="E160" s="531"/>
      <c r="F160" s="531"/>
      <c r="G160" s="531"/>
      <c r="H160" s="531"/>
      <c r="I160" s="531"/>
      <c r="J160" s="531"/>
      <c r="K160" s="531"/>
      <c r="L160" s="531"/>
      <c r="M160" s="531"/>
      <c r="N160" s="531"/>
      <c r="O160" s="531"/>
      <c r="P160" s="531"/>
      <c r="Q160" s="531"/>
      <c r="R160" s="531"/>
      <c r="S160" s="532"/>
      <c r="T160" s="532"/>
      <c r="U160" s="532"/>
      <c r="V160" s="532"/>
      <c r="W160" s="532"/>
      <c r="X160" s="532"/>
      <c r="Y160" s="532"/>
      <c r="Z160" s="531"/>
      <c r="AA160" s="531"/>
      <c r="AB160" s="531"/>
      <c r="AC160" s="531"/>
      <c r="AD160" s="531"/>
      <c r="AE160" s="531"/>
      <c r="AF160" s="531"/>
      <c r="AG160" s="531"/>
    </row>
    <row r="161">
      <c r="B161" s="531"/>
      <c r="C161" s="531"/>
      <c r="D161" s="531"/>
      <c r="E161" s="531"/>
      <c r="F161" s="531"/>
      <c r="G161" s="531"/>
      <c r="H161" s="531"/>
      <c r="I161" s="531"/>
      <c r="J161" s="531"/>
      <c r="K161" s="531"/>
      <c r="L161" s="531"/>
      <c r="M161" s="531"/>
      <c r="N161" s="531"/>
      <c r="O161" s="531"/>
      <c r="P161" s="531"/>
      <c r="Q161" s="531"/>
      <c r="R161" s="531"/>
      <c r="S161" s="532"/>
      <c r="T161" s="532"/>
      <c r="U161" s="532"/>
      <c r="V161" s="532"/>
      <c r="W161" s="532"/>
      <c r="X161" s="532"/>
      <c r="Y161" s="532"/>
      <c r="Z161" s="531"/>
      <c r="AA161" s="531"/>
      <c r="AB161" s="531"/>
      <c r="AC161" s="531"/>
      <c r="AD161" s="531"/>
      <c r="AE161" s="531"/>
      <c r="AF161" s="531"/>
      <c r="AG161" s="531"/>
    </row>
    <row r="162">
      <c r="B162" s="531"/>
      <c r="C162" s="531"/>
      <c r="D162" s="531"/>
      <c r="E162" s="531"/>
      <c r="F162" s="531"/>
      <c r="G162" s="531"/>
      <c r="H162" s="531"/>
      <c r="I162" s="531"/>
      <c r="J162" s="531"/>
      <c r="K162" s="531"/>
      <c r="L162" s="531"/>
      <c r="M162" s="531"/>
      <c r="N162" s="531"/>
      <c r="O162" s="531"/>
      <c r="P162" s="531"/>
      <c r="Q162" s="531"/>
      <c r="R162" s="531"/>
      <c r="S162" s="532"/>
      <c r="T162" s="532"/>
      <c r="U162" s="532"/>
      <c r="V162" s="532"/>
      <c r="W162" s="532"/>
      <c r="X162" s="532"/>
      <c r="Y162" s="532"/>
      <c r="Z162" s="531"/>
      <c r="AA162" s="531"/>
      <c r="AB162" s="531"/>
      <c r="AC162" s="531"/>
      <c r="AD162" s="531"/>
      <c r="AE162" s="531"/>
      <c r="AF162" s="531"/>
      <c r="AG162" s="531"/>
    </row>
    <row r="163">
      <c r="B163" s="531"/>
      <c r="C163" s="531"/>
      <c r="D163" s="531"/>
      <c r="E163" s="531"/>
      <c r="F163" s="531"/>
      <c r="G163" s="531"/>
      <c r="H163" s="531"/>
      <c r="I163" s="531"/>
      <c r="J163" s="531"/>
      <c r="K163" s="531"/>
      <c r="L163" s="531"/>
      <c r="M163" s="531"/>
      <c r="N163" s="531"/>
      <c r="O163" s="531"/>
      <c r="P163" s="531"/>
      <c r="Q163" s="531"/>
      <c r="R163" s="531"/>
      <c r="S163" s="532"/>
      <c r="T163" s="532"/>
      <c r="U163" s="532"/>
      <c r="V163" s="532"/>
      <c r="W163" s="532"/>
      <c r="X163" s="532"/>
      <c r="Y163" s="532"/>
      <c r="Z163" s="531"/>
      <c r="AA163" s="531"/>
      <c r="AB163" s="531"/>
      <c r="AC163" s="531"/>
      <c r="AD163" s="531"/>
      <c r="AE163" s="531"/>
      <c r="AF163" s="531"/>
      <c r="AG163" s="531"/>
    </row>
    <row r="164">
      <c r="B164" s="531"/>
      <c r="C164" s="531"/>
      <c r="D164" s="531"/>
      <c r="E164" s="531"/>
      <c r="F164" s="531"/>
      <c r="G164" s="531"/>
      <c r="H164" s="531"/>
      <c r="I164" s="531"/>
      <c r="J164" s="531"/>
      <c r="K164" s="531"/>
      <c r="L164" s="531"/>
      <c r="M164" s="531"/>
      <c r="N164" s="531"/>
      <c r="O164" s="531"/>
      <c r="P164" s="531"/>
      <c r="Q164" s="531"/>
      <c r="R164" s="531"/>
      <c r="S164" s="532"/>
      <c r="T164" s="532"/>
      <c r="U164" s="532"/>
      <c r="V164" s="532"/>
      <c r="W164" s="532"/>
      <c r="X164" s="532"/>
      <c r="Y164" s="532"/>
      <c r="Z164" s="531"/>
      <c r="AA164" s="531"/>
      <c r="AB164" s="531"/>
      <c r="AC164" s="531"/>
      <c r="AD164" s="531"/>
      <c r="AE164" s="531"/>
      <c r="AF164" s="531"/>
      <c r="AG164" s="531"/>
    </row>
    <row r="165">
      <c r="B165" s="531"/>
      <c r="C165" s="531"/>
      <c r="D165" s="531"/>
      <c r="E165" s="531"/>
      <c r="F165" s="531"/>
      <c r="G165" s="531"/>
      <c r="H165" s="531"/>
      <c r="I165" s="531"/>
      <c r="J165" s="531"/>
      <c r="K165" s="531"/>
      <c r="L165" s="531"/>
      <c r="M165" s="531"/>
      <c r="N165" s="531"/>
      <c r="O165" s="531"/>
      <c r="P165" s="531"/>
      <c r="Q165" s="531"/>
      <c r="R165" s="531"/>
      <c r="S165" s="532"/>
      <c r="T165" s="532"/>
      <c r="U165" s="532"/>
      <c r="V165" s="532"/>
      <c r="W165" s="532"/>
      <c r="X165" s="532"/>
      <c r="Y165" s="532"/>
      <c r="Z165" s="531"/>
      <c r="AA165" s="531"/>
      <c r="AB165" s="531"/>
      <c r="AC165" s="531"/>
      <c r="AD165" s="531"/>
      <c r="AE165" s="531"/>
      <c r="AF165" s="531"/>
      <c r="AG165" s="531"/>
    </row>
    <row r="166">
      <c r="B166" s="531"/>
      <c r="C166" s="531"/>
      <c r="D166" s="531"/>
      <c r="E166" s="531"/>
      <c r="F166" s="531"/>
      <c r="G166" s="531"/>
      <c r="H166" s="531"/>
      <c r="I166" s="531"/>
      <c r="J166" s="531"/>
      <c r="K166" s="531"/>
      <c r="L166" s="531"/>
      <c r="M166" s="531"/>
      <c r="N166" s="531"/>
      <c r="O166" s="531"/>
      <c r="P166" s="531"/>
      <c r="Q166" s="531"/>
      <c r="R166" s="531"/>
      <c r="S166" s="532"/>
      <c r="T166" s="532"/>
      <c r="U166" s="532"/>
      <c r="V166" s="532"/>
      <c r="W166" s="532"/>
      <c r="X166" s="532"/>
      <c r="Y166" s="532"/>
      <c r="Z166" s="531"/>
      <c r="AA166" s="531"/>
      <c r="AB166" s="531"/>
      <c r="AC166" s="531"/>
      <c r="AD166" s="531"/>
      <c r="AE166" s="531"/>
      <c r="AF166" s="531"/>
      <c r="AG166" s="531"/>
    </row>
    <row r="167">
      <c r="B167" s="531"/>
      <c r="C167" s="531"/>
      <c r="D167" s="531"/>
      <c r="E167" s="531"/>
      <c r="F167" s="531"/>
      <c r="G167" s="531"/>
      <c r="H167" s="531"/>
      <c r="I167" s="531"/>
      <c r="J167" s="531"/>
      <c r="K167" s="531"/>
      <c r="L167" s="531"/>
      <c r="M167" s="531"/>
      <c r="N167" s="531"/>
      <c r="O167" s="531"/>
      <c r="P167" s="531"/>
      <c r="Q167" s="531"/>
      <c r="R167" s="531"/>
      <c r="S167" s="532"/>
      <c r="T167" s="532"/>
      <c r="U167" s="532"/>
      <c r="V167" s="532"/>
      <c r="W167" s="532"/>
      <c r="X167" s="532"/>
      <c r="Y167" s="532"/>
      <c r="Z167" s="531"/>
      <c r="AA167" s="531"/>
      <c r="AB167" s="531"/>
      <c r="AC167" s="531"/>
      <c r="AD167" s="531"/>
      <c r="AE167" s="531"/>
      <c r="AF167" s="531"/>
      <c r="AG167" s="531"/>
    </row>
    <row r="168">
      <c r="B168" s="531"/>
      <c r="C168" s="531"/>
      <c r="D168" s="531"/>
      <c r="E168" s="531"/>
      <c r="F168" s="531"/>
      <c r="G168" s="531"/>
      <c r="H168" s="531"/>
      <c r="I168" s="531"/>
      <c r="J168" s="531"/>
      <c r="K168" s="531"/>
      <c r="L168" s="531"/>
      <c r="M168" s="531"/>
      <c r="N168" s="531"/>
      <c r="O168" s="531"/>
      <c r="P168" s="531"/>
      <c r="Q168" s="531"/>
      <c r="R168" s="531"/>
      <c r="S168" s="532"/>
      <c r="T168" s="532"/>
      <c r="U168" s="532"/>
      <c r="V168" s="532"/>
      <c r="W168" s="532"/>
      <c r="X168" s="532"/>
      <c r="Y168" s="532"/>
      <c r="Z168" s="531"/>
      <c r="AA168" s="531"/>
      <c r="AB168" s="531"/>
      <c r="AC168" s="531"/>
      <c r="AD168" s="531"/>
      <c r="AE168" s="531"/>
      <c r="AF168" s="531"/>
      <c r="AG168" s="531"/>
    </row>
    <row r="169">
      <c r="B169" s="531"/>
      <c r="C169" s="531"/>
      <c r="D169" s="531"/>
      <c r="E169" s="531"/>
      <c r="F169" s="531"/>
      <c r="G169" s="531"/>
      <c r="H169" s="531"/>
      <c r="I169" s="531"/>
      <c r="J169" s="531"/>
      <c r="K169" s="531"/>
      <c r="L169" s="531"/>
      <c r="M169" s="531"/>
      <c r="N169" s="531"/>
      <c r="O169" s="531"/>
      <c r="P169" s="531"/>
      <c r="Q169" s="531"/>
      <c r="R169" s="531"/>
      <c r="S169" s="532"/>
      <c r="T169" s="532"/>
      <c r="U169" s="532"/>
      <c r="V169" s="532"/>
      <c r="W169" s="532"/>
      <c r="X169" s="532"/>
      <c r="Y169" s="532"/>
      <c r="Z169" s="531"/>
      <c r="AA169" s="531"/>
      <c r="AB169" s="531"/>
      <c r="AC169" s="531"/>
      <c r="AD169" s="531"/>
      <c r="AE169" s="531"/>
      <c r="AF169" s="531"/>
      <c r="AG169" s="531"/>
    </row>
    <row r="170">
      <c r="B170" s="531"/>
      <c r="C170" s="531"/>
      <c r="D170" s="531"/>
      <c r="E170" s="531"/>
      <c r="F170" s="531"/>
      <c r="G170" s="531"/>
      <c r="H170" s="531"/>
      <c r="I170" s="531"/>
      <c r="J170" s="531"/>
      <c r="K170" s="531"/>
      <c r="L170" s="531"/>
      <c r="M170" s="531"/>
      <c r="N170" s="531"/>
      <c r="O170" s="531"/>
      <c r="P170" s="531"/>
      <c r="Q170" s="531"/>
      <c r="R170" s="531"/>
      <c r="S170" s="532"/>
      <c r="T170" s="532"/>
      <c r="U170" s="532"/>
      <c r="V170" s="532"/>
      <c r="W170" s="532"/>
      <c r="X170" s="532"/>
      <c r="Y170" s="532"/>
      <c r="Z170" s="531"/>
      <c r="AA170" s="531"/>
      <c r="AB170" s="531"/>
      <c r="AC170" s="531"/>
      <c r="AD170" s="531"/>
      <c r="AE170" s="531"/>
      <c r="AF170" s="531"/>
      <c r="AG170" s="531"/>
    </row>
    <row r="171">
      <c r="B171" s="531"/>
      <c r="C171" s="531"/>
      <c r="D171" s="531"/>
      <c r="E171" s="531"/>
      <c r="F171" s="531"/>
      <c r="G171" s="531"/>
      <c r="H171" s="531"/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2"/>
      <c r="T171" s="532"/>
      <c r="U171" s="532"/>
      <c r="V171" s="532"/>
      <c r="W171" s="532"/>
      <c r="X171" s="532"/>
      <c r="Y171" s="532"/>
      <c r="Z171" s="531"/>
      <c r="AA171" s="531"/>
      <c r="AB171" s="531"/>
      <c r="AC171" s="531"/>
      <c r="AD171" s="531"/>
      <c r="AE171" s="531"/>
      <c r="AF171" s="531"/>
      <c r="AG171" s="531"/>
    </row>
    <row r="172">
      <c r="B172" s="531"/>
      <c r="C172" s="531"/>
      <c r="D172" s="531"/>
      <c r="E172" s="531"/>
      <c r="F172" s="531"/>
      <c r="G172" s="531"/>
      <c r="H172" s="531"/>
      <c r="I172" s="531"/>
      <c r="J172" s="531"/>
      <c r="K172" s="531"/>
      <c r="L172" s="531"/>
      <c r="M172" s="531"/>
      <c r="N172" s="531"/>
      <c r="O172" s="531"/>
      <c r="P172" s="531"/>
      <c r="Q172" s="531"/>
      <c r="R172" s="531"/>
      <c r="S172" s="532"/>
      <c r="T172" s="532"/>
      <c r="U172" s="532"/>
      <c r="V172" s="532"/>
      <c r="W172" s="532"/>
      <c r="X172" s="532"/>
      <c r="Y172" s="532"/>
      <c r="Z172" s="531"/>
      <c r="AA172" s="531"/>
      <c r="AB172" s="531"/>
      <c r="AC172" s="531"/>
      <c r="AD172" s="531"/>
      <c r="AE172" s="531"/>
      <c r="AF172" s="531"/>
      <c r="AG172" s="531"/>
    </row>
    <row r="173">
      <c r="B173" s="531"/>
      <c r="C173" s="531"/>
      <c r="D173" s="531"/>
      <c r="E173" s="531"/>
      <c r="F173" s="531"/>
      <c r="G173" s="531"/>
      <c r="H173" s="531"/>
      <c r="I173" s="531"/>
      <c r="J173" s="531"/>
      <c r="K173" s="531"/>
      <c r="L173" s="531"/>
      <c r="M173" s="531"/>
      <c r="N173" s="531"/>
      <c r="O173" s="531"/>
      <c r="P173" s="531"/>
      <c r="Q173" s="531"/>
      <c r="R173" s="531"/>
      <c r="S173" s="532"/>
      <c r="T173" s="532"/>
      <c r="U173" s="532"/>
      <c r="V173" s="532"/>
      <c r="W173" s="532"/>
      <c r="X173" s="532"/>
      <c r="Y173" s="532"/>
      <c r="Z173" s="531"/>
      <c r="AA173" s="531"/>
      <c r="AB173" s="531"/>
      <c r="AC173" s="531"/>
      <c r="AD173" s="531"/>
      <c r="AE173" s="531"/>
      <c r="AF173" s="531"/>
      <c r="AG173" s="531"/>
    </row>
    <row r="174">
      <c r="B174" s="531"/>
      <c r="C174" s="531"/>
      <c r="D174" s="531"/>
      <c r="E174" s="531"/>
      <c r="F174" s="531"/>
      <c r="G174" s="531"/>
      <c r="H174" s="531"/>
      <c r="I174" s="531"/>
      <c r="J174" s="531"/>
      <c r="K174" s="531"/>
      <c r="L174" s="531"/>
      <c r="M174" s="531"/>
      <c r="N174" s="531"/>
      <c r="O174" s="531"/>
      <c r="P174" s="531"/>
      <c r="Q174" s="531"/>
      <c r="R174" s="531"/>
      <c r="S174" s="532"/>
      <c r="T174" s="532"/>
      <c r="U174" s="532"/>
      <c r="V174" s="532"/>
      <c r="W174" s="532"/>
      <c r="X174" s="532"/>
      <c r="Y174" s="532"/>
      <c r="Z174" s="531"/>
      <c r="AA174" s="531"/>
      <c r="AB174" s="531"/>
      <c r="AC174" s="531"/>
      <c r="AD174" s="531"/>
      <c r="AE174" s="531"/>
      <c r="AF174" s="531"/>
      <c r="AG174" s="531"/>
    </row>
    <row r="175">
      <c r="B175" s="531"/>
      <c r="C175" s="531"/>
      <c r="D175" s="531"/>
      <c r="E175" s="531"/>
      <c r="F175" s="531"/>
      <c r="G175" s="531"/>
      <c r="H175" s="531"/>
      <c r="I175" s="531"/>
      <c r="J175" s="531"/>
      <c r="K175" s="531"/>
      <c r="L175" s="531"/>
      <c r="M175" s="531"/>
      <c r="N175" s="531"/>
      <c r="O175" s="531"/>
      <c r="P175" s="531"/>
      <c r="Q175" s="531"/>
      <c r="R175" s="531"/>
      <c r="S175" s="532"/>
      <c r="T175" s="532"/>
      <c r="U175" s="532"/>
      <c r="V175" s="532"/>
      <c r="W175" s="532"/>
      <c r="X175" s="532"/>
      <c r="Y175" s="532"/>
      <c r="Z175" s="531"/>
      <c r="AA175" s="531"/>
      <c r="AB175" s="531"/>
      <c r="AC175" s="531"/>
      <c r="AD175" s="531"/>
      <c r="AE175" s="531"/>
      <c r="AF175" s="531"/>
      <c r="AG175" s="531"/>
    </row>
    <row r="176">
      <c r="B176" s="531"/>
      <c r="C176" s="531"/>
      <c r="D176" s="531"/>
      <c r="E176" s="531"/>
      <c r="F176" s="531"/>
      <c r="G176" s="531"/>
      <c r="H176" s="531"/>
      <c r="I176" s="531"/>
      <c r="J176" s="531"/>
      <c r="K176" s="531"/>
      <c r="L176" s="531"/>
      <c r="M176" s="531"/>
      <c r="N176" s="531"/>
      <c r="O176" s="531"/>
      <c r="P176" s="531"/>
      <c r="Q176" s="531"/>
      <c r="R176" s="531"/>
      <c r="S176" s="532"/>
      <c r="T176" s="532"/>
      <c r="U176" s="532"/>
      <c r="V176" s="532"/>
      <c r="W176" s="532"/>
      <c r="X176" s="532"/>
      <c r="Y176" s="532"/>
      <c r="Z176" s="531"/>
      <c r="AA176" s="531"/>
      <c r="AB176" s="531"/>
      <c r="AC176" s="531"/>
      <c r="AD176" s="531"/>
      <c r="AE176" s="531"/>
      <c r="AF176" s="531"/>
      <c r="AG176" s="531"/>
    </row>
    <row r="177">
      <c r="B177" s="531"/>
      <c r="C177" s="531"/>
      <c r="D177" s="531"/>
      <c r="E177" s="531"/>
      <c r="F177" s="531"/>
      <c r="G177" s="531"/>
      <c r="H177" s="531"/>
      <c r="I177" s="531"/>
      <c r="J177" s="531"/>
      <c r="K177" s="531"/>
      <c r="L177" s="531"/>
      <c r="M177" s="531"/>
      <c r="N177" s="531"/>
      <c r="O177" s="531"/>
      <c r="P177" s="531"/>
      <c r="Q177" s="531"/>
      <c r="R177" s="531"/>
      <c r="S177" s="532"/>
      <c r="T177" s="532"/>
      <c r="U177" s="532"/>
      <c r="V177" s="532"/>
      <c r="W177" s="532"/>
      <c r="X177" s="532"/>
      <c r="Y177" s="532"/>
      <c r="Z177" s="531"/>
      <c r="AA177" s="531"/>
      <c r="AB177" s="531"/>
      <c r="AC177" s="531"/>
      <c r="AD177" s="531"/>
      <c r="AE177" s="531"/>
      <c r="AF177" s="531"/>
      <c r="AG177" s="531"/>
    </row>
    <row r="178">
      <c r="B178" s="531"/>
      <c r="C178" s="531"/>
      <c r="D178" s="531"/>
      <c r="E178" s="531"/>
      <c r="F178" s="531"/>
      <c r="G178" s="531"/>
      <c r="H178" s="531"/>
      <c r="I178" s="531"/>
      <c r="J178" s="531"/>
      <c r="K178" s="531"/>
      <c r="L178" s="531"/>
      <c r="M178" s="531"/>
      <c r="N178" s="531"/>
      <c r="O178" s="531"/>
      <c r="P178" s="531"/>
      <c r="Q178" s="531"/>
      <c r="R178" s="531"/>
      <c r="S178" s="532"/>
      <c r="T178" s="532"/>
      <c r="U178" s="532"/>
      <c r="V178" s="532"/>
      <c r="W178" s="532"/>
      <c r="X178" s="532"/>
      <c r="Y178" s="532"/>
      <c r="Z178" s="531"/>
      <c r="AA178" s="531"/>
      <c r="AB178" s="531"/>
      <c r="AC178" s="531"/>
      <c r="AD178" s="531"/>
      <c r="AE178" s="531"/>
      <c r="AF178" s="531"/>
      <c r="AG178" s="531"/>
    </row>
    <row r="179">
      <c r="B179" s="531"/>
      <c r="C179" s="531"/>
      <c r="D179" s="531"/>
      <c r="E179" s="531"/>
      <c r="F179" s="531"/>
      <c r="G179" s="531"/>
      <c r="H179" s="531"/>
      <c r="I179" s="531"/>
      <c r="J179" s="531"/>
      <c r="K179" s="531"/>
      <c r="L179" s="531"/>
      <c r="M179" s="531"/>
      <c r="N179" s="531"/>
      <c r="O179" s="531"/>
      <c r="P179" s="531"/>
      <c r="Q179" s="531"/>
      <c r="R179" s="531"/>
      <c r="S179" s="532"/>
      <c r="T179" s="532"/>
      <c r="U179" s="532"/>
      <c r="V179" s="532"/>
      <c r="W179" s="532"/>
      <c r="X179" s="532"/>
      <c r="Y179" s="532"/>
      <c r="Z179" s="531"/>
      <c r="AA179" s="531"/>
      <c r="AB179" s="531"/>
      <c r="AC179" s="531"/>
      <c r="AD179" s="531"/>
      <c r="AE179" s="531"/>
      <c r="AF179" s="531"/>
      <c r="AG179" s="531"/>
    </row>
    <row r="180">
      <c r="B180" s="531"/>
      <c r="C180" s="531"/>
      <c r="D180" s="531"/>
      <c r="E180" s="531"/>
      <c r="F180" s="531"/>
      <c r="G180" s="531"/>
      <c r="H180" s="531"/>
      <c r="I180" s="531"/>
      <c r="J180" s="531"/>
      <c r="K180" s="531"/>
      <c r="L180" s="531"/>
      <c r="M180" s="531"/>
      <c r="N180" s="531"/>
      <c r="O180" s="531"/>
      <c r="P180" s="531"/>
      <c r="Q180" s="531"/>
      <c r="R180" s="531"/>
      <c r="S180" s="532"/>
      <c r="T180" s="532"/>
      <c r="U180" s="532"/>
      <c r="V180" s="532"/>
      <c r="W180" s="532"/>
      <c r="X180" s="532"/>
      <c r="Y180" s="532"/>
      <c r="Z180" s="531"/>
      <c r="AA180" s="531"/>
      <c r="AB180" s="531"/>
      <c r="AC180" s="531"/>
      <c r="AD180" s="531"/>
      <c r="AE180" s="531"/>
      <c r="AF180" s="531"/>
      <c r="AG180" s="531"/>
    </row>
    <row r="181">
      <c r="B181" s="531"/>
      <c r="C181" s="531"/>
      <c r="D181" s="531"/>
      <c r="E181" s="531"/>
      <c r="F181" s="531"/>
      <c r="G181" s="531"/>
      <c r="H181" s="531"/>
      <c r="I181" s="531"/>
      <c r="J181" s="531"/>
      <c r="K181" s="531"/>
      <c r="L181" s="531"/>
      <c r="M181" s="531"/>
      <c r="N181" s="531"/>
      <c r="O181" s="531"/>
      <c r="P181" s="531"/>
      <c r="Q181" s="531"/>
      <c r="R181" s="531"/>
      <c r="S181" s="532"/>
      <c r="T181" s="532"/>
      <c r="U181" s="532"/>
      <c r="V181" s="532"/>
      <c r="W181" s="532"/>
      <c r="X181" s="532"/>
      <c r="Y181" s="532"/>
      <c r="Z181" s="531"/>
      <c r="AA181" s="531"/>
      <c r="AB181" s="531"/>
      <c r="AC181" s="531"/>
      <c r="AD181" s="531"/>
      <c r="AE181" s="531"/>
      <c r="AF181" s="531"/>
      <c r="AG181" s="531"/>
    </row>
    <row r="182">
      <c r="B182" s="531"/>
      <c r="C182" s="531"/>
      <c r="D182" s="531"/>
      <c r="E182" s="531"/>
      <c r="F182" s="531"/>
      <c r="G182" s="531"/>
      <c r="H182" s="531"/>
      <c r="I182" s="531"/>
      <c r="J182" s="531"/>
      <c r="K182" s="531"/>
      <c r="L182" s="531"/>
      <c r="M182" s="531"/>
      <c r="N182" s="531"/>
      <c r="O182" s="531"/>
      <c r="P182" s="531"/>
      <c r="Q182" s="531"/>
      <c r="R182" s="531"/>
      <c r="S182" s="532"/>
      <c r="T182" s="532"/>
      <c r="U182" s="532"/>
      <c r="V182" s="532"/>
      <c r="W182" s="532"/>
      <c r="X182" s="532"/>
      <c r="Y182" s="532"/>
      <c r="Z182" s="531"/>
      <c r="AA182" s="531"/>
      <c r="AB182" s="531"/>
      <c r="AC182" s="531"/>
      <c r="AD182" s="531"/>
      <c r="AE182" s="531"/>
      <c r="AF182" s="531"/>
      <c r="AG182" s="531"/>
    </row>
    <row r="183">
      <c r="B183" s="531"/>
      <c r="C183" s="531"/>
      <c r="D183" s="531"/>
      <c r="E183" s="531"/>
      <c r="F183" s="531"/>
      <c r="G183" s="531"/>
      <c r="H183" s="531"/>
      <c r="I183" s="531"/>
      <c r="J183" s="531"/>
      <c r="K183" s="531"/>
      <c r="L183" s="531"/>
      <c r="M183" s="531"/>
      <c r="N183" s="531"/>
      <c r="O183" s="531"/>
      <c r="P183" s="531"/>
      <c r="Q183" s="531"/>
      <c r="R183" s="531"/>
      <c r="S183" s="532"/>
      <c r="T183" s="532"/>
      <c r="U183" s="532"/>
      <c r="V183" s="532"/>
      <c r="W183" s="532"/>
      <c r="X183" s="532"/>
      <c r="Y183" s="532"/>
      <c r="Z183" s="531"/>
      <c r="AA183" s="531"/>
      <c r="AB183" s="531"/>
      <c r="AC183" s="531"/>
      <c r="AD183" s="531"/>
      <c r="AE183" s="531"/>
      <c r="AF183" s="531"/>
      <c r="AG183" s="531"/>
    </row>
    <row r="184">
      <c r="B184" s="531"/>
      <c r="C184" s="531"/>
      <c r="D184" s="531"/>
      <c r="E184" s="531"/>
      <c r="F184" s="531"/>
      <c r="G184" s="531"/>
      <c r="H184" s="531"/>
      <c r="I184" s="531"/>
      <c r="J184" s="531"/>
      <c r="K184" s="531"/>
      <c r="L184" s="531"/>
      <c r="M184" s="531"/>
      <c r="N184" s="531"/>
      <c r="O184" s="531"/>
      <c r="P184" s="531"/>
      <c r="Q184" s="531"/>
      <c r="R184" s="531"/>
      <c r="S184" s="532"/>
      <c r="T184" s="532"/>
      <c r="U184" s="532"/>
      <c r="V184" s="532"/>
      <c r="W184" s="532"/>
      <c r="X184" s="532"/>
      <c r="Y184" s="532"/>
      <c r="Z184" s="531"/>
      <c r="AA184" s="531"/>
      <c r="AB184" s="531"/>
      <c r="AC184" s="531"/>
      <c r="AD184" s="531"/>
      <c r="AE184" s="531"/>
      <c r="AF184" s="531"/>
      <c r="AG184" s="531"/>
    </row>
    <row r="185">
      <c r="B185" s="531"/>
      <c r="C185" s="531"/>
      <c r="D185" s="531"/>
      <c r="E185" s="531"/>
      <c r="F185" s="531"/>
      <c r="G185" s="531"/>
      <c r="H185" s="531"/>
      <c r="I185" s="531"/>
      <c r="J185" s="531"/>
      <c r="K185" s="531"/>
      <c r="L185" s="531"/>
      <c r="M185" s="531"/>
      <c r="N185" s="531"/>
      <c r="O185" s="531"/>
      <c r="P185" s="531"/>
      <c r="Q185" s="531"/>
      <c r="R185" s="531"/>
      <c r="S185" s="532"/>
      <c r="T185" s="532"/>
      <c r="U185" s="532"/>
      <c r="V185" s="532"/>
      <c r="W185" s="532"/>
      <c r="X185" s="532"/>
      <c r="Y185" s="532"/>
      <c r="Z185" s="531"/>
      <c r="AA185" s="531"/>
      <c r="AB185" s="531"/>
      <c r="AC185" s="531"/>
      <c r="AD185" s="531"/>
      <c r="AE185" s="531"/>
      <c r="AF185" s="531"/>
      <c r="AG185" s="531"/>
    </row>
    <row r="186">
      <c r="B186" s="531"/>
      <c r="C186" s="531"/>
      <c r="D186" s="531"/>
      <c r="E186" s="531"/>
      <c r="F186" s="531"/>
      <c r="G186" s="531"/>
      <c r="H186" s="531"/>
      <c r="I186" s="531"/>
      <c r="J186" s="531"/>
      <c r="K186" s="531"/>
      <c r="L186" s="531"/>
      <c r="M186" s="531"/>
      <c r="N186" s="531"/>
      <c r="O186" s="531"/>
      <c r="P186" s="531"/>
      <c r="Q186" s="531"/>
      <c r="R186" s="531"/>
      <c r="S186" s="532"/>
      <c r="T186" s="532"/>
      <c r="U186" s="532"/>
      <c r="V186" s="532"/>
      <c r="W186" s="532"/>
      <c r="X186" s="532"/>
      <c r="Y186" s="532"/>
      <c r="Z186" s="531"/>
      <c r="AA186" s="531"/>
      <c r="AB186" s="531"/>
      <c r="AC186" s="531"/>
      <c r="AD186" s="531"/>
      <c r="AE186" s="531"/>
      <c r="AF186" s="531"/>
      <c r="AG186" s="531"/>
    </row>
    <row r="187">
      <c r="B187" s="531"/>
      <c r="C187" s="531"/>
      <c r="D187" s="531"/>
      <c r="E187" s="531"/>
      <c r="F187" s="531"/>
      <c r="G187" s="531"/>
      <c r="H187" s="531"/>
      <c r="I187" s="531"/>
      <c r="J187" s="531"/>
      <c r="K187" s="531"/>
      <c r="L187" s="531"/>
      <c r="M187" s="531"/>
      <c r="N187" s="531"/>
      <c r="O187" s="531"/>
      <c r="P187" s="531"/>
      <c r="Q187" s="531"/>
      <c r="R187" s="531"/>
      <c r="S187" s="532"/>
      <c r="T187" s="532"/>
      <c r="U187" s="532"/>
      <c r="V187" s="532"/>
      <c r="W187" s="532"/>
      <c r="X187" s="532"/>
      <c r="Y187" s="532"/>
      <c r="Z187" s="531"/>
      <c r="AA187" s="531"/>
      <c r="AB187" s="531"/>
      <c r="AC187" s="531"/>
      <c r="AD187" s="531"/>
      <c r="AE187" s="531"/>
      <c r="AF187" s="531"/>
      <c r="AG187" s="531"/>
    </row>
    <row r="188">
      <c r="B188" s="531"/>
      <c r="C188" s="531"/>
      <c r="D188" s="531"/>
      <c r="E188" s="531"/>
      <c r="F188" s="531"/>
      <c r="G188" s="531"/>
      <c r="H188" s="531"/>
      <c r="I188" s="531"/>
      <c r="J188" s="531"/>
      <c r="K188" s="531"/>
      <c r="L188" s="531"/>
      <c r="M188" s="531"/>
      <c r="N188" s="531"/>
      <c r="O188" s="531"/>
      <c r="P188" s="531"/>
      <c r="Q188" s="531"/>
      <c r="R188" s="531"/>
      <c r="S188" s="532"/>
      <c r="T188" s="532"/>
      <c r="U188" s="532"/>
      <c r="V188" s="532"/>
      <c r="W188" s="532"/>
      <c r="X188" s="532"/>
      <c r="Y188" s="532"/>
      <c r="Z188" s="531"/>
      <c r="AA188" s="531"/>
      <c r="AB188" s="531"/>
      <c r="AC188" s="531"/>
      <c r="AD188" s="531"/>
      <c r="AE188" s="531"/>
      <c r="AF188" s="531"/>
      <c r="AG188" s="531"/>
    </row>
    <row r="189">
      <c r="B189" s="531"/>
      <c r="C189" s="531"/>
      <c r="D189" s="531"/>
      <c r="E189" s="531"/>
      <c r="F189" s="531"/>
      <c r="G189" s="531"/>
      <c r="H189" s="531"/>
      <c r="I189" s="531"/>
      <c r="J189" s="531"/>
      <c r="K189" s="531"/>
      <c r="L189" s="531"/>
      <c r="M189" s="531"/>
      <c r="N189" s="531"/>
      <c r="O189" s="531"/>
      <c r="P189" s="531"/>
      <c r="Q189" s="531"/>
      <c r="R189" s="531"/>
      <c r="S189" s="532"/>
      <c r="T189" s="532"/>
      <c r="U189" s="532"/>
      <c r="V189" s="532"/>
      <c r="W189" s="532"/>
      <c r="X189" s="532"/>
      <c r="Y189" s="532"/>
      <c r="Z189" s="531"/>
      <c r="AA189" s="531"/>
      <c r="AB189" s="531"/>
      <c r="AC189" s="531"/>
      <c r="AD189" s="531"/>
      <c r="AE189" s="531"/>
      <c r="AF189" s="531"/>
      <c r="AG189" s="531"/>
    </row>
    <row r="190">
      <c r="B190" s="531"/>
      <c r="C190" s="531"/>
      <c r="D190" s="531"/>
      <c r="E190" s="531"/>
      <c r="F190" s="531"/>
      <c r="G190" s="531"/>
      <c r="H190" s="531"/>
      <c r="I190" s="531"/>
      <c r="J190" s="531"/>
      <c r="K190" s="531"/>
      <c r="L190" s="531"/>
      <c r="M190" s="531"/>
      <c r="N190" s="531"/>
      <c r="O190" s="531"/>
      <c r="P190" s="531"/>
      <c r="Q190" s="531"/>
      <c r="R190" s="531"/>
      <c r="S190" s="532"/>
      <c r="T190" s="532"/>
      <c r="U190" s="532"/>
      <c r="V190" s="532"/>
      <c r="W190" s="532"/>
      <c r="X190" s="532"/>
      <c r="Y190" s="532"/>
      <c r="Z190" s="531"/>
      <c r="AA190" s="531"/>
      <c r="AB190" s="531"/>
      <c r="AC190" s="531"/>
      <c r="AD190" s="531"/>
      <c r="AE190" s="531"/>
      <c r="AF190" s="531"/>
      <c r="AG190" s="531"/>
    </row>
    <row r="191">
      <c r="B191" s="531"/>
      <c r="C191" s="531"/>
      <c r="D191" s="531"/>
      <c r="E191" s="531"/>
      <c r="F191" s="531"/>
      <c r="G191" s="531"/>
      <c r="H191" s="531"/>
      <c r="I191" s="531"/>
      <c r="J191" s="531"/>
      <c r="K191" s="531"/>
      <c r="L191" s="531"/>
      <c r="M191" s="531"/>
      <c r="N191" s="531"/>
      <c r="O191" s="531"/>
      <c r="P191" s="531"/>
      <c r="Q191" s="531"/>
      <c r="R191" s="531"/>
      <c r="S191" s="532"/>
      <c r="T191" s="532"/>
      <c r="U191" s="532"/>
      <c r="V191" s="532"/>
      <c r="W191" s="532"/>
      <c r="X191" s="532"/>
      <c r="Y191" s="532"/>
      <c r="Z191" s="531"/>
      <c r="AA191" s="531"/>
      <c r="AB191" s="531"/>
      <c r="AC191" s="531"/>
      <c r="AD191" s="531"/>
      <c r="AE191" s="531"/>
      <c r="AF191" s="531"/>
      <c r="AG191" s="531"/>
    </row>
    <row r="192">
      <c r="B192" s="531"/>
      <c r="C192" s="531"/>
      <c r="D192" s="531"/>
      <c r="E192" s="531"/>
      <c r="F192" s="531"/>
      <c r="G192" s="531"/>
      <c r="H192" s="531"/>
      <c r="I192" s="531"/>
      <c r="J192" s="531"/>
      <c r="K192" s="531"/>
      <c r="L192" s="531"/>
      <c r="M192" s="531"/>
      <c r="N192" s="531"/>
      <c r="O192" s="531"/>
      <c r="P192" s="531"/>
      <c r="Q192" s="531"/>
      <c r="R192" s="531"/>
      <c r="S192" s="532"/>
      <c r="T192" s="532"/>
      <c r="U192" s="532"/>
      <c r="V192" s="532"/>
      <c r="W192" s="532"/>
      <c r="X192" s="532"/>
      <c r="Y192" s="532"/>
      <c r="Z192" s="531"/>
      <c r="AA192" s="531"/>
      <c r="AB192" s="531"/>
      <c r="AC192" s="531"/>
      <c r="AD192" s="531"/>
      <c r="AE192" s="531"/>
      <c r="AF192" s="531"/>
      <c r="AG192" s="531"/>
    </row>
    <row r="193">
      <c r="B193" s="531"/>
      <c r="C193" s="531"/>
      <c r="D193" s="531"/>
      <c r="E193" s="531"/>
      <c r="F193" s="531"/>
      <c r="G193" s="531"/>
      <c r="H193" s="531"/>
      <c r="I193" s="531"/>
      <c r="J193" s="531"/>
      <c r="K193" s="531"/>
      <c r="L193" s="531"/>
      <c r="M193" s="531"/>
      <c r="N193" s="531"/>
      <c r="O193" s="531"/>
      <c r="P193" s="531"/>
      <c r="Q193" s="531"/>
      <c r="R193" s="531"/>
      <c r="S193" s="532"/>
      <c r="T193" s="532"/>
      <c r="U193" s="532"/>
      <c r="V193" s="532"/>
      <c r="W193" s="532"/>
      <c r="X193" s="532"/>
      <c r="Y193" s="532"/>
      <c r="Z193" s="531"/>
      <c r="AA193" s="531"/>
      <c r="AB193" s="531"/>
      <c r="AC193" s="531"/>
      <c r="AD193" s="531"/>
      <c r="AE193" s="531"/>
      <c r="AF193" s="531"/>
      <c r="AG193" s="531"/>
    </row>
    <row r="194">
      <c r="B194" s="531"/>
      <c r="C194" s="531"/>
      <c r="D194" s="531"/>
      <c r="E194" s="531"/>
      <c r="F194" s="531"/>
      <c r="G194" s="531"/>
      <c r="H194" s="531"/>
      <c r="I194" s="531"/>
      <c r="J194" s="531"/>
      <c r="K194" s="531"/>
      <c r="L194" s="531"/>
      <c r="M194" s="531"/>
      <c r="N194" s="531"/>
      <c r="O194" s="531"/>
      <c r="P194" s="531"/>
      <c r="Q194" s="531"/>
      <c r="R194" s="531"/>
      <c r="S194" s="532"/>
      <c r="T194" s="532"/>
      <c r="U194" s="532"/>
      <c r="V194" s="532"/>
      <c r="W194" s="532"/>
      <c r="X194" s="532"/>
      <c r="Y194" s="532"/>
      <c r="Z194" s="531"/>
      <c r="AA194" s="531"/>
      <c r="AB194" s="531"/>
      <c r="AC194" s="531"/>
      <c r="AD194" s="531"/>
      <c r="AE194" s="531"/>
      <c r="AF194" s="531"/>
      <c r="AG194" s="531"/>
    </row>
    <row r="195">
      <c r="B195" s="531"/>
      <c r="C195" s="531"/>
      <c r="D195" s="531"/>
      <c r="E195" s="531"/>
      <c r="F195" s="531"/>
      <c r="G195" s="531"/>
      <c r="H195" s="531"/>
      <c r="I195" s="531"/>
      <c r="J195" s="531"/>
      <c r="K195" s="531"/>
      <c r="L195" s="531"/>
      <c r="M195" s="531"/>
      <c r="N195" s="531"/>
      <c r="O195" s="531"/>
      <c r="P195" s="531"/>
      <c r="Q195" s="531"/>
      <c r="R195" s="531"/>
      <c r="S195" s="532"/>
      <c r="T195" s="532"/>
      <c r="U195" s="532"/>
      <c r="V195" s="532"/>
      <c r="W195" s="532"/>
      <c r="X195" s="532"/>
      <c r="Y195" s="532"/>
      <c r="Z195" s="531"/>
      <c r="AA195" s="531"/>
      <c r="AB195" s="531"/>
      <c r="AC195" s="531"/>
      <c r="AD195" s="531"/>
      <c r="AE195" s="531"/>
      <c r="AF195" s="531"/>
      <c r="AG195" s="531"/>
    </row>
    <row r="196">
      <c r="B196" s="531"/>
      <c r="C196" s="531"/>
      <c r="D196" s="531"/>
      <c r="E196" s="531"/>
      <c r="F196" s="531"/>
      <c r="G196" s="531"/>
      <c r="H196" s="531"/>
      <c r="I196" s="531"/>
      <c r="J196" s="531"/>
      <c r="K196" s="531"/>
      <c r="L196" s="531"/>
      <c r="M196" s="531"/>
      <c r="N196" s="531"/>
      <c r="O196" s="531"/>
      <c r="P196" s="531"/>
      <c r="Q196" s="531"/>
      <c r="R196" s="531"/>
      <c r="S196" s="532"/>
      <c r="T196" s="532"/>
      <c r="U196" s="532"/>
      <c r="V196" s="532"/>
      <c r="W196" s="532"/>
      <c r="X196" s="532"/>
      <c r="Y196" s="532"/>
      <c r="Z196" s="531"/>
      <c r="AA196" s="531"/>
      <c r="AB196" s="531"/>
      <c r="AC196" s="531"/>
      <c r="AD196" s="531"/>
      <c r="AE196" s="531"/>
      <c r="AF196" s="531"/>
      <c r="AG196" s="531"/>
    </row>
    <row r="197">
      <c r="B197" s="531"/>
      <c r="C197" s="531"/>
      <c r="D197" s="531"/>
      <c r="E197" s="531"/>
      <c r="F197" s="531"/>
      <c r="G197" s="531"/>
      <c r="H197" s="531"/>
      <c r="I197" s="531"/>
      <c r="J197" s="531"/>
      <c r="K197" s="531"/>
      <c r="L197" s="531"/>
      <c r="M197" s="531"/>
      <c r="N197" s="531"/>
      <c r="O197" s="531"/>
      <c r="P197" s="531"/>
      <c r="Q197" s="531"/>
      <c r="R197" s="531"/>
      <c r="S197" s="532"/>
      <c r="T197" s="532"/>
      <c r="U197" s="532"/>
      <c r="V197" s="532"/>
      <c r="W197" s="532"/>
      <c r="X197" s="532"/>
      <c r="Y197" s="532"/>
      <c r="Z197" s="531"/>
      <c r="AA197" s="531"/>
      <c r="AB197" s="531"/>
      <c r="AC197" s="531"/>
      <c r="AD197" s="531"/>
      <c r="AE197" s="531"/>
      <c r="AF197" s="531"/>
      <c r="AG197" s="531"/>
    </row>
    <row r="198">
      <c r="B198" s="531"/>
      <c r="C198" s="531"/>
      <c r="D198" s="531"/>
      <c r="E198" s="531"/>
      <c r="F198" s="531"/>
      <c r="G198" s="531"/>
      <c r="H198" s="531"/>
      <c r="I198" s="531"/>
      <c r="J198" s="531"/>
      <c r="K198" s="531"/>
      <c r="L198" s="531"/>
      <c r="M198" s="531"/>
      <c r="N198" s="531"/>
      <c r="O198" s="531"/>
      <c r="P198" s="531"/>
      <c r="Q198" s="531"/>
      <c r="R198" s="531"/>
      <c r="S198" s="532"/>
      <c r="T198" s="532"/>
      <c r="U198" s="532"/>
      <c r="V198" s="532"/>
      <c r="W198" s="532"/>
      <c r="X198" s="532"/>
      <c r="Y198" s="532"/>
      <c r="Z198" s="531"/>
      <c r="AA198" s="531"/>
      <c r="AB198" s="531"/>
      <c r="AC198" s="531"/>
      <c r="AD198" s="531"/>
      <c r="AE198" s="531"/>
      <c r="AF198" s="531"/>
      <c r="AG198" s="531"/>
    </row>
    <row r="199">
      <c r="B199" s="531"/>
      <c r="C199" s="531"/>
      <c r="D199" s="531"/>
      <c r="E199" s="531"/>
      <c r="F199" s="531"/>
      <c r="G199" s="531"/>
      <c r="H199" s="531"/>
      <c r="I199" s="531"/>
      <c r="J199" s="531"/>
      <c r="K199" s="531"/>
      <c r="L199" s="531"/>
      <c r="M199" s="531"/>
      <c r="N199" s="531"/>
      <c r="O199" s="531"/>
      <c r="P199" s="531"/>
      <c r="Q199" s="531"/>
      <c r="R199" s="531"/>
      <c r="S199" s="532"/>
      <c r="T199" s="532"/>
      <c r="U199" s="532"/>
      <c r="V199" s="532"/>
      <c r="W199" s="532"/>
      <c r="X199" s="532"/>
      <c r="Y199" s="532"/>
      <c r="Z199" s="531"/>
      <c r="AA199" s="531"/>
      <c r="AB199" s="531"/>
      <c r="AC199" s="531"/>
      <c r="AD199" s="531"/>
      <c r="AE199" s="531"/>
      <c r="AF199" s="531"/>
      <c r="AG199" s="531"/>
    </row>
    <row r="200">
      <c r="B200" s="531"/>
      <c r="C200" s="531"/>
      <c r="D200" s="531"/>
      <c r="E200" s="531"/>
      <c r="F200" s="531"/>
      <c r="G200" s="531"/>
      <c r="H200" s="531"/>
      <c r="I200" s="531"/>
      <c r="J200" s="531"/>
      <c r="K200" s="531"/>
      <c r="L200" s="531"/>
      <c r="M200" s="531"/>
      <c r="N200" s="531"/>
      <c r="O200" s="531"/>
      <c r="P200" s="531"/>
      <c r="Q200" s="531"/>
      <c r="R200" s="531"/>
      <c r="S200" s="532"/>
      <c r="T200" s="532"/>
      <c r="U200" s="532"/>
      <c r="V200" s="532"/>
      <c r="W200" s="532"/>
      <c r="X200" s="532"/>
      <c r="Y200" s="532"/>
      <c r="Z200" s="531"/>
      <c r="AA200" s="531"/>
      <c r="AB200" s="531"/>
      <c r="AC200" s="531"/>
      <c r="AD200" s="531"/>
      <c r="AE200" s="531"/>
      <c r="AF200" s="531"/>
      <c r="AG200" s="531"/>
    </row>
    <row r="201">
      <c r="B201" s="531"/>
      <c r="C201" s="531"/>
      <c r="D201" s="531"/>
      <c r="E201" s="531"/>
      <c r="F201" s="531"/>
      <c r="G201" s="531"/>
      <c r="H201" s="531"/>
      <c r="I201" s="531"/>
      <c r="J201" s="531"/>
      <c r="K201" s="531"/>
      <c r="L201" s="531"/>
      <c r="M201" s="531"/>
      <c r="N201" s="531"/>
      <c r="O201" s="531"/>
      <c r="P201" s="531"/>
      <c r="Q201" s="531"/>
      <c r="R201" s="531"/>
      <c r="S201" s="532"/>
      <c r="T201" s="532"/>
      <c r="U201" s="532"/>
      <c r="V201" s="532"/>
      <c r="W201" s="532"/>
      <c r="X201" s="532"/>
      <c r="Y201" s="532"/>
      <c r="Z201" s="531"/>
      <c r="AA201" s="531"/>
      <c r="AB201" s="531"/>
      <c r="AC201" s="531"/>
      <c r="AD201" s="531"/>
      <c r="AE201" s="531"/>
      <c r="AF201" s="531"/>
      <c r="AG201" s="531"/>
    </row>
    <row r="202">
      <c r="B202" s="531"/>
      <c r="C202" s="531"/>
      <c r="D202" s="531"/>
      <c r="E202" s="531"/>
      <c r="F202" s="531"/>
      <c r="G202" s="531"/>
      <c r="H202" s="531"/>
      <c r="I202" s="531"/>
      <c r="J202" s="531"/>
      <c r="K202" s="531"/>
      <c r="L202" s="531"/>
      <c r="M202" s="531"/>
      <c r="N202" s="531"/>
      <c r="O202" s="531"/>
      <c r="P202" s="531"/>
      <c r="Q202" s="531"/>
      <c r="R202" s="531"/>
      <c r="S202" s="532"/>
      <c r="T202" s="532"/>
      <c r="U202" s="532"/>
      <c r="V202" s="532"/>
      <c r="W202" s="532"/>
      <c r="X202" s="532"/>
      <c r="Y202" s="532"/>
      <c r="Z202" s="531"/>
      <c r="AA202" s="531"/>
      <c r="AB202" s="531"/>
      <c r="AC202" s="531"/>
      <c r="AD202" s="531"/>
      <c r="AE202" s="531"/>
      <c r="AF202" s="531"/>
      <c r="AG202" s="531"/>
    </row>
    <row r="203">
      <c r="B203" s="531"/>
      <c r="C203" s="531"/>
      <c r="D203" s="531"/>
      <c r="E203" s="531"/>
      <c r="F203" s="531"/>
      <c r="G203" s="531"/>
      <c r="H203" s="531"/>
      <c r="I203" s="531"/>
      <c r="J203" s="531"/>
      <c r="K203" s="531"/>
      <c r="L203" s="531"/>
      <c r="M203" s="531"/>
      <c r="N203" s="531"/>
      <c r="O203" s="531"/>
      <c r="P203" s="531"/>
      <c r="Q203" s="531"/>
      <c r="R203" s="531"/>
      <c r="S203" s="532"/>
      <c r="T203" s="532"/>
      <c r="U203" s="532"/>
      <c r="V203" s="532"/>
      <c r="W203" s="532"/>
      <c r="X203" s="532"/>
      <c r="Y203" s="532"/>
      <c r="Z203" s="531"/>
      <c r="AA203" s="531"/>
      <c r="AB203" s="531"/>
      <c r="AC203" s="531"/>
      <c r="AD203" s="531"/>
      <c r="AE203" s="531"/>
      <c r="AF203" s="531"/>
      <c r="AG203" s="531"/>
    </row>
    <row r="204">
      <c r="B204" s="531"/>
      <c r="C204" s="531"/>
      <c r="D204" s="531"/>
      <c r="E204" s="531"/>
      <c r="F204" s="531"/>
      <c r="G204" s="531"/>
      <c r="H204" s="531"/>
      <c r="I204" s="531"/>
      <c r="J204" s="531"/>
      <c r="K204" s="531"/>
      <c r="L204" s="531"/>
      <c r="M204" s="531"/>
      <c r="N204" s="531"/>
      <c r="O204" s="531"/>
      <c r="P204" s="531"/>
      <c r="Q204" s="531"/>
      <c r="R204" s="531"/>
      <c r="S204" s="532"/>
      <c r="T204" s="532"/>
      <c r="U204" s="532"/>
      <c r="V204" s="532"/>
      <c r="W204" s="532"/>
      <c r="X204" s="532"/>
      <c r="Y204" s="532"/>
      <c r="Z204" s="531"/>
      <c r="AA204" s="531"/>
      <c r="AB204" s="531"/>
      <c r="AC204" s="531"/>
      <c r="AD204" s="531"/>
      <c r="AE204" s="531"/>
      <c r="AF204" s="531"/>
      <c r="AG204" s="531"/>
    </row>
    <row r="205">
      <c r="B205" s="531"/>
      <c r="C205" s="531"/>
      <c r="D205" s="531"/>
      <c r="E205" s="531"/>
      <c r="F205" s="531"/>
      <c r="G205" s="531"/>
      <c r="H205" s="531"/>
      <c r="I205" s="531"/>
      <c r="J205" s="531"/>
      <c r="K205" s="531"/>
      <c r="L205" s="531"/>
      <c r="M205" s="531"/>
      <c r="N205" s="531"/>
      <c r="O205" s="531"/>
      <c r="P205" s="531"/>
      <c r="Q205" s="531"/>
      <c r="R205" s="531"/>
      <c r="S205" s="532"/>
      <c r="T205" s="532"/>
      <c r="U205" s="532"/>
      <c r="V205" s="532"/>
      <c r="W205" s="532"/>
      <c r="X205" s="532"/>
      <c r="Y205" s="532"/>
      <c r="Z205" s="531"/>
      <c r="AA205" s="531"/>
      <c r="AB205" s="531"/>
      <c r="AC205" s="531"/>
      <c r="AD205" s="531"/>
      <c r="AE205" s="531"/>
      <c r="AF205" s="531"/>
      <c r="AG205" s="531"/>
    </row>
    <row r="206">
      <c r="B206" s="531"/>
      <c r="C206" s="531"/>
      <c r="D206" s="531"/>
      <c r="E206" s="531"/>
      <c r="F206" s="531"/>
      <c r="G206" s="531"/>
      <c r="H206" s="531"/>
      <c r="I206" s="531"/>
      <c r="J206" s="531"/>
      <c r="K206" s="531"/>
      <c r="L206" s="531"/>
      <c r="M206" s="531"/>
      <c r="N206" s="531"/>
      <c r="O206" s="531"/>
      <c r="P206" s="531"/>
      <c r="Q206" s="531"/>
      <c r="R206" s="531"/>
      <c r="S206" s="532"/>
      <c r="T206" s="532"/>
      <c r="U206" s="532"/>
      <c r="V206" s="532"/>
      <c r="W206" s="532"/>
      <c r="X206" s="532"/>
      <c r="Y206" s="532"/>
      <c r="Z206" s="531"/>
      <c r="AA206" s="531"/>
      <c r="AB206" s="531"/>
      <c r="AC206" s="531"/>
      <c r="AD206" s="531"/>
      <c r="AE206" s="531"/>
      <c r="AF206" s="531"/>
      <c r="AG206" s="531"/>
    </row>
    <row r="207">
      <c r="B207" s="531"/>
      <c r="C207" s="531"/>
      <c r="D207" s="531"/>
      <c r="E207" s="531"/>
      <c r="F207" s="531"/>
      <c r="G207" s="531"/>
      <c r="H207" s="531"/>
      <c r="I207" s="531"/>
      <c r="J207" s="531"/>
      <c r="K207" s="531"/>
      <c r="L207" s="531"/>
      <c r="M207" s="531"/>
      <c r="N207" s="531"/>
      <c r="O207" s="531"/>
      <c r="P207" s="531"/>
      <c r="Q207" s="531"/>
      <c r="R207" s="531"/>
      <c r="S207" s="532"/>
      <c r="T207" s="532"/>
      <c r="U207" s="532"/>
      <c r="V207" s="532"/>
      <c r="W207" s="532"/>
      <c r="X207" s="532"/>
      <c r="Y207" s="532"/>
      <c r="Z207" s="531"/>
      <c r="AA207" s="531"/>
      <c r="AB207" s="531"/>
      <c r="AC207" s="531"/>
      <c r="AD207" s="531"/>
      <c r="AE207" s="531"/>
      <c r="AF207" s="531"/>
      <c r="AG207" s="531"/>
    </row>
    <row r="208">
      <c r="B208" s="531"/>
      <c r="C208" s="531"/>
      <c r="D208" s="531"/>
      <c r="E208" s="531"/>
      <c r="F208" s="531"/>
      <c r="G208" s="531"/>
      <c r="H208" s="531"/>
      <c r="I208" s="531"/>
      <c r="J208" s="531"/>
      <c r="K208" s="531"/>
      <c r="L208" s="531"/>
      <c r="M208" s="531"/>
      <c r="N208" s="531"/>
      <c r="O208" s="531"/>
      <c r="P208" s="531"/>
      <c r="Q208" s="531"/>
      <c r="R208" s="531"/>
      <c r="S208" s="532"/>
      <c r="T208" s="532"/>
      <c r="U208" s="532"/>
      <c r="V208" s="532"/>
      <c r="W208" s="532"/>
      <c r="X208" s="532"/>
      <c r="Y208" s="532"/>
      <c r="Z208" s="531"/>
      <c r="AA208" s="531"/>
      <c r="AB208" s="531"/>
      <c r="AC208" s="531"/>
      <c r="AD208" s="531"/>
      <c r="AE208" s="531"/>
      <c r="AF208" s="531"/>
      <c r="AG208" s="531"/>
    </row>
    <row r="209">
      <c r="B209" s="531"/>
      <c r="C209" s="531"/>
      <c r="D209" s="531"/>
      <c r="E209" s="531"/>
      <c r="F209" s="531"/>
      <c r="G209" s="531"/>
      <c r="H209" s="531"/>
      <c r="I209" s="531"/>
      <c r="J209" s="531"/>
      <c r="K209" s="531"/>
      <c r="L209" s="531"/>
      <c r="M209" s="531"/>
      <c r="N209" s="531"/>
      <c r="O209" s="531"/>
      <c r="P209" s="531"/>
      <c r="Q209" s="531"/>
      <c r="R209" s="531"/>
      <c r="S209" s="532"/>
      <c r="T209" s="532"/>
      <c r="U209" s="532"/>
      <c r="V209" s="532"/>
      <c r="W209" s="532"/>
      <c r="X209" s="532"/>
      <c r="Y209" s="532"/>
      <c r="Z209" s="531"/>
      <c r="AA209" s="531"/>
      <c r="AB209" s="531"/>
      <c r="AC209" s="531"/>
      <c r="AD209" s="531"/>
      <c r="AE209" s="531"/>
      <c r="AF209" s="531"/>
      <c r="AG209" s="531"/>
    </row>
    <row r="210">
      <c r="B210" s="531"/>
      <c r="C210" s="531"/>
      <c r="D210" s="531"/>
      <c r="E210" s="531"/>
      <c r="F210" s="531"/>
      <c r="G210" s="531"/>
      <c r="H210" s="531"/>
      <c r="I210" s="531"/>
      <c r="J210" s="531"/>
      <c r="K210" s="531"/>
      <c r="L210" s="531"/>
      <c r="M210" s="531"/>
      <c r="N210" s="531"/>
      <c r="O210" s="531"/>
      <c r="P210" s="531"/>
      <c r="Q210" s="531"/>
      <c r="R210" s="531"/>
      <c r="S210" s="532"/>
      <c r="T210" s="532"/>
      <c r="U210" s="532"/>
      <c r="V210" s="532"/>
      <c r="W210" s="532"/>
      <c r="X210" s="532"/>
      <c r="Y210" s="532"/>
      <c r="Z210" s="531"/>
      <c r="AA210" s="531"/>
      <c r="AB210" s="531"/>
      <c r="AC210" s="531"/>
      <c r="AD210" s="531"/>
      <c r="AE210" s="531"/>
      <c r="AF210" s="531"/>
      <c r="AG210" s="531"/>
    </row>
    <row r="211">
      <c r="B211" s="531"/>
      <c r="C211" s="531"/>
      <c r="D211" s="531"/>
      <c r="E211" s="531"/>
      <c r="F211" s="531"/>
      <c r="G211" s="531"/>
      <c r="H211" s="531"/>
      <c r="I211" s="531"/>
      <c r="J211" s="531"/>
      <c r="K211" s="531"/>
      <c r="L211" s="531"/>
      <c r="M211" s="531"/>
      <c r="N211" s="531"/>
      <c r="O211" s="531"/>
      <c r="P211" s="531"/>
      <c r="Q211" s="531"/>
      <c r="R211" s="531"/>
      <c r="S211" s="532"/>
      <c r="T211" s="532"/>
      <c r="U211" s="532"/>
      <c r="V211" s="532"/>
      <c r="W211" s="532"/>
      <c r="X211" s="532"/>
      <c r="Y211" s="532"/>
      <c r="Z211" s="531"/>
      <c r="AA211" s="531"/>
      <c r="AB211" s="531"/>
      <c r="AC211" s="531"/>
      <c r="AD211" s="531"/>
      <c r="AE211" s="531"/>
      <c r="AF211" s="531"/>
      <c r="AG211" s="531"/>
    </row>
    <row r="212">
      <c r="B212" s="531"/>
      <c r="C212" s="531"/>
      <c r="D212" s="531"/>
      <c r="E212" s="531"/>
      <c r="F212" s="531"/>
      <c r="G212" s="531"/>
      <c r="H212" s="531"/>
      <c r="I212" s="531"/>
      <c r="J212" s="531"/>
      <c r="K212" s="531"/>
      <c r="L212" s="531"/>
      <c r="M212" s="531"/>
      <c r="N212" s="531"/>
      <c r="O212" s="531"/>
      <c r="P212" s="531"/>
      <c r="Q212" s="531"/>
      <c r="R212" s="531"/>
      <c r="S212" s="532"/>
      <c r="T212" s="532"/>
      <c r="U212" s="532"/>
      <c r="V212" s="532"/>
      <c r="W212" s="532"/>
      <c r="X212" s="532"/>
      <c r="Y212" s="532"/>
      <c r="Z212" s="531"/>
      <c r="AA212" s="531"/>
      <c r="AB212" s="531"/>
      <c r="AC212" s="531"/>
      <c r="AD212" s="531"/>
      <c r="AE212" s="531"/>
      <c r="AF212" s="531"/>
      <c r="AG212" s="531"/>
    </row>
    <row r="213">
      <c r="B213" s="531"/>
      <c r="C213" s="531"/>
      <c r="D213" s="531"/>
      <c r="E213" s="531"/>
      <c r="F213" s="531"/>
      <c r="G213" s="531"/>
      <c r="H213" s="531"/>
      <c r="I213" s="531"/>
      <c r="J213" s="531"/>
      <c r="K213" s="531"/>
      <c r="L213" s="531"/>
      <c r="M213" s="531"/>
      <c r="N213" s="531"/>
      <c r="O213" s="531"/>
      <c r="P213" s="531"/>
      <c r="Q213" s="531"/>
      <c r="R213" s="531"/>
      <c r="S213" s="532"/>
      <c r="T213" s="532"/>
      <c r="U213" s="532"/>
      <c r="V213" s="532"/>
      <c r="W213" s="532"/>
      <c r="X213" s="532"/>
      <c r="Y213" s="532"/>
      <c r="Z213" s="531"/>
      <c r="AA213" s="531"/>
      <c r="AB213" s="531"/>
      <c r="AC213" s="531"/>
      <c r="AD213" s="531"/>
      <c r="AE213" s="531"/>
      <c r="AF213" s="531"/>
      <c r="AG213" s="531"/>
    </row>
    <row r="214">
      <c r="B214" s="531"/>
      <c r="C214" s="531"/>
      <c r="D214" s="531"/>
      <c r="E214" s="531"/>
      <c r="F214" s="531"/>
      <c r="G214" s="531"/>
      <c r="H214" s="531"/>
      <c r="I214" s="531"/>
      <c r="J214" s="531"/>
      <c r="K214" s="531"/>
      <c r="L214" s="531"/>
      <c r="M214" s="531"/>
      <c r="N214" s="531"/>
      <c r="O214" s="531"/>
      <c r="P214" s="531"/>
      <c r="Q214" s="531"/>
      <c r="R214" s="531"/>
      <c r="S214" s="532"/>
      <c r="T214" s="532"/>
      <c r="U214" s="532"/>
      <c r="V214" s="532"/>
      <c r="W214" s="532"/>
      <c r="X214" s="532"/>
      <c r="Y214" s="532"/>
      <c r="Z214" s="531"/>
      <c r="AA214" s="531"/>
      <c r="AB214" s="531"/>
      <c r="AC214" s="531"/>
      <c r="AD214" s="531"/>
      <c r="AE214" s="531"/>
      <c r="AF214" s="531"/>
      <c r="AG214" s="531"/>
    </row>
    <row r="215">
      <c r="B215" s="531"/>
      <c r="C215" s="531"/>
      <c r="D215" s="531"/>
      <c r="E215" s="531"/>
      <c r="F215" s="531"/>
      <c r="G215" s="531"/>
      <c r="H215" s="531"/>
      <c r="I215" s="531"/>
      <c r="J215" s="531"/>
      <c r="K215" s="531"/>
      <c r="L215" s="531"/>
      <c r="M215" s="531"/>
      <c r="N215" s="531"/>
      <c r="O215" s="531"/>
      <c r="P215" s="531"/>
      <c r="Q215" s="531"/>
      <c r="R215" s="531"/>
      <c r="S215" s="532"/>
      <c r="T215" s="532"/>
      <c r="U215" s="532"/>
      <c r="V215" s="532"/>
      <c r="W215" s="532"/>
      <c r="X215" s="532"/>
      <c r="Y215" s="532"/>
      <c r="Z215" s="531"/>
      <c r="AA215" s="531"/>
      <c r="AB215" s="531"/>
      <c r="AC215" s="531"/>
      <c r="AD215" s="531"/>
      <c r="AE215" s="531"/>
      <c r="AF215" s="531"/>
      <c r="AG215" s="531"/>
    </row>
    <row r="216">
      <c r="B216" s="531"/>
      <c r="C216" s="531"/>
      <c r="D216" s="531"/>
      <c r="E216" s="531"/>
      <c r="F216" s="531"/>
      <c r="G216" s="531"/>
      <c r="H216" s="531"/>
      <c r="I216" s="531"/>
      <c r="J216" s="531"/>
      <c r="K216" s="531"/>
      <c r="L216" s="531"/>
      <c r="M216" s="531"/>
      <c r="N216" s="531"/>
      <c r="O216" s="531"/>
      <c r="P216" s="531"/>
      <c r="Q216" s="531"/>
      <c r="R216" s="531"/>
      <c r="S216" s="532"/>
      <c r="T216" s="532"/>
      <c r="U216" s="532"/>
      <c r="V216" s="532"/>
      <c r="W216" s="532"/>
      <c r="X216" s="532"/>
      <c r="Y216" s="532"/>
      <c r="Z216" s="531"/>
      <c r="AA216" s="531"/>
      <c r="AB216" s="531"/>
      <c r="AC216" s="531"/>
      <c r="AD216" s="531"/>
      <c r="AE216" s="531"/>
      <c r="AF216" s="531"/>
      <c r="AG216" s="531"/>
    </row>
    <row r="217">
      <c r="B217" s="531"/>
      <c r="C217" s="531"/>
      <c r="D217" s="531"/>
      <c r="E217" s="531"/>
      <c r="F217" s="531"/>
      <c r="G217" s="531"/>
      <c r="H217" s="531"/>
      <c r="I217" s="531"/>
      <c r="J217" s="531"/>
      <c r="K217" s="531"/>
      <c r="L217" s="531"/>
      <c r="M217" s="531"/>
      <c r="N217" s="531"/>
      <c r="O217" s="531"/>
      <c r="P217" s="531"/>
      <c r="Q217" s="531"/>
      <c r="R217" s="531"/>
      <c r="S217" s="532"/>
      <c r="T217" s="532"/>
      <c r="U217" s="532"/>
      <c r="V217" s="532"/>
      <c r="W217" s="532"/>
      <c r="X217" s="532"/>
      <c r="Y217" s="532"/>
      <c r="Z217" s="531"/>
      <c r="AA217" s="531"/>
      <c r="AB217" s="531"/>
      <c r="AC217" s="531"/>
      <c r="AD217" s="531"/>
      <c r="AE217" s="531"/>
      <c r="AF217" s="531"/>
      <c r="AG217" s="531"/>
    </row>
    <row r="218">
      <c r="B218" s="531"/>
      <c r="C218" s="531"/>
      <c r="D218" s="531"/>
      <c r="E218" s="531"/>
      <c r="F218" s="531"/>
      <c r="G218" s="531"/>
      <c r="H218" s="531"/>
      <c r="I218" s="531"/>
      <c r="J218" s="531"/>
      <c r="K218" s="531"/>
      <c r="L218" s="531"/>
      <c r="M218" s="531"/>
      <c r="N218" s="531"/>
      <c r="O218" s="531"/>
      <c r="P218" s="531"/>
      <c r="Q218" s="531"/>
      <c r="R218" s="531"/>
      <c r="S218" s="532"/>
      <c r="T218" s="532"/>
      <c r="U218" s="532"/>
      <c r="V218" s="532"/>
      <c r="W218" s="532"/>
      <c r="X218" s="532"/>
      <c r="Y218" s="532"/>
      <c r="Z218" s="531"/>
      <c r="AA218" s="531"/>
      <c r="AB218" s="531"/>
      <c r="AC218" s="531"/>
      <c r="AD218" s="531"/>
      <c r="AE218" s="531"/>
      <c r="AF218" s="531"/>
      <c r="AG218" s="531"/>
    </row>
    <row r="219">
      <c r="B219" s="531"/>
      <c r="C219" s="531"/>
      <c r="D219" s="531"/>
      <c r="E219" s="531"/>
      <c r="F219" s="531"/>
      <c r="G219" s="531"/>
      <c r="H219" s="531"/>
      <c r="I219" s="531"/>
      <c r="J219" s="531"/>
      <c r="K219" s="531"/>
      <c r="L219" s="531"/>
      <c r="M219" s="531"/>
      <c r="N219" s="531"/>
      <c r="O219" s="531"/>
      <c r="P219" s="531"/>
      <c r="Q219" s="531"/>
      <c r="R219" s="531"/>
      <c r="S219" s="532"/>
      <c r="T219" s="532"/>
      <c r="U219" s="532"/>
      <c r="V219" s="532"/>
      <c r="W219" s="532"/>
      <c r="X219" s="532"/>
      <c r="Y219" s="532"/>
      <c r="Z219" s="531"/>
      <c r="AA219" s="531"/>
      <c r="AB219" s="531"/>
      <c r="AC219" s="531"/>
      <c r="AD219" s="531"/>
      <c r="AE219" s="531"/>
      <c r="AF219" s="531"/>
      <c r="AG219" s="531"/>
    </row>
    <row r="220">
      <c r="B220" s="531"/>
      <c r="C220" s="531"/>
      <c r="D220" s="531"/>
      <c r="E220" s="531"/>
      <c r="F220" s="531"/>
      <c r="G220" s="531"/>
      <c r="H220" s="531"/>
      <c r="I220" s="531"/>
      <c r="J220" s="531"/>
      <c r="K220" s="531"/>
      <c r="L220" s="531"/>
      <c r="M220" s="531"/>
      <c r="N220" s="531"/>
      <c r="O220" s="531"/>
      <c r="P220" s="531"/>
      <c r="Q220" s="531"/>
      <c r="R220" s="531"/>
      <c r="S220" s="532"/>
      <c r="T220" s="532"/>
      <c r="U220" s="532"/>
      <c r="V220" s="532"/>
      <c r="W220" s="532"/>
      <c r="X220" s="532"/>
      <c r="Y220" s="532"/>
      <c r="Z220" s="531"/>
      <c r="AA220" s="531"/>
      <c r="AB220" s="531"/>
      <c r="AC220" s="531"/>
      <c r="AD220" s="531"/>
      <c r="AE220" s="531"/>
      <c r="AF220" s="531"/>
      <c r="AG220" s="531"/>
    </row>
    <row r="221">
      <c r="B221" s="531"/>
      <c r="C221" s="531"/>
      <c r="D221" s="531"/>
      <c r="E221" s="531"/>
      <c r="F221" s="531"/>
      <c r="G221" s="531"/>
      <c r="H221" s="531"/>
      <c r="I221" s="531"/>
      <c r="J221" s="531"/>
      <c r="K221" s="531"/>
      <c r="L221" s="531"/>
      <c r="M221" s="531"/>
      <c r="N221" s="531"/>
      <c r="O221" s="531"/>
      <c r="P221" s="531"/>
      <c r="Q221" s="531"/>
      <c r="R221" s="531"/>
      <c r="S221" s="532"/>
      <c r="T221" s="532"/>
      <c r="U221" s="532"/>
      <c r="V221" s="532"/>
      <c r="W221" s="532"/>
      <c r="X221" s="532"/>
      <c r="Y221" s="532"/>
      <c r="Z221" s="531"/>
      <c r="AA221" s="531"/>
      <c r="AB221" s="531"/>
      <c r="AC221" s="531"/>
      <c r="AD221" s="531"/>
      <c r="AE221" s="531"/>
      <c r="AF221" s="531"/>
      <c r="AG221" s="531"/>
    </row>
    <row r="222">
      <c r="B222" s="531"/>
      <c r="C222" s="531"/>
      <c r="D222" s="531"/>
      <c r="E222" s="531"/>
      <c r="F222" s="531"/>
      <c r="G222" s="531"/>
      <c r="H222" s="531"/>
      <c r="I222" s="531"/>
      <c r="J222" s="531"/>
      <c r="K222" s="531"/>
      <c r="L222" s="531"/>
      <c r="M222" s="531"/>
      <c r="N222" s="531"/>
      <c r="O222" s="531"/>
      <c r="P222" s="531"/>
      <c r="Q222" s="531"/>
      <c r="R222" s="531"/>
      <c r="S222" s="532"/>
      <c r="T222" s="532"/>
      <c r="U222" s="532"/>
      <c r="V222" s="532"/>
      <c r="W222" s="532"/>
      <c r="X222" s="532"/>
      <c r="Y222" s="532"/>
      <c r="Z222" s="531"/>
      <c r="AA222" s="531"/>
      <c r="AB222" s="531"/>
      <c r="AC222" s="531"/>
      <c r="AD222" s="531"/>
      <c r="AE222" s="531"/>
      <c r="AF222" s="531"/>
      <c r="AG222" s="531"/>
    </row>
    <row r="223">
      <c r="B223" s="531"/>
      <c r="C223" s="531"/>
      <c r="D223" s="531"/>
      <c r="E223" s="531"/>
      <c r="F223" s="531"/>
      <c r="G223" s="531"/>
      <c r="H223" s="531"/>
      <c r="I223" s="531"/>
      <c r="J223" s="531"/>
      <c r="K223" s="531"/>
      <c r="L223" s="531"/>
      <c r="M223" s="531"/>
      <c r="N223" s="531"/>
      <c r="O223" s="531"/>
      <c r="P223" s="531"/>
      <c r="Q223" s="531"/>
      <c r="R223" s="531"/>
      <c r="S223" s="532"/>
      <c r="T223" s="532"/>
      <c r="U223" s="532"/>
      <c r="V223" s="532"/>
      <c r="W223" s="532"/>
      <c r="X223" s="532"/>
      <c r="Y223" s="532"/>
      <c r="Z223" s="531"/>
      <c r="AA223" s="531"/>
      <c r="AB223" s="531"/>
      <c r="AC223" s="531"/>
      <c r="AD223" s="531"/>
      <c r="AE223" s="531"/>
      <c r="AF223" s="531"/>
      <c r="AG223" s="531"/>
    </row>
    <row r="224">
      <c r="B224" s="531"/>
      <c r="C224" s="531"/>
      <c r="D224" s="531"/>
      <c r="E224" s="531"/>
      <c r="F224" s="531"/>
      <c r="G224" s="531"/>
      <c r="H224" s="531"/>
      <c r="I224" s="531"/>
      <c r="J224" s="531"/>
      <c r="K224" s="531"/>
      <c r="L224" s="531"/>
      <c r="M224" s="531"/>
      <c r="N224" s="531"/>
      <c r="O224" s="531"/>
      <c r="P224" s="531"/>
      <c r="Q224" s="531"/>
      <c r="R224" s="531"/>
      <c r="S224" s="532"/>
      <c r="T224" s="532"/>
      <c r="U224" s="532"/>
      <c r="V224" s="532"/>
      <c r="W224" s="532"/>
      <c r="X224" s="532"/>
      <c r="Y224" s="532"/>
      <c r="Z224" s="531"/>
      <c r="AA224" s="531"/>
      <c r="AB224" s="531"/>
      <c r="AC224" s="531"/>
      <c r="AD224" s="531"/>
      <c r="AE224" s="531"/>
      <c r="AF224" s="531"/>
      <c r="AG224" s="531"/>
    </row>
    <row r="225">
      <c r="B225" s="531"/>
      <c r="C225" s="531"/>
      <c r="D225" s="531"/>
      <c r="E225" s="531"/>
      <c r="F225" s="531"/>
      <c r="G225" s="531"/>
      <c r="H225" s="531"/>
      <c r="I225" s="531"/>
      <c r="J225" s="531"/>
      <c r="K225" s="531"/>
      <c r="L225" s="531"/>
      <c r="M225" s="531"/>
      <c r="N225" s="531"/>
      <c r="O225" s="531"/>
      <c r="P225" s="531"/>
      <c r="Q225" s="531"/>
      <c r="R225" s="531"/>
      <c r="S225" s="532"/>
      <c r="T225" s="532"/>
      <c r="U225" s="532"/>
      <c r="V225" s="532"/>
      <c r="W225" s="532"/>
      <c r="X225" s="532"/>
      <c r="Y225" s="532"/>
      <c r="Z225" s="531"/>
      <c r="AA225" s="531"/>
      <c r="AB225" s="531"/>
      <c r="AC225" s="531"/>
      <c r="AD225" s="531"/>
      <c r="AE225" s="531"/>
      <c r="AF225" s="531"/>
      <c r="AG225" s="531"/>
    </row>
    <row r="226">
      <c r="B226" s="531"/>
      <c r="C226" s="531"/>
      <c r="D226" s="531"/>
      <c r="E226" s="531"/>
      <c r="F226" s="531"/>
      <c r="G226" s="531"/>
      <c r="H226" s="531"/>
      <c r="I226" s="531"/>
      <c r="J226" s="531"/>
      <c r="K226" s="531"/>
      <c r="L226" s="531"/>
      <c r="M226" s="531"/>
      <c r="N226" s="531"/>
      <c r="O226" s="531"/>
      <c r="P226" s="531"/>
      <c r="Q226" s="531"/>
      <c r="R226" s="531"/>
      <c r="S226" s="532"/>
      <c r="T226" s="532"/>
      <c r="U226" s="532"/>
      <c r="V226" s="532"/>
      <c r="W226" s="532"/>
      <c r="X226" s="532"/>
      <c r="Y226" s="532"/>
      <c r="Z226" s="531"/>
      <c r="AA226" s="531"/>
      <c r="AB226" s="531"/>
      <c r="AC226" s="531"/>
      <c r="AD226" s="531"/>
      <c r="AE226" s="531"/>
      <c r="AF226" s="531"/>
      <c r="AG226" s="531"/>
    </row>
    <row r="227">
      <c r="B227" s="531"/>
      <c r="C227" s="531"/>
      <c r="D227" s="531"/>
      <c r="E227" s="531"/>
      <c r="F227" s="531"/>
      <c r="G227" s="531"/>
      <c r="H227" s="531"/>
      <c r="I227" s="531"/>
      <c r="J227" s="531"/>
      <c r="K227" s="531"/>
      <c r="L227" s="531"/>
      <c r="M227" s="531"/>
      <c r="N227" s="531"/>
      <c r="O227" s="531"/>
      <c r="P227" s="531"/>
      <c r="Q227" s="531"/>
      <c r="R227" s="531"/>
      <c r="S227" s="532"/>
      <c r="T227" s="532"/>
      <c r="U227" s="532"/>
      <c r="V227" s="532"/>
      <c r="W227" s="532"/>
      <c r="X227" s="532"/>
      <c r="Y227" s="532"/>
      <c r="Z227" s="531"/>
      <c r="AA227" s="531"/>
      <c r="AB227" s="531"/>
      <c r="AC227" s="531"/>
      <c r="AD227" s="531"/>
      <c r="AE227" s="531"/>
      <c r="AF227" s="531"/>
      <c r="AG227" s="531"/>
    </row>
    <row r="228">
      <c r="B228" s="531"/>
      <c r="C228" s="531"/>
      <c r="D228" s="531"/>
      <c r="E228" s="531"/>
      <c r="F228" s="531"/>
      <c r="G228" s="531"/>
      <c r="H228" s="531"/>
      <c r="I228" s="531"/>
      <c r="J228" s="531"/>
      <c r="K228" s="531"/>
      <c r="L228" s="531"/>
      <c r="M228" s="531"/>
      <c r="N228" s="531"/>
      <c r="O228" s="531"/>
      <c r="P228" s="531"/>
      <c r="Q228" s="531"/>
      <c r="R228" s="531"/>
      <c r="S228" s="532"/>
      <c r="T228" s="532"/>
      <c r="U228" s="532"/>
      <c r="V228" s="532"/>
      <c r="W228" s="532"/>
      <c r="X228" s="532"/>
      <c r="Y228" s="532"/>
      <c r="Z228" s="531"/>
      <c r="AA228" s="531"/>
      <c r="AB228" s="531"/>
      <c r="AC228" s="531"/>
      <c r="AD228" s="531"/>
      <c r="AE228" s="531"/>
      <c r="AF228" s="531"/>
      <c r="AG228" s="531"/>
    </row>
    <row r="229">
      <c r="B229" s="531"/>
      <c r="C229" s="531"/>
      <c r="D229" s="531"/>
      <c r="E229" s="531"/>
      <c r="F229" s="531"/>
      <c r="G229" s="531"/>
      <c r="H229" s="531"/>
      <c r="I229" s="531"/>
      <c r="J229" s="531"/>
      <c r="K229" s="531"/>
      <c r="L229" s="531"/>
      <c r="M229" s="531"/>
      <c r="N229" s="531"/>
      <c r="O229" s="531"/>
      <c r="P229" s="531"/>
      <c r="Q229" s="531"/>
      <c r="R229" s="531"/>
      <c r="S229" s="532"/>
      <c r="T229" s="532"/>
      <c r="U229" s="532"/>
      <c r="V229" s="532"/>
      <c r="W229" s="532"/>
      <c r="X229" s="532"/>
      <c r="Y229" s="532"/>
      <c r="Z229" s="531"/>
      <c r="AA229" s="531"/>
      <c r="AB229" s="531"/>
      <c r="AC229" s="531"/>
      <c r="AD229" s="531"/>
      <c r="AE229" s="531"/>
      <c r="AF229" s="531"/>
      <c r="AG229" s="531"/>
    </row>
    <row r="230">
      <c r="B230" s="531"/>
      <c r="C230" s="531"/>
      <c r="D230" s="531"/>
      <c r="E230" s="531"/>
      <c r="F230" s="531"/>
      <c r="G230" s="531"/>
      <c r="H230" s="531"/>
      <c r="I230" s="531"/>
      <c r="J230" s="531"/>
      <c r="K230" s="531"/>
      <c r="L230" s="531"/>
      <c r="M230" s="531"/>
      <c r="N230" s="531"/>
      <c r="O230" s="531"/>
      <c r="P230" s="531"/>
      <c r="Q230" s="531"/>
      <c r="R230" s="531"/>
      <c r="S230" s="532"/>
      <c r="T230" s="532"/>
      <c r="U230" s="532"/>
      <c r="V230" s="532"/>
      <c r="W230" s="532"/>
      <c r="X230" s="532"/>
      <c r="Y230" s="532"/>
      <c r="Z230" s="531"/>
      <c r="AA230" s="531"/>
      <c r="AB230" s="531"/>
      <c r="AC230" s="531"/>
      <c r="AD230" s="531"/>
      <c r="AE230" s="531"/>
      <c r="AF230" s="531"/>
      <c r="AG230" s="531"/>
    </row>
    <row r="231">
      <c r="B231" s="531"/>
      <c r="C231" s="531"/>
      <c r="D231" s="531"/>
      <c r="E231" s="531"/>
      <c r="F231" s="531"/>
      <c r="G231" s="531"/>
      <c r="H231" s="531"/>
      <c r="I231" s="531"/>
      <c r="J231" s="531"/>
      <c r="K231" s="531"/>
      <c r="L231" s="531"/>
      <c r="M231" s="531"/>
      <c r="N231" s="531"/>
      <c r="O231" s="531"/>
      <c r="P231" s="531"/>
      <c r="Q231" s="531"/>
      <c r="R231" s="531"/>
      <c r="S231" s="532"/>
      <c r="T231" s="532"/>
      <c r="U231" s="532"/>
      <c r="V231" s="532"/>
      <c r="W231" s="532"/>
      <c r="X231" s="532"/>
      <c r="Y231" s="532"/>
      <c r="Z231" s="531"/>
      <c r="AA231" s="531"/>
      <c r="AB231" s="531"/>
      <c r="AC231" s="531"/>
      <c r="AD231" s="531"/>
      <c r="AE231" s="531"/>
      <c r="AF231" s="531"/>
      <c r="AG231" s="531"/>
    </row>
    <row r="232">
      <c r="B232" s="531"/>
      <c r="C232" s="531"/>
      <c r="D232" s="531"/>
      <c r="E232" s="531"/>
      <c r="F232" s="531"/>
      <c r="G232" s="531"/>
      <c r="H232" s="531"/>
      <c r="I232" s="531"/>
      <c r="J232" s="531"/>
      <c r="K232" s="531"/>
      <c r="L232" s="531"/>
      <c r="M232" s="531"/>
      <c r="N232" s="531"/>
      <c r="O232" s="531"/>
      <c r="P232" s="531"/>
      <c r="Q232" s="531"/>
      <c r="R232" s="531"/>
      <c r="S232" s="532"/>
      <c r="T232" s="532"/>
      <c r="U232" s="532"/>
      <c r="V232" s="532"/>
      <c r="W232" s="532"/>
      <c r="X232" s="532"/>
      <c r="Y232" s="532"/>
      <c r="Z232" s="531"/>
      <c r="AA232" s="531"/>
      <c r="AB232" s="531"/>
      <c r="AC232" s="531"/>
      <c r="AD232" s="531"/>
      <c r="AE232" s="531"/>
      <c r="AF232" s="531"/>
      <c r="AG232" s="531"/>
    </row>
    <row r="233">
      <c r="B233" s="531"/>
      <c r="C233" s="531"/>
      <c r="D233" s="531"/>
      <c r="E233" s="531"/>
      <c r="F233" s="531"/>
      <c r="G233" s="531"/>
      <c r="H233" s="531"/>
      <c r="I233" s="531"/>
      <c r="J233" s="531"/>
      <c r="K233" s="531"/>
      <c r="L233" s="531"/>
      <c r="M233" s="531"/>
      <c r="N233" s="531"/>
      <c r="O233" s="531"/>
      <c r="P233" s="531"/>
      <c r="Q233" s="531"/>
      <c r="R233" s="531"/>
      <c r="S233" s="532"/>
      <c r="T233" s="532"/>
      <c r="U233" s="532"/>
      <c r="V233" s="532"/>
      <c r="W233" s="532"/>
      <c r="X233" s="532"/>
      <c r="Y233" s="532"/>
      <c r="Z233" s="531"/>
      <c r="AA233" s="531"/>
      <c r="AB233" s="531"/>
      <c r="AC233" s="531"/>
      <c r="AD233" s="531"/>
      <c r="AE233" s="531"/>
      <c r="AF233" s="531"/>
      <c r="AG233" s="531"/>
    </row>
    <row r="234">
      <c r="B234" s="531"/>
      <c r="C234" s="531"/>
      <c r="D234" s="531"/>
      <c r="E234" s="531"/>
      <c r="F234" s="531"/>
      <c r="G234" s="531"/>
      <c r="H234" s="531"/>
      <c r="I234" s="531"/>
      <c r="J234" s="531"/>
      <c r="K234" s="531"/>
      <c r="L234" s="531"/>
      <c r="M234" s="531"/>
      <c r="N234" s="531"/>
      <c r="O234" s="531"/>
      <c r="P234" s="531"/>
      <c r="Q234" s="531"/>
      <c r="R234" s="531"/>
      <c r="S234" s="532"/>
      <c r="T234" s="532"/>
      <c r="U234" s="532"/>
      <c r="V234" s="532"/>
      <c r="W234" s="532"/>
      <c r="X234" s="532"/>
      <c r="Y234" s="532"/>
      <c r="Z234" s="531"/>
      <c r="AA234" s="531"/>
      <c r="AB234" s="531"/>
      <c r="AC234" s="531"/>
      <c r="AD234" s="531"/>
      <c r="AE234" s="531"/>
      <c r="AF234" s="531"/>
      <c r="AG234" s="531"/>
    </row>
    <row r="235">
      <c r="B235" s="531"/>
      <c r="C235" s="531"/>
      <c r="D235" s="531"/>
      <c r="E235" s="531"/>
      <c r="F235" s="531"/>
      <c r="G235" s="531"/>
      <c r="H235" s="531"/>
      <c r="I235" s="531"/>
      <c r="J235" s="531"/>
      <c r="K235" s="531"/>
      <c r="L235" s="531"/>
      <c r="M235" s="531"/>
      <c r="N235" s="531"/>
      <c r="O235" s="531"/>
      <c r="P235" s="531"/>
      <c r="Q235" s="531"/>
      <c r="R235" s="531"/>
      <c r="S235" s="532"/>
      <c r="T235" s="532"/>
      <c r="U235" s="532"/>
      <c r="V235" s="532"/>
      <c r="W235" s="532"/>
      <c r="X235" s="532"/>
      <c r="Y235" s="532"/>
      <c r="Z235" s="531"/>
      <c r="AA235" s="531"/>
      <c r="AB235" s="531"/>
      <c r="AC235" s="531"/>
      <c r="AD235" s="531"/>
      <c r="AE235" s="531"/>
      <c r="AF235" s="531"/>
      <c r="AG235" s="531"/>
    </row>
    <row r="236">
      <c r="B236" s="531"/>
      <c r="C236" s="531"/>
      <c r="D236" s="531"/>
      <c r="E236" s="531"/>
      <c r="F236" s="531"/>
      <c r="G236" s="531"/>
      <c r="H236" s="531"/>
      <c r="I236" s="531"/>
      <c r="J236" s="531"/>
      <c r="K236" s="531"/>
      <c r="L236" s="531"/>
      <c r="M236" s="531"/>
      <c r="N236" s="531"/>
      <c r="O236" s="531"/>
      <c r="P236" s="531"/>
      <c r="Q236" s="531"/>
      <c r="R236" s="531"/>
      <c r="S236" s="532"/>
      <c r="T236" s="532"/>
      <c r="U236" s="532"/>
      <c r="V236" s="532"/>
      <c r="W236" s="532"/>
      <c r="X236" s="532"/>
      <c r="Y236" s="532"/>
      <c r="Z236" s="531"/>
      <c r="AA236" s="531"/>
      <c r="AB236" s="531"/>
      <c r="AC236" s="531"/>
      <c r="AD236" s="531"/>
      <c r="AE236" s="531"/>
      <c r="AF236" s="531"/>
      <c r="AG236" s="531"/>
    </row>
    <row r="237">
      <c r="B237" s="531"/>
      <c r="C237" s="531"/>
      <c r="D237" s="531"/>
      <c r="E237" s="531"/>
      <c r="F237" s="531"/>
      <c r="G237" s="531"/>
      <c r="H237" s="531"/>
      <c r="I237" s="531"/>
      <c r="J237" s="531"/>
      <c r="K237" s="531"/>
      <c r="L237" s="531"/>
      <c r="M237" s="531"/>
      <c r="N237" s="531"/>
      <c r="O237" s="531"/>
      <c r="P237" s="531"/>
      <c r="Q237" s="531"/>
      <c r="R237" s="531"/>
      <c r="S237" s="532"/>
      <c r="T237" s="532"/>
      <c r="U237" s="532"/>
      <c r="V237" s="532"/>
      <c r="W237" s="532"/>
      <c r="X237" s="532"/>
      <c r="Y237" s="532"/>
      <c r="Z237" s="531"/>
      <c r="AA237" s="531"/>
      <c r="AB237" s="531"/>
      <c r="AC237" s="531"/>
      <c r="AD237" s="531"/>
      <c r="AE237" s="531"/>
      <c r="AF237" s="531"/>
      <c r="AG237" s="531"/>
    </row>
    <row r="238">
      <c r="B238" s="531"/>
      <c r="C238" s="531"/>
      <c r="D238" s="531"/>
      <c r="E238" s="531"/>
      <c r="F238" s="531"/>
      <c r="G238" s="531"/>
      <c r="H238" s="531"/>
      <c r="I238" s="531"/>
      <c r="J238" s="531"/>
      <c r="K238" s="531"/>
      <c r="L238" s="531"/>
      <c r="M238" s="531"/>
      <c r="N238" s="531"/>
      <c r="O238" s="531"/>
      <c r="P238" s="531"/>
      <c r="Q238" s="531"/>
      <c r="R238" s="531"/>
      <c r="S238" s="532"/>
      <c r="T238" s="532"/>
      <c r="U238" s="532"/>
      <c r="V238" s="532"/>
      <c r="W238" s="532"/>
      <c r="X238" s="532"/>
      <c r="Y238" s="532"/>
      <c r="Z238" s="531"/>
      <c r="AA238" s="531"/>
      <c r="AB238" s="531"/>
      <c r="AC238" s="531"/>
      <c r="AD238" s="531"/>
      <c r="AE238" s="531"/>
      <c r="AF238" s="531"/>
      <c r="AG238" s="531"/>
    </row>
    <row r="239">
      <c r="B239" s="531"/>
      <c r="C239" s="531"/>
      <c r="D239" s="531"/>
      <c r="E239" s="531"/>
      <c r="F239" s="531"/>
      <c r="G239" s="531"/>
      <c r="H239" s="531"/>
      <c r="I239" s="531"/>
      <c r="J239" s="531"/>
      <c r="K239" s="531"/>
      <c r="L239" s="531"/>
      <c r="M239" s="531"/>
      <c r="N239" s="531"/>
      <c r="O239" s="531"/>
      <c r="P239" s="531"/>
      <c r="Q239" s="531"/>
      <c r="R239" s="531"/>
      <c r="S239" s="532"/>
      <c r="T239" s="532"/>
      <c r="U239" s="532"/>
      <c r="V239" s="532"/>
      <c r="W239" s="532"/>
      <c r="X239" s="532"/>
      <c r="Y239" s="532"/>
      <c r="Z239" s="531"/>
      <c r="AA239" s="531"/>
      <c r="AB239" s="531"/>
      <c r="AC239" s="531"/>
      <c r="AD239" s="531"/>
      <c r="AE239" s="531"/>
      <c r="AF239" s="531"/>
      <c r="AG239" s="531"/>
    </row>
    <row r="240">
      <c r="B240" s="531"/>
      <c r="C240" s="531"/>
      <c r="D240" s="531"/>
      <c r="E240" s="531"/>
      <c r="F240" s="531"/>
      <c r="G240" s="531"/>
      <c r="H240" s="531"/>
      <c r="I240" s="531"/>
      <c r="J240" s="531"/>
      <c r="K240" s="531"/>
      <c r="L240" s="531"/>
      <c r="M240" s="531"/>
      <c r="N240" s="531"/>
      <c r="O240" s="531"/>
      <c r="P240" s="531"/>
      <c r="Q240" s="531"/>
      <c r="R240" s="531"/>
      <c r="S240" s="532"/>
      <c r="T240" s="532"/>
      <c r="U240" s="532"/>
      <c r="V240" s="532"/>
      <c r="W240" s="532"/>
      <c r="X240" s="532"/>
      <c r="Y240" s="532"/>
      <c r="Z240" s="531"/>
      <c r="AA240" s="531"/>
      <c r="AB240" s="531"/>
      <c r="AC240" s="531"/>
      <c r="AD240" s="531"/>
      <c r="AE240" s="531"/>
      <c r="AF240" s="531"/>
      <c r="AG240" s="531"/>
    </row>
    <row r="241">
      <c r="B241" s="531"/>
      <c r="C241" s="531"/>
      <c r="D241" s="531"/>
      <c r="E241" s="531"/>
      <c r="F241" s="531"/>
      <c r="G241" s="531"/>
      <c r="H241" s="531"/>
      <c r="I241" s="531"/>
      <c r="J241" s="531"/>
      <c r="K241" s="531"/>
      <c r="L241" s="531"/>
      <c r="M241" s="531"/>
      <c r="N241" s="531"/>
      <c r="O241" s="531"/>
      <c r="P241" s="531"/>
      <c r="Q241" s="531"/>
      <c r="R241" s="531"/>
      <c r="S241" s="532"/>
      <c r="T241" s="532"/>
      <c r="U241" s="532"/>
      <c r="V241" s="532"/>
      <c r="W241" s="532"/>
      <c r="X241" s="532"/>
      <c r="Y241" s="532"/>
      <c r="Z241" s="531"/>
      <c r="AA241" s="531"/>
      <c r="AB241" s="531"/>
      <c r="AC241" s="531"/>
      <c r="AD241" s="531"/>
      <c r="AE241" s="531"/>
      <c r="AF241" s="531"/>
      <c r="AG241" s="531"/>
    </row>
    <row r="242">
      <c r="B242" s="531"/>
      <c r="C242" s="531"/>
      <c r="D242" s="531"/>
      <c r="E242" s="531"/>
      <c r="F242" s="531"/>
      <c r="G242" s="531"/>
      <c r="H242" s="531"/>
      <c r="I242" s="531"/>
      <c r="J242" s="531"/>
      <c r="K242" s="531"/>
      <c r="L242" s="531"/>
      <c r="M242" s="531"/>
      <c r="N242" s="531"/>
      <c r="O242" s="531"/>
      <c r="P242" s="531"/>
      <c r="Q242" s="531"/>
      <c r="R242" s="531"/>
      <c r="S242" s="532"/>
      <c r="T242" s="532"/>
      <c r="U242" s="532"/>
      <c r="V242" s="532"/>
      <c r="W242" s="532"/>
      <c r="X242" s="532"/>
      <c r="Y242" s="532"/>
      <c r="Z242" s="531"/>
      <c r="AA242" s="531"/>
      <c r="AB242" s="531"/>
      <c r="AC242" s="531"/>
      <c r="AD242" s="531"/>
      <c r="AE242" s="531"/>
      <c r="AF242" s="531"/>
      <c r="AG242" s="531"/>
    </row>
    <row r="243">
      <c r="B243" s="531"/>
      <c r="C243" s="531"/>
      <c r="D243" s="531"/>
      <c r="E243" s="531"/>
      <c r="F243" s="531"/>
      <c r="G243" s="531"/>
      <c r="H243" s="531"/>
      <c r="I243" s="531"/>
      <c r="J243" s="531"/>
      <c r="K243" s="531"/>
      <c r="L243" s="531"/>
      <c r="M243" s="531"/>
      <c r="N243" s="531"/>
      <c r="O243" s="531"/>
      <c r="P243" s="531"/>
      <c r="Q243" s="531"/>
      <c r="R243" s="531"/>
      <c r="S243" s="532"/>
      <c r="T243" s="532"/>
      <c r="U243" s="532"/>
      <c r="V243" s="532"/>
      <c r="W243" s="532"/>
      <c r="X243" s="532"/>
      <c r="Y243" s="532"/>
      <c r="Z243" s="531"/>
      <c r="AA243" s="531"/>
      <c r="AB243" s="531"/>
      <c r="AC243" s="531"/>
      <c r="AD243" s="531"/>
      <c r="AE243" s="531"/>
      <c r="AF243" s="531"/>
      <c r="AG243" s="531"/>
    </row>
    <row r="244">
      <c r="B244" s="531"/>
      <c r="C244" s="531"/>
      <c r="D244" s="531"/>
      <c r="E244" s="531"/>
      <c r="F244" s="531"/>
      <c r="G244" s="531"/>
      <c r="H244" s="531"/>
      <c r="I244" s="531"/>
      <c r="J244" s="531"/>
      <c r="K244" s="531"/>
      <c r="L244" s="531"/>
      <c r="M244" s="531"/>
      <c r="N244" s="531"/>
      <c r="O244" s="531"/>
      <c r="P244" s="531"/>
      <c r="Q244" s="531"/>
      <c r="R244" s="531"/>
      <c r="S244" s="532"/>
      <c r="T244" s="532"/>
      <c r="U244" s="532"/>
      <c r="V244" s="532"/>
      <c r="W244" s="532"/>
      <c r="X244" s="532"/>
      <c r="Y244" s="532"/>
      <c r="Z244" s="531"/>
      <c r="AA244" s="531"/>
      <c r="AB244" s="531"/>
      <c r="AC244" s="531"/>
      <c r="AD244" s="531"/>
      <c r="AE244" s="531"/>
      <c r="AF244" s="531"/>
      <c r="AG244" s="531"/>
    </row>
    <row r="245">
      <c r="B245" s="531"/>
      <c r="C245" s="531"/>
      <c r="D245" s="531"/>
      <c r="E245" s="531"/>
      <c r="F245" s="531"/>
      <c r="G245" s="531"/>
      <c r="H245" s="531"/>
      <c r="I245" s="531"/>
      <c r="J245" s="531"/>
      <c r="K245" s="531"/>
      <c r="L245" s="531"/>
      <c r="M245" s="531"/>
      <c r="N245" s="531"/>
      <c r="O245" s="531"/>
      <c r="P245" s="531"/>
      <c r="Q245" s="531"/>
      <c r="R245" s="531"/>
      <c r="S245" s="532"/>
      <c r="T245" s="532"/>
      <c r="U245" s="532"/>
      <c r="V245" s="532"/>
      <c r="W245" s="532"/>
      <c r="X245" s="532"/>
      <c r="Y245" s="532"/>
      <c r="Z245" s="531"/>
      <c r="AA245" s="531"/>
      <c r="AB245" s="531"/>
      <c r="AC245" s="531"/>
      <c r="AD245" s="531"/>
      <c r="AE245" s="531"/>
      <c r="AF245" s="531"/>
      <c r="AG245" s="531"/>
    </row>
    <row r="246">
      <c r="B246" s="531"/>
      <c r="C246" s="531"/>
      <c r="D246" s="531"/>
      <c r="E246" s="531"/>
      <c r="F246" s="531"/>
      <c r="G246" s="531"/>
      <c r="H246" s="531"/>
      <c r="I246" s="531"/>
      <c r="J246" s="531"/>
      <c r="K246" s="531"/>
      <c r="L246" s="531"/>
      <c r="M246" s="531"/>
      <c r="N246" s="531"/>
      <c r="O246" s="531"/>
      <c r="P246" s="531"/>
      <c r="Q246" s="531"/>
      <c r="R246" s="531"/>
      <c r="S246" s="532"/>
      <c r="T246" s="532"/>
      <c r="U246" s="532"/>
      <c r="V246" s="532"/>
      <c r="W246" s="532"/>
      <c r="X246" s="532"/>
      <c r="Y246" s="532"/>
      <c r="Z246" s="531"/>
      <c r="AA246" s="531"/>
      <c r="AB246" s="531"/>
      <c r="AC246" s="531"/>
      <c r="AD246" s="531"/>
      <c r="AE246" s="531"/>
      <c r="AF246" s="531"/>
      <c r="AG246" s="531"/>
    </row>
    <row r="247">
      <c r="B247" s="531"/>
      <c r="C247" s="531"/>
      <c r="D247" s="531"/>
      <c r="E247" s="531"/>
      <c r="F247" s="531"/>
      <c r="G247" s="531"/>
      <c r="H247" s="531"/>
      <c r="I247" s="531"/>
      <c r="J247" s="531"/>
      <c r="K247" s="531"/>
      <c r="L247" s="531"/>
      <c r="M247" s="531"/>
      <c r="N247" s="531"/>
      <c r="O247" s="531"/>
      <c r="P247" s="531"/>
      <c r="Q247" s="531"/>
      <c r="R247" s="531"/>
      <c r="S247" s="532"/>
      <c r="T247" s="532"/>
      <c r="U247" s="532"/>
      <c r="V247" s="532"/>
      <c r="W247" s="532"/>
      <c r="X247" s="532"/>
      <c r="Y247" s="532"/>
      <c r="Z247" s="531"/>
      <c r="AA247" s="531"/>
      <c r="AB247" s="531"/>
      <c r="AC247" s="531"/>
      <c r="AD247" s="531"/>
      <c r="AE247" s="531"/>
      <c r="AF247" s="531"/>
      <c r="AG247" s="531"/>
    </row>
    <row r="248">
      <c r="B248" s="531"/>
      <c r="C248" s="531"/>
      <c r="D248" s="531"/>
      <c r="E248" s="531"/>
      <c r="F248" s="531"/>
      <c r="G248" s="531"/>
      <c r="H248" s="531"/>
      <c r="I248" s="531"/>
      <c r="J248" s="531"/>
      <c r="K248" s="531"/>
      <c r="L248" s="531"/>
      <c r="M248" s="531"/>
      <c r="N248" s="531"/>
      <c r="O248" s="531"/>
      <c r="P248" s="531"/>
      <c r="Q248" s="531"/>
      <c r="R248" s="531"/>
      <c r="S248" s="532"/>
      <c r="T248" s="532"/>
      <c r="U248" s="532"/>
      <c r="V248" s="532"/>
      <c r="W248" s="532"/>
      <c r="X248" s="532"/>
      <c r="Y248" s="532"/>
      <c r="Z248" s="531"/>
      <c r="AA248" s="531"/>
      <c r="AB248" s="531"/>
      <c r="AC248" s="531"/>
      <c r="AD248" s="531"/>
      <c r="AE248" s="531"/>
      <c r="AF248" s="531"/>
      <c r="AG248" s="531"/>
    </row>
    <row r="249">
      <c r="B249" s="531"/>
      <c r="C249" s="531"/>
      <c r="D249" s="531"/>
      <c r="E249" s="531"/>
      <c r="F249" s="531"/>
      <c r="G249" s="531"/>
      <c r="H249" s="531"/>
      <c r="I249" s="531"/>
      <c r="J249" s="531"/>
      <c r="K249" s="531"/>
      <c r="L249" s="531"/>
      <c r="M249" s="531"/>
      <c r="N249" s="531"/>
      <c r="O249" s="531"/>
      <c r="P249" s="531"/>
      <c r="Q249" s="531"/>
      <c r="R249" s="531"/>
      <c r="S249" s="532"/>
      <c r="T249" s="532"/>
      <c r="U249" s="532"/>
      <c r="V249" s="532"/>
      <c r="W249" s="532"/>
      <c r="X249" s="532"/>
      <c r="Y249" s="532"/>
      <c r="Z249" s="531"/>
      <c r="AA249" s="531"/>
      <c r="AB249" s="531"/>
      <c r="AC249" s="531"/>
      <c r="AD249" s="531"/>
      <c r="AE249" s="531"/>
      <c r="AF249" s="531"/>
      <c r="AG249" s="531"/>
    </row>
    <row r="250">
      <c r="B250" s="531"/>
      <c r="C250" s="531"/>
      <c r="D250" s="531"/>
      <c r="E250" s="531"/>
      <c r="F250" s="531"/>
      <c r="G250" s="531"/>
      <c r="H250" s="531"/>
      <c r="I250" s="531"/>
      <c r="J250" s="531"/>
      <c r="K250" s="531"/>
      <c r="L250" s="531"/>
      <c r="M250" s="531"/>
      <c r="N250" s="531"/>
      <c r="O250" s="531"/>
      <c r="P250" s="531"/>
      <c r="Q250" s="531"/>
      <c r="R250" s="531"/>
      <c r="S250" s="532"/>
      <c r="T250" s="532"/>
      <c r="U250" s="532"/>
      <c r="V250" s="532"/>
      <c r="W250" s="532"/>
      <c r="X250" s="532"/>
      <c r="Y250" s="532"/>
      <c r="Z250" s="531"/>
      <c r="AA250" s="531"/>
      <c r="AB250" s="531"/>
      <c r="AC250" s="531"/>
      <c r="AD250" s="531"/>
      <c r="AE250" s="531"/>
      <c r="AF250" s="531"/>
      <c r="AG250" s="531"/>
    </row>
    <row r="251">
      <c r="B251" s="531"/>
      <c r="C251" s="531"/>
      <c r="D251" s="531"/>
      <c r="E251" s="531"/>
      <c r="F251" s="531"/>
      <c r="G251" s="531"/>
      <c r="H251" s="531"/>
      <c r="I251" s="531"/>
      <c r="J251" s="531"/>
      <c r="K251" s="531"/>
      <c r="L251" s="531"/>
      <c r="M251" s="531"/>
      <c r="N251" s="531"/>
      <c r="O251" s="531"/>
      <c r="P251" s="531"/>
      <c r="Q251" s="531"/>
      <c r="R251" s="531"/>
      <c r="S251" s="532"/>
      <c r="T251" s="532"/>
      <c r="U251" s="532"/>
      <c r="V251" s="532"/>
      <c r="W251" s="532"/>
      <c r="X251" s="532"/>
      <c r="Y251" s="532"/>
      <c r="Z251" s="531"/>
      <c r="AA251" s="531"/>
      <c r="AB251" s="531"/>
      <c r="AC251" s="531"/>
      <c r="AD251" s="531"/>
      <c r="AE251" s="531"/>
      <c r="AF251" s="531"/>
      <c r="AG251" s="531"/>
    </row>
    <row r="252">
      <c r="B252" s="531"/>
      <c r="C252" s="531"/>
      <c r="D252" s="531"/>
      <c r="E252" s="531"/>
      <c r="F252" s="531"/>
      <c r="G252" s="531"/>
      <c r="H252" s="531"/>
      <c r="I252" s="531"/>
      <c r="J252" s="531"/>
      <c r="K252" s="531"/>
      <c r="L252" s="531"/>
      <c r="M252" s="531"/>
      <c r="N252" s="531"/>
      <c r="O252" s="531"/>
      <c r="P252" s="531"/>
      <c r="Q252" s="531"/>
      <c r="R252" s="531"/>
      <c r="S252" s="532"/>
      <c r="T252" s="532"/>
      <c r="U252" s="532"/>
      <c r="V252" s="532"/>
      <c r="W252" s="532"/>
      <c r="X252" s="532"/>
      <c r="Y252" s="532"/>
      <c r="Z252" s="531"/>
      <c r="AA252" s="531"/>
      <c r="AB252" s="531"/>
      <c r="AC252" s="531"/>
      <c r="AD252" s="531"/>
      <c r="AE252" s="531"/>
      <c r="AF252" s="531"/>
      <c r="AG252" s="531"/>
    </row>
    <row r="253">
      <c r="B253" s="531"/>
      <c r="C253" s="531"/>
      <c r="D253" s="531"/>
      <c r="E253" s="531"/>
      <c r="F253" s="531"/>
      <c r="G253" s="531"/>
      <c r="H253" s="531"/>
      <c r="I253" s="531"/>
      <c r="J253" s="531"/>
      <c r="K253" s="531"/>
      <c r="L253" s="531"/>
      <c r="M253" s="531"/>
      <c r="N253" s="531"/>
      <c r="O253" s="531"/>
      <c r="P253" s="531"/>
      <c r="Q253" s="531"/>
      <c r="R253" s="531"/>
      <c r="S253" s="532"/>
      <c r="T253" s="532"/>
      <c r="U253" s="532"/>
      <c r="V253" s="532"/>
      <c r="W253" s="532"/>
      <c r="X253" s="532"/>
      <c r="Y253" s="532"/>
      <c r="Z253" s="531"/>
      <c r="AA253" s="531"/>
      <c r="AB253" s="531"/>
      <c r="AC253" s="531"/>
      <c r="AD253" s="531"/>
      <c r="AE253" s="531"/>
      <c r="AF253" s="531"/>
      <c r="AG253" s="531"/>
    </row>
    <row r="254">
      <c r="B254" s="531"/>
      <c r="C254" s="531"/>
      <c r="D254" s="531"/>
      <c r="E254" s="531"/>
      <c r="F254" s="531"/>
      <c r="G254" s="531"/>
      <c r="H254" s="531"/>
      <c r="I254" s="531"/>
      <c r="J254" s="531"/>
      <c r="K254" s="531"/>
      <c r="L254" s="531"/>
      <c r="M254" s="531"/>
      <c r="N254" s="531"/>
      <c r="O254" s="531"/>
      <c r="P254" s="531"/>
      <c r="Q254" s="531"/>
      <c r="R254" s="531"/>
      <c r="S254" s="532"/>
      <c r="T254" s="532"/>
      <c r="U254" s="532"/>
      <c r="V254" s="532"/>
      <c r="W254" s="532"/>
      <c r="X254" s="532"/>
      <c r="Y254" s="532"/>
      <c r="Z254" s="531"/>
      <c r="AA254" s="531"/>
      <c r="AB254" s="531"/>
      <c r="AC254" s="531"/>
      <c r="AD254" s="531"/>
      <c r="AE254" s="531"/>
      <c r="AF254" s="531"/>
      <c r="AG254" s="531"/>
    </row>
    <row r="255">
      <c r="B255" s="531"/>
      <c r="C255" s="531"/>
      <c r="D255" s="531"/>
      <c r="E255" s="531"/>
      <c r="F255" s="531"/>
      <c r="G255" s="531"/>
      <c r="H255" s="531"/>
      <c r="I255" s="531"/>
      <c r="J255" s="531"/>
      <c r="K255" s="531"/>
      <c r="L255" s="531"/>
      <c r="M255" s="531"/>
      <c r="N255" s="531"/>
      <c r="O255" s="531"/>
      <c r="P255" s="531"/>
      <c r="Q255" s="531"/>
      <c r="R255" s="531"/>
      <c r="S255" s="532"/>
      <c r="T255" s="532"/>
      <c r="U255" s="532"/>
      <c r="V255" s="532"/>
      <c r="W255" s="532"/>
      <c r="X255" s="532"/>
      <c r="Y255" s="532"/>
      <c r="Z255" s="531"/>
      <c r="AA255" s="531"/>
      <c r="AB255" s="531"/>
      <c r="AC255" s="531"/>
      <c r="AD255" s="531"/>
      <c r="AE255" s="531"/>
      <c r="AF255" s="531"/>
      <c r="AG255" s="531"/>
    </row>
    <row r="256">
      <c r="B256" s="531"/>
      <c r="C256" s="531"/>
      <c r="D256" s="531"/>
      <c r="E256" s="531"/>
      <c r="F256" s="531"/>
      <c r="G256" s="531"/>
      <c r="H256" s="531"/>
      <c r="I256" s="531"/>
      <c r="J256" s="531"/>
      <c r="K256" s="531"/>
      <c r="L256" s="531"/>
      <c r="M256" s="531"/>
      <c r="N256" s="531"/>
      <c r="O256" s="531"/>
      <c r="P256" s="531"/>
      <c r="Q256" s="531"/>
      <c r="R256" s="531"/>
      <c r="S256" s="532"/>
      <c r="T256" s="532"/>
      <c r="U256" s="532"/>
      <c r="V256" s="532"/>
      <c r="W256" s="532"/>
      <c r="X256" s="532"/>
      <c r="Y256" s="532"/>
      <c r="Z256" s="531"/>
      <c r="AA256" s="531"/>
      <c r="AB256" s="531"/>
      <c r="AC256" s="531"/>
      <c r="AD256" s="531"/>
      <c r="AE256" s="531"/>
      <c r="AF256" s="531"/>
      <c r="AG256" s="531"/>
    </row>
    <row r="257">
      <c r="B257" s="531"/>
      <c r="C257" s="531"/>
      <c r="D257" s="531"/>
      <c r="E257" s="531"/>
      <c r="F257" s="531"/>
      <c r="G257" s="531"/>
      <c r="H257" s="531"/>
      <c r="I257" s="531"/>
      <c r="J257" s="531"/>
      <c r="K257" s="531"/>
      <c r="L257" s="531"/>
      <c r="M257" s="531"/>
      <c r="N257" s="531"/>
      <c r="O257" s="531"/>
      <c r="P257" s="531"/>
      <c r="Q257" s="531"/>
      <c r="R257" s="531"/>
      <c r="S257" s="532"/>
      <c r="T257" s="532"/>
      <c r="U257" s="532"/>
      <c r="V257" s="532"/>
      <c r="W257" s="532"/>
      <c r="X257" s="532"/>
      <c r="Y257" s="532"/>
      <c r="Z257" s="531"/>
      <c r="AA257" s="531"/>
      <c r="AB257" s="531"/>
      <c r="AC257" s="531"/>
      <c r="AD257" s="531"/>
      <c r="AE257" s="531"/>
      <c r="AF257" s="531"/>
      <c r="AG257" s="531"/>
    </row>
    <row r="258">
      <c r="B258" s="531"/>
      <c r="C258" s="531"/>
      <c r="D258" s="531"/>
      <c r="E258" s="531"/>
      <c r="F258" s="531"/>
      <c r="G258" s="531"/>
      <c r="H258" s="531"/>
      <c r="I258" s="531"/>
      <c r="J258" s="531"/>
      <c r="K258" s="531"/>
      <c r="L258" s="531"/>
      <c r="M258" s="531"/>
      <c r="N258" s="531"/>
      <c r="O258" s="531"/>
      <c r="P258" s="531"/>
      <c r="Q258" s="531"/>
      <c r="R258" s="531"/>
      <c r="S258" s="532"/>
      <c r="T258" s="532"/>
      <c r="U258" s="532"/>
      <c r="V258" s="532"/>
      <c r="W258" s="532"/>
      <c r="X258" s="532"/>
      <c r="Y258" s="532"/>
      <c r="Z258" s="531"/>
      <c r="AA258" s="531"/>
      <c r="AB258" s="531"/>
      <c r="AC258" s="531"/>
      <c r="AD258" s="531"/>
      <c r="AE258" s="531"/>
      <c r="AF258" s="531"/>
      <c r="AG258" s="531"/>
    </row>
    <row r="259">
      <c r="B259" s="531"/>
      <c r="C259" s="531"/>
      <c r="D259" s="531"/>
      <c r="E259" s="531"/>
      <c r="F259" s="531"/>
      <c r="G259" s="531"/>
      <c r="H259" s="531"/>
      <c r="I259" s="531"/>
      <c r="J259" s="531"/>
      <c r="K259" s="531"/>
      <c r="L259" s="531"/>
      <c r="M259" s="531"/>
      <c r="N259" s="531"/>
      <c r="O259" s="531"/>
      <c r="P259" s="531"/>
      <c r="Q259" s="531"/>
      <c r="R259" s="531"/>
      <c r="S259" s="532"/>
      <c r="T259" s="532"/>
      <c r="U259" s="532"/>
      <c r="V259" s="532"/>
      <c r="W259" s="532"/>
      <c r="X259" s="532"/>
      <c r="Y259" s="532"/>
      <c r="Z259" s="531"/>
      <c r="AA259" s="531"/>
      <c r="AB259" s="531"/>
      <c r="AC259" s="531"/>
      <c r="AD259" s="531"/>
      <c r="AE259" s="531"/>
      <c r="AF259" s="531"/>
      <c r="AG259" s="531"/>
    </row>
    <row r="260">
      <c r="B260" s="531"/>
      <c r="C260" s="531"/>
      <c r="D260" s="531"/>
      <c r="E260" s="531"/>
      <c r="F260" s="531"/>
      <c r="G260" s="531"/>
      <c r="H260" s="531"/>
      <c r="I260" s="531"/>
      <c r="J260" s="531"/>
      <c r="K260" s="531"/>
      <c r="L260" s="531"/>
      <c r="M260" s="531"/>
      <c r="N260" s="531"/>
      <c r="O260" s="531"/>
      <c r="P260" s="531"/>
      <c r="Q260" s="531"/>
      <c r="R260" s="531"/>
      <c r="S260" s="532"/>
      <c r="T260" s="532"/>
      <c r="U260" s="532"/>
      <c r="V260" s="532"/>
      <c r="W260" s="532"/>
      <c r="X260" s="532"/>
      <c r="Y260" s="532"/>
      <c r="Z260" s="531"/>
      <c r="AA260" s="531"/>
      <c r="AB260" s="531"/>
      <c r="AC260" s="531"/>
      <c r="AD260" s="531"/>
      <c r="AE260" s="531"/>
      <c r="AF260" s="531"/>
      <c r="AG260" s="531"/>
    </row>
    <row r="261">
      <c r="B261" s="531"/>
      <c r="C261" s="531"/>
      <c r="D261" s="531"/>
      <c r="E261" s="531"/>
      <c r="F261" s="531"/>
      <c r="G261" s="531"/>
      <c r="H261" s="531"/>
      <c r="I261" s="531"/>
      <c r="J261" s="531"/>
      <c r="K261" s="531"/>
      <c r="L261" s="531"/>
      <c r="M261" s="531"/>
      <c r="N261" s="531"/>
      <c r="O261" s="531"/>
      <c r="P261" s="531"/>
      <c r="Q261" s="531"/>
      <c r="R261" s="531"/>
      <c r="S261" s="532"/>
      <c r="T261" s="532"/>
      <c r="U261" s="532"/>
      <c r="V261" s="532"/>
      <c r="W261" s="532"/>
      <c r="X261" s="532"/>
      <c r="Y261" s="532"/>
      <c r="Z261" s="531"/>
      <c r="AA261" s="531"/>
      <c r="AB261" s="531"/>
      <c r="AC261" s="531"/>
      <c r="AD261" s="531"/>
      <c r="AE261" s="531"/>
      <c r="AF261" s="531"/>
      <c r="AG261" s="531"/>
    </row>
    <row r="262">
      <c r="B262" s="531"/>
      <c r="C262" s="531"/>
      <c r="D262" s="531"/>
      <c r="E262" s="531"/>
      <c r="F262" s="531"/>
      <c r="G262" s="531"/>
      <c r="H262" s="531"/>
      <c r="I262" s="531"/>
      <c r="J262" s="531"/>
      <c r="K262" s="531"/>
      <c r="L262" s="531"/>
      <c r="M262" s="531"/>
      <c r="N262" s="531"/>
      <c r="O262" s="531"/>
      <c r="P262" s="531"/>
      <c r="Q262" s="531"/>
      <c r="R262" s="531"/>
      <c r="S262" s="532"/>
      <c r="T262" s="532"/>
      <c r="U262" s="532"/>
      <c r="V262" s="532"/>
      <c r="W262" s="532"/>
      <c r="X262" s="532"/>
      <c r="Y262" s="532"/>
      <c r="Z262" s="531"/>
      <c r="AA262" s="531"/>
      <c r="AB262" s="531"/>
      <c r="AC262" s="531"/>
      <c r="AD262" s="531"/>
      <c r="AE262" s="531"/>
      <c r="AF262" s="531"/>
      <c r="AG262" s="531"/>
    </row>
    <row r="263">
      <c r="B263" s="531"/>
      <c r="C263" s="531"/>
      <c r="D263" s="531"/>
      <c r="E263" s="531"/>
      <c r="F263" s="531"/>
      <c r="G263" s="531"/>
      <c r="H263" s="531"/>
      <c r="I263" s="531"/>
      <c r="J263" s="531"/>
      <c r="K263" s="531"/>
      <c r="L263" s="531"/>
      <c r="M263" s="531"/>
      <c r="N263" s="531"/>
      <c r="O263" s="531"/>
      <c r="P263" s="531"/>
      <c r="Q263" s="531"/>
      <c r="R263" s="531"/>
      <c r="S263" s="532"/>
      <c r="T263" s="532"/>
      <c r="U263" s="532"/>
      <c r="V263" s="532"/>
      <c r="W263" s="532"/>
      <c r="X263" s="532"/>
      <c r="Y263" s="532"/>
      <c r="Z263" s="531"/>
      <c r="AA263" s="531"/>
      <c r="AB263" s="531"/>
      <c r="AC263" s="531"/>
      <c r="AD263" s="531"/>
      <c r="AE263" s="531"/>
      <c r="AF263" s="531"/>
      <c r="AG263" s="531"/>
    </row>
    <row r="264">
      <c r="B264" s="531"/>
      <c r="C264" s="531"/>
      <c r="D264" s="531"/>
      <c r="E264" s="531"/>
      <c r="F264" s="531"/>
      <c r="G264" s="531"/>
      <c r="H264" s="531"/>
      <c r="I264" s="531"/>
      <c r="J264" s="531"/>
      <c r="K264" s="531"/>
      <c r="L264" s="531"/>
      <c r="M264" s="531"/>
      <c r="N264" s="531"/>
      <c r="O264" s="531"/>
      <c r="P264" s="531"/>
      <c r="Q264" s="531"/>
      <c r="R264" s="531"/>
      <c r="S264" s="532"/>
      <c r="T264" s="532"/>
      <c r="U264" s="532"/>
      <c r="V264" s="532"/>
      <c r="W264" s="532"/>
      <c r="X264" s="532"/>
      <c r="Y264" s="532"/>
      <c r="Z264" s="531"/>
      <c r="AA264" s="531"/>
      <c r="AB264" s="531"/>
      <c r="AC264" s="531"/>
      <c r="AD264" s="531"/>
      <c r="AE264" s="531"/>
      <c r="AF264" s="531"/>
      <c r="AG264" s="531"/>
    </row>
    <row r="265">
      <c r="B265" s="531"/>
      <c r="C265" s="531"/>
      <c r="D265" s="531"/>
      <c r="E265" s="531"/>
      <c r="F265" s="531"/>
      <c r="G265" s="531"/>
      <c r="H265" s="531"/>
      <c r="I265" s="531"/>
      <c r="J265" s="531"/>
      <c r="K265" s="531"/>
      <c r="L265" s="531"/>
      <c r="M265" s="531"/>
      <c r="N265" s="531"/>
      <c r="O265" s="531"/>
      <c r="P265" s="531"/>
      <c r="Q265" s="531"/>
      <c r="R265" s="531"/>
      <c r="S265" s="532"/>
      <c r="T265" s="532"/>
      <c r="U265" s="532"/>
      <c r="V265" s="532"/>
      <c r="W265" s="532"/>
      <c r="X265" s="532"/>
      <c r="Y265" s="532"/>
      <c r="Z265" s="531"/>
      <c r="AA265" s="531"/>
      <c r="AB265" s="531"/>
      <c r="AC265" s="531"/>
      <c r="AD265" s="531"/>
      <c r="AE265" s="531"/>
      <c r="AF265" s="531"/>
      <c r="AG265" s="531"/>
    </row>
    <row r="266">
      <c r="B266" s="531"/>
      <c r="C266" s="531"/>
      <c r="D266" s="531"/>
      <c r="E266" s="531"/>
      <c r="F266" s="531"/>
      <c r="G266" s="531"/>
      <c r="H266" s="531"/>
      <c r="I266" s="531"/>
      <c r="J266" s="531"/>
      <c r="K266" s="531"/>
      <c r="L266" s="531"/>
      <c r="M266" s="531"/>
      <c r="N266" s="531"/>
      <c r="O266" s="531"/>
      <c r="P266" s="531"/>
      <c r="Q266" s="531"/>
      <c r="R266" s="531"/>
      <c r="S266" s="532"/>
      <c r="T266" s="532"/>
      <c r="U266" s="532"/>
      <c r="V266" s="532"/>
      <c r="W266" s="532"/>
      <c r="X266" s="532"/>
      <c r="Y266" s="532"/>
      <c r="Z266" s="531"/>
      <c r="AA266" s="531"/>
      <c r="AB266" s="531"/>
      <c r="AC266" s="531"/>
      <c r="AD266" s="531"/>
      <c r="AE266" s="531"/>
      <c r="AF266" s="531"/>
      <c r="AG266" s="531"/>
    </row>
    <row r="267">
      <c r="B267" s="531"/>
      <c r="C267" s="531"/>
      <c r="D267" s="531"/>
      <c r="E267" s="531"/>
      <c r="F267" s="531"/>
      <c r="G267" s="531"/>
      <c r="H267" s="531"/>
      <c r="I267" s="531"/>
      <c r="J267" s="531"/>
      <c r="K267" s="531"/>
      <c r="L267" s="531"/>
      <c r="M267" s="531"/>
      <c r="N267" s="531"/>
      <c r="O267" s="531"/>
      <c r="P267" s="531"/>
      <c r="Q267" s="531"/>
      <c r="R267" s="531"/>
      <c r="S267" s="532"/>
      <c r="T267" s="532"/>
      <c r="U267" s="532"/>
      <c r="V267" s="532"/>
      <c r="W267" s="532"/>
      <c r="X267" s="532"/>
      <c r="Y267" s="532"/>
      <c r="Z267" s="531"/>
      <c r="AA267" s="531"/>
      <c r="AB267" s="531"/>
      <c r="AC267" s="531"/>
      <c r="AD267" s="531"/>
      <c r="AE267" s="531"/>
      <c r="AF267" s="531"/>
      <c r="AG267" s="531"/>
    </row>
    <row r="268">
      <c r="B268" s="531"/>
      <c r="C268" s="531"/>
      <c r="D268" s="531"/>
      <c r="E268" s="531"/>
      <c r="F268" s="531"/>
      <c r="G268" s="531"/>
      <c r="H268" s="531"/>
      <c r="I268" s="531"/>
      <c r="J268" s="531"/>
      <c r="K268" s="531"/>
      <c r="L268" s="531"/>
      <c r="M268" s="531"/>
      <c r="N268" s="531"/>
      <c r="O268" s="531"/>
      <c r="P268" s="531"/>
      <c r="Q268" s="531"/>
      <c r="R268" s="531"/>
      <c r="S268" s="532"/>
      <c r="T268" s="532"/>
      <c r="U268" s="532"/>
      <c r="V268" s="532"/>
      <c r="W268" s="532"/>
      <c r="X268" s="532"/>
      <c r="Y268" s="532"/>
      <c r="Z268" s="531"/>
      <c r="AA268" s="531"/>
      <c r="AB268" s="531"/>
      <c r="AC268" s="531"/>
      <c r="AD268" s="531"/>
      <c r="AE268" s="531"/>
      <c r="AF268" s="531"/>
      <c r="AG268" s="531"/>
    </row>
    <row r="269">
      <c r="B269" s="531"/>
      <c r="C269" s="531"/>
      <c r="D269" s="531"/>
      <c r="E269" s="531"/>
      <c r="F269" s="531"/>
      <c r="G269" s="531"/>
      <c r="H269" s="531"/>
      <c r="I269" s="531"/>
      <c r="J269" s="531"/>
      <c r="K269" s="531"/>
      <c r="L269" s="531"/>
      <c r="M269" s="531"/>
      <c r="N269" s="531"/>
      <c r="O269" s="531"/>
      <c r="P269" s="531"/>
      <c r="Q269" s="531"/>
      <c r="R269" s="531"/>
      <c r="S269" s="532"/>
      <c r="T269" s="532"/>
      <c r="U269" s="532"/>
      <c r="V269" s="532"/>
      <c r="W269" s="532"/>
      <c r="X269" s="532"/>
      <c r="Y269" s="532"/>
      <c r="Z269" s="531"/>
      <c r="AA269" s="531"/>
      <c r="AB269" s="531"/>
      <c r="AC269" s="531"/>
      <c r="AD269" s="531"/>
      <c r="AE269" s="531"/>
      <c r="AF269" s="531"/>
      <c r="AG269" s="531"/>
    </row>
    <row r="270">
      <c r="B270" s="531"/>
      <c r="C270" s="531"/>
      <c r="D270" s="531"/>
      <c r="E270" s="531"/>
      <c r="F270" s="531"/>
      <c r="G270" s="531"/>
      <c r="H270" s="531"/>
      <c r="I270" s="531"/>
      <c r="J270" s="531"/>
      <c r="K270" s="531"/>
      <c r="L270" s="531"/>
      <c r="M270" s="531"/>
      <c r="N270" s="531"/>
      <c r="O270" s="531"/>
      <c r="P270" s="531"/>
      <c r="Q270" s="531"/>
      <c r="R270" s="531"/>
      <c r="S270" s="532"/>
      <c r="T270" s="532"/>
      <c r="U270" s="532"/>
      <c r="V270" s="532"/>
      <c r="W270" s="532"/>
      <c r="X270" s="532"/>
      <c r="Y270" s="532"/>
      <c r="Z270" s="531"/>
      <c r="AA270" s="531"/>
      <c r="AB270" s="531"/>
      <c r="AC270" s="531"/>
      <c r="AD270" s="531"/>
      <c r="AE270" s="531"/>
      <c r="AF270" s="531"/>
      <c r="AG270" s="531"/>
    </row>
    <row r="271">
      <c r="B271" s="531"/>
      <c r="C271" s="531"/>
      <c r="D271" s="531"/>
      <c r="E271" s="531"/>
      <c r="F271" s="531"/>
      <c r="G271" s="531"/>
      <c r="H271" s="531"/>
      <c r="I271" s="531"/>
      <c r="J271" s="531"/>
      <c r="K271" s="531"/>
      <c r="L271" s="531"/>
      <c r="M271" s="531"/>
      <c r="N271" s="531"/>
      <c r="O271" s="531"/>
      <c r="P271" s="531"/>
      <c r="Q271" s="531"/>
      <c r="R271" s="531"/>
      <c r="S271" s="532"/>
      <c r="T271" s="532"/>
      <c r="U271" s="532"/>
      <c r="V271" s="532"/>
      <c r="W271" s="532"/>
      <c r="X271" s="532"/>
      <c r="Y271" s="532"/>
      <c r="Z271" s="531"/>
      <c r="AA271" s="531"/>
      <c r="AB271" s="531"/>
      <c r="AC271" s="531"/>
      <c r="AD271" s="531"/>
      <c r="AE271" s="531"/>
      <c r="AF271" s="531"/>
      <c r="AG271" s="531"/>
    </row>
    <row r="272">
      <c r="B272" s="531"/>
      <c r="C272" s="531"/>
      <c r="D272" s="531"/>
      <c r="E272" s="531"/>
      <c r="F272" s="531"/>
      <c r="G272" s="531"/>
      <c r="H272" s="531"/>
      <c r="I272" s="531"/>
      <c r="J272" s="531"/>
      <c r="K272" s="531"/>
      <c r="L272" s="531"/>
      <c r="M272" s="531"/>
      <c r="N272" s="531"/>
      <c r="O272" s="531"/>
      <c r="P272" s="531"/>
      <c r="Q272" s="531"/>
      <c r="R272" s="531"/>
      <c r="S272" s="532"/>
      <c r="T272" s="532"/>
      <c r="U272" s="532"/>
      <c r="V272" s="532"/>
      <c r="W272" s="532"/>
      <c r="X272" s="532"/>
      <c r="Y272" s="532"/>
      <c r="Z272" s="531"/>
      <c r="AA272" s="531"/>
      <c r="AB272" s="531"/>
      <c r="AC272" s="531"/>
      <c r="AD272" s="531"/>
      <c r="AE272" s="531"/>
      <c r="AF272" s="531"/>
      <c r="AG272" s="531"/>
    </row>
    <row r="273">
      <c r="B273" s="531"/>
      <c r="C273" s="531"/>
      <c r="D273" s="531"/>
      <c r="E273" s="531"/>
      <c r="F273" s="531"/>
      <c r="G273" s="531"/>
      <c r="H273" s="531"/>
      <c r="I273" s="531"/>
      <c r="J273" s="531"/>
      <c r="K273" s="531"/>
      <c r="L273" s="531"/>
      <c r="M273" s="531"/>
      <c r="N273" s="531"/>
      <c r="O273" s="531"/>
      <c r="P273" s="531"/>
      <c r="Q273" s="531"/>
      <c r="R273" s="531"/>
      <c r="S273" s="532"/>
      <c r="T273" s="532"/>
      <c r="U273" s="532"/>
      <c r="V273" s="532"/>
      <c r="W273" s="532"/>
      <c r="X273" s="532"/>
      <c r="Y273" s="532"/>
      <c r="Z273" s="531"/>
      <c r="AA273" s="531"/>
      <c r="AB273" s="531"/>
      <c r="AC273" s="531"/>
      <c r="AD273" s="531"/>
      <c r="AE273" s="531"/>
      <c r="AF273" s="531"/>
      <c r="AG273" s="531"/>
    </row>
    <row r="274">
      <c r="B274" s="531"/>
      <c r="C274" s="531"/>
      <c r="D274" s="531"/>
      <c r="E274" s="531"/>
      <c r="F274" s="531"/>
      <c r="G274" s="531"/>
      <c r="H274" s="531"/>
      <c r="I274" s="531"/>
      <c r="J274" s="531"/>
      <c r="K274" s="531"/>
      <c r="L274" s="531"/>
      <c r="M274" s="531"/>
      <c r="N274" s="531"/>
      <c r="O274" s="531"/>
      <c r="P274" s="531"/>
      <c r="Q274" s="531"/>
      <c r="R274" s="531"/>
      <c r="S274" s="532"/>
      <c r="T274" s="532"/>
      <c r="U274" s="532"/>
      <c r="V274" s="532"/>
      <c r="W274" s="532"/>
      <c r="X274" s="532"/>
      <c r="Y274" s="532"/>
      <c r="Z274" s="531"/>
      <c r="AA274" s="531"/>
      <c r="AB274" s="531"/>
      <c r="AC274" s="531"/>
      <c r="AD274" s="531"/>
      <c r="AE274" s="531"/>
      <c r="AF274" s="531"/>
      <c r="AG274" s="531"/>
    </row>
    <row r="275">
      <c r="B275" s="531"/>
      <c r="C275" s="531"/>
      <c r="D275" s="531"/>
      <c r="E275" s="531"/>
      <c r="F275" s="531"/>
      <c r="G275" s="531"/>
      <c r="H275" s="531"/>
      <c r="I275" s="531"/>
      <c r="J275" s="531"/>
      <c r="K275" s="531"/>
      <c r="L275" s="531"/>
      <c r="M275" s="531"/>
      <c r="N275" s="531"/>
      <c r="O275" s="531"/>
      <c r="P275" s="531"/>
      <c r="Q275" s="531"/>
      <c r="R275" s="531"/>
      <c r="S275" s="532"/>
      <c r="T275" s="532"/>
      <c r="U275" s="532"/>
      <c r="V275" s="532"/>
      <c r="W275" s="532"/>
      <c r="X275" s="532"/>
      <c r="Y275" s="532"/>
      <c r="Z275" s="531"/>
      <c r="AA275" s="531"/>
      <c r="AB275" s="531"/>
      <c r="AC275" s="531"/>
      <c r="AD275" s="531"/>
      <c r="AE275" s="531"/>
      <c r="AF275" s="531"/>
      <c r="AG275" s="531"/>
    </row>
    <row r="276">
      <c r="B276" s="531"/>
      <c r="C276" s="531"/>
      <c r="D276" s="531"/>
      <c r="E276" s="531"/>
      <c r="F276" s="531"/>
      <c r="G276" s="531"/>
      <c r="H276" s="531"/>
      <c r="I276" s="531"/>
      <c r="J276" s="531"/>
      <c r="K276" s="531"/>
      <c r="L276" s="531"/>
      <c r="M276" s="531"/>
      <c r="N276" s="531"/>
      <c r="O276" s="531"/>
      <c r="P276" s="531"/>
      <c r="Q276" s="531"/>
      <c r="R276" s="531"/>
      <c r="S276" s="532"/>
      <c r="T276" s="532"/>
      <c r="U276" s="532"/>
      <c r="V276" s="532"/>
      <c r="W276" s="532"/>
      <c r="X276" s="532"/>
      <c r="Y276" s="532"/>
      <c r="Z276" s="531"/>
      <c r="AA276" s="531"/>
      <c r="AB276" s="531"/>
      <c r="AC276" s="531"/>
      <c r="AD276" s="531"/>
      <c r="AE276" s="531"/>
      <c r="AF276" s="531"/>
      <c r="AG276" s="531"/>
    </row>
    <row r="277">
      <c r="B277" s="531"/>
      <c r="C277" s="531"/>
      <c r="D277" s="531"/>
      <c r="E277" s="531"/>
      <c r="F277" s="531"/>
      <c r="G277" s="531"/>
      <c r="H277" s="531"/>
      <c r="I277" s="531"/>
      <c r="J277" s="531"/>
      <c r="K277" s="531"/>
      <c r="L277" s="531"/>
      <c r="M277" s="531"/>
      <c r="N277" s="531"/>
      <c r="O277" s="531"/>
      <c r="P277" s="531"/>
      <c r="Q277" s="531"/>
      <c r="R277" s="531"/>
      <c r="S277" s="532"/>
      <c r="T277" s="532"/>
      <c r="U277" s="532"/>
      <c r="V277" s="532"/>
      <c r="W277" s="532"/>
      <c r="X277" s="532"/>
      <c r="Y277" s="532"/>
      <c r="Z277" s="531"/>
      <c r="AA277" s="531"/>
      <c r="AB277" s="531"/>
      <c r="AC277" s="531"/>
      <c r="AD277" s="531"/>
      <c r="AE277" s="531"/>
      <c r="AF277" s="531"/>
      <c r="AG277" s="531"/>
    </row>
    <row r="278">
      <c r="B278" s="531"/>
      <c r="C278" s="531"/>
      <c r="D278" s="531"/>
      <c r="E278" s="531"/>
      <c r="F278" s="531"/>
      <c r="G278" s="531"/>
      <c r="H278" s="531"/>
      <c r="I278" s="531"/>
      <c r="J278" s="531"/>
      <c r="K278" s="531"/>
      <c r="L278" s="531"/>
      <c r="M278" s="531"/>
      <c r="N278" s="531"/>
      <c r="O278" s="531"/>
      <c r="P278" s="531"/>
      <c r="Q278" s="531"/>
      <c r="R278" s="531"/>
      <c r="S278" s="532"/>
      <c r="T278" s="532"/>
      <c r="U278" s="532"/>
      <c r="V278" s="532"/>
      <c r="W278" s="532"/>
      <c r="X278" s="532"/>
      <c r="Y278" s="532"/>
      <c r="Z278" s="531"/>
      <c r="AA278" s="531"/>
      <c r="AB278" s="531"/>
      <c r="AC278" s="531"/>
      <c r="AD278" s="531"/>
      <c r="AE278" s="531"/>
      <c r="AF278" s="531"/>
      <c r="AG278" s="531"/>
    </row>
    <row r="279">
      <c r="B279" s="531"/>
      <c r="C279" s="531"/>
      <c r="D279" s="531"/>
      <c r="E279" s="531"/>
      <c r="F279" s="531"/>
      <c r="G279" s="531"/>
      <c r="H279" s="531"/>
      <c r="I279" s="531"/>
      <c r="J279" s="531"/>
      <c r="K279" s="531"/>
      <c r="L279" s="531"/>
      <c r="M279" s="531"/>
      <c r="N279" s="531"/>
      <c r="O279" s="531"/>
      <c r="P279" s="531"/>
      <c r="Q279" s="531"/>
      <c r="R279" s="531"/>
      <c r="S279" s="532"/>
      <c r="T279" s="532"/>
      <c r="U279" s="532"/>
      <c r="V279" s="532"/>
      <c r="W279" s="532"/>
      <c r="X279" s="532"/>
      <c r="Y279" s="532"/>
      <c r="Z279" s="531"/>
      <c r="AA279" s="531"/>
      <c r="AB279" s="531"/>
      <c r="AC279" s="531"/>
      <c r="AD279" s="531"/>
      <c r="AE279" s="531"/>
      <c r="AF279" s="531"/>
      <c r="AG279" s="531"/>
    </row>
    <row r="280">
      <c r="B280" s="531"/>
      <c r="C280" s="531"/>
      <c r="D280" s="531"/>
      <c r="E280" s="531"/>
      <c r="F280" s="531"/>
      <c r="G280" s="531"/>
      <c r="H280" s="531"/>
      <c r="I280" s="531"/>
      <c r="J280" s="531"/>
      <c r="K280" s="531"/>
      <c r="L280" s="531"/>
      <c r="M280" s="531"/>
      <c r="N280" s="531"/>
      <c r="O280" s="531"/>
      <c r="P280" s="531"/>
      <c r="Q280" s="531"/>
      <c r="R280" s="531"/>
      <c r="S280" s="532"/>
      <c r="T280" s="532"/>
      <c r="U280" s="532"/>
      <c r="V280" s="532"/>
      <c r="W280" s="532"/>
      <c r="X280" s="532"/>
      <c r="Y280" s="532"/>
      <c r="Z280" s="531"/>
      <c r="AA280" s="531"/>
      <c r="AB280" s="531"/>
      <c r="AC280" s="531"/>
      <c r="AD280" s="531"/>
      <c r="AE280" s="531"/>
      <c r="AF280" s="531"/>
      <c r="AG280" s="531"/>
    </row>
    <row r="281">
      <c r="B281" s="531"/>
      <c r="C281" s="531"/>
      <c r="D281" s="531"/>
      <c r="E281" s="531"/>
      <c r="F281" s="531"/>
      <c r="G281" s="531"/>
      <c r="H281" s="531"/>
      <c r="I281" s="531"/>
      <c r="J281" s="531"/>
      <c r="K281" s="531"/>
      <c r="L281" s="531"/>
      <c r="M281" s="531"/>
      <c r="N281" s="531"/>
      <c r="O281" s="531"/>
      <c r="P281" s="531"/>
      <c r="Q281" s="531"/>
      <c r="R281" s="531"/>
      <c r="S281" s="532"/>
      <c r="T281" s="532"/>
      <c r="U281" s="532"/>
      <c r="V281" s="532"/>
      <c r="W281" s="532"/>
      <c r="X281" s="532"/>
      <c r="Y281" s="532"/>
      <c r="Z281" s="531"/>
      <c r="AA281" s="531"/>
      <c r="AB281" s="531"/>
      <c r="AC281" s="531"/>
      <c r="AD281" s="531"/>
      <c r="AE281" s="531"/>
      <c r="AF281" s="531"/>
      <c r="AG281" s="531"/>
    </row>
    <row r="282">
      <c r="B282" s="531"/>
      <c r="C282" s="531"/>
      <c r="D282" s="531"/>
      <c r="E282" s="531"/>
      <c r="F282" s="531"/>
      <c r="G282" s="531"/>
      <c r="H282" s="531"/>
      <c r="I282" s="531"/>
      <c r="J282" s="531"/>
      <c r="K282" s="531"/>
      <c r="L282" s="531"/>
      <c r="M282" s="531"/>
      <c r="N282" s="531"/>
      <c r="O282" s="531"/>
      <c r="P282" s="531"/>
      <c r="Q282" s="531"/>
      <c r="R282" s="531"/>
      <c r="S282" s="532"/>
      <c r="T282" s="532"/>
      <c r="U282" s="532"/>
      <c r="V282" s="532"/>
      <c r="W282" s="532"/>
      <c r="X282" s="532"/>
      <c r="Y282" s="532"/>
      <c r="Z282" s="531"/>
      <c r="AA282" s="531"/>
      <c r="AB282" s="531"/>
      <c r="AC282" s="531"/>
      <c r="AD282" s="531"/>
      <c r="AE282" s="531"/>
      <c r="AF282" s="531"/>
      <c r="AG282" s="531"/>
    </row>
    <row r="283">
      <c r="B283" s="531"/>
      <c r="C283" s="531"/>
      <c r="D283" s="531"/>
      <c r="E283" s="531"/>
      <c r="F283" s="531"/>
      <c r="G283" s="531"/>
      <c r="H283" s="531"/>
      <c r="I283" s="531"/>
      <c r="J283" s="531"/>
      <c r="K283" s="531"/>
      <c r="L283" s="531"/>
      <c r="M283" s="531"/>
      <c r="N283" s="531"/>
      <c r="O283" s="531"/>
      <c r="P283" s="531"/>
      <c r="Q283" s="531"/>
      <c r="R283" s="531"/>
      <c r="S283" s="532"/>
      <c r="T283" s="532"/>
      <c r="U283" s="532"/>
      <c r="V283" s="532"/>
      <c r="W283" s="532"/>
      <c r="X283" s="532"/>
      <c r="Y283" s="532"/>
      <c r="Z283" s="531"/>
      <c r="AA283" s="531"/>
      <c r="AB283" s="531"/>
      <c r="AC283" s="531"/>
      <c r="AD283" s="531"/>
      <c r="AE283" s="531"/>
      <c r="AF283" s="531"/>
      <c r="AG283" s="531"/>
    </row>
    <row r="284">
      <c r="B284" s="531"/>
      <c r="C284" s="531"/>
      <c r="D284" s="531"/>
      <c r="E284" s="531"/>
      <c r="F284" s="531"/>
      <c r="G284" s="531"/>
      <c r="H284" s="531"/>
      <c r="I284" s="531"/>
      <c r="J284" s="531"/>
      <c r="K284" s="531"/>
      <c r="L284" s="531"/>
      <c r="M284" s="531"/>
      <c r="N284" s="531"/>
      <c r="O284" s="531"/>
      <c r="P284" s="531"/>
      <c r="Q284" s="531"/>
      <c r="R284" s="531"/>
      <c r="S284" s="532"/>
      <c r="T284" s="532"/>
      <c r="U284" s="532"/>
      <c r="V284" s="532"/>
      <c r="W284" s="532"/>
      <c r="X284" s="532"/>
      <c r="Y284" s="532"/>
      <c r="Z284" s="531"/>
      <c r="AA284" s="531"/>
      <c r="AB284" s="531"/>
      <c r="AC284" s="531"/>
      <c r="AD284" s="531"/>
      <c r="AE284" s="531"/>
      <c r="AF284" s="531"/>
      <c r="AG284" s="531"/>
    </row>
    <row r="285">
      <c r="B285" s="531"/>
      <c r="C285" s="531"/>
      <c r="D285" s="531"/>
      <c r="E285" s="531"/>
      <c r="F285" s="531"/>
      <c r="G285" s="531"/>
      <c r="H285" s="531"/>
      <c r="I285" s="531"/>
      <c r="J285" s="531"/>
      <c r="K285" s="531"/>
      <c r="L285" s="531"/>
      <c r="M285" s="531"/>
      <c r="N285" s="531"/>
      <c r="O285" s="531"/>
      <c r="P285" s="531"/>
      <c r="Q285" s="531"/>
      <c r="R285" s="531"/>
      <c r="S285" s="532"/>
      <c r="T285" s="532"/>
      <c r="U285" s="532"/>
      <c r="V285" s="532"/>
      <c r="W285" s="532"/>
      <c r="X285" s="532"/>
      <c r="Y285" s="532"/>
      <c r="Z285" s="531"/>
      <c r="AA285" s="531"/>
      <c r="AB285" s="531"/>
      <c r="AC285" s="531"/>
      <c r="AD285" s="531"/>
      <c r="AE285" s="531"/>
      <c r="AF285" s="531"/>
      <c r="AG285" s="531"/>
    </row>
    <row r="286">
      <c r="B286" s="531"/>
      <c r="C286" s="531"/>
      <c r="D286" s="531"/>
      <c r="E286" s="531"/>
      <c r="F286" s="531"/>
      <c r="G286" s="531"/>
      <c r="H286" s="531"/>
      <c r="I286" s="531"/>
      <c r="J286" s="531"/>
      <c r="K286" s="531"/>
      <c r="L286" s="531"/>
      <c r="M286" s="531"/>
      <c r="N286" s="531"/>
      <c r="O286" s="531"/>
      <c r="P286" s="531"/>
      <c r="Q286" s="531"/>
      <c r="R286" s="531"/>
      <c r="S286" s="532"/>
      <c r="T286" s="532"/>
      <c r="U286" s="532"/>
      <c r="V286" s="532"/>
      <c r="W286" s="532"/>
      <c r="X286" s="532"/>
      <c r="Y286" s="532"/>
      <c r="Z286" s="531"/>
      <c r="AA286" s="531"/>
      <c r="AB286" s="531"/>
      <c r="AC286" s="531"/>
      <c r="AD286" s="531"/>
      <c r="AE286" s="531"/>
      <c r="AF286" s="531"/>
      <c r="AG286" s="531"/>
    </row>
    <row r="287">
      <c r="B287" s="531"/>
      <c r="C287" s="531"/>
      <c r="D287" s="531"/>
      <c r="E287" s="531"/>
      <c r="F287" s="531"/>
      <c r="G287" s="531"/>
      <c r="H287" s="531"/>
      <c r="I287" s="531"/>
      <c r="J287" s="531"/>
      <c r="K287" s="531"/>
      <c r="L287" s="531"/>
      <c r="M287" s="531"/>
      <c r="N287" s="531"/>
      <c r="O287" s="531"/>
      <c r="P287" s="531"/>
      <c r="Q287" s="531"/>
      <c r="R287" s="531"/>
      <c r="S287" s="532"/>
      <c r="T287" s="532"/>
      <c r="U287" s="532"/>
      <c r="V287" s="532"/>
      <c r="W287" s="532"/>
      <c r="X287" s="532"/>
      <c r="Y287" s="532"/>
      <c r="Z287" s="531"/>
      <c r="AA287" s="531"/>
      <c r="AB287" s="531"/>
      <c r="AC287" s="531"/>
      <c r="AD287" s="531"/>
      <c r="AE287" s="531"/>
      <c r="AF287" s="531"/>
      <c r="AG287" s="531"/>
    </row>
    <row r="288">
      <c r="B288" s="531"/>
      <c r="C288" s="531"/>
      <c r="D288" s="531"/>
      <c r="E288" s="531"/>
      <c r="F288" s="531"/>
      <c r="G288" s="531"/>
      <c r="H288" s="531"/>
      <c r="I288" s="531"/>
      <c r="J288" s="531"/>
      <c r="K288" s="531"/>
      <c r="L288" s="531"/>
      <c r="M288" s="531"/>
      <c r="N288" s="531"/>
      <c r="O288" s="531"/>
      <c r="P288" s="531"/>
      <c r="Q288" s="531"/>
      <c r="R288" s="531"/>
      <c r="S288" s="532"/>
      <c r="T288" s="532"/>
      <c r="U288" s="532"/>
      <c r="V288" s="532"/>
      <c r="W288" s="532"/>
      <c r="X288" s="532"/>
      <c r="Y288" s="532"/>
      <c r="Z288" s="531"/>
      <c r="AA288" s="531"/>
      <c r="AB288" s="531"/>
      <c r="AC288" s="531"/>
      <c r="AD288" s="531"/>
      <c r="AE288" s="531"/>
      <c r="AF288" s="531"/>
      <c r="AG288" s="531"/>
    </row>
    <row r="289">
      <c r="B289" s="531"/>
      <c r="C289" s="531"/>
      <c r="D289" s="531"/>
      <c r="E289" s="531"/>
      <c r="F289" s="531"/>
      <c r="G289" s="531"/>
      <c r="H289" s="531"/>
      <c r="I289" s="531"/>
      <c r="J289" s="531"/>
      <c r="K289" s="531"/>
      <c r="L289" s="531"/>
      <c r="M289" s="531"/>
      <c r="N289" s="531"/>
      <c r="O289" s="531"/>
      <c r="P289" s="531"/>
      <c r="Q289" s="531"/>
      <c r="R289" s="531"/>
      <c r="S289" s="532"/>
      <c r="T289" s="532"/>
      <c r="U289" s="532"/>
      <c r="V289" s="532"/>
      <c r="W289" s="532"/>
      <c r="X289" s="532"/>
      <c r="Y289" s="532"/>
      <c r="Z289" s="531"/>
      <c r="AA289" s="531"/>
      <c r="AB289" s="531"/>
      <c r="AC289" s="531"/>
      <c r="AD289" s="531"/>
      <c r="AE289" s="531"/>
      <c r="AF289" s="531"/>
      <c r="AG289" s="531"/>
    </row>
    <row r="290">
      <c r="B290" s="531"/>
      <c r="C290" s="531"/>
      <c r="D290" s="531"/>
      <c r="E290" s="531"/>
      <c r="F290" s="531"/>
      <c r="G290" s="531"/>
      <c r="H290" s="531"/>
      <c r="I290" s="531"/>
      <c r="J290" s="531"/>
      <c r="K290" s="531"/>
      <c r="L290" s="531"/>
      <c r="M290" s="531"/>
      <c r="N290" s="531"/>
      <c r="O290" s="531"/>
      <c r="P290" s="531"/>
      <c r="Q290" s="531"/>
      <c r="R290" s="531"/>
      <c r="S290" s="532"/>
      <c r="T290" s="532"/>
      <c r="U290" s="532"/>
      <c r="V290" s="532"/>
      <c r="W290" s="532"/>
      <c r="X290" s="532"/>
      <c r="Y290" s="532"/>
      <c r="Z290" s="531"/>
      <c r="AA290" s="531"/>
      <c r="AB290" s="531"/>
      <c r="AC290" s="531"/>
      <c r="AD290" s="531"/>
      <c r="AE290" s="531"/>
      <c r="AF290" s="531"/>
      <c r="AG290" s="531"/>
    </row>
    <row r="291">
      <c r="B291" s="531"/>
      <c r="C291" s="531"/>
      <c r="D291" s="531"/>
      <c r="E291" s="531"/>
      <c r="F291" s="531"/>
      <c r="G291" s="531"/>
      <c r="H291" s="531"/>
      <c r="I291" s="531"/>
      <c r="J291" s="531"/>
      <c r="K291" s="531"/>
      <c r="L291" s="531"/>
      <c r="M291" s="531"/>
      <c r="N291" s="531"/>
      <c r="O291" s="531"/>
      <c r="P291" s="531"/>
      <c r="Q291" s="531"/>
      <c r="R291" s="531"/>
      <c r="S291" s="532"/>
      <c r="T291" s="532"/>
      <c r="U291" s="532"/>
      <c r="V291" s="532"/>
      <c r="W291" s="532"/>
      <c r="X291" s="532"/>
      <c r="Y291" s="532"/>
      <c r="Z291" s="531"/>
      <c r="AA291" s="531"/>
      <c r="AB291" s="531"/>
      <c r="AC291" s="531"/>
      <c r="AD291" s="531"/>
      <c r="AE291" s="531"/>
      <c r="AF291" s="531"/>
      <c r="AG291" s="531"/>
    </row>
    <row r="292">
      <c r="B292" s="531"/>
      <c r="C292" s="531"/>
      <c r="D292" s="531"/>
      <c r="E292" s="531"/>
      <c r="F292" s="531"/>
      <c r="G292" s="531"/>
      <c r="H292" s="531"/>
      <c r="I292" s="531"/>
      <c r="J292" s="531"/>
      <c r="K292" s="531"/>
      <c r="L292" s="531"/>
      <c r="M292" s="531"/>
      <c r="N292" s="531"/>
      <c r="O292" s="531"/>
      <c r="P292" s="531"/>
      <c r="Q292" s="531"/>
      <c r="R292" s="531"/>
      <c r="S292" s="532"/>
      <c r="T292" s="532"/>
      <c r="U292" s="532"/>
      <c r="V292" s="532"/>
      <c r="W292" s="532"/>
      <c r="X292" s="532"/>
      <c r="Y292" s="532"/>
      <c r="Z292" s="531"/>
      <c r="AA292" s="531"/>
      <c r="AB292" s="531"/>
      <c r="AC292" s="531"/>
      <c r="AD292" s="531"/>
      <c r="AE292" s="531"/>
      <c r="AF292" s="531"/>
      <c r="AG292" s="531"/>
    </row>
    <row r="293">
      <c r="B293" s="531"/>
      <c r="C293" s="531"/>
      <c r="D293" s="531"/>
      <c r="E293" s="531"/>
      <c r="F293" s="531"/>
      <c r="G293" s="531"/>
      <c r="H293" s="531"/>
      <c r="I293" s="531"/>
      <c r="J293" s="531"/>
      <c r="K293" s="531"/>
      <c r="L293" s="531"/>
      <c r="M293" s="531"/>
      <c r="N293" s="531"/>
      <c r="O293" s="531"/>
      <c r="P293" s="531"/>
      <c r="Q293" s="531"/>
      <c r="R293" s="531"/>
      <c r="S293" s="532"/>
      <c r="T293" s="532"/>
      <c r="U293" s="532"/>
      <c r="V293" s="532"/>
      <c r="W293" s="532"/>
      <c r="X293" s="532"/>
      <c r="Y293" s="532"/>
      <c r="Z293" s="531"/>
      <c r="AA293" s="531"/>
      <c r="AB293" s="531"/>
      <c r="AC293" s="531"/>
      <c r="AD293" s="531"/>
      <c r="AE293" s="531"/>
      <c r="AF293" s="531"/>
      <c r="AG293" s="531"/>
    </row>
    <row r="294">
      <c r="B294" s="531"/>
      <c r="C294" s="531"/>
      <c r="D294" s="531"/>
      <c r="E294" s="531"/>
      <c r="F294" s="531"/>
      <c r="G294" s="531"/>
      <c r="H294" s="531"/>
      <c r="I294" s="531"/>
      <c r="J294" s="531"/>
      <c r="K294" s="531"/>
      <c r="L294" s="531"/>
      <c r="M294" s="531"/>
      <c r="N294" s="531"/>
      <c r="O294" s="531"/>
      <c r="P294" s="531"/>
      <c r="Q294" s="531"/>
      <c r="R294" s="531"/>
      <c r="S294" s="532"/>
      <c r="T294" s="532"/>
      <c r="U294" s="532"/>
      <c r="V294" s="532"/>
      <c r="W294" s="532"/>
      <c r="X294" s="532"/>
      <c r="Y294" s="532"/>
      <c r="Z294" s="531"/>
      <c r="AA294" s="531"/>
      <c r="AB294" s="531"/>
      <c r="AC294" s="531"/>
      <c r="AD294" s="531"/>
      <c r="AE294" s="531"/>
      <c r="AF294" s="531"/>
      <c r="AG294" s="531"/>
    </row>
    <row r="295">
      <c r="B295" s="531"/>
      <c r="C295" s="531"/>
      <c r="D295" s="531"/>
      <c r="E295" s="531"/>
      <c r="F295" s="531"/>
      <c r="G295" s="531"/>
      <c r="H295" s="531"/>
      <c r="I295" s="531"/>
      <c r="J295" s="531"/>
      <c r="K295" s="531"/>
      <c r="L295" s="531"/>
      <c r="M295" s="531"/>
      <c r="N295" s="531"/>
      <c r="O295" s="531"/>
      <c r="P295" s="531"/>
      <c r="Q295" s="531"/>
      <c r="R295" s="531"/>
      <c r="S295" s="532"/>
      <c r="T295" s="532"/>
      <c r="U295" s="532"/>
      <c r="V295" s="532"/>
      <c r="W295" s="532"/>
      <c r="X295" s="532"/>
      <c r="Y295" s="532"/>
      <c r="Z295" s="531"/>
      <c r="AA295" s="531"/>
      <c r="AB295" s="531"/>
      <c r="AC295" s="531"/>
      <c r="AD295" s="531"/>
      <c r="AE295" s="531"/>
      <c r="AF295" s="531"/>
      <c r="AG295" s="531"/>
    </row>
    <row r="296">
      <c r="B296" s="531"/>
      <c r="C296" s="531"/>
      <c r="D296" s="531"/>
      <c r="E296" s="531"/>
      <c r="F296" s="531"/>
      <c r="G296" s="531"/>
      <c r="H296" s="531"/>
      <c r="I296" s="531"/>
      <c r="J296" s="531"/>
      <c r="K296" s="531"/>
      <c r="L296" s="531"/>
      <c r="M296" s="531"/>
      <c r="N296" s="531"/>
      <c r="O296" s="531"/>
      <c r="P296" s="531"/>
      <c r="Q296" s="531"/>
      <c r="R296" s="531"/>
      <c r="S296" s="532"/>
      <c r="T296" s="532"/>
      <c r="U296" s="532"/>
      <c r="V296" s="532"/>
      <c r="W296" s="532"/>
      <c r="X296" s="532"/>
      <c r="Y296" s="532"/>
      <c r="Z296" s="531"/>
      <c r="AA296" s="531"/>
      <c r="AB296" s="531"/>
      <c r="AC296" s="531"/>
      <c r="AD296" s="531"/>
      <c r="AE296" s="531"/>
      <c r="AF296" s="531"/>
      <c r="AG296" s="531"/>
    </row>
    <row r="297">
      <c r="B297" s="531"/>
      <c r="C297" s="531"/>
      <c r="D297" s="531"/>
      <c r="E297" s="531"/>
      <c r="F297" s="531"/>
      <c r="G297" s="531"/>
      <c r="H297" s="531"/>
      <c r="I297" s="531"/>
      <c r="J297" s="531"/>
      <c r="K297" s="531"/>
      <c r="L297" s="531"/>
      <c r="M297" s="531"/>
      <c r="N297" s="531"/>
      <c r="O297" s="531"/>
      <c r="P297" s="531"/>
      <c r="Q297" s="531"/>
      <c r="R297" s="531"/>
      <c r="S297" s="532"/>
      <c r="T297" s="532"/>
      <c r="U297" s="532"/>
      <c r="V297" s="532"/>
      <c r="W297" s="532"/>
      <c r="X297" s="532"/>
      <c r="Y297" s="532"/>
      <c r="Z297" s="531"/>
      <c r="AA297" s="531"/>
      <c r="AB297" s="531"/>
      <c r="AC297" s="531"/>
      <c r="AD297" s="531"/>
      <c r="AE297" s="531"/>
      <c r="AF297" s="531"/>
      <c r="AG297" s="531"/>
    </row>
    <row r="298">
      <c r="B298" s="531"/>
      <c r="C298" s="531"/>
      <c r="D298" s="531"/>
      <c r="E298" s="531"/>
      <c r="F298" s="531"/>
      <c r="G298" s="531"/>
      <c r="H298" s="531"/>
      <c r="I298" s="531"/>
      <c r="J298" s="531"/>
      <c r="K298" s="531"/>
      <c r="L298" s="531"/>
      <c r="M298" s="531"/>
      <c r="N298" s="531"/>
      <c r="O298" s="531"/>
      <c r="P298" s="531"/>
      <c r="Q298" s="531"/>
      <c r="R298" s="531"/>
      <c r="S298" s="532"/>
      <c r="T298" s="532"/>
      <c r="U298" s="532"/>
      <c r="V298" s="532"/>
      <c r="W298" s="532"/>
      <c r="X298" s="532"/>
      <c r="Y298" s="532"/>
      <c r="Z298" s="531"/>
      <c r="AA298" s="531"/>
      <c r="AB298" s="531"/>
      <c r="AC298" s="531"/>
      <c r="AD298" s="531"/>
      <c r="AE298" s="531"/>
      <c r="AF298" s="531"/>
      <c r="AG298" s="531"/>
    </row>
    <row r="299">
      <c r="B299" s="531"/>
      <c r="C299" s="531"/>
      <c r="D299" s="531"/>
      <c r="E299" s="531"/>
      <c r="F299" s="531"/>
      <c r="G299" s="531"/>
      <c r="H299" s="531"/>
      <c r="I299" s="531"/>
      <c r="J299" s="531"/>
      <c r="K299" s="531"/>
      <c r="L299" s="531"/>
      <c r="M299" s="531"/>
      <c r="N299" s="531"/>
      <c r="O299" s="531"/>
      <c r="P299" s="531"/>
      <c r="Q299" s="531"/>
      <c r="R299" s="531"/>
      <c r="S299" s="532"/>
      <c r="T299" s="532"/>
      <c r="U299" s="532"/>
      <c r="V299" s="532"/>
      <c r="W299" s="532"/>
      <c r="X299" s="532"/>
      <c r="Y299" s="532"/>
      <c r="Z299" s="531"/>
      <c r="AA299" s="531"/>
      <c r="AB299" s="531"/>
      <c r="AC299" s="531"/>
      <c r="AD299" s="531"/>
      <c r="AE299" s="531"/>
      <c r="AF299" s="531"/>
      <c r="AG299" s="531"/>
    </row>
    <row r="300">
      <c r="B300" s="531"/>
      <c r="C300" s="531"/>
      <c r="D300" s="531"/>
      <c r="E300" s="531"/>
      <c r="F300" s="531"/>
      <c r="G300" s="531"/>
      <c r="H300" s="531"/>
      <c r="I300" s="531"/>
      <c r="J300" s="531"/>
      <c r="K300" s="531"/>
      <c r="L300" s="531"/>
      <c r="M300" s="531"/>
      <c r="N300" s="531"/>
      <c r="O300" s="531"/>
      <c r="P300" s="531"/>
      <c r="Q300" s="531"/>
      <c r="R300" s="531"/>
      <c r="S300" s="532"/>
      <c r="T300" s="532"/>
      <c r="U300" s="532"/>
      <c r="V300" s="532"/>
      <c r="W300" s="532"/>
      <c r="X300" s="532"/>
      <c r="Y300" s="532"/>
      <c r="Z300" s="531"/>
      <c r="AA300" s="531"/>
      <c r="AB300" s="531"/>
      <c r="AC300" s="531"/>
      <c r="AD300" s="531"/>
      <c r="AE300" s="531"/>
      <c r="AF300" s="531"/>
      <c r="AG300" s="531"/>
    </row>
    <row r="301">
      <c r="B301" s="531"/>
      <c r="C301" s="531"/>
      <c r="D301" s="531"/>
      <c r="E301" s="531"/>
      <c r="F301" s="531"/>
      <c r="G301" s="531"/>
      <c r="H301" s="531"/>
      <c r="I301" s="531"/>
      <c r="J301" s="531"/>
      <c r="K301" s="531"/>
      <c r="L301" s="531"/>
      <c r="M301" s="531"/>
      <c r="N301" s="531"/>
      <c r="O301" s="531"/>
      <c r="P301" s="531"/>
      <c r="Q301" s="531"/>
      <c r="R301" s="531"/>
      <c r="S301" s="532"/>
      <c r="T301" s="532"/>
      <c r="U301" s="532"/>
      <c r="V301" s="532"/>
      <c r="W301" s="532"/>
      <c r="X301" s="532"/>
      <c r="Y301" s="532"/>
      <c r="Z301" s="531"/>
      <c r="AA301" s="531"/>
      <c r="AB301" s="531"/>
      <c r="AC301" s="531"/>
      <c r="AD301" s="531"/>
      <c r="AE301" s="531"/>
      <c r="AF301" s="531"/>
      <c r="AG301" s="531"/>
    </row>
    <row r="302">
      <c r="B302" s="531"/>
      <c r="C302" s="531"/>
      <c r="D302" s="531"/>
      <c r="E302" s="531"/>
      <c r="F302" s="531"/>
      <c r="G302" s="531"/>
      <c r="H302" s="531"/>
      <c r="I302" s="531"/>
      <c r="J302" s="531"/>
      <c r="K302" s="531"/>
      <c r="L302" s="531"/>
      <c r="M302" s="531"/>
      <c r="N302" s="531"/>
      <c r="O302" s="531"/>
      <c r="P302" s="531"/>
      <c r="Q302" s="531"/>
      <c r="R302" s="531"/>
      <c r="S302" s="532"/>
      <c r="T302" s="532"/>
      <c r="U302" s="532"/>
      <c r="V302" s="532"/>
      <c r="W302" s="532"/>
      <c r="X302" s="532"/>
      <c r="Y302" s="532"/>
      <c r="Z302" s="531"/>
      <c r="AA302" s="531"/>
      <c r="AB302" s="531"/>
      <c r="AC302" s="531"/>
      <c r="AD302" s="531"/>
      <c r="AE302" s="531"/>
      <c r="AF302" s="531"/>
      <c r="AG302" s="531"/>
    </row>
    <row r="303">
      <c r="B303" s="531"/>
      <c r="C303" s="531"/>
      <c r="D303" s="531"/>
      <c r="E303" s="531"/>
      <c r="F303" s="531"/>
      <c r="G303" s="531"/>
      <c r="H303" s="531"/>
      <c r="I303" s="531"/>
      <c r="J303" s="531"/>
      <c r="K303" s="531"/>
      <c r="L303" s="531"/>
      <c r="M303" s="531"/>
      <c r="N303" s="531"/>
      <c r="O303" s="531"/>
      <c r="P303" s="531"/>
      <c r="Q303" s="531"/>
      <c r="R303" s="531"/>
      <c r="S303" s="532"/>
      <c r="T303" s="532"/>
      <c r="U303" s="532"/>
      <c r="V303" s="532"/>
      <c r="W303" s="532"/>
      <c r="X303" s="532"/>
      <c r="Y303" s="532"/>
      <c r="Z303" s="531"/>
      <c r="AA303" s="531"/>
      <c r="AB303" s="531"/>
      <c r="AC303" s="531"/>
      <c r="AD303" s="531"/>
      <c r="AE303" s="531"/>
      <c r="AF303" s="531"/>
      <c r="AG303" s="531"/>
    </row>
    <row r="304">
      <c r="B304" s="531"/>
      <c r="C304" s="531"/>
      <c r="D304" s="531"/>
      <c r="E304" s="531"/>
      <c r="F304" s="531"/>
      <c r="G304" s="531"/>
      <c r="H304" s="531"/>
      <c r="I304" s="531"/>
      <c r="J304" s="531"/>
      <c r="K304" s="531"/>
      <c r="L304" s="531"/>
      <c r="M304" s="531"/>
      <c r="N304" s="531"/>
      <c r="O304" s="531"/>
      <c r="P304" s="531"/>
      <c r="Q304" s="531"/>
      <c r="R304" s="531"/>
      <c r="S304" s="532"/>
      <c r="T304" s="532"/>
      <c r="U304" s="532"/>
      <c r="V304" s="532"/>
      <c r="W304" s="532"/>
      <c r="X304" s="532"/>
      <c r="Y304" s="532"/>
      <c r="Z304" s="531"/>
      <c r="AA304" s="531"/>
      <c r="AB304" s="531"/>
      <c r="AC304" s="531"/>
      <c r="AD304" s="531"/>
      <c r="AE304" s="531"/>
      <c r="AF304" s="531"/>
      <c r="AG304" s="531"/>
    </row>
    <row r="305">
      <c r="B305" s="531"/>
      <c r="C305" s="531"/>
      <c r="D305" s="531"/>
      <c r="E305" s="531"/>
      <c r="F305" s="531"/>
      <c r="G305" s="531"/>
      <c r="H305" s="531"/>
      <c r="I305" s="531"/>
      <c r="J305" s="531"/>
      <c r="K305" s="531"/>
      <c r="L305" s="531"/>
      <c r="M305" s="531"/>
      <c r="N305" s="531"/>
      <c r="O305" s="531"/>
      <c r="P305" s="531"/>
      <c r="Q305" s="531"/>
      <c r="R305" s="531"/>
      <c r="S305" s="532"/>
      <c r="T305" s="532"/>
      <c r="U305" s="532"/>
      <c r="V305" s="532"/>
      <c r="W305" s="532"/>
      <c r="X305" s="532"/>
      <c r="Y305" s="532"/>
      <c r="Z305" s="531"/>
      <c r="AA305" s="531"/>
      <c r="AB305" s="531"/>
      <c r="AC305" s="531"/>
      <c r="AD305" s="531"/>
      <c r="AE305" s="531"/>
      <c r="AF305" s="531"/>
      <c r="AG305" s="531"/>
    </row>
    <row r="306">
      <c r="B306" s="531"/>
      <c r="C306" s="531"/>
      <c r="D306" s="531"/>
      <c r="E306" s="531"/>
      <c r="F306" s="531"/>
      <c r="G306" s="531"/>
      <c r="H306" s="531"/>
      <c r="I306" s="531"/>
      <c r="J306" s="531"/>
      <c r="K306" s="531"/>
      <c r="L306" s="531"/>
      <c r="M306" s="531"/>
      <c r="N306" s="531"/>
      <c r="O306" s="531"/>
      <c r="P306" s="531"/>
      <c r="Q306" s="531"/>
      <c r="R306" s="531"/>
      <c r="S306" s="532"/>
      <c r="T306" s="532"/>
      <c r="U306" s="532"/>
      <c r="V306" s="532"/>
      <c r="W306" s="532"/>
      <c r="X306" s="532"/>
      <c r="Y306" s="532"/>
      <c r="Z306" s="531"/>
      <c r="AA306" s="531"/>
      <c r="AB306" s="531"/>
      <c r="AC306" s="531"/>
      <c r="AD306" s="531"/>
      <c r="AE306" s="531"/>
      <c r="AF306" s="531"/>
      <c r="AG306" s="531"/>
    </row>
    <row r="307">
      <c r="B307" s="531"/>
      <c r="C307" s="531"/>
      <c r="D307" s="531"/>
      <c r="E307" s="531"/>
      <c r="F307" s="531"/>
      <c r="G307" s="531"/>
      <c r="H307" s="531"/>
      <c r="I307" s="531"/>
      <c r="J307" s="531"/>
      <c r="K307" s="531"/>
      <c r="L307" s="531"/>
      <c r="M307" s="531"/>
      <c r="N307" s="531"/>
      <c r="O307" s="531"/>
      <c r="P307" s="531"/>
      <c r="Q307" s="531"/>
      <c r="R307" s="531"/>
      <c r="S307" s="532"/>
      <c r="T307" s="532"/>
      <c r="U307" s="532"/>
      <c r="V307" s="532"/>
      <c r="W307" s="532"/>
      <c r="X307" s="532"/>
      <c r="Y307" s="532"/>
      <c r="Z307" s="531"/>
      <c r="AA307" s="531"/>
      <c r="AB307" s="531"/>
      <c r="AC307" s="531"/>
      <c r="AD307" s="531"/>
      <c r="AE307" s="531"/>
      <c r="AF307" s="531"/>
      <c r="AG307" s="531"/>
    </row>
    <row r="308">
      <c r="B308" s="531"/>
      <c r="C308" s="531"/>
      <c r="D308" s="531"/>
      <c r="E308" s="531"/>
      <c r="F308" s="531"/>
      <c r="G308" s="531"/>
      <c r="H308" s="531"/>
      <c r="I308" s="531"/>
      <c r="J308" s="531"/>
      <c r="K308" s="531"/>
      <c r="L308" s="531"/>
      <c r="M308" s="531"/>
      <c r="N308" s="531"/>
      <c r="O308" s="531"/>
      <c r="P308" s="531"/>
      <c r="Q308" s="531"/>
      <c r="R308" s="531"/>
      <c r="S308" s="532"/>
      <c r="T308" s="532"/>
      <c r="U308" s="532"/>
      <c r="V308" s="532"/>
      <c r="W308" s="532"/>
      <c r="X308" s="532"/>
      <c r="Y308" s="532"/>
      <c r="Z308" s="531"/>
      <c r="AA308" s="531"/>
      <c r="AB308" s="531"/>
      <c r="AC308" s="531"/>
      <c r="AD308" s="531"/>
      <c r="AE308" s="531"/>
      <c r="AF308" s="531"/>
      <c r="AG308" s="531"/>
    </row>
    <row r="309">
      <c r="B309" s="531"/>
      <c r="C309" s="531"/>
      <c r="D309" s="531"/>
      <c r="E309" s="531"/>
      <c r="F309" s="531"/>
      <c r="G309" s="531"/>
      <c r="H309" s="531"/>
      <c r="I309" s="531"/>
      <c r="J309" s="531"/>
      <c r="K309" s="531"/>
      <c r="L309" s="531"/>
      <c r="M309" s="531"/>
      <c r="N309" s="531"/>
      <c r="O309" s="531"/>
      <c r="P309" s="531"/>
      <c r="Q309" s="531"/>
      <c r="R309" s="531"/>
      <c r="S309" s="532"/>
      <c r="T309" s="532"/>
      <c r="U309" s="532"/>
      <c r="V309" s="532"/>
      <c r="W309" s="532"/>
      <c r="X309" s="532"/>
      <c r="Y309" s="532"/>
      <c r="Z309" s="531"/>
      <c r="AA309" s="531"/>
      <c r="AB309" s="531"/>
      <c r="AC309" s="531"/>
      <c r="AD309" s="531"/>
      <c r="AE309" s="531"/>
      <c r="AF309" s="531"/>
      <c r="AG309" s="531"/>
    </row>
    <row r="310">
      <c r="B310" s="531"/>
      <c r="C310" s="531"/>
      <c r="D310" s="531"/>
      <c r="E310" s="531"/>
      <c r="F310" s="531"/>
      <c r="G310" s="531"/>
      <c r="H310" s="531"/>
      <c r="I310" s="531"/>
      <c r="J310" s="531"/>
      <c r="K310" s="531"/>
      <c r="L310" s="531"/>
      <c r="M310" s="531"/>
      <c r="N310" s="531"/>
      <c r="O310" s="531"/>
      <c r="P310" s="531"/>
      <c r="Q310" s="531"/>
      <c r="R310" s="531"/>
      <c r="S310" s="532"/>
      <c r="T310" s="532"/>
      <c r="U310" s="532"/>
      <c r="V310" s="532"/>
      <c r="W310" s="532"/>
      <c r="X310" s="532"/>
      <c r="Y310" s="532"/>
      <c r="Z310" s="531"/>
      <c r="AA310" s="531"/>
      <c r="AB310" s="531"/>
      <c r="AC310" s="531"/>
      <c r="AD310" s="531"/>
      <c r="AE310" s="531"/>
      <c r="AF310" s="531"/>
      <c r="AG310" s="531"/>
    </row>
    <row r="311">
      <c r="B311" s="531"/>
      <c r="C311" s="531"/>
      <c r="D311" s="531"/>
      <c r="E311" s="531"/>
      <c r="F311" s="531"/>
      <c r="G311" s="531"/>
      <c r="H311" s="531"/>
      <c r="I311" s="531"/>
      <c r="J311" s="531"/>
      <c r="K311" s="531"/>
      <c r="L311" s="531"/>
      <c r="M311" s="531"/>
      <c r="N311" s="531"/>
      <c r="O311" s="531"/>
      <c r="P311" s="531"/>
      <c r="Q311" s="531"/>
      <c r="R311" s="531"/>
      <c r="S311" s="532"/>
      <c r="T311" s="532"/>
      <c r="U311" s="532"/>
      <c r="V311" s="532"/>
      <c r="W311" s="532"/>
      <c r="X311" s="532"/>
      <c r="Y311" s="532"/>
      <c r="Z311" s="531"/>
      <c r="AA311" s="531"/>
      <c r="AB311" s="531"/>
      <c r="AC311" s="531"/>
      <c r="AD311" s="531"/>
      <c r="AE311" s="531"/>
      <c r="AF311" s="531"/>
      <c r="AG311" s="531"/>
    </row>
    <row r="312">
      <c r="B312" s="531"/>
      <c r="C312" s="531"/>
      <c r="D312" s="531"/>
      <c r="E312" s="531"/>
      <c r="F312" s="531"/>
      <c r="G312" s="531"/>
      <c r="H312" s="531"/>
      <c r="I312" s="531"/>
      <c r="J312" s="531"/>
      <c r="K312" s="531"/>
      <c r="L312" s="531"/>
      <c r="M312" s="531"/>
      <c r="N312" s="531"/>
      <c r="O312" s="531"/>
      <c r="P312" s="531"/>
      <c r="Q312" s="531"/>
      <c r="R312" s="531"/>
      <c r="S312" s="532"/>
      <c r="T312" s="532"/>
      <c r="U312" s="532"/>
      <c r="V312" s="532"/>
      <c r="W312" s="532"/>
      <c r="X312" s="532"/>
      <c r="Y312" s="532"/>
      <c r="Z312" s="531"/>
      <c r="AA312" s="531"/>
      <c r="AB312" s="531"/>
      <c r="AC312" s="531"/>
      <c r="AD312" s="531"/>
      <c r="AE312" s="531"/>
      <c r="AF312" s="531"/>
      <c r="AG312" s="531"/>
    </row>
    <row r="313">
      <c r="B313" s="531"/>
      <c r="C313" s="531"/>
      <c r="D313" s="531"/>
      <c r="E313" s="531"/>
      <c r="F313" s="531"/>
      <c r="G313" s="531"/>
      <c r="H313" s="531"/>
      <c r="I313" s="531"/>
      <c r="J313" s="531"/>
      <c r="K313" s="531"/>
      <c r="L313" s="531"/>
      <c r="M313" s="531"/>
      <c r="N313" s="531"/>
      <c r="O313" s="531"/>
      <c r="P313" s="531"/>
      <c r="Q313" s="531"/>
      <c r="R313" s="531"/>
      <c r="S313" s="532"/>
      <c r="T313" s="532"/>
      <c r="U313" s="532"/>
      <c r="V313" s="532"/>
      <c r="W313" s="532"/>
      <c r="X313" s="532"/>
      <c r="Y313" s="532"/>
      <c r="Z313" s="531"/>
      <c r="AA313" s="531"/>
      <c r="AB313" s="531"/>
      <c r="AC313" s="531"/>
      <c r="AD313" s="531"/>
      <c r="AE313" s="531"/>
      <c r="AF313" s="531"/>
      <c r="AG313" s="531"/>
    </row>
    <row r="314">
      <c r="B314" s="531"/>
      <c r="C314" s="531"/>
      <c r="D314" s="531"/>
      <c r="E314" s="531"/>
      <c r="F314" s="531"/>
      <c r="G314" s="531"/>
      <c r="H314" s="531"/>
      <c r="I314" s="531"/>
      <c r="J314" s="531"/>
      <c r="K314" s="531"/>
      <c r="L314" s="531"/>
      <c r="M314" s="531"/>
      <c r="N314" s="531"/>
      <c r="O314" s="531"/>
      <c r="P314" s="531"/>
      <c r="Q314" s="531"/>
      <c r="R314" s="531"/>
      <c r="S314" s="532"/>
      <c r="T314" s="532"/>
      <c r="U314" s="532"/>
      <c r="V314" s="532"/>
      <c r="W314" s="532"/>
      <c r="X314" s="532"/>
      <c r="Y314" s="532"/>
      <c r="Z314" s="531"/>
      <c r="AA314" s="531"/>
      <c r="AB314" s="531"/>
      <c r="AC314" s="531"/>
      <c r="AD314" s="531"/>
      <c r="AE314" s="531"/>
      <c r="AF314" s="531"/>
      <c r="AG314" s="531"/>
    </row>
    <row r="315">
      <c r="B315" s="531"/>
      <c r="C315" s="531"/>
      <c r="D315" s="531"/>
      <c r="E315" s="531"/>
      <c r="F315" s="531"/>
      <c r="G315" s="531"/>
      <c r="H315" s="531"/>
      <c r="I315" s="531"/>
      <c r="J315" s="531"/>
      <c r="K315" s="531"/>
      <c r="L315" s="531"/>
      <c r="M315" s="531"/>
      <c r="N315" s="531"/>
      <c r="O315" s="531"/>
      <c r="P315" s="531"/>
      <c r="Q315" s="531"/>
      <c r="R315" s="531"/>
      <c r="S315" s="532"/>
      <c r="T315" s="532"/>
      <c r="U315" s="532"/>
      <c r="V315" s="532"/>
      <c r="W315" s="532"/>
      <c r="X315" s="532"/>
      <c r="Y315" s="532"/>
      <c r="Z315" s="531"/>
      <c r="AA315" s="531"/>
      <c r="AB315" s="531"/>
      <c r="AC315" s="531"/>
      <c r="AD315" s="531"/>
      <c r="AE315" s="531"/>
      <c r="AF315" s="531"/>
      <c r="AG315" s="531"/>
    </row>
    <row r="316">
      <c r="B316" s="531"/>
      <c r="C316" s="531"/>
      <c r="D316" s="531"/>
      <c r="E316" s="531"/>
      <c r="F316" s="531"/>
      <c r="G316" s="531"/>
      <c r="H316" s="531"/>
      <c r="I316" s="531"/>
      <c r="J316" s="531"/>
      <c r="K316" s="531"/>
      <c r="L316" s="531"/>
      <c r="M316" s="531"/>
      <c r="N316" s="531"/>
      <c r="O316" s="531"/>
      <c r="P316" s="531"/>
      <c r="Q316" s="531"/>
      <c r="R316" s="531"/>
      <c r="S316" s="532"/>
      <c r="T316" s="532"/>
      <c r="U316" s="532"/>
      <c r="V316" s="532"/>
      <c r="W316" s="532"/>
      <c r="X316" s="532"/>
      <c r="Y316" s="532"/>
      <c r="Z316" s="531"/>
      <c r="AA316" s="531"/>
      <c r="AB316" s="531"/>
      <c r="AC316" s="531"/>
      <c r="AD316" s="531"/>
      <c r="AE316" s="531"/>
      <c r="AF316" s="531"/>
      <c r="AG316" s="531"/>
    </row>
    <row r="317">
      <c r="B317" s="531"/>
      <c r="C317" s="531"/>
      <c r="D317" s="531"/>
      <c r="E317" s="531"/>
      <c r="F317" s="531"/>
      <c r="G317" s="531"/>
      <c r="H317" s="531"/>
      <c r="I317" s="531"/>
      <c r="J317" s="531"/>
      <c r="K317" s="531"/>
      <c r="L317" s="531"/>
      <c r="M317" s="531"/>
      <c r="N317" s="531"/>
      <c r="O317" s="531"/>
      <c r="P317" s="531"/>
      <c r="Q317" s="531"/>
      <c r="R317" s="531"/>
      <c r="S317" s="532"/>
      <c r="T317" s="532"/>
      <c r="U317" s="532"/>
      <c r="V317" s="532"/>
      <c r="W317" s="532"/>
      <c r="X317" s="532"/>
      <c r="Y317" s="532"/>
      <c r="Z317" s="531"/>
      <c r="AA317" s="531"/>
      <c r="AB317" s="531"/>
      <c r="AC317" s="531"/>
      <c r="AD317" s="531"/>
      <c r="AE317" s="531"/>
      <c r="AF317" s="531"/>
      <c r="AG317" s="531"/>
    </row>
    <row r="318">
      <c r="B318" s="531"/>
      <c r="C318" s="531"/>
      <c r="D318" s="531"/>
      <c r="E318" s="531"/>
      <c r="F318" s="531"/>
      <c r="G318" s="531"/>
      <c r="H318" s="531"/>
      <c r="I318" s="531"/>
      <c r="J318" s="531"/>
      <c r="K318" s="531"/>
      <c r="L318" s="531"/>
      <c r="M318" s="531"/>
      <c r="N318" s="531"/>
      <c r="O318" s="531"/>
      <c r="P318" s="531"/>
      <c r="Q318" s="531"/>
      <c r="R318" s="531"/>
      <c r="S318" s="532"/>
      <c r="T318" s="532"/>
      <c r="U318" s="532"/>
      <c r="V318" s="532"/>
      <c r="W318" s="532"/>
      <c r="X318" s="532"/>
      <c r="Y318" s="532"/>
      <c r="Z318" s="531"/>
      <c r="AA318" s="531"/>
      <c r="AB318" s="531"/>
      <c r="AC318" s="531"/>
      <c r="AD318" s="531"/>
      <c r="AE318" s="531"/>
      <c r="AF318" s="531"/>
      <c r="AG318" s="531"/>
    </row>
    <row r="319">
      <c r="B319" s="531"/>
      <c r="C319" s="531"/>
      <c r="D319" s="531"/>
      <c r="E319" s="531"/>
      <c r="F319" s="531"/>
      <c r="G319" s="531"/>
      <c r="H319" s="531"/>
      <c r="I319" s="531"/>
      <c r="J319" s="531"/>
      <c r="K319" s="531"/>
      <c r="L319" s="531"/>
      <c r="M319" s="531"/>
      <c r="N319" s="531"/>
      <c r="O319" s="531"/>
      <c r="P319" s="531"/>
      <c r="Q319" s="531"/>
      <c r="R319" s="531"/>
      <c r="S319" s="532"/>
      <c r="T319" s="532"/>
      <c r="U319" s="532"/>
      <c r="V319" s="532"/>
      <c r="W319" s="532"/>
      <c r="X319" s="532"/>
      <c r="Y319" s="532"/>
      <c r="Z319" s="531"/>
      <c r="AA319" s="531"/>
      <c r="AB319" s="531"/>
      <c r="AC319" s="531"/>
      <c r="AD319" s="531"/>
      <c r="AE319" s="531"/>
      <c r="AF319" s="531"/>
      <c r="AG319" s="531"/>
    </row>
    <row r="320">
      <c r="B320" s="531"/>
      <c r="C320" s="531"/>
      <c r="D320" s="531"/>
      <c r="E320" s="531"/>
      <c r="F320" s="531"/>
      <c r="G320" s="531"/>
      <c r="H320" s="531"/>
      <c r="I320" s="531"/>
      <c r="J320" s="531"/>
      <c r="K320" s="531"/>
      <c r="L320" s="531"/>
      <c r="M320" s="531"/>
      <c r="N320" s="531"/>
      <c r="O320" s="531"/>
      <c r="P320" s="531"/>
      <c r="Q320" s="531"/>
      <c r="R320" s="531"/>
      <c r="S320" s="532"/>
      <c r="T320" s="532"/>
      <c r="U320" s="532"/>
      <c r="V320" s="532"/>
      <c r="W320" s="532"/>
      <c r="X320" s="532"/>
      <c r="Y320" s="532"/>
      <c r="Z320" s="531"/>
      <c r="AA320" s="531"/>
      <c r="AB320" s="531"/>
      <c r="AC320" s="531"/>
      <c r="AD320" s="531"/>
      <c r="AE320" s="531"/>
      <c r="AF320" s="531"/>
      <c r="AG320" s="531"/>
    </row>
    <row r="321">
      <c r="B321" s="531"/>
      <c r="C321" s="531"/>
      <c r="D321" s="531"/>
      <c r="E321" s="531"/>
      <c r="F321" s="531"/>
      <c r="G321" s="531"/>
      <c r="H321" s="531"/>
      <c r="I321" s="531"/>
      <c r="J321" s="531"/>
      <c r="K321" s="531"/>
      <c r="L321" s="531"/>
      <c r="M321" s="531"/>
      <c r="N321" s="531"/>
      <c r="O321" s="531"/>
      <c r="P321" s="531"/>
      <c r="Q321" s="531"/>
      <c r="R321" s="531"/>
      <c r="S321" s="532"/>
      <c r="T321" s="532"/>
      <c r="U321" s="532"/>
      <c r="V321" s="532"/>
      <c r="W321" s="532"/>
      <c r="X321" s="532"/>
      <c r="Y321" s="532"/>
      <c r="Z321" s="531"/>
      <c r="AA321" s="531"/>
      <c r="AB321" s="531"/>
      <c r="AC321" s="531"/>
      <c r="AD321" s="531"/>
      <c r="AE321" s="531"/>
      <c r="AF321" s="531"/>
      <c r="AG321" s="531"/>
    </row>
    <row r="322">
      <c r="B322" s="531"/>
      <c r="C322" s="531"/>
      <c r="D322" s="531"/>
      <c r="E322" s="531"/>
      <c r="F322" s="531"/>
      <c r="G322" s="531"/>
      <c r="H322" s="531"/>
      <c r="I322" s="531"/>
      <c r="J322" s="531"/>
      <c r="K322" s="531"/>
      <c r="L322" s="531"/>
      <c r="M322" s="531"/>
      <c r="N322" s="531"/>
      <c r="O322" s="531"/>
      <c r="P322" s="531"/>
      <c r="Q322" s="531"/>
      <c r="R322" s="531"/>
      <c r="S322" s="532"/>
      <c r="T322" s="532"/>
      <c r="U322" s="532"/>
      <c r="V322" s="532"/>
      <c r="W322" s="532"/>
      <c r="X322" s="532"/>
      <c r="Y322" s="532"/>
      <c r="Z322" s="531"/>
      <c r="AA322" s="531"/>
      <c r="AB322" s="531"/>
      <c r="AC322" s="531"/>
      <c r="AD322" s="531"/>
      <c r="AE322" s="531"/>
      <c r="AF322" s="531"/>
      <c r="AG322" s="531"/>
    </row>
    <row r="323">
      <c r="B323" s="531"/>
      <c r="C323" s="531"/>
      <c r="D323" s="531"/>
      <c r="E323" s="531"/>
      <c r="F323" s="531"/>
      <c r="G323" s="531"/>
      <c r="H323" s="531"/>
      <c r="I323" s="531"/>
      <c r="J323" s="531"/>
      <c r="K323" s="531"/>
      <c r="L323" s="531"/>
      <c r="M323" s="531"/>
      <c r="N323" s="531"/>
      <c r="O323" s="531"/>
      <c r="P323" s="531"/>
      <c r="Q323" s="531"/>
      <c r="R323" s="531"/>
      <c r="S323" s="532"/>
      <c r="T323" s="532"/>
      <c r="U323" s="532"/>
      <c r="V323" s="532"/>
      <c r="W323" s="532"/>
      <c r="X323" s="532"/>
      <c r="Y323" s="532"/>
      <c r="Z323" s="531"/>
      <c r="AA323" s="531"/>
      <c r="AB323" s="531"/>
      <c r="AC323" s="531"/>
      <c r="AD323" s="531"/>
      <c r="AE323" s="531"/>
      <c r="AF323" s="531"/>
      <c r="AG323" s="531"/>
    </row>
    <row r="324">
      <c r="B324" s="531"/>
      <c r="C324" s="531"/>
      <c r="D324" s="531"/>
      <c r="E324" s="531"/>
      <c r="F324" s="531"/>
      <c r="G324" s="531"/>
      <c r="H324" s="531"/>
      <c r="I324" s="531"/>
      <c r="J324" s="531"/>
      <c r="K324" s="531"/>
      <c r="L324" s="531"/>
      <c r="M324" s="531"/>
      <c r="N324" s="531"/>
      <c r="O324" s="531"/>
      <c r="P324" s="531"/>
      <c r="Q324" s="531"/>
      <c r="R324" s="531"/>
      <c r="S324" s="532"/>
      <c r="T324" s="532"/>
      <c r="U324" s="532"/>
      <c r="V324" s="532"/>
      <c r="W324" s="532"/>
      <c r="X324" s="532"/>
      <c r="Y324" s="532"/>
      <c r="Z324" s="531"/>
      <c r="AA324" s="531"/>
      <c r="AB324" s="531"/>
      <c r="AC324" s="531"/>
      <c r="AD324" s="531"/>
      <c r="AE324" s="531"/>
      <c r="AF324" s="531"/>
      <c r="AG324" s="531"/>
    </row>
    <row r="325">
      <c r="B325" s="531"/>
      <c r="C325" s="531"/>
      <c r="D325" s="531"/>
      <c r="E325" s="531"/>
      <c r="F325" s="531"/>
      <c r="G325" s="531"/>
      <c r="H325" s="531"/>
      <c r="I325" s="531"/>
      <c r="J325" s="531"/>
      <c r="K325" s="531"/>
      <c r="L325" s="531"/>
      <c r="M325" s="531"/>
      <c r="N325" s="531"/>
      <c r="O325" s="531"/>
      <c r="P325" s="531"/>
      <c r="Q325" s="531"/>
      <c r="R325" s="531"/>
      <c r="S325" s="532"/>
      <c r="T325" s="532"/>
      <c r="U325" s="532"/>
      <c r="V325" s="532"/>
      <c r="W325" s="532"/>
      <c r="X325" s="532"/>
      <c r="Y325" s="532"/>
      <c r="Z325" s="531"/>
      <c r="AA325" s="531"/>
      <c r="AB325" s="531"/>
      <c r="AC325" s="531"/>
      <c r="AD325" s="531"/>
      <c r="AE325" s="531"/>
      <c r="AF325" s="531"/>
      <c r="AG325" s="531"/>
    </row>
    <row r="326">
      <c r="B326" s="531"/>
      <c r="C326" s="531"/>
      <c r="D326" s="531"/>
      <c r="E326" s="531"/>
      <c r="F326" s="531"/>
      <c r="G326" s="531"/>
      <c r="H326" s="531"/>
      <c r="I326" s="531"/>
      <c r="J326" s="531"/>
      <c r="K326" s="531"/>
      <c r="L326" s="531"/>
      <c r="M326" s="531"/>
      <c r="N326" s="531"/>
      <c r="O326" s="531"/>
      <c r="P326" s="531"/>
      <c r="Q326" s="531"/>
      <c r="R326" s="531"/>
      <c r="S326" s="532"/>
      <c r="T326" s="532"/>
      <c r="U326" s="532"/>
      <c r="V326" s="532"/>
      <c r="W326" s="532"/>
      <c r="X326" s="532"/>
      <c r="Y326" s="532"/>
      <c r="Z326" s="531"/>
      <c r="AA326" s="531"/>
      <c r="AB326" s="531"/>
      <c r="AC326" s="531"/>
      <c r="AD326" s="531"/>
      <c r="AE326" s="531"/>
      <c r="AF326" s="531"/>
      <c r="AG326" s="531"/>
    </row>
    <row r="327">
      <c r="B327" s="531"/>
      <c r="C327" s="531"/>
      <c r="D327" s="531"/>
      <c r="E327" s="531"/>
      <c r="F327" s="531"/>
      <c r="G327" s="531"/>
      <c r="H327" s="531"/>
      <c r="I327" s="531"/>
      <c r="J327" s="531"/>
      <c r="K327" s="531"/>
      <c r="L327" s="531"/>
      <c r="M327" s="531"/>
      <c r="N327" s="531"/>
      <c r="O327" s="531"/>
      <c r="P327" s="531"/>
      <c r="Q327" s="531"/>
      <c r="R327" s="531"/>
      <c r="S327" s="532"/>
      <c r="T327" s="532"/>
      <c r="U327" s="532"/>
      <c r="V327" s="532"/>
      <c r="W327" s="532"/>
      <c r="X327" s="532"/>
      <c r="Y327" s="532"/>
      <c r="Z327" s="531"/>
      <c r="AA327" s="531"/>
      <c r="AB327" s="531"/>
      <c r="AC327" s="531"/>
      <c r="AD327" s="531"/>
      <c r="AE327" s="531"/>
      <c r="AF327" s="531"/>
      <c r="AG327" s="531"/>
    </row>
    <row r="328">
      <c r="B328" s="531"/>
      <c r="C328" s="531"/>
      <c r="D328" s="531"/>
      <c r="E328" s="531"/>
      <c r="F328" s="531"/>
      <c r="G328" s="531"/>
      <c r="H328" s="531"/>
      <c r="I328" s="531"/>
      <c r="J328" s="531"/>
      <c r="K328" s="531"/>
      <c r="L328" s="531"/>
      <c r="M328" s="531"/>
      <c r="N328" s="531"/>
      <c r="O328" s="531"/>
      <c r="P328" s="531"/>
      <c r="Q328" s="531"/>
      <c r="R328" s="531"/>
      <c r="S328" s="532"/>
      <c r="T328" s="532"/>
      <c r="U328" s="532"/>
      <c r="V328" s="532"/>
      <c r="W328" s="532"/>
      <c r="X328" s="532"/>
      <c r="Y328" s="532"/>
      <c r="Z328" s="531"/>
      <c r="AA328" s="531"/>
      <c r="AB328" s="531"/>
      <c r="AC328" s="531"/>
      <c r="AD328" s="531"/>
      <c r="AE328" s="531"/>
      <c r="AF328" s="531"/>
      <c r="AG328" s="531"/>
    </row>
    <row r="329">
      <c r="B329" s="531"/>
      <c r="C329" s="531"/>
      <c r="D329" s="531"/>
      <c r="E329" s="531"/>
      <c r="F329" s="531"/>
      <c r="G329" s="531"/>
      <c r="H329" s="531"/>
      <c r="I329" s="531"/>
      <c r="J329" s="531"/>
      <c r="K329" s="531"/>
      <c r="L329" s="531"/>
      <c r="M329" s="531"/>
      <c r="N329" s="531"/>
      <c r="O329" s="531"/>
      <c r="P329" s="531"/>
      <c r="Q329" s="531"/>
      <c r="R329" s="531"/>
      <c r="S329" s="532"/>
      <c r="T329" s="532"/>
      <c r="U329" s="532"/>
      <c r="V329" s="532"/>
      <c r="W329" s="532"/>
      <c r="X329" s="532"/>
      <c r="Y329" s="532"/>
      <c r="Z329" s="531"/>
      <c r="AA329" s="531"/>
      <c r="AB329" s="531"/>
      <c r="AC329" s="531"/>
      <c r="AD329" s="531"/>
      <c r="AE329" s="531"/>
      <c r="AF329" s="531"/>
      <c r="AG329" s="531"/>
    </row>
    <row r="330">
      <c r="B330" s="531"/>
      <c r="C330" s="531"/>
      <c r="D330" s="531"/>
      <c r="E330" s="531"/>
      <c r="F330" s="531"/>
      <c r="G330" s="531"/>
      <c r="H330" s="531"/>
      <c r="I330" s="531"/>
      <c r="J330" s="531"/>
      <c r="K330" s="531"/>
      <c r="L330" s="531"/>
      <c r="M330" s="531"/>
      <c r="N330" s="531"/>
      <c r="O330" s="531"/>
      <c r="P330" s="531"/>
      <c r="Q330" s="531"/>
      <c r="R330" s="531"/>
      <c r="S330" s="532"/>
      <c r="T330" s="532"/>
      <c r="U330" s="532"/>
      <c r="V330" s="532"/>
      <c r="W330" s="532"/>
      <c r="X330" s="532"/>
      <c r="Y330" s="532"/>
      <c r="Z330" s="531"/>
      <c r="AA330" s="531"/>
      <c r="AB330" s="531"/>
      <c r="AC330" s="531"/>
      <c r="AD330" s="531"/>
      <c r="AE330" s="531"/>
      <c r="AF330" s="531"/>
      <c r="AG330" s="531"/>
    </row>
    <row r="331">
      <c r="B331" s="531"/>
      <c r="C331" s="531"/>
      <c r="D331" s="531"/>
      <c r="E331" s="531"/>
      <c r="F331" s="531"/>
      <c r="G331" s="531"/>
      <c r="H331" s="531"/>
      <c r="I331" s="531"/>
      <c r="J331" s="531"/>
      <c r="K331" s="531"/>
      <c r="L331" s="531"/>
      <c r="M331" s="531"/>
      <c r="N331" s="531"/>
      <c r="O331" s="531"/>
      <c r="P331" s="531"/>
      <c r="Q331" s="531"/>
      <c r="R331" s="531"/>
      <c r="S331" s="532"/>
      <c r="T331" s="532"/>
      <c r="U331" s="532"/>
      <c r="V331" s="532"/>
      <c r="W331" s="532"/>
      <c r="X331" s="532"/>
      <c r="Y331" s="532"/>
      <c r="Z331" s="531"/>
      <c r="AA331" s="531"/>
      <c r="AB331" s="531"/>
      <c r="AC331" s="531"/>
      <c r="AD331" s="531"/>
      <c r="AE331" s="531"/>
      <c r="AF331" s="531"/>
      <c r="AG331" s="531"/>
    </row>
    <row r="332">
      <c r="B332" s="531"/>
      <c r="C332" s="531"/>
      <c r="D332" s="531"/>
      <c r="E332" s="531"/>
      <c r="F332" s="531"/>
      <c r="G332" s="531"/>
      <c r="H332" s="531"/>
      <c r="I332" s="531"/>
      <c r="J332" s="531"/>
      <c r="K332" s="531"/>
      <c r="L332" s="531"/>
      <c r="M332" s="531"/>
      <c r="N332" s="531"/>
      <c r="O332" s="531"/>
      <c r="P332" s="531"/>
      <c r="Q332" s="531"/>
      <c r="R332" s="531"/>
      <c r="S332" s="532"/>
      <c r="T332" s="532"/>
      <c r="U332" s="532"/>
      <c r="V332" s="532"/>
      <c r="W332" s="532"/>
      <c r="X332" s="532"/>
      <c r="Y332" s="532"/>
      <c r="Z332" s="531"/>
      <c r="AA332" s="531"/>
      <c r="AB332" s="531"/>
      <c r="AC332" s="531"/>
      <c r="AD332" s="531"/>
      <c r="AE332" s="531"/>
      <c r="AF332" s="531"/>
      <c r="AG332" s="531"/>
    </row>
    <row r="333">
      <c r="B333" s="531"/>
      <c r="C333" s="531"/>
      <c r="D333" s="531"/>
      <c r="E333" s="531"/>
      <c r="F333" s="531"/>
      <c r="G333" s="531"/>
      <c r="H333" s="531"/>
      <c r="I333" s="531"/>
      <c r="J333" s="531"/>
      <c r="K333" s="531"/>
      <c r="L333" s="531"/>
      <c r="M333" s="531"/>
      <c r="N333" s="531"/>
      <c r="O333" s="531"/>
      <c r="P333" s="531"/>
      <c r="Q333" s="531"/>
      <c r="R333" s="531"/>
      <c r="S333" s="532"/>
      <c r="T333" s="532"/>
      <c r="U333" s="532"/>
      <c r="V333" s="532"/>
      <c r="W333" s="532"/>
      <c r="X333" s="532"/>
      <c r="Y333" s="532"/>
      <c r="Z333" s="531"/>
      <c r="AA333" s="531"/>
      <c r="AB333" s="531"/>
      <c r="AC333" s="531"/>
      <c r="AD333" s="531"/>
      <c r="AE333" s="531"/>
      <c r="AF333" s="531"/>
      <c r="AG333" s="531"/>
    </row>
    <row r="334">
      <c r="B334" s="531"/>
      <c r="C334" s="531"/>
      <c r="D334" s="531"/>
      <c r="E334" s="531"/>
      <c r="F334" s="531"/>
      <c r="G334" s="531"/>
      <c r="H334" s="531"/>
      <c r="I334" s="531"/>
      <c r="J334" s="531"/>
      <c r="K334" s="531"/>
      <c r="L334" s="531"/>
      <c r="M334" s="531"/>
      <c r="N334" s="531"/>
      <c r="O334" s="531"/>
      <c r="P334" s="531"/>
      <c r="Q334" s="531"/>
      <c r="R334" s="531"/>
      <c r="S334" s="532"/>
      <c r="T334" s="532"/>
      <c r="U334" s="532"/>
      <c r="V334" s="532"/>
      <c r="W334" s="532"/>
      <c r="X334" s="532"/>
      <c r="Y334" s="532"/>
      <c r="Z334" s="531"/>
      <c r="AA334" s="531"/>
      <c r="AB334" s="531"/>
      <c r="AC334" s="531"/>
      <c r="AD334" s="531"/>
      <c r="AE334" s="531"/>
      <c r="AF334" s="531"/>
      <c r="AG334" s="531"/>
    </row>
    <row r="335">
      <c r="B335" s="531"/>
      <c r="C335" s="531"/>
      <c r="D335" s="531"/>
      <c r="E335" s="531"/>
      <c r="F335" s="531"/>
      <c r="G335" s="531"/>
      <c r="H335" s="531"/>
      <c r="I335" s="531"/>
      <c r="J335" s="531"/>
      <c r="K335" s="531"/>
      <c r="L335" s="531"/>
      <c r="M335" s="531"/>
      <c r="N335" s="531"/>
      <c r="O335" s="531"/>
      <c r="P335" s="531"/>
      <c r="Q335" s="531"/>
      <c r="R335" s="531"/>
      <c r="S335" s="532"/>
      <c r="T335" s="532"/>
      <c r="U335" s="532"/>
      <c r="V335" s="532"/>
      <c r="W335" s="532"/>
      <c r="X335" s="532"/>
      <c r="Y335" s="532"/>
      <c r="Z335" s="531"/>
      <c r="AA335" s="531"/>
      <c r="AB335" s="531"/>
      <c r="AC335" s="531"/>
      <c r="AD335" s="531"/>
      <c r="AE335" s="531"/>
      <c r="AF335" s="531"/>
      <c r="AG335" s="531"/>
    </row>
    <row r="336">
      <c r="B336" s="531"/>
      <c r="C336" s="531"/>
      <c r="D336" s="531"/>
      <c r="E336" s="531"/>
      <c r="F336" s="531"/>
      <c r="G336" s="531"/>
      <c r="H336" s="531"/>
      <c r="I336" s="531"/>
      <c r="J336" s="531"/>
      <c r="K336" s="531"/>
      <c r="L336" s="531"/>
      <c r="M336" s="531"/>
      <c r="N336" s="531"/>
      <c r="O336" s="531"/>
      <c r="P336" s="531"/>
      <c r="Q336" s="531"/>
      <c r="R336" s="531"/>
      <c r="S336" s="532"/>
      <c r="T336" s="532"/>
      <c r="U336" s="532"/>
      <c r="V336" s="532"/>
      <c r="W336" s="532"/>
      <c r="X336" s="532"/>
      <c r="Y336" s="532"/>
      <c r="Z336" s="531"/>
      <c r="AA336" s="531"/>
      <c r="AB336" s="531"/>
      <c r="AC336" s="531"/>
      <c r="AD336" s="531"/>
      <c r="AE336" s="531"/>
      <c r="AF336" s="531"/>
      <c r="AG336" s="531"/>
    </row>
    <row r="337">
      <c r="B337" s="531"/>
      <c r="C337" s="531"/>
      <c r="D337" s="531"/>
      <c r="E337" s="531"/>
      <c r="F337" s="531"/>
      <c r="G337" s="531"/>
      <c r="H337" s="531"/>
      <c r="I337" s="531"/>
      <c r="J337" s="531"/>
      <c r="K337" s="531"/>
      <c r="L337" s="531"/>
      <c r="M337" s="531"/>
      <c r="N337" s="531"/>
      <c r="O337" s="531"/>
      <c r="P337" s="531"/>
      <c r="Q337" s="531"/>
      <c r="R337" s="531"/>
      <c r="S337" s="532"/>
      <c r="T337" s="532"/>
      <c r="U337" s="532"/>
      <c r="V337" s="532"/>
      <c r="W337" s="532"/>
      <c r="X337" s="532"/>
      <c r="Y337" s="532"/>
      <c r="Z337" s="531"/>
      <c r="AA337" s="531"/>
      <c r="AB337" s="531"/>
      <c r="AC337" s="531"/>
      <c r="AD337" s="531"/>
      <c r="AE337" s="531"/>
      <c r="AF337" s="531"/>
      <c r="AG337" s="531"/>
    </row>
    <row r="338">
      <c r="B338" s="531"/>
      <c r="C338" s="531"/>
      <c r="D338" s="531"/>
      <c r="E338" s="531"/>
      <c r="F338" s="531"/>
      <c r="G338" s="531"/>
      <c r="H338" s="531"/>
      <c r="I338" s="531"/>
      <c r="J338" s="531"/>
      <c r="K338" s="531"/>
      <c r="L338" s="531"/>
      <c r="M338" s="531"/>
      <c r="N338" s="531"/>
      <c r="O338" s="531"/>
      <c r="P338" s="531"/>
      <c r="Q338" s="531"/>
      <c r="R338" s="531"/>
      <c r="S338" s="532"/>
      <c r="T338" s="532"/>
      <c r="U338" s="532"/>
      <c r="V338" s="532"/>
      <c r="W338" s="532"/>
      <c r="X338" s="532"/>
      <c r="Y338" s="532"/>
      <c r="Z338" s="531"/>
      <c r="AA338" s="531"/>
      <c r="AB338" s="531"/>
      <c r="AC338" s="531"/>
      <c r="AD338" s="531"/>
      <c r="AE338" s="531"/>
      <c r="AF338" s="531"/>
      <c r="AG338" s="531"/>
    </row>
    <row r="339">
      <c r="B339" s="531"/>
      <c r="C339" s="531"/>
      <c r="D339" s="531"/>
      <c r="E339" s="531"/>
      <c r="F339" s="531"/>
      <c r="G339" s="531"/>
      <c r="H339" s="531"/>
      <c r="I339" s="531"/>
      <c r="J339" s="531"/>
      <c r="K339" s="531"/>
      <c r="L339" s="531"/>
      <c r="M339" s="531"/>
      <c r="N339" s="531"/>
      <c r="O339" s="531"/>
      <c r="P339" s="531"/>
      <c r="Q339" s="531"/>
      <c r="R339" s="531"/>
      <c r="S339" s="532"/>
      <c r="T339" s="532"/>
      <c r="U339" s="532"/>
      <c r="V339" s="532"/>
      <c r="W339" s="532"/>
      <c r="X339" s="532"/>
      <c r="Y339" s="532"/>
      <c r="Z339" s="531"/>
      <c r="AA339" s="531"/>
      <c r="AB339" s="531"/>
      <c r="AC339" s="531"/>
      <c r="AD339" s="531"/>
      <c r="AE339" s="531"/>
      <c r="AF339" s="531"/>
      <c r="AG339" s="531"/>
    </row>
    <row r="340">
      <c r="B340" s="531"/>
      <c r="C340" s="531"/>
      <c r="D340" s="531"/>
      <c r="E340" s="531"/>
      <c r="F340" s="531"/>
      <c r="G340" s="531"/>
      <c r="H340" s="531"/>
      <c r="I340" s="531"/>
      <c r="J340" s="531"/>
      <c r="K340" s="531"/>
      <c r="L340" s="531"/>
      <c r="M340" s="531"/>
      <c r="N340" s="531"/>
      <c r="O340" s="531"/>
      <c r="P340" s="531"/>
      <c r="Q340" s="531"/>
      <c r="R340" s="531"/>
      <c r="S340" s="532"/>
      <c r="T340" s="532"/>
      <c r="U340" s="532"/>
      <c r="V340" s="532"/>
      <c r="W340" s="532"/>
      <c r="X340" s="532"/>
      <c r="Y340" s="532"/>
      <c r="Z340" s="531"/>
      <c r="AA340" s="531"/>
      <c r="AB340" s="531"/>
      <c r="AC340" s="531"/>
      <c r="AD340" s="531"/>
      <c r="AE340" s="531"/>
      <c r="AF340" s="531"/>
      <c r="AG340" s="531"/>
    </row>
    <row r="341">
      <c r="B341" s="531"/>
      <c r="C341" s="531"/>
      <c r="D341" s="531"/>
      <c r="E341" s="531"/>
      <c r="F341" s="531"/>
      <c r="G341" s="531"/>
      <c r="H341" s="531"/>
      <c r="I341" s="531"/>
      <c r="J341" s="531"/>
      <c r="K341" s="531"/>
      <c r="L341" s="531"/>
      <c r="M341" s="531"/>
      <c r="N341" s="531"/>
      <c r="O341" s="531"/>
      <c r="P341" s="531"/>
      <c r="Q341" s="531"/>
      <c r="R341" s="531"/>
      <c r="S341" s="532"/>
      <c r="T341" s="532"/>
      <c r="U341" s="532"/>
      <c r="V341" s="532"/>
      <c r="W341" s="532"/>
      <c r="X341" s="532"/>
      <c r="Y341" s="532"/>
      <c r="Z341" s="531"/>
      <c r="AA341" s="531"/>
      <c r="AB341" s="531"/>
      <c r="AC341" s="531"/>
      <c r="AD341" s="531"/>
      <c r="AE341" s="531"/>
      <c r="AF341" s="531"/>
      <c r="AG341" s="531"/>
    </row>
    <row r="342">
      <c r="B342" s="531"/>
      <c r="C342" s="531"/>
      <c r="D342" s="531"/>
      <c r="E342" s="531"/>
      <c r="F342" s="531"/>
      <c r="G342" s="531"/>
      <c r="H342" s="531"/>
      <c r="I342" s="531"/>
      <c r="J342" s="531"/>
      <c r="K342" s="531"/>
      <c r="L342" s="531"/>
      <c r="M342" s="531"/>
      <c r="N342" s="531"/>
      <c r="O342" s="531"/>
      <c r="P342" s="531"/>
      <c r="Q342" s="531"/>
      <c r="R342" s="531"/>
      <c r="S342" s="532"/>
      <c r="T342" s="532"/>
      <c r="U342" s="532"/>
      <c r="V342" s="532"/>
      <c r="W342" s="532"/>
      <c r="X342" s="532"/>
      <c r="Y342" s="532"/>
      <c r="Z342" s="531"/>
      <c r="AA342" s="531"/>
      <c r="AB342" s="531"/>
      <c r="AC342" s="531"/>
      <c r="AD342" s="531"/>
      <c r="AE342" s="531"/>
      <c r="AF342" s="531"/>
      <c r="AG342" s="531"/>
    </row>
    <row r="343">
      <c r="B343" s="531"/>
      <c r="C343" s="531"/>
      <c r="D343" s="531"/>
      <c r="E343" s="531"/>
      <c r="F343" s="531"/>
      <c r="G343" s="531"/>
      <c r="H343" s="531"/>
      <c r="I343" s="531"/>
      <c r="J343" s="531"/>
      <c r="K343" s="531"/>
      <c r="L343" s="531"/>
      <c r="M343" s="531"/>
      <c r="N343" s="531"/>
      <c r="O343" s="531"/>
      <c r="P343" s="531"/>
      <c r="Q343" s="531"/>
      <c r="R343" s="531"/>
      <c r="S343" s="532"/>
      <c r="T343" s="532"/>
      <c r="U343" s="532"/>
      <c r="V343" s="532"/>
      <c r="W343" s="532"/>
      <c r="X343" s="532"/>
      <c r="Y343" s="532"/>
      <c r="Z343" s="531"/>
      <c r="AA343" s="531"/>
      <c r="AB343" s="531"/>
      <c r="AC343" s="531"/>
      <c r="AD343" s="531"/>
      <c r="AE343" s="531"/>
      <c r="AF343" s="531"/>
      <c r="AG343" s="531"/>
    </row>
    <row r="344">
      <c r="B344" s="531"/>
      <c r="C344" s="531"/>
      <c r="D344" s="531"/>
      <c r="E344" s="531"/>
      <c r="F344" s="531"/>
      <c r="G344" s="531"/>
      <c r="H344" s="531"/>
      <c r="I344" s="531"/>
      <c r="J344" s="531"/>
      <c r="K344" s="531"/>
      <c r="L344" s="531"/>
      <c r="M344" s="531"/>
      <c r="N344" s="531"/>
      <c r="O344" s="531"/>
      <c r="P344" s="531"/>
      <c r="Q344" s="531"/>
      <c r="R344" s="531"/>
      <c r="S344" s="532"/>
      <c r="T344" s="532"/>
      <c r="U344" s="532"/>
      <c r="V344" s="532"/>
      <c r="W344" s="532"/>
      <c r="X344" s="532"/>
      <c r="Y344" s="532"/>
      <c r="Z344" s="531"/>
      <c r="AA344" s="531"/>
      <c r="AB344" s="531"/>
      <c r="AC344" s="531"/>
      <c r="AD344" s="531"/>
      <c r="AE344" s="531"/>
      <c r="AF344" s="531"/>
      <c r="AG344" s="531"/>
    </row>
    <row r="345">
      <c r="B345" s="531"/>
      <c r="C345" s="531"/>
      <c r="D345" s="531"/>
      <c r="E345" s="531"/>
      <c r="F345" s="531"/>
      <c r="G345" s="531"/>
      <c r="H345" s="531"/>
      <c r="I345" s="531"/>
      <c r="J345" s="531"/>
      <c r="K345" s="531"/>
      <c r="L345" s="531"/>
      <c r="M345" s="531"/>
      <c r="N345" s="531"/>
      <c r="O345" s="531"/>
      <c r="P345" s="531"/>
      <c r="Q345" s="531"/>
      <c r="R345" s="531"/>
      <c r="S345" s="532"/>
      <c r="T345" s="532"/>
      <c r="U345" s="532"/>
      <c r="V345" s="532"/>
      <c r="W345" s="532"/>
      <c r="X345" s="532"/>
      <c r="Y345" s="532"/>
      <c r="Z345" s="531"/>
      <c r="AA345" s="531"/>
      <c r="AB345" s="531"/>
      <c r="AC345" s="531"/>
      <c r="AD345" s="531"/>
      <c r="AE345" s="531"/>
      <c r="AF345" s="531"/>
      <c r="AG345" s="531"/>
    </row>
    <row r="346">
      <c r="B346" s="531"/>
      <c r="C346" s="531"/>
      <c r="D346" s="531"/>
      <c r="E346" s="531"/>
      <c r="F346" s="531"/>
      <c r="G346" s="531"/>
      <c r="H346" s="531"/>
      <c r="I346" s="531"/>
      <c r="J346" s="531"/>
      <c r="K346" s="531"/>
      <c r="L346" s="531"/>
      <c r="M346" s="531"/>
      <c r="N346" s="531"/>
      <c r="O346" s="531"/>
      <c r="P346" s="531"/>
      <c r="Q346" s="531"/>
      <c r="R346" s="531"/>
      <c r="S346" s="532"/>
      <c r="T346" s="532"/>
      <c r="U346" s="532"/>
      <c r="V346" s="532"/>
      <c r="W346" s="532"/>
      <c r="X346" s="532"/>
      <c r="Y346" s="532"/>
      <c r="Z346" s="531"/>
      <c r="AA346" s="531"/>
      <c r="AB346" s="531"/>
      <c r="AC346" s="531"/>
      <c r="AD346" s="531"/>
      <c r="AE346" s="531"/>
      <c r="AF346" s="531"/>
      <c r="AG346" s="531"/>
    </row>
    <row r="347">
      <c r="B347" s="531"/>
      <c r="C347" s="531"/>
      <c r="D347" s="531"/>
      <c r="E347" s="531"/>
      <c r="F347" s="531"/>
      <c r="G347" s="531"/>
      <c r="H347" s="531"/>
      <c r="I347" s="531"/>
      <c r="J347" s="531"/>
      <c r="K347" s="531"/>
      <c r="L347" s="531"/>
      <c r="M347" s="531"/>
      <c r="N347" s="531"/>
      <c r="O347" s="531"/>
      <c r="P347" s="531"/>
      <c r="Q347" s="531"/>
      <c r="R347" s="531"/>
      <c r="S347" s="532"/>
      <c r="T347" s="532"/>
      <c r="U347" s="532"/>
      <c r="V347" s="532"/>
      <c r="W347" s="532"/>
      <c r="X347" s="532"/>
      <c r="Y347" s="532"/>
      <c r="Z347" s="531"/>
      <c r="AA347" s="531"/>
      <c r="AB347" s="531"/>
      <c r="AC347" s="531"/>
      <c r="AD347" s="531"/>
      <c r="AE347" s="531"/>
      <c r="AF347" s="531"/>
      <c r="AG347" s="531"/>
    </row>
    <row r="348">
      <c r="B348" s="531"/>
      <c r="C348" s="531"/>
      <c r="D348" s="531"/>
      <c r="E348" s="531"/>
      <c r="F348" s="531"/>
      <c r="G348" s="531"/>
      <c r="H348" s="531"/>
      <c r="I348" s="531"/>
      <c r="J348" s="531"/>
      <c r="K348" s="531"/>
      <c r="L348" s="531"/>
      <c r="M348" s="531"/>
      <c r="N348" s="531"/>
      <c r="O348" s="531"/>
      <c r="P348" s="531"/>
      <c r="Q348" s="531"/>
      <c r="R348" s="531"/>
      <c r="S348" s="532"/>
      <c r="T348" s="532"/>
      <c r="U348" s="532"/>
      <c r="V348" s="532"/>
      <c r="W348" s="532"/>
      <c r="X348" s="532"/>
      <c r="Y348" s="532"/>
      <c r="Z348" s="531"/>
      <c r="AA348" s="531"/>
      <c r="AB348" s="531"/>
      <c r="AC348" s="531"/>
      <c r="AD348" s="531"/>
      <c r="AE348" s="531"/>
      <c r="AF348" s="531"/>
      <c r="AG348" s="531"/>
    </row>
    <row r="349">
      <c r="B349" s="531"/>
      <c r="C349" s="531"/>
      <c r="D349" s="531"/>
      <c r="E349" s="531"/>
      <c r="F349" s="531"/>
      <c r="G349" s="531"/>
      <c r="H349" s="531"/>
      <c r="I349" s="531"/>
      <c r="J349" s="531"/>
      <c r="K349" s="531"/>
      <c r="L349" s="531"/>
      <c r="M349" s="531"/>
      <c r="N349" s="531"/>
      <c r="O349" s="531"/>
      <c r="P349" s="531"/>
      <c r="Q349" s="531"/>
      <c r="R349" s="531"/>
      <c r="S349" s="532"/>
      <c r="T349" s="532"/>
      <c r="U349" s="532"/>
      <c r="V349" s="532"/>
      <c r="W349" s="532"/>
      <c r="X349" s="532"/>
      <c r="Y349" s="532"/>
      <c r="Z349" s="531"/>
      <c r="AA349" s="531"/>
      <c r="AB349" s="531"/>
      <c r="AC349" s="531"/>
      <c r="AD349" s="531"/>
      <c r="AE349" s="531"/>
      <c r="AF349" s="531"/>
      <c r="AG349" s="531"/>
    </row>
    <row r="350">
      <c r="B350" s="531"/>
      <c r="C350" s="531"/>
      <c r="D350" s="531"/>
      <c r="E350" s="531"/>
      <c r="F350" s="531"/>
      <c r="G350" s="531"/>
      <c r="H350" s="531"/>
      <c r="I350" s="531"/>
      <c r="J350" s="531"/>
      <c r="K350" s="531"/>
      <c r="L350" s="531"/>
      <c r="M350" s="531"/>
      <c r="N350" s="531"/>
      <c r="O350" s="531"/>
      <c r="P350" s="531"/>
      <c r="Q350" s="531"/>
      <c r="R350" s="531"/>
      <c r="S350" s="532"/>
      <c r="T350" s="532"/>
      <c r="U350" s="532"/>
      <c r="V350" s="532"/>
      <c r="W350" s="532"/>
      <c r="X350" s="532"/>
      <c r="Y350" s="532"/>
      <c r="Z350" s="531"/>
      <c r="AA350" s="531"/>
      <c r="AB350" s="531"/>
      <c r="AC350" s="531"/>
      <c r="AD350" s="531"/>
      <c r="AE350" s="531"/>
      <c r="AF350" s="531"/>
      <c r="AG350" s="531"/>
    </row>
    <row r="351">
      <c r="B351" s="531"/>
      <c r="C351" s="531"/>
      <c r="D351" s="531"/>
      <c r="E351" s="531"/>
      <c r="F351" s="531"/>
      <c r="G351" s="531"/>
      <c r="H351" s="531"/>
      <c r="I351" s="531"/>
      <c r="J351" s="531"/>
      <c r="K351" s="531"/>
      <c r="L351" s="531"/>
      <c r="M351" s="531"/>
      <c r="N351" s="531"/>
      <c r="O351" s="531"/>
      <c r="P351" s="531"/>
      <c r="Q351" s="531"/>
      <c r="R351" s="531"/>
      <c r="S351" s="532"/>
      <c r="T351" s="532"/>
      <c r="U351" s="532"/>
      <c r="V351" s="532"/>
      <c r="W351" s="532"/>
      <c r="X351" s="532"/>
      <c r="Y351" s="532"/>
      <c r="Z351" s="531"/>
      <c r="AA351" s="531"/>
      <c r="AB351" s="531"/>
      <c r="AC351" s="531"/>
      <c r="AD351" s="531"/>
      <c r="AE351" s="531"/>
      <c r="AF351" s="531"/>
      <c r="AG351" s="531"/>
    </row>
    <row r="352">
      <c r="B352" s="531"/>
      <c r="C352" s="531"/>
      <c r="D352" s="531"/>
      <c r="E352" s="531"/>
      <c r="F352" s="531"/>
      <c r="G352" s="531"/>
      <c r="H352" s="531"/>
      <c r="I352" s="531"/>
      <c r="J352" s="531"/>
      <c r="K352" s="531"/>
      <c r="L352" s="531"/>
      <c r="M352" s="531"/>
      <c r="N352" s="531"/>
      <c r="O352" s="531"/>
      <c r="P352" s="531"/>
      <c r="Q352" s="531"/>
      <c r="R352" s="531"/>
      <c r="S352" s="532"/>
      <c r="T352" s="532"/>
      <c r="U352" s="532"/>
      <c r="V352" s="532"/>
      <c r="W352" s="532"/>
      <c r="X352" s="532"/>
      <c r="Y352" s="532"/>
      <c r="Z352" s="531"/>
      <c r="AA352" s="531"/>
      <c r="AB352" s="531"/>
      <c r="AC352" s="531"/>
      <c r="AD352" s="531"/>
      <c r="AE352" s="531"/>
      <c r="AF352" s="531"/>
      <c r="AG352" s="531"/>
    </row>
    <row r="353">
      <c r="B353" s="531"/>
      <c r="C353" s="531"/>
      <c r="D353" s="531"/>
      <c r="E353" s="531"/>
      <c r="F353" s="531"/>
      <c r="G353" s="531"/>
      <c r="H353" s="531"/>
      <c r="I353" s="531"/>
      <c r="J353" s="531"/>
      <c r="K353" s="531"/>
      <c r="L353" s="531"/>
      <c r="M353" s="531"/>
      <c r="N353" s="531"/>
      <c r="O353" s="531"/>
      <c r="P353" s="531"/>
      <c r="Q353" s="531"/>
      <c r="R353" s="531"/>
      <c r="S353" s="532"/>
      <c r="T353" s="532"/>
      <c r="U353" s="532"/>
      <c r="V353" s="532"/>
      <c r="W353" s="532"/>
      <c r="X353" s="532"/>
      <c r="Y353" s="532"/>
      <c r="Z353" s="531"/>
      <c r="AA353" s="531"/>
      <c r="AB353" s="531"/>
      <c r="AC353" s="531"/>
      <c r="AD353" s="531"/>
      <c r="AE353" s="531"/>
      <c r="AF353" s="531"/>
      <c r="AG353" s="531"/>
    </row>
    <row r="354">
      <c r="B354" s="531"/>
      <c r="C354" s="531"/>
      <c r="D354" s="531"/>
      <c r="E354" s="531"/>
      <c r="F354" s="531"/>
      <c r="G354" s="531"/>
      <c r="H354" s="531"/>
      <c r="I354" s="531"/>
      <c r="J354" s="531"/>
      <c r="K354" s="531"/>
      <c r="L354" s="531"/>
      <c r="M354" s="531"/>
      <c r="N354" s="531"/>
      <c r="O354" s="531"/>
      <c r="P354" s="531"/>
      <c r="Q354" s="531"/>
      <c r="R354" s="531"/>
      <c r="S354" s="532"/>
      <c r="T354" s="532"/>
      <c r="U354" s="532"/>
      <c r="V354" s="532"/>
      <c r="W354" s="532"/>
      <c r="X354" s="532"/>
      <c r="Y354" s="532"/>
      <c r="Z354" s="531"/>
      <c r="AA354" s="531"/>
      <c r="AB354" s="531"/>
      <c r="AC354" s="531"/>
      <c r="AD354" s="531"/>
      <c r="AE354" s="531"/>
      <c r="AF354" s="531"/>
      <c r="AG354" s="531"/>
    </row>
    <row r="355">
      <c r="B355" s="531"/>
      <c r="C355" s="531"/>
      <c r="D355" s="531"/>
      <c r="E355" s="531"/>
      <c r="F355" s="531"/>
      <c r="G355" s="531"/>
      <c r="H355" s="531"/>
      <c r="I355" s="531"/>
      <c r="J355" s="531"/>
      <c r="K355" s="531"/>
      <c r="L355" s="531"/>
      <c r="M355" s="531"/>
      <c r="N355" s="531"/>
      <c r="O355" s="531"/>
      <c r="P355" s="531"/>
      <c r="Q355" s="531"/>
      <c r="R355" s="531"/>
      <c r="S355" s="532"/>
      <c r="T355" s="532"/>
      <c r="U355" s="532"/>
      <c r="V355" s="532"/>
      <c r="W355" s="532"/>
      <c r="X355" s="532"/>
      <c r="Y355" s="532"/>
      <c r="Z355" s="531"/>
      <c r="AA355" s="531"/>
      <c r="AB355" s="531"/>
      <c r="AC355" s="531"/>
      <c r="AD355" s="531"/>
      <c r="AE355" s="531"/>
      <c r="AF355" s="531"/>
      <c r="AG355" s="531"/>
    </row>
    <row r="356">
      <c r="B356" s="531"/>
      <c r="C356" s="531"/>
      <c r="D356" s="531"/>
      <c r="E356" s="531"/>
      <c r="F356" s="531"/>
      <c r="G356" s="531"/>
      <c r="H356" s="531"/>
      <c r="I356" s="531"/>
      <c r="J356" s="531"/>
      <c r="K356" s="531"/>
      <c r="L356" s="531"/>
      <c r="M356" s="531"/>
      <c r="N356" s="531"/>
      <c r="O356" s="531"/>
      <c r="P356" s="531"/>
      <c r="Q356" s="531"/>
      <c r="R356" s="531"/>
      <c r="S356" s="532"/>
      <c r="T356" s="532"/>
      <c r="U356" s="532"/>
      <c r="V356" s="532"/>
      <c r="W356" s="532"/>
      <c r="X356" s="532"/>
      <c r="Y356" s="532"/>
      <c r="Z356" s="531"/>
      <c r="AA356" s="531"/>
      <c r="AB356" s="531"/>
      <c r="AC356" s="531"/>
      <c r="AD356" s="531"/>
      <c r="AE356" s="531"/>
      <c r="AF356" s="531"/>
      <c r="AG356" s="531"/>
    </row>
    <row r="357">
      <c r="B357" s="531"/>
      <c r="C357" s="531"/>
      <c r="D357" s="531"/>
      <c r="E357" s="531"/>
      <c r="F357" s="531"/>
      <c r="G357" s="531"/>
      <c r="H357" s="531"/>
      <c r="I357" s="531"/>
      <c r="J357" s="531"/>
      <c r="K357" s="531"/>
      <c r="L357" s="531"/>
      <c r="M357" s="531"/>
      <c r="N357" s="531"/>
      <c r="O357" s="531"/>
      <c r="P357" s="531"/>
      <c r="Q357" s="531"/>
      <c r="R357" s="531"/>
      <c r="S357" s="532"/>
      <c r="T357" s="532"/>
      <c r="U357" s="532"/>
      <c r="V357" s="532"/>
      <c r="W357" s="532"/>
      <c r="X357" s="532"/>
      <c r="Y357" s="532"/>
      <c r="Z357" s="531"/>
      <c r="AA357" s="531"/>
      <c r="AB357" s="531"/>
      <c r="AC357" s="531"/>
      <c r="AD357" s="531"/>
      <c r="AE357" s="531"/>
      <c r="AF357" s="531"/>
      <c r="AG357" s="531"/>
    </row>
    <row r="358">
      <c r="B358" s="531"/>
      <c r="C358" s="531"/>
      <c r="D358" s="531"/>
      <c r="E358" s="531"/>
      <c r="F358" s="531"/>
      <c r="G358" s="531"/>
      <c r="H358" s="531"/>
      <c r="I358" s="531"/>
      <c r="J358" s="531"/>
      <c r="K358" s="531"/>
      <c r="L358" s="531"/>
      <c r="M358" s="531"/>
      <c r="N358" s="531"/>
      <c r="O358" s="531"/>
      <c r="P358" s="531"/>
      <c r="Q358" s="531"/>
      <c r="R358" s="531"/>
      <c r="S358" s="532"/>
      <c r="T358" s="532"/>
      <c r="U358" s="532"/>
      <c r="V358" s="532"/>
      <c r="W358" s="532"/>
      <c r="X358" s="532"/>
      <c r="Y358" s="532"/>
      <c r="Z358" s="531"/>
      <c r="AA358" s="531"/>
      <c r="AB358" s="531"/>
      <c r="AC358" s="531"/>
      <c r="AD358" s="531"/>
      <c r="AE358" s="531"/>
      <c r="AF358" s="531"/>
      <c r="AG358" s="531"/>
    </row>
    <row r="359">
      <c r="B359" s="531"/>
      <c r="C359" s="531"/>
      <c r="D359" s="531"/>
      <c r="E359" s="531"/>
      <c r="F359" s="531"/>
      <c r="G359" s="531"/>
      <c r="H359" s="531"/>
      <c r="I359" s="531"/>
      <c r="J359" s="531"/>
      <c r="K359" s="531"/>
      <c r="L359" s="531"/>
      <c r="M359" s="531"/>
      <c r="N359" s="531"/>
      <c r="O359" s="531"/>
      <c r="P359" s="531"/>
      <c r="Q359" s="531"/>
      <c r="R359" s="531"/>
      <c r="S359" s="532"/>
      <c r="T359" s="532"/>
      <c r="U359" s="532"/>
      <c r="V359" s="532"/>
      <c r="W359" s="532"/>
      <c r="X359" s="532"/>
      <c r="Y359" s="532"/>
      <c r="Z359" s="531"/>
      <c r="AA359" s="531"/>
      <c r="AB359" s="531"/>
      <c r="AC359" s="531"/>
      <c r="AD359" s="531"/>
      <c r="AE359" s="531"/>
      <c r="AF359" s="531"/>
      <c r="AG359" s="531"/>
    </row>
    <row r="360">
      <c r="B360" s="531"/>
      <c r="C360" s="531"/>
      <c r="D360" s="531"/>
      <c r="E360" s="531"/>
      <c r="F360" s="531"/>
      <c r="G360" s="531"/>
      <c r="H360" s="531"/>
      <c r="I360" s="531"/>
      <c r="J360" s="531"/>
      <c r="K360" s="531"/>
      <c r="L360" s="531"/>
      <c r="M360" s="531"/>
      <c r="N360" s="531"/>
      <c r="O360" s="531"/>
      <c r="P360" s="531"/>
      <c r="Q360" s="531"/>
      <c r="R360" s="531"/>
      <c r="S360" s="532"/>
      <c r="T360" s="532"/>
      <c r="U360" s="532"/>
      <c r="V360" s="532"/>
      <c r="W360" s="532"/>
      <c r="X360" s="532"/>
      <c r="Y360" s="532"/>
      <c r="Z360" s="531"/>
      <c r="AA360" s="531"/>
      <c r="AB360" s="531"/>
      <c r="AC360" s="531"/>
      <c r="AD360" s="531"/>
      <c r="AE360" s="531"/>
      <c r="AF360" s="531"/>
      <c r="AG360" s="531"/>
    </row>
    <row r="361">
      <c r="B361" s="531"/>
      <c r="C361" s="531"/>
      <c r="D361" s="531"/>
      <c r="E361" s="531"/>
      <c r="F361" s="531"/>
      <c r="G361" s="531"/>
      <c r="H361" s="531"/>
      <c r="I361" s="531"/>
      <c r="J361" s="531"/>
      <c r="K361" s="531"/>
      <c r="L361" s="531"/>
      <c r="M361" s="531"/>
      <c r="N361" s="531"/>
      <c r="O361" s="531"/>
      <c r="P361" s="531"/>
      <c r="Q361" s="531"/>
      <c r="R361" s="531"/>
      <c r="S361" s="532"/>
      <c r="T361" s="532"/>
      <c r="U361" s="532"/>
      <c r="V361" s="532"/>
      <c r="W361" s="532"/>
      <c r="X361" s="532"/>
      <c r="Y361" s="532"/>
      <c r="Z361" s="531"/>
      <c r="AA361" s="531"/>
      <c r="AB361" s="531"/>
      <c r="AC361" s="531"/>
      <c r="AD361" s="531"/>
      <c r="AE361" s="531"/>
      <c r="AF361" s="531"/>
      <c r="AG361" s="531"/>
    </row>
    <row r="362">
      <c r="B362" s="531"/>
      <c r="C362" s="531"/>
      <c r="D362" s="531"/>
      <c r="E362" s="531"/>
      <c r="F362" s="531"/>
      <c r="G362" s="531"/>
      <c r="H362" s="531"/>
      <c r="I362" s="531"/>
      <c r="J362" s="531"/>
      <c r="K362" s="531"/>
      <c r="L362" s="531"/>
      <c r="M362" s="531"/>
      <c r="N362" s="531"/>
      <c r="O362" s="531"/>
      <c r="P362" s="531"/>
      <c r="Q362" s="531"/>
      <c r="R362" s="531"/>
      <c r="S362" s="532"/>
      <c r="T362" s="532"/>
      <c r="U362" s="532"/>
      <c r="V362" s="532"/>
      <c r="W362" s="532"/>
      <c r="X362" s="532"/>
      <c r="Y362" s="532"/>
      <c r="Z362" s="531"/>
      <c r="AA362" s="531"/>
      <c r="AB362" s="531"/>
      <c r="AC362" s="531"/>
      <c r="AD362" s="531"/>
      <c r="AE362" s="531"/>
      <c r="AF362" s="531"/>
      <c r="AG362" s="531"/>
    </row>
    <row r="363">
      <c r="B363" s="531"/>
      <c r="C363" s="531"/>
      <c r="D363" s="531"/>
      <c r="E363" s="531"/>
      <c r="F363" s="531"/>
      <c r="G363" s="531"/>
      <c r="H363" s="531"/>
      <c r="I363" s="531"/>
      <c r="J363" s="531"/>
      <c r="K363" s="531"/>
      <c r="L363" s="531"/>
      <c r="M363" s="531"/>
      <c r="N363" s="531"/>
      <c r="O363" s="531"/>
      <c r="P363" s="531"/>
      <c r="Q363" s="531"/>
      <c r="R363" s="531"/>
      <c r="S363" s="532"/>
      <c r="T363" s="532"/>
      <c r="U363" s="532"/>
      <c r="V363" s="532"/>
      <c r="W363" s="532"/>
      <c r="X363" s="532"/>
      <c r="Y363" s="532"/>
      <c r="Z363" s="531"/>
      <c r="AA363" s="531"/>
      <c r="AB363" s="531"/>
      <c r="AC363" s="531"/>
      <c r="AD363" s="531"/>
      <c r="AE363" s="531"/>
      <c r="AF363" s="531"/>
      <c r="AG363" s="531"/>
    </row>
    <row r="364">
      <c r="B364" s="531"/>
      <c r="C364" s="531"/>
      <c r="D364" s="531"/>
      <c r="E364" s="531"/>
      <c r="F364" s="531"/>
      <c r="G364" s="531"/>
      <c r="H364" s="531"/>
      <c r="I364" s="531"/>
      <c r="J364" s="531"/>
      <c r="K364" s="531"/>
      <c r="L364" s="531"/>
      <c r="M364" s="531"/>
      <c r="N364" s="531"/>
      <c r="O364" s="531"/>
      <c r="P364" s="531"/>
      <c r="Q364" s="531"/>
      <c r="R364" s="531"/>
      <c r="S364" s="532"/>
      <c r="T364" s="532"/>
      <c r="U364" s="532"/>
      <c r="V364" s="532"/>
      <c r="W364" s="532"/>
      <c r="X364" s="532"/>
      <c r="Y364" s="532"/>
      <c r="Z364" s="531"/>
      <c r="AA364" s="531"/>
      <c r="AB364" s="531"/>
      <c r="AC364" s="531"/>
      <c r="AD364" s="531"/>
      <c r="AE364" s="531"/>
      <c r="AF364" s="531"/>
      <c r="AG364" s="531"/>
    </row>
    <row r="365">
      <c r="B365" s="531"/>
      <c r="C365" s="531"/>
      <c r="D365" s="531"/>
      <c r="E365" s="531"/>
      <c r="F365" s="531"/>
      <c r="G365" s="531"/>
      <c r="H365" s="531"/>
      <c r="I365" s="531"/>
      <c r="J365" s="531"/>
      <c r="K365" s="531"/>
      <c r="L365" s="531"/>
      <c r="M365" s="531"/>
      <c r="N365" s="531"/>
      <c r="O365" s="531"/>
      <c r="P365" s="531"/>
      <c r="Q365" s="531"/>
      <c r="R365" s="531"/>
      <c r="S365" s="532"/>
      <c r="T365" s="532"/>
      <c r="U365" s="532"/>
      <c r="V365" s="532"/>
      <c r="W365" s="532"/>
      <c r="X365" s="532"/>
      <c r="Y365" s="532"/>
      <c r="Z365" s="531"/>
      <c r="AA365" s="531"/>
      <c r="AB365" s="531"/>
      <c r="AC365" s="531"/>
      <c r="AD365" s="531"/>
      <c r="AE365" s="531"/>
      <c r="AF365" s="531"/>
      <c r="AG365" s="531"/>
    </row>
    <row r="366">
      <c r="B366" s="531"/>
      <c r="C366" s="531"/>
      <c r="D366" s="531"/>
      <c r="E366" s="531"/>
      <c r="F366" s="531"/>
      <c r="G366" s="531"/>
      <c r="H366" s="531"/>
      <c r="I366" s="531"/>
      <c r="J366" s="531"/>
      <c r="K366" s="531"/>
      <c r="L366" s="531"/>
      <c r="M366" s="531"/>
      <c r="N366" s="531"/>
      <c r="O366" s="531"/>
      <c r="P366" s="531"/>
      <c r="Q366" s="531"/>
      <c r="R366" s="531"/>
      <c r="S366" s="532"/>
      <c r="T366" s="532"/>
      <c r="U366" s="532"/>
      <c r="V366" s="532"/>
      <c r="W366" s="532"/>
      <c r="X366" s="532"/>
      <c r="Y366" s="532"/>
      <c r="Z366" s="531"/>
      <c r="AA366" s="531"/>
      <c r="AB366" s="531"/>
      <c r="AC366" s="531"/>
      <c r="AD366" s="531"/>
      <c r="AE366" s="531"/>
      <c r="AF366" s="531"/>
      <c r="AG366" s="531"/>
    </row>
    <row r="367">
      <c r="B367" s="531"/>
      <c r="C367" s="531"/>
      <c r="D367" s="531"/>
      <c r="E367" s="531"/>
      <c r="F367" s="531"/>
      <c r="G367" s="531"/>
      <c r="H367" s="531"/>
      <c r="I367" s="531"/>
      <c r="J367" s="531"/>
      <c r="K367" s="531"/>
      <c r="L367" s="531"/>
      <c r="M367" s="531"/>
      <c r="N367" s="531"/>
      <c r="O367" s="531"/>
      <c r="P367" s="531"/>
      <c r="Q367" s="531"/>
      <c r="R367" s="531"/>
      <c r="S367" s="532"/>
      <c r="T367" s="532"/>
      <c r="U367" s="532"/>
      <c r="V367" s="532"/>
      <c r="W367" s="532"/>
      <c r="X367" s="532"/>
      <c r="Y367" s="532"/>
      <c r="Z367" s="531"/>
      <c r="AA367" s="531"/>
      <c r="AB367" s="531"/>
      <c r="AC367" s="531"/>
      <c r="AD367" s="531"/>
      <c r="AE367" s="531"/>
      <c r="AF367" s="531"/>
      <c r="AG367" s="531"/>
    </row>
    <row r="368">
      <c r="B368" s="531"/>
      <c r="C368" s="531"/>
      <c r="D368" s="531"/>
      <c r="E368" s="531"/>
      <c r="F368" s="531"/>
      <c r="G368" s="531"/>
      <c r="H368" s="531"/>
      <c r="I368" s="531"/>
      <c r="J368" s="531"/>
      <c r="K368" s="531"/>
      <c r="L368" s="531"/>
      <c r="M368" s="531"/>
      <c r="N368" s="531"/>
      <c r="O368" s="531"/>
      <c r="P368" s="531"/>
      <c r="Q368" s="531"/>
      <c r="R368" s="531"/>
      <c r="S368" s="532"/>
      <c r="T368" s="532"/>
      <c r="U368" s="532"/>
      <c r="V368" s="532"/>
      <c r="W368" s="532"/>
      <c r="X368" s="532"/>
      <c r="Y368" s="532"/>
      <c r="Z368" s="531"/>
      <c r="AA368" s="531"/>
      <c r="AB368" s="531"/>
      <c r="AC368" s="531"/>
      <c r="AD368" s="531"/>
      <c r="AE368" s="531"/>
      <c r="AF368" s="531"/>
      <c r="AG368" s="531"/>
    </row>
    <row r="369">
      <c r="B369" s="531"/>
      <c r="C369" s="531"/>
      <c r="D369" s="531"/>
      <c r="E369" s="531"/>
      <c r="F369" s="531"/>
      <c r="G369" s="531"/>
      <c r="H369" s="531"/>
      <c r="I369" s="531"/>
      <c r="J369" s="531"/>
      <c r="K369" s="531"/>
      <c r="L369" s="531"/>
      <c r="M369" s="531"/>
      <c r="N369" s="531"/>
      <c r="O369" s="531"/>
      <c r="P369" s="531"/>
      <c r="Q369" s="531"/>
      <c r="R369" s="531"/>
      <c r="S369" s="532"/>
      <c r="T369" s="532"/>
      <c r="U369" s="532"/>
      <c r="V369" s="532"/>
      <c r="W369" s="532"/>
      <c r="X369" s="532"/>
      <c r="Y369" s="532"/>
      <c r="Z369" s="531"/>
      <c r="AA369" s="531"/>
      <c r="AB369" s="531"/>
      <c r="AC369" s="531"/>
      <c r="AD369" s="531"/>
      <c r="AE369" s="531"/>
      <c r="AF369" s="531"/>
      <c r="AG369" s="531"/>
    </row>
    <row r="370">
      <c r="B370" s="531"/>
      <c r="C370" s="531"/>
      <c r="D370" s="531"/>
      <c r="E370" s="531"/>
      <c r="F370" s="531"/>
      <c r="G370" s="531"/>
      <c r="H370" s="531"/>
      <c r="I370" s="531"/>
      <c r="J370" s="531"/>
      <c r="K370" s="531"/>
      <c r="L370" s="531"/>
      <c r="M370" s="531"/>
      <c r="N370" s="531"/>
      <c r="O370" s="531"/>
      <c r="P370" s="531"/>
      <c r="Q370" s="531"/>
      <c r="R370" s="531"/>
      <c r="S370" s="532"/>
      <c r="T370" s="532"/>
      <c r="U370" s="532"/>
      <c r="V370" s="532"/>
      <c r="W370" s="532"/>
      <c r="X370" s="532"/>
      <c r="Y370" s="532"/>
      <c r="Z370" s="531"/>
      <c r="AA370" s="531"/>
      <c r="AB370" s="531"/>
      <c r="AC370" s="531"/>
      <c r="AD370" s="531"/>
      <c r="AE370" s="531"/>
      <c r="AF370" s="531"/>
      <c r="AG370" s="531"/>
    </row>
    <row r="371">
      <c r="B371" s="531"/>
      <c r="C371" s="531"/>
      <c r="D371" s="531"/>
      <c r="E371" s="531"/>
      <c r="F371" s="531"/>
      <c r="G371" s="531"/>
      <c r="H371" s="531"/>
      <c r="I371" s="531"/>
      <c r="J371" s="531"/>
      <c r="K371" s="531"/>
      <c r="L371" s="531"/>
      <c r="M371" s="531"/>
      <c r="N371" s="531"/>
      <c r="O371" s="531"/>
      <c r="P371" s="531"/>
      <c r="Q371" s="531"/>
      <c r="R371" s="531"/>
      <c r="S371" s="532"/>
      <c r="T371" s="532"/>
      <c r="U371" s="532"/>
      <c r="V371" s="532"/>
      <c r="W371" s="532"/>
      <c r="X371" s="532"/>
      <c r="Y371" s="532"/>
      <c r="Z371" s="531"/>
      <c r="AA371" s="531"/>
      <c r="AB371" s="531"/>
      <c r="AC371" s="531"/>
      <c r="AD371" s="531"/>
      <c r="AE371" s="531"/>
      <c r="AF371" s="531"/>
      <c r="AG371" s="531"/>
    </row>
    <row r="372">
      <c r="B372" s="531"/>
      <c r="C372" s="531"/>
      <c r="D372" s="531"/>
      <c r="E372" s="531"/>
      <c r="F372" s="531"/>
      <c r="G372" s="531"/>
      <c r="H372" s="531"/>
      <c r="I372" s="531"/>
      <c r="J372" s="531"/>
      <c r="K372" s="531"/>
      <c r="L372" s="531"/>
      <c r="M372" s="531"/>
      <c r="N372" s="531"/>
      <c r="O372" s="531"/>
      <c r="P372" s="531"/>
      <c r="Q372" s="531"/>
      <c r="R372" s="531"/>
      <c r="S372" s="532"/>
      <c r="T372" s="532"/>
      <c r="U372" s="532"/>
      <c r="V372" s="532"/>
      <c r="W372" s="532"/>
      <c r="X372" s="532"/>
      <c r="Y372" s="532"/>
      <c r="Z372" s="531"/>
      <c r="AA372" s="531"/>
      <c r="AB372" s="531"/>
      <c r="AC372" s="531"/>
      <c r="AD372" s="531"/>
      <c r="AE372" s="531"/>
      <c r="AF372" s="531"/>
      <c r="AG372" s="531"/>
    </row>
    <row r="373">
      <c r="B373" s="531"/>
      <c r="C373" s="531"/>
      <c r="D373" s="531"/>
      <c r="E373" s="531"/>
      <c r="F373" s="531"/>
      <c r="G373" s="531"/>
      <c r="H373" s="531"/>
      <c r="I373" s="531"/>
      <c r="J373" s="531"/>
      <c r="K373" s="531"/>
      <c r="L373" s="531"/>
      <c r="M373" s="531"/>
      <c r="N373" s="531"/>
      <c r="O373" s="531"/>
      <c r="P373" s="531"/>
      <c r="Q373" s="531"/>
      <c r="R373" s="531"/>
      <c r="S373" s="532"/>
      <c r="T373" s="532"/>
      <c r="U373" s="532"/>
      <c r="V373" s="532"/>
      <c r="W373" s="532"/>
      <c r="X373" s="532"/>
      <c r="Y373" s="532"/>
      <c r="Z373" s="531"/>
      <c r="AA373" s="531"/>
      <c r="AB373" s="531"/>
      <c r="AC373" s="531"/>
      <c r="AD373" s="531"/>
      <c r="AE373" s="531"/>
      <c r="AF373" s="531"/>
      <c r="AG373" s="531"/>
    </row>
    <row r="374">
      <c r="B374" s="531"/>
      <c r="C374" s="531"/>
      <c r="D374" s="531"/>
      <c r="E374" s="531"/>
      <c r="F374" s="531"/>
      <c r="G374" s="531"/>
      <c r="H374" s="531"/>
      <c r="I374" s="531"/>
      <c r="J374" s="531"/>
      <c r="K374" s="531"/>
      <c r="L374" s="531"/>
      <c r="M374" s="531"/>
      <c r="N374" s="531"/>
      <c r="O374" s="531"/>
      <c r="P374" s="531"/>
      <c r="Q374" s="531"/>
      <c r="R374" s="531"/>
      <c r="S374" s="532"/>
      <c r="T374" s="532"/>
      <c r="U374" s="532"/>
      <c r="V374" s="532"/>
      <c r="W374" s="532"/>
      <c r="X374" s="532"/>
      <c r="Y374" s="532"/>
      <c r="Z374" s="531"/>
      <c r="AA374" s="531"/>
      <c r="AB374" s="531"/>
      <c r="AC374" s="531"/>
      <c r="AD374" s="531"/>
      <c r="AE374" s="531"/>
      <c r="AF374" s="531"/>
      <c r="AG374" s="531"/>
    </row>
    <row r="375">
      <c r="B375" s="531"/>
      <c r="C375" s="531"/>
      <c r="D375" s="531"/>
      <c r="E375" s="531"/>
      <c r="F375" s="531"/>
      <c r="G375" s="531"/>
      <c r="H375" s="531"/>
      <c r="I375" s="531"/>
      <c r="J375" s="531"/>
      <c r="K375" s="531"/>
      <c r="L375" s="531"/>
      <c r="M375" s="531"/>
      <c r="N375" s="531"/>
      <c r="O375" s="531"/>
      <c r="P375" s="531"/>
      <c r="Q375" s="531"/>
      <c r="R375" s="531"/>
      <c r="S375" s="532"/>
      <c r="T375" s="532"/>
      <c r="U375" s="532"/>
      <c r="V375" s="532"/>
      <c r="W375" s="532"/>
      <c r="X375" s="532"/>
      <c r="Y375" s="532"/>
      <c r="Z375" s="531"/>
      <c r="AA375" s="531"/>
      <c r="AB375" s="531"/>
      <c r="AC375" s="531"/>
      <c r="AD375" s="531"/>
      <c r="AE375" s="531"/>
      <c r="AF375" s="531"/>
      <c r="AG375" s="531"/>
    </row>
    <row r="376">
      <c r="B376" s="531"/>
      <c r="C376" s="531"/>
      <c r="D376" s="531"/>
      <c r="E376" s="531"/>
      <c r="F376" s="531"/>
      <c r="G376" s="531"/>
      <c r="H376" s="531"/>
      <c r="I376" s="531"/>
      <c r="J376" s="531"/>
      <c r="K376" s="531"/>
      <c r="L376" s="531"/>
      <c r="M376" s="531"/>
      <c r="N376" s="531"/>
      <c r="O376" s="531"/>
      <c r="P376" s="531"/>
      <c r="Q376" s="531"/>
      <c r="R376" s="531"/>
      <c r="S376" s="532"/>
      <c r="T376" s="532"/>
      <c r="U376" s="532"/>
      <c r="V376" s="532"/>
      <c r="W376" s="532"/>
      <c r="X376" s="532"/>
      <c r="Y376" s="532"/>
      <c r="Z376" s="531"/>
      <c r="AA376" s="531"/>
      <c r="AB376" s="531"/>
      <c r="AC376" s="531"/>
      <c r="AD376" s="531"/>
      <c r="AE376" s="531"/>
      <c r="AF376" s="531"/>
      <c r="AG376" s="531"/>
    </row>
    <row r="377">
      <c r="B377" s="531"/>
      <c r="C377" s="531"/>
      <c r="D377" s="531"/>
      <c r="E377" s="531"/>
      <c r="F377" s="531"/>
      <c r="G377" s="531"/>
      <c r="H377" s="531"/>
      <c r="I377" s="531"/>
      <c r="J377" s="531"/>
      <c r="K377" s="531"/>
      <c r="L377" s="531"/>
      <c r="M377" s="531"/>
      <c r="N377" s="531"/>
      <c r="O377" s="531"/>
      <c r="P377" s="531"/>
      <c r="Q377" s="531"/>
      <c r="R377" s="531"/>
      <c r="S377" s="532"/>
      <c r="T377" s="532"/>
      <c r="U377" s="532"/>
      <c r="V377" s="532"/>
      <c r="W377" s="532"/>
      <c r="X377" s="532"/>
      <c r="Y377" s="532"/>
      <c r="Z377" s="531"/>
      <c r="AA377" s="531"/>
      <c r="AB377" s="531"/>
      <c r="AC377" s="531"/>
      <c r="AD377" s="531"/>
      <c r="AE377" s="531"/>
      <c r="AF377" s="531"/>
      <c r="AG377" s="531"/>
    </row>
    <row r="378">
      <c r="B378" s="531"/>
      <c r="C378" s="531"/>
      <c r="D378" s="531"/>
      <c r="E378" s="531"/>
      <c r="F378" s="531"/>
      <c r="G378" s="531"/>
      <c r="H378" s="531"/>
      <c r="I378" s="531"/>
      <c r="J378" s="531"/>
      <c r="K378" s="531"/>
      <c r="L378" s="531"/>
      <c r="M378" s="531"/>
      <c r="N378" s="531"/>
      <c r="O378" s="531"/>
      <c r="P378" s="531"/>
      <c r="Q378" s="531"/>
      <c r="R378" s="531"/>
      <c r="S378" s="532"/>
      <c r="T378" s="532"/>
      <c r="U378" s="532"/>
      <c r="V378" s="532"/>
      <c r="W378" s="532"/>
      <c r="X378" s="532"/>
      <c r="Y378" s="532"/>
      <c r="Z378" s="531"/>
      <c r="AA378" s="531"/>
      <c r="AB378" s="531"/>
      <c r="AC378" s="531"/>
      <c r="AD378" s="531"/>
      <c r="AE378" s="531"/>
      <c r="AF378" s="531"/>
      <c r="AG378" s="531"/>
    </row>
    <row r="379">
      <c r="B379" s="531"/>
      <c r="C379" s="531"/>
      <c r="D379" s="531"/>
      <c r="E379" s="531"/>
      <c r="F379" s="531"/>
      <c r="G379" s="531"/>
      <c r="H379" s="531"/>
      <c r="I379" s="531"/>
      <c r="J379" s="531"/>
      <c r="K379" s="531"/>
      <c r="L379" s="531"/>
      <c r="M379" s="531"/>
      <c r="N379" s="531"/>
      <c r="O379" s="531"/>
      <c r="P379" s="531"/>
      <c r="Q379" s="531"/>
      <c r="R379" s="531"/>
      <c r="S379" s="532"/>
      <c r="T379" s="532"/>
      <c r="U379" s="532"/>
      <c r="V379" s="532"/>
      <c r="W379" s="532"/>
      <c r="X379" s="532"/>
      <c r="Y379" s="532"/>
      <c r="Z379" s="531"/>
      <c r="AA379" s="531"/>
      <c r="AB379" s="531"/>
      <c r="AC379" s="531"/>
      <c r="AD379" s="531"/>
      <c r="AE379" s="531"/>
      <c r="AF379" s="531"/>
      <c r="AG379" s="531"/>
    </row>
    <row r="380">
      <c r="B380" s="531"/>
      <c r="C380" s="531"/>
      <c r="D380" s="531"/>
      <c r="E380" s="531"/>
      <c r="F380" s="531"/>
      <c r="G380" s="531"/>
      <c r="H380" s="531"/>
      <c r="I380" s="531"/>
      <c r="J380" s="531"/>
      <c r="K380" s="531"/>
      <c r="L380" s="531"/>
      <c r="M380" s="531"/>
      <c r="N380" s="531"/>
      <c r="O380" s="531"/>
      <c r="P380" s="531"/>
      <c r="Q380" s="531"/>
      <c r="R380" s="531"/>
      <c r="S380" s="532"/>
      <c r="T380" s="532"/>
      <c r="U380" s="532"/>
      <c r="V380" s="532"/>
      <c r="W380" s="532"/>
      <c r="X380" s="532"/>
      <c r="Y380" s="532"/>
      <c r="Z380" s="531"/>
      <c r="AA380" s="531"/>
      <c r="AB380" s="531"/>
      <c r="AC380" s="531"/>
      <c r="AD380" s="531"/>
      <c r="AE380" s="531"/>
      <c r="AF380" s="531"/>
      <c r="AG380" s="531"/>
    </row>
    <row r="381">
      <c r="B381" s="531"/>
      <c r="C381" s="531"/>
      <c r="D381" s="531"/>
      <c r="E381" s="531"/>
      <c r="F381" s="531"/>
      <c r="G381" s="531"/>
      <c r="H381" s="531"/>
      <c r="I381" s="531"/>
      <c r="J381" s="531"/>
      <c r="K381" s="531"/>
      <c r="L381" s="531"/>
      <c r="M381" s="531"/>
      <c r="N381" s="531"/>
      <c r="O381" s="531"/>
      <c r="P381" s="531"/>
      <c r="Q381" s="531"/>
      <c r="R381" s="531"/>
      <c r="S381" s="532"/>
      <c r="T381" s="532"/>
      <c r="U381" s="532"/>
      <c r="V381" s="532"/>
      <c r="W381" s="532"/>
      <c r="X381" s="532"/>
      <c r="Y381" s="532"/>
      <c r="Z381" s="531"/>
      <c r="AA381" s="531"/>
      <c r="AB381" s="531"/>
      <c r="AC381" s="531"/>
      <c r="AD381" s="531"/>
      <c r="AE381" s="531"/>
      <c r="AF381" s="531"/>
      <c r="AG381" s="531"/>
    </row>
    <row r="382">
      <c r="B382" s="531"/>
      <c r="C382" s="531"/>
      <c r="D382" s="531"/>
      <c r="E382" s="531"/>
      <c r="F382" s="531"/>
      <c r="G382" s="531"/>
      <c r="H382" s="531"/>
      <c r="I382" s="531"/>
      <c r="J382" s="531"/>
      <c r="K382" s="531"/>
      <c r="L382" s="531"/>
      <c r="M382" s="531"/>
      <c r="N382" s="531"/>
      <c r="O382" s="531"/>
      <c r="P382" s="531"/>
      <c r="Q382" s="531"/>
      <c r="R382" s="531"/>
      <c r="S382" s="532"/>
      <c r="T382" s="532"/>
      <c r="U382" s="532"/>
      <c r="V382" s="532"/>
      <c r="W382" s="532"/>
      <c r="X382" s="532"/>
      <c r="Y382" s="532"/>
      <c r="Z382" s="531"/>
      <c r="AA382" s="531"/>
      <c r="AB382" s="531"/>
      <c r="AC382" s="531"/>
      <c r="AD382" s="531"/>
      <c r="AE382" s="531"/>
      <c r="AF382" s="531"/>
      <c r="AG382" s="531"/>
    </row>
    <row r="383">
      <c r="B383" s="531"/>
      <c r="C383" s="531"/>
      <c r="D383" s="531"/>
      <c r="E383" s="531"/>
      <c r="F383" s="531"/>
      <c r="G383" s="531"/>
      <c r="H383" s="531"/>
      <c r="I383" s="531"/>
      <c r="J383" s="531"/>
      <c r="K383" s="531"/>
      <c r="L383" s="531"/>
      <c r="M383" s="531"/>
      <c r="N383" s="531"/>
      <c r="O383" s="531"/>
      <c r="P383" s="531"/>
      <c r="Q383" s="531"/>
      <c r="R383" s="531"/>
      <c r="S383" s="532"/>
      <c r="T383" s="532"/>
      <c r="U383" s="532"/>
      <c r="V383" s="532"/>
      <c r="W383" s="532"/>
      <c r="X383" s="532"/>
      <c r="Y383" s="532"/>
      <c r="Z383" s="531"/>
      <c r="AA383" s="531"/>
      <c r="AB383" s="531"/>
      <c r="AC383" s="531"/>
      <c r="AD383" s="531"/>
      <c r="AE383" s="531"/>
      <c r="AF383" s="531"/>
      <c r="AG383" s="531"/>
    </row>
    <row r="384">
      <c r="B384" s="531"/>
      <c r="C384" s="531"/>
      <c r="D384" s="531"/>
      <c r="E384" s="531"/>
      <c r="F384" s="531"/>
      <c r="G384" s="531"/>
      <c r="H384" s="531"/>
      <c r="I384" s="531"/>
      <c r="J384" s="531"/>
      <c r="K384" s="531"/>
      <c r="L384" s="531"/>
      <c r="M384" s="531"/>
      <c r="N384" s="531"/>
      <c r="O384" s="531"/>
      <c r="P384" s="531"/>
      <c r="Q384" s="531"/>
      <c r="R384" s="531"/>
      <c r="S384" s="532"/>
      <c r="T384" s="532"/>
      <c r="U384" s="532"/>
      <c r="V384" s="532"/>
      <c r="W384" s="532"/>
      <c r="X384" s="532"/>
      <c r="Y384" s="532"/>
      <c r="Z384" s="531"/>
      <c r="AA384" s="531"/>
      <c r="AB384" s="531"/>
      <c r="AC384" s="531"/>
      <c r="AD384" s="531"/>
      <c r="AE384" s="531"/>
      <c r="AF384" s="531"/>
      <c r="AG384" s="531"/>
    </row>
    <row r="385">
      <c r="B385" s="531"/>
      <c r="C385" s="531"/>
      <c r="D385" s="531"/>
      <c r="E385" s="531"/>
      <c r="F385" s="531"/>
      <c r="G385" s="531"/>
      <c r="H385" s="531"/>
      <c r="I385" s="531"/>
      <c r="J385" s="531"/>
      <c r="K385" s="531"/>
      <c r="L385" s="531"/>
      <c r="M385" s="531"/>
      <c r="N385" s="531"/>
      <c r="O385" s="531"/>
      <c r="P385" s="531"/>
      <c r="Q385" s="531"/>
      <c r="R385" s="531"/>
      <c r="S385" s="532"/>
      <c r="T385" s="532"/>
      <c r="U385" s="532"/>
      <c r="V385" s="532"/>
      <c r="W385" s="532"/>
      <c r="X385" s="532"/>
      <c r="Y385" s="532"/>
      <c r="Z385" s="531"/>
      <c r="AA385" s="531"/>
      <c r="AB385" s="531"/>
      <c r="AC385" s="531"/>
      <c r="AD385" s="531"/>
      <c r="AE385" s="531"/>
      <c r="AF385" s="531"/>
      <c r="AG385" s="531"/>
    </row>
    <row r="386">
      <c r="B386" s="531"/>
      <c r="C386" s="531"/>
      <c r="D386" s="531"/>
      <c r="E386" s="531"/>
      <c r="F386" s="531"/>
      <c r="G386" s="531"/>
      <c r="H386" s="531"/>
      <c r="I386" s="531"/>
      <c r="J386" s="531"/>
      <c r="K386" s="531"/>
      <c r="L386" s="531"/>
      <c r="M386" s="531"/>
      <c r="N386" s="531"/>
      <c r="O386" s="531"/>
      <c r="P386" s="531"/>
      <c r="Q386" s="531"/>
      <c r="R386" s="531"/>
      <c r="S386" s="532"/>
      <c r="T386" s="532"/>
      <c r="U386" s="532"/>
      <c r="V386" s="532"/>
      <c r="W386" s="532"/>
      <c r="X386" s="532"/>
      <c r="Y386" s="532"/>
      <c r="Z386" s="531"/>
      <c r="AA386" s="531"/>
      <c r="AB386" s="531"/>
      <c r="AC386" s="531"/>
      <c r="AD386" s="531"/>
      <c r="AE386" s="531"/>
      <c r="AF386" s="531"/>
      <c r="AG386" s="531"/>
    </row>
    <row r="387">
      <c r="B387" s="531"/>
      <c r="C387" s="531"/>
      <c r="D387" s="531"/>
      <c r="E387" s="531"/>
      <c r="F387" s="531"/>
      <c r="G387" s="531"/>
      <c r="H387" s="531"/>
      <c r="I387" s="531"/>
      <c r="J387" s="531"/>
      <c r="K387" s="531"/>
      <c r="L387" s="531"/>
      <c r="M387" s="531"/>
      <c r="N387" s="531"/>
      <c r="O387" s="531"/>
      <c r="P387" s="531"/>
      <c r="Q387" s="531"/>
      <c r="R387" s="531"/>
      <c r="S387" s="532"/>
      <c r="T387" s="532"/>
      <c r="U387" s="532"/>
      <c r="V387" s="532"/>
      <c r="W387" s="532"/>
      <c r="X387" s="532"/>
      <c r="Y387" s="532"/>
      <c r="Z387" s="531"/>
      <c r="AA387" s="531"/>
      <c r="AB387" s="531"/>
      <c r="AC387" s="531"/>
      <c r="AD387" s="531"/>
      <c r="AE387" s="531"/>
      <c r="AF387" s="531"/>
      <c r="AG387" s="531"/>
    </row>
    <row r="388">
      <c r="B388" s="531"/>
      <c r="C388" s="531"/>
      <c r="D388" s="531"/>
      <c r="E388" s="531"/>
      <c r="F388" s="531"/>
      <c r="G388" s="531"/>
      <c r="H388" s="531"/>
      <c r="I388" s="531"/>
      <c r="J388" s="531"/>
      <c r="K388" s="531"/>
      <c r="L388" s="531"/>
      <c r="M388" s="531"/>
      <c r="N388" s="531"/>
      <c r="O388" s="531"/>
      <c r="P388" s="531"/>
      <c r="Q388" s="531"/>
      <c r="R388" s="531"/>
      <c r="S388" s="532"/>
      <c r="T388" s="532"/>
      <c r="U388" s="532"/>
      <c r="V388" s="532"/>
      <c r="W388" s="532"/>
      <c r="X388" s="532"/>
      <c r="Y388" s="532"/>
      <c r="Z388" s="531"/>
      <c r="AA388" s="531"/>
      <c r="AB388" s="531"/>
      <c r="AC388" s="531"/>
      <c r="AD388" s="531"/>
      <c r="AE388" s="531"/>
      <c r="AF388" s="531"/>
      <c r="AG388" s="531"/>
    </row>
    <row r="389">
      <c r="B389" s="531"/>
      <c r="C389" s="531"/>
      <c r="D389" s="531"/>
      <c r="E389" s="531"/>
      <c r="F389" s="531"/>
      <c r="G389" s="531"/>
      <c r="H389" s="531"/>
      <c r="I389" s="531"/>
      <c r="J389" s="531"/>
      <c r="K389" s="531"/>
      <c r="L389" s="531"/>
      <c r="M389" s="531"/>
      <c r="N389" s="531"/>
      <c r="O389" s="531"/>
      <c r="P389" s="531"/>
      <c r="Q389" s="531"/>
      <c r="R389" s="531"/>
      <c r="S389" s="532"/>
      <c r="T389" s="532"/>
      <c r="U389" s="532"/>
      <c r="V389" s="532"/>
      <c r="W389" s="532"/>
      <c r="X389" s="532"/>
      <c r="Y389" s="532"/>
      <c r="Z389" s="531"/>
      <c r="AA389" s="531"/>
      <c r="AB389" s="531"/>
      <c r="AC389" s="531"/>
      <c r="AD389" s="531"/>
      <c r="AE389" s="531"/>
      <c r="AF389" s="531"/>
      <c r="AG389" s="531"/>
    </row>
    <row r="390">
      <c r="B390" s="531"/>
      <c r="C390" s="531"/>
      <c r="D390" s="531"/>
      <c r="E390" s="531"/>
      <c r="F390" s="531"/>
      <c r="G390" s="531"/>
      <c r="H390" s="531"/>
      <c r="I390" s="531"/>
      <c r="J390" s="531"/>
      <c r="K390" s="531"/>
      <c r="L390" s="531"/>
      <c r="M390" s="531"/>
      <c r="N390" s="531"/>
      <c r="O390" s="531"/>
      <c r="P390" s="531"/>
      <c r="Q390" s="531"/>
      <c r="R390" s="531"/>
      <c r="S390" s="532"/>
      <c r="T390" s="532"/>
      <c r="U390" s="532"/>
      <c r="V390" s="532"/>
      <c r="W390" s="532"/>
      <c r="X390" s="532"/>
      <c r="Y390" s="532"/>
      <c r="Z390" s="531"/>
      <c r="AA390" s="531"/>
      <c r="AB390" s="531"/>
      <c r="AC390" s="531"/>
      <c r="AD390" s="531"/>
      <c r="AE390" s="531"/>
      <c r="AF390" s="531"/>
      <c r="AG390" s="531"/>
    </row>
    <row r="391">
      <c r="B391" s="531"/>
      <c r="C391" s="531"/>
      <c r="D391" s="531"/>
      <c r="E391" s="531"/>
      <c r="F391" s="531"/>
      <c r="G391" s="531"/>
      <c r="H391" s="531"/>
      <c r="I391" s="531"/>
      <c r="J391" s="531"/>
      <c r="K391" s="531"/>
      <c r="L391" s="531"/>
      <c r="M391" s="531"/>
      <c r="N391" s="531"/>
      <c r="O391" s="531"/>
      <c r="P391" s="531"/>
      <c r="Q391" s="531"/>
      <c r="R391" s="531"/>
      <c r="S391" s="532"/>
      <c r="T391" s="532"/>
      <c r="U391" s="532"/>
      <c r="V391" s="532"/>
      <c r="W391" s="532"/>
      <c r="X391" s="532"/>
      <c r="Y391" s="532"/>
      <c r="Z391" s="531"/>
      <c r="AA391" s="531"/>
      <c r="AB391" s="531"/>
      <c r="AC391" s="531"/>
      <c r="AD391" s="531"/>
      <c r="AE391" s="531"/>
      <c r="AF391" s="531"/>
      <c r="AG391" s="531"/>
    </row>
    <row r="392">
      <c r="B392" s="531"/>
      <c r="C392" s="531"/>
      <c r="D392" s="531"/>
      <c r="E392" s="531"/>
      <c r="F392" s="531"/>
      <c r="G392" s="531"/>
      <c r="H392" s="531"/>
      <c r="I392" s="531"/>
      <c r="J392" s="531"/>
      <c r="K392" s="531"/>
      <c r="L392" s="531"/>
      <c r="M392" s="531"/>
      <c r="N392" s="531"/>
      <c r="O392" s="531"/>
      <c r="P392" s="531"/>
      <c r="Q392" s="531"/>
      <c r="R392" s="531"/>
      <c r="S392" s="532"/>
      <c r="T392" s="532"/>
      <c r="U392" s="532"/>
      <c r="V392" s="532"/>
      <c r="W392" s="532"/>
      <c r="X392" s="532"/>
      <c r="Y392" s="532"/>
      <c r="Z392" s="531"/>
      <c r="AA392" s="531"/>
      <c r="AB392" s="531"/>
      <c r="AC392" s="531"/>
      <c r="AD392" s="531"/>
      <c r="AE392" s="531"/>
      <c r="AF392" s="531"/>
      <c r="AG392" s="531"/>
    </row>
    <row r="393">
      <c r="B393" s="531"/>
      <c r="C393" s="531"/>
      <c r="D393" s="531"/>
      <c r="E393" s="531"/>
      <c r="F393" s="531"/>
      <c r="G393" s="531"/>
      <c r="H393" s="531"/>
      <c r="I393" s="531"/>
      <c r="J393" s="531"/>
      <c r="K393" s="531"/>
      <c r="L393" s="531"/>
      <c r="M393" s="531"/>
      <c r="N393" s="531"/>
      <c r="O393" s="531"/>
      <c r="P393" s="531"/>
      <c r="Q393" s="531"/>
      <c r="R393" s="531"/>
      <c r="S393" s="532"/>
      <c r="T393" s="532"/>
      <c r="U393" s="532"/>
      <c r="V393" s="532"/>
      <c r="W393" s="532"/>
      <c r="X393" s="532"/>
      <c r="Y393" s="532"/>
      <c r="Z393" s="531"/>
      <c r="AA393" s="531"/>
      <c r="AB393" s="531"/>
      <c r="AC393" s="531"/>
      <c r="AD393" s="531"/>
      <c r="AE393" s="531"/>
      <c r="AF393" s="531"/>
      <c r="AG393" s="531"/>
    </row>
    <row r="394">
      <c r="B394" s="531"/>
      <c r="C394" s="531"/>
      <c r="D394" s="531"/>
      <c r="E394" s="531"/>
      <c r="F394" s="531"/>
      <c r="G394" s="531"/>
      <c r="H394" s="531"/>
      <c r="I394" s="531"/>
      <c r="J394" s="531"/>
      <c r="K394" s="531"/>
      <c r="L394" s="531"/>
      <c r="M394" s="531"/>
      <c r="N394" s="531"/>
      <c r="O394" s="531"/>
      <c r="P394" s="531"/>
      <c r="Q394" s="531"/>
      <c r="R394" s="531"/>
      <c r="S394" s="532"/>
      <c r="T394" s="532"/>
      <c r="U394" s="532"/>
      <c r="V394" s="532"/>
      <c r="W394" s="532"/>
      <c r="X394" s="532"/>
      <c r="Y394" s="532"/>
      <c r="Z394" s="531"/>
      <c r="AA394" s="531"/>
      <c r="AB394" s="531"/>
      <c r="AC394" s="531"/>
      <c r="AD394" s="531"/>
      <c r="AE394" s="531"/>
      <c r="AF394" s="531"/>
      <c r="AG394" s="531"/>
    </row>
    <row r="395">
      <c r="B395" s="531"/>
      <c r="C395" s="531"/>
      <c r="D395" s="531"/>
      <c r="E395" s="531"/>
      <c r="F395" s="531"/>
      <c r="G395" s="531"/>
      <c r="H395" s="531"/>
      <c r="I395" s="531"/>
      <c r="J395" s="531"/>
      <c r="K395" s="531"/>
      <c r="L395" s="531"/>
      <c r="M395" s="531"/>
      <c r="N395" s="531"/>
      <c r="O395" s="531"/>
      <c r="P395" s="531"/>
      <c r="Q395" s="531"/>
      <c r="R395" s="531"/>
      <c r="S395" s="532"/>
      <c r="T395" s="532"/>
      <c r="U395" s="532"/>
      <c r="V395" s="532"/>
      <c r="W395" s="532"/>
      <c r="X395" s="532"/>
      <c r="Y395" s="532"/>
      <c r="Z395" s="531"/>
      <c r="AA395" s="531"/>
      <c r="AB395" s="531"/>
      <c r="AC395" s="531"/>
      <c r="AD395" s="531"/>
      <c r="AE395" s="531"/>
      <c r="AF395" s="531"/>
      <c r="AG395" s="531"/>
    </row>
    <row r="396">
      <c r="B396" s="531"/>
      <c r="C396" s="531"/>
      <c r="D396" s="531"/>
      <c r="E396" s="531"/>
      <c r="F396" s="531"/>
      <c r="G396" s="531"/>
      <c r="H396" s="531"/>
      <c r="I396" s="531"/>
      <c r="J396" s="531"/>
      <c r="K396" s="531"/>
      <c r="L396" s="531"/>
      <c r="M396" s="531"/>
      <c r="N396" s="531"/>
      <c r="O396" s="531"/>
      <c r="P396" s="531"/>
      <c r="Q396" s="531"/>
      <c r="R396" s="531"/>
      <c r="S396" s="532"/>
      <c r="T396" s="532"/>
      <c r="U396" s="532"/>
      <c r="V396" s="532"/>
      <c r="W396" s="532"/>
      <c r="X396" s="532"/>
      <c r="Y396" s="532"/>
      <c r="Z396" s="531"/>
      <c r="AA396" s="531"/>
      <c r="AB396" s="531"/>
      <c r="AC396" s="531"/>
      <c r="AD396" s="531"/>
      <c r="AE396" s="531"/>
      <c r="AF396" s="531"/>
      <c r="AG396" s="531"/>
    </row>
    <row r="397">
      <c r="B397" s="531"/>
      <c r="C397" s="531"/>
      <c r="D397" s="531"/>
      <c r="E397" s="531"/>
      <c r="F397" s="531"/>
      <c r="G397" s="531"/>
      <c r="H397" s="531"/>
      <c r="I397" s="531"/>
      <c r="J397" s="531"/>
      <c r="K397" s="531"/>
      <c r="L397" s="531"/>
      <c r="M397" s="531"/>
      <c r="N397" s="531"/>
      <c r="O397" s="531"/>
      <c r="P397" s="531"/>
      <c r="Q397" s="531"/>
      <c r="R397" s="531"/>
      <c r="S397" s="532"/>
      <c r="T397" s="532"/>
      <c r="U397" s="532"/>
      <c r="V397" s="532"/>
      <c r="W397" s="532"/>
      <c r="X397" s="532"/>
      <c r="Y397" s="532"/>
      <c r="Z397" s="531"/>
      <c r="AA397" s="531"/>
      <c r="AB397" s="531"/>
      <c r="AC397" s="531"/>
      <c r="AD397" s="531"/>
      <c r="AE397" s="531"/>
      <c r="AF397" s="531"/>
      <c r="AG397" s="531"/>
    </row>
    <row r="398">
      <c r="B398" s="531"/>
      <c r="C398" s="531"/>
      <c r="D398" s="531"/>
      <c r="E398" s="531"/>
      <c r="F398" s="531"/>
      <c r="G398" s="531"/>
      <c r="H398" s="531"/>
      <c r="I398" s="531"/>
      <c r="J398" s="531"/>
      <c r="K398" s="531"/>
      <c r="L398" s="531"/>
      <c r="M398" s="531"/>
      <c r="N398" s="531"/>
      <c r="O398" s="531"/>
      <c r="P398" s="531"/>
      <c r="Q398" s="531"/>
      <c r="R398" s="531"/>
      <c r="S398" s="532"/>
      <c r="T398" s="532"/>
      <c r="U398" s="532"/>
      <c r="V398" s="532"/>
      <c r="W398" s="532"/>
      <c r="X398" s="532"/>
      <c r="Y398" s="532"/>
      <c r="Z398" s="531"/>
      <c r="AA398" s="531"/>
      <c r="AB398" s="531"/>
      <c r="AC398" s="531"/>
      <c r="AD398" s="531"/>
      <c r="AE398" s="531"/>
      <c r="AF398" s="531"/>
      <c r="AG398" s="531"/>
    </row>
    <row r="399">
      <c r="B399" s="531"/>
      <c r="C399" s="531"/>
      <c r="D399" s="531"/>
      <c r="E399" s="531"/>
      <c r="F399" s="531"/>
      <c r="G399" s="531"/>
      <c r="H399" s="531"/>
      <c r="I399" s="531"/>
      <c r="J399" s="531"/>
      <c r="K399" s="531"/>
      <c r="L399" s="531"/>
      <c r="M399" s="531"/>
      <c r="N399" s="531"/>
      <c r="O399" s="531"/>
      <c r="P399" s="531"/>
      <c r="Q399" s="531"/>
      <c r="R399" s="531"/>
      <c r="S399" s="532"/>
      <c r="T399" s="532"/>
      <c r="U399" s="532"/>
      <c r="V399" s="532"/>
      <c r="W399" s="532"/>
      <c r="X399" s="532"/>
      <c r="Y399" s="532"/>
      <c r="Z399" s="531"/>
      <c r="AA399" s="531"/>
      <c r="AB399" s="531"/>
      <c r="AC399" s="531"/>
      <c r="AD399" s="531"/>
      <c r="AE399" s="531"/>
      <c r="AF399" s="531"/>
      <c r="AG399" s="531"/>
    </row>
    <row r="400">
      <c r="B400" s="531"/>
      <c r="C400" s="531"/>
      <c r="D400" s="531"/>
      <c r="E400" s="531"/>
      <c r="F400" s="531"/>
      <c r="G400" s="531"/>
      <c r="H400" s="531"/>
      <c r="I400" s="531"/>
      <c r="J400" s="531"/>
      <c r="K400" s="531"/>
      <c r="L400" s="531"/>
      <c r="M400" s="531"/>
      <c r="N400" s="531"/>
      <c r="O400" s="531"/>
      <c r="P400" s="531"/>
      <c r="Q400" s="531"/>
      <c r="R400" s="531"/>
      <c r="S400" s="532"/>
      <c r="T400" s="532"/>
      <c r="U400" s="532"/>
      <c r="V400" s="532"/>
      <c r="W400" s="532"/>
      <c r="X400" s="532"/>
      <c r="Y400" s="532"/>
      <c r="Z400" s="531"/>
      <c r="AA400" s="531"/>
      <c r="AB400" s="531"/>
      <c r="AC400" s="531"/>
      <c r="AD400" s="531"/>
      <c r="AE400" s="531"/>
      <c r="AF400" s="531"/>
      <c r="AG400" s="531"/>
    </row>
    <row r="401">
      <c r="B401" s="531"/>
      <c r="C401" s="531"/>
      <c r="D401" s="531"/>
      <c r="E401" s="531"/>
      <c r="F401" s="531"/>
      <c r="G401" s="531"/>
      <c r="H401" s="531"/>
      <c r="I401" s="531"/>
      <c r="J401" s="531"/>
      <c r="K401" s="531"/>
      <c r="L401" s="531"/>
      <c r="M401" s="531"/>
      <c r="N401" s="531"/>
      <c r="O401" s="531"/>
      <c r="P401" s="531"/>
      <c r="Q401" s="531"/>
      <c r="R401" s="531"/>
      <c r="S401" s="532"/>
      <c r="T401" s="532"/>
      <c r="U401" s="532"/>
      <c r="V401" s="532"/>
      <c r="W401" s="532"/>
      <c r="X401" s="532"/>
      <c r="Y401" s="532"/>
      <c r="Z401" s="531"/>
      <c r="AA401" s="531"/>
      <c r="AB401" s="531"/>
      <c r="AC401" s="531"/>
      <c r="AD401" s="531"/>
      <c r="AE401" s="531"/>
      <c r="AF401" s="531"/>
      <c r="AG401" s="531"/>
    </row>
    <row r="402">
      <c r="B402" s="531"/>
      <c r="C402" s="531"/>
      <c r="D402" s="531"/>
      <c r="E402" s="531"/>
      <c r="F402" s="531"/>
      <c r="G402" s="531"/>
      <c r="H402" s="531"/>
      <c r="I402" s="531"/>
      <c r="J402" s="531"/>
      <c r="K402" s="531"/>
      <c r="L402" s="531"/>
      <c r="M402" s="531"/>
      <c r="N402" s="531"/>
      <c r="O402" s="531"/>
      <c r="P402" s="531"/>
      <c r="Q402" s="531"/>
      <c r="R402" s="531"/>
      <c r="S402" s="532"/>
      <c r="T402" s="532"/>
      <c r="U402" s="532"/>
      <c r="V402" s="532"/>
      <c r="W402" s="532"/>
      <c r="X402" s="532"/>
      <c r="Y402" s="532"/>
      <c r="Z402" s="531"/>
      <c r="AA402" s="531"/>
      <c r="AB402" s="531"/>
      <c r="AC402" s="531"/>
      <c r="AD402" s="531"/>
      <c r="AE402" s="531"/>
      <c r="AF402" s="531"/>
      <c r="AG402" s="531"/>
    </row>
    <row r="403">
      <c r="B403" s="531"/>
      <c r="C403" s="531"/>
      <c r="D403" s="531"/>
      <c r="E403" s="531"/>
      <c r="F403" s="531"/>
      <c r="G403" s="531"/>
      <c r="H403" s="531"/>
      <c r="I403" s="531"/>
      <c r="J403" s="531"/>
      <c r="K403" s="531"/>
      <c r="L403" s="531"/>
      <c r="M403" s="531"/>
      <c r="N403" s="531"/>
      <c r="O403" s="531"/>
      <c r="P403" s="531"/>
      <c r="Q403" s="531"/>
      <c r="R403" s="531"/>
      <c r="S403" s="532"/>
      <c r="T403" s="532"/>
      <c r="U403" s="532"/>
      <c r="V403" s="532"/>
      <c r="W403" s="532"/>
      <c r="X403" s="532"/>
      <c r="Y403" s="532"/>
      <c r="Z403" s="531"/>
      <c r="AA403" s="531"/>
      <c r="AB403" s="531"/>
      <c r="AC403" s="531"/>
      <c r="AD403" s="531"/>
      <c r="AE403" s="531"/>
      <c r="AF403" s="531"/>
      <c r="AG403" s="531"/>
    </row>
    <row r="404">
      <c r="B404" s="531"/>
      <c r="C404" s="531"/>
      <c r="D404" s="531"/>
      <c r="E404" s="531"/>
      <c r="F404" s="531"/>
      <c r="G404" s="531"/>
      <c r="H404" s="531"/>
      <c r="I404" s="531"/>
      <c r="J404" s="531"/>
      <c r="K404" s="531"/>
      <c r="L404" s="531"/>
      <c r="M404" s="531"/>
      <c r="N404" s="531"/>
      <c r="O404" s="531"/>
      <c r="P404" s="531"/>
      <c r="Q404" s="531"/>
      <c r="R404" s="531"/>
      <c r="S404" s="532"/>
      <c r="T404" s="532"/>
      <c r="U404" s="532"/>
      <c r="V404" s="532"/>
      <c r="W404" s="532"/>
      <c r="X404" s="532"/>
      <c r="Y404" s="532"/>
      <c r="Z404" s="531"/>
      <c r="AA404" s="531"/>
      <c r="AB404" s="531"/>
      <c r="AC404" s="531"/>
      <c r="AD404" s="531"/>
      <c r="AE404" s="531"/>
      <c r="AF404" s="531"/>
      <c r="AG404" s="531"/>
    </row>
    <row r="405">
      <c r="B405" s="531"/>
      <c r="C405" s="531"/>
      <c r="D405" s="531"/>
      <c r="E405" s="531"/>
      <c r="F405" s="531"/>
      <c r="G405" s="531"/>
      <c r="H405" s="531"/>
      <c r="I405" s="531"/>
      <c r="J405" s="531"/>
      <c r="K405" s="531"/>
      <c r="L405" s="531"/>
      <c r="M405" s="531"/>
      <c r="N405" s="531"/>
      <c r="O405" s="531"/>
      <c r="P405" s="531"/>
      <c r="Q405" s="531"/>
      <c r="R405" s="531"/>
      <c r="S405" s="532"/>
      <c r="T405" s="532"/>
      <c r="U405" s="532"/>
      <c r="V405" s="532"/>
      <c r="W405" s="532"/>
      <c r="X405" s="532"/>
      <c r="Y405" s="532"/>
      <c r="Z405" s="531"/>
      <c r="AA405" s="531"/>
      <c r="AB405" s="531"/>
      <c r="AC405" s="531"/>
      <c r="AD405" s="531"/>
      <c r="AE405" s="531"/>
      <c r="AF405" s="531"/>
      <c r="AG405" s="531"/>
    </row>
    <row r="406">
      <c r="B406" s="531"/>
      <c r="C406" s="531"/>
      <c r="D406" s="531"/>
      <c r="E406" s="531"/>
      <c r="F406" s="531"/>
      <c r="G406" s="531"/>
      <c r="H406" s="531"/>
      <c r="I406" s="531"/>
      <c r="J406" s="531"/>
      <c r="K406" s="531"/>
      <c r="L406" s="531"/>
      <c r="M406" s="531"/>
      <c r="N406" s="531"/>
      <c r="O406" s="531"/>
      <c r="P406" s="531"/>
      <c r="Q406" s="531"/>
      <c r="R406" s="531"/>
      <c r="S406" s="532"/>
      <c r="T406" s="532"/>
      <c r="U406" s="532"/>
      <c r="V406" s="532"/>
      <c r="W406" s="532"/>
      <c r="X406" s="532"/>
      <c r="Y406" s="532"/>
      <c r="Z406" s="531"/>
      <c r="AA406" s="531"/>
      <c r="AB406" s="531"/>
      <c r="AC406" s="531"/>
      <c r="AD406" s="531"/>
      <c r="AE406" s="531"/>
      <c r="AF406" s="531"/>
      <c r="AG406" s="531"/>
    </row>
    <row r="407">
      <c r="B407" s="531"/>
      <c r="C407" s="531"/>
      <c r="D407" s="531"/>
      <c r="E407" s="531"/>
      <c r="F407" s="531"/>
      <c r="G407" s="531"/>
      <c r="H407" s="531"/>
      <c r="I407" s="531"/>
      <c r="J407" s="531"/>
      <c r="K407" s="531"/>
      <c r="L407" s="531"/>
      <c r="M407" s="531"/>
      <c r="N407" s="531"/>
      <c r="O407" s="531"/>
      <c r="P407" s="531"/>
      <c r="Q407" s="531"/>
      <c r="R407" s="531"/>
      <c r="S407" s="532"/>
      <c r="T407" s="532"/>
      <c r="U407" s="532"/>
      <c r="V407" s="532"/>
      <c r="W407" s="532"/>
      <c r="X407" s="532"/>
      <c r="Y407" s="532"/>
      <c r="Z407" s="531"/>
      <c r="AA407" s="531"/>
      <c r="AB407" s="531"/>
      <c r="AC407" s="531"/>
      <c r="AD407" s="531"/>
      <c r="AE407" s="531"/>
      <c r="AF407" s="531"/>
      <c r="AG407" s="531"/>
    </row>
    <row r="408">
      <c r="B408" s="531"/>
      <c r="C408" s="531"/>
      <c r="D408" s="531"/>
      <c r="E408" s="531"/>
      <c r="F408" s="531"/>
      <c r="G408" s="531"/>
      <c r="H408" s="531"/>
      <c r="I408" s="531"/>
      <c r="J408" s="531"/>
      <c r="K408" s="531"/>
      <c r="L408" s="531"/>
      <c r="M408" s="531"/>
      <c r="N408" s="531"/>
      <c r="O408" s="531"/>
      <c r="P408" s="531"/>
      <c r="Q408" s="531"/>
      <c r="R408" s="531"/>
      <c r="S408" s="532"/>
      <c r="T408" s="532"/>
      <c r="U408" s="532"/>
      <c r="V408" s="532"/>
      <c r="W408" s="532"/>
      <c r="X408" s="532"/>
      <c r="Y408" s="532"/>
      <c r="Z408" s="531"/>
      <c r="AA408" s="531"/>
      <c r="AB408" s="531"/>
      <c r="AC408" s="531"/>
      <c r="AD408" s="531"/>
      <c r="AE408" s="531"/>
      <c r="AF408" s="531"/>
      <c r="AG408" s="531"/>
    </row>
    <row r="409">
      <c r="B409" s="531"/>
      <c r="C409" s="531"/>
      <c r="D409" s="531"/>
      <c r="E409" s="531"/>
      <c r="F409" s="531"/>
      <c r="G409" s="531"/>
      <c r="H409" s="531"/>
      <c r="I409" s="531"/>
      <c r="J409" s="531"/>
      <c r="K409" s="531"/>
      <c r="L409" s="531"/>
      <c r="M409" s="531"/>
      <c r="N409" s="531"/>
      <c r="O409" s="531"/>
      <c r="P409" s="531"/>
      <c r="Q409" s="531"/>
      <c r="R409" s="531"/>
      <c r="S409" s="532"/>
      <c r="T409" s="532"/>
      <c r="U409" s="532"/>
      <c r="V409" s="532"/>
      <c r="W409" s="532"/>
      <c r="X409" s="532"/>
      <c r="Y409" s="532"/>
      <c r="Z409" s="531"/>
      <c r="AA409" s="531"/>
      <c r="AB409" s="531"/>
      <c r="AC409" s="531"/>
      <c r="AD409" s="531"/>
      <c r="AE409" s="531"/>
      <c r="AF409" s="531"/>
      <c r="AG409" s="531"/>
    </row>
    <row r="410">
      <c r="B410" s="531"/>
      <c r="C410" s="531"/>
      <c r="D410" s="531"/>
      <c r="E410" s="531"/>
      <c r="F410" s="531"/>
      <c r="G410" s="531"/>
      <c r="H410" s="531"/>
      <c r="I410" s="531"/>
      <c r="J410" s="531"/>
      <c r="K410" s="531"/>
      <c r="L410" s="531"/>
      <c r="M410" s="531"/>
      <c r="N410" s="531"/>
      <c r="O410" s="531"/>
      <c r="P410" s="531"/>
      <c r="Q410" s="531"/>
      <c r="R410" s="531"/>
      <c r="S410" s="532"/>
      <c r="T410" s="532"/>
      <c r="U410" s="532"/>
      <c r="V410" s="532"/>
      <c r="W410" s="532"/>
      <c r="X410" s="532"/>
      <c r="Y410" s="532"/>
      <c r="Z410" s="531"/>
      <c r="AA410" s="531"/>
      <c r="AB410" s="531"/>
      <c r="AC410" s="531"/>
      <c r="AD410" s="531"/>
      <c r="AE410" s="531"/>
      <c r="AF410" s="531"/>
      <c r="AG410" s="531"/>
    </row>
    <row r="411">
      <c r="B411" s="531"/>
      <c r="C411" s="531"/>
      <c r="D411" s="531"/>
      <c r="E411" s="531"/>
      <c r="F411" s="531"/>
      <c r="G411" s="531"/>
      <c r="H411" s="531"/>
      <c r="I411" s="531"/>
      <c r="J411" s="531"/>
      <c r="K411" s="531"/>
      <c r="L411" s="531"/>
      <c r="M411" s="531"/>
      <c r="N411" s="531"/>
      <c r="O411" s="531"/>
      <c r="P411" s="531"/>
      <c r="Q411" s="531"/>
      <c r="R411" s="531"/>
      <c r="S411" s="532"/>
      <c r="T411" s="532"/>
      <c r="U411" s="532"/>
      <c r="V411" s="532"/>
      <c r="W411" s="532"/>
      <c r="X411" s="532"/>
      <c r="Y411" s="532"/>
      <c r="Z411" s="531"/>
      <c r="AA411" s="531"/>
      <c r="AB411" s="531"/>
      <c r="AC411" s="531"/>
      <c r="AD411" s="531"/>
      <c r="AE411" s="531"/>
      <c r="AF411" s="531"/>
      <c r="AG411" s="531"/>
    </row>
    <row r="412">
      <c r="B412" s="531"/>
      <c r="C412" s="531"/>
      <c r="D412" s="531"/>
      <c r="E412" s="531"/>
      <c r="F412" s="531"/>
      <c r="G412" s="531"/>
      <c r="H412" s="531"/>
      <c r="I412" s="531"/>
      <c r="J412" s="531"/>
      <c r="K412" s="531"/>
      <c r="L412" s="531"/>
      <c r="M412" s="531"/>
      <c r="N412" s="531"/>
      <c r="O412" s="531"/>
      <c r="P412" s="531"/>
      <c r="Q412" s="531"/>
      <c r="R412" s="531"/>
      <c r="S412" s="532"/>
      <c r="T412" s="532"/>
      <c r="U412" s="532"/>
      <c r="V412" s="532"/>
      <c r="W412" s="532"/>
      <c r="X412" s="532"/>
      <c r="Y412" s="532"/>
      <c r="Z412" s="531"/>
      <c r="AA412" s="531"/>
      <c r="AB412" s="531"/>
      <c r="AC412" s="531"/>
      <c r="AD412" s="531"/>
      <c r="AE412" s="531"/>
      <c r="AF412" s="531"/>
      <c r="AG412" s="531"/>
    </row>
    <row r="413">
      <c r="B413" s="531"/>
      <c r="C413" s="531"/>
      <c r="D413" s="531"/>
      <c r="E413" s="531"/>
      <c r="F413" s="531"/>
      <c r="G413" s="531"/>
      <c r="H413" s="531"/>
      <c r="I413" s="531"/>
      <c r="J413" s="531"/>
      <c r="K413" s="531"/>
      <c r="L413" s="531"/>
      <c r="M413" s="531"/>
      <c r="N413" s="531"/>
      <c r="O413" s="531"/>
      <c r="P413" s="531"/>
      <c r="Q413" s="531"/>
      <c r="R413" s="531"/>
      <c r="S413" s="532"/>
      <c r="T413" s="532"/>
      <c r="U413" s="532"/>
      <c r="V413" s="532"/>
      <c r="W413" s="532"/>
      <c r="X413" s="532"/>
      <c r="Y413" s="532"/>
      <c r="Z413" s="531"/>
      <c r="AA413" s="531"/>
      <c r="AB413" s="531"/>
      <c r="AC413" s="531"/>
      <c r="AD413" s="531"/>
      <c r="AE413" s="531"/>
      <c r="AF413" s="531"/>
      <c r="AG413" s="531"/>
    </row>
    <row r="414">
      <c r="B414" s="531"/>
      <c r="C414" s="531"/>
      <c r="D414" s="531"/>
      <c r="E414" s="531"/>
      <c r="F414" s="531"/>
      <c r="G414" s="531"/>
      <c r="H414" s="531"/>
      <c r="I414" s="531"/>
      <c r="J414" s="531"/>
      <c r="K414" s="531"/>
      <c r="L414" s="531"/>
      <c r="M414" s="531"/>
      <c r="N414" s="531"/>
      <c r="O414" s="531"/>
      <c r="P414" s="531"/>
      <c r="Q414" s="531"/>
      <c r="R414" s="531"/>
      <c r="S414" s="532"/>
      <c r="T414" s="532"/>
      <c r="U414" s="532"/>
      <c r="V414" s="532"/>
      <c r="W414" s="532"/>
      <c r="X414" s="532"/>
      <c r="Y414" s="532"/>
      <c r="Z414" s="531"/>
      <c r="AA414" s="531"/>
      <c r="AB414" s="531"/>
      <c r="AC414" s="531"/>
      <c r="AD414" s="531"/>
      <c r="AE414" s="531"/>
      <c r="AF414" s="531"/>
      <c r="AG414" s="531"/>
    </row>
    <row r="415">
      <c r="B415" s="531"/>
      <c r="C415" s="531"/>
      <c r="D415" s="531"/>
      <c r="E415" s="531"/>
      <c r="F415" s="531"/>
      <c r="G415" s="531"/>
      <c r="H415" s="531"/>
      <c r="I415" s="531"/>
      <c r="J415" s="531"/>
      <c r="K415" s="531"/>
      <c r="L415" s="531"/>
      <c r="M415" s="531"/>
      <c r="N415" s="531"/>
      <c r="O415" s="531"/>
      <c r="P415" s="531"/>
      <c r="Q415" s="531"/>
      <c r="R415" s="531"/>
      <c r="S415" s="532"/>
      <c r="T415" s="532"/>
      <c r="U415" s="532"/>
      <c r="V415" s="532"/>
      <c r="W415" s="532"/>
      <c r="X415" s="532"/>
      <c r="Y415" s="532"/>
      <c r="Z415" s="531"/>
      <c r="AA415" s="531"/>
      <c r="AB415" s="531"/>
      <c r="AC415" s="531"/>
      <c r="AD415" s="531"/>
      <c r="AE415" s="531"/>
      <c r="AF415" s="531"/>
      <c r="AG415" s="531"/>
    </row>
    <row r="416">
      <c r="B416" s="531"/>
      <c r="C416" s="531"/>
      <c r="D416" s="531"/>
      <c r="E416" s="531"/>
      <c r="F416" s="531"/>
      <c r="G416" s="531"/>
      <c r="H416" s="531"/>
      <c r="I416" s="531"/>
      <c r="J416" s="531"/>
      <c r="K416" s="531"/>
      <c r="L416" s="531"/>
      <c r="M416" s="531"/>
      <c r="N416" s="531"/>
      <c r="O416" s="531"/>
      <c r="P416" s="531"/>
      <c r="Q416" s="531"/>
      <c r="R416" s="531"/>
      <c r="S416" s="532"/>
      <c r="T416" s="532"/>
      <c r="U416" s="532"/>
      <c r="V416" s="532"/>
      <c r="W416" s="532"/>
      <c r="X416" s="532"/>
      <c r="Y416" s="532"/>
      <c r="Z416" s="531"/>
      <c r="AA416" s="531"/>
      <c r="AB416" s="531"/>
      <c r="AC416" s="531"/>
      <c r="AD416" s="531"/>
      <c r="AE416" s="531"/>
      <c r="AF416" s="531"/>
      <c r="AG416" s="531"/>
    </row>
    <row r="417">
      <c r="B417" s="531"/>
      <c r="C417" s="531"/>
      <c r="D417" s="531"/>
      <c r="E417" s="531"/>
      <c r="F417" s="531"/>
      <c r="G417" s="531"/>
      <c r="H417" s="531"/>
      <c r="I417" s="531"/>
      <c r="J417" s="531"/>
      <c r="K417" s="531"/>
      <c r="L417" s="531"/>
      <c r="M417" s="531"/>
      <c r="N417" s="531"/>
      <c r="O417" s="531"/>
      <c r="P417" s="531"/>
      <c r="Q417" s="531"/>
      <c r="R417" s="531"/>
      <c r="S417" s="532"/>
      <c r="T417" s="532"/>
      <c r="U417" s="532"/>
      <c r="V417" s="532"/>
      <c r="W417" s="532"/>
      <c r="X417" s="532"/>
      <c r="Y417" s="532"/>
      <c r="Z417" s="531"/>
      <c r="AA417" s="531"/>
      <c r="AB417" s="531"/>
      <c r="AC417" s="531"/>
      <c r="AD417" s="531"/>
      <c r="AE417" s="531"/>
      <c r="AF417" s="531"/>
      <c r="AG417" s="531"/>
    </row>
    <row r="418">
      <c r="B418" s="531"/>
      <c r="C418" s="531"/>
      <c r="D418" s="531"/>
      <c r="E418" s="531"/>
      <c r="F418" s="531"/>
      <c r="G418" s="531"/>
      <c r="H418" s="531"/>
      <c r="I418" s="531"/>
      <c r="J418" s="531"/>
      <c r="K418" s="531"/>
      <c r="L418" s="531"/>
      <c r="M418" s="531"/>
      <c r="N418" s="531"/>
      <c r="O418" s="531"/>
      <c r="P418" s="531"/>
      <c r="Q418" s="531"/>
      <c r="R418" s="531"/>
      <c r="S418" s="532"/>
      <c r="T418" s="532"/>
      <c r="U418" s="532"/>
      <c r="V418" s="532"/>
      <c r="W418" s="532"/>
      <c r="X418" s="532"/>
      <c r="Y418" s="532"/>
      <c r="Z418" s="531"/>
      <c r="AA418" s="531"/>
      <c r="AB418" s="531"/>
      <c r="AC418" s="531"/>
      <c r="AD418" s="531"/>
      <c r="AE418" s="531"/>
      <c r="AF418" s="531"/>
      <c r="AG418" s="531"/>
    </row>
    <row r="419">
      <c r="B419" s="531"/>
      <c r="C419" s="531"/>
      <c r="D419" s="531"/>
      <c r="E419" s="531"/>
      <c r="F419" s="531"/>
      <c r="G419" s="531"/>
      <c r="H419" s="531"/>
      <c r="I419" s="531"/>
      <c r="J419" s="531"/>
      <c r="K419" s="531"/>
      <c r="L419" s="531"/>
      <c r="M419" s="531"/>
      <c r="N419" s="531"/>
      <c r="O419" s="531"/>
      <c r="P419" s="531"/>
      <c r="Q419" s="531"/>
      <c r="R419" s="531"/>
      <c r="S419" s="532"/>
      <c r="T419" s="532"/>
      <c r="U419" s="532"/>
      <c r="V419" s="532"/>
      <c r="W419" s="532"/>
      <c r="X419" s="532"/>
      <c r="Y419" s="532"/>
      <c r="Z419" s="531"/>
      <c r="AA419" s="531"/>
      <c r="AB419" s="531"/>
      <c r="AC419" s="531"/>
      <c r="AD419" s="531"/>
      <c r="AE419" s="531"/>
      <c r="AF419" s="531"/>
      <c r="AG419" s="531"/>
    </row>
    <row r="420">
      <c r="B420" s="531"/>
      <c r="C420" s="531"/>
      <c r="D420" s="531"/>
      <c r="E420" s="531"/>
      <c r="F420" s="531"/>
      <c r="G420" s="531"/>
      <c r="H420" s="531"/>
      <c r="I420" s="531"/>
      <c r="J420" s="531"/>
      <c r="K420" s="531"/>
      <c r="L420" s="531"/>
      <c r="M420" s="531"/>
      <c r="N420" s="531"/>
      <c r="O420" s="531"/>
      <c r="P420" s="531"/>
      <c r="Q420" s="531"/>
      <c r="R420" s="531"/>
      <c r="S420" s="532"/>
      <c r="T420" s="532"/>
      <c r="U420" s="532"/>
      <c r="V420" s="532"/>
      <c r="W420" s="532"/>
      <c r="X420" s="532"/>
      <c r="Y420" s="532"/>
      <c r="Z420" s="531"/>
      <c r="AA420" s="531"/>
      <c r="AB420" s="531"/>
      <c r="AC420" s="531"/>
      <c r="AD420" s="531"/>
      <c r="AE420" s="531"/>
      <c r="AF420" s="531"/>
      <c r="AG420" s="531"/>
    </row>
    <row r="421">
      <c r="B421" s="531"/>
      <c r="C421" s="531"/>
      <c r="D421" s="531"/>
      <c r="E421" s="531"/>
      <c r="F421" s="531"/>
      <c r="G421" s="531"/>
      <c r="H421" s="531"/>
      <c r="I421" s="531"/>
      <c r="J421" s="531"/>
      <c r="K421" s="531"/>
      <c r="L421" s="531"/>
      <c r="M421" s="531"/>
      <c r="N421" s="531"/>
      <c r="O421" s="531"/>
      <c r="P421" s="531"/>
      <c r="Q421" s="531"/>
      <c r="R421" s="531"/>
      <c r="S421" s="532"/>
      <c r="T421" s="532"/>
      <c r="U421" s="532"/>
      <c r="V421" s="532"/>
      <c r="W421" s="532"/>
      <c r="X421" s="532"/>
      <c r="Y421" s="532"/>
      <c r="Z421" s="531"/>
      <c r="AA421" s="531"/>
      <c r="AB421" s="531"/>
      <c r="AC421" s="531"/>
      <c r="AD421" s="531"/>
      <c r="AE421" s="531"/>
      <c r="AF421" s="531"/>
      <c r="AG421" s="531"/>
    </row>
    <row r="422">
      <c r="B422" s="531"/>
      <c r="C422" s="531"/>
      <c r="D422" s="531"/>
      <c r="E422" s="531"/>
      <c r="F422" s="531"/>
      <c r="G422" s="531"/>
      <c r="H422" s="531"/>
      <c r="I422" s="531"/>
      <c r="J422" s="531"/>
      <c r="K422" s="531"/>
      <c r="L422" s="531"/>
      <c r="M422" s="531"/>
      <c r="N422" s="531"/>
      <c r="O422" s="531"/>
      <c r="P422" s="531"/>
      <c r="Q422" s="531"/>
      <c r="R422" s="531"/>
      <c r="S422" s="532"/>
      <c r="T422" s="532"/>
      <c r="U422" s="532"/>
      <c r="V422" s="532"/>
      <c r="W422" s="532"/>
      <c r="X422" s="532"/>
      <c r="Y422" s="532"/>
      <c r="Z422" s="531"/>
      <c r="AA422" s="531"/>
      <c r="AB422" s="531"/>
      <c r="AC422" s="531"/>
      <c r="AD422" s="531"/>
      <c r="AE422" s="531"/>
      <c r="AF422" s="531"/>
      <c r="AG422" s="531"/>
    </row>
    <row r="423">
      <c r="B423" s="531"/>
      <c r="C423" s="531"/>
      <c r="D423" s="531"/>
      <c r="E423" s="531"/>
      <c r="F423" s="531"/>
      <c r="G423" s="531"/>
      <c r="H423" s="531"/>
      <c r="I423" s="531"/>
      <c r="J423" s="531"/>
      <c r="K423" s="531"/>
      <c r="L423" s="531"/>
      <c r="M423" s="531"/>
      <c r="N423" s="531"/>
      <c r="O423" s="531"/>
      <c r="P423" s="531"/>
      <c r="Q423" s="531"/>
      <c r="R423" s="531"/>
      <c r="S423" s="532"/>
      <c r="T423" s="532"/>
      <c r="U423" s="532"/>
      <c r="V423" s="532"/>
      <c r="W423" s="532"/>
      <c r="X423" s="532"/>
      <c r="Y423" s="532"/>
      <c r="Z423" s="531"/>
      <c r="AA423" s="531"/>
      <c r="AB423" s="531"/>
      <c r="AC423" s="531"/>
      <c r="AD423" s="531"/>
      <c r="AE423" s="531"/>
      <c r="AF423" s="531"/>
      <c r="AG423" s="531"/>
    </row>
    <row r="424">
      <c r="B424" s="531"/>
      <c r="C424" s="531"/>
      <c r="D424" s="531"/>
      <c r="E424" s="531"/>
      <c r="F424" s="531"/>
      <c r="G424" s="531"/>
      <c r="H424" s="531"/>
      <c r="I424" s="531"/>
      <c r="J424" s="531"/>
      <c r="K424" s="531"/>
      <c r="L424" s="531"/>
      <c r="M424" s="531"/>
      <c r="N424" s="531"/>
      <c r="O424" s="531"/>
      <c r="P424" s="531"/>
      <c r="Q424" s="531"/>
      <c r="R424" s="531"/>
      <c r="S424" s="532"/>
      <c r="T424" s="532"/>
      <c r="U424" s="532"/>
      <c r="V424" s="532"/>
      <c r="W424" s="532"/>
      <c r="X424" s="532"/>
      <c r="Y424" s="532"/>
      <c r="Z424" s="531"/>
      <c r="AA424" s="531"/>
      <c r="AB424" s="531"/>
      <c r="AC424" s="531"/>
      <c r="AD424" s="531"/>
      <c r="AE424" s="531"/>
      <c r="AF424" s="531"/>
      <c r="AG424" s="531"/>
    </row>
    <row r="425">
      <c r="B425" s="531"/>
      <c r="C425" s="531"/>
      <c r="D425" s="531"/>
      <c r="E425" s="531"/>
      <c r="F425" s="531"/>
      <c r="G425" s="531"/>
      <c r="H425" s="531"/>
      <c r="I425" s="531"/>
      <c r="J425" s="531"/>
      <c r="K425" s="531"/>
      <c r="L425" s="531"/>
      <c r="M425" s="531"/>
      <c r="N425" s="531"/>
      <c r="O425" s="531"/>
      <c r="P425" s="531"/>
      <c r="Q425" s="531"/>
      <c r="R425" s="531"/>
      <c r="S425" s="532"/>
      <c r="T425" s="532"/>
      <c r="U425" s="532"/>
      <c r="V425" s="532"/>
      <c r="W425" s="532"/>
      <c r="X425" s="532"/>
      <c r="Y425" s="532"/>
      <c r="Z425" s="531"/>
      <c r="AA425" s="531"/>
      <c r="AB425" s="531"/>
      <c r="AC425" s="531"/>
      <c r="AD425" s="531"/>
      <c r="AE425" s="531"/>
      <c r="AF425" s="531"/>
      <c r="AG425" s="531"/>
    </row>
    <row r="426">
      <c r="B426" s="531"/>
      <c r="C426" s="531"/>
      <c r="D426" s="531"/>
      <c r="E426" s="531"/>
      <c r="F426" s="531"/>
      <c r="G426" s="531"/>
      <c r="H426" s="531"/>
      <c r="I426" s="531"/>
      <c r="J426" s="531"/>
      <c r="K426" s="531"/>
      <c r="L426" s="531"/>
      <c r="M426" s="531"/>
      <c r="N426" s="531"/>
      <c r="O426" s="531"/>
      <c r="P426" s="531"/>
      <c r="Q426" s="531"/>
      <c r="R426" s="531"/>
      <c r="S426" s="532"/>
      <c r="T426" s="532"/>
      <c r="U426" s="532"/>
      <c r="V426" s="532"/>
      <c r="W426" s="532"/>
      <c r="X426" s="532"/>
      <c r="Y426" s="532"/>
      <c r="Z426" s="531"/>
      <c r="AA426" s="531"/>
      <c r="AB426" s="531"/>
      <c r="AC426" s="531"/>
      <c r="AD426" s="531"/>
      <c r="AE426" s="531"/>
      <c r="AF426" s="531"/>
      <c r="AG426" s="531"/>
    </row>
    <row r="427">
      <c r="B427" s="531"/>
      <c r="C427" s="531"/>
      <c r="D427" s="531"/>
      <c r="E427" s="531"/>
      <c r="F427" s="531"/>
      <c r="G427" s="531"/>
      <c r="H427" s="531"/>
      <c r="I427" s="531"/>
      <c r="J427" s="531"/>
      <c r="K427" s="531"/>
      <c r="L427" s="531"/>
      <c r="M427" s="531"/>
      <c r="N427" s="531"/>
      <c r="O427" s="531"/>
      <c r="P427" s="531"/>
      <c r="Q427" s="531"/>
      <c r="R427" s="531"/>
      <c r="S427" s="532"/>
      <c r="T427" s="532"/>
      <c r="U427" s="532"/>
      <c r="V427" s="532"/>
      <c r="W427" s="532"/>
      <c r="X427" s="532"/>
      <c r="Y427" s="532"/>
      <c r="Z427" s="531"/>
      <c r="AA427" s="531"/>
      <c r="AB427" s="531"/>
      <c r="AC427" s="531"/>
      <c r="AD427" s="531"/>
      <c r="AE427" s="531"/>
      <c r="AF427" s="531"/>
      <c r="AG427" s="531"/>
    </row>
    <row r="428">
      <c r="B428" s="531"/>
      <c r="C428" s="531"/>
      <c r="D428" s="531"/>
      <c r="E428" s="531"/>
      <c r="F428" s="531"/>
      <c r="G428" s="531"/>
      <c r="H428" s="531"/>
      <c r="I428" s="531"/>
      <c r="J428" s="531"/>
      <c r="K428" s="531"/>
      <c r="L428" s="531"/>
      <c r="M428" s="531"/>
      <c r="N428" s="531"/>
      <c r="O428" s="531"/>
      <c r="P428" s="531"/>
      <c r="Q428" s="531"/>
      <c r="R428" s="531"/>
      <c r="S428" s="532"/>
      <c r="T428" s="532"/>
      <c r="U428" s="532"/>
      <c r="V428" s="532"/>
      <c r="W428" s="532"/>
      <c r="X428" s="532"/>
      <c r="Y428" s="532"/>
      <c r="Z428" s="531"/>
      <c r="AA428" s="531"/>
      <c r="AB428" s="531"/>
      <c r="AC428" s="531"/>
      <c r="AD428" s="531"/>
      <c r="AE428" s="531"/>
      <c r="AF428" s="531"/>
      <c r="AG428" s="531"/>
    </row>
    <row r="429">
      <c r="B429" s="531"/>
      <c r="C429" s="531"/>
      <c r="D429" s="531"/>
      <c r="E429" s="531"/>
      <c r="F429" s="531"/>
      <c r="G429" s="531"/>
      <c r="H429" s="531"/>
      <c r="I429" s="531"/>
      <c r="J429" s="531"/>
      <c r="K429" s="531"/>
      <c r="L429" s="531"/>
      <c r="M429" s="531"/>
      <c r="N429" s="531"/>
      <c r="O429" s="531"/>
      <c r="P429" s="531"/>
      <c r="Q429" s="531"/>
      <c r="R429" s="531"/>
      <c r="S429" s="532"/>
      <c r="T429" s="532"/>
      <c r="U429" s="532"/>
      <c r="V429" s="532"/>
      <c r="W429" s="532"/>
      <c r="X429" s="532"/>
      <c r="Y429" s="532"/>
      <c r="Z429" s="531"/>
      <c r="AA429" s="531"/>
      <c r="AB429" s="531"/>
      <c r="AC429" s="531"/>
      <c r="AD429" s="531"/>
      <c r="AE429" s="531"/>
      <c r="AF429" s="531"/>
      <c r="AG429" s="531"/>
    </row>
    <row r="430">
      <c r="B430" s="531"/>
      <c r="C430" s="531"/>
      <c r="D430" s="531"/>
      <c r="E430" s="531"/>
      <c r="F430" s="531"/>
      <c r="G430" s="531"/>
      <c r="H430" s="531"/>
      <c r="I430" s="531"/>
      <c r="J430" s="531"/>
      <c r="K430" s="531"/>
      <c r="L430" s="531"/>
      <c r="M430" s="531"/>
      <c r="N430" s="531"/>
      <c r="O430" s="531"/>
      <c r="P430" s="531"/>
      <c r="Q430" s="531"/>
      <c r="R430" s="531"/>
      <c r="S430" s="532"/>
      <c r="T430" s="532"/>
      <c r="U430" s="532"/>
      <c r="V430" s="532"/>
      <c r="W430" s="532"/>
      <c r="X430" s="532"/>
      <c r="Y430" s="532"/>
      <c r="Z430" s="531"/>
      <c r="AA430" s="531"/>
      <c r="AB430" s="531"/>
      <c r="AC430" s="531"/>
      <c r="AD430" s="531"/>
      <c r="AE430" s="531"/>
      <c r="AF430" s="531"/>
      <c r="AG430" s="531"/>
    </row>
    <row r="431">
      <c r="B431" s="531"/>
      <c r="C431" s="531"/>
      <c r="D431" s="531"/>
      <c r="E431" s="531"/>
      <c r="F431" s="531"/>
      <c r="G431" s="531"/>
      <c r="H431" s="531"/>
      <c r="I431" s="531"/>
      <c r="J431" s="531"/>
      <c r="K431" s="531"/>
      <c r="L431" s="531"/>
      <c r="M431" s="531"/>
      <c r="N431" s="531"/>
      <c r="O431" s="531"/>
      <c r="P431" s="531"/>
      <c r="Q431" s="531"/>
      <c r="R431" s="531"/>
      <c r="S431" s="532"/>
      <c r="T431" s="532"/>
      <c r="U431" s="532"/>
      <c r="V431" s="532"/>
      <c r="W431" s="532"/>
      <c r="X431" s="532"/>
      <c r="Y431" s="532"/>
      <c r="Z431" s="531"/>
      <c r="AA431" s="531"/>
      <c r="AB431" s="531"/>
      <c r="AC431" s="531"/>
      <c r="AD431" s="531"/>
      <c r="AE431" s="531"/>
      <c r="AF431" s="531"/>
      <c r="AG431" s="531"/>
    </row>
    <row r="432">
      <c r="B432" s="531"/>
      <c r="C432" s="531"/>
      <c r="D432" s="531"/>
      <c r="E432" s="531"/>
      <c r="F432" s="531"/>
      <c r="G432" s="531"/>
      <c r="H432" s="531"/>
      <c r="I432" s="531"/>
      <c r="J432" s="531"/>
      <c r="K432" s="531"/>
      <c r="L432" s="531"/>
      <c r="M432" s="531"/>
      <c r="N432" s="531"/>
      <c r="O432" s="531"/>
      <c r="P432" s="531"/>
      <c r="Q432" s="531"/>
      <c r="R432" s="531"/>
      <c r="S432" s="532"/>
      <c r="T432" s="532"/>
      <c r="U432" s="532"/>
      <c r="V432" s="532"/>
      <c r="W432" s="532"/>
      <c r="X432" s="532"/>
      <c r="Y432" s="532"/>
      <c r="Z432" s="531"/>
      <c r="AA432" s="531"/>
      <c r="AB432" s="531"/>
      <c r="AC432" s="531"/>
      <c r="AD432" s="531"/>
      <c r="AE432" s="531"/>
      <c r="AF432" s="531"/>
      <c r="AG432" s="531"/>
    </row>
    <row r="433">
      <c r="B433" s="531"/>
      <c r="C433" s="531"/>
      <c r="D433" s="531"/>
      <c r="E433" s="531"/>
      <c r="F433" s="531"/>
      <c r="G433" s="531"/>
      <c r="H433" s="531"/>
      <c r="I433" s="531"/>
      <c r="J433" s="531"/>
      <c r="K433" s="531"/>
      <c r="L433" s="531"/>
      <c r="M433" s="531"/>
      <c r="N433" s="531"/>
      <c r="O433" s="531"/>
      <c r="P433" s="531"/>
      <c r="Q433" s="531"/>
      <c r="R433" s="531"/>
      <c r="S433" s="532"/>
      <c r="T433" s="532"/>
      <c r="U433" s="532"/>
      <c r="V433" s="532"/>
      <c r="W433" s="532"/>
      <c r="X433" s="532"/>
      <c r="Y433" s="532"/>
      <c r="Z433" s="531"/>
      <c r="AA433" s="531"/>
      <c r="AB433" s="531"/>
      <c r="AC433" s="531"/>
      <c r="AD433" s="531"/>
      <c r="AE433" s="531"/>
      <c r="AF433" s="531"/>
      <c r="AG433" s="531"/>
    </row>
    <row r="434">
      <c r="B434" s="531"/>
      <c r="C434" s="531"/>
      <c r="D434" s="531"/>
      <c r="E434" s="531"/>
      <c r="F434" s="531"/>
      <c r="G434" s="531"/>
      <c r="H434" s="531"/>
      <c r="I434" s="531"/>
      <c r="J434" s="531"/>
      <c r="K434" s="531"/>
      <c r="L434" s="531"/>
      <c r="M434" s="531"/>
      <c r="N434" s="531"/>
      <c r="O434" s="531"/>
      <c r="P434" s="531"/>
      <c r="Q434" s="531"/>
      <c r="R434" s="531"/>
      <c r="S434" s="532"/>
      <c r="T434" s="532"/>
      <c r="U434" s="532"/>
      <c r="V434" s="532"/>
      <c r="W434" s="532"/>
      <c r="X434" s="532"/>
      <c r="Y434" s="532"/>
      <c r="Z434" s="531"/>
      <c r="AA434" s="531"/>
      <c r="AB434" s="531"/>
      <c r="AC434" s="531"/>
      <c r="AD434" s="531"/>
      <c r="AE434" s="531"/>
      <c r="AF434" s="531"/>
      <c r="AG434" s="531"/>
    </row>
    <row r="435">
      <c r="B435" s="531"/>
      <c r="C435" s="531"/>
      <c r="D435" s="531"/>
      <c r="E435" s="531"/>
      <c r="F435" s="531"/>
      <c r="G435" s="531"/>
      <c r="H435" s="531"/>
      <c r="I435" s="531"/>
      <c r="J435" s="531"/>
      <c r="K435" s="531"/>
      <c r="L435" s="531"/>
      <c r="M435" s="531"/>
      <c r="N435" s="531"/>
      <c r="O435" s="531"/>
      <c r="P435" s="531"/>
      <c r="Q435" s="531"/>
      <c r="R435" s="531"/>
      <c r="S435" s="532"/>
      <c r="T435" s="532"/>
      <c r="U435" s="532"/>
      <c r="V435" s="532"/>
      <c r="W435" s="532"/>
      <c r="X435" s="532"/>
      <c r="Y435" s="532"/>
      <c r="Z435" s="531"/>
      <c r="AA435" s="531"/>
      <c r="AB435" s="531"/>
      <c r="AC435" s="531"/>
      <c r="AD435" s="531"/>
      <c r="AE435" s="531"/>
      <c r="AF435" s="531"/>
      <c r="AG435" s="531"/>
    </row>
    <row r="436">
      <c r="B436" s="531"/>
      <c r="C436" s="531"/>
      <c r="D436" s="531"/>
      <c r="E436" s="531"/>
      <c r="F436" s="531"/>
      <c r="G436" s="531"/>
      <c r="H436" s="531"/>
      <c r="I436" s="531"/>
      <c r="J436" s="531"/>
      <c r="K436" s="531"/>
      <c r="L436" s="531"/>
      <c r="M436" s="531"/>
      <c r="N436" s="531"/>
      <c r="O436" s="531"/>
      <c r="P436" s="531"/>
      <c r="Q436" s="531"/>
      <c r="R436" s="531"/>
      <c r="S436" s="532"/>
      <c r="T436" s="532"/>
      <c r="U436" s="532"/>
      <c r="V436" s="532"/>
      <c r="W436" s="532"/>
      <c r="X436" s="532"/>
      <c r="Y436" s="532"/>
      <c r="Z436" s="531"/>
      <c r="AA436" s="531"/>
      <c r="AB436" s="531"/>
      <c r="AC436" s="531"/>
      <c r="AD436" s="531"/>
      <c r="AE436" s="531"/>
      <c r="AF436" s="531"/>
      <c r="AG436" s="531"/>
    </row>
    <row r="437">
      <c r="B437" s="531"/>
      <c r="C437" s="531"/>
      <c r="D437" s="531"/>
      <c r="E437" s="531"/>
      <c r="F437" s="531"/>
      <c r="G437" s="531"/>
      <c r="H437" s="531"/>
      <c r="I437" s="531"/>
      <c r="J437" s="531"/>
      <c r="K437" s="531"/>
      <c r="L437" s="531"/>
      <c r="M437" s="531"/>
      <c r="N437" s="531"/>
      <c r="O437" s="531"/>
      <c r="P437" s="531"/>
      <c r="Q437" s="531"/>
      <c r="R437" s="531"/>
      <c r="S437" s="532"/>
      <c r="T437" s="532"/>
      <c r="U437" s="532"/>
      <c r="V437" s="532"/>
      <c r="W437" s="532"/>
      <c r="X437" s="532"/>
      <c r="Y437" s="532"/>
      <c r="Z437" s="531"/>
      <c r="AA437" s="531"/>
      <c r="AB437" s="531"/>
      <c r="AC437" s="531"/>
      <c r="AD437" s="531"/>
      <c r="AE437" s="531"/>
      <c r="AF437" s="531"/>
      <c r="AG437" s="531"/>
    </row>
    <row r="438">
      <c r="B438" s="531"/>
      <c r="C438" s="531"/>
      <c r="D438" s="531"/>
      <c r="E438" s="531"/>
      <c r="F438" s="531"/>
      <c r="G438" s="531"/>
      <c r="H438" s="531"/>
      <c r="I438" s="531"/>
      <c r="J438" s="531"/>
      <c r="K438" s="531"/>
      <c r="L438" s="531"/>
      <c r="M438" s="531"/>
      <c r="N438" s="531"/>
      <c r="O438" s="531"/>
      <c r="P438" s="531"/>
      <c r="Q438" s="531"/>
      <c r="R438" s="531"/>
      <c r="S438" s="532"/>
      <c r="T438" s="532"/>
      <c r="U438" s="532"/>
      <c r="V438" s="532"/>
      <c r="W438" s="532"/>
      <c r="X438" s="532"/>
      <c r="Y438" s="532"/>
      <c r="Z438" s="531"/>
      <c r="AA438" s="531"/>
      <c r="AB438" s="531"/>
      <c r="AC438" s="531"/>
      <c r="AD438" s="531"/>
      <c r="AE438" s="531"/>
      <c r="AF438" s="531"/>
      <c r="AG438" s="531"/>
    </row>
    <row r="439">
      <c r="B439" s="531"/>
      <c r="C439" s="531"/>
      <c r="D439" s="531"/>
      <c r="E439" s="531"/>
      <c r="F439" s="531"/>
      <c r="G439" s="531"/>
      <c r="H439" s="531"/>
      <c r="I439" s="531"/>
      <c r="J439" s="531"/>
      <c r="K439" s="531"/>
      <c r="L439" s="531"/>
      <c r="M439" s="531"/>
      <c r="N439" s="531"/>
      <c r="O439" s="531"/>
      <c r="P439" s="531"/>
      <c r="Q439" s="531"/>
      <c r="R439" s="531"/>
      <c r="S439" s="532"/>
      <c r="T439" s="532"/>
      <c r="U439" s="532"/>
      <c r="V439" s="532"/>
      <c r="W439" s="532"/>
      <c r="X439" s="532"/>
      <c r="Y439" s="532"/>
      <c r="Z439" s="531"/>
      <c r="AA439" s="531"/>
      <c r="AB439" s="531"/>
      <c r="AC439" s="531"/>
      <c r="AD439" s="531"/>
      <c r="AE439" s="531"/>
      <c r="AF439" s="531"/>
      <c r="AG439" s="531"/>
    </row>
    <row r="440">
      <c r="B440" s="531"/>
      <c r="C440" s="531"/>
      <c r="D440" s="531"/>
      <c r="E440" s="531"/>
      <c r="F440" s="531"/>
      <c r="G440" s="531"/>
      <c r="H440" s="531"/>
      <c r="I440" s="531"/>
      <c r="J440" s="531"/>
      <c r="K440" s="531"/>
      <c r="L440" s="531"/>
      <c r="M440" s="531"/>
      <c r="N440" s="531"/>
      <c r="O440" s="531"/>
      <c r="P440" s="531"/>
      <c r="Q440" s="531"/>
      <c r="R440" s="531"/>
      <c r="S440" s="532"/>
      <c r="T440" s="532"/>
      <c r="U440" s="532"/>
      <c r="V440" s="532"/>
      <c r="W440" s="532"/>
      <c r="X440" s="532"/>
      <c r="Y440" s="532"/>
      <c r="Z440" s="531"/>
      <c r="AA440" s="531"/>
      <c r="AB440" s="531"/>
      <c r="AC440" s="531"/>
      <c r="AD440" s="531"/>
      <c r="AE440" s="531"/>
      <c r="AF440" s="531"/>
      <c r="AG440" s="531"/>
    </row>
    <row r="441">
      <c r="B441" s="531"/>
      <c r="C441" s="531"/>
      <c r="D441" s="531"/>
      <c r="E441" s="531"/>
      <c r="F441" s="531"/>
      <c r="G441" s="531"/>
      <c r="H441" s="531"/>
      <c r="I441" s="531"/>
      <c r="J441" s="531"/>
      <c r="K441" s="531"/>
      <c r="L441" s="531"/>
      <c r="M441" s="531"/>
      <c r="N441" s="531"/>
      <c r="O441" s="531"/>
      <c r="P441" s="531"/>
      <c r="Q441" s="531"/>
      <c r="R441" s="531"/>
      <c r="S441" s="532"/>
      <c r="T441" s="532"/>
      <c r="U441" s="532"/>
      <c r="V441" s="532"/>
      <c r="W441" s="532"/>
      <c r="X441" s="532"/>
      <c r="Y441" s="532"/>
      <c r="Z441" s="531"/>
      <c r="AA441" s="531"/>
      <c r="AB441" s="531"/>
      <c r="AC441" s="531"/>
      <c r="AD441" s="531"/>
      <c r="AE441" s="531"/>
      <c r="AF441" s="531"/>
      <c r="AG441" s="531"/>
    </row>
    <row r="442">
      <c r="B442" s="531"/>
      <c r="C442" s="531"/>
      <c r="D442" s="531"/>
      <c r="E442" s="531"/>
      <c r="F442" s="531"/>
      <c r="G442" s="531"/>
      <c r="H442" s="531"/>
      <c r="I442" s="531"/>
      <c r="J442" s="531"/>
      <c r="K442" s="531"/>
      <c r="L442" s="531"/>
      <c r="M442" s="531"/>
      <c r="N442" s="531"/>
      <c r="O442" s="531"/>
      <c r="P442" s="531"/>
      <c r="Q442" s="531"/>
      <c r="R442" s="531"/>
      <c r="S442" s="532"/>
      <c r="T442" s="532"/>
      <c r="U442" s="532"/>
      <c r="V442" s="532"/>
      <c r="W442" s="532"/>
      <c r="X442" s="532"/>
      <c r="Y442" s="532"/>
      <c r="Z442" s="531"/>
      <c r="AA442" s="531"/>
      <c r="AB442" s="531"/>
      <c r="AC442" s="531"/>
      <c r="AD442" s="531"/>
      <c r="AE442" s="531"/>
      <c r="AF442" s="531"/>
      <c r="AG442" s="531"/>
    </row>
    <row r="443">
      <c r="B443" s="531"/>
      <c r="C443" s="531"/>
      <c r="D443" s="531"/>
      <c r="E443" s="531"/>
      <c r="F443" s="531"/>
      <c r="G443" s="531"/>
      <c r="H443" s="531"/>
      <c r="I443" s="531"/>
      <c r="J443" s="531"/>
      <c r="K443" s="531"/>
      <c r="L443" s="531"/>
      <c r="M443" s="531"/>
      <c r="N443" s="531"/>
      <c r="O443" s="531"/>
      <c r="P443" s="531"/>
      <c r="Q443" s="531"/>
      <c r="R443" s="531"/>
      <c r="S443" s="532"/>
      <c r="T443" s="532"/>
      <c r="U443" s="532"/>
      <c r="V443" s="532"/>
      <c r="W443" s="532"/>
      <c r="X443" s="532"/>
      <c r="Y443" s="532"/>
      <c r="Z443" s="531"/>
      <c r="AA443" s="531"/>
      <c r="AB443" s="531"/>
      <c r="AC443" s="531"/>
      <c r="AD443" s="531"/>
      <c r="AE443" s="531"/>
      <c r="AF443" s="531"/>
      <c r="AG443" s="531"/>
    </row>
    <row r="444">
      <c r="B444" s="531"/>
      <c r="C444" s="531"/>
      <c r="D444" s="531"/>
      <c r="E444" s="531"/>
      <c r="F444" s="531"/>
      <c r="G444" s="531"/>
      <c r="H444" s="531"/>
      <c r="I444" s="531"/>
      <c r="J444" s="531"/>
      <c r="K444" s="531"/>
      <c r="L444" s="531"/>
      <c r="M444" s="531"/>
      <c r="N444" s="531"/>
      <c r="O444" s="531"/>
      <c r="P444" s="531"/>
      <c r="Q444" s="531"/>
      <c r="R444" s="531"/>
      <c r="S444" s="532"/>
      <c r="T444" s="532"/>
      <c r="U444" s="532"/>
      <c r="V444" s="532"/>
      <c r="W444" s="532"/>
      <c r="X444" s="532"/>
      <c r="Y444" s="532"/>
      <c r="Z444" s="531"/>
      <c r="AA444" s="531"/>
      <c r="AB444" s="531"/>
      <c r="AC444" s="531"/>
      <c r="AD444" s="531"/>
      <c r="AE444" s="531"/>
      <c r="AF444" s="531"/>
      <c r="AG444" s="531"/>
    </row>
    <row r="445">
      <c r="B445" s="531"/>
      <c r="C445" s="531"/>
      <c r="D445" s="531"/>
      <c r="E445" s="531"/>
      <c r="F445" s="531"/>
      <c r="G445" s="531"/>
      <c r="H445" s="531"/>
      <c r="I445" s="531"/>
      <c r="J445" s="531"/>
      <c r="K445" s="531"/>
      <c r="L445" s="531"/>
      <c r="M445" s="531"/>
      <c r="N445" s="531"/>
      <c r="O445" s="531"/>
      <c r="P445" s="531"/>
      <c r="Q445" s="531"/>
      <c r="R445" s="531"/>
      <c r="S445" s="532"/>
      <c r="T445" s="532"/>
      <c r="U445" s="532"/>
      <c r="V445" s="532"/>
      <c r="W445" s="532"/>
      <c r="X445" s="532"/>
      <c r="Y445" s="532"/>
      <c r="Z445" s="531"/>
      <c r="AA445" s="531"/>
      <c r="AB445" s="531"/>
      <c r="AC445" s="531"/>
      <c r="AD445" s="531"/>
      <c r="AE445" s="531"/>
      <c r="AF445" s="531"/>
      <c r="AG445" s="531"/>
    </row>
    <row r="446">
      <c r="B446" s="531"/>
      <c r="C446" s="531"/>
      <c r="D446" s="531"/>
      <c r="E446" s="531"/>
      <c r="F446" s="531"/>
      <c r="G446" s="531"/>
      <c r="H446" s="531"/>
      <c r="I446" s="531"/>
      <c r="J446" s="531"/>
      <c r="K446" s="531"/>
      <c r="L446" s="531"/>
      <c r="M446" s="531"/>
      <c r="N446" s="531"/>
      <c r="O446" s="531"/>
      <c r="P446" s="531"/>
      <c r="Q446" s="531"/>
      <c r="R446" s="531"/>
      <c r="S446" s="532"/>
      <c r="T446" s="532"/>
      <c r="U446" s="532"/>
      <c r="V446" s="532"/>
      <c r="W446" s="532"/>
      <c r="X446" s="532"/>
      <c r="Y446" s="532"/>
      <c r="Z446" s="531"/>
      <c r="AA446" s="531"/>
      <c r="AB446" s="531"/>
      <c r="AC446" s="531"/>
      <c r="AD446" s="531"/>
      <c r="AE446" s="531"/>
      <c r="AF446" s="531"/>
      <c r="AG446" s="531"/>
    </row>
    <row r="447">
      <c r="B447" s="531"/>
      <c r="C447" s="531"/>
      <c r="D447" s="531"/>
      <c r="E447" s="531"/>
      <c r="F447" s="531"/>
      <c r="G447" s="531"/>
      <c r="H447" s="531"/>
      <c r="I447" s="531"/>
      <c r="J447" s="531"/>
      <c r="K447" s="531"/>
      <c r="L447" s="531"/>
      <c r="M447" s="531"/>
      <c r="N447" s="531"/>
      <c r="O447" s="531"/>
      <c r="P447" s="531"/>
      <c r="Q447" s="531"/>
      <c r="R447" s="531"/>
      <c r="S447" s="532"/>
      <c r="T447" s="532"/>
      <c r="U447" s="532"/>
      <c r="V447" s="532"/>
      <c r="W447" s="532"/>
      <c r="X447" s="532"/>
      <c r="Y447" s="532"/>
      <c r="Z447" s="531"/>
      <c r="AA447" s="531"/>
      <c r="AB447" s="531"/>
      <c r="AC447" s="531"/>
      <c r="AD447" s="531"/>
      <c r="AE447" s="531"/>
      <c r="AF447" s="531"/>
      <c r="AG447" s="531"/>
    </row>
    <row r="448">
      <c r="B448" s="531"/>
      <c r="C448" s="531"/>
      <c r="D448" s="531"/>
      <c r="E448" s="531"/>
      <c r="F448" s="531"/>
      <c r="G448" s="531"/>
      <c r="H448" s="531"/>
      <c r="I448" s="531"/>
      <c r="J448" s="531"/>
      <c r="K448" s="531"/>
      <c r="L448" s="531"/>
      <c r="M448" s="531"/>
      <c r="N448" s="531"/>
      <c r="O448" s="531"/>
      <c r="P448" s="531"/>
      <c r="Q448" s="531"/>
      <c r="R448" s="531"/>
      <c r="S448" s="532"/>
      <c r="T448" s="532"/>
      <c r="U448" s="532"/>
      <c r="V448" s="532"/>
      <c r="W448" s="532"/>
      <c r="X448" s="532"/>
      <c r="Y448" s="532"/>
      <c r="Z448" s="531"/>
      <c r="AA448" s="531"/>
      <c r="AB448" s="531"/>
      <c r="AC448" s="531"/>
      <c r="AD448" s="531"/>
      <c r="AE448" s="531"/>
      <c r="AF448" s="531"/>
      <c r="AG448" s="531"/>
    </row>
    <row r="449">
      <c r="B449" s="531"/>
      <c r="C449" s="531"/>
      <c r="D449" s="531"/>
      <c r="E449" s="531"/>
      <c r="F449" s="531"/>
      <c r="G449" s="531"/>
      <c r="H449" s="531"/>
      <c r="I449" s="531"/>
      <c r="J449" s="531"/>
      <c r="K449" s="531"/>
      <c r="L449" s="531"/>
      <c r="M449" s="531"/>
      <c r="N449" s="531"/>
      <c r="O449" s="531"/>
      <c r="P449" s="531"/>
      <c r="Q449" s="531"/>
      <c r="R449" s="531"/>
      <c r="S449" s="532"/>
      <c r="T449" s="532"/>
      <c r="U449" s="532"/>
      <c r="V449" s="532"/>
      <c r="W449" s="532"/>
      <c r="X449" s="532"/>
      <c r="Y449" s="532"/>
      <c r="Z449" s="531"/>
      <c r="AA449" s="531"/>
      <c r="AB449" s="531"/>
      <c r="AC449" s="531"/>
      <c r="AD449" s="531"/>
      <c r="AE449" s="531"/>
      <c r="AF449" s="531"/>
      <c r="AG449" s="531"/>
    </row>
    <row r="450">
      <c r="B450" s="531"/>
      <c r="C450" s="531"/>
      <c r="D450" s="531"/>
      <c r="E450" s="531"/>
      <c r="F450" s="531"/>
      <c r="G450" s="531"/>
      <c r="H450" s="531"/>
      <c r="I450" s="531"/>
      <c r="J450" s="531"/>
      <c r="K450" s="531"/>
      <c r="L450" s="531"/>
      <c r="M450" s="531"/>
      <c r="N450" s="531"/>
      <c r="O450" s="531"/>
      <c r="P450" s="531"/>
      <c r="Q450" s="531"/>
      <c r="R450" s="531"/>
      <c r="S450" s="532"/>
      <c r="T450" s="532"/>
      <c r="U450" s="532"/>
      <c r="V450" s="532"/>
      <c r="W450" s="532"/>
      <c r="X450" s="532"/>
      <c r="Y450" s="532"/>
      <c r="Z450" s="531"/>
      <c r="AA450" s="531"/>
      <c r="AB450" s="531"/>
      <c r="AC450" s="531"/>
      <c r="AD450" s="531"/>
      <c r="AE450" s="531"/>
      <c r="AF450" s="531"/>
      <c r="AG450" s="531"/>
    </row>
    <row r="451">
      <c r="B451" s="531"/>
      <c r="C451" s="531"/>
      <c r="D451" s="531"/>
      <c r="E451" s="531"/>
      <c r="F451" s="531"/>
      <c r="G451" s="531"/>
      <c r="H451" s="531"/>
      <c r="I451" s="531"/>
      <c r="J451" s="531"/>
      <c r="K451" s="531"/>
      <c r="L451" s="531"/>
      <c r="M451" s="531"/>
      <c r="N451" s="531"/>
      <c r="O451" s="531"/>
      <c r="P451" s="531"/>
      <c r="Q451" s="531"/>
      <c r="R451" s="531"/>
      <c r="S451" s="532"/>
      <c r="T451" s="532"/>
      <c r="U451" s="532"/>
      <c r="V451" s="532"/>
      <c r="W451" s="532"/>
      <c r="X451" s="532"/>
      <c r="Y451" s="532"/>
      <c r="Z451" s="531"/>
      <c r="AA451" s="531"/>
      <c r="AB451" s="531"/>
      <c r="AC451" s="531"/>
      <c r="AD451" s="531"/>
      <c r="AE451" s="531"/>
      <c r="AF451" s="531"/>
      <c r="AG451" s="531"/>
    </row>
    <row r="452">
      <c r="B452" s="531"/>
      <c r="C452" s="531"/>
      <c r="D452" s="531"/>
      <c r="E452" s="531"/>
      <c r="F452" s="531"/>
      <c r="G452" s="531"/>
      <c r="H452" s="531"/>
      <c r="I452" s="531"/>
      <c r="J452" s="531"/>
      <c r="K452" s="531"/>
      <c r="L452" s="531"/>
      <c r="M452" s="531"/>
      <c r="N452" s="531"/>
      <c r="O452" s="531"/>
      <c r="P452" s="531"/>
      <c r="Q452" s="531"/>
      <c r="R452" s="531"/>
      <c r="S452" s="532"/>
      <c r="T452" s="532"/>
      <c r="U452" s="532"/>
      <c r="V452" s="532"/>
      <c r="W452" s="532"/>
      <c r="X452" s="532"/>
      <c r="Y452" s="532"/>
      <c r="Z452" s="531"/>
      <c r="AA452" s="531"/>
      <c r="AB452" s="531"/>
      <c r="AC452" s="531"/>
      <c r="AD452" s="531"/>
      <c r="AE452" s="531"/>
      <c r="AF452" s="531"/>
      <c r="AG452" s="531"/>
    </row>
    <row r="453">
      <c r="B453" s="531"/>
      <c r="C453" s="531"/>
      <c r="D453" s="531"/>
      <c r="E453" s="531"/>
      <c r="F453" s="531"/>
      <c r="G453" s="531"/>
      <c r="H453" s="531"/>
      <c r="I453" s="531"/>
      <c r="J453" s="531"/>
      <c r="K453" s="531"/>
      <c r="L453" s="531"/>
      <c r="M453" s="531"/>
      <c r="N453" s="531"/>
      <c r="O453" s="531"/>
      <c r="P453" s="531"/>
      <c r="Q453" s="531"/>
      <c r="R453" s="531"/>
      <c r="S453" s="532"/>
      <c r="T453" s="532"/>
      <c r="U453" s="532"/>
      <c r="V453" s="532"/>
      <c r="W453" s="532"/>
      <c r="X453" s="532"/>
      <c r="Y453" s="532"/>
      <c r="Z453" s="531"/>
      <c r="AA453" s="531"/>
      <c r="AB453" s="531"/>
      <c r="AC453" s="531"/>
      <c r="AD453" s="531"/>
      <c r="AE453" s="531"/>
      <c r="AF453" s="531"/>
      <c r="AG453" s="531"/>
    </row>
    <row r="454">
      <c r="B454" s="531"/>
      <c r="C454" s="531"/>
      <c r="D454" s="531"/>
      <c r="E454" s="531"/>
      <c r="F454" s="531"/>
      <c r="G454" s="531"/>
      <c r="H454" s="531"/>
      <c r="I454" s="531"/>
      <c r="J454" s="531"/>
      <c r="K454" s="531"/>
      <c r="L454" s="531"/>
      <c r="M454" s="531"/>
      <c r="N454" s="531"/>
      <c r="O454" s="531"/>
      <c r="P454" s="531"/>
      <c r="Q454" s="531"/>
      <c r="R454" s="531"/>
      <c r="S454" s="532"/>
      <c r="T454" s="532"/>
      <c r="U454" s="532"/>
      <c r="V454" s="532"/>
      <c r="W454" s="532"/>
      <c r="X454" s="532"/>
      <c r="Y454" s="532"/>
      <c r="Z454" s="531"/>
      <c r="AA454" s="531"/>
      <c r="AB454" s="531"/>
      <c r="AC454" s="531"/>
      <c r="AD454" s="531"/>
      <c r="AE454" s="531"/>
      <c r="AF454" s="531"/>
      <c r="AG454" s="531"/>
    </row>
    <row r="455">
      <c r="B455" s="531"/>
      <c r="C455" s="531"/>
      <c r="D455" s="531"/>
      <c r="E455" s="531"/>
      <c r="F455" s="531"/>
      <c r="G455" s="531"/>
      <c r="H455" s="531"/>
      <c r="I455" s="531"/>
      <c r="J455" s="531"/>
      <c r="K455" s="531"/>
      <c r="L455" s="531"/>
      <c r="M455" s="531"/>
      <c r="N455" s="531"/>
      <c r="O455" s="531"/>
      <c r="P455" s="531"/>
      <c r="Q455" s="531"/>
      <c r="R455" s="531"/>
      <c r="S455" s="532"/>
      <c r="T455" s="532"/>
      <c r="U455" s="532"/>
      <c r="V455" s="532"/>
      <c r="W455" s="532"/>
      <c r="X455" s="532"/>
      <c r="Y455" s="532"/>
      <c r="Z455" s="531"/>
      <c r="AA455" s="531"/>
      <c r="AB455" s="531"/>
      <c r="AC455" s="531"/>
      <c r="AD455" s="531"/>
      <c r="AE455" s="531"/>
      <c r="AF455" s="531"/>
      <c r="AG455" s="531"/>
    </row>
    <row r="456">
      <c r="B456" s="531"/>
      <c r="C456" s="531"/>
      <c r="D456" s="531"/>
      <c r="E456" s="531"/>
      <c r="F456" s="531"/>
      <c r="G456" s="531"/>
      <c r="H456" s="531"/>
      <c r="I456" s="531"/>
      <c r="J456" s="531"/>
      <c r="K456" s="531"/>
      <c r="L456" s="531"/>
      <c r="M456" s="531"/>
      <c r="N456" s="531"/>
      <c r="O456" s="531"/>
      <c r="P456" s="531"/>
      <c r="Q456" s="531"/>
      <c r="R456" s="531"/>
      <c r="S456" s="532"/>
      <c r="T456" s="532"/>
      <c r="U456" s="532"/>
      <c r="V456" s="532"/>
      <c r="W456" s="532"/>
      <c r="X456" s="532"/>
      <c r="Y456" s="532"/>
      <c r="Z456" s="531"/>
      <c r="AA456" s="531"/>
      <c r="AB456" s="531"/>
      <c r="AC456" s="531"/>
      <c r="AD456" s="531"/>
      <c r="AE456" s="531"/>
      <c r="AF456" s="531"/>
      <c r="AG456" s="531"/>
    </row>
    <row r="457">
      <c r="B457" s="531"/>
      <c r="C457" s="531"/>
      <c r="D457" s="531"/>
      <c r="E457" s="531"/>
      <c r="F457" s="531"/>
      <c r="G457" s="531"/>
      <c r="H457" s="531"/>
      <c r="I457" s="531"/>
      <c r="J457" s="531"/>
      <c r="K457" s="531"/>
      <c r="L457" s="531"/>
      <c r="M457" s="531"/>
      <c r="N457" s="531"/>
      <c r="O457" s="531"/>
      <c r="P457" s="531"/>
      <c r="Q457" s="531"/>
      <c r="R457" s="531"/>
      <c r="S457" s="532"/>
      <c r="T457" s="532"/>
      <c r="U457" s="532"/>
      <c r="V457" s="532"/>
      <c r="W457" s="532"/>
      <c r="X457" s="532"/>
      <c r="Y457" s="532"/>
      <c r="Z457" s="531"/>
      <c r="AA457" s="531"/>
      <c r="AB457" s="531"/>
      <c r="AC457" s="531"/>
      <c r="AD457" s="531"/>
      <c r="AE457" s="531"/>
      <c r="AF457" s="531"/>
      <c r="AG457" s="531"/>
    </row>
    <row r="458">
      <c r="B458" s="531"/>
      <c r="C458" s="531"/>
      <c r="D458" s="531"/>
      <c r="E458" s="531"/>
      <c r="F458" s="531"/>
      <c r="G458" s="531"/>
      <c r="H458" s="531"/>
      <c r="I458" s="531"/>
      <c r="J458" s="531"/>
      <c r="K458" s="531"/>
      <c r="L458" s="531"/>
      <c r="M458" s="531"/>
      <c r="N458" s="531"/>
      <c r="O458" s="531"/>
      <c r="P458" s="531"/>
      <c r="Q458" s="531"/>
      <c r="R458" s="531"/>
      <c r="S458" s="532"/>
      <c r="T458" s="532"/>
      <c r="U458" s="532"/>
      <c r="V458" s="532"/>
      <c r="W458" s="532"/>
      <c r="X458" s="532"/>
      <c r="Y458" s="532"/>
      <c r="Z458" s="531"/>
      <c r="AA458" s="531"/>
      <c r="AB458" s="531"/>
      <c r="AC458" s="531"/>
      <c r="AD458" s="531"/>
      <c r="AE458" s="531"/>
      <c r="AF458" s="531"/>
      <c r="AG458" s="531"/>
    </row>
    <row r="459">
      <c r="B459" s="531"/>
      <c r="C459" s="531"/>
      <c r="D459" s="531"/>
      <c r="E459" s="531"/>
      <c r="F459" s="531"/>
      <c r="G459" s="531"/>
      <c r="H459" s="531"/>
      <c r="I459" s="531"/>
      <c r="J459" s="531"/>
      <c r="K459" s="531"/>
      <c r="L459" s="531"/>
      <c r="M459" s="531"/>
      <c r="N459" s="531"/>
      <c r="O459" s="531"/>
      <c r="P459" s="531"/>
      <c r="Q459" s="531"/>
      <c r="R459" s="531"/>
      <c r="S459" s="532"/>
      <c r="T459" s="532"/>
      <c r="U459" s="532"/>
      <c r="V459" s="532"/>
      <c r="W459" s="532"/>
      <c r="X459" s="532"/>
      <c r="Y459" s="532"/>
      <c r="Z459" s="531"/>
      <c r="AA459" s="531"/>
      <c r="AB459" s="531"/>
      <c r="AC459" s="531"/>
      <c r="AD459" s="531"/>
      <c r="AE459" s="531"/>
      <c r="AF459" s="531"/>
      <c r="AG459" s="531"/>
    </row>
    <row r="460">
      <c r="B460" s="531"/>
      <c r="C460" s="531"/>
      <c r="D460" s="531"/>
      <c r="E460" s="531"/>
      <c r="F460" s="531"/>
      <c r="G460" s="531"/>
      <c r="H460" s="531"/>
      <c r="I460" s="531"/>
      <c r="J460" s="531"/>
      <c r="K460" s="531"/>
      <c r="L460" s="531"/>
      <c r="M460" s="531"/>
      <c r="N460" s="531"/>
      <c r="O460" s="531"/>
      <c r="P460" s="531"/>
      <c r="Q460" s="531"/>
      <c r="R460" s="531"/>
      <c r="S460" s="532"/>
      <c r="T460" s="532"/>
      <c r="U460" s="532"/>
      <c r="V460" s="532"/>
      <c r="W460" s="532"/>
      <c r="X460" s="532"/>
      <c r="Y460" s="532"/>
      <c r="Z460" s="531"/>
      <c r="AA460" s="531"/>
      <c r="AB460" s="531"/>
      <c r="AC460" s="531"/>
      <c r="AD460" s="531"/>
      <c r="AE460" s="531"/>
      <c r="AF460" s="531"/>
      <c r="AG460" s="531"/>
    </row>
    <row r="461">
      <c r="B461" s="531"/>
      <c r="C461" s="531"/>
      <c r="D461" s="531"/>
      <c r="E461" s="531"/>
      <c r="F461" s="531"/>
      <c r="G461" s="531"/>
      <c r="H461" s="531"/>
      <c r="I461" s="531"/>
      <c r="J461" s="531"/>
      <c r="K461" s="531"/>
      <c r="L461" s="531"/>
      <c r="M461" s="531"/>
      <c r="N461" s="531"/>
      <c r="O461" s="531"/>
      <c r="P461" s="531"/>
      <c r="Q461" s="531"/>
      <c r="R461" s="531"/>
      <c r="S461" s="532"/>
      <c r="T461" s="532"/>
      <c r="U461" s="532"/>
      <c r="V461" s="532"/>
      <c r="W461" s="532"/>
      <c r="X461" s="532"/>
      <c r="Y461" s="532"/>
      <c r="Z461" s="531"/>
      <c r="AA461" s="531"/>
      <c r="AB461" s="531"/>
      <c r="AC461" s="531"/>
      <c r="AD461" s="531"/>
      <c r="AE461" s="531"/>
      <c r="AF461" s="531"/>
      <c r="AG461" s="531"/>
    </row>
    <row r="462">
      <c r="B462" s="531"/>
      <c r="C462" s="531"/>
      <c r="D462" s="531"/>
      <c r="E462" s="531"/>
      <c r="F462" s="531"/>
      <c r="G462" s="531"/>
      <c r="H462" s="531"/>
      <c r="I462" s="531"/>
      <c r="J462" s="531"/>
      <c r="K462" s="531"/>
      <c r="L462" s="531"/>
      <c r="M462" s="531"/>
      <c r="N462" s="531"/>
      <c r="O462" s="531"/>
      <c r="P462" s="531"/>
      <c r="Q462" s="531"/>
      <c r="R462" s="531"/>
      <c r="S462" s="532"/>
      <c r="T462" s="532"/>
      <c r="U462" s="532"/>
      <c r="V462" s="532"/>
      <c r="W462" s="532"/>
      <c r="X462" s="532"/>
      <c r="Y462" s="532"/>
      <c r="Z462" s="531"/>
      <c r="AA462" s="531"/>
      <c r="AB462" s="531"/>
      <c r="AC462" s="531"/>
      <c r="AD462" s="531"/>
      <c r="AE462" s="531"/>
      <c r="AF462" s="531"/>
      <c r="AG462" s="531"/>
    </row>
    <row r="463">
      <c r="B463" s="531"/>
      <c r="C463" s="531"/>
      <c r="D463" s="531"/>
      <c r="E463" s="531"/>
      <c r="F463" s="531"/>
      <c r="G463" s="531"/>
      <c r="H463" s="531"/>
      <c r="I463" s="531"/>
      <c r="J463" s="531"/>
      <c r="K463" s="531"/>
      <c r="L463" s="531"/>
      <c r="M463" s="531"/>
      <c r="N463" s="531"/>
      <c r="O463" s="531"/>
      <c r="P463" s="531"/>
      <c r="Q463" s="531"/>
      <c r="R463" s="531"/>
      <c r="S463" s="532"/>
      <c r="T463" s="532"/>
      <c r="U463" s="532"/>
      <c r="V463" s="532"/>
      <c r="W463" s="532"/>
      <c r="X463" s="532"/>
      <c r="Y463" s="532"/>
      <c r="Z463" s="531"/>
      <c r="AA463" s="531"/>
      <c r="AB463" s="531"/>
      <c r="AC463" s="531"/>
      <c r="AD463" s="531"/>
      <c r="AE463" s="531"/>
      <c r="AF463" s="531"/>
      <c r="AG463" s="531"/>
    </row>
    <row r="464">
      <c r="B464" s="531"/>
      <c r="C464" s="531"/>
      <c r="D464" s="531"/>
      <c r="E464" s="531"/>
      <c r="F464" s="531"/>
      <c r="G464" s="531"/>
      <c r="H464" s="531"/>
      <c r="I464" s="531"/>
      <c r="J464" s="531"/>
      <c r="K464" s="531"/>
      <c r="L464" s="531"/>
      <c r="M464" s="531"/>
      <c r="N464" s="531"/>
      <c r="O464" s="531"/>
      <c r="P464" s="531"/>
      <c r="Q464" s="531"/>
      <c r="R464" s="531"/>
      <c r="S464" s="532"/>
      <c r="T464" s="532"/>
      <c r="U464" s="532"/>
      <c r="V464" s="532"/>
      <c r="W464" s="532"/>
      <c r="X464" s="532"/>
      <c r="Y464" s="532"/>
      <c r="Z464" s="531"/>
      <c r="AA464" s="531"/>
      <c r="AB464" s="531"/>
      <c r="AC464" s="531"/>
      <c r="AD464" s="531"/>
      <c r="AE464" s="531"/>
      <c r="AF464" s="531"/>
      <c r="AG464" s="531"/>
    </row>
    <row r="465">
      <c r="B465" s="531"/>
      <c r="C465" s="531"/>
      <c r="D465" s="531"/>
      <c r="E465" s="531"/>
      <c r="F465" s="531"/>
      <c r="G465" s="531"/>
      <c r="H465" s="531"/>
      <c r="I465" s="531"/>
      <c r="J465" s="531"/>
      <c r="K465" s="531"/>
      <c r="L465" s="531"/>
      <c r="M465" s="531"/>
      <c r="N465" s="531"/>
      <c r="O465" s="531"/>
      <c r="P465" s="531"/>
      <c r="Q465" s="531"/>
      <c r="R465" s="531"/>
      <c r="S465" s="532"/>
      <c r="T465" s="532"/>
      <c r="U465" s="532"/>
      <c r="V465" s="532"/>
      <c r="W465" s="532"/>
      <c r="X465" s="532"/>
      <c r="Y465" s="532"/>
      <c r="Z465" s="531"/>
      <c r="AA465" s="531"/>
      <c r="AB465" s="531"/>
      <c r="AC465" s="531"/>
      <c r="AD465" s="531"/>
      <c r="AE465" s="531"/>
      <c r="AF465" s="531"/>
      <c r="AG465" s="531"/>
    </row>
    <row r="466">
      <c r="B466" s="531"/>
      <c r="C466" s="531"/>
      <c r="D466" s="531"/>
      <c r="E466" s="531"/>
      <c r="F466" s="531"/>
      <c r="G466" s="531"/>
      <c r="H466" s="531"/>
      <c r="I466" s="531"/>
      <c r="J466" s="531"/>
      <c r="K466" s="531"/>
      <c r="L466" s="531"/>
      <c r="M466" s="531"/>
      <c r="N466" s="531"/>
      <c r="O466" s="531"/>
      <c r="P466" s="531"/>
      <c r="Q466" s="531"/>
      <c r="R466" s="531"/>
      <c r="S466" s="532"/>
      <c r="T466" s="532"/>
      <c r="U466" s="532"/>
      <c r="V466" s="532"/>
      <c r="W466" s="532"/>
      <c r="X466" s="532"/>
      <c r="Y466" s="532"/>
      <c r="Z466" s="531"/>
      <c r="AA466" s="531"/>
      <c r="AB466" s="531"/>
      <c r="AC466" s="531"/>
      <c r="AD466" s="531"/>
      <c r="AE466" s="531"/>
      <c r="AF466" s="531"/>
      <c r="AG466" s="531"/>
    </row>
    <row r="467">
      <c r="B467" s="531"/>
      <c r="C467" s="531"/>
      <c r="D467" s="531"/>
      <c r="E467" s="531"/>
      <c r="F467" s="531"/>
      <c r="G467" s="531"/>
      <c r="H467" s="531"/>
      <c r="I467" s="531"/>
      <c r="J467" s="531"/>
      <c r="K467" s="531"/>
      <c r="L467" s="531"/>
      <c r="M467" s="531"/>
      <c r="N467" s="531"/>
      <c r="O467" s="531"/>
      <c r="P467" s="531"/>
      <c r="Q467" s="531"/>
      <c r="R467" s="531"/>
      <c r="S467" s="532"/>
      <c r="T467" s="532"/>
      <c r="U467" s="532"/>
      <c r="V467" s="532"/>
      <c r="W467" s="532"/>
      <c r="X467" s="532"/>
      <c r="Y467" s="532"/>
      <c r="Z467" s="531"/>
      <c r="AA467" s="531"/>
      <c r="AB467" s="531"/>
      <c r="AC467" s="531"/>
      <c r="AD467" s="531"/>
      <c r="AE467" s="531"/>
      <c r="AF467" s="531"/>
      <c r="AG467" s="531"/>
    </row>
    <row r="468">
      <c r="B468" s="531"/>
      <c r="C468" s="531"/>
      <c r="D468" s="531"/>
      <c r="E468" s="531"/>
      <c r="F468" s="531"/>
      <c r="G468" s="531"/>
      <c r="H468" s="531"/>
      <c r="I468" s="531"/>
      <c r="J468" s="531"/>
      <c r="K468" s="531"/>
      <c r="L468" s="531"/>
      <c r="M468" s="531"/>
      <c r="N468" s="531"/>
      <c r="O468" s="531"/>
      <c r="P468" s="531"/>
      <c r="Q468" s="531"/>
      <c r="R468" s="531"/>
      <c r="S468" s="532"/>
      <c r="T468" s="532"/>
      <c r="U468" s="532"/>
      <c r="V468" s="532"/>
      <c r="W468" s="532"/>
      <c r="X468" s="532"/>
      <c r="Y468" s="532"/>
      <c r="Z468" s="531"/>
      <c r="AA468" s="531"/>
      <c r="AB468" s="531"/>
      <c r="AC468" s="531"/>
      <c r="AD468" s="531"/>
      <c r="AE468" s="531"/>
      <c r="AF468" s="531"/>
      <c r="AG468" s="531"/>
    </row>
    <row r="469">
      <c r="B469" s="531"/>
      <c r="C469" s="531"/>
      <c r="D469" s="531"/>
      <c r="E469" s="531"/>
      <c r="F469" s="531"/>
      <c r="G469" s="531"/>
      <c r="H469" s="531"/>
      <c r="I469" s="531"/>
      <c r="J469" s="531"/>
      <c r="K469" s="531"/>
      <c r="L469" s="531"/>
      <c r="M469" s="531"/>
      <c r="N469" s="531"/>
      <c r="O469" s="531"/>
      <c r="P469" s="531"/>
      <c r="Q469" s="531"/>
      <c r="R469" s="531"/>
      <c r="S469" s="532"/>
      <c r="T469" s="532"/>
      <c r="U469" s="532"/>
      <c r="V469" s="532"/>
      <c r="W469" s="532"/>
      <c r="X469" s="532"/>
      <c r="Y469" s="532"/>
      <c r="Z469" s="531"/>
      <c r="AA469" s="531"/>
      <c r="AB469" s="531"/>
      <c r="AC469" s="531"/>
      <c r="AD469" s="531"/>
      <c r="AE469" s="531"/>
      <c r="AF469" s="531"/>
      <c r="AG469" s="531"/>
    </row>
    <row r="470">
      <c r="B470" s="531"/>
      <c r="C470" s="531"/>
      <c r="D470" s="531"/>
      <c r="E470" s="531"/>
      <c r="F470" s="531"/>
      <c r="G470" s="531"/>
      <c r="H470" s="531"/>
      <c r="I470" s="531"/>
      <c r="J470" s="531"/>
      <c r="K470" s="531"/>
      <c r="L470" s="531"/>
      <c r="M470" s="531"/>
      <c r="N470" s="531"/>
      <c r="O470" s="531"/>
      <c r="P470" s="531"/>
      <c r="Q470" s="531"/>
      <c r="R470" s="531"/>
      <c r="S470" s="532"/>
      <c r="T470" s="532"/>
      <c r="U470" s="532"/>
      <c r="V470" s="532"/>
      <c r="W470" s="532"/>
      <c r="X470" s="532"/>
      <c r="Y470" s="532"/>
      <c r="Z470" s="531"/>
      <c r="AA470" s="531"/>
      <c r="AB470" s="531"/>
      <c r="AC470" s="531"/>
      <c r="AD470" s="531"/>
      <c r="AE470" s="531"/>
      <c r="AF470" s="531"/>
      <c r="AG470" s="531"/>
    </row>
    <row r="471">
      <c r="B471" s="531"/>
      <c r="C471" s="531"/>
      <c r="D471" s="531"/>
      <c r="E471" s="531"/>
      <c r="F471" s="531"/>
      <c r="G471" s="531"/>
      <c r="H471" s="531"/>
      <c r="I471" s="531"/>
      <c r="J471" s="531"/>
      <c r="K471" s="531"/>
      <c r="L471" s="531"/>
      <c r="M471" s="531"/>
      <c r="N471" s="531"/>
      <c r="O471" s="531"/>
      <c r="P471" s="531"/>
      <c r="Q471" s="531"/>
      <c r="R471" s="531"/>
      <c r="S471" s="532"/>
      <c r="T471" s="532"/>
      <c r="U471" s="532"/>
      <c r="V471" s="532"/>
      <c r="W471" s="532"/>
      <c r="X471" s="532"/>
      <c r="Y471" s="532"/>
      <c r="Z471" s="531"/>
      <c r="AA471" s="531"/>
      <c r="AB471" s="531"/>
      <c r="AC471" s="531"/>
      <c r="AD471" s="531"/>
      <c r="AE471" s="531"/>
      <c r="AF471" s="531"/>
      <c r="AG471" s="531"/>
    </row>
    <row r="472">
      <c r="B472" s="531"/>
      <c r="C472" s="531"/>
      <c r="D472" s="531"/>
      <c r="E472" s="531"/>
      <c r="F472" s="531"/>
      <c r="G472" s="531"/>
      <c r="H472" s="531"/>
      <c r="I472" s="531"/>
      <c r="J472" s="531"/>
      <c r="K472" s="531"/>
      <c r="L472" s="531"/>
      <c r="M472" s="531"/>
      <c r="N472" s="531"/>
      <c r="O472" s="531"/>
      <c r="P472" s="531"/>
      <c r="Q472" s="531"/>
      <c r="R472" s="531"/>
      <c r="S472" s="532"/>
      <c r="T472" s="532"/>
      <c r="U472" s="532"/>
      <c r="V472" s="532"/>
      <c r="W472" s="532"/>
      <c r="X472" s="532"/>
      <c r="Y472" s="532"/>
      <c r="Z472" s="531"/>
      <c r="AA472" s="531"/>
      <c r="AB472" s="531"/>
      <c r="AC472" s="531"/>
      <c r="AD472" s="531"/>
      <c r="AE472" s="531"/>
      <c r="AF472" s="531"/>
      <c r="AG472" s="531"/>
    </row>
    <row r="473">
      <c r="B473" s="531"/>
      <c r="C473" s="531"/>
      <c r="D473" s="531"/>
      <c r="E473" s="531"/>
      <c r="F473" s="531"/>
      <c r="G473" s="531"/>
      <c r="H473" s="531"/>
      <c r="I473" s="531"/>
      <c r="J473" s="531"/>
      <c r="K473" s="531"/>
      <c r="L473" s="531"/>
      <c r="M473" s="531"/>
      <c r="N473" s="531"/>
      <c r="O473" s="531"/>
      <c r="P473" s="531"/>
      <c r="Q473" s="531"/>
      <c r="R473" s="531"/>
      <c r="S473" s="532"/>
      <c r="T473" s="532"/>
      <c r="U473" s="532"/>
      <c r="V473" s="532"/>
      <c r="W473" s="532"/>
      <c r="X473" s="532"/>
      <c r="Y473" s="532"/>
      <c r="Z473" s="531"/>
      <c r="AA473" s="531"/>
      <c r="AB473" s="531"/>
      <c r="AC473" s="531"/>
      <c r="AD473" s="531"/>
      <c r="AE473" s="531"/>
      <c r="AF473" s="531"/>
      <c r="AG473" s="531"/>
    </row>
    <row r="474">
      <c r="B474" s="531"/>
      <c r="C474" s="531"/>
      <c r="D474" s="531"/>
      <c r="E474" s="531"/>
      <c r="F474" s="531"/>
      <c r="G474" s="531"/>
      <c r="H474" s="531"/>
      <c r="I474" s="531"/>
      <c r="J474" s="531"/>
      <c r="K474" s="531"/>
      <c r="L474" s="531"/>
      <c r="M474" s="531"/>
      <c r="N474" s="531"/>
      <c r="O474" s="531"/>
      <c r="P474" s="531"/>
      <c r="Q474" s="531"/>
      <c r="R474" s="531"/>
      <c r="S474" s="532"/>
      <c r="T474" s="532"/>
      <c r="U474" s="532"/>
      <c r="V474" s="532"/>
      <c r="W474" s="532"/>
      <c r="X474" s="532"/>
      <c r="Y474" s="532"/>
      <c r="Z474" s="531"/>
      <c r="AA474" s="531"/>
      <c r="AB474" s="531"/>
      <c r="AC474" s="531"/>
      <c r="AD474" s="531"/>
      <c r="AE474" s="531"/>
      <c r="AF474" s="531"/>
      <c r="AG474" s="531"/>
    </row>
    <row r="475">
      <c r="B475" s="531"/>
      <c r="C475" s="531"/>
      <c r="D475" s="531"/>
      <c r="E475" s="531"/>
      <c r="F475" s="531"/>
      <c r="G475" s="531"/>
      <c r="H475" s="531"/>
      <c r="I475" s="531"/>
      <c r="J475" s="531"/>
      <c r="K475" s="531"/>
      <c r="L475" s="531"/>
      <c r="M475" s="531"/>
      <c r="N475" s="531"/>
      <c r="O475" s="531"/>
      <c r="P475" s="531"/>
      <c r="Q475" s="531"/>
      <c r="R475" s="531"/>
      <c r="S475" s="532"/>
      <c r="T475" s="532"/>
      <c r="U475" s="532"/>
      <c r="V475" s="532"/>
      <c r="W475" s="532"/>
      <c r="X475" s="532"/>
      <c r="Y475" s="532"/>
      <c r="Z475" s="531"/>
      <c r="AA475" s="531"/>
      <c r="AB475" s="531"/>
      <c r="AC475" s="531"/>
      <c r="AD475" s="531"/>
      <c r="AE475" s="531"/>
      <c r="AF475" s="531"/>
      <c r="AG475" s="531"/>
    </row>
    <row r="476">
      <c r="B476" s="531"/>
      <c r="C476" s="531"/>
      <c r="D476" s="531"/>
      <c r="E476" s="531"/>
      <c r="F476" s="531"/>
      <c r="G476" s="531"/>
      <c r="H476" s="531"/>
      <c r="I476" s="531"/>
      <c r="J476" s="531"/>
      <c r="K476" s="531"/>
      <c r="L476" s="531"/>
      <c r="M476" s="531"/>
      <c r="N476" s="531"/>
      <c r="O476" s="531"/>
      <c r="P476" s="531"/>
      <c r="Q476" s="531"/>
      <c r="R476" s="531"/>
      <c r="S476" s="532"/>
      <c r="T476" s="532"/>
      <c r="U476" s="532"/>
      <c r="V476" s="532"/>
      <c r="W476" s="532"/>
      <c r="X476" s="532"/>
      <c r="Y476" s="532"/>
      <c r="Z476" s="531"/>
      <c r="AA476" s="531"/>
      <c r="AB476" s="531"/>
      <c r="AC476" s="531"/>
      <c r="AD476" s="531"/>
      <c r="AE476" s="531"/>
      <c r="AF476" s="531"/>
      <c r="AG476" s="531"/>
    </row>
    <row r="477">
      <c r="B477" s="531"/>
      <c r="C477" s="531"/>
      <c r="D477" s="531"/>
      <c r="E477" s="531"/>
      <c r="F477" s="531"/>
      <c r="G477" s="531"/>
      <c r="H477" s="531"/>
      <c r="I477" s="531"/>
      <c r="J477" s="531"/>
      <c r="K477" s="531"/>
      <c r="L477" s="531"/>
      <c r="M477" s="531"/>
      <c r="N477" s="531"/>
      <c r="O477" s="531"/>
      <c r="P477" s="531"/>
      <c r="Q477" s="531"/>
      <c r="R477" s="531"/>
      <c r="S477" s="532"/>
      <c r="T477" s="532"/>
      <c r="U477" s="532"/>
      <c r="V477" s="532"/>
      <c r="W477" s="532"/>
      <c r="X477" s="532"/>
      <c r="Y477" s="532"/>
      <c r="Z477" s="531"/>
      <c r="AA477" s="531"/>
      <c r="AB477" s="531"/>
      <c r="AC477" s="531"/>
      <c r="AD477" s="531"/>
      <c r="AE477" s="531"/>
      <c r="AF477" s="531"/>
      <c r="AG477" s="531"/>
    </row>
    <row r="478">
      <c r="B478" s="531"/>
      <c r="C478" s="531"/>
      <c r="D478" s="531"/>
      <c r="E478" s="531"/>
      <c r="F478" s="531"/>
      <c r="G478" s="531"/>
      <c r="H478" s="531"/>
      <c r="I478" s="531"/>
      <c r="J478" s="531"/>
      <c r="K478" s="531"/>
      <c r="L478" s="531"/>
      <c r="M478" s="531"/>
      <c r="N478" s="531"/>
      <c r="O478" s="531"/>
      <c r="P478" s="531"/>
      <c r="Q478" s="531"/>
      <c r="R478" s="531"/>
      <c r="S478" s="532"/>
      <c r="T478" s="532"/>
      <c r="U478" s="532"/>
      <c r="V478" s="532"/>
      <c r="W478" s="532"/>
      <c r="X478" s="532"/>
      <c r="Y478" s="532"/>
      <c r="Z478" s="531"/>
      <c r="AA478" s="531"/>
      <c r="AB478" s="531"/>
      <c r="AC478" s="531"/>
      <c r="AD478" s="531"/>
      <c r="AE478" s="531"/>
      <c r="AF478" s="531"/>
      <c r="AG478" s="531"/>
    </row>
    <row r="479">
      <c r="B479" s="531"/>
      <c r="C479" s="531"/>
      <c r="D479" s="531"/>
      <c r="E479" s="531"/>
      <c r="F479" s="531"/>
      <c r="G479" s="531"/>
      <c r="H479" s="531"/>
      <c r="I479" s="531"/>
      <c r="J479" s="531"/>
      <c r="K479" s="531"/>
      <c r="L479" s="531"/>
      <c r="M479" s="531"/>
      <c r="N479" s="531"/>
      <c r="O479" s="531"/>
      <c r="P479" s="531"/>
      <c r="Q479" s="531"/>
      <c r="R479" s="531"/>
      <c r="S479" s="532"/>
      <c r="T479" s="532"/>
      <c r="U479" s="532"/>
      <c r="V479" s="532"/>
      <c r="W479" s="532"/>
      <c r="X479" s="532"/>
      <c r="Y479" s="532"/>
      <c r="Z479" s="531"/>
      <c r="AA479" s="531"/>
      <c r="AB479" s="531"/>
      <c r="AC479" s="531"/>
      <c r="AD479" s="531"/>
      <c r="AE479" s="531"/>
      <c r="AF479" s="531"/>
      <c r="AG479" s="531"/>
    </row>
    <row r="480">
      <c r="B480" s="531"/>
      <c r="C480" s="531"/>
      <c r="D480" s="531"/>
      <c r="E480" s="531"/>
      <c r="F480" s="531"/>
      <c r="G480" s="531"/>
      <c r="H480" s="531"/>
      <c r="I480" s="531"/>
      <c r="J480" s="531"/>
      <c r="K480" s="531"/>
      <c r="L480" s="531"/>
      <c r="M480" s="531"/>
      <c r="N480" s="531"/>
      <c r="O480" s="531"/>
      <c r="P480" s="531"/>
      <c r="Q480" s="531"/>
      <c r="R480" s="531"/>
      <c r="S480" s="532"/>
      <c r="T480" s="532"/>
      <c r="U480" s="532"/>
      <c r="V480" s="532"/>
      <c r="W480" s="532"/>
      <c r="X480" s="532"/>
      <c r="Y480" s="532"/>
      <c r="Z480" s="531"/>
      <c r="AA480" s="531"/>
      <c r="AB480" s="531"/>
      <c r="AC480" s="531"/>
      <c r="AD480" s="531"/>
      <c r="AE480" s="531"/>
      <c r="AF480" s="531"/>
      <c r="AG480" s="531"/>
    </row>
    <row r="481">
      <c r="B481" s="531"/>
      <c r="C481" s="531"/>
      <c r="D481" s="531"/>
      <c r="E481" s="531"/>
      <c r="F481" s="531"/>
      <c r="G481" s="531"/>
      <c r="H481" s="531"/>
      <c r="I481" s="531"/>
      <c r="J481" s="531"/>
      <c r="K481" s="531"/>
      <c r="L481" s="531"/>
      <c r="M481" s="531"/>
      <c r="N481" s="531"/>
      <c r="O481" s="531"/>
      <c r="P481" s="531"/>
      <c r="Q481" s="531"/>
      <c r="R481" s="531"/>
      <c r="S481" s="532"/>
      <c r="T481" s="532"/>
      <c r="U481" s="532"/>
      <c r="V481" s="532"/>
      <c r="W481" s="532"/>
      <c r="X481" s="532"/>
      <c r="Y481" s="532"/>
      <c r="Z481" s="531"/>
      <c r="AA481" s="531"/>
      <c r="AB481" s="531"/>
      <c r="AC481" s="531"/>
      <c r="AD481" s="531"/>
      <c r="AE481" s="531"/>
      <c r="AF481" s="531"/>
      <c r="AG481" s="531"/>
    </row>
    <row r="482">
      <c r="B482" s="531"/>
      <c r="C482" s="531"/>
      <c r="D482" s="531"/>
      <c r="E482" s="531"/>
      <c r="F482" s="531"/>
      <c r="G482" s="531"/>
      <c r="H482" s="531"/>
      <c r="I482" s="531"/>
      <c r="J482" s="531"/>
      <c r="K482" s="531"/>
      <c r="L482" s="531"/>
      <c r="M482" s="531"/>
      <c r="N482" s="531"/>
      <c r="O482" s="531"/>
      <c r="P482" s="531"/>
      <c r="Q482" s="531"/>
      <c r="R482" s="531"/>
      <c r="S482" s="532"/>
      <c r="T482" s="532"/>
      <c r="U482" s="532"/>
      <c r="V482" s="532"/>
      <c r="W482" s="532"/>
      <c r="X482" s="532"/>
      <c r="Y482" s="532"/>
      <c r="Z482" s="531"/>
      <c r="AA482" s="531"/>
      <c r="AB482" s="531"/>
      <c r="AC482" s="531"/>
      <c r="AD482" s="531"/>
      <c r="AE482" s="531"/>
      <c r="AF482" s="531"/>
      <c r="AG482" s="531"/>
    </row>
    <row r="483">
      <c r="B483" s="531"/>
      <c r="C483" s="531"/>
      <c r="D483" s="531"/>
      <c r="E483" s="531"/>
      <c r="F483" s="531"/>
      <c r="G483" s="531"/>
      <c r="H483" s="531"/>
      <c r="I483" s="531"/>
      <c r="J483" s="531"/>
      <c r="K483" s="531"/>
      <c r="L483" s="531"/>
      <c r="M483" s="531"/>
      <c r="N483" s="531"/>
      <c r="O483" s="531"/>
      <c r="P483" s="531"/>
      <c r="Q483" s="531"/>
      <c r="R483" s="531"/>
      <c r="S483" s="532"/>
      <c r="T483" s="532"/>
      <c r="U483" s="532"/>
      <c r="V483" s="532"/>
      <c r="W483" s="532"/>
      <c r="X483" s="532"/>
      <c r="Y483" s="532"/>
      <c r="Z483" s="531"/>
      <c r="AA483" s="531"/>
      <c r="AB483" s="531"/>
      <c r="AC483" s="531"/>
      <c r="AD483" s="531"/>
      <c r="AE483" s="531"/>
      <c r="AF483" s="531"/>
      <c r="AG483" s="531"/>
    </row>
    <row r="484">
      <c r="B484" s="531"/>
      <c r="C484" s="531"/>
      <c r="D484" s="531"/>
      <c r="E484" s="531"/>
      <c r="F484" s="531"/>
      <c r="G484" s="531"/>
      <c r="H484" s="531"/>
      <c r="I484" s="531"/>
      <c r="J484" s="531"/>
      <c r="K484" s="531"/>
      <c r="L484" s="531"/>
      <c r="M484" s="531"/>
      <c r="N484" s="531"/>
      <c r="O484" s="531"/>
      <c r="P484" s="531"/>
      <c r="Q484" s="531"/>
      <c r="R484" s="531"/>
      <c r="S484" s="532"/>
      <c r="T484" s="532"/>
      <c r="U484" s="532"/>
      <c r="V484" s="532"/>
      <c r="W484" s="532"/>
      <c r="X484" s="532"/>
      <c r="Y484" s="532"/>
      <c r="Z484" s="531"/>
      <c r="AA484" s="531"/>
      <c r="AB484" s="531"/>
      <c r="AC484" s="531"/>
      <c r="AD484" s="531"/>
      <c r="AE484" s="531"/>
      <c r="AF484" s="531"/>
      <c r="AG484" s="531"/>
    </row>
    <row r="485">
      <c r="B485" s="531"/>
      <c r="C485" s="531"/>
      <c r="D485" s="531"/>
      <c r="E485" s="531"/>
      <c r="F485" s="531"/>
      <c r="G485" s="531"/>
      <c r="H485" s="531"/>
      <c r="I485" s="531"/>
      <c r="J485" s="531"/>
      <c r="K485" s="531"/>
      <c r="L485" s="531"/>
      <c r="M485" s="531"/>
      <c r="N485" s="531"/>
      <c r="O485" s="531"/>
      <c r="P485" s="531"/>
      <c r="Q485" s="531"/>
      <c r="R485" s="531"/>
      <c r="S485" s="532"/>
      <c r="T485" s="532"/>
      <c r="U485" s="532"/>
      <c r="V485" s="532"/>
      <c r="W485" s="532"/>
      <c r="X485" s="532"/>
      <c r="Y485" s="532"/>
      <c r="Z485" s="531"/>
      <c r="AA485" s="531"/>
      <c r="AB485" s="531"/>
      <c r="AC485" s="531"/>
      <c r="AD485" s="531"/>
      <c r="AE485" s="531"/>
      <c r="AF485" s="531"/>
      <c r="AG485" s="531"/>
    </row>
    <row r="486">
      <c r="B486" s="531"/>
      <c r="C486" s="531"/>
      <c r="D486" s="531"/>
      <c r="E486" s="531"/>
      <c r="F486" s="531"/>
      <c r="G486" s="531"/>
      <c r="H486" s="531"/>
      <c r="I486" s="531"/>
      <c r="J486" s="531"/>
      <c r="K486" s="531"/>
      <c r="L486" s="531"/>
      <c r="M486" s="531"/>
      <c r="N486" s="531"/>
      <c r="O486" s="531"/>
      <c r="P486" s="531"/>
      <c r="Q486" s="531"/>
      <c r="R486" s="531"/>
      <c r="S486" s="532"/>
      <c r="T486" s="532"/>
      <c r="U486" s="532"/>
      <c r="V486" s="532"/>
      <c r="W486" s="532"/>
      <c r="X486" s="532"/>
      <c r="Y486" s="532"/>
      <c r="Z486" s="531"/>
      <c r="AA486" s="531"/>
      <c r="AB486" s="531"/>
      <c r="AC486" s="531"/>
      <c r="AD486" s="531"/>
      <c r="AE486" s="531"/>
      <c r="AF486" s="531"/>
      <c r="AG486" s="531"/>
    </row>
    <row r="487">
      <c r="B487" s="531"/>
      <c r="C487" s="531"/>
      <c r="D487" s="531"/>
      <c r="E487" s="531"/>
      <c r="F487" s="531"/>
      <c r="G487" s="531"/>
      <c r="H487" s="531"/>
      <c r="I487" s="531"/>
      <c r="J487" s="531"/>
      <c r="K487" s="531"/>
      <c r="L487" s="531"/>
      <c r="M487" s="531"/>
      <c r="N487" s="531"/>
      <c r="O487" s="531"/>
      <c r="P487" s="531"/>
      <c r="Q487" s="531"/>
      <c r="R487" s="531"/>
      <c r="S487" s="532"/>
      <c r="T487" s="532"/>
      <c r="U487" s="532"/>
      <c r="V487" s="532"/>
      <c r="W487" s="532"/>
      <c r="X487" s="532"/>
      <c r="Y487" s="532"/>
      <c r="Z487" s="531"/>
      <c r="AA487" s="531"/>
      <c r="AB487" s="531"/>
      <c r="AC487" s="531"/>
      <c r="AD487" s="531"/>
      <c r="AE487" s="531"/>
      <c r="AF487" s="531"/>
      <c r="AG487" s="531"/>
    </row>
    <row r="488">
      <c r="B488" s="531"/>
      <c r="C488" s="531"/>
      <c r="D488" s="531"/>
      <c r="E488" s="531"/>
      <c r="F488" s="531"/>
      <c r="G488" s="531"/>
      <c r="H488" s="531"/>
      <c r="I488" s="531"/>
      <c r="J488" s="531"/>
      <c r="K488" s="531"/>
      <c r="L488" s="531"/>
      <c r="M488" s="531"/>
      <c r="N488" s="531"/>
      <c r="O488" s="531"/>
      <c r="P488" s="531"/>
      <c r="Q488" s="531"/>
      <c r="R488" s="531"/>
      <c r="S488" s="532"/>
      <c r="T488" s="532"/>
      <c r="U488" s="532"/>
      <c r="V488" s="532"/>
      <c r="W488" s="532"/>
      <c r="X488" s="532"/>
      <c r="Y488" s="532"/>
      <c r="Z488" s="531"/>
      <c r="AA488" s="531"/>
      <c r="AB488" s="531"/>
      <c r="AC488" s="531"/>
      <c r="AD488" s="531"/>
      <c r="AE488" s="531"/>
      <c r="AF488" s="531"/>
      <c r="AG488" s="531"/>
    </row>
    <row r="489">
      <c r="B489" s="531"/>
      <c r="C489" s="531"/>
      <c r="D489" s="531"/>
      <c r="E489" s="531"/>
      <c r="F489" s="531"/>
      <c r="G489" s="531"/>
      <c r="H489" s="531"/>
      <c r="I489" s="531"/>
      <c r="J489" s="531"/>
      <c r="K489" s="531"/>
      <c r="L489" s="531"/>
      <c r="M489" s="531"/>
      <c r="N489" s="531"/>
      <c r="O489" s="531"/>
      <c r="P489" s="531"/>
      <c r="Q489" s="531"/>
      <c r="R489" s="531"/>
      <c r="S489" s="532"/>
      <c r="T489" s="532"/>
      <c r="U489" s="532"/>
      <c r="V489" s="532"/>
      <c r="W489" s="532"/>
      <c r="X489" s="532"/>
      <c r="Y489" s="532"/>
      <c r="Z489" s="531"/>
      <c r="AA489" s="531"/>
      <c r="AB489" s="531"/>
      <c r="AC489" s="531"/>
      <c r="AD489" s="531"/>
      <c r="AE489" s="531"/>
      <c r="AF489" s="531"/>
      <c r="AG489" s="531"/>
    </row>
    <row r="490">
      <c r="B490" s="531"/>
      <c r="C490" s="531"/>
      <c r="D490" s="531"/>
      <c r="E490" s="531"/>
      <c r="F490" s="531"/>
      <c r="G490" s="531"/>
      <c r="H490" s="531"/>
      <c r="I490" s="531"/>
      <c r="J490" s="531"/>
      <c r="K490" s="531"/>
      <c r="L490" s="531"/>
      <c r="M490" s="531"/>
      <c r="N490" s="531"/>
      <c r="O490" s="531"/>
      <c r="P490" s="531"/>
      <c r="Q490" s="531"/>
      <c r="R490" s="531"/>
      <c r="S490" s="532"/>
      <c r="T490" s="532"/>
      <c r="U490" s="532"/>
      <c r="V490" s="532"/>
      <c r="W490" s="532"/>
      <c r="X490" s="532"/>
      <c r="Y490" s="532"/>
      <c r="Z490" s="531"/>
      <c r="AA490" s="531"/>
      <c r="AB490" s="531"/>
      <c r="AC490" s="531"/>
      <c r="AD490" s="531"/>
      <c r="AE490" s="531"/>
      <c r="AF490" s="531"/>
      <c r="AG490" s="531"/>
    </row>
    <row r="491">
      <c r="B491" s="531"/>
      <c r="C491" s="531"/>
      <c r="D491" s="531"/>
      <c r="E491" s="531"/>
      <c r="F491" s="531"/>
      <c r="G491" s="531"/>
      <c r="H491" s="531"/>
      <c r="I491" s="531"/>
      <c r="J491" s="531"/>
      <c r="K491" s="531"/>
      <c r="L491" s="531"/>
      <c r="M491" s="531"/>
      <c r="N491" s="531"/>
      <c r="O491" s="531"/>
      <c r="P491" s="531"/>
      <c r="Q491" s="531"/>
      <c r="R491" s="531"/>
      <c r="S491" s="532"/>
      <c r="T491" s="532"/>
      <c r="U491" s="532"/>
      <c r="V491" s="532"/>
      <c r="W491" s="532"/>
      <c r="X491" s="532"/>
      <c r="Y491" s="532"/>
      <c r="Z491" s="531"/>
      <c r="AA491" s="531"/>
      <c r="AB491" s="531"/>
      <c r="AC491" s="531"/>
      <c r="AD491" s="531"/>
      <c r="AE491" s="531"/>
      <c r="AF491" s="531"/>
      <c r="AG491" s="531"/>
    </row>
    <row r="492">
      <c r="B492" s="531"/>
      <c r="C492" s="531"/>
      <c r="D492" s="531"/>
      <c r="E492" s="531"/>
      <c r="F492" s="531"/>
      <c r="G492" s="531"/>
      <c r="H492" s="531"/>
      <c r="I492" s="531"/>
      <c r="J492" s="531"/>
      <c r="K492" s="531"/>
      <c r="L492" s="531"/>
      <c r="M492" s="531"/>
      <c r="N492" s="531"/>
      <c r="O492" s="531"/>
      <c r="P492" s="531"/>
      <c r="Q492" s="531"/>
      <c r="R492" s="531"/>
      <c r="S492" s="532"/>
      <c r="T492" s="532"/>
      <c r="U492" s="532"/>
      <c r="V492" s="532"/>
      <c r="W492" s="532"/>
      <c r="X492" s="532"/>
      <c r="Y492" s="532"/>
      <c r="Z492" s="531"/>
      <c r="AA492" s="531"/>
      <c r="AB492" s="531"/>
      <c r="AC492" s="531"/>
      <c r="AD492" s="531"/>
      <c r="AE492" s="531"/>
      <c r="AF492" s="531"/>
      <c r="AG492" s="531"/>
    </row>
    <row r="493">
      <c r="B493" s="531"/>
      <c r="C493" s="531"/>
      <c r="D493" s="531"/>
      <c r="E493" s="531"/>
      <c r="F493" s="531"/>
      <c r="G493" s="531"/>
      <c r="H493" s="531"/>
      <c r="I493" s="531"/>
      <c r="J493" s="531"/>
      <c r="K493" s="531"/>
      <c r="L493" s="531"/>
      <c r="M493" s="531"/>
      <c r="N493" s="531"/>
      <c r="O493" s="531"/>
      <c r="P493" s="531"/>
      <c r="Q493" s="531"/>
      <c r="R493" s="531"/>
      <c r="S493" s="532"/>
      <c r="T493" s="532"/>
      <c r="U493" s="532"/>
      <c r="V493" s="532"/>
      <c r="W493" s="532"/>
      <c r="X493" s="532"/>
      <c r="Y493" s="532"/>
      <c r="Z493" s="531"/>
      <c r="AA493" s="531"/>
      <c r="AB493" s="531"/>
      <c r="AC493" s="531"/>
      <c r="AD493" s="531"/>
      <c r="AE493" s="531"/>
      <c r="AF493" s="531"/>
      <c r="AG493" s="531"/>
    </row>
    <row r="494">
      <c r="B494" s="531"/>
      <c r="C494" s="531"/>
      <c r="D494" s="531"/>
      <c r="E494" s="531"/>
      <c r="F494" s="531"/>
      <c r="G494" s="531"/>
      <c r="H494" s="531"/>
      <c r="I494" s="531"/>
      <c r="J494" s="531"/>
      <c r="K494" s="531"/>
      <c r="L494" s="531"/>
      <c r="M494" s="531"/>
      <c r="N494" s="531"/>
      <c r="O494" s="531"/>
      <c r="P494" s="531"/>
      <c r="Q494" s="531"/>
      <c r="R494" s="531"/>
      <c r="S494" s="532"/>
      <c r="T494" s="532"/>
      <c r="U494" s="532"/>
      <c r="V494" s="532"/>
      <c r="W494" s="532"/>
      <c r="X494" s="532"/>
      <c r="Y494" s="532"/>
      <c r="Z494" s="531"/>
      <c r="AA494" s="531"/>
      <c r="AB494" s="531"/>
      <c r="AC494" s="531"/>
      <c r="AD494" s="531"/>
      <c r="AE494" s="531"/>
      <c r="AF494" s="531"/>
      <c r="AG494" s="531"/>
    </row>
    <row r="495">
      <c r="B495" s="531"/>
      <c r="C495" s="531"/>
      <c r="D495" s="531"/>
      <c r="E495" s="531"/>
      <c r="F495" s="531"/>
      <c r="G495" s="531"/>
      <c r="H495" s="531"/>
      <c r="I495" s="531"/>
      <c r="J495" s="531"/>
      <c r="K495" s="531"/>
      <c r="L495" s="531"/>
      <c r="M495" s="531"/>
      <c r="N495" s="531"/>
      <c r="O495" s="531"/>
      <c r="P495" s="531"/>
      <c r="Q495" s="531"/>
      <c r="R495" s="531"/>
      <c r="S495" s="532"/>
      <c r="T495" s="532"/>
      <c r="U495" s="532"/>
      <c r="V495" s="532"/>
      <c r="W495" s="532"/>
      <c r="X495" s="532"/>
      <c r="Y495" s="532"/>
      <c r="Z495" s="531"/>
      <c r="AA495" s="531"/>
      <c r="AB495" s="531"/>
      <c r="AC495" s="531"/>
      <c r="AD495" s="531"/>
      <c r="AE495" s="531"/>
      <c r="AF495" s="531"/>
      <c r="AG495" s="531"/>
    </row>
    <row r="496">
      <c r="B496" s="531"/>
      <c r="C496" s="531"/>
      <c r="D496" s="531"/>
      <c r="E496" s="531"/>
      <c r="F496" s="531"/>
      <c r="G496" s="531"/>
      <c r="H496" s="531"/>
      <c r="I496" s="531"/>
      <c r="J496" s="531"/>
      <c r="K496" s="531"/>
      <c r="L496" s="531"/>
      <c r="M496" s="531"/>
      <c r="N496" s="531"/>
      <c r="O496" s="531"/>
      <c r="P496" s="531"/>
      <c r="Q496" s="531"/>
      <c r="R496" s="531"/>
      <c r="S496" s="532"/>
      <c r="T496" s="532"/>
      <c r="U496" s="532"/>
      <c r="V496" s="532"/>
      <c r="W496" s="532"/>
      <c r="X496" s="532"/>
      <c r="Y496" s="532"/>
      <c r="Z496" s="531"/>
      <c r="AA496" s="531"/>
      <c r="AB496" s="531"/>
      <c r="AC496" s="531"/>
      <c r="AD496" s="531"/>
      <c r="AE496" s="531"/>
      <c r="AF496" s="531"/>
      <c r="AG496" s="531"/>
    </row>
    <row r="497">
      <c r="B497" s="531"/>
      <c r="C497" s="531"/>
      <c r="D497" s="531"/>
      <c r="E497" s="531"/>
      <c r="F497" s="531"/>
      <c r="G497" s="531"/>
      <c r="H497" s="531"/>
      <c r="I497" s="531"/>
      <c r="J497" s="531"/>
      <c r="K497" s="531"/>
      <c r="L497" s="531"/>
      <c r="M497" s="531"/>
      <c r="N497" s="531"/>
      <c r="O497" s="531"/>
      <c r="P497" s="531"/>
      <c r="Q497" s="531"/>
      <c r="R497" s="531"/>
      <c r="S497" s="532"/>
      <c r="T497" s="532"/>
      <c r="U497" s="532"/>
      <c r="V497" s="532"/>
      <c r="W497" s="532"/>
      <c r="X497" s="532"/>
      <c r="Y497" s="532"/>
      <c r="Z497" s="531"/>
      <c r="AA497" s="531"/>
      <c r="AB497" s="531"/>
      <c r="AC497" s="531"/>
      <c r="AD497" s="531"/>
      <c r="AE497" s="531"/>
      <c r="AF497" s="531"/>
      <c r="AG497" s="531"/>
    </row>
    <row r="498">
      <c r="B498" s="531"/>
      <c r="C498" s="531"/>
      <c r="D498" s="531"/>
      <c r="E498" s="531"/>
      <c r="F498" s="531"/>
      <c r="G498" s="531"/>
      <c r="H498" s="531"/>
      <c r="I498" s="531"/>
      <c r="J498" s="531"/>
      <c r="K498" s="531"/>
      <c r="L498" s="531"/>
      <c r="M498" s="531"/>
      <c r="N498" s="531"/>
      <c r="O498" s="531"/>
      <c r="P498" s="531"/>
      <c r="Q498" s="531"/>
      <c r="R498" s="531"/>
      <c r="S498" s="532"/>
      <c r="T498" s="532"/>
      <c r="U498" s="532"/>
      <c r="V498" s="532"/>
      <c r="W498" s="532"/>
      <c r="X498" s="532"/>
      <c r="Y498" s="532"/>
      <c r="Z498" s="531"/>
      <c r="AA498" s="531"/>
      <c r="AB498" s="531"/>
      <c r="AC498" s="531"/>
      <c r="AD498" s="531"/>
      <c r="AE498" s="531"/>
      <c r="AF498" s="531"/>
      <c r="AG498" s="531"/>
    </row>
    <row r="499">
      <c r="B499" s="531"/>
      <c r="C499" s="531"/>
      <c r="D499" s="531"/>
      <c r="E499" s="531"/>
      <c r="F499" s="531"/>
      <c r="G499" s="531"/>
      <c r="H499" s="531"/>
      <c r="I499" s="531"/>
      <c r="J499" s="531"/>
      <c r="K499" s="531"/>
      <c r="L499" s="531"/>
      <c r="M499" s="531"/>
      <c r="N499" s="531"/>
      <c r="O499" s="531"/>
      <c r="P499" s="531"/>
      <c r="Q499" s="531"/>
      <c r="R499" s="531"/>
      <c r="S499" s="532"/>
      <c r="T499" s="532"/>
      <c r="U499" s="532"/>
      <c r="V499" s="532"/>
      <c r="W499" s="532"/>
      <c r="X499" s="532"/>
      <c r="Y499" s="532"/>
      <c r="Z499" s="531"/>
      <c r="AA499" s="531"/>
      <c r="AB499" s="531"/>
      <c r="AC499" s="531"/>
      <c r="AD499" s="531"/>
      <c r="AE499" s="531"/>
      <c r="AF499" s="531"/>
      <c r="AG499" s="531"/>
    </row>
    <row r="500">
      <c r="B500" s="531"/>
      <c r="C500" s="531"/>
      <c r="D500" s="531"/>
      <c r="E500" s="531"/>
      <c r="F500" s="531"/>
      <c r="G500" s="531"/>
      <c r="H500" s="531"/>
      <c r="I500" s="531"/>
      <c r="J500" s="531"/>
      <c r="K500" s="531"/>
      <c r="L500" s="531"/>
      <c r="M500" s="531"/>
      <c r="N500" s="531"/>
      <c r="O500" s="531"/>
      <c r="P500" s="531"/>
      <c r="Q500" s="531"/>
      <c r="R500" s="531"/>
      <c r="S500" s="532"/>
      <c r="T500" s="532"/>
      <c r="U500" s="532"/>
      <c r="V500" s="532"/>
      <c r="W500" s="532"/>
      <c r="X500" s="532"/>
      <c r="Y500" s="532"/>
      <c r="Z500" s="531"/>
      <c r="AA500" s="531"/>
      <c r="AB500" s="531"/>
      <c r="AC500" s="531"/>
      <c r="AD500" s="531"/>
      <c r="AE500" s="531"/>
      <c r="AF500" s="531"/>
      <c r="AG500" s="531"/>
    </row>
    <row r="501">
      <c r="B501" s="531"/>
      <c r="C501" s="531"/>
      <c r="D501" s="531"/>
      <c r="E501" s="531"/>
      <c r="F501" s="531"/>
      <c r="G501" s="531"/>
      <c r="H501" s="531"/>
      <c r="I501" s="531"/>
      <c r="J501" s="531"/>
      <c r="K501" s="531"/>
      <c r="L501" s="531"/>
      <c r="M501" s="531"/>
      <c r="N501" s="531"/>
      <c r="O501" s="531"/>
      <c r="P501" s="531"/>
      <c r="Q501" s="531"/>
      <c r="R501" s="531"/>
      <c r="S501" s="532"/>
      <c r="T501" s="532"/>
      <c r="U501" s="532"/>
      <c r="V501" s="532"/>
      <c r="W501" s="532"/>
      <c r="X501" s="532"/>
      <c r="Y501" s="532"/>
      <c r="Z501" s="531"/>
      <c r="AA501" s="531"/>
      <c r="AB501" s="531"/>
      <c r="AC501" s="531"/>
      <c r="AD501" s="531"/>
      <c r="AE501" s="531"/>
      <c r="AF501" s="531"/>
      <c r="AG501" s="531"/>
    </row>
    <row r="502">
      <c r="B502" s="531"/>
      <c r="C502" s="531"/>
      <c r="D502" s="531"/>
      <c r="E502" s="531"/>
      <c r="F502" s="531"/>
      <c r="G502" s="531"/>
      <c r="H502" s="531"/>
      <c r="I502" s="531"/>
      <c r="J502" s="531"/>
      <c r="K502" s="531"/>
      <c r="L502" s="531"/>
      <c r="M502" s="531"/>
      <c r="N502" s="531"/>
      <c r="O502" s="531"/>
      <c r="P502" s="531"/>
      <c r="Q502" s="531"/>
      <c r="R502" s="531"/>
      <c r="S502" s="532"/>
      <c r="T502" s="532"/>
      <c r="U502" s="532"/>
      <c r="V502" s="532"/>
      <c r="W502" s="532"/>
      <c r="X502" s="532"/>
      <c r="Y502" s="532"/>
      <c r="Z502" s="531"/>
      <c r="AA502" s="531"/>
      <c r="AB502" s="531"/>
      <c r="AC502" s="531"/>
      <c r="AD502" s="531"/>
      <c r="AE502" s="531"/>
      <c r="AF502" s="531"/>
      <c r="AG502" s="531"/>
    </row>
    <row r="503">
      <c r="B503" s="531"/>
      <c r="C503" s="531"/>
      <c r="D503" s="531"/>
      <c r="E503" s="531"/>
      <c r="F503" s="531"/>
      <c r="G503" s="531"/>
      <c r="H503" s="531"/>
      <c r="I503" s="531"/>
      <c r="J503" s="531"/>
      <c r="K503" s="531"/>
      <c r="L503" s="531"/>
      <c r="M503" s="531"/>
      <c r="N503" s="531"/>
      <c r="O503" s="531"/>
      <c r="P503" s="531"/>
      <c r="Q503" s="531"/>
      <c r="R503" s="531"/>
      <c r="S503" s="532"/>
      <c r="T503" s="532"/>
      <c r="U503" s="532"/>
      <c r="V503" s="532"/>
      <c r="W503" s="532"/>
      <c r="X503" s="532"/>
      <c r="Y503" s="532"/>
      <c r="Z503" s="531"/>
      <c r="AA503" s="531"/>
      <c r="AB503" s="531"/>
      <c r="AC503" s="531"/>
      <c r="AD503" s="531"/>
      <c r="AE503" s="531"/>
      <c r="AF503" s="531"/>
      <c r="AG503" s="531"/>
    </row>
    <row r="504">
      <c r="B504" s="531"/>
      <c r="C504" s="531"/>
      <c r="D504" s="531"/>
      <c r="E504" s="531"/>
      <c r="F504" s="531"/>
      <c r="G504" s="531"/>
      <c r="H504" s="531"/>
      <c r="I504" s="531"/>
      <c r="J504" s="531"/>
      <c r="K504" s="531"/>
      <c r="L504" s="531"/>
      <c r="M504" s="531"/>
      <c r="N504" s="531"/>
      <c r="O504" s="531"/>
      <c r="P504" s="531"/>
      <c r="Q504" s="531"/>
      <c r="R504" s="531"/>
      <c r="S504" s="532"/>
      <c r="T504" s="532"/>
      <c r="U504" s="532"/>
      <c r="V504" s="532"/>
      <c r="W504" s="532"/>
      <c r="X504" s="532"/>
      <c r="Y504" s="532"/>
      <c r="Z504" s="531"/>
      <c r="AA504" s="531"/>
      <c r="AB504" s="531"/>
      <c r="AC504" s="531"/>
      <c r="AD504" s="531"/>
      <c r="AE504" s="531"/>
      <c r="AF504" s="531"/>
      <c r="AG504" s="531"/>
    </row>
    <row r="505">
      <c r="B505" s="531"/>
      <c r="C505" s="531"/>
      <c r="D505" s="531"/>
      <c r="E505" s="531"/>
      <c r="F505" s="531"/>
      <c r="G505" s="531"/>
      <c r="H505" s="531"/>
      <c r="I505" s="531"/>
      <c r="J505" s="531"/>
      <c r="K505" s="531"/>
      <c r="L505" s="531"/>
      <c r="M505" s="531"/>
      <c r="N505" s="531"/>
      <c r="O505" s="531"/>
      <c r="P505" s="531"/>
      <c r="Q505" s="531"/>
      <c r="R505" s="531"/>
      <c r="S505" s="532"/>
      <c r="T505" s="532"/>
      <c r="U505" s="532"/>
      <c r="V505" s="532"/>
      <c r="W505" s="532"/>
      <c r="X505" s="532"/>
      <c r="Y505" s="532"/>
      <c r="Z505" s="531"/>
      <c r="AA505" s="531"/>
      <c r="AB505" s="531"/>
      <c r="AC505" s="531"/>
      <c r="AD505" s="531"/>
      <c r="AE505" s="531"/>
      <c r="AF505" s="531"/>
      <c r="AG505" s="531"/>
    </row>
    <row r="506">
      <c r="B506" s="531"/>
      <c r="C506" s="531"/>
      <c r="D506" s="531"/>
      <c r="E506" s="531"/>
      <c r="F506" s="531"/>
      <c r="G506" s="531"/>
      <c r="H506" s="531"/>
      <c r="I506" s="531"/>
      <c r="J506" s="531"/>
      <c r="K506" s="531"/>
      <c r="L506" s="531"/>
      <c r="M506" s="531"/>
      <c r="N506" s="531"/>
      <c r="O506" s="531"/>
      <c r="P506" s="531"/>
      <c r="Q506" s="531"/>
      <c r="R506" s="531"/>
      <c r="S506" s="532"/>
      <c r="T506" s="532"/>
      <c r="U506" s="532"/>
      <c r="V506" s="532"/>
      <c r="W506" s="532"/>
      <c r="X506" s="532"/>
      <c r="Y506" s="532"/>
      <c r="Z506" s="531"/>
      <c r="AA506" s="531"/>
      <c r="AB506" s="531"/>
      <c r="AC506" s="531"/>
      <c r="AD506" s="531"/>
      <c r="AE506" s="531"/>
      <c r="AF506" s="531"/>
      <c r="AG506" s="531"/>
    </row>
    <row r="507">
      <c r="B507" s="531"/>
      <c r="C507" s="531"/>
      <c r="D507" s="531"/>
      <c r="E507" s="531"/>
      <c r="F507" s="531"/>
      <c r="G507" s="531"/>
      <c r="H507" s="531"/>
      <c r="I507" s="531"/>
      <c r="J507" s="531"/>
      <c r="K507" s="531"/>
      <c r="L507" s="531"/>
      <c r="M507" s="531"/>
      <c r="N507" s="531"/>
      <c r="O507" s="531"/>
      <c r="P507" s="531"/>
      <c r="Q507" s="531"/>
      <c r="R507" s="531"/>
      <c r="S507" s="532"/>
      <c r="T507" s="532"/>
      <c r="U507" s="532"/>
      <c r="V507" s="532"/>
      <c r="W507" s="532"/>
      <c r="X507" s="532"/>
      <c r="Y507" s="532"/>
      <c r="Z507" s="531"/>
      <c r="AA507" s="531"/>
      <c r="AB507" s="531"/>
      <c r="AC507" s="531"/>
      <c r="AD507" s="531"/>
      <c r="AE507" s="531"/>
      <c r="AF507" s="531"/>
      <c r="AG507" s="531"/>
    </row>
    <row r="508">
      <c r="B508" s="531"/>
      <c r="C508" s="531"/>
      <c r="D508" s="531"/>
      <c r="E508" s="531"/>
      <c r="F508" s="531"/>
      <c r="G508" s="531"/>
      <c r="H508" s="531"/>
      <c r="I508" s="531"/>
      <c r="J508" s="531"/>
      <c r="K508" s="531"/>
      <c r="L508" s="531"/>
      <c r="M508" s="531"/>
      <c r="N508" s="531"/>
      <c r="O508" s="531"/>
      <c r="P508" s="531"/>
      <c r="Q508" s="531"/>
      <c r="R508" s="531"/>
      <c r="S508" s="532"/>
      <c r="T508" s="532"/>
      <c r="U508" s="532"/>
      <c r="V508" s="532"/>
      <c r="W508" s="532"/>
      <c r="X508" s="532"/>
      <c r="Y508" s="532"/>
      <c r="Z508" s="531"/>
      <c r="AA508" s="531"/>
      <c r="AB508" s="531"/>
      <c r="AC508" s="531"/>
      <c r="AD508" s="531"/>
      <c r="AE508" s="531"/>
      <c r="AF508" s="531"/>
      <c r="AG508" s="531"/>
    </row>
    <row r="509">
      <c r="B509" s="531"/>
      <c r="C509" s="531"/>
      <c r="D509" s="531"/>
      <c r="E509" s="531"/>
      <c r="F509" s="531"/>
      <c r="G509" s="531"/>
      <c r="H509" s="531"/>
      <c r="I509" s="531"/>
      <c r="J509" s="531"/>
      <c r="K509" s="531"/>
      <c r="L509" s="531"/>
      <c r="M509" s="531"/>
      <c r="N509" s="531"/>
      <c r="O509" s="531"/>
      <c r="P509" s="531"/>
      <c r="Q509" s="531"/>
      <c r="R509" s="531"/>
      <c r="S509" s="532"/>
      <c r="T509" s="532"/>
      <c r="U509" s="532"/>
      <c r="V509" s="532"/>
      <c r="W509" s="532"/>
      <c r="X509" s="532"/>
      <c r="Y509" s="532"/>
      <c r="Z509" s="531"/>
      <c r="AA509" s="531"/>
      <c r="AB509" s="531"/>
      <c r="AC509" s="531"/>
      <c r="AD509" s="531"/>
      <c r="AE509" s="531"/>
      <c r="AF509" s="531"/>
      <c r="AG509" s="531"/>
    </row>
    <row r="510">
      <c r="B510" s="531"/>
      <c r="C510" s="531"/>
      <c r="D510" s="531"/>
      <c r="E510" s="531"/>
      <c r="F510" s="531"/>
      <c r="G510" s="531"/>
      <c r="H510" s="531"/>
      <c r="I510" s="531"/>
      <c r="J510" s="531"/>
      <c r="K510" s="531"/>
      <c r="L510" s="531"/>
      <c r="M510" s="531"/>
      <c r="N510" s="531"/>
      <c r="O510" s="531"/>
      <c r="P510" s="531"/>
      <c r="Q510" s="531"/>
      <c r="R510" s="531"/>
      <c r="S510" s="532"/>
      <c r="T510" s="532"/>
      <c r="U510" s="532"/>
      <c r="V510" s="532"/>
      <c r="W510" s="532"/>
      <c r="X510" s="532"/>
      <c r="Y510" s="532"/>
      <c r="Z510" s="531"/>
      <c r="AA510" s="531"/>
      <c r="AB510" s="531"/>
      <c r="AC510" s="531"/>
      <c r="AD510" s="531"/>
      <c r="AE510" s="531"/>
      <c r="AF510" s="531"/>
      <c r="AG510" s="531"/>
    </row>
    <row r="511">
      <c r="B511" s="531"/>
      <c r="C511" s="531"/>
      <c r="D511" s="531"/>
      <c r="E511" s="531"/>
      <c r="F511" s="531"/>
      <c r="G511" s="531"/>
      <c r="H511" s="531"/>
      <c r="I511" s="531"/>
      <c r="J511" s="531"/>
      <c r="K511" s="531"/>
      <c r="L511" s="531"/>
      <c r="M511" s="531"/>
      <c r="N511" s="531"/>
      <c r="O511" s="531"/>
      <c r="P511" s="531"/>
      <c r="Q511" s="531"/>
      <c r="R511" s="531"/>
      <c r="S511" s="532"/>
      <c r="T511" s="532"/>
      <c r="U511" s="532"/>
      <c r="V511" s="532"/>
      <c r="W511" s="532"/>
      <c r="X511" s="532"/>
      <c r="Y511" s="532"/>
      <c r="Z511" s="531"/>
      <c r="AA511" s="531"/>
      <c r="AB511" s="531"/>
      <c r="AC511" s="531"/>
      <c r="AD511" s="531"/>
      <c r="AE511" s="531"/>
      <c r="AF511" s="531"/>
      <c r="AG511" s="531"/>
    </row>
    <row r="512">
      <c r="B512" s="531"/>
      <c r="C512" s="531"/>
      <c r="D512" s="531"/>
      <c r="E512" s="531"/>
      <c r="F512" s="531"/>
      <c r="G512" s="531"/>
      <c r="H512" s="531"/>
      <c r="I512" s="531"/>
      <c r="J512" s="531"/>
      <c r="K512" s="531"/>
      <c r="L512" s="531"/>
      <c r="M512" s="531"/>
      <c r="N512" s="531"/>
      <c r="O512" s="531"/>
      <c r="P512" s="531"/>
      <c r="Q512" s="531"/>
      <c r="R512" s="531"/>
      <c r="S512" s="532"/>
      <c r="T512" s="532"/>
      <c r="U512" s="532"/>
      <c r="V512" s="532"/>
      <c r="W512" s="532"/>
      <c r="X512" s="532"/>
      <c r="Y512" s="532"/>
      <c r="Z512" s="531"/>
      <c r="AA512" s="531"/>
      <c r="AB512" s="531"/>
      <c r="AC512" s="531"/>
      <c r="AD512" s="531"/>
      <c r="AE512" s="531"/>
      <c r="AF512" s="531"/>
      <c r="AG512" s="531"/>
    </row>
    <row r="513">
      <c r="B513" s="531"/>
      <c r="C513" s="531"/>
      <c r="D513" s="531"/>
      <c r="E513" s="531"/>
      <c r="F513" s="531"/>
      <c r="G513" s="531"/>
      <c r="H513" s="531"/>
      <c r="I513" s="531"/>
      <c r="J513" s="531"/>
      <c r="K513" s="531"/>
      <c r="L513" s="531"/>
      <c r="M513" s="531"/>
      <c r="N513" s="531"/>
      <c r="O513" s="531"/>
      <c r="P513" s="531"/>
      <c r="Q513" s="531"/>
      <c r="R513" s="531"/>
      <c r="S513" s="532"/>
      <c r="T513" s="532"/>
      <c r="U513" s="532"/>
      <c r="V513" s="532"/>
      <c r="W513" s="532"/>
      <c r="X513" s="532"/>
      <c r="Y513" s="532"/>
      <c r="Z513" s="531"/>
      <c r="AA513" s="531"/>
      <c r="AB513" s="531"/>
      <c r="AC513" s="531"/>
      <c r="AD513" s="531"/>
      <c r="AE513" s="531"/>
      <c r="AF513" s="531"/>
      <c r="AG513" s="531"/>
    </row>
    <row r="514">
      <c r="B514" s="531"/>
      <c r="C514" s="531"/>
      <c r="D514" s="531"/>
      <c r="E514" s="531"/>
      <c r="F514" s="531"/>
      <c r="G514" s="531"/>
      <c r="H514" s="531"/>
      <c r="I514" s="531"/>
      <c r="J514" s="531"/>
      <c r="K514" s="531"/>
      <c r="L514" s="531"/>
      <c r="M514" s="531"/>
      <c r="N514" s="531"/>
      <c r="O514" s="531"/>
      <c r="P514" s="531"/>
      <c r="Q514" s="531"/>
      <c r="R514" s="531"/>
      <c r="S514" s="532"/>
      <c r="T514" s="532"/>
      <c r="U514" s="532"/>
      <c r="V514" s="532"/>
      <c r="W514" s="532"/>
      <c r="X514" s="532"/>
      <c r="Y514" s="532"/>
      <c r="Z514" s="531"/>
      <c r="AA514" s="531"/>
      <c r="AB514" s="531"/>
      <c r="AC514" s="531"/>
      <c r="AD514" s="531"/>
      <c r="AE514" s="531"/>
      <c r="AF514" s="531"/>
      <c r="AG514" s="531"/>
    </row>
    <row r="515">
      <c r="B515" s="531"/>
      <c r="C515" s="531"/>
      <c r="D515" s="531"/>
      <c r="E515" s="531"/>
      <c r="F515" s="531"/>
      <c r="G515" s="531"/>
      <c r="H515" s="531"/>
      <c r="I515" s="531"/>
      <c r="J515" s="531"/>
      <c r="K515" s="531"/>
      <c r="L515" s="531"/>
      <c r="M515" s="531"/>
      <c r="N515" s="531"/>
      <c r="O515" s="531"/>
      <c r="P515" s="531"/>
      <c r="Q515" s="531"/>
      <c r="R515" s="531"/>
      <c r="S515" s="532"/>
      <c r="T515" s="532"/>
      <c r="U515" s="532"/>
      <c r="V515" s="532"/>
      <c r="W515" s="532"/>
      <c r="X515" s="532"/>
      <c r="Y515" s="532"/>
      <c r="Z515" s="531"/>
      <c r="AA515" s="531"/>
      <c r="AB515" s="531"/>
      <c r="AC515" s="531"/>
      <c r="AD515" s="531"/>
      <c r="AE515" s="531"/>
      <c r="AF515" s="531"/>
      <c r="AG515" s="531"/>
    </row>
    <row r="516">
      <c r="B516" s="531"/>
      <c r="C516" s="531"/>
      <c r="D516" s="531"/>
      <c r="E516" s="531"/>
      <c r="F516" s="531"/>
      <c r="G516" s="531"/>
      <c r="H516" s="531"/>
      <c r="I516" s="531"/>
      <c r="J516" s="531"/>
      <c r="K516" s="531"/>
      <c r="L516" s="531"/>
      <c r="M516" s="531"/>
      <c r="N516" s="531"/>
      <c r="O516" s="531"/>
      <c r="P516" s="531"/>
      <c r="Q516" s="531"/>
      <c r="R516" s="531"/>
      <c r="S516" s="532"/>
      <c r="T516" s="532"/>
      <c r="U516" s="532"/>
      <c r="V516" s="532"/>
      <c r="W516" s="532"/>
      <c r="X516" s="532"/>
      <c r="Y516" s="532"/>
      <c r="Z516" s="531"/>
      <c r="AA516" s="531"/>
      <c r="AB516" s="531"/>
      <c r="AC516" s="531"/>
      <c r="AD516" s="531"/>
      <c r="AE516" s="531"/>
      <c r="AF516" s="531"/>
      <c r="AG516" s="531"/>
    </row>
    <row r="517">
      <c r="B517" s="531"/>
      <c r="C517" s="531"/>
      <c r="D517" s="531"/>
      <c r="E517" s="531"/>
      <c r="F517" s="531"/>
      <c r="G517" s="531"/>
      <c r="H517" s="531"/>
      <c r="I517" s="531"/>
      <c r="J517" s="531"/>
      <c r="K517" s="531"/>
      <c r="L517" s="531"/>
      <c r="M517" s="531"/>
      <c r="N517" s="531"/>
      <c r="O517" s="531"/>
      <c r="P517" s="531"/>
      <c r="Q517" s="531"/>
      <c r="R517" s="531"/>
      <c r="S517" s="532"/>
      <c r="T517" s="532"/>
      <c r="U517" s="532"/>
      <c r="V517" s="532"/>
      <c r="W517" s="532"/>
      <c r="X517" s="532"/>
      <c r="Y517" s="532"/>
      <c r="Z517" s="531"/>
      <c r="AA517" s="531"/>
      <c r="AB517" s="531"/>
      <c r="AC517" s="531"/>
      <c r="AD517" s="531"/>
      <c r="AE517" s="531"/>
      <c r="AF517" s="531"/>
      <c r="AG517" s="531"/>
    </row>
    <row r="518">
      <c r="B518" s="531"/>
      <c r="C518" s="531"/>
      <c r="D518" s="531"/>
      <c r="E518" s="531"/>
      <c r="F518" s="531"/>
      <c r="G518" s="531"/>
      <c r="H518" s="531"/>
      <c r="I518" s="531"/>
      <c r="J518" s="531"/>
      <c r="K518" s="531"/>
      <c r="L518" s="531"/>
      <c r="M518" s="531"/>
      <c r="N518" s="531"/>
      <c r="O518" s="531"/>
      <c r="P518" s="531"/>
      <c r="Q518" s="531"/>
      <c r="R518" s="531"/>
      <c r="S518" s="532"/>
      <c r="T518" s="532"/>
      <c r="U518" s="532"/>
      <c r="V518" s="532"/>
      <c r="W518" s="532"/>
      <c r="X518" s="532"/>
      <c r="Y518" s="532"/>
      <c r="Z518" s="531"/>
      <c r="AA518" s="531"/>
      <c r="AB518" s="531"/>
      <c r="AC518" s="531"/>
      <c r="AD518" s="531"/>
      <c r="AE518" s="531"/>
      <c r="AF518" s="531"/>
      <c r="AG518" s="531"/>
    </row>
    <row r="519">
      <c r="B519" s="531"/>
      <c r="C519" s="531"/>
      <c r="D519" s="531"/>
      <c r="E519" s="531"/>
      <c r="F519" s="531"/>
      <c r="G519" s="531"/>
      <c r="H519" s="531"/>
      <c r="I519" s="531"/>
      <c r="J519" s="531"/>
      <c r="K519" s="531"/>
      <c r="L519" s="531"/>
      <c r="M519" s="531"/>
      <c r="N519" s="531"/>
      <c r="O519" s="531"/>
      <c r="P519" s="531"/>
      <c r="Q519" s="531"/>
      <c r="R519" s="531"/>
      <c r="S519" s="532"/>
      <c r="T519" s="532"/>
      <c r="U519" s="532"/>
      <c r="V519" s="532"/>
      <c r="W519" s="532"/>
      <c r="X519" s="532"/>
      <c r="Y519" s="532"/>
      <c r="Z519" s="531"/>
      <c r="AA519" s="531"/>
      <c r="AB519" s="531"/>
      <c r="AC519" s="531"/>
      <c r="AD519" s="531"/>
      <c r="AE519" s="531"/>
      <c r="AF519" s="531"/>
      <c r="AG519" s="531"/>
    </row>
    <row r="520">
      <c r="B520" s="531"/>
      <c r="C520" s="531"/>
      <c r="D520" s="531"/>
      <c r="E520" s="531"/>
      <c r="F520" s="531"/>
      <c r="G520" s="531"/>
      <c r="H520" s="531"/>
      <c r="I520" s="531"/>
      <c r="J520" s="531"/>
      <c r="K520" s="531"/>
      <c r="L520" s="531"/>
      <c r="M520" s="531"/>
      <c r="N520" s="531"/>
      <c r="O520" s="531"/>
      <c r="P520" s="531"/>
      <c r="Q520" s="531"/>
      <c r="R520" s="531"/>
      <c r="S520" s="532"/>
      <c r="T520" s="532"/>
      <c r="U520" s="532"/>
      <c r="V520" s="532"/>
      <c r="W520" s="532"/>
      <c r="X520" s="532"/>
      <c r="Y520" s="532"/>
      <c r="Z520" s="531"/>
      <c r="AA520" s="531"/>
      <c r="AB520" s="531"/>
      <c r="AC520" s="531"/>
      <c r="AD520" s="531"/>
      <c r="AE520" s="531"/>
      <c r="AF520" s="531"/>
      <c r="AG520" s="531"/>
    </row>
    <row r="521">
      <c r="B521" s="531"/>
      <c r="C521" s="531"/>
      <c r="D521" s="531"/>
      <c r="E521" s="531"/>
      <c r="F521" s="531"/>
      <c r="G521" s="531"/>
      <c r="H521" s="531"/>
      <c r="I521" s="531"/>
      <c r="J521" s="531"/>
      <c r="K521" s="531"/>
      <c r="L521" s="531"/>
      <c r="M521" s="531"/>
      <c r="N521" s="531"/>
      <c r="O521" s="531"/>
      <c r="P521" s="531"/>
      <c r="Q521" s="531"/>
      <c r="R521" s="531"/>
      <c r="S521" s="532"/>
      <c r="T521" s="532"/>
      <c r="U521" s="532"/>
      <c r="V521" s="532"/>
      <c r="W521" s="532"/>
      <c r="X521" s="532"/>
      <c r="Y521" s="532"/>
      <c r="Z521" s="531"/>
      <c r="AA521" s="531"/>
      <c r="AB521" s="531"/>
      <c r="AC521" s="531"/>
      <c r="AD521" s="531"/>
      <c r="AE521" s="531"/>
      <c r="AF521" s="531"/>
      <c r="AG521" s="531"/>
    </row>
    <row r="522">
      <c r="B522" s="531"/>
      <c r="C522" s="531"/>
      <c r="D522" s="531"/>
      <c r="E522" s="531"/>
      <c r="F522" s="531"/>
      <c r="G522" s="531"/>
      <c r="H522" s="531"/>
      <c r="I522" s="531"/>
      <c r="J522" s="531"/>
      <c r="K522" s="531"/>
      <c r="L522" s="531"/>
      <c r="M522" s="531"/>
      <c r="N522" s="531"/>
      <c r="O522" s="531"/>
      <c r="P522" s="531"/>
      <c r="Q522" s="531"/>
      <c r="R522" s="531"/>
      <c r="S522" s="532"/>
      <c r="T522" s="532"/>
      <c r="U522" s="532"/>
      <c r="V522" s="532"/>
      <c r="W522" s="532"/>
      <c r="X522" s="532"/>
      <c r="Y522" s="532"/>
      <c r="Z522" s="531"/>
      <c r="AA522" s="531"/>
      <c r="AB522" s="531"/>
      <c r="AC522" s="531"/>
      <c r="AD522" s="531"/>
      <c r="AE522" s="531"/>
      <c r="AF522" s="531"/>
      <c r="AG522" s="531"/>
    </row>
    <row r="523">
      <c r="B523" s="531"/>
      <c r="C523" s="531"/>
      <c r="D523" s="531"/>
      <c r="E523" s="531"/>
      <c r="F523" s="531"/>
      <c r="G523" s="531"/>
      <c r="H523" s="531"/>
      <c r="I523" s="531"/>
      <c r="J523" s="531"/>
      <c r="K523" s="531"/>
      <c r="L523" s="531"/>
      <c r="M523" s="531"/>
      <c r="N523" s="531"/>
      <c r="O523" s="531"/>
      <c r="P523" s="531"/>
      <c r="Q523" s="531"/>
      <c r="R523" s="531"/>
      <c r="S523" s="532"/>
      <c r="T523" s="532"/>
      <c r="U523" s="532"/>
      <c r="V523" s="532"/>
      <c r="W523" s="532"/>
      <c r="X523" s="532"/>
      <c r="Y523" s="532"/>
      <c r="Z523" s="531"/>
      <c r="AA523" s="531"/>
      <c r="AB523" s="531"/>
      <c r="AC523" s="531"/>
      <c r="AD523" s="531"/>
      <c r="AE523" s="531"/>
      <c r="AF523" s="531"/>
      <c r="AG523" s="531"/>
    </row>
    <row r="524">
      <c r="B524" s="531"/>
      <c r="C524" s="531"/>
      <c r="D524" s="531"/>
      <c r="E524" s="531"/>
      <c r="F524" s="531"/>
      <c r="G524" s="531"/>
      <c r="H524" s="531"/>
      <c r="I524" s="531"/>
      <c r="J524" s="531"/>
      <c r="K524" s="531"/>
      <c r="L524" s="531"/>
      <c r="M524" s="531"/>
      <c r="N524" s="531"/>
      <c r="O524" s="531"/>
      <c r="P524" s="531"/>
      <c r="Q524" s="531"/>
      <c r="R524" s="531"/>
      <c r="S524" s="532"/>
      <c r="T524" s="532"/>
      <c r="U524" s="532"/>
      <c r="V524" s="532"/>
      <c r="W524" s="532"/>
      <c r="X524" s="532"/>
      <c r="Y524" s="532"/>
      <c r="Z524" s="531"/>
      <c r="AA524" s="531"/>
      <c r="AB524" s="531"/>
      <c r="AC524" s="531"/>
      <c r="AD524" s="531"/>
      <c r="AE524" s="531"/>
      <c r="AF524" s="531"/>
      <c r="AG524" s="531"/>
    </row>
    <row r="525">
      <c r="B525" s="531"/>
      <c r="C525" s="531"/>
      <c r="D525" s="531"/>
      <c r="E525" s="531"/>
      <c r="F525" s="531"/>
      <c r="G525" s="531"/>
      <c r="H525" s="531"/>
      <c r="I525" s="531"/>
      <c r="J525" s="531"/>
      <c r="K525" s="531"/>
      <c r="L525" s="531"/>
      <c r="M525" s="531"/>
      <c r="N525" s="531"/>
      <c r="O525" s="531"/>
      <c r="P525" s="531"/>
      <c r="Q525" s="531"/>
      <c r="R525" s="531"/>
      <c r="S525" s="532"/>
      <c r="T525" s="532"/>
      <c r="U525" s="532"/>
      <c r="V525" s="532"/>
      <c r="W525" s="532"/>
      <c r="X525" s="532"/>
      <c r="Y525" s="532"/>
      <c r="Z525" s="531"/>
      <c r="AA525" s="531"/>
      <c r="AB525" s="531"/>
      <c r="AC525" s="531"/>
      <c r="AD525" s="531"/>
      <c r="AE525" s="531"/>
      <c r="AF525" s="531"/>
      <c r="AG525" s="531"/>
    </row>
    <row r="526">
      <c r="B526" s="531"/>
      <c r="C526" s="531"/>
      <c r="D526" s="531"/>
      <c r="E526" s="531"/>
      <c r="F526" s="531"/>
      <c r="G526" s="531"/>
      <c r="H526" s="531"/>
      <c r="I526" s="531"/>
      <c r="J526" s="531"/>
      <c r="K526" s="531"/>
      <c r="L526" s="531"/>
      <c r="M526" s="531"/>
      <c r="N526" s="531"/>
      <c r="O526" s="531"/>
      <c r="P526" s="531"/>
      <c r="Q526" s="531"/>
      <c r="R526" s="531"/>
      <c r="S526" s="532"/>
      <c r="T526" s="532"/>
      <c r="U526" s="532"/>
      <c r="V526" s="532"/>
      <c r="W526" s="532"/>
      <c r="X526" s="532"/>
      <c r="Y526" s="532"/>
      <c r="Z526" s="531"/>
      <c r="AA526" s="531"/>
      <c r="AB526" s="531"/>
      <c r="AC526" s="531"/>
      <c r="AD526" s="531"/>
      <c r="AE526" s="531"/>
      <c r="AF526" s="531"/>
      <c r="AG526" s="531"/>
    </row>
    <row r="527">
      <c r="B527" s="531"/>
      <c r="C527" s="531"/>
      <c r="D527" s="531"/>
      <c r="E527" s="531"/>
      <c r="F527" s="531"/>
      <c r="G527" s="531"/>
      <c r="H527" s="531"/>
      <c r="I527" s="531"/>
      <c r="J527" s="531"/>
      <c r="K527" s="531"/>
      <c r="L527" s="531"/>
      <c r="M527" s="531"/>
      <c r="N527" s="531"/>
      <c r="O527" s="531"/>
      <c r="P527" s="531"/>
      <c r="Q527" s="531"/>
      <c r="R527" s="531"/>
      <c r="S527" s="532"/>
      <c r="T527" s="532"/>
      <c r="U527" s="532"/>
      <c r="V527" s="532"/>
      <c r="W527" s="532"/>
      <c r="X527" s="532"/>
      <c r="Y527" s="532"/>
      <c r="Z527" s="531"/>
      <c r="AA527" s="531"/>
      <c r="AB527" s="531"/>
      <c r="AC527" s="531"/>
      <c r="AD527" s="531"/>
      <c r="AE527" s="531"/>
      <c r="AF527" s="531"/>
      <c r="AG527" s="531"/>
    </row>
    <row r="528">
      <c r="B528" s="531"/>
      <c r="C528" s="531"/>
      <c r="D528" s="531"/>
      <c r="E528" s="531"/>
      <c r="F528" s="531"/>
      <c r="G528" s="531"/>
      <c r="H528" s="531"/>
      <c r="I528" s="531"/>
      <c r="J528" s="531"/>
      <c r="K528" s="531"/>
      <c r="L528" s="531"/>
      <c r="M528" s="531"/>
      <c r="N528" s="531"/>
      <c r="O528" s="531"/>
      <c r="P528" s="531"/>
      <c r="Q528" s="531"/>
      <c r="R528" s="531"/>
      <c r="S528" s="532"/>
      <c r="T528" s="532"/>
      <c r="U528" s="532"/>
      <c r="V528" s="532"/>
      <c r="W528" s="532"/>
      <c r="X528" s="532"/>
      <c r="Y528" s="532"/>
      <c r="Z528" s="531"/>
      <c r="AA528" s="531"/>
      <c r="AB528" s="531"/>
      <c r="AC528" s="531"/>
      <c r="AD528" s="531"/>
      <c r="AE528" s="531"/>
      <c r="AF528" s="531"/>
      <c r="AG528" s="531"/>
    </row>
    <row r="529">
      <c r="B529" s="531"/>
      <c r="C529" s="531"/>
      <c r="D529" s="531"/>
      <c r="E529" s="531"/>
      <c r="F529" s="531"/>
      <c r="G529" s="531"/>
      <c r="H529" s="531"/>
      <c r="I529" s="531"/>
      <c r="J529" s="531"/>
      <c r="K529" s="531"/>
      <c r="L529" s="531"/>
      <c r="M529" s="531"/>
      <c r="N529" s="531"/>
      <c r="O529" s="531"/>
      <c r="P529" s="531"/>
      <c r="Q529" s="531"/>
      <c r="R529" s="531"/>
      <c r="S529" s="532"/>
      <c r="T529" s="532"/>
      <c r="U529" s="532"/>
      <c r="V529" s="532"/>
      <c r="W529" s="532"/>
      <c r="X529" s="532"/>
      <c r="Y529" s="532"/>
      <c r="Z529" s="531"/>
      <c r="AA529" s="531"/>
      <c r="AB529" s="531"/>
      <c r="AC529" s="531"/>
      <c r="AD529" s="531"/>
      <c r="AE529" s="531"/>
      <c r="AF529" s="531"/>
      <c r="AG529" s="531"/>
    </row>
    <row r="530">
      <c r="B530" s="531"/>
      <c r="C530" s="531"/>
      <c r="D530" s="531"/>
      <c r="E530" s="531"/>
      <c r="F530" s="531"/>
      <c r="G530" s="531"/>
      <c r="H530" s="531"/>
      <c r="I530" s="531"/>
      <c r="J530" s="531"/>
      <c r="K530" s="531"/>
      <c r="L530" s="531"/>
      <c r="M530" s="531"/>
      <c r="N530" s="531"/>
      <c r="O530" s="531"/>
      <c r="P530" s="531"/>
      <c r="Q530" s="531"/>
      <c r="R530" s="531"/>
      <c r="S530" s="532"/>
      <c r="T530" s="532"/>
      <c r="U530" s="532"/>
      <c r="V530" s="532"/>
      <c r="W530" s="532"/>
      <c r="X530" s="532"/>
      <c r="Y530" s="532"/>
      <c r="Z530" s="531"/>
      <c r="AA530" s="531"/>
      <c r="AB530" s="531"/>
      <c r="AC530" s="531"/>
      <c r="AD530" s="531"/>
      <c r="AE530" s="531"/>
      <c r="AF530" s="531"/>
      <c r="AG530" s="531"/>
    </row>
    <row r="531">
      <c r="B531" s="531"/>
      <c r="C531" s="531"/>
      <c r="D531" s="531"/>
      <c r="E531" s="531"/>
      <c r="F531" s="531"/>
      <c r="G531" s="531"/>
      <c r="H531" s="531"/>
      <c r="I531" s="531"/>
      <c r="J531" s="531"/>
      <c r="K531" s="531"/>
      <c r="L531" s="531"/>
      <c r="M531" s="531"/>
      <c r="N531" s="531"/>
      <c r="O531" s="531"/>
      <c r="P531" s="531"/>
      <c r="Q531" s="531"/>
      <c r="R531" s="531"/>
      <c r="S531" s="532"/>
      <c r="T531" s="532"/>
      <c r="U531" s="532"/>
      <c r="V531" s="532"/>
      <c r="W531" s="532"/>
      <c r="X531" s="532"/>
      <c r="Y531" s="532"/>
      <c r="Z531" s="531"/>
      <c r="AA531" s="531"/>
      <c r="AB531" s="531"/>
      <c r="AC531" s="531"/>
      <c r="AD531" s="531"/>
      <c r="AE531" s="531"/>
      <c r="AF531" s="531"/>
      <c r="AG531" s="531"/>
    </row>
    <row r="532">
      <c r="B532" s="531"/>
      <c r="C532" s="531"/>
      <c r="D532" s="531"/>
      <c r="E532" s="531"/>
      <c r="F532" s="531"/>
      <c r="G532" s="531"/>
      <c r="H532" s="531"/>
      <c r="I532" s="531"/>
      <c r="J532" s="531"/>
      <c r="K532" s="531"/>
      <c r="L532" s="531"/>
      <c r="M532" s="531"/>
      <c r="N532" s="531"/>
      <c r="O532" s="531"/>
      <c r="P532" s="531"/>
      <c r="Q532" s="531"/>
      <c r="R532" s="531"/>
      <c r="S532" s="532"/>
      <c r="T532" s="532"/>
      <c r="U532" s="532"/>
      <c r="V532" s="532"/>
      <c r="W532" s="532"/>
      <c r="X532" s="532"/>
      <c r="Y532" s="532"/>
      <c r="Z532" s="531"/>
      <c r="AA532" s="531"/>
      <c r="AB532" s="531"/>
      <c r="AC532" s="531"/>
      <c r="AD532" s="531"/>
      <c r="AE532" s="531"/>
      <c r="AF532" s="531"/>
      <c r="AG532" s="531"/>
    </row>
    <row r="533">
      <c r="B533" s="531"/>
      <c r="C533" s="531"/>
      <c r="D533" s="531"/>
      <c r="E533" s="531"/>
      <c r="F533" s="531"/>
      <c r="G533" s="531"/>
      <c r="H533" s="531"/>
      <c r="I533" s="531"/>
      <c r="J533" s="531"/>
      <c r="K533" s="531"/>
      <c r="L533" s="531"/>
      <c r="M533" s="531"/>
      <c r="N533" s="531"/>
      <c r="O533" s="531"/>
      <c r="P533" s="531"/>
      <c r="Q533" s="531"/>
      <c r="R533" s="531"/>
      <c r="S533" s="532"/>
      <c r="T533" s="532"/>
      <c r="U533" s="532"/>
      <c r="V533" s="532"/>
      <c r="W533" s="532"/>
      <c r="X533" s="532"/>
      <c r="Y533" s="532"/>
      <c r="Z533" s="531"/>
      <c r="AA533" s="531"/>
      <c r="AB533" s="531"/>
      <c r="AC533" s="531"/>
      <c r="AD533" s="531"/>
      <c r="AE533" s="531"/>
      <c r="AF533" s="531"/>
      <c r="AG533" s="531"/>
    </row>
    <row r="534">
      <c r="B534" s="531"/>
      <c r="C534" s="531"/>
      <c r="D534" s="531"/>
      <c r="E534" s="531"/>
      <c r="F534" s="531"/>
      <c r="G534" s="531"/>
      <c r="H534" s="531"/>
      <c r="I534" s="531"/>
      <c r="J534" s="531"/>
      <c r="K534" s="531"/>
      <c r="L534" s="531"/>
      <c r="M534" s="531"/>
      <c r="N534" s="531"/>
      <c r="O534" s="531"/>
      <c r="P534" s="531"/>
      <c r="Q534" s="531"/>
      <c r="R534" s="531"/>
      <c r="S534" s="532"/>
      <c r="T534" s="532"/>
      <c r="U534" s="532"/>
      <c r="V534" s="532"/>
      <c r="W534" s="532"/>
      <c r="X534" s="532"/>
      <c r="Y534" s="532"/>
      <c r="Z534" s="531"/>
      <c r="AA534" s="531"/>
      <c r="AB534" s="531"/>
      <c r="AC534" s="531"/>
      <c r="AD534" s="531"/>
      <c r="AE534" s="531"/>
      <c r="AF534" s="531"/>
      <c r="AG534" s="531"/>
    </row>
    <row r="535">
      <c r="B535" s="531"/>
      <c r="C535" s="531"/>
      <c r="D535" s="531"/>
      <c r="E535" s="531"/>
      <c r="F535" s="531"/>
      <c r="G535" s="531"/>
      <c r="H535" s="531"/>
      <c r="I535" s="531"/>
      <c r="J535" s="531"/>
      <c r="K535" s="531"/>
      <c r="L535" s="531"/>
      <c r="M535" s="531"/>
      <c r="N535" s="531"/>
      <c r="O535" s="531"/>
      <c r="P535" s="531"/>
      <c r="Q535" s="531"/>
      <c r="R535" s="531"/>
      <c r="S535" s="532"/>
      <c r="T535" s="532"/>
      <c r="U535" s="532"/>
      <c r="V535" s="532"/>
      <c r="W535" s="532"/>
      <c r="X535" s="532"/>
      <c r="Y535" s="532"/>
      <c r="Z535" s="531"/>
      <c r="AA535" s="531"/>
      <c r="AB535" s="531"/>
      <c r="AC535" s="531"/>
      <c r="AD535" s="531"/>
      <c r="AE535" s="531"/>
      <c r="AF535" s="531"/>
      <c r="AG535" s="531"/>
    </row>
    <row r="536">
      <c r="B536" s="531"/>
      <c r="C536" s="531"/>
      <c r="D536" s="531"/>
      <c r="E536" s="531"/>
      <c r="F536" s="531"/>
      <c r="G536" s="531"/>
      <c r="H536" s="531"/>
      <c r="I536" s="531"/>
      <c r="J536" s="531"/>
      <c r="K536" s="531"/>
      <c r="L536" s="531"/>
      <c r="M536" s="531"/>
      <c r="N536" s="531"/>
      <c r="O536" s="531"/>
      <c r="P536" s="531"/>
      <c r="Q536" s="531"/>
      <c r="R536" s="531"/>
      <c r="S536" s="532"/>
      <c r="T536" s="532"/>
      <c r="U536" s="532"/>
      <c r="V536" s="532"/>
      <c r="W536" s="532"/>
      <c r="X536" s="532"/>
      <c r="Y536" s="532"/>
      <c r="Z536" s="531"/>
      <c r="AA536" s="531"/>
      <c r="AB536" s="531"/>
      <c r="AC536" s="531"/>
      <c r="AD536" s="531"/>
      <c r="AE536" s="531"/>
      <c r="AF536" s="531"/>
      <c r="AG536" s="531"/>
    </row>
    <row r="537">
      <c r="B537" s="531"/>
      <c r="C537" s="531"/>
      <c r="D537" s="531"/>
      <c r="E537" s="531"/>
      <c r="F537" s="531"/>
      <c r="G537" s="531"/>
      <c r="H537" s="531"/>
      <c r="I537" s="531"/>
      <c r="J537" s="531"/>
      <c r="K537" s="531"/>
      <c r="L537" s="531"/>
      <c r="M537" s="531"/>
      <c r="N537" s="531"/>
      <c r="O537" s="531"/>
      <c r="P537" s="531"/>
      <c r="Q537" s="531"/>
      <c r="R537" s="531"/>
      <c r="S537" s="532"/>
      <c r="T537" s="532"/>
      <c r="U537" s="532"/>
      <c r="V537" s="532"/>
      <c r="W537" s="532"/>
      <c r="X537" s="532"/>
      <c r="Y537" s="532"/>
      <c r="Z537" s="531"/>
      <c r="AA537" s="531"/>
      <c r="AB537" s="531"/>
      <c r="AC537" s="531"/>
      <c r="AD537" s="531"/>
      <c r="AE537" s="531"/>
      <c r="AF537" s="531"/>
      <c r="AG537" s="531"/>
    </row>
    <row r="538">
      <c r="B538" s="531"/>
      <c r="C538" s="531"/>
      <c r="D538" s="531"/>
      <c r="E538" s="531"/>
      <c r="F538" s="531"/>
      <c r="G538" s="531"/>
      <c r="H538" s="531"/>
      <c r="I538" s="531"/>
      <c r="J538" s="531"/>
      <c r="K538" s="531"/>
      <c r="L538" s="531"/>
      <c r="M538" s="531"/>
      <c r="N538" s="531"/>
      <c r="O538" s="531"/>
      <c r="P538" s="531"/>
      <c r="Q538" s="531"/>
      <c r="R538" s="531"/>
      <c r="S538" s="532"/>
      <c r="T538" s="532"/>
      <c r="U538" s="532"/>
      <c r="V538" s="532"/>
      <c r="W538" s="532"/>
      <c r="X538" s="532"/>
      <c r="Y538" s="532"/>
      <c r="Z538" s="531"/>
      <c r="AA538" s="531"/>
      <c r="AB538" s="531"/>
      <c r="AC538" s="531"/>
      <c r="AD538" s="531"/>
      <c r="AE538" s="531"/>
      <c r="AF538" s="531"/>
      <c r="AG538" s="531"/>
    </row>
    <row r="539">
      <c r="B539" s="531"/>
      <c r="C539" s="531"/>
      <c r="D539" s="531"/>
      <c r="E539" s="531"/>
      <c r="F539" s="531"/>
      <c r="G539" s="531"/>
      <c r="H539" s="531"/>
      <c r="I539" s="531"/>
      <c r="J539" s="531"/>
      <c r="K539" s="531"/>
      <c r="L539" s="531"/>
      <c r="M539" s="531"/>
      <c r="N539" s="531"/>
      <c r="O539" s="531"/>
      <c r="P539" s="531"/>
      <c r="Q539" s="531"/>
      <c r="R539" s="531"/>
      <c r="S539" s="532"/>
      <c r="T539" s="532"/>
      <c r="U539" s="532"/>
      <c r="V539" s="532"/>
      <c r="W539" s="532"/>
      <c r="X539" s="532"/>
      <c r="Y539" s="532"/>
      <c r="Z539" s="531"/>
      <c r="AA539" s="531"/>
      <c r="AB539" s="531"/>
      <c r="AC539" s="531"/>
      <c r="AD539" s="531"/>
      <c r="AE539" s="531"/>
      <c r="AF539" s="531"/>
      <c r="AG539" s="531"/>
    </row>
    <row r="540">
      <c r="B540" s="531"/>
      <c r="C540" s="531"/>
      <c r="D540" s="531"/>
      <c r="E540" s="531"/>
      <c r="F540" s="531"/>
      <c r="G540" s="531"/>
      <c r="H540" s="531"/>
      <c r="I540" s="531"/>
      <c r="J540" s="531"/>
      <c r="K540" s="531"/>
      <c r="L540" s="531"/>
      <c r="M540" s="531"/>
      <c r="N540" s="531"/>
      <c r="O540" s="531"/>
      <c r="P540" s="531"/>
      <c r="Q540" s="531"/>
      <c r="R540" s="531"/>
      <c r="S540" s="532"/>
      <c r="T540" s="532"/>
      <c r="U540" s="532"/>
      <c r="V540" s="532"/>
      <c r="W540" s="532"/>
      <c r="X540" s="532"/>
      <c r="Y540" s="532"/>
      <c r="Z540" s="531"/>
      <c r="AA540" s="531"/>
      <c r="AB540" s="531"/>
      <c r="AC540" s="531"/>
      <c r="AD540" s="531"/>
      <c r="AE540" s="531"/>
      <c r="AF540" s="531"/>
      <c r="AG540" s="531"/>
    </row>
    <row r="541">
      <c r="B541" s="531"/>
      <c r="C541" s="531"/>
      <c r="D541" s="531"/>
      <c r="E541" s="531"/>
      <c r="F541" s="531"/>
      <c r="G541" s="531"/>
      <c r="H541" s="531"/>
      <c r="I541" s="531"/>
      <c r="J541" s="531"/>
      <c r="K541" s="531"/>
      <c r="L541" s="531"/>
      <c r="M541" s="531"/>
      <c r="N541" s="531"/>
      <c r="O541" s="531"/>
      <c r="P541" s="531"/>
      <c r="Q541" s="531"/>
      <c r="R541" s="531"/>
      <c r="S541" s="532"/>
      <c r="T541" s="532"/>
      <c r="U541" s="532"/>
      <c r="V541" s="532"/>
      <c r="W541" s="532"/>
      <c r="X541" s="532"/>
      <c r="Y541" s="532"/>
      <c r="Z541" s="531"/>
      <c r="AA541" s="531"/>
      <c r="AB541" s="531"/>
      <c r="AC541" s="531"/>
      <c r="AD541" s="531"/>
      <c r="AE541" s="531"/>
      <c r="AF541" s="531"/>
      <c r="AG541" s="531"/>
    </row>
    <row r="542">
      <c r="B542" s="531"/>
      <c r="C542" s="531"/>
      <c r="D542" s="531"/>
      <c r="E542" s="531"/>
      <c r="F542" s="531"/>
      <c r="G542" s="531"/>
      <c r="H542" s="531"/>
      <c r="I542" s="531"/>
      <c r="J542" s="531"/>
      <c r="K542" s="531"/>
      <c r="L542" s="531"/>
      <c r="M542" s="531"/>
      <c r="N542" s="531"/>
      <c r="O542" s="531"/>
      <c r="P542" s="531"/>
      <c r="Q542" s="531"/>
      <c r="R542" s="531"/>
      <c r="S542" s="532"/>
      <c r="T542" s="532"/>
      <c r="U542" s="532"/>
      <c r="V542" s="532"/>
      <c r="W542" s="532"/>
      <c r="X542" s="532"/>
      <c r="Y542" s="532"/>
      <c r="Z542" s="531"/>
      <c r="AA542" s="531"/>
      <c r="AB542" s="531"/>
      <c r="AC542" s="531"/>
      <c r="AD542" s="531"/>
      <c r="AE542" s="531"/>
      <c r="AF542" s="531"/>
      <c r="AG542" s="531"/>
    </row>
    <row r="543">
      <c r="B543" s="531"/>
      <c r="C543" s="531"/>
      <c r="D543" s="531"/>
      <c r="E543" s="531"/>
      <c r="F543" s="531"/>
      <c r="G543" s="531"/>
      <c r="H543" s="531"/>
      <c r="I543" s="531"/>
      <c r="J543" s="531"/>
      <c r="K543" s="531"/>
      <c r="L543" s="531"/>
      <c r="M543" s="531"/>
      <c r="N543" s="531"/>
      <c r="O543" s="531"/>
      <c r="P543" s="531"/>
      <c r="Q543" s="531"/>
      <c r="R543" s="531"/>
      <c r="S543" s="532"/>
      <c r="T543" s="532"/>
      <c r="U543" s="532"/>
      <c r="V543" s="532"/>
      <c r="W543" s="532"/>
      <c r="X543" s="532"/>
      <c r="Y543" s="532"/>
      <c r="Z543" s="531"/>
      <c r="AA543" s="531"/>
      <c r="AB543" s="531"/>
      <c r="AC543" s="531"/>
      <c r="AD543" s="531"/>
      <c r="AE543" s="531"/>
      <c r="AF543" s="531"/>
      <c r="AG543" s="531"/>
    </row>
    <row r="544">
      <c r="B544" s="531"/>
      <c r="C544" s="531"/>
      <c r="D544" s="531"/>
      <c r="E544" s="531"/>
      <c r="F544" s="531"/>
      <c r="G544" s="531"/>
      <c r="H544" s="531"/>
      <c r="I544" s="531"/>
      <c r="J544" s="531"/>
      <c r="K544" s="531"/>
      <c r="L544" s="531"/>
      <c r="M544" s="531"/>
      <c r="N544" s="531"/>
      <c r="O544" s="531"/>
      <c r="P544" s="531"/>
      <c r="Q544" s="531"/>
      <c r="R544" s="531"/>
      <c r="S544" s="532"/>
      <c r="T544" s="532"/>
      <c r="U544" s="532"/>
      <c r="V544" s="532"/>
      <c r="W544" s="532"/>
      <c r="X544" s="532"/>
      <c r="Y544" s="532"/>
      <c r="Z544" s="531"/>
      <c r="AA544" s="531"/>
      <c r="AB544" s="531"/>
      <c r="AC544" s="531"/>
      <c r="AD544" s="531"/>
      <c r="AE544" s="531"/>
      <c r="AF544" s="531"/>
      <c r="AG544" s="531"/>
    </row>
    <row r="545">
      <c r="B545" s="531"/>
      <c r="C545" s="531"/>
      <c r="D545" s="531"/>
      <c r="E545" s="531"/>
      <c r="F545" s="531"/>
      <c r="G545" s="531"/>
      <c r="H545" s="531"/>
      <c r="I545" s="531"/>
      <c r="J545" s="531"/>
      <c r="K545" s="531"/>
      <c r="L545" s="531"/>
      <c r="M545" s="531"/>
      <c r="N545" s="531"/>
      <c r="O545" s="531"/>
      <c r="P545" s="531"/>
      <c r="Q545" s="531"/>
      <c r="R545" s="531"/>
      <c r="S545" s="532"/>
      <c r="T545" s="532"/>
      <c r="U545" s="532"/>
      <c r="V545" s="532"/>
      <c r="W545" s="532"/>
      <c r="X545" s="532"/>
      <c r="Y545" s="532"/>
      <c r="Z545" s="531"/>
      <c r="AA545" s="531"/>
      <c r="AB545" s="531"/>
      <c r="AC545" s="531"/>
      <c r="AD545" s="531"/>
      <c r="AE545" s="531"/>
      <c r="AF545" s="531"/>
      <c r="AG545" s="531"/>
    </row>
    <row r="546">
      <c r="B546" s="531"/>
      <c r="C546" s="531"/>
      <c r="D546" s="531"/>
      <c r="E546" s="531"/>
      <c r="F546" s="531"/>
      <c r="G546" s="531"/>
      <c r="H546" s="531"/>
      <c r="I546" s="531"/>
      <c r="J546" s="531"/>
      <c r="K546" s="531"/>
      <c r="L546" s="531"/>
      <c r="M546" s="531"/>
      <c r="N546" s="531"/>
      <c r="O546" s="531"/>
      <c r="P546" s="531"/>
      <c r="Q546" s="531"/>
      <c r="R546" s="531"/>
      <c r="S546" s="532"/>
      <c r="T546" s="532"/>
      <c r="U546" s="532"/>
      <c r="V546" s="532"/>
      <c r="W546" s="532"/>
      <c r="X546" s="532"/>
      <c r="Y546" s="532"/>
      <c r="Z546" s="531"/>
      <c r="AA546" s="531"/>
      <c r="AB546" s="531"/>
      <c r="AC546" s="531"/>
      <c r="AD546" s="531"/>
      <c r="AE546" s="531"/>
      <c r="AF546" s="531"/>
      <c r="AG546" s="531"/>
    </row>
    <row r="547">
      <c r="B547" s="531"/>
      <c r="C547" s="531"/>
      <c r="D547" s="531"/>
      <c r="E547" s="531"/>
      <c r="F547" s="531"/>
      <c r="G547" s="531"/>
      <c r="H547" s="531"/>
      <c r="I547" s="531"/>
      <c r="J547" s="531"/>
      <c r="K547" s="531"/>
      <c r="L547" s="531"/>
      <c r="M547" s="531"/>
      <c r="N547" s="531"/>
      <c r="O547" s="531"/>
      <c r="P547" s="531"/>
      <c r="Q547" s="531"/>
      <c r="R547" s="531"/>
      <c r="S547" s="532"/>
      <c r="T547" s="532"/>
      <c r="U547" s="532"/>
      <c r="V547" s="532"/>
      <c r="W547" s="532"/>
      <c r="X547" s="532"/>
      <c r="Y547" s="532"/>
      <c r="Z547" s="531"/>
      <c r="AA547" s="531"/>
      <c r="AB547" s="531"/>
      <c r="AC547" s="531"/>
      <c r="AD547" s="531"/>
      <c r="AE547" s="531"/>
      <c r="AF547" s="531"/>
      <c r="AG547" s="531"/>
    </row>
    <row r="548">
      <c r="B548" s="531"/>
      <c r="C548" s="531"/>
      <c r="D548" s="531"/>
      <c r="E548" s="531"/>
      <c r="F548" s="531"/>
      <c r="G548" s="531"/>
      <c r="H548" s="531"/>
      <c r="I548" s="531"/>
      <c r="J548" s="531"/>
      <c r="K548" s="531"/>
      <c r="L548" s="531"/>
      <c r="M548" s="531"/>
      <c r="N548" s="531"/>
      <c r="O548" s="531"/>
      <c r="P548" s="531"/>
      <c r="Q548" s="531"/>
      <c r="R548" s="531"/>
      <c r="S548" s="532"/>
      <c r="T548" s="532"/>
      <c r="U548" s="532"/>
      <c r="V548" s="532"/>
      <c r="W548" s="532"/>
      <c r="X548" s="532"/>
      <c r="Y548" s="532"/>
      <c r="Z548" s="531"/>
      <c r="AA548" s="531"/>
      <c r="AB548" s="531"/>
      <c r="AC548" s="531"/>
      <c r="AD548" s="531"/>
      <c r="AE548" s="531"/>
      <c r="AF548" s="531"/>
      <c r="AG548" s="531"/>
    </row>
    <row r="549">
      <c r="B549" s="531"/>
      <c r="C549" s="531"/>
      <c r="D549" s="531"/>
      <c r="E549" s="531"/>
      <c r="F549" s="531"/>
      <c r="G549" s="531"/>
      <c r="H549" s="531"/>
      <c r="I549" s="531"/>
      <c r="J549" s="531"/>
      <c r="K549" s="531"/>
      <c r="L549" s="531"/>
      <c r="M549" s="531"/>
      <c r="N549" s="531"/>
      <c r="O549" s="531"/>
      <c r="P549" s="531"/>
      <c r="Q549" s="531"/>
      <c r="R549" s="531"/>
      <c r="S549" s="532"/>
      <c r="T549" s="532"/>
      <c r="U549" s="532"/>
      <c r="V549" s="532"/>
      <c r="W549" s="532"/>
      <c r="X549" s="532"/>
      <c r="Y549" s="532"/>
      <c r="Z549" s="531"/>
      <c r="AA549" s="531"/>
      <c r="AB549" s="531"/>
      <c r="AC549" s="531"/>
      <c r="AD549" s="531"/>
      <c r="AE549" s="531"/>
      <c r="AF549" s="531"/>
      <c r="AG549" s="531"/>
    </row>
    <row r="550">
      <c r="B550" s="531"/>
      <c r="C550" s="531"/>
      <c r="D550" s="531"/>
      <c r="E550" s="531"/>
      <c r="F550" s="531"/>
      <c r="G550" s="531"/>
      <c r="H550" s="531"/>
      <c r="I550" s="531"/>
      <c r="J550" s="531"/>
      <c r="K550" s="531"/>
      <c r="L550" s="531"/>
      <c r="M550" s="531"/>
      <c r="N550" s="531"/>
      <c r="O550" s="531"/>
      <c r="P550" s="531"/>
      <c r="Q550" s="531"/>
      <c r="R550" s="531"/>
      <c r="S550" s="532"/>
      <c r="T550" s="532"/>
      <c r="U550" s="532"/>
      <c r="V550" s="532"/>
      <c r="W550" s="532"/>
      <c r="X550" s="532"/>
      <c r="Y550" s="532"/>
      <c r="Z550" s="531"/>
      <c r="AA550" s="531"/>
      <c r="AB550" s="531"/>
      <c r="AC550" s="531"/>
      <c r="AD550" s="531"/>
      <c r="AE550" s="531"/>
      <c r="AF550" s="531"/>
      <c r="AG550" s="531"/>
    </row>
    <row r="551">
      <c r="B551" s="531"/>
      <c r="C551" s="531"/>
      <c r="D551" s="531"/>
      <c r="E551" s="531"/>
      <c r="F551" s="531"/>
      <c r="G551" s="531"/>
      <c r="H551" s="531"/>
      <c r="I551" s="531"/>
      <c r="J551" s="531"/>
      <c r="K551" s="531"/>
      <c r="L551" s="531"/>
      <c r="M551" s="531"/>
      <c r="N551" s="531"/>
      <c r="O551" s="531"/>
      <c r="P551" s="531"/>
      <c r="Q551" s="531"/>
      <c r="R551" s="531"/>
      <c r="S551" s="532"/>
      <c r="T551" s="532"/>
      <c r="U551" s="532"/>
      <c r="V551" s="532"/>
      <c r="W551" s="532"/>
      <c r="X551" s="532"/>
      <c r="Y551" s="532"/>
      <c r="Z551" s="531"/>
      <c r="AA551" s="531"/>
      <c r="AB551" s="531"/>
      <c r="AC551" s="531"/>
      <c r="AD551" s="531"/>
      <c r="AE551" s="531"/>
      <c r="AF551" s="531"/>
      <c r="AG551" s="531"/>
    </row>
    <row r="552">
      <c r="B552" s="531"/>
      <c r="C552" s="531"/>
      <c r="D552" s="531"/>
      <c r="E552" s="531"/>
      <c r="F552" s="531"/>
      <c r="G552" s="531"/>
      <c r="H552" s="531"/>
      <c r="I552" s="531"/>
      <c r="J552" s="531"/>
      <c r="K552" s="531"/>
      <c r="L552" s="531"/>
      <c r="M552" s="531"/>
      <c r="N552" s="531"/>
      <c r="O552" s="531"/>
      <c r="P552" s="531"/>
      <c r="Q552" s="531"/>
      <c r="R552" s="531"/>
      <c r="S552" s="532"/>
      <c r="T552" s="532"/>
      <c r="U552" s="532"/>
      <c r="V552" s="532"/>
      <c r="W552" s="532"/>
      <c r="X552" s="532"/>
      <c r="Y552" s="532"/>
      <c r="Z552" s="531"/>
      <c r="AA552" s="531"/>
      <c r="AB552" s="531"/>
      <c r="AC552" s="531"/>
      <c r="AD552" s="531"/>
      <c r="AE552" s="531"/>
      <c r="AF552" s="531"/>
      <c r="AG552" s="531"/>
    </row>
    <row r="553">
      <c r="B553" s="531"/>
      <c r="C553" s="531"/>
      <c r="D553" s="531"/>
      <c r="E553" s="531"/>
      <c r="F553" s="531"/>
      <c r="G553" s="531"/>
      <c r="H553" s="531"/>
      <c r="I553" s="531"/>
      <c r="J553" s="531"/>
      <c r="K553" s="531"/>
      <c r="L553" s="531"/>
      <c r="M553" s="531"/>
      <c r="N553" s="531"/>
      <c r="O553" s="531"/>
      <c r="P553" s="531"/>
      <c r="Q553" s="531"/>
      <c r="R553" s="531"/>
      <c r="S553" s="532"/>
      <c r="T553" s="532"/>
      <c r="U553" s="532"/>
      <c r="V553" s="532"/>
      <c r="W553" s="532"/>
      <c r="X553" s="532"/>
      <c r="Y553" s="532"/>
      <c r="Z553" s="531"/>
      <c r="AA553" s="531"/>
      <c r="AB553" s="531"/>
      <c r="AC553" s="531"/>
      <c r="AD553" s="531"/>
      <c r="AE553" s="531"/>
      <c r="AF553" s="531"/>
      <c r="AG553" s="531"/>
    </row>
    <row r="554">
      <c r="B554" s="531"/>
      <c r="C554" s="531"/>
      <c r="D554" s="531"/>
      <c r="E554" s="531"/>
      <c r="F554" s="531"/>
      <c r="G554" s="531"/>
      <c r="H554" s="531"/>
      <c r="I554" s="531"/>
      <c r="J554" s="531"/>
      <c r="K554" s="531"/>
      <c r="L554" s="531"/>
      <c r="M554" s="531"/>
      <c r="N554" s="531"/>
      <c r="O554" s="531"/>
      <c r="P554" s="531"/>
      <c r="Q554" s="531"/>
      <c r="R554" s="531"/>
      <c r="S554" s="532"/>
      <c r="T554" s="532"/>
      <c r="U554" s="532"/>
      <c r="V554" s="532"/>
      <c r="W554" s="532"/>
      <c r="X554" s="532"/>
      <c r="Y554" s="532"/>
      <c r="Z554" s="531"/>
      <c r="AA554" s="531"/>
      <c r="AB554" s="531"/>
      <c r="AC554" s="531"/>
      <c r="AD554" s="531"/>
      <c r="AE554" s="531"/>
      <c r="AF554" s="531"/>
      <c r="AG554" s="531"/>
    </row>
    <row r="555">
      <c r="B555" s="531"/>
      <c r="C555" s="531"/>
      <c r="D555" s="531"/>
      <c r="E555" s="531"/>
      <c r="F555" s="531"/>
      <c r="G555" s="531"/>
      <c r="H555" s="531"/>
      <c r="I555" s="531"/>
      <c r="J555" s="531"/>
      <c r="K555" s="531"/>
      <c r="L555" s="531"/>
      <c r="M555" s="531"/>
      <c r="N555" s="531"/>
      <c r="O555" s="531"/>
      <c r="P555" s="531"/>
      <c r="Q555" s="531"/>
      <c r="R555" s="531"/>
      <c r="S555" s="532"/>
      <c r="T555" s="532"/>
      <c r="U555" s="532"/>
      <c r="V555" s="532"/>
      <c r="W555" s="532"/>
      <c r="X555" s="532"/>
      <c r="Y555" s="532"/>
      <c r="Z555" s="531"/>
      <c r="AA555" s="531"/>
      <c r="AB555" s="531"/>
      <c r="AC555" s="531"/>
      <c r="AD555" s="531"/>
      <c r="AE555" s="531"/>
      <c r="AF555" s="531"/>
      <c r="AG555" s="531"/>
    </row>
    <row r="556">
      <c r="B556" s="531"/>
      <c r="C556" s="531"/>
      <c r="D556" s="531"/>
      <c r="E556" s="531"/>
      <c r="F556" s="531"/>
      <c r="G556" s="531"/>
      <c r="H556" s="531"/>
      <c r="I556" s="531"/>
      <c r="J556" s="531"/>
      <c r="K556" s="531"/>
      <c r="L556" s="531"/>
      <c r="M556" s="531"/>
      <c r="N556" s="531"/>
      <c r="O556" s="531"/>
      <c r="P556" s="531"/>
      <c r="Q556" s="531"/>
      <c r="R556" s="531"/>
      <c r="S556" s="532"/>
      <c r="T556" s="532"/>
      <c r="U556" s="532"/>
      <c r="V556" s="532"/>
      <c r="W556" s="532"/>
      <c r="X556" s="532"/>
      <c r="Y556" s="532"/>
      <c r="Z556" s="531"/>
      <c r="AA556" s="531"/>
      <c r="AB556" s="531"/>
      <c r="AC556" s="531"/>
      <c r="AD556" s="531"/>
      <c r="AE556" s="531"/>
      <c r="AF556" s="531"/>
      <c r="AG556" s="531"/>
    </row>
    <row r="557">
      <c r="B557" s="531"/>
      <c r="C557" s="531"/>
      <c r="D557" s="531"/>
      <c r="E557" s="531"/>
      <c r="F557" s="531"/>
      <c r="G557" s="531"/>
      <c r="H557" s="531"/>
      <c r="I557" s="531"/>
      <c r="J557" s="531"/>
      <c r="K557" s="531"/>
      <c r="L557" s="531"/>
      <c r="M557" s="531"/>
      <c r="N557" s="531"/>
      <c r="O557" s="531"/>
      <c r="P557" s="531"/>
      <c r="Q557" s="531"/>
      <c r="R557" s="531"/>
      <c r="S557" s="532"/>
      <c r="T557" s="532"/>
      <c r="U557" s="532"/>
      <c r="V557" s="532"/>
      <c r="W557" s="532"/>
      <c r="X557" s="532"/>
      <c r="Y557" s="532"/>
      <c r="Z557" s="531"/>
      <c r="AA557" s="531"/>
      <c r="AB557" s="531"/>
      <c r="AC557" s="531"/>
      <c r="AD557" s="531"/>
      <c r="AE557" s="531"/>
      <c r="AF557" s="531"/>
      <c r="AG557" s="531"/>
    </row>
    <row r="558">
      <c r="B558" s="531"/>
      <c r="C558" s="531"/>
      <c r="D558" s="531"/>
      <c r="E558" s="531"/>
      <c r="F558" s="531"/>
      <c r="G558" s="531"/>
      <c r="H558" s="531"/>
      <c r="I558" s="531"/>
      <c r="J558" s="531"/>
      <c r="K558" s="531"/>
      <c r="L558" s="531"/>
      <c r="M558" s="531"/>
      <c r="N558" s="531"/>
      <c r="O558" s="531"/>
      <c r="P558" s="531"/>
      <c r="Q558" s="531"/>
      <c r="R558" s="531"/>
      <c r="S558" s="532"/>
      <c r="T558" s="532"/>
      <c r="U558" s="532"/>
      <c r="V558" s="532"/>
      <c r="W558" s="532"/>
      <c r="X558" s="532"/>
      <c r="Y558" s="532"/>
      <c r="Z558" s="531"/>
      <c r="AA558" s="531"/>
      <c r="AB558" s="531"/>
      <c r="AC558" s="531"/>
      <c r="AD558" s="531"/>
      <c r="AE558" s="531"/>
      <c r="AF558" s="531"/>
      <c r="AG558" s="531"/>
    </row>
    <row r="559">
      <c r="B559" s="531"/>
      <c r="C559" s="531"/>
      <c r="D559" s="531"/>
      <c r="E559" s="531"/>
      <c r="F559" s="531"/>
      <c r="G559" s="531"/>
      <c r="H559" s="531"/>
      <c r="I559" s="531"/>
      <c r="J559" s="531"/>
      <c r="K559" s="531"/>
      <c r="L559" s="531"/>
      <c r="M559" s="531"/>
      <c r="N559" s="531"/>
      <c r="O559" s="531"/>
      <c r="P559" s="531"/>
      <c r="Q559" s="531"/>
      <c r="R559" s="531"/>
      <c r="S559" s="532"/>
      <c r="T559" s="532"/>
      <c r="U559" s="532"/>
      <c r="V559" s="532"/>
      <c r="W559" s="532"/>
      <c r="X559" s="532"/>
      <c r="Y559" s="532"/>
      <c r="Z559" s="531"/>
      <c r="AA559" s="531"/>
      <c r="AB559" s="531"/>
      <c r="AC559" s="531"/>
      <c r="AD559" s="531"/>
      <c r="AE559" s="531"/>
      <c r="AF559" s="531"/>
      <c r="AG559" s="531"/>
    </row>
    <row r="560">
      <c r="B560" s="531"/>
      <c r="C560" s="531"/>
      <c r="D560" s="531"/>
      <c r="E560" s="531"/>
      <c r="F560" s="531"/>
      <c r="G560" s="531"/>
      <c r="H560" s="531"/>
      <c r="I560" s="531"/>
      <c r="J560" s="531"/>
      <c r="K560" s="531"/>
      <c r="L560" s="531"/>
      <c r="M560" s="531"/>
      <c r="N560" s="531"/>
      <c r="O560" s="531"/>
      <c r="P560" s="531"/>
      <c r="Q560" s="531"/>
      <c r="R560" s="531"/>
      <c r="S560" s="532"/>
      <c r="T560" s="532"/>
      <c r="U560" s="532"/>
      <c r="V560" s="532"/>
      <c r="W560" s="532"/>
      <c r="X560" s="532"/>
      <c r="Y560" s="532"/>
      <c r="Z560" s="531"/>
      <c r="AA560" s="531"/>
      <c r="AB560" s="531"/>
      <c r="AC560" s="531"/>
      <c r="AD560" s="531"/>
      <c r="AE560" s="531"/>
      <c r="AF560" s="531"/>
      <c r="AG560" s="531"/>
    </row>
    <row r="561">
      <c r="B561" s="531"/>
      <c r="C561" s="531"/>
      <c r="D561" s="531"/>
      <c r="E561" s="531"/>
      <c r="F561" s="531"/>
      <c r="G561" s="531"/>
      <c r="H561" s="531"/>
      <c r="I561" s="531"/>
      <c r="J561" s="531"/>
      <c r="K561" s="531"/>
      <c r="L561" s="531"/>
      <c r="M561" s="531"/>
      <c r="N561" s="531"/>
      <c r="O561" s="531"/>
      <c r="P561" s="531"/>
      <c r="Q561" s="531"/>
      <c r="R561" s="531"/>
      <c r="S561" s="532"/>
      <c r="T561" s="532"/>
      <c r="U561" s="532"/>
      <c r="V561" s="532"/>
      <c r="W561" s="532"/>
      <c r="X561" s="532"/>
      <c r="Y561" s="532"/>
      <c r="Z561" s="531"/>
      <c r="AA561" s="531"/>
      <c r="AB561" s="531"/>
      <c r="AC561" s="531"/>
      <c r="AD561" s="531"/>
      <c r="AE561" s="531"/>
      <c r="AF561" s="531"/>
      <c r="AG561" s="531"/>
    </row>
    <row r="562">
      <c r="B562" s="531"/>
      <c r="C562" s="531"/>
      <c r="D562" s="531"/>
      <c r="E562" s="531"/>
      <c r="F562" s="531"/>
      <c r="G562" s="531"/>
      <c r="H562" s="531"/>
      <c r="I562" s="531"/>
      <c r="J562" s="531"/>
      <c r="K562" s="531"/>
      <c r="L562" s="531"/>
      <c r="M562" s="531"/>
      <c r="N562" s="531"/>
      <c r="O562" s="531"/>
      <c r="P562" s="531"/>
      <c r="Q562" s="531"/>
      <c r="R562" s="531"/>
      <c r="S562" s="532"/>
      <c r="T562" s="532"/>
      <c r="U562" s="532"/>
      <c r="V562" s="532"/>
      <c r="W562" s="532"/>
      <c r="X562" s="532"/>
      <c r="Y562" s="532"/>
      <c r="Z562" s="531"/>
      <c r="AA562" s="531"/>
      <c r="AB562" s="531"/>
      <c r="AC562" s="531"/>
      <c r="AD562" s="531"/>
      <c r="AE562" s="531"/>
      <c r="AF562" s="531"/>
      <c r="AG562" s="531"/>
    </row>
    <row r="563">
      <c r="B563" s="531"/>
      <c r="C563" s="531"/>
      <c r="D563" s="531"/>
      <c r="E563" s="531"/>
      <c r="F563" s="531"/>
      <c r="G563" s="531"/>
      <c r="H563" s="531"/>
      <c r="I563" s="531"/>
      <c r="J563" s="531"/>
      <c r="K563" s="531"/>
      <c r="L563" s="531"/>
      <c r="M563" s="531"/>
      <c r="N563" s="531"/>
      <c r="O563" s="531"/>
      <c r="P563" s="531"/>
      <c r="Q563" s="531"/>
      <c r="R563" s="531"/>
      <c r="S563" s="532"/>
      <c r="T563" s="532"/>
      <c r="U563" s="532"/>
      <c r="V563" s="532"/>
      <c r="W563" s="532"/>
      <c r="X563" s="532"/>
      <c r="Y563" s="532"/>
      <c r="Z563" s="531"/>
      <c r="AA563" s="531"/>
      <c r="AB563" s="531"/>
      <c r="AC563" s="531"/>
      <c r="AD563" s="531"/>
      <c r="AE563" s="531"/>
      <c r="AF563" s="531"/>
      <c r="AG563" s="531"/>
    </row>
    <row r="564">
      <c r="B564" s="531"/>
      <c r="C564" s="531"/>
      <c r="D564" s="531"/>
      <c r="E564" s="531"/>
      <c r="F564" s="531"/>
      <c r="G564" s="531"/>
      <c r="H564" s="531"/>
      <c r="I564" s="531"/>
      <c r="J564" s="531"/>
      <c r="K564" s="531"/>
      <c r="L564" s="531"/>
      <c r="M564" s="531"/>
      <c r="N564" s="531"/>
      <c r="O564" s="531"/>
      <c r="P564" s="531"/>
      <c r="Q564" s="531"/>
      <c r="R564" s="531"/>
      <c r="S564" s="532"/>
      <c r="T564" s="532"/>
      <c r="U564" s="532"/>
      <c r="V564" s="532"/>
      <c r="W564" s="532"/>
      <c r="X564" s="532"/>
      <c r="Y564" s="532"/>
      <c r="Z564" s="531"/>
      <c r="AA564" s="531"/>
      <c r="AB564" s="531"/>
      <c r="AC564" s="531"/>
      <c r="AD564" s="531"/>
      <c r="AE564" s="531"/>
      <c r="AF564" s="531"/>
      <c r="AG564" s="531"/>
    </row>
    <row r="565">
      <c r="B565" s="531"/>
      <c r="C565" s="531"/>
      <c r="D565" s="531"/>
      <c r="E565" s="531"/>
      <c r="F565" s="531"/>
      <c r="G565" s="531"/>
      <c r="H565" s="531"/>
      <c r="I565" s="531"/>
      <c r="J565" s="531"/>
      <c r="K565" s="531"/>
      <c r="L565" s="531"/>
      <c r="M565" s="531"/>
      <c r="N565" s="531"/>
      <c r="O565" s="531"/>
      <c r="P565" s="531"/>
      <c r="Q565" s="531"/>
      <c r="R565" s="531"/>
      <c r="S565" s="532"/>
      <c r="T565" s="532"/>
      <c r="U565" s="532"/>
      <c r="V565" s="532"/>
      <c r="W565" s="532"/>
      <c r="X565" s="532"/>
      <c r="Y565" s="532"/>
      <c r="Z565" s="531"/>
      <c r="AA565" s="531"/>
      <c r="AB565" s="531"/>
      <c r="AC565" s="531"/>
      <c r="AD565" s="531"/>
      <c r="AE565" s="531"/>
      <c r="AF565" s="531"/>
      <c r="AG565" s="531"/>
    </row>
    <row r="566">
      <c r="B566" s="531"/>
      <c r="C566" s="531"/>
      <c r="D566" s="531"/>
      <c r="E566" s="531"/>
      <c r="F566" s="531"/>
      <c r="G566" s="531"/>
      <c r="H566" s="531"/>
      <c r="I566" s="531"/>
      <c r="J566" s="531"/>
      <c r="K566" s="531"/>
      <c r="L566" s="531"/>
      <c r="M566" s="531"/>
      <c r="N566" s="531"/>
      <c r="O566" s="531"/>
      <c r="P566" s="531"/>
      <c r="Q566" s="531"/>
      <c r="R566" s="531"/>
      <c r="S566" s="532"/>
      <c r="T566" s="532"/>
      <c r="U566" s="532"/>
      <c r="V566" s="532"/>
      <c r="W566" s="532"/>
      <c r="X566" s="532"/>
      <c r="Y566" s="532"/>
      <c r="Z566" s="531"/>
      <c r="AA566" s="531"/>
      <c r="AB566" s="531"/>
      <c r="AC566" s="531"/>
      <c r="AD566" s="531"/>
      <c r="AE566" s="531"/>
      <c r="AF566" s="531"/>
      <c r="AG566" s="531"/>
    </row>
    <row r="567">
      <c r="B567" s="531"/>
      <c r="C567" s="531"/>
      <c r="D567" s="531"/>
      <c r="E567" s="531"/>
      <c r="F567" s="531"/>
      <c r="G567" s="531"/>
      <c r="H567" s="531"/>
      <c r="I567" s="531"/>
      <c r="J567" s="531"/>
      <c r="K567" s="531"/>
      <c r="L567" s="531"/>
      <c r="M567" s="531"/>
      <c r="N567" s="531"/>
      <c r="O567" s="531"/>
      <c r="P567" s="531"/>
      <c r="Q567" s="531"/>
      <c r="R567" s="531"/>
      <c r="S567" s="532"/>
      <c r="T567" s="532"/>
      <c r="U567" s="532"/>
      <c r="V567" s="532"/>
      <c r="W567" s="532"/>
      <c r="X567" s="532"/>
      <c r="Y567" s="532"/>
      <c r="Z567" s="531"/>
      <c r="AA567" s="531"/>
      <c r="AB567" s="531"/>
      <c r="AC567" s="531"/>
      <c r="AD567" s="531"/>
      <c r="AE567" s="531"/>
      <c r="AF567" s="531"/>
      <c r="AG567" s="531"/>
    </row>
    <row r="568">
      <c r="B568" s="531"/>
      <c r="C568" s="531"/>
      <c r="D568" s="531"/>
      <c r="E568" s="531"/>
      <c r="F568" s="531"/>
      <c r="G568" s="531"/>
      <c r="H568" s="531"/>
      <c r="I568" s="531"/>
      <c r="J568" s="531"/>
      <c r="K568" s="531"/>
      <c r="L568" s="531"/>
      <c r="M568" s="531"/>
      <c r="N568" s="531"/>
      <c r="O568" s="531"/>
      <c r="P568" s="531"/>
      <c r="Q568" s="531"/>
      <c r="R568" s="531"/>
      <c r="S568" s="532"/>
      <c r="T568" s="532"/>
      <c r="U568" s="532"/>
      <c r="V568" s="532"/>
      <c r="W568" s="532"/>
      <c r="X568" s="532"/>
      <c r="Y568" s="532"/>
      <c r="Z568" s="531"/>
      <c r="AA568" s="531"/>
      <c r="AB568" s="531"/>
      <c r="AC568" s="531"/>
      <c r="AD568" s="531"/>
      <c r="AE568" s="531"/>
      <c r="AF568" s="531"/>
      <c r="AG568" s="531"/>
    </row>
    <row r="569">
      <c r="B569" s="531"/>
      <c r="C569" s="531"/>
      <c r="D569" s="531"/>
      <c r="E569" s="531"/>
      <c r="F569" s="531"/>
      <c r="G569" s="531"/>
      <c r="H569" s="531"/>
      <c r="I569" s="531"/>
      <c r="J569" s="531"/>
      <c r="K569" s="531"/>
      <c r="L569" s="531"/>
      <c r="M569" s="531"/>
      <c r="N569" s="531"/>
      <c r="O569" s="531"/>
      <c r="P569" s="531"/>
      <c r="Q569" s="531"/>
      <c r="R569" s="531"/>
      <c r="S569" s="532"/>
      <c r="T569" s="532"/>
      <c r="U569" s="532"/>
      <c r="V569" s="532"/>
      <c r="W569" s="532"/>
      <c r="X569" s="532"/>
      <c r="Y569" s="532"/>
      <c r="Z569" s="531"/>
      <c r="AA569" s="531"/>
      <c r="AB569" s="531"/>
      <c r="AC569" s="531"/>
      <c r="AD569" s="531"/>
      <c r="AE569" s="531"/>
      <c r="AF569" s="531"/>
      <c r="AG569" s="531"/>
    </row>
    <row r="570">
      <c r="B570" s="531"/>
      <c r="C570" s="531"/>
      <c r="D570" s="531"/>
      <c r="E570" s="531"/>
      <c r="F570" s="531"/>
      <c r="G570" s="531"/>
      <c r="H570" s="531"/>
      <c r="I570" s="531"/>
      <c r="J570" s="531"/>
      <c r="K570" s="531"/>
      <c r="L570" s="531"/>
      <c r="M570" s="531"/>
      <c r="N570" s="531"/>
      <c r="O570" s="531"/>
      <c r="P570" s="531"/>
      <c r="Q570" s="531"/>
      <c r="R570" s="531"/>
      <c r="S570" s="532"/>
      <c r="T570" s="532"/>
      <c r="U570" s="532"/>
      <c r="V570" s="532"/>
      <c r="W570" s="532"/>
      <c r="X570" s="532"/>
      <c r="Y570" s="532"/>
      <c r="Z570" s="531"/>
      <c r="AA570" s="531"/>
      <c r="AB570" s="531"/>
      <c r="AC570" s="531"/>
      <c r="AD570" s="531"/>
      <c r="AE570" s="531"/>
      <c r="AF570" s="531"/>
      <c r="AG570" s="531"/>
    </row>
    <row r="571">
      <c r="B571" s="531"/>
      <c r="C571" s="531"/>
      <c r="D571" s="531"/>
      <c r="E571" s="531"/>
      <c r="F571" s="531"/>
      <c r="G571" s="531"/>
      <c r="H571" s="531"/>
      <c r="I571" s="531"/>
      <c r="J571" s="531"/>
      <c r="K571" s="531"/>
      <c r="L571" s="531"/>
      <c r="M571" s="531"/>
      <c r="N571" s="531"/>
      <c r="O571" s="531"/>
      <c r="P571" s="531"/>
      <c r="Q571" s="531"/>
      <c r="R571" s="531"/>
      <c r="S571" s="532"/>
      <c r="T571" s="532"/>
      <c r="U571" s="532"/>
      <c r="V571" s="532"/>
      <c r="W571" s="532"/>
      <c r="X571" s="532"/>
      <c r="Y571" s="532"/>
      <c r="Z571" s="531"/>
      <c r="AA571" s="531"/>
      <c r="AB571" s="531"/>
      <c r="AC571" s="531"/>
      <c r="AD571" s="531"/>
      <c r="AE571" s="531"/>
      <c r="AF571" s="531"/>
      <c r="AG571" s="531"/>
    </row>
    <row r="572">
      <c r="B572" s="531"/>
      <c r="C572" s="531"/>
      <c r="D572" s="531"/>
      <c r="E572" s="531"/>
      <c r="F572" s="531"/>
      <c r="G572" s="531"/>
      <c r="H572" s="531"/>
      <c r="I572" s="531"/>
      <c r="J572" s="531"/>
      <c r="K572" s="531"/>
      <c r="L572" s="531"/>
      <c r="M572" s="531"/>
      <c r="N572" s="531"/>
      <c r="O572" s="531"/>
      <c r="P572" s="531"/>
      <c r="Q572" s="531"/>
      <c r="R572" s="531"/>
      <c r="S572" s="532"/>
      <c r="T572" s="532"/>
      <c r="U572" s="532"/>
      <c r="V572" s="532"/>
      <c r="W572" s="532"/>
      <c r="X572" s="532"/>
      <c r="Y572" s="532"/>
      <c r="Z572" s="531"/>
      <c r="AA572" s="531"/>
      <c r="AB572" s="531"/>
      <c r="AC572" s="531"/>
      <c r="AD572" s="531"/>
      <c r="AE572" s="531"/>
      <c r="AF572" s="531"/>
      <c r="AG572" s="531"/>
    </row>
    <row r="573">
      <c r="B573" s="531"/>
      <c r="C573" s="531"/>
      <c r="D573" s="531"/>
      <c r="E573" s="531"/>
      <c r="F573" s="531"/>
      <c r="G573" s="531"/>
      <c r="H573" s="531"/>
      <c r="I573" s="531"/>
      <c r="J573" s="531"/>
      <c r="K573" s="531"/>
      <c r="L573" s="531"/>
      <c r="M573" s="531"/>
      <c r="N573" s="531"/>
      <c r="O573" s="531"/>
      <c r="P573" s="531"/>
      <c r="Q573" s="531"/>
      <c r="R573" s="531"/>
      <c r="S573" s="532"/>
      <c r="T573" s="532"/>
      <c r="U573" s="532"/>
      <c r="V573" s="532"/>
      <c r="W573" s="532"/>
      <c r="X573" s="532"/>
      <c r="Y573" s="532"/>
      <c r="Z573" s="531"/>
      <c r="AA573" s="531"/>
      <c r="AB573" s="531"/>
      <c r="AC573" s="531"/>
      <c r="AD573" s="531"/>
      <c r="AE573" s="531"/>
      <c r="AF573" s="531"/>
      <c r="AG573" s="531"/>
    </row>
    <row r="574">
      <c r="B574" s="531"/>
      <c r="C574" s="531"/>
      <c r="D574" s="531"/>
      <c r="E574" s="531"/>
      <c r="F574" s="531"/>
      <c r="G574" s="531"/>
      <c r="H574" s="531"/>
      <c r="I574" s="531"/>
      <c r="J574" s="531"/>
      <c r="K574" s="531"/>
      <c r="L574" s="531"/>
      <c r="M574" s="531"/>
      <c r="N574" s="531"/>
      <c r="O574" s="531"/>
      <c r="P574" s="531"/>
      <c r="Q574" s="531"/>
      <c r="R574" s="531"/>
      <c r="S574" s="532"/>
      <c r="T574" s="532"/>
      <c r="U574" s="532"/>
      <c r="V574" s="532"/>
      <c r="W574" s="532"/>
      <c r="X574" s="532"/>
      <c r="Y574" s="532"/>
      <c r="Z574" s="531"/>
      <c r="AA574" s="531"/>
      <c r="AB574" s="531"/>
      <c r="AC574" s="531"/>
      <c r="AD574" s="531"/>
      <c r="AE574" s="531"/>
      <c r="AF574" s="531"/>
      <c r="AG574" s="531"/>
    </row>
    <row r="575">
      <c r="B575" s="531"/>
      <c r="C575" s="531"/>
      <c r="D575" s="531"/>
      <c r="E575" s="531"/>
      <c r="F575" s="531"/>
      <c r="G575" s="531"/>
      <c r="H575" s="531"/>
      <c r="I575" s="531"/>
      <c r="J575" s="531"/>
      <c r="K575" s="531"/>
      <c r="L575" s="531"/>
      <c r="M575" s="531"/>
      <c r="N575" s="531"/>
      <c r="O575" s="531"/>
      <c r="P575" s="531"/>
      <c r="Q575" s="531"/>
      <c r="R575" s="531"/>
      <c r="S575" s="532"/>
      <c r="T575" s="532"/>
      <c r="U575" s="532"/>
      <c r="V575" s="532"/>
      <c r="W575" s="532"/>
      <c r="X575" s="532"/>
      <c r="Y575" s="532"/>
      <c r="Z575" s="531"/>
      <c r="AA575" s="531"/>
      <c r="AB575" s="531"/>
      <c r="AC575" s="531"/>
      <c r="AD575" s="531"/>
      <c r="AE575" s="531"/>
      <c r="AF575" s="531"/>
      <c r="AG575" s="531"/>
    </row>
    <row r="576">
      <c r="B576" s="531"/>
      <c r="C576" s="531"/>
      <c r="D576" s="531"/>
      <c r="E576" s="531"/>
      <c r="F576" s="531"/>
      <c r="G576" s="531"/>
      <c r="H576" s="531"/>
      <c r="I576" s="531"/>
      <c r="J576" s="531"/>
      <c r="K576" s="531"/>
      <c r="L576" s="531"/>
      <c r="M576" s="531"/>
      <c r="N576" s="531"/>
      <c r="O576" s="531"/>
      <c r="P576" s="531"/>
      <c r="Q576" s="531"/>
      <c r="R576" s="531"/>
      <c r="S576" s="532"/>
      <c r="T576" s="532"/>
      <c r="U576" s="532"/>
      <c r="V576" s="532"/>
      <c r="W576" s="532"/>
      <c r="X576" s="532"/>
      <c r="Y576" s="532"/>
      <c r="Z576" s="531"/>
      <c r="AA576" s="531"/>
      <c r="AB576" s="531"/>
      <c r="AC576" s="531"/>
      <c r="AD576" s="531"/>
      <c r="AE576" s="531"/>
      <c r="AF576" s="531"/>
      <c r="AG576" s="531"/>
    </row>
    <row r="577">
      <c r="B577" s="531"/>
      <c r="C577" s="531"/>
      <c r="D577" s="531"/>
      <c r="E577" s="531"/>
      <c r="F577" s="531"/>
      <c r="G577" s="531"/>
      <c r="H577" s="531"/>
      <c r="I577" s="531"/>
      <c r="J577" s="531"/>
      <c r="K577" s="531"/>
      <c r="L577" s="531"/>
      <c r="M577" s="531"/>
      <c r="N577" s="531"/>
      <c r="O577" s="531"/>
      <c r="P577" s="531"/>
      <c r="Q577" s="531"/>
      <c r="R577" s="531"/>
      <c r="S577" s="532"/>
      <c r="T577" s="532"/>
      <c r="U577" s="532"/>
      <c r="V577" s="532"/>
      <c r="W577" s="532"/>
      <c r="X577" s="532"/>
      <c r="Y577" s="532"/>
      <c r="Z577" s="531"/>
      <c r="AA577" s="531"/>
      <c r="AB577" s="531"/>
      <c r="AC577" s="531"/>
      <c r="AD577" s="531"/>
      <c r="AE577" s="531"/>
      <c r="AF577" s="531"/>
      <c r="AG577" s="531"/>
    </row>
    <row r="578">
      <c r="B578" s="531"/>
      <c r="C578" s="531"/>
      <c r="D578" s="531"/>
      <c r="E578" s="531"/>
      <c r="F578" s="531"/>
      <c r="G578" s="531"/>
      <c r="H578" s="531"/>
      <c r="I578" s="531"/>
      <c r="J578" s="531"/>
      <c r="K578" s="531"/>
      <c r="L578" s="531"/>
      <c r="M578" s="531"/>
      <c r="N578" s="531"/>
      <c r="O578" s="531"/>
      <c r="P578" s="531"/>
      <c r="Q578" s="531"/>
      <c r="R578" s="531"/>
      <c r="S578" s="532"/>
      <c r="T578" s="532"/>
      <c r="U578" s="532"/>
      <c r="V578" s="532"/>
      <c r="W578" s="532"/>
      <c r="X578" s="532"/>
      <c r="Y578" s="532"/>
      <c r="Z578" s="531"/>
      <c r="AA578" s="531"/>
      <c r="AB578" s="531"/>
      <c r="AC578" s="531"/>
      <c r="AD578" s="531"/>
      <c r="AE578" s="531"/>
      <c r="AF578" s="531"/>
      <c r="AG578" s="531"/>
    </row>
    <row r="579">
      <c r="B579" s="531"/>
      <c r="C579" s="531"/>
      <c r="D579" s="531"/>
      <c r="E579" s="531"/>
      <c r="F579" s="531"/>
      <c r="G579" s="531"/>
      <c r="H579" s="531"/>
      <c r="I579" s="531"/>
      <c r="J579" s="531"/>
      <c r="K579" s="531"/>
      <c r="L579" s="531"/>
      <c r="M579" s="531"/>
      <c r="N579" s="531"/>
      <c r="O579" s="531"/>
      <c r="P579" s="531"/>
      <c r="Q579" s="531"/>
      <c r="R579" s="531"/>
      <c r="S579" s="532"/>
      <c r="T579" s="532"/>
      <c r="U579" s="532"/>
      <c r="V579" s="532"/>
      <c r="W579" s="532"/>
      <c r="X579" s="532"/>
      <c r="Y579" s="532"/>
      <c r="Z579" s="531"/>
      <c r="AA579" s="531"/>
      <c r="AB579" s="531"/>
      <c r="AC579" s="531"/>
      <c r="AD579" s="531"/>
      <c r="AE579" s="531"/>
      <c r="AF579" s="531"/>
      <c r="AG579" s="531"/>
    </row>
    <row r="580">
      <c r="B580" s="531"/>
      <c r="C580" s="531"/>
      <c r="D580" s="531"/>
      <c r="E580" s="531"/>
      <c r="F580" s="531"/>
      <c r="G580" s="531"/>
      <c r="H580" s="531"/>
      <c r="I580" s="531"/>
      <c r="J580" s="531"/>
      <c r="K580" s="531"/>
      <c r="L580" s="531"/>
      <c r="M580" s="531"/>
      <c r="N580" s="531"/>
      <c r="O580" s="531"/>
      <c r="P580" s="531"/>
      <c r="Q580" s="531"/>
      <c r="R580" s="531"/>
      <c r="S580" s="532"/>
      <c r="T580" s="532"/>
      <c r="U580" s="532"/>
      <c r="V580" s="532"/>
      <c r="W580" s="532"/>
      <c r="X580" s="532"/>
      <c r="Y580" s="532"/>
      <c r="Z580" s="531"/>
      <c r="AA580" s="531"/>
      <c r="AB580" s="531"/>
      <c r="AC580" s="531"/>
      <c r="AD580" s="531"/>
      <c r="AE580" s="531"/>
      <c r="AF580" s="531"/>
      <c r="AG580" s="531"/>
    </row>
    <row r="581">
      <c r="B581" s="531"/>
      <c r="C581" s="531"/>
      <c r="D581" s="531"/>
      <c r="E581" s="531"/>
      <c r="F581" s="531"/>
      <c r="G581" s="531"/>
      <c r="H581" s="531"/>
      <c r="I581" s="531"/>
      <c r="J581" s="531"/>
      <c r="K581" s="531"/>
      <c r="L581" s="531"/>
      <c r="M581" s="531"/>
      <c r="N581" s="531"/>
      <c r="O581" s="531"/>
      <c r="P581" s="531"/>
      <c r="Q581" s="531"/>
      <c r="R581" s="531"/>
      <c r="S581" s="532"/>
      <c r="T581" s="532"/>
      <c r="U581" s="532"/>
      <c r="V581" s="532"/>
      <c r="W581" s="532"/>
      <c r="X581" s="532"/>
      <c r="Y581" s="532"/>
      <c r="Z581" s="531"/>
      <c r="AA581" s="531"/>
      <c r="AB581" s="531"/>
      <c r="AC581" s="531"/>
      <c r="AD581" s="531"/>
      <c r="AE581" s="531"/>
      <c r="AF581" s="531"/>
      <c r="AG581" s="531"/>
    </row>
    <row r="582">
      <c r="B582" s="531"/>
      <c r="C582" s="531"/>
      <c r="D582" s="531"/>
      <c r="E582" s="531"/>
      <c r="F582" s="531"/>
      <c r="G582" s="531"/>
      <c r="H582" s="531"/>
      <c r="I582" s="531"/>
      <c r="J582" s="531"/>
      <c r="K582" s="531"/>
      <c r="L582" s="531"/>
      <c r="M582" s="531"/>
      <c r="N582" s="531"/>
      <c r="O582" s="531"/>
      <c r="P582" s="531"/>
      <c r="Q582" s="531"/>
      <c r="R582" s="531"/>
      <c r="S582" s="532"/>
      <c r="T582" s="532"/>
      <c r="U582" s="532"/>
      <c r="V582" s="532"/>
      <c r="W582" s="532"/>
      <c r="X582" s="532"/>
      <c r="Y582" s="532"/>
      <c r="Z582" s="531"/>
      <c r="AA582" s="531"/>
      <c r="AB582" s="531"/>
      <c r="AC582" s="531"/>
      <c r="AD582" s="531"/>
      <c r="AE582" s="531"/>
      <c r="AF582" s="531"/>
      <c r="AG582" s="531"/>
    </row>
    <row r="583">
      <c r="B583" s="531"/>
      <c r="C583" s="531"/>
      <c r="D583" s="531"/>
      <c r="E583" s="531"/>
      <c r="F583" s="531"/>
      <c r="G583" s="531"/>
      <c r="H583" s="531"/>
      <c r="I583" s="531"/>
      <c r="J583" s="531"/>
      <c r="K583" s="531"/>
      <c r="L583" s="531"/>
      <c r="M583" s="531"/>
      <c r="N583" s="531"/>
      <c r="O583" s="531"/>
      <c r="P583" s="531"/>
      <c r="Q583" s="531"/>
      <c r="R583" s="531"/>
      <c r="S583" s="532"/>
      <c r="T583" s="532"/>
      <c r="U583" s="532"/>
      <c r="V583" s="532"/>
      <c r="W583" s="532"/>
      <c r="X583" s="532"/>
      <c r="Y583" s="532"/>
      <c r="Z583" s="531"/>
      <c r="AA583" s="531"/>
      <c r="AB583" s="531"/>
      <c r="AC583" s="531"/>
      <c r="AD583" s="531"/>
      <c r="AE583" s="531"/>
      <c r="AF583" s="531"/>
      <c r="AG583" s="531"/>
    </row>
    <row r="584">
      <c r="B584" s="531"/>
      <c r="C584" s="531"/>
      <c r="D584" s="531"/>
      <c r="E584" s="531"/>
      <c r="F584" s="531"/>
      <c r="G584" s="531"/>
      <c r="H584" s="531"/>
      <c r="I584" s="531"/>
      <c r="J584" s="531"/>
      <c r="K584" s="531"/>
      <c r="L584" s="531"/>
      <c r="M584" s="531"/>
      <c r="N584" s="531"/>
      <c r="O584" s="531"/>
      <c r="P584" s="531"/>
      <c r="Q584" s="531"/>
      <c r="R584" s="531"/>
      <c r="S584" s="532"/>
      <c r="T584" s="532"/>
      <c r="U584" s="532"/>
      <c r="V584" s="532"/>
      <c r="W584" s="532"/>
      <c r="X584" s="532"/>
      <c r="Y584" s="532"/>
      <c r="Z584" s="531"/>
      <c r="AA584" s="531"/>
      <c r="AB584" s="531"/>
      <c r="AC584" s="531"/>
      <c r="AD584" s="531"/>
      <c r="AE584" s="531"/>
      <c r="AF584" s="531"/>
      <c r="AG584" s="531"/>
    </row>
    <row r="585">
      <c r="B585" s="531"/>
      <c r="C585" s="531"/>
      <c r="D585" s="531"/>
      <c r="E585" s="531"/>
      <c r="F585" s="531"/>
      <c r="G585" s="531"/>
      <c r="H585" s="531"/>
      <c r="I585" s="531"/>
      <c r="J585" s="531"/>
      <c r="K585" s="531"/>
      <c r="L585" s="531"/>
      <c r="M585" s="531"/>
      <c r="N585" s="531"/>
      <c r="O585" s="531"/>
      <c r="P585" s="531"/>
      <c r="Q585" s="531"/>
      <c r="R585" s="531"/>
      <c r="S585" s="532"/>
      <c r="T585" s="532"/>
      <c r="U585" s="532"/>
      <c r="V585" s="532"/>
      <c r="W585" s="532"/>
      <c r="X585" s="532"/>
      <c r="Y585" s="532"/>
      <c r="Z585" s="531"/>
      <c r="AA585" s="531"/>
      <c r="AB585" s="531"/>
      <c r="AC585" s="531"/>
      <c r="AD585" s="531"/>
      <c r="AE585" s="531"/>
      <c r="AF585" s="531"/>
      <c r="AG585" s="531"/>
    </row>
    <row r="586">
      <c r="B586" s="531"/>
      <c r="C586" s="531"/>
      <c r="D586" s="531"/>
      <c r="E586" s="531"/>
      <c r="F586" s="531"/>
      <c r="G586" s="531"/>
      <c r="H586" s="531"/>
      <c r="I586" s="531"/>
      <c r="J586" s="531"/>
      <c r="K586" s="531"/>
      <c r="L586" s="531"/>
      <c r="M586" s="531"/>
      <c r="N586" s="531"/>
      <c r="O586" s="531"/>
      <c r="P586" s="531"/>
      <c r="Q586" s="531"/>
      <c r="R586" s="531"/>
      <c r="S586" s="532"/>
      <c r="T586" s="532"/>
      <c r="U586" s="532"/>
      <c r="V586" s="532"/>
      <c r="W586" s="532"/>
      <c r="X586" s="532"/>
      <c r="Y586" s="532"/>
      <c r="Z586" s="531"/>
      <c r="AA586" s="531"/>
      <c r="AB586" s="531"/>
      <c r="AC586" s="531"/>
      <c r="AD586" s="531"/>
      <c r="AE586" s="531"/>
      <c r="AF586" s="531"/>
      <c r="AG586" s="531"/>
    </row>
    <row r="587">
      <c r="B587" s="531"/>
      <c r="C587" s="531"/>
      <c r="D587" s="531"/>
      <c r="E587" s="531"/>
      <c r="F587" s="531"/>
      <c r="G587" s="531"/>
      <c r="H587" s="531"/>
      <c r="I587" s="531"/>
      <c r="J587" s="531"/>
      <c r="K587" s="531"/>
      <c r="L587" s="531"/>
      <c r="M587" s="531"/>
      <c r="N587" s="531"/>
      <c r="O587" s="531"/>
      <c r="P587" s="531"/>
      <c r="Q587" s="531"/>
      <c r="R587" s="531"/>
      <c r="S587" s="532"/>
      <c r="T587" s="532"/>
      <c r="U587" s="532"/>
      <c r="V587" s="532"/>
      <c r="W587" s="532"/>
      <c r="X587" s="532"/>
      <c r="Y587" s="532"/>
      <c r="Z587" s="531"/>
      <c r="AA587" s="531"/>
      <c r="AB587" s="531"/>
      <c r="AC587" s="531"/>
      <c r="AD587" s="531"/>
      <c r="AE587" s="531"/>
      <c r="AF587" s="531"/>
      <c r="AG587" s="531"/>
    </row>
    <row r="588">
      <c r="B588" s="531"/>
      <c r="C588" s="531"/>
      <c r="D588" s="531"/>
      <c r="E588" s="531"/>
      <c r="F588" s="531"/>
      <c r="G588" s="531"/>
      <c r="H588" s="531"/>
      <c r="I588" s="531"/>
      <c r="J588" s="531"/>
      <c r="K588" s="531"/>
      <c r="L588" s="531"/>
      <c r="M588" s="531"/>
      <c r="N588" s="531"/>
      <c r="O588" s="531"/>
      <c r="P588" s="531"/>
      <c r="Q588" s="531"/>
      <c r="R588" s="531"/>
      <c r="S588" s="532"/>
      <c r="T588" s="532"/>
      <c r="U588" s="532"/>
      <c r="V588" s="532"/>
      <c r="W588" s="532"/>
      <c r="X588" s="532"/>
      <c r="Y588" s="532"/>
      <c r="Z588" s="531"/>
      <c r="AA588" s="531"/>
      <c r="AB588" s="531"/>
      <c r="AC588" s="531"/>
      <c r="AD588" s="531"/>
      <c r="AE588" s="531"/>
      <c r="AF588" s="531"/>
      <c r="AG588" s="531"/>
    </row>
    <row r="589">
      <c r="B589" s="531"/>
      <c r="C589" s="531"/>
      <c r="D589" s="531"/>
      <c r="E589" s="531"/>
      <c r="F589" s="531"/>
      <c r="G589" s="531"/>
      <c r="H589" s="531"/>
      <c r="I589" s="531"/>
      <c r="J589" s="531"/>
      <c r="K589" s="531"/>
      <c r="L589" s="531"/>
      <c r="M589" s="531"/>
      <c r="N589" s="531"/>
      <c r="O589" s="531"/>
      <c r="P589" s="531"/>
      <c r="Q589" s="531"/>
      <c r="R589" s="531"/>
      <c r="S589" s="532"/>
      <c r="T589" s="532"/>
      <c r="U589" s="532"/>
      <c r="V589" s="532"/>
      <c r="W589" s="532"/>
      <c r="X589" s="532"/>
      <c r="Y589" s="532"/>
      <c r="Z589" s="531"/>
      <c r="AA589" s="531"/>
      <c r="AB589" s="531"/>
      <c r="AC589" s="531"/>
      <c r="AD589" s="531"/>
      <c r="AE589" s="531"/>
      <c r="AF589" s="531"/>
      <c r="AG589" s="531"/>
    </row>
    <row r="590">
      <c r="B590" s="531"/>
      <c r="C590" s="531"/>
      <c r="D590" s="531"/>
      <c r="E590" s="531"/>
      <c r="F590" s="531"/>
      <c r="G590" s="531"/>
      <c r="H590" s="531"/>
      <c r="I590" s="531"/>
      <c r="J590" s="531"/>
      <c r="K590" s="531"/>
      <c r="L590" s="531"/>
      <c r="M590" s="531"/>
      <c r="N590" s="531"/>
      <c r="O590" s="531"/>
      <c r="P590" s="531"/>
      <c r="Q590" s="531"/>
      <c r="R590" s="531"/>
      <c r="S590" s="532"/>
      <c r="T590" s="532"/>
      <c r="U590" s="532"/>
      <c r="V590" s="532"/>
      <c r="W590" s="532"/>
      <c r="X590" s="532"/>
      <c r="Y590" s="532"/>
      <c r="Z590" s="531"/>
      <c r="AA590" s="531"/>
      <c r="AB590" s="531"/>
      <c r="AC590" s="531"/>
      <c r="AD590" s="531"/>
      <c r="AE590" s="531"/>
      <c r="AF590" s="531"/>
      <c r="AG590" s="531"/>
    </row>
    <row r="591">
      <c r="B591" s="531"/>
      <c r="C591" s="531"/>
      <c r="D591" s="531"/>
      <c r="E591" s="531"/>
      <c r="F591" s="531"/>
      <c r="G591" s="531"/>
      <c r="H591" s="531"/>
      <c r="I591" s="531"/>
      <c r="J591" s="531"/>
      <c r="K591" s="531"/>
      <c r="L591" s="531"/>
      <c r="M591" s="531"/>
      <c r="N591" s="531"/>
      <c r="O591" s="531"/>
      <c r="P591" s="531"/>
      <c r="Q591" s="531"/>
      <c r="R591" s="531"/>
      <c r="S591" s="532"/>
      <c r="T591" s="532"/>
      <c r="U591" s="532"/>
      <c r="V591" s="532"/>
      <c r="W591" s="532"/>
      <c r="X591" s="532"/>
      <c r="Y591" s="532"/>
      <c r="Z591" s="531"/>
      <c r="AA591" s="531"/>
      <c r="AB591" s="531"/>
      <c r="AC591" s="531"/>
      <c r="AD591" s="531"/>
      <c r="AE591" s="531"/>
      <c r="AF591" s="531"/>
      <c r="AG591" s="531"/>
    </row>
    <row r="592">
      <c r="B592" s="531"/>
      <c r="C592" s="531"/>
      <c r="D592" s="531"/>
      <c r="E592" s="531"/>
      <c r="F592" s="531"/>
      <c r="G592" s="531"/>
      <c r="H592" s="531"/>
      <c r="I592" s="531"/>
      <c r="J592" s="531"/>
      <c r="K592" s="531"/>
      <c r="L592" s="531"/>
      <c r="M592" s="531"/>
      <c r="N592" s="531"/>
      <c r="O592" s="531"/>
      <c r="P592" s="531"/>
      <c r="Q592" s="531"/>
      <c r="R592" s="531"/>
      <c r="S592" s="532"/>
      <c r="T592" s="532"/>
      <c r="U592" s="532"/>
      <c r="V592" s="532"/>
      <c r="W592" s="532"/>
      <c r="X592" s="532"/>
      <c r="Y592" s="532"/>
      <c r="Z592" s="531"/>
      <c r="AA592" s="531"/>
      <c r="AB592" s="531"/>
      <c r="AC592" s="531"/>
      <c r="AD592" s="531"/>
      <c r="AE592" s="531"/>
      <c r="AF592" s="531"/>
      <c r="AG592" s="531"/>
    </row>
    <row r="593">
      <c r="B593" s="531"/>
      <c r="C593" s="531"/>
      <c r="D593" s="531"/>
      <c r="E593" s="531"/>
      <c r="F593" s="531"/>
      <c r="G593" s="531"/>
      <c r="H593" s="531"/>
      <c r="I593" s="531"/>
      <c r="J593" s="531"/>
      <c r="K593" s="531"/>
      <c r="L593" s="531"/>
      <c r="M593" s="531"/>
      <c r="N593" s="531"/>
      <c r="O593" s="531"/>
      <c r="P593" s="531"/>
      <c r="Q593" s="531"/>
      <c r="R593" s="531"/>
      <c r="S593" s="532"/>
      <c r="T593" s="532"/>
      <c r="U593" s="532"/>
      <c r="V593" s="532"/>
      <c r="W593" s="532"/>
      <c r="X593" s="532"/>
      <c r="Y593" s="532"/>
      <c r="Z593" s="531"/>
      <c r="AA593" s="531"/>
      <c r="AB593" s="531"/>
      <c r="AC593" s="531"/>
      <c r="AD593" s="531"/>
      <c r="AE593" s="531"/>
      <c r="AF593" s="531"/>
      <c r="AG593" s="531"/>
    </row>
    <row r="594">
      <c r="B594" s="531"/>
      <c r="C594" s="531"/>
      <c r="D594" s="531"/>
      <c r="E594" s="531"/>
      <c r="F594" s="531"/>
      <c r="G594" s="531"/>
      <c r="H594" s="531"/>
      <c r="I594" s="531"/>
      <c r="J594" s="531"/>
      <c r="K594" s="531"/>
      <c r="L594" s="531"/>
      <c r="M594" s="531"/>
      <c r="N594" s="531"/>
      <c r="O594" s="531"/>
      <c r="P594" s="531"/>
      <c r="Q594" s="531"/>
      <c r="R594" s="531"/>
      <c r="S594" s="532"/>
      <c r="T594" s="532"/>
      <c r="U594" s="532"/>
      <c r="V594" s="532"/>
      <c r="W594" s="532"/>
      <c r="X594" s="532"/>
      <c r="Y594" s="532"/>
      <c r="Z594" s="531"/>
      <c r="AA594" s="531"/>
      <c r="AB594" s="531"/>
      <c r="AC594" s="531"/>
      <c r="AD594" s="531"/>
      <c r="AE594" s="531"/>
      <c r="AF594" s="531"/>
      <c r="AG594" s="531"/>
    </row>
    <row r="595">
      <c r="B595" s="531"/>
      <c r="C595" s="531"/>
      <c r="D595" s="531"/>
      <c r="E595" s="531"/>
      <c r="F595" s="531"/>
      <c r="G595" s="531"/>
      <c r="H595" s="531"/>
      <c r="I595" s="531"/>
      <c r="J595" s="531"/>
      <c r="K595" s="531"/>
      <c r="L595" s="531"/>
      <c r="M595" s="531"/>
      <c r="N595" s="531"/>
      <c r="O595" s="531"/>
      <c r="P595" s="531"/>
      <c r="Q595" s="531"/>
      <c r="R595" s="531"/>
      <c r="S595" s="532"/>
      <c r="T595" s="532"/>
      <c r="U595" s="532"/>
      <c r="V595" s="532"/>
      <c r="W595" s="532"/>
      <c r="X595" s="532"/>
      <c r="Y595" s="532"/>
      <c r="Z595" s="531"/>
      <c r="AA595" s="531"/>
      <c r="AB595" s="531"/>
      <c r="AC595" s="531"/>
      <c r="AD595" s="531"/>
      <c r="AE595" s="531"/>
      <c r="AF595" s="531"/>
      <c r="AG595" s="531"/>
    </row>
    <row r="596">
      <c r="B596" s="531"/>
      <c r="C596" s="531"/>
      <c r="D596" s="531"/>
      <c r="E596" s="531"/>
      <c r="F596" s="531"/>
      <c r="G596" s="531"/>
      <c r="H596" s="531"/>
      <c r="I596" s="531"/>
      <c r="J596" s="531"/>
      <c r="K596" s="531"/>
      <c r="L596" s="531"/>
      <c r="M596" s="531"/>
      <c r="N596" s="531"/>
      <c r="O596" s="531"/>
      <c r="P596" s="531"/>
      <c r="Q596" s="531"/>
      <c r="R596" s="531"/>
      <c r="S596" s="532"/>
      <c r="T596" s="532"/>
      <c r="U596" s="532"/>
      <c r="V596" s="532"/>
      <c r="W596" s="532"/>
      <c r="X596" s="532"/>
      <c r="Y596" s="532"/>
      <c r="Z596" s="531"/>
      <c r="AA596" s="531"/>
      <c r="AB596" s="531"/>
      <c r="AC596" s="531"/>
      <c r="AD596" s="531"/>
      <c r="AE596" s="531"/>
      <c r="AF596" s="531"/>
      <c r="AG596" s="531"/>
    </row>
    <row r="597">
      <c r="B597" s="531"/>
      <c r="C597" s="531"/>
      <c r="D597" s="531"/>
      <c r="E597" s="531"/>
      <c r="F597" s="531"/>
      <c r="G597" s="531"/>
      <c r="H597" s="531"/>
      <c r="I597" s="531"/>
      <c r="J597" s="531"/>
      <c r="K597" s="531"/>
      <c r="L597" s="531"/>
      <c r="M597" s="531"/>
      <c r="N597" s="531"/>
      <c r="O597" s="531"/>
      <c r="P597" s="531"/>
      <c r="Q597" s="531"/>
      <c r="R597" s="531"/>
      <c r="S597" s="532"/>
      <c r="T597" s="532"/>
      <c r="U597" s="532"/>
      <c r="V597" s="532"/>
      <c r="W597" s="532"/>
      <c r="X597" s="532"/>
      <c r="Y597" s="532"/>
      <c r="Z597" s="531"/>
      <c r="AA597" s="531"/>
      <c r="AB597" s="531"/>
      <c r="AC597" s="531"/>
      <c r="AD597" s="531"/>
      <c r="AE597" s="531"/>
      <c r="AF597" s="531"/>
      <c r="AG597" s="531"/>
    </row>
    <row r="598">
      <c r="B598" s="531"/>
      <c r="C598" s="531"/>
      <c r="D598" s="531"/>
      <c r="E598" s="531"/>
      <c r="F598" s="531"/>
      <c r="G598" s="531"/>
      <c r="H598" s="531"/>
      <c r="I598" s="531"/>
      <c r="J598" s="531"/>
      <c r="K598" s="531"/>
      <c r="L598" s="531"/>
      <c r="M598" s="531"/>
      <c r="N598" s="531"/>
      <c r="O598" s="531"/>
      <c r="P598" s="531"/>
      <c r="Q598" s="531"/>
      <c r="R598" s="531"/>
      <c r="S598" s="532"/>
      <c r="T598" s="532"/>
      <c r="U598" s="532"/>
      <c r="V598" s="532"/>
      <c r="W598" s="532"/>
      <c r="X598" s="532"/>
      <c r="Y598" s="532"/>
      <c r="Z598" s="531"/>
      <c r="AA598" s="531"/>
      <c r="AB598" s="531"/>
      <c r="AC598" s="531"/>
      <c r="AD598" s="531"/>
      <c r="AE598" s="531"/>
      <c r="AF598" s="531"/>
      <c r="AG598" s="531"/>
    </row>
    <row r="599">
      <c r="B599" s="531"/>
      <c r="C599" s="531"/>
      <c r="D599" s="531"/>
      <c r="E599" s="531"/>
      <c r="F599" s="531"/>
      <c r="G599" s="531"/>
      <c r="H599" s="531"/>
      <c r="I599" s="531"/>
      <c r="J599" s="531"/>
      <c r="K599" s="531"/>
      <c r="L599" s="531"/>
      <c r="M599" s="531"/>
      <c r="N599" s="531"/>
      <c r="O599" s="531"/>
      <c r="P599" s="531"/>
      <c r="Q599" s="531"/>
      <c r="R599" s="531"/>
      <c r="S599" s="532"/>
      <c r="T599" s="532"/>
      <c r="U599" s="532"/>
      <c r="V599" s="532"/>
      <c r="W599" s="532"/>
      <c r="X599" s="532"/>
      <c r="Y599" s="532"/>
      <c r="Z599" s="531"/>
      <c r="AA599" s="531"/>
      <c r="AB599" s="531"/>
      <c r="AC599" s="531"/>
      <c r="AD599" s="531"/>
      <c r="AE599" s="531"/>
      <c r="AF599" s="531"/>
      <c r="AG599" s="531"/>
    </row>
    <row r="600">
      <c r="B600" s="531"/>
      <c r="C600" s="531"/>
      <c r="D600" s="531"/>
      <c r="E600" s="531"/>
      <c r="F600" s="531"/>
      <c r="G600" s="531"/>
      <c r="H600" s="531"/>
      <c r="I600" s="531"/>
      <c r="J600" s="531"/>
      <c r="K600" s="531"/>
      <c r="L600" s="531"/>
      <c r="M600" s="531"/>
      <c r="N600" s="531"/>
      <c r="O600" s="531"/>
      <c r="P600" s="531"/>
      <c r="Q600" s="531"/>
      <c r="R600" s="531"/>
      <c r="S600" s="532"/>
      <c r="T600" s="532"/>
      <c r="U600" s="532"/>
      <c r="V600" s="532"/>
      <c r="W600" s="532"/>
      <c r="X600" s="532"/>
      <c r="Y600" s="532"/>
      <c r="Z600" s="531"/>
      <c r="AA600" s="531"/>
      <c r="AB600" s="531"/>
      <c r="AC600" s="531"/>
      <c r="AD600" s="531"/>
      <c r="AE600" s="531"/>
      <c r="AF600" s="531"/>
      <c r="AG600" s="531"/>
    </row>
    <row r="601">
      <c r="B601" s="531"/>
      <c r="C601" s="531"/>
      <c r="D601" s="531"/>
      <c r="E601" s="531"/>
      <c r="F601" s="531"/>
      <c r="G601" s="531"/>
      <c r="H601" s="531"/>
      <c r="I601" s="531"/>
      <c r="J601" s="531"/>
      <c r="K601" s="531"/>
      <c r="L601" s="531"/>
      <c r="M601" s="531"/>
      <c r="N601" s="531"/>
      <c r="O601" s="531"/>
      <c r="P601" s="531"/>
      <c r="Q601" s="531"/>
      <c r="R601" s="531"/>
      <c r="S601" s="532"/>
      <c r="T601" s="532"/>
      <c r="U601" s="532"/>
      <c r="V601" s="532"/>
      <c r="W601" s="532"/>
      <c r="X601" s="532"/>
      <c r="Y601" s="532"/>
      <c r="Z601" s="531"/>
      <c r="AA601" s="531"/>
      <c r="AB601" s="531"/>
      <c r="AC601" s="531"/>
      <c r="AD601" s="531"/>
      <c r="AE601" s="531"/>
      <c r="AF601" s="531"/>
      <c r="AG601" s="531"/>
    </row>
    <row r="602">
      <c r="B602" s="531"/>
      <c r="C602" s="531"/>
      <c r="D602" s="531"/>
      <c r="E602" s="531"/>
      <c r="F602" s="531"/>
      <c r="G602" s="531"/>
      <c r="H602" s="531"/>
      <c r="I602" s="531"/>
      <c r="J602" s="531"/>
      <c r="K602" s="531"/>
      <c r="L602" s="531"/>
      <c r="M602" s="531"/>
      <c r="N602" s="531"/>
      <c r="O602" s="531"/>
      <c r="P602" s="531"/>
      <c r="Q602" s="531"/>
      <c r="R602" s="531"/>
      <c r="S602" s="532"/>
      <c r="T602" s="532"/>
      <c r="U602" s="532"/>
      <c r="V602" s="532"/>
      <c r="W602" s="532"/>
      <c r="X602" s="532"/>
      <c r="Y602" s="532"/>
      <c r="Z602" s="531"/>
      <c r="AA602" s="531"/>
      <c r="AB602" s="531"/>
      <c r="AC602" s="531"/>
      <c r="AD602" s="531"/>
      <c r="AE602" s="531"/>
      <c r="AF602" s="531"/>
      <c r="AG602" s="531"/>
    </row>
    <row r="603">
      <c r="B603" s="531"/>
      <c r="C603" s="531"/>
      <c r="D603" s="531"/>
      <c r="E603" s="531"/>
      <c r="F603" s="531"/>
      <c r="G603" s="531"/>
      <c r="H603" s="531"/>
      <c r="I603" s="531"/>
      <c r="J603" s="531"/>
      <c r="K603" s="531"/>
      <c r="L603" s="531"/>
      <c r="M603" s="531"/>
      <c r="N603" s="531"/>
      <c r="O603" s="531"/>
      <c r="P603" s="531"/>
      <c r="Q603" s="531"/>
      <c r="R603" s="531"/>
      <c r="S603" s="532"/>
      <c r="T603" s="532"/>
      <c r="U603" s="532"/>
      <c r="V603" s="532"/>
      <c r="W603" s="532"/>
      <c r="X603" s="532"/>
      <c r="Y603" s="532"/>
      <c r="Z603" s="531"/>
      <c r="AA603" s="531"/>
      <c r="AB603" s="531"/>
      <c r="AC603" s="531"/>
      <c r="AD603" s="531"/>
      <c r="AE603" s="531"/>
      <c r="AF603" s="531"/>
      <c r="AG603" s="531"/>
    </row>
    <row r="604">
      <c r="B604" s="531"/>
      <c r="C604" s="531"/>
      <c r="D604" s="531"/>
      <c r="E604" s="531"/>
      <c r="F604" s="531"/>
      <c r="G604" s="531"/>
      <c r="H604" s="531"/>
      <c r="I604" s="531"/>
      <c r="J604" s="531"/>
      <c r="K604" s="531"/>
      <c r="L604" s="531"/>
      <c r="M604" s="531"/>
      <c r="N604" s="531"/>
      <c r="O604" s="531"/>
      <c r="P604" s="531"/>
      <c r="Q604" s="531"/>
      <c r="R604" s="531"/>
      <c r="S604" s="532"/>
      <c r="T604" s="532"/>
      <c r="U604" s="532"/>
      <c r="V604" s="532"/>
      <c r="W604" s="532"/>
      <c r="X604" s="532"/>
      <c r="Y604" s="532"/>
      <c r="Z604" s="531"/>
      <c r="AA604" s="531"/>
      <c r="AB604" s="531"/>
      <c r="AC604" s="531"/>
      <c r="AD604" s="531"/>
      <c r="AE604" s="531"/>
      <c r="AF604" s="531"/>
      <c r="AG604" s="531"/>
    </row>
    <row r="605">
      <c r="B605" s="531"/>
      <c r="C605" s="531"/>
      <c r="D605" s="531"/>
      <c r="E605" s="531"/>
      <c r="F605" s="531"/>
      <c r="G605" s="531"/>
      <c r="H605" s="531"/>
      <c r="I605" s="531"/>
      <c r="J605" s="531"/>
      <c r="K605" s="531"/>
      <c r="L605" s="531"/>
      <c r="M605" s="531"/>
      <c r="N605" s="531"/>
      <c r="O605" s="531"/>
      <c r="P605" s="531"/>
      <c r="Q605" s="531"/>
      <c r="R605" s="531"/>
      <c r="S605" s="532"/>
      <c r="T605" s="532"/>
      <c r="U605" s="532"/>
      <c r="V605" s="532"/>
      <c r="W605" s="532"/>
      <c r="X605" s="532"/>
      <c r="Y605" s="532"/>
      <c r="Z605" s="531"/>
      <c r="AA605" s="531"/>
      <c r="AB605" s="531"/>
      <c r="AC605" s="531"/>
      <c r="AD605" s="531"/>
      <c r="AE605" s="531"/>
      <c r="AF605" s="531"/>
      <c r="AG605" s="531"/>
    </row>
    <row r="606">
      <c r="B606" s="531"/>
      <c r="C606" s="531"/>
      <c r="D606" s="531"/>
      <c r="E606" s="531"/>
      <c r="F606" s="531"/>
      <c r="G606" s="531"/>
      <c r="H606" s="531"/>
      <c r="I606" s="531"/>
      <c r="J606" s="531"/>
      <c r="K606" s="531"/>
      <c r="L606" s="531"/>
      <c r="M606" s="531"/>
      <c r="N606" s="531"/>
      <c r="O606" s="531"/>
      <c r="P606" s="531"/>
      <c r="Q606" s="531"/>
      <c r="R606" s="531"/>
      <c r="S606" s="532"/>
      <c r="T606" s="532"/>
      <c r="U606" s="532"/>
      <c r="V606" s="532"/>
      <c r="W606" s="532"/>
      <c r="X606" s="532"/>
      <c r="Y606" s="532"/>
      <c r="Z606" s="531"/>
      <c r="AA606" s="531"/>
      <c r="AB606" s="531"/>
      <c r="AC606" s="531"/>
      <c r="AD606" s="531"/>
      <c r="AE606" s="531"/>
      <c r="AF606" s="531"/>
      <c r="AG606" s="531"/>
    </row>
    <row r="607">
      <c r="B607" s="531"/>
      <c r="C607" s="531"/>
      <c r="D607" s="531"/>
      <c r="E607" s="531"/>
      <c r="F607" s="531"/>
      <c r="G607" s="531"/>
      <c r="H607" s="531"/>
      <c r="I607" s="531"/>
      <c r="J607" s="531"/>
      <c r="K607" s="531"/>
      <c r="L607" s="531"/>
      <c r="M607" s="531"/>
      <c r="N607" s="531"/>
      <c r="O607" s="531"/>
      <c r="P607" s="531"/>
      <c r="Q607" s="531"/>
      <c r="R607" s="531"/>
      <c r="S607" s="532"/>
      <c r="T607" s="532"/>
      <c r="U607" s="532"/>
      <c r="V607" s="532"/>
      <c r="W607" s="532"/>
      <c r="X607" s="532"/>
      <c r="Y607" s="532"/>
      <c r="Z607" s="531"/>
      <c r="AA607" s="531"/>
      <c r="AB607" s="531"/>
      <c r="AC607" s="531"/>
      <c r="AD607" s="531"/>
      <c r="AE607" s="531"/>
      <c r="AF607" s="531"/>
      <c r="AG607" s="531"/>
    </row>
    <row r="608">
      <c r="B608" s="531"/>
      <c r="C608" s="531"/>
      <c r="D608" s="531"/>
      <c r="E608" s="531"/>
      <c r="F608" s="531"/>
      <c r="G608" s="531"/>
      <c r="H608" s="531"/>
      <c r="I608" s="531"/>
      <c r="J608" s="531"/>
      <c r="K608" s="531"/>
      <c r="L608" s="531"/>
      <c r="M608" s="531"/>
      <c r="N608" s="531"/>
      <c r="O608" s="531"/>
      <c r="P608" s="531"/>
      <c r="Q608" s="531"/>
      <c r="R608" s="531"/>
      <c r="S608" s="532"/>
      <c r="T608" s="532"/>
      <c r="U608" s="532"/>
      <c r="V608" s="532"/>
      <c r="W608" s="532"/>
      <c r="X608" s="532"/>
      <c r="Y608" s="532"/>
      <c r="Z608" s="531"/>
      <c r="AA608" s="531"/>
      <c r="AB608" s="531"/>
      <c r="AC608" s="531"/>
      <c r="AD608" s="531"/>
      <c r="AE608" s="531"/>
      <c r="AF608" s="531"/>
      <c r="AG608" s="531"/>
    </row>
    <row r="609">
      <c r="B609" s="531"/>
      <c r="C609" s="531"/>
      <c r="D609" s="531"/>
      <c r="E609" s="531"/>
      <c r="F609" s="531"/>
      <c r="G609" s="531"/>
      <c r="H609" s="531"/>
      <c r="I609" s="531"/>
      <c r="J609" s="531"/>
      <c r="K609" s="531"/>
      <c r="L609" s="531"/>
      <c r="M609" s="531"/>
      <c r="N609" s="531"/>
      <c r="O609" s="531"/>
      <c r="P609" s="531"/>
      <c r="Q609" s="531"/>
      <c r="R609" s="531"/>
      <c r="S609" s="532"/>
      <c r="T609" s="532"/>
      <c r="U609" s="532"/>
      <c r="V609" s="532"/>
      <c r="W609" s="532"/>
      <c r="X609" s="532"/>
      <c r="Y609" s="532"/>
      <c r="Z609" s="531"/>
      <c r="AA609" s="531"/>
      <c r="AB609" s="531"/>
      <c r="AC609" s="531"/>
      <c r="AD609" s="531"/>
      <c r="AE609" s="531"/>
      <c r="AF609" s="531"/>
      <c r="AG609" s="531"/>
    </row>
    <row r="610">
      <c r="B610" s="531"/>
      <c r="C610" s="531"/>
      <c r="D610" s="531"/>
      <c r="E610" s="531"/>
      <c r="F610" s="531"/>
      <c r="G610" s="531"/>
      <c r="H610" s="531"/>
      <c r="I610" s="531"/>
      <c r="J610" s="531"/>
      <c r="K610" s="531"/>
      <c r="L610" s="531"/>
      <c r="M610" s="531"/>
      <c r="N610" s="531"/>
      <c r="O610" s="531"/>
      <c r="P610" s="531"/>
      <c r="Q610" s="531"/>
      <c r="R610" s="531"/>
      <c r="S610" s="532"/>
      <c r="T610" s="532"/>
      <c r="U610" s="532"/>
      <c r="V610" s="532"/>
      <c r="W610" s="532"/>
      <c r="X610" s="532"/>
      <c r="Y610" s="532"/>
      <c r="Z610" s="531"/>
      <c r="AA610" s="531"/>
      <c r="AB610" s="531"/>
      <c r="AC610" s="531"/>
      <c r="AD610" s="531"/>
      <c r="AE610" s="531"/>
      <c r="AF610" s="531"/>
      <c r="AG610" s="531"/>
    </row>
    <row r="611">
      <c r="B611" s="531"/>
      <c r="C611" s="531"/>
      <c r="D611" s="531"/>
      <c r="E611" s="531"/>
      <c r="F611" s="531"/>
      <c r="G611" s="531"/>
      <c r="H611" s="531"/>
      <c r="I611" s="531"/>
      <c r="J611" s="531"/>
      <c r="K611" s="531"/>
      <c r="L611" s="531"/>
      <c r="M611" s="531"/>
      <c r="N611" s="531"/>
      <c r="O611" s="531"/>
      <c r="P611" s="531"/>
      <c r="Q611" s="531"/>
      <c r="R611" s="531"/>
      <c r="S611" s="532"/>
      <c r="T611" s="532"/>
      <c r="U611" s="532"/>
      <c r="V611" s="532"/>
      <c r="W611" s="532"/>
      <c r="X611" s="532"/>
      <c r="Y611" s="532"/>
      <c r="Z611" s="531"/>
      <c r="AA611" s="531"/>
      <c r="AB611" s="531"/>
      <c r="AC611" s="531"/>
      <c r="AD611" s="531"/>
      <c r="AE611" s="531"/>
      <c r="AF611" s="531"/>
      <c r="AG611" s="531"/>
    </row>
    <row r="612">
      <c r="B612" s="531"/>
      <c r="C612" s="531"/>
      <c r="D612" s="531"/>
      <c r="E612" s="531"/>
      <c r="F612" s="531"/>
      <c r="G612" s="531"/>
      <c r="H612" s="531"/>
      <c r="I612" s="531"/>
      <c r="J612" s="531"/>
      <c r="K612" s="531"/>
      <c r="L612" s="531"/>
      <c r="M612" s="531"/>
      <c r="N612" s="531"/>
      <c r="O612" s="531"/>
      <c r="P612" s="531"/>
      <c r="Q612" s="531"/>
      <c r="R612" s="531"/>
      <c r="S612" s="532"/>
      <c r="T612" s="532"/>
      <c r="U612" s="532"/>
      <c r="V612" s="532"/>
      <c r="W612" s="532"/>
      <c r="X612" s="532"/>
      <c r="Y612" s="532"/>
      <c r="Z612" s="531"/>
      <c r="AA612" s="531"/>
      <c r="AB612" s="531"/>
      <c r="AC612" s="531"/>
      <c r="AD612" s="531"/>
      <c r="AE612" s="531"/>
      <c r="AF612" s="531"/>
      <c r="AG612" s="531"/>
    </row>
    <row r="613">
      <c r="B613" s="531"/>
      <c r="C613" s="531"/>
      <c r="D613" s="531"/>
      <c r="E613" s="531"/>
      <c r="F613" s="531"/>
      <c r="G613" s="531"/>
      <c r="H613" s="531"/>
      <c r="I613" s="531"/>
      <c r="J613" s="531"/>
      <c r="K613" s="531"/>
      <c r="L613" s="531"/>
      <c r="M613" s="531"/>
      <c r="N613" s="531"/>
      <c r="O613" s="531"/>
      <c r="P613" s="531"/>
      <c r="Q613" s="531"/>
      <c r="R613" s="531"/>
      <c r="S613" s="532"/>
      <c r="T613" s="532"/>
      <c r="U613" s="532"/>
      <c r="V613" s="532"/>
      <c r="W613" s="532"/>
      <c r="X613" s="532"/>
      <c r="Y613" s="532"/>
      <c r="Z613" s="531"/>
      <c r="AA613" s="531"/>
      <c r="AB613" s="531"/>
      <c r="AC613" s="531"/>
      <c r="AD613" s="531"/>
      <c r="AE613" s="531"/>
      <c r="AF613" s="531"/>
      <c r="AG613" s="531"/>
    </row>
    <row r="614">
      <c r="B614" s="531"/>
      <c r="C614" s="531"/>
      <c r="D614" s="531"/>
      <c r="E614" s="531"/>
      <c r="F614" s="531"/>
      <c r="G614" s="531"/>
      <c r="H614" s="531"/>
      <c r="I614" s="531"/>
      <c r="J614" s="531"/>
      <c r="K614" s="531"/>
      <c r="L614" s="531"/>
      <c r="M614" s="531"/>
      <c r="N614" s="531"/>
      <c r="O614" s="531"/>
      <c r="P614" s="531"/>
      <c r="Q614" s="531"/>
      <c r="R614" s="531"/>
      <c r="S614" s="532"/>
      <c r="T614" s="532"/>
      <c r="U614" s="532"/>
      <c r="V614" s="532"/>
      <c r="W614" s="532"/>
      <c r="X614" s="532"/>
      <c r="Y614" s="532"/>
      <c r="Z614" s="531"/>
      <c r="AA614" s="531"/>
      <c r="AB614" s="531"/>
      <c r="AC614" s="531"/>
      <c r="AD614" s="531"/>
      <c r="AE614" s="531"/>
      <c r="AF614" s="531"/>
      <c r="AG614" s="531"/>
    </row>
    <row r="615">
      <c r="B615" s="531"/>
      <c r="C615" s="531"/>
      <c r="D615" s="531"/>
      <c r="E615" s="531"/>
      <c r="F615" s="531"/>
      <c r="G615" s="531"/>
      <c r="H615" s="531"/>
      <c r="I615" s="531"/>
      <c r="J615" s="531"/>
      <c r="K615" s="531"/>
      <c r="L615" s="531"/>
      <c r="M615" s="531"/>
      <c r="N615" s="531"/>
      <c r="O615" s="531"/>
      <c r="P615" s="531"/>
      <c r="Q615" s="531"/>
      <c r="R615" s="531"/>
      <c r="S615" s="532"/>
      <c r="T615" s="532"/>
      <c r="U615" s="532"/>
      <c r="V615" s="532"/>
      <c r="W615" s="532"/>
      <c r="X615" s="532"/>
      <c r="Y615" s="532"/>
      <c r="Z615" s="531"/>
      <c r="AA615" s="531"/>
      <c r="AB615" s="531"/>
      <c r="AC615" s="531"/>
      <c r="AD615" s="531"/>
      <c r="AE615" s="531"/>
      <c r="AF615" s="531"/>
      <c r="AG615" s="531"/>
    </row>
    <row r="616">
      <c r="B616" s="531"/>
      <c r="C616" s="531"/>
      <c r="D616" s="531"/>
      <c r="E616" s="531"/>
      <c r="F616" s="531"/>
      <c r="G616" s="531"/>
      <c r="H616" s="531"/>
      <c r="I616" s="531"/>
      <c r="J616" s="531"/>
      <c r="K616" s="531"/>
      <c r="L616" s="531"/>
      <c r="M616" s="531"/>
      <c r="N616" s="531"/>
      <c r="O616" s="531"/>
      <c r="P616" s="531"/>
      <c r="Q616" s="531"/>
      <c r="R616" s="531"/>
      <c r="S616" s="532"/>
      <c r="T616" s="532"/>
      <c r="U616" s="532"/>
      <c r="V616" s="532"/>
      <c r="W616" s="532"/>
      <c r="X616" s="532"/>
      <c r="Y616" s="532"/>
      <c r="Z616" s="531"/>
      <c r="AA616" s="531"/>
      <c r="AB616" s="531"/>
      <c r="AC616" s="531"/>
      <c r="AD616" s="531"/>
      <c r="AE616" s="531"/>
      <c r="AF616" s="531"/>
      <c r="AG616" s="531"/>
    </row>
    <row r="617">
      <c r="B617" s="531"/>
      <c r="C617" s="531"/>
      <c r="D617" s="531"/>
      <c r="E617" s="531"/>
      <c r="F617" s="531"/>
      <c r="G617" s="531"/>
      <c r="H617" s="531"/>
      <c r="I617" s="531"/>
      <c r="J617" s="531"/>
      <c r="K617" s="531"/>
      <c r="L617" s="531"/>
      <c r="M617" s="531"/>
      <c r="N617" s="531"/>
      <c r="O617" s="531"/>
      <c r="P617" s="531"/>
      <c r="Q617" s="531"/>
      <c r="R617" s="531"/>
      <c r="S617" s="532"/>
      <c r="T617" s="532"/>
      <c r="U617" s="532"/>
      <c r="V617" s="532"/>
      <c r="W617" s="532"/>
      <c r="X617" s="532"/>
      <c r="Y617" s="532"/>
      <c r="Z617" s="531"/>
      <c r="AA617" s="531"/>
      <c r="AB617" s="531"/>
      <c r="AC617" s="531"/>
      <c r="AD617" s="531"/>
      <c r="AE617" s="531"/>
      <c r="AF617" s="531"/>
      <c r="AG617" s="531"/>
    </row>
    <row r="618">
      <c r="B618" s="531"/>
      <c r="C618" s="531"/>
      <c r="D618" s="531"/>
      <c r="E618" s="531"/>
      <c r="F618" s="531"/>
      <c r="G618" s="531"/>
      <c r="H618" s="531"/>
      <c r="I618" s="531"/>
      <c r="J618" s="531"/>
      <c r="K618" s="531"/>
      <c r="L618" s="531"/>
      <c r="M618" s="531"/>
      <c r="N618" s="531"/>
      <c r="O618" s="531"/>
      <c r="P618" s="531"/>
      <c r="Q618" s="531"/>
      <c r="R618" s="531"/>
      <c r="S618" s="532"/>
      <c r="T618" s="532"/>
      <c r="U618" s="532"/>
      <c r="V618" s="532"/>
      <c r="W618" s="532"/>
      <c r="X618" s="532"/>
      <c r="Y618" s="532"/>
      <c r="Z618" s="531"/>
      <c r="AA618" s="531"/>
      <c r="AB618" s="531"/>
      <c r="AC618" s="531"/>
      <c r="AD618" s="531"/>
      <c r="AE618" s="531"/>
      <c r="AF618" s="531"/>
      <c r="AG618" s="531"/>
    </row>
    <row r="619">
      <c r="B619" s="531"/>
      <c r="C619" s="531"/>
      <c r="D619" s="531"/>
      <c r="E619" s="531"/>
      <c r="F619" s="531"/>
      <c r="G619" s="531"/>
      <c r="H619" s="531"/>
      <c r="I619" s="531"/>
      <c r="J619" s="531"/>
      <c r="K619" s="531"/>
      <c r="L619" s="531"/>
      <c r="M619" s="531"/>
      <c r="N619" s="531"/>
      <c r="O619" s="531"/>
      <c r="P619" s="531"/>
      <c r="Q619" s="531"/>
      <c r="R619" s="531"/>
      <c r="S619" s="532"/>
      <c r="T619" s="532"/>
      <c r="U619" s="532"/>
      <c r="V619" s="532"/>
      <c r="W619" s="532"/>
      <c r="X619" s="532"/>
      <c r="Y619" s="532"/>
      <c r="Z619" s="531"/>
      <c r="AA619" s="531"/>
      <c r="AB619" s="531"/>
      <c r="AC619" s="531"/>
      <c r="AD619" s="531"/>
      <c r="AE619" s="531"/>
      <c r="AF619" s="531"/>
      <c r="AG619" s="531"/>
    </row>
    <row r="620">
      <c r="B620" s="531"/>
      <c r="C620" s="531"/>
      <c r="D620" s="531"/>
      <c r="E620" s="531"/>
      <c r="F620" s="531"/>
      <c r="G620" s="531"/>
      <c r="H620" s="531"/>
      <c r="I620" s="531"/>
      <c r="J620" s="531"/>
      <c r="K620" s="531"/>
      <c r="L620" s="531"/>
      <c r="M620" s="531"/>
      <c r="N620" s="531"/>
      <c r="O620" s="531"/>
      <c r="P620" s="531"/>
      <c r="Q620" s="531"/>
      <c r="R620" s="531"/>
      <c r="S620" s="532"/>
      <c r="T620" s="532"/>
      <c r="U620" s="532"/>
      <c r="V620" s="532"/>
      <c r="W620" s="532"/>
      <c r="X620" s="532"/>
      <c r="Y620" s="532"/>
      <c r="Z620" s="531"/>
      <c r="AA620" s="531"/>
      <c r="AB620" s="531"/>
      <c r="AC620" s="531"/>
      <c r="AD620" s="531"/>
      <c r="AE620" s="531"/>
      <c r="AF620" s="531"/>
      <c r="AG620" s="531"/>
    </row>
    <row r="621">
      <c r="B621" s="531"/>
      <c r="C621" s="531"/>
      <c r="D621" s="531"/>
      <c r="E621" s="531"/>
      <c r="F621" s="531"/>
      <c r="G621" s="531"/>
      <c r="H621" s="531"/>
      <c r="I621" s="531"/>
      <c r="J621" s="531"/>
      <c r="K621" s="531"/>
      <c r="L621" s="531"/>
      <c r="M621" s="531"/>
      <c r="N621" s="531"/>
      <c r="O621" s="531"/>
      <c r="P621" s="531"/>
      <c r="Q621" s="531"/>
      <c r="R621" s="531"/>
      <c r="S621" s="532"/>
      <c r="T621" s="532"/>
      <c r="U621" s="532"/>
      <c r="V621" s="532"/>
      <c r="W621" s="532"/>
      <c r="X621" s="532"/>
      <c r="Y621" s="532"/>
      <c r="Z621" s="531"/>
      <c r="AA621" s="531"/>
      <c r="AB621" s="531"/>
      <c r="AC621" s="531"/>
      <c r="AD621" s="531"/>
      <c r="AE621" s="531"/>
      <c r="AF621" s="531"/>
      <c r="AG621" s="531"/>
    </row>
    <row r="622">
      <c r="B622" s="531"/>
      <c r="C622" s="531"/>
      <c r="D622" s="531"/>
      <c r="E622" s="531"/>
      <c r="F622" s="531"/>
      <c r="G622" s="531"/>
      <c r="H622" s="531"/>
      <c r="I622" s="531"/>
      <c r="J622" s="531"/>
      <c r="K622" s="531"/>
      <c r="L622" s="531"/>
      <c r="M622" s="531"/>
      <c r="N622" s="531"/>
      <c r="O622" s="531"/>
      <c r="P622" s="531"/>
      <c r="Q622" s="531"/>
      <c r="R622" s="531"/>
      <c r="S622" s="532"/>
      <c r="T622" s="532"/>
      <c r="U622" s="532"/>
      <c r="V622" s="532"/>
      <c r="W622" s="532"/>
      <c r="X622" s="532"/>
      <c r="Y622" s="532"/>
      <c r="Z622" s="531"/>
      <c r="AA622" s="531"/>
      <c r="AB622" s="531"/>
      <c r="AC622" s="531"/>
      <c r="AD622" s="531"/>
      <c r="AE622" s="531"/>
      <c r="AF622" s="531"/>
      <c r="AG622" s="531"/>
    </row>
    <row r="623">
      <c r="B623" s="531"/>
      <c r="C623" s="531"/>
      <c r="D623" s="531"/>
      <c r="E623" s="531"/>
      <c r="F623" s="531"/>
      <c r="G623" s="531"/>
      <c r="H623" s="531"/>
      <c r="I623" s="531"/>
      <c r="J623" s="531"/>
      <c r="K623" s="531"/>
      <c r="L623" s="531"/>
      <c r="M623" s="531"/>
      <c r="N623" s="531"/>
      <c r="O623" s="531"/>
      <c r="P623" s="531"/>
      <c r="Q623" s="531"/>
      <c r="R623" s="531"/>
      <c r="S623" s="532"/>
      <c r="T623" s="532"/>
      <c r="U623" s="532"/>
      <c r="V623" s="532"/>
      <c r="W623" s="532"/>
      <c r="X623" s="532"/>
      <c r="Y623" s="532"/>
      <c r="Z623" s="531"/>
      <c r="AA623" s="531"/>
      <c r="AB623" s="531"/>
      <c r="AC623" s="531"/>
      <c r="AD623" s="531"/>
      <c r="AE623" s="531"/>
      <c r="AF623" s="531"/>
      <c r="AG623" s="531"/>
    </row>
    <row r="624">
      <c r="B624" s="531"/>
      <c r="C624" s="531"/>
      <c r="D624" s="531"/>
      <c r="E624" s="531"/>
      <c r="F624" s="531"/>
      <c r="G624" s="531"/>
      <c r="H624" s="531"/>
      <c r="I624" s="531"/>
      <c r="J624" s="531"/>
      <c r="K624" s="531"/>
      <c r="L624" s="531"/>
      <c r="M624" s="531"/>
      <c r="N624" s="531"/>
      <c r="O624" s="531"/>
      <c r="P624" s="531"/>
      <c r="Q624" s="531"/>
      <c r="R624" s="531"/>
      <c r="S624" s="532"/>
      <c r="T624" s="532"/>
      <c r="U624" s="532"/>
      <c r="V624" s="532"/>
      <c r="W624" s="532"/>
      <c r="X624" s="532"/>
      <c r="Y624" s="532"/>
      <c r="Z624" s="531"/>
      <c r="AA624" s="531"/>
      <c r="AB624" s="531"/>
      <c r="AC624" s="531"/>
      <c r="AD624" s="531"/>
      <c r="AE624" s="531"/>
      <c r="AF624" s="531"/>
      <c r="AG624" s="531"/>
    </row>
    <row r="625">
      <c r="B625" s="531"/>
      <c r="C625" s="531"/>
      <c r="D625" s="531"/>
      <c r="E625" s="531"/>
      <c r="F625" s="531"/>
      <c r="G625" s="531"/>
      <c r="H625" s="531"/>
      <c r="I625" s="531"/>
      <c r="J625" s="531"/>
      <c r="K625" s="531"/>
      <c r="L625" s="531"/>
      <c r="M625" s="531"/>
      <c r="N625" s="531"/>
      <c r="O625" s="531"/>
      <c r="P625" s="531"/>
      <c r="Q625" s="531"/>
      <c r="R625" s="531"/>
      <c r="S625" s="532"/>
      <c r="T625" s="532"/>
      <c r="U625" s="532"/>
      <c r="V625" s="532"/>
      <c r="W625" s="532"/>
      <c r="X625" s="532"/>
      <c r="Y625" s="532"/>
      <c r="Z625" s="531"/>
      <c r="AA625" s="531"/>
      <c r="AB625" s="531"/>
      <c r="AC625" s="531"/>
      <c r="AD625" s="531"/>
      <c r="AE625" s="531"/>
      <c r="AF625" s="531"/>
      <c r="AG625" s="531"/>
    </row>
    <row r="626">
      <c r="B626" s="531"/>
      <c r="C626" s="531"/>
      <c r="D626" s="531"/>
      <c r="E626" s="531"/>
      <c r="F626" s="531"/>
      <c r="G626" s="531"/>
      <c r="H626" s="531"/>
      <c r="I626" s="531"/>
      <c r="J626" s="531"/>
      <c r="K626" s="531"/>
      <c r="L626" s="531"/>
      <c r="M626" s="531"/>
      <c r="N626" s="531"/>
      <c r="O626" s="531"/>
      <c r="P626" s="531"/>
      <c r="Q626" s="531"/>
      <c r="R626" s="531"/>
      <c r="S626" s="532"/>
      <c r="T626" s="532"/>
      <c r="U626" s="532"/>
      <c r="V626" s="532"/>
      <c r="W626" s="532"/>
      <c r="X626" s="532"/>
      <c r="Y626" s="532"/>
      <c r="Z626" s="531"/>
      <c r="AA626" s="531"/>
      <c r="AB626" s="531"/>
      <c r="AC626" s="531"/>
      <c r="AD626" s="531"/>
      <c r="AE626" s="531"/>
      <c r="AF626" s="531"/>
      <c r="AG626" s="531"/>
    </row>
    <row r="627">
      <c r="B627" s="531"/>
      <c r="C627" s="531"/>
      <c r="D627" s="531"/>
      <c r="E627" s="531"/>
      <c r="F627" s="531"/>
      <c r="G627" s="531"/>
      <c r="H627" s="531"/>
      <c r="I627" s="531"/>
      <c r="J627" s="531"/>
      <c r="K627" s="531"/>
      <c r="L627" s="531"/>
      <c r="M627" s="531"/>
      <c r="N627" s="531"/>
      <c r="O627" s="531"/>
      <c r="P627" s="531"/>
      <c r="Q627" s="531"/>
      <c r="R627" s="531"/>
      <c r="S627" s="532"/>
      <c r="T627" s="532"/>
      <c r="U627" s="532"/>
      <c r="V627" s="532"/>
      <c r="W627" s="532"/>
      <c r="X627" s="532"/>
      <c r="Y627" s="532"/>
      <c r="Z627" s="531"/>
      <c r="AA627" s="531"/>
      <c r="AB627" s="531"/>
      <c r="AC627" s="531"/>
      <c r="AD627" s="531"/>
      <c r="AE627" s="531"/>
      <c r="AF627" s="531"/>
      <c r="AG627" s="531"/>
    </row>
    <row r="628">
      <c r="B628" s="531"/>
      <c r="C628" s="531"/>
      <c r="D628" s="531"/>
      <c r="E628" s="531"/>
      <c r="F628" s="531"/>
      <c r="G628" s="531"/>
      <c r="H628" s="531"/>
      <c r="I628" s="531"/>
      <c r="J628" s="531"/>
      <c r="K628" s="531"/>
      <c r="L628" s="531"/>
      <c r="M628" s="531"/>
      <c r="N628" s="531"/>
      <c r="O628" s="531"/>
      <c r="P628" s="531"/>
      <c r="Q628" s="531"/>
      <c r="R628" s="531"/>
      <c r="S628" s="532"/>
      <c r="T628" s="532"/>
      <c r="U628" s="532"/>
      <c r="V628" s="532"/>
      <c r="W628" s="532"/>
      <c r="X628" s="532"/>
      <c r="Y628" s="532"/>
      <c r="Z628" s="531"/>
      <c r="AA628" s="531"/>
      <c r="AB628" s="531"/>
      <c r="AC628" s="531"/>
      <c r="AD628" s="531"/>
      <c r="AE628" s="531"/>
      <c r="AF628" s="531"/>
      <c r="AG628" s="531"/>
    </row>
    <row r="629">
      <c r="B629" s="531"/>
      <c r="C629" s="531"/>
      <c r="D629" s="531"/>
      <c r="E629" s="531"/>
      <c r="F629" s="531"/>
      <c r="G629" s="531"/>
      <c r="H629" s="531"/>
      <c r="I629" s="531"/>
      <c r="J629" s="531"/>
      <c r="K629" s="531"/>
      <c r="L629" s="531"/>
      <c r="M629" s="531"/>
      <c r="N629" s="531"/>
      <c r="O629" s="531"/>
      <c r="P629" s="531"/>
      <c r="Q629" s="531"/>
      <c r="R629" s="531"/>
      <c r="S629" s="532"/>
      <c r="T629" s="532"/>
      <c r="U629" s="532"/>
      <c r="V629" s="532"/>
      <c r="W629" s="532"/>
      <c r="X629" s="532"/>
      <c r="Y629" s="532"/>
      <c r="Z629" s="531"/>
      <c r="AA629" s="531"/>
      <c r="AB629" s="531"/>
      <c r="AC629" s="531"/>
      <c r="AD629" s="531"/>
      <c r="AE629" s="531"/>
      <c r="AF629" s="531"/>
      <c r="AG629" s="531"/>
    </row>
    <row r="630">
      <c r="B630" s="531"/>
      <c r="C630" s="531"/>
      <c r="D630" s="531"/>
      <c r="E630" s="531"/>
      <c r="F630" s="531"/>
      <c r="G630" s="531"/>
      <c r="H630" s="531"/>
      <c r="I630" s="531"/>
      <c r="J630" s="531"/>
      <c r="K630" s="531"/>
      <c r="L630" s="531"/>
      <c r="M630" s="531"/>
      <c r="N630" s="531"/>
      <c r="O630" s="531"/>
      <c r="P630" s="531"/>
      <c r="Q630" s="531"/>
      <c r="R630" s="531"/>
      <c r="S630" s="532"/>
      <c r="T630" s="532"/>
      <c r="U630" s="532"/>
      <c r="V630" s="532"/>
      <c r="W630" s="532"/>
      <c r="X630" s="532"/>
      <c r="Y630" s="532"/>
      <c r="Z630" s="531"/>
      <c r="AA630" s="531"/>
      <c r="AB630" s="531"/>
      <c r="AC630" s="531"/>
      <c r="AD630" s="531"/>
      <c r="AE630" s="531"/>
      <c r="AF630" s="531"/>
      <c r="AG630" s="531"/>
    </row>
    <row r="631">
      <c r="B631" s="531"/>
      <c r="C631" s="531"/>
      <c r="D631" s="531"/>
      <c r="E631" s="531"/>
      <c r="F631" s="531"/>
      <c r="G631" s="531"/>
      <c r="H631" s="531"/>
      <c r="I631" s="531"/>
      <c r="J631" s="531"/>
      <c r="K631" s="531"/>
      <c r="L631" s="531"/>
      <c r="M631" s="531"/>
      <c r="N631" s="531"/>
      <c r="O631" s="531"/>
      <c r="P631" s="531"/>
      <c r="Q631" s="531"/>
      <c r="R631" s="531"/>
      <c r="S631" s="532"/>
      <c r="T631" s="532"/>
      <c r="U631" s="532"/>
      <c r="V631" s="532"/>
      <c r="W631" s="532"/>
      <c r="X631" s="532"/>
      <c r="Y631" s="532"/>
      <c r="Z631" s="531"/>
      <c r="AA631" s="531"/>
      <c r="AB631" s="531"/>
      <c r="AC631" s="531"/>
      <c r="AD631" s="531"/>
      <c r="AE631" s="531"/>
      <c r="AF631" s="531"/>
      <c r="AG631" s="531"/>
    </row>
    <row r="632">
      <c r="B632" s="531"/>
      <c r="C632" s="531"/>
      <c r="D632" s="531"/>
      <c r="E632" s="531"/>
      <c r="F632" s="531"/>
      <c r="G632" s="531"/>
      <c r="H632" s="531"/>
      <c r="I632" s="531"/>
      <c r="J632" s="531"/>
      <c r="K632" s="531"/>
      <c r="L632" s="531"/>
      <c r="M632" s="531"/>
      <c r="N632" s="531"/>
      <c r="O632" s="531"/>
      <c r="P632" s="531"/>
      <c r="Q632" s="531"/>
      <c r="R632" s="531"/>
      <c r="S632" s="532"/>
      <c r="T632" s="532"/>
      <c r="U632" s="532"/>
      <c r="V632" s="532"/>
      <c r="W632" s="532"/>
      <c r="X632" s="532"/>
      <c r="Y632" s="532"/>
      <c r="Z632" s="531"/>
      <c r="AA632" s="531"/>
      <c r="AB632" s="531"/>
      <c r="AC632" s="531"/>
      <c r="AD632" s="531"/>
      <c r="AE632" s="531"/>
      <c r="AF632" s="531"/>
      <c r="AG632" s="531"/>
    </row>
    <row r="633">
      <c r="B633" s="531"/>
      <c r="C633" s="531"/>
      <c r="D633" s="531"/>
      <c r="E633" s="531"/>
      <c r="F633" s="531"/>
      <c r="G633" s="531"/>
      <c r="H633" s="531"/>
      <c r="I633" s="531"/>
      <c r="J633" s="531"/>
      <c r="K633" s="531"/>
      <c r="L633" s="531"/>
      <c r="M633" s="531"/>
      <c r="N633" s="531"/>
      <c r="O633" s="531"/>
      <c r="P633" s="531"/>
      <c r="Q633" s="531"/>
      <c r="R633" s="531"/>
      <c r="S633" s="532"/>
      <c r="T633" s="532"/>
      <c r="U633" s="532"/>
      <c r="V633" s="532"/>
      <c r="W633" s="532"/>
      <c r="X633" s="532"/>
      <c r="Y633" s="532"/>
      <c r="Z633" s="531"/>
      <c r="AA633" s="531"/>
      <c r="AB633" s="531"/>
      <c r="AC633" s="531"/>
      <c r="AD633" s="531"/>
      <c r="AE633" s="531"/>
      <c r="AF633" s="531"/>
      <c r="AG633" s="531"/>
    </row>
    <row r="634">
      <c r="B634" s="531"/>
      <c r="C634" s="531"/>
      <c r="D634" s="531"/>
      <c r="E634" s="531"/>
      <c r="F634" s="531"/>
      <c r="G634" s="531"/>
      <c r="H634" s="531"/>
      <c r="I634" s="531"/>
      <c r="J634" s="531"/>
      <c r="K634" s="531"/>
      <c r="L634" s="531"/>
      <c r="M634" s="531"/>
      <c r="N634" s="531"/>
      <c r="O634" s="531"/>
      <c r="P634" s="531"/>
      <c r="Q634" s="531"/>
      <c r="R634" s="531"/>
      <c r="S634" s="532"/>
      <c r="T634" s="532"/>
      <c r="U634" s="532"/>
      <c r="V634" s="532"/>
      <c r="W634" s="532"/>
      <c r="X634" s="532"/>
      <c r="Y634" s="532"/>
      <c r="Z634" s="531"/>
      <c r="AA634" s="531"/>
      <c r="AB634" s="531"/>
      <c r="AC634" s="531"/>
      <c r="AD634" s="531"/>
      <c r="AE634" s="531"/>
      <c r="AF634" s="531"/>
      <c r="AG634" s="531"/>
    </row>
    <row r="635">
      <c r="B635" s="531"/>
      <c r="C635" s="531"/>
      <c r="D635" s="531"/>
      <c r="E635" s="531"/>
      <c r="F635" s="531"/>
      <c r="G635" s="531"/>
      <c r="H635" s="531"/>
      <c r="I635" s="531"/>
      <c r="J635" s="531"/>
      <c r="K635" s="531"/>
      <c r="L635" s="531"/>
      <c r="M635" s="531"/>
      <c r="N635" s="531"/>
      <c r="O635" s="531"/>
      <c r="P635" s="531"/>
      <c r="Q635" s="531"/>
      <c r="R635" s="531"/>
      <c r="S635" s="532"/>
      <c r="T635" s="532"/>
      <c r="U635" s="532"/>
      <c r="V635" s="532"/>
      <c r="W635" s="532"/>
      <c r="X635" s="532"/>
      <c r="Y635" s="532"/>
      <c r="Z635" s="531"/>
      <c r="AA635" s="531"/>
      <c r="AB635" s="531"/>
      <c r="AC635" s="531"/>
      <c r="AD635" s="531"/>
      <c r="AE635" s="531"/>
      <c r="AF635" s="531"/>
      <c r="AG635" s="531"/>
    </row>
    <row r="636">
      <c r="B636" s="531"/>
      <c r="C636" s="531"/>
      <c r="D636" s="531"/>
      <c r="E636" s="531"/>
      <c r="F636" s="531"/>
      <c r="G636" s="531"/>
      <c r="H636" s="531"/>
      <c r="I636" s="531"/>
      <c r="J636" s="531"/>
      <c r="K636" s="531"/>
      <c r="L636" s="531"/>
      <c r="M636" s="531"/>
      <c r="N636" s="531"/>
      <c r="O636" s="531"/>
      <c r="P636" s="531"/>
      <c r="Q636" s="531"/>
      <c r="R636" s="531"/>
      <c r="S636" s="532"/>
      <c r="T636" s="532"/>
      <c r="U636" s="532"/>
      <c r="V636" s="532"/>
      <c r="W636" s="532"/>
      <c r="X636" s="532"/>
      <c r="Y636" s="532"/>
      <c r="Z636" s="531"/>
      <c r="AA636" s="531"/>
      <c r="AB636" s="531"/>
      <c r="AC636" s="531"/>
      <c r="AD636" s="531"/>
      <c r="AE636" s="531"/>
      <c r="AF636" s="531"/>
      <c r="AG636" s="531"/>
    </row>
    <row r="637">
      <c r="B637" s="531"/>
      <c r="C637" s="531"/>
      <c r="D637" s="531"/>
      <c r="E637" s="531"/>
      <c r="F637" s="531"/>
      <c r="G637" s="531"/>
      <c r="H637" s="531"/>
      <c r="I637" s="531"/>
      <c r="J637" s="531"/>
      <c r="K637" s="531"/>
      <c r="L637" s="531"/>
      <c r="M637" s="531"/>
      <c r="N637" s="531"/>
      <c r="O637" s="531"/>
      <c r="P637" s="531"/>
      <c r="Q637" s="531"/>
      <c r="R637" s="531"/>
      <c r="S637" s="532"/>
      <c r="T637" s="532"/>
      <c r="U637" s="532"/>
      <c r="V637" s="532"/>
      <c r="W637" s="532"/>
      <c r="X637" s="532"/>
      <c r="Y637" s="532"/>
      <c r="Z637" s="531"/>
      <c r="AA637" s="531"/>
      <c r="AB637" s="531"/>
      <c r="AC637" s="531"/>
      <c r="AD637" s="531"/>
      <c r="AE637" s="531"/>
      <c r="AF637" s="531"/>
      <c r="AG637" s="531"/>
    </row>
    <row r="638">
      <c r="B638" s="531"/>
      <c r="C638" s="531"/>
      <c r="D638" s="531"/>
      <c r="E638" s="531"/>
      <c r="F638" s="531"/>
      <c r="G638" s="531"/>
      <c r="H638" s="531"/>
      <c r="I638" s="531"/>
      <c r="J638" s="531"/>
      <c r="K638" s="531"/>
      <c r="L638" s="531"/>
      <c r="M638" s="531"/>
      <c r="N638" s="531"/>
      <c r="O638" s="531"/>
      <c r="P638" s="531"/>
      <c r="Q638" s="531"/>
      <c r="R638" s="531"/>
      <c r="S638" s="532"/>
      <c r="T638" s="532"/>
      <c r="U638" s="532"/>
      <c r="V638" s="532"/>
      <c r="W638" s="532"/>
      <c r="X638" s="532"/>
      <c r="Y638" s="532"/>
      <c r="Z638" s="531"/>
      <c r="AA638" s="531"/>
      <c r="AB638" s="531"/>
      <c r="AC638" s="531"/>
      <c r="AD638" s="531"/>
      <c r="AE638" s="531"/>
      <c r="AF638" s="531"/>
      <c r="AG638" s="531"/>
    </row>
    <row r="639">
      <c r="B639" s="531"/>
      <c r="C639" s="531"/>
      <c r="D639" s="531"/>
      <c r="E639" s="531"/>
      <c r="F639" s="531"/>
      <c r="G639" s="531"/>
      <c r="H639" s="531"/>
      <c r="I639" s="531"/>
      <c r="J639" s="531"/>
      <c r="K639" s="531"/>
      <c r="L639" s="531"/>
      <c r="M639" s="531"/>
      <c r="N639" s="531"/>
      <c r="O639" s="531"/>
      <c r="P639" s="531"/>
      <c r="Q639" s="531"/>
      <c r="R639" s="531"/>
      <c r="S639" s="532"/>
      <c r="T639" s="532"/>
      <c r="U639" s="532"/>
      <c r="V639" s="532"/>
      <c r="W639" s="532"/>
      <c r="X639" s="532"/>
      <c r="Y639" s="532"/>
      <c r="Z639" s="531"/>
      <c r="AA639" s="531"/>
      <c r="AB639" s="531"/>
      <c r="AC639" s="531"/>
      <c r="AD639" s="531"/>
      <c r="AE639" s="531"/>
      <c r="AF639" s="531"/>
      <c r="AG639" s="531"/>
    </row>
    <row r="640">
      <c r="B640" s="531"/>
      <c r="C640" s="531"/>
      <c r="D640" s="531"/>
      <c r="E640" s="531"/>
      <c r="F640" s="531"/>
      <c r="G640" s="531"/>
      <c r="H640" s="531"/>
      <c r="I640" s="531"/>
      <c r="J640" s="531"/>
      <c r="K640" s="531"/>
      <c r="L640" s="531"/>
      <c r="M640" s="531"/>
      <c r="N640" s="531"/>
      <c r="O640" s="531"/>
      <c r="P640" s="531"/>
      <c r="Q640" s="531"/>
      <c r="R640" s="531"/>
      <c r="S640" s="532"/>
      <c r="T640" s="532"/>
      <c r="U640" s="532"/>
      <c r="V640" s="532"/>
      <c r="W640" s="532"/>
      <c r="X640" s="532"/>
      <c r="Y640" s="532"/>
      <c r="Z640" s="531"/>
      <c r="AA640" s="531"/>
      <c r="AB640" s="531"/>
      <c r="AC640" s="531"/>
      <c r="AD640" s="531"/>
      <c r="AE640" s="531"/>
      <c r="AF640" s="531"/>
      <c r="AG640" s="531"/>
    </row>
    <row r="641">
      <c r="B641" s="531"/>
      <c r="C641" s="531"/>
      <c r="D641" s="531"/>
      <c r="E641" s="531"/>
      <c r="F641" s="531"/>
      <c r="G641" s="531"/>
      <c r="H641" s="531"/>
      <c r="I641" s="531"/>
      <c r="J641" s="531"/>
      <c r="K641" s="531"/>
      <c r="L641" s="531"/>
      <c r="M641" s="531"/>
      <c r="N641" s="531"/>
      <c r="O641" s="531"/>
      <c r="P641" s="531"/>
      <c r="Q641" s="531"/>
      <c r="R641" s="531"/>
      <c r="S641" s="532"/>
      <c r="T641" s="532"/>
      <c r="U641" s="532"/>
      <c r="V641" s="532"/>
      <c r="W641" s="532"/>
      <c r="X641" s="532"/>
      <c r="Y641" s="532"/>
      <c r="Z641" s="531"/>
      <c r="AA641" s="531"/>
      <c r="AB641" s="531"/>
      <c r="AC641" s="531"/>
      <c r="AD641" s="531"/>
      <c r="AE641" s="531"/>
      <c r="AF641" s="531"/>
      <c r="AG641" s="531"/>
    </row>
    <row r="642">
      <c r="B642" s="531"/>
      <c r="C642" s="531"/>
      <c r="D642" s="531"/>
      <c r="E642" s="531"/>
      <c r="F642" s="531"/>
      <c r="G642" s="531"/>
      <c r="H642" s="531"/>
      <c r="I642" s="531"/>
      <c r="J642" s="531"/>
      <c r="K642" s="531"/>
      <c r="L642" s="531"/>
      <c r="M642" s="531"/>
      <c r="N642" s="531"/>
      <c r="O642" s="531"/>
      <c r="P642" s="531"/>
      <c r="Q642" s="531"/>
      <c r="R642" s="531"/>
      <c r="S642" s="532"/>
      <c r="T642" s="532"/>
      <c r="U642" s="532"/>
      <c r="V642" s="532"/>
      <c r="W642" s="532"/>
      <c r="X642" s="532"/>
      <c r="Y642" s="532"/>
      <c r="Z642" s="531"/>
      <c r="AA642" s="531"/>
      <c r="AB642" s="531"/>
      <c r="AC642" s="531"/>
      <c r="AD642" s="531"/>
      <c r="AE642" s="531"/>
      <c r="AF642" s="531"/>
      <c r="AG642" s="531"/>
    </row>
    <row r="643">
      <c r="B643" s="531"/>
      <c r="C643" s="531"/>
      <c r="D643" s="531"/>
      <c r="E643" s="531"/>
      <c r="F643" s="531"/>
      <c r="G643" s="531"/>
      <c r="H643" s="531"/>
      <c r="I643" s="531"/>
      <c r="J643" s="531"/>
      <c r="K643" s="531"/>
      <c r="L643" s="531"/>
      <c r="M643" s="531"/>
      <c r="N643" s="531"/>
      <c r="O643" s="531"/>
      <c r="P643" s="531"/>
      <c r="Q643" s="531"/>
      <c r="R643" s="531"/>
      <c r="S643" s="532"/>
      <c r="T643" s="532"/>
      <c r="U643" s="532"/>
      <c r="V643" s="532"/>
      <c r="W643" s="532"/>
      <c r="X643" s="532"/>
      <c r="Y643" s="532"/>
      <c r="Z643" s="531"/>
      <c r="AA643" s="531"/>
      <c r="AB643" s="531"/>
      <c r="AC643" s="531"/>
      <c r="AD643" s="531"/>
      <c r="AE643" s="531"/>
      <c r="AF643" s="531"/>
      <c r="AG643" s="531"/>
    </row>
    <row r="644">
      <c r="B644" s="531"/>
      <c r="C644" s="531"/>
      <c r="D644" s="531"/>
      <c r="E644" s="531"/>
      <c r="F644" s="531"/>
      <c r="G644" s="531"/>
      <c r="H644" s="531"/>
      <c r="I644" s="531"/>
      <c r="J644" s="531"/>
      <c r="K644" s="531"/>
      <c r="L644" s="531"/>
      <c r="M644" s="531"/>
      <c r="N644" s="531"/>
      <c r="O644" s="531"/>
      <c r="P644" s="531"/>
      <c r="Q644" s="531"/>
      <c r="R644" s="531"/>
      <c r="S644" s="532"/>
      <c r="T644" s="532"/>
      <c r="U644" s="532"/>
      <c r="V644" s="532"/>
      <c r="W644" s="532"/>
      <c r="X644" s="532"/>
      <c r="Y644" s="532"/>
      <c r="Z644" s="531"/>
      <c r="AA644" s="531"/>
      <c r="AB644" s="531"/>
      <c r="AC644" s="531"/>
      <c r="AD644" s="531"/>
      <c r="AE644" s="531"/>
      <c r="AF644" s="531"/>
      <c r="AG644" s="531"/>
    </row>
    <row r="645">
      <c r="B645" s="531"/>
      <c r="C645" s="531"/>
      <c r="D645" s="531"/>
      <c r="E645" s="531"/>
      <c r="F645" s="531"/>
      <c r="G645" s="531"/>
      <c r="H645" s="531"/>
      <c r="I645" s="531"/>
      <c r="J645" s="531"/>
      <c r="K645" s="531"/>
      <c r="L645" s="531"/>
      <c r="M645" s="531"/>
      <c r="N645" s="531"/>
      <c r="O645" s="531"/>
      <c r="P645" s="531"/>
      <c r="Q645" s="531"/>
      <c r="R645" s="531"/>
      <c r="S645" s="532"/>
      <c r="T645" s="532"/>
      <c r="U645" s="532"/>
      <c r="V645" s="532"/>
      <c r="W645" s="532"/>
      <c r="X645" s="532"/>
      <c r="Y645" s="532"/>
      <c r="Z645" s="531"/>
      <c r="AA645" s="531"/>
      <c r="AB645" s="531"/>
      <c r="AC645" s="531"/>
      <c r="AD645" s="531"/>
      <c r="AE645" s="531"/>
      <c r="AF645" s="531"/>
      <c r="AG645" s="531"/>
    </row>
    <row r="646">
      <c r="B646" s="531"/>
      <c r="C646" s="531"/>
      <c r="D646" s="531"/>
      <c r="E646" s="531"/>
      <c r="F646" s="531"/>
      <c r="G646" s="531"/>
      <c r="H646" s="531"/>
      <c r="I646" s="531"/>
      <c r="J646" s="531"/>
      <c r="K646" s="531"/>
      <c r="L646" s="531"/>
      <c r="M646" s="531"/>
      <c r="N646" s="531"/>
      <c r="O646" s="531"/>
      <c r="P646" s="531"/>
      <c r="Q646" s="531"/>
      <c r="R646" s="531"/>
      <c r="S646" s="532"/>
      <c r="T646" s="532"/>
      <c r="U646" s="532"/>
      <c r="V646" s="532"/>
      <c r="W646" s="532"/>
      <c r="X646" s="532"/>
      <c r="Y646" s="532"/>
      <c r="Z646" s="531"/>
      <c r="AA646" s="531"/>
      <c r="AB646" s="531"/>
      <c r="AC646" s="531"/>
      <c r="AD646" s="531"/>
      <c r="AE646" s="531"/>
      <c r="AF646" s="531"/>
      <c r="AG646" s="531"/>
    </row>
    <row r="647">
      <c r="B647" s="531"/>
      <c r="C647" s="531"/>
      <c r="D647" s="531"/>
      <c r="E647" s="531"/>
      <c r="F647" s="531"/>
      <c r="G647" s="531"/>
      <c r="H647" s="531"/>
      <c r="I647" s="531"/>
      <c r="J647" s="531"/>
      <c r="K647" s="531"/>
      <c r="L647" s="531"/>
      <c r="M647" s="531"/>
      <c r="N647" s="531"/>
      <c r="O647" s="531"/>
      <c r="P647" s="531"/>
      <c r="Q647" s="531"/>
      <c r="R647" s="531"/>
      <c r="S647" s="532"/>
      <c r="T647" s="532"/>
      <c r="U647" s="532"/>
      <c r="V647" s="532"/>
      <c r="W647" s="532"/>
      <c r="X647" s="532"/>
      <c r="Y647" s="532"/>
      <c r="Z647" s="531"/>
      <c r="AA647" s="531"/>
      <c r="AB647" s="531"/>
      <c r="AC647" s="531"/>
      <c r="AD647" s="531"/>
      <c r="AE647" s="531"/>
      <c r="AF647" s="531"/>
      <c r="AG647" s="531"/>
    </row>
    <row r="648">
      <c r="B648" s="531"/>
      <c r="C648" s="531"/>
      <c r="D648" s="531"/>
      <c r="E648" s="531"/>
      <c r="F648" s="531"/>
      <c r="G648" s="531"/>
      <c r="H648" s="531"/>
      <c r="I648" s="531"/>
      <c r="J648" s="531"/>
      <c r="K648" s="531"/>
      <c r="L648" s="531"/>
      <c r="M648" s="531"/>
      <c r="N648" s="531"/>
      <c r="O648" s="531"/>
      <c r="P648" s="531"/>
      <c r="Q648" s="531"/>
      <c r="R648" s="531"/>
      <c r="S648" s="532"/>
      <c r="T648" s="532"/>
      <c r="U648" s="532"/>
      <c r="V648" s="532"/>
      <c r="W648" s="532"/>
      <c r="X648" s="532"/>
      <c r="Y648" s="532"/>
      <c r="Z648" s="531"/>
      <c r="AA648" s="531"/>
      <c r="AB648" s="531"/>
      <c r="AC648" s="531"/>
      <c r="AD648" s="531"/>
      <c r="AE648" s="531"/>
      <c r="AF648" s="531"/>
      <c r="AG648" s="531"/>
    </row>
    <row r="649">
      <c r="B649" s="531"/>
      <c r="C649" s="531"/>
      <c r="D649" s="531"/>
      <c r="E649" s="531"/>
      <c r="F649" s="531"/>
      <c r="G649" s="531"/>
      <c r="H649" s="531"/>
      <c r="I649" s="531"/>
      <c r="J649" s="531"/>
      <c r="K649" s="531"/>
      <c r="L649" s="531"/>
      <c r="M649" s="531"/>
      <c r="N649" s="531"/>
      <c r="O649" s="531"/>
      <c r="P649" s="531"/>
      <c r="Q649" s="531"/>
      <c r="R649" s="531"/>
      <c r="S649" s="532"/>
      <c r="T649" s="532"/>
      <c r="U649" s="532"/>
      <c r="V649" s="532"/>
      <c r="W649" s="532"/>
      <c r="X649" s="532"/>
      <c r="Y649" s="532"/>
      <c r="Z649" s="531"/>
      <c r="AA649" s="531"/>
      <c r="AB649" s="531"/>
      <c r="AC649" s="531"/>
      <c r="AD649" s="531"/>
      <c r="AE649" s="531"/>
      <c r="AF649" s="531"/>
      <c r="AG649" s="531"/>
    </row>
    <row r="650">
      <c r="B650" s="531"/>
      <c r="C650" s="531"/>
      <c r="D650" s="531"/>
      <c r="E650" s="531"/>
      <c r="F650" s="531"/>
      <c r="G650" s="531"/>
      <c r="H650" s="531"/>
      <c r="I650" s="531"/>
      <c r="J650" s="531"/>
      <c r="K650" s="531"/>
      <c r="L650" s="531"/>
      <c r="M650" s="531"/>
      <c r="N650" s="531"/>
      <c r="O650" s="531"/>
      <c r="P650" s="531"/>
      <c r="Q650" s="531"/>
      <c r="R650" s="531"/>
      <c r="S650" s="532"/>
      <c r="T650" s="532"/>
      <c r="U650" s="532"/>
      <c r="V650" s="532"/>
      <c r="W650" s="532"/>
      <c r="X650" s="532"/>
      <c r="Y650" s="532"/>
      <c r="Z650" s="531"/>
      <c r="AA650" s="531"/>
      <c r="AB650" s="531"/>
      <c r="AC650" s="531"/>
      <c r="AD650" s="531"/>
      <c r="AE650" s="531"/>
      <c r="AF650" s="531"/>
      <c r="AG650" s="531"/>
    </row>
    <row r="651">
      <c r="B651" s="531"/>
      <c r="C651" s="531"/>
      <c r="D651" s="531"/>
      <c r="E651" s="531"/>
      <c r="F651" s="531"/>
      <c r="G651" s="531"/>
      <c r="H651" s="531"/>
      <c r="I651" s="531"/>
      <c r="J651" s="531"/>
      <c r="K651" s="531"/>
      <c r="L651" s="531"/>
      <c r="M651" s="531"/>
      <c r="N651" s="531"/>
      <c r="O651" s="531"/>
      <c r="P651" s="531"/>
      <c r="Q651" s="531"/>
      <c r="R651" s="531"/>
      <c r="S651" s="532"/>
      <c r="T651" s="532"/>
      <c r="U651" s="532"/>
      <c r="V651" s="532"/>
      <c r="W651" s="532"/>
      <c r="X651" s="532"/>
      <c r="Y651" s="532"/>
      <c r="Z651" s="531"/>
      <c r="AA651" s="531"/>
      <c r="AB651" s="531"/>
      <c r="AC651" s="531"/>
      <c r="AD651" s="531"/>
      <c r="AE651" s="531"/>
      <c r="AF651" s="531"/>
      <c r="AG651" s="531"/>
    </row>
    <row r="652">
      <c r="B652" s="531"/>
      <c r="C652" s="531"/>
      <c r="D652" s="531"/>
      <c r="E652" s="531"/>
      <c r="F652" s="531"/>
      <c r="G652" s="531"/>
      <c r="H652" s="531"/>
      <c r="I652" s="531"/>
      <c r="J652" s="531"/>
      <c r="K652" s="531"/>
      <c r="L652" s="531"/>
      <c r="M652" s="531"/>
      <c r="N652" s="531"/>
      <c r="O652" s="531"/>
      <c r="P652" s="531"/>
      <c r="Q652" s="531"/>
      <c r="R652" s="531"/>
      <c r="S652" s="532"/>
      <c r="T652" s="532"/>
      <c r="U652" s="532"/>
      <c r="V652" s="532"/>
      <c r="W652" s="532"/>
      <c r="X652" s="532"/>
      <c r="Y652" s="532"/>
      <c r="Z652" s="531"/>
      <c r="AA652" s="531"/>
      <c r="AB652" s="531"/>
      <c r="AC652" s="531"/>
      <c r="AD652" s="531"/>
      <c r="AE652" s="531"/>
      <c r="AF652" s="531"/>
      <c r="AG652" s="531"/>
    </row>
    <row r="653">
      <c r="B653" s="531"/>
      <c r="C653" s="531"/>
      <c r="D653" s="531"/>
      <c r="E653" s="531"/>
      <c r="F653" s="531"/>
      <c r="G653" s="531"/>
      <c r="H653" s="531"/>
      <c r="I653" s="531"/>
      <c r="J653" s="531"/>
      <c r="K653" s="531"/>
      <c r="L653" s="531"/>
      <c r="M653" s="531"/>
      <c r="N653" s="531"/>
      <c r="O653" s="531"/>
      <c r="P653" s="531"/>
      <c r="Q653" s="531"/>
      <c r="R653" s="531"/>
      <c r="S653" s="532"/>
      <c r="T653" s="532"/>
      <c r="U653" s="532"/>
      <c r="V653" s="532"/>
      <c r="W653" s="532"/>
      <c r="X653" s="532"/>
      <c r="Y653" s="532"/>
      <c r="Z653" s="531"/>
      <c r="AA653" s="531"/>
      <c r="AB653" s="531"/>
      <c r="AC653" s="531"/>
      <c r="AD653" s="531"/>
      <c r="AE653" s="531"/>
      <c r="AF653" s="531"/>
      <c r="AG653" s="531"/>
    </row>
    <row r="654">
      <c r="B654" s="531"/>
      <c r="C654" s="531"/>
      <c r="D654" s="531"/>
      <c r="E654" s="531"/>
      <c r="F654" s="531"/>
      <c r="G654" s="531"/>
      <c r="H654" s="531"/>
      <c r="I654" s="531"/>
      <c r="J654" s="531"/>
      <c r="K654" s="531"/>
      <c r="L654" s="531"/>
      <c r="M654" s="531"/>
      <c r="N654" s="531"/>
      <c r="O654" s="531"/>
      <c r="P654" s="531"/>
      <c r="Q654" s="531"/>
      <c r="R654" s="531"/>
      <c r="S654" s="532"/>
      <c r="T654" s="532"/>
      <c r="U654" s="532"/>
      <c r="V654" s="532"/>
      <c r="W654" s="532"/>
      <c r="X654" s="532"/>
      <c r="Y654" s="532"/>
      <c r="Z654" s="531"/>
      <c r="AA654" s="531"/>
      <c r="AB654" s="531"/>
      <c r="AC654" s="531"/>
      <c r="AD654" s="531"/>
      <c r="AE654" s="531"/>
      <c r="AF654" s="531"/>
      <c r="AG654" s="531"/>
    </row>
    <row r="655">
      <c r="B655" s="531"/>
      <c r="C655" s="531"/>
      <c r="D655" s="531"/>
      <c r="E655" s="531"/>
      <c r="F655" s="531"/>
      <c r="G655" s="531"/>
      <c r="H655" s="531"/>
      <c r="I655" s="531"/>
      <c r="J655" s="531"/>
      <c r="K655" s="531"/>
      <c r="L655" s="531"/>
      <c r="M655" s="531"/>
      <c r="N655" s="531"/>
      <c r="O655" s="531"/>
      <c r="P655" s="531"/>
      <c r="Q655" s="531"/>
      <c r="R655" s="531"/>
      <c r="S655" s="532"/>
      <c r="T655" s="532"/>
      <c r="U655" s="532"/>
      <c r="V655" s="532"/>
      <c r="W655" s="532"/>
      <c r="X655" s="532"/>
      <c r="Y655" s="532"/>
      <c r="Z655" s="531"/>
      <c r="AA655" s="531"/>
      <c r="AB655" s="531"/>
      <c r="AC655" s="531"/>
      <c r="AD655" s="531"/>
      <c r="AE655" s="531"/>
      <c r="AF655" s="531"/>
      <c r="AG655" s="531"/>
    </row>
    <row r="656">
      <c r="B656" s="531"/>
      <c r="C656" s="531"/>
      <c r="D656" s="531"/>
      <c r="E656" s="531"/>
      <c r="F656" s="531"/>
      <c r="G656" s="531"/>
      <c r="H656" s="531"/>
      <c r="I656" s="531"/>
      <c r="J656" s="531"/>
      <c r="K656" s="531"/>
      <c r="L656" s="531"/>
      <c r="M656" s="531"/>
      <c r="N656" s="531"/>
      <c r="O656" s="531"/>
      <c r="P656" s="531"/>
      <c r="Q656" s="531"/>
      <c r="R656" s="531"/>
      <c r="S656" s="532"/>
      <c r="T656" s="532"/>
      <c r="U656" s="532"/>
      <c r="V656" s="532"/>
      <c r="W656" s="532"/>
      <c r="X656" s="532"/>
      <c r="Y656" s="532"/>
      <c r="Z656" s="531"/>
      <c r="AA656" s="531"/>
      <c r="AB656" s="531"/>
      <c r="AC656" s="531"/>
      <c r="AD656" s="531"/>
      <c r="AE656" s="531"/>
      <c r="AF656" s="531"/>
      <c r="AG656" s="531"/>
    </row>
    <row r="657">
      <c r="B657" s="531"/>
      <c r="C657" s="531"/>
      <c r="D657" s="531"/>
      <c r="E657" s="531"/>
      <c r="F657" s="531"/>
      <c r="G657" s="531"/>
      <c r="H657" s="531"/>
      <c r="I657" s="531"/>
      <c r="J657" s="531"/>
      <c r="K657" s="531"/>
      <c r="L657" s="531"/>
      <c r="M657" s="531"/>
      <c r="N657" s="531"/>
      <c r="O657" s="531"/>
      <c r="P657" s="531"/>
      <c r="Q657" s="531"/>
      <c r="R657" s="531"/>
      <c r="S657" s="532"/>
      <c r="T657" s="532"/>
      <c r="U657" s="532"/>
      <c r="V657" s="532"/>
      <c r="W657" s="532"/>
      <c r="X657" s="532"/>
      <c r="Y657" s="532"/>
      <c r="Z657" s="531"/>
      <c r="AA657" s="531"/>
      <c r="AB657" s="531"/>
      <c r="AC657" s="531"/>
      <c r="AD657" s="531"/>
      <c r="AE657" s="531"/>
      <c r="AF657" s="531"/>
      <c r="AG657" s="531"/>
    </row>
    <row r="658">
      <c r="B658" s="531"/>
      <c r="C658" s="531"/>
      <c r="D658" s="531"/>
      <c r="E658" s="531"/>
      <c r="F658" s="531"/>
      <c r="G658" s="531"/>
      <c r="H658" s="531"/>
      <c r="I658" s="531"/>
      <c r="J658" s="531"/>
      <c r="K658" s="531"/>
      <c r="L658" s="531"/>
      <c r="M658" s="531"/>
      <c r="N658" s="531"/>
      <c r="O658" s="531"/>
      <c r="P658" s="531"/>
      <c r="Q658" s="531"/>
      <c r="R658" s="531"/>
      <c r="S658" s="532"/>
      <c r="T658" s="532"/>
      <c r="U658" s="532"/>
      <c r="V658" s="532"/>
      <c r="W658" s="532"/>
      <c r="X658" s="532"/>
      <c r="Y658" s="532"/>
      <c r="Z658" s="531"/>
      <c r="AA658" s="531"/>
      <c r="AB658" s="531"/>
      <c r="AC658" s="531"/>
      <c r="AD658" s="531"/>
      <c r="AE658" s="531"/>
      <c r="AF658" s="531"/>
      <c r="AG658" s="531"/>
    </row>
    <row r="659">
      <c r="B659" s="531"/>
      <c r="C659" s="531"/>
      <c r="D659" s="531"/>
      <c r="E659" s="531"/>
      <c r="F659" s="531"/>
      <c r="G659" s="531"/>
      <c r="H659" s="531"/>
      <c r="I659" s="531"/>
      <c r="J659" s="531"/>
      <c r="K659" s="531"/>
      <c r="L659" s="531"/>
      <c r="M659" s="531"/>
      <c r="N659" s="531"/>
      <c r="O659" s="531"/>
      <c r="P659" s="531"/>
      <c r="Q659" s="531"/>
      <c r="R659" s="531"/>
      <c r="S659" s="532"/>
      <c r="T659" s="532"/>
      <c r="U659" s="532"/>
      <c r="V659" s="532"/>
      <c r="W659" s="532"/>
      <c r="X659" s="532"/>
      <c r="Y659" s="532"/>
      <c r="Z659" s="531"/>
      <c r="AA659" s="531"/>
      <c r="AB659" s="531"/>
      <c r="AC659" s="531"/>
      <c r="AD659" s="531"/>
      <c r="AE659" s="531"/>
      <c r="AF659" s="531"/>
      <c r="AG659" s="531"/>
    </row>
    <row r="660">
      <c r="B660" s="531"/>
      <c r="C660" s="531"/>
      <c r="D660" s="531"/>
      <c r="E660" s="531"/>
      <c r="F660" s="531"/>
      <c r="G660" s="531"/>
      <c r="H660" s="531"/>
      <c r="I660" s="531"/>
      <c r="J660" s="531"/>
      <c r="K660" s="531"/>
      <c r="L660" s="531"/>
      <c r="M660" s="531"/>
      <c r="N660" s="531"/>
      <c r="O660" s="531"/>
      <c r="P660" s="531"/>
      <c r="Q660" s="531"/>
      <c r="R660" s="531"/>
      <c r="S660" s="532"/>
      <c r="T660" s="532"/>
      <c r="U660" s="532"/>
      <c r="V660" s="532"/>
      <c r="W660" s="532"/>
      <c r="X660" s="532"/>
      <c r="Y660" s="532"/>
      <c r="Z660" s="531"/>
      <c r="AA660" s="531"/>
      <c r="AB660" s="531"/>
      <c r="AC660" s="531"/>
      <c r="AD660" s="531"/>
      <c r="AE660" s="531"/>
      <c r="AF660" s="531"/>
      <c r="AG660" s="531"/>
    </row>
    <row r="661">
      <c r="B661" s="531"/>
      <c r="C661" s="531"/>
      <c r="D661" s="531"/>
      <c r="E661" s="531"/>
      <c r="F661" s="531"/>
      <c r="G661" s="531"/>
      <c r="H661" s="531"/>
      <c r="I661" s="531"/>
      <c r="J661" s="531"/>
      <c r="K661" s="531"/>
      <c r="L661" s="531"/>
      <c r="M661" s="531"/>
      <c r="N661" s="531"/>
      <c r="O661" s="531"/>
      <c r="P661" s="531"/>
      <c r="Q661" s="531"/>
      <c r="R661" s="531"/>
      <c r="S661" s="532"/>
      <c r="T661" s="532"/>
      <c r="U661" s="532"/>
      <c r="V661" s="532"/>
      <c r="W661" s="532"/>
      <c r="X661" s="532"/>
      <c r="Y661" s="532"/>
      <c r="Z661" s="531"/>
      <c r="AA661" s="531"/>
      <c r="AB661" s="531"/>
      <c r="AC661" s="531"/>
      <c r="AD661" s="531"/>
      <c r="AE661" s="531"/>
      <c r="AF661" s="531"/>
      <c r="AG661" s="531"/>
    </row>
    <row r="662">
      <c r="B662" s="531"/>
      <c r="C662" s="531"/>
      <c r="D662" s="531"/>
      <c r="E662" s="531"/>
      <c r="F662" s="531"/>
      <c r="G662" s="531"/>
      <c r="H662" s="531"/>
      <c r="I662" s="531"/>
      <c r="J662" s="531"/>
      <c r="K662" s="531"/>
      <c r="L662" s="531"/>
      <c r="M662" s="531"/>
      <c r="N662" s="531"/>
      <c r="O662" s="531"/>
      <c r="P662" s="531"/>
      <c r="Q662" s="531"/>
      <c r="R662" s="531"/>
      <c r="S662" s="532"/>
      <c r="T662" s="532"/>
      <c r="U662" s="532"/>
      <c r="V662" s="532"/>
      <c r="W662" s="532"/>
      <c r="X662" s="532"/>
      <c r="Y662" s="532"/>
      <c r="Z662" s="531"/>
      <c r="AA662" s="531"/>
      <c r="AB662" s="531"/>
      <c r="AC662" s="531"/>
      <c r="AD662" s="531"/>
      <c r="AE662" s="531"/>
      <c r="AF662" s="531"/>
      <c r="AG662" s="531"/>
    </row>
    <row r="663">
      <c r="B663" s="531"/>
      <c r="C663" s="531"/>
      <c r="D663" s="531"/>
      <c r="E663" s="531"/>
      <c r="F663" s="531"/>
      <c r="G663" s="531"/>
      <c r="H663" s="531"/>
      <c r="I663" s="531"/>
      <c r="J663" s="531"/>
      <c r="K663" s="531"/>
      <c r="L663" s="531"/>
      <c r="M663" s="531"/>
      <c r="N663" s="531"/>
      <c r="O663" s="531"/>
      <c r="P663" s="531"/>
      <c r="Q663" s="531"/>
      <c r="R663" s="531"/>
      <c r="S663" s="532"/>
      <c r="T663" s="532"/>
      <c r="U663" s="532"/>
      <c r="V663" s="532"/>
      <c r="W663" s="532"/>
      <c r="X663" s="532"/>
      <c r="Y663" s="532"/>
      <c r="Z663" s="531"/>
      <c r="AA663" s="531"/>
      <c r="AB663" s="531"/>
      <c r="AC663" s="531"/>
      <c r="AD663" s="531"/>
      <c r="AE663" s="531"/>
      <c r="AF663" s="531"/>
      <c r="AG663" s="531"/>
    </row>
    <row r="664">
      <c r="B664" s="531"/>
      <c r="C664" s="531"/>
      <c r="D664" s="531"/>
      <c r="E664" s="531"/>
      <c r="F664" s="531"/>
      <c r="G664" s="531"/>
      <c r="H664" s="531"/>
      <c r="I664" s="531"/>
      <c r="J664" s="531"/>
      <c r="K664" s="531"/>
      <c r="L664" s="531"/>
      <c r="M664" s="531"/>
      <c r="N664" s="531"/>
      <c r="O664" s="531"/>
      <c r="P664" s="531"/>
      <c r="Q664" s="531"/>
      <c r="R664" s="531"/>
      <c r="S664" s="532"/>
      <c r="T664" s="532"/>
      <c r="U664" s="532"/>
      <c r="V664" s="532"/>
      <c r="W664" s="532"/>
      <c r="X664" s="532"/>
      <c r="Y664" s="532"/>
      <c r="Z664" s="531"/>
      <c r="AA664" s="531"/>
      <c r="AB664" s="531"/>
      <c r="AC664" s="531"/>
      <c r="AD664" s="531"/>
      <c r="AE664" s="531"/>
      <c r="AF664" s="531"/>
      <c r="AG664" s="531"/>
    </row>
    <row r="665">
      <c r="B665" s="531"/>
      <c r="C665" s="531"/>
      <c r="D665" s="531"/>
      <c r="E665" s="531"/>
      <c r="F665" s="531"/>
      <c r="G665" s="531"/>
      <c r="H665" s="531"/>
      <c r="I665" s="531"/>
      <c r="J665" s="531"/>
      <c r="K665" s="531"/>
      <c r="L665" s="531"/>
      <c r="M665" s="531"/>
      <c r="N665" s="531"/>
      <c r="O665" s="531"/>
      <c r="P665" s="531"/>
      <c r="Q665" s="531"/>
      <c r="R665" s="531"/>
      <c r="S665" s="532"/>
      <c r="T665" s="532"/>
      <c r="U665" s="532"/>
      <c r="V665" s="532"/>
      <c r="W665" s="532"/>
      <c r="X665" s="532"/>
      <c r="Y665" s="532"/>
      <c r="Z665" s="531"/>
      <c r="AA665" s="531"/>
      <c r="AB665" s="531"/>
      <c r="AC665" s="531"/>
      <c r="AD665" s="531"/>
      <c r="AE665" s="531"/>
      <c r="AF665" s="531"/>
      <c r="AG665" s="531"/>
    </row>
    <row r="666">
      <c r="B666" s="531"/>
      <c r="C666" s="531"/>
      <c r="D666" s="531"/>
      <c r="E666" s="531"/>
      <c r="F666" s="531"/>
      <c r="G666" s="531"/>
      <c r="H666" s="531"/>
      <c r="I666" s="531"/>
      <c r="J666" s="531"/>
      <c r="K666" s="531"/>
      <c r="L666" s="531"/>
      <c r="M666" s="531"/>
      <c r="N666" s="531"/>
      <c r="O666" s="531"/>
      <c r="P666" s="531"/>
      <c r="Q666" s="531"/>
      <c r="R666" s="531"/>
      <c r="S666" s="532"/>
      <c r="T666" s="532"/>
      <c r="U666" s="532"/>
      <c r="V666" s="532"/>
      <c r="W666" s="532"/>
      <c r="X666" s="532"/>
      <c r="Y666" s="532"/>
      <c r="Z666" s="531"/>
      <c r="AA666" s="531"/>
      <c r="AB666" s="531"/>
      <c r="AC666" s="531"/>
      <c r="AD666" s="531"/>
      <c r="AE666" s="531"/>
      <c r="AF666" s="531"/>
      <c r="AG666" s="531"/>
    </row>
    <row r="667">
      <c r="B667" s="531"/>
      <c r="C667" s="531"/>
      <c r="D667" s="531"/>
      <c r="E667" s="531"/>
      <c r="F667" s="531"/>
      <c r="G667" s="531"/>
      <c r="H667" s="531"/>
      <c r="I667" s="531"/>
      <c r="J667" s="531"/>
      <c r="K667" s="531"/>
      <c r="L667" s="531"/>
      <c r="M667" s="531"/>
      <c r="N667" s="531"/>
      <c r="O667" s="531"/>
      <c r="P667" s="531"/>
      <c r="Q667" s="531"/>
      <c r="R667" s="531"/>
      <c r="S667" s="532"/>
      <c r="T667" s="532"/>
      <c r="U667" s="532"/>
      <c r="V667" s="532"/>
      <c r="W667" s="532"/>
      <c r="X667" s="532"/>
      <c r="Y667" s="532"/>
      <c r="Z667" s="531"/>
      <c r="AA667" s="531"/>
      <c r="AB667" s="531"/>
      <c r="AC667" s="531"/>
      <c r="AD667" s="531"/>
      <c r="AE667" s="531"/>
      <c r="AF667" s="531"/>
      <c r="AG667" s="531"/>
    </row>
    <row r="668">
      <c r="B668" s="531"/>
      <c r="C668" s="531"/>
      <c r="D668" s="531"/>
      <c r="E668" s="531"/>
      <c r="F668" s="531"/>
      <c r="G668" s="531"/>
      <c r="H668" s="531"/>
      <c r="I668" s="531"/>
      <c r="J668" s="531"/>
      <c r="K668" s="531"/>
      <c r="L668" s="531"/>
      <c r="M668" s="531"/>
      <c r="N668" s="531"/>
      <c r="O668" s="531"/>
      <c r="P668" s="531"/>
      <c r="Q668" s="531"/>
      <c r="R668" s="531"/>
      <c r="S668" s="532"/>
      <c r="T668" s="532"/>
      <c r="U668" s="532"/>
      <c r="V668" s="532"/>
      <c r="W668" s="532"/>
      <c r="X668" s="532"/>
      <c r="Y668" s="532"/>
      <c r="Z668" s="531"/>
      <c r="AA668" s="531"/>
      <c r="AB668" s="531"/>
      <c r="AC668" s="531"/>
      <c r="AD668" s="531"/>
      <c r="AE668" s="531"/>
      <c r="AF668" s="531"/>
      <c r="AG668" s="531"/>
    </row>
    <row r="669">
      <c r="B669" s="531"/>
      <c r="C669" s="531"/>
      <c r="D669" s="531"/>
      <c r="E669" s="531"/>
      <c r="F669" s="531"/>
      <c r="G669" s="531"/>
      <c r="H669" s="531"/>
      <c r="I669" s="531"/>
      <c r="J669" s="531"/>
      <c r="K669" s="531"/>
      <c r="L669" s="531"/>
      <c r="M669" s="531"/>
      <c r="N669" s="531"/>
      <c r="O669" s="531"/>
      <c r="P669" s="531"/>
      <c r="Q669" s="531"/>
      <c r="R669" s="531"/>
      <c r="S669" s="532"/>
      <c r="T669" s="532"/>
      <c r="U669" s="532"/>
      <c r="V669" s="532"/>
      <c r="W669" s="532"/>
      <c r="X669" s="532"/>
      <c r="Y669" s="532"/>
      <c r="Z669" s="531"/>
      <c r="AA669" s="531"/>
      <c r="AB669" s="531"/>
      <c r="AC669" s="531"/>
      <c r="AD669" s="531"/>
      <c r="AE669" s="531"/>
      <c r="AF669" s="531"/>
      <c r="AG669" s="531"/>
    </row>
    <row r="670">
      <c r="B670" s="531"/>
      <c r="C670" s="531"/>
      <c r="D670" s="531"/>
      <c r="E670" s="531"/>
      <c r="F670" s="531"/>
      <c r="G670" s="531"/>
      <c r="H670" s="531"/>
      <c r="I670" s="531"/>
      <c r="J670" s="531"/>
      <c r="K670" s="531"/>
      <c r="L670" s="531"/>
      <c r="M670" s="531"/>
      <c r="N670" s="531"/>
      <c r="O670" s="531"/>
      <c r="P670" s="531"/>
      <c r="Q670" s="531"/>
      <c r="R670" s="531"/>
      <c r="S670" s="532"/>
      <c r="T670" s="532"/>
      <c r="U670" s="532"/>
      <c r="V670" s="532"/>
      <c r="W670" s="532"/>
      <c r="X670" s="532"/>
      <c r="Y670" s="532"/>
      <c r="Z670" s="531"/>
      <c r="AA670" s="531"/>
      <c r="AB670" s="531"/>
      <c r="AC670" s="531"/>
      <c r="AD670" s="531"/>
      <c r="AE670" s="531"/>
      <c r="AF670" s="531"/>
      <c r="AG670" s="531"/>
    </row>
    <row r="671">
      <c r="B671" s="531"/>
      <c r="C671" s="531"/>
      <c r="D671" s="531"/>
      <c r="E671" s="531"/>
      <c r="F671" s="531"/>
      <c r="G671" s="531"/>
      <c r="H671" s="531"/>
      <c r="I671" s="531"/>
      <c r="J671" s="531"/>
      <c r="K671" s="531"/>
      <c r="L671" s="531"/>
      <c r="M671" s="531"/>
      <c r="N671" s="531"/>
      <c r="O671" s="531"/>
      <c r="P671" s="531"/>
      <c r="Q671" s="531"/>
      <c r="R671" s="531"/>
      <c r="S671" s="532"/>
      <c r="T671" s="532"/>
      <c r="U671" s="532"/>
      <c r="V671" s="532"/>
      <c r="W671" s="532"/>
      <c r="X671" s="532"/>
      <c r="Y671" s="532"/>
      <c r="Z671" s="531"/>
      <c r="AA671" s="531"/>
      <c r="AB671" s="531"/>
      <c r="AC671" s="531"/>
      <c r="AD671" s="531"/>
      <c r="AE671" s="531"/>
      <c r="AF671" s="531"/>
      <c r="AG671" s="531"/>
    </row>
    <row r="672">
      <c r="B672" s="531"/>
      <c r="C672" s="531"/>
      <c r="D672" s="531"/>
      <c r="E672" s="531"/>
      <c r="F672" s="531"/>
      <c r="G672" s="531"/>
      <c r="H672" s="531"/>
      <c r="I672" s="531"/>
      <c r="J672" s="531"/>
      <c r="K672" s="531"/>
      <c r="L672" s="531"/>
      <c r="M672" s="531"/>
      <c r="N672" s="531"/>
      <c r="O672" s="531"/>
      <c r="P672" s="531"/>
      <c r="Q672" s="531"/>
      <c r="R672" s="531"/>
      <c r="S672" s="532"/>
      <c r="T672" s="532"/>
      <c r="U672" s="532"/>
      <c r="V672" s="532"/>
      <c r="W672" s="532"/>
      <c r="X672" s="532"/>
      <c r="Y672" s="532"/>
      <c r="Z672" s="531"/>
      <c r="AA672" s="531"/>
      <c r="AB672" s="531"/>
      <c r="AC672" s="531"/>
      <c r="AD672" s="531"/>
      <c r="AE672" s="531"/>
      <c r="AF672" s="531"/>
      <c r="AG672" s="531"/>
    </row>
    <row r="673">
      <c r="B673" s="531"/>
      <c r="C673" s="531"/>
      <c r="D673" s="531"/>
      <c r="E673" s="531"/>
      <c r="F673" s="531"/>
      <c r="G673" s="531"/>
      <c r="H673" s="531"/>
      <c r="I673" s="531"/>
      <c r="J673" s="531"/>
      <c r="K673" s="531"/>
      <c r="L673" s="531"/>
      <c r="M673" s="531"/>
      <c r="N673" s="531"/>
      <c r="O673" s="531"/>
      <c r="P673" s="531"/>
      <c r="Q673" s="531"/>
      <c r="R673" s="531"/>
      <c r="S673" s="532"/>
      <c r="T673" s="532"/>
      <c r="U673" s="532"/>
      <c r="V673" s="532"/>
      <c r="W673" s="532"/>
      <c r="X673" s="532"/>
      <c r="Y673" s="532"/>
      <c r="Z673" s="531"/>
      <c r="AA673" s="531"/>
      <c r="AB673" s="531"/>
      <c r="AC673" s="531"/>
      <c r="AD673" s="531"/>
      <c r="AE673" s="531"/>
      <c r="AF673" s="531"/>
      <c r="AG673" s="531"/>
    </row>
    <row r="674">
      <c r="B674" s="531"/>
      <c r="C674" s="531"/>
      <c r="D674" s="531"/>
      <c r="E674" s="531"/>
      <c r="F674" s="531"/>
      <c r="G674" s="531"/>
      <c r="H674" s="531"/>
      <c r="I674" s="531"/>
      <c r="J674" s="531"/>
      <c r="K674" s="531"/>
      <c r="L674" s="531"/>
      <c r="M674" s="531"/>
      <c r="N674" s="531"/>
      <c r="O674" s="531"/>
      <c r="P674" s="531"/>
      <c r="Q674" s="531"/>
      <c r="R674" s="531"/>
      <c r="S674" s="532"/>
      <c r="T674" s="532"/>
      <c r="U674" s="532"/>
      <c r="V674" s="532"/>
      <c r="W674" s="532"/>
      <c r="X674" s="532"/>
      <c r="Y674" s="532"/>
      <c r="Z674" s="531"/>
      <c r="AA674" s="531"/>
      <c r="AB674" s="531"/>
      <c r="AC674" s="531"/>
      <c r="AD674" s="531"/>
      <c r="AE674" s="531"/>
      <c r="AF674" s="531"/>
      <c r="AG674" s="531"/>
    </row>
    <row r="675">
      <c r="B675" s="531"/>
      <c r="C675" s="531"/>
      <c r="D675" s="531"/>
      <c r="E675" s="531"/>
      <c r="F675" s="531"/>
      <c r="G675" s="531"/>
      <c r="H675" s="531"/>
      <c r="I675" s="531"/>
      <c r="J675" s="531"/>
      <c r="K675" s="531"/>
      <c r="L675" s="531"/>
      <c r="M675" s="531"/>
      <c r="N675" s="531"/>
      <c r="O675" s="531"/>
      <c r="P675" s="531"/>
      <c r="Q675" s="531"/>
      <c r="R675" s="531"/>
      <c r="S675" s="532"/>
      <c r="T675" s="532"/>
      <c r="U675" s="532"/>
      <c r="V675" s="532"/>
      <c r="W675" s="532"/>
      <c r="X675" s="532"/>
      <c r="Y675" s="532"/>
      <c r="Z675" s="531"/>
      <c r="AA675" s="531"/>
      <c r="AB675" s="531"/>
      <c r="AC675" s="531"/>
      <c r="AD675" s="531"/>
      <c r="AE675" s="531"/>
      <c r="AF675" s="531"/>
      <c r="AG675" s="531"/>
    </row>
    <row r="676">
      <c r="B676" s="531"/>
      <c r="C676" s="531"/>
      <c r="D676" s="531"/>
      <c r="E676" s="531"/>
      <c r="F676" s="531"/>
      <c r="G676" s="531"/>
      <c r="H676" s="531"/>
      <c r="I676" s="531"/>
      <c r="J676" s="531"/>
      <c r="K676" s="531"/>
      <c r="L676" s="531"/>
      <c r="M676" s="531"/>
      <c r="N676" s="531"/>
      <c r="O676" s="531"/>
      <c r="P676" s="531"/>
      <c r="Q676" s="531"/>
      <c r="R676" s="531"/>
      <c r="S676" s="532"/>
      <c r="T676" s="532"/>
      <c r="U676" s="532"/>
      <c r="V676" s="532"/>
      <c r="W676" s="532"/>
      <c r="X676" s="532"/>
      <c r="Y676" s="532"/>
      <c r="Z676" s="531"/>
      <c r="AA676" s="531"/>
      <c r="AB676" s="531"/>
      <c r="AC676" s="531"/>
      <c r="AD676" s="531"/>
      <c r="AE676" s="531"/>
      <c r="AF676" s="531"/>
      <c r="AG676" s="531"/>
    </row>
    <row r="677">
      <c r="B677" s="531"/>
      <c r="C677" s="531"/>
      <c r="D677" s="531"/>
      <c r="E677" s="531"/>
      <c r="F677" s="531"/>
      <c r="G677" s="531"/>
      <c r="H677" s="531"/>
      <c r="I677" s="531"/>
      <c r="J677" s="531"/>
      <c r="K677" s="531"/>
      <c r="L677" s="531"/>
      <c r="M677" s="531"/>
      <c r="N677" s="531"/>
      <c r="O677" s="531"/>
      <c r="P677" s="531"/>
      <c r="Q677" s="531"/>
      <c r="R677" s="531"/>
      <c r="S677" s="532"/>
      <c r="T677" s="532"/>
      <c r="U677" s="532"/>
      <c r="V677" s="532"/>
      <c r="W677" s="532"/>
      <c r="X677" s="532"/>
      <c r="Y677" s="532"/>
      <c r="Z677" s="531"/>
      <c r="AA677" s="531"/>
      <c r="AB677" s="531"/>
      <c r="AC677" s="531"/>
      <c r="AD677" s="531"/>
      <c r="AE677" s="531"/>
      <c r="AF677" s="531"/>
      <c r="AG677" s="531"/>
    </row>
    <row r="678">
      <c r="B678" s="531"/>
      <c r="C678" s="531"/>
      <c r="D678" s="531"/>
      <c r="E678" s="531"/>
      <c r="F678" s="531"/>
      <c r="G678" s="531"/>
      <c r="H678" s="531"/>
      <c r="I678" s="531"/>
      <c r="J678" s="531"/>
      <c r="K678" s="531"/>
      <c r="L678" s="531"/>
      <c r="M678" s="531"/>
      <c r="N678" s="531"/>
      <c r="O678" s="531"/>
      <c r="P678" s="531"/>
      <c r="Q678" s="531"/>
      <c r="R678" s="531"/>
      <c r="S678" s="532"/>
      <c r="T678" s="532"/>
      <c r="U678" s="532"/>
      <c r="V678" s="532"/>
      <c r="W678" s="532"/>
      <c r="X678" s="532"/>
      <c r="Y678" s="532"/>
      <c r="Z678" s="531"/>
      <c r="AA678" s="531"/>
      <c r="AB678" s="531"/>
      <c r="AC678" s="531"/>
      <c r="AD678" s="531"/>
      <c r="AE678" s="531"/>
      <c r="AF678" s="531"/>
      <c r="AG678" s="531"/>
    </row>
    <row r="679">
      <c r="B679" s="531"/>
      <c r="C679" s="531"/>
      <c r="D679" s="531"/>
      <c r="E679" s="531"/>
      <c r="F679" s="531"/>
      <c r="G679" s="531"/>
      <c r="H679" s="531"/>
      <c r="I679" s="531"/>
      <c r="J679" s="531"/>
      <c r="K679" s="531"/>
      <c r="L679" s="531"/>
      <c r="M679" s="531"/>
      <c r="N679" s="531"/>
      <c r="O679" s="531"/>
      <c r="P679" s="531"/>
      <c r="Q679" s="531"/>
      <c r="R679" s="531"/>
      <c r="S679" s="532"/>
      <c r="T679" s="532"/>
      <c r="U679" s="532"/>
      <c r="V679" s="532"/>
      <c r="W679" s="532"/>
      <c r="X679" s="532"/>
      <c r="Y679" s="532"/>
      <c r="Z679" s="531"/>
      <c r="AA679" s="531"/>
      <c r="AB679" s="531"/>
      <c r="AC679" s="531"/>
      <c r="AD679" s="531"/>
      <c r="AE679" s="531"/>
      <c r="AF679" s="531"/>
      <c r="AG679" s="531"/>
    </row>
    <row r="680">
      <c r="B680" s="531"/>
      <c r="C680" s="531"/>
      <c r="D680" s="531"/>
      <c r="E680" s="531"/>
      <c r="F680" s="531"/>
      <c r="G680" s="531"/>
      <c r="H680" s="531"/>
      <c r="I680" s="531"/>
      <c r="J680" s="531"/>
      <c r="K680" s="531"/>
      <c r="L680" s="531"/>
      <c r="M680" s="531"/>
      <c r="N680" s="531"/>
      <c r="O680" s="531"/>
      <c r="P680" s="531"/>
      <c r="Q680" s="531"/>
      <c r="R680" s="531"/>
      <c r="S680" s="532"/>
      <c r="T680" s="532"/>
      <c r="U680" s="532"/>
      <c r="V680" s="532"/>
      <c r="W680" s="532"/>
      <c r="X680" s="532"/>
      <c r="Y680" s="532"/>
      <c r="Z680" s="531"/>
      <c r="AA680" s="531"/>
      <c r="AB680" s="531"/>
      <c r="AC680" s="531"/>
      <c r="AD680" s="531"/>
      <c r="AE680" s="531"/>
      <c r="AF680" s="531"/>
      <c r="AG680" s="531"/>
    </row>
    <row r="681">
      <c r="B681" s="531"/>
      <c r="C681" s="531"/>
      <c r="D681" s="531"/>
      <c r="E681" s="531"/>
      <c r="F681" s="531"/>
      <c r="G681" s="531"/>
      <c r="H681" s="531"/>
      <c r="I681" s="531"/>
      <c r="J681" s="531"/>
      <c r="K681" s="531"/>
      <c r="L681" s="531"/>
      <c r="M681" s="531"/>
      <c r="N681" s="531"/>
      <c r="O681" s="531"/>
      <c r="P681" s="531"/>
      <c r="Q681" s="531"/>
      <c r="R681" s="531"/>
      <c r="S681" s="532"/>
      <c r="T681" s="532"/>
      <c r="U681" s="532"/>
      <c r="V681" s="532"/>
      <c r="W681" s="532"/>
      <c r="X681" s="532"/>
      <c r="Y681" s="532"/>
      <c r="Z681" s="531"/>
      <c r="AA681" s="531"/>
      <c r="AB681" s="531"/>
      <c r="AC681" s="531"/>
      <c r="AD681" s="531"/>
      <c r="AE681" s="531"/>
      <c r="AF681" s="531"/>
      <c r="AG681" s="531"/>
    </row>
    <row r="682">
      <c r="B682" s="531"/>
      <c r="C682" s="531"/>
      <c r="D682" s="531"/>
      <c r="E682" s="531"/>
      <c r="F682" s="531"/>
      <c r="G682" s="531"/>
      <c r="H682" s="531"/>
      <c r="I682" s="531"/>
      <c r="J682" s="531"/>
      <c r="K682" s="531"/>
      <c r="L682" s="531"/>
      <c r="M682" s="531"/>
      <c r="N682" s="531"/>
      <c r="O682" s="531"/>
      <c r="P682" s="531"/>
      <c r="Q682" s="531"/>
      <c r="R682" s="531"/>
      <c r="S682" s="532"/>
      <c r="T682" s="532"/>
      <c r="U682" s="532"/>
      <c r="V682" s="532"/>
      <c r="W682" s="532"/>
      <c r="X682" s="532"/>
      <c r="Y682" s="532"/>
      <c r="Z682" s="531"/>
      <c r="AA682" s="531"/>
      <c r="AB682" s="531"/>
      <c r="AC682" s="531"/>
      <c r="AD682" s="531"/>
      <c r="AE682" s="531"/>
      <c r="AF682" s="531"/>
      <c r="AG682" s="531"/>
    </row>
    <row r="683">
      <c r="B683" s="531"/>
      <c r="C683" s="531"/>
      <c r="D683" s="531"/>
      <c r="E683" s="531"/>
      <c r="F683" s="531"/>
      <c r="G683" s="531"/>
      <c r="H683" s="531"/>
      <c r="I683" s="531"/>
      <c r="J683" s="531"/>
      <c r="K683" s="531"/>
      <c r="L683" s="531"/>
      <c r="M683" s="531"/>
      <c r="N683" s="531"/>
      <c r="O683" s="531"/>
      <c r="P683" s="531"/>
      <c r="Q683" s="531"/>
      <c r="R683" s="531"/>
      <c r="S683" s="532"/>
      <c r="T683" s="532"/>
      <c r="U683" s="532"/>
      <c r="V683" s="532"/>
      <c r="W683" s="532"/>
      <c r="X683" s="532"/>
      <c r="Y683" s="532"/>
      <c r="Z683" s="531"/>
      <c r="AA683" s="531"/>
      <c r="AB683" s="531"/>
      <c r="AC683" s="531"/>
      <c r="AD683" s="531"/>
      <c r="AE683" s="531"/>
      <c r="AF683" s="531"/>
      <c r="AG683" s="531"/>
    </row>
    <row r="684">
      <c r="B684" s="531"/>
      <c r="C684" s="531"/>
      <c r="D684" s="531"/>
      <c r="E684" s="531"/>
      <c r="F684" s="531"/>
      <c r="G684" s="531"/>
      <c r="H684" s="531"/>
      <c r="I684" s="531"/>
      <c r="J684" s="531"/>
      <c r="K684" s="531"/>
      <c r="L684" s="531"/>
      <c r="M684" s="531"/>
      <c r="N684" s="531"/>
      <c r="O684" s="531"/>
      <c r="P684" s="531"/>
      <c r="Q684" s="531"/>
      <c r="R684" s="531"/>
      <c r="S684" s="532"/>
      <c r="T684" s="532"/>
      <c r="U684" s="532"/>
      <c r="V684" s="532"/>
      <c r="W684" s="532"/>
      <c r="X684" s="532"/>
      <c r="Y684" s="532"/>
      <c r="Z684" s="531"/>
      <c r="AA684" s="531"/>
      <c r="AB684" s="531"/>
      <c r="AC684" s="531"/>
      <c r="AD684" s="531"/>
      <c r="AE684" s="531"/>
      <c r="AF684" s="531"/>
      <c r="AG684" s="531"/>
    </row>
    <row r="685">
      <c r="B685" s="531"/>
      <c r="C685" s="531"/>
      <c r="D685" s="531"/>
      <c r="E685" s="531"/>
      <c r="F685" s="531"/>
      <c r="G685" s="531"/>
      <c r="H685" s="531"/>
      <c r="I685" s="531"/>
      <c r="J685" s="531"/>
      <c r="K685" s="531"/>
      <c r="L685" s="531"/>
      <c r="M685" s="531"/>
      <c r="N685" s="531"/>
      <c r="O685" s="531"/>
      <c r="P685" s="531"/>
      <c r="Q685" s="531"/>
      <c r="R685" s="531"/>
      <c r="S685" s="532"/>
      <c r="T685" s="532"/>
      <c r="U685" s="532"/>
      <c r="V685" s="532"/>
      <c r="W685" s="532"/>
      <c r="X685" s="532"/>
      <c r="Y685" s="532"/>
      <c r="Z685" s="531"/>
      <c r="AA685" s="531"/>
      <c r="AB685" s="531"/>
      <c r="AC685" s="531"/>
      <c r="AD685" s="531"/>
      <c r="AE685" s="531"/>
      <c r="AF685" s="531"/>
      <c r="AG685" s="531"/>
    </row>
    <row r="686">
      <c r="B686" s="531"/>
      <c r="C686" s="531"/>
      <c r="D686" s="531"/>
      <c r="E686" s="531"/>
      <c r="F686" s="531"/>
      <c r="G686" s="531"/>
      <c r="H686" s="531"/>
      <c r="I686" s="531"/>
      <c r="J686" s="531"/>
      <c r="K686" s="531"/>
      <c r="L686" s="531"/>
      <c r="M686" s="531"/>
      <c r="N686" s="531"/>
      <c r="O686" s="531"/>
      <c r="P686" s="531"/>
      <c r="Q686" s="531"/>
      <c r="R686" s="531"/>
      <c r="S686" s="532"/>
      <c r="T686" s="532"/>
      <c r="U686" s="532"/>
      <c r="V686" s="532"/>
      <c r="W686" s="532"/>
      <c r="X686" s="532"/>
      <c r="Y686" s="532"/>
      <c r="Z686" s="531"/>
      <c r="AA686" s="531"/>
      <c r="AB686" s="531"/>
      <c r="AC686" s="531"/>
      <c r="AD686" s="531"/>
      <c r="AE686" s="531"/>
      <c r="AF686" s="531"/>
      <c r="AG686" s="531"/>
    </row>
    <row r="687">
      <c r="B687" s="531"/>
      <c r="C687" s="531"/>
      <c r="D687" s="531"/>
      <c r="E687" s="531"/>
      <c r="F687" s="531"/>
      <c r="G687" s="531"/>
      <c r="H687" s="531"/>
      <c r="I687" s="531"/>
      <c r="J687" s="531"/>
      <c r="K687" s="531"/>
      <c r="L687" s="531"/>
      <c r="M687" s="531"/>
      <c r="N687" s="531"/>
      <c r="O687" s="531"/>
      <c r="P687" s="531"/>
      <c r="Q687" s="531"/>
      <c r="R687" s="531"/>
      <c r="S687" s="532"/>
      <c r="T687" s="532"/>
      <c r="U687" s="532"/>
      <c r="V687" s="532"/>
      <c r="W687" s="532"/>
      <c r="X687" s="532"/>
      <c r="Y687" s="532"/>
      <c r="Z687" s="531"/>
      <c r="AA687" s="531"/>
      <c r="AB687" s="531"/>
      <c r="AC687" s="531"/>
      <c r="AD687" s="531"/>
      <c r="AE687" s="531"/>
      <c r="AF687" s="531"/>
      <c r="AG687" s="531"/>
    </row>
    <row r="688">
      <c r="B688" s="531"/>
      <c r="C688" s="531"/>
      <c r="D688" s="531"/>
      <c r="E688" s="531"/>
      <c r="F688" s="531"/>
      <c r="G688" s="531"/>
      <c r="H688" s="531"/>
      <c r="I688" s="531"/>
      <c r="J688" s="531"/>
      <c r="K688" s="531"/>
      <c r="L688" s="531"/>
      <c r="M688" s="531"/>
      <c r="N688" s="531"/>
      <c r="O688" s="531"/>
      <c r="P688" s="531"/>
      <c r="Q688" s="531"/>
      <c r="R688" s="531"/>
      <c r="S688" s="532"/>
      <c r="T688" s="532"/>
      <c r="U688" s="532"/>
      <c r="V688" s="532"/>
      <c r="W688" s="532"/>
      <c r="X688" s="532"/>
      <c r="Y688" s="532"/>
      <c r="Z688" s="531"/>
      <c r="AA688" s="531"/>
      <c r="AB688" s="531"/>
      <c r="AC688" s="531"/>
      <c r="AD688" s="531"/>
      <c r="AE688" s="531"/>
      <c r="AF688" s="531"/>
      <c r="AG688" s="531"/>
    </row>
    <row r="689">
      <c r="B689" s="531"/>
      <c r="C689" s="531"/>
      <c r="D689" s="531"/>
      <c r="E689" s="531"/>
      <c r="F689" s="531"/>
      <c r="G689" s="531"/>
      <c r="H689" s="531"/>
      <c r="I689" s="531"/>
      <c r="J689" s="531"/>
      <c r="K689" s="531"/>
      <c r="L689" s="531"/>
      <c r="M689" s="531"/>
      <c r="N689" s="531"/>
      <c r="O689" s="531"/>
      <c r="P689" s="531"/>
      <c r="Q689" s="531"/>
      <c r="R689" s="531"/>
      <c r="S689" s="532"/>
      <c r="T689" s="532"/>
      <c r="U689" s="532"/>
      <c r="V689" s="532"/>
      <c r="W689" s="532"/>
      <c r="X689" s="532"/>
      <c r="Y689" s="532"/>
      <c r="Z689" s="531"/>
      <c r="AA689" s="531"/>
      <c r="AB689" s="531"/>
      <c r="AC689" s="531"/>
      <c r="AD689" s="531"/>
      <c r="AE689" s="531"/>
      <c r="AF689" s="531"/>
      <c r="AG689" s="531"/>
    </row>
    <row r="690">
      <c r="B690" s="531"/>
      <c r="C690" s="531"/>
      <c r="D690" s="531"/>
      <c r="E690" s="531"/>
      <c r="F690" s="531"/>
      <c r="G690" s="531"/>
      <c r="H690" s="531"/>
      <c r="I690" s="531"/>
      <c r="J690" s="531"/>
      <c r="K690" s="531"/>
      <c r="L690" s="531"/>
      <c r="M690" s="531"/>
      <c r="N690" s="531"/>
      <c r="O690" s="531"/>
      <c r="P690" s="531"/>
      <c r="Q690" s="531"/>
      <c r="R690" s="531"/>
      <c r="S690" s="532"/>
      <c r="T690" s="532"/>
      <c r="U690" s="532"/>
      <c r="V690" s="532"/>
      <c r="W690" s="532"/>
      <c r="X690" s="532"/>
      <c r="Y690" s="532"/>
      <c r="Z690" s="531"/>
      <c r="AA690" s="531"/>
      <c r="AB690" s="531"/>
      <c r="AC690" s="531"/>
      <c r="AD690" s="531"/>
      <c r="AE690" s="531"/>
      <c r="AF690" s="531"/>
      <c r="AG690" s="531"/>
    </row>
    <row r="691">
      <c r="B691" s="531"/>
      <c r="C691" s="531"/>
      <c r="D691" s="531"/>
      <c r="E691" s="531"/>
      <c r="F691" s="531"/>
      <c r="G691" s="531"/>
      <c r="H691" s="531"/>
      <c r="I691" s="531"/>
      <c r="J691" s="531"/>
      <c r="K691" s="531"/>
      <c r="L691" s="531"/>
      <c r="M691" s="531"/>
      <c r="N691" s="531"/>
      <c r="O691" s="531"/>
      <c r="P691" s="531"/>
      <c r="Q691" s="531"/>
      <c r="R691" s="531"/>
      <c r="S691" s="532"/>
      <c r="T691" s="532"/>
      <c r="U691" s="532"/>
      <c r="V691" s="532"/>
      <c r="W691" s="532"/>
      <c r="X691" s="532"/>
      <c r="Y691" s="532"/>
      <c r="Z691" s="531"/>
      <c r="AA691" s="531"/>
      <c r="AB691" s="531"/>
      <c r="AC691" s="531"/>
      <c r="AD691" s="531"/>
      <c r="AE691" s="531"/>
      <c r="AF691" s="531"/>
      <c r="AG691" s="531"/>
    </row>
    <row r="692">
      <c r="B692" s="531"/>
      <c r="C692" s="531"/>
      <c r="D692" s="531"/>
      <c r="E692" s="531"/>
      <c r="F692" s="531"/>
      <c r="G692" s="531"/>
      <c r="H692" s="531"/>
      <c r="I692" s="531"/>
      <c r="J692" s="531"/>
      <c r="K692" s="531"/>
      <c r="L692" s="531"/>
      <c r="M692" s="531"/>
      <c r="N692" s="531"/>
      <c r="O692" s="531"/>
      <c r="P692" s="531"/>
      <c r="Q692" s="531"/>
      <c r="R692" s="531"/>
      <c r="S692" s="532"/>
      <c r="T692" s="532"/>
      <c r="U692" s="532"/>
      <c r="V692" s="532"/>
      <c r="W692" s="532"/>
      <c r="X692" s="532"/>
      <c r="Y692" s="532"/>
      <c r="Z692" s="531"/>
      <c r="AA692" s="531"/>
      <c r="AB692" s="531"/>
      <c r="AC692" s="531"/>
      <c r="AD692" s="531"/>
      <c r="AE692" s="531"/>
      <c r="AF692" s="531"/>
      <c r="AG692" s="531"/>
    </row>
    <row r="693">
      <c r="B693" s="531"/>
      <c r="C693" s="531"/>
      <c r="D693" s="531"/>
      <c r="E693" s="531"/>
      <c r="F693" s="531"/>
      <c r="G693" s="531"/>
      <c r="H693" s="531"/>
      <c r="I693" s="531"/>
      <c r="J693" s="531"/>
      <c r="K693" s="531"/>
      <c r="L693" s="531"/>
      <c r="M693" s="531"/>
      <c r="N693" s="531"/>
      <c r="O693" s="531"/>
      <c r="P693" s="531"/>
      <c r="Q693" s="531"/>
      <c r="R693" s="531"/>
      <c r="S693" s="532"/>
      <c r="T693" s="532"/>
      <c r="U693" s="532"/>
      <c r="V693" s="532"/>
      <c r="W693" s="532"/>
      <c r="X693" s="532"/>
      <c r="Y693" s="532"/>
      <c r="Z693" s="531"/>
      <c r="AA693" s="531"/>
      <c r="AB693" s="531"/>
      <c r="AC693" s="531"/>
      <c r="AD693" s="531"/>
      <c r="AE693" s="531"/>
      <c r="AF693" s="531"/>
      <c r="AG693" s="531"/>
    </row>
    <row r="694">
      <c r="B694" s="531"/>
      <c r="C694" s="531"/>
      <c r="D694" s="531"/>
      <c r="E694" s="531"/>
      <c r="F694" s="531"/>
      <c r="G694" s="531"/>
      <c r="H694" s="531"/>
      <c r="I694" s="531"/>
      <c r="J694" s="531"/>
      <c r="K694" s="531"/>
      <c r="L694" s="531"/>
      <c r="M694" s="531"/>
      <c r="N694" s="531"/>
      <c r="O694" s="531"/>
      <c r="P694" s="531"/>
      <c r="Q694" s="531"/>
      <c r="R694" s="531"/>
      <c r="S694" s="532"/>
      <c r="T694" s="532"/>
      <c r="U694" s="532"/>
      <c r="V694" s="532"/>
      <c r="W694" s="532"/>
      <c r="X694" s="532"/>
      <c r="Y694" s="532"/>
      <c r="Z694" s="531"/>
      <c r="AA694" s="531"/>
      <c r="AB694" s="531"/>
      <c r="AC694" s="531"/>
      <c r="AD694" s="531"/>
      <c r="AE694" s="531"/>
      <c r="AF694" s="531"/>
      <c r="AG694" s="531"/>
    </row>
    <row r="695">
      <c r="B695" s="531"/>
      <c r="C695" s="531"/>
      <c r="D695" s="531"/>
      <c r="E695" s="531"/>
      <c r="F695" s="531"/>
      <c r="G695" s="531"/>
      <c r="H695" s="531"/>
      <c r="I695" s="531"/>
      <c r="J695" s="531"/>
      <c r="K695" s="531"/>
      <c r="L695" s="531"/>
      <c r="M695" s="531"/>
      <c r="N695" s="531"/>
      <c r="O695" s="531"/>
      <c r="P695" s="531"/>
      <c r="Q695" s="531"/>
      <c r="R695" s="531"/>
      <c r="S695" s="532"/>
      <c r="T695" s="532"/>
      <c r="U695" s="532"/>
      <c r="V695" s="532"/>
      <c r="W695" s="532"/>
      <c r="X695" s="532"/>
      <c r="Y695" s="532"/>
      <c r="Z695" s="531"/>
      <c r="AA695" s="531"/>
      <c r="AB695" s="531"/>
      <c r="AC695" s="531"/>
      <c r="AD695" s="531"/>
      <c r="AE695" s="531"/>
      <c r="AF695" s="531"/>
      <c r="AG695" s="531"/>
    </row>
    <row r="696">
      <c r="B696" s="531"/>
      <c r="C696" s="531"/>
      <c r="D696" s="531"/>
      <c r="E696" s="531"/>
      <c r="F696" s="531"/>
      <c r="G696" s="531"/>
      <c r="H696" s="531"/>
      <c r="I696" s="531"/>
      <c r="J696" s="531"/>
      <c r="K696" s="531"/>
      <c r="L696" s="531"/>
      <c r="M696" s="531"/>
      <c r="N696" s="531"/>
      <c r="O696" s="531"/>
      <c r="P696" s="531"/>
      <c r="Q696" s="531"/>
      <c r="R696" s="531"/>
      <c r="S696" s="532"/>
      <c r="T696" s="532"/>
      <c r="U696" s="532"/>
      <c r="V696" s="532"/>
      <c r="W696" s="532"/>
      <c r="X696" s="532"/>
      <c r="Y696" s="532"/>
      <c r="Z696" s="531"/>
      <c r="AA696" s="531"/>
      <c r="AB696" s="531"/>
      <c r="AC696" s="531"/>
      <c r="AD696" s="531"/>
      <c r="AE696" s="531"/>
      <c r="AF696" s="531"/>
      <c r="AG696" s="531"/>
    </row>
    <row r="697">
      <c r="B697" s="531"/>
      <c r="C697" s="531"/>
      <c r="D697" s="531"/>
      <c r="E697" s="531"/>
      <c r="F697" s="531"/>
      <c r="G697" s="531"/>
      <c r="H697" s="531"/>
      <c r="I697" s="531"/>
      <c r="J697" s="531"/>
      <c r="K697" s="531"/>
      <c r="L697" s="531"/>
      <c r="M697" s="531"/>
      <c r="N697" s="531"/>
      <c r="O697" s="531"/>
      <c r="P697" s="531"/>
      <c r="Q697" s="531"/>
      <c r="R697" s="531"/>
      <c r="S697" s="532"/>
      <c r="T697" s="532"/>
      <c r="U697" s="532"/>
      <c r="V697" s="532"/>
      <c r="W697" s="532"/>
      <c r="X697" s="532"/>
      <c r="Y697" s="532"/>
      <c r="Z697" s="531"/>
      <c r="AA697" s="531"/>
      <c r="AB697" s="531"/>
      <c r="AC697" s="531"/>
      <c r="AD697" s="531"/>
      <c r="AE697" s="531"/>
      <c r="AF697" s="531"/>
      <c r="AG697" s="531"/>
    </row>
    <row r="698">
      <c r="B698" s="531"/>
      <c r="C698" s="531"/>
      <c r="D698" s="531"/>
      <c r="E698" s="531"/>
      <c r="F698" s="531"/>
      <c r="G698" s="531"/>
      <c r="H698" s="531"/>
      <c r="I698" s="531"/>
      <c r="J698" s="531"/>
      <c r="K698" s="531"/>
      <c r="L698" s="531"/>
      <c r="M698" s="531"/>
      <c r="N698" s="531"/>
      <c r="O698" s="531"/>
      <c r="P698" s="531"/>
      <c r="Q698" s="531"/>
      <c r="R698" s="531"/>
      <c r="S698" s="532"/>
      <c r="T698" s="532"/>
      <c r="U698" s="532"/>
      <c r="V698" s="532"/>
      <c r="W698" s="532"/>
      <c r="X698" s="532"/>
      <c r="Y698" s="532"/>
      <c r="Z698" s="531"/>
      <c r="AA698" s="531"/>
      <c r="AB698" s="531"/>
      <c r="AC698" s="531"/>
      <c r="AD698" s="531"/>
      <c r="AE698" s="531"/>
      <c r="AF698" s="531"/>
      <c r="AG698" s="531"/>
    </row>
    <row r="699">
      <c r="B699" s="531"/>
      <c r="C699" s="531"/>
      <c r="D699" s="531"/>
      <c r="E699" s="531"/>
      <c r="F699" s="531"/>
      <c r="G699" s="531"/>
      <c r="H699" s="531"/>
      <c r="I699" s="531"/>
      <c r="J699" s="531"/>
      <c r="K699" s="531"/>
      <c r="L699" s="531"/>
      <c r="M699" s="531"/>
      <c r="N699" s="531"/>
      <c r="O699" s="531"/>
      <c r="P699" s="531"/>
      <c r="Q699" s="531"/>
      <c r="R699" s="531"/>
      <c r="S699" s="532"/>
      <c r="T699" s="532"/>
      <c r="U699" s="532"/>
      <c r="V699" s="532"/>
      <c r="W699" s="532"/>
      <c r="X699" s="532"/>
      <c r="Y699" s="532"/>
      <c r="Z699" s="531"/>
      <c r="AA699" s="531"/>
      <c r="AB699" s="531"/>
      <c r="AC699" s="531"/>
      <c r="AD699" s="531"/>
      <c r="AE699" s="531"/>
      <c r="AF699" s="531"/>
      <c r="AG699" s="531"/>
    </row>
    <row r="700">
      <c r="B700" s="531"/>
      <c r="C700" s="531"/>
      <c r="D700" s="531"/>
      <c r="E700" s="531"/>
      <c r="F700" s="531"/>
      <c r="G700" s="531"/>
      <c r="H700" s="531"/>
      <c r="I700" s="531"/>
      <c r="J700" s="531"/>
      <c r="K700" s="531"/>
      <c r="L700" s="531"/>
      <c r="M700" s="531"/>
      <c r="N700" s="531"/>
      <c r="O700" s="531"/>
      <c r="P700" s="531"/>
      <c r="Q700" s="531"/>
      <c r="R700" s="531"/>
      <c r="S700" s="532"/>
      <c r="T700" s="532"/>
      <c r="U700" s="532"/>
      <c r="V700" s="532"/>
      <c r="W700" s="532"/>
      <c r="X700" s="532"/>
      <c r="Y700" s="532"/>
      <c r="Z700" s="531"/>
      <c r="AA700" s="531"/>
      <c r="AB700" s="531"/>
      <c r="AC700" s="531"/>
      <c r="AD700" s="531"/>
      <c r="AE700" s="531"/>
      <c r="AF700" s="531"/>
      <c r="AG700" s="531"/>
    </row>
    <row r="701">
      <c r="B701" s="531"/>
      <c r="C701" s="531"/>
      <c r="D701" s="531"/>
      <c r="E701" s="531"/>
      <c r="F701" s="531"/>
      <c r="G701" s="531"/>
      <c r="H701" s="531"/>
      <c r="I701" s="531"/>
      <c r="J701" s="531"/>
      <c r="K701" s="531"/>
      <c r="L701" s="531"/>
      <c r="M701" s="531"/>
      <c r="N701" s="531"/>
      <c r="O701" s="531"/>
      <c r="P701" s="531"/>
      <c r="Q701" s="531"/>
      <c r="R701" s="531"/>
      <c r="S701" s="532"/>
      <c r="T701" s="532"/>
      <c r="U701" s="532"/>
      <c r="V701" s="532"/>
      <c r="W701" s="532"/>
      <c r="X701" s="532"/>
      <c r="Y701" s="532"/>
      <c r="Z701" s="531"/>
      <c r="AA701" s="531"/>
      <c r="AB701" s="531"/>
      <c r="AC701" s="531"/>
      <c r="AD701" s="531"/>
      <c r="AE701" s="531"/>
      <c r="AF701" s="531"/>
      <c r="AG701" s="531"/>
    </row>
    <row r="702">
      <c r="B702" s="531"/>
      <c r="C702" s="531"/>
      <c r="D702" s="531"/>
      <c r="E702" s="531"/>
      <c r="F702" s="531"/>
      <c r="G702" s="531"/>
      <c r="H702" s="531"/>
      <c r="I702" s="531"/>
      <c r="J702" s="531"/>
      <c r="K702" s="531"/>
      <c r="L702" s="531"/>
      <c r="M702" s="531"/>
      <c r="N702" s="531"/>
      <c r="O702" s="531"/>
      <c r="P702" s="531"/>
      <c r="Q702" s="531"/>
      <c r="R702" s="531"/>
      <c r="S702" s="532"/>
      <c r="T702" s="532"/>
      <c r="U702" s="532"/>
      <c r="V702" s="532"/>
      <c r="W702" s="532"/>
      <c r="X702" s="532"/>
      <c r="Y702" s="532"/>
      <c r="Z702" s="531"/>
      <c r="AA702" s="531"/>
      <c r="AB702" s="531"/>
      <c r="AC702" s="531"/>
      <c r="AD702" s="531"/>
      <c r="AE702" s="531"/>
      <c r="AF702" s="531"/>
      <c r="AG702" s="531"/>
    </row>
    <row r="703">
      <c r="B703" s="531"/>
      <c r="C703" s="531"/>
      <c r="D703" s="531"/>
      <c r="E703" s="531"/>
      <c r="F703" s="531"/>
      <c r="G703" s="531"/>
      <c r="H703" s="531"/>
      <c r="I703" s="531"/>
      <c r="J703" s="531"/>
      <c r="K703" s="531"/>
      <c r="L703" s="531"/>
      <c r="M703" s="531"/>
      <c r="N703" s="531"/>
      <c r="O703" s="531"/>
      <c r="P703" s="531"/>
      <c r="Q703" s="531"/>
      <c r="R703" s="531"/>
      <c r="S703" s="532"/>
      <c r="T703" s="532"/>
      <c r="U703" s="532"/>
      <c r="V703" s="532"/>
      <c r="W703" s="532"/>
      <c r="X703" s="532"/>
      <c r="Y703" s="532"/>
      <c r="Z703" s="531"/>
      <c r="AA703" s="531"/>
      <c r="AB703" s="531"/>
      <c r="AC703" s="531"/>
      <c r="AD703" s="531"/>
      <c r="AE703" s="531"/>
      <c r="AF703" s="531"/>
      <c r="AG703" s="531"/>
    </row>
    <row r="704">
      <c r="B704" s="531"/>
      <c r="C704" s="531"/>
      <c r="D704" s="531"/>
      <c r="E704" s="531"/>
      <c r="F704" s="531"/>
      <c r="G704" s="531"/>
      <c r="H704" s="531"/>
      <c r="I704" s="531"/>
      <c r="J704" s="531"/>
      <c r="K704" s="531"/>
      <c r="L704" s="531"/>
      <c r="M704" s="531"/>
      <c r="N704" s="531"/>
      <c r="O704" s="531"/>
      <c r="P704" s="531"/>
      <c r="Q704" s="531"/>
      <c r="R704" s="531"/>
      <c r="S704" s="532"/>
      <c r="T704" s="532"/>
      <c r="U704" s="532"/>
      <c r="V704" s="532"/>
      <c r="W704" s="532"/>
      <c r="X704" s="532"/>
      <c r="Y704" s="532"/>
      <c r="Z704" s="531"/>
      <c r="AA704" s="531"/>
      <c r="AB704" s="531"/>
      <c r="AC704" s="531"/>
      <c r="AD704" s="531"/>
      <c r="AE704" s="531"/>
      <c r="AF704" s="531"/>
      <c r="AG704" s="531"/>
    </row>
    <row r="705">
      <c r="B705" s="531"/>
      <c r="C705" s="531"/>
      <c r="D705" s="531"/>
      <c r="E705" s="531"/>
      <c r="F705" s="531"/>
      <c r="G705" s="531"/>
      <c r="H705" s="531"/>
      <c r="I705" s="531"/>
      <c r="J705" s="531"/>
      <c r="K705" s="531"/>
      <c r="L705" s="531"/>
      <c r="M705" s="531"/>
      <c r="N705" s="531"/>
      <c r="O705" s="531"/>
      <c r="P705" s="531"/>
      <c r="Q705" s="531"/>
      <c r="R705" s="531"/>
      <c r="S705" s="532"/>
      <c r="T705" s="532"/>
      <c r="U705" s="532"/>
      <c r="V705" s="532"/>
      <c r="W705" s="532"/>
      <c r="X705" s="532"/>
      <c r="Y705" s="532"/>
      <c r="Z705" s="531"/>
      <c r="AA705" s="531"/>
      <c r="AB705" s="531"/>
      <c r="AC705" s="531"/>
      <c r="AD705" s="531"/>
      <c r="AE705" s="531"/>
      <c r="AF705" s="531"/>
      <c r="AG705" s="531"/>
    </row>
    <row r="706">
      <c r="B706" s="531"/>
      <c r="C706" s="531"/>
      <c r="D706" s="531"/>
      <c r="E706" s="531"/>
      <c r="F706" s="531"/>
      <c r="G706" s="531"/>
      <c r="H706" s="531"/>
      <c r="I706" s="531"/>
      <c r="J706" s="531"/>
      <c r="K706" s="531"/>
      <c r="L706" s="531"/>
      <c r="M706" s="531"/>
      <c r="N706" s="531"/>
      <c r="O706" s="531"/>
      <c r="P706" s="531"/>
      <c r="Q706" s="531"/>
      <c r="R706" s="531"/>
      <c r="S706" s="532"/>
      <c r="T706" s="532"/>
      <c r="U706" s="532"/>
      <c r="V706" s="532"/>
      <c r="W706" s="532"/>
      <c r="X706" s="532"/>
      <c r="Y706" s="532"/>
      <c r="Z706" s="531"/>
      <c r="AA706" s="531"/>
      <c r="AB706" s="531"/>
      <c r="AC706" s="531"/>
      <c r="AD706" s="531"/>
      <c r="AE706" s="531"/>
      <c r="AF706" s="531"/>
      <c r="AG706" s="531"/>
    </row>
    <row r="707">
      <c r="B707" s="531"/>
      <c r="C707" s="531"/>
      <c r="D707" s="531"/>
      <c r="E707" s="531"/>
      <c r="F707" s="531"/>
      <c r="G707" s="531"/>
      <c r="H707" s="531"/>
      <c r="I707" s="531"/>
      <c r="J707" s="531"/>
      <c r="K707" s="531"/>
      <c r="L707" s="531"/>
      <c r="M707" s="531"/>
      <c r="N707" s="531"/>
      <c r="O707" s="531"/>
      <c r="P707" s="531"/>
      <c r="Q707" s="531"/>
      <c r="R707" s="531"/>
      <c r="S707" s="532"/>
      <c r="T707" s="532"/>
      <c r="U707" s="532"/>
      <c r="V707" s="532"/>
      <c r="W707" s="532"/>
      <c r="X707" s="532"/>
      <c r="Y707" s="532"/>
      <c r="Z707" s="531"/>
      <c r="AA707" s="531"/>
      <c r="AB707" s="531"/>
      <c r="AC707" s="531"/>
      <c r="AD707" s="531"/>
      <c r="AE707" s="531"/>
      <c r="AF707" s="531"/>
      <c r="AG707" s="531"/>
    </row>
    <row r="708">
      <c r="B708" s="531"/>
      <c r="C708" s="531"/>
      <c r="D708" s="531"/>
      <c r="E708" s="531"/>
      <c r="F708" s="531"/>
      <c r="G708" s="531"/>
      <c r="H708" s="531"/>
      <c r="I708" s="531"/>
      <c r="J708" s="531"/>
      <c r="K708" s="531"/>
      <c r="L708" s="531"/>
      <c r="M708" s="531"/>
      <c r="N708" s="531"/>
      <c r="O708" s="531"/>
      <c r="P708" s="531"/>
      <c r="Q708" s="531"/>
      <c r="R708" s="531"/>
      <c r="S708" s="532"/>
      <c r="T708" s="532"/>
      <c r="U708" s="532"/>
      <c r="V708" s="532"/>
      <c r="W708" s="532"/>
      <c r="X708" s="532"/>
      <c r="Y708" s="532"/>
      <c r="Z708" s="531"/>
      <c r="AA708" s="531"/>
      <c r="AB708" s="531"/>
      <c r="AC708" s="531"/>
      <c r="AD708" s="531"/>
      <c r="AE708" s="531"/>
      <c r="AF708" s="531"/>
      <c r="AG708" s="531"/>
    </row>
    <row r="709">
      <c r="B709" s="531"/>
      <c r="C709" s="531"/>
      <c r="D709" s="531"/>
      <c r="E709" s="531"/>
      <c r="F709" s="531"/>
      <c r="G709" s="531"/>
      <c r="H709" s="531"/>
      <c r="I709" s="531"/>
      <c r="J709" s="531"/>
      <c r="K709" s="531"/>
      <c r="L709" s="531"/>
      <c r="M709" s="531"/>
      <c r="N709" s="531"/>
      <c r="O709" s="531"/>
      <c r="P709" s="531"/>
      <c r="Q709" s="531"/>
      <c r="R709" s="531"/>
      <c r="S709" s="532"/>
      <c r="T709" s="532"/>
      <c r="U709" s="532"/>
      <c r="V709" s="532"/>
      <c r="W709" s="532"/>
      <c r="X709" s="532"/>
      <c r="Y709" s="532"/>
      <c r="Z709" s="531"/>
      <c r="AA709" s="531"/>
      <c r="AB709" s="531"/>
      <c r="AC709" s="531"/>
      <c r="AD709" s="531"/>
      <c r="AE709" s="531"/>
      <c r="AF709" s="531"/>
      <c r="AG709" s="531"/>
    </row>
    <row r="710">
      <c r="B710" s="531"/>
      <c r="C710" s="531"/>
      <c r="D710" s="531"/>
      <c r="E710" s="531"/>
      <c r="F710" s="531"/>
      <c r="G710" s="531"/>
      <c r="H710" s="531"/>
      <c r="I710" s="531"/>
      <c r="J710" s="531"/>
      <c r="K710" s="531"/>
      <c r="L710" s="531"/>
      <c r="M710" s="531"/>
      <c r="N710" s="531"/>
      <c r="O710" s="531"/>
      <c r="P710" s="531"/>
      <c r="Q710" s="531"/>
      <c r="R710" s="531"/>
      <c r="S710" s="532"/>
      <c r="T710" s="532"/>
      <c r="U710" s="532"/>
      <c r="V710" s="532"/>
      <c r="W710" s="532"/>
      <c r="X710" s="532"/>
      <c r="Y710" s="532"/>
      <c r="Z710" s="531"/>
      <c r="AA710" s="531"/>
      <c r="AB710" s="531"/>
      <c r="AC710" s="531"/>
      <c r="AD710" s="531"/>
      <c r="AE710" s="531"/>
      <c r="AF710" s="531"/>
      <c r="AG710" s="531"/>
    </row>
    <row r="711">
      <c r="B711" s="531"/>
      <c r="C711" s="531"/>
      <c r="D711" s="531"/>
      <c r="E711" s="531"/>
      <c r="F711" s="531"/>
      <c r="G711" s="531"/>
      <c r="H711" s="531"/>
      <c r="I711" s="531"/>
      <c r="J711" s="531"/>
      <c r="K711" s="531"/>
      <c r="L711" s="531"/>
      <c r="M711" s="531"/>
      <c r="N711" s="531"/>
      <c r="O711" s="531"/>
      <c r="P711" s="531"/>
      <c r="Q711" s="531"/>
      <c r="R711" s="531"/>
      <c r="S711" s="532"/>
      <c r="T711" s="532"/>
      <c r="U711" s="532"/>
      <c r="V711" s="532"/>
      <c r="W711" s="532"/>
      <c r="X711" s="532"/>
      <c r="Y711" s="532"/>
      <c r="Z711" s="531"/>
      <c r="AA711" s="531"/>
      <c r="AB711" s="531"/>
      <c r="AC711" s="531"/>
      <c r="AD711" s="531"/>
      <c r="AE711" s="531"/>
      <c r="AF711" s="531"/>
      <c r="AG711" s="531"/>
    </row>
    <row r="712">
      <c r="B712" s="531"/>
      <c r="C712" s="531"/>
      <c r="D712" s="531"/>
      <c r="E712" s="531"/>
      <c r="F712" s="531"/>
      <c r="G712" s="531"/>
      <c r="H712" s="531"/>
      <c r="I712" s="531"/>
      <c r="J712" s="531"/>
      <c r="K712" s="531"/>
      <c r="L712" s="531"/>
      <c r="M712" s="531"/>
      <c r="N712" s="531"/>
      <c r="O712" s="531"/>
      <c r="P712" s="531"/>
      <c r="Q712" s="531"/>
      <c r="R712" s="531"/>
      <c r="S712" s="532"/>
      <c r="T712" s="532"/>
      <c r="U712" s="532"/>
      <c r="V712" s="532"/>
      <c r="W712" s="532"/>
      <c r="X712" s="532"/>
      <c r="Y712" s="532"/>
      <c r="Z712" s="531"/>
      <c r="AA712" s="531"/>
      <c r="AB712" s="531"/>
      <c r="AC712" s="531"/>
      <c r="AD712" s="531"/>
      <c r="AE712" s="531"/>
      <c r="AF712" s="531"/>
      <c r="AG712" s="531"/>
    </row>
    <row r="713">
      <c r="B713" s="531"/>
      <c r="C713" s="531"/>
      <c r="D713" s="531"/>
      <c r="E713" s="531"/>
      <c r="F713" s="531"/>
      <c r="G713" s="531"/>
      <c r="H713" s="531"/>
      <c r="I713" s="531"/>
      <c r="J713" s="531"/>
      <c r="K713" s="531"/>
      <c r="L713" s="531"/>
      <c r="M713" s="531"/>
      <c r="N713" s="531"/>
      <c r="O713" s="531"/>
      <c r="P713" s="531"/>
      <c r="Q713" s="531"/>
      <c r="R713" s="531"/>
      <c r="S713" s="532"/>
      <c r="T713" s="532"/>
      <c r="U713" s="532"/>
      <c r="V713" s="532"/>
      <c r="W713" s="532"/>
      <c r="X713" s="532"/>
      <c r="Y713" s="532"/>
      <c r="Z713" s="531"/>
      <c r="AA713" s="531"/>
      <c r="AB713" s="531"/>
      <c r="AC713" s="531"/>
      <c r="AD713" s="531"/>
      <c r="AE713" s="531"/>
      <c r="AF713" s="531"/>
      <c r="AG713" s="531"/>
    </row>
    <row r="714">
      <c r="B714" s="531"/>
      <c r="C714" s="531"/>
      <c r="D714" s="531"/>
      <c r="E714" s="531"/>
      <c r="F714" s="531"/>
      <c r="G714" s="531"/>
      <c r="H714" s="531"/>
      <c r="I714" s="531"/>
      <c r="J714" s="531"/>
      <c r="K714" s="531"/>
      <c r="L714" s="531"/>
      <c r="M714" s="531"/>
      <c r="N714" s="531"/>
      <c r="O714" s="531"/>
      <c r="P714" s="531"/>
      <c r="Q714" s="531"/>
      <c r="R714" s="531"/>
      <c r="S714" s="532"/>
      <c r="T714" s="532"/>
      <c r="U714" s="532"/>
      <c r="V714" s="532"/>
      <c r="W714" s="532"/>
      <c r="X714" s="532"/>
      <c r="Y714" s="532"/>
      <c r="Z714" s="531"/>
      <c r="AA714" s="531"/>
      <c r="AB714" s="531"/>
      <c r="AC714" s="531"/>
      <c r="AD714" s="531"/>
      <c r="AE714" s="531"/>
      <c r="AF714" s="531"/>
      <c r="AG714" s="531"/>
    </row>
    <row r="715">
      <c r="B715" s="531"/>
      <c r="C715" s="531"/>
      <c r="D715" s="531"/>
      <c r="E715" s="531"/>
      <c r="F715" s="531"/>
      <c r="G715" s="531"/>
      <c r="H715" s="531"/>
      <c r="I715" s="531"/>
      <c r="J715" s="531"/>
      <c r="K715" s="531"/>
      <c r="L715" s="531"/>
      <c r="M715" s="531"/>
      <c r="N715" s="531"/>
      <c r="O715" s="531"/>
      <c r="P715" s="531"/>
      <c r="Q715" s="531"/>
      <c r="R715" s="531"/>
      <c r="S715" s="532"/>
      <c r="T715" s="532"/>
      <c r="U715" s="532"/>
      <c r="V715" s="532"/>
      <c r="W715" s="532"/>
      <c r="X715" s="532"/>
      <c r="Y715" s="532"/>
      <c r="Z715" s="531"/>
      <c r="AA715" s="531"/>
      <c r="AB715" s="531"/>
      <c r="AC715" s="531"/>
      <c r="AD715" s="531"/>
      <c r="AE715" s="531"/>
      <c r="AF715" s="531"/>
      <c r="AG715" s="531"/>
    </row>
    <row r="716">
      <c r="B716" s="531"/>
      <c r="C716" s="531"/>
      <c r="D716" s="531"/>
      <c r="E716" s="531"/>
      <c r="F716" s="531"/>
      <c r="G716" s="531"/>
      <c r="H716" s="531"/>
      <c r="I716" s="531"/>
      <c r="J716" s="531"/>
      <c r="K716" s="531"/>
      <c r="L716" s="531"/>
      <c r="M716" s="531"/>
      <c r="N716" s="531"/>
      <c r="O716" s="531"/>
      <c r="P716" s="531"/>
      <c r="Q716" s="531"/>
      <c r="R716" s="531"/>
      <c r="S716" s="532"/>
      <c r="T716" s="532"/>
      <c r="U716" s="532"/>
      <c r="V716" s="532"/>
      <c r="W716" s="532"/>
      <c r="X716" s="532"/>
      <c r="Y716" s="532"/>
      <c r="Z716" s="531"/>
      <c r="AA716" s="531"/>
      <c r="AB716" s="531"/>
      <c r="AC716" s="531"/>
      <c r="AD716" s="531"/>
      <c r="AE716" s="531"/>
      <c r="AF716" s="531"/>
      <c r="AG716" s="531"/>
    </row>
    <row r="717">
      <c r="B717" s="531"/>
      <c r="C717" s="531"/>
      <c r="D717" s="531"/>
      <c r="E717" s="531"/>
      <c r="F717" s="531"/>
      <c r="G717" s="531"/>
      <c r="H717" s="531"/>
      <c r="I717" s="531"/>
      <c r="J717" s="531"/>
      <c r="K717" s="531"/>
      <c r="L717" s="531"/>
      <c r="M717" s="531"/>
      <c r="N717" s="531"/>
      <c r="O717" s="531"/>
      <c r="P717" s="531"/>
      <c r="Q717" s="531"/>
      <c r="R717" s="531"/>
      <c r="S717" s="532"/>
      <c r="T717" s="532"/>
      <c r="U717" s="532"/>
      <c r="V717" s="532"/>
      <c r="W717" s="532"/>
      <c r="X717" s="532"/>
      <c r="Y717" s="532"/>
      <c r="Z717" s="531"/>
      <c r="AA717" s="531"/>
      <c r="AB717" s="531"/>
      <c r="AC717" s="531"/>
      <c r="AD717" s="531"/>
      <c r="AE717" s="531"/>
      <c r="AF717" s="531"/>
      <c r="AG717" s="531"/>
    </row>
    <row r="718">
      <c r="B718" s="531"/>
      <c r="C718" s="531"/>
      <c r="D718" s="531"/>
      <c r="E718" s="531"/>
      <c r="F718" s="531"/>
      <c r="G718" s="531"/>
      <c r="H718" s="531"/>
      <c r="I718" s="531"/>
      <c r="J718" s="531"/>
      <c r="K718" s="531"/>
      <c r="L718" s="531"/>
      <c r="M718" s="531"/>
      <c r="N718" s="531"/>
      <c r="O718" s="531"/>
      <c r="P718" s="531"/>
      <c r="Q718" s="531"/>
      <c r="R718" s="531"/>
      <c r="S718" s="532"/>
      <c r="T718" s="532"/>
      <c r="U718" s="532"/>
      <c r="V718" s="532"/>
      <c r="W718" s="532"/>
      <c r="X718" s="532"/>
      <c r="Y718" s="532"/>
      <c r="Z718" s="531"/>
      <c r="AA718" s="531"/>
      <c r="AB718" s="531"/>
      <c r="AC718" s="531"/>
      <c r="AD718" s="531"/>
      <c r="AE718" s="531"/>
      <c r="AF718" s="531"/>
      <c r="AG718" s="531"/>
    </row>
    <row r="719">
      <c r="B719" s="531"/>
      <c r="C719" s="531"/>
      <c r="D719" s="531"/>
      <c r="E719" s="531"/>
      <c r="F719" s="531"/>
      <c r="G719" s="531"/>
      <c r="H719" s="531"/>
      <c r="I719" s="531"/>
      <c r="J719" s="531"/>
      <c r="K719" s="531"/>
      <c r="L719" s="531"/>
      <c r="M719" s="531"/>
      <c r="N719" s="531"/>
      <c r="O719" s="531"/>
      <c r="P719" s="531"/>
      <c r="Q719" s="531"/>
      <c r="R719" s="531"/>
      <c r="S719" s="532"/>
      <c r="T719" s="532"/>
      <c r="U719" s="532"/>
      <c r="V719" s="532"/>
      <c r="W719" s="532"/>
      <c r="X719" s="532"/>
      <c r="Y719" s="532"/>
      <c r="Z719" s="531"/>
      <c r="AA719" s="531"/>
      <c r="AB719" s="531"/>
      <c r="AC719" s="531"/>
      <c r="AD719" s="531"/>
      <c r="AE719" s="531"/>
      <c r="AF719" s="531"/>
      <c r="AG719" s="531"/>
    </row>
    <row r="720">
      <c r="B720" s="531"/>
      <c r="C720" s="531"/>
      <c r="D720" s="531"/>
      <c r="E720" s="531"/>
      <c r="F720" s="531"/>
      <c r="G720" s="531"/>
      <c r="H720" s="531"/>
      <c r="I720" s="531"/>
      <c r="J720" s="531"/>
      <c r="K720" s="531"/>
      <c r="L720" s="531"/>
      <c r="M720" s="531"/>
      <c r="N720" s="531"/>
      <c r="O720" s="531"/>
      <c r="P720" s="531"/>
      <c r="Q720" s="531"/>
      <c r="R720" s="531"/>
      <c r="S720" s="532"/>
      <c r="T720" s="532"/>
      <c r="U720" s="532"/>
      <c r="V720" s="532"/>
      <c r="W720" s="532"/>
      <c r="X720" s="532"/>
      <c r="Y720" s="532"/>
      <c r="Z720" s="531"/>
      <c r="AA720" s="531"/>
      <c r="AB720" s="531"/>
      <c r="AC720" s="531"/>
      <c r="AD720" s="531"/>
      <c r="AE720" s="531"/>
      <c r="AF720" s="531"/>
      <c r="AG720" s="531"/>
    </row>
    <row r="721">
      <c r="B721" s="531"/>
      <c r="C721" s="531"/>
      <c r="D721" s="531"/>
      <c r="E721" s="531"/>
      <c r="F721" s="531"/>
      <c r="G721" s="531"/>
      <c r="H721" s="531"/>
      <c r="I721" s="531"/>
      <c r="J721" s="531"/>
      <c r="K721" s="531"/>
      <c r="L721" s="531"/>
      <c r="M721" s="531"/>
      <c r="N721" s="531"/>
      <c r="O721" s="531"/>
      <c r="P721" s="531"/>
      <c r="Q721" s="531"/>
      <c r="R721" s="531"/>
      <c r="S721" s="532"/>
      <c r="T721" s="532"/>
      <c r="U721" s="532"/>
      <c r="V721" s="532"/>
      <c r="W721" s="532"/>
      <c r="X721" s="532"/>
      <c r="Y721" s="532"/>
      <c r="Z721" s="531"/>
      <c r="AA721" s="531"/>
      <c r="AB721" s="531"/>
      <c r="AC721" s="531"/>
      <c r="AD721" s="531"/>
      <c r="AE721" s="531"/>
      <c r="AF721" s="531"/>
      <c r="AG721" s="531"/>
    </row>
    <row r="722">
      <c r="B722" s="531"/>
      <c r="C722" s="531"/>
      <c r="D722" s="531"/>
      <c r="E722" s="531"/>
      <c r="F722" s="531"/>
      <c r="G722" s="531"/>
      <c r="H722" s="531"/>
      <c r="I722" s="531"/>
      <c r="J722" s="531"/>
      <c r="K722" s="531"/>
      <c r="L722" s="531"/>
      <c r="M722" s="531"/>
      <c r="N722" s="531"/>
      <c r="O722" s="531"/>
      <c r="P722" s="531"/>
      <c r="Q722" s="531"/>
      <c r="R722" s="531"/>
      <c r="S722" s="532"/>
      <c r="T722" s="532"/>
      <c r="U722" s="532"/>
      <c r="V722" s="532"/>
      <c r="W722" s="532"/>
      <c r="X722" s="532"/>
      <c r="Y722" s="532"/>
      <c r="Z722" s="531"/>
      <c r="AA722" s="531"/>
      <c r="AB722" s="531"/>
      <c r="AC722" s="531"/>
      <c r="AD722" s="531"/>
      <c r="AE722" s="531"/>
      <c r="AF722" s="531"/>
      <c r="AG722" s="531"/>
    </row>
    <row r="723">
      <c r="B723" s="531"/>
      <c r="C723" s="531"/>
      <c r="D723" s="531"/>
      <c r="E723" s="531"/>
      <c r="F723" s="531"/>
      <c r="G723" s="531"/>
      <c r="H723" s="531"/>
      <c r="I723" s="531"/>
      <c r="J723" s="531"/>
      <c r="K723" s="531"/>
      <c r="L723" s="531"/>
      <c r="M723" s="531"/>
      <c r="N723" s="531"/>
      <c r="O723" s="531"/>
      <c r="P723" s="531"/>
      <c r="Q723" s="531"/>
      <c r="R723" s="531"/>
      <c r="S723" s="532"/>
      <c r="T723" s="532"/>
      <c r="U723" s="532"/>
      <c r="V723" s="532"/>
      <c r="W723" s="532"/>
      <c r="X723" s="532"/>
      <c r="Y723" s="532"/>
      <c r="Z723" s="531"/>
      <c r="AA723" s="531"/>
      <c r="AB723" s="531"/>
      <c r="AC723" s="531"/>
      <c r="AD723" s="531"/>
      <c r="AE723" s="531"/>
      <c r="AF723" s="531"/>
      <c r="AG723" s="531"/>
    </row>
    <row r="724">
      <c r="B724" s="531"/>
      <c r="C724" s="531"/>
      <c r="D724" s="531"/>
      <c r="E724" s="531"/>
      <c r="F724" s="531"/>
      <c r="G724" s="531"/>
      <c r="H724" s="531"/>
      <c r="I724" s="531"/>
      <c r="J724" s="531"/>
      <c r="K724" s="531"/>
      <c r="L724" s="531"/>
      <c r="M724" s="531"/>
      <c r="N724" s="531"/>
      <c r="O724" s="531"/>
      <c r="P724" s="531"/>
      <c r="Q724" s="531"/>
      <c r="R724" s="531"/>
      <c r="S724" s="532"/>
      <c r="T724" s="532"/>
      <c r="U724" s="532"/>
      <c r="V724" s="532"/>
      <c r="W724" s="532"/>
      <c r="X724" s="532"/>
      <c r="Y724" s="532"/>
      <c r="Z724" s="531"/>
      <c r="AA724" s="531"/>
      <c r="AB724" s="531"/>
      <c r="AC724" s="531"/>
      <c r="AD724" s="531"/>
      <c r="AE724" s="531"/>
      <c r="AF724" s="531"/>
      <c r="AG724" s="531"/>
    </row>
    <row r="725">
      <c r="B725" s="531"/>
      <c r="C725" s="531"/>
      <c r="D725" s="531"/>
      <c r="E725" s="531"/>
      <c r="F725" s="531"/>
      <c r="G725" s="531"/>
      <c r="H725" s="531"/>
      <c r="I725" s="531"/>
      <c r="J725" s="531"/>
      <c r="K725" s="531"/>
      <c r="L725" s="531"/>
      <c r="M725" s="531"/>
      <c r="N725" s="531"/>
      <c r="O725" s="531"/>
      <c r="P725" s="531"/>
      <c r="Q725" s="531"/>
      <c r="R725" s="531"/>
      <c r="S725" s="532"/>
      <c r="T725" s="532"/>
      <c r="U725" s="532"/>
      <c r="V725" s="532"/>
      <c r="W725" s="532"/>
      <c r="X725" s="532"/>
      <c r="Y725" s="532"/>
      <c r="Z725" s="531"/>
      <c r="AA725" s="531"/>
      <c r="AB725" s="531"/>
      <c r="AC725" s="531"/>
      <c r="AD725" s="531"/>
      <c r="AE725" s="531"/>
      <c r="AF725" s="531"/>
      <c r="AG725" s="531"/>
    </row>
    <row r="726">
      <c r="B726" s="531"/>
      <c r="C726" s="531"/>
      <c r="D726" s="531"/>
      <c r="E726" s="531"/>
      <c r="F726" s="531"/>
      <c r="G726" s="531"/>
      <c r="H726" s="531"/>
      <c r="I726" s="531"/>
      <c r="J726" s="531"/>
      <c r="K726" s="531"/>
      <c r="L726" s="531"/>
      <c r="M726" s="531"/>
      <c r="N726" s="531"/>
      <c r="O726" s="531"/>
      <c r="P726" s="531"/>
      <c r="Q726" s="531"/>
      <c r="R726" s="531"/>
      <c r="S726" s="532"/>
      <c r="T726" s="532"/>
      <c r="U726" s="532"/>
      <c r="V726" s="532"/>
      <c r="W726" s="532"/>
      <c r="X726" s="532"/>
      <c r="Y726" s="532"/>
      <c r="Z726" s="531"/>
      <c r="AA726" s="531"/>
      <c r="AB726" s="531"/>
      <c r="AC726" s="531"/>
      <c r="AD726" s="531"/>
      <c r="AE726" s="531"/>
      <c r="AF726" s="531"/>
      <c r="AG726" s="531"/>
    </row>
    <row r="727">
      <c r="B727" s="531"/>
      <c r="C727" s="531"/>
      <c r="D727" s="531"/>
      <c r="E727" s="531"/>
      <c r="F727" s="531"/>
      <c r="G727" s="531"/>
      <c r="H727" s="531"/>
      <c r="I727" s="531"/>
      <c r="J727" s="531"/>
      <c r="K727" s="531"/>
      <c r="L727" s="531"/>
      <c r="M727" s="531"/>
      <c r="N727" s="531"/>
      <c r="O727" s="531"/>
      <c r="P727" s="531"/>
      <c r="Q727" s="531"/>
      <c r="R727" s="531"/>
      <c r="S727" s="532"/>
      <c r="T727" s="532"/>
      <c r="U727" s="532"/>
      <c r="V727" s="532"/>
      <c r="W727" s="532"/>
      <c r="X727" s="532"/>
      <c r="Y727" s="532"/>
      <c r="Z727" s="531"/>
      <c r="AA727" s="531"/>
      <c r="AB727" s="531"/>
      <c r="AC727" s="531"/>
      <c r="AD727" s="531"/>
      <c r="AE727" s="531"/>
      <c r="AF727" s="531"/>
      <c r="AG727" s="531"/>
    </row>
    <row r="728">
      <c r="B728" s="531"/>
      <c r="C728" s="531"/>
      <c r="D728" s="531"/>
      <c r="E728" s="531"/>
      <c r="F728" s="531"/>
      <c r="G728" s="531"/>
      <c r="H728" s="531"/>
      <c r="I728" s="531"/>
      <c r="J728" s="531"/>
      <c r="K728" s="531"/>
      <c r="L728" s="531"/>
      <c r="M728" s="531"/>
      <c r="N728" s="531"/>
      <c r="O728" s="531"/>
      <c r="P728" s="531"/>
      <c r="Q728" s="531"/>
      <c r="R728" s="531"/>
      <c r="S728" s="532"/>
      <c r="T728" s="532"/>
      <c r="U728" s="532"/>
      <c r="V728" s="532"/>
      <c r="W728" s="532"/>
      <c r="X728" s="532"/>
      <c r="Y728" s="532"/>
      <c r="Z728" s="531"/>
      <c r="AA728" s="531"/>
      <c r="AB728" s="531"/>
      <c r="AC728" s="531"/>
      <c r="AD728" s="531"/>
      <c r="AE728" s="531"/>
      <c r="AF728" s="531"/>
      <c r="AG728" s="531"/>
    </row>
    <row r="729">
      <c r="B729" s="531"/>
      <c r="C729" s="531"/>
      <c r="D729" s="531"/>
      <c r="E729" s="531"/>
      <c r="F729" s="531"/>
      <c r="G729" s="531"/>
      <c r="H729" s="531"/>
      <c r="I729" s="531"/>
      <c r="J729" s="531"/>
      <c r="K729" s="531"/>
      <c r="L729" s="531"/>
      <c r="M729" s="531"/>
      <c r="N729" s="531"/>
      <c r="O729" s="531"/>
      <c r="P729" s="531"/>
      <c r="Q729" s="531"/>
      <c r="R729" s="531"/>
      <c r="S729" s="532"/>
      <c r="T729" s="532"/>
      <c r="U729" s="532"/>
      <c r="V729" s="532"/>
      <c r="W729" s="532"/>
      <c r="X729" s="532"/>
      <c r="Y729" s="532"/>
      <c r="Z729" s="531"/>
      <c r="AA729" s="531"/>
      <c r="AB729" s="531"/>
      <c r="AC729" s="531"/>
      <c r="AD729" s="531"/>
      <c r="AE729" s="531"/>
      <c r="AF729" s="531"/>
      <c r="AG729" s="531"/>
    </row>
    <row r="730">
      <c r="B730" s="531"/>
      <c r="C730" s="531"/>
      <c r="D730" s="531"/>
      <c r="E730" s="531"/>
      <c r="F730" s="531"/>
      <c r="G730" s="531"/>
      <c r="H730" s="531"/>
      <c r="I730" s="531"/>
      <c r="J730" s="531"/>
      <c r="K730" s="531"/>
      <c r="L730" s="531"/>
      <c r="M730" s="531"/>
      <c r="N730" s="531"/>
      <c r="O730" s="531"/>
      <c r="P730" s="531"/>
      <c r="Q730" s="531"/>
      <c r="R730" s="531"/>
      <c r="S730" s="532"/>
      <c r="T730" s="532"/>
      <c r="U730" s="532"/>
      <c r="V730" s="532"/>
      <c r="W730" s="532"/>
      <c r="X730" s="532"/>
      <c r="Y730" s="532"/>
      <c r="Z730" s="531"/>
      <c r="AA730" s="531"/>
      <c r="AB730" s="531"/>
      <c r="AC730" s="531"/>
      <c r="AD730" s="531"/>
      <c r="AE730" s="531"/>
      <c r="AF730" s="531"/>
      <c r="AG730" s="531"/>
    </row>
    <row r="731">
      <c r="B731" s="531"/>
      <c r="C731" s="531"/>
      <c r="D731" s="531"/>
      <c r="E731" s="531"/>
      <c r="F731" s="531"/>
      <c r="G731" s="531"/>
      <c r="H731" s="531"/>
      <c r="I731" s="531"/>
      <c r="J731" s="531"/>
      <c r="K731" s="531"/>
      <c r="L731" s="531"/>
      <c r="M731" s="531"/>
      <c r="N731" s="531"/>
      <c r="O731" s="531"/>
      <c r="P731" s="531"/>
      <c r="Q731" s="531"/>
      <c r="R731" s="531"/>
      <c r="S731" s="532"/>
      <c r="T731" s="532"/>
      <c r="U731" s="532"/>
      <c r="V731" s="532"/>
      <c r="W731" s="532"/>
      <c r="X731" s="532"/>
      <c r="Y731" s="532"/>
      <c r="Z731" s="531"/>
      <c r="AA731" s="531"/>
      <c r="AB731" s="531"/>
      <c r="AC731" s="531"/>
      <c r="AD731" s="531"/>
      <c r="AE731" s="531"/>
      <c r="AF731" s="531"/>
      <c r="AG731" s="531"/>
    </row>
    <row r="732">
      <c r="B732" s="531"/>
      <c r="C732" s="531"/>
      <c r="D732" s="531"/>
      <c r="E732" s="531"/>
      <c r="F732" s="531"/>
      <c r="G732" s="531"/>
      <c r="H732" s="531"/>
      <c r="I732" s="531"/>
      <c r="J732" s="531"/>
      <c r="K732" s="531"/>
      <c r="L732" s="531"/>
      <c r="M732" s="531"/>
      <c r="N732" s="531"/>
      <c r="O732" s="531"/>
      <c r="P732" s="531"/>
      <c r="Q732" s="531"/>
      <c r="R732" s="531"/>
      <c r="S732" s="532"/>
      <c r="T732" s="532"/>
      <c r="U732" s="532"/>
      <c r="V732" s="532"/>
      <c r="W732" s="532"/>
      <c r="X732" s="532"/>
      <c r="Y732" s="532"/>
      <c r="Z732" s="531"/>
      <c r="AA732" s="531"/>
      <c r="AB732" s="531"/>
      <c r="AC732" s="531"/>
      <c r="AD732" s="531"/>
      <c r="AE732" s="531"/>
      <c r="AF732" s="531"/>
      <c r="AG732" s="531"/>
    </row>
    <row r="733">
      <c r="B733" s="531"/>
      <c r="C733" s="531"/>
      <c r="D733" s="531"/>
      <c r="E733" s="531"/>
      <c r="F733" s="531"/>
      <c r="G733" s="531"/>
      <c r="H733" s="531"/>
      <c r="I733" s="531"/>
      <c r="J733" s="531"/>
      <c r="K733" s="531"/>
      <c r="L733" s="531"/>
      <c r="M733" s="531"/>
      <c r="N733" s="531"/>
      <c r="O733" s="531"/>
      <c r="P733" s="531"/>
      <c r="Q733" s="531"/>
      <c r="R733" s="531"/>
      <c r="S733" s="532"/>
      <c r="T733" s="532"/>
      <c r="U733" s="532"/>
      <c r="V733" s="532"/>
      <c r="W733" s="532"/>
      <c r="X733" s="532"/>
      <c r="Y733" s="532"/>
      <c r="Z733" s="531"/>
      <c r="AA733" s="531"/>
      <c r="AB733" s="531"/>
      <c r="AC733" s="531"/>
      <c r="AD733" s="531"/>
      <c r="AE733" s="531"/>
      <c r="AF733" s="531"/>
      <c r="AG733" s="531"/>
    </row>
    <row r="734">
      <c r="B734" s="531"/>
      <c r="C734" s="531"/>
      <c r="D734" s="531"/>
      <c r="E734" s="531"/>
      <c r="F734" s="531"/>
      <c r="G734" s="531"/>
      <c r="H734" s="531"/>
      <c r="I734" s="531"/>
      <c r="J734" s="531"/>
      <c r="K734" s="531"/>
      <c r="L734" s="531"/>
      <c r="M734" s="531"/>
      <c r="N734" s="531"/>
      <c r="O734" s="531"/>
      <c r="P734" s="531"/>
      <c r="Q734" s="531"/>
      <c r="R734" s="531"/>
      <c r="S734" s="532"/>
      <c r="T734" s="532"/>
      <c r="U734" s="532"/>
      <c r="V734" s="532"/>
      <c r="W734" s="532"/>
      <c r="X734" s="532"/>
      <c r="Y734" s="532"/>
      <c r="Z734" s="531"/>
      <c r="AA734" s="531"/>
      <c r="AB734" s="531"/>
      <c r="AC734" s="531"/>
      <c r="AD734" s="531"/>
      <c r="AE734" s="531"/>
      <c r="AF734" s="531"/>
      <c r="AG734" s="531"/>
    </row>
    <row r="735">
      <c r="B735" s="531"/>
      <c r="C735" s="531"/>
      <c r="D735" s="531"/>
      <c r="E735" s="531"/>
      <c r="F735" s="531"/>
      <c r="G735" s="531"/>
      <c r="H735" s="531"/>
      <c r="I735" s="531"/>
      <c r="J735" s="531"/>
      <c r="K735" s="531"/>
      <c r="L735" s="531"/>
      <c r="M735" s="531"/>
      <c r="N735" s="531"/>
      <c r="O735" s="531"/>
      <c r="P735" s="531"/>
      <c r="Q735" s="531"/>
      <c r="R735" s="531"/>
      <c r="S735" s="532"/>
      <c r="T735" s="532"/>
      <c r="U735" s="532"/>
      <c r="V735" s="532"/>
      <c r="W735" s="532"/>
      <c r="X735" s="532"/>
      <c r="Y735" s="532"/>
      <c r="Z735" s="531"/>
      <c r="AA735" s="531"/>
      <c r="AB735" s="531"/>
      <c r="AC735" s="531"/>
      <c r="AD735" s="531"/>
      <c r="AE735" s="531"/>
      <c r="AF735" s="531"/>
      <c r="AG735" s="531"/>
    </row>
    <row r="736">
      <c r="B736" s="531"/>
      <c r="C736" s="531"/>
      <c r="D736" s="531"/>
      <c r="E736" s="531"/>
      <c r="F736" s="531"/>
      <c r="G736" s="531"/>
      <c r="H736" s="531"/>
      <c r="I736" s="531"/>
      <c r="J736" s="531"/>
      <c r="K736" s="531"/>
      <c r="L736" s="531"/>
      <c r="M736" s="531"/>
      <c r="N736" s="531"/>
      <c r="O736" s="531"/>
      <c r="P736" s="531"/>
      <c r="Q736" s="531"/>
      <c r="R736" s="531"/>
      <c r="S736" s="532"/>
      <c r="T736" s="532"/>
      <c r="U736" s="532"/>
      <c r="V736" s="532"/>
      <c r="W736" s="532"/>
      <c r="X736" s="532"/>
      <c r="Y736" s="532"/>
      <c r="Z736" s="531"/>
      <c r="AA736" s="531"/>
      <c r="AB736" s="531"/>
      <c r="AC736" s="531"/>
      <c r="AD736" s="531"/>
      <c r="AE736" s="531"/>
      <c r="AF736" s="531"/>
      <c r="AG736" s="531"/>
    </row>
    <row r="737">
      <c r="B737" s="531"/>
      <c r="C737" s="531"/>
      <c r="D737" s="531"/>
      <c r="E737" s="531"/>
      <c r="F737" s="531"/>
      <c r="G737" s="531"/>
      <c r="H737" s="531"/>
      <c r="I737" s="531"/>
      <c r="J737" s="531"/>
      <c r="K737" s="531"/>
      <c r="L737" s="531"/>
      <c r="M737" s="531"/>
      <c r="N737" s="531"/>
      <c r="O737" s="531"/>
      <c r="P737" s="531"/>
      <c r="Q737" s="531"/>
      <c r="R737" s="531"/>
      <c r="S737" s="532"/>
      <c r="T737" s="532"/>
      <c r="U737" s="532"/>
      <c r="V737" s="532"/>
      <c r="W737" s="532"/>
      <c r="X737" s="532"/>
      <c r="Y737" s="532"/>
      <c r="Z737" s="531"/>
      <c r="AA737" s="531"/>
      <c r="AB737" s="531"/>
      <c r="AC737" s="531"/>
      <c r="AD737" s="531"/>
      <c r="AE737" s="531"/>
      <c r="AF737" s="531"/>
      <c r="AG737" s="531"/>
    </row>
    <row r="738">
      <c r="B738" s="531"/>
      <c r="C738" s="531"/>
      <c r="D738" s="531"/>
      <c r="E738" s="531"/>
      <c r="F738" s="531"/>
      <c r="G738" s="531"/>
      <c r="H738" s="531"/>
      <c r="I738" s="531"/>
      <c r="J738" s="531"/>
      <c r="K738" s="531"/>
      <c r="L738" s="531"/>
      <c r="M738" s="531"/>
      <c r="N738" s="531"/>
      <c r="O738" s="531"/>
      <c r="P738" s="531"/>
      <c r="Q738" s="531"/>
      <c r="R738" s="531"/>
      <c r="S738" s="532"/>
      <c r="T738" s="532"/>
      <c r="U738" s="532"/>
      <c r="V738" s="532"/>
      <c r="W738" s="532"/>
      <c r="X738" s="532"/>
      <c r="Y738" s="532"/>
      <c r="Z738" s="531"/>
      <c r="AA738" s="531"/>
      <c r="AB738" s="531"/>
      <c r="AC738" s="531"/>
      <c r="AD738" s="531"/>
      <c r="AE738" s="531"/>
      <c r="AF738" s="531"/>
      <c r="AG738" s="531"/>
    </row>
    <row r="739">
      <c r="B739" s="531"/>
      <c r="C739" s="531"/>
      <c r="D739" s="531"/>
      <c r="E739" s="531"/>
      <c r="F739" s="531"/>
      <c r="G739" s="531"/>
      <c r="H739" s="531"/>
      <c r="I739" s="531"/>
      <c r="J739" s="531"/>
      <c r="K739" s="531"/>
      <c r="L739" s="531"/>
      <c r="M739" s="531"/>
      <c r="N739" s="531"/>
      <c r="O739" s="531"/>
      <c r="P739" s="531"/>
      <c r="Q739" s="531"/>
      <c r="R739" s="531"/>
      <c r="S739" s="532"/>
      <c r="T739" s="532"/>
      <c r="U739" s="532"/>
      <c r="V739" s="532"/>
      <c r="W739" s="532"/>
      <c r="X739" s="532"/>
      <c r="Y739" s="532"/>
      <c r="Z739" s="531"/>
      <c r="AA739" s="531"/>
      <c r="AB739" s="531"/>
      <c r="AC739" s="531"/>
      <c r="AD739" s="531"/>
      <c r="AE739" s="531"/>
      <c r="AF739" s="531"/>
      <c r="AG739" s="531"/>
    </row>
    <row r="740">
      <c r="B740" s="531"/>
      <c r="C740" s="531"/>
      <c r="D740" s="531"/>
      <c r="E740" s="531"/>
      <c r="F740" s="531"/>
      <c r="G740" s="531"/>
      <c r="H740" s="531"/>
      <c r="I740" s="531"/>
      <c r="J740" s="531"/>
      <c r="K740" s="531"/>
      <c r="L740" s="531"/>
      <c r="M740" s="531"/>
      <c r="N740" s="531"/>
      <c r="O740" s="531"/>
      <c r="P740" s="531"/>
      <c r="Q740" s="531"/>
      <c r="R740" s="531"/>
      <c r="S740" s="532"/>
      <c r="T740" s="532"/>
      <c r="U740" s="532"/>
      <c r="V740" s="532"/>
      <c r="W740" s="532"/>
      <c r="X740" s="532"/>
      <c r="Y740" s="532"/>
      <c r="Z740" s="531"/>
      <c r="AA740" s="531"/>
      <c r="AB740" s="531"/>
      <c r="AC740" s="531"/>
      <c r="AD740" s="531"/>
      <c r="AE740" s="531"/>
      <c r="AF740" s="531"/>
      <c r="AG740" s="531"/>
    </row>
    <row r="741">
      <c r="B741" s="531"/>
      <c r="C741" s="531"/>
      <c r="D741" s="531"/>
      <c r="E741" s="531"/>
      <c r="F741" s="531"/>
      <c r="G741" s="531"/>
      <c r="H741" s="531"/>
      <c r="I741" s="531"/>
      <c r="J741" s="531"/>
      <c r="K741" s="531"/>
      <c r="L741" s="531"/>
      <c r="M741" s="531"/>
      <c r="N741" s="531"/>
      <c r="O741" s="531"/>
      <c r="P741" s="531"/>
      <c r="Q741" s="531"/>
      <c r="R741" s="531"/>
      <c r="S741" s="532"/>
      <c r="T741" s="532"/>
      <c r="U741" s="532"/>
      <c r="V741" s="532"/>
      <c r="W741" s="532"/>
      <c r="X741" s="532"/>
      <c r="Y741" s="532"/>
      <c r="Z741" s="531"/>
      <c r="AA741" s="531"/>
      <c r="AB741" s="531"/>
      <c r="AC741" s="531"/>
      <c r="AD741" s="531"/>
      <c r="AE741" s="531"/>
      <c r="AF741" s="531"/>
      <c r="AG741" s="531"/>
    </row>
    <row r="742">
      <c r="B742" s="531"/>
      <c r="C742" s="531"/>
      <c r="D742" s="531"/>
      <c r="E742" s="531"/>
      <c r="F742" s="531"/>
      <c r="G742" s="531"/>
      <c r="H742" s="531"/>
      <c r="I742" s="531"/>
      <c r="J742" s="531"/>
      <c r="K742" s="531"/>
      <c r="L742" s="531"/>
      <c r="M742" s="531"/>
      <c r="N742" s="531"/>
      <c r="O742" s="531"/>
      <c r="P742" s="531"/>
      <c r="Q742" s="531"/>
      <c r="R742" s="531"/>
      <c r="S742" s="532"/>
      <c r="T742" s="532"/>
      <c r="U742" s="532"/>
      <c r="V742" s="532"/>
      <c r="W742" s="532"/>
      <c r="X742" s="532"/>
      <c r="Y742" s="532"/>
      <c r="Z742" s="531"/>
      <c r="AA742" s="531"/>
      <c r="AB742" s="531"/>
      <c r="AC742" s="531"/>
      <c r="AD742" s="531"/>
      <c r="AE742" s="531"/>
      <c r="AF742" s="531"/>
      <c r="AG742" s="531"/>
    </row>
    <row r="743">
      <c r="B743" s="531"/>
      <c r="C743" s="531"/>
      <c r="D743" s="531"/>
      <c r="E743" s="531"/>
      <c r="F743" s="531"/>
      <c r="G743" s="531"/>
      <c r="H743" s="531"/>
      <c r="I743" s="531"/>
      <c r="J743" s="531"/>
      <c r="K743" s="531"/>
      <c r="L743" s="531"/>
      <c r="M743" s="531"/>
      <c r="N743" s="531"/>
      <c r="O743" s="531"/>
      <c r="P743" s="531"/>
      <c r="Q743" s="531"/>
      <c r="R743" s="531"/>
      <c r="S743" s="532"/>
      <c r="T743" s="532"/>
      <c r="U743" s="532"/>
      <c r="V743" s="532"/>
      <c r="W743" s="532"/>
      <c r="X743" s="532"/>
      <c r="Y743" s="532"/>
      <c r="Z743" s="531"/>
      <c r="AA743" s="531"/>
      <c r="AB743" s="531"/>
      <c r="AC743" s="531"/>
      <c r="AD743" s="531"/>
      <c r="AE743" s="531"/>
      <c r="AF743" s="531"/>
      <c r="AG743" s="531"/>
    </row>
    <row r="744">
      <c r="B744" s="531"/>
      <c r="C744" s="531"/>
      <c r="D744" s="531"/>
      <c r="E744" s="531"/>
      <c r="F744" s="531"/>
      <c r="G744" s="531"/>
      <c r="H744" s="531"/>
      <c r="I744" s="531"/>
      <c r="J744" s="531"/>
      <c r="K744" s="531"/>
      <c r="L744" s="531"/>
      <c r="M744" s="531"/>
      <c r="N744" s="531"/>
      <c r="O744" s="531"/>
      <c r="P744" s="531"/>
      <c r="Q744" s="531"/>
      <c r="R744" s="531"/>
      <c r="S744" s="532"/>
      <c r="T744" s="532"/>
      <c r="U744" s="532"/>
      <c r="V744" s="532"/>
      <c r="W744" s="532"/>
      <c r="X744" s="532"/>
      <c r="Y744" s="532"/>
      <c r="Z744" s="531"/>
      <c r="AA744" s="531"/>
      <c r="AB744" s="531"/>
      <c r="AC744" s="531"/>
      <c r="AD744" s="531"/>
      <c r="AE744" s="531"/>
      <c r="AF744" s="531"/>
      <c r="AG744" s="531"/>
    </row>
    <row r="745">
      <c r="B745" s="531"/>
      <c r="C745" s="531"/>
      <c r="D745" s="531"/>
      <c r="E745" s="531"/>
      <c r="F745" s="531"/>
      <c r="G745" s="531"/>
      <c r="H745" s="531"/>
      <c r="I745" s="531"/>
      <c r="J745" s="531"/>
      <c r="K745" s="531"/>
      <c r="L745" s="531"/>
      <c r="M745" s="531"/>
      <c r="N745" s="531"/>
      <c r="O745" s="531"/>
      <c r="P745" s="531"/>
      <c r="Q745" s="531"/>
      <c r="R745" s="531"/>
      <c r="S745" s="532"/>
      <c r="T745" s="532"/>
      <c r="U745" s="532"/>
      <c r="V745" s="532"/>
      <c r="W745" s="532"/>
      <c r="X745" s="532"/>
      <c r="Y745" s="532"/>
      <c r="Z745" s="531"/>
      <c r="AA745" s="531"/>
      <c r="AB745" s="531"/>
      <c r="AC745" s="531"/>
      <c r="AD745" s="531"/>
      <c r="AE745" s="531"/>
      <c r="AF745" s="531"/>
      <c r="AG745" s="531"/>
    </row>
    <row r="746">
      <c r="B746" s="531"/>
      <c r="C746" s="531"/>
      <c r="D746" s="531"/>
      <c r="E746" s="531"/>
      <c r="F746" s="531"/>
      <c r="G746" s="531"/>
      <c r="H746" s="531"/>
      <c r="I746" s="531"/>
      <c r="J746" s="531"/>
      <c r="K746" s="531"/>
      <c r="L746" s="531"/>
      <c r="M746" s="531"/>
      <c r="N746" s="531"/>
      <c r="O746" s="531"/>
      <c r="P746" s="531"/>
      <c r="Q746" s="531"/>
      <c r="R746" s="531"/>
      <c r="S746" s="532"/>
      <c r="T746" s="532"/>
      <c r="U746" s="532"/>
      <c r="V746" s="532"/>
      <c r="W746" s="532"/>
      <c r="X746" s="532"/>
      <c r="Y746" s="532"/>
      <c r="Z746" s="531"/>
      <c r="AA746" s="531"/>
      <c r="AB746" s="531"/>
      <c r="AC746" s="531"/>
      <c r="AD746" s="531"/>
      <c r="AE746" s="531"/>
      <c r="AF746" s="531"/>
      <c r="AG746" s="531"/>
    </row>
    <row r="747">
      <c r="B747" s="531"/>
      <c r="C747" s="531"/>
      <c r="D747" s="531"/>
      <c r="E747" s="531"/>
      <c r="F747" s="531"/>
      <c r="G747" s="531"/>
      <c r="H747" s="531"/>
      <c r="I747" s="531"/>
      <c r="J747" s="531"/>
      <c r="K747" s="531"/>
      <c r="L747" s="531"/>
      <c r="M747" s="531"/>
      <c r="N747" s="531"/>
      <c r="O747" s="531"/>
      <c r="P747" s="531"/>
      <c r="Q747" s="531"/>
      <c r="R747" s="531"/>
      <c r="S747" s="532"/>
      <c r="T747" s="532"/>
      <c r="U747" s="532"/>
      <c r="V747" s="532"/>
      <c r="W747" s="532"/>
      <c r="X747" s="532"/>
      <c r="Y747" s="532"/>
      <c r="Z747" s="531"/>
      <c r="AA747" s="531"/>
      <c r="AB747" s="531"/>
      <c r="AC747" s="531"/>
      <c r="AD747" s="531"/>
      <c r="AE747" s="531"/>
      <c r="AF747" s="531"/>
      <c r="AG747" s="531"/>
    </row>
    <row r="748">
      <c r="B748" s="531"/>
      <c r="C748" s="531"/>
      <c r="D748" s="531"/>
      <c r="E748" s="531"/>
      <c r="F748" s="531"/>
      <c r="G748" s="531"/>
      <c r="H748" s="531"/>
      <c r="I748" s="531"/>
      <c r="J748" s="531"/>
      <c r="K748" s="531"/>
      <c r="L748" s="531"/>
      <c r="M748" s="531"/>
      <c r="N748" s="531"/>
      <c r="O748" s="531"/>
      <c r="P748" s="531"/>
      <c r="Q748" s="531"/>
      <c r="R748" s="531"/>
      <c r="S748" s="532"/>
      <c r="T748" s="532"/>
      <c r="U748" s="532"/>
      <c r="V748" s="532"/>
      <c r="W748" s="532"/>
      <c r="X748" s="532"/>
      <c r="Y748" s="532"/>
      <c r="Z748" s="531"/>
      <c r="AA748" s="531"/>
      <c r="AB748" s="531"/>
      <c r="AC748" s="531"/>
      <c r="AD748" s="531"/>
      <c r="AE748" s="531"/>
      <c r="AF748" s="531"/>
      <c r="AG748" s="531"/>
    </row>
    <row r="749">
      <c r="B749" s="531"/>
      <c r="C749" s="531"/>
      <c r="D749" s="531"/>
      <c r="E749" s="531"/>
      <c r="F749" s="531"/>
      <c r="G749" s="531"/>
      <c r="H749" s="531"/>
      <c r="I749" s="531"/>
      <c r="J749" s="531"/>
      <c r="K749" s="531"/>
      <c r="L749" s="531"/>
      <c r="M749" s="531"/>
      <c r="N749" s="531"/>
      <c r="O749" s="531"/>
      <c r="P749" s="531"/>
      <c r="Q749" s="531"/>
      <c r="R749" s="531"/>
      <c r="S749" s="532"/>
      <c r="T749" s="532"/>
      <c r="U749" s="532"/>
      <c r="V749" s="532"/>
      <c r="W749" s="532"/>
      <c r="X749" s="532"/>
      <c r="Y749" s="532"/>
      <c r="Z749" s="531"/>
      <c r="AA749" s="531"/>
      <c r="AB749" s="531"/>
      <c r="AC749" s="531"/>
      <c r="AD749" s="531"/>
      <c r="AE749" s="531"/>
      <c r="AF749" s="531"/>
      <c r="AG749" s="531"/>
    </row>
    <row r="750">
      <c r="B750" s="531"/>
      <c r="C750" s="531"/>
      <c r="D750" s="531"/>
      <c r="E750" s="531"/>
      <c r="F750" s="531"/>
      <c r="G750" s="531"/>
      <c r="H750" s="531"/>
      <c r="I750" s="531"/>
      <c r="J750" s="531"/>
      <c r="K750" s="531"/>
      <c r="L750" s="531"/>
      <c r="M750" s="531"/>
      <c r="N750" s="531"/>
      <c r="O750" s="531"/>
      <c r="P750" s="531"/>
      <c r="Q750" s="531"/>
      <c r="R750" s="531"/>
      <c r="S750" s="532"/>
      <c r="T750" s="532"/>
      <c r="U750" s="532"/>
      <c r="V750" s="532"/>
      <c r="W750" s="532"/>
      <c r="X750" s="532"/>
      <c r="Y750" s="532"/>
      <c r="Z750" s="531"/>
      <c r="AA750" s="531"/>
      <c r="AB750" s="531"/>
      <c r="AC750" s="531"/>
      <c r="AD750" s="531"/>
      <c r="AE750" s="531"/>
      <c r="AF750" s="531"/>
      <c r="AG750" s="531"/>
    </row>
    <row r="751">
      <c r="B751" s="531"/>
      <c r="C751" s="531"/>
      <c r="D751" s="531"/>
      <c r="E751" s="531"/>
      <c r="F751" s="531"/>
      <c r="G751" s="531"/>
      <c r="H751" s="531"/>
      <c r="I751" s="531"/>
      <c r="J751" s="531"/>
      <c r="K751" s="531"/>
      <c r="L751" s="531"/>
      <c r="M751" s="531"/>
      <c r="N751" s="531"/>
      <c r="O751" s="531"/>
      <c r="P751" s="531"/>
      <c r="Q751" s="531"/>
      <c r="R751" s="531"/>
      <c r="S751" s="532"/>
      <c r="T751" s="532"/>
      <c r="U751" s="532"/>
      <c r="V751" s="532"/>
      <c r="W751" s="532"/>
      <c r="X751" s="532"/>
      <c r="Y751" s="532"/>
      <c r="Z751" s="531"/>
      <c r="AA751" s="531"/>
      <c r="AB751" s="531"/>
      <c r="AC751" s="531"/>
      <c r="AD751" s="531"/>
      <c r="AE751" s="531"/>
      <c r="AF751" s="531"/>
      <c r="AG751" s="531"/>
    </row>
    <row r="752">
      <c r="B752" s="531"/>
      <c r="C752" s="531"/>
      <c r="D752" s="531"/>
      <c r="E752" s="531"/>
      <c r="F752" s="531"/>
      <c r="G752" s="531"/>
      <c r="H752" s="531"/>
      <c r="I752" s="531"/>
      <c r="J752" s="531"/>
      <c r="K752" s="531"/>
      <c r="L752" s="531"/>
      <c r="M752" s="531"/>
      <c r="N752" s="531"/>
      <c r="O752" s="531"/>
      <c r="P752" s="531"/>
      <c r="Q752" s="531"/>
      <c r="R752" s="531"/>
      <c r="S752" s="532"/>
      <c r="T752" s="532"/>
      <c r="U752" s="532"/>
      <c r="V752" s="532"/>
      <c r="W752" s="532"/>
      <c r="X752" s="532"/>
      <c r="Y752" s="532"/>
      <c r="Z752" s="531"/>
      <c r="AA752" s="531"/>
      <c r="AB752" s="531"/>
      <c r="AC752" s="531"/>
      <c r="AD752" s="531"/>
      <c r="AE752" s="531"/>
      <c r="AF752" s="531"/>
      <c r="AG752" s="531"/>
    </row>
    <row r="753">
      <c r="B753" s="531"/>
      <c r="C753" s="531"/>
      <c r="D753" s="531"/>
      <c r="E753" s="531"/>
      <c r="F753" s="531"/>
      <c r="G753" s="531"/>
      <c r="H753" s="531"/>
      <c r="I753" s="531"/>
      <c r="J753" s="531"/>
      <c r="K753" s="531"/>
      <c r="L753" s="531"/>
      <c r="M753" s="531"/>
      <c r="N753" s="531"/>
      <c r="O753" s="531"/>
      <c r="P753" s="531"/>
      <c r="Q753" s="531"/>
      <c r="R753" s="531"/>
      <c r="S753" s="532"/>
      <c r="T753" s="532"/>
      <c r="U753" s="532"/>
      <c r="V753" s="532"/>
      <c r="W753" s="532"/>
      <c r="X753" s="532"/>
      <c r="Y753" s="532"/>
      <c r="Z753" s="531"/>
      <c r="AA753" s="531"/>
      <c r="AB753" s="531"/>
      <c r="AC753" s="531"/>
      <c r="AD753" s="531"/>
      <c r="AE753" s="531"/>
      <c r="AF753" s="531"/>
      <c r="AG753" s="531"/>
    </row>
    <row r="754">
      <c r="B754" s="531"/>
      <c r="C754" s="531"/>
      <c r="D754" s="531"/>
      <c r="E754" s="531"/>
      <c r="F754" s="531"/>
      <c r="G754" s="531"/>
      <c r="H754" s="531"/>
      <c r="I754" s="531"/>
      <c r="J754" s="531"/>
      <c r="K754" s="531"/>
      <c r="L754" s="531"/>
      <c r="M754" s="531"/>
      <c r="N754" s="531"/>
      <c r="O754" s="531"/>
      <c r="P754" s="531"/>
      <c r="Q754" s="531"/>
      <c r="R754" s="531"/>
      <c r="S754" s="532"/>
      <c r="T754" s="532"/>
      <c r="U754" s="532"/>
      <c r="V754" s="532"/>
      <c r="W754" s="532"/>
      <c r="X754" s="532"/>
      <c r="Y754" s="532"/>
      <c r="Z754" s="531"/>
      <c r="AA754" s="531"/>
      <c r="AB754" s="531"/>
      <c r="AC754" s="531"/>
      <c r="AD754" s="531"/>
      <c r="AE754" s="531"/>
      <c r="AF754" s="531"/>
      <c r="AG754" s="531"/>
    </row>
    <row r="755">
      <c r="B755" s="531"/>
      <c r="C755" s="531"/>
      <c r="D755" s="531"/>
      <c r="E755" s="531"/>
      <c r="F755" s="531"/>
      <c r="G755" s="531"/>
      <c r="H755" s="531"/>
      <c r="I755" s="531"/>
      <c r="J755" s="531"/>
      <c r="K755" s="531"/>
      <c r="L755" s="531"/>
      <c r="M755" s="531"/>
      <c r="N755" s="531"/>
      <c r="O755" s="531"/>
      <c r="P755" s="531"/>
      <c r="Q755" s="531"/>
      <c r="R755" s="531"/>
      <c r="S755" s="532"/>
      <c r="T755" s="532"/>
      <c r="U755" s="532"/>
      <c r="V755" s="532"/>
      <c r="W755" s="532"/>
      <c r="X755" s="532"/>
      <c r="Y755" s="532"/>
      <c r="Z755" s="531"/>
      <c r="AA755" s="531"/>
      <c r="AB755" s="531"/>
      <c r="AC755" s="531"/>
      <c r="AD755" s="531"/>
      <c r="AE755" s="531"/>
      <c r="AF755" s="531"/>
      <c r="AG755" s="531"/>
    </row>
    <row r="756">
      <c r="B756" s="531"/>
      <c r="C756" s="531"/>
      <c r="D756" s="531"/>
      <c r="E756" s="531"/>
      <c r="F756" s="531"/>
      <c r="G756" s="531"/>
      <c r="H756" s="531"/>
      <c r="I756" s="531"/>
      <c r="J756" s="531"/>
      <c r="K756" s="531"/>
      <c r="L756" s="531"/>
      <c r="M756" s="531"/>
      <c r="N756" s="531"/>
      <c r="O756" s="531"/>
      <c r="P756" s="531"/>
      <c r="Q756" s="531"/>
      <c r="R756" s="531"/>
      <c r="S756" s="532"/>
      <c r="T756" s="532"/>
      <c r="U756" s="532"/>
      <c r="V756" s="532"/>
      <c r="W756" s="532"/>
      <c r="X756" s="532"/>
      <c r="Y756" s="532"/>
      <c r="Z756" s="531"/>
      <c r="AA756" s="531"/>
      <c r="AB756" s="531"/>
      <c r="AC756" s="531"/>
      <c r="AD756" s="531"/>
      <c r="AE756" s="531"/>
      <c r="AF756" s="531"/>
      <c r="AG756" s="531"/>
    </row>
    <row r="757">
      <c r="B757" s="531"/>
      <c r="C757" s="531"/>
      <c r="D757" s="531"/>
      <c r="E757" s="531"/>
      <c r="F757" s="531"/>
      <c r="G757" s="531"/>
      <c r="H757" s="531"/>
      <c r="I757" s="531"/>
      <c r="J757" s="531"/>
      <c r="K757" s="531"/>
      <c r="L757" s="531"/>
      <c r="M757" s="531"/>
      <c r="N757" s="531"/>
      <c r="O757" s="531"/>
      <c r="P757" s="531"/>
      <c r="Q757" s="531"/>
      <c r="R757" s="531"/>
      <c r="S757" s="532"/>
      <c r="T757" s="532"/>
      <c r="U757" s="532"/>
      <c r="V757" s="532"/>
      <c r="W757" s="532"/>
      <c r="X757" s="532"/>
      <c r="Y757" s="532"/>
      <c r="Z757" s="531"/>
      <c r="AA757" s="531"/>
      <c r="AB757" s="531"/>
      <c r="AC757" s="531"/>
      <c r="AD757" s="531"/>
      <c r="AE757" s="531"/>
      <c r="AF757" s="531"/>
      <c r="AG757" s="531"/>
    </row>
    <row r="758">
      <c r="B758" s="531"/>
      <c r="C758" s="531"/>
      <c r="D758" s="531"/>
      <c r="E758" s="531"/>
      <c r="F758" s="531"/>
      <c r="G758" s="531"/>
      <c r="H758" s="531"/>
      <c r="I758" s="531"/>
      <c r="J758" s="531"/>
      <c r="K758" s="531"/>
      <c r="L758" s="531"/>
      <c r="M758" s="531"/>
      <c r="N758" s="531"/>
      <c r="O758" s="531"/>
      <c r="P758" s="531"/>
      <c r="Q758" s="531"/>
      <c r="R758" s="531"/>
      <c r="S758" s="532"/>
      <c r="T758" s="532"/>
      <c r="U758" s="532"/>
      <c r="V758" s="532"/>
      <c r="W758" s="532"/>
      <c r="X758" s="532"/>
      <c r="Y758" s="532"/>
      <c r="Z758" s="531"/>
      <c r="AA758" s="531"/>
      <c r="AB758" s="531"/>
      <c r="AC758" s="531"/>
      <c r="AD758" s="531"/>
      <c r="AE758" s="531"/>
      <c r="AF758" s="531"/>
      <c r="AG758" s="531"/>
    </row>
    <row r="759">
      <c r="B759" s="531"/>
      <c r="C759" s="531"/>
      <c r="D759" s="531"/>
      <c r="E759" s="531"/>
      <c r="F759" s="531"/>
      <c r="G759" s="531"/>
      <c r="H759" s="531"/>
      <c r="I759" s="531"/>
      <c r="J759" s="531"/>
      <c r="K759" s="531"/>
      <c r="L759" s="531"/>
      <c r="M759" s="531"/>
      <c r="N759" s="531"/>
      <c r="O759" s="531"/>
      <c r="P759" s="531"/>
      <c r="Q759" s="531"/>
      <c r="R759" s="531"/>
      <c r="S759" s="532"/>
      <c r="T759" s="532"/>
      <c r="U759" s="532"/>
      <c r="V759" s="532"/>
      <c r="W759" s="532"/>
      <c r="X759" s="532"/>
      <c r="Y759" s="532"/>
      <c r="Z759" s="531"/>
      <c r="AA759" s="531"/>
      <c r="AB759" s="531"/>
      <c r="AC759" s="531"/>
      <c r="AD759" s="531"/>
      <c r="AE759" s="531"/>
      <c r="AF759" s="531"/>
      <c r="AG759" s="531"/>
    </row>
    <row r="760">
      <c r="B760" s="531"/>
      <c r="C760" s="531"/>
      <c r="D760" s="531"/>
      <c r="E760" s="531"/>
      <c r="F760" s="531"/>
      <c r="G760" s="531"/>
      <c r="H760" s="531"/>
      <c r="I760" s="531"/>
      <c r="J760" s="531"/>
      <c r="K760" s="531"/>
      <c r="L760" s="531"/>
      <c r="M760" s="531"/>
      <c r="N760" s="531"/>
      <c r="O760" s="531"/>
      <c r="P760" s="531"/>
      <c r="Q760" s="531"/>
      <c r="R760" s="531"/>
      <c r="S760" s="532"/>
      <c r="T760" s="532"/>
      <c r="U760" s="532"/>
      <c r="V760" s="532"/>
      <c r="W760" s="532"/>
      <c r="X760" s="532"/>
      <c r="Y760" s="532"/>
      <c r="Z760" s="531"/>
      <c r="AA760" s="531"/>
      <c r="AB760" s="531"/>
      <c r="AC760" s="531"/>
      <c r="AD760" s="531"/>
      <c r="AE760" s="531"/>
      <c r="AF760" s="531"/>
      <c r="AG760" s="531"/>
    </row>
    <row r="761">
      <c r="B761" s="531"/>
      <c r="C761" s="531"/>
      <c r="D761" s="531"/>
      <c r="E761" s="531"/>
      <c r="F761" s="531"/>
      <c r="G761" s="531"/>
      <c r="H761" s="531"/>
      <c r="I761" s="531"/>
      <c r="J761" s="531"/>
      <c r="K761" s="531"/>
      <c r="L761" s="531"/>
      <c r="M761" s="531"/>
      <c r="N761" s="531"/>
      <c r="O761" s="531"/>
      <c r="P761" s="531"/>
      <c r="Q761" s="531"/>
      <c r="R761" s="531"/>
      <c r="S761" s="532"/>
      <c r="T761" s="532"/>
      <c r="U761" s="532"/>
      <c r="V761" s="532"/>
      <c r="W761" s="532"/>
      <c r="X761" s="532"/>
      <c r="Y761" s="532"/>
      <c r="Z761" s="531"/>
      <c r="AA761" s="531"/>
      <c r="AB761" s="531"/>
      <c r="AC761" s="531"/>
      <c r="AD761" s="531"/>
      <c r="AE761" s="531"/>
      <c r="AF761" s="531"/>
      <c r="AG761" s="531"/>
    </row>
    <row r="762">
      <c r="B762" s="531"/>
      <c r="C762" s="531"/>
      <c r="D762" s="531"/>
      <c r="E762" s="531"/>
      <c r="F762" s="531"/>
      <c r="G762" s="531"/>
      <c r="H762" s="531"/>
      <c r="I762" s="531"/>
      <c r="J762" s="531"/>
      <c r="K762" s="531"/>
      <c r="L762" s="531"/>
      <c r="M762" s="531"/>
      <c r="N762" s="531"/>
      <c r="O762" s="531"/>
      <c r="P762" s="531"/>
      <c r="Q762" s="531"/>
      <c r="R762" s="531"/>
      <c r="S762" s="532"/>
      <c r="T762" s="532"/>
      <c r="U762" s="532"/>
      <c r="V762" s="532"/>
      <c r="W762" s="532"/>
      <c r="X762" s="532"/>
      <c r="Y762" s="532"/>
      <c r="Z762" s="531"/>
      <c r="AA762" s="531"/>
      <c r="AB762" s="531"/>
      <c r="AC762" s="531"/>
      <c r="AD762" s="531"/>
      <c r="AE762" s="531"/>
      <c r="AF762" s="531"/>
      <c r="AG762" s="531"/>
    </row>
    <row r="763">
      <c r="B763" s="531"/>
      <c r="C763" s="531"/>
      <c r="D763" s="531"/>
      <c r="E763" s="531"/>
      <c r="F763" s="531"/>
      <c r="G763" s="531"/>
      <c r="H763" s="531"/>
      <c r="I763" s="531"/>
      <c r="J763" s="531"/>
      <c r="K763" s="531"/>
      <c r="L763" s="531"/>
      <c r="M763" s="531"/>
      <c r="N763" s="531"/>
      <c r="O763" s="531"/>
      <c r="P763" s="531"/>
      <c r="Q763" s="531"/>
      <c r="R763" s="531"/>
      <c r="S763" s="532"/>
      <c r="T763" s="532"/>
      <c r="U763" s="532"/>
      <c r="V763" s="532"/>
      <c r="W763" s="532"/>
      <c r="X763" s="532"/>
      <c r="Y763" s="532"/>
      <c r="Z763" s="531"/>
      <c r="AA763" s="531"/>
      <c r="AB763" s="531"/>
      <c r="AC763" s="531"/>
      <c r="AD763" s="531"/>
      <c r="AE763" s="531"/>
      <c r="AF763" s="531"/>
      <c r="AG763" s="531"/>
    </row>
    <row r="764">
      <c r="B764" s="531"/>
      <c r="C764" s="531"/>
      <c r="D764" s="531"/>
      <c r="E764" s="531"/>
      <c r="F764" s="531"/>
      <c r="G764" s="531"/>
      <c r="H764" s="531"/>
      <c r="I764" s="531"/>
      <c r="J764" s="531"/>
      <c r="K764" s="531"/>
      <c r="L764" s="531"/>
      <c r="M764" s="531"/>
      <c r="N764" s="531"/>
      <c r="O764" s="531"/>
      <c r="P764" s="531"/>
      <c r="Q764" s="531"/>
      <c r="R764" s="531"/>
      <c r="S764" s="532"/>
      <c r="T764" s="532"/>
      <c r="U764" s="532"/>
      <c r="V764" s="532"/>
      <c r="W764" s="532"/>
      <c r="X764" s="532"/>
      <c r="Y764" s="532"/>
      <c r="Z764" s="531"/>
      <c r="AA764" s="531"/>
      <c r="AB764" s="531"/>
      <c r="AC764" s="531"/>
      <c r="AD764" s="531"/>
      <c r="AE764" s="531"/>
      <c r="AF764" s="531"/>
      <c r="AG764" s="531"/>
    </row>
    <row r="765">
      <c r="B765" s="531"/>
      <c r="C765" s="531"/>
      <c r="D765" s="531"/>
      <c r="E765" s="531"/>
      <c r="F765" s="531"/>
      <c r="G765" s="531"/>
      <c r="H765" s="531"/>
      <c r="I765" s="531"/>
      <c r="J765" s="531"/>
      <c r="K765" s="531"/>
      <c r="L765" s="531"/>
      <c r="M765" s="531"/>
      <c r="N765" s="531"/>
      <c r="O765" s="531"/>
      <c r="P765" s="531"/>
      <c r="Q765" s="531"/>
      <c r="R765" s="531"/>
      <c r="S765" s="532"/>
      <c r="T765" s="532"/>
      <c r="U765" s="532"/>
      <c r="V765" s="532"/>
      <c r="W765" s="532"/>
      <c r="X765" s="532"/>
      <c r="Y765" s="532"/>
      <c r="Z765" s="531"/>
      <c r="AA765" s="531"/>
      <c r="AB765" s="531"/>
      <c r="AC765" s="531"/>
      <c r="AD765" s="531"/>
      <c r="AE765" s="531"/>
      <c r="AF765" s="531"/>
      <c r="AG765" s="531"/>
    </row>
    <row r="766">
      <c r="B766" s="531"/>
      <c r="C766" s="531"/>
      <c r="D766" s="531"/>
      <c r="E766" s="531"/>
      <c r="F766" s="531"/>
      <c r="G766" s="531"/>
      <c r="H766" s="531"/>
      <c r="I766" s="531"/>
      <c r="J766" s="531"/>
      <c r="K766" s="531"/>
      <c r="L766" s="531"/>
      <c r="M766" s="531"/>
      <c r="N766" s="531"/>
      <c r="O766" s="531"/>
      <c r="P766" s="531"/>
      <c r="Q766" s="531"/>
      <c r="R766" s="531"/>
      <c r="S766" s="532"/>
      <c r="T766" s="532"/>
      <c r="U766" s="532"/>
      <c r="V766" s="532"/>
      <c r="W766" s="532"/>
      <c r="X766" s="532"/>
      <c r="Y766" s="532"/>
      <c r="Z766" s="531"/>
      <c r="AA766" s="531"/>
      <c r="AB766" s="531"/>
      <c r="AC766" s="531"/>
      <c r="AD766" s="531"/>
      <c r="AE766" s="531"/>
      <c r="AF766" s="531"/>
      <c r="AG766" s="531"/>
    </row>
    <row r="767">
      <c r="B767" s="531"/>
      <c r="C767" s="531"/>
      <c r="D767" s="531"/>
      <c r="E767" s="531"/>
      <c r="F767" s="531"/>
      <c r="G767" s="531"/>
      <c r="H767" s="531"/>
      <c r="I767" s="531"/>
      <c r="J767" s="531"/>
      <c r="K767" s="531"/>
      <c r="L767" s="531"/>
      <c r="M767" s="531"/>
      <c r="N767" s="531"/>
      <c r="O767" s="531"/>
      <c r="P767" s="531"/>
      <c r="Q767" s="531"/>
      <c r="R767" s="531"/>
      <c r="S767" s="532"/>
      <c r="T767" s="532"/>
      <c r="U767" s="532"/>
      <c r="V767" s="532"/>
      <c r="W767" s="532"/>
      <c r="X767" s="532"/>
      <c r="Y767" s="532"/>
      <c r="Z767" s="531"/>
      <c r="AA767" s="531"/>
      <c r="AB767" s="531"/>
      <c r="AC767" s="531"/>
      <c r="AD767" s="531"/>
      <c r="AE767" s="531"/>
      <c r="AF767" s="531"/>
      <c r="AG767" s="531"/>
    </row>
    <row r="768">
      <c r="B768" s="531"/>
      <c r="C768" s="531"/>
      <c r="D768" s="531"/>
      <c r="E768" s="531"/>
      <c r="F768" s="531"/>
      <c r="G768" s="531"/>
      <c r="H768" s="531"/>
      <c r="I768" s="531"/>
      <c r="J768" s="531"/>
      <c r="K768" s="531"/>
      <c r="L768" s="531"/>
      <c r="M768" s="531"/>
      <c r="N768" s="531"/>
      <c r="O768" s="531"/>
      <c r="P768" s="531"/>
      <c r="Q768" s="531"/>
      <c r="R768" s="531"/>
      <c r="S768" s="532"/>
      <c r="T768" s="532"/>
      <c r="U768" s="532"/>
      <c r="V768" s="532"/>
      <c r="W768" s="532"/>
      <c r="X768" s="532"/>
      <c r="Y768" s="532"/>
      <c r="Z768" s="531"/>
      <c r="AA768" s="531"/>
      <c r="AB768" s="531"/>
      <c r="AC768" s="531"/>
      <c r="AD768" s="531"/>
      <c r="AE768" s="531"/>
      <c r="AF768" s="531"/>
      <c r="AG768" s="531"/>
    </row>
    <row r="769">
      <c r="B769" s="531"/>
      <c r="C769" s="531"/>
      <c r="D769" s="531"/>
      <c r="E769" s="531"/>
      <c r="F769" s="531"/>
      <c r="G769" s="531"/>
      <c r="H769" s="531"/>
      <c r="I769" s="531"/>
      <c r="J769" s="531"/>
      <c r="K769" s="531"/>
      <c r="L769" s="531"/>
      <c r="M769" s="531"/>
      <c r="N769" s="531"/>
      <c r="O769" s="531"/>
      <c r="P769" s="531"/>
      <c r="Q769" s="531"/>
      <c r="R769" s="531"/>
      <c r="S769" s="532"/>
      <c r="T769" s="532"/>
      <c r="U769" s="532"/>
      <c r="V769" s="532"/>
      <c r="W769" s="532"/>
      <c r="X769" s="532"/>
      <c r="Y769" s="532"/>
      <c r="Z769" s="531"/>
      <c r="AA769" s="531"/>
      <c r="AB769" s="531"/>
      <c r="AC769" s="531"/>
      <c r="AD769" s="531"/>
      <c r="AE769" s="531"/>
      <c r="AF769" s="531"/>
      <c r="AG769" s="531"/>
    </row>
    <row r="770">
      <c r="B770" s="531"/>
      <c r="C770" s="531"/>
      <c r="D770" s="531"/>
      <c r="E770" s="531"/>
      <c r="F770" s="531"/>
      <c r="G770" s="531"/>
      <c r="H770" s="531"/>
      <c r="I770" s="531"/>
      <c r="J770" s="531"/>
      <c r="K770" s="531"/>
      <c r="L770" s="531"/>
      <c r="M770" s="531"/>
      <c r="N770" s="531"/>
      <c r="O770" s="531"/>
      <c r="P770" s="531"/>
      <c r="Q770" s="531"/>
      <c r="R770" s="531"/>
      <c r="S770" s="532"/>
      <c r="T770" s="532"/>
      <c r="U770" s="532"/>
      <c r="V770" s="532"/>
      <c r="W770" s="532"/>
      <c r="X770" s="532"/>
      <c r="Y770" s="532"/>
      <c r="Z770" s="531"/>
      <c r="AA770" s="531"/>
      <c r="AB770" s="531"/>
      <c r="AC770" s="531"/>
      <c r="AD770" s="531"/>
      <c r="AE770" s="531"/>
      <c r="AF770" s="531"/>
      <c r="AG770" s="531"/>
    </row>
    <row r="771">
      <c r="B771" s="531"/>
      <c r="C771" s="531"/>
      <c r="D771" s="531"/>
      <c r="E771" s="531"/>
      <c r="F771" s="531"/>
      <c r="G771" s="531"/>
      <c r="H771" s="531"/>
      <c r="I771" s="531"/>
      <c r="J771" s="531"/>
      <c r="K771" s="531"/>
      <c r="L771" s="531"/>
      <c r="M771" s="531"/>
      <c r="N771" s="531"/>
      <c r="O771" s="531"/>
      <c r="P771" s="531"/>
      <c r="Q771" s="531"/>
      <c r="R771" s="531"/>
      <c r="S771" s="532"/>
      <c r="T771" s="532"/>
      <c r="U771" s="532"/>
      <c r="V771" s="532"/>
      <c r="W771" s="532"/>
      <c r="X771" s="532"/>
      <c r="Y771" s="532"/>
      <c r="Z771" s="531"/>
      <c r="AA771" s="531"/>
      <c r="AB771" s="531"/>
      <c r="AC771" s="531"/>
      <c r="AD771" s="531"/>
      <c r="AE771" s="531"/>
      <c r="AF771" s="531"/>
      <c r="AG771" s="531"/>
    </row>
    <row r="772">
      <c r="B772" s="531"/>
      <c r="C772" s="531"/>
      <c r="D772" s="531"/>
      <c r="E772" s="531"/>
      <c r="F772" s="531"/>
      <c r="G772" s="531"/>
      <c r="H772" s="531"/>
      <c r="I772" s="531"/>
      <c r="J772" s="531"/>
      <c r="K772" s="531"/>
      <c r="L772" s="531"/>
      <c r="M772" s="531"/>
      <c r="N772" s="531"/>
      <c r="O772" s="531"/>
      <c r="P772" s="531"/>
      <c r="Q772" s="531"/>
      <c r="R772" s="531"/>
      <c r="S772" s="532"/>
      <c r="T772" s="532"/>
      <c r="U772" s="532"/>
      <c r="V772" s="532"/>
      <c r="W772" s="532"/>
      <c r="X772" s="532"/>
      <c r="Y772" s="532"/>
      <c r="Z772" s="531"/>
      <c r="AA772" s="531"/>
      <c r="AB772" s="531"/>
      <c r="AC772" s="531"/>
      <c r="AD772" s="531"/>
      <c r="AE772" s="531"/>
      <c r="AF772" s="531"/>
      <c r="AG772" s="531"/>
    </row>
    <row r="773">
      <c r="B773" s="531"/>
      <c r="C773" s="531"/>
      <c r="D773" s="531"/>
      <c r="E773" s="531"/>
      <c r="F773" s="531"/>
      <c r="G773" s="531"/>
      <c r="H773" s="531"/>
      <c r="I773" s="531"/>
      <c r="J773" s="531"/>
      <c r="K773" s="531"/>
      <c r="L773" s="531"/>
      <c r="M773" s="531"/>
      <c r="N773" s="531"/>
      <c r="O773" s="531"/>
      <c r="P773" s="531"/>
      <c r="Q773" s="531"/>
      <c r="R773" s="531"/>
      <c r="S773" s="532"/>
      <c r="T773" s="532"/>
      <c r="U773" s="532"/>
      <c r="V773" s="532"/>
      <c r="W773" s="532"/>
      <c r="X773" s="532"/>
      <c r="Y773" s="532"/>
      <c r="Z773" s="531"/>
      <c r="AA773" s="531"/>
      <c r="AB773" s="531"/>
      <c r="AC773" s="531"/>
      <c r="AD773" s="531"/>
      <c r="AE773" s="531"/>
      <c r="AF773" s="531"/>
      <c r="AG773" s="531"/>
    </row>
    <row r="774">
      <c r="B774" s="531"/>
      <c r="C774" s="531"/>
      <c r="D774" s="531"/>
      <c r="E774" s="531"/>
      <c r="F774" s="531"/>
      <c r="G774" s="531"/>
      <c r="H774" s="531"/>
      <c r="I774" s="531"/>
      <c r="J774" s="531"/>
      <c r="K774" s="531"/>
      <c r="L774" s="531"/>
      <c r="M774" s="531"/>
      <c r="N774" s="531"/>
      <c r="O774" s="531"/>
      <c r="P774" s="531"/>
      <c r="Q774" s="531"/>
      <c r="R774" s="531"/>
      <c r="S774" s="532"/>
      <c r="T774" s="532"/>
      <c r="U774" s="532"/>
      <c r="V774" s="532"/>
      <c r="W774" s="532"/>
      <c r="X774" s="532"/>
      <c r="Y774" s="532"/>
      <c r="Z774" s="531"/>
      <c r="AA774" s="531"/>
      <c r="AB774" s="531"/>
      <c r="AC774" s="531"/>
      <c r="AD774" s="531"/>
      <c r="AE774" s="531"/>
      <c r="AF774" s="531"/>
      <c r="AG774" s="531"/>
    </row>
    <row r="775">
      <c r="B775" s="531"/>
      <c r="C775" s="531"/>
      <c r="D775" s="531"/>
      <c r="E775" s="531"/>
      <c r="F775" s="531"/>
      <c r="G775" s="531"/>
      <c r="H775" s="531"/>
      <c r="I775" s="531"/>
      <c r="J775" s="531"/>
      <c r="K775" s="531"/>
      <c r="L775" s="531"/>
      <c r="M775" s="531"/>
      <c r="N775" s="531"/>
      <c r="O775" s="531"/>
      <c r="P775" s="531"/>
      <c r="Q775" s="531"/>
      <c r="R775" s="531"/>
      <c r="S775" s="532"/>
      <c r="T775" s="532"/>
      <c r="U775" s="532"/>
      <c r="V775" s="532"/>
      <c r="W775" s="532"/>
      <c r="X775" s="532"/>
      <c r="Y775" s="532"/>
      <c r="Z775" s="531"/>
      <c r="AA775" s="531"/>
      <c r="AB775" s="531"/>
      <c r="AC775" s="531"/>
      <c r="AD775" s="531"/>
      <c r="AE775" s="531"/>
      <c r="AF775" s="531"/>
      <c r="AG775" s="531"/>
    </row>
    <row r="776">
      <c r="B776" s="531"/>
      <c r="C776" s="531"/>
      <c r="D776" s="531"/>
      <c r="E776" s="531"/>
      <c r="F776" s="531"/>
      <c r="G776" s="531"/>
      <c r="H776" s="531"/>
      <c r="I776" s="531"/>
      <c r="J776" s="531"/>
      <c r="K776" s="531"/>
      <c r="L776" s="531"/>
      <c r="M776" s="531"/>
      <c r="N776" s="531"/>
      <c r="O776" s="531"/>
      <c r="P776" s="531"/>
      <c r="Q776" s="531"/>
      <c r="R776" s="531"/>
      <c r="S776" s="532"/>
      <c r="T776" s="532"/>
      <c r="U776" s="532"/>
      <c r="V776" s="532"/>
      <c r="W776" s="532"/>
      <c r="X776" s="532"/>
      <c r="Y776" s="532"/>
      <c r="Z776" s="531"/>
      <c r="AA776" s="531"/>
      <c r="AB776" s="531"/>
      <c r="AC776" s="531"/>
      <c r="AD776" s="531"/>
      <c r="AE776" s="531"/>
      <c r="AF776" s="531"/>
      <c r="AG776" s="531"/>
    </row>
    <row r="777">
      <c r="B777" s="531"/>
      <c r="C777" s="531"/>
      <c r="D777" s="531"/>
      <c r="E777" s="531"/>
      <c r="F777" s="531"/>
      <c r="G777" s="531"/>
      <c r="H777" s="531"/>
      <c r="I777" s="531"/>
      <c r="J777" s="531"/>
      <c r="K777" s="531"/>
      <c r="L777" s="531"/>
      <c r="M777" s="531"/>
      <c r="N777" s="531"/>
      <c r="O777" s="531"/>
      <c r="P777" s="531"/>
      <c r="Q777" s="531"/>
      <c r="R777" s="531"/>
      <c r="S777" s="532"/>
      <c r="T777" s="532"/>
      <c r="U777" s="532"/>
      <c r="V777" s="532"/>
      <c r="W777" s="532"/>
      <c r="X777" s="532"/>
      <c r="Y777" s="532"/>
      <c r="Z777" s="531"/>
      <c r="AA777" s="531"/>
      <c r="AB777" s="531"/>
      <c r="AC777" s="531"/>
      <c r="AD777" s="531"/>
      <c r="AE777" s="531"/>
      <c r="AF777" s="531"/>
      <c r="AG777" s="531"/>
    </row>
    <row r="778">
      <c r="B778" s="531"/>
      <c r="C778" s="531"/>
      <c r="D778" s="531"/>
      <c r="E778" s="531"/>
      <c r="F778" s="531"/>
      <c r="G778" s="531"/>
      <c r="H778" s="531"/>
      <c r="I778" s="531"/>
      <c r="J778" s="531"/>
      <c r="K778" s="531"/>
      <c r="L778" s="531"/>
      <c r="M778" s="531"/>
      <c r="N778" s="531"/>
      <c r="O778" s="531"/>
      <c r="P778" s="531"/>
      <c r="Q778" s="531"/>
      <c r="R778" s="531"/>
      <c r="S778" s="532"/>
      <c r="T778" s="532"/>
      <c r="U778" s="532"/>
      <c r="V778" s="532"/>
      <c r="W778" s="532"/>
      <c r="X778" s="532"/>
      <c r="Y778" s="532"/>
      <c r="Z778" s="531"/>
      <c r="AA778" s="531"/>
      <c r="AB778" s="531"/>
      <c r="AC778" s="531"/>
      <c r="AD778" s="531"/>
      <c r="AE778" s="531"/>
      <c r="AF778" s="531"/>
      <c r="AG778" s="531"/>
    </row>
    <row r="779">
      <c r="B779" s="531"/>
      <c r="C779" s="531"/>
      <c r="D779" s="531"/>
      <c r="E779" s="531"/>
      <c r="F779" s="531"/>
      <c r="G779" s="531"/>
      <c r="H779" s="531"/>
      <c r="I779" s="531"/>
      <c r="J779" s="531"/>
      <c r="K779" s="531"/>
      <c r="L779" s="531"/>
      <c r="M779" s="531"/>
      <c r="N779" s="531"/>
      <c r="O779" s="531"/>
      <c r="P779" s="531"/>
      <c r="Q779" s="531"/>
      <c r="R779" s="531"/>
      <c r="S779" s="532"/>
      <c r="T779" s="532"/>
      <c r="U779" s="532"/>
      <c r="V779" s="532"/>
      <c r="W779" s="532"/>
      <c r="X779" s="532"/>
      <c r="Y779" s="532"/>
      <c r="Z779" s="531"/>
      <c r="AA779" s="531"/>
      <c r="AB779" s="531"/>
      <c r="AC779" s="531"/>
      <c r="AD779" s="531"/>
      <c r="AE779" s="531"/>
      <c r="AF779" s="531"/>
      <c r="AG779" s="531"/>
    </row>
    <row r="780">
      <c r="B780" s="531"/>
      <c r="C780" s="531"/>
      <c r="D780" s="531"/>
      <c r="E780" s="531"/>
      <c r="F780" s="531"/>
      <c r="G780" s="531"/>
      <c r="H780" s="531"/>
      <c r="I780" s="531"/>
      <c r="J780" s="531"/>
      <c r="K780" s="531"/>
      <c r="L780" s="531"/>
      <c r="M780" s="531"/>
      <c r="N780" s="531"/>
      <c r="O780" s="531"/>
      <c r="P780" s="531"/>
      <c r="Q780" s="531"/>
      <c r="R780" s="531"/>
      <c r="S780" s="532"/>
      <c r="T780" s="532"/>
      <c r="U780" s="532"/>
      <c r="V780" s="532"/>
      <c r="W780" s="532"/>
      <c r="X780" s="532"/>
      <c r="Y780" s="532"/>
      <c r="Z780" s="531"/>
      <c r="AA780" s="531"/>
      <c r="AB780" s="531"/>
      <c r="AC780" s="531"/>
      <c r="AD780" s="531"/>
      <c r="AE780" s="531"/>
      <c r="AF780" s="531"/>
      <c r="AG780" s="531"/>
    </row>
    <row r="781">
      <c r="B781" s="531"/>
      <c r="C781" s="531"/>
      <c r="D781" s="531"/>
      <c r="E781" s="531"/>
      <c r="F781" s="531"/>
      <c r="G781" s="531"/>
      <c r="H781" s="531"/>
      <c r="I781" s="531"/>
      <c r="J781" s="531"/>
      <c r="K781" s="531"/>
      <c r="L781" s="531"/>
      <c r="M781" s="531"/>
      <c r="N781" s="531"/>
      <c r="O781" s="531"/>
      <c r="P781" s="531"/>
      <c r="Q781" s="531"/>
      <c r="R781" s="531"/>
      <c r="S781" s="532"/>
      <c r="T781" s="532"/>
      <c r="U781" s="532"/>
      <c r="V781" s="532"/>
      <c r="W781" s="532"/>
      <c r="X781" s="532"/>
      <c r="Y781" s="532"/>
      <c r="Z781" s="531"/>
      <c r="AA781" s="531"/>
      <c r="AB781" s="531"/>
      <c r="AC781" s="531"/>
      <c r="AD781" s="531"/>
      <c r="AE781" s="531"/>
      <c r="AF781" s="531"/>
      <c r="AG781" s="531"/>
    </row>
    <row r="782">
      <c r="B782" s="531"/>
      <c r="C782" s="531"/>
      <c r="D782" s="531"/>
      <c r="E782" s="531"/>
      <c r="F782" s="531"/>
      <c r="G782" s="531"/>
      <c r="H782" s="531"/>
      <c r="I782" s="531"/>
      <c r="J782" s="531"/>
      <c r="K782" s="531"/>
      <c r="L782" s="531"/>
      <c r="M782" s="531"/>
      <c r="N782" s="531"/>
      <c r="O782" s="531"/>
      <c r="P782" s="531"/>
      <c r="Q782" s="531"/>
      <c r="R782" s="531"/>
      <c r="S782" s="532"/>
      <c r="T782" s="532"/>
      <c r="U782" s="532"/>
      <c r="V782" s="532"/>
      <c r="W782" s="532"/>
      <c r="X782" s="532"/>
      <c r="Y782" s="532"/>
      <c r="Z782" s="531"/>
      <c r="AA782" s="531"/>
      <c r="AB782" s="531"/>
      <c r="AC782" s="531"/>
      <c r="AD782" s="531"/>
      <c r="AE782" s="531"/>
      <c r="AF782" s="531"/>
      <c r="AG782" s="531"/>
    </row>
    <row r="783">
      <c r="B783" s="531"/>
      <c r="C783" s="531"/>
      <c r="D783" s="531"/>
      <c r="E783" s="531"/>
      <c r="F783" s="531"/>
      <c r="G783" s="531"/>
      <c r="H783" s="531"/>
      <c r="I783" s="531"/>
      <c r="J783" s="531"/>
      <c r="K783" s="531"/>
      <c r="L783" s="531"/>
      <c r="M783" s="531"/>
      <c r="N783" s="531"/>
      <c r="O783" s="531"/>
      <c r="P783" s="531"/>
      <c r="Q783" s="531"/>
      <c r="R783" s="531"/>
      <c r="S783" s="532"/>
      <c r="T783" s="532"/>
      <c r="U783" s="532"/>
      <c r="V783" s="532"/>
      <c r="W783" s="532"/>
      <c r="X783" s="532"/>
      <c r="Y783" s="532"/>
      <c r="Z783" s="531"/>
      <c r="AA783" s="531"/>
      <c r="AB783" s="531"/>
      <c r="AC783" s="531"/>
      <c r="AD783" s="531"/>
      <c r="AE783" s="531"/>
      <c r="AF783" s="531"/>
      <c r="AG783" s="531"/>
    </row>
    <row r="784">
      <c r="B784" s="531"/>
      <c r="C784" s="531"/>
      <c r="D784" s="531"/>
      <c r="E784" s="531"/>
      <c r="F784" s="531"/>
      <c r="G784" s="531"/>
      <c r="H784" s="531"/>
      <c r="I784" s="531"/>
      <c r="J784" s="531"/>
      <c r="K784" s="531"/>
      <c r="L784" s="531"/>
      <c r="M784" s="531"/>
      <c r="N784" s="531"/>
      <c r="O784" s="531"/>
      <c r="P784" s="531"/>
      <c r="Q784" s="531"/>
      <c r="R784" s="531"/>
      <c r="S784" s="532"/>
      <c r="T784" s="532"/>
      <c r="U784" s="532"/>
      <c r="V784" s="532"/>
      <c r="W784" s="532"/>
      <c r="X784" s="532"/>
      <c r="Y784" s="532"/>
      <c r="Z784" s="531"/>
      <c r="AA784" s="531"/>
      <c r="AB784" s="531"/>
      <c r="AC784" s="531"/>
      <c r="AD784" s="531"/>
      <c r="AE784" s="531"/>
      <c r="AF784" s="531"/>
      <c r="AG784" s="531"/>
    </row>
    <row r="785">
      <c r="B785" s="531"/>
      <c r="C785" s="531"/>
      <c r="D785" s="531"/>
      <c r="E785" s="531"/>
      <c r="F785" s="531"/>
      <c r="G785" s="531"/>
      <c r="H785" s="531"/>
      <c r="I785" s="531"/>
      <c r="J785" s="531"/>
      <c r="K785" s="531"/>
      <c r="L785" s="531"/>
      <c r="M785" s="531"/>
      <c r="N785" s="531"/>
      <c r="O785" s="531"/>
      <c r="P785" s="531"/>
      <c r="Q785" s="531"/>
      <c r="R785" s="531"/>
      <c r="S785" s="532"/>
      <c r="T785" s="532"/>
      <c r="U785" s="532"/>
      <c r="V785" s="532"/>
      <c r="W785" s="532"/>
      <c r="X785" s="532"/>
      <c r="Y785" s="532"/>
      <c r="Z785" s="531"/>
      <c r="AA785" s="531"/>
      <c r="AB785" s="531"/>
      <c r="AC785" s="531"/>
      <c r="AD785" s="531"/>
      <c r="AE785" s="531"/>
      <c r="AF785" s="531"/>
      <c r="AG785" s="531"/>
    </row>
    <row r="786">
      <c r="B786" s="531"/>
      <c r="C786" s="531"/>
      <c r="D786" s="531"/>
      <c r="E786" s="531"/>
      <c r="F786" s="531"/>
      <c r="G786" s="531"/>
      <c r="H786" s="531"/>
      <c r="I786" s="531"/>
      <c r="J786" s="531"/>
      <c r="K786" s="531"/>
      <c r="L786" s="531"/>
      <c r="M786" s="531"/>
      <c r="N786" s="531"/>
      <c r="O786" s="531"/>
      <c r="P786" s="531"/>
      <c r="Q786" s="531"/>
      <c r="R786" s="531"/>
      <c r="S786" s="532"/>
      <c r="T786" s="532"/>
      <c r="U786" s="532"/>
      <c r="V786" s="532"/>
      <c r="W786" s="532"/>
      <c r="X786" s="532"/>
      <c r="Y786" s="532"/>
      <c r="Z786" s="531"/>
      <c r="AA786" s="531"/>
      <c r="AB786" s="531"/>
      <c r="AC786" s="531"/>
      <c r="AD786" s="531"/>
      <c r="AE786" s="531"/>
      <c r="AF786" s="531"/>
      <c r="AG786" s="531"/>
    </row>
    <row r="787">
      <c r="B787" s="531"/>
      <c r="C787" s="531"/>
      <c r="D787" s="531"/>
      <c r="E787" s="531"/>
      <c r="F787" s="531"/>
      <c r="G787" s="531"/>
      <c r="H787" s="531"/>
      <c r="I787" s="531"/>
      <c r="J787" s="531"/>
      <c r="K787" s="531"/>
      <c r="L787" s="531"/>
      <c r="M787" s="531"/>
      <c r="N787" s="531"/>
      <c r="O787" s="531"/>
      <c r="P787" s="531"/>
      <c r="Q787" s="531"/>
      <c r="R787" s="531"/>
      <c r="S787" s="532"/>
      <c r="T787" s="532"/>
      <c r="U787" s="532"/>
      <c r="V787" s="532"/>
      <c r="W787" s="532"/>
      <c r="X787" s="532"/>
      <c r="Y787" s="532"/>
      <c r="Z787" s="531"/>
      <c r="AA787" s="531"/>
      <c r="AB787" s="531"/>
      <c r="AC787" s="531"/>
      <c r="AD787" s="531"/>
      <c r="AE787" s="531"/>
      <c r="AF787" s="531"/>
      <c r="AG787" s="531"/>
    </row>
    <row r="788">
      <c r="B788" s="531"/>
      <c r="C788" s="531"/>
      <c r="D788" s="531"/>
      <c r="E788" s="531"/>
      <c r="F788" s="531"/>
      <c r="G788" s="531"/>
      <c r="H788" s="531"/>
      <c r="I788" s="531"/>
      <c r="J788" s="531"/>
      <c r="K788" s="531"/>
      <c r="L788" s="531"/>
      <c r="M788" s="531"/>
      <c r="N788" s="531"/>
      <c r="O788" s="531"/>
      <c r="P788" s="531"/>
      <c r="Q788" s="531"/>
      <c r="R788" s="531"/>
      <c r="S788" s="532"/>
      <c r="T788" s="532"/>
      <c r="U788" s="532"/>
      <c r="V788" s="532"/>
      <c r="W788" s="532"/>
      <c r="X788" s="532"/>
      <c r="Y788" s="532"/>
      <c r="Z788" s="531"/>
      <c r="AA788" s="531"/>
      <c r="AB788" s="531"/>
      <c r="AC788" s="531"/>
      <c r="AD788" s="531"/>
      <c r="AE788" s="531"/>
      <c r="AF788" s="531"/>
      <c r="AG788" s="531"/>
    </row>
    <row r="789">
      <c r="B789" s="531"/>
      <c r="C789" s="531"/>
      <c r="D789" s="531"/>
      <c r="E789" s="531"/>
      <c r="F789" s="531"/>
      <c r="G789" s="531"/>
      <c r="H789" s="531"/>
      <c r="I789" s="531"/>
      <c r="J789" s="531"/>
      <c r="K789" s="531"/>
      <c r="L789" s="531"/>
      <c r="M789" s="531"/>
      <c r="N789" s="531"/>
      <c r="O789" s="531"/>
      <c r="P789" s="531"/>
      <c r="Q789" s="531"/>
      <c r="R789" s="531"/>
      <c r="S789" s="532"/>
      <c r="T789" s="532"/>
      <c r="U789" s="532"/>
      <c r="V789" s="532"/>
      <c r="W789" s="532"/>
      <c r="X789" s="532"/>
      <c r="Y789" s="532"/>
      <c r="Z789" s="531"/>
      <c r="AA789" s="531"/>
      <c r="AB789" s="531"/>
      <c r="AC789" s="531"/>
      <c r="AD789" s="531"/>
      <c r="AE789" s="531"/>
      <c r="AF789" s="531"/>
      <c r="AG789" s="531"/>
    </row>
    <row r="790">
      <c r="B790" s="531"/>
      <c r="C790" s="531"/>
      <c r="D790" s="531"/>
      <c r="E790" s="531"/>
      <c r="F790" s="531"/>
      <c r="G790" s="531"/>
      <c r="H790" s="531"/>
      <c r="I790" s="531"/>
      <c r="J790" s="531"/>
      <c r="K790" s="531"/>
      <c r="L790" s="531"/>
      <c r="M790" s="531"/>
      <c r="N790" s="531"/>
      <c r="O790" s="531"/>
      <c r="P790" s="531"/>
      <c r="Q790" s="531"/>
      <c r="R790" s="531"/>
      <c r="S790" s="532"/>
      <c r="T790" s="532"/>
      <c r="U790" s="532"/>
      <c r="V790" s="532"/>
      <c r="W790" s="532"/>
      <c r="X790" s="532"/>
      <c r="Y790" s="532"/>
      <c r="Z790" s="531"/>
      <c r="AA790" s="531"/>
      <c r="AB790" s="531"/>
      <c r="AC790" s="531"/>
      <c r="AD790" s="531"/>
      <c r="AE790" s="531"/>
      <c r="AF790" s="531"/>
      <c r="AG790" s="531"/>
    </row>
    <row r="791">
      <c r="B791" s="531"/>
      <c r="C791" s="531"/>
      <c r="D791" s="531"/>
      <c r="E791" s="531"/>
      <c r="F791" s="531"/>
      <c r="G791" s="531"/>
      <c r="H791" s="531"/>
      <c r="I791" s="531"/>
      <c r="J791" s="531"/>
      <c r="K791" s="531"/>
      <c r="L791" s="531"/>
      <c r="M791" s="531"/>
      <c r="N791" s="531"/>
      <c r="O791" s="531"/>
      <c r="P791" s="531"/>
      <c r="Q791" s="531"/>
      <c r="R791" s="531"/>
      <c r="S791" s="532"/>
      <c r="T791" s="532"/>
      <c r="U791" s="532"/>
      <c r="V791" s="532"/>
      <c r="W791" s="532"/>
      <c r="X791" s="532"/>
      <c r="Y791" s="532"/>
      <c r="Z791" s="531"/>
      <c r="AA791" s="531"/>
      <c r="AB791" s="531"/>
      <c r="AC791" s="531"/>
      <c r="AD791" s="531"/>
      <c r="AE791" s="531"/>
      <c r="AF791" s="531"/>
      <c r="AG791" s="531"/>
    </row>
    <row r="792">
      <c r="B792" s="531"/>
      <c r="C792" s="531"/>
      <c r="D792" s="531"/>
      <c r="E792" s="531"/>
      <c r="F792" s="531"/>
      <c r="G792" s="531"/>
      <c r="H792" s="531"/>
      <c r="I792" s="531"/>
      <c r="J792" s="531"/>
      <c r="K792" s="531"/>
      <c r="L792" s="531"/>
      <c r="M792" s="531"/>
      <c r="N792" s="531"/>
      <c r="O792" s="531"/>
      <c r="P792" s="531"/>
      <c r="Q792" s="531"/>
      <c r="R792" s="531"/>
      <c r="S792" s="532"/>
      <c r="T792" s="532"/>
      <c r="U792" s="532"/>
      <c r="V792" s="532"/>
      <c r="W792" s="532"/>
      <c r="X792" s="532"/>
      <c r="Y792" s="532"/>
      <c r="Z792" s="531"/>
      <c r="AA792" s="531"/>
      <c r="AB792" s="531"/>
      <c r="AC792" s="531"/>
      <c r="AD792" s="531"/>
      <c r="AE792" s="531"/>
      <c r="AF792" s="531"/>
      <c r="AG792" s="531"/>
    </row>
    <row r="793">
      <c r="B793" s="531"/>
      <c r="C793" s="531"/>
      <c r="D793" s="531"/>
      <c r="E793" s="531"/>
      <c r="F793" s="531"/>
      <c r="G793" s="531"/>
      <c r="H793" s="531"/>
      <c r="I793" s="531"/>
      <c r="J793" s="531"/>
      <c r="K793" s="531"/>
      <c r="L793" s="531"/>
      <c r="M793" s="531"/>
      <c r="N793" s="531"/>
      <c r="O793" s="531"/>
      <c r="P793" s="531"/>
      <c r="Q793" s="531"/>
      <c r="R793" s="531"/>
      <c r="S793" s="532"/>
      <c r="T793" s="532"/>
      <c r="U793" s="532"/>
      <c r="V793" s="532"/>
      <c r="W793" s="532"/>
      <c r="X793" s="532"/>
      <c r="Y793" s="532"/>
      <c r="Z793" s="531"/>
      <c r="AA793" s="531"/>
      <c r="AB793" s="531"/>
      <c r="AC793" s="531"/>
      <c r="AD793" s="531"/>
      <c r="AE793" s="531"/>
      <c r="AF793" s="531"/>
      <c r="AG793" s="531"/>
    </row>
    <row r="794">
      <c r="B794" s="531"/>
      <c r="C794" s="531"/>
      <c r="D794" s="531"/>
      <c r="E794" s="531"/>
      <c r="F794" s="531"/>
      <c r="G794" s="531"/>
      <c r="H794" s="531"/>
      <c r="I794" s="531"/>
      <c r="J794" s="531"/>
      <c r="K794" s="531"/>
      <c r="L794" s="531"/>
      <c r="M794" s="531"/>
      <c r="N794" s="531"/>
      <c r="O794" s="531"/>
      <c r="P794" s="531"/>
      <c r="Q794" s="531"/>
      <c r="R794" s="531"/>
      <c r="S794" s="532"/>
      <c r="T794" s="532"/>
      <c r="U794" s="532"/>
      <c r="V794" s="532"/>
      <c r="W794" s="532"/>
      <c r="X794" s="532"/>
      <c r="Y794" s="532"/>
      <c r="Z794" s="531"/>
      <c r="AA794" s="531"/>
      <c r="AB794" s="531"/>
      <c r="AC794" s="531"/>
      <c r="AD794" s="531"/>
      <c r="AE794" s="531"/>
      <c r="AF794" s="531"/>
      <c r="AG794" s="531"/>
    </row>
    <row r="795">
      <c r="B795" s="531"/>
      <c r="C795" s="531"/>
      <c r="D795" s="531"/>
      <c r="E795" s="531"/>
      <c r="F795" s="531"/>
      <c r="G795" s="531"/>
      <c r="H795" s="531"/>
      <c r="I795" s="531"/>
      <c r="J795" s="531"/>
      <c r="K795" s="531"/>
      <c r="L795" s="531"/>
      <c r="M795" s="531"/>
      <c r="N795" s="531"/>
      <c r="O795" s="531"/>
      <c r="P795" s="531"/>
      <c r="Q795" s="531"/>
      <c r="R795" s="531"/>
      <c r="S795" s="532"/>
      <c r="T795" s="532"/>
      <c r="U795" s="532"/>
      <c r="V795" s="532"/>
      <c r="W795" s="532"/>
      <c r="X795" s="532"/>
      <c r="Y795" s="532"/>
      <c r="Z795" s="531"/>
      <c r="AA795" s="531"/>
      <c r="AB795" s="531"/>
      <c r="AC795" s="531"/>
      <c r="AD795" s="531"/>
      <c r="AE795" s="531"/>
      <c r="AF795" s="531"/>
      <c r="AG795" s="531"/>
    </row>
    <row r="796">
      <c r="B796" s="531"/>
      <c r="C796" s="531"/>
      <c r="D796" s="531"/>
      <c r="E796" s="531"/>
      <c r="F796" s="531"/>
      <c r="G796" s="531"/>
      <c r="H796" s="531"/>
      <c r="I796" s="531"/>
      <c r="J796" s="531"/>
      <c r="K796" s="531"/>
      <c r="L796" s="531"/>
      <c r="M796" s="531"/>
      <c r="N796" s="531"/>
      <c r="O796" s="531"/>
      <c r="P796" s="531"/>
      <c r="Q796" s="531"/>
      <c r="R796" s="531"/>
      <c r="S796" s="532"/>
      <c r="T796" s="532"/>
      <c r="U796" s="532"/>
      <c r="V796" s="532"/>
      <c r="W796" s="532"/>
      <c r="X796" s="532"/>
      <c r="Y796" s="532"/>
      <c r="Z796" s="531"/>
      <c r="AA796" s="531"/>
      <c r="AB796" s="531"/>
      <c r="AC796" s="531"/>
      <c r="AD796" s="531"/>
      <c r="AE796" s="531"/>
      <c r="AF796" s="531"/>
      <c r="AG796" s="531"/>
    </row>
    <row r="797">
      <c r="B797" s="531"/>
      <c r="C797" s="531"/>
      <c r="D797" s="531"/>
      <c r="E797" s="531"/>
      <c r="F797" s="531"/>
      <c r="G797" s="531"/>
      <c r="H797" s="531"/>
      <c r="I797" s="531"/>
      <c r="J797" s="531"/>
      <c r="K797" s="531"/>
      <c r="L797" s="531"/>
      <c r="M797" s="531"/>
      <c r="N797" s="531"/>
      <c r="O797" s="531"/>
      <c r="P797" s="531"/>
      <c r="Q797" s="531"/>
      <c r="R797" s="531"/>
      <c r="S797" s="532"/>
      <c r="T797" s="532"/>
      <c r="U797" s="532"/>
      <c r="V797" s="532"/>
      <c r="W797" s="532"/>
      <c r="X797" s="532"/>
      <c r="Y797" s="532"/>
      <c r="Z797" s="531"/>
      <c r="AA797" s="531"/>
      <c r="AB797" s="531"/>
      <c r="AC797" s="531"/>
      <c r="AD797" s="531"/>
      <c r="AE797" s="531"/>
      <c r="AF797" s="531"/>
      <c r="AG797" s="531"/>
    </row>
    <row r="798">
      <c r="B798" s="531"/>
      <c r="C798" s="531"/>
      <c r="D798" s="531"/>
      <c r="E798" s="531"/>
      <c r="F798" s="531"/>
      <c r="G798" s="531"/>
      <c r="H798" s="531"/>
      <c r="I798" s="531"/>
      <c r="J798" s="531"/>
      <c r="K798" s="531"/>
      <c r="L798" s="531"/>
      <c r="M798" s="531"/>
      <c r="N798" s="531"/>
      <c r="O798" s="531"/>
      <c r="P798" s="531"/>
      <c r="Q798" s="531"/>
      <c r="R798" s="531"/>
      <c r="S798" s="532"/>
      <c r="T798" s="532"/>
      <c r="U798" s="532"/>
      <c r="V798" s="532"/>
      <c r="W798" s="532"/>
      <c r="X798" s="532"/>
      <c r="Y798" s="532"/>
      <c r="Z798" s="531"/>
      <c r="AA798" s="531"/>
      <c r="AB798" s="531"/>
      <c r="AC798" s="531"/>
      <c r="AD798" s="531"/>
      <c r="AE798" s="531"/>
      <c r="AF798" s="531"/>
      <c r="AG798" s="531"/>
    </row>
    <row r="799">
      <c r="B799" s="531"/>
      <c r="C799" s="531"/>
      <c r="D799" s="531"/>
      <c r="E799" s="531"/>
      <c r="F799" s="531"/>
      <c r="G799" s="531"/>
      <c r="H799" s="531"/>
      <c r="I799" s="531"/>
      <c r="J799" s="531"/>
      <c r="K799" s="531"/>
      <c r="L799" s="531"/>
      <c r="M799" s="531"/>
      <c r="N799" s="531"/>
      <c r="O799" s="531"/>
      <c r="P799" s="531"/>
      <c r="Q799" s="531"/>
      <c r="R799" s="531"/>
      <c r="S799" s="532"/>
      <c r="T799" s="532"/>
      <c r="U799" s="532"/>
      <c r="V799" s="532"/>
      <c r="W799" s="532"/>
      <c r="X799" s="532"/>
      <c r="Y799" s="532"/>
      <c r="Z799" s="531"/>
      <c r="AA799" s="531"/>
      <c r="AB799" s="531"/>
      <c r="AC799" s="531"/>
      <c r="AD799" s="531"/>
      <c r="AE799" s="531"/>
      <c r="AF799" s="531"/>
      <c r="AG799" s="531"/>
    </row>
    <row r="800">
      <c r="B800" s="531"/>
      <c r="C800" s="531"/>
      <c r="D800" s="531"/>
      <c r="E800" s="531"/>
      <c r="F800" s="531"/>
      <c r="G800" s="531"/>
      <c r="H800" s="531"/>
      <c r="I800" s="531"/>
      <c r="J800" s="531"/>
      <c r="K800" s="531"/>
      <c r="L800" s="531"/>
      <c r="M800" s="531"/>
      <c r="N800" s="531"/>
      <c r="O800" s="531"/>
      <c r="P800" s="531"/>
      <c r="Q800" s="531"/>
      <c r="R800" s="531"/>
      <c r="S800" s="532"/>
      <c r="T800" s="532"/>
      <c r="U800" s="532"/>
      <c r="V800" s="532"/>
      <c r="W800" s="532"/>
      <c r="X800" s="532"/>
      <c r="Y800" s="532"/>
      <c r="Z800" s="531"/>
      <c r="AA800" s="531"/>
      <c r="AB800" s="531"/>
      <c r="AC800" s="531"/>
      <c r="AD800" s="531"/>
      <c r="AE800" s="531"/>
      <c r="AF800" s="531"/>
      <c r="AG800" s="531"/>
    </row>
    <row r="801">
      <c r="B801" s="531"/>
      <c r="C801" s="531"/>
      <c r="D801" s="531"/>
      <c r="E801" s="531"/>
      <c r="F801" s="531"/>
      <c r="G801" s="531"/>
      <c r="H801" s="531"/>
      <c r="I801" s="531"/>
      <c r="J801" s="531"/>
      <c r="K801" s="531"/>
      <c r="L801" s="531"/>
      <c r="M801" s="531"/>
      <c r="N801" s="531"/>
      <c r="O801" s="531"/>
      <c r="P801" s="531"/>
      <c r="Q801" s="531"/>
      <c r="R801" s="531"/>
      <c r="S801" s="532"/>
      <c r="T801" s="532"/>
      <c r="U801" s="532"/>
      <c r="V801" s="532"/>
      <c r="W801" s="532"/>
      <c r="X801" s="532"/>
      <c r="Y801" s="532"/>
      <c r="Z801" s="531"/>
      <c r="AA801" s="531"/>
      <c r="AB801" s="531"/>
      <c r="AC801" s="531"/>
      <c r="AD801" s="531"/>
      <c r="AE801" s="531"/>
      <c r="AF801" s="531"/>
      <c r="AG801" s="531"/>
    </row>
    <row r="802">
      <c r="B802" s="531"/>
      <c r="C802" s="531"/>
      <c r="D802" s="531"/>
      <c r="E802" s="531"/>
      <c r="F802" s="531"/>
      <c r="G802" s="531"/>
      <c r="H802" s="531"/>
      <c r="I802" s="531"/>
      <c r="J802" s="531"/>
      <c r="K802" s="531"/>
      <c r="L802" s="531"/>
      <c r="M802" s="531"/>
      <c r="N802" s="531"/>
      <c r="O802" s="531"/>
      <c r="P802" s="531"/>
      <c r="Q802" s="531"/>
      <c r="R802" s="531"/>
      <c r="S802" s="532"/>
      <c r="T802" s="532"/>
      <c r="U802" s="532"/>
      <c r="V802" s="532"/>
      <c r="W802" s="532"/>
      <c r="X802" s="532"/>
      <c r="Y802" s="532"/>
      <c r="Z802" s="531"/>
      <c r="AA802" s="531"/>
      <c r="AB802" s="531"/>
      <c r="AC802" s="531"/>
      <c r="AD802" s="531"/>
      <c r="AE802" s="531"/>
      <c r="AF802" s="531"/>
      <c r="AG802" s="531"/>
    </row>
    <row r="803">
      <c r="B803" s="531"/>
      <c r="C803" s="531"/>
      <c r="D803" s="531"/>
      <c r="E803" s="531"/>
      <c r="F803" s="531"/>
      <c r="G803" s="531"/>
      <c r="H803" s="531"/>
      <c r="I803" s="531"/>
      <c r="J803" s="531"/>
      <c r="K803" s="531"/>
      <c r="L803" s="531"/>
      <c r="M803" s="531"/>
      <c r="N803" s="531"/>
      <c r="O803" s="531"/>
      <c r="P803" s="531"/>
      <c r="Q803" s="531"/>
      <c r="R803" s="531"/>
      <c r="S803" s="532"/>
      <c r="T803" s="532"/>
      <c r="U803" s="532"/>
      <c r="V803" s="532"/>
      <c r="W803" s="532"/>
      <c r="X803" s="532"/>
      <c r="Y803" s="532"/>
      <c r="Z803" s="531"/>
      <c r="AA803" s="531"/>
      <c r="AB803" s="531"/>
      <c r="AC803" s="531"/>
      <c r="AD803" s="531"/>
      <c r="AE803" s="531"/>
      <c r="AF803" s="531"/>
      <c r="AG803" s="531"/>
    </row>
    <row r="804">
      <c r="B804" s="531"/>
      <c r="C804" s="531"/>
      <c r="D804" s="531"/>
      <c r="E804" s="531"/>
      <c r="F804" s="531"/>
      <c r="G804" s="531"/>
      <c r="H804" s="531"/>
      <c r="I804" s="531"/>
      <c r="J804" s="531"/>
      <c r="K804" s="531"/>
      <c r="L804" s="531"/>
      <c r="M804" s="531"/>
      <c r="N804" s="531"/>
      <c r="O804" s="531"/>
      <c r="P804" s="531"/>
      <c r="Q804" s="531"/>
      <c r="R804" s="531"/>
      <c r="S804" s="532"/>
      <c r="T804" s="532"/>
      <c r="U804" s="532"/>
      <c r="V804" s="532"/>
      <c r="W804" s="532"/>
      <c r="X804" s="532"/>
      <c r="Y804" s="532"/>
      <c r="Z804" s="531"/>
      <c r="AA804" s="531"/>
      <c r="AB804" s="531"/>
      <c r="AC804" s="531"/>
      <c r="AD804" s="531"/>
      <c r="AE804" s="531"/>
      <c r="AF804" s="531"/>
      <c r="AG804" s="531"/>
    </row>
    <row r="805">
      <c r="B805" s="531"/>
      <c r="C805" s="531"/>
      <c r="D805" s="531"/>
      <c r="E805" s="531"/>
      <c r="F805" s="531"/>
      <c r="G805" s="531"/>
      <c r="H805" s="531"/>
      <c r="I805" s="531"/>
      <c r="J805" s="531"/>
      <c r="K805" s="531"/>
      <c r="L805" s="531"/>
      <c r="M805" s="531"/>
      <c r="N805" s="531"/>
      <c r="O805" s="531"/>
      <c r="P805" s="531"/>
      <c r="Q805" s="531"/>
      <c r="R805" s="531"/>
      <c r="S805" s="532"/>
      <c r="T805" s="532"/>
      <c r="U805" s="532"/>
      <c r="V805" s="532"/>
      <c r="W805" s="532"/>
      <c r="X805" s="532"/>
      <c r="Y805" s="532"/>
      <c r="Z805" s="531"/>
      <c r="AA805" s="531"/>
      <c r="AB805" s="531"/>
      <c r="AC805" s="531"/>
      <c r="AD805" s="531"/>
      <c r="AE805" s="531"/>
      <c r="AF805" s="531"/>
      <c r="AG805" s="531"/>
    </row>
    <row r="806">
      <c r="B806" s="531"/>
      <c r="C806" s="531"/>
      <c r="D806" s="531"/>
      <c r="E806" s="531"/>
      <c r="F806" s="531"/>
      <c r="G806" s="531"/>
      <c r="H806" s="531"/>
      <c r="I806" s="531"/>
      <c r="J806" s="531"/>
      <c r="K806" s="531"/>
      <c r="L806" s="531"/>
      <c r="M806" s="531"/>
      <c r="N806" s="531"/>
      <c r="O806" s="531"/>
      <c r="P806" s="531"/>
      <c r="Q806" s="531"/>
      <c r="R806" s="531"/>
      <c r="S806" s="532"/>
      <c r="T806" s="532"/>
      <c r="U806" s="532"/>
      <c r="V806" s="532"/>
      <c r="W806" s="532"/>
      <c r="X806" s="532"/>
      <c r="Y806" s="532"/>
      <c r="Z806" s="531"/>
      <c r="AA806" s="531"/>
      <c r="AB806" s="531"/>
      <c r="AC806" s="531"/>
      <c r="AD806" s="531"/>
      <c r="AE806" s="531"/>
      <c r="AF806" s="531"/>
      <c r="AG806" s="531"/>
    </row>
    <row r="807">
      <c r="B807" s="531"/>
      <c r="C807" s="531"/>
      <c r="D807" s="531"/>
      <c r="E807" s="531"/>
      <c r="F807" s="531"/>
      <c r="G807" s="531"/>
      <c r="H807" s="531"/>
      <c r="I807" s="531"/>
      <c r="J807" s="531"/>
      <c r="K807" s="531"/>
      <c r="L807" s="531"/>
      <c r="M807" s="531"/>
      <c r="N807" s="531"/>
      <c r="O807" s="531"/>
      <c r="P807" s="531"/>
      <c r="Q807" s="531"/>
      <c r="R807" s="531"/>
      <c r="S807" s="532"/>
      <c r="T807" s="532"/>
      <c r="U807" s="532"/>
      <c r="V807" s="532"/>
      <c r="W807" s="532"/>
      <c r="X807" s="532"/>
      <c r="Y807" s="532"/>
      <c r="Z807" s="531"/>
      <c r="AA807" s="531"/>
      <c r="AB807" s="531"/>
      <c r="AC807" s="531"/>
      <c r="AD807" s="531"/>
      <c r="AE807" s="531"/>
      <c r="AF807" s="531"/>
      <c r="AG807" s="531"/>
    </row>
    <row r="808">
      <c r="B808" s="531"/>
      <c r="C808" s="531"/>
      <c r="D808" s="531"/>
      <c r="E808" s="531"/>
      <c r="F808" s="531"/>
      <c r="G808" s="531"/>
      <c r="H808" s="531"/>
      <c r="I808" s="531"/>
      <c r="J808" s="531"/>
      <c r="K808" s="531"/>
      <c r="L808" s="531"/>
      <c r="M808" s="531"/>
      <c r="N808" s="531"/>
      <c r="O808" s="531"/>
      <c r="P808" s="531"/>
      <c r="Q808" s="531"/>
      <c r="R808" s="531"/>
      <c r="S808" s="532"/>
      <c r="T808" s="532"/>
      <c r="U808" s="532"/>
      <c r="V808" s="532"/>
      <c r="W808" s="532"/>
      <c r="X808" s="532"/>
      <c r="Y808" s="532"/>
      <c r="Z808" s="531"/>
      <c r="AA808" s="531"/>
      <c r="AB808" s="531"/>
      <c r="AC808" s="531"/>
      <c r="AD808" s="531"/>
      <c r="AE808" s="531"/>
      <c r="AF808" s="531"/>
      <c r="AG808" s="531"/>
    </row>
    <row r="809">
      <c r="B809" s="531"/>
      <c r="C809" s="531"/>
      <c r="D809" s="531"/>
      <c r="E809" s="531"/>
      <c r="F809" s="531"/>
      <c r="G809" s="531"/>
      <c r="H809" s="531"/>
      <c r="I809" s="531"/>
      <c r="J809" s="531"/>
      <c r="K809" s="531"/>
      <c r="L809" s="531"/>
      <c r="M809" s="531"/>
      <c r="N809" s="531"/>
      <c r="O809" s="531"/>
      <c r="P809" s="531"/>
      <c r="Q809" s="531"/>
      <c r="R809" s="531"/>
      <c r="S809" s="532"/>
      <c r="T809" s="532"/>
      <c r="U809" s="532"/>
      <c r="V809" s="532"/>
      <c r="W809" s="532"/>
      <c r="X809" s="532"/>
      <c r="Y809" s="532"/>
      <c r="Z809" s="531"/>
      <c r="AA809" s="531"/>
      <c r="AB809" s="531"/>
      <c r="AC809" s="531"/>
      <c r="AD809" s="531"/>
      <c r="AE809" s="531"/>
      <c r="AF809" s="531"/>
      <c r="AG809" s="531"/>
    </row>
    <row r="810">
      <c r="B810" s="531"/>
      <c r="C810" s="531"/>
      <c r="D810" s="531"/>
      <c r="E810" s="531"/>
      <c r="F810" s="531"/>
      <c r="G810" s="531"/>
      <c r="H810" s="531"/>
      <c r="I810" s="531"/>
      <c r="J810" s="531"/>
      <c r="K810" s="531"/>
      <c r="L810" s="531"/>
      <c r="M810" s="531"/>
      <c r="N810" s="531"/>
      <c r="O810" s="531"/>
      <c r="P810" s="531"/>
      <c r="Q810" s="531"/>
      <c r="R810" s="531"/>
      <c r="S810" s="532"/>
      <c r="T810" s="532"/>
      <c r="U810" s="532"/>
      <c r="V810" s="532"/>
      <c r="W810" s="532"/>
      <c r="X810" s="532"/>
      <c r="Y810" s="532"/>
      <c r="Z810" s="531"/>
      <c r="AA810" s="531"/>
      <c r="AB810" s="531"/>
      <c r="AC810" s="531"/>
      <c r="AD810" s="531"/>
      <c r="AE810" s="531"/>
      <c r="AF810" s="531"/>
      <c r="AG810" s="531"/>
    </row>
    <row r="811">
      <c r="B811" s="531"/>
      <c r="C811" s="531"/>
      <c r="D811" s="531"/>
      <c r="E811" s="531"/>
      <c r="F811" s="531"/>
      <c r="G811" s="531"/>
      <c r="H811" s="531"/>
      <c r="I811" s="531"/>
      <c r="J811" s="531"/>
      <c r="K811" s="531"/>
      <c r="L811" s="531"/>
      <c r="M811" s="531"/>
      <c r="N811" s="531"/>
      <c r="O811" s="531"/>
      <c r="P811" s="531"/>
      <c r="Q811" s="531"/>
      <c r="R811" s="531"/>
      <c r="S811" s="532"/>
      <c r="T811" s="532"/>
      <c r="U811" s="532"/>
      <c r="V811" s="532"/>
      <c r="W811" s="532"/>
      <c r="X811" s="532"/>
      <c r="Y811" s="532"/>
      <c r="Z811" s="531"/>
      <c r="AA811" s="531"/>
      <c r="AB811" s="531"/>
      <c r="AC811" s="531"/>
      <c r="AD811" s="531"/>
      <c r="AE811" s="531"/>
      <c r="AF811" s="531"/>
      <c r="AG811" s="531"/>
    </row>
    <row r="812">
      <c r="B812" s="531"/>
      <c r="C812" s="531"/>
      <c r="D812" s="531"/>
      <c r="E812" s="531"/>
      <c r="F812" s="531"/>
      <c r="G812" s="531"/>
      <c r="H812" s="531"/>
      <c r="I812" s="531"/>
      <c r="J812" s="531"/>
      <c r="K812" s="531"/>
      <c r="L812" s="531"/>
      <c r="M812" s="531"/>
      <c r="N812" s="531"/>
      <c r="O812" s="531"/>
      <c r="P812" s="531"/>
      <c r="Q812" s="531"/>
      <c r="R812" s="531"/>
      <c r="S812" s="532"/>
      <c r="T812" s="532"/>
      <c r="U812" s="532"/>
      <c r="V812" s="532"/>
      <c r="W812" s="532"/>
      <c r="X812" s="532"/>
      <c r="Y812" s="532"/>
      <c r="Z812" s="531"/>
      <c r="AA812" s="531"/>
      <c r="AB812" s="531"/>
      <c r="AC812" s="531"/>
      <c r="AD812" s="531"/>
      <c r="AE812" s="531"/>
      <c r="AF812" s="531"/>
      <c r="AG812" s="531"/>
    </row>
    <row r="813">
      <c r="B813" s="531"/>
      <c r="C813" s="531"/>
      <c r="D813" s="531"/>
      <c r="E813" s="531"/>
      <c r="F813" s="531"/>
      <c r="G813" s="531"/>
      <c r="H813" s="531"/>
      <c r="I813" s="531"/>
      <c r="J813" s="531"/>
      <c r="K813" s="531"/>
      <c r="L813" s="531"/>
      <c r="M813" s="531"/>
      <c r="N813" s="531"/>
      <c r="O813" s="531"/>
      <c r="P813" s="531"/>
      <c r="Q813" s="531"/>
      <c r="R813" s="531"/>
      <c r="S813" s="532"/>
      <c r="T813" s="532"/>
      <c r="U813" s="532"/>
      <c r="V813" s="532"/>
      <c r="W813" s="532"/>
      <c r="X813" s="532"/>
      <c r="Y813" s="532"/>
      <c r="Z813" s="531"/>
      <c r="AA813" s="531"/>
      <c r="AB813" s="531"/>
      <c r="AC813" s="531"/>
      <c r="AD813" s="531"/>
      <c r="AE813" s="531"/>
      <c r="AF813" s="531"/>
      <c r="AG813" s="531"/>
    </row>
    <row r="814">
      <c r="B814" s="531"/>
      <c r="C814" s="531"/>
      <c r="D814" s="531"/>
      <c r="E814" s="531"/>
      <c r="F814" s="531"/>
      <c r="G814" s="531"/>
      <c r="H814" s="531"/>
      <c r="I814" s="531"/>
      <c r="J814" s="531"/>
      <c r="K814" s="531"/>
      <c r="L814" s="531"/>
      <c r="M814" s="531"/>
      <c r="N814" s="531"/>
      <c r="O814" s="531"/>
      <c r="P814" s="531"/>
      <c r="Q814" s="531"/>
      <c r="R814" s="531"/>
      <c r="S814" s="532"/>
      <c r="T814" s="532"/>
      <c r="U814" s="532"/>
      <c r="V814" s="532"/>
      <c r="W814" s="532"/>
      <c r="X814" s="532"/>
      <c r="Y814" s="532"/>
      <c r="Z814" s="531"/>
      <c r="AA814" s="531"/>
      <c r="AB814" s="531"/>
      <c r="AC814" s="531"/>
      <c r="AD814" s="531"/>
      <c r="AE814" s="531"/>
      <c r="AF814" s="531"/>
      <c r="AG814" s="531"/>
    </row>
    <row r="815">
      <c r="B815" s="531"/>
      <c r="C815" s="531"/>
      <c r="D815" s="531"/>
      <c r="E815" s="531"/>
      <c r="F815" s="531"/>
      <c r="G815" s="531"/>
      <c r="H815" s="531"/>
      <c r="I815" s="531"/>
      <c r="J815" s="531"/>
      <c r="K815" s="531"/>
      <c r="L815" s="531"/>
      <c r="M815" s="531"/>
      <c r="N815" s="531"/>
      <c r="O815" s="531"/>
      <c r="P815" s="531"/>
      <c r="Q815" s="531"/>
      <c r="R815" s="531"/>
      <c r="S815" s="532"/>
      <c r="T815" s="532"/>
      <c r="U815" s="532"/>
      <c r="V815" s="532"/>
      <c r="W815" s="532"/>
      <c r="X815" s="532"/>
      <c r="Y815" s="532"/>
      <c r="Z815" s="531"/>
      <c r="AA815" s="531"/>
      <c r="AB815" s="531"/>
      <c r="AC815" s="531"/>
      <c r="AD815" s="531"/>
      <c r="AE815" s="531"/>
      <c r="AF815" s="531"/>
      <c r="AG815" s="531"/>
    </row>
    <row r="816">
      <c r="B816" s="531"/>
      <c r="C816" s="531"/>
      <c r="D816" s="531"/>
      <c r="E816" s="531"/>
      <c r="F816" s="531"/>
      <c r="G816" s="531"/>
      <c r="H816" s="531"/>
      <c r="I816" s="531"/>
      <c r="J816" s="531"/>
      <c r="K816" s="531"/>
      <c r="L816" s="531"/>
      <c r="M816" s="531"/>
      <c r="N816" s="531"/>
      <c r="O816" s="531"/>
      <c r="P816" s="531"/>
      <c r="Q816" s="531"/>
      <c r="R816" s="531"/>
      <c r="S816" s="532"/>
      <c r="T816" s="532"/>
      <c r="U816" s="532"/>
      <c r="V816" s="532"/>
      <c r="W816" s="532"/>
      <c r="X816" s="532"/>
      <c r="Y816" s="532"/>
      <c r="Z816" s="531"/>
      <c r="AA816" s="531"/>
      <c r="AB816" s="531"/>
      <c r="AC816" s="531"/>
      <c r="AD816" s="531"/>
      <c r="AE816" s="531"/>
      <c r="AF816" s="531"/>
      <c r="AG816" s="531"/>
    </row>
    <row r="817">
      <c r="B817" s="531"/>
      <c r="C817" s="531"/>
      <c r="D817" s="531"/>
      <c r="E817" s="531"/>
      <c r="F817" s="531"/>
      <c r="G817" s="531"/>
      <c r="H817" s="531"/>
      <c r="I817" s="531"/>
      <c r="J817" s="531"/>
      <c r="K817" s="531"/>
      <c r="L817" s="531"/>
      <c r="M817" s="531"/>
      <c r="N817" s="531"/>
      <c r="O817" s="531"/>
      <c r="P817" s="531"/>
      <c r="Q817" s="531"/>
      <c r="R817" s="531"/>
      <c r="S817" s="532"/>
      <c r="T817" s="532"/>
      <c r="U817" s="532"/>
      <c r="V817" s="532"/>
      <c r="W817" s="532"/>
      <c r="X817" s="532"/>
      <c r="Y817" s="532"/>
      <c r="Z817" s="531"/>
      <c r="AA817" s="531"/>
      <c r="AB817" s="531"/>
      <c r="AC817" s="531"/>
      <c r="AD817" s="531"/>
      <c r="AE817" s="531"/>
      <c r="AF817" s="531"/>
      <c r="AG817" s="531"/>
    </row>
    <row r="818">
      <c r="B818" s="531"/>
      <c r="C818" s="531"/>
      <c r="D818" s="531"/>
      <c r="E818" s="531"/>
      <c r="F818" s="531"/>
      <c r="G818" s="531"/>
      <c r="H818" s="531"/>
      <c r="I818" s="531"/>
      <c r="J818" s="531"/>
      <c r="K818" s="531"/>
      <c r="L818" s="531"/>
      <c r="M818" s="531"/>
      <c r="N818" s="531"/>
      <c r="O818" s="531"/>
      <c r="P818" s="531"/>
      <c r="Q818" s="531"/>
      <c r="R818" s="531"/>
      <c r="S818" s="532"/>
      <c r="T818" s="532"/>
      <c r="U818" s="532"/>
      <c r="V818" s="532"/>
      <c r="W818" s="532"/>
      <c r="X818" s="532"/>
      <c r="Y818" s="532"/>
      <c r="Z818" s="531"/>
      <c r="AA818" s="531"/>
      <c r="AB818" s="531"/>
      <c r="AC818" s="531"/>
      <c r="AD818" s="531"/>
      <c r="AE818" s="531"/>
      <c r="AF818" s="531"/>
      <c r="AG818" s="531"/>
    </row>
    <row r="819">
      <c r="B819" s="531"/>
      <c r="C819" s="531"/>
      <c r="D819" s="531"/>
      <c r="E819" s="531"/>
      <c r="F819" s="531"/>
      <c r="G819" s="531"/>
      <c r="H819" s="531"/>
      <c r="I819" s="531"/>
      <c r="J819" s="531"/>
      <c r="K819" s="531"/>
      <c r="L819" s="531"/>
      <c r="M819" s="531"/>
      <c r="N819" s="531"/>
      <c r="O819" s="531"/>
      <c r="P819" s="531"/>
      <c r="Q819" s="531"/>
      <c r="R819" s="531"/>
      <c r="S819" s="532"/>
      <c r="T819" s="532"/>
      <c r="U819" s="532"/>
      <c r="V819" s="532"/>
      <c r="W819" s="532"/>
      <c r="X819" s="532"/>
      <c r="Y819" s="532"/>
      <c r="Z819" s="531"/>
      <c r="AA819" s="531"/>
      <c r="AB819" s="531"/>
      <c r="AC819" s="531"/>
      <c r="AD819" s="531"/>
      <c r="AE819" s="531"/>
      <c r="AF819" s="531"/>
      <c r="AG819" s="531"/>
    </row>
    <row r="820">
      <c r="B820" s="531"/>
      <c r="C820" s="531"/>
      <c r="D820" s="531"/>
      <c r="E820" s="531"/>
      <c r="F820" s="531"/>
      <c r="G820" s="531"/>
      <c r="H820" s="531"/>
      <c r="I820" s="531"/>
      <c r="J820" s="531"/>
      <c r="K820" s="531"/>
      <c r="L820" s="531"/>
      <c r="M820" s="531"/>
      <c r="N820" s="531"/>
      <c r="O820" s="531"/>
      <c r="P820" s="531"/>
      <c r="Q820" s="531"/>
      <c r="R820" s="531"/>
      <c r="S820" s="532"/>
      <c r="T820" s="532"/>
      <c r="U820" s="532"/>
      <c r="V820" s="532"/>
      <c r="W820" s="532"/>
      <c r="X820" s="532"/>
      <c r="Y820" s="532"/>
      <c r="Z820" s="531"/>
      <c r="AA820" s="531"/>
      <c r="AB820" s="531"/>
      <c r="AC820" s="531"/>
      <c r="AD820" s="531"/>
      <c r="AE820" s="531"/>
      <c r="AF820" s="531"/>
      <c r="AG820" s="531"/>
    </row>
    <row r="821">
      <c r="B821" s="531"/>
      <c r="C821" s="531"/>
      <c r="D821" s="531"/>
      <c r="E821" s="531"/>
      <c r="F821" s="531"/>
      <c r="G821" s="531"/>
      <c r="H821" s="531"/>
      <c r="I821" s="531"/>
      <c r="J821" s="531"/>
      <c r="K821" s="531"/>
      <c r="L821" s="531"/>
      <c r="M821" s="531"/>
      <c r="N821" s="531"/>
      <c r="O821" s="531"/>
      <c r="P821" s="531"/>
      <c r="Q821" s="531"/>
      <c r="R821" s="531"/>
      <c r="S821" s="532"/>
      <c r="T821" s="532"/>
      <c r="U821" s="532"/>
      <c r="V821" s="532"/>
      <c r="W821" s="532"/>
      <c r="X821" s="532"/>
      <c r="Y821" s="532"/>
      <c r="Z821" s="531"/>
      <c r="AA821" s="531"/>
      <c r="AB821" s="531"/>
      <c r="AC821" s="531"/>
      <c r="AD821" s="531"/>
      <c r="AE821" s="531"/>
      <c r="AF821" s="531"/>
      <c r="AG821" s="531"/>
    </row>
    <row r="822">
      <c r="B822" s="531"/>
      <c r="C822" s="531"/>
      <c r="D822" s="531"/>
      <c r="E822" s="531"/>
      <c r="F822" s="531"/>
      <c r="G822" s="531"/>
      <c r="H822" s="531"/>
      <c r="I822" s="531"/>
      <c r="J822" s="531"/>
      <c r="K822" s="531"/>
      <c r="L822" s="531"/>
      <c r="M822" s="531"/>
      <c r="N822" s="531"/>
      <c r="O822" s="531"/>
      <c r="P822" s="531"/>
      <c r="Q822" s="531"/>
      <c r="R822" s="531"/>
      <c r="S822" s="532"/>
      <c r="T822" s="532"/>
      <c r="U822" s="532"/>
      <c r="V822" s="532"/>
      <c r="W822" s="532"/>
      <c r="X822" s="532"/>
      <c r="Y822" s="532"/>
      <c r="Z822" s="531"/>
      <c r="AA822" s="531"/>
      <c r="AB822" s="531"/>
      <c r="AC822" s="531"/>
      <c r="AD822" s="531"/>
      <c r="AE822" s="531"/>
      <c r="AF822" s="531"/>
      <c r="AG822" s="531"/>
    </row>
    <row r="823">
      <c r="B823" s="531"/>
      <c r="C823" s="531"/>
      <c r="D823" s="531"/>
      <c r="E823" s="531"/>
      <c r="F823" s="531"/>
      <c r="G823" s="531"/>
      <c r="H823" s="531"/>
      <c r="I823" s="531"/>
      <c r="J823" s="531"/>
      <c r="K823" s="531"/>
      <c r="L823" s="531"/>
      <c r="M823" s="531"/>
      <c r="N823" s="531"/>
      <c r="O823" s="531"/>
      <c r="P823" s="531"/>
      <c r="Q823" s="531"/>
      <c r="R823" s="531"/>
      <c r="S823" s="532"/>
      <c r="T823" s="532"/>
      <c r="U823" s="532"/>
      <c r="V823" s="532"/>
      <c r="W823" s="532"/>
      <c r="X823" s="532"/>
      <c r="Y823" s="532"/>
      <c r="Z823" s="531"/>
      <c r="AA823" s="531"/>
      <c r="AB823" s="531"/>
      <c r="AC823" s="531"/>
      <c r="AD823" s="531"/>
      <c r="AE823" s="531"/>
      <c r="AF823" s="531"/>
      <c r="AG823" s="531"/>
    </row>
    <row r="824">
      <c r="B824" s="531"/>
      <c r="C824" s="531"/>
      <c r="D824" s="531"/>
      <c r="E824" s="531"/>
      <c r="F824" s="531"/>
      <c r="G824" s="531"/>
      <c r="H824" s="531"/>
      <c r="I824" s="531"/>
      <c r="J824" s="531"/>
      <c r="K824" s="531"/>
      <c r="L824" s="531"/>
      <c r="M824" s="531"/>
      <c r="N824" s="531"/>
      <c r="O824" s="531"/>
      <c r="P824" s="531"/>
      <c r="Q824" s="531"/>
      <c r="R824" s="531"/>
      <c r="S824" s="532"/>
      <c r="T824" s="532"/>
      <c r="U824" s="532"/>
      <c r="V824" s="532"/>
      <c r="W824" s="532"/>
      <c r="X824" s="532"/>
      <c r="Y824" s="532"/>
      <c r="Z824" s="531"/>
      <c r="AA824" s="531"/>
      <c r="AB824" s="531"/>
      <c r="AC824" s="531"/>
      <c r="AD824" s="531"/>
      <c r="AE824" s="531"/>
      <c r="AF824" s="531"/>
      <c r="AG824" s="531"/>
    </row>
    <row r="825">
      <c r="B825" s="531"/>
      <c r="C825" s="531"/>
      <c r="D825" s="531"/>
      <c r="E825" s="531"/>
      <c r="F825" s="531"/>
      <c r="G825" s="531"/>
      <c r="H825" s="531"/>
      <c r="I825" s="531"/>
      <c r="J825" s="531"/>
      <c r="K825" s="531"/>
      <c r="L825" s="531"/>
      <c r="M825" s="531"/>
      <c r="N825" s="531"/>
      <c r="O825" s="531"/>
      <c r="P825" s="531"/>
      <c r="Q825" s="531"/>
      <c r="R825" s="531"/>
      <c r="S825" s="532"/>
      <c r="T825" s="532"/>
      <c r="U825" s="532"/>
      <c r="V825" s="532"/>
      <c r="W825" s="532"/>
      <c r="X825" s="532"/>
      <c r="Y825" s="532"/>
      <c r="Z825" s="531"/>
      <c r="AA825" s="531"/>
      <c r="AB825" s="531"/>
      <c r="AC825" s="531"/>
      <c r="AD825" s="531"/>
      <c r="AE825" s="531"/>
      <c r="AF825" s="531"/>
      <c r="AG825" s="531"/>
    </row>
    <row r="826">
      <c r="B826" s="531"/>
      <c r="C826" s="531"/>
      <c r="D826" s="531"/>
      <c r="E826" s="531"/>
      <c r="F826" s="531"/>
      <c r="G826" s="531"/>
      <c r="H826" s="531"/>
      <c r="I826" s="531"/>
      <c r="J826" s="531"/>
      <c r="K826" s="531"/>
      <c r="L826" s="531"/>
      <c r="M826" s="531"/>
      <c r="N826" s="531"/>
      <c r="O826" s="531"/>
      <c r="P826" s="531"/>
      <c r="Q826" s="531"/>
      <c r="R826" s="531"/>
      <c r="S826" s="532"/>
      <c r="T826" s="532"/>
      <c r="U826" s="532"/>
      <c r="V826" s="532"/>
      <c r="W826" s="532"/>
      <c r="X826" s="532"/>
      <c r="Y826" s="532"/>
      <c r="Z826" s="531"/>
      <c r="AA826" s="531"/>
      <c r="AB826" s="531"/>
      <c r="AC826" s="531"/>
      <c r="AD826" s="531"/>
      <c r="AE826" s="531"/>
      <c r="AF826" s="531"/>
      <c r="AG826" s="531"/>
    </row>
    <row r="827">
      <c r="B827" s="531"/>
      <c r="C827" s="531"/>
      <c r="D827" s="531"/>
      <c r="E827" s="531"/>
      <c r="F827" s="531"/>
      <c r="G827" s="531"/>
      <c r="H827" s="531"/>
      <c r="I827" s="531"/>
      <c r="J827" s="531"/>
      <c r="K827" s="531"/>
      <c r="L827" s="531"/>
      <c r="M827" s="531"/>
      <c r="N827" s="531"/>
      <c r="O827" s="531"/>
      <c r="P827" s="531"/>
      <c r="Q827" s="531"/>
      <c r="R827" s="531"/>
      <c r="S827" s="532"/>
      <c r="T827" s="532"/>
      <c r="U827" s="532"/>
      <c r="V827" s="532"/>
      <c r="W827" s="532"/>
      <c r="X827" s="532"/>
      <c r="Y827" s="532"/>
      <c r="Z827" s="531"/>
      <c r="AA827" s="531"/>
      <c r="AB827" s="531"/>
      <c r="AC827" s="531"/>
      <c r="AD827" s="531"/>
      <c r="AE827" s="531"/>
      <c r="AF827" s="531"/>
      <c r="AG827" s="531"/>
    </row>
    <row r="828">
      <c r="B828" s="531"/>
      <c r="C828" s="531"/>
      <c r="D828" s="531"/>
      <c r="E828" s="531"/>
      <c r="F828" s="531"/>
      <c r="G828" s="531"/>
      <c r="H828" s="531"/>
      <c r="I828" s="531"/>
      <c r="J828" s="531"/>
      <c r="K828" s="531"/>
      <c r="L828" s="531"/>
      <c r="M828" s="531"/>
      <c r="N828" s="531"/>
      <c r="O828" s="531"/>
      <c r="P828" s="531"/>
      <c r="Q828" s="531"/>
      <c r="R828" s="531"/>
      <c r="S828" s="532"/>
      <c r="T828" s="532"/>
      <c r="U828" s="532"/>
      <c r="V828" s="532"/>
      <c r="W828" s="532"/>
      <c r="X828" s="532"/>
      <c r="Y828" s="532"/>
      <c r="Z828" s="531"/>
      <c r="AA828" s="531"/>
      <c r="AB828" s="531"/>
      <c r="AC828" s="531"/>
      <c r="AD828" s="531"/>
      <c r="AE828" s="531"/>
      <c r="AF828" s="531"/>
      <c r="AG828" s="531"/>
    </row>
    <row r="829">
      <c r="B829" s="531"/>
      <c r="C829" s="531"/>
      <c r="D829" s="531"/>
      <c r="E829" s="531"/>
      <c r="F829" s="531"/>
      <c r="G829" s="531"/>
      <c r="H829" s="531"/>
      <c r="I829" s="531"/>
      <c r="J829" s="531"/>
      <c r="K829" s="531"/>
      <c r="L829" s="531"/>
      <c r="M829" s="531"/>
      <c r="N829" s="531"/>
      <c r="O829" s="531"/>
      <c r="P829" s="531"/>
      <c r="Q829" s="531"/>
      <c r="R829" s="531"/>
      <c r="S829" s="532"/>
      <c r="T829" s="532"/>
      <c r="U829" s="532"/>
      <c r="V829" s="532"/>
      <c r="W829" s="532"/>
      <c r="X829" s="532"/>
      <c r="Y829" s="532"/>
      <c r="Z829" s="531"/>
      <c r="AA829" s="531"/>
      <c r="AB829" s="531"/>
      <c r="AC829" s="531"/>
      <c r="AD829" s="531"/>
      <c r="AE829" s="531"/>
      <c r="AF829" s="531"/>
      <c r="AG829" s="531"/>
    </row>
    <row r="830">
      <c r="B830" s="531"/>
      <c r="C830" s="531"/>
      <c r="D830" s="531"/>
      <c r="E830" s="531"/>
      <c r="F830" s="531"/>
      <c r="G830" s="531"/>
      <c r="H830" s="531"/>
      <c r="I830" s="531"/>
      <c r="J830" s="531"/>
      <c r="K830" s="531"/>
      <c r="L830" s="531"/>
      <c r="M830" s="531"/>
      <c r="N830" s="531"/>
      <c r="O830" s="531"/>
      <c r="P830" s="531"/>
      <c r="Q830" s="531"/>
      <c r="R830" s="531"/>
      <c r="S830" s="532"/>
      <c r="T830" s="532"/>
      <c r="U830" s="532"/>
      <c r="V830" s="532"/>
      <c r="W830" s="532"/>
      <c r="X830" s="532"/>
      <c r="Y830" s="532"/>
      <c r="Z830" s="531"/>
      <c r="AA830" s="531"/>
      <c r="AB830" s="531"/>
      <c r="AC830" s="531"/>
      <c r="AD830" s="531"/>
      <c r="AE830" s="531"/>
      <c r="AF830" s="531"/>
      <c r="AG830" s="531"/>
    </row>
    <row r="831">
      <c r="B831" s="531"/>
      <c r="C831" s="531"/>
      <c r="D831" s="531"/>
      <c r="E831" s="531"/>
      <c r="F831" s="531"/>
      <c r="G831" s="531"/>
      <c r="H831" s="531"/>
      <c r="I831" s="531"/>
      <c r="J831" s="531"/>
      <c r="K831" s="531"/>
      <c r="L831" s="531"/>
      <c r="M831" s="531"/>
      <c r="N831" s="531"/>
      <c r="O831" s="531"/>
      <c r="P831" s="531"/>
      <c r="Q831" s="531"/>
      <c r="R831" s="531"/>
      <c r="S831" s="532"/>
      <c r="T831" s="532"/>
      <c r="U831" s="532"/>
      <c r="V831" s="532"/>
      <c r="W831" s="532"/>
      <c r="X831" s="532"/>
      <c r="Y831" s="532"/>
      <c r="Z831" s="531"/>
      <c r="AA831" s="531"/>
      <c r="AB831" s="531"/>
      <c r="AC831" s="531"/>
      <c r="AD831" s="531"/>
      <c r="AE831" s="531"/>
      <c r="AF831" s="531"/>
      <c r="AG831" s="531"/>
    </row>
    <row r="832">
      <c r="B832" s="531"/>
      <c r="C832" s="531"/>
      <c r="D832" s="531"/>
      <c r="E832" s="531"/>
      <c r="F832" s="531"/>
      <c r="G832" s="531"/>
      <c r="H832" s="531"/>
      <c r="I832" s="531"/>
      <c r="J832" s="531"/>
      <c r="K832" s="531"/>
      <c r="L832" s="531"/>
      <c r="M832" s="531"/>
      <c r="N832" s="531"/>
      <c r="O832" s="531"/>
      <c r="P832" s="531"/>
      <c r="Q832" s="531"/>
      <c r="R832" s="531"/>
      <c r="S832" s="532"/>
      <c r="T832" s="532"/>
      <c r="U832" s="532"/>
      <c r="V832" s="532"/>
      <c r="W832" s="532"/>
      <c r="X832" s="532"/>
      <c r="Y832" s="532"/>
      <c r="Z832" s="531"/>
      <c r="AA832" s="531"/>
      <c r="AB832" s="531"/>
      <c r="AC832" s="531"/>
      <c r="AD832" s="531"/>
      <c r="AE832" s="531"/>
      <c r="AF832" s="531"/>
      <c r="AG832" s="531"/>
    </row>
    <row r="833">
      <c r="B833" s="531"/>
      <c r="C833" s="531"/>
      <c r="D833" s="531"/>
      <c r="E833" s="531"/>
      <c r="F833" s="531"/>
      <c r="G833" s="531"/>
      <c r="H833" s="531"/>
      <c r="I833" s="531"/>
      <c r="J833" s="531"/>
      <c r="K833" s="531"/>
      <c r="L833" s="531"/>
      <c r="M833" s="531"/>
      <c r="N833" s="531"/>
      <c r="O833" s="531"/>
      <c r="P833" s="531"/>
      <c r="Q833" s="531"/>
      <c r="R833" s="531"/>
      <c r="S833" s="532"/>
      <c r="T833" s="532"/>
      <c r="U833" s="532"/>
      <c r="V833" s="532"/>
      <c r="W833" s="532"/>
      <c r="X833" s="532"/>
      <c r="Y833" s="532"/>
      <c r="Z833" s="531"/>
      <c r="AA833" s="531"/>
      <c r="AB833" s="531"/>
      <c r="AC833" s="531"/>
      <c r="AD833" s="531"/>
      <c r="AE833" s="531"/>
      <c r="AF833" s="531"/>
      <c r="AG833" s="531"/>
    </row>
    <row r="834">
      <c r="B834" s="531"/>
      <c r="C834" s="531"/>
      <c r="D834" s="531"/>
      <c r="E834" s="531"/>
      <c r="F834" s="531"/>
      <c r="G834" s="531"/>
      <c r="H834" s="531"/>
      <c r="I834" s="531"/>
      <c r="J834" s="531"/>
      <c r="K834" s="531"/>
      <c r="L834" s="531"/>
      <c r="M834" s="531"/>
      <c r="N834" s="531"/>
      <c r="O834" s="531"/>
      <c r="P834" s="531"/>
      <c r="Q834" s="531"/>
      <c r="R834" s="531"/>
      <c r="S834" s="532"/>
      <c r="T834" s="532"/>
      <c r="U834" s="532"/>
      <c r="V834" s="532"/>
      <c r="W834" s="532"/>
      <c r="X834" s="532"/>
      <c r="Y834" s="532"/>
      <c r="Z834" s="531"/>
      <c r="AA834" s="531"/>
      <c r="AB834" s="531"/>
      <c r="AC834" s="531"/>
      <c r="AD834" s="531"/>
      <c r="AE834" s="531"/>
      <c r="AF834" s="531"/>
      <c r="AG834" s="531"/>
    </row>
    <row r="835">
      <c r="B835" s="531"/>
      <c r="C835" s="531"/>
      <c r="D835" s="531"/>
      <c r="E835" s="531"/>
      <c r="F835" s="531"/>
      <c r="G835" s="531"/>
      <c r="H835" s="531"/>
      <c r="I835" s="531"/>
      <c r="J835" s="531"/>
      <c r="K835" s="531"/>
      <c r="L835" s="531"/>
      <c r="M835" s="531"/>
      <c r="N835" s="531"/>
      <c r="O835" s="531"/>
      <c r="P835" s="531"/>
      <c r="Q835" s="531"/>
      <c r="R835" s="531"/>
      <c r="S835" s="532"/>
      <c r="T835" s="532"/>
      <c r="U835" s="532"/>
      <c r="V835" s="532"/>
      <c r="W835" s="532"/>
      <c r="X835" s="532"/>
      <c r="Y835" s="532"/>
      <c r="Z835" s="531"/>
      <c r="AA835" s="531"/>
      <c r="AB835" s="531"/>
      <c r="AC835" s="531"/>
      <c r="AD835" s="531"/>
      <c r="AE835" s="531"/>
      <c r="AF835" s="531"/>
      <c r="AG835" s="531"/>
    </row>
    <row r="836">
      <c r="B836" s="531"/>
      <c r="C836" s="531"/>
      <c r="D836" s="531"/>
      <c r="E836" s="531"/>
      <c r="F836" s="531"/>
      <c r="G836" s="531"/>
      <c r="H836" s="531"/>
      <c r="I836" s="531"/>
      <c r="J836" s="531"/>
      <c r="K836" s="531"/>
      <c r="L836" s="531"/>
      <c r="M836" s="531"/>
      <c r="N836" s="531"/>
      <c r="O836" s="531"/>
      <c r="P836" s="531"/>
      <c r="Q836" s="531"/>
      <c r="R836" s="531"/>
      <c r="S836" s="532"/>
      <c r="T836" s="532"/>
      <c r="U836" s="532"/>
      <c r="V836" s="532"/>
      <c r="W836" s="532"/>
      <c r="X836" s="532"/>
      <c r="Y836" s="532"/>
      <c r="Z836" s="531"/>
      <c r="AA836" s="531"/>
      <c r="AB836" s="531"/>
      <c r="AC836" s="531"/>
      <c r="AD836" s="531"/>
      <c r="AE836" s="531"/>
      <c r="AF836" s="531"/>
      <c r="AG836" s="531"/>
    </row>
    <row r="837">
      <c r="B837" s="531"/>
      <c r="C837" s="531"/>
      <c r="D837" s="531"/>
      <c r="E837" s="531"/>
      <c r="F837" s="531"/>
      <c r="G837" s="531"/>
      <c r="H837" s="531"/>
      <c r="I837" s="531"/>
      <c r="J837" s="531"/>
      <c r="K837" s="531"/>
      <c r="L837" s="531"/>
      <c r="M837" s="531"/>
      <c r="N837" s="531"/>
      <c r="O837" s="531"/>
      <c r="P837" s="531"/>
      <c r="Q837" s="531"/>
      <c r="R837" s="531"/>
      <c r="S837" s="532"/>
      <c r="T837" s="532"/>
      <c r="U837" s="532"/>
      <c r="V837" s="532"/>
      <c r="W837" s="532"/>
      <c r="X837" s="532"/>
      <c r="Y837" s="532"/>
      <c r="Z837" s="531"/>
      <c r="AA837" s="531"/>
      <c r="AB837" s="531"/>
      <c r="AC837" s="531"/>
      <c r="AD837" s="531"/>
      <c r="AE837" s="531"/>
      <c r="AF837" s="531"/>
      <c r="AG837" s="531"/>
    </row>
    <row r="838">
      <c r="B838" s="531"/>
      <c r="C838" s="531"/>
      <c r="D838" s="531"/>
      <c r="E838" s="531"/>
      <c r="F838" s="531"/>
      <c r="G838" s="531"/>
      <c r="H838" s="531"/>
      <c r="I838" s="531"/>
      <c r="J838" s="531"/>
      <c r="K838" s="531"/>
      <c r="L838" s="531"/>
      <c r="M838" s="531"/>
      <c r="N838" s="531"/>
      <c r="O838" s="531"/>
      <c r="P838" s="531"/>
      <c r="Q838" s="531"/>
      <c r="R838" s="531"/>
      <c r="S838" s="532"/>
      <c r="T838" s="532"/>
      <c r="U838" s="532"/>
      <c r="V838" s="532"/>
      <c r="W838" s="532"/>
      <c r="X838" s="532"/>
      <c r="Y838" s="532"/>
      <c r="Z838" s="531"/>
      <c r="AA838" s="531"/>
      <c r="AB838" s="531"/>
      <c r="AC838" s="531"/>
      <c r="AD838" s="531"/>
      <c r="AE838" s="531"/>
      <c r="AF838" s="531"/>
      <c r="AG838" s="531"/>
    </row>
    <row r="839">
      <c r="B839" s="531"/>
      <c r="C839" s="531"/>
      <c r="D839" s="531"/>
      <c r="E839" s="531"/>
      <c r="F839" s="531"/>
      <c r="G839" s="531"/>
      <c r="H839" s="531"/>
      <c r="I839" s="531"/>
      <c r="J839" s="531"/>
      <c r="K839" s="531"/>
      <c r="L839" s="531"/>
      <c r="M839" s="531"/>
      <c r="N839" s="531"/>
      <c r="O839" s="531"/>
      <c r="P839" s="531"/>
      <c r="Q839" s="531"/>
      <c r="R839" s="531"/>
      <c r="S839" s="532"/>
      <c r="T839" s="532"/>
      <c r="U839" s="532"/>
      <c r="V839" s="532"/>
      <c r="W839" s="532"/>
      <c r="X839" s="532"/>
      <c r="Y839" s="532"/>
      <c r="Z839" s="531"/>
      <c r="AA839" s="531"/>
      <c r="AB839" s="531"/>
      <c r="AC839" s="531"/>
      <c r="AD839" s="531"/>
      <c r="AE839" s="531"/>
      <c r="AF839" s="531"/>
      <c r="AG839" s="531"/>
    </row>
    <row r="840">
      <c r="B840" s="531"/>
      <c r="C840" s="531"/>
      <c r="D840" s="531"/>
      <c r="E840" s="531"/>
      <c r="F840" s="531"/>
      <c r="G840" s="531"/>
      <c r="H840" s="531"/>
      <c r="I840" s="531"/>
      <c r="J840" s="531"/>
      <c r="K840" s="531"/>
      <c r="L840" s="531"/>
      <c r="M840" s="531"/>
      <c r="N840" s="531"/>
      <c r="O840" s="531"/>
      <c r="P840" s="531"/>
      <c r="Q840" s="531"/>
      <c r="R840" s="531"/>
      <c r="S840" s="532"/>
      <c r="T840" s="532"/>
      <c r="U840" s="532"/>
      <c r="V840" s="532"/>
      <c r="W840" s="532"/>
      <c r="X840" s="532"/>
      <c r="Y840" s="532"/>
      <c r="Z840" s="531"/>
      <c r="AA840" s="531"/>
      <c r="AB840" s="531"/>
      <c r="AC840" s="531"/>
      <c r="AD840" s="531"/>
      <c r="AE840" s="531"/>
      <c r="AF840" s="531"/>
      <c r="AG840" s="531"/>
    </row>
    <row r="841">
      <c r="B841" s="531"/>
      <c r="C841" s="531"/>
      <c r="D841" s="531"/>
      <c r="E841" s="531"/>
      <c r="F841" s="531"/>
      <c r="G841" s="531"/>
      <c r="H841" s="531"/>
      <c r="I841" s="531"/>
      <c r="J841" s="531"/>
      <c r="K841" s="531"/>
      <c r="L841" s="531"/>
      <c r="M841" s="531"/>
      <c r="N841" s="531"/>
      <c r="O841" s="531"/>
      <c r="P841" s="531"/>
      <c r="Q841" s="531"/>
      <c r="R841" s="531"/>
      <c r="S841" s="532"/>
      <c r="T841" s="532"/>
      <c r="U841" s="532"/>
      <c r="V841" s="532"/>
      <c r="W841" s="532"/>
      <c r="X841" s="532"/>
      <c r="Y841" s="532"/>
      <c r="Z841" s="531"/>
      <c r="AA841" s="531"/>
      <c r="AB841" s="531"/>
      <c r="AC841" s="531"/>
      <c r="AD841" s="531"/>
      <c r="AE841" s="531"/>
      <c r="AF841" s="531"/>
      <c r="AG841" s="531"/>
    </row>
    <row r="842">
      <c r="B842" s="531"/>
      <c r="C842" s="531"/>
      <c r="D842" s="531"/>
      <c r="E842" s="531"/>
      <c r="F842" s="531"/>
      <c r="G842" s="531"/>
      <c r="H842" s="531"/>
      <c r="I842" s="531"/>
      <c r="J842" s="531"/>
      <c r="K842" s="531"/>
      <c r="L842" s="531"/>
      <c r="M842" s="531"/>
      <c r="N842" s="531"/>
      <c r="O842" s="531"/>
      <c r="P842" s="531"/>
      <c r="Q842" s="531"/>
      <c r="R842" s="531"/>
      <c r="S842" s="532"/>
      <c r="T842" s="532"/>
      <c r="U842" s="532"/>
      <c r="V842" s="532"/>
      <c r="W842" s="532"/>
      <c r="X842" s="532"/>
      <c r="Y842" s="532"/>
      <c r="Z842" s="531"/>
      <c r="AA842" s="531"/>
      <c r="AB842" s="531"/>
      <c r="AC842" s="531"/>
      <c r="AD842" s="531"/>
      <c r="AE842" s="531"/>
      <c r="AF842" s="531"/>
      <c r="AG842" s="531"/>
    </row>
    <row r="843">
      <c r="B843" s="531"/>
      <c r="C843" s="531"/>
      <c r="D843" s="531"/>
      <c r="E843" s="531"/>
      <c r="F843" s="531"/>
      <c r="G843" s="531"/>
      <c r="H843" s="531"/>
      <c r="I843" s="531"/>
      <c r="J843" s="531"/>
      <c r="K843" s="531"/>
      <c r="L843" s="531"/>
      <c r="M843" s="531"/>
      <c r="N843" s="531"/>
      <c r="O843" s="531"/>
      <c r="P843" s="531"/>
      <c r="Q843" s="531"/>
      <c r="R843" s="531"/>
      <c r="S843" s="532"/>
      <c r="T843" s="532"/>
      <c r="U843" s="532"/>
      <c r="V843" s="532"/>
      <c r="W843" s="532"/>
      <c r="X843" s="532"/>
      <c r="Y843" s="532"/>
      <c r="Z843" s="531"/>
      <c r="AA843" s="531"/>
      <c r="AB843" s="531"/>
      <c r="AC843" s="531"/>
      <c r="AD843" s="531"/>
      <c r="AE843" s="531"/>
      <c r="AF843" s="531"/>
      <c r="AG843" s="531"/>
    </row>
    <row r="844">
      <c r="B844" s="531"/>
      <c r="C844" s="531"/>
      <c r="D844" s="531"/>
      <c r="E844" s="531"/>
      <c r="F844" s="531"/>
      <c r="G844" s="531"/>
      <c r="H844" s="531"/>
      <c r="I844" s="531"/>
      <c r="J844" s="531"/>
      <c r="K844" s="531"/>
      <c r="L844" s="531"/>
      <c r="M844" s="531"/>
      <c r="N844" s="531"/>
      <c r="O844" s="531"/>
      <c r="P844" s="531"/>
      <c r="Q844" s="531"/>
      <c r="R844" s="531"/>
      <c r="S844" s="532"/>
      <c r="T844" s="532"/>
      <c r="U844" s="532"/>
      <c r="V844" s="532"/>
      <c r="W844" s="532"/>
      <c r="X844" s="532"/>
      <c r="Y844" s="532"/>
      <c r="Z844" s="531"/>
      <c r="AA844" s="531"/>
      <c r="AB844" s="531"/>
      <c r="AC844" s="531"/>
      <c r="AD844" s="531"/>
      <c r="AE844" s="531"/>
      <c r="AF844" s="531"/>
      <c r="AG844" s="531"/>
    </row>
    <row r="845">
      <c r="B845" s="531"/>
      <c r="C845" s="531"/>
      <c r="D845" s="531"/>
      <c r="E845" s="531"/>
      <c r="F845" s="531"/>
      <c r="G845" s="531"/>
      <c r="H845" s="531"/>
      <c r="I845" s="531"/>
      <c r="J845" s="531"/>
      <c r="K845" s="531"/>
      <c r="L845" s="531"/>
      <c r="M845" s="531"/>
      <c r="N845" s="531"/>
      <c r="O845" s="531"/>
      <c r="P845" s="531"/>
      <c r="Q845" s="531"/>
      <c r="R845" s="531"/>
      <c r="S845" s="532"/>
      <c r="T845" s="532"/>
      <c r="U845" s="532"/>
      <c r="V845" s="532"/>
      <c r="W845" s="532"/>
      <c r="X845" s="532"/>
      <c r="Y845" s="532"/>
      <c r="Z845" s="531"/>
      <c r="AA845" s="531"/>
      <c r="AB845" s="531"/>
      <c r="AC845" s="531"/>
      <c r="AD845" s="531"/>
      <c r="AE845" s="531"/>
      <c r="AF845" s="531"/>
      <c r="AG845" s="531"/>
    </row>
    <row r="846">
      <c r="B846" s="531"/>
      <c r="C846" s="531"/>
      <c r="D846" s="531"/>
      <c r="E846" s="531"/>
      <c r="F846" s="531"/>
      <c r="G846" s="531"/>
      <c r="H846" s="531"/>
      <c r="I846" s="531"/>
      <c r="J846" s="531"/>
      <c r="K846" s="531"/>
      <c r="L846" s="531"/>
      <c r="M846" s="531"/>
      <c r="N846" s="531"/>
      <c r="O846" s="531"/>
      <c r="P846" s="531"/>
      <c r="Q846" s="531"/>
      <c r="R846" s="531"/>
      <c r="S846" s="532"/>
      <c r="T846" s="532"/>
      <c r="U846" s="532"/>
      <c r="V846" s="532"/>
      <c r="W846" s="532"/>
      <c r="X846" s="532"/>
      <c r="Y846" s="532"/>
      <c r="Z846" s="531"/>
      <c r="AA846" s="531"/>
      <c r="AB846" s="531"/>
      <c r="AC846" s="531"/>
      <c r="AD846" s="531"/>
      <c r="AE846" s="531"/>
      <c r="AF846" s="531"/>
      <c r="AG846" s="531"/>
    </row>
    <row r="847">
      <c r="B847" s="531"/>
      <c r="C847" s="531"/>
      <c r="D847" s="531"/>
      <c r="E847" s="531"/>
      <c r="F847" s="531"/>
      <c r="G847" s="531"/>
      <c r="H847" s="531"/>
      <c r="I847" s="531"/>
      <c r="J847" s="531"/>
      <c r="K847" s="531"/>
      <c r="L847" s="531"/>
      <c r="M847" s="531"/>
      <c r="N847" s="531"/>
      <c r="O847" s="531"/>
      <c r="P847" s="531"/>
      <c r="Q847" s="531"/>
      <c r="R847" s="531"/>
      <c r="S847" s="532"/>
      <c r="T847" s="532"/>
      <c r="U847" s="532"/>
      <c r="V847" s="532"/>
      <c r="W847" s="532"/>
      <c r="X847" s="532"/>
      <c r="Y847" s="532"/>
      <c r="Z847" s="531"/>
      <c r="AA847" s="531"/>
      <c r="AB847" s="531"/>
      <c r="AC847" s="531"/>
      <c r="AD847" s="531"/>
      <c r="AE847" s="531"/>
      <c r="AF847" s="531"/>
      <c r="AG847" s="531"/>
    </row>
    <row r="848">
      <c r="B848" s="531"/>
      <c r="C848" s="531"/>
      <c r="D848" s="531"/>
      <c r="E848" s="531"/>
      <c r="F848" s="531"/>
      <c r="G848" s="531"/>
      <c r="H848" s="531"/>
      <c r="I848" s="531"/>
      <c r="J848" s="531"/>
      <c r="K848" s="531"/>
      <c r="L848" s="531"/>
      <c r="M848" s="531"/>
      <c r="N848" s="531"/>
      <c r="O848" s="531"/>
      <c r="P848" s="531"/>
      <c r="Q848" s="531"/>
      <c r="R848" s="531"/>
      <c r="S848" s="532"/>
      <c r="T848" s="532"/>
      <c r="U848" s="532"/>
      <c r="V848" s="532"/>
      <c r="W848" s="532"/>
      <c r="X848" s="532"/>
      <c r="Y848" s="532"/>
      <c r="Z848" s="531"/>
      <c r="AA848" s="531"/>
      <c r="AB848" s="531"/>
      <c r="AC848" s="531"/>
      <c r="AD848" s="531"/>
      <c r="AE848" s="531"/>
      <c r="AF848" s="531"/>
      <c r="AG848" s="531"/>
    </row>
    <row r="849">
      <c r="B849" s="531"/>
      <c r="C849" s="531"/>
      <c r="D849" s="531"/>
      <c r="E849" s="531"/>
      <c r="F849" s="531"/>
      <c r="G849" s="531"/>
      <c r="H849" s="531"/>
      <c r="I849" s="531"/>
      <c r="J849" s="531"/>
      <c r="K849" s="531"/>
      <c r="L849" s="531"/>
      <c r="M849" s="531"/>
      <c r="N849" s="531"/>
      <c r="O849" s="531"/>
      <c r="P849" s="531"/>
      <c r="Q849" s="531"/>
      <c r="R849" s="531"/>
      <c r="S849" s="532"/>
      <c r="T849" s="532"/>
      <c r="U849" s="532"/>
      <c r="V849" s="532"/>
      <c r="W849" s="532"/>
      <c r="X849" s="532"/>
      <c r="Y849" s="532"/>
      <c r="Z849" s="531"/>
      <c r="AA849" s="531"/>
      <c r="AB849" s="531"/>
      <c r="AC849" s="531"/>
      <c r="AD849" s="531"/>
      <c r="AE849" s="531"/>
      <c r="AF849" s="531"/>
      <c r="AG849" s="531"/>
    </row>
    <row r="850">
      <c r="B850" s="531"/>
      <c r="C850" s="531"/>
      <c r="D850" s="531"/>
      <c r="E850" s="531"/>
      <c r="F850" s="531"/>
      <c r="G850" s="531"/>
      <c r="H850" s="531"/>
      <c r="I850" s="531"/>
      <c r="J850" s="531"/>
      <c r="K850" s="531"/>
      <c r="L850" s="531"/>
      <c r="M850" s="531"/>
      <c r="N850" s="531"/>
      <c r="O850" s="531"/>
      <c r="P850" s="531"/>
      <c r="Q850" s="531"/>
      <c r="R850" s="531"/>
      <c r="S850" s="532"/>
      <c r="T850" s="532"/>
      <c r="U850" s="532"/>
      <c r="V850" s="532"/>
      <c r="W850" s="532"/>
      <c r="X850" s="532"/>
      <c r="Y850" s="532"/>
      <c r="Z850" s="531"/>
      <c r="AA850" s="531"/>
      <c r="AB850" s="531"/>
      <c r="AC850" s="531"/>
      <c r="AD850" s="531"/>
      <c r="AE850" s="531"/>
      <c r="AF850" s="531"/>
      <c r="AG850" s="531"/>
    </row>
    <row r="851">
      <c r="B851" s="531"/>
      <c r="C851" s="531"/>
      <c r="D851" s="531"/>
      <c r="E851" s="531"/>
      <c r="F851" s="531"/>
      <c r="G851" s="531"/>
      <c r="H851" s="531"/>
      <c r="I851" s="531"/>
      <c r="J851" s="531"/>
      <c r="K851" s="531"/>
      <c r="L851" s="531"/>
      <c r="M851" s="531"/>
      <c r="N851" s="531"/>
      <c r="O851" s="531"/>
      <c r="P851" s="531"/>
      <c r="Q851" s="531"/>
      <c r="R851" s="531"/>
      <c r="S851" s="532"/>
      <c r="T851" s="532"/>
      <c r="U851" s="532"/>
      <c r="V851" s="532"/>
      <c r="W851" s="532"/>
      <c r="X851" s="532"/>
      <c r="Y851" s="532"/>
      <c r="Z851" s="531"/>
      <c r="AA851" s="531"/>
      <c r="AB851" s="531"/>
      <c r="AC851" s="531"/>
      <c r="AD851" s="531"/>
      <c r="AE851" s="531"/>
      <c r="AF851" s="531"/>
      <c r="AG851" s="531"/>
    </row>
    <row r="852">
      <c r="B852" s="531"/>
      <c r="C852" s="531"/>
      <c r="D852" s="531"/>
      <c r="E852" s="531"/>
      <c r="F852" s="531"/>
      <c r="G852" s="531"/>
      <c r="H852" s="531"/>
      <c r="I852" s="531"/>
      <c r="J852" s="531"/>
      <c r="K852" s="531"/>
      <c r="L852" s="531"/>
      <c r="M852" s="531"/>
      <c r="N852" s="531"/>
      <c r="O852" s="531"/>
      <c r="P852" s="531"/>
      <c r="Q852" s="531"/>
      <c r="R852" s="531"/>
      <c r="S852" s="532"/>
      <c r="T852" s="532"/>
      <c r="U852" s="532"/>
      <c r="V852" s="532"/>
      <c r="W852" s="532"/>
      <c r="X852" s="532"/>
      <c r="Y852" s="532"/>
      <c r="Z852" s="531"/>
      <c r="AA852" s="531"/>
      <c r="AB852" s="531"/>
      <c r="AC852" s="531"/>
      <c r="AD852" s="531"/>
      <c r="AE852" s="531"/>
      <c r="AF852" s="531"/>
      <c r="AG852" s="531"/>
    </row>
    <row r="853">
      <c r="B853" s="531"/>
      <c r="C853" s="531"/>
      <c r="D853" s="531"/>
      <c r="E853" s="531"/>
      <c r="F853" s="531"/>
      <c r="G853" s="531"/>
      <c r="H853" s="531"/>
      <c r="I853" s="531"/>
      <c r="J853" s="531"/>
      <c r="K853" s="531"/>
      <c r="L853" s="531"/>
      <c r="M853" s="531"/>
      <c r="N853" s="531"/>
      <c r="O853" s="531"/>
      <c r="P853" s="531"/>
      <c r="Q853" s="531"/>
      <c r="R853" s="531"/>
      <c r="S853" s="532"/>
      <c r="T853" s="532"/>
      <c r="U853" s="532"/>
      <c r="V853" s="532"/>
      <c r="W853" s="532"/>
      <c r="X853" s="532"/>
      <c r="Y853" s="532"/>
      <c r="Z853" s="531"/>
      <c r="AA853" s="531"/>
      <c r="AB853" s="531"/>
      <c r="AC853" s="531"/>
      <c r="AD853" s="531"/>
      <c r="AE853" s="531"/>
      <c r="AF853" s="531"/>
      <c r="AG853" s="531"/>
    </row>
    <row r="854">
      <c r="B854" s="531"/>
      <c r="C854" s="531"/>
      <c r="D854" s="531"/>
      <c r="E854" s="531"/>
      <c r="F854" s="531"/>
      <c r="G854" s="531"/>
      <c r="H854" s="531"/>
      <c r="I854" s="531"/>
      <c r="J854" s="531"/>
      <c r="K854" s="531"/>
      <c r="L854" s="531"/>
      <c r="M854" s="531"/>
      <c r="N854" s="531"/>
      <c r="O854" s="531"/>
      <c r="P854" s="531"/>
      <c r="Q854" s="531"/>
      <c r="R854" s="531"/>
      <c r="S854" s="532"/>
      <c r="T854" s="532"/>
      <c r="U854" s="532"/>
      <c r="V854" s="532"/>
      <c r="W854" s="532"/>
      <c r="X854" s="532"/>
      <c r="Y854" s="532"/>
      <c r="Z854" s="531"/>
      <c r="AA854" s="531"/>
      <c r="AB854" s="531"/>
      <c r="AC854" s="531"/>
      <c r="AD854" s="531"/>
      <c r="AE854" s="531"/>
      <c r="AF854" s="531"/>
      <c r="AG854" s="531"/>
    </row>
    <row r="855">
      <c r="B855" s="531"/>
      <c r="C855" s="531"/>
      <c r="D855" s="531"/>
      <c r="E855" s="531"/>
      <c r="F855" s="531"/>
      <c r="G855" s="531"/>
      <c r="H855" s="531"/>
      <c r="I855" s="531"/>
      <c r="J855" s="531"/>
      <c r="K855" s="531"/>
      <c r="L855" s="531"/>
      <c r="M855" s="531"/>
      <c r="N855" s="531"/>
      <c r="O855" s="531"/>
      <c r="P855" s="531"/>
      <c r="Q855" s="531"/>
      <c r="R855" s="531"/>
      <c r="S855" s="532"/>
      <c r="T855" s="532"/>
      <c r="U855" s="532"/>
      <c r="V855" s="532"/>
      <c r="W855" s="532"/>
      <c r="X855" s="532"/>
      <c r="Y855" s="532"/>
      <c r="Z855" s="531"/>
      <c r="AA855" s="531"/>
      <c r="AB855" s="531"/>
      <c r="AC855" s="531"/>
      <c r="AD855" s="531"/>
      <c r="AE855" s="531"/>
      <c r="AF855" s="531"/>
      <c r="AG855" s="531"/>
    </row>
    <row r="856">
      <c r="B856" s="531"/>
      <c r="C856" s="531"/>
      <c r="D856" s="531"/>
      <c r="E856" s="531"/>
      <c r="F856" s="531"/>
      <c r="G856" s="531"/>
      <c r="H856" s="531"/>
      <c r="I856" s="531"/>
      <c r="J856" s="531"/>
      <c r="K856" s="531"/>
      <c r="L856" s="531"/>
      <c r="M856" s="531"/>
      <c r="N856" s="531"/>
      <c r="O856" s="531"/>
      <c r="P856" s="531"/>
      <c r="Q856" s="531"/>
      <c r="R856" s="531"/>
      <c r="S856" s="532"/>
      <c r="T856" s="532"/>
      <c r="U856" s="532"/>
      <c r="V856" s="532"/>
      <c r="W856" s="532"/>
      <c r="X856" s="532"/>
      <c r="Y856" s="532"/>
      <c r="Z856" s="531"/>
      <c r="AA856" s="531"/>
      <c r="AB856" s="531"/>
      <c r="AC856" s="531"/>
      <c r="AD856" s="531"/>
      <c r="AE856" s="531"/>
      <c r="AF856" s="531"/>
      <c r="AG856" s="531"/>
    </row>
    <row r="857">
      <c r="B857" s="531"/>
      <c r="C857" s="531"/>
      <c r="D857" s="531"/>
      <c r="E857" s="531"/>
      <c r="F857" s="531"/>
      <c r="G857" s="531"/>
      <c r="H857" s="531"/>
      <c r="I857" s="531"/>
      <c r="J857" s="531"/>
      <c r="K857" s="531"/>
      <c r="L857" s="531"/>
      <c r="M857" s="531"/>
      <c r="N857" s="531"/>
      <c r="O857" s="531"/>
      <c r="P857" s="531"/>
      <c r="Q857" s="531"/>
      <c r="R857" s="531"/>
      <c r="S857" s="532"/>
      <c r="T857" s="532"/>
      <c r="U857" s="532"/>
      <c r="V857" s="532"/>
      <c r="W857" s="532"/>
      <c r="X857" s="532"/>
      <c r="Y857" s="532"/>
      <c r="Z857" s="531"/>
      <c r="AA857" s="531"/>
      <c r="AB857" s="531"/>
      <c r="AC857" s="531"/>
      <c r="AD857" s="531"/>
      <c r="AE857" s="531"/>
      <c r="AF857" s="531"/>
      <c r="AG857" s="531"/>
    </row>
    <row r="858">
      <c r="B858" s="531"/>
      <c r="C858" s="531"/>
      <c r="D858" s="531"/>
      <c r="E858" s="531"/>
      <c r="F858" s="531"/>
      <c r="G858" s="531"/>
      <c r="H858" s="531"/>
      <c r="I858" s="531"/>
      <c r="J858" s="531"/>
      <c r="K858" s="531"/>
      <c r="L858" s="531"/>
      <c r="M858" s="531"/>
      <c r="N858" s="531"/>
      <c r="O858" s="531"/>
      <c r="P858" s="531"/>
      <c r="Q858" s="531"/>
      <c r="R858" s="531"/>
      <c r="S858" s="532"/>
      <c r="T858" s="532"/>
      <c r="U858" s="532"/>
      <c r="V858" s="532"/>
      <c r="W858" s="532"/>
      <c r="X858" s="532"/>
      <c r="Y858" s="532"/>
      <c r="Z858" s="531"/>
      <c r="AA858" s="531"/>
      <c r="AB858" s="531"/>
      <c r="AC858" s="531"/>
      <c r="AD858" s="531"/>
      <c r="AE858" s="531"/>
      <c r="AF858" s="531"/>
      <c r="AG858" s="531"/>
    </row>
    <row r="859">
      <c r="B859" s="531"/>
      <c r="C859" s="531"/>
      <c r="D859" s="531"/>
      <c r="E859" s="531"/>
      <c r="F859" s="531"/>
      <c r="G859" s="531"/>
      <c r="H859" s="531"/>
      <c r="I859" s="531"/>
      <c r="J859" s="531"/>
      <c r="K859" s="531"/>
      <c r="L859" s="531"/>
      <c r="M859" s="531"/>
      <c r="N859" s="531"/>
      <c r="O859" s="531"/>
      <c r="P859" s="531"/>
      <c r="Q859" s="531"/>
      <c r="R859" s="531"/>
      <c r="S859" s="532"/>
      <c r="T859" s="532"/>
      <c r="U859" s="532"/>
      <c r="V859" s="532"/>
      <c r="W859" s="532"/>
      <c r="X859" s="532"/>
      <c r="Y859" s="532"/>
      <c r="Z859" s="531"/>
      <c r="AA859" s="531"/>
      <c r="AB859" s="531"/>
      <c r="AC859" s="531"/>
      <c r="AD859" s="531"/>
      <c r="AE859" s="531"/>
      <c r="AF859" s="531"/>
      <c r="AG859" s="531"/>
    </row>
    <row r="860">
      <c r="B860" s="531"/>
      <c r="C860" s="531"/>
      <c r="D860" s="531"/>
      <c r="E860" s="531"/>
      <c r="F860" s="531"/>
      <c r="G860" s="531"/>
      <c r="H860" s="531"/>
      <c r="I860" s="531"/>
      <c r="J860" s="531"/>
      <c r="K860" s="531"/>
      <c r="L860" s="531"/>
      <c r="M860" s="531"/>
      <c r="N860" s="531"/>
      <c r="O860" s="531"/>
      <c r="P860" s="531"/>
      <c r="Q860" s="531"/>
      <c r="R860" s="531"/>
      <c r="S860" s="532"/>
      <c r="T860" s="532"/>
      <c r="U860" s="532"/>
      <c r="V860" s="532"/>
      <c r="W860" s="532"/>
      <c r="X860" s="532"/>
      <c r="Y860" s="532"/>
      <c r="Z860" s="531"/>
      <c r="AA860" s="531"/>
      <c r="AB860" s="531"/>
      <c r="AC860" s="531"/>
      <c r="AD860" s="531"/>
      <c r="AE860" s="531"/>
      <c r="AF860" s="531"/>
      <c r="AG860" s="531"/>
    </row>
    <row r="861">
      <c r="B861" s="531"/>
      <c r="C861" s="531"/>
      <c r="D861" s="531"/>
      <c r="E861" s="531"/>
      <c r="F861" s="531"/>
      <c r="G861" s="531"/>
      <c r="H861" s="531"/>
      <c r="I861" s="531"/>
      <c r="J861" s="531"/>
      <c r="K861" s="531"/>
      <c r="L861" s="531"/>
      <c r="M861" s="531"/>
      <c r="N861" s="531"/>
      <c r="O861" s="531"/>
      <c r="P861" s="531"/>
      <c r="Q861" s="531"/>
      <c r="R861" s="531"/>
      <c r="S861" s="532"/>
      <c r="T861" s="532"/>
      <c r="U861" s="532"/>
      <c r="V861" s="532"/>
      <c r="W861" s="532"/>
      <c r="X861" s="532"/>
      <c r="Y861" s="532"/>
      <c r="Z861" s="531"/>
      <c r="AA861" s="531"/>
      <c r="AB861" s="531"/>
      <c r="AC861" s="531"/>
      <c r="AD861" s="531"/>
      <c r="AE861" s="531"/>
      <c r="AF861" s="531"/>
      <c r="AG861" s="531"/>
    </row>
    <row r="862">
      <c r="B862" s="531"/>
      <c r="C862" s="531"/>
      <c r="D862" s="531"/>
      <c r="E862" s="531"/>
      <c r="F862" s="531"/>
      <c r="G862" s="531"/>
      <c r="H862" s="531"/>
      <c r="I862" s="531"/>
      <c r="J862" s="531"/>
      <c r="K862" s="531"/>
      <c r="L862" s="531"/>
      <c r="M862" s="531"/>
      <c r="N862" s="531"/>
      <c r="O862" s="531"/>
      <c r="P862" s="531"/>
      <c r="Q862" s="531"/>
      <c r="R862" s="531"/>
      <c r="S862" s="532"/>
      <c r="T862" s="532"/>
      <c r="U862" s="532"/>
      <c r="V862" s="532"/>
      <c r="W862" s="532"/>
      <c r="X862" s="532"/>
      <c r="Y862" s="532"/>
      <c r="Z862" s="531"/>
      <c r="AA862" s="531"/>
      <c r="AB862" s="531"/>
      <c r="AC862" s="531"/>
      <c r="AD862" s="531"/>
      <c r="AE862" s="531"/>
      <c r="AF862" s="531"/>
      <c r="AG862" s="531"/>
    </row>
    <row r="863">
      <c r="B863" s="531"/>
      <c r="C863" s="531"/>
      <c r="D863" s="531"/>
      <c r="E863" s="531"/>
      <c r="F863" s="531"/>
      <c r="G863" s="531"/>
      <c r="H863" s="531"/>
      <c r="I863" s="531"/>
      <c r="J863" s="531"/>
      <c r="K863" s="531"/>
      <c r="L863" s="531"/>
      <c r="M863" s="531"/>
      <c r="N863" s="531"/>
      <c r="O863" s="531"/>
      <c r="P863" s="531"/>
      <c r="Q863" s="531"/>
      <c r="R863" s="531"/>
      <c r="S863" s="532"/>
      <c r="T863" s="532"/>
      <c r="U863" s="532"/>
      <c r="V863" s="532"/>
      <c r="W863" s="532"/>
      <c r="X863" s="532"/>
      <c r="Y863" s="532"/>
      <c r="Z863" s="531"/>
      <c r="AA863" s="531"/>
      <c r="AB863" s="531"/>
      <c r="AC863" s="531"/>
      <c r="AD863" s="531"/>
      <c r="AE863" s="531"/>
      <c r="AF863" s="531"/>
      <c r="AG863" s="531"/>
    </row>
    <row r="864">
      <c r="B864" s="531"/>
      <c r="C864" s="531"/>
      <c r="D864" s="531"/>
      <c r="E864" s="531"/>
      <c r="F864" s="531"/>
      <c r="G864" s="531"/>
      <c r="H864" s="531"/>
      <c r="I864" s="531"/>
      <c r="J864" s="531"/>
      <c r="K864" s="531"/>
      <c r="L864" s="531"/>
      <c r="M864" s="531"/>
      <c r="N864" s="531"/>
      <c r="O864" s="531"/>
      <c r="P864" s="531"/>
      <c r="Q864" s="531"/>
      <c r="R864" s="531"/>
      <c r="S864" s="532"/>
      <c r="T864" s="532"/>
      <c r="U864" s="532"/>
      <c r="V864" s="532"/>
      <c r="W864" s="532"/>
      <c r="X864" s="532"/>
      <c r="Y864" s="532"/>
      <c r="Z864" s="531"/>
      <c r="AA864" s="531"/>
      <c r="AB864" s="531"/>
      <c r="AC864" s="531"/>
      <c r="AD864" s="531"/>
      <c r="AE864" s="531"/>
      <c r="AF864" s="531"/>
      <c r="AG864" s="531"/>
    </row>
    <row r="865">
      <c r="B865" s="531"/>
      <c r="C865" s="531"/>
      <c r="D865" s="531"/>
      <c r="E865" s="531"/>
      <c r="F865" s="531"/>
      <c r="G865" s="531"/>
      <c r="H865" s="531"/>
      <c r="I865" s="531"/>
      <c r="J865" s="531"/>
      <c r="K865" s="531"/>
      <c r="L865" s="531"/>
      <c r="M865" s="531"/>
      <c r="N865" s="531"/>
      <c r="O865" s="531"/>
      <c r="P865" s="531"/>
      <c r="Q865" s="531"/>
      <c r="R865" s="531"/>
      <c r="S865" s="532"/>
      <c r="T865" s="532"/>
      <c r="U865" s="532"/>
      <c r="V865" s="532"/>
      <c r="W865" s="532"/>
      <c r="X865" s="532"/>
      <c r="Y865" s="532"/>
      <c r="Z865" s="531"/>
      <c r="AA865" s="531"/>
      <c r="AB865" s="531"/>
      <c r="AC865" s="531"/>
      <c r="AD865" s="531"/>
      <c r="AE865" s="531"/>
      <c r="AF865" s="531"/>
      <c r="AG865" s="531"/>
    </row>
    <row r="866">
      <c r="B866" s="531"/>
      <c r="C866" s="531"/>
      <c r="D866" s="531"/>
      <c r="E866" s="531"/>
      <c r="F866" s="531"/>
      <c r="G866" s="531"/>
      <c r="H866" s="531"/>
      <c r="I866" s="531"/>
      <c r="J866" s="531"/>
      <c r="K866" s="531"/>
      <c r="L866" s="531"/>
      <c r="M866" s="531"/>
      <c r="N866" s="531"/>
      <c r="O866" s="531"/>
      <c r="P866" s="531"/>
      <c r="Q866" s="531"/>
      <c r="R866" s="531"/>
      <c r="S866" s="532"/>
      <c r="T866" s="532"/>
      <c r="U866" s="532"/>
      <c r="V866" s="532"/>
      <c r="W866" s="532"/>
      <c r="X866" s="532"/>
      <c r="Y866" s="532"/>
      <c r="Z866" s="531"/>
      <c r="AA866" s="531"/>
      <c r="AB866" s="531"/>
      <c r="AC866" s="531"/>
      <c r="AD866" s="531"/>
      <c r="AE866" s="531"/>
      <c r="AF866" s="531"/>
      <c r="AG866" s="531"/>
    </row>
    <row r="867">
      <c r="B867" s="531"/>
      <c r="C867" s="531"/>
      <c r="D867" s="531"/>
      <c r="E867" s="531"/>
      <c r="F867" s="531"/>
      <c r="G867" s="531"/>
      <c r="H867" s="531"/>
      <c r="I867" s="531"/>
      <c r="J867" s="531"/>
      <c r="K867" s="531"/>
      <c r="L867" s="531"/>
      <c r="M867" s="531"/>
      <c r="N867" s="531"/>
      <c r="O867" s="531"/>
      <c r="P867" s="531"/>
      <c r="Q867" s="531"/>
      <c r="R867" s="531"/>
      <c r="S867" s="532"/>
      <c r="T867" s="532"/>
      <c r="U867" s="532"/>
      <c r="V867" s="532"/>
      <c r="W867" s="532"/>
      <c r="X867" s="532"/>
      <c r="Y867" s="532"/>
      <c r="Z867" s="531"/>
      <c r="AA867" s="531"/>
      <c r="AB867" s="531"/>
      <c r="AC867" s="531"/>
      <c r="AD867" s="531"/>
      <c r="AE867" s="531"/>
      <c r="AF867" s="531"/>
      <c r="AG867" s="531"/>
    </row>
    <row r="868">
      <c r="B868" s="531"/>
      <c r="C868" s="531"/>
      <c r="D868" s="531"/>
      <c r="E868" s="531"/>
      <c r="F868" s="531"/>
      <c r="G868" s="531"/>
      <c r="H868" s="531"/>
      <c r="I868" s="531"/>
      <c r="J868" s="531"/>
      <c r="K868" s="531"/>
      <c r="L868" s="531"/>
      <c r="M868" s="531"/>
      <c r="N868" s="531"/>
      <c r="O868" s="531"/>
      <c r="P868" s="531"/>
      <c r="Q868" s="531"/>
      <c r="R868" s="531"/>
      <c r="S868" s="532"/>
      <c r="T868" s="532"/>
      <c r="U868" s="532"/>
      <c r="V868" s="532"/>
      <c r="W868" s="532"/>
      <c r="X868" s="532"/>
      <c r="Y868" s="532"/>
      <c r="Z868" s="531"/>
      <c r="AA868" s="531"/>
      <c r="AB868" s="531"/>
      <c r="AC868" s="531"/>
      <c r="AD868" s="531"/>
      <c r="AE868" s="531"/>
      <c r="AF868" s="531"/>
      <c r="AG868" s="531"/>
    </row>
    <row r="869">
      <c r="B869" s="531"/>
      <c r="C869" s="531"/>
      <c r="D869" s="531"/>
      <c r="E869" s="531"/>
      <c r="F869" s="531"/>
      <c r="G869" s="531"/>
      <c r="H869" s="531"/>
      <c r="I869" s="531"/>
      <c r="J869" s="531"/>
      <c r="K869" s="531"/>
      <c r="L869" s="531"/>
      <c r="M869" s="531"/>
      <c r="N869" s="531"/>
      <c r="O869" s="531"/>
      <c r="P869" s="531"/>
      <c r="Q869" s="531"/>
      <c r="R869" s="531"/>
      <c r="S869" s="532"/>
      <c r="T869" s="532"/>
      <c r="U869" s="532"/>
      <c r="V869" s="532"/>
      <c r="W869" s="532"/>
      <c r="X869" s="532"/>
      <c r="Y869" s="532"/>
      <c r="Z869" s="531"/>
      <c r="AA869" s="531"/>
      <c r="AB869" s="531"/>
      <c r="AC869" s="531"/>
      <c r="AD869" s="531"/>
      <c r="AE869" s="531"/>
      <c r="AF869" s="531"/>
      <c r="AG869" s="531"/>
    </row>
    <row r="870">
      <c r="B870" s="531"/>
      <c r="C870" s="531"/>
      <c r="D870" s="531"/>
      <c r="E870" s="531"/>
      <c r="F870" s="531"/>
      <c r="G870" s="531"/>
      <c r="H870" s="531"/>
      <c r="I870" s="531"/>
      <c r="J870" s="531"/>
      <c r="K870" s="531"/>
      <c r="L870" s="531"/>
      <c r="M870" s="531"/>
      <c r="N870" s="531"/>
      <c r="O870" s="531"/>
      <c r="P870" s="531"/>
      <c r="Q870" s="531"/>
      <c r="R870" s="531"/>
      <c r="S870" s="532"/>
      <c r="T870" s="532"/>
      <c r="U870" s="532"/>
      <c r="V870" s="532"/>
      <c r="W870" s="532"/>
      <c r="X870" s="532"/>
      <c r="Y870" s="532"/>
      <c r="Z870" s="531"/>
      <c r="AA870" s="531"/>
      <c r="AB870" s="531"/>
      <c r="AC870" s="531"/>
      <c r="AD870" s="531"/>
      <c r="AE870" s="531"/>
      <c r="AF870" s="531"/>
      <c r="AG870" s="531"/>
    </row>
    <row r="871">
      <c r="B871" s="531"/>
      <c r="C871" s="531"/>
      <c r="D871" s="531"/>
      <c r="E871" s="531"/>
      <c r="F871" s="531"/>
      <c r="G871" s="531"/>
      <c r="H871" s="531"/>
      <c r="I871" s="531"/>
      <c r="J871" s="531"/>
      <c r="K871" s="531"/>
      <c r="L871" s="531"/>
      <c r="M871" s="531"/>
      <c r="N871" s="531"/>
      <c r="O871" s="531"/>
      <c r="P871" s="531"/>
      <c r="Q871" s="531"/>
      <c r="R871" s="531"/>
      <c r="S871" s="532"/>
      <c r="T871" s="532"/>
      <c r="U871" s="532"/>
      <c r="V871" s="532"/>
      <c r="W871" s="532"/>
      <c r="X871" s="532"/>
      <c r="Y871" s="532"/>
      <c r="Z871" s="531"/>
      <c r="AA871" s="531"/>
      <c r="AB871" s="531"/>
      <c r="AC871" s="531"/>
      <c r="AD871" s="531"/>
      <c r="AE871" s="531"/>
      <c r="AF871" s="531"/>
      <c r="AG871" s="531"/>
    </row>
    <row r="872">
      <c r="B872" s="531"/>
      <c r="C872" s="531"/>
      <c r="D872" s="531"/>
      <c r="E872" s="531"/>
      <c r="F872" s="531"/>
      <c r="G872" s="531"/>
      <c r="H872" s="531"/>
      <c r="I872" s="531"/>
      <c r="J872" s="531"/>
      <c r="K872" s="531"/>
      <c r="L872" s="531"/>
      <c r="M872" s="531"/>
      <c r="N872" s="531"/>
      <c r="O872" s="531"/>
      <c r="P872" s="531"/>
      <c r="Q872" s="531"/>
      <c r="R872" s="531"/>
      <c r="S872" s="532"/>
      <c r="T872" s="532"/>
      <c r="U872" s="532"/>
      <c r="V872" s="532"/>
      <c r="W872" s="532"/>
      <c r="X872" s="532"/>
      <c r="Y872" s="532"/>
      <c r="Z872" s="531"/>
      <c r="AA872" s="531"/>
      <c r="AB872" s="531"/>
      <c r="AC872" s="531"/>
      <c r="AD872" s="531"/>
      <c r="AE872" s="531"/>
      <c r="AF872" s="531"/>
      <c r="AG872" s="531"/>
    </row>
    <row r="873">
      <c r="B873" s="531"/>
      <c r="C873" s="531"/>
      <c r="D873" s="531"/>
      <c r="E873" s="531"/>
      <c r="F873" s="531"/>
      <c r="G873" s="531"/>
      <c r="H873" s="531"/>
      <c r="I873" s="531"/>
      <c r="J873" s="531"/>
      <c r="K873" s="531"/>
      <c r="L873" s="531"/>
      <c r="M873" s="531"/>
      <c r="N873" s="531"/>
      <c r="O873" s="531"/>
      <c r="P873" s="531"/>
      <c r="Q873" s="531"/>
      <c r="R873" s="531"/>
      <c r="S873" s="532"/>
      <c r="T873" s="532"/>
      <c r="U873" s="532"/>
      <c r="V873" s="532"/>
      <c r="W873" s="532"/>
      <c r="X873" s="532"/>
      <c r="Y873" s="532"/>
      <c r="Z873" s="531"/>
      <c r="AA873" s="531"/>
      <c r="AB873" s="531"/>
      <c r="AC873" s="531"/>
      <c r="AD873" s="531"/>
      <c r="AE873" s="531"/>
      <c r="AF873" s="531"/>
      <c r="AG873" s="531"/>
    </row>
    <row r="874">
      <c r="B874" s="531"/>
      <c r="C874" s="531"/>
      <c r="D874" s="531"/>
      <c r="E874" s="531"/>
      <c r="F874" s="531"/>
      <c r="G874" s="531"/>
      <c r="H874" s="531"/>
      <c r="I874" s="531"/>
      <c r="J874" s="531"/>
      <c r="K874" s="531"/>
      <c r="L874" s="531"/>
      <c r="M874" s="531"/>
      <c r="N874" s="531"/>
      <c r="O874" s="531"/>
      <c r="P874" s="531"/>
      <c r="Q874" s="531"/>
      <c r="R874" s="531"/>
      <c r="S874" s="532"/>
      <c r="T874" s="532"/>
      <c r="U874" s="532"/>
      <c r="V874" s="532"/>
      <c r="W874" s="532"/>
      <c r="X874" s="532"/>
      <c r="Y874" s="532"/>
      <c r="Z874" s="531"/>
      <c r="AA874" s="531"/>
      <c r="AB874" s="531"/>
      <c r="AC874" s="531"/>
      <c r="AD874" s="531"/>
      <c r="AE874" s="531"/>
      <c r="AF874" s="531"/>
      <c r="AG874" s="531"/>
    </row>
    <row r="875">
      <c r="B875" s="531"/>
      <c r="C875" s="531"/>
      <c r="D875" s="531"/>
      <c r="E875" s="531"/>
      <c r="F875" s="531"/>
      <c r="G875" s="531"/>
      <c r="H875" s="531"/>
      <c r="I875" s="531"/>
      <c r="J875" s="531"/>
      <c r="K875" s="531"/>
      <c r="L875" s="531"/>
      <c r="M875" s="531"/>
      <c r="N875" s="531"/>
      <c r="O875" s="531"/>
      <c r="P875" s="531"/>
      <c r="Q875" s="531"/>
      <c r="R875" s="531"/>
      <c r="S875" s="532"/>
      <c r="T875" s="532"/>
      <c r="U875" s="532"/>
      <c r="V875" s="532"/>
      <c r="W875" s="532"/>
      <c r="X875" s="532"/>
      <c r="Y875" s="532"/>
      <c r="Z875" s="531"/>
      <c r="AA875" s="531"/>
      <c r="AB875" s="531"/>
      <c r="AC875" s="531"/>
      <c r="AD875" s="531"/>
      <c r="AE875" s="531"/>
      <c r="AF875" s="531"/>
      <c r="AG875" s="531"/>
    </row>
    <row r="876">
      <c r="B876" s="531"/>
      <c r="C876" s="531"/>
      <c r="D876" s="531"/>
      <c r="E876" s="531"/>
      <c r="F876" s="531"/>
      <c r="G876" s="531"/>
      <c r="H876" s="531"/>
      <c r="I876" s="531"/>
      <c r="J876" s="531"/>
      <c r="K876" s="531"/>
      <c r="L876" s="531"/>
      <c r="M876" s="531"/>
      <c r="N876" s="531"/>
      <c r="O876" s="531"/>
      <c r="P876" s="531"/>
      <c r="Q876" s="531"/>
      <c r="R876" s="531"/>
      <c r="S876" s="532"/>
      <c r="T876" s="532"/>
      <c r="U876" s="532"/>
      <c r="V876" s="532"/>
      <c r="W876" s="532"/>
      <c r="X876" s="532"/>
      <c r="Y876" s="532"/>
      <c r="Z876" s="531"/>
      <c r="AA876" s="531"/>
      <c r="AB876" s="531"/>
      <c r="AC876" s="531"/>
      <c r="AD876" s="531"/>
      <c r="AE876" s="531"/>
      <c r="AF876" s="531"/>
      <c r="AG876" s="531"/>
    </row>
    <row r="877">
      <c r="B877" s="531"/>
      <c r="C877" s="531"/>
      <c r="D877" s="531"/>
      <c r="E877" s="531"/>
      <c r="F877" s="531"/>
      <c r="G877" s="531"/>
      <c r="H877" s="531"/>
      <c r="I877" s="531"/>
      <c r="J877" s="531"/>
      <c r="K877" s="531"/>
      <c r="L877" s="531"/>
      <c r="M877" s="531"/>
      <c r="N877" s="531"/>
      <c r="O877" s="531"/>
      <c r="P877" s="531"/>
      <c r="Q877" s="531"/>
      <c r="R877" s="531"/>
      <c r="S877" s="532"/>
      <c r="T877" s="532"/>
      <c r="U877" s="532"/>
      <c r="V877" s="532"/>
      <c r="W877" s="532"/>
      <c r="X877" s="532"/>
      <c r="Y877" s="532"/>
      <c r="Z877" s="531"/>
      <c r="AA877" s="531"/>
      <c r="AB877" s="531"/>
      <c r="AC877" s="531"/>
      <c r="AD877" s="531"/>
      <c r="AE877" s="531"/>
      <c r="AF877" s="531"/>
      <c r="AG877" s="531"/>
    </row>
    <row r="878">
      <c r="B878" s="531"/>
      <c r="C878" s="531"/>
      <c r="D878" s="531"/>
      <c r="E878" s="531"/>
      <c r="F878" s="531"/>
      <c r="G878" s="531"/>
      <c r="H878" s="531"/>
      <c r="I878" s="531"/>
      <c r="J878" s="531"/>
      <c r="K878" s="531"/>
      <c r="L878" s="531"/>
      <c r="M878" s="531"/>
      <c r="N878" s="531"/>
      <c r="O878" s="531"/>
      <c r="P878" s="531"/>
      <c r="Q878" s="531"/>
      <c r="R878" s="531"/>
      <c r="S878" s="532"/>
      <c r="T878" s="532"/>
      <c r="U878" s="532"/>
      <c r="V878" s="532"/>
      <c r="W878" s="532"/>
      <c r="X878" s="532"/>
      <c r="Y878" s="532"/>
      <c r="Z878" s="531"/>
      <c r="AA878" s="531"/>
      <c r="AB878" s="531"/>
      <c r="AC878" s="531"/>
      <c r="AD878" s="531"/>
      <c r="AE878" s="531"/>
      <c r="AF878" s="531"/>
      <c r="AG878" s="531"/>
    </row>
    <row r="879">
      <c r="B879" s="531"/>
      <c r="C879" s="531"/>
      <c r="D879" s="531"/>
      <c r="E879" s="531"/>
      <c r="F879" s="531"/>
      <c r="G879" s="531"/>
      <c r="H879" s="531"/>
      <c r="I879" s="531"/>
      <c r="J879" s="531"/>
      <c r="K879" s="531"/>
      <c r="L879" s="531"/>
      <c r="M879" s="531"/>
      <c r="N879" s="531"/>
      <c r="O879" s="531"/>
      <c r="P879" s="531"/>
      <c r="Q879" s="531"/>
      <c r="R879" s="531"/>
      <c r="S879" s="532"/>
      <c r="T879" s="532"/>
      <c r="U879" s="532"/>
      <c r="V879" s="532"/>
      <c r="W879" s="532"/>
      <c r="X879" s="532"/>
      <c r="Y879" s="532"/>
      <c r="Z879" s="531"/>
      <c r="AA879" s="531"/>
      <c r="AB879" s="531"/>
      <c r="AC879" s="531"/>
      <c r="AD879" s="531"/>
      <c r="AE879" s="531"/>
      <c r="AF879" s="531"/>
      <c r="AG879" s="531"/>
    </row>
    <row r="880">
      <c r="B880" s="531"/>
      <c r="C880" s="531"/>
      <c r="D880" s="531"/>
      <c r="E880" s="531"/>
      <c r="F880" s="531"/>
      <c r="G880" s="531"/>
      <c r="H880" s="531"/>
      <c r="I880" s="531"/>
      <c r="J880" s="531"/>
      <c r="K880" s="531"/>
      <c r="L880" s="531"/>
      <c r="M880" s="531"/>
      <c r="N880" s="531"/>
      <c r="O880" s="531"/>
      <c r="P880" s="531"/>
      <c r="Q880" s="531"/>
      <c r="R880" s="531"/>
      <c r="S880" s="532"/>
      <c r="T880" s="532"/>
      <c r="U880" s="532"/>
      <c r="V880" s="532"/>
      <c r="W880" s="532"/>
      <c r="X880" s="532"/>
      <c r="Y880" s="532"/>
      <c r="Z880" s="531"/>
      <c r="AA880" s="531"/>
      <c r="AB880" s="531"/>
      <c r="AC880" s="531"/>
      <c r="AD880" s="531"/>
      <c r="AE880" s="531"/>
      <c r="AF880" s="531"/>
      <c r="AG880" s="531"/>
    </row>
    <row r="881">
      <c r="B881" s="531"/>
      <c r="C881" s="531"/>
      <c r="D881" s="531"/>
      <c r="E881" s="531"/>
      <c r="F881" s="531"/>
      <c r="G881" s="531"/>
      <c r="H881" s="531"/>
      <c r="I881" s="531"/>
      <c r="J881" s="531"/>
      <c r="K881" s="531"/>
      <c r="L881" s="531"/>
      <c r="M881" s="531"/>
      <c r="N881" s="531"/>
      <c r="O881" s="531"/>
      <c r="P881" s="531"/>
      <c r="Q881" s="531"/>
      <c r="R881" s="531"/>
      <c r="S881" s="532"/>
      <c r="T881" s="532"/>
      <c r="U881" s="532"/>
      <c r="V881" s="532"/>
      <c r="W881" s="532"/>
      <c r="X881" s="532"/>
      <c r="Y881" s="532"/>
      <c r="Z881" s="531"/>
      <c r="AA881" s="531"/>
      <c r="AB881" s="531"/>
      <c r="AC881" s="531"/>
      <c r="AD881" s="531"/>
      <c r="AE881" s="531"/>
      <c r="AF881" s="531"/>
      <c r="AG881" s="531"/>
    </row>
    <row r="882">
      <c r="B882" s="531"/>
      <c r="C882" s="531"/>
      <c r="D882" s="531"/>
      <c r="E882" s="531"/>
      <c r="F882" s="531"/>
      <c r="G882" s="531"/>
      <c r="H882" s="531"/>
      <c r="I882" s="531"/>
      <c r="J882" s="531"/>
      <c r="K882" s="531"/>
      <c r="L882" s="531"/>
      <c r="M882" s="531"/>
      <c r="N882" s="531"/>
      <c r="O882" s="531"/>
      <c r="P882" s="531"/>
      <c r="Q882" s="531"/>
      <c r="R882" s="531"/>
      <c r="S882" s="532"/>
      <c r="T882" s="532"/>
      <c r="U882" s="532"/>
      <c r="V882" s="532"/>
      <c r="W882" s="532"/>
      <c r="X882" s="532"/>
      <c r="Y882" s="532"/>
      <c r="Z882" s="531"/>
      <c r="AA882" s="531"/>
      <c r="AB882" s="531"/>
      <c r="AC882" s="531"/>
      <c r="AD882" s="531"/>
      <c r="AE882" s="531"/>
      <c r="AF882" s="531"/>
      <c r="AG882" s="531"/>
    </row>
    <row r="883">
      <c r="B883" s="531"/>
      <c r="C883" s="531"/>
      <c r="D883" s="531"/>
      <c r="E883" s="531"/>
      <c r="F883" s="531"/>
      <c r="G883" s="531"/>
      <c r="H883" s="531"/>
      <c r="I883" s="531"/>
      <c r="J883" s="531"/>
      <c r="K883" s="531"/>
      <c r="L883" s="531"/>
      <c r="M883" s="531"/>
      <c r="N883" s="531"/>
      <c r="O883" s="531"/>
      <c r="P883" s="531"/>
      <c r="Q883" s="531"/>
      <c r="R883" s="531"/>
      <c r="S883" s="532"/>
      <c r="T883" s="532"/>
      <c r="U883" s="532"/>
      <c r="V883" s="532"/>
      <c r="W883" s="532"/>
      <c r="X883" s="532"/>
      <c r="Y883" s="532"/>
      <c r="Z883" s="531"/>
      <c r="AA883" s="531"/>
      <c r="AB883" s="531"/>
      <c r="AC883" s="531"/>
      <c r="AD883" s="531"/>
      <c r="AE883" s="531"/>
      <c r="AF883" s="531"/>
      <c r="AG883" s="531"/>
    </row>
    <row r="884">
      <c r="B884" s="531"/>
      <c r="C884" s="531"/>
      <c r="D884" s="531"/>
      <c r="E884" s="531"/>
      <c r="F884" s="531"/>
      <c r="G884" s="531"/>
      <c r="H884" s="531"/>
      <c r="I884" s="531"/>
      <c r="J884" s="531"/>
      <c r="K884" s="531"/>
      <c r="L884" s="531"/>
      <c r="M884" s="531"/>
      <c r="N884" s="531"/>
      <c r="O884" s="531"/>
      <c r="P884" s="531"/>
      <c r="Q884" s="531"/>
      <c r="R884" s="531"/>
      <c r="S884" s="532"/>
      <c r="T884" s="532"/>
      <c r="U884" s="532"/>
      <c r="V884" s="532"/>
      <c r="W884" s="532"/>
      <c r="X884" s="532"/>
      <c r="Y884" s="532"/>
      <c r="Z884" s="531"/>
      <c r="AA884" s="531"/>
      <c r="AB884" s="531"/>
      <c r="AC884" s="531"/>
      <c r="AD884" s="531"/>
      <c r="AE884" s="531"/>
      <c r="AF884" s="531"/>
      <c r="AG884" s="531"/>
    </row>
    <row r="885">
      <c r="B885" s="531"/>
      <c r="C885" s="531"/>
      <c r="D885" s="531"/>
      <c r="E885" s="531"/>
      <c r="F885" s="531"/>
      <c r="G885" s="531"/>
      <c r="H885" s="531"/>
      <c r="I885" s="531"/>
      <c r="J885" s="531"/>
      <c r="K885" s="531"/>
      <c r="L885" s="531"/>
      <c r="M885" s="531"/>
      <c r="N885" s="531"/>
      <c r="O885" s="531"/>
      <c r="P885" s="531"/>
      <c r="Q885" s="531"/>
      <c r="R885" s="531"/>
      <c r="S885" s="532"/>
      <c r="T885" s="532"/>
      <c r="U885" s="532"/>
      <c r="V885" s="532"/>
      <c r="W885" s="532"/>
      <c r="X885" s="532"/>
      <c r="Y885" s="532"/>
      <c r="Z885" s="531"/>
      <c r="AA885" s="531"/>
      <c r="AB885" s="531"/>
      <c r="AC885" s="531"/>
      <c r="AD885" s="531"/>
      <c r="AE885" s="531"/>
      <c r="AF885" s="531"/>
      <c r="AG885" s="531"/>
    </row>
    <row r="886">
      <c r="B886" s="531"/>
      <c r="C886" s="531"/>
      <c r="D886" s="531"/>
      <c r="E886" s="531"/>
      <c r="F886" s="531"/>
      <c r="G886" s="531"/>
      <c r="H886" s="531"/>
      <c r="I886" s="531"/>
      <c r="J886" s="531"/>
      <c r="K886" s="531"/>
      <c r="L886" s="531"/>
      <c r="M886" s="531"/>
      <c r="N886" s="531"/>
      <c r="O886" s="531"/>
      <c r="P886" s="531"/>
      <c r="Q886" s="531"/>
      <c r="R886" s="531"/>
      <c r="S886" s="532"/>
      <c r="T886" s="532"/>
      <c r="U886" s="532"/>
      <c r="V886" s="532"/>
      <c r="W886" s="532"/>
      <c r="X886" s="532"/>
      <c r="Y886" s="532"/>
      <c r="Z886" s="531"/>
      <c r="AA886" s="531"/>
      <c r="AB886" s="531"/>
      <c r="AC886" s="531"/>
      <c r="AD886" s="531"/>
      <c r="AE886" s="531"/>
      <c r="AF886" s="531"/>
      <c r="AG886" s="531"/>
    </row>
    <row r="887">
      <c r="B887" s="531"/>
      <c r="C887" s="531"/>
      <c r="D887" s="531"/>
      <c r="E887" s="531"/>
      <c r="F887" s="531"/>
      <c r="G887" s="531"/>
      <c r="H887" s="531"/>
      <c r="I887" s="531"/>
      <c r="J887" s="531"/>
      <c r="K887" s="531"/>
      <c r="L887" s="531"/>
      <c r="M887" s="531"/>
      <c r="N887" s="531"/>
      <c r="O887" s="531"/>
      <c r="P887" s="531"/>
      <c r="Q887" s="531"/>
      <c r="R887" s="531"/>
      <c r="S887" s="532"/>
      <c r="T887" s="532"/>
      <c r="U887" s="532"/>
      <c r="V887" s="532"/>
      <c r="W887" s="532"/>
      <c r="X887" s="532"/>
      <c r="Y887" s="532"/>
      <c r="Z887" s="531"/>
      <c r="AA887" s="531"/>
      <c r="AB887" s="531"/>
      <c r="AC887" s="531"/>
      <c r="AD887" s="531"/>
      <c r="AE887" s="531"/>
      <c r="AF887" s="531"/>
      <c r="AG887" s="531"/>
    </row>
    <row r="888">
      <c r="B888" s="531"/>
      <c r="C888" s="531"/>
      <c r="D888" s="531"/>
      <c r="E888" s="531"/>
      <c r="F888" s="531"/>
      <c r="G888" s="531"/>
      <c r="H888" s="531"/>
      <c r="I888" s="531"/>
      <c r="J888" s="531"/>
      <c r="K888" s="531"/>
      <c r="L888" s="531"/>
      <c r="M888" s="531"/>
      <c r="N888" s="531"/>
      <c r="O888" s="531"/>
      <c r="P888" s="531"/>
      <c r="Q888" s="531"/>
      <c r="R888" s="531"/>
      <c r="S888" s="532"/>
      <c r="T888" s="532"/>
      <c r="U888" s="532"/>
      <c r="V888" s="532"/>
      <c r="W888" s="532"/>
      <c r="X888" s="532"/>
      <c r="Y888" s="532"/>
      <c r="Z888" s="531"/>
      <c r="AA888" s="531"/>
      <c r="AB888" s="531"/>
      <c r="AC888" s="531"/>
      <c r="AD888" s="531"/>
      <c r="AE888" s="531"/>
      <c r="AF888" s="531"/>
      <c r="AG888" s="531"/>
    </row>
    <row r="889">
      <c r="B889" s="531"/>
      <c r="C889" s="531"/>
      <c r="D889" s="531"/>
      <c r="E889" s="531"/>
      <c r="F889" s="531"/>
      <c r="G889" s="531"/>
      <c r="H889" s="531"/>
      <c r="I889" s="531"/>
      <c r="J889" s="531"/>
      <c r="K889" s="531"/>
      <c r="L889" s="531"/>
      <c r="M889" s="531"/>
      <c r="N889" s="531"/>
      <c r="O889" s="531"/>
      <c r="P889" s="531"/>
      <c r="Q889" s="531"/>
      <c r="R889" s="531"/>
      <c r="S889" s="532"/>
      <c r="T889" s="532"/>
      <c r="U889" s="532"/>
      <c r="V889" s="532"/>
      <c r="W889" s="532"/>
      <c r="X889" s="532"/>
      <c r="Y889" s="532"/>
      <c r="Z889" s="531"/>
      <c r="AA889" s="531"/>
      <c r="AB889" s="531"/>
      <c r="AC889" s="531"/>
      <c r="AD889" s="531"/>
      <c r="AE889" s="531"/>
      <c r="AF889" s="531"/>
      <c r="AG889" s="531"/>
    </row>
    <row r="890">
      <c r="B890" s="531"/>
      <c r="C890" s="531"/>
      <c r="D890" s="531"/>
      <c r="E890" s="531"/>
      <c r="F890" s="531"/>
      <c r="G890" s="531"/>
      <c r="H890" s="531"/>
      <c r="I890" s="531"/>
      <c r="J890" s="531"/>
      <c r="K890" s="531"/>
      <c r="L890" s="531"/>
      <c r="M890" s="531"/>
      <c r="N890" s="531"/>
      <c r="O890" s="531"/>
      <c r="P890" s="531"/>
      <c r="Q890" s="531"/>
      <c r="R890" s="531"/>
      <c r="S890" s="532"/>
      <c r="T890" s="532"/>
      <c r="U890" s="532"/>
      <c r="V890" s="532"/>
      <c r="W890" s="532"/>
      <c r="X890" s="532"/>
      <c r="Y890" s="532"/>
      <c r="Z890" s="531"/>
      <c r="AA890" s="531"/>
      <c r="AB890" s="531"/>
      <c r="AC890" s="531"/>
      <c r="AD890" s="531"/>
      <c r="AE890" s="531"/>
      <c r="AF890" s="531"/>
      <c r="AG890" s="531"/>
    </row>
    <row r="891">
      <c r="B891" s="531"/>
      <c r="C891" s="531"/>
      <c r="D891" s="531"/>
      <c r="E891" s="531"/>
      <c r="F891" s="531"/>
      <c r="G891" s="531"/>
      <c r="H891" s="531"/>
      <c r="I891" s="531"/>
      <c r="J891" s="531"/>
      <c r="K891" s="531"/>
      <c r="L891" s="531"/>
      <c r="M891" s="531"/>
      <c r="N891" s="531"/>
      <c r="O891" s="531"/>
      <c r="P891" s="531"/>
      <c r="Q891" s="531"/>
      <c r="R891" s="531"/>
      <c r="S891" s="532"/>
      <c r="T891" s="532"/>
      <c r="U891" s="532"/>
      <c r="V891" s="532"/>
      <c r="W891" s="532"/>
      <c r="X891" s="532"/>
      <c r="Y891" s="532"/>
      <c r="Z891" s="531"/>
      <c r="AA891" s="531"/>
      <c r="AB891" s="531"/>
      <c r="AC891" s="531"/>
      <c r="AD891" s="531"/>
      <c r="AE891" s="531"/>
      <c r="AF891" s="531"/>
      <c r="AG891" s="531"/>
    </row>
    <row r="892">
      <c r="B892" s="531"/>
      <c r="C892" s="531"/>
      <c r="D892" s="531"/>
      <c r="E892" s="531"/>
      <c r="F892" s="531"/>
      <c r="G892" s="531"/>
      <c r="H892" s="531"/>
      <c r="I892" s="531"/>
      <c r="J892" s="531"/>
      <c r="K892" s="531"/>
      <c r="L892" s="531"/>
      <c r="M892" s="531"/>
      <c r="N892" s="531"/>
      <c r="O892" s="531"/>
      <c r="P892" s="531"/>
      <c r="Q892" s="531"/>
      <c r="R892" s="531"/>
      <c r="S892" s="532"/>
      <c r="T892" s="532"/>
      <c r="U892" s="532"/>
      <c r="V892" s="532"/>
      <c r="W892" s="532"/>
      <c r="X892" s="532"/>
      <c r="Y892" s="532"/>
      <c r="Z892" s="531"/>
      <c r="AA892" s="531"/>
      <c r="AB892" s="531"/>
      <c r="AC892" s="531"/>
      <c r="AD892" s="531"/>
      <c r="AE892" s="531"/>
      <c r="AF892" s="531"/>
      <c r="AG892" s="531"/>
    </row>
    <row r="893">
      <c r="B893" s="531"/>
      <c r="C893" s="531"/>
      <c r="D893" s="531"/>
      <c r="E893" s="531"/>
      <c r="F893" s="531"/>
      <c r="G893" s="531"/>
      <c r="H893" s="531"/>
      <c r="I893" s="531"/>
      <c r="J893" s="531"/>
      <c r="K893" s="531"/>
      <c r="L893" s="531"/>
      <c r="M893" s="531"/>
      <c r="N893" s="531"/>
      <c r="O893" s="531"/>
      <c r="P893" s="531"/>
      <c r="Q893" s="531"/>
      <c r="R893" s="531"/>
      <c r="S893" s="532"/>
      <c r="T893" s="532"/>
      <c r="U893" s="532"/>
      <c r="V893" s="532"/>
      <c r="W893" s="532"/>
      <c r="X893" s="532"/>
      <c r="Y893" s="532"/>
      <c r="Z893" s="531"/>
      <c r="AA893" s="531"/>
      <c r="AB893" s="531"/>
      <c r="AC893" s="531"/>
      <c r="AD893" s="531"/>
      <c r="AE893" s="531"/>
      <c r="AF893" s="531"/>
      <c r="AG893" s="531"/>
    </row>
    <row r="894">
      <c r="B894" s="531"/>
      <c r="C894" s="531"/>
      <c r="D894" s="531"/>
      <c r="E894" s="531"/>
      <c r="F894" s="531"/>
      <c r="G894" s="531"/>
      <c r="H894" s="531"/>
      <c r="I894" s="531"/>
      <c r="J894" s="531"/>
      <c r="K894" s="531"/>
      <c r="L894" s="531"/>
      <c r="M894" s="531"/>
      <c r="N894" s="531"/>
      <c r="O894" s="531"/>
      <c r="P894" s="531"/>
      <c r="Q894" s="531"/>
      <c r="R894" s="531"/>
      <c r="S894" s="532"/>
      <c r="T894" s="532"/>
      <c r="U894" s="532"/>
      <c r="V894" s="532"/>
      <c r="W894" s="532"/>
      <c r="X894" s="532"/>
      <c r="Y894" s="532"/>
      <c r="Z894" s="531"/>
      <c r="AA894" s="531"/>
      <c r="AB894" s="531"/>
      <c r="AC894" s="531"/>
      <c r="AD894" s="531"/>
      <c r="AE894" s="531"/>
      <c r="AF894" s="531"/>
      <c r="AG894" s="531"/>
    </row>
    <row r="895">
      <c r="B895" s="531"/>
      <c r="C895" s="531"/>
      <c r="D895" s="531"/>
      <c r="E895" s="531"/>
      <c r="F895" s="531"/>
      <c r="G895" s="531"/>
      <c r="H895" s="531"/>
      <c r="I895" s="531"/>
      <c r="J895" s="531"/>
      <c r="K895" s="531"/>
      <c r="L895" s="531"/>
      <c r="M895" s="531"/>
      <c r="N895" s="531"/>
      <c r="O895" s="531"/>
      <c r="P895" s="531"/>
      <c r="Q895" s="531"/>
      <c r="R895" s="531"/>
      <c r="S895" s="532"/>
      <c r="T895" s="532"/>
      <c r="U895" s="532"/>
      <c r="V895" s="532"/>
      <c r="W895" s="532"/>
      <c r="X895" s="532"/>
      <c r="Y895" s="532"/>
      <c r="Z895" s="531"/>
      <c r="AA895" s="531"/>
      <c r="AB895" s="531"/>
      <c r="AC895" s="531"/>
      <c r="AD895" s="531"/>
      <c r="AE895" s="531"/>
      <c r="AF895" s="531"/>
      <c r="AG895" s="531"/>
    </row>
    <row r="896">
      <c r="B896" s="531"/>
      <c r="C896" s="531"/>
      <c r="D896" s="531"/>
      <c r="E896" s="531"/>
      <c r="F896" s="531"/>
      <c r="G896" s="531"/>
      <c r="H896" s="531"/>
      <c r="I896" s="531"/>
      <c r="J896" s="531"/>
      <c r="K896" s="531"/>
      <c r="L896" s="531"/>
      <c r="M896" s="531"/>
      <c r="N896" s="531"/>
      <c r="O896" s="531"/>
      <c r="P896" s="531"/>
      <c r="Q896" s="531"/>
      <c r="R896" s="531"/>
      <c r="S896" s="532"/>
      <c r="T896" s="532"/>
      <c r="U896" s="532"/>
      <c r="V896" s="532"/>
      <c r="W896" s="532"/>
      <c r="X896" s="532"/>
      <c r="Y896" s="532"/>
      <c r="Z896" s="531"/>
      <c r="AA896" s="531"/>
      <c r="AB896" s="531"/>
      <c r="AC896" s="531"/>
      <c r="AD896" s="531"/>
      <c r="AE896" s="531"/>
      <c r="AF896" s="531"/>
      <c r="AG896" s="531"/>
    </row>
    <row r="897">
      <c r="B897" s="531"/>
      <c r="C897" s="531"/>
      <c r="D897" s="531"/>
      <c r="E897" s="531"/>
      <c r="F897" s="531"/>
      <c r="G897" s="531"/>
      <c r="H897" s="531"/>
      <c r="I897" s="531"/>
      <c r="J897" s="531"/>
      <c r="K897" s="531"/>
      <c r="L897" s="531"/>
      <c r="M897" s="531"/>
      <c r="N897" s="531"/>
      <c r="O897" s="531"/>
      <c r="P897" s="531"/>
      <c r="Q897" s="531"/>
      <c r="R897" s="531"/>
      <c r="S897" s="532"/>
      <c r="T897" s="532"/>
      <c r="U897" s="532"/>
      <c r="V897" s="532"/>
      <c r="W897" s="532"/>
      <c r="X897" s="532"/>
      <c r="Y897" s="532"/>
      <c r="Z897" s="531"/>
      <c r="AA897" s="531"/>
      <c r="AB897" s="531"/>
      <c r="AC897" s="531"/>
      <c r="AD897" s="531"/>
      <c r="AE897" s="531"/>
      <c r="AF897" s="531"/>
      <c r="AG897" s="531"/>
    </row>
    <row r="898">
      <c r="B898" s="531"/>
      <c r="C898" s="531"/>
      <c r="D898" s="531"/>
      <c r="E898" s="531"/>
      <c r="F898" s="531"/>
      <c r="G898" s="531"/>
      <c r="H898" s="531"/>
      <c r="I898" s="531"/>
      <c r="J898" s="531"/>
      <c r="K898" s="531"/>
      <c r="L898" s="531"/>
      <c r="M898" s="531"/>
      <c r="N898" s="531"/>
      <c r="O898" s="531"/>
      <c r="P898" s="531"/>
      <c r="Q898" s="531"/>
      <c r="R898" s="531"/>
      <c r="S898" s="532"/>
      <c r="T898" s="532"/>
      <c r="U898" s="532"/>
      <c r="V898" s="532"/>
      <c r="W898" s="532"/>
      <c r="X898" s="532"/>
      <c r="Y898" s="532"/>
      <c r="Z898" s="531"/>
      <c r="AA898" s="531"/>
      <c r="AB898" s="531"/>
      <c r="AC898" s="531"/>
      <c r="AD898" s="531"/>
      <c r="AE898" s="531"/>
      <c r="AF898" s="531"/>
      <c r="AG898" s="531"/>
    </row>
    <row r="899">
      <c r="B899" s="531"/>
      <c r="C899" s="531"/>
      <c r="D899" s="531"/>
      <c r="E899" s="531"/>
      <c r="F899" s="531"/>
      <c r="G899" s="531"/>
      <c r="H899" s="531"/>
      <c r="I899" s="531"/>
      <c r="J899" s="531"/>
      <c r="K899" s="531"/>
      <c r="L899" s="531"/>
      <c r="M899" s="531"/>
      <c r="N899" s="531"/>
      <c r="O899" s="531"/>
      <c r="P899" s="531"/>
      <c r="Q899" s="531"/>
      <c r="R899" s="531"/>
      <c r="S899" s="532"/>
      <c r="T899" s="532"/>
      <c r="U899" s="532"/>
      <c r="V899" s="532"/>
      <c r="W899" s="532"/>
      <c r="X899" s="532"/>
      <c r="Y899" s="532"/>
      <c r="Z899" s="531"/>
      <c r="AA899" s="531"/>
      <c r="AB899" s="531"/>
      <c r="AC899" s="531"/>
      <c r="AD899" s="531"/>
      <c r="AE899" s="531"/>
      <c r="AF899" s="531"/>
      <c r="AG899" s="531"/>
    </row>
    <row r="900">
      <c r="B900" s="531"/>
      <c r="C900" s="531"/>
      <c r="D900" s="531"/>
      <c r="E900" s="531"/>
      <c r="F900" s="531"/>
      <c r="G900" s="531"/>
      <c r="H900" s="531"/>
      <c r="I900" s="531"/>
      <c r="J900" s="531"/>
      <c r="K900" s="531"/>
      <c r="L900" s="531"/>
      <c r="M900" s="531"/>
      <c r="N900" s="531"/>
      <c r="O900" s="531"/>
      <c r="P900" s="531"/>
      <c r="Q900" s="531"/>
      <c r="R900" s="531"/>
      <c r="S900" s="532"/>
      <c r="T900" s="532"/>
      <c r="U900" s="532"/>
      <c r="V900" s="532"/>
      <c r="W900" s="532"/>
      <c r="X900" s="532"/>
      <c r="Y900" s="532"/>
      <c r="Z900" s="531"/>
      <c r="AA900" s="531"/>
      <c r="AB900" s="531"/>
      <c r="AC900" s="531"/>
      <c r="AD900" s="531"/>
      <c r="AE900" s="531"/>
      <c r="AF900" s="531"/>
      <c r="AG900" s="531"/>
    </row>
    <row r="901">
      <c r="B901" s="531"/>
      <c r="C901" s="531"/>
      <c r="D901" s="531"/>
      <c r="E901" s="531"/>
      <c r="F901" s="531"/>
      <c r="G901" s="531"/>
      <c r="H901" s="531"/>
      <c r="I901" s="531"/>
      <c r="J901" s="531"/>
      <c r="K901" s="531"/>
      <c r="L901" s="531"/>
      <c r="M901" s="531"/>
      <c r="N901" s="531"/>
      <c r="O901" s="531"/>
      <c r="P901" s="531"/>
      <c r="Q901" s="531"/>
      <c r="R901" s="531"/>
      <c r="S901" s="532"/>
      <c r="T901" s="532"/>
      <c r="U901" s="532"/>
      <c r="V901" s="532"/>
      <c r="W901" s="532"/>
      <c r="X901" s="532"/>
      <c r="Y901" s="532"/>
      <c r="Z901" s="531"/>
      <c r="AA901" s="531"/>
      <c r="AB901" s="531"/>
      <c r="AC901" s="531"/>
      <c r="AD901" s="531"/>
      <c r="AE901" s="531"/>
      <c r="AF901" s="531"/>
      <c r="AG901" s="531"/>
    </row>
    <row r="902">
      <c r="B902" s="531"/>
      <c r="C902" s="531"/>
      <c r="D902" s="531"/>
      <c r="E902" s="531"/>
      <c r="F902" s="531"/>
      <c r="G902" s="531"/>
      <c r="H902" s="531"/>
      <c r="I902" s="531"/>
      <c r="J902" s="531"/>
      <c r="K902" s="531"/>
      <c r="L902" s="531"/>
      <c r="M902" s="531"/>
      <c r="N902" s="531"/>
      <c r="O902" s="531"/>
      <c r="P902" s="531"/>
      <c r="Q902" s="531"/>
      <c r="R902" s="531"/>
      <c r="S902" s="532"/>
      <c r="T902" s="532"/>
      <c r="U902" s="532"/>
      <c r="V902" s="532"/>
      <c r="W902" s="532"/>
      <c r="X902" s="532"/>
      <c r="Y902" s="532"/>
      <c r="Z902" s="531"/>
      <c r="AA902" s="531"/>
      <c r="AB902" s="531"/>
      <c r="AC902" s="531"/>
      <c r="AD902" s="531"/>
      <c r="AE902" s="531"/>
      <c r="AF902" s="531"/>
      <c r="AG902" s="531"/>
    </row>
    <row r="903">
      <c r="B903" s="531"/>
      <c r="C903" s="531"/>
      <c r="D903" s="531"/>
      <c r="E903" s="531"/>
      <c r="F903" s="531"/>
      <c r="G903" s="531"/>
      <c r="H903" s="531"/>
      <c r="I903" s="531"/>
      <c r="J903" s="531"/>
      <c r="K903" s="531"/>
      <c r="L903" s="531"/>
      <c r="M903" s="531"/>
      <c r="N903" s="531"/>
      <c r="O903" s="531"/>
      <c r="P903" s="531"/>
      <c r="Q903" s="531"/>
      <c r="R903" s="531"/>
      <c r="S903" s="532"/>
      <c r="T903" s="532"/>
      <c r="U903" s="532"/>
      <c r="V903" s="532"/>
      <c r="W903" s="532"/>
      <c r="X903" s="532"/>
      <c r="Y903" s="532"/>
      <c r="Z903" s="531"/>
      <c r="AA903" s="531"/>
      <c r="AB903" s="531"/>
      <c r="AC903" s="531"/>
      <c r="AD903" s="531"/>
      <c r="AE903" s="531"/>
      <c r="AF903" s="531"/>
      <c r="AG903" s="531"/>
    </row>
    <row r="904">
      <c r="B904" s="531"/>
      <c r="C904" s="531"/>
      <c r="D904" s="531"/>
      <c r="E904" s="531"/>
      <c r="F904" s="531"/>
      <c r="G904" s="531"/>
      <c r="H904" s="531"/>
      <c r="I904" s="531"/>
      <c r="J904" s="531"/>
      <c r="K904" s="531"/>
      <c r="L904" s="531"/>
      <c r="M904" s="531"/>
      <c r="N904" s="531"/>
      <c r="O904" s="531"/>
      <c r="P904" s="531"/>
      <c r="Q904" s="531"/>
      <c r="R904" s="531"/>
      <c r="S904" s="532"/>
      <c r="T904" s="532"/>
      <c r="U904" s="532"/>
      <c r="V904" s="532"/>
      <c r="W904" s="532"/>
      <c r="X904" s="532"/>
      <c r="Y904" s="532"/>
      <c r="Z904" s="531"/>
      <c r="AA904" s="531"/>
      <c r="AB904" s="531"/>
      <c r="AC904" s="531"/>
      <c r="AD904" s="531"/>
      <c r="AE904" s="531"/>
      <c r="AF904" s="531"/>
      <c r="AG904" s="531"/>
    </row>
    <row r="905">
      <c r="B905" s="531"/>
      <c r="C905" s="531"/>
      <c r="D905" s="531"/>
      <c r="E905" s="531"/>
      <c r="F905" s="531"/>
      <c r="G905" s="531"/>
      <c r="H905" s="531"/>
      <c r="I905" s="531"/>
      <c r="J905" s="531"/>
      <c r="K905" s="531"/>
      <c r="L905" s="531"/>
      <c r="M905" s="531"/>
      <c r="N905" s="531"/>
      <c r="O905" s="531"/>
      <c r="P905" s="531"/>
      <c r="Q905" s="531"/>
      <c r="R905" s="531"/>
      <c r="S905" s="532"/>
      <c r="T905" s="532"/>
      <c r="U905" s="532"/>
      <c r="V905" s="532"/>
      <c r="W905" s="532"/>
      <c r="X905" s="532"/>
      <c r="Y905" s="532"/>
      <c r="Z905" s="531"/>
      <c r="AA905" s="531"/>
      <c r="AB905" s="531"/>
      <c r="AC905" s="531"/>
      <c r="AD905" s="531"/>
      <c r="AE905" s="531"/>
      <c r="AF905" s="531"/>
      <c r="AG905" s="531"/>
    </row>
    <row r="906">
      <c r="B906" s="531"/>
      <c r="C906" s="531"/>
      <c r="D906" s="531"/>
      <c r="E906" s="531"/>
      <c r="F906" s="531"/>
      <c r="G906" s="531"/>
      <c r="H906" s="531"/>
      <c r="I906" s="531"/>
      <c r="J906" s="531"/>
      <c r="K906" s="531"/>
      <c r="L906" s="531"/>
      <c r="M906" s="531"/>
      <c r="N906" s="531"/>
      <c r="O906" s="531"/>
      <c r="P906" s="531"/>
      <c r="Q906" s="531"/>
      <c r="R906" s="531"/>
      <c r="S906" s="532"/>
      <c r="T906" s="532"/>
      <c r="U906" s="532"/>
      <c r="V906" s="532"/>
      <c r="W906" s="532"/>
      <c r="X906" s="532"/>
      <c r="Y906" s="532"/>
      <c r="Z906" s="531"/>
      <c r="AA906" s="531"/>
      <c r="AB906" s="531"/>
      <c r="AC906" s="531"/>
      <c r="AD906" s="531"/>
      <c r="AE906" s="531"/>
      <c r="AF906" s="531"/>
      <c r="AG906" s="531"/>
    </row>
    <row r="907">
      <c r="B907" s="531"/>
      <c r="C907" s="531"/>
      <c r="D907" s="531"/>
      <c r="E907" s="531"/>
      <c r="F907" s="531"/>
      <c r="G907" s="531"/>
      <c r="H907" s="531"/>
      <c r="I907" s="531"/>
      <c r="J907" s="531"/>
      <c r="K907" s="531"/>
      <c r="L907" s="531"/>
      <c r="M907" s="531"/>
      <c r="N907" s="531"/>
      <c r="O907" s="531"/>
      <c r="P907" s="531"/>
      <c r="Q907" s="531"/>
      <c r="R907" s="531"/>
      <c r="S907" s="532"/>
      <c r="T907" s="532"/>
      <c r="U907" s="532"/>
      <c r="V907" s="532"/>
      <c r="W907" s="532"/>
      <c r="X907" s="532"/>
      <c r="Y907" s="532"/>
      <c r="Z907" s="531"/>
      <c r="AA907" s="531"/>
      <c r="AB907" s="531"/>
      <c r="AC907" s="531"/>
      <c r="AD907" s="531"/>
      <c r="AE907" s="531"/>
      <c r="AF907" s="531"/>
      <c r="AG907" s="531"/>
    </row>
    <row r="908">
      <c r="B908" s="531"/>
      <c r="C908" s="531"/>
      <c r="D908" s="531"/>
      <c r="E908" s="531"/>
      <c r="F908" s="531"/>
      <c r="G908" s="531"/>
      <c r="H908" s="531"/>
      <c r="I908" s="531"/>
      <c r="J908" s="531"/>
      <c r="K908" s="531"/>
      <c r="L908" s="531"/>
      <c r="M908" s="531"/>
      <c r="N908" s="531"/>
      <c r="O908" s="531"/>
      <c r="P908" s="531"/>
      <c r="Q908" s="531"/>
      <c r="R908" s="531"/>
      <c r="S908" s="532"/>
      <c r="T908" s="532"/>
      <c r="U908" s="532"/>
      <c r="V908" s="532"/>
      <c r="W908" s="532"/>
      <c r="X908" s="532"/>
      <c r="Y908" s="532"/>
      <c r="Z908" s="531"/>
      <c r="AA908" s="531"/>
      <c r="AB908" s="531"/>
      <c r="AC908" s="531"/>
      <c r="AD908" s="531"/>
      <c r="AE908" s="531"/>
      <c r="AF908" s="531"/>
      <c r="AG908" s="531"/>
    </row>
    <row r="909">
      <c r="B909" s="531"/>
      <c r="C909" s="531"/>
      <c r="D909" s="531"/>
      <c r="E909" s="531"/>
      <c r="F909" s="531"/>
      <c r="G909" s="531"/>
      <c r="H909" s="531"/>
      <c r="I909" s="531"/>
      <c r="J909" s="531"/>
      <c r="K909" s="531"/>
      <c r="L909" s="531"/>
      <c r="M909" s="531"/>
      <c r="N909" s="531"/>
      <c r="O909" s="531"/>
      <c r="P909" s="531"/>
      <c r="Q909" s="531"/>
      <c r="R909" s="531"/>
      <c r="S909" s="532"/>
      <c r="T909" s="532"/>
      <c r="U909" s="532"/>
      <c r="V909" s="532"/>
      <c r="W909" s="532"/>
      <c r="X909" s="532"/>
      <c r="Y909" s="532"/>
      <c r="Z909" s="531"/>
      <c r="AA909" s="531"/>
      <c r="AB909" s="531"/>
      <c r="AC909" s="531"/>
      <c r="AD909" s="531"/>
      <c r="AE909" s="531"/>
      <c r="AF909" s="531"/>
      <c r="AG909" s="531"/>
    </row>
    <row r="910">
      <c r="B910" s="531"/>
      <c r="C910" s="531"/>
      <c r="D910" s="531"/>
      <c r="E910" s="531"/>
      <c r="F910" s="531"/>
      <c r="G910" s="531"/>
      <c r="H910" s="531"/>
      <c r="I910" s="531"/>
      <c r="J910" s="531"/>
      <c r="K910" s="531"/>
      <c r="L910" s="531"/>
      <c r="M910" s="531"/>
      <c r="N910" s="531"/>
      <c r="O910" s="531"/>
      <c r="P910" s="531"/>
      <c r="Q910" s="531"/>
      <c r="R910" s="531"/>
      <c r="S910" s="532"/>
      <c r="T910" s="532"/>
      <c r="U910" s="532"/>
      <c r="V910" s="532"/>
      <c r="W910" s="532"/>
      <c r="X910" s="532"/>
      <c r="Y910" s="532"/>
      <c r="Z910" s="531"/>
      <c r="AA910" s="531"/>
      <c r="AB910" s="531"/>
      <c r="AC910" s="531"/>
      <c r="AD910" s="531"/>
      <c r="AE910" s="531"/>
      <c r="AF910" s="531"/>
      <c r="AG910" s="531"/>
    </row>
    <row r="911">
      <c r="B911" s="531"/>
      <c r="C911" s="531"/>
      <c r="D911" s="531"/>
      <c r="E911" s="531"/>
      <c r="F911" s="531"/>
      <c r="G911" s="531"/>
      <c r="H911" s="531"/>
      <c r="I911" s="531"/>
      <c r="J911" s="531"/>
      <c r="K911" s="531"/>
      <c r="L911" s="531"/>
      <c r="M911" s="531"/>
      <c r="N911" s="531"/>
      <c r="O911" s="531"/>
      <c r="P911" s="531"/>
      <c r="Q911" s="531"/>
      <c r="R911" s="531"/>
      <c r="S911" s="532"/>
      <c r="T911" s="532"/>
      <c r="U911" s="532"/>
      <c r="V911" s="532"/>
      <c r="W911" s="532"/>
      <c r="X911" s="532"/>
      <c r="Y911" s="532"/>
      <c r="Z911" s="531"/>
      <c r="AA911" s="531"/>
      <c r="AB911" s="531"/>
      <c r="AC911" s="531"/>
      <c r="AD911" s="531"/>
      <c r="AE911" s="531"/>
      <c r="AF911" s="531"/>
      <c r="AG911" s="531"/>
    </row>
    <row r="912">
      <c r="B912" s="531"/>
      <c r="C912" s="531"/>
      <c r="D912" s="531"/>
      <c r="E912" s="531"/>
      <c r="F912" s="531"/>
      <c r="G912" s="531"/>
      <c r="H912" s="531"/>
      <c r="I912" s="531"/>
      <c r="J912" s="531"/>
      <c r="K912" s="531"/>
      <c r="L912" s="531"/>
      <c r="M912" s="531"/>
      <c r="N912" s="531"/>
      <c r="O912" s="531"/>
      <c r="P912" s="531"/>
      <c r="Q912" s="531"/>
      <c r="R912" s="531"/>
      <c r="S912" s="532"/>
      <c r="T912" s="532"/>
      <c r="U912" s="532"/>
      <c r="V912" s="532"/>
      <c r="W912" s="532"/>
      <c r="X912" s="532"/>
      <c r="Y912" s="532"/>
      <c r="Z912" s="531"/>
      <c r="AA912" s="531"/>
      <c r="AB912" s="531"/>
      <c r="AC912" s="531"/>
      <c r="AD912" s="531"/>
      <c r="AE912" s="531"/>
      <c r="AF912" s="531"/>
      <c r="AG912" s="531"/>
    </row>
    <row r="913">
      <c r="B913" s="531"/>
      <c r="C913" s="531"/>
      <c r="D913" s="531"/>
      <c r="E913" s="531"/>
      <c r="F913" s="531"/>
      <c r="G913" s="531"/>
      <c r="H913" s="531"/>
      <c r="I913" s="531"/>
      <c r="J913" s="531"/>
      <c r="K913" s="531"/>
      <c r="L913" s="531"/>
      <c r="M913" s="531"/>
      <c r="N913" s="531"/>
      <c r="O913" s="531"/>
      <c r="P913" s="531"/>
      <c r="Q913" s="531"/>
      <c r="R913" s="531"/>
      <c r="S913" s="532"/>
      <c r="T913" s="532"/>
      <c r="U913" s="532"/>
      <c r="V913" s="532"/>
      <c r="W913" s="532"/>
      <c r="X913" s="532"/>
      <c r="Y913" s="532"/>
      <c r="Z913" s="531"/>
      <c r="AA913" s="531"/>
      <c r="AB913" s="531"/>
      <c r="AC913" s="531"/>
      <c r="AD913" s="531"/>
      <c r="AE913" s="531"/>
      <c r="AF913" s="531"/>
      <c r="AG913" s="531"/>
    </row>
    <row r="914">
      <c r="B914" s="531"/>
      <c r="C914" s="531"/>
      <c r="D914" s="531"/>
      <c r="E914" s="531"/>
      <c r="F914" s="531"/>
      <c r="G914" s="531"/>
      <c r="H914" s="531"/>
      <c r="I914" s="531"/>
      <c r="J914" s="531"/>
      <c r="K914" s="531"/>
      <c r="L914" s="531"/>
      <c r="M914" s="531"/>
      <c r="N914" s="531"/>
      <c r="O914" s="531"/>
      <c r="P914" s="531"/>
      <c r="Q914" s="531"/>
      <c r="R914" s="531"/>
      <c r="S914" s="532"/>
      <c r="T914" s="532"/>
      <c r="U914" s="532"/>
      <c r="V914" s="532"/>
      <c r="W914" s="532"/>
      <c r="X914" s="532"/>
      <c r="Y914" s="532"/>
      <c r="Z914" s="531"/>
      <c r="AA914" s="531"/>
      <c r="AB914" s="531"/>
      <c r="AC914" s="531"/>
      <c r="AD914" s="531"/>
      <c r="AE914" s="531"/>
      <c r="AF914" s="531"/>
      <c r="AG914" s="531"/>
    </row>
    <row r="915">
      <c r="B915" s="531"/>
      <c r="C915" s="531"/>
      <c r="D915" s="531"/>
      <c r="E915" s="531"/>
      <c r="F915" s="531"/>
      <c r="G915" s="531"/>
      <c r="H915" s="531"/>
      <c r="I915" s="531"/>
      <c r="J915" s="531"/>
      <c r="K915" s="531"/>
      <c r="L915" s="531"/>
      <c r="M915" s="531"/>
      <c r="N915" s="531"/>
      <c r="O915" s="531"/>
      <c r="P915" s="531"/>
      <c r="Q915" s="531"/>
      <c r="R915" s="531"/>
      <c r="S915" s="532"/>
      <c r="T915" s="532"/>
      <c r="U915" s="532"/>
      <c r="V915" s="532"/>
      <c r="W915" s="532"/>
      <c r="X915" s="532"/>
      <c r="Y915" s="532"/>
      <c r="Z915" s="531"/>
      <c r="AA915" s="531"/>
      <c r="AB915" s="531"/>
      <c r="AC915" s="531"/>
      <c r="AD915" s="531"/>
      <c r="AE915" s="531"/>
      <c r="AF915" s="531"/>
      <c r="AG915" s="531"/>
    </row>
    <row r="916">
      <c r="B916" s="531"/>
      <c r="C916" s="531"/>
      <c r="D916" s="531"/>
      <c r="E916" s="531"/>
      <c r="F916" s="531"/>
      <c r="G916" s="531"/>
      <c r="H916" s="531"/>
      <c r="I916" s="531"/>
      <c r="J916" s="531"/>
      <c r="K916" s="531"/>
      <c r="L916" s="531"/>
      <c r="M916" s="531"/>
      <c r="N916" s="531"/>
      <c r="O916" s="531"/>
      <c r="P916" s="531"/>
      <c r="Q916" s="531"/>
      <c r="R916" s="531"/>
      <c r="S916" s="532"/>
      <c r="T916" s="532"/>
      <c r="U916" s="532"/>
      <c r="V916" s="532"/>
      <c r="W916" s="532"/>
      <c r="X916" s="532"/>
      <c r="Y916" s="532"/>
      <c r="Z916" s="531"/>
      <c r="AA916" s="531"/>
      <c r="AB916" s="531"/>
      <c r="AC916" s="531"/>
      <c r="AD916" s="531"/>
      <c r="AE916" s="531"/>
      <c r="AF916" s="531"/>
      <c r="AG916" s="531"/>
    </row>
    <row r="917">
      <c r="B917" s="531"/>
      <c r="C917" s="531"/>
      <c r="D917" s="531"/>
      <c r="E917" s="531"/>
      <c r="F917" s="531"/>
      <c r="G917" s="531"/>
      <c r="H917" s="531"/>
      <c r="I917" s="531"/>
      <c r="J917" s="531"/>
      <c r="K917" s="531"/>
      <c r="L917" s="531"/>
      <c r="M917" s="531"/>
      <c r="N917" s="531"/>
      <c r="O917" s="531"/>
      <c r="P917" s="531"/>
      <c r="Q917" s="531"/>
      <c r="R917" s="531"/>
      <c r="S917" s="532"/>
      <c r="T917" s="532"/>
      <c r="U917" s="532"/>
      <c r="V917" s="532"/>
      <c r="W917" s="532"/>
      <c r="X917" s="532"/>
      <c r="Y917" s="532"/>
      <c r="Z917" s="531"/>
      <c r="AA917" s="531"/>
      <c r="AB917" s="531"/>
      <c r="AC917" s="531"/>
      <c r="AD917" s="531"/>
      <c r="AE917" s="531"/>
      <c r="AF917" s="531"/>
      <c r="AG917" s="531"/>
    </row>
    <row r="918">
      <c r="B918" s="531"/>
      <c r="C918" s="531"/>
      <c r="D918" s="531"/>
      <c r="E918" s="531"/>
      <c r="F918" s="531"/>
      <c r="G918" s="531"/>
      <c r="H918" s="531"/>
      <c r="I918" s="531"/>
      <c r="J918" s="531"/>
      <c r="K918" s="531"/>
      <c r="L918" s="531"/>
      <c r="M918" s="531"/>
      <c r="N918" s="531"/>
      <c r="O918" s="531"/>
      <c r="P918" s="531"/>
      <c r="Q918" s="531"/>
      <c r="R918" s="531"/>
      <c r="S918" s="532"/>
      <c r="T918" s="532"/>
      <c r="U918" s="532"/>
      <c r="V918" s="532"/>
      <c r="W918" s="532"/>
      <c r="X918" s="532"/>
      <c r="Y918" s="532"/>
      <c r="Z918" s="531"/>
      <c r="AA918" s="531"/>
      <c r="AB918" s="531"/>
      <c r="AC918" s="531"/>
      <c r="AD918" s="531"/>
      <c r="AE918" s="531"/>
      <c r="AF918" s="531"/>
      <c r="AG918" s="531"/>
    </row>
    <row r="919">
      <c r="B919" s="531"/>
      <c r="C919" s="531"/>
      <c r="D919" s="531"/>
      <c r="E919" s="531"/>
      <c r="F919" s="531"/>
      <c r="G919" s="531"/>
      <c r="H919" s="531"/>
      <c r="I919" s="531"/>
      <c r="J919" s="531"/>
      <c r="K919" s="531"/>
      <c r="L919" s="531"/>
      <c r="M919" s="531"/>
      <c r="N919" s="531"/>
      <c r="O919" s="531"/>
      <c r="P919" s="531"/>
      <c r="Q919" s="531"/>
      <c r="R919" s="531"/>
      <c r="S919" s="532"/>
      <c r="T919" s="532"/>
      <c r="U919" s="532"/>
      <c r="V919" s="532"/>
      <c r="W919" s="532"/>
      <c r="X919" s="532"/>
      <c r="Y919" s="532"/>
      <c r="Z919" s="531"/>
      <c r="AA919" s="531"/>
      <c r="AB919" s="531"/>
      <c r="AC919" s="531"/>
      <c r="AD919" s="531"/>
      <c r="AE919" s="531"/>
      <c r="AF919" s="531"/>
      <c r="AG919" s="531"/>
    </row>
    <row r="920">
      <c r="B920" s="531"/>
      <c r="C920" s="531"/>
      <c r="D920" s="531"/>
      <c r="E920" s="531"/>
      <c r="F920" s="531"/>
      <c r="G920" s="531"/>
      <c r="H920" s="531"/>
      <c r="I920" s="531"/>
      <c r="J920" s="531"/>
      <c r="K920" s="531"/>
      <c r="L920" s="531"/>
      <c r="M920" s="531"/>
      <c r="N920" s="531"/>
      <c r="O920" s="531"/>
      <c r="P920" s="531"/>
      <c r="Q920" s="531"/>
      <c r="R920" s="531"/>
      <c r="S920" s="532"/>
      <c r="T920" s="532"/>
      <c r="U920" s="532"/>
      <c r="V920" s="532"/>
      <c r="W920" s="532"/>
      <c r="X920" s="532"/>
      <c r="Y920" s="532"/>
      <c r="Z920" s="531"/>
      <c r="AA920" s="531"/>
      <c r="AB920" s="531"/>
      <c r="AC920" s="531"/>
      <c r="AD920" s="531"/>
      <c r="AE920" s="531"/>
      <c r="AF920" s="531"/>
      <c r="AG920" s="531"/>
    </row>
    <row r="921">
      <c r="B921" s="531"/>
      <c r="C921" s="531"/>
      <c r="D921" s="531"/>
      <c r="E921" s="531"/>
      <c r="F921" s="531"/>
      <c r="G921" s="531"/>
      <c r="H921" s="531"/>
      <c r="I921" s="531"/>
      <c r="J921" s="531"/>
      <c r="K921" s="531"/>
      <c r="L921" s="531"/>
      <c r="M921" s="531"/>
      <c r="N921" s="531"/>
      <c r="O921" s="531"/>
      <c r="P921" s="531"/>
      <c r="Q921" s="531"/>
      <c r="R921" s="531"/>
      <c r="S921" s="532"/>
      <c r="T921" s="532"/>
      <c r="U921" s="532"/>
      <c r="V921" s="532"/>
      <c r="W921" s="532"/>
      <c r="X921" s="532"/>
      <c r="Y921" s="532"/>
      <c r="Z921" s="531"/>
      <c r="AA921" s="531"/>
      <c r="AB921" s="531"/>
      <c r="AC921" s="531"/>
      <c r="AD921" s="531"/>
      <c r="AE921" s="531"/>
      <c r="AF921" s="531"/>
      <c r="AG921" s="531"/>
    </row>
    <row r="922">
      <c r="B922" s="531"/>
      <c r="C922" s="531"/>
      <c r="D922" s="531"/>
      <c r="E922" s="531"/>
      <c r="F922" s="531"/>
      <c r="G922" s="531"/>
      <c r="H922" s="531"/>
      <c r="I922" s="531"/>
      <c r="J922" s="531"/>
      <c r="K922" s="531"/>
      <c r="L922" s="531"/>
      <c r="M922" s="531"/>
      <c r="N922" s="531"/>
      <c r="O922" s="531"/>
      <c r="P922" s="531"/>
      <c r="Q922" s="531"/>
      <c r="R922" s="531"/>
      <c r="S922" s="532"/>
      <c r="T922" s="532"/>
      <c r="U922" s="532"/>
      <c r="V922" s="532"/>
      <c r="W922" s="532"/>
      <c r="X922" s="532"/>
      <c r="Y922" s="532"/>
      <c r="Z922" s="531"/>
      <c r="AA922" s="531"/>
      <c r="AB922" s="531"/>
      <c r="AC922" s="531"/>
      <c r="AD922" s="531"/>
      <c r="AE922" s="531"/>
      <c r="AF922" s="531"/>
      <c r="AG922" s="531"/>
    </row>
    <row r="923">
      <c r="B923" s="531"/>
      <c r="C923" s="531"/>
      <c r="D923" s="531"/>
      <c r="E923" s="531"/>
      <c r="F923" s="531"/>
      <c r="G923" s="531"/>
      <c r="H923" s="531"/>
      <c r="I923" s="531"/>
      <c r="J923" s="531"/>
      <c r="K923" s="531"/>
      <c r="L923" s="531"/>
      <c r="M923" s="531"/>
      <c r="N923" s="531"/>
      <c r="O923" s="531"/>
      <c r="P923" s="531"/>
      <c r="Q923" s="531"/>
      <c r="R923" s="531"/>
      <c r="S923" s="532"/>
      <c r="T923" s="532"/>
      <c r="U923" s="532"/>
      <c r="V923" s="532"/>
      <c r="W923" s="532"/>
      <c r="X923" s="532"/>
      <c r="Y923" s="532"/>
      <c r="Z923" s="531"/>
      <c r="AA923" s="531"/>
      <c r="AB923" s="531"/>
      <c r="AC923" s="531"/>
      <c r="AD923" s="531"/>
      <c r="AE923" s="531"/>
      <c r="AF923" s="531"/>
      <c r="AG923" s="531"/>
    </row>
    <row r="924">
      <c r="B924" s="531"/>
      <c r="C924" s="531"/>
      <c r="D924" s="531"/>
      <c r="E924" s="531"/>
      <c r="F924" s="531"/>
      <c r="G924" s="531"/>
      <c r="H924" s="531"/>
      <c r="I924" s="531"/>
      <c r="J924" s="531"/>
      <c r="K924" s="531"/>
      <c r="L924" s="531"/>
      <c r="M924" s="531"/>
      <c r="N924" s="531"/>
      <c r="O924" s="531"/>
      <c r="P924" s="531"/>
      <c r="Q924" s="531"/>
      <c r="R924" s="531"/>
      <c r="S924" s="532"/>
      <c r="T924" s="532"/>
      <c r="U924" s="532"/>
      <c r="V924" s="532"/>
      <c r="W924" s="532"/>
      <c r="X924" s="532"/>
      <c r="Y924" s="532"/>
      <c r="Z924" s="531"/>
      <c r="AA924" s="531"/>
      <c r="AB924" s="531"/>
      <c r="AC924" s="531"/>
      <c r="AD924" s="531"/>
      <c r="AE924" s="531"/>
      <c r="AF924" s="531"/>
      <c r="AG924" s="531"/>
    </row>
    <row r="925">
      <c r="B925" s="531"/>
      <c r="C925" s="531"/>
      <c r="D925" s="531"/>
      <c r="E925" s="531"/>
      <c r="F925" s="531"/>
      <c r="G925" s="531"/>
      <c r="H925" s="531"/>
      <c r="I925" s="531"/>
      <c r="J925" s="531"/>
      <c r="K925" s="531"/>
      <c r="L925" s="531"/>
      <c r="M925" s="531"/>
      <c r="N925" s="531"/>
      <c r="O925" s="531"/>
      <c r="P925" s="531"/>
      <c r="Q925" s="531"/>
      <c r="R925" s="531"/>
      <c r="S925" s="532"/>
      <c r="T925" s="532"/>
      <c r="U925" s="532"/>
      <c r="V925" s="532"/>
      <c r="W925" s="532"/>
      <c r="X925" s="532"/>
      <c r="Y925" s="532"/>
      <c r="Z925" s="531"/>
      <c r="AA925" s="531"/>
      <c r="AB925" s="531"/>
      <c r="AC925" s="531"/>
      <c r="AD925" s="531"/>
      <c r="AE925" s="531"/>
      <c r="AF925" s="531"/>
      <c r="AG925" s="531"/>
    </row>
    <row r="926">
      <c r="B926" s="531"/>
      <c r="C926" s="531"/>
      <c r="D926" s="531"/>
      <c r="E926" s="531"/>
      <c r="F926" s="531"/>
      <c r="G926" s="531"/>
      <c r="H926" s="531"/>
      <c r="I926" s="531"/>
      <c r="J926" s="531"/>
      <c r="K926" s="531"/>
      <c r="L926" s="531"/>
      <c r="M926" s="531"/>
      <c r="N926" s="531"/>
      <c r="O926" s="531"/>
      <c r="P926" s="531"/>
      <c r="Q926" s="531"/>
      <c r="R926" s="531"/>
      <c r="S926" s="532"/>
      <c r="T926" s="532"/>
      <c r="U926" s="532"/>
      <c r="V926" s="532"/>
      <c r="W926" s="532"/>
      <c r="X926" s="532"/>
      <c r="Y926" s="532"/>
      <c r="Z926" s="531"/>
      <c r="AA926" s="531"/>
      <c r="AB926" s="531"/>
      <c r="AC926" s="531"/>
      <c r="AD926" s="531"/>
      <c r="AE926" s="531"/>
      <c r="AF926" s="531"/>
      <c r="AG926" s="531"/>
    </row>
    <row r="927">
      <c r="B927" s="531"/>
      <c r="C927" s="531"/>
      <c r="D927" s="531"/>
      <c r="E927" s="531"/>
      <c r="F927" s="531"/>
      <c r="G927" s="531"/>
      <c r="H927" s="531"/>
      <c r="I927" s="531"/>
      <c r="J927" s="531"/>
      <c r="K927" s="531"/>
      <c r="L927" s="531"/>
      <c r="M927" s="531"/>
      <c r="N927" s="531"/>
      <c r="O927" s="531"/>
      <c r="P927" s="531"/>
      <c r="Q927" s="531"/>
      <c r="R927" s="531"/>
      <c r="S927" s="532"/>
      <c r="T927" s="532"/>
      <c r="U927" s="532"/>
      <c r="V927" s="532"/>
      <c r="W927" s="532"/>
      <c r="X927" s="532"/>
      <c r="Y927" s="532"/>
      <c r="Z927" s="531"/>
      <c r="AA927" s="531"/>
      <c r="AB927" s="531"/>
      <c r="AC927" s="531"/>
      <c r="AD927" s="531"/>
      <c r="AE927" s="531"/>
      <c r="AF927" s="531"/>
      <c r="AG927" s="531"/>
    </row>
    <row r="928">
      <c r="B928" s="531"/>
      <c r="C928" s="531"/>
      <c r="D928" s="531"/>
      <c r="E928" s="531"/>
      <c r="F928" s="531"/>
      <c r="G928" s="531"/>
      <c r="H928" s="531"/>
      <c r="I928" s="531"/>
      <c r="J928" s="531"/>
      <c r="K928" s="531"/>
      <c r="L928" s="531"/>
      <c r="M928" s="531"/>
      <c r="N928" s="531"/>
      <c r="O928" s="531"/>
      <c r="P928" s="531"/>
      <c r="Q928" s="531"/>
      <c r="R928" s="531"/>
      <c r="S928" s="532"/>
      <c r="T928" s="532"/>
      <c r="U928" s="532"/>
      <c r="V928" s="532"/>
      <c r="W928" s="532"/>
      <c r="X928" s="532"/>
      <c r="Y928" s="532"/>
      <c r="Z928" s="531"/>
      <c r="AA928" s="531"/>
      <c r="AB928" s="531"/>
      <c r="AC928" s="531"/>
      <c r="AD928" s="531"/>
      <c r="AE928" s="531"/>
      <c r="AF928" s="531"/>
      <c r="AG928" s="531"/>
    </row>
    <row r="929">
      <c r="B929" s="531"/>
      <c r="C929" s="531"/>
      <c r="D929" s="531"/>
      <c r="E929" s="531"/>
      <c r="F929" s="531"/>
      <c r="G929" s="531"/>
      <c r="H929" s="531"/>
      <c r="I929" s="531"/>
      <c r="J929" s="531"/>
      <c r="K929" s="531"/>
      <c r="L929" s="531"/>
      <c r="M929" s="531"/>
      <c r="N929" s="531"/>
      <c r="O929" s="531"/>
      <c r="P929" s="531"/>
      <c r="Q929" s="531"/>
      <c r="R929" s="531"/>
      <c r="S929" s="532"/>
      <c r="T929" s="532"/>
      <c r="U929" s="532"/>
      <c r="V929" s="532"/>
      <c r="W929" s="532"/>
      <c r="X929" s="532"/>
      <c r="Y929" s="532"/>
      <c r="Z929" s="531"/>
      <c r="AA929" s="531"/>
      <c r="AB929" s="531"/>
      <c r="AC929" s="531"/>
      <c r="AD929" s="531"/>
      <c r="AE929" s="531"/>
      <c r="AF929" s="531"/>
      <c r="AG929" s="531"/>
    </row>
    <row r="930">
      <c r="B930" s="531"/>
      <c r="C930" s="531"/>
      <c r="D930" s="531"/>
      <c r="E930" s="531"/>
      <c r="F930" s="531"/>
      <c r="G930" s="531"/>
      <c r="H930" s="531"/>
      <c r="I930" s="531"/>
      <c r="J930" s="531"/>
      <c r="K930" s="531"/>
      <c r="L930" s="531"/>
      <c r="M930" s="531"/>
      <c r="N930" s="531"/>
      <c r="O930" s="531"/>
      <c r="P930" s="531"/>
      <c r="Q930" s="531"/>
      <c r="R930" s="531"/>
      <c r="S930" s="532"/>
      <c r="T930" s="532"/>
      <c r="U930" s="532"/>
      <c r="V930" s="532"/>
      <c r="W930" s="532"/>
      <c r="X930" s="532"/>
      <c r="Y930" s="532"/>
      <c r="Z930" s="531"/>
      <c r="AA930" s="531"/>
      <c r="AB930" s="531"/>
      <c r="AC930" s="531"/>
      <c r="AD930" s="531"/>
      <c r="AE930" s="531"/>
      <c r="AF930" s="531"/>
      <c r="AG930" s="531"/>
    </row>
    <row r="931">
      <c r="B931" s="531"/>
      <c r="C931" s="531"/>
      <c r="D931" s="531"/>
      <c r="E931" s="531"/>
      <c r="F931" s="531"/>
      <c r="G931" s="531"/>
      <c r="H931" s="531"/>
      <c r="I931" s="531"/>
      <c r="J931" s="531"/>
      <c r="K931" s="531"/>
      <c r="L931" s="531"/>
      <c r="M931" s="531"/>
      <c r="N931" s="531"/>
      <c r="O931" s="531"/>
      <c r="P931" s="531"/>
      <c r="Q931" s="531"/>
      <c r="R931" s="531"/>
      <c r="S931" s="532"/>
      <c r="T931" s="532"/>
      <c r="U931" s="532"/>
      <c r="V931" s="532"/>
      <c r="W931" s="532"/>
      <c r="X931" s="532"/>
      <c r="Y931" s="532"/>
      <c r="Z931" s="531"/>
      <c r="AA931" s="531"/>
      <c r="AB931" s="531"/>
      <c r="AC931" s="531"/>
      <c r="AD931" s="531"/>
      <c r="AE931" s="531"/>
      <c r="AF931" s="531"/>
      <c r="AG931" s="531"/>
    </row>
    <row r="932">
      <c r="B932" s="531"/>
      <c r="C932" s="531"/>
      <c r="D932" s="531"/>
      <c r="E932" s="531"/>
      <c r="F932" s="531"/>
      <c r="G932" s="531"/>
      <c r="H932" s="531"/>
      <c r="I932" s="531"/>
      <c r="J932" s="531"/>
      <c r="K932" s="531"/>
      <c r="L932" s="531"/>
      <c r="M932" s="531"/>
      <c r="N932" s="531"/>
      <c r="O932" s="531"/>
      <c r="P932" s="531"/>
      <c r="Q932" s="531"/>
      <c r="R932" s="531"/>
      <c r="S932" s="532"/>
      <c r="T932" s="532"/>
      <c r="U932" s="532"/>
      <c r="V932" s="532"/>
      <c r="W932" s="532"/>
      <c r="X932" s="532"/>
      <c r="Y932" s="532"/>
      <c r="Z932" s="531"/>
      <c r="AA932" s="531"/>
      <c r="AB932" s="531"/>
      <c r="AC932" s="531"/>
      <c r="AD932" s="531"/>
      <c r="AE932" s="531"/>
      <c r="AF932" s="531"/>
      <c r="AG932" s="531"/>
    </row>
    <row r="933">
      <c r="B933" s="531"/>
      <c r="C933" s="531"/>
      <c r="D933" s="531"/>
      <c r="E933" s="531"/>
      <c r="F933" s="531"/>
      <c r="G933" s="531"/>
      <c r="H933" s="531"/>
      <c r="I933" s="531"/>
      <c r="J933" s="531"/>
      <c r="K933" s="531"/>
      <c r="L933" s="531"/>
      <c r="M933" s="531"/>
      <c r="N933" s="531"/>
      <c r="O933" s="531"/>
      <c r="P933" s="531"/>
      <c r="Q933" s="531"/>
      <c r="R933" s="531"/>
      <c r="S933" s="532"/>
      <c r="T933" s="532"/>
      <c r="U933" s="532"/>
      <c r="V933" s="532"/>
      <c r="W933" s="532"/>
      <c r="X933" s="532"/>
      <c r="Y933" s="532"/>
      <c r="Z933" s="531"/>
      <c r="AA933" s="531"/>
      <c r="AB933" s="531"/>
      <c r="AC933" s="531"/>
      <c r="AD933" s="531"/>
      <c r="AE933" s="531"/>
      <c r="AF933" s="531"/>
      <c r="AG933" s="531"/>
    </row>
    <row r="934">
      <c r="B934" s="531"/>
      <c r="C934" s="531"/>
      <c r="D934" s="531"/>
      <c r="E934" s="531"/>
      <c r="F934" s="531"/>
      <c r="G934" s="531"/>
      <c r="H934" s="531"/>
      <c r="I934" s="531"/>
      <c r="J934" s="531"/>
      <c r="K934" s="531"/>
      <c r="L934" s="531"/>
      <c r="M934" s="531"/>
      <c r="N934" s="531"/>
      <c r="O934" s="531"/>
      <c r="P934" s="531"/>
      <c r="Q934" s="531"/>
      <c r="R934" s="531"/>
      <c r="S934" s="532"/>
      <c r="T934" s="532"/>
      <c r="U934" s="532"/>
      <c r="V934" s="532"/>
      <c r="W934" s="532"/>
      <c r="X934" s="532"/>
      <c r="Y934" s="532"/>
      <c r="Z934" s="531"/>
      <c r="AA934" s="531"/>
      <c r="AB934" s="531"/>
      <c r="AC934" s="531"/>
      <c r="AD934" s="531"/>
      <c r="AE934" s="531"/>
      <c r="AF934" s="531"/>
      <c r="AG934" s="531"/>
    </row>
    <row r="935">
      <c r="B935" s="531"/>
      <c r="C935" s="531"/>
      <c r="D935" s="531"/>
      <c r="E935" s="531"/>
      <c r="F935" s="531"/>
      <c r="G935" s="531"/>
      <c r="H935" s="531"/>
      <c r="I935" s="531"/>
      <c r="J935" s="531"/>
      <c r="K935" s="531"/>
      <c r="L935" s="531"/>
      <c r="M935" s="531"/>
      <c r="N935" s="531"/>
      <c r="O935" s="531"/>
      <c r="P935" s="531"/>
      <c r="Q935" s="531"/>
      <c r="R935" s="531"/>
      <c r="S935" s="532"/>
      <c r="T935" s="532"/>
      <c r="U935" s="532"/>
      <c r="V935" s="532"/>
      <c r="W935" s="532"/>
      <c r="X935" s="532"/>
      <c r="Y935" s="532"/>
      <c r="Z935" s="531"/>
      <c r="AA935" s="531"/>
      <c r="AB935" s="531"/>
      <c r="AC935" s="531"/>
      <c r="AD935" s="531"/>
      <c r="AE935" s="531"/>
      <c r="AF935" s="531"/>
      <c r="AG935" s="531"/>
    </row>
    <row r="936">
      <c r="B936" s="531"/>
      <c r="C936" s="531"/>
      <c r="D936" s="531"/>
      <c r="E936" s="531"/>
      <c r="F936" s="531"/>
      <c r="G936" s="531"/>
      <c r="H936" s="531"/>
      <c r="I936" s="531"/>
      <c r="J936" s="531"/>
      <c r="K936" s="531"/>
      <c r="L936" s="531"/>
      <c r="M936" s="531"/>
      <c r="N936" s="531"/>
      <c r="O936" s="531"/>
      <c r="P936" s="531"/>
      <c r="Q936" s="531"/>
      <c r="R936" s="531"/>
      <c r="S936" s="532"/>
      <c r="T936" s="532"/>
      <c r="U936" s="532"/>
      <c r="V936" s="532"/>
      <c r="W936" s="532"/>
      <c r="X936" s="532"/>
      <c r="Y936" s="532"/>
      <c r="Z936" s="531"/>
      <c r="AA936" s="531"/>
      <c r="AB936" s="531"/>
      <c r="AC936" s="531"/>
      <c r="AD936" s="531"/>
      <c r="AE936" s="531"/>
      <c r="AF936" s="531"/>
      <c r="AG936" s="531"/>
    </row>
    <row r="937">
      <c r="B937" s="531"/>
      <c r="C937" s="531"/>
      <c r="D937" s="531"/>
      <c r="E937" s="531"/>
      <c r="F937" s="531"/>
      <c r="G937" s="531"/>
      <c r="H937" s="531"/>
      <c r="I937" s="531"/>
      <c r="J937" s="531"/>
      <c r="K937" s="531"/>
      <c r="L937" s="531"/>
      <c r="M937" s="531"/>
      <c r="N937" s="531"/>
      <c r="O937" s="531"/>
      <c r="P937" s="531"/>
      <c r="Q937" s="531"/>
      <c r="R937" s="531"/>
      <c r="S937" s="532"/>
      <c r="T937" s="532"/>
      <c r="U937" s="532"/>
      <c r="V937" s="532"/>
      <c r="W937" s="532"/>
      <c r="X937" s="532"/>
      <c r="Y937" s="532"/>
      <c r="Z937" s="531"/>
      <c r="AA937" s="531"/>
      <c r="AB937" s="531"/>
      <c r="AC937" s="531"/>
      <c r="AD937" s="531"/>
      <c r="AE937" s="531"/>
      <c r="AF937" s="531"/>
      <c r="AG937" s="531"/>
    </row>
    <row r="938">
      <c r="B938" s="531"/>
      <c r="C938" s="531"/>
      <c r="D938" s="531"/>
      <c r="E938" s="531"/>
      <c r="F938" s="531"/>
      <c r="G938" s="531"/>
      <c r="H938" s="531"/>
      <c r="I938" s="531"/>
      <c r="J938" s="531"/>
      <c r="K938" s="531"/>
      <c r="L938" s="531"/>
      <c r="M938" s="531"/>
      <c r="N938" s="531"/>
      <c r="O938" s="531"/>
      <c r="P938" s="531"/>
      <c r="Q938" s="531"/>
      <c r="R938" s="531"/>
      <c r="S938" s="532"/>
      <c r="T938" s="532"/>
      <c r="U938" s="532"/>
      <c r="V938" s="532"/>
      <c r="W938" s="532"/>
      <c r="X938" s="532"/>
      <c r="Y938" s="532"/>
      <c r="Z938" s="531"/>
      <c r="AA938" s="531"/>
      <c r="AB938" s="531"/>
      <c r="AC938" s="531"/>
      <c r="AD938" s="531"/>
      <c r="AE938" s="531"/>
      <c r="AF938" s="531"/>
      <c r="AG938" s="531"/>
    </row>
    <row r="939">
      <c r="B939" s="531"/>
      <c r="C939" s="531"/>
      <c r="D939" s="531"/>
      <c r="E939" s="531"/>
      <c r="F939" s="531"/>
      <c r="G939" s="531"/>
      <c r="H939" s="531"/>
      <c r="I939" s="531"/>
      <c r="J939" s="531"/>
      <c r="K939" s="531"/>
      <c r="L939" s="531"/>
      <c r="M939" s="531"/>
      <c r="N939" s="531"/>
      <c r="O939" s="531"/>
      <c r="P939" s="531"/>
      <c r="Q939" s="531"/>
      <c r="R939" s="531"/>
      <c r="S939" s="532"/>
      <c r="T939" s="532"/>
      <c r="U939" s="532"/>
      <c r="V939" s="532"/>
      <c r="W939" s="532"/>
      <c r="X939" s="532"/>
      <c r="Y939" s="532"/>
      <c r="Z939" s="531"/>
      <c r="AA939" s="531"/>
      <c r="AB939" s="531"/>
      <c r="AC939" s="531"/>
      <c r="AD939" s="531"/>
      <c r="AE939" s="531"/>
      <c r="AF939" s="531"/>
      <c r="AG939" s="531"/>
    </row>
    <row r="940">
      <c r="B940" s="531"/>
      <c r="C940" s="531"/>
      <c r="D940" s="531"/>
      <c r="E940" s="531"/>
      <c r="F940" s="531"/>
      <c r="G940" s="531"/>
      <c r="H940" s="531"/>
      <c r="I940" s="531"/>
      <c r="J940" s="531"/>
      <c r="K940" s="531"/>
      <c r="L940" s="531"/>
      <c r="M940" s="531"/>
      <c r="N940" s="531"/>
      <c r="O940" s="531"/>
      <c r="P940" s="531"/>
      <c r="Q940" s="531"/>
      <c r="R940" s="531"/>
      <c r="S940" s="532"/>
      <c r="T940" s="532"/>
      <c r="U940" s="532"/>
      <c r="V940" s="532"/>
      <c r="W940" s="532"/>
      <c r="X940" s="532"/>
      <c r="Y940" s="532"/>
      <c r="Z940" s="531"/>
      <c r="AA940" s="531"/>
      <c r="AB940" s="531"/>
      <c r="AC940" s="531"/>
      <c r="AD940" s="531"/>
      <c r="AE940" s="531"/>
      <c r="AF940" s="531"/>
      <c r="AG940" s="531"/>
    </row>
    <row r="941">
      <c r="B941" s="531"/>
      <c r="C941" s="531"/>
      <c r="D941" s="531"/>
      <c r="E941" s="531"/>
      <c r="F941" s="531"/>
      <c r="G941" s="531"/>
      <c r="H941" s="531"/>
      <c r="I941" s="531"/>
      <c r="J941" s="531"/>
      <c r="K941" s="531"/>
      <c r="L941" s="531"/>
      <c r="M941" s="531"/>
      <c r="N941" s="531"/>
      <c r="O941" s="531"/>
      <c r="P941" s="531"/>
      <c r="Q941" s="531"/>
      <c r="R941" s="531"/>
      <c r="S941" s="532"/>
      <c r="T941" s="532"/>
      <c r="U941" s="532"/>
      <c r="V941" s="532"/>
      <c r="W941" s="532"/>
      <c r="X941" s="532"/>
      <c r="Y941" s="532"/>
      <c r="Z941" s="531"/>
      <c r="AA941" s="531"/>
      <c r="AB941" s="531"/>
      <c r="AC941" s="531"/>
      <c r="AD941" s="531"/>
      <c r="AE941" s="531"/>
      <c r="AF941" s="531"/>
      <c r="AG941" s="531"/>
    </row>
    <row r="942">
      <c r="B942" s="531"/>
      <c r="C942" s="531"/>
      <c r="D942" s="531"/>
      <c r="E942" s="531"/>
      <c r="F942" s="531"/>
      <c r="G942" s="531"/>
      <c r="H942" s="531"/>
      <c r="I942" s="531"/>
      <c r="J942" s="531"/>
      <c r="K942" s="531"/>
      <c r="L942" s="531"/>
      <c r="M942" s="531"/>
      <c r="N942" s="531"/>
      <c r="O942" s="531"/>
      <c r="P942" s="531"/>
      <c r="Q942" s="531"/>
      <c r="R942" s="531"/>
      <c r="S942" s="532"/>
      <c r="T942" s="532"/>
      <c r="U942" s="532"/>
      <c r="V942" s="532"/>
      <c r="W942" s="532"/>
      <c r="X942" s="532"/>
      <c r="Y942" s="532"/>
      <c r="Z942" s="531"/>
      <c r="AA942" s="531"/>
      <c r="AB942" s="531"/>
      <c r="AC942" s="531"/>
      <c r="AD942" s="531"/>
      <c r="AE942" s="531"/>
      <c r="AF942" s="531"/>
      <c r="AG942" s="531"/>
    </row>
    <row r="943">
      <c r="B943" s="531"/>
      <c r="C943" s="531"/>
      <c r="D943" s="531"/>
      <c r="E943" s="531"/>
      <c r="F943" s="531"/>
      <c r="G943" s="531"/>
      <c r="H943" s="531"/>
      <c r="I943" s="531"/>
      <c r="J943" s="531"/>
      <c r="K943" s="531"/>
      <c r="L943" s="531"/>
      <c r="M943" s="531"/>
      <c r="N943" s="531"/>
      <c r="O943" s="531"/>
      <c r="P943" s="531"/>
      <c r="Q943" s="531"/>
      <c r="R943" s="531"/>
      <c r="S943" s="532"/>
      <c r="T943" s="532"/>
      <c r="U943" s="532"/>
      <c r="V943" s="532"/>
      <c r="W943" s="532"/>
      <c r="X943" s="532"/>
      <c r="Y943" s="532"/>
      <c r="Z943" s="531"/>
      <c r="AA943" s="531"/>
      <c r="AB943" s="531"/>
      <c r="AC943" s="531"/>
      <c r="AD943" s="531"/>
      <c r="AE943" s="531"/>
      <c r="AF943" s="531"/>
      <c r="AG943" s="531"/>
    </row>
    <row r="944">
      <c r="B944" s="531"/>
      <c r="C944" s="531"/>
      <c r="D944" s="531"/>
      <c r="E944" s="531"/>
      <c r="F944" s="531"/>
      <c r="G944" s="531"/>
      <c r="H944" s="531"/>
      <c r="I944" s="531"/>
      <c r="J944" s="531"/>
      <c r="K944" s="531"/>
      <c r="L944" s="531"/>
      <c r="M944" s="531"/>
      <c r="N944" s="531"/>
      <c r="O944" s="531"/>
      <c r="P944" s="531"/>
      <c r="Q944" s="531"/>
      <c r="R944" s="531"/>
      <c r="S944" s="532"/>
      <c r="T944" s="532"/>
      <c r="U944" s="532"/>
      <c r="V944" s="532"/>
      <c r="W944" s="532"/>
      <c r="X944" s="532"/>
      <c r="Y944" s="532"/>
      <c r="Z944" s="531"/>
      <c r="AA944" s="531"/>
      <c r="AB944" s="531"/>
      <c r="AC944" s="531"/>
      <c r="AD944" s="531"/>
      <c r="AE944" s="531"/>
      <c r="AF944" s="531"/>
      <c r="AG944" s="531"/>
    </row>
    <row r="945">
      <c r="B945" s="531"/>
      <c r="C945" s="531"/>
      <c r="D945" s="531"/>
      <c r="E945" s="531"/>
      <c r="F945" s="531"/>
      <c r="G945" s="531"/>
      <c r="H945" s="531"/>
      <c r="I945" s="531"/>
      <c r="J945" s="531"/>
      <c r="K945" s="531"/>
      <c r="L945" s="531"/>
      <c r="M945" s="531"/>
      <c r="N945" s="531"/>
      <c r="O945" s="531"/>
      <c r="P945" s="531"/>
      <c r="Q945" s="531"/>
      <c r="R945" s="531"/>
      <c r="S945" s="532"/>
      <c r="T945" s="532"/>
      <c r="U945" s="532"/>
      <c r="V945" s="532"/>
      <c r="W945" s="532"/>
      <c r="X945" s="532"/>
      <c r="Y945" s="532"/>
      <c r="Z945" s="531"/>
      <c r="AA945" s="531"/>
      <c r="AB945" s="531"/>
      <c r="AC945" s="531"/>
      <c r="AD945" s="531"/>
      <c r="AE945" s="531"/>
      <c r="AF945" s="531"/>
      <c r="AG945" s="531"/>
    </row>
    <row r="946">
      <c r="B946" s="531"/>
      <c r="C946" s="531"/>
      <c r="D946" s="531"/>
      <c r="E946" s="531"/>
      <c r="F946" s="531"/>
      <c r="G946" s="531"/>
      <c r="H946" s="531"/>
      <c r="I946" s="531"/>
      <c r="J946" s="531"/>
      <c r="K946" s="531"/>
      <c r="L946" s="531"/>
      <c r="M946" s="531"/>
      <c r="N946" s="531"/>
      <c r="O946" s="531"/>
      <c r="P946" s="531"/>
      <c r="Q946" s="531"/>
      <c r="R946" s="531"/>
      <c r="S946" s="532"/>
      <c r="T946" s="532"/>
      <c r="U946" s="532"/>
      <c r="V946" s="532"/>
      <c r="W946" s="532"/>
      <c r="X946" s="532"/>
      <c r="Y946" s="532"/>
      <c r="Z946" s="531"/>
      <c r="AA946" s="531"/>
      <c r="AB946" s="531"/>
      <c r="AC946" s="531"/>
      <c r="AD946" s="531"/>
      <c r="AE946" s="531"/>
      <c r="AF946" s="531"/>
      <c r="AG946" s="531"/>
    </row>
    <row r="947">
      <c r="B947" s="531"/>
      <c r="C947" s="531"/>
      <c r="D947" s="531"/>
      <c r="E947" s="531"/>
      <c r="F947" s="531"/>
      <c r="G947" s="531"/>
      <c r="H947" s="531"/>
      <c r="I947" s="531"/>
      <c r="J947" s="531"/>
      <c r="K947" s="531"/>
      <c r="L947" s="531"/>
      <c r="M947" s="531"/>
      <c r="N947" s="531"/>
      <c r="O947" s="531"/>
      <c r="P947" s="531"/>
      <c r="Q947" s="531"/>
      <c r="R947" s="531"/>
      <c r="S947" s="532"/>
      <c r="T947" s="532"/>
      <c r="U947" s="532"/>
      <c r="V947" s="532"/>
      <c r="W947" s="532"/>
      <c r="X947" s="532"/>
      <c r="Y947" s="532"/>
      <c r="Z947" s="531"/>
      <c r="AA947" s="531"/>
      <c r="AB947" s="531"/>
      <c r="AC947" s="531"/>
      <c r="AD947" s="531"/>
      <c r="AE947" s="531"/>
      <c r="AF947" s="531"/>
      <c r="AG947" s="531"/>
    </row>
    <row r="948">
      <c r="B948" s="531"/>
      <c r="C948" s="531"/>
      <c r="D948" s="531"/>
      <c r="E948" s="531"/>
      <c r="F948" s="531"/>
      <c r="G948" s="531"/>
      <c r="H948" s="531"/>
      <c r="I948" s="531"/>
      <c r="J948" s="531"/>
      <c r="K948" s="531"/>
      <c r="L948" s="531"/>
      <c r="M948" s="531"/>
      <c r="N948" s="531"/>
      <c r="O948" s="531"/>
      <c r="P948" s="531"/>
      <c r="Q948" s="531"/>
      <c r="R948" s="531"/>
      <c r="S948" s="532"/>
      <c r="T948" s="532"/>
      <c r="U948" s="532"/>
      <c r="V948" s="532"/>
      <c r="W948" s="532"/>
      <c r="X948" s="532"/>
      <c r="Y948" s="532"/>
      <c r="Z948" s="531"/>
      <c r="AA948" s="531"/>
      <c r="AB948" s="531"/>
      <c r="AC948" s="531"/>
      <c r="AD948" s="531"/>
      <c r="AE948" s="531"/>
      <c r="AF948" s="531"/>
      <c r="AG948" s="531"/>
    </row>
    <row r="949">
      <c r="B949" s="531"/>
      <c r="C949" s="531"/>
      <c r="D949" s="531"/>
      <c r="E949" s="531"/>
      <c r="F949" s="531"/>
      <c r="G949" s="531"/>
      <c r="H949" s="531"/>
      <c r="I949" s="531"/>
      <c r="J949" s="531"/>
      <c r="K949" s="531"/>
      <c r="L949" s="531"/>
      <c r="M949" s="531"/>
      <c r="N949" s="531"/>
      <c r="O949" s="531"/>
      <c r="P949" s="531"/>
      <c r="Q949" s="531"/>
      <c r="R949" s="531"/>
      <c r="S949" s="532"/>
      <c r="T949" s="532"/>
      <c r="U949" s="532"/>
      <c r="V949" s="532"/>
      <c r="W949" s="532"/>
      <c r="X949" s="532"/>
      <c r="Y949" s="532"/>
      <c r="Z949" s="531"/>
      <c r="AA949" s="531"/>
      <c r="AB949" s="531"/>
      <c r="AC949" s="531"/>
      <c r="AD949" s="531"/>
      <c r="AE949" s="531"/>
      <c r="AF949" s="531"/>
      <c r="AG949" s="531"/>
    </row>
    <row r="950">
      <c r="B950" s="531"/>
      <c r="C950" s="531"/>
      <c r="D950" s="531"/>
      <c r="E950" s="531"/>
      <c r="F950" s="531"/>
      <c r="G950" s="531"/>
      <c r="H950" s="531"/>
      <c r="I950" s="531"/>
      <c r="J950" s="531"/>
      <c r="K950" s="531"/>
      <c r="L950" s="531"/>
      <c r="M950" s="531"/>
      <c r="N950" s="531"/>
      <c r="O950" s="531"/>
      <c r="P950" s="531"/>
      <c r="Q950" s="531"/>
      <c r="R950" s="531"/>
      <c r="S950" s="532"/>
      <c r="T950" s="532"/>
      <c r="U950" s="532"/>
      <c r="V950" s="532"/>
      <c r="W950" s="532"/>
      <c r="X950" s="532"/>
      <c r="Y950" s="532"/>
      <c r="Z950" s="531"/>
      <c r="AA950" s="531"/>
      <c r="AB950" s="531"/>
      <c r="AC950" s="531"/>
      <c r="AD950" s="531"/>
      <c r="AE950" s="531"/>
      <c r="AF950" s="531"/>
      <c r="AG950" s="531"/>
    </row>
    <row r="951">
      <c r="B951" s="531"/>
      <c r="C951" s="531"/>
      <c r="D951" s="531"/>
      <c r="E951" s="531"/>
      <c r="F951" s="531"/>
      <c r="G951" s="531"/>
      <c r="H951" s="531"/>
      <c r="I951" s="531"/>
      <c r="J951" s="531"/>
      <c r="K951" s="531"/>
      <c r="L951" s="531"/>
      <c r="M951" s="531"/>
      <c r="N951" s="531"/>
      <c r="O951" s="531"/>
      <c r="P951" s="531"/>
      <c r="Q951" s="531"/>
      <c r="R951" s="531"/>
      <c r="S951" s="532"/>
      <c r="T951" s="532"/>
      <c r="U951" s="532"/>
      <c r="V951" s="532"/>
      <c r="W951" s="532"/>
      <c r="X951" s="532"/>
      <c r="Y951" s="532"/>
      <c r="Z951" s="531"/>
      <c r="AA951" s="531"/>
      <c r="AB951" s="531"/>
      <c r="AC951" s="531"/>
      <c r="AD951" s="531"/>
      <c r="AE951" s="531"/>
      <c r="AF951" s="531"/>
      <c r="AG951" s="531"/>
    </row>
    <row r="952">
      <c r="B952" s="531"/>
      <c r="C952" s="531"/>
      <c r="D952" s="531"/>
      <c r="E952" s="531"/>
      <c r="F952" s="531"/>
      <c r="G952" s="531"/>
      <c r="H952" s="531"/>
      <c r="I952" s="531"/>
      <c r="J952" s="531"/>
      <c r="K952" s="531"/>
      <c r="L952" s="531"/>
      <c r="M952" s="531"/>
      <c r="N952" s="531"/>
      <c r="O952" s="531"/>
      <c r="P952" s="531"/>
      <c r="Q952" s="531"/>
      <c r="R952" s="531"/>
      <c r="S952" s="532"/>
      <c r="T952" s="532"/>
      <c r="U952" s="532"/>
      <c r="V952" s="532"/>
      <c r="W952" s="532"/>
      <c r="X952" s="532"/>
      <c r="Y952" s="532"/>
      <c r="Z952" s="531"/>
      <c r="AA952" s="531"/>
      <c r="AB952" s="531"/>
      <c r="AC952" s="531"/>
      <c r="AD952" s="531"/>
      <c r="AE952" s="531"/>
      <c r="AF952" s="531"/>
      <c r="AG952" s="531"/>
    </row>
    <row r="953">
      <c r="B953" s="531"/>
      <c r="C953" s="531"/>
      <c r="D953" s="531"/>
      <c r="E953" s="531"/>
      <c r="F953" s="531"/>
      <c r="G953" s="531"/>
      <c r="H953" s="531"/>
      <c r="I953" s="531"/>
      <c r="J953" s="531"/>
      <c r="K953" s="531"/>
      <c r="L953" s="531"/>
      <c r="M953" s="531"/>
      <c r="N953" s="531"/>
      <c r="O953" s="531"/>
      <c r="P953" s="531"/>
      <c r="Q953" s="531"/>
      <c r="R953" s="531"/>
      <c r="S953" s="532"/>
      <c r="T953" s="532"/>
      <c r="U953" s="532"/>
      <c r="V953" s="532"/>
      <c r="W953" s="532"/>
      <c r="X953" s="532"/>
      <c r="Y953" s="532"/>
      <c r="Z953" s="531"/>
      <c r="AA953" s="531"/>
      <c r="AB953" s="531"/>
      <c r="AC953" s="531"/>
      <c r="AD953" s="531"/>
      <c r="AE953" s="531"/>
      <c r="AF953" s="531"/>
      <c r="AG953" s="531"/>
    </row>
    <row r="954">
      <c r="B954" s="531"/>
      <c r="C954" s="531"/>
      <c r="D954" s="531"/>
      <c r="E954" s="531"/>
      <c r="F954" s="531"/>
      <c r="G954" s="531"/>
      <c r="H954" s="531"/>
      <c r="I954" s="531"/>
      <c r="J954" s="531"/>
      <c r="K954" s="531"/>
      <c r="L954" s="531"/>
      <c r="M954" s="531"/>
      <c r="N954" s="531"/>
      <c r="O954" s="531"/>
      <c r="P954" s="531"/>
      <c r="Q954" s="531"/>
      <c r="R954" s="531"/>
      <c r="S954" s="532"/>
      <c r="T954" s="532"/>
      <c r="U954" s="532"/>
      <c r="V954" s="532"/>
      <c r="W954" s="532"/>
      <c r="X954" s="532"/>
      <c r="Y954" s="532"/>
      <c r="Z954" s="531"/>
      <c r="AA954" s="531"/>
      <c r="AB954" s="531"/>
      <c r="AC954" s="531"/>
      <c r="AD954" s="531"/>
      <c r="AE954" s="531"/>
      <c r="AF954" s="531"/>
      <c r="AG954" s="531"/>
    </row>
    <row r="955">
      <c r="B955" s="531"/>
      <c r="C955" s="531"/>
      <c r="D955" s="531"/>
      <c r="E955" s="531"/>
      <c r="F955" s="531"/>
      <c r="G955" s="531"/>
      <c r="H955" s="531"/>
      <c r="I955" s="531"/>
      <c r="J955" s="531"/>
      <c r="K955" s="531"/>
      <c r="L955" s="531"/>
      <c r="M955" s="531"/>
      <c r="N955" s="531"/>
      <c r="O955" s="531"/>
      <c r="P955" s="531"/>
      <c r="Q955" s="531"/>
      <c r="R955" s="531"/>
      <c r="S955" s="532"/>
      <c r="T955" s="532"/>
      <c r="U955" s="532"/>
      <c r="V955" s="532"/>
      <c r="W955" s="532"/>
      <c r="X955" s="532"/>
      <c r="Y955" s="532"/>
      <c r="Z955" s="531"/>
      <c r="AA955" s="531"/>
      <c r="AB955" s="531"/>
      <c r="AC955" s="531"/>
      <c r="AD955" s="531"/>
      <c r="AE955" s="531"/>
      <c r="AF955" s="531"/>
      <c r="AG955" s="531"/>
    </row>
    <row r="956">
      <c r="B956" s="531"/>
      <c r="C956" s="531"/>
      <c r="D956" s="531"/>
      <c r="E956" s="531"/>
      <c r="F956" s="531"/>
      <c r="G956" s="531"/>
      <c r="H956" s="531"/>
      <c r="I956" s="531"/>
      <c r="J956" s="531"/>
      <c r="K956" s="531"/>
      <c r="L956" s="531"/>
      <c r="M956" s="531"/>
      <c r="N956" s="531"/>
      <c r="O956" s="531"/>
      <c r="P956" s="531"/>
      <c r="Q956" s="531"/>
      <c r="R956" s="531"/>
      <c r="S956" s="532"/>
      <c r="T956" s="532"/>
      <c r="U956" s="532"/>
      <c r="V956" s="532"/>
      <c r="W956" s="532"/>
      <c r="X956" s="532"/>
      <c r="Y956" s="532"/>
      <c r="Z956" s="531"/>
      <c r="AA956" s="531"/>
      <c r="AB956" s="531"/>
      <c r="AC956" s="531"/>
      <c r="AD956" s="531"/>
      <c r="AE956" s="531"/>
      <c r="AF956" s="531"/>
      <c r="AG956" s="531"/>
    </row>
    <row r="957">
      <c r="B957" s="531"/>
      <c r="C957" s="531"/>
      <c r="D957" s="531"/>
      <c r="E957" s="531"/>
      <c r="F957" s="531"/>
      <c r="G957" s="531"/>
      <c r="H957" s="531"/>
      <c r="I957" s="531"/>
      <c r="J957" s="531"/>
      <c r="K957" s="531"/>
      <c r="L957" s="531"/>
      <c r="M957" s="531"/>
      <c r="N957" s="531"/>
      <c r="O957" s="531"/>
      <c r="P957" s="531"/>
      <c r="Q957" s="531"/>
      <c r="R957" s="531"/>
      <c r="S957" s="532"/>
      <c r="T957" s="532"/>
      <c r="U957" s="532"/>
      <c r="V957" s="532"/>
      <c r="W957" s="532"/>
      <c r="X957" s="532"/>
      <c r="Y957" s="532"/>
      <c r="Z957" s="531"/>
      <c r="AA957" s="531"/>
      <c r="AB957" s="531"/>
      <c r="AC957" s="531"/>
      <c r="AD957" s="531"/>
      <c r="AE957" s="531"/>
      <c r="AF957" s="531"/>
      <c r="AG957" s="531"/>
    </row>
    <row r="958">
      <c r="B958" s="531"/>
      <c r="C958" s="531"/>
      <c r="D958" s="531"/>
      <c r="E958" s="531"/>
      <c r="F958" s="531"/>
      <c r="G958" s="531"/>
      <c r="H958" s="531"/>
      <c r="I958" s="531"/>
      <c r="J958" s="531"/>
      <c r="K958" s="531"/>
      <c r="L958" s="531"/>
      <c r="M958" s="531"/>
      <c r="N958" s="531"/>
      <c r="O958" s="531"/>
      <c r="P958" s="531"/>
      <c r="Q958" s="531"/>
      <c r="R958" s="531"/>
      <c r="S958" s="532"/>
      <c r="T958" s="532"/>
      <c r="U958" s="532"/>
      <c r="V958" s="532"/>
      <c r="W958" s="532"/>
      <c r="X958" s="532"/>
      <c r="Y958" s="532"/>
      <c r="Z958" s="531"/>
      <c r="AA958" s="531"/>
      <c r="AB958" s="531"/>
      <c r="AC958" s="531"/>
      <c r="AD958" s="531"/>
      <c r="AE958" s="531"/>
      <c r="AF958" s="531"/>
      <c r="AG958" s="531"/>
    </row>
    <row r="959">
      <c r="B959" s="531"/>
      <c r="C959" s="531"/>
      <c r="D959" s="531"/>
      <c r="E959" s="531"/>
      <c r="F959" s="531"/>
      <c r="G959" s="531"/>
      <c r="H959" s="531"/>
      <c r="I959" s="531"/>
      <c r="J959" s="531"/>
      <c r="K959" s="531"/>
      <c r="L959" s="531"/>
      <c r="M959" s="531"/>
      <c r="N959" s="531"/>
      <c r="O959" s="531"/>
      <c r="P959" s="531"/>
      <c r="Q959" s="531"/>
      <c r="R959" s="531"/>
      <c r="S959" s="532"/>
      <c r="T959" s="532"/>
      <c r="U959" s="532"/>
      <c r="V959" s="532"/>
      <c r="W959" s="532"/>
      <c r="X959" s="532"/>
      <c r="Y959" s="532"/>
      <c r="Z959" s="531"/>
      <c r="AA959" s="531"/>
      <c r="AB959" s="531"/>
      <c r="AC959" s="531"/>
      <c r="AD959" s="531"/>
      <c r="AE959" s="531"/>
      <c r="AF959" s="531"/>
      <c r="AG959" s="531"/>
    </row>
    <row r="960">
      <c r="B960" s="531"/>
      <c r="C960" s="531"/>
      <c r="D960" s="531"/>
      <c r="E960" s="531"/>
      <c r="F960" s="531"/>
      <c r="G960" s="531"/>
      <c r="H960" s="531"/>
      <c r="I960" s="531"/>
      <c r="J960" s="531"/>
      <c r="K960" s="531"/>
      <c r="L960" s="531"/>
      <c r="M960" s="531"/>
      <c r="N960" s="531"/>
      <c r="O960" s="531"/>
      <c r="P960" s="531"/>
      <c r="Q960" s="531"/>
      <c r="R960" s="531"/>
      <c r="S960" s="532"/>
      <c r="T960" s="532"/>
      <c r="U960" s="532"/>
      <c r="V960" s="532"/>
      <c r="W960" s="532"/>
      <c r="X960" s="532"/>
      <c r="Y960" s="532"/>
      <c r="Z960" s="531"/>
      <c r="AA960" s="531"/>
      <c r="AB960" s="531"/>
      <c r="AC960" s="531"/>
      <c r="AD960" s="531"/>
      <c r="AE960" s="531"/>
      <c r="AF960" s="531"/>
      <c r="AG960" s="531"/>
    </row>
    <row r="961">
      <c r="B961" s="531"/>
      <c r="C961" s="531"/>
      <c r="D961" s="531"/>
      <c r="E961" s="531"/>
      <c r="F961" s="531"/>
      <c r="G961" s="531"/>
      <c r="H961" s="531"/>
      <c r="I961" s="531"/>
      <c r="J961" s="531"/>
      <c r="K961" s="531"/>
      <c r="L961" s="531"/>
      <c r="M961" s="531"/>
      <c r="N961" s="531"/>
      <c r="O961" s="531"/>
      <c r="P961" s="531"/>
      <c r="Q961" s="531"/>
      <c r="R961" s="531"/>
      <c r="S961" s="532"/>
      <c r="T961" s="532"/>
      <c r="U961" s="532"/>
      <c r="V961" s="532"/>
      <c r="W961" s="532"/>
      <c r="X961" s="532"/>
      <c r="Y961" s="532"/>
      <c r="Z961" s="531"/>
      <c r="AA961" s="531"/>
      <c r="AB961" s="531"/>
      <c r="AC961" s="531"/>
      <c r="AD961" s="531"/>
      <c r="AE961" s="531"/>
      <c r="AF961" s="531"/>
      <c r="AG961" s="531"/>
    </row>
    <row r="962">
      <c r="B962" s="531"/>
      <c r="C962" s="531"/>
      <c r="D962" s="531"/>
      <c r="E962" s="531"/>
      <c r="F962" s="531"/>
      <c r="G962" s="531"/>
      <c r="H962" s="531"/>
      <c r="I962" s="531"/>
      <c r="J962" s="531"/>
      <c r="K962" s="531"/>
      <c r="L962" s="531"/>
      <c r="M962" s="531"/>
      <c r="N962" s="531"/>
      <c r="O962" s="531"/>
      <c r="P962" s="531"/>
      <c r="Q962" s="531"/>
      <c r="R962" s="531"/>
      <c r="S962" s="532"/>
      <c r="T962" s="532"/>
      <c r="U962" s="532"/>
      <c r="V962" s="532"/>
      <c r="W962" s="532"/>
      <c r="X962" s="532"/>
      <c r="Y962" s="532"/>
      <c r="Z962" s="531"/>
      <c r="AA962" s="531"/>
      <c r="AB962" s="531"/>
      <c r="AC962" s="531"/>
      <c r="AD962" s="531"/>
      <c r="AE962" s="531"/>
      <c r="AF962" s="531"/>
      <c r="AG962" s="531"/>
    </row>
    <row r="963">
      <c r="B963" s="531"/>
      <c r="C963" s="531"/>
      <c r="D963" s="531"/>
      <c r="E963" s="531"/>
      <c r="F963" s="531"/>
      <c r="G963" s="531"/>
      <c r="H963" s="531"/>
      <c r="I963" s="531"/>
      <c r="J963" s="531"/>
      <c r="K963" s="531"/>
      <c r="L963" s="531"/>
      <c r="M963" s="531"/>
      <c r="N963" s="531"/>
      <c r="O963" s="531"/>
      <c r="P963" s="531"/>
      <c r="Q963" s="531"/>
      <c r="R963" s="531"/>
      <c r="S963" s="532"/>
      <c r="T963" s="532"/>
      <c r="U963" s="532"/>
      <c r="V963" s="532"/>
      <c r="W963" s="532"/>
      <c r="X963" s="532"/>
      <c r="Y963" s="532"/>
      <c r="Z963" s="531"/>
      <c r="AA963" s="531"/>
      <c r="AB963" s="531"/>
      <c r="AC963" s="531"/>
      <c r="AD963" s="531"/>
      <c r="AE963" s="531"/>
      <c r="AF963" s="531"/>
      <c r="AG963" s="531"/>
    </row>
    <row r="964">
      <c r="B964" s="531"/>
      <c r="C964" s="531"/>
      <c r="D964" s="531"/>
      <c r="E964" s="531"/>
      <c r="F964" s="531"/>
      <c r="G964" s="531"/>
      <c r="H964" s="531"/>
      <c r="I964" s="531"/>
      <c r="J964" s="531"/>
      <c r="K964" s="531"/>
      <c r="L964" s="531"/>
      <c r="M964" s="531"/>
      <c r="N964" s="531"/>
      <c r="O964" s="531"/>
      <c r="P964" s="531"/>
      <c r="Q964" s="531"/>
      <c r="R964" s="531"/>
      <c r="S964" s="532"/>
      <c r="T964" s="532"/>
      <c r="U964" s="532"/>
      <c r="V964" s="532"/>
      <c r="W964" s="532"/>
      <c r="X964" s="532"/>
      <c r="Y964" s="532"/>
      <c r="Z964" s="531"/>
      <c r="AA964" s="531"/>
      <c r="AB964" s="531"/>
      <c r="AC964" s="531"/>
      <c r="AD964" s="531"/>
      <c r="AE964" s="531"/>
      <c r="AF964" s="531"/>
      <c r="AG964" s="531"/>
    </row>
    <row r="965">
      <c r="B965" s="531"/>
      <c r="C965" s="531"/>
      <c r="D965" s="531"/>
      <c r="E965" s="531"/>
      <c r="F965" s="531"/>
      <c r="G965" s="531"/>
      <c r="H965" s="531"/>
      <c r="I965" s="531"/>
      <c r="J965" s="531"/>
      <c r="K965" s="531"/>
      <c r="L965" s="531"/>
      <c r="M965" s="531"/>
      <c r="N965" s="531"/>
      <c r="O965" s="531"/>
      <c r="P965" s="531"/>
      <c r="Q965" s="531"/>
      <c r="R965" s="531"/>
      <c r="S965" s="532"/>
      <c r="T965" s="532"/>
      <c r="U965" s="532"/>
      <c r="V965" s="532"/>
      <c r="W965" s="532"/>
      <c r="X965" s="532"/>
      <c r="Y965" s="532"/>
      <c r="Z965" s="531"/>
      <c r="AA965" s="531"/>
      <c r="AB965" s="531"/>
      <c r="AC965" s="531"/>
      <c r="AD965" s="531"/>
      <c r="AE965" s="531"/>
      <c r="AF965" s="531"/>
      <c r="AG965" s="531"/>
    </row>
    <row r="966">
      <c r="B966" s="531"/>
      <c r="C966" s="531"/>
      <c r="D966" s="531"/>
      <c r="E966" s="531"/>
      <c r="F966" s="531"/>
      <c r="G966" s="531"/>
      <c r="H966" s="531"/>
      <c r="I966" s="531"/>
      <c r="J966" s="531"/>
      <c r="K966" s="531"/>
      <c r="L966" s="531"/>
      <c r="M966" s="531"/>
      <c r="N966" s="531"/>
      <c r="O966" s="531"/>
      <c r="P966" s="531"/>
      <c r="Q966" s="531"/>
      <c r="R966" s="531"/>
      <c r="S966" s="532"/>
      <c r="T966" s="532"/>
      <c r="U966" s="532"/>
      <c r="V966" s="532"/>
      <c r="W966" s="532"/>
      <c r="X966" s="532"/>
      <c r="Y966" s="532"/>
      <c r="Z966" s="531"/>
      <c r="AA966" s="531"/>
      <c r="AB966" s="531"/>
      <c r="AC966" s="531"/>
      <c r="AD966" s="531"/>
      <c r="AE966" s="531"/>
      <c r="AF966" s="531"/>
      <c r="AG966" s="531"/>
    </row>
    <row r="967">
      <c r="B967" s="531"/>
      <c r="C967" s="531"/>
      <c r="D967" s="531"/>
      <c r="E967" s="531"/>
      <c r="F967" s="531"/>
      <c r="G967" s="531"/>
      <c r="H967" s="531"/>
      <c r="I967" s="531"/>
      <c r="J967" s="531"/>
      <c r="K967" s="531"/>
      <c r="L967" s="531"/>
      <c r="M967" s="531"/>
      <c r="N967" s="531"/>
      <c r="O967" s="531"/>
      <c r="P967" s="531"/>
      <c r="Q967" s="531"/>
      <c r="R967" s="531"/>
      <c r="S967" s="532"/>
      <c r="T967" s="532"/>
      <c r="U967" s="532"/>
      <c r="V967" s="532"/>
      <c r="W967" s="532"/>
      <c r="X967" s="532"/>
      <c r="Y967" s="532"/>
      <c r="Z967" s="531"/>
      <c r="AA967" s="531"/>
      <c r="AB967" s="531"/>
      <c r="AC967" s="531"/>
      <c r="AD967" s="531"/>
      <c r="AE967" s="531"/>
      <c r="AF967" s="531"/>
      <c r="AG967" s="531"/>
    </row>
    <row r="968">
      <c r="B968" s="531"/>
      <c r="C968" s="531"/>
      <c r="D968" s="531"/>
      <c r="E968" s="531"/>
      <c r="F968" s="531"/>
      <c r="G968" s="531"/>
      <c r="H968" s="531"/>
      <c r="I968" s="531"/>
      <c r="J968" s="531"/>
      <c r="K968" s="531"/>
      <c r="L968" s="531"/>
      <c r="M968" s="531"/>
      <c r="N968" s="531"/>
      <c r="O968" s="531"/>
      <c r="P968" s="531"/>
      <c r="Q968" s="531"/>
      <c r="R968" s="531"/>
      <c r="S968" s="532"/>
      <c r="T968" s="532"/>
      <c r="U968" s="532"/>
      <c r="V968" s="532"/>
      <c r="W968" s="532"/>
      <c r="X968" s="532"/>
      <c r="Y968" s="532"/>
      <c r="Z968" s="531"/>
      <c r="AA968" s="531"/>
      <c r="AB968" s="531"/>
      <c r="AC968" s="531"/>
      <c r="AD968" s="531"/>
      <c r="AE968" s="531"/>
      <c r="AF968" s="531"/>
      <c r="AG968" s="531"/>
    </row>
    <row r="969">
      <c r="B969" s="531"/>
      <c r="C969" s="531"/>
      <c r="D969" s="531"/>
      <c r="E969" s="531"/>
      <c r="F969" s="531"/>
      <c r="G969" s="531"/>
      <c r="H969" s="531"/>
      <c r="I969" s="531"/>
      <c r="J969" s="531"/>
      <c r="K969" s="531"/>
      <c r="L969" s="531"/>
      <c r="M969" s="531"/>
      <c r="N969" s="531"/>
      <c r="O969" s="531"/>
      <c r="P969" s="531"/>
      <c r="Q969" s="531"/>
      <c r="R969" s="531"/>
      <c r="S969" s="532"/>
      <c r="T969" s="532"/>
      <c r="U969" s="532"/>
      <c r="V969" s="532"/>
      <c r="W969" s="532"/>
      <c r="X969" s="532"/>
      <c r="Y969" s="532"/>
      <c r="Z969" s="531"/>
      <c r="AA969" s="531"/>
      <c r="AB969" s="531"/>
      <c r="AC969" s="531"/>
      <c r="AD969" s="531"/>
      <c r="AE969" s="531"/>
      <c r="AF969" s="531"/>
      <c r="AG969" s="531"/>
    </row>
    <row r="970">
      <c r="B970" s="531"/>
      <c r="C970" s="531"/>
      <c r="D970" s="531"/>
      <c r="E970" s="531"/>
      <c r="F970" s="531"/>
      <c r="G970" s="531"/>
      <c r="H970" s="531"/>
      <c r="I970" s="531"/>
      <c r="J970" s="531"/>
      <c r="K970" s="531"/>
      <c r="L970" s="531"/>
      <c r="M970" s="531"/>
      <c r="N970" s="531"/>
      <c r="O970" s="531"/>
      <c r="P970" s="531"/>
      <c r="Q970" s="531"/>
      <c r="R970" s="531"/>
      <c r="S970" s="532"/>
      <c r="T970" s="532"/>
      <c r="U970" s="532"/>
      <c r="V970" s="532"/>
      <c r="W970" s="532"/>
      <c r="X970" s="532"/>
      <c r="Y970" s="532"/>
      <c r="Z970" s="531"/>
      <c r="AA970" s="531"/>
      <c r="AB970" s="531"/>
      <c r="AC970" s="531"/>
      <c r="AD970" s="531"/>
      <c r="AE970" s="531"/>
      <c r="AF970" s="531"/>
      <c r="AG970" s="531"/>
    </row>
    <row r="971">
      <c r="B971" s="531"/>
      <c r="C971" s="531"/>
      <c r="D971" s="531"/>
      <c r="E971" s="531"/>
      <c r="F971" s="531"/>
      <c r="G971" s="531"/>
      <c r="H971" s="531"/>
      <c r="I971" s="531"/>
      <c r="J971" s="531"/>
      <c r="K971" s="531"/>
      <c r="L971" s="531"/>
      <c r="M971" s="531"/>
      <c r="N971" s="531"/>
      <c r="O971" s="531"/>
      <c r="P971" s="531"/>
      <c r="Q971" s="531"/>
      <c r="R971" s="531"/>
      <c r="S971" s="532"/>
      <c r="T971" s="532"/>
      <c r="U971" s="532"/>
      <c r="V971" s="532"/>
      <c r="W971" s="532"/>
      <c r="X971" s="532"/>
      <c r="Y971" s="532"/>
      <c r="Z971" s="531"/>
      <c r="AA971" s="531"/>
      <c r="AB971" s="531"/>
      <c r="AC971" s="531"/>
      <c r="AD971" s="531"/>
      <c r="AE971" s="531"/>
      <c r="AF971" s="531"/>
      <c r="AG971" s="531"/>
    </row>
    <row r="972">
      <c r="B972" s="531"/>
      <c r="C972" s="531"/>
      <c r="D972" s="531"/>
      <c r="E972" s="531"/>
      <c r="F972" s="531"/>
      <c r="G972" s="531"/>
      <c r="H972" s="531"/>
      <c r="I972" s="531"/>
      <c r="J972" s="531"/>
      <c r="K972" s="531"/>
      <c r="L972" s="531"/>
      <c r="M972" s="531"/>
      <c r="N972" s="531"/>
      <c r="O972" s="531"/>
      <c r="P972" s="531"/>
      <c r="Q972" s="531"/>
      <c r="R972" s="531"/>
      <c r="S972" s="532"/>
      <c r="T972" s="532"/>
      <c r="U972" s="532"/>
      <c r="V972" s="532"/>
      <c r="W972" s="532"/>
      <c r="X972" s="532"/>
      <c r="Y972" s="532"/>
      <c r="Z972" s="531"/>
      <c r="AA972" s="531"/>
      <c r="AB972" s="531"/>
      <c r="AC972" s="531"/>
      <c r="AD972" s="531"/>
      <c r="AE972" s="531"/>
      <c r="AF972" s="531"/>
      <c r="AG972" s="531"/>
    </row>
    <row r="973">
      <c r="B973" s="531"/>
      <c r="C973" s="531"/>
      <c r="D973" s="531"/>
      <c r="E973" s="531"/>
      <c r="F973" s="531"/>
      <c r="G973" s="531"/>
      <c r="H973" s="531"/>
      <c r="I973" s="531"/>
      <c r="J973" s="531"/>
      <c r="K973" s="531"/>
      <c r="L973" s="531"/>
      <c r="M973" s="531"/>
      <c r="N973" s="531"/>
      <c r="O973" s="531"/>
      <c r="P973" s="531"/>
      <c r="Q973" s="531"/>
      <c r="R973" s="531"/>
      <c r="S973" s="532"/>
      <c r="T973" s="532"/>
      <c r="U973" s="532"/>
      <c r="V973" s="532"/>
      <c r="W973" s="532"/>
      <c r="X973" s="532"/>
      <c r="Y973" s="532"/>
      <c r="Z973" s="531"/>
      <c r="AA973" s="531"/>
      <c r="AB973" s="531"/>
      <c r="AC973" s="531"/>
      <c r="AD973" s="531"/>
      <c r="AE973" s="531"/>
      <c r="AF973" s="531"/>
      <c r="AG973" s="531"/>
    </row>
    <row r="974">
      <c r="B974" s="531"/>
      <c r="C974" s="531"/>
      <c r="D974" s="531"/>
      <c r="E974" s="531"/>
      <c r="F974" s="531"/>
      <c r="G974" s="531"/>
      <c r="H974" s="531"/>
      <c r="I974" s="531"/>
      <c r="J974" s="531"/>
      <c r="K974" s="531"/>
      <c r="L974" s="531"/>
      <c r="M974" s="531"/>
      <c r="N974" s="531"/>
      <c r="O974" s="531"/>
      <c r="P974" s="531"/>
      <c r="Q974" s="531"/>
      <c r="R974" s="531"/>
      <c r="S974" s="532"/>
      <c r="T974" s="532"/>
      <c r="U974" s="532"/>
      <c r="V974" s="532"/>
      <c r="W974" s="532"/>
      <c r="X974" s="532"/>
      <c r="Y974" s="532"/>
      <c r="Z974" s="531"/>
      <c r="AA974" s="531"/>
      <c r="AB974" s="531"/>
      <c r="AC974" s="531"/>
      <c r="AD974" s="531"/>
      <c r="AE974" s="531"/>
      <c r="AF974" s="531"/>
      <c r="AG974" s="531"/>
    </row>
    <row r="975">
      <c r="B975" s="531"/>
      <c r="C975" s="531"/>
      <c r="D975" s="531"/>
      <c r="E975" s="531"/>
      <c r="F975" s="531"/>
      <c r="G975" s="531"/>
      <c r="H975" s="531"/>
      <c r="I975" s="531"/>
      <c r="J975" s="531"/>
      <c r="K975" s="531"/>
      <c r="L975" s="531"/>
      <c r="M975" s="531"/>
      <c r="N975" s="531"/>
      <c r="O975" s="531"/>
      <c r="P975" s="531"/>
      <c r="Q975" s="531"/>
      <c r="R975" s="531"/>
      <c r="S975" s="532"/>
      <c r="T975" s="532"/>
      <c r="U975" s="532"/>
      <c r="V975" s="532"/>
      <c r="W975" s="532"/>
      <c r="X975" s="532"/>
      <c r="Y975" s="532"/>
      <c r="Z975" s="531"/>
      <c r="AA975" s="531"/>
      <c r="AB975" s="531"/>
      <c r="AC975" s="531"/>
      <c r="AD975" s="531"/>
      <c r="AE975" s="531"/>
      <c r="AF975" s="531"/>
      <c r="AG975" s="531"/>
    </row>
    <row r="976">
      <c r="B976" s="531"/>
      <c r="C976" s="531"/>
      <c r="D976" s="531"/>
      <c r="E976" s="531"/>
      <c r="F976" s="531"/>
      <c r="G976" s="531"/>
      <c r="H976" s="531"/>
      <c r="I976" s="531"/>
      <c r="J976" s="531"/>
      <c r="K976" s="531"/>
      <c r="L976" s="531"/>
      <c r="M976" s="531"/>
      <c r="N976" s="531"/>
      <c r="O976" s="531"/>
      <c r="P976" s="531"/>
      <c r="Q976" s="531"/>
      <c r="R976" s="531"/>
      <c r="S976" s="532"/>
      <c r="T976" s="532"/>
      <c r="U976" s="532"/>
      <c r="V976" s="532"/>
      <c r="W976" s="532"/>
      <c r="X976" s="532"/>
      <c r="Y976" s="532"/>
      <c r="Z976" s="531"/>
      <c r="AA976" s="531"/>
      <c r="AB976" s="531"/>
      <c r="AC976" s="531"/>
      <c r="AD976" s="531"/>
      <c r="AE976" s="531"/>
      <c r="AF976" s="531"/>
      <c r="AG976" s="531"/>
    </row>
    <row r="977">
      <c r="B977" s="531"/>
      <c r="C977" s="531"/>
      <c r="D977" s="531"/>
      <c r="E977" s="531"/>
      <c r="F977" s="531"/>
      <c r="G977" s="531"/>
      <c r="H977" s="531"/>
      <c r="I977" s="531"/>
      <c r="J977" s="531"/>
      <c r="K977" s="531"/>
      <c r="L977" s="531"/>
      <c r="M977" s="531"/>
      <c r="N977" s="531"/>
      <c r="O977" s="531"/>
      <c r="P977" s="531"/>
      <c r="Q977" s="531"/>
      <c r="R977" s="531"/>
      <c r="S977" s="532"/>
      <c r="T977" s="532"/>
      <c r="U977" s="532"/>
      <c r="V977" s="532"/>
      <c r="W977" s="532"/>
      <c r="X977" s="532"/>
      <c r="Y977" s="532"/>
      <c r="Z977" s="531"/>
      <c r="AA977" s="531"/>
      <c r="AB977" s="531"/>
      <c r="AC977" s="531"/>
      <c r="AD977" s="531"/>
      <c r="AE977" s="531"/>
      <c r="AF977" s="531"/>
      <c r="AG977" s="531"/>
    </row>
    <row r="978">
      <c r="B978" s="531"/>
      <c r="C978" s="531"/>
      <c r="D978" s="531"/>
      <c r="E978" s="531"/>
      <c r="F978" s="531"/>
      <c r="G978" s="531"/>
      <c r="H978" s="531"/>
      <c r="I978" s="531"/>
      <c r="J978" s="531"/>
      <c r="K978" s="531"/>
      <c r="L978" s="531"/>
      <c r="M978" s="531"/>
      <c r="N978" s="531"/>
      <c r="O978" s="531"/>
      <c r="P978" s="531"/>
      <c r="Q978" s="531"/>
      <c r="R978" s="531"/>
      <c r="S978" s="532"/>
      <c r="T978" s="532"/>
      <c r="U978" s="532"/>
      <c r="V978" s="532"/>
      <c r="W978" s="532"/>
      <c r="X978" s="532"/>
      <c r="Y978" s="532"/>
      <c r="Z978" s="531"/>
      <c r="AA978" s="531"/>
      <c r="AB978" s="531"/>
      <c r="AC978" s="531"/>
      <c r="AD978" s="531"/>
      <c r="AE978" s="531"/>
      <c r="AF978" s="531"/>
      <c r="AG978" s="531"/>
    </row>
    <row r="979">
      <c r="B979" s="531"/>
      <c r="C979" s="531"/>
      <c r="D979" s="531"/>
      <c r="E979" s="531"/>
      <c r="F979" s="531"/>
      <c r="G979" s="531"/>
      <c r="H979" s="531"/>
      <c r="I979" s="531"/>
      <c r="J979" s="531"/>
      <c r="K979" s="531"/>
      <c r="L979" s="531"/>
      <c r="M979" s="531"/>
      <c r="N979" s="531"/>
      <c r="O979" s="531"/>
      <c r="P979" s="531"/>
      <c r="Q979" s="531"/>
      <c r="R979" s="531"/>
      <c r="S979" s="532"/>
      <c r="T979" s="532"/>
      <c r="U979" s="532"/>
      <c r="V979" s="532"/>
      <c r="W979" s="532"/>
      <c r="X979" s="532"/>
      <c r="Y979" s="532"/>
      <c r="Z979" s="531"/>
      <c r="AA979" s="531"/>
      <c r="AB979" s="531"/>
      <c r="AC979" s="531"/>
      <c r="AD979" s="531"/>
      <c r="AE979" s="531"/>
      <c r="AF979" s="531"/>
      <c r="AG979" s="531"/>
    </row>
    <row r="980">
      <c r="B980" s="531"/>
      <c r="C980" s="531"/>
      <c r="D980" s="531"/>
      <c r="E980" s="531"/>
      <c r="F980" s="531"/>
      <c r="G980" s="531"/>
      <c r="H980" s="531"/>
      <c r="I980" s="531"/>
      <c r="J980" s="531"/>
      <c r="K980" s="531"/>
      <c r="L980" s="531"/>
      <c r="M980" s="531"/>
      <c r="N980" s="531"/>
      <c r="O980" s="531"/>
      <c r="P980" s="531"/>
      <c r="Q980" s="531"/>
      <c r="R980" s="531"/>
      <c r="S980" s="532"/>
      <c r="T980" s="532"/>
      <c r="U980" s="532"/>
      <c r="V980" s="532"/>
      <c r="W980" s="532"/>
      <c r="X980" s="532"/>
      <c r="Y980" s="532"/>
      <c r="Z980" s="531"/>
      <c r="AA980" s="531"/>
      <c r="AB980" s="531"/>
      <c r="AC980" s="531"/>
      <c r="AD980" s="531"/>
      <c r="AE980" s="531"/>
      <c r="AF980" s="531"/>
      <c r="AG980" s="531"/>
    </row>
    <row r="981">
      <c r="B981" s="531"/>
      <c r="C981" s="531"/>
      <c r="D981" s="531"/>
      <c r="E981" s="531"/>
      <c r="F981" s="531"/>
      <c r="G981" s="531"/>
      <c r="H981" s="531"/>
      <c r="I981" s="531"/>
      <c r="J981" s="531"/>
      <c r="K981" s="531"/>
      <c r="L981" s="531"/>
      <c r="M981" s="531"/>
      <c r="N981" s="531"/>
      <c r="O981" s="531"/>
      <c r="P981" s="531"/>
      <c r="Q981" s="531"/>
      <c r="R981" s="531"/>
      <c r="S981" s="532"/>
      <c r="T981" s="532"/>
      <c r="U981" s="532"/>
      <c r="V981" s="532"/>
      <c r="W981" s="532"/>
      <c r="X981" s="532"/>
      <c r="Y981" s="532"/>
      <c r="Z981" s="531"/>
      <c r="AA981" s="531"/>
      <c r="AB981" s="531"/>
      <c r="AC981" s="531"/>
      <c r="AD981" s="531"/>
      <c r="AE981" s="531"/>
      <c r="AF981" s="531"/>
      <c r="AG981" s="531"/>
    </row>
    <row r="982">
      <c r="B982" s="531"/>
      <c r="C982" s="531"/>
      <c r="D982" s="531"/>
      <c r="E982" s="531"/>
      <c r="F982" s="531"/>
      <c r="G982" s="531"/>
      <c r="H982" s="531"/>
      <c r="I982" s="531"/>
      <c r="J982" s="531"/>
      <c r="K982" s="531"/>
      <c r="L982" s="531"/>
      <c r="M982" s="531"/>
      <c r="N982" s="531"/>
      <c r="O982" s="531"/>
      <c r="P982" s="531"/>
      <c r="Q982" s="531"/>
      <c r="R982" s="531"/>
      <c r="S982" s="532"/>
      <c r="T982" s="532"/>
      <c r="U982" s="532"/>
      <c r="V982" s="532"/>
      <c r="W982" s="532"/>
      <c r="X982" s="532"/>
      <c r="Y982" s="532"/>
      <c r="Z982" s="531"/>
      <c r="AA982" s="531"/>
      <c r="AB982" s="531"/>
      <c r="AC982" s="531"/>
      <c r="AD982" s="531"/>
      <c r="AE982" s="531"/>
      <c r="AF982" s="531"/>
      <c r="AG982" s="531"/>
    </row>
    <row r="983">
      <c r="B983" s="531"/>
      <c r="C983" s="531"/>
      <c r="D983" s="531"/>
      <c r="E983" s="531"/>
      <c r="F983" s="531"/>
      <c r="G983" s="531"/>
      <c r="H983" s="531"/>
      <c r="I983" s="531"/>
      <c r="J983" s="531"/>
      <c r="K983" s="531"/>
      <c r="L983" s="531"/>
      <c r="M983" s="531"/>
      <c r="N983" s="531"/>
      <c r="O983" s="531"/>
      <c r="P983" s="531"/>
      <c r="Q983" s="531"/>
      <c r="R983" s="531"/>
      <c r="S983" s="532"/>
      <c r="T983" s="532"/>
      <c r="U983" s="532"/>
      <c r="V983" s="532"/>
      <c r="W983" s="532"/>
      <c r="X983" s="532"/>
      <c r="Y983" s="532"/>
      <c r="Z983" s="531"/>
      <c r="AA983" s="531"/>
      <c r="AB983" s="531"/>
      <c r="AC983" s="531"/>
      <c r="AD983" s="531"/>
      <c r="AE983" s="531"/>
      <c r="AF983" s="531"/>
      <c r="AG983" s="531"/>
    </row>
    <row r="984">
      <c r="B984" s="531"/>
      <c r="C984" s="531"/>
      <c r="D984" s="531"/>
      <c r="E984" s="531"/>
      <c r="F984" s="531"/>
      <c r="G984" s="531"/>
      <c r="H984" s="531"/>
      <c r="I984" s="531"/>
      <c r="J984" s="531"/>
      <c r="K984" s="531"/>
      <c r="L984" s="531"/>
      <c r="M984" s="531"/>
      <c r="N984" s="531"/>
      <c r="O984" s="531"/>
      <c r="P984" s="531"/>
      <c r="Q984" s="531"/>
      <c r="R984" s="531"/>
      <c r="S984" s="532"/>
      <c r="T984" s="532"/>
      <c r="U984" s="532"/>
      <c r="V984" s="532"/>
      <c r="W984" s="532"/>
      <c r="X984" s="532"/>
      <c r="Y984" s="532"/>
      <c r="Z984" s="531"/>
      <c r="AA984" s="531"/>
      <c r="AB984" s="531"/>
      <c r="AC984" s="531"/>
      <c r="AD984" s="531"/>
      <c r="AE984" s="531"/>
      <c r="AF984" s="531"/>
      <c r="AG984" s="531"/>
    </row>
    <row r="985">
      <c r="B985" s="531"/>
      <c r="C985" s="531"/>
      <c r="D985" s="531"/>
      <c r="E985" s="531"/>
      <c r="F985" s="531"/>
      <c r="G985" s="531"/>
      <c r="H985" s="531"/>
      <c r="I985" s="531"/>
      <c r="J985" s="531"/>
      <c r="K985" s="531"/>
      <c r="L985" s="531"/>
      <c r="M985" s="531"/>
      <c r="N985" s="531"/>
      <c r="O985" s="531"/>
      <c r="P985" s="531"/>
      <c r="Q985" s="531"/>
      <c r="R985" s="531"/>
      <c r="S985" s="532"/>
      <c r="T985" s="532"/>
      <c r="U985" s="532"/>
      <c r="V985" s="532"/>
      <c r="W985" s="532"/>
      <c r="X985" s="532"/>
      <c r="Y985" s="532"/>
      <c r="Z985" s="531"/>
      <c r="AA985" s="531"/>
      <c r="AB985" s="531"/>
      <c r="AC985" s="531"/>
      <c r="AD985" s="531"/>
      <c r="AE985" s="531"/>
      <c r="AF985" s="531"/>
      <c r="AG985" s="531"/>
    </row>
    <row r="986">
      <c r="B986" s="531"/>
      <c r="C986" s="531"/>
      <c r="D986" s="531"/>
      <c r="E986" s="531"/>
      <c r="F986" s="531"/>
      <c r="G986" s="531"/>
      <c r="H986" s="531"/>
      <c r="I986" s="531"/>
      <c r="J986" s="531"/>
      <c r="K986" s="531"/>
      <c r="L986" s="531"/>
      <c r="M986" s="531"/>
      <c r="N986" s="531"/>
      <c r="O986" s="531"/>
      <c r="P986" s="531"/>
      <c r="Q986" s="531"/>
      <c r="R986" s="531"/>
      <c r="S986" s="532"/>
      <c r="T986" s="532"/>
      <c r="U986" s="532"/>
      <c r="V986" s="532"/>
      <c r="W986" s="532"/>
      <c r="X986" s="532"/>
      <c r="Y986" s="532"/>
      <c r="Z986" s="531"/>
      <c r="AA986" s="531"/>
      <c r="AB986" s="531"/>
      <c r="AC986" s="531"/>
      <c r="AD986" s="531"/>
      <c r="AE986" s="531"/>
      <c r="AF986" s="531"/>
      <c r="AG986" s="531"/>
    </row>
    <row r="987">
      <c r="B987" s="531"/>
      <c r="C987" s="531"/>
      <c r="D987" s="531"/>
      <c r="E987" s="531"/>
      <c r="F987" s="531"/>
      <c r="G987" s="531"/>
      <c r="H987" s="531"/>
      <c r="I987" s="531"/>
      <c r="J987" s="531"/>
      <c r="K987" s="531"/>
      <c r="L987" s="531"/>
      <c r="M987" s="531"/>
      <c r="N987" s="531"/>
      <c r="O987" s="531"/>
      <c r="P987" s="531"/>
      <c r="Q987" s="531"/>
      <c r="R987" s="531"/>
      <c r="S987" s="532"/>
      <c r="T987" s="532"/>
      <c r="U987" s="532"/>
      <c r="V987" s="532"/>
      <c r="W987" s="532"/>
      <c r="X987" s="532"/>
      <c r="Y987" s="532"/>
      <c r="Z987" s="531"/>
      <c r="AA987" s="531"/>
      <c r="AB987" s="531"/>
      <c r="AC987" s="531"/>
      <c r="AD987" s="531"/>
      <c r="AE987" s="531"/>
      <c r="AF987" s="531"/>
      <c r="AG987" s="531"/>
    </row>
    <row r="988">
      <c r="B988" s="531"/>
      <c r="C988" s="531"/>
      <c r="D988" s="531"/>
      <c r="E988" s="531"/>
      <c r="F988" s="531"/>
      <c r="G988" s="531"/>
      <c r="H988" s="531"/>
      <c r="I988" s="531"/>
      <c r="J988" s="531"/>
      <c r="K988" s="531"/>
      <c r="L988" s="531"/>
      <c r="M988" s="531"/>
      <c r="N988" s="531"/>
      <c r="O988" s="531"/>
      <c r="P988" s="531"/>
      <c r="Q988" s="531"/>
      <c r="R988" s="531"/>
      <c r="S988" s="532"/>
      <c r="T988" s="532"/>
      <c r="U988" s="532"/>
      <c r="V988" s="532"/>
      <c r="W988" s="532"/>
      <c r="X988" s="532"/>
      <c r="Y988" s="532"/>
      <c r="Z988" s="531"/>
      <c r="AA988" s="531"/>
      <c r="AB988" s="531"/>
      <c r="AC988" s="531"/>
      <c r="AD988" s="531"/>
      <c r="AE988" s="531"/>
      <c r="AF988" s="531"/>
      <c r="AG988" s="531"/>
    </row>
    <row r="989">
      <c r="B989" s="531"/>
      <c r="C989" s="531"/>
      <c r="D989" s="531"/>
      <c r="E989" s="531"/>
      <c r="F989" s="531"/>
      <c r="G989" s="531"/>
      <c r="H989" s="531"/>
      <c r="I989" s="531"/>
      <c r="J989" s="531"/>
      <c r="K989" s="531"/>
      <c r="L989" s="531"/>
      <c r="M989" s="531"/>
      <c r="N989" s="531"/>
      <c r="O989" s="531"/>
      <c r="P989" s="531"/>
      <c r="Q989" s="531"/>
      <c r="R989" s="531"/>
      <c r="S989" s="532"/>
      <c r="T989" s="532"/>
      <c r="U989" s="532"/>
      <c r="V989" s="532"/>
      <c r="W989" s="532"/>
      <c r="X989" s="532"/>
      <c r="Y989" s="532"/>
      <c r="Z989" s="531"/>
      <c r="AA989" s="531"/>
      <c r="AB989" s="531"/>
      <c r="AC989" s="531"/>
      <c r="AD989" s="531"/>
      <c r="AE989" s="531"/>
      <c r="AF989" s="531"/>
      <c r="AG989" s="531"/>
    </row>
    <row r="990">
      <c r="B990" s="531"/>
      <c r="C990" s="531"/>
      <c r="D990" s="531"/>
      <c r="E990" s="531"/>
      <c r="F990" s="531"/>
      <c r="G990" s="531"/>
      <c r="H990" s="531"/>
      <c r="I990" s="531"/>
      <c r="J990" s="531"/>
      <c r="K990" s="531"/>
      <c r="L990" s="531"/>
      <c r="M990" s="531"/>
      <c r="N990" s="531"/>
      <c r="O990" s="531"/>
      <c r="P990" s="531"/>
      <c r="Q990" s="531"/>
      <c r="R990" s="531"/>
      <c r="S990" s="532"/>
      <c r="T990" s="532"/>
      <c r="U990" s="532"/>
      <c r="V990" s="532"/>
      <c r="W990" s="532"/>
      <c r="X990" s="532"/>
      <c r="Y990" s="532"/>
      <c r="Z990" s="531"/>
      <c r="AA990" s="531"/>
      <c r="AB990" s="531"/>
      <c r="AC990" s="531"/>
      <c r="AD990" s="531"/>
      <c r="AE990" s="531"/>
      <c r="AF990" s="531"/>
      <c r="AG990" s="531"/>
    </row>
    <row r="991">
      <c r="B991" s="531"/>
      <c r="C991" s="531"/>
      <c r="D991" s="531"/>
      <c r="E991" s="531"/>
      <c r="F991" s="531"/>
      <c r="G991" s="531"/>
      <c r="H991" s="531"/>
      <c r="I991" s="531"/>
      <c r="J991" s="531"/>
      <c r="K991" s="531"/>
      <c r="L991" s="531"/>
      <c r="M991" s="531"/>
      <c r="N991" s="531"/>
      <c r="O991" s="531"/>
      <c r="P991" s="531"/>
      <c r="Q991" s="531"/>
      <c r="R991" s="531"/>
      <c r="S991" s="532"/>
      <c r="T991" s="532"/>
      <c r="U991" s="532"/>
      <c r="V991" s="532"/>
      <c r="W991" s="532"/>
      <c r="X991" s="532"/>
      <c r="Y991" s="532"/>
      <c r="Z991" s="531"/>
      <c r="AA991" s="531"/>
      <c r="AB991" s="531"/>
      <c r="AC991" s="531"/>
      <c r="AD991" s="531"/>
      <c r="AE991" s="531"/>
      <c r="AF991" s="531"/>
      <c r="AG991" s="531"/>
    </row>
    <row r="992">
      <c r="B992" s="531"/>
      <c r="C992" s="531"/>
      <c r="D992" s="531"/>
      <c r="E992" s="531"/>
      <c r="F992" s="531"/>
      <c r="G992" s="531"/>
      <c r="H992" s="531"/>
      <c r="I992" s="531"/>
      <c r="J992" s="531"/>
      <c r="K992" s="531"/>
      <c r="L992" s="531"/>
      <c r="M992" s="531"/>
      <c r="N992" s="531"/>
      <c r="O992" s="531"/>
      <c r="P992" s="531"/>
      <c r="Q992" s="531"/>
      <c r="R992" s="531"/>
      <c r="S992" s="532"/>
      <c r="T992" s="532"/>
      <c r="U992" s="532"/>
      <c r="V992" s="532"/>
      <c r="W992" s="532"/>
      <c r="X992" s="532"/>
      <c r="Y992" s="532"/>
      <c r="Z992" s="531"/>
      <c r="AA992" s="531"/>
      <c r="AB992" s="531"/>
      <c r="AC992" s="531"/>
      <c r="AD992" s="531"/>
      <c r="AE992" s="531"/>
      <c r="AF992" s="531"/>
      <c r="AG992" s="531"/>
    </row>
    <row r="993">
      <c r="B993" s="531"/>
      <c r="C993" s="531"/>
      <c r="D993" s="531"/>
      <c r="E993" s="531"/>
      <c r="F993" s="531"/>
      <c r="G993" s="531"/>
      <c r="H993" s="531"/>
      <c r="I993" s="531"/>
      <c r="J993" s="531"/>
      <c r="K993" s="531"/>
      <c r="L993" s="531"/>
      <c r="M993" s="531"/>
      <c r="N993" s="531"/>
      <c r="O993" s="531"/>
      <c r="P993" s="531"/>
      <c r="Q993" s="531"/>
      <c r="R993" s="531"/>
      <c r="S993" s="532"/>
      <c r="T993" s="532"/>
      <c r="U993" s="532"/>
      <c r="V993" s="532"/>
      <c r="W993" s="532"/>
      <c r="X993" s="532"/>
      <c r="Y993" s="532"/>
      <c r="Z993" s="531"/>
      <c r="AA993" s="531"/>
      <c r="AB993" s="531"/>
      <c r="AC993" s="531"/>
      <c r="AD993" s="531"/>
      <c r="AE993" s="531"/>
      <c r="AF993" s="531"/>
      <c r="AG993" s="531"/>
    </row>
    <row r="994">
      <c r="B994" s="531"/>
      <c r="C994" s="531"/>
      <c r="D994" s="531"/>
      <c r="E994" s="531"/>
      <c r="F994" s="531"/>
      <c r="G994" s="531"/>
      <c r="H994" s="531"/>
      <c r="I994" s="531"/>
      <c r="J994" s="531"/>
      <c r="K994" s="531"/>
      <c r="L994" s="531"/>
      <c r="M994" s="531"/>
      <c r="N994" s="531"/>
      <c r="O994" s="531"/>
      <c r="P994" s="531"/>
      <c r="Q994" s="531"/>
      <c r="R994" s="531"/>
      <c r="S994" s="532"/>
      <c r="T994" s="532"/>
      <c r="U994" s="532"/>
      <c r="V994" s="532"/>
      <c r="W994" s="532"/>
      <c r="X994" s="532"/>
      <c r="Y994" s="532"/>
      <c r="Z994" s="531"/>
      <c r="AA994" s="531"/>
      <c r="AB994" s="531"/>
      <c r="AC994" s="531"/>
      <c r="AD994" s="531"/>
      <c r="AE994" s="531"/>
      <c r="AF994" s="531"/>
      <c r="AG994" s="531"/>
    </row>
    <row r="995">
      <c r="B995" s="531"/>
      <c r="C995" s="531"/>
      <c r="D995" s="531"/>
      <c r="E995" s="531"/>
      <c r="F995" s="531"/>
      <c r="G995" s="531"/>
      <c r="H995" s="531"/>
      <c r="I995" s="531"/>
      <c r="J995" s="531"/>
      <c r="K995" s="531"/>
      <c r="L995" s="531"/>
      <c r="M995" s="531"/>
      <c r="N995" s="531"/>
      <c r="O995" s="531"/>
      <c r="P995" s="531"/>
      <c r="Q995" s="531"/>
      <c r="R995" s="531"/>
      <c r="S995" s="532"/>
      <c r="T995" s="532"/>
      <c r="U995" s="532"/>
      <c r="V995" s="532"/>
      <c r="W995" s="532"/>
      <c r="X995" s="532"/>
      <c r="Y995" s="532"/>
      <c r="Z995" s="531"/>
      <c r="AA995" s="531"/>
      <c r="AB995" s="531"/>
      <c r="AC995" s="531"/>
      <c r="AD995" s="531"/>
      <c r="AE995" s="531"/>
      <c r="AF995" s="531"/>
      <c r="AG995" s="531"/>
    </row>
    <row r="996">
      <c r="B996" s="531"/>
      <c r="C996" s="531"/>
      <c r="D996" s="531"/>
      <c r="E996" s="531"/>
      <c r="F996" s="531"/>
      <c r="G996" s="531"/>
      <c r="H996" s="531"/>
      <c r="I996" s="531"/>
      <c r="J996" s="531"/>
      <c r="K996" s="531"/>
      <c r="L996" s="531"/>
      <c r="M996" s="531"/>
      <c r="N996" s="531"/>
      <c r="O996" s="531"/>
      <c r="P996" s="531"/>
      <c r="Q996" s="531"/>
      <c r="R996" s="531"/>
      <c r="S996" s="532"/>
      <c r="T996" s="532"/>
      <c r="U996" s="532"/>
      <c r="V996" s="532"/>
      <c r="W996" s="532"/>
      <c r="X996" s="532"/>
      <c r="Y996" s="532"/>
      <c r="Z996" s="531"/>
      <c r="AA996" s="531"/>
      <c r="AB996" s="531"/>
      <c r="AC996" s="531"/>
      <c r="AD996" s="531"/>
      <c r="AE996" s="531"/>
      <c r="AF996" s="531"/>
      <c r="AG996" s="531"/>
    </row>
    <row r="997">
      <c r="B997" s="531"/>
      <c r="C997" s="531"/>
      <c r="D997" s="531"/>
      <c r="E997" s="531"/>
      <c r="F997" s="531"/>
      <c r="G997" s="531"/>
      <c r="H997" s="531"/>
      <c r="I997" s="531"/>
      <c r="J997" s="531"/>
      <c r="K997" s="531"/>
      <c r="L997" s="531"/>
      <c r="M997" s="531"/>
      <c r="N997" s="531"/>
      <c r="O997" s="531"/>
      <c r="P997" s="531"/>
      <c r="Q997" s="531"/>
      <c r="R997" s="531"/>
      <c r="S997" s="532"/>
      <c r="T997" s="532"/>
      <c r="U997" s="532"/>
      <c r="V997" s="532"/>
      <c r="W997" s="532"/>
      <c r="X997" s="532"/>
      <c r="Y997" s="532"/>
      <c r="Z997" s="531"/>
      <c r="AA997" s="531"/>
      <c r="AB997" s="531"/>
      <c r="AC997" s="531"/>
      <c r="AD997" s="531"/>
      <c r="AE997" s="531"/>
      <c r="AF997" s="531"/>
      <c r="AG997" s="531"/>
    </row>
    <row r="998">
      <c r="B998" s="531"/>
      <c r="C998" s="531"/>
      <c r="D998" s="531"/>
      <c r="E998" s="531"/>
      <c r="F998" s="531"/>
      <c r="G998" s="531"/>
      <c r="H998" s="531"/>
      <c r="I998" s="531"/>
      <c r="J998" s="531"/>
      <c r="K998" s="531"/>
      <c r="L998" s="531"/>
      <c r="M998" s="531"/>
      <c r="N998" s="531"/>
      <c r="O998" s="531"/>
      <c r="P998" s="531"/>
      <c r="Q998" s="531"/>
      <c r="R998" s="531"/>
      <c r="S998" s="532"/>
      <c r="T998" s="532"/>
      <c r="U998" s="532"/>
      <c r="V998" s="532"/>
      <c r="W998" s="532"/>
      <c r="X998" s="532"/>
      <c r="Y998" s="532"/>
      <c r="Z998" s="531"/>
      <c r="AA998" s="531"/>
      <c r="AB998" s="531"/>
      <c r="AC998" s="531"/>
      <c r="AD998" s="531"/>
      <c r="AE998" s="531"/>
      <c r="AF998" s="531"/>
      <c r="AG998" s="531"/>
    </row>
    <row r="999">
      <c r="B999" s="531"/>
      <c r="C999" s="531"/>
      <c r="D999" s="531"/>
      <c r="E999" s="531"/>
      <c r="F999" s="531"/>
      <c r="G999" s="531"/>
      <c r="H999" s="531"/>
      <c r="I999" s="531"/>
      <c r="J999" s="531"/>
      <c r="K999" s="531"/>
      <c r="L999" s="531"/>
      <c r="M999" s="531"/>
      <c r="N999" s="531"/>
      <c r="O999" s="531"/>
      <c r="P999" s="531"/>
      <c r="Q999" s="531"/>
      <c r="R999" s="531"/>
      <c r="S999" s="532"/>
      <c r="T999" s="532"/>
      <c r="U999" s="532"/>
      <c r="V999" s="532"/>
      <c r="W999" s="532"/>
      <c r="X999" s="532"/>
      <c r="Y999" s="532"/>
      <c r="Z999" s="531"/>
      <c r="AA999" s="531"/>
      <c r="AB999" s="531"/>
      <c r="AC999" s="531"/>
      <c r="AD999" s="531"/>
      <c r="AE999" s="531"/>
      <c r="AF999" s="531"/>
      <c r="AG999" s="531"/>
    </row>
    <row r="1000">
      <c r="B1000" s="531"/>
      <c r="C1000" s="531"/>
      <c r="D1000" s="531"/>
      <c r="E1000" s="531"/>
      <c r="F1000" s="531"/>
      <c r="G1000" s="531"/>
      <c r="H1000" s="531"/>
      <c r="I1000" s="531"/>
      <c r="J1000" s="531"/>
      <c r="K1000" s="531"/>
      <c r="L1000" s="531"/>
      <c r="M1000" s="531"/>
      <c r="N1000" s="531"/>
      <c r="O1000" s="531"/>
      <c r="P1000" s="531"/>
      <c r="Q1000" s="531"/>
      <c r="R1000" s="531"/>
      <c r="S1000" s="532"/>
      <c r="T1000" s="532"/>
      <c r="U1000" s="532"/>
      <c r="V1000" s="532"/>
      <c r="W1000" s="532"/>
      <c r="X1000" s="532"/>
      <c r="Y1000" s="532"/>
      <c r="Z1000" s="531"/>
      <c r="AA1000" s="531"/>
      <c r="AB1000" s="531"/>
      <c r="AC1000" s="531"/>
      <c r="AD1000" s="531"/>
      <c r="AE1000" s="531"/>
      <c r="AF1000" s="531"/>
      <c r="AG1000" s="531"/>
    </row>
    <row r="1001">
      <c r="B1001" s="531"/>
      <c r="C1001" s="531"/>
      <c r="D1001" s="531"/>
      <c r="E1001" s="531"/>
      <c r="F1001" s="531"/>
      <c r="G1001" s="531"/>
      <c r="H1001" s="531"/>
      <c r="I1001" s="531"/>
      <c r="J1001" s="531"/>
      <c r="K1001" s="531"/>
      <c r="L1001" s="531"/>
      <c r="M1001" s="531"/>
      <c r="N1001" s="531"/>
      <c r="O1001" s="531"/>
      <c r="P1001" s="531"/>
      <c r="Q1001" s="531"/>
      <c r="R1001" s="531"/>
      <c r="S1001" s="532"/>
      <c r="T1001" s="532"/>
      <c r="U1001" s="532"/>
      <c r="V1001" s="532"/>
      <c r="W1001" s="532"/>
      <c r="X1001" s="532"/>
      <c r="Y1001" s="532"/>
      <c r="Z1001" s="531"/>
      <c r="AA1001" s="531"/>
      <c r="AB1001" s="531"/>
      <c r="AC1001" s="531"/>
      <c r="AD1001" s="531"/>
      <c r="AE1001" s="531"/>
      <c r="AF1001" s="531"/>
      <c r="AG1001" s="531"/>
    </row>
  </sheetData>
  <mergeCells count="26">
    <mergeCell ref="AB4:AB5"/>
    <mergeCell ref="AC4:AC5"/>
    <mergeCell ref="AD4:AD5"/>
    <mergeCell ref="AE4:AE5"/>
    <mergeCell ref="B1:AF1"/>
    <mergeCell ref="D4:E4"/>
    <mergeCell ref="F4:G4"/>
    <mergeCell ref="H4:I4"/>
    <mergeCell ref="J4:K4"/>
    <mergeCell ref="L4:L5"/>
    <mergeCell ref="M4:M5"/>
    <mergeCell ref="AF4:AF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"/>
      <c r="B1" s="208"/>
      <c r="C1" s="208"/>
      <c r="D1" s="208"/>
      <c r="E1" s="208"/>
      <c r="F1" s="208"/>
      <c r="G1" s="208"/>
      <c r="J1" s="208">
        <f t="shared" ref="J1:K1" si="1">SUM(J3:J243)</f>
        <v>657276772.9</v>
      </c>
      <c r="K1" s="208">
        <f t="shared" si="1"/>
        <v>8935628.15</v>
      </c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  <c r="AN1" s="208"/>
      <c r="AO1" s="208"/>
      <c r="AP1" s="208"/>
      <c r="AQ1" s="208"/>
      <c r="AR1" s="208"/>
      <c r="AS1" s="208"/>
      <c r="AT1" s="208"/>
      <c r="AU1" s="208"/>
      <c r="AV1" s="208"/>
      <c r="AW1" s="208"/>
      <c r="AX1" s="208"/>
      <c r="AY1" s="208"/>
    </row>
    <row r="2">
      <c r="A2" s="208" t="s">
        <v>1267</v>
      </c>
      <c r="B2" s="533" t="s">
        <v>892</v>
      </c>
      <c r="C2" s="208" t="s">
        <v>458</v>
      </c>
      <c r="D2" s="208" t="s">
        <v>895</v>
      </c>
      <c r="E2" s="208" t="s">
        <v>893</v>
      </c>
      <c r="F2" s="208" t="s">
        <v>894</v>
      </c>
      <c r="G2" s="208" t="s">
        <v>1268</v>
      </c>
      <c r="H2" s="208" t="s">
        <v>980</v>
      </c>
      <c r="I2" s="208" t="s">
        <v>969</v>
      </c>
      <c r="J2" s="208" t="s">
        <v>981</v>
      </c>
      <c r="K2" s="208" t="s">
        <v>982</v>
      </c>
      <c r="L2" s="208" t="s">
        <v>905</v>
      </c>
      <c r="M2" s="208" t="s">
        <v>983</v>
      </c>
      <c r="N2" s="208" t="s">
        <v>907</v>
      </c>
      <c r="O2" s="208" t="s">
        <v>909</v>
      </c>
      <c r="P2" s="208" t="s">
        <v>910</v>
      </c>
      <c r="Q2" s="208" t="s">
        <v>911</v>
      </c>
      <c r="R2" s="208" t="s">
        <v>912</v>
      </c>
      <c r="S2" s="208" t="s">
        <v>984</v>
      </c>
      <c r="T2" s="208" t="s">
        <v>985</v>
      </c>
      <c r="U2" s="208" t="s">
        <v>915</v>
      </c>
      <c r="V2" s="208" t="s">
        <v>916</v>
      </c>
      <c r="W2" s="208" t="s">
        <v>917</v>
      </c>
      <c r="X2" s="208" t="s">
        <v>918</v>
      </c>
      <c r="Y2" s="208" t="s">
        <v>919</v>
      </c>
      <c r="Z2" s="208" t="s">
        <v>920</v>
      </c>
      <c r="AA2" s="208" t="s">
        <v>921</v>
      </c>
      <c r="AB2" s="208" t="s">
        <v>922</v>
      </c>
      <c r="AC2" s="208" t="s">
        <v>923</v>
      </c>
      <c r="AD2" s="208" t="s">
        <v>924</v>
      </c>
      <c r="AE2" s="208" t="s">
        <v>925</v>
      </c>
      <c r="AF2" s="208" t="s">
        <v>926</v>
      </c>
      <c r="AG2" s="208" t="s">
        <v>927</v>
      </c>
      <c r="AH2" s="208" t="s">
        <v>928</v>
      </c>
      <c r="AI2" s="208" t="s">
        <v>986</v>
      </c>
      <c r="AJ2" s="208" t="s">
        <v>930</v>
      </c>
      <c r="AK2" s="208" t="s">
        <v>931</v>
      </c>
      <c r="AL2" s="208" t="s">
        <v>932</v>
      </c>
      <c r="AM2" s="208" t="s">
        <v>933</v>
      </c>
      <c r="AN2" s="208" t="s">
        <v>934</v>
      </c>
      <c r="AO2" s="208" t="s">
        <v>902</v>
      </c>
      <c r="AP2" s="208" t="s">
        <v>903</v>
      </c>
      <c r="AQ2" s="208" t="s">
        <v>935</v>
      </c>
      <c r="AR2" s="208" t="s">
        <v>936</v>
      </c>
      <c r="AS2" s="208" t="s">
        <v>937</v>
      </c>
      <c r="AT2" s="208" t="s">
        <v>987</v>
      </c>
      <c r="AU2" s="208" t="s">
        <v>938</v>
      </c>
      <c r="AV2" s="208" t="s">
        <v>939</v>
      </c>
      <c r="AW2" s="208" t="s">
        <v>940</v>
      </c>
      <c r="AX2" s="208" t="s">
        <v>941</v>
      </c>
      <c r="AY2" s="208" t="s">
        <v>942</v>
      </c>
    </row>
    <row r="3">
      <c r="A3" s="208" t="s">
        <v>185</v>
      </c>
      <c r="B3" s="208" t="s">
        <v>196</v>
      </c>
      <c r="C3" s="208" t="s">
        <v>413</v>
      </c>
      <c r="D3" s="208" t="s">
        <v>1027</v>
      </c>
      <c r="E3" s="208" t="s">
        <v>1046</v>
      </c>
      <c r="F3" s="534">
        <v>42739.0</v>
      </c>
      <c r="G3" s="208" t="s">
        <v>185</v>
      </c>
      <c r="H3" s="208">
        <v>0.0</v>
      </c>
      <c r="I3" s="208">
        <v>6000000.0</v>
      </c>
      <c r="J3" s="208">
        <v>166424.8</v>
      </c>
      <c r="K3" s="208">
        <v>0.0</v>
      </c>
      <c r="L3" s="208">
        <v>94.0</v>
      </c>
      <c r="M3" s="208">
        <v>36.0</v>
      </c>
      <c r="N3" s="208">
        <v>0.0</v>
      </c>
      <c r="O3" s="208">
        <v>94.0</v>
      </c>
      <c r="P3" s="208">
        <v>58.0</v>
      </c>
      <c r="Q3" s="208">
        <v>166424.8</v>
      </c>
      <c r="R3" s="208">
        <v>0.0</v>
      </c>
      <c r="S3" s="208">
        <v>9.0</v>
      </c>
      <c r="T3" s="208">
        <v>0.0</v>
      </c>
      <c r="U3" s="208">
        <v>9.0</v>
      </c>
      <c r="V3" s="208">
        <v>0.0</v>
      </c>
      <c r="W3" s="208">
        <v>0.0</v>
      </c>
      <c r="X3" s="208">
        <v>0.0</v>
      </c>
      <c r="Y3" s="208">
        <v>11.0</v>
      </c>
      <c r="Z3" s="208">
        <v>1.0</v>
      </c>
      <c r="AA3" s="208">
        <v>13.0</v>
      </c>
      <c r="AB3" s="208">
        <v>0.0</v>
      </c>
      <c r="AC3" s="208">
        <v>0.0</v>
      </c>
      <c r="AD3" s="208">
        <v>0.0</v>
      </c>
      <c r="AE3" s="208">
        <v>0.0</v>
      </c>
      <c r="AF3" s="208">
        <v>91.0</v>
      </c>
      <c r="AG3" s="208">
        <v>104.0</v>
      </c>
      <c r="AH3" s="208">
        <v>23.0</v>
      </c>
      <c r="AI3" s="208">
        <v>7236.0</v>
      </c>
      <c r="AJ3" s="208">
        <v>5.0</v>
      </c>
      <c r="AK3" s="208">
        <v>76300.0</v>
      </c>
      <c r="AL3" s="208">
        <v>0.0</v>
      </c>
      <c r="AM3" s="208">
        <v>0.4585</v>
      </c>
      <c r="AN3" s="208">
        <v>18492.0</v>
      </c>
      <c r="AO3" s="208">
        <v>0.03</v>
      </c>
      <c r="AP3" s="208">
        <v>0.0</v>
      </c>
      <c r="AQ3" s="208">
        <v>12.0</v>
      </c>
      <c r="AR3" s="208">
        <v>195.0</v>
      </c>
      <c r="AS3" s="208">
        <v>0.0</v>
      </c>
      <c r="AT3" s="208">
        <v>0.0</v>
      </c>
      <c r="AU3" s="208">
        <v>0.0</v>
      </c>
      <c r="AV3" s="208">
        <v>9.0</v>
      </c>
      <c r="AW3" s="208">
        <v>28.0</v>
      </c>
      <c r="AX3" s="208">
        <v>57.0</v>
      </c>
      <c r="AY3" s="208" t="s">
        <v>1269</v>
      </c>
    </row>
    <row r="4">
      <c r="A4" s="208" t="s">
        <v>185</v>
      </c>
      <c r="B4" s="208" t="s">
        <v>189</v>
      </c>
      <c r="C4" s="208" t="s">
        <v>197</v>
      </c>
      <c r="D4" s="208" t="s">
        <v>1016</v>
      </c>
      <c r="E4" s="208" t="s">
        <v>1034</v>
      </c>
      <c r="F4" s="534">
        <v>41645.0</v>
      </c>
      <c r="G4" s="208" t="s">
        <v>185</v>
      </c>
      <c r="H4" s="208">
        <v>0.0</v>
      </c>
      <c r="I4" s="208">
        <v>3.75E7</v>
      </c>
      <c r="J4" s="208">
        <v>2.262692731E7</v>
      </c>
      <c r="K4" s="208">
        <v>0.0</v>
      </c>
      <c r="L4" s="208">
        <v>102.0</v>
      </c>
      <c r="M4" s="208">
        <v>73.0</v>
      </c>
      <c r="N4" s="208">
        <v>0.0</v>
      </c>
      <c r="O4" s="208">
        <v>102.0</v>
      </c>
      <c r="P4" s="208">
        <v>29.0</v>
      </c>
      <c r="Q4" s="208">
        <v>2.262692731E7</v>
      </c>
      <c r="R4" s="208">
        <v>0.0</v>
      </c>
      <c r="S4" s="208">
        <v>52.0</v>
      </c>
      <c r="T4" s="208">
        <v>0.0</v>
      </c>
      <c r="U4" s="208">
        <v>52.0</v>
      </c>
      <c r="V4" s="208">
        <v>0.0</v>
      </c>
      <c r="W4" s="208">
        <v>1.0</v>
      </c>
      <c r="X4" s="208">
        <v>1.0</v>
      </c>
      <c r="Y4" s="208">
        <v>30.0</v>
      </c>
      <c r="Z4" s="208">
        <v>3.0</v>
      </c>
      <c r="AA4" s="208">
        <v>30.0</v>
      </c>
      <c r="AB4" s="208">
        <v>0.0</v>
      </c>
      <c r="AC4" s="208">
        <v>0.0</v>
      </c>
      <c r="AD4" s="208">
        <v>0.0</v>
      </c>
      <c r="AE4" s="208">
        <v>0.0</v>
      </c>
      <c r="AF4" s="208">
        <v>207.0</v>
      </c>
      <c r="AG4" s="208">
        <v>238.0</v>
      </c>
      <c r="AH4" s="208">
        <v>53.0</v>
      </c>
      <c r="AI4" s="208">
        <v>426923.0</v>
      </c>
      <c r="AJ4" s="208">
        <v>4.0</v>
      </c>
      <c r="AK4" s="208">
        <v>87460.0</v>
      </c>
      <c r="AL4" s="208">
        <v>0.0</v>
      </c>
      <c r="AM4" s="208">
        <v>0.0039</v>
      </c>
      <c r="AN4" s="208">
        <v>435133.0</v>
      </c>
      <c r="AO4" s="208">
        <v>0.6</v>
      </c>
      <c r="AP4" s="208">
        <v>0.0</v>
      </c>
      <c r="AQ4" s="208">
        <v>151.0</v>
      </c>
      <c r="AR4" s="208">
        <v>636.0</v>
      </c>
      <c r="AS4" s="208">
        <v>2691.5</v>
      </c>
      <c r="AT4" s="208">
        <v>0.0</v>
      </c>
      <c r="AU4" s="208">
        <v>37.0</v>
      </c>
      <c r="AV4" s="208">
        <v>52.0</v>
      </c>
      <c r="AW4" s="208">
        <v>21.0</v>
      </c>
      <c r="AX4" s="208">
        <v>29.0</v>
      </c>
      <c r="AY4" s="208" t="s">
        <v>1270</v>
      </c>
    </row>
    <row r="5">
      <c r="A5" s="208" t="s">
        <v>185</v>
      </c>
      <c r="B5" s="208" t="s">
        <v>196</v>
      </c>
      <c r="C5" s="208" t="s">
        <v>194</v>
      </c>
      <c r="D5" s="208" t="s">
        <v>1027</v>
      </c>
      <c r="E5" s="208" t="s">
        <v>1028</v>
      </c>
      <c r="F5" s="208" t="s">
        <v>1271</v>
      </c>
      <c r="G5" s="208" t="s">
        <v>199</v>
      </c>
      <c r="H5" s="208">
        <v>0.0</v>
      </c>
      <c r="I5" s="208">
        <v>6300000.0</v>
      </c>
      <c r="J5" s="208">
        <v>7407189.51</v>
      </c>
      <c r="K5" s="208">
        <v>0.0</v>
      </c>
      <c r="L5" s="208">
        <v>40.0</v>
      </c>
      <c r="M5" s="208">
        <v>37.0</v>
      </c>
      <c r="N5" s="208">
        <v>0.0</v>
      </c>
      <c r="O5" s="208">
        <v>40.0</v>
      </c>
      <c r="P5" s="208">
        <v>3.0</v>
      </c>
      <c r="Q5" s="208">
        <v>7407189.51</v>
      </c>
      <c r="R5" s="208">
        <v>0.0</v>
      </c>
      <c r="S5" s="208">
        <v>22.0</v>
      </c>
      <c r="T5" s="208">
        <v>0.0</v>
      </c>
      <c r="U5" s="208">
        <v>22.0</v>
      </c>
      <c r="V5" s="208">
        <v>0.0</v>
      </c>
      <c r="W5" s="208">
        <v>2.0</v>
      </c>
      <c r="X5" s="208">
        <v>4.0</v>
      </c>
      <c r="Y5" s="208">
        <v>31.0</v>
      </c>
      <c r="Z5" s="208">
        <v>1.0</v>
      </c>
      <c r="AA5" s="208">
        <v>5.0</v>
      </c>
      <c r="AB5" s="208">
        <v>0.0</v>
      </c>
      <c r="AC5" s="208">
        <v>0.0</v>
      </c>
      <c r="AD5" s="208">
        <v>0.0</v>
      </c>
      <c r="AE5" s="208">
        <v>0.0</v>
      </c>
      <c r="AF5" s="208">
        <v>199.0</v>
      </c>
      <c r="AG5" s="208">
        <v>208.0</v>
      </c>
      <c r="AH5" s="208">
        <v>72.0</v>
      </c>
      <c r="AI5" s="208">
        <v>102878.0</v>
      </c>
      <c r="AJ5" s="208">
        <v>3.0</v>
      </c>
      <c r="AK5" s="208">
        <v>48500.0</v>
      </c>
      <c r="AL5" s="208">
        <v>0.0</v>
      </c>
      <c r="AM5" s="208">
        <v>0.0065</v>
      </c>
      <c r="AN5" s="208">
        <v>336690.0</v>
      </c>
      <c r="AO5" s="208">
        <v>1.18</v>
      </c>
      <c r="AP5" s="208">
        <v>0.0</v>
      </c>
      <c r="AQ5" s="208">
        <v>78.0</v>
      </c>
      <c r="AR5" s="208">
        <v>853.0</v>
      </c>
      <c r="AS5" s="208">
        <v>3895.5</v>
      </c>
      <c r="AT5" s="208">
        <v>0.0</v>
      </c>
      <c r="AU5" s="208">
        <v>105.0</v>
      </c>
      <c r="AV5" s="208">
        <v>22.0</v>
      </c>
      <c r="AW5" s="208">
        <v>15.0</v>
      </c>
      <c r="AX5" s="208">
        <v>3.0</v>
      </c>
      <c r="AY5" s="208" t="s">
        <v>1270</v>
      </c>
    </row>
    <row r="6">
      <c r="A6" s="208" t="s">
        <v>185</v>
      </c>
      <c r="B6" s="208" t="s">
        <v>189</v>
      </c>
      <c r="C6" s="208" t="s">
        <v>186</v>
      </c>
      <c r="D6" s="208" t="s">
        <v>1016</v>
      </c>
      <c r="E6" s="208" t="s">
        <v>241</v>
      </c>
      <c r="F6" s="208" t="s">
        <v>1272</v>
      </c>
      <c r="G6" s="208" t="s">
        <v>185</v>
      </c>
      <c r="H6" s="208">
        <v>0.0</v>
      </c>
      <c r="I6" s="208">
        <v>0.0</v>
      </c>
      <c r="J6" s="208">
        <v>0.0</v>
      </c>
      <c r="K6" s="208">
        <v>0.0</v>
      </c>
      <c r="L6" s="208">
        <v>205.0</v>
      </c>
      <c r="M6" s="208">
        <v>94.0</v>
      </c>
      <c r="N6" s="208">
        <v>0.0</v>
      </c>
      <c r="O6" s="208">
        <v>205.0</v>
      </c>
      <c r="P6" s="208">
        <v>111.0</v>
      </c>
      <c r="Q6" s="208">
        <v>0.0</v>
      </c>
      <c r="R6" s="208">
        <v>0.0</v>
      </c>
      <c r="S6" s="208">
        <v>0.0</v>
      </c>
      <c r="T6" s="208">
        <v>0.0</v>
      </c>
      <c r="U6" s="208">
        <v>0.0</v>
      </c>
      <c r="V6" s="208">
        <v>0.0</v>
      </c>
      <c r="W6" s="208">
        <v>5.0</v>
      </c>
      <c r="X6" s="208">
        <v>5.0</v>
      </c>
      <c r="Y6" s="208">
        <v>83.0</v>
      </c>
      <c r="Z6" s="208">
        <v>9.0</v>
      </c>
      <c r="AA6" s="208">
        <v>59.0</v>
      </c>
      <c r="AB6" s="208">
        <v>1.0</v>
      </c>
      <c r="AC6" s="208">
        <v>10.0</v>
      </c>
      <c r="AD6" s="208">
        <v>1.0</v>
      </c>
      <c r="AE6" s="208">
        <v>5.0</v>
      </c>
      <c r="AF6" s="208">
        <v>220.0</v>
      </c>
      <c r="AG6" s="208">
        <v>299.0</v>
      </c>
      <c r="AH6" s="208">
        <v>75.0</v>
      </c>
      <c r="AI6" s="208">
        <v>0.0</v>
      </c>
      <c r="AJ6" s="208">
        <v>4.0</v>
      </c>
      <c r="AK6" s="208">
        <v>70400.0</v>
      </c>
      <c r="AL6" s="208">
        <v>0.0</v>
      </c>
      <c r="AM6" s="208">
        <v>0.0</v>
      </c>
      <c r="AN6" s="208">
        <v>0.0</v>
      </c>
      <c r="AO6" s="208">
        <v>0.0</v>
      </c>
      <c r="AP6" s="208">
        <v>0.0</v>
      </c>
      <c r="AQ6" s="208">
        <v>0.0</v>
      </c>
      <c r="AR6" s="208">
        <v>884.0</v>
      </c>
      <c r="AS6" s="208">
        <v>4573.56</v>
      </c>
      <c r="AT6" s="208">
        <v>0.0</v>
      </c>
      <c r="AU6" s="208">
        <v>49.0</v>
      </c>
      <c r="AV6" s="208">
        <v>0.0</v>
      </c>
      <c r="AW6" s="208">
        <v>94.0</v>
      </c>
      <c r="AX6" s="208">
        <v>111.0</v>
      </c>
      <c r="AY6" s="208" t="s">
        <v>1270</v>
      </c>
    </row>
    <row r="7">
      <c r="A7" s="208" t="s">
        <v>185</v>
      </c>
      <c r="B7" s="208" t="s">
        <v>196</v>
      </c>
      <c r="C7" s="208" t="s">
        <v>208</v>
      </c>
      <c r="D7" s="208" t="s">
        <v>1027</v>
      </c>
      <c r="E7" s="208" t="s">
        <v>1056</v>
      </c>
      <c r="F7" s="534">
        <v>43505.0</v>
      </c>
      <c r="G7" s="208" t="s">
        <v>199</v>
      </c>
      <c r="H7" s="208">
        <v>0.0</v>
      </c>
      <c r="I7" s="208">
        <v>6000000.0</v>
      </c>
      <c r="J7" s="208">
        <v>5013154.67</v>
      </c>
      <c r="K7" s="208">
        <v>250378.14</v>
      </c>
      <c r="L7" s="208">
        <v>54.0</v>
      </c>
      <c r="M7" s="208">
        <v>49.0</v>
      </c>
      <c r="N7" s="208">
        <v>0.0</v>
      </c>
      <c r="O7" s="208">
        <v>54.0</v>
      </c>
      <c r="P7" s="208">
        <v>5.0</v>
      </c>
      <c r="Q7" s="208">
        <v>5013154.67</v>
      </c>
      <c r="R7" s="208">
        <v>0.0</v>
      </c>
      <c r="S7" s="208">
        <v>43.0</v>
      </c>
      <c r="T7" s="208">
        <v>0.0</v>
      </c>
      <c r="U7" s="208">
        <v>43.0</v>
      </c>
      <c r="V7" s="208">
        <v>2.0</v>
      </c>
      <c r="W7" s="208">
        <v>0.0</v>
      </c>
      <c r="X7" s="208">
        <v>0.0</v>
      </c>
      <c r="Y7" s="208">
        <v>38.0</v>
      </c>
      <c r="Z7" s="208">
        <v>2.0</v>
      </c>
      <c r="AA7" s="208">
        <v>2.0</v>
      </c>
      <c r="AB7" s="208">
        <v>2.0</v>
      </c>
      <c r="AC7" s="208">
        <v>30.0</v>
      </c>
      <c r="AD7" s="208">
        <v>0.0</v>
      </c>
      <c r="AE7" s="208">
        <v>0.0</v>
      </c>
      <c r="AF7" s="208">
        <v>280.0</v>
      </c>
      <c r="AG7" s="208">
        <v>312.0</v>
      </c>
      <c r="AH7" s="208">
        <v>72.0</v>
      </c>
      <c r="AI7" s="208">
        <v>69627.0</v>
      </c>
      <c r="AJ7" s="208">
        <v>4.0</v>
      </c>
      <c r="AK7" s="208">
        <v>50950.0</v>
      </c>
      <c r="AL7" s="208">
        <v>0.0</v>
      </c>
      <c r="AM7" s="208">
        <v>0.0102</v>
      </c>
      <c r="AN7" s="208">
        <v>116585.0</v>
      </c>
      <c r="AO7" s="208">
        <v>0.84</v>
      </c>
      <c r="AP7" s="208">
        <v>0.0</v>
      </c>
      <c r="AQ7" s="208">
        <v>150.0</v>
      </c>
      <c r="AR7" s="208">
        <v>780.0</v>
      </c>
      <c r="AS7" s="208">
        <v>5370.53</v>
      </c>
      <c r="AT7" s="208">
        <v>0.0</v>
      </c>
      <c r="AU7" s="208">
        <v>110.0</v>
      </c>
      <c r="AV7" s="208">
        <v>43.0</v>
      </c>
      <c r="AW7" s="208">
        <v>6.0</v>
      </c>
      <c r="AX7" s="208">
        <v>5.0</v>
      </c>
      <c r="AY7" s="208" t="s">
        <v>1270</v>
      </c>
    </row>
    <row r="8">
      <c r="A8" s="208" t="s">
        <v>185</v>
      </c>
      <c r="B8" s="208" t="s">
        <v>196</v>
      </c>
      <c r="C8" s="208" t="s">
        <v>199</v>
      </c>
      <c r="D8" s="208" t="s">
        <v>1027</v>
      </c>
      <c r="E8" s="208" t="s">
        <v>1036</v>
      </c>
      <c r="F8" s="534">
        <v>42009.0</v>
      </c>
      <c r="G8" s="208" t="s">
        <v>185</v>
      </c>
      <c r="H8" s="208">
        <v>0.0</v>
      </c>
      <c r="I8" s="208">
        <v>1.9674E7</v>
      </c>
      <c r="J8" s="208">
        <v>1.914753799E7</v>
      </c>
      <c r="K8" s="208">
        <v>0.0</v>
      </c>
      <c r="L8" s="208">
        <v>135.0</v>
      </c>
      <c r="M8" s="208">
        <v>98.0</v>
      </c>
      <c r="N8" s="208">
        <v>2.0</v>
      </c>
      <c r="O8" s="208">
        <v>137.0</v>
      </c>
      <c r="P8" s="208">
        <v>39.0</v>
      </c>
      <c r="Q8" s="208">
        <v>1.883306771E7</v>
      </c>
      <c r="R8" s="208">
        <v>314470.28</v>
      </c>
      <c r="S8" s="208">
        <v>73.0</v>
      </c>
      <c r="T8" s="208">
        <v>1.0</v>
      </c>
      <c r="U8" s="208">
        <v>74.0</v>
      </c>
      <c r="V8" s="208">
        <v>0.0</v>
      </c>
      <c r="W8" s="208">
        <v>1.0</v>
      </c>
      <c r="X8" s="208">
        <v>1.0</v>
      </c>
      <c r="Y8" s="208">
        <v>3.0</v>
      </c>
      <c r="Z8" s="208">
        <v>5.0</v>
      </c>
      <c r="AA8" s="208">
        <v>55.0</v>
      </c>
      <c r="AB8" s="208">
        <v>0.0</v>
      </c>
      <c r="AC8" s="208">
        <v>0.0</v>
      </c>
      <c r="AD8" s="208">
        <v>0.0</v>
      </c>
      <c r="AE8" s="208">
        <v>0.0</v>
      </c>
      <c r="AF8" s="208">
        <v>206.0</v>
      </c>
      <c r="AG8" s="208">
        <v>262.0</v>
      </c>
      <c r="AH8" s="208">
        <v>74.0</v>
      </c>
      <c r="AI8" s="208">
        <v>258751.0</v>
      </c>
      <c r="AJ8" s="208">
        <v>4.0</v>
      </c>
      <c r="AK8" s="208">
        <v>79340.0</v>
      </c>
      <c r="AL8" s="208">
        <v>0.0</v>
      </c>
      <c r="AM8" s="208">
        <v>0.0041</v>
      </c>
      <c r="AN8" s="208">
        <v>258751.0</v>
      </c>
      <c r="AO8" s="208">
        <v>0.97</v>
      </c>
      <c r="AP8" s="208">
        <v>0.0</v>
      </c>
      <c r="AQ8" s="208">
        <v>387.0</v>
      </c>
      <c r="AR8" s="208">
        <v>839.0</v>
      </c>
      <c r="AS8" s="208">
        <v>2880.47</v>
      </c>
      <c r="AT8" s="208">
        <v>1.0</v>
      </c>
      <c r="AU8" s="208">
        <v>29.0</v>
      </c>
      <c r="AV8" s="208">
        <v>74.0</v>
      </c>
      <c r="AW8" s="208">
        <v>56.0</v>
      </c>
      <c r="AX8" s="208">
        <v>7.0</v>
      </c>
      <c r="AY8" s="208" t="s">
        <v>1270</v>
      </c>
    </row>
    <row r="9">
      <c r="A9" s="208" t="s">
        <v>185</v>
      </c>
      <c r="B9" s="208" t="s">
        <v>189</v>
      </c>
      <c r="C9" s="208" t="s">
        <v>201</v>
      </c>
      <c r="D9" s="208" t="s">
        <v>1016</v>
      </c>
      <c r="E9" s="208" t="s">
        <v>238</v>
      </c>
      <c r="F9" s="208" t="s">
        <v>1273</v>
      </c>
      <c r="G9" s="208" t="s">
        <v>185</v>
      </c>
      <c r="H9" s="208">
        <v>0.0</v>
      </c>
      <c r="I9" s="208">
        <v>1.0149999E7</v>
      </c>
      <c r="J9" s="208">
        <v>7975568.33</v>
      </c>
      <c r="K9" s="208">
        <v>0.0</v>
      </c>
      <c r="L9" s="208">
        <v>62.0</v>
      </c>
      <c r="M9" s="208">
        <v>40.0</v>
      </c>
      <c r="N9" s="208">
        <v>0.0</v>
      </c>
      <c r="O9" s="208">
        <v>62.0</v>
      </c>
      <c r="P9" s="208">
        <v>22.0</v>
      </c>
      <c r="Q9" s="208">
        <v>7975568.33</v>
      </c>
      <c r="R9" s="208">
        <v>0.0</v>
      </c>
      <c r="S9" s="208">
        <v>30.0</v>
      </c>
      <c r="T9" s="208">
        <v>0.0</v>
      </c>
      <c r="U9" s="208">
        <v>30.0</v>
      </c>
      <c r="V9" s="208">
        <v>0.0</v>
      </c>
      <c r="W9" s="208">
        <v>1.0</v>
      </c>
      <c r="X9" s="208">
        <v>3.0</v>
      </c>
      <c r="Y9" s="208">
        <v>6.0</v>
      </c>
      <c r="Z9" s="208">
        <v>2.0</v>
      </c>
      <c r="AA9" s="208">
        <v>59.0</v>
      </c>
      <c r="AB9" s="208">
        <v>0.0</v>
      </c>
      <c r="AC9" s="208">
        <v>0.0</v>
      </c>
      <c r="AD9" s="208">
        <v>0.0</v>
      </c>
      <c r="AE9" s="208">
        <v>0.0</v>
      </c>
      <c r="AF9" s="208">
        <v>182.0</v>
      </c>
      <c r="AG9" s="208">
        <v>244.0</v>
      </c>
      <c r="AH9" s="208">
        <v>68.0</v>
      </c>
      <c r="AI9" s="208">
        <v>117288.0</v>
      </c>
      <c r="AJ9" s="208">
        <v>4.0</v>
      </c>
      <c r="AK9" s="208">
        <v>48608.0</v>
      </c>
      <c r="AL9" s="208">
        <v>0.0</v>
      </c>
      <c r="AM9" s="208">
        <v>0.0061</v>
      </c>
      <c r="AN9" s="208">
        <v>265852.0</v>
      </c>
      <c r="AO9" s="208">
        <v>0.79</v>
      </c>
      <c r="AP9" s="208">
        <v>0.0</v>
      </c>
      <c r="AQ9" s="208">
        <v>89.0</v>
      </c>
      <c r="AR9" s="208">
        <v>751.0</v>
      </c>
      <c r="AS9" s="208">
        <v>1927.17</v>
      </c>
      <c r="AT9" s="208">
        <v>0.0</v>
      </c>
      <c r="AU9" s="208">
        <v>48.0</v>
      </c>
      <c r="AV9" s="208">
        <v>30.0</v>
      </c>
      <c r="AW9" s="208">
        <v>13.0</v>
      </c>
      <c r="AX9" s="208">
        <v>19.0</v>
      </c>
      <c r="AY9" s="208" t="s">
        <v>1270</v>
      </c>
    </row>
    <row r="10">
      <c r="A10" s="208" t="s">
        <v>185</v>
      </c>
      <c r="B10" s="208" t="s">
        <v>189</v>
      </c>
      <c r="C10" s="208" t="s">
        <v>202</v>
      </c>
      <c r="D10" s="208" t="s">
        <v>1016</v>
      </c>
      <c r="E10" s="208" t="s">
        <v>243</v>
      </c>
      <c r="F10" s="534">
        <v>42739.0</v>
      </c>
      <c r="G10" s="208" t="s">
        <v>185</v>
      </c>
      <c r="H10" s="208">
        <v>0.0</v>
      </c>
      <c r="I10" s="208">
        <v>1.14E7</v>
      </c>
      <c r="J10" s="208">
        <v>1.0361272E7</v>
      </c>
      <c r="K10" s="208">
        <v>0.0</v>
      </c>
      <c r="L10" s="208">
        <v>136.0</v>
      </c>
      <c r="M10" s="208">
        <v>59.0</v>
      </c>
      <c r="N10" s="208">
        <v>2.0</v>
      </c>
      <c r="O10" s="208">
        <v>138.0</v>
      </c>
      <c r="P10" s="208">
        <v>79.0</v>
      </c>
      <c r="Q10" s="208">
        <v>1.0361272E7</v>
      </c>
      <c r="R10" s="208">
        <v>0.0</v>
      </c>
      <c r="S10" s="208">
        <v>10.0</v>
      </c>
      <c r="T10" s="208">
        <v>0.0</v>
      </c>
      <c r="U10" s="208">
        <v>10.0</v>
      </c>
      <c r="V10" s="208">
        <v>0.0</v>
      </c>
      <c r="W10" s="208">
        <v>3.0</v>
      </c>
      <c r="X10" s="208">
        <v>3.0</v>
      </c>
      <c r="Y10" s="208">
        <v>38.0</v>
      </c>
      <c r="Z10" s="208">
        <v>3.0</v>
      </c>
      <c r="AA10" s="208">
        <v>21.0</v>
      </c>
      <c r="AB10" s="208">
        <v>0.0</v>
      </c>
      <c r="AC10" s="208">
        <v>0.0</v>
      </c>
      <c r="AD10" s="208">
        <v>0.0</v>
      </c>
      <c r="AE10" s="208">
        <v>0.0</v>
      </c>
      <c r="AF10" s="208">
        <v>230.0</v>
      </c>
      <c r="AG10" s="208">
        <v>254.0</v>
      </c>
      <c r="AH10" s="208">
        <v>76.0</v>
      </c>
      <c r="AI10" s="208">
        <v>136333.0</v>
      </c>
      <c r="AJ10" s="208">
        <v>3.0</v>
      </c>
      <c r="AK10" s="208">
        <v>63250.0</v>
      </c>
      <c r="AL10" s="208">
        <v>0.0</v>
      </c>
      <c r="AM10" s="208">
        <v>0.0061</v>
      </c>
      <c r="AN10" s="208">
        <v>1036127.0</v>
      </c>
      <c r="AO10" s="208">
        <v>0.91</v>
      </c>
      <c r="AP10" s="208">
        <v>0.0</v>
      </c>
      <c r="AQ10" s="208">
        <v>27.0</v>
      </c>
      <c r="AR10" s="208">
        <v>899.0</v>
      </c>
      <c r="AS10" s="208">
        <v>1702.39</v>
      </c>
      <c r="AT10" s="208">
        <v>0.0</v>
      </c>
      <c r="AU10" s="208">
        <v>29.0</v>
      </c>
      <c r="AV10" s="208">
        <v>10.0</v>
      </c>
      <c r="AW10" s="208">
        <v>49.0</v>
      </c>
      <c r="AX10" s="208">
        <v>79.0</v>
      </c>
      <c r="AY10" s="208" t="s">
        <v>1270</v>
      </c>
    </row>
    <row r="11">
      <c r="A11" s="208" t="s">
        <v>185</v>
      </c>
      <c r="B11" s="208" t="s">
        <v>189</v>
      </c>
      <c r="C11" s="208" t="s">
        <v>203</v>
      </c>
      <c r="D11" s="208" t="s">
        <v>1016</v>
      </c>
      <c r="E11" s="208" t="s">
        <v>230</v>
      </c>
      <c r="F11" s="534">
        <v>42745.0</v>
      </c>
      <c r="G11" s="208" t="s">
        <v>185</v>
      </c>
      <c r="H11" s="208">
        <v>0.0</v>
      </c>
      <c r="I11" s="208">
        <v>0.0</v>
      </c>
      <c r="J11" s="208">
        <v>0.0</v>
      </c>
      <c r="K11" s="208">
        <v>0.0</v>
      </c>
      <c r="L11" s="208">
        <v>225.0</v>
      </c>
      <c r="M11" s="208">
        <v>98.0</v>
      </c>
      <c r="N11" s="208">
        <v>1.0</v>
      </c>
      <c r="O11" s="208">
        <v>226.0</v>
      </c>
      <c r="P11" s="208">
        <v>128.0</v>
      </c>
      <c r="Q11" s="208">
        <v>0.0</v>
      </c>
      <c r="R11" s="208">
        <v>0.0</v>
      </c>
      <c r="S11" s="208">
        <v>0.0</v>
      </c>
      <c r="T11" s="208">
        <v>0.0</v>
      </c>
      <c r="U11" s="208">
        <v>0.0</v>
      </c>
      <c r="V11" s="208">
        <v>0.0</v>
      </c>
      <c r="W11" s="208">
        <v>1.0</v>
      </c>
      <c r="X11" s="208">
        <v>1.0</v>
      </c>
      <c r="Y11" s="208">
        <v>37.0</v>
      </c>
      <c r="Z11" s="208">
        <v>3.0</v>
      </c>
      <c r="AA11" s="208">
        <v>40.0</v>
      </c>
      <c r="AB11" s="208">
        <v>0.0</v>
      </c>
      <c r="AC11" s="208">
        <v>0.0</v>
      </c>
      <c r="AD11" s="208">
        <v>0.0</v>
      </c>
      <c r="AE11" s="208">
        <v>0.0</v>
      </c>
      <c r="AF11" s="208">
        <v>198.0</v>
      </c>
      <c r="AG11" s="208">
        <v>239.0</v>
      </c>
      <c r="AH11" s="208">
        <v>74.0</v>
      </c>
      <c r="AI11" s="208">
        <v>0.0</v>
      </c>
      <c r="AJ11" s="208">
        <v>3.0</v>
      </c>
      <c r="AK11" s="208">
        <v>54455.0</v>
      </c>
      <c r="AL11" s="208">
        <v>0.0</v>
      </c>
      <c r="AM11" s="208">
        <v>0.0</v>
      </c>
      <c r="AN11" s="208">
        <v>0.0</v>
      </c>
      <c r="AO11" s="208">
        <v>0.0</v>
      </c>
      <c r="AP11" s="208">
        <v>0.0</v>
      </c>
      <c r="AQ11" s="208">
        <v>0.0</v>
      </c>
      <c r="AR11" s="208">
        <v>760.0</v>
      </c>
      <c r="AS11" s="208">
        <v>3220.77</v>
      </c>
      <c r="AT11" s="208">
        <v>0.0</v>
      </c>
      <c r="AU11" s="208">
        <v>33.0</v>
      </c>
      <c r="AV11" s="208">
        <v>0.0</v>
      </c>
      <c r="AW11" s="208">
        <v>98.0</v>
      </c>
      <c r="AX11" s="208">
        <v>128.0</v>
      </c>
      <c r="AY11" s="208" t="s">
        <v>1270</v>
      </c>
    </row>
    <row r="12">
      <c r="A12" s="208" t="s">
        <v>185</v>
      </c>
      <c r="B12" s="208" t="s">
        <v>189</v>
      </c>
      <c r="C12" s="208" t="s">
        <v>205</v>
      </c>
      <c r="D12" s="208" t="s">
        <v>1016</v>
      </c>
      <c r="E12" s="208" t="s">
        <v>243</v>
      </c>
      <c r="F12" s="208" t="s">
        <v>1274</v>
      </c>
      <c r="G12" s="208" t="s">
        <v>185</v>
      </c>
      <c r="H12" s="208">
        <v>0.0</v>
      </c>
      <c r="I12" s="208">
        <v>1.1499999E7</v>
      </c>
      <c r="J12" s="208">
        <v>153170.0</v>
      </c>
      <c r="K12" s="208">
        <v>0.0</v>
      </c>
      <c r="L12" s="208">
        <v>65.0</v>
      </c>
      <c r="M12" s="208">
        <v>26.0</v>
      </c>
      <c r="N12" s="208">
        <v>3.0</v>
      </c>
      <c r="O12" s="208">
        <v>68.0</v>
      </c>
      <c r="P12" s="208">
        <v>42.0</v>
      </c>
      <c r="Q12" s="208">
        <v>153170.0</v>
      </c>
      <c r="R12" s="208">
        <v>0.0</v>
      </c>
      <c r="S12" s="208">
        <v>1.0</v>
      </c>
      <c r="T12" s="208">
        <v>0.0</v>
      </c>
      <c r="U12" s="208">
        <v>1.0</v>
      </c>
      <c r="V12" s="208">
        <v>0.0</v>
      </c>
      <c r="W12" s="208">
        <v>2.0</v>
      </c>
      <c r="X12" s="208">
        <v>7.0</v>
      </c>
      <c r="Y12" s="208">
        <v>75.0</v>
      </c>
      <c r="Z12" s="208">
        <v>3.0</v>
      </c>
      <c r="AA12" s="208">
        <v>48.0</v>
      </c>
      <c r="AB12" s="208">
        <v>0.0</v>
      </c>
      <c r="AC12" s="208">
        <v>0.0</v>
      </c>
      <c r="AD12" s="208">
        <v>0.0</v>
      </c>
      <c r="AE12" s="208">
        <v>0.0</v>
      </c>
      <c r="AF12" s="208">
        <v>58.0</v>
      </c>
      <c r="AG12" s="208">
        <v>113.0</v>
      </c>
      <c r="AH12" s="208">
        <v>70.0</v>
      </c>
      <c r="AI12" s="208">
        <v>2188.0</v>
      </c>
      <c r="AJ12" s="208">
        <v>2.0</v>
      </c>
      <c r="AK12" s="208">
        <v>56700.0</v>
      </c>
      <c r="AL12" s="208">
        <v>0.0</v>
      </c>
      <c r="AM12" s="208">
        <v>0.3702</v>
      </c>
      <c r="AN12" s="208">
        <v>153170.0</v>
      </c>
      <c r="AO12" s="208">
        <v>0.01</v>
      </c>
      <c r="AP12" s="208">
        <v>0.0</v>
      </c>
      <c r="AQ12" s="208">
        <v>1.0</v>
      </c>
      <c r="AR12" s="208">
        <v>615.0</v>
      </c>
      <c r="AS12" s="208">
        <v>2468.57</v>
      </c>
      <c r="AT12" s="208">
        <v>0.0</v>
      </c>
      <c r="AU12" s="208">
        <v>95.0</v>
      </c>
      <c r="AV12" s="208">
        <v>1.0</v>
      </c>
      <c r="AW12" s="208">
        <v>25.0</v>
      </c>
      <c r="AX12" s="208">
        <v>42.0</v>
      </c>
      <c r="AY12" s="208" t="s">
        <v>1270</v>
      </c>
    </row>
    <row r="13">
      <c r="A13" s="208" t="s">
        <v>185</v>
      </c>
      <c r="B13" s="208" t="s">
        <v>189</v>
      </c>
      <c r="C13" s="208" t="s">
        <v>190</v>
      </c>
      <c r="D13" s="208" t="s">
        <v>1016</v>
      </c>
      <c r="E13" s="208" t="s">
        <v>241</v>
      </c>
      <c r="F13" s="208" t="s">
        <v>1272</v>
      </c>
      <c r="G13" s="208" t="s">
        <v>185</v>
      </c>
      <c r="H13" s="208">
        <v>0.0</v>
      </c>
      <c r="I13" s="208">
        <v>1.515E7</v>
      </c>
      <c r="J13" s="208">
        <v>1.311270234E7</v>
      </c>
      <c r="K13" s="208">
        <v>0.0</v>
      </c>
      <c r="L13" s="208">
        <v>120.0</v>
      </c>
      <c r="M13" s="208">
        <v>78.0</v>
      </c>
      <c r="N13" s="208">
        <v>4.0</v>
      </c>
      <c r="O13" s="208">
        <v>124.0</v>
      </c>
      <c r="P13" s="208">
        <v>46.0</v>
      </c>
      <c r="Q13" s="208">
        <v>1.257716074E7</v>
      </c>
      <c r="R13" s="208">
        <v>535541.6</v>
      </c>
      <c r="S13" s="208">
        <v>42.0</v>
      </c>
      <c r="T13" s="208">
        <v>3.0</v>
      </c>
      <c r="U13" s="208">
        <v>45.0</v>
      </c>
      <c r="V13" s="208">
        <v>0.0</v>
      </c>
      <c r="W13" s="208">
        <v>2.0</v>
      </c>
      <c r="X13" s="208">
        <v>2.0</v>
      </c>
      <c r="Y13" s="208">
        <v>86.0</v>
      </c>
      <c r="Z13" s="208">
        <v>7.0</v>
      </c>
      <c r="AA13" s="208">
        <v>18.0</v>
      </c>
      <c r="AB13" s="208">
        <v>0.0</v>
      </c>
      <c r="AC13" s="208">
        <v>0.0</v>
      </c>
      <c r="AD13" s="208">
        <v>0.0</v>
      </c>
      <c r="AE13" s="208">
        <v>0.0</v>
      </c>
      <c r="AF13" s="208">
        <v>275.0</v>
      </c>
      <c r="AG13" s="208">
        <v>295.0</v>
      </c>
      <c r="AH13" s="208">
        <v>74.0</v>
      </c>
      <c r="AI13" s="208">
        <v>177199.0</v>
      </c>
      <c r="AJ13" s="208">
        <v>4.0</v>
      </c>
      <c r="AK13" s="208">
        <v>60500.0</v>
      </c>
      <c r="AL13" s="208">
        <v>0.0</v>
      </c>
      <c r="AM13" s="208">
        <v>0.0046</v>
      </c>
      <c r="AN13" s="208">
        <v>291393.0</v>
      </c>
      <c r="AO13" s="208">
        <v>0.87</v>
      </c>
      <c r="AP13" s="208">
        <v>0.0</v>
      </c>
      <c r="AQ13" s="208">
        <v>124.0</v>
      </c>
      <c r="AR13" s="208">
        <v>811.0</v>
      </c>
      <c r="AS13" s="208">
        <v>4088.66</v>
      </c>
      <c r="AT13" s="208">
        <v>3.0</v>
      </c>
      <c r="AU13" s="208">
        <v>52.0</v>
      </c>
      <c r="AV13" s="208">
        <v>45.0</v>
      </c>
      <c r="AW13" s="208">
        <v>36.0</v>
      </c>
      <c r="AX13" s="208">
        <v>43.0</v>
      </c>
      <c r="AY13" s="208" t="s">
        <v>1270</v>
      </c>
    </row>
    <row r="14">
      <c r="A14" s="208" t="s">
        <v>185</v>
      </c>
      <c r="B14" s="208" t="s">
        <v>189</v>
      </c>
      <c r="C14" s="208" t="s">
        <v>191</v>
      </c>
      <c r="D14" s="208" t="s">
        <v>1016</v>
      </c>
      <c r="E14" s="208" t="s">
        <v>243</v>
      </c>
      <c r="F14" s="534">
        <v>41099.0</v>
      </c>
      <c r="G14" s="208" t="s">
        <v>185</v>
      </c>
      <c r="H14" s="208">
        <v>0.0</v>
      </c>
      <c r="I14" s="208">
        <v>2.0499999E7</v>
      </c>
      <c r="J14" s="208">
        <v>5841410.17</v>
      </c>
      <c r="K14" s="208">
        <v>0.0</v>
      </c>
      <c r="L14" s="208">
        <v>153.0</v>
      </c>
      <c r="M14" s="208">
        <v>112.0</v>
      </c>
      <c r="N14" s="208">
        <v>0.0</v>
      </c>
      <c r="O14" s="208">
        <v>153.0</v>
      </c>
      <c r="P14" s="208">
        <v>41.0</v>
      </c>
      <c r="Q14" s="208">
        <v>5841410.17</v>
      </c>
      <c r="R14" s="208">
        <v>0.0</v>
      </c>
      <c r="S14" s="208">
        <v>28.0</v>
      </c>
      <c r="T14" s="208">
        <v>0.0</v>
      </c>
      <c r="U14" s="208">
        <v>28.0</v>
      </c>
      <c r="V14" s="208">
        <v>0.0</v>
      </c>
      <c r="W14" s="208">
        <v>34.0</v>
      </c>
      <c r="X14" s="208">
        <v>46.0</v>
      </c>
      <c r="Y14" s="208">
        <v>39.0</v>
      </c>
      <c r="Z14" s="208">
        <v>2.0</v>
      </c>
      <c r="AA14" s="208">
        <v>12.0</v>
      </c>
      <c r="AB14" s="208">
        <v>0.0</v>
      </c>
      <c r="AC14" s="208">
        <v>0.0</v>
      </c>
      <c r="AD14" s="208">
        <v>0.0</v>
      </c>
      <c r="AE14" s="208">
        <v>0.0</v>
      </c>
      <c r="AF14" s="208">
        <v>349.0</v>
      </c>
      <c r="AG14" s="208">
        <v>407.0</v>
      </c>
      <c r="AH14" s="208">
        <v>75.0</v>
      </c>
      <c r="AI14" s="208">
        <v>77885.0</v>
      </c>
      <c r="AJ14" s="208">
        <v>5.0</v>
      </c>
      <c r="AK14" s="208">
        <v>78125.0</v>
      </c>
      <c r="AL14" s="208">
        <v>0.0</v>
      </c>
      <c r="AM14" s="208">
        <v>0.0134</v>
      </c>
      <c r="AN14" s="208">
        <v>208622.0</v>
      </c>
      <c r="AO14" s="208">
        <v>0.28</v>
      </c>
      <c r="AP14" s="208">
        <v>0.0</v>
      </c>
      <c r="AQ14" s="208">
        <v>36.0</v>
      </c>
      <c r="AR14" s="208">
        <v>849.0</v>
      </c>
      <c r="AS14" s="208">
        <v>1481.26</v>
      </c>
      <c r="AT14" s="208">
        <v>0.0</v>
      </c>
      <c r="AU14" s="208">
        <v>13.0</v>
      </c>
      <c r="AV14" s="208">
        <v>28.0</v>
      </c>
      <c r="AW14" s="208">
        <v>84.0</v>
      </c>
      <c r="AX14" s="208">
        <v>41.0</v>
      </c>
      <c r="AY14" s="208" t="s">
        <v>1270</v>
      </c>
    </row>
    <row r="15">
      <c r="A15" s="208" t="s">
        <v>185</v>
      </c>
      <c r="B15" s="208" t="s">
        <v>189</v>
      </c>
      <c r="C15" s="208" t="s">
        <v>193</v>
      </c>
      <c r="D15" s="208" t="s">
        <v>1016</v>
      </c>
      <c r="E15" s="208" t="s">
        <v>241</v>
      </c>
      <c r="F15" s="534">
        <v>41430.0</v>
      </c>
      <c r="G15" s="208" t="s">
        <v>185</v>
      </c>
      <c r="H15" s="208">
        <v>0.0</v>
      </c>
      <c r="I15" s="208">
        <v>2.55E7</v>
      </c>
      <c r="J15" s="208">
        <v>1.865771715E7</v>
      </c>
      <c r="K15" s="208">
        <v>0.0</v>
      </c>
      <c r="L15" s="208">
        <v>57.0</v>
      </c>
      <c r="M15" s="208">
        <v>44.0</v>
      </c>
      <c r="N15" s="208">
        <v>1.0</v>
      </c>
      <c r="O15" s="208">
        <v>58.0</v>
      </c>
      <c r="P15" s="208">
        <v>14.0</v>
      </c>
      <c r="Q15" s="208">
        <v>1.862863315E7</v>
      </c>
      <c r="R15" s="208">
        <v>29084.0</v>
      </c>
      <c r="S15" s="208">
        <v>37.0</v>
      </c>
      <c r="T15" s="208">
        <v>1.0</v>
      </c>
      <c r="U15" s="208">
        <v>38.0</v>
      </c>
      <c r="V15" s="208">
        <v>0.0</v>
      </c>
      <c r="W15" s="208">
        <v>0.0</v>
      </c>
      <c r="X15" s="208">
        <v>0.0</v>
      </c>
      <c r="Y15" s="208">
        <v>19.0</v>
      </c>
      <c r="Z15" s="208">
        <v>2.0</v>
      </c>
      <c r="AA15" s="208">
        <v>43.0</v>
      </c>
      <c r="AB15" s="208">
        <v>0.0</v>
      </c>
      <c r="AC15" s="208">
        <v>0.0</v>
      </c>
      <c r="AD15" s="208">
        <v>0.0</v>
      </c>
      <c r="AE15" s="208">
        <v>0.0</v>
      </c>
      <c r="AF15" s="208">
        <v>474.0</v>
      </c>
      <c r="AG15" s="208">
        <v>517.0</v>
      </c>
      <c r="AH15" s="208">
        <v>65.0</v>
      </c>
      <c r="AI15" s="208">
        <v>287042.0</v>
      </c>
      <c r="AJ15" s="208">
        <v>8.0</v>
      </c>
      <c r="AK15" s="208">
        <v>83075.0</v>
      </c>
      <c r="AL15" s="208">
        <v>0.0</v>
      </c>
      <c r="AM15" s="208">
        <v>0.0045</v>
      </c>
      <c r="AN15" s="208">
        <v>490993.0</v>
      </c>
      <c r="AO15" s="208">
        <v>0.73</v>
      </c>
      <c r="AP15" s="208">
        <v>0.0</v>
      </c>
      <c r="AQ15" s="208">
        <v>260.0</v>
      </c>
      <c r="AR15" s="208">
        <v>620.0</v>
      </c>
      <c r="AS15" s="208">
        <v>807.74</v>
      </c>
      <c r="AT15" s="208">
        <v>1.0</v>
      </c>
      <c r="AU15" s="208">
        <v>18.0</v>
      </c>
      <c r="AV15" s="208">
        <v>38.0</v>
      </c>
      <c r="AW15" s="208">
        <v>10.0</v>
      </c>
      <c r="AX15" s="208">
        <v>10.0</v>
      </c>
      <c r="AY15" s="208" t="s">
        <v>1270</v>
      </c>
    </row>
    <row r="16">
      <c r="A16" s="208" t="s">
        <v>185</v>
      </c>
      <c r="B16" s="208" t="s">
        <v>212</v>
      </c>
      <c r="C16" s="208" t="s">
        <v>489</v>
      </c>
      <c r="D16" s="208" t="s">
        <v>1031</v>
      </c>
      <c r="E16" s="208" t="s">
        <v>1032</v>
      </c>
      <c r="F16" s="208" t="s">
        <v>1275</v>
      </c>
      <c r="G16" s="208" t="s">
        <v>185</v>
      </c>
      <c r="H16" s="208">
        <v>0.0</v>
      </c>
      <c r="I16" s="208">
        <v>0.0</v>
      </c>
      <c r="J16" s="208">
        <v>0.0</v>
      </c>
      <c r="K16" s="208">
        <v>0.0</v>
      </c>
      <c r="L16" s="208">
        <v>181.0</v>
      </c>
      <c r="M16" s="208">
        <v>24.0</v>
      </c>
      <c r="N16" s="208">
        <v>3.0</v>
      </c>
      <c r="O16" s="208">
        <v>184.0</v>
      </c>
      <c r="P16" s="208">
        <v>160.0</v>
      </c>
      <c r="Q16" s="208">
        <v>0.0</v>
      </c>
      <c r="R16" s="208">
        <v>0.0</v>
      </c>
      <c r="S16" s="208">
        <v>0.0</v>
      </c>
      <c r="T16" s="208">
        <v>0.0</v>
      </c>
      <c r="U16" s="208">
        <v>0.0</v>
      </c>
      <c r="V16" s="208">
        <v>0.0</v>
      </c>
      <c r="W16" s="208">
        <v>16.0</v>
      </c>
      <c r="X16" s="208">
        <v>20.0</v>
      </c>
      <c r="Y16" s="208">
        <v>266.0</v>
      </c>
      <c r="Z16" s="208">
        <v>14.0</v>
      </c>
      <c r="AA16" s="208">
        <v>67.0</v>
      </c>
      <c r="AB16" s="208">
        <v>3.0</v>
      </c>
      <c r="AC16" s="208">
        <v>15.0</v>
      </c>
      <c r="AD16" s="208">
        <v>3.0</v>
      </c>
      <c r="AE16" s="208">
        <v>4.0</v>
      </c>
      <c r="AF16" s="208">
        <v>32.0</v>
      </c>
      <c r="AG16" s="208">
        <v>138.0</v>
      </c>
      <c r="AH16" s="208">
        <v>70.0</v>
      </c>
      <c r="AI16" s="208">
        <v>0.0</v>
      </c>
      <c r="AJ16" s="208">
        <v>2.0</v>
      </c>
      <c r="AK16" s="208">
        <v>88170.0</v>
      </c>
      <c r="AL16" s="208">
        <v>0.0</v>
      </c>
      <c r="AM16" s="208">
        <v>0.0</v>
      </c>
      <c r="AN16" s="208">
        <v>0.0</v>
      </c>
      <c r="AO16" s="208">
        <v>0.0</v>
      </c>
      <c r="AP16" s="208">
        <v>0.0</v>
      </c>
      <c r="AQ16" s="208">
        <v>0.0</v>
      </c>
      <c r="AR16" s="208">
        <v>694.0</v>
      </c>
      <c r="AS16" s="208">
        <v>1334.02</v>
      </c>
      <c r="AT16" s="208">
        <v>0.0</v>
      </c>
      <c r="AU16" s="208">
        <v>56.0</v>
      </c>
      <c r="AV16" s="208">
        <v>0.0</v>
      </c>
      <c r="AW16" s="208">
        <v>24.0</v>
      </c>
      <c r="AX16" s="208">
        <v>160.0</v>
      </c>
      <c r="AY16" s="208" t="s">
        <v>1270</v>
      </c>
    </row>
    <row r="17">
      <c r="A17" s="208" t="s">
        <v>185</v>
      </c>
      <c r="B17" s="208" t="s">
        <v>117</v>
      </c>
      <c r="C17" s="208" t="s">
        <v>434</v>
      </c>
      <c r="D17" s="208" t="s">
        <v>1044</v>
      </c>
      <c r="E17" s="208" t="s">
        <v>435</v>
      </c>
      <c r="F17" s="534">
        <v>42796.0</v>
      </c>
      <c r="H17" s="208">
        <v>0.0</v>
      </c>
      <c r="I17" s="208">
        <v>0.0</v>
      </c>
      <c r="J17" s="208">
        <v>0.0</v>
      </c>
      <c r="K17" s="208">
        <v>0.0</v>
      </c>
      <c r="L17" s="208">
        <v>44.0</v>
      </c>
      <c r="M17" s="208">
        <v>0.0</v>
      </c>
      <c r="N17" s="208">
        <v>0.0</v>
      </c>
      <c r="O17" s="208">
        <v>44.0</v>
      </c>
      <c r="P17" s="208">
        <v>44.0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  <c r="W17" s="208">
        <v>0.0</v>
      </c>
      <c r="X17" s="208">
        <v>0.0</v>
      </c>
      <c r="Y17" s="208">
        <v>78.0</v>
      </c>
      <c r="Z17" s="208">
        <v>0.0</v>
      </c>
      <c r="AA17" s="208">
        <v>0.0</v>
      </c>
      <c r="AB17" s="208">
        <v>0.0</v>
      </c>
      <c r="AC17" s="208">
        <v>0.0</v>
      </c>
      <c r="AD17" s="208">
        <v>0.0</v>
      </c>
      <c r="AE17" s="208">
        <v>0.0</v>
      </c>
      <c r="AF17" s="208">
        <v>0.0</v>
      </c>
      <c r="AG17" s="208">
        <v>0.0</v>
      </c>
      <c r="AH17" s="208">
        <v>0.0</v>
      </c>
      <c r="AI17" s="208">
        <v>0.0</v>
      </c>
      <c r="AJ17" s="208">
        <v>0.0</v>
      </c>
      <c r="AK17" s="208">
        <v>28672.0</v>
      </c>
      <c r="AL17" s="208">
        <v>0.0</v>
      </c>
      <c r="AM17" s="208">
        <v>0.0</v>
      </c>
      <c r="AN17" s="208">
        <v>0.0</v>
      </c>
      <c r="AO17" s="208">
        <v>0.0</v>
      </c>
      <c r="AP17" s="208">
        <v>0.0</v>
      </c>
      <c r="AQ17" s="208">
        <v>0.0</v>
      </c>
      <c r="AR17" s="208">
        <v>0.0</v>
      </c>
      <c r="AS17" s="208">
        <v>0.0</v>
      </c>
      <c r="AT17" s="208">
        <v>0.0</v>
      </c>
      <c r="AU17" s="208">
        <v>0.0</v>
      </c>
      <c r="AV17" s="208">
        <v>0.0</v>
      </c>
      <c r="AW17" s="208">
        <v>0.0</v>
      </c>
      <c r="AX17" s="208">
        <v>44.0</v>
      </c>
      <c r="AY17" s="208" t="s">
        <v>1276</v>
      </c>
    </row>
    <row r="18">
      <c r="A18" s="208" t="s">
        <v>185</v>
      </c>
      <c r="B18" s="208" t="s">
        <v>1228</v>
      </c>
      <c r="C18" s="208" t="s">
        <v>112</v>
      </c>
      <c r="D18" s="208" t="s">
        <v>1051</v>
      </c>
      <c r="E18" s="208" t="s">
        <v>1052</v>
      </c>
      <c r="F18" s="208" t="s">
        <v>1277</v>
      </c>
      <c r="H18" s="208">
        <v>1250001.0</v>
      </c>
      <c r="I18" s="208">
        <v>4200000.0</v>
      </c>
      <c r="J18" s="208">
        <v>1359137.9</v>
      </c>
      <c r="K18" s="208">
        <v>0.0</v>
      </c>
      <c r="L18" s="208">
        <v>110.0</v>
      </c>
      <c r="M18" s="208">
        <v>94.0</v>
      </c>
      <c r="N18" s="208">
        <v>2.0</v>
      </c>
      <c r="O18" s="208">
        <v>112.0</v>
      </c>
      <c r="P18" s="208">
        <v>18.0</v>
      </c>
      <c r="Q18" s="208">
        <v>1245851.26</v>
      </c>
      <c r="R18" s="208">
        <v>113286.64</v>
      </c>
      <c r="S18" s="208">
        <v>30.0</v>
      </c>
      <c r="T18" s="208">
        <v>2.0</v>
      </c>
      <c r="U18" s="208">
        <v>32.0</v>
      </c>
      <c r="V18" s="208">
        <v>0.0</v>
      </c>
      <c r="W18" s="208">
        <v>8.0</v>
      </c>
      <c r="X18" s="208">
        <v>18.0</v>
      </c>
      <c r="Y18" s="208">
        <v>102.0</v>
      </c>
      <c r="Z18" s="208">
        <v>0.0</v>
      </c>
      <c r="AA18" s="208">
        <v>0.0</v>
      </c>
      <c r="AB18" s="208">
        <v>0.0</v>
      </c>
      <c r="AC18" s="208">
        <v>0.0</v>
      </c>
      <c r="AD18" s="208">
        <v>0.0</v>
      </c>
      <c r="AE18" s="208">
        <v>0.0</v>
      </c>
      <c r="AF18" s="208">
        <v>310.0</v>
      </c>
      <c r="AG18" s="208">
        <v>328.0</v>
      </c>
      <c r="AH18" s="208">
        <v>57.0</v>
      </c>
      <c r="AI18" s="208">
        <v>23845.0</v>
      </c>
      <c r="AJ18" s="208">
        <v>6.0</v>
      </c>
      <c r="AK18" s="208">
        <v>30085.0</v>
      </c>
      <c r="AL18" s="208">
        <v>0.0</v>
      </c>
      <c r="AM18" s="208">
        <v>0.0221</v>
      </c>
      <c r="AN18" s="208">
        <v>42473.0</v>
      </c>
      <c r="AO18" s="208">
        <v>0.32</v>
      </c>
      <c r="AP18" s="208">
        <v>0.0</v>
      </c>
      <c r="AQ18" s="208">
        <v>51.0</v>
      </c>
      <c r="AR18" s="208">
        <v>572.0</v>
      </c>
      <c r="AS18" s="208">
        <v>2370.92</v>
      </c>
      <c r="AT18" s="208">
        <v>2.0</v>
      </c>
      <c r="AU18" s="208">
        <v>25.0</v>
      </c>
      <c r="AV18" s="208">
        <v>32.0</v>
      </c>
      <c r="AW18" s="208">
        <v>63.0</v>
      </c>
      <c r="AX18" s="208">
        <v>17.0</v>
      </c>
      <c r="AY18" s="208" t="s">
        <v>1270</v>
      </c>
    </row>
    <row r="19">
      <c r="A19" s="208" t="s">
        <v>185</v>
      </c>
      <c r="B19" s="208" t="s">
        <v>117</v>
      </c>
      <c r="C19" s="208" t="s">
        <v>524</v>
      </c>
      <c r="D19" s="208" t="s">
        <v>1044</v>
      </c>
      <c r="E19" s="208" t="s">
        <v>1054</v>
      </c>
      <c r="F19" s="208" t="s">
        <v>1278</v>
      </c>
      <c r="H19" s="208">
        <v>2499999.0</v>
      </c>
      <c r="I19" s="208">
        <v>6300000.0</v>
      </c>
      <c r="J19" s="208">
        <v>3780878.94</v>
      </c>
      <c r="K19" s="208">
        <v>0.0</v>
      </c>
      <c r="L19" s="208">
        <v>130.0</v>
      </c>
      <c r="M19" s="208">
        <v>58.0</v>
      </c>
      <c r="N19" s="208">
        <v>4.0</v>
      </c>
      <c r="O19" s="208">
        <v>134.0</v>
      </c>
      <c r="P19" s="208">
        <v>76.0</v>
      </c>
      <c r="Q19" s="208">
        <v>3280268.96</v>
      </c>
      <c r="R19" s="208">
        <v>500609.98</v>
      </c>
      <c r="S19" s="208">
        <v>65.0</v>
      </c>
      <c r="T19" s="208">
        <v>4.0</v>
      </c>
      <c r="U19" s="208">
        <v>69.0</v>
      </c>
      <c r="V19" s="208">
        <v>0.0</v>
      </c>
      <c r="W19" s="208">
        <v>0.0</v>
      </c>
      <c r="X19" s="208">
        <v>0.0</v>
      </c>
      <c r="Y19" s="208">
        <v>19.0</v>
      </c>
      <c r="Z19" s="208">
        <v>6.0</v>
      </c>
      <c r="AA19" s="208">
        <v>40.0</v>
      </c>
      <c r="AB19" s="208">
        <v>2.0</v>
      </c>
      <c r="AC19" s="208">
        <v>8.0</v>
      </c>
      <c r="AD19" s="208">
        <v>0.0</v>
      </c>
      <c r="AE19" s="208">
        <v>0.0</v>
      </c>
      <c r="AF19" s="208">
        <v>256.0</v>
      </c>
      <c r="AG19" s="208">
        <v>304.0</v>
      </c>
      <c r="AH19" s="208">
        <v>71.0</v>
      </c>
      <c r="AI19" s="208">
        <v>53252.0</v>
      </c>
      <c r="AJ19" s="208">
        <v>4.0</v>
      </c>
      <c r="AK19" s="208">
        <v>28985.0</v>
      </c>
      <c r="AL19" s="208">
        <v>0.0</v>
      </c>
      <c r="AM19" s="208">
        <v>0.0077</v>
      </c>
      <c r="AN19" s="208">
        <v>54795.0</v>
      </c>
      <c r="AO19" s="208">
        <v>0.6</v>
      </c>
      <c r="AP19" s="208">
        <v>0.0</v>
      </c>
      <c r="AQ19" s="208">
        <v>158.0</v>
      </c>
      <c r="AR19" s="208">
        <v>616.0</v>
      </c>
      <c r="AS19" s="208">
        <v>2131.73</v>
      </c>
      <c r="AT19" s="208">
        <v>4.0</v>
      </c>
      <c r="AU19" s="208">
        <v>37.0</v>
      </c>
      <c r="AV19" s="208">
        <v>69.0</v>
      </c>
      <c r="AW19" s="208">
        <v>24.0</v>
      </c>
      <c r="AX19" s="208">
        <v>41.0</v>
      </c>
      <c r="AY19" s="208" t="s">
        <v>1270</v>
      </c>
    </row>
    <row r="20">
      <c r="A20" s="208" t="s">
        <v>298</v>
      </c>
      <c r="B20" s="208" t="s">
        <v>301</v>
      </c>
      <c r="C20" s="208" t="s">
        <v>299</v>
      </c>
      <c r="D20" s="208" t="s">
        <v>1279</v>
      </c>
      <c r="E20" s="208" t="s">
        <v>1048</v>
      </c>
      <c r="F20" s="534">
        <v>43015.0</v>
      </c>
      <c r="G20" s="208" t="s">
        <v>298</v>
      </c>
      <c r="H20" s="208">
        <v>0.0</v>
      </c>
      <c r="I20" s="208">
        <v>6000000.0</v>
      </c>
      <c r="J20" s="208">
        <v>5310087.12</v>
      </c>
      <c r="K20" s="208">
        <v>0.0</v>
      </c>
      <c r="L20" s="208">
        <v>170.0</v>
      </c>
      <c r="M20" s="208">
        <v>90.0</v>
      </c>
      <c r="N20" s="208">
        <v>2.0</v>
      </c>
      <c r="O20" s="208">
        <v>172.0</v>
      </c>
      <c r="P20" s="208">
        <v>82.0</v>
      </c>
      <c r="Q20" s="208">
        <v>5298706.08</v>
      </c>
      <c r="R20" s="208">
        <v>11381.04</v>
      </c>
      <c r="S20" s="208">
        <v>56.0</v>
      </c>
      <c r="T20" s="208">
        <v>1.0</v>
      </c>
      <c r="U20" s="208">
        <v>57.0</v>
      </c>
      <c r="V20" s="208">
        <v>0.0</v>
      </c>
      <c r="W20" s="208">
        <v>2.0</v>
      </c>
      <c r="X20" s="208">
        <v>2.0</v>
      </c>
      <c r="Y20" s="208">
        <v>57.0</v>
      </c>
      <c r="Z20" s="208">
        <v>2.0</v>
      </c>
      <c r="AA20" s="208">
        <v>26.0</v>
      </c>
      <c r="AB20" s="208">
        <v>0.0</v>
      </c>
      <c r="AC20" s="208">
        <v>0.0</v>
      </c>
      <c r="AD20" s="208">
        <v>0.0</v>
      </c>
      <c r="AE20" s="208">
        <v>0.0</v>
      </c>
      <c r="AF20" s="208">
        <v>206.0</v>
      </c>
      <c r="AG20" s="208">
        <v>234.0</v>
      </c>
      <c r="AH20" s="208">
        <v>72.0</v>
      </c>
      <c r="AI20" s="208">
        <v>73751.0</v>
      </c>
      <c r="AJ20" s="208">
        <v>3.0</v>
      </c>
      <c r="AK20" s="208">
        <v>44575.0</v>
      </c>
      <c r="AL20" s="208">
        <v>0.0</v>
      </c>
      <c r="AM20" s="208">
        <v>0.0084</v>
      </c>
      <c r="AN20" s="208">
        <v>93159.0</v>
      </c>
      <c r="AO20" s="208">
        <v>0.89</v>
      </c>
      <c r="AP20" s="208">
        <v>0.0</v>
      </c>
      <c r="AQ20" s="208">
        <v>153.0</v>
      </c>
      <c r="AR20" s="208">
        <v>553.0</v>
      </c>
      <c r="AS20" s="208">
        <v>4875.51</v>
      </c>
      <c r="AT20" s="208">
        <v>1.0</v>
      </c>
      <c r="AU20" s="208">
        <v>54.0</v>
      </c>
      <c r="AV20" s="208">
        <v>57.0</v>
      </c>
      <c r="AW20" s="208">
        <v>41.0</v>
      </c>
      <c r="AX20" s="208">
        <v>74.0</v>
      </c>
      <c r="AY20" s="208" t="s">
        <v>1270</v>
      </c>
    </row>
    <row r="21">
      <c r="A21" s="208" t="s">
        <v>322</v>
      </c>
      <c r="B21" s="208" t="s">
        <v>325</v>
      </c>
      <c r="C21" s="208" t="s">
        <v>323</v>
      </c>
      <c r="D21" s="208" t="s">
        <v>1049</v>
      </c>
      <c r="E21" s="208" t="s">
        <v>1050</v>
      </c>
      <c r="F21" s="208" t="s">
        <v>1280</v>
      </c>
      <c r="G21" s="208" t="s">
        <v>322</v>
      </c>
      <c r="H21" s="208">
        <v>0.0</v>
      </c>
      <c r="I21" s="208">
        <v>3750000.0</v>
      </c>
      <c r="J21" s="208">
        <v>2541942.2</v>
      </c>
      <c r="K21" s="208">
        <v>0.0</v>
      </c>
      <c r="L21" s="208">
        <v>142.0</v>
      </c>
      <c r="M21" s="208">
        <v>97.0</v>
      </c>
      <c r="N21" s="208">
        <v>1.0</v>
      </c>
      <c r="O21" s="208">
        <v>143.0</v>
      </c>
      <c r="P21" s="208">
        <v>46.0</v>
      </c>
      <c r="Q21" s="208">
        <v>2518700.6</v>
      </c>
      <c r="R21" s="208">
        <v>23241.6</v>
      </c>
      <c r="S21" s="208">
        <v>83.0</v>
      </c>
      <c r="T21" s="208">
        <v>1.0</v>
      </c>
      <c r="U21" s="208">
        <v>84.0</v>
      </c>
      <c r="V21" s="208">
        <v>0.0</v>
      </c>
      <c r="W21" s="208">
        <v>101.0</v>
      </c>
      <c r="X21" s="208">
        <v>111.0</v>
      </c>
      <c r="Y21" s="208">
        <v>635.0</v>
      </c>
      <c r="Z21" s="208">
        <v>8.0</v>
      </c>
      <c r="AA21" s="208">
        <v>101.0</v>
      </c>
      <c r="AB21" s="208">
        <v>0.0</v>
      </c>
      <c r="AC21" s="208">
        <v>0.0</v>
      </c>
      <c r="AD21" s="208">
        <v>1.0</v>
      </c>
      <c r="AE21" s="208">
        <v>1.0</v>
      </c>
      <c r="AF21" s="208">
        <v>184.0</v>
      </c>
      <c r="AG21" s="208">
        <v>397.0</v>
      </c>
      <c r="AH21" s="208">
        <v>73.0</v>
      </c>
      <c r="AI21" s="208">
        <v>34821.0</v>
      </c>
      <c r="AJ21" s="208">
        <v>5.0</v>
      </c>
      <c r="AK21" s="208">
        <v>51335.0</v>
      </c>
      <c r="AL21" s="208">
        <v>0.0</v>
      </c>
      <c r="AM21" s="208">
        <v>0.0202</v>
      </c>
      <c r="AN21" s="208">
        <v>30261.0</v>
      </c>
      <c r="AO21" s="208">
        <v>0.68</v>
      </c>
      <c r="AP21" s="208">
        <v>0.0</v>
      </c>
      <c r="AQ21" s="208">
        <v>155.0</v>
      </c>
      <c r="AR21" s="208">
        <v>709.0</v>
      </c>
      <c r="AS21" s="208">
        <v>3497.37</v>
      </c>
      <c r="AT21" s="208">
        <v>1.0</v>
      </c>
      <c r="AU21" s="208">
        <v>36.0</v>
      </c>
      <c r="AV21" s="208">
        <v>84.0</v>
      </c>
      <c r="AW21" s="208">
        <v>25.0</v>
      </c>
      <c r="AX21" s="208">
        <v>34.0</v>
      </c>
      <c r="AY21" s="208" t="s">
        <v>1270</v>
      </c>
    </row>
    <row r="22">
      <c r="A22" s="208" t="s">
        <v>185</v>
      </c>
      <c r="B22" s="208" t="s">
        <v>189</v>
      </c>
      <c r="C22" s="208" t="s">
        <v>206</v>
      </c>
      <c r="D22" s="208" t="s">
        <v>1083</v>
      </c>
      <c r="E22" s="208" t="s">
        <v>192</v>
      </c>
      <c r="F22" s="534">
        <v>43196.0</v>
      </c>
      <c r="G22" s="208" t="s">
        <v>185</v>
      </c>
      <c r="H22" s="208">
        <v>0.0</v>
      </c>
      <c r="I22" s="208">
        <v>1.5999999E7</v>
      </c>
      <c r="J22" s="208">
        <v>8249583.69</v>
      </c>
      <c r="K22" s="208">
        <v>0.0</v>
      </c>
      <c r="L22" s="208">
        <v>148.0</v>
      </c>
      <c r="M22" s="208">
        <v>105.0</v>
      </c>
      <c r="N22" s="208">
        <v>3.0</v>
      </c>
      <c r="O22" s="208">
        <v>151.0</v>
      </c>
      <c r="P22" s="208">
        <v>46.0</v>
      </c>
      <c r="Q22" s="208">
        <v>8011311.59</v>
      </c>
      <c r="R22" s="208">
        <v>238272.1</v>
      </c>
      <c r="S22" s="208">
        <v>27.0</v>
      </c>
      <c r="T22" s="208">
        <v>3.0</v>
      </c>
      <c r="U22" s="208">
        <v>30.0</v>
      </c>
      <c r="V22" s="208">
        <v>0.0</v>
      </c>
      <c r="W22" s="208">
        <v>6.0</v>
      </c>
      <c r="X22" s="208">
        <v>8.0</v>
      </c>
      <c r="Y22" s="208">
        <v>44.0</v>
      </c>
      <c r="Z22" s="208">
        <v>2.0</v>
      </c>
      <c r="AA22" s="208">
        <v>19.0</v>
      </c>
      <c r="AB22" s="208">
        <v>0.0</v>
      </c>
      <c r="AC22" s="208">
        <v>0.0</v>
      </c>
      <c r="AD22" s="208">
        <v>0.0</v>
      </c>
      <c r="AE22" s="208">
        <v>0.0</v>
      </c>
      <c r="AF22" s="208">
        <v>306.0</v>
      </c>
      <c r="AG22" s="208">
        <v>333.0</v>
      </c>
      <c r="AH22" s="208">
        <v>75.0</v>
      </c>
      <c r="AI22" s="208">
        <v>109994.0</v>
      </c>
      <c r="AJ22" s="208">
        <v>4.0</v>
      </c>
      <c r="AK22" s="208">
        <v>46670.0</v>
      </c>
      <c r="AL22" s="208">
        <v>0.0</v>
      </c>
      <c r="AM22" s="208">
        <v>0.0057</v>
      </c>
      <c r="AN22" s="208">
        <v>274986.0</v>
      </c>
      <c r="AO22" s="208">
        <v>0.52</v>
      </c>
      <c r="AP22" s="208">
        <v>0.0</v>
      </c>
      <c r="AQ22" s="208">
        <v>58.0</v>
      </c>
      <c r="AR22" s="208">
        <v>772.0</v>
      </c>
      <c r="AS22" s="208">
        <v>1060.31</v>
      </c>
      <c r="AT22" s="208">
        <v>3.0</v>
      </c>
      <c r="AU22" s="208">
        <v>10.0</v>
      </c>
      <c r="AV22" s="208">
        <v>30.0</v>
      </c>
      <c r="AW22" s="208">
        <v>75.0</v>
      </c>
      <c r="AX22" s="208">
        <v>46.0</v>
      </c>
      <c r="AY22" s="208" t="s">
        <v>1270</v>
      </c>
    </row>
    <row r="23">
      <c r="A23" s="208" t="s">
        <v>126</v>
      </c>
      <c r="B23" s="208" t="s">
        <v>130</v>
      </c>
      <c r="C23" s="208" t="s">
        <v>128</v>
      </c>
      <c r="D23" s="208" t="s">
        <v>1022</v>
      </c>
      <c r="E23" s="208" t="s">
        <v>129</v>
      </c>
      <c r="F23" s="534">
        <v>41033.0</v>
      </c>
      <c r="G23" s="208" t="s">
        <v>580</v>
      </c>
      <c r="H23" s="208">
        <v>900000.0</v>
      </c>
      <c r="I23" s="208">
        <v>1.1600001E7</v>
      </c>
      <c r="J23" s="208">
        <v>1.153249101E7</v>
      </c>
      <c r="K23" s="208">
        <v>1333774.92</v>
      </c>
      <c r="L23" s="208">
        <v>70.0</v>
      </c>
      <c r="M23" s="208">
        <v>53.0</v>
      </c>
      <c r="N23" s="208">
        <v>3.0</v>
      </c>
      <c r="O23" s="208">
        <v>73.0</v>
      </c>
      <c r="P23" s="208">
        <v>20.0</v>
      </c>
      <c r="Q23" s="208">
        <v>1.151169831E7</v>
      </c>
      <c r="R23" s="208">
        <v>20792.7</v>
      </c>
      <c r="S23" s="208">
        <v>45.0</v>
      </c>
      <c r="T23" s="208">
        <v>1.0</v>
      </c>
      <c r="U23" s="208">
        <v>46.0</v>
      </c>
      <c r="V23" s="208">
        <v>7.0</v>
      </c>
      <c r="W23" s="208">
        <v>1.0</v>
      </c>
      <c r="X23" s="208">
        <v>1.0</v>
      </c>
      <c r="Y23" s="208">
        <v>32.0</v>
      </c>
      <c r="Z23" s="208">
        <v>10.0</v>
      </c>
      <c r="AA23" s="208">
        <v>83.0</v>
      </c>
      <c r="AB23" s="208">
        <v>7.0</v>
      </c>
      <c r="AC23" s="208">
        <v>33.0</v>
      </c>
      <c r="AD23" s="208">
        <v>1.0</v>
      </c>
      <c r="AE23" s="208">
        <v>1.0</v>
      </c>
      <c r="AF23" s="208">
        <v>145.0</v>
      </c>
      <c r="AG23" s="208">
        <v>263.0</v>
      </c>
      <c r="AH23" s="208">
        <v>56.0</v>
      </c>
      <c r="AI23" s="208">
        <v>205937.0</v>
      </c>
      <c r="AJ23" s="208">
        <v>5.0</v>
      </c>
      <c r="AK23" s="208">
        <v>30096.0</v>
      </c>
      <c r="AL23" s="208">
        <v>0.0</v>
      </c>
      <c r="AM23" s="208">
        <v>0.0026</v>
      </c>
      <c r="AN23" s="208">
        <v>250706.0</v>
      </c>
      <c r="AO23" s="208">
        <v>0.99</v>
      </c>
      <c r="AP23" s="208">
        <v>1.48</v>
      </c>
      <c r="AQ23" s="208">
        <v>171.0</v>
      </c>
      <c r="AR23" s="208">
        <v>447.0</v>
      </c>
      <c r="AS23" s="208">
        <v>2254.73</v>
      </c>
      <c r="AT23" s="208">
        <v>1.0</v>
      </c>
      <c r="AU23" s="208">
        <v>43.0</v>
      </c>
      <c r="AV23" s="208">
        <v>46.0</v>
      </c>
      <c r="AW23" s="208">
        <v>9.0</v>
      </c>
      <c r="AX23" s="208">
        <v>18.0</v>
      </c>
      <c r="AY23" s="208" t="s">
        <v>1270</v>
      </c>
    </row>
    <row r="24">
      <c r="A24" s="208" t="s">
        <v>126</v>
      </c>
      <c r="B24" s="208" t="s">
        <v>130</v>
      </c>
      <c r="C24" s="208" t="s">
        <v>164</v>
      </c>
      <c r="D24" s="208" t="s">
        <v>130</v>
      </c>
      <c r="E24" s="208" t="s">
        <v>153</v>
      </c>
      <c r="F24" s="534">
        <v>45293.0</v>
      </c>
      <c r="G24" s="208" t="s">
        <v>580</v>
      </c>
      <c r="H24" s="208">
        <v>1200000.0</v>
      </c>
      <c r="I24" s="208">
        <v>6300000.0</v>
      </c>
      <c r="J24" s="208">
        <v>5181585.33</v>
      </c>
      <c r="K24" s="208">
        <v>163632.54</v>
      </c>
      <c r="L24" s="208">
        <v>142.0</v>
      </c>
      <c r="M24" s="208">
        <v>111.0</v>
      </c>
      <c r="N24" s="208">
        <v>1.0</v>
      </c>
      <c r="O24" s="208">
        <v>143.0</v>
      </c>
      <c r="P24" s="208">
        <v>32.0</v>
      </c>
      <c r="Q24" s="208">
        <v>5150898.81</v>
      </c>
      <c r="R24" s="208">
        <v>30686.52</v>
      </c>
      <c r="S24" s="208">
        <v>68.0</v>
      </c>
      <c r="T24" s="208">
        <v>1.0</v>
      </c>
      <c r="U24" s="208">
        <v>69.0</v>
      </c>
      <c r="V24" s="208">
        <v>2.0</v>
      </c>
      <c r="W24" s="208">
        <v>31.0</v>
      </c>
      <c r="X24" s="208">
        <v>34.0</v>
      </c>
      <c r="Y24" s="208">
        <v>138.0</v>
      </c>
      <c r="Z24" s="208">
        <v>6.0</v>
      </c>
      <c r="AA24" s="208">
        <v>66.0</v>
      </c>
      <c r="AB24" s="208">
        <v>6.0</v>
      </c>
      <c r="AC24" s="208">
        <v>9.0</v>
      </c>
      <c r="AD24" s="208">
        <v>0.0</v>
      </c>
      <c r="AE24" s="208">
        <v>0.0</v>
      </c>
      <c r="AF24" s="208">
        <v>345.0</v>
      </c>
      <c r="AG24" s="208">
        <v>454.0</v>
      </c>
      <c r="AH24" s="208">
        <v>74.0</v>
      </c>
      <c r="AI24" s="208">
        <v>70021.0</v>
      </c>
      <c r="AJ24" s="208">
        <v>6.0</v>
      </c>
      <c r="AK24" s="208">
        <v>30646.0</v>
      </c>
      <c r="AL24" s="208">
        <v>0.0</v>
      </c>
      <c r="AM24" s="208">
        <v>0.0059</v>
      </c>
      <c r="AN24" s="208">
        <v>75095.0</v>
      </c>
      <c r="AO24" s="208">
        <v>0.82</v>
      </c>
      <c r="AP24" s="208">
        <v>0.14</v>
      </c>
      <c r="AQ24" s="208">
        <v>137.0</v>
      </c>
      <c r="AR24" s="208">
        <v>715.0</v>
      </c>
      <c r="AS24" s="208">
        <v>2829.07</v>
      </c>
      <c r="AT24" s="208">
        <v>1.0</v>
      </c>
      <c r="AU24" s="208">
        <v>25.0</v>
      </c>
      <c r="AV24" s="208">
        <v>69.0</v>
      </c>
      <c r="AW24" s="208">
        <v>48.0</v>
      </c>
      <c r="AX24" s="208">
        <v>26.0</v>
      </c>
      <c r="AY24" s="208" t="s">
        <v>1270</v>
      </c>
    </row>
    <row r="25">
      <c r="A25" s="208" t="s">
        <v>126</v>
      </c>
      <c r="B25" s="208" t="s">
        <v>130</v>
      </c>
      <c r="C25" s="208" t="s">
        <v>131</v>
      </c>
      <c r="D25" s="208" t="s">
        <v>130</v>
      </c>
      <c r="E25" s="208" t="s">
        <v>1038</v>
      </c>
      <c r="F25" s="534">
        <v>42619.0</v>
      </c>
      <c r="G25" s="208" t="s">
        <v>580</v>
      </c>
      <c r="H25" s="208">
        <v>1500000.0</v>
      </c>
      <c r="I25" s="208">
        <v>7875000.0</v>
      </c>
      <c r="J25" s="208">
        <v>5376442.9</v>
      </c>
      <c r="K25" s="208">
        <v>0.0</v>
      </c>
      <c r="L25" s="208">
        <v>101.0</v>
      </c>
      <c r="M25" s="208">
        <v>60.0</v>
      </c>
      <c r="N25" s="208">
        <v>0.0</v>
      </c>
      <c r="O25" s="208">
        <v>101.0</v>
      </c>
      <c r="P25" s="208">
        <v>41.0</v>
      </c>
      <c r="Q25" s="208">
        <v>5376442.9</v>
      </c>
      <c r="R25" s="208">
        <v>0.0</v>
      </c>
      <c r="S25" s="208">
        <v>25.0</v>
      </c>
      <c r="T25" s="208">
        <v>0.0</v>
      </c>
      <c r="U25" s="208">
        <v>25.0</v>
      </c>
      <c r="V25" s="208">
        <v>0.0</v>
      </c>
      <c r="W25" s="208">
        <v>27.0</v>
      </c>
      <c r="X25" s="208">
        <v>35.0</v>
      </c>
      <c r="Y25" s="208">
        <v>172.0</v>
      </c>
      <c r="Z25" s="208">
        <v>6.0</v>
      </c>
      <c r="AA25" s="208">
        <v>41.0</v>
      </c>
      <c r="AB25" s="208">
        <v>0.0</v>
      </c>
      <c r="AC25" s="208">
        <v>0.0</v>
      </c>
      <c r="AD25" s="208">
        <v>0.0</v>
      </c>
      <c r="AE25" s="208">
        <v>0.0</v>
      </c>
      <c r="AF25" s="208">
        <v>162.0</v>
      </c>
      <c r="AG25" s="208">
        <v>238.0</v>
      </c>
      <c r="AH25" s="208">
        <v>70.0</v>
      </c>
      <c r="AI25" s="208">
        <v>76806.0</v>
      </c>
      <c r="AJ25" s="208">
        <v>3.0</v>
      </c>
      <c r="AK25" s="208">
        <v>33802.0</v>
      </c>
      <c r="AL25" s="208">
        <v>0.0</v>
      </c>
      <c r="AM25" s="208">
        <v>0.0063</v>
      </c>
      <c r="AN25" s="208">
        <v>215058.0</v>
      </c>
      <c r="AO25" s="208">
        <v>0.68</v>
      </c>
      <c r="AP25" s="208">
        <v>0.0</v>
      </c>
      <c r="AQ25" s="208">
        <v>51.0</v>
      </c>
      <c r="AR25" s="208">
        <v>616.0</v>
      </c>
      <c r="AS25" s="208">
        <v>2080.46</v>
      </c>
      <c r="AT25" s="208">
        <v>0.0</v>
      </c>
      <c r="AU25" s="208">
        <v>35.0</v>
      </c>
      <c r="AV25" s="208">
        <v>25.0</v>
      </c>
      <c r="AW25" s="208">
        <v>37.0</v>
      </c>
      <c r="AX25" s="208">
        <v>39.0</v>
      </c>
      <c r="AY25" s="208" t="s">
        <v>1270</v>
      </c>
    </row>
    <row r="26">
      <c r="A26" s="208" t="s">
        <v>126</v>
      </c>
      <c r="B26" s="208" t="s">
        <v>135</v>
      </c>
      <c r="C26" s="208" t="s">
        <v>133</v>
      </c>
      <c r="D26" s="208" t="s">
        <v>1042</v>
      </c>
      <c r="E26" s="208" t="s">
        <v>180</v>
      </c>
      <c r="F26" s="208" t="s">
        <v>1281</v>
      </c>
      <c r="G26" s="208" t="s">
        <v>580</v>
      </c>
      <c r="H26" s="208">
        <v>1257000.0</v>
      </c>
      <c r="I26" s="208">
        <v>8118000.0</v>
      </c>
      <c r="J26" s="208">
        <v>7998419.55</v>
      </c>
      <c r="K26" s="208">
        <v>628371.67</v>
      </c>
      <c r="L26" s="208">
        <v>88.0</v>
      </c>
      <c r="M26" s="208">
        <v>63.0</v>
      </c>
      <c r="N26" s="208">
        <v>10.0</v>
      </c>
      <c r="O26" s="208">
        <v>98.0</v>
      </c>
      <c r="P26" s="208">
        <v>35.0</v>
      </c>
      <c r="Q26" s="208">
        <v>7264677.5</v>
      </c>
      <c r="R26" s="208">
        <v>733742.05</v>
      </c>
      <c r="S26" s="208">
        <v>51.0</v>
      </c>
      <c r="T26" s="208">
        <v>4.0</v>
      </c>
      <c r="U26" s="208">
        <v>55.0</v>
      </c>
      <c r="V26" s="208">
        <v>3.0</v>
      </c>
      <c r="W26" s="208">
        <v>21.0</v>
      </c>
      <c r="X26" s="208">
        <v>26.0</v>
      </c>
      <c r="Y26" s="208">
        <v>176.0</v>
      </c>
      <c r="Z26" s="208">
        <v>3.0</v>
      </c>
      <c r="AA26" s="208">
        <v>24.0</v>
      </c>
      <c r="AB26" s="208">
        <v>4.0</v>
      </c>
      <c r="AC26" s="208">
        <v>13.0</v>
      </c>
      <c r="AD26" s="208">
        <v>1.0</v>
      </c>
      <c r="AE26" s="208">
        <v>12.0</v>
      </c>
      <c r="AF26" s="208">
        <v>219.0</v>
      </c>
      <c r="AG26" s="208">
        <v>294.0</v>
      </c>
      <c r="AH26" s="208">
        <v>72.0</v>
      </c>
      <c r="AI26" s="208">
        <v>111089.0</v>
      </c>
      <c r="AJ26" s="208">
        <v>4.0</v>
      </c>
      <c r="AK26" s="208">
        <v>31584.0</v>
      </c>
      <c r="AL26" s="208">
        <v>0.0</v>
      </c>
      <c r="AM26" s="208">
        <v>0.0039</v>
      </c>
      <c r="AN26" s="208">
        <v>145426.0</v>
      </c>
      <c r="AO26" s="208">
        <v>0.99</v>
      </c>
      <c r="AP26" s="208">
        <v>0.5</v>
      </c>
      <c r="AQ26" s="208">
        <v>194.0</v>
      </c>
      <c r="AR26" s="208">
        <v>533.0</v>
      </c>
      <c r="AS26" s="208">
        <v>3658.44</v>
      </c>
      <c r="AT26" s="208">
        <v>4.0</v>
      </c>
      <c r="AU26" s="208">
        <v>58.0</v>
      </c>
      <c r="AV26" s="208">
        <v>55.0</v>
      </c>
      <c r="AW26" s="208">
        <v>19.0</v>
      </c>
      <c r="AX26" s="208">
        <v>24.0</v>
      </c>
      <c r="AY26" s="208" t="s">
        <v>1270</v>
      </c>
    </row>
    <row r="27">
      <c r="A27" s="208" t="s">
        <v>126</v>
      </c>
      <c r="B27" s="208" t="s">
        <v>135</v>
      </c>
      <c r="C27" s="208" t="s">
        <v>136</v>
      </c>
      <c r="D27" s="208" t="s">
        <v>1042</v>
      </c>
      <c r="E27" s="208" t="s">
        <v>137</v>
      </c>
      <c r="F27" s="534">
        <v>43167.0</v>
      </c>
      <c r="G27" s="208" t="s">
        <v>580</v>
      </c>
      <c r="H27" s="208">
        <v>900000.0</v>
      </c>
      <c r="I27" s="208">
        <v>1.1600001E7</v>
      </c>
      <c r="J27" s="208">
        <v>1.453583134E7</v>
      </c>
      <c r="K27" s="208">
        <v>79843.84</v>
      </c>
      <c r="L27" s="208">
        <v>119.0</v>
      </c>
      <c r="M27" s="208">
        <v>102.0</v>
      </c>
      <c r="N27" s="208">
        <v>6.0</v>
      </c>
      <c r="O27" s="208">
        <v>125.0</v>
      </c>
      <c r="P27" s="208">
        <v>23.0</v>
      </c>
      <c r="Q27" s="208">
        <v>1.446375762E7</v>
      </c>
      <c r="R27" s="208">
        <v>72073.72</v>
      </c>
      <c r="S27" s="208">
        <v>80.0</v>
      </c>
      <c r="T27" s="208">
        <v>2.0</v>
      </c>
      <c r="U27" s="208">
        <v>82.0</v>
      </c>
      <c r="V27" s="208">
        <v>1.0</v>
      </c>
      <c r="W27" s="208">
        <v>8.0</v>
      </c>
      <c r="X27" s="208">
        <v>12.0</v>
      </c>
      <c r="Y27" s="208">
        <v>17.0</v>
      </c>
      <c r="Z27" s="208">
        <v>7.0</v>
      </c>
      <c r="AA27" s="208">
        <v>17.0</v>
      </c>
      <c r="AB27" s="208">
        <v>1.0</v>
      </c>
      <c r="AC27" s="208">
        <v>1.0</v>
      </c>
      <c r="AD27" s="208">
        <v>1.0</v>
      </c>
      <c r="AE27" s="208">
        <v>1.0</v>
      </c>
      <c r="AF27" s="208">
        <v>254.0</v>
      </c>
      <c r="AG27" s="208">
        <v>285.0</v>
      </c>
      <c r="AH27" s="208">
        <v>68.0</v>
      </c>
      <c r="AI27" s="208">
        <v>213762.0</v>
      </c>
      <c r="AJ27" s="208">
        <v>4.0</v>
      </c>
      <c r="AK27" s="208">
        <v>29362.0</v>
      </c>
      <c r="AL27" s="208">
        <v>0.0</v>
      </c>
      <c r="AM27" s="208">
        <v>0.002</v>
      </c>
      <c r="AN27" s="208">
        <v>177266.0</v>
      </c>
      <c r="AO27" s="208">
        <v>1.25</v>
      </c>
      <c r="AP27" s="208">
        <v>0.09</v>
      </c>
      <c r="AQ27" s="208">
        <v>385.0</v>
      </c>
      <c r="AR27" s="208">
        <v>526.0</v>
      </c>
      <c r="AS27" s="208">
        <v>1239.02</v>
      </c>
      <c r="AT27" s="208">
        <v>2.0</v>
      </c>
      <c r="AU27" s="208">
        <v>12.0</v>
      </c>
      <c r="AV27" s="208">
        <v>82.0</v>
      </c>
      <c r="AW27" s="208">
        <v>26.0</v>
      </c>
      <c r="AX27" s="208">
        <v>17.0</v>
      </c>
      <c r="AY27" s="208" t="s">
        <v>1270</v>
      </c>
    </row>
    <row r="28">
      <c r="A28" s="208" t="s">
        <v>185</v>
      </c>
      <c r="B28" s="208" t="s">
        <v>85</v>
      </c>
      <c r="C28" s="208" t="s">
        <v>86</v>
      </c>
      <c r="D28" s="208" t="s">
        <v>1055</v>
      </c>
      <c r="E28" s="208" t="s">
        <v>87</v>
      </c>
      <c r="F28" s="534">
        <v>43500.0</v>
      </c>
      <c r="H28" s="208">
        <v>0.0</v>
      </c>
      <c r="I28" s="208">
        <v>5000001.0</v>
      </c>
      <c r="J28" s="208">
        <v>3503045.06</v>
      </c>
      <c r="K28" s="208">
        <v>0.0</v>
      </c>
      <c r="L28" s="208">
        <v>169.0</v>
      </c>
      <c r="M28" s="208">
        <v>124.0</v>
      </c>
      <c r="N28" s="208">
        <v>3.0</v>
      </c>
      <c r="O28" s="208">
        <v>172.0</v>
      </c>
      <c r="P28" s="208">
        <v>48.0</v>
      </c>
      <c r="Q28" s="208">
        <v>3160707.36</v>
      </c>
      <c r="R28" s="208">
        <v>342337.7</v>
      </c>
      <c r="S28" s="208">
        <v>44.0</v>
      </c>
      <c r="T28" s="208">
        <v>3.0</v>
      </c>
      <c r="U28" s="208">
        <v>47.0</v>
      </c>
      <c r="V28" s="208">
        <v>0.0</v>
      </c>
      <c r="W28" s="208">
        <v>26.0</v>
      </c>
      <c r="X28" s="208">
        <v>40.0</v>
      </c>
      <c r="Y28" s="208">
        <v>44.0</v>
      </c>
      <c r="Z28" s="208">
        <v>2.0</v>
      </c>
      <c r="AA28" s="208">
        <v>5.0</v>
      </c>
      <c r="AB28" s="208">
        <v>0.0</v>
      </c>
      <c r="AC28" s="208">
        <v>0.0</v>
      </c>
      <c r="AD28" s="208">
        <v>0.0</v>
      </c>
      <c r="AE28" s="208">
        <v>0.0</v>
      </c>
      <c r="AF28" s="208">
        <v>402.0</v>
      </c>
      <c r="AG28" s="208">
        <v>447.0</v>
      </c>
      <c r="AH28" s="208">
        <v>70.0</v>
      </c>
      <c r="AI28" s="208">
        <v>50044.0</v>
      </c>
      <c r="AJ28" s="208">
        <v>6.0</v>
      </c>
      <c r="AK28" s="208">
        <v>27164.0</v>
      </c>
      <c r="AL28" s="208">
        <v>0.0</v>
      </c>
      <c r="AM28" s="208">
        <v>0.0078</v>
      </c>
      <c r="AN28" s="208">
        <v>74533.0</v>
      </c>
      <c r="AO28" s="208">
        <v>0.7</v>
      </c>
      <c r="AP28" s="208">
        <v>0.0</v>
      </c>
      <c r="AQ28" s="208">
        <v>126.0</v>
      </c>
      <c r="AR28" s="208">
        <v>793.0</v>
      </c>
      <c r="AS28" s="208">
        <v>3857.52</v>
      </c>
      <c r="AT28" s="208">
        <v>3.0</v>
      </c>
      <c r="AU28" s="208">
        <v>31.0</v>
      </c>
      <c r="AV28" s="208">
        <v>47.0</v>
      </c>
      <c r="AW28" s="208">
        <v>82.0</v>
      </c>
      <c r="AX28" s="208">
        <v>43.0</v>
      </c>
      <c r="AY28" s="208" t="s">
        <v>1270</v>
      </c>
    </row>
    <row r="29">
      <c r="A29" s="208" t="s">
        <v>185</v>
      </c>
      <c r="B29" s="208" t="s">
        <v>196</v>
      </c>
      <c r="C29" s="208" t="s">
        <v>207</v>
      </c>
      <c r="D29" s="208" t="s">
        <v>1027</v>
      </c>
      <c r="E29" s="208" t="s">
        <v>200</v>
      </c>
      <c r="F29" s="534">
        <v>43469.0</v>
      </c>
      <c r="G29" s="208" t="s">
        <v>199</v>
      </c>
      <c r="H29" s="208">
        <v>0.0</v>
      </c>
      <c r="I29" s="208">
        <v>6000000.0</v>
      </c>
      <c r="J29" s="208">
        <v>5380624.82</v>
      </c>
      <c r="K29" s="208">
        <v>0.0</v>
      </c>
      <c r="L29" s="208">
        <v>75.0</v>
      </c>
      <c r="M29" s="208">
        <v>66.0</v>
      </c>
      <c r="N29" s="208">
        <v>1.0</v>
      </c>
      <c r="O29" s="208">
        <v>76.0</v>
      </c>
      <c r="P29" s="208">
        <v>10.0</v>
      </c>
      <c r="Q29" s="208">
        <v>5334358.82</v>
      </c>
      <c r="R29" s="208">
        <v>46266.0</v>
      </c>
      <c r="S29" s="208">
        <v>32.0</v>
      </c>
      <c r="T29" s="208">
        <v>1.0</v>
      </c>
      <c r="U29" s="208">
        <v>33.0</v>
      </c>
      <c r="V29" s="208">
        <v>0.0</v>
      </c>
      <c r="W29" s="208">
        <v>0.0</v>
      </c>
      <c r="X29" s="208">
        <v>0.0</v>
      </c>
      <c r="Y29" s="208">
        <v>0.0</v>
      </c>
      <c r="Z29" s="208">
        <v>2.0</v>
      </c>
      <c r="AA29" s="208">
        <v>44.0</v>
      </c>
      <c r="AB29" s="208">
        <v>0.0</v>
      </c>
      <c r="AC29" s="208">
        <v>0.0</v>
      </c>
      <c r="AD29" s="208">
        <v>0.0</v>
      </c>
      <c r="AE29" s="208">
        <v>0.0</v>
      </c>
      <c r="AF29" s="208">
        <v>305.0</v>
      </c>
      <c r="AG29" s="208">
        <v>349.0</v>
      </c>
      <c r="AH29" s="208">
        <v>73.0</v>
      </c>
      <c r="AI29" s="208">
        <v>73707.0</v>
      </c>
      <c r="AJ29" s="208">
        <v>5.0</v>
      </c>
      <c r="AK29" s="208">
        <v>39070.0</v>
      </c>
      <c r="AL29" s="208">
        <v>0.0</v>
      </c>
      <c r="AM29" s="208">
        <v>0.0073</v>
      </c>
      <c r="AN29" s="208">
        <v>163049.0</v>
      </c>
      <c r="AO29" s="208">
        <v>0.9</v>
      </c>
      <c r="AP29" s="208">
        <v>0.0</v>
      </c>
      <c r="AQ29" s="208">
        <v>76.0</v>
      </c>
      <c r="AR29" s="208">
        <v>710.0</v>
      </c>
      <c r="AS29" s="208">
        <v>1571.7</v>
      </c>
      <c r="AT29" s="208">
        <v>1.0</v>
      </c>
      <c r="AU29" s="208">
        <v>24.0</v>
      </c>
      <c r="AV29" s="208">
        <v>33.0</v>
      </c>
      <c r="AW29" s="208">
        <v>35.0</v>
      </c>
      <c r="AX29" s="208">
        <v>8.0</v>
      </c>
      <c r="AY29" s="208" t="s">
        <v>1270</v>
      </c>
    </row>
    <row r="30">
      <c r="A30" s="208" t="s">
        <v>185</v>
      </c>
      <c r="B30" s="208" t="s">
        <v>212</v>
      </c>
      <c r="C30" s="208" t="s">
        <v>210</v>
      </c>
      <c r="D30" s="208" t="s">
        <v>1031</v>
      </c>
      <c r="E30" s="208" t="s">
        <v>211</v>
      </c>
      <c r="F30" s="534">
        <v>43472.0</v>
      </c>
      <c r="G30" s="208" t="s">
        <v>489</v>
      </c>
      <c r="H30" s="208">
        <v>0.0</v>
      </c>
      <c r="I30" s="208">
        <v>1.875E7</v>
      </c>
      <c r="J30" s="208">
        <v>2.219504882E7</v>
      </c>
      <c r="K30" s="208">
        <v>0.0</v>
      </c>
      <c r="L30" s="208">
        <v>105.0</v>
      </c>
      <c r="M30" s="208">
        <v>88.0</v>
      </c>
      <c r="N30" s="208">
        <v>2.0</v>
      </c>
      <c r="O30" s="208">
        <v>107.0</v>
      </c>
      <c r="P30" s="208">
        <v>19.0</v>
      </c>
      <c r="Q30" s="208">
        <v>2.049122621E7</v>
      </c>
      <c r="R30" s="208">
        <v>1703822.61</v>
      </c>
      <c r="S30" s="208">
        <v>57.0</v>
      </c>
      <c r="T30" s="208">
        <v>2.0</v>
      </c>
      <c r="U30" s="208">
        <v>59.0</v>
      </c>
      <c r="V30" s="208">
        <v>0.0</v>
      </c>
      <c r="W30" s="208">
        <v>10.0</v>
      </c>
      <c r="X30" s="208">
        <v>16.0</v>
      </c>
      <c r="Y30" s="208">
        <v>42.0</v>
      </c>
      <c r="Z30" s="208">
        <v>1.0</v>
      </c>
      <c r="AA30" s="208">
        <v>18.0</v>
      </c>
      <c r="AB30" s="208">
        <v>0.0</v>
      </c>
      <c r="AC30" s="208">
        <v>0.0</v>
      </c>
      <c r="AD30" s="208">
        <v>0.0</v>
      </c>
      <c r="AE30" s="208">
        <v>0.0</v>
      </c>
      <c r="AF30" s="208">
        <v>329.0</v>
      </c>
      <c r="AG30" s="208">
        <v>363.0</v>
      </c>
      <c r="AH30" s="208">
        <v>73.0</v>
      </c>
      <c r="AI30" s="208">
        <v>304042.0</v>
      </c>
      <c r="AJ30" s="208">
        <v>5.0</v>
      </c>
      <c r="AK30" s="208">
        <v>32605.0</v>
      </c>
      <c r="AL30" s="208">
        <v>0.0</v>
      </c>
      <c r="AM30" s="208">
        <v>0.0015</v>
      </c>
      <c r="AN30" s="208">
        <v>376187.0</v>
      </c>
      <c r="AO30" s="208">
        <v>1.18</v>
      </c>
      <c r="AP30" s="208">
        <v>0.0</v>
      </c>
      <c r="AQ30" s="208">
        <v>203.0</v>
      </c>
      <c r="AR30" s="208">
        <v>767.0</v>
      </c>
      <c r="AS30" s="208">
        <v>3757.43</v>
      </c>
      <c r="AT30" s="208">
        <v>2.0</v>
      </c>
      <c r="AU30" s="208">
        <v>43.0</v>
      </c>
      <c r="AV30" s="208">
        <v>59.0</v>
      </c>
      <c r="AW30" s="208">
        <v>29.0</v>
      </c>
      <c r="AX30" s="208">
        <v>19.0</v>
      </c>
      <c r="AY30" s="208" t="s">
        <v>1270</v>
      </c>
    </row>
    <row r="31">
      <c r="A31" s="208" t="s">
        <v>185</v>
      </c>
      <c r="B31" s="208" t="s">
        <v>222</v>
      </c>
      <c r="C31" s="208" t="s">
        <v>223</v>
      </c>
      <c r="D31" s="208" t="s">
        <v>1057</v>
      </c>
      <c r="E31" s="208" t="s">
        <v>224</v>
      </c>
      <c r="F31" s="534">
        <v>43505.0</v>
      </c>
      <c r="G31" s="208" t="s">
        <v>185</v>
      </c>
      <c r="H31" s="208">
        <v>0.0</v>
      </c>
      <c r="I31" s="208">
        <v>4500000.0</v>
      </c>
      <c r="J31" s="208">
        <v>2971678.04</v>
      </c>
      <c r="K31" s="208">
        <v>0.0</v>
      </c>
      <c r="L31" s="208">
        <v>84.0</v>
      </c>
      <c r="M31" s="208">
        <v>63.0</v>
      </c>
      <c r="N31" s="208">
        <v>4.0</v>
      </c>
      <c r="O31" s="208">
        <v>88.0</v>
      </c>
      <c r="P31" s="208">
        <v>25.0</v>
      </c>
      <c r="Q31" s="208">
        <v>2683506.07</v>
      </c>
      <c r="R31" s="208">
        <v>288171.97</v>
      </c>
      <c r="S31" s="208">
        <v>32.0</v>
      </c>
      <c r="T31" s="208">
        <v>4.0</v>
      </c>
      <c r="U31" s="208">
        <v>36.0</v>
      </c>
      <c r="V31" s="208">
        <v>0.0</v>
      </c>
      <c r="W31" s="208">
        <v>7.0</v>
      </c>
      <c r="X31" s="208">
        <v>15.0</v>
      </c>
      <c r="Y31" s="208">
        <v>70.0</v>
      </c>
      <c r="Z31" s="208">
        <v>2.0</v>
      </c>
      <c r="AA31" s="208">
        <v>33.0</v>
      </c>
      <c r="AB31" s="208">
        <v>0.0</v>
      </c>
      <c r="AC31" s="208">
        <v>0.0</v>
      </c>
      <c r="AD31" s="208">
        <v>0.0</v>
      </c>
      <c r="AE31" s="208">
        <v>0.0</v>
      </c>
      <c r="AF31" s="208">
        <v>241.0</v>
      </c>
      <c r="AG31" s="208">
        <v>289.0</v>
      </c>
      <c r="AH31" s="208">
        <v>74.0</v>
      </c>
      <c r="AI31" s="208">
        <v>40158.0</v>
      </c>
      <c r="AJ31" s="208">
        <v>4.0</v>
      </c>
      <c r="AK31" s="208">
        <v>28050.0</v>
      </c>
      <c r="AL31" s="208">
        <v>0.0</v>
      </c>
      <c r="AM31" s="208">
        <v>0.0094</v>
      </c>
      <c r="AN31" s="208">
        <v>82547.0</v>
      </c>
      <c r="AO31" s="208">
        <v>0.66</v>
      </c>
      <c r="AP31" s="208">
        <v>0.0</v>
      </c>
      <c r="AQ31" s="208">
        <v>81.0</v>
      </c>
      <c r="AR31" s="208">
        <v>728.0</v>
      </c>
      <c r="AS31" s="208">
        <v>2247.55</v>
      </c>
      <c r="AT31" s="208">
        <v>4.0</v>
      </c>
      <c r="AU31" s="208">
        <v>36.0</v>
      </c>
      <c r="AV31" s="208">
        <v>36.0</v>
      </c>
      <c r="AW31" s="208">
        <v>28.0</v>
      </c>
      <c r="AX31" s="208">
        <v>24.0</v>
      </c>
      <c r="AY31" s="208" t="s">
        <v>1270</v>
      </c>
    </row>
    <row r="32">
      <c r="A32" s="208" t="s">
        <v>185</v>
      </c>
      <c r="B32" s="208" t="s">
        <v>85</v>
      </c>
      <c r="C32" s="208" t="s">
        <v>88</v>
      </c>
      <c r="D32" s="208" t="s">
        <v>1058</v>
      </c>
      <c r="E32" s="208" t="s">
        <v>1059</v>
      </c>
      <c r="F32" s="534">
        <v>43898.0</v>
      </c>
      <c r="H32" s="208">
        <v>0.0</v>
      </c>
      <c r="I32" s="208">
        <v>5874999.0</v>
      </c>
      <c r="J32" s="208">
        <v>4546957.8</v>
      </c>
      <c r="K32" s="208">
        <v>0.0</v>
      </c>
      <c r="L32" s="208">
        <v>112.0</v>
      </c>
      <c r="M32" s="208">
        <v>113.0</v>
      </c>
      <c r="N32" s="208">
        <v>3.0</v>
      </c>
      <c r="O32" s="208">
        <v>115.0</v>
      </c>
      <c r="P32" s="208">
        <v>2.0</v>
      </c>
      <c r="Q32" s="208">
        <v>4386257.7</v>
      </c>
      <c r="R32" s="208">
        <v>160700.1</v>
      </c>
      <c r="S32" s="208">
        <v>62.0</v>
      </c>
      <c r="T32" s="208">
        <v>3.0</v>
      </c>
      <c r="U32" s="208">
        <v>65.0</v>
      </c>
      <c r="V32" s="208">
        <v>0.0</v>
      </c>
      <c r="W32" s="208">
        <v>1.0</v>
      </c>
      <c r="X32" s="208">
        <v>1.0</v>
      </c>
      <c r="Y32" s="208">
        <v>3.0</v>
      </c>
      <c r="Z32" s="208">
        <v>1.0</v>
      </c>
      <c r="AA32" s="208">
        <v>2.0</v>
      </c>
      <c r="AB32" s="208">
        <v>0.0</v>
      </c>
      <c r="AC32" s="208">
        <v>0.0</v>
      </c>
      <c r="AD32" s="208">
        <v>0.0</v>
      </c>
      <c r="AE32" s="208">
        <v>0.0</v>
      </c>
      <c r="AF32" s="208">
        <v>532.0</v>
      </c>
      <c r="AG32" s="208">
        <v>535.0</v>
      </c>
      <c r="AH32" s="208">
        <v>69.0</v>
      </c>
      <c r="AI32" s="208">
        <v>65898.0</v>
      </c>
      <c r="AJ32" s="208">
        <v>8.0</v>
      </c>
      <c r="AK32" s="208">
        <v>32483.0</v>
      </c>
      <c r="AL32" s="208">
        <v>0.0</v>
      </c>
      <c r="AM32" s="208">
        <v>0.0071</v>
      </c>
      <c r="AN32" s="208">
        <v>69953.0</v>
      </c>
      <c r="AO32" s="208">
        <v>0.77</v>
      </c>
      <c r="AP32" s="208">
        <v>0.0</v>
      </c>
      <c r="AQ32" s="208">
        <v>179.0</v>
      </c>
      <c r="AR32" s="208">
        <v>796.0</v>
      </c>
      <c r="AS32" s="208">
        <v>5215.62</v>
      </c>
      <c r="AT32" s="208">
        <v>3.0</v>
      </c>
      <c r="AU32" s="208">
        <v>46.0</v>
      </c>
      <c r="AV32" s="208">
        <v>65.0</v>
      </c>
      <c r="AW32" s="208">
        <v>48.0</v>
      </c>
      <c r="AX32" s="208">
        <v>2.0</v>
      </c>
      <c r="AY32" s="208" t="s">
        <v>1270</v>
      </c>
    </row>
    <row r="33">
      <c r="A33" s="208" t="s">
        <v>185</v>
      </c>
      <c r="B33" s="208" t="s">
        <v>1228</v>
      </c>
      <c r="C33" s="208" t="s">
        <v>111</v>
      </c>
      <c r="D33" s="208" t="s">
        <v>1084</v>
      </c>
      <c r="E33" s="208" t="s">
        <v>125</v>
      </c>
      <c r="F33" s="534">
        <v>45028.0</v>
      </c>
      <c r="G33" s="208" t="s">
        <v>185</v>
      </c>
      <c r="H33" s="208">
        <v>0.0</v>
      </c>
      <c r="I33" s="208">
        <v>0.0</v>
      </c>
      <c r="J33" s="208">
        <v>0.0</v>
      </c>
      <c r="K33" s="208">
        <v>0.0</v>
      </c>
      <c r="L33" s="208">
        <v>340.0</v>
      </c>
      <c r="M33" s="208">
        <v>56.0</v>
      </c>
      <c r="N33" s="208">
        <v>7.0</v>
      </c>
      <c r="O33" s="208">
        <v>347.0</v>
      </c>
      <c r="P33" s="208">
        <v>291.0</v>
      </c>
      <c r="Q33" s="208">
        <v>0.0</v>
      </c>
      <c r="R33" s="208">
        <v>0.0</v>
      </c>
      <c r="S33" s="208">
        <v>0.0</v>
      </c>
      <c r="T33" s="208">
        <v>0.0</v>
      </c>
      <c r="U33" s="208">
        <v>0.0</v>
      </c>
      <c r="V33" s="208">
        <v>0.0</v>
      </c>
      <c r="W33" s="208">
        <v>16.0</v>
      </c>
      <c r="X33" s="208">
        <v>23.0</v>
      </c>
      <c r="Y33" s="208">
        <v>180.0</v>
      </c>
      <c r="Z33" s="208">
        <v>2.0</v>
      </c>
      <c r="AA33" s="208">
        <v>10.0</v>
      </c>
      <c r="AB33" s="208">
        <v>0.0</v>
      </c>
      <c r="AC33" s="208">
        <v>0.0</v>
      </c>
      <c r="AD33" s="208">
        <v>0.0</v>
      </c>
      <c r="AE33" s="208">
        <v>0.0</v>
      </c>
      <c r="AF33" s="208">
        <v>88.0</v>
      </c>
      <c r="AG33" s="208">
        <v>121.0</v>
      </c>
      <c r="AH33" s="208">
        <v>49.0</v>
      </c>
      <c r="AI33" s="208">
        <v>0.0</v>
      </c>
      <c r="AJ33" s="208">
        <v>2.0</v>
      </c>
      <c r="AL33" s="208">
        <v>0.0</v>
      </c>
      <c r="AM33" s="208">
        <v>0.0</v>
      </c>
      <c r="AN33" s="208">
        <v>0.0</v>
      </c>
      <c r="AO33" s="208">
        <v>0.0</v>
      </c>
      <c r="AP33" s="208">
        <v>0.0</v>
      </c>
      <c r="AQ33" s="208">
        <v>0.0</v>
      </c>
      <c r="AR33" s="208">
        <v>559.0</v>
      </c>
      <c r="AS33" s="208">
        <v>1592.09</v>
      </c>
      <c r="AT33" s="208">
        <v>0.0</v>
      </c>
      <c r="AU33" s="208">
        <v>28.0</v>
      </c>
      <c r="AV33" s="208">
        <v>0.0</v>
      </c>
      <c r="AW33" s="208">
        <v>56.0</v>
      </c>
      <c r="AX33" s="208">
        <v>291.0</v>
      </c>
      <c r="AY33" s="534">
        <v>46298.0</v>
      </c>
    </row>
    <row r="34">
      <c r="A34" s="208" t="s">
        <v>185</v>
      </c>
      <c r="B34" s="208" t="s">
        <v>212</v>
      </c>
      <c r="C34" s="208" t="s">
        <v>225</v>
      </c>
      <c r="D34" s="208" t="s">
        <v>1031</v>
      </c>
      <c r="E34" s="208" t="s">
        <v>226</v>
      </c>
      <c r="F34" s="534">
        <v>43842.0</v>
      </c>
      <c r="G34" s="208" t="s">
        <v>218</v>
      </c>
      <c r="H34" s="208">
        <v>0.0</v>
      </c>
      <c r="I34" s="208">
        <v>4500000.0</v>
      </c>
      <c r="J34" s="208">
        <v>2058715.45</v>
      </c>
      <c r="K34" s="208">
        <v>0.0</v>
      </c>
      <c r="L34" s="208">
        <v>46.0</v>
      </c>
      <c r="M34" s="208">
        <v>47.0</v>
      </c>
      <c r="N34" s="208">
        <v>1.0</v>
      </c>
      <c r="O34" s="208">
        <v>47.0</v>
      </c>
      <c r="P34" s="208">
        <v>0.0</v>
      </c>
      <c r="Q34" s="208">
        <v>1915135.86</v>
      </c>
      <c r="R34" s="208">
        <v>143579.59</v>
      </c>
      <c r="S34" s="208">
        <v>14.0</v>
      </c>
      <c r="T34" s="208">
        <v>1.0</v>
      </c>
      <c r="U34" s="208">
        <v>15.0</v>
      </c>
      <c r="V34" s="208">
        <v>0.0</v>
      </c>
      <c r="W34" s="208">
        <v>3.0</v>
      </c>
      <c r="X34" s="208">
        <v>4.0</v>
      </c>
      <c r="Y34" s="208">
        <v>31.0</v>
      </c>
      <c r="Z34" s="208">
        <v>2.0</v>
      </c>
      <c r="AA34" s="208">
        <v>13.0</v>
      </c>
      <c r="AB34" s="208">
        <v>0.0</v>
      </c>
      <c r="AC34" s="208">
        <v>0.0</v>
      </c>
      <c r="AD34" s="208">
        <v>0.0</v>
      </c>
      <c r="AE34" s="208">
        <v>0.0</v>
      </c>
      <c r="AF34" s="208">
        <v>219.0</v>
      </c>
      <c r="AG34" s="208">
        <v>236.0</v>
      </c>
      <c r="AH34" s="208">
        <v>76.0</v>
      </c>
      <c r="AI34" s="208">
        <v>27088.0</v>
      </c>
      <c r="AJ34" s="208">
        <v>3.0</v>
      </c>
      <c r="AK34" s="208">
        <v>27200.0</v>
      </c>
      <c r="AL34" s="208">
        <v>0.0</v>
      </c>
      <c r="AM34" s="208">
        <v>0.0132</v>
      </c>
      <c r="AN34" s="208">
        <v>137248.0</v>
      </c>
      <c r="AO34" s="208">
        <v>0.46</v>
      </c>
      <c r="AP34" s="208">
        <v>0.0</v>
      </c>
      <c r="AQ34" s="208">
        <v>18.0</v>
      </c>
      <c r="AR34" s="208">
        <v>604.0</v>
      </c>
      <c r="AS34" s="208">
        <v>1598.05</v>
      </c>
      <c r="AT34" s="208">
        <v>1.0</v>
      </c>
      <c r="AU34" s="208">
        <v>34.0</v>
      </c>
      <c r="AV34" s="208">
        <v>15.0</v>
      </c>
      <c r="AW34" s="208">
        <v>32.0</v>
      </c>
      <c r="AX34" s="208">
        <v>0.0</v>
      </c>
      <c r="AY34" s="208" t="s">
        <v>1270</v>
      </c>
    </row>
    <row r="35">
      <c r="A35" s="208" t="s">
        <v>126</v>
      </c>
      <c r="B35" s="208" t="s">
        <v>140</v>
      </c>
      <c r="C35" s="208" t="s">
        <v>591</v>
      </c>
      <c r="D35" s="208" t="s">
        <v>1061</v>
      </c>
      <c r="E35" s="208" t="s">
        <v>174</v>
      </c>
      <c r="F35" s="534">
        <v>44501.0</v>
      </c>
      <c r="G35" s="208" t="s">
        <v>580</v>
      </c>
      <c r="H35" s="208">
        <v>0.0</v>
      </c>
      <c r="I35" s="208">
        <v>0.0</v>
      </c>
      <c r="J35" s="208">
        <v>0.0</v>
      </c>
      <c r="K35" s="208">
        <v>0.0</v>
      </c>
      <c r="L35" s="208">
        <v>70.0</v>
      </c>
      <c r="M35" s="208">
        <v>0.0</v>
      </c>
      <c r="N35" s="208">
        <v>2.0</v>
      </c>
      <c r="O35" s="208">
        <v>72.0</v>
      </c>
      <c r="P35" s="208">
        <v>72.0</v>
      </c>
      <c r="Q35" s="208">
        <v>0.0</v>
      </c>
      <c r="R35" s="208">
        <v>0.0</v>
      </c>
      <c r="S35" s="208">
        <v>0.0</v>
      </c>
      <c r="T35" s="208">
        <v>0.0</v>
      </c>
      <c r="U35" s="208">
        <v>0.0</v>
      </c>
      <c r="V35" s="208">
        <v>0.0</v>
      </c>
      <c r="W35" s="208">
        <v>0.0</v>
      </c>
      <c r="X35" s="208">
        <v>0.0</v>
      </c>
      <c r="Y35" s="208">
        <v>72.0</v>
      </c>
      <c r="Z35" s="208">
        <v>0.0</v>
      </c>
      <c r="AA35" s="208">
        <v>0.0</v>
      </c>
      <c r="AB35" s="208">
        <v>0.0</v>
      </c>
      <c r="AC35" s="208">
        <v>0.0</v>
      </c>
      <c r="AD35" s="208">
        <v>0.0</v>
      </c>
      <c r="AE35" s="208">
        <v>0.0</v>
      </c>
      <c r="AF35" s="208">
        <v>0.0</v>
      </c>
      <c r="AG35" s="208">
        <v>0.0</v>
      </c>
      <c r="AH35" s="208">
        <v>0.0</v>
      </c>
      <c r="AI35" s="208">
        <v>0.0</v>
      </c>
      <c r="AJ35" s="208">
        <v>0.0</v>
      </c>
      <c r="AK35" s="208">
        <v>33839.0</v>
      </c>
      <c r="AL35" s="208">
        <v>0.0</v>
      </c>
      <c r="AM35" s="208">
        <v>0.0</v>
      </c>
      <c r="AN35" s="208">
        <v>0.0</v>
      </c>
      <c r="AO35" s="208">
        <v>0.0</v>
      </c>
      <c r="AP35" s="208">
        <v>0.0</v>
      </c>
      <c r="AQ35" s="208">
        <v>0.0</v>
      </c>
      <c r="AR35" s="208">
        <v>0.0</v>
      </c>
      <c r="AS35" s="208">
        <v>0.0</v>
      </c>
      <c r="AT35" s="208">
        <v>0.0</v>
      </c>
      <c r="AU35" s="208">
        <v>0.0</v>
      </c>
      <c r="AV35" s="208">
        <v>0.0</v>
      </c>
      <c r="AW35" s="208">
        <v>0.0</v>
      </c>
      <c r="AX35" s="208">
        <v>72.0</v>
      </c>
      <c r="AY35" s="208" t="s">
        <v>1282</v>
      </c>
    </row>
    <row r="36">
      <c r="A36" s="208" t="s">
        <v>97</v>
      </c>
      <c r="B36" s="208" t="s">
        <v>101</v>
      </c>
      <c r="C36" s="208" t="s">
        <v>346</v>
      </c>
      <c r="D36" s="208" t="s">
        <v>1062</v>
      </c>
      <c r="E36" s="208" t="s">
        <v>347</v>
      </c>
      <c r="F36" s="534">
        <v>45298.0</v>
      </c>
      <c r="G36" s="208" t="s">
        <v>97</v>
      </c>
      <c r="H36" s="208">
        <v>0.0</v>
      </c>
      <c r="I36" s="208">
        <v>4785000.0</v>
      </c>
      <c r="J36" s="208">
        <v>2011821.0</v>
      </c>
      <c r="K36" s="208">
        <v>0.0</v>
      </c>
      <c r="L36" s="208">
        <v>82.0</v>
      </c>
      <c r="M36" s="208">
        <v>38.0</v>
      </c>
      <c r="N36" s="208">
        <v>0.0</v>
      </c>
      <c r="O36" s="208">
        <v>82.0</v>
      </c>
      <c r="P36" s="208">
        <v>44.0</v>
      </c>
      <c r="Q36" s="208">
        <v>2011821.0</v>
      </c>
      <c r="R36" s="208">
        <v>0.0</v>
      </c>
      <c r="S36" s="208">
        <v>21.0</v>
      </c>
      <c r="T36" s="208">
        <v>0.0</v>
      </c>
      <c r="U36" s="208">
        <v>21.0</v>
      </c>
      <c r="V36" s="208">
        <v>0.0</v>
      </c>
      <c r="W36" s="208">
        <v>0.0</v>
      </c>
      <c r="X36" s="208">
        <v>0.0</v>
      </c>
      <c r="Y36" s="208">
        <v>24.0</v>
      </c>
      <c r="Z36" s="208">
        <v>2.0</v>
      </c>
      <c r="AA36" s="208">
        <v>2.0</v>
      </c>
      <c r="AB36" s="208">
        <v>0.0</v>
      </c>
      <c r="AC36" s="208">
        <v>0.0</v>
      </c>
      <c r="AD36" s="208">
        <v>1.0</v>
      </c>
      <c r="AE36" s="208">
        <v>1.0</v>
      </c>
      <c r="AF36" s="208">
        <v>276.0</v>
      </c>
      <c r="AG36" s="208">
        <v>279.0</v>
      </c>
      <c r="AH36" s="208">
        <v>51.0</v>
      </c>
      <c r="AI36" s="208">
        <v>39447.0</v>
      </c>
      <c r="AJ36" s="208">
        <v>5.0</v>
      </c>
      <c r="AL36" s="208">
        <v>0.0</v>
      </c>
      <c r="AM36" s="208">
        <v>0.0</v>
      </c>
      <c r="AN36" s="208">
        <v>95801.0</v>
      </c>
      <c r="AO36" s="208">
        <v>0.42</v>
      </c>
      <c r="AP36" s="208">
        <v>0.0</v>
      </c>
      <c r="AQ36" s="208">
        <v>40.0</v>
      </c>
      <c r="AR36" s="208">
        <v>393.0</v>
      </c>
      <c r="AS36" s="208">
        <v>1612.89</v>
      </c>
      <c r="AT36" s="208">
        <v>0.0</v>
      </c>
      <c r="AU36" s="208">
        <v>42.0</v>
      </c>
      <c r="AV36" s="208">
        <v>21.0</v>
      </c>
      <c r="AW36" s="208">
        <v>17.0</v>
      </c>
      <c r="AX36" s="208">
        <v>44.0</v>
      </c>
      <c r="AY36" s="208" t="s">
        <v>1283</v>
      </c>
    </row>
    <row r="37">
      <c r="A37" s="208" t="s">
        <v>97</v>
      </c>
      <c r="B37" s="208" t="s">
        <v>101</v>
      </c>
      <c r="C37" s="208" t="s">
        <v>597</v>
      </c>
      <c r="D37" s="208" t="s">
        <v>1062</v>
      </c>
      <c r="E37" s="208" t="s">
        <v>1063</v>
      </c>
      <c r="F37" s="208" t="s">
        <v>1284</v>
      </c>
      <c r="G37" s="208" t="s">
        <v>97</v>
      </c>
      <c r="H37" s="208">
        <v>0.0</v>
      </c>
      <c r="I37" s="208">
        <v>0.0</v>
      </c>
      <c r="J37" s="208">
        <v>0.0</v>
      </c>
      <c r="K37" s="208">
        <v>0.0</v>
      </c>
      <c r="L37" s="208">
        <v>146.0</v>
      </c>
      <c r="M37" s="208">
        <v>0.0</v>
      </c>
      <c r="N37" s="208">
        <v>0.0</v>
      </c>
      <c r="O37" s="208">
        <v>146.0</v>
      </c>
      <c r="P37" s="208">
        <v>146.0</v>
      </c>
      <c r="Q37" s="208">
        <v>0.0</v>
      </c>
      <c r="R37" s="208">
        <v>0.0</v>
      </c>
      <c r="S37" s="208">
        <v>0.0</v>
      </c>
      <c r="T37" s="208">
        <v>0.0</v>
      </c>
      <c r="U37" s="208">
        <v>0.0</v>
      </c>
      <c r="V37" s="208">
        <v>0.0</v>
      </c>
      <c r="W37" s="208">
        <v>0.0</v>
      </c>
      <c r="X37" s="208">
        <v>0.0</v>
      </c>
      <c r="Y37" s="208">
        <v>44.0</v>
      </c>
      <c r="Z37" s="208">
        <v>0.0</v>
      </c>
      <c r="AA37" s="208">
        <v>0.0</v>
      </c>
      <c r="AB37" s="208">
        <v>0.0</v>
      </c>
      <c r="AC37" s="208">
        <v>0.0</v>
      </c>
      <c r="AD37" s="208">
        <v>0.0</v>
      </c>
      <c r="AE37" s="208">
        <v>0.0</v>
      </c>
      <c r="AF37" s="208">
        <v>0.0</v>
      </c>
      <c r="AG37" s="208">
        <v>0.0</v>
      </c>
      <c r="AH37" s="208">
        <v>0.0</v>
      </c>
      <c r="AI37" s="208">
        <v>0.0</v>
      </c>
      <c r="AJ37" s="208">
        <v>0.0</v>
      </c>
      <c r="AK37" s="208">
        <v>35543.0</v>
      </c>
      <c r="AL37" s="208">
        <v>0.0</v>
      </c>
      <c r="AM37" s="208">
        <v>0.0</v>
      </c>
      <c r="AN37" s="208">
        <v>0.0</v>
      </c>
      <c r="AO37" s="208">
        <v>0.0</v>
      </c>
      <c r="AP37" s="208">
        <v>0.0</v>
      </c>
      <c r="AQ37" s="208">
        <v>0.0</v>
      </c>
      <c r="AR37" s="208">
        <v>0.0</v>
      </c>
      <c r="AS37" s="208">
        <v>0.0</v>
      </c>
      <c r="AT37" s="208">
        <v>0.0</v>
      </c>
      <c r="AU37" s="208">
        <v>0.0</v>
      </c>
      <c r="AV37" s="208">
        <v>0.0</v>
      </c>
      <c r="AW37" s="208">
        <v>0.0</v>
      </c>
      <c r="AX37" s="208">
        <v>146.0</v>
      </c>
      <c r="AY37" s="208" t="s">
        <v>1285</v>
      </c>
    </row>
    <row r="38">
      <c r="A38" s="208" t="s">
        <v>185</v>
      </c>
      <c r="B38" s="208" t="s">
        <v>215</v>
      </c>
      <c r="C38" s="208" t="s">
        <v>213</v>
      </c>
      <c r="D38" s="208" t="s">
        <v>1064</v>
      </c>
      <c r="E38" s="208" t="s">
        <v>214</v>
      </c>
      <c r="F38" s="534">
        <v>44198.0</v>
      </c>
      <c r="G38" s="208" t="s">
        <v>185</v>
      </c>
      <c r="H38" s="208">
        <v>0.0</v>
      </c>
      <c r="I38" s="208">
        <v>1.05E7</v>
      </c>
      <c r="J38" s="208">
        <v>4112678.54</v>
      </c>
      <c r="K38" s="208">
        <v>0.0</v>
      </c>
      <c r="L38" s="208">
        <v>81.0</v>
      </c>
      <c r="M38" s="208">
        <v>59.0</v>
      </c>
      <c r="N38" s="208">
        <v>0.0</v>
      </c>
      <c r="O38" s="208">
        <v>81.0</v>
      </c>
      <c r="P38" s="208">
        <v>22.0</v>
      </c>
      <c r="Q38" s="208">
        <v>4112678.54</v>
      </c>
      <c r="R38" s="208">
        <v>0.0</v>
      </c>
      <c r="S38" s="208">
        <v>38.0</v>
      </c>
      <c r="T38" s="208">
        <v>0.0</v>
      </c>
      <c r="U38" s="208">
        <v>38.0</v>
      </c>
      <c r="V38" s="208">
        <v>0.0</v>
      </c>
      <c r="W38" s="208">
        <v>21.0</v>
      </c>
      <c r="X38" s="208">
        <v>25.0</v>
      </c>
      <c r="Y38" s="208">
        <v>129.0</v>
      </c>
      <c r="Z38" s="208">
        <v>1.0</v>
      </c>
      <c r="AA38" s="208">
        <v>59.0</v>
      </c>
      <c r="AB38" s="208">
        <v>0.0</v>
      </c>
      <c r="AC38" s="208">
        <v>0.0</v>
      </c>
      <c r="AD38" s="208">
        <v>0.0</v>
      </c>
      <c r="AE38" s="208">
        <v>0.0</v>
      </c>
      <c r="AF38" s="208">
        <v>157.0</v>
      </c>
      <c r="AG38" s="208">
        <v>241.0</v>
      </c>
      <c r="AH38" s="208">
        <v>74.0</v>
      </c>
      <c r="AI38" s="208">
        <v>55577.0</v>
      </c>
      <c r="AJ38" s="208">
        <v>3.0</v>
      </c>
      <c r="AK38" s="208">
        <v>40500.0</v>
      </c>
      <c r="AL38" s="208">
        <v>0.0</v>
      </c>
      <c r="AM38" s="208">
        <v>0.0098</v>
      </c>
      <c r="AN38" s="208">
        <v>108228.0</v>
      </c>
      <c r="AO38" s="208">
        <v>0.39</v>
      </c>
      <c r="AP38" s="208">
        <v>0.0</v>
      </c>
      <c r="AQ38" s="208">
        <v>63.0</v>
      </c>
      <c r="AR38" s="208">
        <v>742.0</v>
      </c>
      <c r="AS38" s="208">
        <v>1823.62</v>
      </c>
      <c r="AT38" s="208">
        <v>0.0</v>
      </c>
      <c r="AU38" s="208">
        <v>31.0</v>
      </c>
      <c r="AV38" s="208">
        <v>38.0</v>
      </c>
      <c r="AW38" s="208">
        <v>26.0</v>
      </c>
      <c r="AX38" s="208">
        <v>17.0</v>
      </c>
      <c r="AY38" s="208" t="s">
        <v>1270</v>
      </c>
    </row>
    <row r="39">
      <c r="A39" s="208" t="s">
        <v>185</v>
      </c>
      <c r="B39" s="208" t="s">
        <v>222</v>
      </c>
      <c r="C39" s="208" t="s">
        <v>227</v>
      </c>
      <c r="D39" s="208" t="s">
        <v>1057</v>
      </c>
      <c r="E39" s="208" t="s">
        <v>228</v>
      </c>
      <c r="F39" s="534">
        <v>44631.0</v>
      </c>
      <c r="G39" s="208" t="s">
        <v>185</v>
      </c>
      <c r="H39" s="208">
        <v>0.0</v>
      </c>
      <c r="I39" s="208">
        <v>4500000.0</v>
      </c>
      <c r="J39" s="208">
        <v>2381588.51</v>
      </c>
      <c r="K39" s="208">
        <v>0.0</v>
      </c>
      <c r="L39" s="208">
        <v>75.0</v>
      </c>
      <c r="M39" s="208">
        <v>53.0</v>
      </c>
      <c r="N39" s="208">
        <v>4.0</v>
      </c>
      <c r="O39" s="208">
        <v>79.0</v>
      </c>
      <c r="P39" s="208">
        <v>26.0</v>
      </c>
      <c r="Q39" s="208">
        <v>2171646.51</v>
      </c>
      <c r="R39" s="208">
        <v>209942.0</v>
      </c>
      <c r="S39" s="208">
        <v>25.0</v>
      </c>
      <c r="T39" s="208">
        <v>4.0</v>
      </c>
      <c r="U39" s="208">
        <v>29.0</v>
      </c>
      <c r="V39" s="208">
        <v>0.0</v>
      </c>
      <c r="W39" s="208">
        <v>12.0</v>
      </c>
      <c r="X39" s="208">
        <v>16.0</v>
      </c>
      <c r="Y39" s="208">
        <v>40.0</v>
      </c>
      <c r="Z39" s="208">
        <v>1.0</v>
      </c>
      <c r="AA39" s="208">
        <v>14.0</v>
      </c>
      <c r="AB39" s="208">
        <v>0.0</v>
      </c>
      <c r="AC39" s="208">
        <v>0.0</v>
      </c>
      <c r="AD39" s="208">
        <v>0.0</v>
      </c>
      <c r="AE39" s="208">
        <v>0.0</v>
      </c>
      <c r="AF39" s="208">
        <v>201.0</v>
      </c>
      <c r="AG39" s="208">
        <v>231.0</v>
      </c>
      <c r="AH39" s="208">
        <v>71.0</v>
      </c>
      <c r="AI39" s="208">
        <v>33544.0</v>
      </c>
      <c r="AJ39" s="208">
        <v>3.0</v>
      </c>
      <c r="AK39" s="208">
        <v>31625.0</v>
      </c>
      <c r="AL39" s="208">
        <v>0.0</v>
      </c>
      <c r="AM39" s="208">
        <v>0.0133</v>
      </c>
      <c r="AN39" s="208">
        <v>82124.0</v>
      </c>
      <c r="AO39" s="208">
        <v>0.53</v>
      </c>
      <c r="AP39" s="208">
        <v>0.0</v>
      </c>
      <c r="AQ39" s="208">
        <v>45.0</v>
      </c>
      <c r="AR39" s="208">
        <v>615.0</v>
      </c>
      <c r="AS39" s="208">
        <v>1005.82</v>
      </c>
      <c r="AT39" s="208">
        <v>4.0</v>
      </c>
      <c r="AU39" s="208">
        <v>19.0</v>
      </c>
      <c r="AV39" s="208">
        <v>29.0</v>
      </c>
      <c r="AW39" s="208">
        <v>29.0</v>
      </c>
      <c r="AX39" s="208">
        <v>21.0</v>
      </c>
      <c r="AY39" s="208" t="s">
        <v>1270</v>
      </c>
    </row>
    <row r="40">
      <c r="A40" s="208" t="s">
        <v>126</v>
      </c>
      <c r="B40" s="208" t="s">
        <v>140</v>
      </c>
      <c r="C40" s="208" t="s">
        <v>604</v>
      </c>
      <c r="D40" s="208" t="s">
        <v>1061</v>
      </c>
      <c r="E40" s="208" t="s">
        <v>139</v>
      </c>
      <c r="F40" s="208" t="s">
        <v>1286</v>
      </c>
      <c r="G40" s="208" t="s">
        <v>580</v>
      </c>
      <c r="H40" s="208">
        <v>0.0</v>
      </c>
      <c r="I40" s="208">
        <v>6999999.0</v>
      </c>
      <c r="J40" s="208">
        <v>4113672.93</v>
      </c>
      <c r="K40" s="208">
        <v>0.0</v>
      </c>
      <c r="L40" s="208">
        <v>118.0</v>
      </c>
      <c r="M40" s="208">
        <v>99.0</v>
      </c>
      <c r="N40" s="208">
        <v>9.0</v>
      </c>
      <c r="O40" s="208">
        <v>127.0</v>
      </c>
      <c r="P40" s="208">
        <v>28.0</v>
      </c>
      <c r="Q40" s="208">
        <v>3702784.7</v>
      </c>
      <c r="R40" s="208">
        <v>410888.23</v>
      </c>
      <c r="S40" s="208">
        <v>39.0</v>
      </c>
      <c r="T40" s="208">
        <v>9.0</v>
      </c>
      <c r="U40" s="208">
        <v>48.0</v>
      </c>
      <c r="V40" s="208">
        <v>0.0</v>
      </c>
      <c r="W40" s="208">
        <v>8.0</v>
      </c>
      <c r="X40" s="208">
        <v>11.0</v>
      </c>
      <c r="Y40" s="208">
        <v>132.0</v>
      </c>
      <c r="Z40" s="208">
        <v>1.0</v>
      </c>
      <c r="AA40" s="208">
        <v>6.0</v>
      </c>
      <c r="AB40" s="208">
        <v>0.0</v>
      </c>
      <c r="AC40" s="208">
        <v>0.0</v>
      </c>
      <c r="AD40" s="208">
        <v>0.0</v>
      </c>
      <c r="AE40" s="208">
        <v>0.0</v>
      </c>
      <c r="AF40" s="208">
        <v>285.0</v>
      </c>
      <c r="AG40" s="208">
        <v>302.0</v>
      </c>
      <c r="AH40" s="208">
        <v>74.0</v>
      </c>
      <c r="AI40" s="208">
        <v>55590.0</v>
      </c>
      <c r="AJ40" s="208">
        <v>4.0</v>
      </c>
      <c r="AK40" s="208">
        <v>31852.0</v>
      </c>
      <c r="AL40" s="208">
        <v>0.0</v>
      </c>
      <c r="AM40" s="208">
        <v>0.0077</v>
      </c>
      <c r="AN40" s="208">
        <v>85702.0</v>
      </c>
      <c r="AO40" s="208">
        <v>0.59</v>
      </c>
      <c r="AP40" s="208">
        <v>0.0</v>
      </c>
      <c r="AQ40" s="208">
        <v>102.0</v>
      </c>
      <c r="AR40" s="208">
        <v>727.0</v>
      </c>
      <c r="AS40" s="208">
        <v>3976.47</v>
      </c>
      <c r="AT40" s="208">
        <v>9.0</v>
      </c>
      <c r="AU40" s="208">
        <v>40.0</v>
      </c>
      <c r="AV40" s="208">
        <v>48.0</v>
      </c>
      <c r="AW40" s="208">
        <v>54.0</v>
      </c>
      <c r="AX40" s="208">
        <v>25.0</v>
      </c>
      <c r="AY40" s="208" t="s">
        <v>1270</v>
      </c>
    </row>
    <row r="41">
      <c r="A41" s="208" t="s">
        <v>126</v>
      </c>
      <c r="B41" s="208" t="s">
        <v>130</v>
      </c>
      <c r="C41" s="208" t="s">
        <v>141</v>
      </c>
      <c r="D41" s="208" t="s">
        <v>130</v>
      </c>
      <c r="E41" s="208" t="s">
        <v>142</v>
      </c>
      <c r="F41" s="208" t="s">
        <v>1287</v>
      </c>
      <c r="G41" s="208" t="s">
        <v>580</v>
      </c>
      <c r="H41" s="208">
        <v>0.0</v>
      </c>
      <c r="I41" s="208">
        <v>9999999.0</v>
      </c>
      <c r="J41" s="208">
        <v>7231214.05</v>
      </c>
      <c r="K41" s="208">
        <v>0.0</v>
      </c>
      <c r="L41" s="208">
        <v>122.0</v>
      </c>
      <c r="M41" s="208">
        <v>56.0</v>
      </c>
      <c r="N41" s="208">
        <v>2.0</v>
      </c>
      <c r="O41" s="208">
        <v>124.0</v>
      </c>
      <c r="P41" s="208">
        <v>68.0</v>
      </c>
      <c r="Q41" s="208">
        <v>7140792.26</v>
      </c>
      <c r="R41" s="208">
        <v>90421.79</v>
      </c>
      <c r="S41" s="208">
        <v>52.0</v>
      </c>
      <c r="T41" s="208">
        <v>2.0</v>
      </c>
      <c r="U41" s="208">
        <v>54.0</v>
      </c>
      <c r="V41" s="208">
        <v>0.0</v>
      </c>
      <c r="W41" s="208">
        <v>0.0</v>
      </c>
      <c r="X41" s="208">
        <v>0.0</v>
      </c>
      <c r="Y41" s="208">
        <v>46.0</v>
      </c>
      <c r="Z41" s="208">
        <v>3.0</v>
      </c>
      <c r="AA41" s="208">
        <v>60.0</v>
      </c>
      <c r="AB41" s="208">
        <v>0.0</v>
      </c>
      <c r="AC41" s="208">
        <v>0.0</v>
      </c>
      <c r="AD41" s="208">
        <v>1.0</v>
      </c>
      <c r="AE41" s="208">
        <v>2.0</v>
      </c>
      <c r="AF41" s="208">
        <v>227.0</v>
      </c>
      <c r="AG41" s="208">
        <v>289.0</v>
      </c>
      <c r="AH41" s="208">
        <v>69.0</v>
      </c>
      <c r="AI41" s="208">
        <v>104800.0</v>
      </c>
      <c r="AJ41" s="208">
        <v>4.0</v>
      </c>
      <c r="AK41" s="208">
        <v>37917.0</v>
      </c>
      <c r="AL41" s="208">
        <v>0.0</v>
      </c>
      <c r="AM41" s="208">
        <v>0.0052</v>
      </c>
      <c r="AN41" s="208">
        <v>133911.0</v>
      </c>
      <c r="AO41" s="208">
        <v>0.72</v>
      </c>
      <c r="AP41" s="208">
        <v>0.0</v>
      </c>
      <c r="AQ41" s="208">
        <v>224.0</v>
      </c>
      <c r="AR41" s="208">
        <v>723.0</v>
      </c>
      <c r="AS41" s="208">
        <v>2401.63</v>
      </c>
      <c r="AT41" s="208">
        <v>2.0</v>
      </c>
      <c r="AU41" s="208">
        <v>43.0</v>
      </c>
      <c r="AV41" s="208">
        <v>54.0</v>
      </c>
      <c r="AW41" s="208">
        <v>19.0</v>
      </c>
      <c r="AX41" s="208">
        <v>51.0</v>
      </c>
      <c r="AY41" s="208" t="s">
        <v>1270</v>
      </c>
    </row>
    <row r="42">
      <c r="A42" s="208" t="s">
        <v>185</v>
      </c>
      <c r="B42" s="208" t="s">
        <v>212</v>
      </c>
      <c r="C42" s="208" t="s">
        <v>218</v>
      </c>
      <c r="D42" s="208" t="s">
        <v>1031</v>
      </c>
      <c r="E42" s="208" t="s">
        <v>219</v>
      </c>
      <c r="F42" s="208" t="s">
        <v>1288</v>
      </c>
      <c r="G42" s="208" t="s">
        <v>185</v>
      </c>
      <c r="H42" s="208">
        <v>0.0</v>
      </c>
      <c r="I42" s="208">
        <v>7500000.0</v>
      </c>
      <c r="J42" s="208">
        <v>1.06345614E7</v>
      </c>
      <c r="K42" s="208">
        <v>0.0</v>
      </c>
      <c r="L42" s="208">
        <v>267.0</v>
      </c>
      <c r="M42" s="208">
        <v>123.0</v>
      </c>
      <c r="N42" s="208">
        <v>1.0</v>
      </c>
      <c r="O42" s="208">
        <v>268.0</v>
      </c>
      <c r="P42" s="208">
        <v>145.0</v>
      </c>
      <c r="Q42" s="208">
        <v>1.056770313E7</v>
      </c>
      <c r="R42" s="208">
        <v>66858.27</v>
      </c>
      <c r="S42" s="208">
        <v>73.0</v>
      </c>
      <c r="T42" s="208">
        <v>1.0</v>
      </c>
      <c r="U42" s="208">
        <v>74.0</v>
      </c>
      <c r="V42" s="208">
        <v>0.0</v>
      </c>
      <c r="W42" s="208">
        <v>26.0</v>
      </c>
      <c r="X42" s="208">
        <v>28.0</v>
      </c>
      <c r="Y42" s="208">
        <v>512.0</v>
      </c>
      <c r="Z42" s="208">
        <v>3.0</v>
      </c>
      <c r="AA42" s="208">
        <v>27.0</v>
      </c>
      <c r="AB42" s="208">
        <v>0.0</v>
      </c>
      <c r="AC42" s="208">
        <v>0.0</v>
      </c>
      <c r="AD42" s="208">
        <v>0.0</v>
      </c>
      <c r="AE42" s="208">
        <v>0.0</v>
      </c>
      <c r="AF42" s="208">
        <v>252.0</v>
      </c>
      <c r="AG42" s="208">
        <v>307.0</v>
      </c>
      <c r="AH42" s="208">
        <v>72.0</v>
      </c>
      <c r="AI42" s="208">
        <v>147702.0</v>
      </c>
      <c r="AJ42" s="208">
        <v>4.0</v>
      </c>
      <c r="AK42" s="208">
        <v>49690.0</v>
      </c>
      <c r="AL42" s="208">
        <v>0.0</v>
      </c>
      <c r="AM42" s="208">
        <v>0.0047</v>
      </c>
      <c r="AN42" s="208">
        <v>143710.0</v>
      </c>
      <c r="AO42" s="208">
        <v>1.42</v>
      </c>
      <c r="AP42" s="208">
        <v>0.0</v>
      </c>
      <c r="AQ42" s="208">
        <v>128.0</v>
      </c>
      <c r="AR42" s="208">
        <v>779.0</v>
      </c>
      <c r="AS42" s="208">
        <v>2812.13</v>
      </c>
      <c r="AT42" s="208">
        <v>1.0</v>
      </c>
      <c r="AU42" s="208">
        <v>23.0</v>
      </c>
      <c r="AV42" s="208">
        <v>74.0</v>
      </c>
      <c r="AW42" s="208">
        <v>51.0</v>
      </c>
      <c r="AX42" s="208">
        <v>143.0</v>
      </c>
      <c r="AY42" s="208" t="s">
        <v>1270</v>
      </c>
    </row>
    <row r="43">
      <c r="A43" s="208" t="s">
        <v>185</v>
      </c>
      <c r="B43" s="208" t="s">
        <v>215</v>
      </c>
      <c r="C43" s="208" t="s">
        <v>216</v>
      </c>
      <c r="D43" s="208" t="s">
        <v>1065</v>
      </c>
      <c r="E43" s="208" t="s">
        <v>217</v>
      </c>
      <c r="F43" s="208" t="s">
        <v>1289</v>
      </c>
      <c r="G43" s="208" t="s">
        <v>185</v>
      </c>
      <c r="H43" s="208">
        <v>0.0</v>
      </c>
      <c r="I43" s="208">
        <v>2.2250001E7</v>
      </c>
      <c r="J43" s="208">
        <v>1.645348475E7</v>
      </c>
      <c r="K43" s="208">
        <v>0.0</v>
      </c>
      <c r="L43" s="208">
        <v>85.0</v>
      </c>
      <c r="M43" s="208">
        <v>75.0</v>
      </c>
      <c r="N43" s="208">
        <v>3.0</v>
      </c>
      <c r="O43" s="208">
        <v>88.0</v>
      </c>
      <c r="P43" s="208">
        <v>13.0</v>
      </c>
      <c r="Q43" s="208">
        <v>1.586759615E7</v>
      </c>
      <c r="R43" s="208">
        <v>585888.6</v>
      </c>
      <c r="S43" s="208">
        <v>53.0</v>
      </c>
      <c r="T43" s="208">
        <v>3.0</v>
      </c>
      <c r="U43" s="208">
        <v>56.0</v>
      </c>
      <c r="V43" s="208">
        <v>0.0</v>
      </c>
      <c r="W43" s="208">
        <v>1.0</v>
      </c>
      <c r="X43" s="208">
        <v>1.0</v>
      </c>
      <c r="Y43" s="208">
        <v>52.0</v>
      </c>
      <c r="Z43" s="208">
        <v>1.0</v>
      </c>
      <c r="AA43" s="208">
        <v>38.0</v>
      </c>
      <c r="AB43" s="208">
        <v>0.0</v>
      </c>
      <c r="AC43" s="208">
        <v>0.0</v>
      </c>
      <c r="AD43" s="208">
        <v>0.0</v>
      </c>
      <c r="AE43" s="208">
        <v>0.0</v>
      </c>
      <c r="AF43" s="208">
        <v>298.0</v>
      </c>
      <c r="AG43" s="208">
        <v>337.0</v>
      </c>
      <c r="AH43" s="208">
        <v>72.0</v>
      </c>
      <c r="AI43" s="208">
        <v>228521.0</v>
      </c>
      <c r="AJ43" s="208">
        <v>5.0</v>
      </c>
      <c r="AK43" s="208">
        <v>51393.0</v>
      </c>
      <c r="AL43" s="208">
        <v>0.0</v>
      </c>
      <c r="AM43" s="208">
        <v>0.0031</v>
      </c>
      <c r="AN43" s="208">
        <v>293812.0</v>
      </c>
      <c r="AO43" s="208">
        <v>0.74</v>
      </c>
      <c r="AP43" s="208">
        <v>0.0</v>
      </c>
      <c r="AQ43" s="208">
        <v>145.0</v>
      </c>
      <c r="AR43" s="208">
        <v>686.0</v>
      </c>
      <c r="AS43" s="208">
        <v>2574.92</v>
      </c>
      <c r="AT43" s="208">
        <v>3.0</v>
      </c>
      <c r="AU43" s="208">
        <v>34.0</v>
      </c>
      <c r="AV43" s="208">
        <v>56.0</v>
      </c>
      <c r="AW43" s="208">
        <v>19.0</v>
      </c>
      <c r="AX43" s="208">
        <v>13.0</v>
      </c>
      <c r="AY43" s="208" t="s">
        <v>1270</v>
      </c>
    </row>
    <row r="44">
      <c r="A44" s="208" t="s">
        <v>298</v>
      </c>
      <c r="B44" s="208" t="s">
        <v>301</v>
      </c>
      <c r="C44" s="208" t="s">
        <v>302</v>
      </c>
      <c r="D44" s="208" t="s">
        <v>1290</v>
      </c>
      <c r="E44" s="208" t="s">
        <v>303</v>
      </c>
      <c r="F44" s="208" t="s">
        <v>1291</v>
      </c>
      <c r="G44" s="208" t="s">
        <v>298</v>
      </c>
      <c r="H44" s="208">
        <v>0.0</v>
      </c>
      <c r="I44" s="208">
        <v>5400000.0</v>
      </c>
      <c r="J44" s="208">
        <v>1.009820004E7</v>
      </c>
      <c r="K44" s="208">
        <v>0.0</v>
      </c>
      <c r="L44" s="208">
        <v>111.0</v>
      </c>
      <c r="M44" s="208">
        <v>27.0</v>
      </c>
      <c r="N44" s="208">
        <v>0.0</v>
      </c>
      <c r="O44" s="208">
        <v>111.0</v>
      </c>
      <c r="P44" s="208">
        <v>84.0</v>
      </c>
      <c r="Q44" s="208">
        <v>1.009820004E7</v>
      </c>
      <c r="R44" s="208">
        <v>0.0</v>
      </c>
      <c r="S44" s="208">
        <v>39.0</v>
      </c>
      <c r="T44" s="208">
        <v>0.0</v>
      </c>
      <c r="U44" s="208">
        <v>39.0</v>
      </c>
      <c r="V44" s="208">
        <v>0.0</v>
      </c>
      <c r="W44" s="208">
        <v>1.0</v>
      </c>
      <c r="X44" s="208">
        <v>1.0</v>
      </c>
      <c r="Y44" s="208">
        <v>75.0</v>
      </c>
      <c r="Z44" s="208">
        <v>7.0</v>
      </c>
      <c r="AA44" s="208">
        <v>62.0</v>
      </c>
      <c r="AB44" s="208">
        <v>0.0</v>
      </c>
      <c r="AC44" s="208">
        <v>0.0</v>
      </c>
      <c r="AD44" s="208">
        <v>6.0</v>
      </c>
      <c r="AE44" s="208">
        <v>6.0</v>
      </c>
      <c r="AF44" s="208">
        <v>47.0</v>
      </c>
      <c r="AG44" s="208">
        <v>116.0</v>
      </c>
      <c r="AH44" s="208">
        <v>68.0</v>
      </c>
      <c r="AI44" s="208">
        <v>148503.0</v>
      </c>
      <c r="AJ44" s="208">
        <v>2.0</v>
      </c>
      <c r="AK44" s="208">
        <v>49585.0</v>
      </c>
      <c r="AL44" s="208">
        <v>0.0</v>
      </c>
      <c r="AM44" s="208">
        <v>0.0049</v>
      </c>
      <c r="AN44" s="208">
        <v>258928.0</v>
      </c>
      <c r="AO44" s="208">
        <v>1.87</v>
      </c>
      <c r="AP44" s="208">
        <v>0.0</v>
      </c>
      <c r="AQ44" s="208">
        <v>147.0</v>
      </c>
      <c r="AR44" s="208">
        <v>661.0</v>
      </c>
      <c r="AS44" s="208">
        <v>2706.04</v>
      </c>
      <c r="AT44" s="208">
        <v>0.0</v>
      </c>
      <c r="AU44" s="208">
        <v>100.0</v>
      </c>
      <c r="AV44" s="208">
        <v>39.0</v>
      </c>
      <c r="AW44" s="208">
        <v>8.0</v>
      </c>
      <c r="AX44" s="208">
        <v>64.0</v>
      </c>
      <c r="AY44" s="208" t="s">
        <v>1270</v>
      </c>
    </row>
    <row r="45">
      <c r="A45" s="208" t="s">
        <v>185</v>
      </c>
      <c r="B45" s="208" t="s">
        <v>117</v>
      </c>
      <c r="C45" s="208" t="s">
        <v>432</v>
      </c>
      <c r="D45" s="208" t="s">
        <v>1044</v>
      </c>
      <c r="E45" s="208" t="s">
        <v>433</v>
      </c>
      <c r="F45" s="534">
        <v>45297.0</v>
      </c>
      <c r="H45" s="208">
        <v>0.0</v>
      </c>
      <c r="I45" s="208">
        <v>0.0</v>
      </c>
      <c r="J45" s="208">
        <v>0.0</v>
      </c>
      <c r="K45" s="208">
        <v>0.0</v>
      </c>
      <c r="L45" s="208">
        <v>27.0</v>
      </c>
      <c r="M45" s="208">
        <v>0.0</v>
      </c>
      <c r="N45" s="208">
        <v>0.0</v>
      </c>
      <c r="O45" s="208">
        <v>27.0</v>
      </c>
      <c r="P45" s="208">
        <v>27.0</v>
      </c>
      <c r="Q45" s="208">
        <v>0.0</v>
      </c>
      <c r="R45" s="208">
        <v>0.0</v>
      </c>
      <c r="S45" s="208">
        <v>0.0</v>
      </c>
      <c r="T45" s="208">
        <v>0.0</v>
      </c>
      <c r="U45" s="208">
        <v>0.0</v>
      </c>
      <c r="V45" s="208">
        <v>0.0</v>
      </c>
      <c r="W45" s="208">
        <v>0.0</v>
      </c>
      <c r="X45" s="208">
        <v>0.0</v>
      </c>
      <c r="Y45" s="208">
        <v>170.0</v>
      </c>
      <c r="Z45" s="208">
        <v>0.0</v>
      </c>
      <c r="AA45" s="208">
        <v>0.0</v>
      </c>
      <c r="AB45" s="208">
        <v>0.0</v>
      </c>
      <c r="AC45" s="208">
        <v>0.0</v>
      </c>
      <c r="AD45" s="208">
        <v>0.0</v>
      </c>
      <c r="AE45" s="208">
        <v>0.0</v>
      </c>
      <c r="AF45" s="208">
        <v>0.0</v>
      </c>
      <c r="AG45" s="208">
        <v>0.0</v>
      </c>
      <c r="AH45" s="208">
        <v>0.0</v>
      </c>
      <c r="AI45" s="208">
        <v>0.0</v>
      </c>
      <c r="AJ45" s="208">
        <v>0.0</v>
      </c>
      <c r="AK45" s="208">
        <v>27000.0</v>
      </c>
      <c r="AL45" s="208">
        <v>0.0</v>
      </c>
      <c r="AM45" s="208">
        <v>0.0</v>
      </c>
      <c r="AN45" s="208">
        <v>0.0</v>
      </c>
      <c r="AO45" s="208">
        <v>0.0</v>
      </c>
      <c r="AP45" s="208">
        <v>0.0</v>
      </c>
      <c r="AQ45" s="208">
        <v>0.0</v>
      </c>
      <c r="AR45" s="208">
        <v>0.0</v>
      </c>
      <c r="AS45" s="208">
        <v>0.0</v>
      </c>
      <c r="AT45" s="208">
        <v>0.0</v>
      </c>
      <c r="AU45" s="208">
        <v>0.0</v>
      </c>
      <c r="AV45" s="208">
        <v>0.0</v>
      </c>
      <c r="AW45" s="208">
        <v>0.0</v>
      </c>
      <c r="AX45" s="208">
        <v>27.0</v>
      </c>
      <c r="AY45" s="208" t="s">
        <v>1292</v>
      </c>
    </row>
    <row r="46">
      <c r="A46" s="208" t="s">
        <v>185</v>
      </c>
      <c r="B46" s="208" t="s">
        <v>222</v>
      </c>
      <c r="C46" s="208" t="s">
        <v>220</v>
      </c>
      <c r="D46" s="208" t="s">
        <v>1057</v>
      </c>
      <c r="E46" s="208" t="s">
        <v>221</v>
      </c>
      <c r="F46" s="534">
        <v>44207.0</v>
      </c>
      <c r="G46" s="208" t="s">
        <v>185</v>
      </c>
      <c r="H46" s="208">
        <v>0.0</v>
      </c>
      <c r="I46" s="208">
        <v>1.35E7</v>
      </c>
      <c r="J46" s="208">
        <v>9511859.78</v>
      </c>
      <c r="K46" s="208">
        <v>0.0</v>
      </c>
      <c r="L46" s="208">
        <v>110.0</v>
      </c>
      <c r="M46" s="208">
        <v>86.0</v>
      </c>
      <c r="N46" s="208">
        <v>0.0</v>
      </c>
      <c r="O46" s="208">
        <v>110.0</v>
      </c>
      <c r="P46" s="208">
        <v>24.0</v>
      </c>
      <c r="Q46" s="208">
        <v>9511859.78</v>
      </c>
      <c r="R46" s="208">
        <v>0.0</v>
      </c>
      <c r="S46" s="208">
        <v>26.0</v>
      </c>
      <c r="T46" s="208">
        <v>0.0</v>
      </c>
      <c r="U46" s="208">
        <v>26.0</v>
      </c>
      <c r="V46" s="208">
        <v>0.0</v>
      </c>
      <c r="W46" s="208">
        <v>9.0</v>
      </c>
      <c r="X46" s="208">
        <v>9.0</v>
      </c>
      <c r="Y46" s="208">
        <v>136.0</v>
      </c>
      <c r="Z46" s="208">
        <v>1.0</v>
      </c>
      <c r="AA46" s="208">
        <v>2.0</v>
      </c>
      <c r="AB46" s="208">
        <v>0.0</v>
      </c>
      <c r="AC46" s="208">
        <v>0.0</v>
      </c>
      <c r="AD46" s="208">
        <v>0.0</v>
      </c>
      <c r="AE46" s="208">
        <v>0.0</v>
      </c>
      <c r="AF46" s="208">
        <v>488.0</v>
      </c>
      <c r="AG46" s="208">
        <v>499.0</v>
      </c>
      <c r="AH46" s="208">
        <v>75.0</v>
      </c>
      <c r="AI46" s="208">
        <v>126825.0</v>
      </c>
      <c r="AJ46" s="208">
        <v>7.0</v>
      </c>
      <c r="AK46" s="208">
        <v>58700.0</v>
      </c>
      <c r="AL46" s="208">
        <v>0.0</v>
      </c>
      <c r="AM46" s="208">
        <v>0.0062</v>
      </c>
      <c r="AN46" s="208">
        <v>365841.0</v>
      </c>
      <c r="AO46" s="208">
        <v>0.7</v>
      </c>
      <c r="AP46" s="208">
        <v>0.0</v>
      </c>
      <c r="AQ46" s="208">
        <v>72.0</v>
      </c>
      <c r="AR46" s="208">
        <v>674.0</v>
      </c>
      <c r="AS46" s="208">
        <v>2037.18</v>
      </c>
      <c r="AT46" s="208">
        <v>0.0</v>
      </c>
      <c r="AU46" s="208">
        <v>24.0</v>
      </c>
      <c r="AV46" s="208">
        <v>26.0</v>
      </c>
      <c r="AW46" s="208">
        <v>61.0</v>
      </c>
      <c r="AX46" s="208">
        <v>23.0</v>
      </c>
      <c r="AY46" s="208" t="s">
        <v>1270</v>
      </c>
    </row>
    <row r="47">
      <c r="A47" s="208" t="s">
        <v>126</v>
      </c>
      <c r="B47" s="208" t="s">
        <v>145</v>
      </c>
      <c r="C47" s="208" t="s">
        <v>143</v>
      </c>
      <c r="D47" s="208" t="s">
        <v>1066</v>
      </c>
      <c r="E47" s="208" t="s">
        <v>1067</v>
      </c>
      <c r="F47" s="534">
        <v>44207.0</v>
      </c>
      <c r="G47" s="208" t="s">
        <v>580</v>
      </c>
      <c r="H47" s="208">
        <v>0.0</v>
      </c>
      <c r="I47" s="208">
        <v>5280000.0</v>
      </c>
      <c r="J47" s="208">
        <v>2675417.88</v>
      </c>
      <c r="K47" s="208">
        <v>0.0</v>
      </c>
      <c r="L47" s="208">
        <v>83.0</v>
      </c>
      <c r="M47" s="208">
        <v>65.0</v>
      </c>
      <c r="N47" s="208">
        <v>2.0</v>
      </c>
      <c r="O47" s="208">
        <v>85.0</v>
      </c>
      <c r="P47" s="208">
        <v>20.0</v>
      </c>
      <c r="Q47" s="208">
        <v>2606804.6</v>
      </c>
      <c r="R47" s="208">
        <v>68613.28</v>
      </c>
      <c r="S47" s="208">
        <v>34.0</v>
      </c>
      <c r="T47" s="208">
        <v>2.0</v>
      </c>
      <c r="U47" s="208">
        <v>36.0</v>
      </c>
      <c r="V47" s="208">
        <v>0.0</v>
      </c>
      <c r="W47" s="208">
        <v>22.0</v>
      </c>
      <c r="X47" s="208">
        <v>30.0</v>
      </c>
      <c r="Y47" s="208">
        <v>286.0</v>
      </c>
      <c r="Z47" s="208">
        <v>1.0</v>
      </c>
      <c r="AA47" s="208">
        <v>3.0</v>
      </c>
      <c r="AB47" s="208">
        <v>0.0</v>
      </c>
      <c r="AC47" s="208">
        <v>0.0</v>
      </c>
      <c r="AD47" s="208">
        <v>0.0</v>
      </c>
      <c r="AE47" s="208">
        <v>0.0</v>
      </c>
      <c r="AF47" s="208">
        <v>238.0</v>
      </c>
      <c r="AG47" s="208">
        <v>271.0</v>
      </c>
      <c r="AH47" s="208">
        <v>67.0</v>
      </c>
      <c r="AI47" s="208">
        <v>39932.0</v>
      </c>
      <c r="AJ47" s="208">
        <v>4.0</v>
      </c>
      <c r="AK47" s="208">
        <v>28500.0</v>
      </c>
      <c r="AL47" s="208">
        <v>0.0</v>
      </c>
      <c r="AM47" s="208">
        <v>0.0107</v>
      </c>
      <c r="AN47" s="208">
        <v>74317.0</v>
      </c>
      <c r="AO47" s="208">
        <v>0.51</v>
      </c>
      <c r="AP47" s="208">
        <v>0.0</v>
      </c>
      <c r="AQ47" s="208">
        <v>118.0</v>
      </c>
      <c r="AR47" s="208">
        <v>791.0</v>
      </c>
      <c r="AS47" s="208">
        <v>2594.82</v>
      </c>
      <c r="AT47" s="208">
        <v>2.0</v>
      </c>
      <c r="AU47" s="208">
        <v>40.0</v>
      </c>
      <c r="AV47" s="208">
        <v>36.0</v>
      </c>
      <c r="AW47" s="208">
        <v>32.0</v>
      </c>
      <c r="AX47" s="208">
        <v>17.0</v>
      </c>
      <c r="AY47" s="208" t="s">
        <v>1270</v>
      </c>
    </row>
    <row r="48">
      <c r="A48" s="208" t="s">
        <v>185</v>
      </c>
      <c r="B48" s="208" t="s">
        <v>85</v>
      </c>
      <c r="C48" s="208" t="s">
        <v>630</v>
      </c>
      <c r="D48" s="208" t="s">
        <v>1058</v>
      </c>
      <c r="E48" s="208" t="s">
        <v>386</v>
      </c>
      <c r="F48" s="534">
        <v>44419.0</v>
      </c>
      <c r="H48" s="208">
        <v>0.0</v>
      </c>
      <c r="I48" s="208">
        <v>0.0</v>
      </c>
      <c r="J48" s="208">
        <v>0.0</v>
      </c>
      <c r="K48" s="208">
        <v>0.0</v>
      </c>
      <c r="L48" s="208">
        <v>95.0</v>
      </c>
      <c r="M48" s="208">
        <v>0.0</v>
      </c>
      <c r="N48" s="208">
        <v>0.0</v>
      </c>
      <c r="O48" s="208">
        <v>95.0</v>
      </c>
      <c r="P48" s="208">
        <v>95.0</v>
      </c>
      <c r="Q48" s="208">
        <v>0.0</v>
      </c>
      <c r="R48" s="208">
        <v>0.0</v>
      </c>
      <c r="S48" s="208">
        <v>0.0</v>
      </c>
      <c r="T48" s="208">
        <v>0.0</v>
      </c>
      <c r="U48" s="208">
        <v>0.0</v>
      </c>
      <c r="V48" s="208">
        <v>0.0</v>
      </c>
      <c r="W48" s="208">
        <v>0.0</v>
      </c>
      <c r="X48" s="208">
        <v>0.0</v>
      </c>
      <c r="Y48" s="208">
        <v>96.0</v>
      </c>
      <c r="Z48" s="208">
        <v>0.0</v>
      </c>
      <c r="AA48" s="208">
        <v>0.0</v>
      </c>
      <c r="AB48" s="208">
        <v>0.0</v>
      </c>
      <c r="AC48" s="208">
        <v>0.0</v>
      </c>
      <c r="AD48" s="208">
        <v>0.0</v>
      </c>
      <c r="AE48" s="208">
        <v>0.0</v>
      </c>
      <c r="AF48" s="208">
        <v>0.0</v>
      </c>
      <c r="AG48" s="208">
        <v>0.0</v>
      </c>
      <c r="AH48" s="208">
        <v>0.0</v>
      </c>
      <c r="AI48" s="208">
        <v>0.0</v>
      </c>
      <c r="AJ48" s="208">
        <v>0.0</v>
      </c>
      <c r="AK48" s="208">
        <v>31355.0</v>
      </c>
      <c r="AL48" s="208">
        <v>0.0</v>
      </c>
      <c r="AM48" s="208">
        <v>0.0</v>
      </c>
      <c r="AN48" s="208">
        <v>0.0</v>
      </c>
      <c r="AO48" s="208">
        <v>0.0</v>
      </c>
      <c r="AP48" s="208">
        <v>0.0</v>
      </c>
      <c r="AQ48" s="208">
        <v>0.0</v>
      </c>
      <c r="AR48" s="208">
        <v>0.0</v>
      </c>
      <c r="AS48" s="208">
        <v>0.0</v>
      </c>
      <c r="AT48" s="208">
        <v>0.0</v>
      </c>
      <c r="AU48" s="208">
        <v>0.0</v>
      </c>
      <c r="AV48" s="208">
        <v>0.0</v>
      </c>
      <c r="AW48" s="208">
        <v>0.0</v>
      </c>
      <c r="AX48" s="208">
        <v>95.0</v>
      </c>
      <c r="AY48" s="534">
        <v>45995.0</v>
      </c>
    </row>
    <row r="49">
      <c r="A49" s="208" t="s">
        <v>126</v>
      </c>
      <c r="B49" s="208" t="s">
        <v>130</v>
      </c>
      <c r="C49" s="208" t="s">
        <v>146</v>
      </c>
      <c r="D49" s="208" t="s">
        <v>130</v>
      </c>
      <c r="E49" s="208" t="s">
        <v>1068</v>
      </c>
      <c r="F49" s="535">
        <v>44511.0</v>
      </c>
      <c r="G49" s="208" t="s">
        <v>580</v>
      </c>
      <c r="H49" s="208">
        <v>600000.0</v>
      </c>
      <c r="I49" s="208">
        <v>5900001.0</v>
      </c>
      <c r="J49" s="208">
        <v>2789141.14</v>
      </c>
      <c r="K49" s="208">
        <v>1909817.69</v>
      </c>
      <c r="L49" s="208">
        <v>80.0</v>
      </c>
      <c r="M49" s="208">
        <v>55.0</v>
      </c>
      <c r="N49" s="208">
        <v>0.0</v>
      </c>
      <c r="O49" s="208">
        <v>80.0</v>
      </c>
      <c r="P49" s="208">
        <v>25.0</v>
      </c>
      <c r="Q49" s="208">
        <v>2789141.14</v>
      </c>
      <c r="R49" s="208">
        <v>0.0</v>
      </c>
      <c r="S49" s="208">
        <v>24.0</v>
      </c>
      <c r="T49" s="208">
        <v>0.0</v>
      </c>
      <c r="U49" s="208">
        <v>24.0</v>
      </c>
      <c r="V49" s="208">
        <v>12.0</v>
      </c>
      <c r="W49" s="208">
        <v>2.0</v>
      </c>
      <c r="X49" s="208">
        <v>2.0</v>
      </c>
      <c r="Y49" s="208">
        <v>69.0</v>
      </c>
      <c r="Z49" s="208">
        <v>4.0</v>
      </c>
      <c r="AA49" s="208">
        <v>17.0</v>
      </c>
      <c r="AB49" s="208">
        <v>11.0</v>
      </c>
      <c r="AC49" s="208">
        <v>64.0</v>
      </c>
      <c r="AD49" s="208">
        <v>1.0</v>
      </c>
      <c r="AE49" s="208">
        <v>4.0</v>
      </c>
      <c r="AF49" s="208">
        <v>170.0</v>
      </c>
      <c r="AG49" s="208">
        <v>257.0</v>
      </c>
      <c r="AH49" s="208">
        <v>72.0</v>
      </c>
      <c r="AI49" s="208">
        <v>38738.0</v>
      </c>
      <c r="AJ49" s="208">
        <v>4.0</v>
      </c>
      <c r="AK49" s="208">
        <v>31231.0</v>
      </c>
      <c r="AL49" s="208">
        <v>0.0</v>
      </c>
      <c r="AM49" s="208">
        <v>0.0112</v>
      </c>
      <c r="AN49" s="208">
        <v>116214.0</v>
      </c>
      <c r="AO49" s="208">
        <v>0.47</v>
      </c>
      <c r="AP49" s="208">
        <v>3.18</v>
      </c>
      <c r="AQ49" s="208">
        <v>58.0</v>
      </c>
      <c r="AR49" s="208">
        <v>578.0</v>
      </c>
      <c r="AS49" s="208">
        <v>1884.7</v>
      </c>
      <c r="AT49" s="208">
        <v>0.0</v>
      </c>
      <c r="AU49" s="208">
        <v>34.0</v>
      </c>
      <c r="AV49" s="208">
        <v>24.0</v>
      </c>
      <c r="AW49" s="208">
        <v>33.0</v>
      </c>
      <c r="AX49" s="208">
        <v>23.0</v>
      </c>
      <c r="AY49" s="208" t="s">
        <v>1270</v>
      </c>
    </row>
    <row r="50">
      <c r="A50" s="208" t="s">
        <v>298</v>
      </c>
      <c r="B50" s="208" t="s">
        <v>301</v>
      </c>
      <c r="C50" s="208" t="s">
        <v>637</v>
      </c>
      <c r="D50" s="208" t="s">
        <v>1066</v>
      </c>
      <c r="E50" s="208" t="s">
        <v>317</v>
      </c>
      <c r="F50" s="534">
        <v>45662.0</v>
      </c>
      <c r="G50" s="208" t="s">
        <v>298</v>
      </c>
      <c r="H50" s="208">
        <v>0.0</v>
      </c>
      <c r="I50" s="208">
        <v>3600000.0</v>
      </c>
      <c r="J50" s="208">
        <v>4069187.45</v>
      </c>
      <c r="K50" s="208">
        <v>0.0</v>
      </c>
      <c r="L50" s="208">
        <v>99.0</v>
      </c>
      <c r="M50" s="208">
        <v>72.0</v>
      </c>
      <c r="N50" s="208">
        <v>7.0</v>
      </c>
      <c r="O50" s="208">
        <v>106.0</v>
      </c>
      <c r="P50" s="208">
        <v>34.0</v>
      </c>
      <c r="Q50" s="208">
        <v>3161019.95</v>
      </c>
      <c r="R50" s="208">
        <v>908167.5</v>
      </c>
      <c r="S50" s="208">
        <v>37.0</v>
      </c>
      <c r="T50" s="208">
        <v>5.0</v>
      </c>
      <c r="U50" s="208">
        <v>42.0</v>
      </c>
      <c r="V50" s="208">
        <v>0.0</v>
      </c>
      <c r="W50" s="208">
        <v>55.0</v>
      </c>
      <c r="X50" s="208">
        <v>76.0</v>
      </c>
      <c r="Y50" s="208">
        <v>126.0</v>
      </c>
      <c r="Z50" s="208">
        <v>7.0</v>
      </c>
      <c r="AA50" s="208">
        <v>28.0</v>
      </c>
      <c r="AB50" s="208">
        <v>1.0</v>
      </c>
      <c r="AC50" s="208">
        <v>6.0</v>
      </c>
      <c r="AD50" s="208">
        <v>0.0</v>
      </c>
      <c r="AE50" s="208">
        <v>0.0</v>
      </c>
      <c r="AF50" s="208">
        <v>198.0</v>
      </c>
      <c r="AG50" s="208">
        <v>308.0</v>
      </c>
      <c r="AH50" s="208">
        <v>65.0</v>
      </c>
      <c r="AI50" s="208">
        <v>62603.0</v>
      </c>
      <c r="AJ50" s="208">
        <v>5.0</v>
      </c>
      <c r="AK50" s="208">
        <v>47173.0</v>
      </c>
      <c r="AL50" s="208">
        <v>0.0</v>
      </c>
      <c r="AM50" s="208">
        <v>0.0116</v>
      </c>
      <c r="AN50" s="208">
        <v>96885.0</v>
      </c>
      <c r="AO50" s="208">
        <v>1.13</v>
      </c>
      <c r="AP50" s="208">
        <v>0.0</v>
      </c>
      <c r="AQ50" s="208">
        <v>71.0</v>
      </c>
      <c r="AR50" s="208">
        <v>543.0</v>
      </c>
      <c r="AS50" s="208">
        <v>1700.97</v>
      </c>
      <c r="AT50" s="208">
        <v>5.0</v>
      </c>
      <c r="AU50" s="208">
        <v>24.0</v>
      </c>
      <c r="AV50" s="208">
        <v>42.0</v>
      </c>
      <c r="AW50" s="208">
        <v>43.0</v>
      </c>
      <c r="AX50" s="208">
        <v>21.0</v>
      </c>
      <c r="AY50" s="208" t="s">
        <v>1270</v>
      </c>
    </row>
    <row r="51">
      <c r="A51" s="208" t="s">
        <v>298</v>
      </c>
      <c r="B51" s="208" t="s">
        <v>301</v>
      </c>
      <c r="C51" s="208" t="s">
        <v>355</v>
      </c>
      <c r="D51" s="208" t="s">
        <v>1066</v>
      </c>
      <c r="E51" s="208" t="s">
        <v>319</v>
      </c>
      <c r="F51" s="208" t="s">
        <v>1293</v>
      </c>
      <c r="G51" s="208" t="s">
        <v>298</v>
      </c>
      <c r="H51" s="208">
        <v>0.0</v>
      </c>
      <c r="I51" s="208">
        <v>0.0</v>
      </c>
      <c r="J51" s="208">
        <v>0.0</v>
      </c>
      <c r="K51" s="208">
        <v>0.0</v>
      </c>
      <c r="L51" s="208">
        <v>117.0</v>
      </c>
      <c r="M51" s="208">
        <v>0.0</v>
      </c>
      <c r="N51" s="208">
        <v>0.0</v>
      </c>
      <c r="O51" s="208">
        <v>117.0</v>
      </c>
      <c r="P51" s="208">
        <v>117.0</v>
      </c>
      <c r="Q51" s="208">
        <v>0.0</v>
      </c>
      <c r="R51" s="208">
        <v>0.0</v>
      </c>
      <c r="S51" s="208">
        <v>0.0</v>
      </c>
      <c r="T51" s="208">
        <v>0.0</v>
      </c>
      <c r="U51" s="208">
        <v>0.0</v>
      </c>
      <c r="V51" s="208">
        <v>0.0</v>
      </c>
      <c r="W51" s="208">
        <v>0.0</v>
      </c>
      <c r="X51" s="208">
        <v>0.0</v>
      </c>
      <c r="Y51" s="208">
        <v>128.0</v>
      </c>
      <c r="Z51" s="208">
        <v>0.0</v>
      </c>
      <c r="AA51" s="208">
        <v>0.0</v>
      </c>
      <c r="AB51" s="208">
        <v>0.0</v>
      </c>
      <c r="AC51" s="208">
        <v>0.0</v>
      </c>
      <c r="AD51" s="208">
        <v>0.0</v>
      </c>
      <c r="AE51" s="208">
        <v>0.0</v>
      </c>
      <c r="AF51" s="208">
        <v>0.0</v>
      </c>
      <c r="AG51" s="208">
        <v>0.0</v>
      </c>
      <c r="AH51" s="208">
        <v>0.0</v>
      </c>
      <c r="AI51" s="208">
        <v>0.0</v>
      </c>
      <c r="AJ51" s="208">
        <v>0.0</v>
      </c>
      <c r="AK51" s="208">
        <v>38000.0</v>
      </c>
      <c r="AL51" s="208">
        <v>0.0</v>
      </c>
      <c r="AM51" s="208">
        <v>0.0</v>
      </c>
      <c r="AN51" s="208">
        <v>0.0</v>
      </c>
      <c r="AO51" s="208">
        <v>0.0</v>
      </c>
      <c r="AP51" s="208">
        <v>0.0</v>
      </c>
      <c r="AQ51" s="208">
        <v>0.0</v>
      </c>
      <c r="AR51" s="208">
        <v>0.0</v>
      </c>
      <c r="AS51" s="208">
        <v>0.0</v>
      </c>
      <c r="AT51" s="208">
        <v>0.0</v>
      </c>
      <c r="AU51" s="208">
        <v>0.0</v>
      </c>
      <c r="AV51" s="208">
        <v>0.0</v>
      </c>
      <c r="AW51" s="208">
        <v>0.0</v>
      </c>
      <c r="AX51" s="208">
        <v>117.0</v>
      </c>
      <c r="AY51" s="534">
        <v>45842.0</v>
      </c>
    </row>
    <row r="52">
      <c r="A52" s="208" t="s">
        <v>126</v>
      </c>
      <c r="B52" s="208" t="s">
        <v>135</v>
      </c>
      <c r="C52" s="208" t="s">
        <v>148</v>
      </c>
      <c r="D52" s="208" t="s">
        <v>1042</v>
      </c>
      <c r="E52" s="208" t="s">
        <v>149</v>
      </c>
      <c r="F52" s="534">
        <v>44869.0</v>
      </c>
      <c r="G52" s="208" t="s">
        <v>136</v>
      </c>
      <c r="H52" s="208">
        <v>300000.0</v>
      </c>
      <c r="I52" s="208">
        <v>4899999.0</v>
      </c>
      <c r="J52" s="208">
        <v>3684195.8</v>
      </c>
      <c r="K52" s="208">
        <v>0.0</v>
      </c>
      <c r="L52" s="208">
        <v>61.0</v>
      </c>
      <c r="M52" s="208">
        <v>42.0</v>
      </c>
      <c r="N52" s="208">
        <v>7.0</v>
      </c>
      <c r="O52" s="208">
        <v>68.0</v>
      </c>
      <c r="P52" s="208">
        <v>26.0</v>
      </c>
      <c r="Q52" s="208">
        <v>2761448.6</v>
      </c>
      <c r="R52" s="208">
        <v>922747.2</v>
      </c>
      <c r="S52" s="208">
        <v>23.0</v>
      </c>
      <c r="T52" s="208">
        <v>7.0</v>
      </c>
      <c r="U52" s="208">
        <v>30.0</v>
      </c>
      <c r="V52" s="208">
        <v>0.0</v>
      </c>
      <c r="W52" s="208">
        <v>60.0</v>
      </c>
      <c r="X52" s="208">
        <v>71.0</v>
      </c>
      <c r="Y52" s="208">
        <v>439.0</v>
      </c>
      <c r="Z52" s="208">
        <v>1.0</v>
      </c>
      <c r="AA52" s="208">
        <v>23.0</v>
      </c>
      <c r="AB52" s="208">
        <v>0.0</v>
      </c>
      <c r="AC52" s="208">
        <v>0.0</v>
      </c>
      <c r="AD52" s="208">
        <v>1.0</v>
      </c>
      <c r="AE52" s="208">
        <v>1.0</v>
      </c>
      <c r="AF52" s="208">
        <v>220.0</v>
      </c>
      <c r="AG52" s="208">
        <v>315.0</v>
      </c>
      <c r="AH52" s="208">
        <v>69.0</v>
      </c>
      <c r="AI52" s="208">
        <v>53394.0</v>
      </c>
      <c r="AJ52" s="208">
        <v>5.0</v>
      </c>
      <c r="AK52" s="208">
        <v>33718.0</v>
      </c>
      <c r="AL52" s="208">
        <v>0.0</v>
      </c>
      <c r="AM52" s="208">
        <v>0.0092</v>
      </c>
      <c r="AN52" s="208">
        <v>122807.0</v>
      </c>
      <c r="AO52" s="208">
        <v>0.75</v>
      </c>
      <c r="AP52" s="208">
        <v>0.0</v>
      </c>
      <c r="AQ52" s="208">
        <v>62.0</v>
      </c>
      <c r="AR52" s="208">
        <v>568.0</v>
      </c>
      <c r="AS52" s="208">
        <v>2845.85</v>
      </c>
      <c r="AT52" s="208">
        <v>7.0</v>
      </c>
      <c r="AU52" s="208">
        <v>68.0</v>
      </c>
      <c r="AV52" s="208">
        <v>30.0</v>
      </c>
      <c r="AW52" s="208">
        <v>16.0</v>
      </c>
      <c r="AX52" s="208">
        <v>22.0</v>
      </c>
      <c r="AY52" s="208" t="s">
        <v>1270</v>
      </c>
    </row>
    <row r="53">
      <c r="A53" s="208" t="s">
        <v>53</v>
      </c>
      <c r="B53" s="208" t="s">
        <v>61</v>
      </c>
      <c r="C53" s="208" t="s">
        <v>654</v>
      </c>
      <c r="D53" s="208" t="s">
        <v>1077</v>
      </c>
      <c r="E53" s="208" t="s">
        <v>1114</v>
      </c>
      <c r="F53" s="534">
        <v>45662.0</v>
      </c>
      <c r="G53" s="208" t="s">
        <v>754</v>
      </c>
      <c r="H53" s="208">
        <v>0.0</v>
      </c>
      <c r="I53" s="208">
        <v>0.0</v>
      </c>
      <c r="J53" s="208">
        <v>0.0</v>
      </c>
      <c r="K53" s="208">
        <v>0.0</v>
      </c>
      <c r="L53" s="208">
        <v>58.0</v>
      </c>
      <c r="M53" s="208">
        <v>0.0</v>
      </c>
      <c r="N53" s="208">
        <v>0.0</v>
      </c>
      <c r="O53" s="208">
        <v>58.0</v>
      </c>
      <c r="P53" s="208">
        <v>58.0</v>
      </c>
      <c r="Q53" s="208">
        <v>0.0</v>
      </c>
      <c r="R53" s="208">
        <v>0.0</v>
      </c>
      <c r="S53" s="208">
        <v>0.0</v>
      </c>
      <c r="T53" s="208">
        <v>0.0</v>
      </c>
      <c r="U53" s="208">
        <v>0.0</v>
      </c>
      <c r="V53" s="208">
        <v>0.0</v>
      </c>
      <c r="W53" s="208">
        <v>0.0</v>
      </c>
      <c r="X53" s="208">
        <v>0.0</v>
      </c>
      <c r="Y53" s="208">
        <v>99.0</v>
      </c>
      <c r="Z53" s="208">
        <v>0.0</v>
      </c>
      <c r="AA53" s="208">
        <v>0.0</v>
      </c>
      <c r="AB53" s="208">
        <v>0.0</v>
      </c>
      <c r="AC53" s="208">
        <v>0.0</v>
      </c>
      <c r="AD53" s="208">
        <v>0.0</v>
      </c>
      <c r="AE53" s="208">
        <v>0.0</v>
      </c>
      <c r="AF53" s="208">
        <v>0.0</v>
      </c>
      <c r="AG53" s="208">
        <v>0.0</v>
      </c>
      <c r="AH53" s="208">
        <v>0.0</v>
      </c>
      <c r="AI53" s="208">
        <v>0.0</v>
      </c>
      <c r="AJ53" s="208">
        <v>0.0</v>
      </c>
      <c r="AK53" s="208">
        <v>50860.0</v>
      </c>
      <c r="AL53" s="208">
        <v>0.0</v>
      </c>
      <c r="AM53" s="208">
        <v>0.0</v>
      </c>
      <c r="AN53" s="208">
        <v>0.0</v>
      </c>
      <c r="AO53" s="208">
        <v>0.0</v>
      </c>
      <c r="AP53" s="208">
        <v>0.0</v>
      </c>
      <c r="AQ53" s="208">
        <v>0.0</v>
      </c>
      <c r="AR53" s="208">
        <v>0.0</v>
      </c>
      <c r="AS53" s="208">
        <v>0.0</v>
      </c>
      <c r="AT53" s="208">
        <v>0.0</v>
      </c>
      <c r="AU53" s="208">
        <v>0.0</v>
      </c>
      <c r="AV53" s="208">
        <v>0.0</v>
      </c>
      <c r="AW53" s="208">
        <v>0.0</v>
      </c>
      <c r="AX53" s="208">
        <v>58.0</v>
      </c>
      <c r="AY53" s="208" t="s">
        <v>1294</v>
      </c>
    </row>
    <row r="54">
      <c r="A54" s="208" t="s">
        <v>73</v>
      </c>
      <c r="B54" s="208" t="s">
        <v>1229</v>
      </c>
      <c r="C54" s="208" t="s">
        <v>74</v>
      </c>
      <c r="D54" s="208" t="s">
        <v>76</v>
      </c>
      <c r="E54" s="208" t="s">
        <v>1069</v>
      </c>
      <c r="F54" s="534">
        <v>44625.0</v>
      </c>
      <c r="G54" s="208" t="s">
        <v>73</v>
      </c>
      <c r="H54" s="208">
        <v>999999.0</v>
      </c>
      <c r="I54" s="208">
        <v>6000000.0</v>
      </c>
      <c r="J54" s="208">
        <v>3658236.68</v>
      </c>
      <c r="K54" s="208">
        <v>0.0</v>
      </c>
      <c r="L54" s="208">
        <v>30.0</v>
      </c>
      <c r="M54" s="208">
        <v>0.0</v>
      </c>
      <c r="N54" s="208">
        <v>0.0</v>
      </c>
      <c r="O54" s="208">
        <v>30.0</v>
      </c>
      <c r="P54" s="208">
        <v>30.0</v>
      </c>
      <c r="Q54" s="208">
        <v>3658236.68</v>
      </c>
      <c r="R54" s="208">
        <v>0.0</v>
      </c>
      <c r="S54" s="208">
        <v>9.0</v>
      </c>
      <c r="T54" s="208">
        <v>0.0</v>
      </c>
      <c r="U54" s="208">
        <v>9.0</v>
      </c>
      <c r="V54" s="208">
        <v>0.0</v>
      </c>
      <c r="W54" s="208">
        <v>0.0</v>
      </c>
      <c r="X54" s="208">
        <v>0.0</v>
      </c>
      <c r="Y54" s="208">
        <v>107.0</v>
      </c>
      <c r="Z54" s="208">
        <v>0.0</v>
      </c>
      <c r="AA54" s="208">
        <v>0.0</v>
      </c>
      <c r="AB54" s="208">
        <v>0.0</v>
      </c>
      <c r="AC54" s="208">
        <v>0.0</v>
      </c>
      <c r="AD54" s="208">
        <v>0.0</v>
      </c>
      <c r="AE54" s="208">
        <v>0.0</v>
      </c>
      <c r="AF54" s="208">
        <v>0.0</v>
      </c>
      <c r="AG54" s="208">
        <v>0.0</v>
      </c>
      <c r="AH54" s="208">
        <v>0.0</v>
      </c>
      <c r="AI54" s="208">
        <v>0.0</v>
      </c>
      <c r="AJ54" s="208">
        <v>0.0</v>
      </c>
      <c r="AK54" s="208">
        <v>34394.0</v>
      </c>
      <c r="AL54" s="208">
        <v>0.0</v>
      </c>
      <c r="AM54" s="208">
        <v>0.0094</v>
      </c>
      <c r="AN54" s="208">
        <v>406471.0</v>
      </c>
      <c r="AO54" s="208">
        <v>0.61</v>
      </c>
      <c r="AP54" s="208">
        <v>0.0</v>
      </c>
      <c r="AQ54" s="208">
        <v>20.0</v>
      </c>
      <c r="AR54" s="208">
        <v>0.0</v>
      </c>
      <c r="AS54" s="208">
        <v>0.0</v>
      </c>
      <c r="AT54" s="208">
        <v>0.0</v>
      </c>
      <c r="AU54" s="208">
        <v>0.0</v>
      </c>
      <c r="AV54" s="208">
        <v>9.0</v>
      </c>
      <c r="AW54" s="208">
        <v>0.0</v>
      </c>
      <c r="AX54" s="208">
        <v>21.0</v>
      </c>
      <c r="AY54" s="208" t="s">
        <v>1270</v>
      </c>
    </row>
    <row r="55">
      <c r="A55" s="208" t="s">
        <v>298</v>
      </c>
      <c r="B55" s="208" t="s">
        <v>301</v>
      </c>
      <c r="C55" s="208" t="s">
        <v>304</v>
      </c>
      <c r="D55" s="208" t="s">
        <v>1066</v>
      </c>
      <c r="E55" s="208" t="s">
        <v>305</v>
      </c>
      <c r="F55" s="208" t="s">
        <v>1295</v>
      </c>
      <c r="G55" s="208" t="s">
        <v>302</v>
      </c>
      <c r="H55" s="208">
        <v>0.0</v>
      </c>
      <c r="I55" s="208">
        <v>3600000.0</v>
      </c>
      <c r="J55" s="208">
        <v>3092282.95</v>
      </c>
      <c r="K55" s="208">
        <v>0.0</v>
      </c>
      <c r="L55" s="208">
        <v>81.0</v>
      </c>
      <c r="M55" s="208">
        <v>58.0</v>
      </c>
      <c r="N55" s="208">
        <v>1.0</v>
      </c>
      <c r="O55" s="208">
        <v>82.0</v>
      </c>
      <c r="P55" s="208">
        <v>24.0</v>
      </c>
      <c r="Q55" s="208">
        <v>3040562.31</v>
      </c>
      <c r="R55" s="208">
        <v>51720.64</v>
      </c>
      <c r="S55" s="208">
        <v>23.0</v>
      </c>
      <c r="T55" s="208">
        <v>1.0</v>
      </c>
      <c r="U55" s="208">
        <v>24.0</v>
      </c>
      <c r="V55" s="208">
        <v>0.0</v>
      </c>
      <c r="W55" s="208">
        <v>9.0</v>
      </c>
      <c r="X55" s="208">
        <v>9.0</v>
      </c>
      <c r="Y55" s="208">
        <v>286.0</v>
      </c>
      <c r="Z55" s="208">
        <v>1.0</v>
      </c>
      <c r="AA55" s="208">
        <v>1.0</v>
      </c>
      <c r="AB55" s="208">
        <v>0.0</v>
      </c>
      <c r="AC55" s="208">
        <v>0.0</v>
      </c>
      <c r="AD55" s="208">
        <v>0.0</v>
      </c>
      <c r="AE55" s="208">
        <v>0.0</v>
      </c>
      <c r="AF55" s="208">
        <v>275.0</v>
      </c>
      <c r="AG55" s="208">
        <v>285.0</v>
      </c>
      <c r="AH55" s="208">
        <v>69.0</v>
      </c>
      <c r="AI55" s="208">
        <v>44816.0</v>
      </c>
      <c r="AJ55" s="208">
        <v>4.0</v>
      </c>
      <c r="AK55" s="208">
        <v>36720.0</v>
      </c>
      <c r="AL55" s="208">
        <v>0.0</v>
      </c>
      <c r="AM55" s="208">
        <v>0.0119</v>
      </c>
      <c r="AN55" s="208">
        <v>128845.0</v>
      </c>
      <c r="AO55" s="208">
        <v>0.86</v>
      </c>
      <c r="AP55" s="208">
        <v>0.0</v>
      </c>
      <c r="AQ55" s="208">
        <v>95.0</v>
      </c>
      <c r="AR55" s="208">
        <v>611.0</v>
      </c>
      <c r="AS55" s="208">
        <v>3048.93</v>
      </c>
      <c r="AT55" s="208">
        <v>1.0</v>
      </c>
      <c r="AU55" s="208">
        <v>53.0</v>
      </c>
      <c r="AV55" s="208">
        <v>24.0</v>
      </c>
      <c r="AW55" s="208">
        <v>34.0</v>
      </c>
      <c r="AX55" s="208">
        <v>24.0</v>
      </c>
      <c r="AY55" s="208" t="s">
        <v>1270</v>
      </c>
    </row>
    <row r="56">
      <c r="A56" s="208" t="s">
        <v>97</v>
      </c>
      <c r="B56" s="208" t="s">
        <v>101</v>
      </c>
      <c r="C56" s="208" t="s">
        <v>99</v>
      </c>
      <c r="D56" s="208" t="s">
        <v>1062</v>
      </c>
      <c r="E56" s="208" t="s">
        <v>100</v>
      </c>
      <c r="F56" s="534">
        <v>44900.0</v>
      </c>
      <c r="G56" s="208" t="s">
        <v>876</v>
      </c>
      <c r="H56" s="208">
        <v>0.0</v>
      </c>
      <c r="I56" s="208">
        <v>4500000.0</v>
      </c>
      <c r="J56" s="208">
        <v>3384743.4</v>
      </c>
      <c r="K56" s="208">
        <v>0.0</v>
      </c>
      <c r="L56" s="208">
        <v>77.0</v>
      </c>
      <c r="M56" s="208">
        <v>48.0</v>
      </c>
      <c r="N56" s="208">
        <v>0.0</v>
      </c>
      <c r="O56" s="208">
        <v>77.0</v>
      </c>
      <c r="P56" s="208">
        <v>29.0</v>
      </c>
      <c r="Q56" s="208">
        <v>3384743.4</v>
      </c>
      <c r="R56" s="208">
        <v>0.0</v>
      </c>
      <c r="S56" s="208">
        <v>20.0</v>
      </c>
      <c r="T56" s="208">
        <v>0.0</v>
      </c>
      <c r="U56" s="208">
        <v>20.0</v>
      </c>
      <c r="V56" s="208">
        <v>0.0</v>
      </c>
      <c r="W56" s="208">
        <v>20.0</v>
      </c>
      <c r="X56" s="208">
        <v>62.0</v>
      </c>
      <c r="Y56" s="208">
        <v>39.0</v>
      </c>
      <c r="Z56" s="208">
        <v>1.0</v>
      </c>
      <c r="AA56" s="208">
        <v>7.0</v>
      </c>
      <c r="AB56" s="208">
        <v>0.0</v>
      </c>
      <c r="AC56" s="208">
        <v>0.0</v>
      </c>
      <c r="AD56" s="208">
        <v>0.0</v>
      </c>
      <c r="AE56" s="208">
        <v>0.0</v>
      </c>
      <c r="AF56" s="208">
        <v>313.0</v>
      </c>
      <c r="AG56" s="208">
        <v>382.0</v>
      </c>
      <c r="AH56" s="208">
        <v>67.0</v>
      </c>
      <c r="AI56" s="208">
        <v>50519.0</v>
      </c>
      <c r="AJ56" s="208">
        <v>6.0</v>
      </c>
      <c r="AK56" s="208">
        <v>34025.0</v>
      </c>
      <c r="AL56" s="208">
        <v>0.0</v>
      </c>
      <c r="AM56" s="208">
        <v>0.0101</v>
      </c>
      <c r="AN56" s="208">
        <v>169237.0</v>
      </c>
      <c r="AO56" s="208">
        <v>0.75</v>
      </c>
      <c r="AP56" s="208">
        <v>0.0</v>
      </c>
      <c r="AQ56" s="208">
        <v>51.0</v>
      </c>
      <c r="AR56" s="208">
        <v>660.0</v>
      </c>
      <c r="AS56" s="208">
        <v>2022.17</v>
      </c>
      <c r="AT56" s="208">
        <v>0.0</v>
      </c>
      <c r="AU56" s="208">
        <v>42.0</v>
      </c>
      <c r="AV56" s="208">
        <v>20.0</v>
      </c>
      <c r="AW56" s="208">
        <v>28.0</v>
      </c>
      <c r="AX56" s="208">
        <v>29.0</v>
      </c>
      <c r="AY56" s="208" t="s">
        <v>1270</v>
      </c>
    </row>
    <row r="57">
      <c r="A57" s="208" t="s">
        <v>185</v>
      </c>
      <c r="B57" s="208" t="s">
        <v>117</v>
      </c>
      <c r="C57" s="208" t="s">
        <v>118</v>
      </c>
      <c r="D57" s="208" t="s">
        <v>1044</v>
      </c>
      <c r="E57" s="208" t="s">
        <v>119</v>
      </c>
      <c r="F57" s="534">
        <v>44568.0</v>
      </c>
      <c r="H57" s="208">
        <v>0.0</v>
      </c>
      <c r="I57" s="208">
        <v>3600000.0</v>
      </c>
      <c r="J57" s="208">
        <v>690031.88</v>
      </c>
      <c r="K57" s="208">
        <v>0.0</v>
      </c>
      <c r="L57" s="208">
        <v>75.0</v>
      </c>
      <c r="M57" s="208">
        <v>70.0</v>
      </c>
      <c r="N57" s="208">
        <v>0.0</v>
      </c>
      <c r="O57" s="208">
        <v>75.0</v>
      </c>
      <c r="P57" s="208">
        <v>5.0</v>
      </c>
      <c r="Q57" s="208">
        <v>690031.88</v>
      </c>
      <c r="R57" s="208">
        <v>0.0</v>
      </c>
      <c r="S57" s="208">
        <v>21.0</v>
      </c>
      <c r="T57" s="208">
        <v>0.0</v>
      </c>
      <c r="U57" s="208">
        <v>21.0</v>
      </c>
      <c r="V57" s="208">
        <v>0.0</v>
      </c>
      <c r="W57" s="208">
        <v>6.0</v>
      </c>
      <c r="X57" s="208">
        <v>6.0</v>
      </c>
      <c r="Y57" s="208">
        <v>167.0</v>
      </c>
      <c r="Z57" s="208">
        <v>2.0</v>
      </c>
      <c r="AA57" s="208">
        <v>6.0</v>
      </c>
      <c r="AB57" s="208">
        <v>0.0</v>
      </c>
      <c r="AC57" s="208">
        <v>0.0</v>
      </c>
      <c r="AD57" s="208">
        <v>0.0</v>
      </c>
      <c r="AE57" s="208">
        <v>0.0</v>
      </c>
      <c r="AF57" s="208">
        <v>281.0</v>
      </c>
      <c r="AG57" s="208">
        <v>293.0</v>
      </c>
      <c r="AH57" s="208">
        <v>72.0</v>
      </c>
      <c r="AI57" s="208">
        <v>9584.0</v>
      </c>
      <c r="AJ57" s="208">
        <v>4.0</v>
      </c>
      <c r="AK57" s="208">
        <v>30425.0</v>
      </c>
      <c r="AL57" s="208">
        <v>0.0</v>
      </c>
      <c r="AM57" s="208">
        <v>0.0441</v>
      </c>
      <c r="AN57" s="208">
        <v>32859.0</v>
      </c>
      <c r="AO57" s="208">
        <v>0.19</v>
      </c>
      <c r="AP57" s="208">
        <v>0.0</v>
      </c>
      <c r="AQ57" s="208">
        <v>41.0</v>
      </c>
      <c r="AR57" s="208">
        <v>830.0</v>
      </c>
      <c r="AS57" s="208">
        <v>3035.69</v>
      </c>
      <c r="AT57" s="208">
        <v>0.0</v>
      </c>
      <c r="AU57" s="208">
        <v>43.0</v>
      </c>
      <c r="AV57" s="208">
        <v>21.0</v>
      </c>
      <c r="AW57" s="208">
        <v>49.0</v>
      </c>
      <c r="AX57" s="208">
        <v>5.0</v>
      </c>
      <c r="AY57" s="208" t="s">
        <v>1270</v>
      </c>
    </row>
    <row r="58">
      <c r="A58" s="208" t="s">
        <v>322</v>
      </c>
      <c r="B58" s="208" t="s">
        <v>325</v>
      </c>
      <c r="C58" s="208" t="s">
        <v>326</v>
      </c>
      <c r="D58" s="208" t="s">
        <v>1049</v>
      </c>
      <c r="E58" s="208" t="s">
        <v>327</v>
      </c>
      <c r="F58" s="535">
        <v>45638.0</v>
      </c>
      <c r="G58" s="208" t="s">
        <v>322</v>
      </c>
      <c r="H58" s="208">
        <v>0.0</v>
      </c>
      <c r="I58" s="208">
        <v>3125001.0</v>
      </c>
      <c r="J58" s="208">
        <v>44594.0</v>
      </c>
      <c r="K58" s="208">
        <v>0.0</v>
      </c>
      <c r="L58" s="208">
        <v>101.0</v>
      </c>
      <c r="M58" s="208">
        <v>7.0</v>
      </c>
      <c r="N58" s="208">
        <v>0.0</v>
      </c>
      <c r="O58" s="208">
        <v>101.0</v>
      </c>
      <c r="P58" s="208">
        <v>94.0</v>
      </c>
      <c r="Q58" s="208">
        <v>44594.0</v>
      </c>
      <c r="R58" s="208">
        <v>0.0</v>
      </c>
      <c r="S58" s="208">
        <v>6.0</v>
      </c>
      <c r="T58" s="208">
        <v>0.0</v>
      </c>
      <c r="U58" s="208">
        <v>6.0</v>
      </c>
      <c r="V58" s="208">
        <v>0.0</v>
      </c>
      <c r="W58" s="208">
        <v>80.0</v>
      </c>
      <c r="X58" s="208">
        <v>119.0</v>
      </c>
      <c r="Y58" s="208">
        <v>262.0</v>
      </c>
      <c r="Z58" s="208">
        <v>2.0</v>
      </c>
      <c r="AA58" s="208">
        <v>15.0</v>
      </c>
      <c r="AB58" s="208">
        <v>0.0</v>
      </c>
      <c r="AC58" s="208">
        <v>0.0</v>
      </c>
      <c r="AD58" s="208">
        <v>0.0</v>
      </c>
      <c r="AE58" s="208">
        <v>0.0</v>
      </c>
      <c r="AF58" s="208">
        <v>10.0</v>
      </c>
      <c r="AG58" s="208">
        <v>144.0</v>
      </c>
      <c r="AH58" s="208">
        <v>56.0</v>
      </c>
      <c r="AI58" s="208">
        <v>796.0</v>
      </c>
      <c r="AJ58" s="208">
        <v>3.0</v>
      </c>
      <c r="AK58" s="208">
        <v>47720.0</v>
      </c>
      <c r="AL58" s="208">
        <v>0.0</v>
      </c>
      <c r="AM58" s="208">
        <v>1.0701</v>
      </c>
      <c r="AN58" s="208">
        <v>7432.0</v>
      </c>
      <c r="AO58" s="208">
        <v>0.01</v>
      </c>
      <c r="AP58" s="208">
        <v>0.0</v>
      </c>
      <c r="AQ58" s="208">
        <v>7.0</v>
      </c>
      <c r="AR58" s="208">
        <v>649.0</v>
      </c>
      <c r="AS58" s="208">
        <v>2775.07</v>
      </c>
      <c r="AT58" s="208">
        <v>0.0</v>
      </c>
      <c r="AU58" s="208">
        <v>396.0</v>
      </c>
      <c r="AV58" s="208">
        <v>6.0</v>
      </c>
      <c r="AW58" s="208">
        <v>7.0</v>
      </c>
      <c r="AX58" s="208">
        <v>88.0</v>
      </c>
      <c r="AY58" s="208" t="s">
        <v>1270</v>
      </c>
    </row>
    <row r="59">
      <c r="A59" s="208" t="s">
        <v>126</v>
      </c>
      <c r="B59" s="208" t="s">
        <v>135</v>
      </c>
      <c r="C59" s="208" t="s">
        <v>437</v>
      </c>
      <c r="D59" s="208" t="s">
        <v>1042</v>
      </c>
      <c r="E59" s="208" t="s">
        <v>176</v>
      </c>
      <c r="F59" s="534">
        <v>44570.0</v>
      </c>
      <c r="G59" s="208" t="s">
        <v>136</v>
      </c>
      <c r="H59" s="208">
        <v>0.0</v>
      </c>
      <c r="I59" s="208">
        <v>0.0</v>
      </c>
      <c r="J59" s="208">
        <v>0.0</v>
      </c>
      <c r="K59" s="208">
        <v>0.0</v>
      </c>
      <c r="L59" s="208">
        <v>79.0</v>
      </c>
      <c r="M59" s="208">
        <v>0.0</v>
      </c>
      <c r="N59" s="208">
        <v>3.0</v>
      </c>
      <c r="O59" s="208">
        <v>82.0</v>
      </c>
      <c r="P59" s="208">
        <v>82.0</v>
      </c>
      <c r="Q59" s="208">
        <v>0.0</v>
      </c>
      <c r="R59" s="208">
        <v>0.0</v>
      </c>
      <c r="S59" s="208">
        <v>0.0</v>
      </c>
      <c r="T59" s="208">
        <v>0.0</v>
      </c>
      <c r="U59" s="208">
        <v>0.0</v>
      </c>
      <c r="V59" s="208">
        <v>0.0</v>
      </c>
      <c r="W59" s="208">
        <v>0.0</v>
      </c>
      <c r="X59" s="208">
        <v>0.0</v>
      </c>
      <c r="Y59" s="208">
        <v>372.0</v>
      </c>
      <c r="Z59" s="208">
        <v>0.0</v>
      </c>
      <c r="AA59" s="208">
        <v>0.0</v>
      </c>
      <c r="AB59" s="208">
        <v>0.0</v>
      </c>
      <c r="AC59" s="208">
        <v>0.0</v>
      </c>
      <c r="AD59" s="208">
        <v>0.0</v>
      </c>
      <c r="AE59" s="208">
        <v>0.0</v>
      </c>
      <c r="AF59" s="208">
        <v>0.0</v>
      </c>
      <c r="AG59" s="208">
        <v>0.0</v>
      </c>
      <c r="AH59" s="208">
        <v>0.0</v>
      </c>
      <c r="AI59" s="208">
        <v>0.0</v>
      </c>
      <c r="AJ59" s="208">
        <v>0.0</v>
      </c>
      <c r="AK59" s="208">
        <v>31260.0</v>
      </c>
      <c r="AL59" s="208">
        <v>0.0</v>
      </c>
      <c r="AM59" s="208">
        <v>0.0</v>
      </c>
      <c r="AN59" s="208">
        <v>0.0</v>
      </c>
      <c r="AO59" s="208">
        <v>0.0</v>
      </c>
      <c r="AP59" s="208">
        <v>0.0</v>
      </c>
      <c r="AQ59" s="208">
        <v>0.0</v>
      </c>
      <c r="AR59" s="208">
        <v>0.0</v>
      </c>
      <c r="AS59" s="208">
        <v>0.0</v>
      </c>
      <c r="AT59" s="208">
        <v>0.0</v>
      </c>
      <c r="AU59" s="208">
        <v>0.0</v>
      </c>
      <c r="AV59" s="208">
        <v>0.0</v>
      </c>
      <c r="AW59" s="208">
        <v>0.0</v>
      </c>
      <c r="AX59" s="208">
        <v>82.0</v>
      </c>
      <c r="AY59" s="208" t="s">
        <v>1296</v>
      </c>
    </row>
    <row r="60">
      <c r="A60" s="208" t="s">
        <v>23</v>
      </c>
      <c r="B60" s="208" t="s">
        <v>30</v>
      </c>
      <c r="C60" s="208" t="s">
        <v>24</v>
      </c>
      <c r="D60" s="208" t="s">
        <v>30</v>
      </c>
      <c r="E60" s="208" t="s">
        <v>25</v>
      </c>
      <c r="F60" s="534">
        <v>44690.0</v>
      </c>
      <c r="G60" s="208" t="s">
        <v>23</v>
      </c>
      <c r="H60" s="208">
        <v>0.0</v>
      </c>
      <c r="I60" s="208">
        <v>5400000.0</v>
      </c>
      <c r="J60" s="208">
        <v>5510287.46</v>
      </c>
      <c r="K60" s="208">
        <v>0.0</v>
      </c>
      <c r="L60" s="208">
        <v>103.0</v>
      </c>
      <c r="M60" s="208">
        <v>82.0</v>
      </c>
      <c r="N60" s="208">
        <v>2.0</v>
      </c>
      <c r="O60" s="208">
        <v>105.0</v>
      </c>
      <c r="P60" s="208">
        <v>23.0</v>
      </c>
      <c r="Q60" s="208">
        <v>5071554.07</v>
      </c>
      <c r="R60" s="208">
        <v>438733.39</v>
      </c>
      <c r="S60" s="208">
        <v>66.0</v>
      </c>
      <c r="T60" s="208">
        <v>2.0</v>
      </c>
      <c r="U60" s="208">
        <v>68.0</v>
      </c>
      <c r="V60" s="208">
        <v>0.0</v>
      </c>
      <c r="W60" s="208">
        <v>16.0</v>
      </c>
      <c r="X60" s="208">
        <v>29.0</v>
      </c>
      <c r="Y60" s="208">
        <v>203.0</v>
      </c>
      <c r="Z60" s="208">
        <v>6.0</v>
      </c>
      <c r="AA60" s="208">
        <v>61.0</v>
      </c>
      <c r="AB60" s="208">
        <v>0.0</v>
      </c>
      <c r="AC60" s="208">
        <v>0.0</v>
      </c>
      <c r="AD60" s="208">
        <v>0.0</v>
      </c>
      <c r="AE60" s="208">
        <v>0.0</v>
      </c>
      <c r="AF60" s="208">
        <v>403.0</v>
      </c>
      <c r="AG60" s="208">
        <v>493.0</v>
      </c>
      <c r="AH60" s="208">
        <v>73.0</v>
      </c>
      <c r="AI60" s="208">
        <v>75483.0</v>
      </c>
      <c r="AJ60" s="208">
        <v>7.0</v>
      </c>
      <c r="AK60" s="208">
        <v>33717.0</v>
      </c>
      <c r="AL60" s="208">
        <v>0.0</v>
      </c>
      <c r="AM60" s="208">
        <v>0.0061</v>
      </c>
      <c r="AN60" s="208">
        <v>81034.0</v>
      </c>
      <c r="AO60" s="208">
        <v>1.02</v>
      </c>
      <c r="AP60" s="208">
        <v>0.0</v>
      </c>
      <c r="AQ60" s="208">
        <v>222.0</v>
      </c>
      <c r="AR60" s="208">
        <v>682.0</v>
      </c>
      <c r="AS60" s="208">
        <v>1794.08</v>
      </c>
      <c r="AT60" s="208">
        <v>2.0</v>
      </c>
      <c r="AU60" s="208">
        <v>22.0</v>
      </c>
      <c r="AV60" s="208">
        <v>68.0</v>
      </c>
      <c r="AW60" s="208">
        <v>19.0</v>
      </c>
      <c r="AX60" s="208">
        <v>18.0</v>
      </c>
      <c r="AY60" s="208" t="s">
        <v>1270</v>
      </c>
    </row>
    <row r="61">
      <c r="A61" s="208" t="s">
        <v>298</v>
      </c>
      <c r="B61" s="208" t="s">
        <v>301</v>
      </c>
      <c r="C61" s="208" t="s">
        <v>306</v>
      </c>
      <c r="D61" s="208" t="s">
        <v>1066</v>
      </c>
      <c r="E61" s="208" t="s">
        <v>226</v>
      </c>
      <c r="F61" s="208" t="s">
        <v>1297</v>
      </c>
      <c r="G61" s="208" t="s">
        <v>298</v>
      </c>
      <c r="H61" s="208">
        <v>0.0</v>
      </c>
      <c r="I61" s="208">
        <v>5400000.0</v>
      </c>
      <c r="J61" s="208">
        <v>3809241.5</v>
      </c>
      <c r="K61" s="208">
        <v>0.0</v>
      </c>
      <c r="L61" s="208">
        <v>98.0</v>
      </c>
      <c r="M61" s="208">
        <v>81.0</v>
      </c>
      <c r="N61" s="208">
        <v>3.0</v>
      </c>
      <c r="O61" s="208">
        <v>101.0</v>
      </c>
      <c r="P61" s="208">
        <v>20.0</v>
      </c>
      <c r="Q61" s="208">
        <v>3809241.5</v>
      </c>
      <c r="R61" s="208">
        <v>0.0</v>
      </c>
      <c r="S61" s="208">
        <v>39.0</v>
      </c>
      <c r="T61" s="208">
        <v>0.0</v>
      </c>
      <c r="U61" s="208">
        <v>39.0</v>
      </c>
      <c r="V61" s="208">
        <v>0.0</v>
      </c>
      <c r="W61" s="208">
        <v>14.0</v>
      </c>
      <c r="X61" s="208">
        <v>24.0</v>
      </c>
      <c r="Y61" s="208">
        <v>168.0</v>
      </c>
      <c r="Z61" s="208">
        <v>1.0</v>
      </c>
      <c r="AA61" s="208">
        <v>20.0</v>
      </c>
      <c r="AB61" s="208">
        <v>1.0</v>
      </c>
      <c r="AC61" s="208">
        <v>1.0</v>
      </c>
      <c r="AD61" s="208">
        <v>0.0</v>
      </c>
      <c r="AE61" s="208">
        <v>0.0</v>
      </c>
      <c r="AF61" s="208">
        <v>342.0</v>
      </c>
      <c r="AG61" s="208">
        <v>387.0</v>
      </c>
      <c r="AH61" s="208">
        <v>73.0</v>
      </c>
      <c r="AI61" s="208">
        <v>52181.0</v>
      </c>
      <c r="AJ61" s="208">
        <v>5.0</v>
      </c>
      <c r="AK61" s="208">
        <v>45000.0</v>
      </c>
      <c r="AL61" s="208">
        <v>0.0</v>
      </c>
      <c r="AM61" s="208">
        <v>0.0118</v>
      </c>
      <c r="AN61" s="208">
        <v>97673.0</v>
      </c>
      <c r="AO61" s="208">
        <v>0.71</v>
      </c>
      <c r="AP61" s="208">
        <v>0.0</v>
      </c>
      <c r="AQ61" s="208">
        <v>105.0</v>
      </c>
      <c r="AR61" s="208">
        <v>765.0</v>
      </c>
      <c r="AS61" s="208">
        <v>3101.82</v>
      </c>
      <c r="AT61" s="208">
        <v>0.0</v>
      </c>
      <c r="AU61" s="208">
        <v>38.0</v>
      </c>
      <c r="AV61" s="208">
        <v>39.0</v>
      </c>
      <c r="AW61" s="208">
        <v>42.0</v>
      </c>
      <c r="AX61" s="208">
        <v>20.0</v>
      </c>
      <c r="AY61" s="208" t="s">
        <v>1270</v>
      </c>
    </row>
    <row r="62">
      <c r="A62" s="208" t="s">
        <v>126</v>
      </c>
      <c r="B62" s="208" t="s">
        <v>130</v>
      </c>
      <c r="C62" s="208" t="s">
        <v>150</v>
      </c>
      <c r="D62" s="208" t="s">
        <v>130</v>
      </c>
      <c r="E62" s="208" t="s">
        <v>151</v>
      </c>
      <c r="F62" s="208" t="s">
        <v>1298</v>
      </c>
      <c r="H62" s="208">
        <v>0.0</v>
      </c>
      <c r="I62" s="208">
        <v>5000001.0</v>
      </c>
      <c r="J62" s="208">
        <v>5705001.32</v>
      </c>
      <c r="K62" s="208">
        <v>204300.69</v>
      </c>
      <c r="L62" s="208">
        <v>266.0</v>
      </c>
      <c r="M62" s="208">
        <v>154.0</v>
      </c>
      <c r="N62" s="208">
        <v>5.0</v>
      </c>
      <c r="O62" s="208">
        <v>271.0</v>
      </c>
      <c r="P62" s="208">
        <v>117.0</v>
      </c>
      <c r="Q62" s="208">
        <v>5548764.16</v>
      </c>
      <c r="R62" s="208">
        <v>156237.16</v>
      </c>
      <c r="S62" s="208">
        <v>125.0</v>
      </c>
      <c r="T62" s="208">
        <v>5.0</v>
      </c>
      <c r="U62" s="208">
        <v>130.0</v>
      </c>
      <c r="V62" s="208">
        <v>1.0</v>
      </c>
      <c r="W62" s="208">
        <v>14.0</v>
      </c>
      <c r="X62" s="208">
        <v>17.0</v>
      </c>
      <c r="Y62" s="208">
        <v>158.0</v>
      </c>
      <c r="Z62" s="208">
        <v>2.0</v>
      </c>
      <c r="AA62" s="208">
        <v>54.0</v>
      </c>
      <c r="AB62" s="208">
        <v>1.0</v>
      </c>
      <c r="AC62" s="208">
        <v>3.0</v>
      </c>
      <c r="AD62" s="208">
        <v>0.0</v>
      </c>
      <c r="AE62" s="208">
        <v>0.0</v>
      </c>
      <c r="AF62" s="208">
        <v>433.0</v>
      </c>
      <c r="AG62" s="208">
        <v>507.0</v>
      </c>
      <c r="AH62" s="208">
        <v>76.0</v>
      </c>
      <c r="AI62" s="208">
        <v>75066.0</v>
      </c>
      <c r="AJ62" s="208">
        <v>7.0</v>
      </c>
      <c r="AK62" s="208">
        <v>27951.0</v>
      </c>
      <c r="AL62" s="208">
        <v>0.0</v>
      </c>
      <c r="AM62" s="208">
        <v>0.0049</v>
      </c>
      <c r="AN62" s="208">
        <v>43885.0</v>
      </c>
      <c r="AO62" s="208">
        <v>1.14</v>
      </c>
      <c r="AP62" s="208">
        <v>0.0</v>
      </c>
      <c r="AQ62" s="208">
        <v>292.0</v>
      </c>
      <c r="AR62" s="208">
        <v>515.0</v>
      </c>
      <c r="AS62" s="208">
        <v>2387.63</v>
      </c>
      <c r="AT62" s="208">
        <v>5.0</v>
      </c>
      <c r="AU62" s="208">
        <v>16.0</v>
      </c>
      <c r="AV62" s="208">
        <v>130.0</v>
      </c>
      <c r="AW62" s="208">
        <v>55.0</v>
      </c>
      <c r="AX62" s="208">
        <v>86.0</v>
      </c>
      <c r="AY62" s="208" t="s">
        <v>1270</v>
      </c>
    </row>
    <row r="63">
      <c r="A63" s="208" t="s">
        <v>322</v>
      </c>
      <c r="B63" s="208" t="s">
        <v>325</v>
      </c>
      <c r="C63" s="208" t="s">
        <v>689</v>
      </c>
      <c r="D63" s="208" t="s">
        <v>1049</v>
      </c>
      <c r="E63" s="208" t="s">
        <v>1071</v>
      </c>
      <c r="F63" s="534">
        <v>44958.0</v>
      </c>
      <c r="G63" s="208" t="s">
        <v>322</v>
      </c>
      <c r="H63" s="208">
        <v>0.0</v>
      </c>
      <c r="I63" s="208">
        <v>0.0</v>
      </c>
      <c r="J63" s="208">
        <v>0.0</v>
      </c>
      <c r="K63" s="208">
        <v>0.0</v>
      </c>
      <c r="L63" s="208">
        <v>85.0</v>
      </c>
      <c r="M63" s="208">
        <v>0.0</v>
      </c>
      <c r="N63" s="208">
        <v>4.0</v>
      </c>
      <c r="O63" s="208">
        <v>89.0</v>
      </c>
      <c r="P63" s="208">
        <v>89.0</v>
      </c>
      <c r="Q63" s="208">
        <v>0.0</v>
      </c>
      <c r="R63" s="208">
        <v>0.0</v>
      </c>
      <c r="S63" s="208">
        <v>0.0</v>
      </c>
      <c r="T63" s="208">
        <v>0.0</v>
      </c>
      <c r="U63" s="208">
        <v>0.0</v>
      </c>
      <c r="V63" s="208">
        <v>0.0</v>
      </c>
      <c r="W63" s="208">
        <v>0.0</v>
      </c>
      <c r="X63" s="208">
        <v>0.0</v>
      </c>
      <c r="Y63" s="208">
        <v>226.0</v>
      </c>
      <c r="Z63" s="208">
        <v>0.0</v>
      </c>
      <c r="AA63" s="208">
        <v>0.0</v>
      </c>
      <c r="AB63" s="208">
        <v>0.0</v>
      </c>
      <c r="AC63" s="208">
        <v>0.0</v>
      </c>
      <c r="AD63" s="208">
        <v>0.0</v>
      </c>
      <c r="AE63" s="208">
        <v>0.0</v>
      </c>
      <c r="AF63" s="208">
        <v>0.0</v>
      </c>
      <c r="AG63" s="208">
        <v>0.0</v>
      </c>
      <c r="AH63" s="208">
        <v>0.0</v>
      </c>
      <c r="AI63" s="208">
        <v>0.0</v>
      </c>
      <c r="AJ63" s="208">
        <v>0.0</v>
      </c>
      <c r="AK63" s="208">
        <v>49500.0</v>
      </c>
      <c r="AL63" s="208">
        <v>0.0</v>
      </c>
      <c r="AM63" s="208">
        <v>0.0</v>
      </c>
      <c r="AN63" s="208">
        <v>0.0</v>
      </c>
      <c r="AO63" s="208">
        <v>0.0</v>
      </c>
      <c r="AP63" s="208">
        <v>0.0</v>
      </c>
      <c r="AQ63" s="208">
        <v>0.0</v>
      </c>
      <c r="AR63" s="208">
        <v>0.0</v>
      </c>
      <c r="AS63" s="208">
        <v>0.0</v>
      </c>
      <c r="AT63" s="208">
        <v>0.0</v>
      </c>
      <c r="AU63" s="208">
        <v>0.0</v>
      </c>
      <c r="AV63" s="208">
        <v>0.0</v>
      </c>
      <c r="AW63" s="208">
        <v>0.0</v>
      </c>
      <c r="AX63" s="208">
        <v>89.0</v>
      </c>
      <c r="AY63" s="535">
        <v>45941.0</v>
      </c>
    </row>
    <row r="64">
      <c r="A64" s="208" t="s">
        <v>185</v>
      </c>
      <c r="B64" s="208" t="s">
        <v>117</v>
      </c>
      <c r="C64" s="208" t="s">
        <v>120</v>
      </c>
      <c r="D64" s="208" t="s">
        <v>1044</v>
      </c>
      <c r="E64" s="208" t="s">
        <v>121</v>
      </c>
      <c r="F64" s="208" t="s">
        <v>1299</v>
      </c>
      <c r="H64" s="208">
        <v>0.0</v>
      </c>
      <c r="I64" s="208">
        <v>4200000.0</v>
      </c>
      <c r="J64" s="208">
        <v>1687192.98</v>
      </c>
      <c r="K64" s="208">
        <v>0.0</v>
      </c>
      <c r="L64" s="208">
        <v>142.0</v>
      </c>
      <c r="M64" s="208">
        <v>124.0</v>
      </c>
      <c r="N64" s="208">
        <v>0.0</v>
      </c>
      <c r="O64" s="208">
        <v>142.0</v>
      </c>
      <c r="P64" s="208">
        <v>18.0</v>
      </c>
      <c r="Q64" s="208">
        <v>1687192.98</v>
      </c>
      <c r="R64" s="208">
        <v>0.0</v>
      </c>
      <c r="S64" s="208">
        <v>69.0</v>
      </c>
      <c r="T64" s="208">
        <v>0.0</v>
      </c>
      <c r="U64" s="208">
        <v>69.0</v>
      </c>
      <c r="V64" s="208">
        <v>0.0</v>
      </c>
      <c r="W64" s="208">
        <v>0.0</v>
      </c>
      <c r="X64" s="208">
        <v>0.0</v>
      </c>
      <c r="Y64" s="208">
        <v>45.0</v>
      </c>
      <c r="Z64" s="208">
        <v>1.0</v>
      </c>
      <c r="AA64" s="208">
        <v>2.0</v>
      </c>
      <c r="AB64" s="208">
        <v>0.0</v>
      </c>
      <c r="AC64" s="208">
        <v>0.0</v>
      </c>
      <c r="AD64" s="208">
        <v>0.0</v>
      </c>
      <c r="AE64" s="208">
        <v>0.0</v>
      </c>
      <c r="AF64" s="208">
        <v>489.0</v>
      </c>
      <c r="AG64" s="208">
        <v>491.0</v>
      </c>
      <c r="AH64" s="208">
        <v>69.0</v>
      </c>
      <c r="AI64" s="208">
        <v>24452.0</v>
      </c>
      <c r="AJ64" s="208">
        <v>7.0</v>
      </c>
      <c r="AK64" s="208">
        <v>31778.0</v>
      </c>
      <c r="AL64" s="208">
        <v>0.0</v>
      </c>
      <c r="AM64" s="208">
        <v>0.0188</v>
      </c>
      <c r="AN64" s="208">
        <v>24452.0</v>
      </c>
      <c r="AO64" s="208">
        <v>0.4</v>
      </c>
      <c r="AP64" s="208">
        <v>0.0</v>
      </c>
      <c r="AQ64" s="208">
        <v>155.0</v>
      </c>
      <c r="AR64" s="208">
        <v>746.0</v>
      </c>
      <c r="AS64" s="208">
        <v>2280.11</v>
      </c>
      <c r="AT64" s="208">
        <v>0.0</v>
      </c>
      <c r="AU64" s="208">
        <v>18.0</v>
      </c>
      <c r="AV64" s="208">
        <v>69.0</v>
      </c>
      <c r="AW64" s="208">
        <v>55.0</v>
      </c>
      <c r="AX64" s="208">
        <v>18.0</v>
      </c>
      <c r="AY64" s="208" t="s">
        <v>1270</v>
      </c>
    </row>
    <row r="65">
      <c r="A65" s="208" t="s">
        <v>185</v>
      </c>
      <c r="B65" s="208" t="s">
        <v>189</v>
      </c>
      <c r="C65" s="208" t="s">
        <v>697</v>
      </c>
      <c r="D65" s="208" t="s">
        <v>1016</v>
      </c>
      <c r="E65" s="208" t="s">
        <v>1072</v>
      </c>
      <c r="F65" s="534">
        <v>44928.0</v>
      </c>
      <c r="G65" s="208" t="s">
        <v>203</v>
      </c>
      <c r="H65" s="208">
        <v>0.0</v>
      </c>
      <c r="I65" s="208">
        <v>1.2E7</v>
      </c>
      <c r="J65" s="208">
        <v>1.677238815E7</v>
      </c>
      <c r="K65" s="208">
        <v>0.0</v>
      </c>
      <c r="L65" s="208">
        <v>72.0</v>
      </c>
      <c r="M65" s="208">
        <v>67.0</v>
      </c>
      <c r="N65" s="208">
        <v>0.0</v>
      </c>
      <c r="O65" s="208">
        <v>72.0</v>
      </c>
      <c r="P65" s="208">
        <v>5.0</v>
      </c>
      <c r="Q65" s="208">
        <v>1.677238815E7</v>
      </c>
      <c r="R65" s="208">
        <v>0.0</v>
      </c>
      <c r="S65" s="208">
        <v>50.0</v>
      </c>
      <c r="T65" s="208">
        <v>0.0</v>
      </c>
      <c r="U65" s="208">
        <v>50.0</v>
      </c>
      <c r="V65" s="208">
        <v>0.0</v>
      </c>
      <c r="W65" s="208">
        <v>0.0</v>
      </c>
      <c r="X65" s="208">
        <v>0.0</v>
      </c>
      <c r="Y65" s="208">
        <v>61.0</v>
      </c>
      <c r="Z65" s="208">
        <v>2.0</v>
      </c>
      <c r="AA65" s="208">
        <v>7.0</v>
      </c>
      <c r="AB65" s="208">
        <v>0.0</v>
      </c>
      <c r="AC65" s="208">
        <v>0.0</v>
      </c>
      <c r="AD65" s="208">
        <v>0.0</v>
      </c>
      <c r="AE65" s="208">
        <v>0.0</v>
      </c>
      <c r="AF65" s="208">
        <v>315.0</v>
      </c>
      <c r="AG65" s="208">
        <v>322.0</v>
      </c>
      <c r="AH65" s="208">
        <v>74.0</v>
      </c>
      <c r="AI65" s="208">
        <v>226654.0</v>
      </c>
      <c r="AJ65" s="208">
        <v>4.0</v>
      </c>
      <c r="AK65" s="208">
        <v>24116.0</v>
      </c>
      <c r="AL65" s="208">
        <v>0.0</v>
      </c>
      <c r="AM65" s="208">
        <v>0.0014</v>
      </c>
      <c r="AN65" s="208">
        <v>335448.0</v>
      </c>
      <c r="AO65" s="208">
        <v>1.4</v>
      </c>
      <c r="AP65" s="208">
        <v>0.0</v>
      </c>
      <c r="AQ65" s="208">
        <v>113.0</v>
      </c>
      <c r="AR65" s="208">
        <v>863.0</v>
      </c>
      <c r="AS65" s="208">
        <v>2040.04</v>
      </c>
      <c r="AT65" s="208">
        <v>0.0</v>
      </c>
      <c r="AU65" s="208">
        <v>30.0</v>
      </c>
      <c r="AV65" s="208">
        <v>50.0</v>
      </c>
      <c r="AW65" s="208">
        <v>17.0</v>
      </c>
      <c r="AX65" s="208">
        <v>5.0</v>
      </c>
      <c r="AY65" s="208" t="s">
        <v>1270</v>
      </c>
    </row>
    <row r="66">
      <c r="A66" s="208" t="s">
        <v>53</v>
      </c>
      <c r="B66" s="208" t="s">
        <v>61</v>
      </c>
      <c r="C66" s="208" t="s">
        <v>373</v>
      </c>
      <c r="D66" s="208" t="s">
        <v>1098</v>
      </c>
      <c r="E66" s="208" t="s">
        <v>374</v>
      </c>
      <c r="F66" s="208" t="s">
        <v>1300</v>
      </c>
      <c r="G66" s="208" t="s">
        <v>754</v>
      </c>
      <c r="H66" s="208">
        <v>0.0</v>
      </c>
      <c r="I66" s="208">
        <v>0.0</v>
      </c>
      <c r="J66" s="208">
        <v>0.0</v>
      </c>
      <c r="K66" s="208">
        <v>0.0</v>
      </c>
      <c r="L66" s="208">
        <v>40.0</v>
      </c>
      <c r="M66" s="208">
        <v>0.0</v>
      </c>
      <c r="N66" s="208">
        <v>0.0</v>
      </c>
      <c r="O66" s="208">
        <v>40.0</v>
      </c>
      <c r="P66" s="208">
        <v>40.0</v>
      </c>
      <c r="Q66" s="208">
        <v>0.0</v>
      </c>
      <c r="R66" s="208">
        <v>0.0</v>
      </c>
      <c r="S66" s="208">
        <v>0.0</v>
      </c>
      <c r="T66" s="208">
        <v>0.0</v>
      </c>
      <c r="U66" s="208">
        <v>0.0</v>
      </c>
      <c r="V66" s="208">
        <v>0.0</v>
      </c>
      <c r="W66" s="208">
        <v>0.0</v>
      </c>
      <c r="X66" s="208">
        <v>0.0</v>
      </c>
      <c r="Y66" s="208">
        <v>654.0</v>
      </c>
      <c r="Z66" s="208">
        <v>0.0</v>
      </c>
      <c r="AA66" s="208">
        <v>0.0</v>
      </c>
      <c r="AB66" s="208">
        <v>0.0</v>
      </c>
      <c r="AC66" s="208">
        <v>0.0</v>
      </c>
      <c r="AD66" s="208">
        <v>0.0</v>
      </c>
      <c r="AE66" s="208">
        <v>0.0</v>
      </c>
      <c r="AF66" s="208">
        <v>0.0</v>
      </c>
      <c r="AG66" s="208">
        <v>0.0</v>
      </c>
      <c r="AH66" s="208">
        <v>0.0</v>
      </c>
      <c r="AI66" s="208">
        <v>0.0</v>
      </c>
      <c r="AJ66" s="208">
        <v>0.0</v>
      </c>
      <c r="AK66" s="208">
        <v>32500.0</v>
      </c>
      <c r="AL66" s="208">
        <v>0.0</v>
      </c>
      <c r="AM66" s="208">
        <v>0.0</v>
      </c>
      <c r="AN66" s="208">
        <v>0.0</v>
      </c>
      <c r="AO66" s="208">
        <v>0.0</v>
      </c>
      <c r="AP66" s="208">
        <v>0.0</v>
      </c>
      <c r="AQ66" s="208">
        <v>0.0</v>
      </c>
      <c r="AR66" s="208">
        <v>0.0</v>
      </c>
      <c r="AS66" s="208">
        <v>0.0</v>
      </c>
      <c r="AT66" s="208">
        <v>0.0</v>
      </c>
      <c r="AU66" s="208">
        <v>0.0</v>
      </c>
      <c r="AV66" s="208">
        <v>0.0</v>
      </c>
      <c r="AW66" s="208">
        <v>0.0</v>
      </c>
      <c r="AX66" s="208">
        <v>40.0</v>
      </c>
      <c r="AY66" s="534">
        <v>45816.0</v>
      </c>
    </row>
    <row r="67">
      <c r="A67" s="208" t="s">
        <v>53</v>
      </c>
      <c r="B67" s="208" t="s">
        <v>61</v>
      </c>
      <c r="C67" s="208" t="s">
        <v>375</v>
      </c>
      <c r="D67" s="208" t="s">
        <v>1077</v>
      </c>
      <c r="E67" s="208" t="s">
        <v>376</v>
      </c>
      <c r="F67" s="534">
        <v>45996.0</v>
      </c>
      <c r="G67" s="208" t="s">
        <v>754</v>
      </c>
      <c r="H67" s="208">
        <v>0.0</v>
      </c>
      <c r="I67" s="208">
        <v>0.0</v>
      </c>
      <c r="J67" s="208">
        <v>0.0</v>
      </c>
      <c r="K67" s="208">
        <v>0.0</v>
      </c>
      <c r="L67" s="208">
        <v>63.0</v>
      </c>
      <c r="M67" s="208">
        <v>0.0</v>
      </c>
      <c r="N67" s="208">
        <v>0.0</v>
      </c>
      <c r="O67" s="208">
        <v>63.0</v>
      </c>
      <c r="P67" s="208">
        <v>63.0</v>
      </c>
      <c r="Q67" s="208">
        <v>0.0</v>
      </c>
      <c r="R67" s="208">
        <v>0.0</v>
      </c>
      <c r="S67" s="208">
        <v>0.0</v>
      </c>
      <c r="T67" s="208">
        <v>0.0</v>
      </c>
      <c r="U67" s="208">
        <v>0.0</v>
      </c>
      <c r="V67" s="208">
        <v>0.0</v>
      </c>
      <c r="W67" s="208">
        <v>0.0</v>
      </c>
      <c r="X67" s="208">
        <v>0.0</v>
      </c>
      <c r="Y67" s="208">
        <v>303.0</v>
      </c>
      <c r="Z67" s="208">
        <v>0.0</v>
      </c>
      <c r="AA67" s="208">
        <v>0.0</v>
      </c>
      <c r="AB67" s="208">
        <v>0.0</v>
      </c>
      <c r="AC67" s="208">
        <v>0.0</v>
      </c>
      <c r="AD67" s="208">
        <v>0.0</v>
      </c>
      <c r="AE67" s="208">
        <v>0.0</v>
      </c>
      <c r="AF67" s="208">
        <v>0.0</v>
      </c>
      <c r="AG67" s="208">
        <v>0.0</v>
      </c>
      <c r="AH67" s="208">
        <v>0.0</v>
      </c>
      <c r="AI67" s="208">
        <v>0.0</v>
      </c>
      <c r="AJ67" s="208">
        <v>0.0</v>
      </c>
      <c r="AK67" s="208">
        <v>30400.0</v>
      </c>
      <c r="AL67" s="208">
        <v>0.0</v>
      </c>
      <c r="AM67" s="208">
        <v>0.0</v>
      </c>
      <c r="AN67" s="208">
        <v>0.0</v>
      </c>
      <c r="AO67" s="208">
        <v>0.0</v>
      </c>
      <c r="AP67" s="208">
        <v>0.0</v>
      </c>
      <c r="AQ67" s="208">
        <v>0.0</v>
      </c>
      <c r="AR67" s="208">
        <v>0.0</v>
      </c>
      <c r="AS67" s="208">
        <v>0.0</v>
      </c>
      <c r="AT67" s="208">
        <v>0.0</v>
      </c>
      <c r="AU67" s="208">
        <v>0.0</v>
      </c>
      <c r="AV67" s="208">
        <v>0.0</v>
      </c>
      <c r="AW67" s="208">
        <v>0.0</v>
      </c>
      <c r="AX67" s="208">
        <v>63.0</v>
      </c>
      <c r="AY67" s="208" t="s">
        <v>1301</v>
      </c>
    </row>
    <row r="68">
      <c r="A68" s="208" t="s">
        <v>23</v>
      </c>
      <c r="B68" s="208" t="s">
        <v>27</v>
      </c>
      <c r="C68" s="208" t="s">
        <v>702</v>
      </c>
      <c r="D68" s="208" t="s">
        <v>1073</v>
      </c>
      <c r="E68" s="208" t="s">
        <v>27</v>
      </c>
      <c r="F68" s="534">
        <v>45172.0</v>
      </c>
      <c r="G68" s="208" t="s">
        <v>23</v>
      </c>
      <c r="H68" s="208">
        <v>600000.0</v>
      </c>
      <c r="I68" s="208">
        <v>4500000.0</v>
      </c>
      <c r="J68" s="208">
        <v>1251403.65</v>
      </c>
      <c r="K68" s="208">
        <v>489633.4</v>
      </c>
      <c r="L68" s="208">
        <v>86.0</v>
      </c>
      <c r="M68" s="208">
        <v>64.0</v>
      </c>
      <c r="N68" s="208">
        <v>0.0</v>
      </c>
      <c r="O68" s="208">
        <v>86.0</v>
      </c>
      <c r="P68" s="208">
        <v>22.0</v>
      </c>
      <c r="Q68" s="208">
        <v>1251403.65</v>
      </c>
      <c r="R68" s="208">
        <v>0.0</v>
      </c>
      <c r="S68" s="208">
        <v>33.0</v>
      </c>
      <c r="T68" s="208">
        <v>0.0</v>
      </c>
      <c r="U68" s="208">
        <v>33.0</v>
      </c>
      <c r="V68" s="208">
        <v>3.0</v>
      </c>
      <c r="W68" s="208">
        <v>19.0</v>
      </c>
      <c r="X68" s="208">
        <v>36.0</v>
      </c>
      <c r="Y68" s="208">
        <v>121.0</v>
      </c>
      <c r="Z68" s="208">
        <v>3.0</v>
      </c>
      <c r="AA68" s="208">
        <v>25.0</v>
      </c>
      <c r="AB68" s="208">
        <v>7.0</v>
      </c>
      <c r="AC68" s="208">
        <v>66.0</v>
      </c>
      <c r="AD68" s="208">
        <v>3.0</v>
      </c>
      <c r="AE68" s="208">
        <v>26.0</v>
      </c>
      <c r="AF68" s="208">
        <v>338.0</v>
      </c>
      <c r="AG68" s="208">
        <v>491.0</v>
      </c>
      <c r="AH68" s="208">
        <v>70.0</v>
      </c>
      <c r="AI68" s="208">
        <v>17877.0</v>
      </c>
      <c r="AJ68" s="208">
        <v>7.0</v>
      </c>
      <c r="AK68" s="208">
        <v>26418.0</v>
      </c>
      <c r="AL68" s="208">
        <v>0.0</v>
      </c>
      <c r="AM68" s="208">
        <v>0.0211</v>
      </c>
      <c r="AN68" s="208">
        <v>37921.0</v>
      </c>
      <c r="AO68" s="208">
        <v>0.28</v>
      </c>
      <c r="AP68" s="208">
        <v>0.82</v>
      </c>
      <c r="AQ68" s="208">
        <v>63.0</v>
      </c>
      <c r="AR68" s="208">
        <v>756.0</v>
      </c>
      <c r="AS68" s="208">
        <v>1645.64</v>
      </c>
      <c r="AT68" s="208">
        <v>0.0</v>
      </c>
      <c r="AU68" s="208">
        <v>26.0</v>
      </c>
      <c r="AV68" s="208">
        <v>33.0</v>
      </c>
      <c r="AW68" s="208">
        <v>31.0</v>
      </c>
      <c r="AX68" s="208">
        <v>22.0</v>
      </c>
      <c r="AY68" s="208" t="s">
        <v>1270</v>
      </c>
    </row>
    <row r="69">
      <c r="A69" s="208" t="s">
        <v>126</v>
      </c>
      <c r="B69" s="208" t="s">
        <v>130</v>
      </c>
      <c r="C69" s="208" t="s">
        <v>704</v>
      </c>
      <c r="D69" s="208" t="s">
        <v>130</v>
      </c>
      <c r="E69" s="208" t="s">
        <v>439</v>
      </c>
      <c r="F69" s="208" t="s">
        <v>1302</v>
      </c>
      <c r="G69" s="208" t="s">
        <v>580</v>
      </c>
      <c r="H69" s="208">
        <v>0.0</v>
      </c>
      <c r="I69" s="208">
        <v>0.0</v>
      </c>
      <c r="J69" s="208">
        <v>0.0</v>
      </c>
      <c r="K69" s="208">
        <v>0.0</v>
      </c>
      <c r="L69" s="208">
        <v>34.0</v>
      </c>
      <c r="M69" s="208">
        <v>0.0</v>
      </c>
      <c r="N69" s="208">
        <v>0.0</v>
      </c>
      <c r="O69" s="208">
        <v>34.0</v>
      </c>
      <c r="P69" s="208">
        <v>34.0</v>
      </c>
      <c r="Q69" s="208">
        <v>0.0</v>
      </c>
      <c r="R69" s="208">
        <v>0.0</v>
      </c>
      <c r="S69" s="208">
        <v>0.0</v>
      </c>
      <c r="T69" s="208">
        <v>0.0</v>
      </c>
      <c r="U69" s="208">
        <v>0.0</v>
      </c>
      <c r="V69" s="208">
        <v>0.0</v>
      </c>
      <c r="W69" s="208">
        <v>0.0</v>
      </c>
      <c r="X69" s="208">
        <v>0.0</v>
      </c>
      <c r="Y69" s="208">
        <v>108.0</v>
      </c>
      <c r="Z69" s="208">
        <v>0.0</v>
      </c>
      <c r="AA69" s="208">
        <v>0.0</v>
      </c>
      <c r="AB69" s="208">
        <v>0.0</v>
      </c>
      <c r="AC69" s="208">
        <v>0.0</v>
      </c>
      <c r="AD69" s="208">
        <v>0.0</v>
      </c>
      <c r="AE69" s="208">
        <v>0.0</v>
      </c>
      <c r="AF69" s="208">
        <v>0.0</v>
      </c>
      <c r="AG69" s="208">
        <v>0.0</v>
      </c>
      <c r="AH69" s="208">
        <v>0.0</v>
      </c>
      <c r="AI69" s="208">
        <v>0.0</v>
      </c>
      <c r="AJ69" s="208">
        <v>0.0</v>
      </c>
      <c r="AK69" s="208">
        <v>32669.0</v>
      </c>
      <c r="AL69" s="208">
        <v>0.0</v>
      </c>
      <c r="AM69" s="208">
        <v>0.0</v>
      </c>
      <c r="AN69" s="208">
        <v>0.0</v>
      </c>
      <c r="AO69" s="208">
        <v>0.0</v>
      </c>
      <c r="AP69" s="208">
        <v>0.0</v>
      </c>
      <c r="AQ69" s="208">
        <v>0.0</v>
      </c>
      <c r="AR69" s="208">
        <v>0.0</v>
      </c>
      <c r="AS69" s="208">
        <v>0.0</v>
      </c>
      <c r="AT69" s="208">
        <v>0.0</v>
      </c>
      <c r="AU69" s="208">
        <v>0.0</v>
      </c>
      <c r="AV69" s="208">
        <v>0.0</v>
      </c>
      <c r="AW69" s="208">
        <v>0.0</v>
      </c>
      <c r="AX69" s="208">
        <v>34.0</v>
      </c>
      <c r="AY69" s="208" t="s">
        <v>1303</v>
      </c>
    </row>
    <row r="70">
      <c r="A70" s="208" t="s">
        <v>53</v>
      </c>
      <c r="B70" s="208" t="s">
        <v>56</v>
      </c>
      <c r="C70" s="208" t="s">
        <v>364</v>
      </c>
      <c r="D70" s="208" t="s">
        <v>1092</v>
      </c>
      <c r="E70" s="208" t="s">
        <v>365</v>
      </c>
      <c r="F70" s="208" t="s">
        <v>1304</v>
      </c>
      <c r="G70" s="208" t="s">
        <v>754</v>
      </c>
      <c r="H70" s="208">
        <v>0.0</v>
      </c>
      <c r="I70" s="208">
        <v>0.0</v>
      </c>
      <c r="J70" s="208">
        <v>0.0</v>
      </c>
      <c r="K70" s="208">
        <v>0.0</v>
      </c>
      <c r="L70" s="208">
        <v>36.0</v>
      </c>
      <c r="M70" s="208">
        <v>0.0</v>
      </c>
      <c r="N70" s="208">
        <v>1.0</v>
      </c>
      <c r="O70" s="208">
        <v>37.0</v>
      </c>
      <c r="P70" s="208">
        <v>37.0</v>
      </c>
      <c r="Q70" s="208">
        <v>0.0</v>
      </c>
      <c r="R70" s="208">
        <v>0.0</v>
      </c>
      <c r="S70" s="208">
        <v>0.0</v>
      </c>
      <c r="T70" s="208">
        <v>0.0</v>
      </c>
      <c r="U70" s="208">
        <v>0.0</v>
      </c>
      <c r="V70" s="208">
        <v>0.0</v>
      </c>
      <c r="W70" s="208">
        <v>0.0</v>
      </c>
      <c r="X70" s="208">
        <v>0.0</v>
      </c>
      <c r="Y70" s="208">
        <v>253.0</v>
      </c>
      <c r="Z70" s="208">
        <v>0.0</v>
      </c>
      <c r="AA70" s="208">
        <v>0.0</v>
      </c>
      <c r="AB70" s="208">
        <v>0.0</v>
      </c>
      <c r="AC70" s="208">
        <v>0.0</v>
      </c>
      <c r="AD70" s="208">
        <v>0.0</v>
      </c>
      <c r="AE70" s="208">
        <v>0.0</v>
      </c>
      <c r="AF70" s="208">
        <v>0.0</v>
      </c>
      <c r="AG70" s="208">
        <v>0.0</v>
      </c>
      <c r="AH70" s="208">
        <v>0.0</v>
      </c>
      <c r="AI70" s="208">
        <v>0.0</v>
      </c>
      <c r="AJ70" s="208">
        <v>0.0</v>
      </c>
      <c r="AK70" s="208">
        <v>25165.0</v>
      </c>
      <c r="AL70" s="208">
        <v>0.0</v>
      </c>
      <c r="AM70" s="208">
        <v>0.0</v>
      </c>
      <c r="AN70" s="208">
        <v>0.0</v>
      </c>
      <c r="AO70" s="208">
        <v>0.0</v>
      </c>
      <c r="AP70" s="208">
        <v>0.0</v>
      </c>
      <c r="AQ70" s="208">
        <v>0.0</v>
      </c>
      <c r="AR70" s="208">
        <v>0.0</v>
      </c>
      <c r="AS70" s="208">
        <v>0.0</v>
      </c>
      <c r="AT70" s="208">
        <v>0.0</v>
      </c>
      <c r="AU70" s="208">
        <v>0.0</v>
      </c>
      <c r="AV70" s="208">
        <v>0.0</v>
      </c>
      <c r="AW70" s="208">
        <v>0.0</v>
      </c>
      <c r="AX70" s="208">
        <v>37.0</v>
      </c>
      <c r="AY70" s="208" t="s">
        <v>1292</v>
      </c>
    </row>
    <row r="71">
      <c r="A71" s="208" t="s">
        <v>185</v>
      </c>
      <c r="B71" s="208" t="s">
        <v>215</v>
      </c>
      <c r="C71" s="208" t="s">
        <v>713</v>
      </c>
      <c r="D71" s="208" t="s">
        <v>1064</v>
      </c>
      <c r="E71" s="208" t="s">
        <v>1074</v>
      </c>
      <c r="F71" s="208" t="s">
        <v>1305</v>
      </c>
      <c r="G71" s="208" t="s">
        <v>185</v>
      </c>
      <c r="H71" s="208">
        <v>0.0</v>
      </c>
      <c r="I71" s="208">
        <v>4500000.0</v>
      </c>
      <c r="J71" s="208">
        <v>4203092.82</v>
      </c>
      <c r="K71" s="208">
        <v>0.0</v>
      </c>
      <c r="L71" s="208">
        <v>36.0</v>
      </c>
      <c r="M71" s="208">
        <v>32.0</v>
      </c>
      <c r="N71" s="208">
        <v>5.0</v>
      </c>
      <c r="O71" s="208">
        <v>41.0</v>
      </c>
      <c r="P71" s="208">
        <v>9.0</v>
      </c>
      <c r="Q71" s="208">
        <v>3256331.97</v>
      </c>
      <c r="R71" s="208">
        <v>946760.85</v>
      </c>
      <c r="S71" s="208">
        <v>16.0</v>
      </c>
      <c r="T71" s="208">
        <v>5.0</v>
      </c>
      <c r="U71" s="208">
        <v>21.0</v>
      </c>
      <c r="V71" s="208">
        <v>0.0</v>
      </c>
      <c r="W71" s="208">
        <v>13.0</v>
      </c>
      <c r="X71" s="208">
        <v>22.0</v>
      </c>
      <c r="Y71" s="208">
        <v>108.0</v>
      </c>
      <c r="Z71" s="208">
        <v>1.0</v>
      </c>
      <c r="AA71" s="208">
        <v>3.0</v>
      </c>
      <c r="AB71" s="208">
        <v>0.0</v>
      </c>
      <c r="AC71" s="208">
        <v>0.0</v>
      </c>
      <c r="AD71" s="208">
        <v>0.0</v>
      </c>
      <c r="AE71" s="208">
        <v>0.0</v>
      </c>
      <c r="AF71" s="208">
        <v>399.0</v>
      </c>
      <c r="AG71" s="208">
        <v>424.0</v>
      </c>
      <c r="AH71" s="208">
        <v>71.0</v>
      </c>
      <c r="AI71" s="208">
        <v>59198.0</v>
      </c>
      <c r="AJ71" s="208">
        <v>6.0</v>
      </c>
      <c r="AK71" s="208">
        <v>36400.0</v>
      </c>
      <c r="AL71" s="208">
        <v>0.0</v>
      </c>
      <c r="AM71" s="208">
        <v>0.0087</v>
      </c>
      <c r="AN71" s="208">
        <v>200147.0</v>
      </c>
      <c r="AO71" s="208">
        <v>0.93</v>
      </c>
      <c r="AP71" s="208">
        <v>0.0</v>
      </c>
      <c r="AQ71" s="208">
        <v>39.0</v>
      </c>
      <c r="AR71" s="208">
        <v>548.0</v>
      </c>
      <c r="AS71" s="208">
        <v>2159.76</v>
      </c>
      <c r="AT71" s="208">
        <v>5.0</v>
      </c>
      <c r="AU71" s="208">
        <v>67.0</v>
      </c>
      <c r="AV71" s="208">
        <v>21.0</v>
      </c>
      <c r="AW71" s="208">
        <v>12.0</v>
      </c>
      <c r="AX71" s="208">
        <v>8.0</v>
      </c>
      <c r="AY71" s="208" t="s">
        <v>1270</v>
      </c>
    </row>
    <row r="72">
      <c r="A72" s="208" t="s">
        <v>185</v>
      </c>
      <c r="B72" s="208" t="s">
        <v>189</v>
      </c>
      <c r="C72" s="208" t="s">
        <v>402</v>
      </c>
      <c r="D72" s="208" t="s">
        <v>1016</v>
      </c>
      <c r="E72" s="208" t="s">
        <v>192</v>
      </c>
      <c r="F72" s="208" t="s">
        <v>1305</v>
      </c>
      <c r="G72" s="208" t="s">
        <v>206</v>
      </c>
      <c r="H72" s="208">
        <v>0.0</v>
      </c>
      <c r="I72" s="208">
        <v>0.0</v>
      </c>
      <c r="J72" s="208">
        <v>0.0</v>
      </c>
      <c r="K72" s="208">
        <v>0.0</v>
      </c>
      <c r="L72" s="208">
        <v>76.0</v>
      </c>
      <c r="M72" s="208">
        <v>0.0</v>
      </c>
      <c r="N72" s="208">
        <v>0.0</v>
      </c>
      <c r="O72" s="208">
        <v>76.0</v>
      </c>
      <c r="P72" s="208">
        <v>76.0</v>
      </c>
      <c r="Q72" s="208">
        <v>0.0</v>
      </c>
      <c r="R72" s="208">
        <v>0.0</v>
      </c>
      <c r="S72" s="208">
        <v>0.0</v>
      </c>
      <c r="T72" s="208">
        <v>0.0</v>
      </c>
      <c r="U72" s="208">
        <v>0.0</v>
      </c>
      <c r="V72" s="208">
        <v>0.0</v>
      </c>
      <c r="W72" s="208">
        <v>0.0</v>
      </c>
      <c r="X72" s="208">
        <v>0.0</v>
      </c>
      <c r="Y72" s="208">
        <v>51.0</v>
      </c>
      <c r="Z72" s="208">
        <v>0.0</v>
      </c>
      <c r="AA72" s="208">
        <v>0.0</v>
      </c>
      <c r="AB72" s="208">
        <v>0.0</v>
      </c>
      <c r="AC72" s="208">
        <v>0.0</v>
      </c>
      <c r="AD72" s="208">
        <v>0.0</v>
      </c>
      <c r="AE72" s="208">
        <v>0.0</v>
      </c>
      <c r="AF72" s="208">
        <v>0.0</v>
      </c>
      <c r="AG72" s="208">
        <v>0.0</v>
      </c>
      <c r="AH72" s="208">
        <v>0.0</v>
      </c>
      <c r="AI72" s="208">
        <v>0.0</v>
      </c>
      <c r="AJ72" s="208">
        <v>0.0</v>
      </c>
      <c r="AK72" s="208">
        <v>25690.0</v>
      </c>
      <c r="AL72" s="208">
        <v>0.0</v>
      </c>
      <c r="AM72" s="208">
        <v>0.0</v>
      </c>
      <c r="AN72" s="208">
        <v>0.0</v>
      </c>
      <c r="AO72" s="208">
        <v>0.0</v>
      </c>
      <c r="AP72" s="208">
        <v>0.0</v>
      </c>
      <c r="AQ72" s="208">
        <v>0.0</v>
      </c>
      <c r="AR72" s="208">
        <v>0.0</v>
      </c>
      <c r="AS72" s="208">
        <v>0.0</v>
      </c>
      <c r="AT72" s="208">
        <v>0.0</v>
      </c>
      <c r="AU72" s="208">
        <v>0.0</v>
      </c>
      <c r="AV72" s="208">
        <v>0.0</v>
      </c>
      <c r="AW72" s="208">
        <v>0.0</v>
      </c>
      <c r="AX72" s="208">
        <v>76.0</v>
      </c>
      <c r="AY72" s="208" t="s">
        <v>1306</v>
      </c>
    </row>
    <row r="73">
      <c r="A73" s="208" t="s">
        <v>298</v>
      </c>
      <c r="B73" s="208" t="s">
        <v>301</v>
      </c>
      <c r="C73" s="208" t="s">
        <v>715</v>
      </c>
      <c r="D73" s="208" t="s">
        <v>1066</v>
      </c>
      <c r="E73" s="208" t="s">
        <v>303</v>
      </c>
      <c r="F73" s="534">
        <v>44931.0</v>
      </c>
      <c r="G73" s="208" t="s">
        <v>302</v>
      </c>
      <c r="H73" s="208">
        <v>0.0</v>
      </c>
      <c r="I73" s="208">
        <v>3600000.0</v>
      </c>
      <c r="J73" s="208">
        <v>3100155.74</v>
      </c>
      <c r="K73" s="208">
        <v>0.0</v>
      </c>
      <c r="L73" s="208">
        <v>119.0</v>
      </c>
      <c r="M73" s="208">
        <v>78.0</v>
      </c>
      <c r="N73" s="208">
        <v>3.0</v>
      </c>
      <c r="O73" s="208">
        <v>122.0</v>
      </c>
      <c r="P73" s="208">
        <v>44.0</v>
      </c>
      <c r="Q73" s="208">
        <v>2969992.32</v>
      </c>
      <c r="R73" s="208">
        <v>130163.42</v>
      </c>
      <c r="S73" s="208">
        <v>62.0</v>
      </c>
      <c r="T73" s="208">
        <v>3.0</v>
      </c>
      <c r="U73" s="208">
        <v>65.0</v>
      </c>
      <c r="V73" s="208">
        <v>0.0</v>
      </c>
      <c r="W73" s="208">
        <v>1.0</v>
      </c>
      <c r="X73" s="208">
        <v>1.0</v>
      </c>
      <c r="Y73" s="208">
        <v>166.0</v>
      </c>
      <c r="Z73" s="208">
        <v>3.0</v>
      </c>
      <c r="AA73" s="208">
        <v>20.0</v>
      </c>
      <c r="AB73" s="208">
        <v>0.0</v>
      </c>
      <c r="AC73" s="208">
        <v>0.0</v>
      </c>
      <c r="AD73" s="208">
        <v>0.0</v>
      </c>
      <c r="AE73" s="208">
        <v>0.0</v>
      </c>
      <c r="AF73" s="208">
        <v>341.0</v>
      </c>
      <c r="AG73" s="208">
        <v>362.0</v>
      </c>
      <c r="AH73" s="208">
        <v>73.0</v>
      </c>
      <c r="AI73" s="208">
        <v>42468.0</v>
      </c>
      <c r="AJ73" s="208">
        <v>5.0</v>
      </c>
      <c r="AK73" s="208">
        <v>37990.0</v>
      </c>
      <c r="AL73" s="208">
        <v>0.0</v>
      </c>
      <c r="AM73" s="208">
        <v>0.0123</v>
      </c>
      <c r="AN73" s="208">
        <v>47695.0</v>
      </c>
      <c r="AO73" s="208">
        <v>0.86</v>
      </c>
      <c r="AP73" s="208">
        <v>0.0</v>
      </c>
      <c r="AQ73" s="208">
        <v>183.0</v>
      </c>
      <c r="AR73" s="208">
        <v>700.0</v>
      </c>
      <c r="AS73" s="208">
        <v>1849.17</v>
      </c>
      <c r="AT73" s="208">
        <v>3.0</v>
      </c>
      <c r="AU73" s="208">
        <v>24.0</v>
      </c>
      <c r="AV73" s="208">
        <v>65.0</v>
      </c>
      <c r="AW73" s="208">
        <v>17.0</v>
      </c>
      <c r="AX73" s="208">
        <v>40.0</v>
      </c>
      <c r="AY73" s="208" t="s">
        <v>1270</v>
      </c>
    </row>
    <row r="74">
      <c r="A74" s="208" t="s">
        <v>298</v>
      </c>
      <c r="B74" s="208" t="s">
        <v>301</v>
      </c>
      <c r="C74" s="208" t="s">
        <v>716</v>
      </c>
      <c r="D74" s="208" t="s">
        <v>1066</v>
      </c>
      <c r="E74" s="208" t="s">
        <v>317</v>
      </c>
      <c r="F74" s="534">
        <v>44931.0</v>
      </c>
      <c r="G74" s="208" t="s">
        <v>298</v>
      </c>
      <c r="H74" s="208">
        <v>0.0</v>
      </c>
      <c r="I74" s="208">
        <v>0.0</v>
      </c>
      <c r="J74" s="208">
        <v>0.0</v>
      </c>
      <c r="K74" s="208">
        <v>0.0</v>
      </c>
      <c r="L74" s="208">
        <v>36.0</v>
      </c>
      <c r="M74" s="208">
        <v>0.0</v>
      </c>
      <c r="N74" s="208">
        <v>0.0</v>
      </c>
      <c r="O74" s="208">
        <v>36.0</v>
      </c>
      <c r="P74" s="208">
        <v>36.0</v>
      </c>
      <c r="Q74" s="208">
        <v>0.0</v>
      </c>
      <c r="R74" s="208">
        <v>0.0</v>
      </c>
      <c r="S74" s="208">
        <v>0.0</v>
      </c>
      <c r="T74" s="208">
        <v>0.0</v>
      </c>
      <c r="U74" s="208">
        <v>0.0</v>
      </c>
      <c r="V74" s="208">
        <v>0.0</v>
      </c>
      <c r="W74" s="208">
        <v>0.0</v>
      </c>
      <c r="X74" s="208">
        <v>0.0</v>
      </c>
      <c r="Y74" s="208">
        <v>123.0</v>
      </c>
      <c r="Z74" s="208">
        <v>0.0</v>
      </c>
      <c r="AA74" s="208">
        <v>0.0</v>
      </c>
      <c r="AB74" s="208">
        <v>0.0</v>
      </c>
      <c r="AC74" s="208">
        <v>0.0</v>
      </c>
      <c r="AD74" s="208">
        <v>0.0</v>
      </c>
      <c r="AE74" s="208">
        <v>0.0</v>
      </c>
      <c r="AF74" s="208">
        <v>0.0</v>
      </c>
      <c r="AG74" s="208">
        <v>0.0</v>
      </c>
      <c r="AH74" s="208">
        <v>0.0</v>
      </c>
      <c r="AI74" s="208">
        <v>0.0</v>
      </c>
      <c r="AJ74" s="208">
        <v>0.0</v>
      </c>
      <c r="AK74" s="208">
        <v>37335.0</v>
      </c>
      <c r="AL74" s="208">
        <v>0.0</v>
      </c>
      <c r="AM74" s="208">
        <v>0.0</v>
      </c>
      <c r="AN74" s="208">
        <v>0.0</v>
      </c>
      <c r="AO74" s="208">
        <v>0.0</v>
      </c>
      <c r="AP74" s="208">
        <v>0.0</v>
      </c>
      <c r="AQ74" s="208">
        <v>0.0</v>
      </c>
      <c r="AR74" s="208">
        <v>0.0</v>
      </c>
      <c r="AS74" s="208">
        <v>0.0</v>
      </c>
      <c r="AT74" s="208">
        <v>0.0</v>
      </c>
      <c r="AU74" s="208">
        <v>0.0</v>
      </c>
      <c r="AV74" s="208">
        <v>0.0</v>
      </c>
      <c r="AW74" s="208">
        <v>0.0</v>
      </c>
      <c r="AX74" s="208">
        <v>36.0</v>
      </c>
      <c r="AY74" s="534">
        <v>45874.0</v>
      </c>
    </row>
    <row r="75">
      <c r="A75" s="208" t="s">
        <v>185</v>
      </c>
      <c r="B75" s="208" t="s">
        <v>85</v>
      </c>
      <c r="C75" s="208" t="s">
        <v>387</v>
      </c>
      <c r="D75" s="208" t="s">
        <v>1058</v>
      </c>
      <c r="E75" s="208" t="s">
        <v>87</v>
      </c>
      <c r="F75" s="534">
        <v>45143.0</v>
      </c>
      <c r="G75" s="208" t="s">
        <v>86</v>
      </c>
      <c r="H75" s="208">
        <v>0.0</v>
      </c>
      <c r="I75" s="208">
        <v>0.0</v>
      </c>
      <c r="J75" s="208">
        <v>0.0</v>
      </c>
      <c r="K75" s="208">
        <v>0.0</v>
      </c>
      <c r="L75" s="208">
        <v>89.0</v>
      </c>
      <c r="M75" s="208">
        <v>0.0</v>
      </c>
      <c r="N75" s="208">
        <v>0.0</v>
      </c>
      <c r="O75" s="208">
        <v>89.0</v>
      </c>
      <c r="P75" s="208">
        <v>89.0</v>
      </c>
      <c r="Q75" s="208">
        <v>0.0</v>
      </c>
      <c r="R75" s="208">
        <v>0.0</v>
      </c>
      <c r="S75" s="208">
        <v>0.0</v>
      </c>
      <c r="T75" s="208">
        <v>0.0</v>
      </c>
      <c r="U75" s="208">
        <v>0.0</v>
      </c>
      <c r="V75" s="208">
        <v>0.0</v>
      </c>
      <c r="W75" s="208">
        <v>0.0</v>
      </c>
      <c r="X75" s="208">
        <v>0.0</v>
      </c>
      <c r="Y75" s="208">
        <v>10.0</v>
      </c>
      <c r="Z75" s="208">
        <v>0.0</v>
      </c>
      <c r="AA75" s="208">
        <v>0.0</v>
      </c>
      <c r="AB75" s="208">
        <v>0.0</v>
      </c>
      <c r="AC75" s="208">
        <v>0.0</v>
      </c>
      <c r="AD75" s="208">
        <v>0.0</v>
      </c>
      <c r="AE75" s="208">
        <v>0.0</v>
      </c>
      <c r="AF75" s="208">
        <v>0.0</v>
      </c>
      <c r="AG75" s="208">
        <v>0.0</v>
      </c>
      <c r="AH75" s="208">
        <v>0.0</v>
      </c>
      <c r="AI75" s="208">
        <v>0.0</v>
      </c>
      <c r="AJ75" s="208">
        <v>0.0</v>
      </c>
      <c r="AK75" s="208">
        <v>34422.0</v>
      </c>
      <c r="AL75" s="208">
        <v>0.0</v>
      </c>
      <c r="AM75" s="208">
        <v>0.0</v>
      </c>
      <c r="AN75" s="208">
        <v>0.0</v>
      </c>
      <c r="AO75" s="208">
        <v>0.0</v>
      </c>
      <c r="AP75" s="208">
        <v>0.0</v>
      </c>
      <c r="AQ75" s="208">
        <v>0.0</v>
      </c>
      <c r="AR75" s="208">
        <v>0.0</v>
      </c>
      <c r="AS75" s="208">
        <v>0.0</v>
      </c>
      <c r="AT75" s="208">
        <v>0.0</v>
      </c>
      <c r="AU75" s="208">
        <v>0.0</v>
      </c>
      <c r="AV75" s="208">
        <v>0.0</v>
      </c>
      <c r="AW75" s="208">
        <v>0.0</v>
      </c>
      <c r="AX75" s="208">
        <v>89.0</v>
      </c>
      <c r="AY75" s="208" t="s">
        <v>1307</v>
      </c>
    </row>
    <row r="76">
      <c r="A76" s="208" t="s">
        <v>185</v>
      </c>
      <c r="B76" s="208" t="s">
        <v>189</v>
      </c>
      <c r="C76" s="208" t="s">
        <v>726</v>
      </c>
      <c r="D76" s="208" t="s">
        <v>1016</v>
      </c>
      <c r="E76" s="208" t="s">
        <v>1075</v>
      </c>
      <c r="F76" s="534">
        <v>44931.0</v>
      </c>
      <c r="G76" s="208" t="s">
        <v>205</v>
      </c>
      <c r="H76" s="208">
        <v>0.0</v>
      </c>
      <c r="I76" s="208">
        <v>4500000.0</v>
      </c>
      <c r="J76" s="208">
        <v>4424606.98</v>
      </c>
      <c r="K76" s="208">
        <v>0.0</v>
      </c>
      <c r="L76" s="208">
        <v>52.0</v>
      </c>
      <c r="M76" s="208">
        <v>42.0</v>
      </c>
      <c r="N76" s="208">
        <v>3.0</v>
      </c>
      <c r="O76" s="208">
        <v>55.0</v>
      </c>
      <c r="P76" s="208">
        <v>13.0</v>
      </c>
      <c r="Q76" s="208">
        <v>3878753.38</v>
      </c>
      <c r="R76" s="208">
        <v>545853.6</v>
      </c>
      <c r="S76" s="208">
        <v>13.0</v>
      </c>
      <c r="T76" s="208">
        <v>2.0</v>
      </c>
      <c r="U76" s="208">
        <v>15.0</v>
      </c>
      <c r="V76" s="208">
        <v>0.0</v>
      </c>
      <c r="W76" s="208">
        <v>9.0</v>
      </c>
      <c r="X76" s="208">
        <v>16.0</v>
      </c>
      <c r="Y76" s="208">
        <v>212.0</v>
      </c>
      <c r="Z76" s="208">
        <v>1.0</v>
      </c>
      <c r="AA76" s="208">
        <v>1.0</v>
      </c>
      <c r="AB76" s="208">
        <v>0.0</v>
      </c>
      <c r="AC76" s="208">
        <v>0.0</v>
      </c>
      <c r="AD76" s="208">
        <v>0.0</v>
      </c>
      <c r="AE76" s="208">
        <v>0.0</v>
      </c>
      <c r="AF76" s="208">
        <v>393.0</v>
      </c>
      <c r="AG76" s="208">
        <v>410.0</v>
      </c>
      <c r="AH76" s="208">
        <v>71.0</v>
      </c>
      <c r="AI76" s="208">
        <v>62318.0</v>
      </c>
      <c r="AJ76" s="208">
        <v>6.0</v>
      </c>
      <c r="AK76" s="208">
        <v>31500.0</v>
      </c>
      <c r="AL76" s="208">
        <v>0.0</v>
      </c>
      <c r="AM76" s="208">
        <v>0.0071</v>
      </c>
      <c r="AN76" s="208">
        <v>294974.0</v>
      </c>
      <c r="AO76" s="208">
        <v>0.98</v>
      </c>
      <c r="AP76" s="208">
        <v>0.0</v>
      </c>
      <c r="AQ76" s="208">
        <v>20.0</v>
      </c>
      <c r="AR76" s="208">
        <v>680.0</v>
      </c>
      <c r="AS76" s="208">
        <v>3418.73</v>
      </c>
      <c r="AT76" s="208">
        <v>2.0</v>
      </c>
      <c r="AU76" s="208">
        <v>81.0</v>
      </c>
      <c r="AV76" s="208">
        <v>15.0</v>
      </c>
      <c r="AW76" s="208">
        <v>27.0</v>
      </c>
      <c r="AX76" s="208">
        <v>13.0</v>
      </c>
      <c r="AY76" s="208" t="s">
        <v>1270</v>
      </c>
    </row>
    <row r="77">
      <c r="A77" s="208" t="s">
        <v>185</v>
      </c>
      <c r="B77" s="208" t="s">
        <v>189</v>
      </c>
      <c r="C77" s="208" t="s">
        <v>728</v>
      </c>
      <c r="D77" s="208" t="s">
        <v>1016</v>
      </c>
      <c r="E77" s="208" t="s">
        <v>1075</v>
      </c>
      <c r="F77" s="534">
        <v>44931.0</v>
      </c>
      <c r="G77" s="208" t="s">
        <v>205</v>
      </c>
      <c r="H77" s="208">
        <v>0.0</v>
      </c>
      <c r="I77" s="208">
        <v>4500000.0</v>
      </c>
      <c r="J77" s="208">
        <v>5850177.41</v>
      </c>
      <c r="K77" s="208">
        <v>0.0</v>
      </c>
      <c r="L77" s="208">
        <v>61.0</v>
      </c>
      <c r="M77" s="208">
        <v>48.0</v>
      </c>
      <c r="N77" s="208">
        <v>7.0</v>
      </c>
      <c r="O77" s="208">
        <v>68.0</v>
      </c>
      <c r="P77" s="208">
        <v>20.0</v>
      </c>
      <c r="Q77" s="208">
        <v>5583659.67</v>
      </c>
      <c r="R77" s="208">
        <v>266517.74</v>
      </c>
      <c r="S77" s="208">
        <v>8.0</v>
      </c>
      <c r="T77" s="208">
        <v>6.0</v>
      </c>
      <c r="U77" s="208">
        <v>14.0</v>
      </c>
      <c r="V77" s="208">
        <v>0.0</v>
      </c>
      <c r="W77" s="208">
        <v>24.0</v>
      </c>
      <c r="X77" s="208">
        <v>33.0</v>
      </c>
      <c r="Y77" s="208">
        <v>259.0</v>
      </c>
      <c r="Z77" s="208">
        <v>2.0</v>
      </c>
      <c r="AA77" s="208">
        <v>7.0</v>
      </c>
      <c r="AB77" s="208">
        <v>0.0</v>
      </c>
      <c r="AC77" s="208">
        <v>0.0</v>
      </c>
      <c r="AD77" s="208">
        <v>0.0</v>
      </c>
      <c r="AE77" s="208">
        <v>0.0</v>
      </c>
      <c r="AF77" s="208">
        <v>256.0</v>
      </c>
      <c r="AG77" s="208">
        <v>296.0</v>
      </c>
      <c r="AH77" s="208">
        <v>69.0</v>
      </c>
      <c r="AI77" s="208">
        <v>84785.0</v>
      </c>
      <c r="AJ77" s="208">
        <v>4.0</v>
      </c>
      <c r="AK77" s="208">
        <v>26000.0</v>
      </c>
      <c r="AL77" s="208">
        <v>0.0</v>
      </c>
      <c r="AM77" s="208">
        <v>0.0044</v>
      </c>
      <c r="AN77" s="208">
        <v>417870.0</v>
      </c>
      <c r="AO77" s="208">
        <v>1.3</v>
      </c>
      <c r="AP77" s="208">
        <v>0.0</v>
      </c>
      <c r="AQ77" s="208">
        <v>33.0</v>
      </c>
      <c r="AR77" s="208">
        <v>531.0</v>
      </c>
      <c r="AS77" s="208">
        <v>1816.06</v>
      </c>
      <c r="AT77" s="208">
        <v>6.0</v>
      </c>
      <c r="AU77" s="208">
        <v>38.0</v>
      </c>
      <c r="AV77" s="208">
        <v>14.0</v>
      </c>
      <c r="AW77" s="208">
        <v>34.0</v>
      </c>
      <c r="AX77" s="208">
        <v>20.0</v>
      </c>
      <c r="AY77" s="208" t="s">
        <v>1270</v>
      </c>
    </row>
    <row r="78">
      <c r="A78" s="208" t="s">
        <v>185</v>
      </c>
      <c r="B78" s="208" t="s">
        <v>189</v>
      </c>
      <c r="C78" s="208" t="s">
        <v>237</v>
      </c>
      <c r="D78" s="208" t="s">
        <v>1016</v>
      </c>
      <c r="E78" s="208" t="s">
        <v>1076</v>
      </c>
      <c r="F78" s="534">
        <v>44962.0</v>
      </c>
      <c r="G78" s="208" t="s">
        <v>201</v>
      </c>
      <c r="H78" s="208">
        <v>0.0</v>
      </c>
      <c r="I78" s="208">
        <v>4500000.0</v>
      </c>
      <c r="J78" s="208">
        <v>3562333.82</v>
      </c>
      <c r="K78" s="208">
        <v>0.0</v>
      </c>
      <c r="L78" s="208">
        <v>57.0</v>
      </c>
      <c r="M78" s="208">
        <v>55.0</v>
      </c>
      <c r="N78" s="208">
        <v>1.0</v>
      </c>
      <c r="O78" s="208">
        <v>58.0</v>
      </c>
      <c r="P78" s="208">
        <v>3.0</v>
      </c>
      <c r="Q78" s="208">
        <v>3442490.74</v>
      </c>
      <c r="R78" s="208">
        <v>119843.08</v>
      </c>
      <c r="S78" s="208">
        <v>30.0</v>
      </c>
      <c r="T78" s="208">
        <v>1.0</v>
      </c>
      <c r="U78" s="208">
        <v>31.0</v>
      </c>
      <c r="V78" s="208">
        <v>0.0</v>
      </c>
      <c r="W78" s="208">
        <v>0.0</v>
      </c>
      <c r="X78" s="208">
        <v>0.0</v>
      </c>
      <c r="Y78" s="208">
        <v>1.0</v>
      </c>
      <c r="Z78" s="208">
        <v>2.0</v>
      </c>
      <c r="AA78" s="208">
        <v>57.0</v>
      </c>
      <c r="AB78" s="208">
        <v>0.0</v>
      </c>
      <c r="AC78" s="208">
        <v>0.0</v>
      </c>
      <c r="AD78" s="208">
        <v>0.0</v>
      </c>
      <c r="AE78" s="208">
        <v>0.0</v>
      </c>
      <c r="AF78" s="208">
        <v>306.0</v>
      </c>
      <c r="AG78" s="208">
        <v>363.0</v>
      </c>
      <c r="AH78" s="208">
        <v>69.0</v>
      </c>
      <c r="AI78" s="208">
        <v>51628.0</v>
      </c>
      <c r="AJ78" s="208">
        <v>5.0</v>
      </c>
      <c r="AK78" s="208">
        <v>26000.0</v>
      </c>
      <c r="AL78" s="208">
        <v>0.0</v>
      </c>
      <c r="AM78" s="208">
        <v>0.0073</v>
      </c>
      <c r="AN78" s="208">
        <v>114914.0</v>
      </c>
      <c r="AO78" s="208">
        <v>0.79</v>
      </c>
      <c r="AP78" s="208">
        <v>0.0</v>
      </c>
      <c r="AQ78" s="208">
        <v>60.0</v>
      </c>
      <c r="AR78" s="208">
        <v>659.0</v>
      </c>
      <c r="AS78" s="208">
        <v>2281.72</v>
      </c>
      <c r="AT78" s="208">
        <v>1.0</v>
      </c>
      <c r="AU78" s="208">
        <v>41.0</v>
      </c>
      <c r="AV78" s="208">
        <v>31.0</v>
      </c>
      <c r="AW78" s="208">
        <v>25.0</v>
      </c>
      <c r="AX78" s="208">
        <v>2.0</v>
      </c>
      <c r="AY78" s="208" t="s">
        <v>1270</v>
      </c>
    </row>
    <row r="79">
      <c r="A79" s="208" t="s">
        <v>185</v>
      </c>
      <c r="B79" s="208" t="s">
        <v>189</v>
      </c>
      <c r="C79" s="208" t="s">
        <v>732</v>
      </c>
      <c r="D79" s="208" t="s">
        <v>1016</v>
      </c>
      <c r="E79" s="208" t="s">
        <v>187</v>
      </c>
      <c r="F79" s="534">
        <v>44931.0</v>
      </c>
      <c r="G79" s="208" t="s">
        <v>186</v>
      </c>
      <c r="H79" s="208">
        <v>0.0</v>
      </c>
      <c r="I79" s="208">
        <v>0.0</v>
      </c>
      <c r="J79" s="208">
        <v>0.0</v>
      </c>
      <c r="K79" s="208">
        <v>0.0</v>
      </c>
      <c r="L79" s="208">
        <v>114.0</v>
      </c>
      <c r="M79" s="208">
        <v>0.0</v>
      </c>
      <c r="N79" s="208">
        <v>0.0</v>
      </c>
      <c r="O79" s="208">
        <v>114.0</v>
      </c>
      <c r="P79" s="208">
        <v>114.0</v>
      </c>
      <c r="Q79" s="208">
        <v>0.0</v>
      </c>
      <c r="R79" s="208">
        <v>0.0</v>
      </c>
      <c r="S79" s="208">
        <v>0.0</v>
      </c>
      <c r="T79" s="208">
        <v>0.0</v>
      </c>
      <c r="U79" s="208">
        <v>0.0</v>
      </c>
      <c r="V79" s="208">
        <v>0.0</v>
      </c>
      <c r="W79" s="208">
        <v>0.0</v>
      </c>
      <c r="X79" s="208">
        <v>0.0</v>
      </c>
      <c r="Y79" s="208">
        <v>50.0</v>
      </c>
      <c r="Z79" s="208">
        <v>0.0</v>
      </c>
      <c r="AA79" s="208">
        <v>0.0</v>
      </c>
      <c r="AB79" s="208">
        <v>0.0</v>
      </c>
      <c r="AC79" s="208">
        <v>0.0</v>
      </c>
      <c r="AD79" s="208">
        <v>0.0</v>
      </c>
      <c r="AE79" s="208">
        <v>0.0</v>
      </c>
      <c r="AF79" s="208">
        <v>0.0</v>
      </c>
      <c r="AG79" s="208">
        <v>0.0</v>
      </c>
      <c r="AH79" s="208">
        <v>0.0</v>
      </c>
      <c r="AI79" s="208">
        <v>0.0</v>
      </c>
      <c r="AJ79" s="208">
        <v>0.0</v>
      </c>
      <c r="AK79" s="208">
        <v>25167.0</v>
      </c>
      <c r="AL79" s="208">
        <v>0.0</v>
      </c>
      <c r="AM79" s="208">
        <v>0.0</v>
      </c>
      <c r="AN79" s="208">
        <v>0.0</v>
      </c>
      <c r="AO79" s="208">
        <v>0.0</v>
      </c>
      <c r="AP79" s="208">
        <v>0.0</v>
      </c>
      <c r="AQ79" s="208">
        <v>0.0</v>
      </c>
      <c r="AR79" s="208">
        <v>0.0</v>
      </c>
      <c r="AS79" s="208">
        <v>0.0</v>
      </c>
      <c r="AT79" s="208">
        <v>0.0</v>
      </c>
      <c r="AU79" s="208">
        <v>0.0</v>
      </c>
      <c r="AV79" s="208">
        <v>0.0</v>
      </c>
      <c r="AW79" s="208">
        <v>0.0</v>
      </c>
      <c r="AX79" s="208">
        <v>114.0</v>
      </c>
      <c r="AY79" s="208" t="s">
        <v>1308</v>
      </c>
    </row>
    <row r="80">
      <c r="A80" s="208" t="s">
        <v>53</v>
      </c>
      <c r="B80" s="208" t="s">
        <v>56</v>
      </c>
      <c r="C80" s="208" t="s">
        <v>733</v>
      </c>
      <c r="D80" s="208" t="s">
        <v>1092</v>
      </c>
      <c r="E80" s="208" t="s">
        <v>1309</v>
      </c>
      <c r="F80" s="208" t="s">
        <v>1310</v>
      </c>
      <c r="G80" s="208" t="s">
        <v>754</v>
      </c>
      <c r="H80" s="208">
        <v>0.0</v>
      </c>
      <c r="I80" s="208">
        <v>3000000.0</v>
      </c>
      <c r="J80" s="208">
        <v>0.0</v>
      </c>
      <c r="K80" s="208">
        <v>0.0</v>
      </c>
      <c r="L80" s="208">
        <v>73.0</v>
      </c>
      <c r="M80" s="208">
        <v>27.0</v>
      </c>
      <c r="N80" s="208">
        <v>5.0</v>
      </c>
      <c r="O80" s="208">
        <v>78.0</v>
      </c>
      <c r="P80" s="208">
        <v>51.0</v>
      </c>
      <c r="Q80" s="208">
        <v>0.0</v>
      </c>
      <c r="R80" s="208">
        <v>0.0</v>
      </c>
      <c r="S80" s="208">
        <v>0.0</v>
      </c>
      <c r="T80" s="208">
        <v>0.0</v>
      </c>
      <c r="U80" s="208">
        <v>0.0</v>
      </c>
      <c r="V80" s="208">
        <v>0.0</v>
      </c>
      <c r="W80" s="208">
        <v>57.0</v>
      </c>
      <c r="X80" s="208">
        <v>77.0</v>
      </c>
      <c r="Y80" s="208">
        <v>277.0</v>
      </c>
      <c r="Z80" s="208">
        <v>7.0</v>
      </c>
      <c r="AA80" s="208">
        <v>48.0</v>
      </c>
      <c r="AB80" s="208">
        <v>0.0</v>
      </c>
      <c r="AC80" s="208">
        <v>0.0</v>
      </c>
      <c r="AD80" s="208">
        <v>4.0</v>
      </c>
      <c r="AE80" s="208">
        <v>4.0</v>
      </c>
      <c r="AF80" s="208">
        <v>57.0</v>
      </c>
      <c r="AG80" s="208">
        <v>186.0</v>
      </c>
      <c r="AH80" s="208">
        <v>63.0</v>
      </c>
      <c r="AI80" s="208">
        <v>0.0</v>
      </c>
      <c r="AJ80" s="208">
        <v>3.0</v>
      </c>
      <c r="AK80" s="208">
        <v>29880.0</v>
      </c>
      <c r="AL80" s="208">
        <v>0.0</v>
      </c>
      <c r="AM80" s="208">
        <v>0.0</v>
      </c>
      <c r="AN80" s="208">
        <v>0.0</v>
      </c>
      <c r="AO80" s="208">
        <v>0.0</v>
      </c>
      <c r="AP80" s="208">
        <v>0.0</v>
      </c>
      <c r="AQ80" s="208">
        <v>0.0</v>
      </c>
      <c r="AR80" s="208">
        <v>499.0</v>
      </c>
      <c r="AS80" s="208">
        <v>2134.83</v>
      </c>
      <c r="AT80" s="208">
        <v>0.0</v>
      </c>
      <c r="AU80" s="208">
        <v>79.0</v>
      </c>
      <c r="AV80" s="208">
        <v>0.0</v>
      </c>
      <c r="AW80" s="208">
        <v>27.0</v>
      </c>
      <c r="AX80" s="208">
        <v>51.0</v>
      </c>
      <c r="AY80" s="208" t="s">
        <v>1270</v>
      </c>
    </row>
    <row r="81">
      <c r="A81" s="208" t="s">
        <v>185</v>
      </c>
      <c r="B81" s="208" t="s">
        <v>189</v>
      </c>
      <c r="C81" s="208" t="s">
        <v>738</v>
      </c>
      <c r="D81" s="208" t="s">
        <v>1016</v>
      </c>
      <c r="E81" s="208" t="s">
        <v>1075</v>
      </c>
      <c r="F81" s="534">
        <v>45204.0</v>
      </c>
      <c r="G81" s="208" t="s">
        <v>205</v>
      </c>
      <c r="H81" s="208">
        <v>0.0</v>
      </c>
      <c r="I81" s="208">
        <v>4500000.0</v>
      </c>
      <c r="J81" s="208">
        <v>5509562.66</v>
      </c>
      <c r="K81" s="208">
        <v>0.0</v>
      </c>
      <c r="L81" s="208">
        <v>70.0</v>
      </c>
      <c r="M81" s="208">
        <v>53.0</v>
      </c>
      <c r="N81" s="208">
        <v>6.0</v>
      </c>
      <c r="O81" s="208">
        <v>76.0</v>
      </c>
      <c r="P81" s="208">
        <v>23.0</v>
      </c>
      <c r="Q81" s="208">
        <v>5001243.27</v>
      </c>
      <c r="R81" s="208">
        <v>508319.39</v>
      </c>
      <c r="S81" s="208">
        <v>10.0</v>
      </c>
      <c r="T81" s="208">
        <v>4.0</v>
      </c>
      <c r="U81" s="208">
        <v>14.0</v>
      </c>
      <c r="V81" s="208">
        <v>0.0</v>
      </c>
      <c r="W81" s="208">
        <v>35.0</v>
      </c>
      <c r="X81" s="208">
        <v>56.0</v>
      </c>
      <c r="Y81" s="208">
        <v>277.0</v>
      </c>
      <c r="Z81" s="208">
        <v>1.0</v>
      </c>
      <c r="AA81" s="208">
        <v>1.0</v>
      </c>
      <c r="AB81" s="208">
        <v>0.0</v>
      </c>
      <c r="AC81" s="208">
        <v>0.0</v>
      </c>
      <c r="AD81" s="208">
        <v>0.0</v>
      </c>
      <c r="AE81" s="208">
        <v>0.0</v>
      </c>
      <c r="AF81" s="208">
        <v>310.0</v>
      </c>
      <c r="AG81" s="208">
        <v>367.0</v>
      </c>
      <c r="AH81" s="208">
        <v>62.0</v>
      </c>
      <c r="AI81" s="208">
        <v>88864.0</v>
      </c>
      <c r="AJ81" s="208">
        <v>6.0</v>
      </c>
      <c r="AK81" s="208">
        <v>24850.0</v>
      </c>
      <c r="AL81" s="208">
        <v>0.0</v>
      </c>
      <c r="AM81" s="208">
        <v>0.0045</v>
      </c>
      <c r="AN81" s="208">
        <v>393540.0</v>
      </c>
      <c r="AO81" s="208">
        <v>1.22</v>
      </c>
      <c r="AP81" s="208">
        <v>0.0</v>
      </c>
      <c r="AQ81" s="208">
        <v>28.0</v>
      </c>
      <c r="AR81" s="208">
        <v>655.0</v>
      </c>
      <c r="AS81" s="208">
        <v>2346.77</v>
      </c>
      <c r="AT81" s="208">
        <v>4.0</v>
      </c>
      <c r="AU81" s="208">
        <v>44.0</v>
      </c>
      <c r="AV81" s="208">
        <v>14.0</v>
      </c>
      <c r="AW81" s="208">
        <v>39.0</v>
      </c>
      <c r="AX81" s="208">
        <v>23.0</v>
      </c>
      <c r="AY81" s="208" t="s">
        <v>1270</v>
      </c>
    </row>
    <row r="82">
      <c r="A82" s="208" t="s">
        <v>185</v>
      </c>
      <c r="B82" s="208" t="s">
        <v>212</v>
      </c>
      <c r="C82" s="208" t="s">
        <v>744</v>
      </c>
      <c r="D82" s="208" t="s">
        <v>1031</v>
      </c>
      <c r="E82" s="208" t="s">
        <v>219</v>
      </c>
      <c r="F82" s="534">
        <v>45265.0</v>
      </c>
      <c r="G82" s="208" t="s">
        <v>218</v>
      </c>
      <c r="H82" s="208">
        <v>0.0</v>
      </c>
      <c r="I82" s="208">
        <v>0.0</v>
      </c>
      <c r="J82" s="208">
        <v>0.0</v>
      </c>
      <c r="K82" s="208">
        <v>0.0</v>
      </c>
      <c r="L82" s="208">
        <v>122.0</v>
      </c>
      <c r="M82" s="208">
        <v>0.0</v>
      </c>
      <c r="N82" s="208">
        <v>0.0</v>
      </c>
      <c r="O82" s="208">
        <v>122.0</v>
      </c>
      <c r="P82" s="208">
        <v>122.0</v>
      </c>
      <c r="Q82" s="208">
        <v>0.0</v>
      </c>
      <c r="R82" s="208">
        <v>0.0</v>
      </c>
      <c r="S82" s="208">
        <v>0.0</v>
      </c>
      <c r="T82" s="208">
        <v>0.0</v>
      </c>
      <c r="U82" s="208">
        <v>0.0</v>
      </c>
      <c r="V82" s="208">
        <v>0.0</v>
      </c>
      <c r="W82" s="208">
        <v>0.0</v>
      </c>
      <c r="X82" s="208">
        <v>0.0</v>
      </c>
      <c r="Y82" s="208">
        <v>384.0</v>
      </c>
      <c r="Z82" s="208">
        <v>0.0</v>
      </c>
      <c r="AA82" s="208">
        <v>0.0</v>
      </c>
      <c r="AB82" s="208">
        <v>0.0</v>
      </c>
      <c r="AC82" s="208">
        <v>0.0</v>
      </c>
      <c r="AD82" s="208">
        <v>0.0</v>
      </c>
      <c r="AE82" s="208">
        <v>0.0</v>
      </c>
      <c r="AF82" s="208">
        <v>0.0</v>
      </c>
      <c r="AG82" s="208">
        <v>0.0</v>
      </c>
      <c r="AH82" s="208">
        <v>0.0</v>
      </c>
      <c r="AI82" s="208">
        <v>0.0</v>
      </c>
      <c r="AJ82" s="208">
        <v>0.0</v>
      </c>
      <c r="AK82" s="208">
        <v>30770.0</v>
      </c>
      <c r="AL82" s="208">
        <v>0.0</v>
      </c>
      <c r="AM82" s="208">
        <v>0.0</v>
      </c>
      <c r="AN82" s="208">
        <v>0.0</v>
      </c>
      <c r="AO82" s="208">
        <v>0.0</v>
      </c>
      <c r="AP82" s="208">
        <v>0.0</v>
      </c>
      <c r="AQ82" s="208">
        <v>0.0</v>
      </c>
      <c r="AR82" s="208">
        <v>0.0</v>
      </c>
      <c r="AS82" s="208">
        <v>0.0</v>
      </c>
      <c r="AT82" s="208">
        <v>0.0</v>
      </c>
      <c r="AU82" s="208">
        <v>0.0</v>
      </c>
      <c r="AV82" s="208">
        <v>0.0</v>
      </c>
      <c r="AW82" s="208">
        <v>0.0</v>
      </c>
      <c r="AX82" s="208">
        <v>122.0</v>
      </c>
      <c r="AY82" s="208" t="s">
        <v>1311</v>
      </c>
    </row>
    <row r="83">
      <c r="A83" s="208" t="s">
        <v>53</v>
      </c>
      <c r="B83" s="208" t="s">
        <v>61</v>
      </c>
      <c r="C83" s="208" t="s">
        <v>746</v>
      </c>
      <c r="D83" s="208" t="s">
        <v>1077</v>
      </c>
      <c r="E83" s="208" t="s">
        <v>60</v>
      </c>
      <c r="F83" s="208" t="s">
        <v>1312</v>
      </c>
      <c r="G83" s="208" t="s">
        <v>754</v>
      </c>
      <c r="H83" s="208">
        <v>0.0</v>
      </c>
      <c r="I83" s="208">
        <v>4500000.0</v>
      </c>
      <c r="J83" s="208">
        <v>2097796.89</v>
      </c>
      <c r="K83" s="208">
        <v>0.0</v>
      </c>
      <c r="L83" s="208">
        <v>124.0</v>
      </c>
      <c r="M83" s="208">
        <v>78.0</v>
      </c>
      <c r="N83" s="208">
        <v>0.0</v>
      </c>
      <c r="O83" s="208">
        <v>124.0</v>
      </c>
      <c r="P83" s="208">
        <v>46.0</v>
      </c>
      <c r="Q83" s="208">
        <v>2097796.89</v>
      </c>
      <c r="R83" s="208">
        <v>0.0</v>
      </c>
      <c r="S83" s="208">
        <v>20.0</v>
      </c>
      <c r="T83" s="208">
        <v>0.0</v>
      </c>
      <c r="U83" s="208">
        <v>20.0</v>
      </c>
      <c r="V83" s="208">
        <v>0.0</v>
      </c>
      <c r="W83" s="208">
        <v>35.0</v>
      </c>
      <c r="X83" s="208">
        <v>49.0</v>
      </c>
      <c r="Y83" s="208">
        <v>475.0</v>
      </c>
      <c r="Z83" s="208">
        <v>3.0</v>
      </c>
      <c r="AA83" s="208">
        <v>19.0</v>
      </c>
      <c r="AB83" s="208">
        <v>0.0</v>
      </c>
      <c r="AC83" s="208">
        <v>0.0</v>
      </c>
      <c r="AD83" s="208">
        <v>3.0</v>
      </c>
      <c r="AE83" s="208">
        <v>3.0</v>
      </c>
      <c r="AF83" s="208">
        <v>308.0</v>
      </c>
      <c r="AG83" s="208">
        <v>379.0</v>
      </c>
      <c r="AH83" s="208">
        <v>67.0</v>
      </c>
      <c r="AI83" s="208">
        <v>31310.0</v>
      </c>
      <c r="AJ83" s="208">
        <v>6.0</v>
      </c>
      <c r="AK83" s="208">
        <v>34135.0</v>
      </c>
      <c r="AL83" s="208">
        <v>0.0</v>
      </c>
      <c r="AM83" s="208">
        <v>0.0163</v>
      </c>
      <c r="AN83" s="208">
        <v>104890.0</v>
      </c>
      <c r="AO83" s="208">
        <v>0.47</v>
      </c>
      <c r="AP83" s="208">
        <v>0.0</v>
      </c>
      <c r="AQ83" s="208">
        <v>37.0</v>
      </c>
      <c r="AR83" s="208">
        <v>681.0</v>
      </c>
      <c r="AS83" s="208">
        <v>2976.67</v>
      </c>
      <c r="AT83" s="208">
        <v>0.0</v>
      </c>
      <c r="AU83" s="208">
        <v>38.0</v>
      </c>
      <c r="AV83" s="208">
        <v>20.0</v>
      </c>
      <c r="AW83" s="208">
        <v>59.0</v>
      </c>
      <c r="AX83" s="208">
        <v>45.0</v>
      </c>
      <c r="AY83" s="208" t="s">
        <v>1270</v>
      </c>
    </row>
    <row r="84">
      <c r="A84" s="208" t="s">
        <v>185</v>
      </c>
      <c r="B84" s="208" t="s">
        <v>189</v>
      </c>
      <c r="C84" s="208" t="s">
        <v>747</v>
      </c>
      <c r="D84" s="208" t="s">
        <v>1016</v>
      </c>
      <c r="E84" s="208" t="s">
        <v>1078</v>
      </c>
      <c r="F84" s="208" t="s">
        <v>1313</v>
      </c>
      <c r="G84" s="208" t="s">
        <v>202</v>
      </c>
      <c r="H84" s="208">
        <v>0.0</v>
      </c>
      <c r="I84" s="208">
        <v>4500000.0</v>
      </c>
      <c r="J84" s="208">
        <v>2671229.0</v>
      </c>
      <c r="K84" s="208">
        <v>0.0</v>
      </c>
      <c r="L84" s="208">
        <v>47.0</v>
      </c>
      <c r="M84" s="208">
        <v>32.0</v>
      </c>
      <c r="N84" s="208">
        <v>1.0</v>
      </c>
      <c r="O84" s="208">
        <v>48.0</v>
      </c>
      <c r="P84" s="208">
        <v>16.0</v>
      </c>
      <c r="Q84" s="208">
        <v>2659085.0</v>
      </c>
      <c r="R84" s="208">
        <v>12144.0</v>
      </c>
      <c r="S84" s="208">
        <v>8.0</v>
      </c>
      <c r="T84" s="208">
        <v>1.0</v>
      </c>
      <c r="U84" s="208">
        <v>9.0</v>
      </c>
      <c r="V84" s="208">
        <v>0.0</v>
      </c>
      <c r="W84" s="208">
        <v>1.0</v>
      </c>
      <c r="X84" s="208">
        <v>1.0</v>
      </c>
      <c r="Y84" s="208">
        <v>94.0</v>
      </c>
      <c r="Z84" s="208">
        <v>1.0</v>
      </c>
      <c r="AA84" s="208">
        <v>9.0</v>
      </c>
      <c r="AB84" s="208">
        <v>0.0</v>
      </c>
      <c r="AC84" s="208">
        <v>0.0</v>
      </c>
      <c r="AD84" s="208">
        <v>0.0</v>
      </c>
      <c r="AE84" s="208">
        <v>0.0</v>
      </c>
      <c r="AF84" s="208">
        <v>246.0</v>
      </c>
      <c r="AG84" s="208">
        <v>256.0</v>
      </c>
      <c r="AH84" s="208">
        <v>74.0</v>
      </c>
      <c r="AI84" s="208">
        <v>36098.0</v>
      </c>
      <c r="AJ84" s="208">
        <v>3.0</v>
      </c>
      <c r="AK84" s="208">
        <v>29042.0</v>
      </c>
      <c r="AL84" s="208">
        <v>0.0</v>
      </c>
      <c r="AM84" s="208">
        <v>0.0109</v>
      </c>
      <c r="AN84" s="208">
        <v>296803.0</v>
      </c>
      <c r="AO84" s="208">
        <v>0.59</v>
      </c>
      <c r="AP84" s="208">
        <v>0.0</v>
      </c>
      <c r="AQ84" s="208">
        <v>34.0</v>
      </c>
      <c r="AR84" s="208">
        <v>826.0</v>
      </c>
      <c r="AS84" s="208">
        <v>3022.74</v>
      </c>
      <c r="AT84" s="208">
        <v>1.0</v>
      </c>
      <c r="AU84" s="208">
        <v>94.0</v>
      </c>
      <c r="AV84" s="208">
        <v>9.0</v>
      </c>
      <c r="AW84" s="208">
        <v>23.0</v>
      </c>
      <c r="AX84" s="208">
        <v>16.0</v>
      </c>
      <c r="AY84" s="208" t="s">
        <v>1270</v>
      </c>
    </row>
    <row r="85">
      <c r="A85" s="208" t="s">
        <v>185</v>
      </c>
      <c r="B85" s="208" t="s">
        <v>189</v>
      </c>
      <c r="C85" s="208" t="s">
        <v>240</v>
      </c>
      <c r="D85" s="208" t="s">
        <v>1016</v>
      </c>
      <c r="E85" s="208" t="s">
        <v>187</v>
      </c>
      <c r="F85" s="208" t="s">
        <v>1313</v>
      </c>
      <c r="G85" s="208" t="s">
        <v>186</v>
      </c>
      <c r="H85" s="208">
        <v>0.0</v>
      </c>
      <c r="I85" s="208">
        <v>4500000.0</v>
      </c>
      <c r="J85" s="208">
        <v>4224370.61</v>
      </c>
      <c r="K85" s="208">
        <v>0.0</v>
      </c>
      <c r="L85" s="208">
        <v>129.0</v>
      </c>
      <c r="M85" s="208">
        <v>92.0</v>
      </c>
      <c r="N85" s="208">
        <v>1.0</v>
      </c>
      <c r="O85" s="208">
        <v>130.0</v>
      </c>
      <c r="P85" s="208">
        <v>38.0</v>
      </c>
      <c r="Q85" s="208">
        <v>4119909.89</v>
      </c>
      <c r="R85" s="208">
        <v>104460.72</v>
      </c>
      <c r="S85" s="208">
        <v>79.0</v>
      </c>
      <c r="T85" s="208">
        <v>1.0</v>
      </c>
      <c r="U85" s="208">
        <v>80.0</v>
      </c>
      <c r="V85" s="208">
        <v>0.0</v>
      </c>
      <c r="W85" s="208">
        <v>0.0</v>
      </c>
      <c r="X85" s="208">
        <v>0.0</v>
      </c>
      <c r="Y85" s="208">
        <v>74.0</v>
      </c>
      <c r="Z85" s="208">
        <v>1.0</v>
      </c>
      <c r="AA85" s="208">
        <v>27.0</v>
      </c>
      <c r="AB85" s="208">
        <v>0.0</v>
      </c>
      <c r="AC85" s="208">
        <v>0.0</v>
      </c>
      <c r="AD85" s="208">
        <v>0.0</v>
      </c>
      <c r="AE85" s="208">
        <v>0.0</v>
      </c>
      <c r="AF85" s="208">
        <v>308.0</v>
      </c>
      <c r="AG85" s="208">
        <v>335.0</v>
      </c>
      <c r="AH85" s="208">
        <v>66.0</v>
      </c>
      <c r="AI85" s="208">
        <v>64006.0</v>
      </c>
      <c r="AJ85" s="208">
        <v>5.0</v>
      </c>
      <c r="AK85" s="208">
        <v>25212.0</v>
      </c>
      <c r="AL85" s="208">
        <v>0.0</v>
      </c>
      <c r="AM85" s="208">
        <v>0.006</v>
      </c>
      <c r="AN85" s="208">
        <v>52805.0</v>
      </c>
      <c r="AO85" s="208">
        <v>0.94</v>
      </c>
      <c r="AP85" s="208">
        <v>0.0</v>
      </c>
      <c r="AQ85" s="208">
        <v>163.0</v>
      </c>
      <c r="AR85" s="208">
        <v>690.0</v>
      </c>
      <c r="AS85" s="208">
        <v>2318.73</v>
      </c>
      <c r="AT85" s="208">
        <v>1.0</v>
      </c>
      <c r="AU85" s="208">
        <v>25.0</v>
      </c>
      <c r="AV85" s="208">
        <v>80.0</v>
      </c>
      <c r="AW85" s="208">
        <v>24.0</v>
      </c>
      <c r="AX85" s="208">
        <v>26.0</v>
      </c>
      <c r="AY85" s="208" t="s">
        <v>1270</v>
      </c>
    </row>
    <row r="86">
      <c r="A86" s="208" t="s">
        <v>185</v>
      </c>
      <c r="B86" s="208" t="s">
        <v>117</v>
      </c>
      <c r="C86" s="208" t="s">
        <v>428</v>
      </c>
      <c r="D86" s="208" t="s">
        <v>1044</v>
      </c>
      <c r="E86" s="208" t="s">
        <v>429</v>
      </c>
      <c r="F86" s="208" t="s">
        <v>1314</v>
      </c>
      <c r="H86" s="208">
        <v>0.0</v>
      </c>
      <c r="I86" s="208">
        <v>0.0</v>
      </c>
      <c r="J86" s="208">
        <v>0.0</v>
      </c>
      <c r="K86" s="208">
        <v>0.0</v>
      </c>
      <c r="L86" s="208">
        <v>57.0</v>
      </c>
      <c r="M86" s="208">
        <v>0.0</v>
      </c>
      <c r="N86" s="208">
        <v>0.0</v>
      </c>
      <c r="O86" s="208">
        <v>57.0</v>
      </c>
      <c r="P86" s="208">
        <v>57.0</v>
      </c>
      <c r="Q86" s="208">
        <v>0.0</v>
      </c>
      <c r="R86" s="208">
        <v>0.0</v>
      </c>
      <c r="S86" s="208">
        <v>0.0</v>
      </c>
      <c r="T86" s="208">
        <v>0.0</v>
      </c>
      <c r="U86" s="208">
        <v>0.0</v>
      </c>
      <c r="V86" s="208">
        <v>0.0</v>
      </c>
      <c r="W86" s="208">
        <v>0.0</v>
      </c>
      <c r="X86" s="208">
        <v>0.0</v>
      </c>
      <c r="Y86" s="208">
        <v>217.0</v>
      </c>
      <c r="Z86" s="208">
        <v>0.0</v>
      </c>
      <c r="AA86" s="208">
        <v>0.0</v>
      </c>
      <c r="AB86" s="208">
        <v>0.0</v>
      </c>
      <c r="AC86" s="208">
        <v>0.0</v>
      </c>
      <c r="AD86" s="208">
        <v>0.0</v>
      </c>
      <c r="AE86" s="208">
        <v>0.0</v>
      </c>
      <c r="AF86" s="208">
        <v>0.0</v>
      </c>
      <c r="AG86" s="208">
        <v>0.0</v>
      </c>
      <c r="AH86" s="208">
        <v>0.0</v>
      </c>
      <c r="AI86" s="208">
        <v>0.0</v>
      </c>
      <c r="AJ86" s="208">
        <v>0.0</v>
      </c>
      <c r="AK86" s="208">
        <v>37094.0</v>
      </c>
      <c r="AL86" s="208">
        <v>0.0</v>
      </c>
      <c r="AM86" s="208">
        <v>0.0</v>
      </c>
      <c r="AN86" s="208">
        <v>0.0</v>
      </c>
      <c r="AO86" s="208">
        <v>0.0</v>
      </c>
      <c r="AP86" s="208">
        <v>0.0</v>
      </c>
      <c r="AQ86" s="208">
        <v>0.0</v>
      </c>
      <c r="AR86" s="208">
        <v>0.0</v>
      </c>
      <c r="AS86" s="208">
        <v>0.0</v>
      </c>
      <c r="AT86" s="208">
        <v>0.0</v>
      </c>
      <c r="AU86" s="208">
        <v>0.0</v>
      </c>
      <c r="AV86" s="208">
        <v>0.0</v>
      </c>
      <c r="AW86" s="208">
        <v>0.0</v>
      </c>
      <c r="AX86" s="208">
        <v>57.0</v>
      </c>
      <c r="AY86" s="208" t="s">
        <v>1315</v>
      </c>
    </row>
    <row r="87">
      <c r="A87" s="208" t="s">
        <v>73</v>
      </c>
      <c r="B87" s="208" t="s">
        <v>1229</v>
      </c>
      <c r="C87" s="208" t="s">
        <v>77</v>
      </c>
      <c r="D87" s="208" t="s">
        <v>76</v>
      </c>
      <c r="E87" s="208" t="s">
        <v>78</v>
      </c>
      <c r="F87" s="208" t="s">
        <v>1316</v>
      </c>
      <c r="G87" s="208" t="s">
        <v>73</v>
      </c>
      <c r="H87" s="208">
        <v>375000.0</v>
      </c>
      <c r="I87" s="208">
        <v>6000000.0</v>
      </c>
      <c r="J87" s="208">
        <v>425843.01</v>
      </c>
      <c r="K87" s="208">
        <v>876490.44</v>
      </c>
      <c r="L87" s="208">
        <v>48.0</v>
      </c>
      <c r="M87" s="208">
        <v>23.0</v>
      </c>
      <c r="N87" s="208">
        <v>1.0</v>
      </c>
      <c r="O87" s="208">
        <v>49.0</v>
      </c>
      <c r="P87" s="208">
        <v>26.0</v>
      </c>
      <c r="Q87" s="208">
        <v>386006.51</v>
      </c>
      <c r="R87" s="208">
        <v>39836.5</v>
      </c>
      <c r="S87" s="208">
        <v>5.0</v>
      </c>
      <c r="T87" s="208">
        <v>1.0</v>
      </c>
      <c r="U87" s="208">
        <v>6.0</v>
      </c>
      <c r="V87" s="208">
        <v>6.0</v>
      </c>
      <c r="W87" s="208">
        <v>1.0</v>
      </c>
      <c r="X87" s="208">
        <v>1.0</v>
      </c>
      <c r="Y87" s="208">
        <v>154.0</v>
      </c>
      <c r="Z87" s="208">
        <v>8.0</v>
      </c>
      <c r="AA87" s="208">
        <v>35.0</v>
      </c>
      <c r="AB87" s="208">
        <v>12.0</v>
      </c>
      <c r="AC87" s="208">
        <v>109.0</v>
      </c>
      <c r="AD87" s="208">
        <v>1.0</v>
      </c>
      <c r="AE87" s="208">
        <v>1.0</v>
      </c>
      <c r="AF87" s="208">
        <v>66.0</v>
      </c>
      <c r="AG87" s="208">
        <v>212.0</v>
      </c>
      <c r="AH87" s="208">
        <v>70.0</v>
      </c>
      <c r="AI87" s="208">
        <v>6083.0</v>
      </c>
      <c r="AJ87" s="208">
        <v>3.0</v>
      </c>
      <c r="AK87" s="208">
        <v>34661.0</v>
      </c>
      <c r="AL87" s="208">
        <v>0.0</v>
      </c>
      <c r="AM87" s="208">
        <v>0.0814</v>
      </c>
      <c r="AN87" s="208">
        <v>70974.0</v>
      </c>
      <c r="AO87" s="208">
        <v>0.07</v>
      </c>
      <c r="AP87" s="208">
        <v>2.34</v>
      </c>
      <c r="AQ87" s="208">
        <v>6.0</v>
      </c>
      <c r="AR87" s="208">
        <v>572.0</v>
      </c>
      <c r="AS87" s="208">
        <v>1362.44</v>
      </c>
      <c r="AT87" s="208">
        <v>1.0</v>
      </c>
      <c r="AU87" s="208">
        <v>59.0</v>
      </c>
      <c r="AV87" s="208">
        <v>6.0</v>
      </c>
      <c r="AW87" s="208">
        <v>17.0</v>
      </c>
      <c r="AX87" s="208">
        <v>26.0</v>
      </c>
      <c r="AY87" s="208" t="s">
        <v>1270</v>
      </c>
    </row>
    <row r="88">
      <c r="A88" s="208" t="s">
        <v>53</v>
      </c>
      <c r="B88" s="208" t="s">
        <v>61</v>
      </c>
      <c r="C88" s="208" t="s">
        <v>363</v>
      </c>
      <c r="D88" s="208" t="s">
        <v>1077</v>
      </c>
      <c r="E88" s="208" t="s">
        <v>60</v>
      </c>
      <c r="F88" s="534">
        <v>44963.0</v>
      </c>
      <c r="G88" s="208" t="s">
        <v>754</v>
      </c>
      <c r="H88" s="208">
        <v>0.0</v>
      </c>
      <c r="I88" s="208">
        <v>0.0</v>
      </c>
      <c r="J88" s="208">
        <v>0.0</v>
      </c>
      <c r="K88" s="208">
        <v>0.0</v>
      </c>
      <c r="L88" s="208">
        <v>81.0</v>
      </c>
      <c r="M88" s="208">
        <v>0.0</v>
      </c>
      <c r="N88" s="208">
        <v>0.0</v>
      </c>
      <c r="O88" s="208">
        <v>81.0</v>
      </c>
      <c r="P88" s="208">
        <v>81.0</v>
      </c>
      <c r="Q88" s="208">
        <v>0.0</v>
      </c>
      <c r="R88" s="208">
        <v>0.0</v>
      </c>
      <c r="S88" s="208">
        <v>0.0</v>
      </c>
      <c r="T88" s="208">
        <v>0.0</v>
      </c>
      <c r="U88" s="208">
        <v>0.0</v>
      </c>
      <c r="V88" s="208">
        <v>0.0</v>
      </c>
      <c r="W88" s="208">
        <v>0.0</v>
      </c>
      <c r="X88" s="208">
        <v>0.0</v>
      </c>
      <c r="Y88" s="208">
        <v>620.0</v>
      </c>
      <c r="Z88" s="208">
        <v>0.0</v>
      </c>
      <c r="AA88" s="208">
        <v>0.0</v>
      </c>
      <c r="AB88" s="208">
        <v>0.0</v>
      </c>
      <c r="AC88" s="208">
        <v>0.0</v>
      </c>
      <c r="AD88" s="208">
        <v>0.0</v>
      </c>
      <c r="AE88" s="208">
        <v>0.0</v>
      </c>
      <c r="AF88" s="208">
        <v>0.0</v>
      </c>
      <c r="AG88" s="208">
        <v>0.0</v>
      </c>
      <c r="AH88" s="208">
        <v>0.0</v>
      </c>
      <c r="AI88" s="208">
        <v>0.0</v>
      </c>
      <c r="AJ88" s="208">
        <v>0.0</v>
      </c>
      <c r="AK88" s="208">
        <v>35853.0</v>
      </c>
      <c r="AL88" s="208">
        <v>0.0</v>
      </c>
      <c r="AM88" s="208">
        <v>0.0</v>
      </c>
      <c r="AN88" s="208">
        <v>0.0</v>
      </c>
      <c r="AO88" s="208">
        <v>0.0</v>
      </c>
      <c r="AP88" s="208">
        <v>0.0</v>
      </c>
      <c r="AQ88" s="208">
        <v>0.0</v>
      </c>
      <c r="AR88" s="208">
        <v>0.0</v>
      </c>
      <c r="AS88" s="208">
        <v>0.0</v>
      </c>
      <c r="AT88" s="208">
        <v>0.0</v>
      </c>
      <c r="AU88" s="208">
        <v>0.0</v>
      </c>
      <c r="AV88" s="208">
        <v>0.0</v>
      </c>
      <c r="AW88" s="208">
        <v>0.0</v>
      </c>
      <c r="AX88" s="208">
        <v>81.0</v>
      </c>
      <c r="AY88" s="208" t="s">
        <v>1317</v>
      </c>
    </row>
    <row r="89">
      <c r="A89" s="208" t="s">
        <v>53</v>
      </c>
      <c r="B89" s="208" t="s">
        <v>56</v>
      </c>
      <c r="C89" s="208" t="s">
        <v>54</v>
      </c>
      <c r="D89" s="208" t="s">
        <v>1092</v>
      </c>
      <c r="E89" s="208" t="s">
        <v>1095</v>
      </c>
      <c r="F89" s="208" t="s">
        <v>1310</v>
      </c>
      <c r="G89" s="208" t="s">
        <v>754</v>
      </c>
      <c r="H89" s="208">
        <v>0.0</v>
      </c>
      <c r="I89" s="208">
        <v>3000000.0</v>
      </c>
      <c r="J89" s="208">
        <v>1680920.88</v>
      </c>
      <c r="K89" s="208">
        <v>0.0</v>
      </c>
      <c r="L89" s="208">
        <v>96.0</v>
      </c>
      <c r="M89" s="208">
        <v>74.0</v>
      </c>
      <c r="N89" s="208">
        <v>4.0</v>
      </c>
      <c r="O89" s="208">
        <v>100.0</v>
      </c>
      <c r="P89" s="208">
        <v>26.0</v>
      </c>
      <c r="Q89" s="208">
        <v>1519768.51</v>
      </c>
      <c r="R89" s="208">
        <v>161152.37</v>
      </c>
      <c r="S89" s="208">
        <v>29.0</v>
      </c>
      <c r="T89" s="208">
        <v>4.0</v>
      </c>
      <c r="U89" s="208">
        <v>33.0</v>
      </c>
      <c r="V89" s="208">
        <v>0.0</v>
      </c>
      <c r="W89" s="208">
        <v>44.0</v>
      </c>
      <c r="X89" s="208">
        <v>58.0</v>
      </c>
      <c r="Y89" s="208">
        <v>485.0</v>
      </c>
      <c r="Z89" s="208">
        <v>4.0</v>
      </c>
      <c r="AA89" s="208">
        <v>56.0</v>
      </c>
      <c r="AB89" s="208">
        <v>0.0</v>
      </c>
      <c r="AC89" s="208">
        <v>0.0</v>
      </c>
      <c r="AD89" s="208">
        <v>0.0</v>
      </c>
      <c r="AE89" s="208">
        <v>0.0</v>
      </c>
      <c r="AF89" s="208">
        <v>275.0</v>
      </c>
      <c r="AG89" s="208">
        <v>389.0</v>
      </c>
      <c r="AH89" s="208">
        <v>67.0</v>
      </c>
      <c r="AI89" s="208">
        <v>25088.0</v>
      </c>
      <c r="AJ89" s="208">
        <v>6.0</v>
      </c>
      <c r="AK89" s="208">
        <v>26526.0</v>
      </c>
      <c r="AL89" s="208">
        <v>0.0</v>
      </c>
      <c r="AM89" s="208">
        <v>0.0158</v>
      </c>
      <c r="AN89" s="208">
        <v>50937.0</v>
      </c>
      <c r="AO89" s="208">
        <v>0.56</v>
      </c>
      <c r="AP89" s="208">
        <v>0.0</v>
      </c>
      <c r="AQ89" s="208">
        <v>71.0</v>
      </c>
      <c r="AR89" s="208">
        <v>756.0</v>
      </c>
      <c r="AS89" s="208">
        <v>2950.78</v>
      </c>
      <c r="AT89" s="208">
        <v>4.0</v>
      </c>
      <c r="AU89" s="208">
        <v>40.0</v>
      </c>
      <c r="AV89" s="208">
        <v>33.0</v>
      </c>
      <c r="AW89" s="208">
        <v>42.0</v>
      </c>
      <c r="AX89" s="208">
        <v>25.0</v>
      </c>
      <c r="AY89" s="208" t="s">
        <v>1270</v>
      </c>
    </row>
    <row r="90">
      <c r="A90" s="208" t="s">
        <v>126</v>
      </c>
      <c r="B90" s="208" t="s">
        <v>130</v>
      </c>
      <c r="C90" s="208" t="s">
        <v>152</v>
      </c>
      <c r="D90" s="208" t="s">
        <v>130</v>
      </c>
      <c r="E90" s="208" t="s">
        <v>153</v>
      </c>
      <c r="F90" s="534">
        <v>44991.0</v>
      </c>
      <c r="G90" s="208" t="s">
        <v>580</v>
      </c>
      <c r="H90" s="208">
        <v>1200000.0</v>
      </c>
      <c r="I90" s="208">
        <v>6300000.0</v>
      </c>
      <c r="J90" s="208">
        <v>5249407.79</v>
      </c>
      <c r="K90" s="208">
        <v>1385276.89</v>
      </c>
      <c r="L90" s="208">
        <v>137.0</v>
      </c>
      <c r="M90" s="208">
        <v>105.0</v>
      </c>
      <c r="N90" s="208">
        <v>2.0</v>
      </c>
      <c r="O90" s="208">
        <v>139.0</v>
      </c>
      <c r="P90" s="208">
        <v>34.0</v>
      </c>
      <c r="Q90" s="208">
        <v>4414199.39</v>
      </c>
      <c r="R90" s="208">
        <v>835208.4</v>
      </c>
      <c r="S90" s="208">
        <v>28.0</v>
      </c>
      <c r="T90" s="208">
        <v>2.0</v>
      </c>
      <c r="U90" s="208">
        <v>30.0</v>
      </c>
      <c r="V90" s="208">
        <v>6.0</v>
      </c>
      <c r="W90" s="208">
        <v>42.0</v>
      </c>
      <c r="X90" s="208">
        <v>55.0</v>
      </c>
      <c r="Y90" s="208">
        <v>285.0</v>
      </c>
      <c r="Z90" s="208">
        <v>6.0</v>
      </c>
      <c r="AA90" s="208">
        <v>29.0</v>
      </c>
      <c r="AB90" s="208">
        <v>7.0</v>
      </c>
      <c r="AC90" s="208">
        <v>25.0</v>
      </c>
      <c r="AD90" s="208">
        <v>0.0</v>
      </c>
      <c r="AE90" s="208">
        <v>0.0</v>
      </c>
      <c r="AF90" s="208">
        <v>383.0</v>
      </c>
      <c r="AG90" s="208">
        <v>492.0</v>
      </c>
      <c r="AH90" s="208">
        <v>71.0</v>
      </c>
      <c r="AI90" s="208">
        <v>73935.0</v>
      </c>
      <c r="AJ90" s="208">
        <v>7.0</v>
      </c>
      <c r="AK90" s="208">
        <v>31981.0</v>
      </c>
      <c r="AL90" s="208">
        <v>0.0</v>
      </c>
      <c r="AM90" s="208">
        <v>0.0061</v>
      </c>
      <c r="AN90" s="208">
        <v>174980.0</v>
      </c>
      <c r="AO90" s="208">
        <v>0.83</v>
      </c>
      <c r="AP90" s="208">
        <v>1.15</v>
      </c>
      <c r="AQ90" s="208">
        <v>76.0</v>
      </c>
      <c r="AR90" s="208">
        <v>759.0</v>
      </c>
      <c r="AS90" s="208">
        <v>3591.31</v>
      </c>
      <c r="AT90" s="208">
        <v>2.0</v>
      </c>
      <c r="AU90" s="208">
        <v>34.0</v>
      </c>
      <c r="AV90" s="208">
        <v>30.0</v>
      </c>
      <c r="AW90" s="208">
        <v>77.0</v>
      </c>
      <c r="AX90" s="208">
        <v>32.0</v>
      </c>
      <c r="AY90" s="208" t="s">
        <v>1270</v>
      </c>
    </row>
    <row r="91">
      <c r="A91" s="208" t="s">
        <v>185</v>
      </c>
      <c r="B91" s="208" t="s">
        <v>189</v>
      </c>
      <c r="C91" s="208" t="s">
        <v>755</v>
      </c>
      <c r="D91" s="208" t="s">
        <v>1016</v>
      </c>
      <c r="E91" s="208" t="s">
        <v>1079</v>
      </c>
      <c r="F91" s="534">
        <v>45113.0</v>
      </c>
      <c r="G91" s="208" t="s">
        <v>186</v>
      </c>
      <c r="H91" s="208">
        <v>0.0</v>
      </c>
      <c r="I91" s="208">
        <v>0.0</v>
      </c>
      <c r="J91" s="208">
        <v>0.0</v>
      </c>
      <c r="K91" s="208">
        <v>0.0</v>
      </c>
      <c r="L91" s="208">
        <v>91.0</v>
      </c>
      <c r="M91" s="208">
        <v>0.0</v>
      </c>
      <c r="N91" s="208">
        <v>1.0</v>
      </c>
      <c r="O91" s="208">
        <v>92.0</v>
      </c>
      <c r="P91" s="208">
        <v>92.0</v>
      </c>
      <c r="Q91" s="208">
        <v>0.0</v>
      </c>
      <c r="R91" s="208">
        <v>0.0</v>
      </c>
      <c r="S91" s="208">
        <v>0.0</v>
      </c>
      <c r="T91" s="208">
        <v>0.0</v>
      </c>
      <c r="U91" s="208">
        <v>0.0</v>
      </c>
      <c r="V91" s="208">
        <v>0.0</v>
      </c>
      <c r="W91" s="208">
        <v>0.0</v>
      </c>
      <c r="X91" s="208">
        <v>0.0</v>
      </c>
      <c r="Y91" s="208">
        <v>182.0</v>
      </c>
      <c r="Z91" s="208">
        <v>0.0</v>
      </c>
      <c r="AA91" s="208">
        <v>0.0</v>
      </c>
      <c r="AB91" s="208">
        <v>0.0</v>
      </c>
      <c r="AC91" s="208">
        <v>0.0</v>
      </c>
      <c r="AD91" s="208">
        <v>0.0</v>
      </c>
      <c r="AE91" s="208">
        <v>0.0</v>
      </c>
      <c r="AF91" s="208">
        <v>0.0</v>
      </c>
      <c r="AG91" s="208">
        <v>0.0</v>
      </c>
      <c r="AH91" s="208">
        <v>0.0</v>
      </c>
      <c r="AI91" s="208">
        <v>0.0</v>
      </c>
      <c r="AJ91" s="208">
        <v>0.0</v>
      </c>
      <c r="AK91" s="208">
        <v>25850.0</v>
      </c>
      <c r="AL91" s="208">
        <v>0.0</v>
      </c>
      <c r="AM91" s="208">
        <v>0.0</v>
      </c>
      <c r="AN91" s="208">
        <v>0.0</v>
      </c>
      <c r="AO91" s="208">
        <v>0.0</v>
      </c>
      <c r="AP91" s="208">
        <v>0.0</v>
      </c>
      <c r="AQ91" s="208">
        <v>0.0</v>
      </c>
      <c r="AR91" s="208">
        <v>0.0</v>
      </c>
      <c r="AS91" s="208">
        <v>0.0</v>
      </c>
      <c r="AT91" s="208">
        <v>0.0</v>
      </c>
      <c r="AU91" s="208">
        <v>0.0</v>
      </c>
      <c r="AV91" s="208">
        <v>0.0</v>
      </c>
      <c r="AW91" s="208">
        <v>0.0</v>
      </c>
      <c r="AX91" s="208">
        <v>92.0</v>
      </c>
      <c r="AY91" s="208" t="s">
        <v>1308</v>
      </c>
    </row>
    <row r="92">
      <c r="A92" s="208" t="s">
        <v>53</v>
      </c>
      <c r="B92" s="208" t="s">
        <v>61</v>
      </c>
      <c r="C92" s="208" t="s">
        <v>383</v>
      </c>
      <c r="D92" s="208" t="s">
        <v>1077</v>
      </c>
      <c r="E92" s="208" t="s">
        <v>384</v>
      </c>
      <c r="F92" s="208" t="s">
        <v>1318</v>
      </c>
      <c r="G92" s="208" t="s">
        <v>754</v>
      </c>
      <c r="H92" s="208">
        <v>0.0</v>
      </c>
      <c r="I92" s="208">
        <v>1412903.0</v>
      </c>
      <c r="J92" s="208">
        <v>0.0</v>
      </c>
      <c r="K92" s="208">
        <v>0.0</v>
      </c>
      <c r="L92" s="208">
        <v>79.0</v>
      </c>
      <c r="M92" s="208">
        <v>47.0</v>
      </c>
      <c r="N92" s="208">
        <v>0.0</v>
      </c>
      <c r="O92" s="208">
        <v>79.0</v>
      </c>
      <c r="P92" s="208">
        <v>32.0</v>
      </c>
      <c r="Q92" s="208">
        <v>0.0</v>
      </c>
      <c r="R92" s="208">
        <v>0.0</v>
      </c>
      <c r="S92" s="208">
        <v>0.0</v>
      </c>
      <c r="T92" s="208">
        <v>0.0</v>
      </c>
      <c r="U92" s="208">
        <v>0.0</v>
      </c>
      <c r="V92" s="208">
        <v>0.0</v>
      </c>
      <c r="W92" s="208">
        <v>95.0</v>
      </c>
      <c r="X92" s="208">
        <v>172.0</v>
      </c>
      <c r="Y92" s="208">
        <v>489.0</v>
      </c>
      <c r="Z92" s="208">
        <v>2.0</v>
      </c>
      <c r="AA92" s="208">
        <v>24.0</v>
      </c>
      <c r="AB92" s="208">
        <v>0.0</v>
      </c>
      <c r="AC92" s="208">
        <v>0.0</v>
      </c>
      <c r="AD92" s="208">
        <v>2.0</v>
      </c>
      <c r="AE92" s="208">
        <v>4.0</v>
      </c>
      <c r="AF92" s="208">
        <v>108.0</v>
      </c>
      <c r="AG92" s="208">
        <v>308.0</v>
      </c>
      <c r="AH92" s="208">
        <v>49.0</v>
      </c>
      <c r="AI92" s="208">
        <v>0.0</v>
      </c>
      <c r="AJ92" s="208">
        <v>6.0</v>
      </c>
      <c r="AK92" s="208">
        <v>40380.0</v>
      </c>
      <c r="AL92" s="208">
        <v>0.0</v>
      </c>
      <c r="AM92" s="208">
        <v>0.0</v>
      </c>
      <c r="AN92" s="208">
        <v>0.0</v>
      </c>
      <c r="AO92" s="208">
        <v>0.0</v>
      </c>
      <c r="AP92" s="208">
        <v>0.0</v>
      </c>
      <c r="AQ92" s="208">
        <v>0.0</v>
      </c>
      <c r="AR92" s="208">
        <v>496.0</v>
      </c>
      <c r="AS92" s="208">
        <v>3623.38</v>
      </c>
      <c r="AT92" s="208">
        <v>0.0</v>
      </c>
      <c r="AU92" s="208">
        <v>77.0</v>
      </c>
      <c r="AV92" s="208">
        <v>0.0</v>
      </c>
      <c r="AW92" s="208">
        <v>47.0</v>
      </c>
      <c r="AX92" s="208">
        <v>32.0</v>
      </c>
      <c r="AY92" s="208" t="s">
        <v>1270</v>
      </c>
    </row>
    <row r="93">
      <c r="A93" s="208" t="s">
        <v>185</v>
      </c>
      <c r="B93" s="208" t="s">
        <v>222</v>
      </c>
      <c r="C93" s="208" t="s">
        <v>244</v>
      </c>
      <c r="D93" s="208" t="s">
        <v>1080</v>
      </c>
      <c r="E93" s="208" t="s">
        <v>245</v>
      </c>
      <c r="F93" s="534">
        <v>44933.0</v>
      </c>
      <c r="G93" s="208" t="s">
        <v>185</v>
      </c>
      <c r="H93" s="208">
        <v>0.0</v>
      </c>
      <c r="I93" s="208">
        <v>4500000.0</v>
      </c>
      <c r="J93" s="208">
        <v>4119820.25</v>
      </c>
      <c r="K93" s="208">
        <v>0.0</v>
      </c>
      <c r="L93" s="208">
        <v>75.0</v>
      </c>
      <c r="M93" s="208">
        <v>64.0</v>
      </c>
      <c r="N93" s="208">
        <v>2.0</v>
      </c>
      <c r="O93" s="208">
        <v>77.0</v>
      </c>
      <c r="P93" s="208">
        <v>13.0</v>
      </c>
      <c r="Q93" s="208">
        <v>3456266.94</v>
      </c>
      <c r="R93" s="208">
        <v>663553.31</v>
      </c>
      <c r="S93" s="208">
        <v>16.0</v>
      </c>
      <c r="T93" s="208">
        <v>2.0</v>
      </c>
      <c r="U93" s="208">
        <v>18.0</v>
      </c>
      <c r="V93" s="208">
        <v>0.0</v>
      </c>
      <c r="W93" s="208">
        <v>27.0</v>
      </c>
      <c r="X93" s="208">
        <v>59.0</v>
      </c>
      <c r="Y93" s="208">
        <v>295.0</v>
      </c>
      <c r="Z93" s="208">
        <v>1.0</v>
      </c>
      <c r="AA93" s="208">
        <v>1.0</v>
      </c>
      <c r="AB93" s="208">
        <v>0.0</v>
      </c>
      <c r="AC93" s="208">
        <v>0.0</v>
      </c>
      <c r="AD93" s="208">
        <v>0.0</v>
      </c>
      <c r="AE93" s="208">
        <v>0.0</v>
      </c>
      <c r="AF93" s="208">
        <v>329.0</v>
      </c>
      <c r="AG93" s="208">
        <v>389.0</v>
      </c>
      <c r="AH93" s="208">
        <v>72.0</v>
      </c>
      <c r="AI93" s="208">
        <v>57220.0</v>
      </c>
      <c r="AJ93" s="208">
        <v>5.0</v>
      </c>
      <c r="AK93" s="208">
        <v>27680.0</v>
      </c>
      <c r="AL93" s="208">
        <v>0.0</v>
      </c>
      <c r="AM93" s="208">
        <v>0.0067</v>
      </c>
      <c r="AN93" s="208">
        <v>228879.0</v>
      </c>
      <c r="AO93" s="208">
        <v>0.92</v>
      </c>
      <c r="AP93" s="208">
        <v>0.0</v>
      </c>
      <c r="AQ93" s="208">
        <v>28.0</v>
      </c>
      <c r="AR93" s="208">
        <v>785.0</v>
      </c>
      <c r="AS93" s="208">
        <v>4121.2</v>
      </c>
      <c r="AT93" s="208">
        <v>2.0</v>
      </c>
      <c r="AU93" s="208">
        <v>64.0</v>
      </c>
      <c r="AV93" s="208">
        <v>18.0</v>
      </c>
      <c r="AW93" s="208">
        <v>47.0</v>
      </c>
      <c r="AX93" s="208">
        <v>12.0</v>
      </c>
      <c r="AY93" s="208" t="s">
        <v>1270</v>
      </c>
    </row>
    <row r="94">
      <c r="A94" s="208" t="s">
        <v>185</v>
      </c>
      <c r="B94" s="208" t="s">
        <v>189</v>
      </c>
      <c r="C94" s="208" t="s">
        <v>246</v>
      </c>
      <c r="D94" s="208" t="s">
        <v>1016</v>
      </c>
      <c r="E94" s="208" t="s">
        <v>247</v>
      </c>
      <c r="F94" s="534">
        <v>44933.0</v>
      </c>
      <c r="G94" s="208" t="s">
        <v>203</v>
      </c>
      <c r="H94" s="208">
        <v>0.0</v>
      </c>
      <c r="I94" s="208">
        <v>1.2E7</v>
      </c>
      <c r="J94" s="208">
        <v>1.406863171E7</v>
      </c>
      <c r="K94" s="208">
        <v>0.0</v>
      </c>
      <c r="L94" s="208">
        <v>148.0</v>
      </c>
      <c r="M94" s="208">
        <v>55.0</v>
      </c>
      <c r="N94" s="208">
        <v>1.0</v>
      </c>
      <c r="O94" s="208">
        <v>149.0</v>
      </c>
      <c r="P94" s="208">
        <v>94.0</v>
      </c>
      <c r="Q94" s="208">
        <v>1.391646921E7</v>
      </c>
      <c r="R94" s="208">
        <v>152162.5</v>
      </c>
      <c r="S94" s="208">
        <v>30.0</v>
      </c>
      <c r="T94" s="208">
        <v>1.0</v>
      </c>
      <c r="U94" s="208">
        <v>31.0</v>
      </c>
      <c r="V94" s="208">
        <v>0.0</v>
      </c>
      <c r="W94" s="208">
        <v>1.0</v>
      </c>
      <c r="X94" s="208">
        <v>1.0</v>
      </c>
      <c r="Y94" s="208">
        <v>67.0</v>
      </c>
      <c r="Z94" s="208">
        <v>2.0</v>
      </c>
      <c r="AA94" s="208">
        <v>10.0</v>
      </c>
      <c r="AB94" s="208">
        <v>0.0</v>
      </c>
      <c r="AC94" s="208">
        <v>0.0</v>
      </c>
      <c r="AD94" s="208">
        <v>0.0</v>
      </c>
      <c r="AE94" s="208">
        <v>0.0</v>
      </c>
      <c r="AF94" s="208">
        <v>399.0</v>
      </c>
      <c r="AG94" s="208">
        <v>410.0</v>
      </c>
      <c r="AH94" s="208">
        <v>74.0</v>
      </c>
      <c r="AI94" s="208">
        <v>190117.0</v>
      </c>
      <c r="AJ94" s="208">
        <v>6.0</v>
      </c>
      <c r="AK94" s="208">
        <v>20520.0</v>
      </c>
      <c r="AL94" s="208">
        <v>0.0</v>
      </c>
      <c r="AM94" s="208">
        <v>0.0015</v>
      </c>
      <c r="AN94" s="208">
        <v>453827.0</v>
      </c>
      <c r="AO94" s="208">
        <v>1.17</v>
      </c>
      <c r="AP94" s="208">
        <v>0.0</v>
      </c>
      <c r="AQ94" s="208">
        <v>59.0</v>
      </c>
      <c r="AR94" s="208">
        <v>719.0</v>
      </c>
      <c r="AS94" s="208">
        <v>1609.76</v>
      </c>
      <c r="AT94" s="208">
        <v>1.0</v>
      </c>
      <c r="AU94" s="208">
        <v>29.0</v>
      </c>
      <c r="AV94" s="208">
        <v>31.0</v>
      </c>
      <c r="AW94" s="208">
        <v>25.0</v>
      </c>
      <c r="AX94" s="208">
        <v>93.0</v>
      </c>
      <c r="AY94" s="208" t="s">
        <v>1270</v>
      </c>
    </row>
    <row r="95">
      <c r="A95" s="208" t="s">
        <v>185</v>
      </c>
      <c r="B95" s="208" t="s">
        <v>189</v>
      </c>
      <c r="C95" s="208" t="s">
        <v>248</v>
      </c>
      <c r="D95" s="208" t="s">
        <v>1016</v>
      </c>
      <c r="E95" s="208" t="s">
        <v>192</v>
      </c>
      <c r="F95" s="534">
        <v>45206.0</v>
      </c>
      <c r="G95" s="208" t="s">
        <v>202</v>
      </c>
      <c r="H95" s="208">
        <v>0.0</v>
      </c>
      <c r="I95" s="208">
        <v>4500000.0</v>
      </c>
      <c r="J95" s="208">
        <v>5633639.89</v>
      </c>
      <c r="K95" s="208">
        <v>0.0</v>
      </c>
      <c r="L95" s="208">
        <v>76.0</v>
      </c>
      <c r="M95" s="208">
        <v>51.0</v>
      </c>
      <c r="N95" s="208">
        <v>2.0</v>
      </c>
      <c r="O95" s="208">
        <v>78.0</v>
      </c>
      <c r="P95" s="208">
        <v>27.0</v>
      </c>
      <c r="Q95" s="208">
        <v>5204222.77</v>
      </c>
      <c r="R95" s="208">
        <v>429417.12</v>
      </c>
      <c r="S95" s="208">
        <v>23.0</v>
      </c>
      <c r="T95" s="208">
        <v>1.0</v>
      </c>
      <c r="U95" s="208">
        <v>24.0</v>
      </c>
      <c r="V95" s="208">
        <v>0.0</v>
      </c>
      <c r="W95" s="208">
        <v>5.0</v>
      </c>
      <c r="X95" s="208">
        <v>7.0</v>
      </c>
      <c r="Y95" s="208">
        <v>67.0</v>
      </c>
      <c r="Z95" s="208">
        <v>1.0</v>
      </c>
      <c r="AA95" s="208">
        <v>6.0</v>
      </c>
      <c r="AB95" s="208">
        <v>0.0</v>
      </c>
      <c r="AC95" s="208">
        <v>0.0</v>
      </c>
      <c r="AD95" s="208">
        <v>0.0</v>
      </c>
      <c r="AE95" s="208">
        <v>0.0</v>
      </c>
      <c r="AF95" s="208">
        <v>323.0</v>
      </c>
      <c r="AG95" s="208">
        <v>336.0</v>
      </c>
      <c r="AH95" s="208">
        <v>71.0</v>
      </c>
      <c r="AI95" s="208">
        <v>79347.0</v>
      </c>
      <c r="AJ95" s="208">
        <v>5.0</v>
      </c>
      <c r="AK95" s="208">
        <v>24356.0</v>
      </c>
      <c r="AL95" s="208">
        <v>0.0</v>
      </c>
      <c r="AM95" s="208">
        <v>0.0043</v>
      </c>
      <c r="AN95" s="208">
        <v>234735.0</v>
      </c>
      <c r="AO95" s="208">
        <v>1.25</v>
      </c>
      <c r="AP95" s="208">
        <v>0.0</v>
      </c>
      <c r="AQ95" s="208">
        <v>93.0</v>
      </c>
      <c r="AR95" s="208">
        <v>762.0</v>
      </c>
      <c r="AS95" s="208">
        <v>3193.6</v>
      </c>
      <c r="AT95" s="208">
        <v>1.0</v>
      </c>
      <c r="AU95" s="208">
        <v>63.0</v>
      </c>
      <c r="AV95" s="208">
        <v>24.0</v>
      </c>
      <c r="AW95" s="208">
        <v>27.0</v>
      </c>
      <c r="AX95" s="208">
        <v>27.0</v>
      </c>
      <c r="AY95" s="208" t="s">
        <v>1270</v>
      </c>
    </row>
    <row r="96">
      <c r="A96" s="208" t="s">
        <v>126</v>
      </c>
      <c r="B96" s="208" t="s">
        <v>145</v>
      </c>
      <c r="C96" s="208" t="s">
        <v>158</v>
      </c>
      <c r="D96" s="208" t="s">
        <v>1066</v>
      </c>
      <c r="E96" s="208" t="s">
        <v>159</v>
      </c>
      <c r="F96" s="208" t="s">
        <v>1319</v>
      </c>
      <c r="G96" s="208" t="s">
        <v>580</v>
      </c>
      <c r="H96" s="208">
        <v>0.0</v>
      </c>
      <c r="I96" s="208">
        <v>4950000.0</v>
      </c>
      <c r="J96" s="208">
        <v>2944164.36</v>
      </c>
      <c r="K96" s="208">
        <v>0.0</v>
      </c>
      <c r="L96" s="208">
        <v>43.0</v>
      </c>
      <c r="M96" s="208">
        <v>33.0</v>
      </c>
      <c r="N96" s="208">
        <v>0.0</v>
      </c>
      <c r="O96" s="208">
        <v>43.0</v>
      </c>
      <c r="P96" s="208">
        <v>10.0</v>
      </c>
      <c r="Q96" s="208">
        <v>2944164.36</v>
      </c>
      <c r="R96" s="208">
        <v>0.0</v>
      </c>
      <c r="S96" s="208">
        <v>23.0</v>
      </c>
      <c r="T96" s="208">
        <v>0.0</v>
      </c>
      <c r="U96" s="208">
        <v>23.0</v>
      </c>
      <c r="V96" s="208">
        <v>0.0</v>
      </c>
      <c r="W96" s="208">
        <v>105.0</v>
      </c>
      <c r="X96" s="208">
        <v>157.0</v>
      </c>
      <c r="Y96" s="208">
        <v>292.0</v>
      </c>
      <c r="Z96" s="208">
        <v>1.0</v>
      </c>
      <c r="AA96" s="208">
        <v>2.0</v>
      </c>
      <c r="AB96" s="208">
        <v>0.0</v>
      </c>
      <c r="AC96" s="208">
        <v>0.0</v>
      </c>
      <c r="AD96" s="208">
        <v>0.0</v>
      </c>
      <c r="AE96" s="208">
        <v>0.0</v>
      </c>
      <c r="AF96" s="208">
        <v>123.0</v>
      </c>
      <c r="AG96" s="208">
        <v>282.0</v>
      </c>
      <c r="AH96" s="208">
        <v>66.0</v>
      </c>
      <c r="AI96" s="208">
        <v>44609.0</v>
      </c>
      <c r="AJ96" s="208">
        <v>4.0</v>
      </c>
      <c r="AK96" s="208">
        <v>26500.0</v>
      </c>
      <c r="AL96" s="208">
        <v>0.0</v>
      </c>
      <c r="AM96" s="208">
        <v>0.009</v>
      </c>
      <c r="AN96" s="208">
        <v>128007.0</v>
      </c>
      <c r="AO96" s="208">
        <v>0.59</v>
      </c>
      <c r="AP96" s="208">
        <v>0.0</v>
      </c>
      <c r="AQ96" s="208">
        <v>81.0</v>
      </c>
      <c r="AR96" s="208">
        <v>751.0</v>
      </c>
      <c r="AS96" s="208">
        <v>2242.13</v>
      </c>
      <c r="AT96" s="208">
        <v>0.0</v>
      </c>
      <c r="AU96" s="208">
        <v>68.0</v>
      </c>
      <c r="AV96" s="208">
        <v>23.0</v>
      </c>
      <c r="AW96" s="208">
        <v>13.0</v>
      </c>
      <c r="AX96" s="208">
        <v>7.0</v>
      </c>
      <c r="AY96" s="208" t="s">
        <v>1270</v>
      </c>
    </row>
    <row r="97">
      <c r="A97" s="208" t="s">
        <v>126</v>
      </c>
      <c r="B97" s="208" t="s">
        <v>130</v>
      </c>
      <c r="C97" s="208" t="s">
        <v>154</v>
      </c>
      <c r="D97" s="208" t="s">
        <v>130</v>
      </c>
      <c r="E97" s="208" t="s">
        <v>155</v>
      </c>
      <c r="F97" s="208" t="s">
        <v>1320</v>
      </c>
      <c r="G97" s="208" t="s">
        <v>128</v>
      </c>
      <c r="H97" s="208">
        <v>0.0</v>
      </c>
      <c r="I97" s="208">
        <v>6624999.0</v>
      </c>
      <c r="J97" s="208">
        <v>7220985.56</v>
      </c>
      <c r="K97" s="208">
        <v>0.0</v>
      </c>
      <c r="L97" s="208">
        <v>72.0</v>
      </c>
      <c r="M97" s="208">
        <v>62.0</v>
      </c>
      <c r="N97" s="208">
        <v>3.0</v>
      </c>
      <c r="O97" s="208">
        <v>75.0</v>
      </c>
      <c r="P97" s="208">
        <v>13.0</v>
      </c>
      <c r="Q97" s="208">
        <v>6994081.86</v>
      </c>
      <c r="R97" s="208">
        <v>226903.7</v>
      </c>
      <c r="S97" s="208">
        <v>30.0</v>
      </c>
      <c r="T97" s="208">
        <v>3.0</v>
      </c>
      <c r="U97" s="208">
        <v>33.0</v>
      </c>
      <c r="V97" s="208">
        <v>0.0</v>
      </c>
      <c r="W97" s="208">
        <v>7.0</v>
      </c>
      <c r="X97" s="208">
        <v>8.0</v>
      </c>
      <c r="Y97" s="208">
        <v>92.0</v>
      </c>
      <c r="Z97" s="208">
        <v>2.0</v>
      </c>
      <c r="AA97" s="208">
        <v>10.0</v>
      </c>
      <c r="AB97" s="208">
        <v>0.0</v>
      </c>
      <c r="AC97" s="208">
        <v>0.0</v>
      </c>
      <c r="AD97" s="208">
        <v>0.0</v>
      </c>
      <c r="AE97" s="208">
        <v>0.0</v>
      </c>
      <c r="AF97" s="208">
        <v>230.0</v>
      </c>
      <c r="AG97" s="208">
        <v>248.0</v>
      </c>
      <c r="AH97" s="208">
        <v>68.0</v>
      </c>
      <c r="AI97" s="208">
        <v>106191.0</v>
      </c>
      <c r="AJ97" s="208">
        <v>4.0</v>
      </c>
      <c r="AK97" s="208">
        <v>34946.0</v>
      </c>
      <c r="AL97" s="208">
        <v>0.0</v>
      </c>
      <c r="AM97" s="208">
        <v>0.0048</v>
      </c>
      <c r="AN97" s="208">
        <v>218818.0</v>
      </c>
      <c r="AO97" s="208">
        <v>1.09</v>
      </c>
      <c r="AP97" s="208">
        <v>0.0</v>
      </c>
      <c r="AQ97" s="208">
        <v>51.0</v>
      </c>
      <c r="AR97" s="208">
        <v>638.0</v>
      </c>
      <c r="AS97" s="208">
        <v>1409.2</v>
      </c>
      <c r="AT97" s="208">
        <v>3.0</v>
      </c>
      <c r="AU97" s="208">
        <v>23.0</v>
      </c>
      <c r="AV97" s="208">
        <v>33.0</v>
      </c>
      <c r="AW97" s="208">
        <v>31.0</v>
      </c>
      <c r="AX97" s="208">
        <v>11.0</v>
      </c>
      <c r="AY97" s="208" t="s">
        <v>1270</v>
      </c>
    </row>
    <row r="98">
      <c r="A98" s="208" t="s">
        <v>126</v>
      </c>
      <c r="B98" s="208" t="s">
        <v>130</v>
      </c>
      <c r="C98" s="208" t="s">
        <v>156</v>
      </c>
      <c r="D98" s="208" t="s">
        <v>130</v>
      </c>
      <c r="E98" s="208" t="s">
        <v>157</v>
      </c>
      <c r="F98" s="208" t="s">
        <v>1321</v>
      </c>
      <c r="G98" s="208" t="s">
        <v>128</v>
      </c>
      <c r="H98" s="208">
        <v>0.0</v>
      </c>
      <c r="I98" s="208">
        <v>5375001.0</v>
      </c>
      <c r="J98" s="208">
        <v>3650186.28</v>
      </c>
      <c r="K98" s="208">
        <v>0.0</v>
      </c>
      <c r="L98" s="208">
        <v>61.0</v>
      </c>
      <c r="M98" s="208">
        <v>47.0</v>
      </c>
      <c r="N98" s="208">
        <v>1.0</v>
      </c>
      <c r="O98" s="208">
        <v>62.0</v>
      </c>
      <c r="P98" s="208">
        <v>15.0</v>
      </c>
      <c r="Q98" s="208">
        <v>3624286.28</v>
      </c>
      <c r="R98" s="208">
        <v>25900.0</v>
      </c>
      <c r="S98" s="208">
        <v>35.0</v>
      </c>
      <c r="T98" s="208">
        <v>1.0</v>
      </c>
      <c r="U98" s="208">
        <v>36.0</v>
      </c>
      <c r="V98" s="208">
        <v>0.0</v>
      </c>
      <c r="W98" s="208">
        <v>63.0</v>
      </c>
      <c r="X98" s="208">
        <v>98.0</v>
      </c>
      <c r="Y98" s="208">
        <v>335.0</v>
      </c>
      <c r="Z98" s="208">
        <v>1.0</v>
      </c>
      <c r="AA98" s="208">
        <v>38.0</v>
      </c>
      <c r="AB98" s="208">
        <v>0.0</v>
      </c>
      <c r="AC98" s="208">
        <v>0.0</v>
      </c>
      <c r="AD98" s="208">
        <v>0.0</v>
      </c>
      <c r="AE98" s="208">
        <v>0.0</v>
      </c>
      <c r="AF98" s="208">
        <v>341.0</v>
      </c>
      <c r="AG98" s="208">
        <v>477.0</v>
      </c>
      <c r="AH98" s="208">
        <v>67.0</v>
      </c>
      <c r="AI98" s="208">
        <v>54480.0</v>
      </c>
      <c r="AJ98" s="208">
        <v>7.0</v>
      </c>
      <c r="AK98" s="208">
        <v>30785.0</v>
      </c>
      <c r="AL98" s="208">
        <v>0.0</v>
      </c>
      <c r="AM98" s="208">
        <v>0.0084</v>
      </c>
      <c r="AN98" s="208">
        <v>101394.0</v>
      </c>
      <c r="AO98" s="208">
        <v>0.68</v>
      </c>
      <c r="AP98" s="208">
        <v>0.0</v>
      </c>
      <c r="AQ98" s="208">
        <v>79.0</v>
      </c>
      <c r="AR98" s="208">
        <v>474.0</v>
      </c>
      <c r="AS98" s="208">
        <v>2012.62</v>
      </c>
      <c r="AT98" s="208">
        <v>1.0</v>
      </c>
      <c r="AU98" s="208">
        <v>43.0</v>
      </c>
      <c r="AV98" s="208">
        <v>36.0</v>
      </c>
      <c r="AW98" s="208">
        <v>14.0</v>
      </c>
      <c r="AX98" s="208">
        <v>12.0</v>
      </c>
      <c r="AY98" s="208" t="s">
        <v>1270</v>
      </c>
    </row>
    <row r="99">
      <c r="A99" s="208" t="s">
        <v>126</v>
      </c>
      <c r="B99" s="208" t="s">
        <v>135</v>
      </c>
      <c r="C99" s="208" t="s">
        <v>770</v>
      </c>
      <c r="D99" s="208" t="s">
        <v>1022</v>
      </c>
      <c r="E99" s="208" t="s">
        <v>1081</v>
      </c>
      <c r="F99" s="534">
        <v>45115.0</v>
      </c>
      <c r="G99" s="208" t="s">
        <v>136</v>
      </c>
      <c r="H99" s="208">
        <v>0.0</v>
      </c>
      <c r="I99" s="208">
        <v>5499999.0</v>
      </c>
      <c r="J99" s="208">
        <v>4464193.66</v>
      </c>
      <c r="K99" s="208">
        <v>0.0</v>
      </c>
      <c r="L99" s="208">
        <v>72.0</v>
      </c>
      <c r="M99" s="208">
        <v>67.0</v>
      </c>
      <c r="N99" s="208">
        <v>3.0</v>
      </c>
      <c r="O99" s="208">
        <v>75.0</v>
      </c>
      <c r="P99" s="208">
        <v>8.0</v>
      </c>
      <c r="Q99" s="208">
        <v>4052354.09</v>
      </c>
      <c r="R99" s="208">
        <v>411839.57</v>
      </c>
      <c r="S99" s="208">
        <v>37.0</v>
      </c>
      <c r="T99" s="208">
        <v>3.0</v>
      </c>
      <c r="U99" s="208">
        <v>40.0</v>
      </c>
      <c r="V99" s="208">
        <v>0.0</v>
      </c>
      <c r="W99" s="208">
        <v>27.0</v>
      </c>
      <c r="X99" s="208">
        <v>32.0</v>
      </c>
      <c r="Y99" s="208">
        <v>207.0</v>
      </c>
      <c r="Z99" s="208">
        <v>1.0</v>
      </c>
      <c r="AA99" s="208">
        <v>22.0</v>
      </c>
      <c r="AB99" s="208">
        <v>1.0</v>
      </c>
      <c r="AC99" s="208">
        <v>4.0</v>
      </c>
      <c r="AD99" s="208">
        <v>0.0</v>
      </c>
      <c r="AE99" s="208">
        <v>0.0</v>
      </c>
      <c r="AF99" s="208">
        <v>253.0</v>
      </c>
      <c r="AG99" s="208">
        <v>311.0</v>
      </c>
      <c r="AH99" s="208">
        <v>67.0</v>
      </c>
      <c r="AI99" s="208">
        <v>66630.0</v>
      </c>
      <c r="AJ99" s="208">
        <v>5.0</v>
      </c>
      <c r="AK99" s="208">
        <v>33259.0</v>
      </c>
      <c r="AL99" s="208">
        <v>0.0</v>
      </c>
      <c r="AM99" s="208">
        <v>0.0075</v>
      </c>
      <c r="AN99" s="208">
        <v>111605.0</v>
      </c>
      <c r="AO99" s="208">
        <v>0.81</v>
      </c>
      <c r="AP99" s="208">
        <v>0.0</v>
      </c>
      <c r="AQ99" s="208">
        <v>152.0</v>
      </c>
      <c r="AR99" s="208">
        <v>638.0</v>
      </c>
      <c r="AS99" s="208">
        <v>2509.8</v>
      </c>
      <c r="AT99" s="208">
        <v>3.0</v>
      </c>
      <c r="AU99" s="208">
        <v>37.0</v>
      </c>
      <c r="AV99" s="208">
        <v>40.0</v>
      </c>
      <c r="AW99" s="208">
        <v>27.0</v>
      </c>
      <c r="AX99" s="208">
        <v>8.0</v>
      </c>
      <c r="AY99" s="208" t="s">
        <v>1270</v>
      </c>
    </row>
    <row r="100">
      <c r="A100" s="208" t="s">
        <v>185</v>
      </c>
      <c r="B100" s="208" t="s">
        <v>189</v>
      </c>
      <c r="C100" s="208" t="s">
        <v>414</v>
      </c>
      <c r="D100" s="208" t="s">
        <v>1016</v>
      </c>
      <c r="E100" s="208" t="s">
        <v>415</v>
      </c>
      <c r="F100" s="534">
        <v>45207.0</v>
      </c>
      <c r="G100" s="208" t="s">
        <v>186</v>
      </c>
      <c r="H100" s="208">
        <v>0.0</v>
      </c>
      <c r="I100" s="208">
        <v>0.0</v>
      </c>
      <c r="J100" s="208">
        <v>0.0</v>
      </c>
      <c r="K100" s="208">
        <v>0.0</v>
      </c>
      <c r="L100" s="208">
        <v>101.0</v>
      </c>
      <c r="M100" s="208">
        <v>0.0</v>
      </c>
      <c r="N100" s="208">
        <v>0.0</v>
      </c>
      <c r="O100" s="208">
        <v>101.0</v>
      </c>
      <c r="P100" s="208">
        <v>101.0</v>
      </c>
      <c r="Q100" s="208">
        <v>0.0</v>
      </c>
      <c r="R100" s="208">
        <v>0.0</v>
      </c>
      <c r="S100" s="208">
        <v>0.0</v>
      </c>
      <c r="T100" s="208">
        <v>0.0</v>
      </c>
      <c r="U100" s="208">
        <v>0.0</v>
      </c>
      <c r="V100" s="208">
        <v>0.0</v>
      </c>
      <c r="W100" s="208">
        <v>0.0</v>
      </c>
      <c r="X100" s="208">
        <v>0.0</v>
      </c>
      <c r="Y100" s="208">
        <v>255.0</v>
      </c>
      <c r="Z100" s="208">
        <v>0.0</v>
      </c>
      <c r="AA100" s="208">
        <v>0.0</v>
      </c>
      <c r="AB100" s="208">
        <v>0.0</v>
      </c>
      <c r="AC100" s="208">
        <v>0.0</v>
      </c>
      <c r="AD100" s="208">
        <v>0.0</v>
      </c>
      <c r="AE100" s="208">
        <v>0.0</v>
      </c>
      <c r="AF100" s="208">
        <v>0.0</v>
      </c>
      <c r="AG100" s="208">
        <v>0.0</v>
      </c>
      <c r="AH100" s="208">
        <v>0.0</v>
      </c>
      <c r="AI100" s="208">
        <v>0.0</v>
      </c>
      <c r="AJ100" s="208">
        <v>0.0</v>
      </c>
      <c r="AK100" s="208">
        <v>26870.0</v>
      </c>
      <c r="AL100" s="208">
        <v>0.0</v>
      </c>
      <c r="AM100" s="208">
        <v>0.0</v>
      </c>
      <c r="AN100" s="208">
        <v>0.0</v>
      </c>
      <c r="AO100" s="208">
        <v>0.0</v>
      </c>
      <c r="AP100" s="208">
        <v>0.0</v>
      </c>
      <c r="AQ100" s="208">
        <v>0.0</v>
      </c>
      <c r="AR100" s="208">
        <v>0.0</v>
      </c>
      <c r="AS100" s="208">
        <v>0.0</v>
      </c>
      <c r="AT100" s="208">
        <v>0.0</v>
      </c>
      <c r="AU100" s="208">
        <v>0.0</v>
      </c>
      <c r="AV100" s="208">
        <v>0.0</v>
      </c>
      <c r="AW100" s="208">
        <v>0.0</v>
      </c>
      <c r="AX100" s="208">
        <v>101.0</v>
      </c>
      <c r="AY100" s="208" t="s">
        <v>1322</v>
      </c>
    </row>
    <row r="101">
      <c r="A101" s="208" t="s">
        <v>126</v>
      </c>
      <c r="B101" s="208" t="s">
        <v>135</v>
      </c>
      <c r="C101" s="208" t="s">
        <v>772</v>
      </c>
      <c r="D101" s="208" t="s">
        <v>1042</v>
      </c>
      <c r="E101" s="208" t="s">
        <v>180</v>
      </c>
      <c r="F101" s="208" t="s">
        <v>1323</v>
      </c>
      <c r="G101" s="208" t="s">
        <v>136</v>
      </c>
      <c r="H101" s="208">
        <v>0.0</v>
      </c>
      <c r="I101" s="208">
        <v>6000000.0</v>
      </c>
      <c r="J101" s="208">
        <v>6847747.11</v>
      </c>
      <c r="K101" s="208">
        <v>0.0</v>
      </c>
      <c r="L101" s="208">
        <v>127.0</v>
      </c>
      <c r="M101" s="208">
        <v>87.0</v>
      </c>
      <c r="N101" s="208">
        <v>5.0</v>
      </c>
      <c r="O101" s="208">
        <v>132.0</v>
      </c>
      <c r="P101" s="208">
        <v>45.0</v>
      </c>
      <c r="Q101" s="208">
        <v>6394338.38</v>
      </c>
      <c r="R101" s="208">
        <v>453408.73</v>
      </c>
      <c r="S101" s="208">
        <v>73.0</v>
      </c>
      <c r="T101" s="208">
        <v>5.0</v>
      </c>
      <c r="U101" s="208">
        <v>78.0</v>
      </c>
      <c r="V101" s="208">
        <v>0.0</v>
      </c>
      <c r="W101" s="208">
        <v>22.0</v>
      </c>
      <c r="X101" s="208">
        <v>24.0</v>
      </c>
      <c r="Y101" s="208">
        <v>278.0</v>
      </c>
      <c r="Z101" s="208">
        <v>2.0</v>
      </c>
      <c r="AA101" s="208">
        <v>23.0</v>
      </c>
      <c r="AB101" s="208">
        <v>0.0</v>
      </c>
      <c r="AC101" s="208">
        <v>0.0</v>
      </c>
      <c r="AD101" s="208">
        <v>1.0</v>
      </c>
      <c r="AE101" s="208">
        <v>21.0</v>
      </c>
      <c r="AF101" s="208">
        <v>224.0</v>
      </c>
      <c r="AG101" s="208">
        <v>292.0</v>
      </c>
      <c r="AH101" s="208">
        <v>71.0</v>
      </c>
      <c r="AI101" s="208">
        <v>96447.0</v>
      </c>
      <c r="AJ101" s="208">
        <v>4.0</v>
      </c>
      <c r="AK101" s="208">
        <v>34708.0</v>
      </c>
      <c r="AL101" s="208">
        <v>0.0</v>
      </c>
      <c r="AM101" s="208">
        <v>0.0051</v>
      </c>
      <c r="AN101" s="208">
        <v>87792.0</v>
      </c>
      <c r="AO101" s="208">
        <v>1.14</v>
      </c>
      <c r="AP101" s="208">
        <v>0.0</v>
      </c>
      <c r="AQ101" s="208">
        <v>256.0</v>
      </c>
      <c r="AR101" s="208">
        <v>584.0</v>
      </c>
      <c r="AS101" s="208">
        <v>1210.9</v>
      </c>
      <c r="AT101" s="208">
        <v>5.0</v>
      </c>
      <c r="AU101" s="208">
        <v>14.0</v>
      </c>
      <c r="AV101" s="208">
        <v>78.0</v>
      </c>
      <c r="AW101" s="208">
        <v>26.0</v>
      </c>
      <c r="AX101" s="208">
        <v>28.0</v>
      </c>
      <c r="AY101" s="208" t="s">
        <v>1270</v>
      </c>
    </row>
    <row r="102">
      <c r="A102" s="208" t="s">
        <v>298</v>
      </c>
      <c r="B102" s="208" t="s">
        <v>301</v>
      </c>
      <c r="C102" s="208" t="s">
        <v>773</v>
      </c>
      <c r="D102" s="208" t="s">
        <v>1066</v>
      </c>
      <c r="E102" s="208" t="s">
        <v>310</v>
      </c>
      <c r="F102" s="208" t="s">
        <v>1324</v>
      </c>
      <c r="G102" s="208" t="s">
        <v>298</v>
      </c>
      <c r="H102" s="208">
        <v>0.0</v>
      </c>
      <c r="I102" s="208">
        <v>4500000.0</v>
      </c>
      <c r="J102" s="208">
        <v>2461135.49</v>
      </c>
      <c r="K102" s="208">
        <v>0.0</v>
      </c>
      <c r="L102" s="208">
        <v>73.0</v>
      </c>
      <c r="M102" s="208">
        <v>64.0</v>
      </c>
      <c r="N102" s="208">
        <v>0.0</v>
      </c>
      <c r="O102" s="208">
        <v>73.0</v>
      </c>
      <c r="P102" s="208">
        <v>9.0</v>
      </c>
      <c r="Q102" s="208">
        <v>2461135.49</v>
      </c>
      <c r="R102" s="208">
        <v>0.0</v>
      </c>
      <c r="S102" s="208">
        <v>31.0</v>
      </c>
      <c r="T102" s="208">
        <v>0.0</v>
      </c>
      <c r="U102" s="208">
        <v>31.0</v>
      </c>
      <c r="V102" s="208">
        <v>0.0</v>
      </c>
      <c r="W102" s="208">
        <v>22.0</v>
      </c>
      <c r="X102" s="208">
        <v>34.0</v>
      </c>
      <c r="Y102" s="208">
        <v>171.0</v>
      </c>
      <c r="Z102" s="208">
        <v>0.0</v>
      </c>
      <c r="AA102" s="208">
        <v>0.0</v>
      </c>
      <c r="AB102" s="208">
        <v>0.0</v>
      </c>
      <c r="AC102" s="208">
        <v>0.0</v>
      </c>
      <c r="AD102" s="208">
        <v>0.0</v>
      </c>
      <c r="AE102" s="208">
        <v>0.0</v>
      </c>
      <c r="AF102" s="208">
        <v>345.0</v>
      </c>
      <c r="AG102" s="208">
        <v>379.0</v>
      </c>
      <c r="AH102" s="208">
        <v>74.0</v>
      </c>
      <c r="AI102" s="208">
        <v>33259.0</v>
      </c>
      <c r="AJ102" s="208">
        <v>5.0</v>
      </c>
      <c r="AK102" s="208">
        <v>30195.0</v>
      </c>
      <c r="AL102" s="208">
        <v>0.0</v>
      </c>
      <c r="AM102" s="208">
        <v>0.0123</v>
      </c>
      <c r="AN102" s="208">
        <v>79391.0</v>
      </c>
      <c r="AO102" s="208">
        <v>0.55</v>
      </c>
      <c r="AP102" s="208">
        <v>0.0</v>
      </c>
      <c r="AQ102" s="208">
        <v>63.0</v>
      </c>
      <c r="AR102" s="208">
        <v>785.0</v>
      </c>
      <c r="AS102" s="208">
        <v>3659.2</v>
      </c>
      <c r="AT102" s="208">
        <v>0.0</v>
      </c>
      <c r="AU102" s="208">
        <v>57.0</v>
      </c>
      <c r="AV102" s="208">
        <v>31.0</v>
      </c>
      <c r="AW102" s="208">
        <v>35.0</v>
      </c>
      <c r="AX102" s="208">
        <v>7.0</v>
      </c>
      <c r="AY102" s="208" t="s">
        <v>1270</v>
      </c>
    </row>
    <row r="103">
      <c r="A103" s="208" t="s">
        <v>185</v>
      </c>
      <c r="B103" s="208" t="s">
        <v>215</v>
      </c>
      <c r="C103" s="208" t="s">
        <v>776</v>
      </c>
      <c r="D103" s="208" t="s">
        <v>1065</v>
      </c>
      <c r="E103" s="208" t="s">
        <v>278</v>
      </c>
      <c r="F103" s="534">
        <v>44935.0</v>
      </c>
      <c r="G103" s="208" t="s">
        <v>185</v>
      </c>
      <c r="H103" s="208">
        <v>0.0</v>
      </c>
      <c r="I103" s="208">
        <v>0.0</v>
      </c>
      <c r="J103" s="208">
        <v>0.0</v>
      </c>
      <c r="K103" s="208">
        <v>0.0</v>
      </c>
      <c r="L103" s="208">
        <v>240.0</v>
      </c>
      <c r="M103" s="208">
        <v>93.0</v>
      </c>
      <c r="N103" s="208">
        <v>4.0</v>
      </c>
      <c r="O103" s="208">
        <v>244.0</v>
      </c>
      <c r="P103" s="208">
        <v>151.0</v>
      </c>
      <c r="Q103" s="208">
        <v>0.0</v>
      </c>
      <c r="R103" s="208">
        <v>0.0</v>
      </c>
      <c r="S103" s="208">
        <v>0.0</v>
      </c>
      <c r="T103" s="208">
        <v>0.0</v>
      </c>
      <c r="U103" s="208">
        <v>0.0</v>
      </c>
      <c r="V103" s="208">
        <v>0.0</v>
      </c>
      <c r="W103" s="208">
        <v>18.0</v>
      </c>
      <c r="X103" s="208">
        <v>23.0</v>
      </c>
      <c r="Y103" s="208">
        <v>82.0</v>
      </c>
      <c r="Z103" s="208">
        <v>4.0</v>
      </c>
      <c r="AA103" s="208">
        <v>50.0</v>
      </c>
      <c r="AB103" s="208">
        <v>0.0</v>
      </c>
      <c r="AC103" s="208">
        <v>0.0</v>
      </c>
      <c r="AD103" s="208">
        <v>0.0</v>
      </c>
      <c r="AE103" s="208">
        <v>0.0</v>
      </c>
      <c r="AF103" s="208">
        <v>192.0</v>
      </c>
      <c r="AG103" s="208">
        <v>265.0</v>
      </c>
      <c r="AH103" s="208">
        <v>73.0</v>
      </c>
      <c r="AI103" s="208">
        <v>0.0</v>
      </c>
      <c r="AJ103" s="208">
        <v>4.0</v>
      </c>
      <c r="AK103" s="208">
        <v>95640.0</v>
      </c>
      <c r="AL103" s="208">
        <v>0.0</v>
      </c>
      <c r="AM103" s="208">
        <v>0.0</v>
      </c>
      <c r="AN103" s="208">
        <v>0.0</v>
      </c>
      <c r="AO103" s="208">
        <v>0.0</v>
      </c>
      <c r="AP103" s="208">
        <v>0.0</v>
      </c>
      <c r="AQ103" s="208">
        <v>0.0</v>
      </c>
      <c r="AR103" s="208">
        <v>669.0</v>
      </c>
      <c r="AS103" s="208">
        <v>1970.33</v>
      </c>
      <c r="AT103" s="208">
        <v>0.0</v>
      </c>
      <c r="AU103" s="208">
        <v>21.0</v>
      </c>
      <c r="AV103" s="208">
        <v>0.0</v>
      </c>
      <c r="AW103" s="208">
        <v>93.0</v>
      </c>
      <c r="AX103" s="208">
        <v>151.0</v>
      </c>
      <c r="AY103" s="208" t="s">
        <v>1270</v>
      </c>
    </row>
    <row r="104">
      <c r="A104" s="208" t="s">
        <v>126</v>
      </c>
      <c r="B104" s="208" t="s">
        <v>130</v>
      </c>
      <c r="C104" s="208" t="s">
        <v>781</v>
      </c>
      <c r="D104" s="208" t="s">
        <v>1082</v>
      </c>
      <c r="E104" s="208" t="s">
        <v>441</v>
      </c>
      <c r="F104" s="534">
        <v>44966.0</v>
      </c>
      <c r="G104" s="208" t="s">
        <v>580</v>
      </c>
      <c r="H104" s="208">
        <v>0.0</v>
      </c>
      <c r="I104" s="208">
        <v>0.0</v>
      </c>
      <c r="J104" s="208">
        <v>0.0</v>
      </c>
      <c r="K104" s="208">
        <v>0.0</v>
      </c>
      <c r="L104" s="208">
        <v>26.0</v>
      </c>
      <c r="M104" s="208">
        <v>0.0</v>
      </c>
      <c r="N104" s="208">
        <v>6.0</v>
      </c>
      <c r="O104" s="208">
        <v>32.0</v>
      </c>
      <c r="P104" s="208">
        <v>32.0</v>
      </c>
      <c r="Q104" s="208">
        <v>0.0</v>
      </c>
      <c r="R104" s="208">
        <v>0.0</v>
      </c>
      <c r="S104" s="208">
        <v>0.0</v>
      </c>
      <c r="T104" s="208">
        <v>0.0</v>
      </c>
      <c r="U104" s="208">
        <v>0.0</v>
      </c>
      <c r="V104" s="208">
        <v>0.0</v>
      </c>
      <c r="W104" s="208">
        <v>0.0</v>
      </c>
      <c r="X104" s="208">
        <v>0.0</v>
      </c>
      <c r="Y104" s="208">
        <v>243.0</v>
      </c>
      <c r="Z104" s="208">
        <v>0.0</v>
      </c>
      <c r="AA104" s="208">
        <v>0.0</v>
      </c>
      <c r="AB104" s="208">
        <v>0.0</v>
      </c>
      <c r="AC104" s="208">
        <v>0.0</v>
      </c>
      <c r="AD104" s="208">
        <v>0.0</v>
      </c>
      <c r="AE104" s="208">
        <v>0.0</v>
      </c>
      <c r="AF104" s="208">
        <v>0.0</v>
      </c>
      <c r="AG104" s="208">
        <v>0.0</v>
      </c>
      <c r="AH104" s="208">
        <v>0.0</v>
      </c>
      <c r="AI104" s="208">
        <v>0.0</v>
      </c>
      <c r="AJ104" s="208">
        <v>0.0</v>
      </c>
      <c r="AK104" s="208">
        <v>34940.0</v>
      </c>
      <c r="AL104" s="208">
        <v>0.0</v>
      </c>
      <c r="AM104" s="208">
        <v>0.0</v>
      </c>
      <c r="AN104" s="208">
        <v>0.0</v>
      </c>
      <c r="AO104" s="208">
        <v>0.0</v>
      </c>
      <c r="AP104" s="208">
        <v>0.0</v>
      </c>
      <c r="AQ104" s="208">
        <v>0.0</v>
      </c>
      <c r="AR104" s="208">
        <v>0.0</v>
      </c>
      <c r="AS104" s="208">
        <v>0.0</v>
      </c>
      <c r="AT104" s="208">
        <v>0.0</v>
      </c>
      <c r="AU104" s="208">
        <v>0.0</v>
      </c>
      <c r="AV104" s="208">
        <v>0.0</v>
      </c>
      <c r="AW104" s="208">
        <v>0.0</v>
      </c>
      <c r="AX104" s="208">
        <v>32.0</v>
      </c>
      <c r="AY104" s="208" t="s">
        <v>1276</v>
      </c>
    </row>
    <row r="105">
      <c r="A105" s="208" t="s">
        <v>185</v>
      </c>
      <c r="B105" s="208" t="s">
        <v>215</v>
      </c>
      <c r="C105" s="208" t="s">
        <v>783</v>
      </c>
      <c r="D105" s="208" t="s">
        <v>1064</v>
      </c>
      <c r="E105" s="208" t="s">
        <v>250</v>
      </c>
      <c r="F105" s="208" t="s">
        <v>1325</v>
      </c>
      <c r="G105" s="208" t="s">
        <v>185</v>
      </c>
      <c r="H105" s="208">
        <v>0.0</v>
      </c>
      <c r="I105" s="208">
        <v>5574999.0</v>
      </c>
      <c r="J105" s="208">
        <v>7079935.31</v>
      </c>
      <c r="K105" s="208">
        <v>0.0</v>
      </c>
      <c r="L105" s="208">
        <v>54.0</v>
      </c>
      <c r="M105" s="208">
        <v>46.0</v>
      </c>
      <c r="N105" s="208">
        <v>3.0</v>
      </c>
      <c r="O105" s="208">
        <v>57.0</v>
      </c>
      <c r="P105" s="208">
        <v>11.0</v>
      </c>
      <c r="Q105" s="208">
        <v>6730624.84</v>
      </c>
      <c r="R105" s="208">
        <v>349310.47</v>
      </c>
      <c r="S105" s="208">
        <v>25.0</v>
      </c>
      <c r="T105" s="208">
        <v>3.0</v>
      </c>
      <c r="U105" s="208">
        <v>28.0</v>
      </c>
      <c r="V105" s="208">
        <v>0.0</v>
      </c>
      <c r="W105" s="208">
        <v>8.0</v>
      </c>
      <c r="X105" s="208">
        <v>11.0</v>
      </c>
      <c r="Y105" s="208">
        <v>136.0</v>
      </c>
      <c r="Z105" s="208">
        <v>1.0</v>
      </c>
      <c r="AA105" s="208">
        <v>3.0</v>
      </c>
      <c r="AB105" s="208">
        <v>0.0</v>
      </c>
      <c r="AC105" s="208">
        <v>0.0</v>
      </c>
      <c r="AD105" s="208">
        <v>0.0</v>
      </c>
      <c r="AE105" s="208">
        <v>0.0</v>
      </c>
      <c r="AF105" s="208">
        <v>233.0</v>
      </c>
      <c r="AG105" s="208">
        <v>247.0</v>
      </c>
      <c r="AH105" s="208">
        <v>75.0</v>
      </c>
      <c r="AI105" s="208">
        <v>94399.0</v>
      </c>
      <c r="AJ105" s="208">
        <v>3.0</v>
      </c>
      <c r="AK105" s="208">
        <v>36400.0</v>
      </c>
      <c r="AL105" s="208">
        <v>0.0</v>
      </c>
      <c r="AM105" s="208">
        <v>0.0051</v>
      </c>
      <c r="AN105" s="208">
        <v>252855.0</v>
      </c>
      <c r="AO105" s="208">
        <v>1.27</v>
      </c>
      <c r="AP105" s="208">
        <v>0.0</v>
      </c>
      <c r="AQ105" s="208">
        <v>54.0</v>
      </c>
      <c r="AR105" s="208">
        <v>741.0</v>
      </c>
      <c r="AS105" s="208">
        <v>2310.01</v>
      </c>
      <c r="AT105" s="208">
        <v>3.0</v>
      </c>
      <c r="AU105" s="208">
        <v>50.0</v>
      </c>
      <c r="AV105" s="208">
        <v>28.0</v>
      </c>
      <c r="AW105" s="208">
        <v>20.0</v>
      </c>
      <c r="AX105" s="208">
        <v>9.0</v>
      </c>
      <c r="AY105" s="208" t="s">
        <v>1270</v>
      </c>
    </row>
    <row r="106">
      <c r="A106" s="208" t="s">
        <v>126</v>
      </c>
      <c r="B106" s="208" t="s">
        <v>130</v>
      </c>
      <c r="C106" s="208" t="s">
        <v>163</v>
      </c>
      <c r="D106" s="208" t="s">
        <v>130</v>
      </c>
      <c r="E106" s="208" t="s">
        <v>151</v>
      </c>
      <c r="F106" s="208" t="s">
        <v>1326</v>
      </c>
      <c r="G106" s="208" t="s">
        <v>580</v>
      </c>
      <c r="H106" s="208">
        <v>0.0</v>
      </c>
      <c r="I106" s="208">
        <v>5499999.0</v>
      </c>
      <c r="J106" s="208">
        <v>3094315.14</v>
      </c>
      <c r="K106" s="208">
        <v>0.0</v>
      </c>
      <c r="L106" s="208">
        <v>152.0</v>
      </c>
      <c r="M106" s="208">
        <v>86.0</v>
      </c>
      <c r="N106" s="208">
        <v>4.0</v>
      </c>
      <c r="O106" s="208">
        <v>156.0</v>
      </c>
      <c r="P106" s="208">
        <v>70.0</v>
      </c>
      <c r="Q106" s="208">
        <v>2902868.24</v>
      </c>
      <c r="R106" s="208">
        <v>191446.9</v>
      </c>
      <c r="S106" s="208">
        <v>46.0</v>
      </c>
      <c r="T106" s="208">
        <v>4.0</v>
      </c>
      <c r="U106" s="208">
        <v>50.0</v>
      </c>
      <c r="V106" s="208">
        <v>0.0</v>
      </c>
      <c r="W106" s="208">
        <v>16.0</v>
      </c>
      <c r="X106" s="208">
        <v>16.0</v>
      </c>
      <c r="Y106" s="208">
        <v>227.0</v>
      </c>
      <c r="Z106" s="208">
        <v>3.0</v>
      </c>
      <c r="AA106" s="208">
        <v>27.0</v>
      </c>
      <c r="AB106" s="208">
        <v>0.0</v>
      </c>
      <c r="AC106" s="208">
        <v>0.0</v>
      </c>
      <c r="AD106" s="208">
        <v>0.0</v>
      </c>
      <c r="AE106" s="208">
        <v>0.0</v>
      </c>
      <c r="AF106" s="208">
        <v>310.0</v>
      </c>
      <c r="AG106" s="208">
        <v>353.0</v>
      </c>
      <c r="AH106" s="208">
        <v>71.0</v>
      </c>
      <c r="AI106" s="208">
        <v>43582.0</v>
      </c>
      <c r="AJ106" s="208">
        <v>5.0</v>
      </c>
      <c r="AK106" s="208">
        <v>32670.0</v>
      </c>
      <c r="AL106" s="208">
        <v>0.0</v>
      </c>
      <c r="AM106" s="208">
        <v>0.0106</v>
      </c>
      <c r="AN106" s="208">
        <v>61886.0</v>
      </c>
      <c r="AO106" s="208">
        <v>0.56</v>
      </c>
      <c r="AP106" s="208">
        <v>0.0</v>
      </c>
      <c r="AQ106" s="208">
        <v>120.0</v>
      </c>
      <c r="AR106" s="208">
        <v>583.0</v>
      </c>
      <c r="AS106" s="208">
        <v>1353.77</v>
      </c>
      <c r="AT106" s="208">
        <v>4.0</v>
      </c>
      <c r="AU106" s="208">
        <v>16.0</v>
      </c>
      <c r="AV106" s="208">
        <v>50.0</v>
      </c>
      <c r="AW106" s="208">
        <v>39.0</v>
      </c>
      <c r="AX106" s="208">
        <v>67.0</v>
      </c>
      <c r="AY106" s="208" t="s">
        <v>1270</v>
      </c>
    </row>
    <row r="107">
      <c r="A107" s="208" t="s">
        <v>185</v>
      </c>
      <c r="B107" s="208" t="s">
        <v>189</v>
      </c>
      <c r="C107" s="208" t="s">
        <v>405</v>
      </c>
      <c r="D107" s="208" t="s">
        <v>1083</v>
      </c>
      <c r="E107" s="208" t="s">
        <v>406</v>
      </c>
      <c r="F107" s="534">
        <v>44995.0</v>
      </c>
      <c r="G107" s="208" t="s">
        <v>191</v>
      </c>
      <c r="H107" s="208">
        <v>0.0</v>
      </c>
      <c r="I107" s="208">
        <v>0.0</v>
      </c>
      <c r="J107" s="208">
        <v>0.0</v>
      </c>
      <c r="K107" s="208">
        <v>0.0</v>
      </c>
      <c r="L107" s="208">
        <v>54.0</v>
      </c>
      <c r="M107" s="208">
        <v>0.0</v>
      </c>
      <c r="N107" s="208">
        <v>0.0</v>
      </c>
      <c r="O107" s="208">
        <v>54.0</v>
      </c>
      <c r="P107" s="208">
        <v>54.0</v>
      </c>
      <c r="Q107" s="208">
        <v>0.0</v>
      </c>
      <c r="R107" s="208">
        <v>0.0</v>
      </c>
      <c r="S107" s="208">
        <v>0.0</v>
      </c>
      <c r="T107" s="208">
        <v>0.0</v>
      </c>
      <c r="U107" s="208">
        <v>0.0</v>
      </c>
      <c r="V107" s="208">
        <v>0.0</v>
      </c>
      <c r="W107" s="208">
        <v>0.0</v>
      </c>
      <c r="X107" s="208">
        <v>0.0</v>
      </c>
      <c r="Y107" s="208">
        <v>76.0</v>
      </c>
      <c r="Z107" s="208">
        <v>0.0</v>
      </c>
      <c r="AA107" s="208">
        <v>0.0</v>
      </c>
      <c r="AB107" s="208">
        <v>0.0</v>
      </c>
      <c r="AC107" s="208">
        <v>0.0</v>
      </c>
      <c r="AD107" s="208">
        <v>0.0</v>
      </c>
      <c r="AE107" s="208">
        <v>0.0</v>
      </c>
      <c r="AF107" s="208">
        <v>0.0</v>
      </c>
      <c r="AG107" s="208">
        <v>0.0</v>
      </c>
      <c r="AH107" s="208">
        <v>0.0</v>
      </c>
      <c r="AI107" s="208">
        <v>0.0</v>
      </c>
      <c r="AJ107" s="208">
        <v>0.0</v>
      </c>
      <c r="AK107" s="208">
        <v>25325.0</v>
      </c>
      <c r="AL107" s="208">
        <v>0.0</v>
      </c>
      <c r="AM107" s="208">
        <v>0.0</v>
      </c>
      <c r="AN107" s="208">
        <v>0.0</v>
      </c>
      <c r="AO107" s="208">
        <v>0.0</v>
      </c>
      <c r="AP107" s="208">
        <v>0.0</v>
      </c>
      <c r="AQ107" s="208">
        <v>0.0</v>
      </c>
      <c r="AR107" s="208">
        <v>0.0</v>
      </c>
      <c r="AS107" s="208">
        <v>0.0</v>
      </c>
      <c r="AT107" s="208">
        <v>0.0</v>
      </c>
      <c r="AU107" s="208">
        <v>0.0</v>
      </c>
      <c r="AV107" s="208">
        <v>0.0</v>
      </c>
      <c r="AW107" s="208">
        <v>0.0</v>
      </c>
      <c r="AX107" s="208">
        <v>54.0</v>
      </c>
      <c r="AY107" s="208" t="s">
        <v>1327</v>
      </c>
    </row>
    <row r="108">
      <c r="A108" s="208" t="s">
        <v>185</v>
      </c>
      <c r="B108" s="208" t="s">
        <v>189</v>
      </c>
      <c r="C108" s="208" t="s">
        <v>787</v>
      </c>
      <c r="D108" s="208" t="s">
        <v>1016</v>
      </c>
      <c r="E108" s="208" t="s">
        <v>187</v>
      </c>
      <c r="F108" s="534">
        <v>44995.0</v>
      </c>
      <c r="G108" s="208" t="s">
        <v>185</v>
      </c>
      <c r="H108" s="208">
        <v>0.0</v>
      </c>
      <c r="I108" s="208">
        <v>0.0</v>
      </c>
      <c r="J108" s="208">
        <v>0.0</v>
      </c>
      <c r="K108" s="208">
        <v>0.0</v>
      </c>
      <c r="L108" s="208">
        <v>209.0</v>
      </c>
      <c r="M108" s="208">
        <v>76.0</v>
      </c>
      <c r="N108" s="208">
        <v>1.0</v>
      </c>
      <c r="O108" s="208">
        <v>210.0</v>
      </c>
      <c r="P108" s="208">
        <v>134.0</v>
      </c>
      <c r="Q108" s="208">
        <v>0.0</v>
      </c>
      <c r="R108" s="208">
        <v>0.0</v>
      </c>
      <c r="S108" s="208">
        <v>0.0</v>
      </c>
      <c r="T108" s="208">
        <v>0.0</v>
      </c>
      <c r="U108" s="208">
        <v>0.0</v>
      </c>
      <c r="V108" s="208">
        <v>0.0</v>
      </c>
      <c r="W108" s="208">
        <v>3.0</v>
      </c>
      <c r="X108" s="208">
        <v>3.0</v>
      </c>
      <c r="Y108" s="208">
        <v>38.0</v>
      </c>
      <c r="Z108" s="208">
        <v>13.0</v>
      </c>
      <c r="AA108" s="208">
        <v>44.0</v>
      </c>
      <c r="AB108" s="208">
        <v>0.0</v>
      </c>
      <c r="AC108" s="208">
        <v>0.0</v>
      </c>
      <c r="AD108" s="208">
        <v>0.0</v>
      </c>
      <c r="AE108" s="208">
        <v>0.0</v>
      </c>
      <c r="AF108" s="208">
        <v>128.0</v>
      </c>
      <c r="AG108" s="208">
        <v>175.0</v>
      </c>
      <c r="AH108" s="208">
        <v>71.0</v>
      </c>
      <c r="AI108" s="208">
        <v>0.0</v>
      </c>
      <c r="AJ108" s="208">
        <v>2.0</v>
      </c>
      <c r="AK108" s="208">
        <v>93820.0</v>
      </c>
      <c r="AL108" s="208">
        <v>0.0</v>
      </c>
      <c r="AM108" s="208">
        <v>0.0</v>
      </c>
      <c r="AN108" s="208">
        <v>0.0</v>
      </c>
      <c r="AO108" s="208">
        <v>0.0</v>
      </c>
      <c r="AP108" s="208">
        <v>0.0</v>
      </c>
      <c r="AQ108" s="208">
        <v>0.0</v>
      </c>
      <c r="AR108" s="208">
        <v>704.0</v>
      </c>
      <c r="AS108" s="208">
        <v>2403.24</v>
      </c>
      <c r="AT108" s="208">
        <v>0.0</v>
      </c>
      <c r="AU108" s="208">
        <v>32.0</v>
      </c>
      <c r="AV108" s="208">
        <v>0.0</v>
      </c>
      <c r="AW108" s="208">
        <v>76.0</v>
      </c>
      <c r="AX108" s="208">
        <v>134.0</v>
      </c>
      <c r="AY108" s="208" t="s">
        <v>1270</v>
      </c>
    </row>
    <row r="109">
      <c r="A109" s="208" t="s">
        <v>73</v>
      </c>
      <c r="B109" s="208" t="s">
        <v>1229</v>
      </c>
      <c r="C109" s="208" t="s">
        <v>79</v>
      </c>
      <c r="D109" s="208" t="s">
        <v>76</v>
      </c>
      <c r="E109" s="208" t="s">
        <v>80</v>
      </c>
      <c r="F109" s="534">
        <v>45179.0</v>
      </c>
      <c r="G109" s="208" t="s">
        <v>73</v>
      </c>
      <c r="H109" s="208">
        <v>500001.0</v>
      </c>
      <c r="I109" s="208">
        <v>3000000.0</v>
      </c>
      <c r="J109" s="208">
        <v>1093277.56</v>
      </c>
      <c r="K109" s="208">
        <v>0.0</v>
      </c>
      <c r="L109" s="208">
        <v>25.0</v>
      </c>
      <c r="M109" s="208">
        <v>24.0</v>
      </c>
      <c r="N109" s="208">
        <v>2.0</v>
      </c>
      <c r="O109" s="208">
        <v>27.0</v>
      </c>
      <c r="P109" s="208">
        <v>3.0</v>
      </c>
      <c r="Q109" s="208">
        <v>741174.01</v>
      </c>
      <c r="R109" s="208">
        <v>352103.55</v>
      </c>
      <c r="S109" s="208">
        <v>9.0</v>
      </c>
      <c r="T109" s="208">
        <v>2.0</v>
      </c>
      <c r="U109" s="208">
        <v>11.0</v>
      </c>
      <c r="V109" s="208">
        <v>0.0</v>
      </c>
      <c r="W109" s="208">
        <v>7.0</v>
      </c>
      <c r="X109" s="208">
        <v>12.0</v>
      </c>
      <c r="Y109" s="208">
        <v>115.0</v>
      </c>
      <c r="Z109" s="208">
        <v>1.0</v>
      </c>
      <c r="AA109" s="208">
        <v>19.0</v>
      </c>
      <c r="AB109" s="208">
        <v>1.0</v>
      </c>
      <c r="AC109" s="208">
        <v>3.0</v>
      </c>
      <c r="AD109" s="208">
        <v>0.0</v>
      </c>
      <c r="AE109" s="208">
        <v>0.0</v>
      </c>
      <c r="AF109" s="208">
        <v>302.0</v>
      </c>
      <c r="AG109" s="208">
        <v>336.0</v>
      </c>
      <c r="AH109" s="208">
        <v>66.0</v>
      </c>
      <c r="AI109" s="208">
        <v>16565.0</v>
      </c>
      <c r="AJ109" s="208">
        <v>5.0</v>
      </c>
      <c r="AK109" s="208">
        <v>36018.0</v>
      </c>
      <c r="AL109" s="208">
        <v>0.0</v>
      </c>
      <c r="AM109" s="208">
        <v>0.0329</v>
      </c>
      <c r="AN109" s="208">
        <v>99389.0</v>
      </c>
      <c r="AO109" s="208">
        <v>0.36</v>
      </c>
      <c r="AP109" s="208">
        <v>0.0</v>
      </c>
      <c r="AQ109" s="208">
        <v>26.0</v>
      </c>
      <c r="AR109" s="208">
        <v>648.0</v>
      </c>
      <c r="AS109" s="208">
        <v>2289.28</v>
      </c>
      <c r="AT109" s="208">
        <v>2.0</v>
      </c>
      <c r="AU109" s="208">
        <v>95.0</v>
      </c>
      <c r="AV109" s="208">
        <v>11.0</v>
      </c>
      <c r="AW109" s="208">
        <v>13.0</v>
      </c>
      <c r="AX109" s="208">
        <v>3.0</v>
      </c>
      <c r="AY109" s="208" t="s">
        <v>1270</v>
      </c>
    </row>
    <row r="110">
      <c r="A110" s="208" t="s">
        <v>185</v>
      </c>
      <c r="B110" s="208" t="s">
        <v>212</v>
      </c>
      <c r="C110" s="208" t="s">
        <v>251</v>
      </c>
      <c r="D110" s="208" t="s">
        <v>1065</v>
      </c>
      <c r="E110" s="208" t="s">
        <v>252</v>
      </c>
      <c r="F110" s="534">
        <v>44937.0</v>
      </c>
      <c r="G110" s="208" t="s">
        <v>218</v>
      </c>
      <c r="H110" s="208">
        <v>0.0</v>
      </c>
      <c r="I110" s="208">
        <v>4500000.0</v>
      </c>
      <c r="J110" s="208">
        <v>1312290.4</v>
      </c>
      <c r="K110" s="208">
        <v>0.0</v>
      </c>
      <c r="L110" s="208">
        <v>40.0</v>
      </c>
      <c r="M110" s="208">
        <v>36.0</v>
      </c>
      <c r="N110" s="208">
        <v>0.0</v>
      </c>
      <c r="O110" s="208">
        <v>40.0</v>
      </c>
      <c r="P110" s="208">
        <v>4.0</v>
      </c>
      <c r="Q110" s="208">
        <v>1312290.4</v>
      </c>
      <c r="R110" s="208">
        <v>0.0</v>
      </c>
      <c r="S110" s="208">
        <v>6.0</v>
      </c>
      <c r="T110" s="208">
        <v>0.0</v>
      </c>
      <c r="U110" s="208">
        <v>6.0</v>
      </c>
      <c r="V110" s="208">
        <v>0.0</v>
      </c>
      <c r="W110" s="208">
        <v>19.0</v>
      </c>
      <c r="X110" s="208">
        <v>29.0</v>
      </c>
      <c r="Y110" s="208">
        <v>84.0</v>
      </c>
      <c r="Z110" s="208">
        <v>1.0</v>
      </c>
      <c r="AA110" s="208">
        <v>56.0</v>
      </c>
      <c r="AB110" s="208">
        <v>0.0</v>
      </c>
      <c r="AC110" s="208">
        <v>0.0</v>
      </c>
      <c r="AD110" s="208">
        <v>0.0</v>
      </c>
      <c r="AE110" s="208">
        <v>0.0</v>
      </c>
      <c r="AF110" s="208">
        <v>240.0</v>
      </c>
      <c r="AG110" s="208">
        <v>325.0</v>
      </c>
      <c r="AH110" s="208">
        <v>70.0</v>
      </c>
      <c r="AI110" s="208">
        <v>18747.0</v>
      </c>
      <c r="AJ110" s="208">
        <v>5.0</v>
      </c>
      <c r="AK110" s="208">
        <v>25803.0</v>
      </c>
      <c r="AL110" s="208">
        <v>0.0</v>
      </c>
      <c r="AM110" s="208">
        <v>0.0197</v>
      </c>
      <c r="AN110" s="208">
        <v>218715.0</v>
      </c>
      <c r="AO110" s="208">
        <v>0.29</v>
      </c>
      <c r="AP110" s="208">
        <v>0.0</v>
      </c>
      <c r="AQ110" s="208">
        <v>9.0</v>
      </c>
      <c r="AR110" s="208">
        <v>640.0</v>
      </c>
      <c r="AS110" s="208">
        <v>1587.11</v>
      </c>
      <c r="AT110" s="208">
        <v>0.0</v>
      </c>
      <c r="AU110" s="208">
        <v>44.0</v>
      </c>
      <c r="AV110" s="208">
        <v>6.0</v>
      </c>
      <c r="AW110" s="208">
        <v>30.0</v>
      </c>
      <c r="AX110" s="208">
        <v>4.0</v>
      </c>
      <c r="AY110" s="208" t="s">
        <v>1270</v>
      </c>
    </row>
    <row r="111">
      <c r="A111" s="208" t="s">
        <v>185</v>
      </c>
      <c r="B111" s="208" t="s">
        <v>212</v>
      </c>
      <c r="C111" s="208" t="s">
        <v>253</v>
      </c>
      <c r="D111" s="208" t="s">
        <v>1031</v>
      </c>
      <c r="E111" s="208" t="s">
        <v>254</v>
      </c>
      <c r="F111" s="534">
        <v>44996.0</v>
      </c>
      <c r="G111" s="208" t="s">
        <v>489</v>
      </c>
      <c r="H111" s="208">
        <v>0.0</v>
      </c>
      <c r="I111" s="208">
        <v>4500000.0</v>
      </c>
      <c r="J111" s="208">
        <v>4912289.23</v>
      </c>
      <c r="K111" s="208">
        <v>0.0</v>
      </c>
      <c r="L111" s="208">
        <v>58.0</v>
      </c>
      <c r="M111" s="208">
        <v>51.0</v>
      </c>
      <c r="N111" s="208">
        <v>7.0</v>
      </c>
      <c r="O111" s="208">
        <v>65.0</v>
      </c>
      <c r="P111" s="208">
        <v>14.0</v>
      </c>
      <c r="Q111" s="208">
        <v>4340169.9</v>
      </c>
      <c r="R111" s="208">
        <v>572119.33</v>
      </c>
      <c r="S111" s="208">
        <v>34.0</v>
      </c>
      <c r="T111" s="208">
        <v>7.0</v>
      </c>
      <c r="U111" s="208">
        <v>41.0</v>
      </c>
      <c r="V111" s="208">
        <v>0.0</v>
      </c>
      <c r="W111" s="208">
        <v>40.0</v>
      </c>
      <c r="X111" s="208">
        <v>46.0</v>
      </c>
      <c r="Y111" s="208">
        <v>102.0</v>
      </c>
      <c r="Z111" s="208">
        <v>3.0</v>
      </c>
      <c r="AA111" s="208">
        <v>43.0</v>
      </c>
      <c r="AB111" s="208">
        <v>2.0</v>
      </c>
      <c r="AC111" s="208">
        <v>4.0</v>
      </c>
      <c r="AD111" s="208">
        <v>1.0</v>
      </c>
      <c r="AE111" s="208">
        <v>1.0</v>
      </c>
      <c r="AF111" s="208">
        <v>185.0</v>
      </c>
      <c r="AG111" s="208">
        <v>279.0</v>
      </c>
      <c r="AH111" s="208">
        <v>71.0</v>
      </c>
      <c r="AI111" s="208">
        <v>69187.0</v>
      </c>
      <c r="AJ111" s="208">
        <v>4.0</v>
      </c>
      <c r="AK111" s="208">
        <v>26530.0</v>
      </c>
      <c r="AL111" s="208">
        <v>0.0</v>
      </c>
      <c r="AM111" s="208">
        <v>0.0054</v>
      </c>
      <c r="AN111" s="208">
        <v>119812.0</v>
      </c>
      <c r="AO111" s="208">
        <v>1.09</v>
      </c>
      <c r="AP111" s="208">
        <v>0.0</v>
      </c>
      <c r="AQ111" s="208">
        <v>77.0</v>
      </c>
      <c r="AR111" s="208">
        <v>740.0</v>
      </c>
      <c r="AS111" s="208">
        <v>2338.84</v>
      </c>
      <c r="AT111" s="208">
        <v>7.0</v>
      </c>
      <c r="AU111" s="208">
        <v>46.0</v>
      </c>
      <c r="AV111" s="208">
        <v>41.0</v>
      </c>
      <c r="AW111" s="208">
        <v>19.0</v>
      </c>
      <c r="AX111" s="208">
        <v>5.0</v>
      </c>
      <c r="AY111" s="208" t="s">
        <v>1270</v>
      </c>
    </row>
    <row r="112">
      <c r="A112" s="208" t="s">
        <v>185</v>
      </c>
      <c r="B112" s="208" t="s">
        <v>212</v>
      </c>
      <c r="C112" s="208" t="s">
        <v>255</v>
      </c>
      <c r="D112" s="208" t="s">
        <v>1031</v>
      </c>
      <c r="E112" s="208" t="s">
        <v>256</v>
      </c>
      <c r="F112" s="534">
        <v>45088.0</v>
      </c>
      <c r="G112" s="208" t="s">
        <v>489</v>
      </c>
      <c r="H112" s="208">
        <v>0.0</v>
      </c>
      <c r="I112" s="208">
        <v>4500000.0</v>
      </c>
      <c r="J112" s="208">
        <v>7499750.98</v>
      </c>
      <c r="K112" s="208">
        <v>0.0</v>
      </c>
      <c r="L112" s="208">
        <v>64.0</v>
      </c>
      <c r="M112" s="208">
        <v>72.0</v>
      </c>
      <c r="N112" s="208">
        <v>17.0</v>
      </c>
      <c r="O112" s="208">
        <v>81.0</v>
      </c>
      <c r="P112" s="208">
        <v>9.0</v>
      </c>
      <c r="Q112" s="208">
        <v>4206305.0</v>
      </c>
      <c r="R112" s="208">
        <v>3293445.98</v>
      </c>
      <c r="S112" s="208">
        <v>36.0</v>
      </c>
      <c r="T112" s="208">
        <v>17.0</v>
      </c>
      <c r="U112" s="208">
        <v>53.0</v>
      </c>
      <c r="V112" s="208">
        <v>0.0</v>
      </c>
      <c r="W112" s="208">
        <v>18.0</v>
      </c>
      <c r="X112" s="208">
        <v>31.0</v>
      </c>
      <c r="Y112" s="208">
        <v>171.0</v>
      </c>
      <c r="Z112" s="208">
        <v>0.0</v>
      </c>
      <c r="AA112" s="208">
        <v>0.0</v>
      </c>
      <c r="AB112" s="208">
        <v>0.0</v>
      </c>
      <c r="AC112" s="208">
        <v>0.0</v>
      </c>
      <c r="AD112" s="208">
        <v>0.0</v>
      </c>
      <c r="AE112" s="208">
        <v>0.0</v>
      </c>
      <c r="AF112" s="208">
        <v>435.0</v>
      </c>
      <c r="AG112" s="208">
        <v>466.0</v>
      </c>
      <c r="AH112" s="208">
        <v>74.0</v>
      </c>
      <c r="AI112" s="208">
        <v>101348.0</v>
      </c>
      <c r="AJ112" s="208">
        <v>6.0</v>
      </c>
      <c r="AK112" s="208">
        <v>27680.0</v>
      </c>
      <c r="AL112" s="208">
        <v>0.0</v>
      </c>
      <c r="AM112" s="208">
        <v>0.0037</v>
      </c>
      <c r="AN112" s="208">
        <v>141505.0</v>
      </c>
      <c r="AO112" s="208">
        <v>1.67</v>
      </c>
      <c r="AP112" s="208">
        <v>0.0</v>
      </c>
      <c r="AQ112" s="208">
        <v>169.0</v>
      </c>
      <c r="AR112" s="208">
        <v>560.0</v>
      </c>
      <c r="AS112" s="208">
        <v>2593.95</v>
      </c>
      <c r="AT112" s="208">
        <v>17.0</v>
      </c>
      <c r="AU112" s="208">
        <v>36.0</v>
      </c>
      <c r="AV112" s="208">
        <v>53.0</v>
      </c>
      <c r="AW112" s="208">
        <v>19.0</v>
      </c>
      <c r="AX112" s="208">
        <v>9.0</v>
      </c>
      <c r="AY112" s="208" t="s">
        <v>1270</v>
      </c>
    </row>
    <row r="113">
      <c r="A113" s="208" t="s">
        <v>185</v>
      </c>
      <c r="B113" s="208" t="s">
        <v>215</v>
      </c>
      <c r="C113" s="208" t="s">
        <v>257</v>
      </c>
      <c r="D113" s="208" t="s">
        <v>1065</v>
      </c>
      <c r="E113" s="208" t="s">
        <v>258</v>
      </c>
      <c r="F113" s="534">
        <v>45088.0</v>
      </c>
      <c r="G113" s="208" t="s">
        <v>776</v>
      </c>
      <c r="H113" s="208">
        <v>0.0</v>
      </c>
      <c r="I113" s="208">
        <v>5850000.0</v>
      </c>
      <c r="J113" s="208">
        <v>4727801.46</v>
      </c>
      <c r="K113" s="208">
        <v>0.0</v>
      </c>
      <c r="L113" s="208">
        <v>35.0</v>
      </c>
      <c r="M113" s="208">
        <v>36.0</v>
      </c>
      <c r="N113" s="208">
        <v>3.0</v>
      </c>
      <c r="O113" s="208">
        <v>38.0</v>
      </c>
      <c r="P113" s="208">
        <v>2.0</v>
      </c>
      <c r="Q113" s="208">
        <v>4192850.33</v>
      </c>
      <c r="R113" s="208">
        <v>534951.13</v>
      </c>
      <c r="S113" s="208">
        <v>15.0</v>
      </c>
      <c r="T113" s="208">
        <v>3.0</v>
      </c>
      <c r="U113" s="208">
        <v>18.0</v>
      </c>
      <c r="V113" s="208">
        <v>0.0</v>
      </c>
      <c r="W113" s="208">
        <v>32.0</v>
      </c>
      <c r="X113" s="208">
        <v>63.0</v>
      </c>
      <c r="Y113" s="208">
        <v>91.0</v>
      </c>
      <c r="Z113" s="208">
        <v>0.0</v>
      </c>
      <c r="AA113" s="208">
        <v>0.0</v>
      </c>
      <c r="AB113" s="208">
        <v>0.0</v>
      </c>
      <c r="AC113" s="208">
        <v>0.0</v>
      </c>
      <c r="AD113" s="208">
        <v>0.0</v>
      </c>
      <c r="AE113" s="208">
        <v>0.0</v>
      </c>
      <c r="AF113" s="208">
        <v>254.0</v>
      </c>
      <c r="AG113" s="208">
        <v>317.0</v>
      </c>
      <c r="AH113" s="208">
        <v>69.0</v>
      </c>
      <c r="AI113" s="208">
        <v>68519.0</v>
      </c>
      <c r="AJ113" s="208">
        <v>5.0</v>
      </c>
      <c r="AK113" s="208">
        <v>29985.0</v>
      </c>
      <c r="AL113" s="208">
        <v>0.0</v>
      </c>
      <c r="AM113" s="208">
        <v>0.0063</v>
      </c>
      <c r="AN113" s="208">
        <v>262656.0</v>
      </c>
      <c r="AO113" s="208">
        <v>0.81</v>
      </c>
      <c r="AP113" s="208">
        <v>0.0</v>
      </c>
      <c r="AQ113" s="208">
        <v>28.0</v>
      </c>
      <c r="AR113" s="208">
        <v>700.0</v>
      </c>
      <c r="AS113" s="208">
        <v>3260.63</v>
      </c>
      <c r="AT113" s="208">
        <v>3.0</v>
      </c>
      <c r="AU113" s="208">
        <v>91.0</v>
      </c>
      <c r="AV113" s="208">
        <v>18.0</v>
      </c>
      <c r="AW113" s="208">
        <v>18.0</v>
      </c>
      <c r="AX113" s="208">
        <v>2.0</v>
      </c>
      <c r="AY113" s="208" t="s">
        <v>1270</v>
      </c>
    </row>
    <row r="114">
      <c r="A114" s="208" t="s">
        <v>23</v>
      </c>
      <c r="B114" s="208" t="s">
        <v>30</v>
      </c>
      <c r="C114" s="208" t="s">
        <v>28</v>
      </c>
      <c r="D114" s="208" t="s">
        <v>30</v>
      </c>
      <c r="E114" s="208" t="s">
        <v>29</v>
      </c>
      <c r="F114" s="534">
        <v>44938.0</v>
      </c>
      <c r="G114" s="208" t="s">
        <v>23</v>
      </c>
      <c r="H114" s="208">
        <v>600000.0</v>
      </c>
      <c r="I114" s="208">
        <v>3600000.0</v>
      </c>
      <c r="J114" s="208">
        <v>2362117.75</v>
      </c>
      <c r="K114" s="208">
        <v>326069.66</v>
      </c>
      <c r="L114" s="208">
        <v>94.0</v>
      </c>
      <c r="M114" s="208">
        <v>89.0</v>
      </c>
      <c r="N114" s="208">
        <v>6.0</v>
      </c>
      <c r="O114" s="208">
        <v>100.0</v>
      </c>
      <c r="P114" s="208">
        <v>11.0</v>
      </c>
      <c r="Q114" s="208">
        <v>2111125.55</v>
      </c>
      <c r="R114" s="208">
        <v>250992.2</v>
      </c>
      <c r="S114" s="208">
        <v>43.0</v>
      </c>
      <c r="T114" s="208">
        <v>6.0</v>
      </c>
      <c r="U114" s="208">
        <v>49.0</v>
      </c>
      <c r="V114" s="208">
        <v>2.0</v>
      </c>
      <c r="W114" s="208">
        <v>42.0</v>
      </c>
      <c r="X114" s="208">
        <v>70.0</v>
      </c>
      <c r="Y114" s="208">
        <v>119.0</v>
      </c>
      <c r="Z114" s="208">
        <v>3.0</v>
      </c>
      <c r="AA114" s="208">
        <v>65.0</v>
      </c>
      <c r="AB114" s="208">
        <v>3.0</v>
      </c>
      <c r="AC114" s="208">
        <v>16.0</v>
      </c>
      <c r="AD114" s="208">
        <v>0.0</v>
      </c>
      <c r="AE114" s="208">
        <v>0.0</v>
      </c>
      <c r="AF114" s="208">
        <v>368.0</v>
      </c>
      <c r="AG114" s="208">
        <v>519.0</v>
      </c>
      <c r="AH114" s="208">
        <v>72.0</v>
      </c>
      <c r="AI114" s="208">
        <v>32807.0</v>
      </c>
      <c r="AJ114" s="208">
        <v>7.0</v>
      </c>
      <c r="AK114" s="208">
        <v>33784.0</v>
      </c>
      <c r="AL114" s="208">
        <v>0.0</v>
      </c>
      <c r="AM114" s="208">
        <v>0.0143</v>
      </c>
      <c r="AN114" s="208">
        <v>48206.0</v>
      </c>
      <c r="AO114" s="208">
        <v>0.66</v>
      </c>
      <c r="AP114" s="208">
        <v>0.54</v>
      </c>
      <c r="AQ114" s="208">
        <v>81.0</v>
      </c>
      <c r="AR114" s="208">
        <v>693.0</v>
      </c>
      <c r="AS114" s="208">
        <v>2629.6</v>
      </c>
      <c r="AT114" s="208">
        <v>6.0</v>
      </c>
      <c r="AU114" s="208">
        <v>30.0</v>
      </c>
      <c r="AV114" s="208">
        <v>49.0</v>
      </c>
      <c r="AW114" s="208">
        <v>40.0</v>
      </c>
      <c r="AX114" s="208">
        <v>11.0</v>
      </c>
      <c r="AY114" s="208" t="s">
        <v>1270</v>
      </c>
    </row>
    <row r="115">
      <c r="A115" s="208" t="s">
        <v>47</v>
      </c>
      <c r="B115" s="208" t="s">
        <v>50</v>
      </c>
      <c r="C115" s="208" t="s">
        <v>801</v>
      </c>
      <c r="D115" s="208" t="s">
        <v>1085</v>
      </c>
      <c r="E115" s="208" t="s">
        <v>1086</v>
      </c>
      <c r="F115" s="535">
        <v>45242.0</v>
      </c>
      <c r="G115" s="208" t="s">
        <v>47</v>
      </c>
      <c r="H115" s="208">
        <v>0.0</v>
      </c>
      <c r="I115" s="208">
        <v>0.0</v>
      </c>
      <c r="J115" s="208">
        <v>0.0</v>
      </c>
      <c r="K115" s="208">
        <v>0.0</v>
      </c>
      <c r="L115" s="208">
        <v>67.0</v>
      </c>
      <c r="M115" s="208">
        <v>0.0</v>
      </c>
      <c r="N115" s="208">
        <v>0.0</v>
      </c>
      <c r="O115" s="208">
        <v>67.0</v>
      </c>
      <c r="P115" s="208">
        <v>67.0</v>
      </c>
      <c r="Q115" s="208">
        <v>0.0</v>
      </c>
      <c r="R115" s="208">
        <v>0.0</v>
      </c>
      <c r="S115" s="208">
        <v>0.0</v>
      </c>
      <c r="T115" s="208">
        <v>0.0</v>
      </c>
      <c r="U115" s="208">
        <v>0.0</v>
      </c>
      <c r="V115" s="208">
        <v>0.0</v>
      </c>
      <c r="W115" s="208">
        <v>0.0</v>
      </c>
      <c r="X115" s="208">
        <v>0.0</v>
      </c>
      <c r="Y115" s="208">
        <v>92.0</v>
      </c>
      <c r="Z115" s="208">
        <v>0.0</v>
      </c>
      <c r="AA115" s="208">
        <v>0.0</v>
      </c>
      <c r="AB115" s="208">
        <v>0.0</v>
      </c>
      <c r="AC115" s="208">
        <v>0.0</v>
      </c>
      <c r="AD115" s="208">
        <v>0.0</v>
      </c>
      <c r="AE115" s="208">
        <v>0.0</v>
      </c>
      <c r="AF115" s="208">
        <v>0.0</v>
      </c>
      <c r="AG115" s="208">
        <v>0.0</v>
      </c>
      <c r="AH115" s="208">
        <v>0.0</v>
      </c>
      <c r="AI115" s="208">
        <v>0.0</v>
      </c>
      <c r="AJ115" s="208">
        <v>0.0</v>
      </c>
      <c r="AK115" s="208">
        <v>35410.0</v>
      </c>
      <c r="AL115" s="208">
        <v>0.0</v>
      </c>
      <c r="AM115" s="208">
        <v>0.0</v>
      </c>
      <c r="AN115" s="208">
        <v>0.0</v>
      </c>
      <c r="AO115" s="208">
        <v>0.0</v>
      </c>
      <c r="AP115" s="208">
        <v>0.0</v>
      </c>
      <c r="AQ115" s="208">
        <v>0.0</v>
      </c>
      <c r="AR115" s="208">
        <v>0.0</v>
      </c>
      <c r="AS115" s="208">
        <v>0.0</v>
      </c>
      <c r="AT115" s="208">
        <v>0.0</v>
      </c>
      <c r="AU115" s="208">
        <v>0.0</v>
      </c>
      <c r="AV115" s="208">
        <v>0.0</v>
      </c>
      <c r="AW115" s="208">
        <v>0.0</v>
      </c>
      <c r="AX115" s="208">
        <v>67.0</v>
      </c>
      <c r="AY115" s="208" t="s">
        <v>1301</v>
      </c>
    </row>
    <row r="116">
      <c r="A116" s="208" t="s">
        <v>185</v>
      </c>
      <c r="B116" s="208" t="s">
        <v>196</v>
      </c>
      <c r="C116" s="208" t="s">
        <v>259</v>
      </c>
      <c r="D116" s="208" t="s">
        <v>1027</v>
      </c>
      <c r="E116" s="208" t="s">
        <v>260</v>
      </c>
      <c r="F116" s="208" t="s">
        <v>1328</v>
      </c>
      <c r="G116" s="208" t="s">
        <v>199</v>
      </c>
      <c r="H116" s="208">
        <v>0.0</v>
      </c>
      <c r="I116" s="208">
        <v>5100000.0</v>
      </c>
      <c r="J116" s="208">
        <v>4626222.3</v>
      </c>
      <c r="K116" s="208">
        <v>0.0</v>
      </c>
      <c r="L116" s="208">
        <v>74.0</v>
      </c>
      <c r="M116" s="208">
        <v>70.0</v>
      </c>
      <c r="N116" s="208">
        <v>3.0</v>
      </c>
      <c r="O116" s="208">
        <v>77.0</v>
      </c>
      <c r="P116" s="208">
        <v>7.0</v>
      </c>
      <c r="Q116" s="208">
        <v>4434127.32</v>
      </c>
      <c r="R116" s="208">
        <v>192094.98</v>
      </c>
      <c r="S116" s="208">
        <v>32.0</v>
      </c>
      <c r="T116" s="208">
        <v>3.0</v>
      </c>
      <c r="U116" s="208">
        <v>35.0</v>
      </c>
      <c r="V116" s="208">
        <v>0.0</v>
      </c>
      <c r="W116" s="208">
        <v>6.0</v>
      </c>
      <c r="X116" s="208">
        <v>7.0</v>
      </c>
      <c r="Y116" s="208">
        <v>123.0</v>
      </c>
      <c r="Z116" s="208">
        <v>2.0</v>
      </c>
      <c r="AA116" s="208">
        <v>14.0</v>
      </c>
      <c r="AB116" s="208">
        <v>0.0</v>
      </c>
      <c r="AC116" s="208">
        <v>0.0</v>
      </c>
      <c r="AD116" s="208">
        <v>0.0</v>
      </c>
      <c r="AE116" s="208">
        <v>0.0</v>
      </c>
      <c r="AF116" s="208">
        <v>344.0</v>
      </c>
      <c r="AG116" s="208">
        <v>365.0</v>
      </c>
      <c r="AH116" s="208">
        <v>74.0</v>
      </c>
      <c r="AI116" s="208">
        <v>62517.0</v>
      </c>
      <c r="AJ116" s="208">
        <v>5.0</v>
      </c>
      <c r="AK116" s="208">
        <v>39855.0</v>
      </c>
      <c r="AL116" s="208">
        <v>0.0</v>
      </c>
      <c r="AM116" s="208">
        <v>0.0086</v>
      </c>
      <c r="AN116" s="208">
        <v>132178.0</v>
      </c>
      <c r="AO116" s="208">
        <v>0.91</v>
      </c>
      <c r="AP116" s="208">
        <v>0.0</v>
      </c>
      <c r="AQ116" s="208">
        <v>96.0</v>
      </c>
      <c r="AR116" s="208">
        <v>874.0</v>
      </c>
      <c r="AS116" s="208">
        <v>4073.85</v>
      </c>
      <c r="AT116" s="208">
        <v>3.0</v>
      </c>
      <c r="AU116" s="208">
        <v>58.0</v>
      </c>
      <c r="AV116" s="208">
        <v>35.0</v>
      </c>
      <c r="AW116" s="208">
        <v>39.0</v>
      </c>
      <c r="AX116" s="208">
        <v>3.0</v>
      </c>
      <c r="AY116" s="208" t="s">
        <v>1270</v>
      </c>
    </row>
    <row r="117">
      <c r="A117" s="208" t="s">
        <v>185</v>
      </c>
      <c r="B117" s="208" t="s">
        <v>222</v>
      </c>
      <c r="C117" s="208" t="s">
        <v>261</v>
      </c>
      <c r="D117" s="208" t="s">
        <v>1088</v>
      </c>
      <c r="E117" s="208" t="s">
        <v>262</v>
      </c>
      <c r="F117" s="534">
        <v>45292.0</v>
      </c>
      <c r="G117" s="208" t="s">
        <v>185</v>
      </c>
      <c r="H117" s="208">
        <v>0.0</v>
      </c>
      <c r="I117" s="208">
        <v>4500000.0</v>
      </c>
      <c r="J117" s="208">
        <v>580532.4</v>
      </c>
      <c r="K117" s="208">
        <v>0.0</v>
      </c>
      <c r="L117" s="208">
        <v>42.0</v>
      </c>
      <c r="M117" s="208">
        <v>29.0</v>
      </c>
      <c r="N117" s="208">
        <v>0.0</v>
      </c>
      <c r="O117" s="208">
        <v>42.0</v>
      </c>
      <c r="P117" s="208">
        <v>13.0</v>
      </c>
      <c r="Q117" s="208">
        <v>580532.4</v>
      </c>
      <c r="R117" s="208">
        <v>0.0</v>
      </c>
      <c r="S117" s="208">
        <v>6.0</v>
      </c>
      <c r="T117" s="208">
        <v>0.0</v>
      </c>
      <c r="U117" s="208">
        <v>6.0</v>
      </c>
      <c r="V117" s="208">
        <v>0.0</v>
      </c>
      <c r="W117" s="208">
        <v>6.0</v>
      </c>
      <c r="X117" s="208">
        <v>9.0</v>
      </c>
      <c r="Y117" s="208">
        <v>82.0</v>
      </c>
      <c r="Z117" s="208">
        <v>0.0</v>
      </c>
      <c r="AA117" s="208">
        <v>0.0</v>
      </c>
      <c r="AB117" s="208">
        <v>0.0</v>
      </c>
      <c r="AC117" s="208">
        <v>0.0</v>
      </c>
      <c r="AD117" s="208">
        <v>0.0</v>
      </c>
      <c r="AE117" s="208">
        <v>0.0</v>
      </c>
      <c r="AF117" s="208">
        <v>357.0</v>
      </c>
      <c r="AG117" s="208">
        <v>366.0</v>
      </c>
      <c r="AH117" s="208">
        <v>63.0</v>
      </c>
      <c r="AI117" s="208">
        <v>9215.0</v>
      </c>
      <c r="AJ117" s="208">
        <v>6.0</v>
      </c>
      <c r="AK117" s="208">
        <v>29430.0</v>
      </c>
      <c r="AL117" s="208">
        <v>0.0</v>
      </c>
      <c r="AM117" s="208">
        <v>0.0507</v>
      </c>
      <c r="AN117" s="208">
        <v>96755.0</v>
      </c>
      <c r="AO117" s="208">
        <v>0.13</v>
      </c>
      <c r="AP117" s="208">
        <v>0.0</v>
      </c>
      <c r="AQ117" s="208">
        <v>8.0</v>
      </c>
      <c r="AR117" s="208">
        <v>696.0</v>
      </c>
      <c r="AS117" s="208">
        <v>1041.03</v>
      </c>
      <c r="AT117" s="208">
        <v>0.0</v>
      </c>
      <c r="AU117" s="208">
        <v>36.0</v>
      </c>
      <c r="AV117" s="208">
        <v>6.0</v>
      </c>
      <c r="AW117" s="208">
        <v>23.0</v>
      </c>
      <c r="AX117" s="208">
        <v>13.0</v>
      </c>
      <c r="AY117" s="208" t="s">
        <v>1270</v>
      </c>
    </row>
    <row r="118">
      <c r="A118" s="208" t="s">
        <v>185</v>
      </c>
      <c r="B118" s="208" t="s">
        <v>85</v>
      </c>
      <c r="C118" s="208" t="s">
        <v>394</v>
      </c>
      <c r="D118" s="208" t="s">
        <v>1058</v>
      </c>
      <c r="E118" s="208" t="s">
        <v>91</v>
      </c>
      <c r="F118" s="534">
        <v>45352.0</v>
      </c>
      <c r="H118" s="208">
        <v>0.0</v>
      </c>
      <c r="I118" s="208">
        <v>0.0</v>
      </c>
      <c r="J118" s="208">
        <v>0.0</v>
      </c>
      <c r="K118" s="208">
        <v>0.0</v>
      </c>
      <c r="L118" s="208">
        <v>128.0</v>
      </c>
      <c r="M118" s="208">
        <v>0.0</v>
      </c>
      <c r="N118" s="208">
        <v>4.0</v>
      </c>
      <c r="O118" s="208">
        <v>132.0</v>
      </c>
      <c r="P118" s="208">
        <v>132.0</v>
      </c>
      <c r="Q118" s="208">
        <v>0.0</v>
      </c>
      <c r="R118" s="208">
        <v>0.0</v>
      </c>
      <c r="S118" s="208">
        <v>0.0</v>
      </c>
      <c r="T118" s="208">
        <v>0.0</v>
      </c>
      <c r="U118" s="208">
        <v>0.0</v>
      </c>
      <c r="V118" s="208">
        <v>0.0</v>
      </c>
      <c r="W118" s="208">
        <v>0.0</v>
      </c>
      <c r="X118" s="208">
        <v>0.0</v>
      </c>
      <c r="Y118" s="208">
        <v>103.0</v>
      </c>
      <c r="Z118" s="208">
        <v>0.0</v>
      </c>
      <c r="AA118" s="208">
        <v>0.0</v>
      </c>
      <c r="AB118" s="208">
        <v>0.0</v>
      </c>
      <c r="AC118" s="208">
        <v>0.0</v>
      </c>
      <c r="AD118" s="208">
        <v>0.0</v>
      </c>
      <c r="AE118" s="208">
        <v>0.0</v>
      </c>
      <c r="AF118" s="208">
        <v>0.0</v>
      </c>
      <c r="AG118" s="208">
        <v>0.0</v>
      </c>
      <c r="AH118" s="208">
        <v>0.0</v>
      </c>
      <c r="AI118" s="208">
        <v>0.0</v>
      </c>
      <c r="AJ118" s="208">
        <v>0.0</v>
      </c>
      <c r="AK118" s="208">
        <v>31870.0</v>
      </c>
      <c r="AL118" s="208">
        <v>0.0</v>
      </c>
      <c r="AM118" s="208">
        <v>0.0</v>
      </c>
      <c r="AN118" s="208">
        <v>0.0</v>
      </c>
      <c r="AO118" s="208">
        <v>0.0</v>
      </c>
      <c r="AP118" s="208">
        <v>0.0</v>
      </c>
      <c r="AQ118" s="208">
        <v>0.0</v>
      </c>
      <c r="AR118" s="208">
        <v>9.0</v>
      </c>
      <c r="AS118" s="208">
        <v>0.0</v>
      </c>
      <c r="AT118" s="208">
        <v>0.0</v>
      </c>
      <c r="AU118" s="208">
        <v>0.0</v>
      </c>
      <c r="AV118" s="208">
        <v>0.0</v>
      </c>
      <c r="AW118" s="208">
        <v>0.0</v>
      </c>
      <c r="AX118" s="208">
        <v>132.0</v>
      </c>
      <c r="AY118" s="208" t="s">
        <v>1322</v>
      </c>
    </row>
    <row r="119">
      <c r="A119" s="208" t="s">
        <v>185</v>
      </c>
      <c r="B119" s="208" t="s">
        <v>189</v>
      </c>
      <c r="C119" s="208" t="s">
        <v>804</v>
      </c>
      <c r="D119" s="208" t="s">
        <v>1016</v>
      </c>
      <c r="E119" s="208" t="s">
        <v>187</v>
      </c>
      <c r="F119" s="534">
        <v>45383.0</v>
      </c>
      <c r="G119" s="208" t="s">
        <v>185</v>
      </c>
      <c r="H119" s="208">
        <v>0.0</v>
      </c>
      <c r="I119" s="208">
        <v>0.0</v>
      </c>
      <c r="J119" s="208">
        <v>0.0</v>
      </c>
      <c r="K119" s="208">
        <v>0.0</v>
      </c>
      <c r="L119" s="208">
        <v>213.0</v>
      </c>
      <c r="M119" s="208">
        <v>44.0</v>
      </c>
      <c r="N119" s="208">
        <v>0.0</v>
      </c>
      <c r="O119" s="208">
        <v>213.0</v>
      </c>
      <c r="P119" s="208">
        <v>169.0</v>
      </c>
      <c r="Q119" s="208">
        <v>0.0</v>
      </c>
      <c r="R119" s="208">
        <v>0.0</v>
      </c>
      <c r="S119" s="208">
        <v>0.0</v>
      </c>
      <c r="T119" s="208">
        <v>0.0</v>
      </c>
      <c r="U119" s="208">
        <v>0.0</v>
      </c>
      <c r="V119" s="208">
        <v>0.0</v>
      </c>
      <c r="W119" s="208">
        <v>1.0</v>
      </c>
      <c r="X119" s="208">
        <v>1.0</v>
      </c>
      <c r="Y119" s="208">
        <v>28.0</v>
      </c>
      <c r="Z119" s="208">
        <v>8.0</v>
      </c>
      <c r="AA119" s="208">
        <v>15.0</v>
      </c>
      <c r="AB119" s="208">
        <v>0.0</v>
      </c>
      <c r="AC119" s="208">
        <v>0.0</v>
      </c>
      <c r="AD119" s="208">
        <v>0.0</v>
      </c>
      <c r="AE119" s="208">
        <v>0.0</v>
      </c>
      <c r="AF119" s="208">
        <v>56.0</v>
      </c>
      <c r="AG119" s="208">
        <v>72.0</v>
      </c>
      <c r="AH119" s="208">
        <v>58.0</v>
      </c>
      <c r="AI119" s="208">
        <v>0.0</v>
      </c>
      <c r="AJ119" s="208">
        <v>1.0</v>
      </c>
      <c r="AK119" s="208">
        <v>88555.0</v>
      </c>
      <c r="AL119" s="208">
        <v>0.0</v>
      </c>
      <c r="AM119" s="208">
        <v>0.0</v>
      </c>
      <c r="AN119" s="208">
        <v>0.0</v>
      </c>
      <c r="AO119" s="208">
        <v>0.0</v>
      </c>
      <c r="AP119" s="208">
        <v>0.0</v>
      </c>
      <c r="AQ119" s="208">
        <v>0.0</v>
      </c>
      <c r="AR119" s="208">
        <v>643.0</v>
      </c>
      <c r="AS119" s="208">
        <v>3636.35</v>
      </c>
      <c r="AT119" s="208">
        <v>0.0</v>
      </c>
      <c r="AU119" s="208">
        <v>83.0</v>
      </c>
      <c r="AV119" s="208">
        <v>0.0</v>
      </c>
      <c r="AW119" s="208">
        <v>44.0</v>
      </c>
      <c r="AX119" s="208">
        <v>169.0</v>
      </c>
      <c r="AY119" s="208" t="s">
        <v>1270</v>
      </c>
    </row>
    <row r="120">
      <c r="A120" s="208" t="s">
        <v>47</v>
      </c>
      <c r="B120" s="208" t="s">
        <v>50</v>
      </c>
      <c r="C120" s="208" t="s">
        <v>48</v>
      </c>
      <c r="D120" s="208" t="s">
        <v>1091</v>
      </c>
      <c r="E120" s="208" t="s">
        <v>49</v>
      </c>
      <c r="F120" s="208" t="s">
        <v>1329</v>
      </c>
      <c r="G120" s="208" t="s">
        <v>47</v>
      </c>
      <c r="H120" s="208">
        <v>0.0</v>
      </c>
      <c r="I120" s="208">
        <v>2499999.0</v>
      </c>
      <c r="J120" s="208">
        <v>2147434.43</v>
      </c>
      <c r="K120" s="208">
        <v>0.0</v>
      </c>
      <c r="L120" s="208">
        <v>74.0</v>
      </c>
      <c r="M120" s="208">
        <v>68.0</v>
      </c>
      <c r="N120" s="208">
        <v>2.0</v>
      </c>
      <c r="O120" s="208">
        <v>76.0</v>
      </c>
      <c r="P120" s="208">
        <v>8.0</v>
      </c>
      <c r="Q120" s="208">
        <v>2147434.43</v>
      </c>
      <c r="R120" s="208">
        <v>0.0</v>
      </c>
      <c r="S120" s="208">
        <v>62.0</v>
      </c>
      <c r="T120" s="208">
        <v>0.0</v>
      </c>
      <c r="U120" s="208">
        <v>62.0</v>
      </c>
      <c r="V120" s="208">
        <v>0.0</v>
      </c>
      <c r="W120" s="208">
        <v>7.0</v>
      </c>
      <c r="X120" s="208">
        <v>9.0</v>
      </c>
      <c r="Y120" s="208">
        <v>229.0</v>
      </c>
      <c r="Z120" s="208">
        <v>1.0</v>
      </c>
      <c r="AA120" s="208">
        <v>53.0</v>
      </c>
      <c r="AB120" s="208">
        <v>0.0</v>
      </c>
      <c r="AC120" s="208">
        <v>0.0</v>
      </c>
      <c r="AD120" s="208">
        <v>1.0</v>
      </c>
      <c r="AE120" s="208">
        <v>1.0</v>
      </c>
      <c r="AF120" s="208">
        <v>408.0</v>
      </c>
      <c r="AG120" s="208">
        <v>471.0</v>
      </c>
      <c r="AH120" s="208">
        <v>70.0</v>
      </c>
      <c r="AI120" s="208">
        <v>30678.0</v>
      </c>
      <c r="AJ120" s="208">
        <v>7.0</v>
      </c>
      <c r="AK120" s="208">
        <v>32318.0</v>
      </c>
      <c r="AL120" s="208">
        <v>0.0</v>
      </c>
      <c r="AM120" s="208">
        <v>0.015</v>
      </c>
      <c r="AN120" s="208">
        <v>34636.0</v>
      </c>
      <c r="AO120" s="208">
        <v>0.86</v>
      </c>
      <c r="AP120" s="208">
        <v>0.0</v>
      </c>
      <c r="AQ120" s="208">
        <v>262.0</v>
      </c>
      <c r="AR120" s="208">
        <v>650.0</v>
      </c>
      <c r="AS120" s="208">
        <v>5053.19</v>
      </c>
      <c r="AT120" s="208">
        <v>0.0</v>
      </c>
      <c r="AU120" s="208">
        <v>74.0</v>
      </c>
      <c r="AV120" s="208">
        <v>62.0</v>
      </c>
      <c r="AW120" s="208">
        <v>6.0</v>
      </c>
      <c r="AX120" s="208">
        <v>8.0</v>
      </c>
      <c r="AY120" s="208" t="s">
        <v>1270</v>
      </c>
    </row>
    <row r="121">
      <c r="A121" s="208" t="s">
        <v>185</v>
      </c>
      <c r="B121" s="208" t="s">
        <v>222</v>
      </c>
      <c r="C121" s="208" t="s">
        <v>809</v>
      </c>
      <c r="D121" s="208" t="s">
        <v>1089</v>
      </c>
      <c r="E121" s="208" t="s">
        <v>1090</v>
      </c>
      <c r="F121" s="208" t="s">
        <v>1330</v>
      </c>
      <c r="G121" s="208" t="s">
        <v>185</v>
      </c>
      <c r="H121" s="208">
        <v>0.0</v>
      </c>
      <c r="I121" s="208">
        <v>4500000.0</v>
      </c>
      <c r="J121" s="208">
        <v>3873482.94</v>
      </c>
      <c r="K121" s="208">
        <v>0.0</v>
      </c>
      <c r="L121" s="208">
        <v>114.0</v>
      </c>
      <c r="M121" s="208">
        <v>73.0</v>
      </c>
      <c r="N121" s="208">
        <v>0.0</v>
      </c>
      <c r="O121" s="208">
        <v>114.0</v>
      </c>
      <c r="P121" s="208">
        <v>41.0</v>
      </c>
      <c r="Q121" s="208">
        <v>3873482.94</v>
      </c>
      <c r="R121" s="208">
        <v>0.0</v>
      </c>
      <c r="S121" s="208">
        <v>41.0</v>
      </c>
      <c r="T121" s="208">
        <v>0.0</v>
      </c>
      <c r="U121" s="208">
        <v>41.0</v>
      </c>
      <c r="V121" s="208">
        <v>0.0</v>
      </c>
      <c r="W121" s="208">
        <v>1.0</v>
      </c>
      <c r="X121" s="208">
        <v>1.0</v>
      </c>
      <c r="Y121" s="208">
        <v>88.0</v>
      </c>
      <c r="Z121" s="208">
        <v>1.0</v>
      </c>
      <c r="AA121" s="208">
        <v>3.0</v>
      </c>
      <c r="AB121" s="208">
        <v>0.0</v>
      </c>
      <c r="AC121" s="208">
        <v>0.0</v>
      </c>
      <c r="AD121" s="208">
        <v>0.0</v>
      </c>
      <c r="AE121" s="208">
        <v>0.0</v>
      </c>
      <c r="AF121" s="208">
        <v>251.0</v>
      </c>
      <c r="AG121" s="208">
        <v>255.0</v>
      </c>
      <c r="AH121" s="208">
        <v>68.0</v>
      </c>
      <c r="AI121" s="208">
        <v>56963.0</v>
      </c>
      <c r="AJ121" s="208">
        <v>4.0</v>
      </c>
      <c r="AK121" s="208">
        <v>42820.0</v>
      </c>
      <c r="AL121" s="208">
        <v>0.0</v>
      </c>
      <c r="AM121" s="208">
        <v>0.0111</v>
      </c>
      <c r="AN121" s="208">
        <v>94475.0</v>
      </c>
      <c r="AO121" s="208">
        <v>0.86</v>
      </c>
      <c r="AP121" s="208">
        <v>0.0</v>
      </c>
      <c r="AQ121" s="208">
        <v>62.0</v>
      </c>
      <c r="AR121" s="208">
        <v>642.0</v>
      </c>
      <c r="AS121" s="208">
        <v>1879.91</v>
      </c>
      <c r="AT121" s="208">
        <v>0.0</v>
      </c>
      <c r="AU121" s="208">
        <v>26.0</v>
      </c>
      <c r="AV121" s="208">
        <v>41.0</v>
      </c>
      <c r="AW121" s="208">
        <v>44.0</v>
      </c>
      <c r="AX121" s="208">
        <v>29.0</v>
      </c>
      <c r="AY121" s="208" t="s">
        <v>1270</v>
      </c>
    </row>
    <row r="122">
      <c r="A122" s="208" t="s">
        <v>53</v>
      </c>
      <c r="B122" s="208" t="s">
        <v>56</v>
      </c>
      <c r="C122" s="208" t="s">
        <v>361</v>
      </c>
      <c r="D122" s="208" t="s">
        <v>1092</v>
      </c>
      <c r="E122" s="208" t="s">
        <v>1093</v>
      </c>
      <c r="F122" s="208" t="s">
        <v>1331</v>
      </c>
      <c r="G122" s="208" t="s">
        <v>754</v>
      </c>
      <c r="H122" s="208">
        <v>0.0</v>
      </c>
      <c r="I122" s="208">
        <v>0.0</v>
      </c>
      <c r="J122" s="208">
        <v>0.0</v>
      </c>
      <c r="K122" s="208">
        <v>0.0</v>
      </c>
      <c r="L122" s="208">
        <v>48.0</v>
      </c>
      <c r="M122" s="208">
        <v>0.0</v>
      </c>
      <c r="N122" s="208">
        <v>1.0</v>
      </c>
      <c r="O122" s="208">
        <v>49.0</v>
      </c>
      <c r="P122" s="208">
        <v>49.0</v>
      </c>
      <c r="Q122" s="208">
        <v>0.0</v>
      </c>
      <c r="R122" s="208">
        <v>0.0</v>
      </c>
      <c r="S122" s="208">
        <v>0.0</v>
      </c>
      <c r="T122" s="208">
        <v>0.0</v>
      </c>
      <c r="U122" s="208">
        <v>0.0</v>
      </c>
      <c r="V122" s="208">
        <v>0.0</v>
      </c>
      <c r="W122" s="208">
        <v>0.0</v>
      </c>
      <c r="X122" s="208">
        <v>0.0</v>
      </c>
      <c r="Y122" s="208">
        <v>360.0</v>
      </c>
      <c r="Z122" s="208">
        <v>0.0</v>
      </c>
      <c r="AA122" s="208">
        <v>0.0</v>
      </c>
      <c r="AB122" s="208">
        <v>0.0</v>
      </c>
      <c r="AC122" s="208">
        <v>0.0</v>
      </c>
      <c r="AD122" s="208">
        <v>0.0</v>
      </c>
      <c r="AE122" s="208">
        <v>0.0</v>
      </c>
      <c r="AF122" s="208">
        <v>0.0</v>
      </c>
      <c r="AG122" s="208">
        <v>0.0</v>
      </c>
      <c r="AH122" s="208">
        <v>0.0</v>
      </c>
      <c r="AI122" s="208">
        <v>0.0</v>
      </c>
      <c r="AJ122" s="208">
        <v>0.0</v>
      </c>
      <c r="AK122" s="208">
        <v>24425.0</v>
      </c>
      <c r="AL122" s="208">
        <v>0.0</v>
      </c>
      <c r="AM122" s="208">
        <v>0.0</v>
      </c>
      <c r="AN122" s="208">
        <v>0.0</v>
      </c>
      <c r="AO122" s="208">
        <v>0.0</v>
      </c>
      <c r="AP122" s="208">
        <v>0.0</v>
      </c>
      <c r="AQ122" s="208">
        <v>0.0</v>
      </c>
      <c r="AR122" s="208">
        <v>0.0</v>
      </c>
      <c r="AS122" s="208">
        <v>0.0</v>
      </c>
      <c r="AT122" s="208">
        <v>0.0</v>
      </c>
      <c r="AU122" s="208">
        <v>0.0</v>
      </c>
      <c r="AV122" s="208">
        <v>0.0</v>
      </c>
      <c r="AW122" s="208">
        <v>0.0</v>
      </c>
      <c r="AX122" s="208">
        <v>49.0</v>
      </c>
      <c r="AY122" s="208" t="s">
        <v>1332</v>
      </c>
    </row>
    <row r="123">
      <c r="A123" s="208" t="s">
        <v>185</v>
      </c>
      <c r="B123" s="208" t="s">
        <v>189</v>
      </c>
      <c r="C123" s="208" t="s">
        <v>265</v>
      </c>
      <c r="D123" s="208" t="s">
        <v>1016</v>
      </c>
      <c r="E123" s="208" t="s">
        <v>266</v>
      </c>
      <c r="F123" s="534">
        <v>45293.0</v>
      </c>
      <c r="G123" s="208" t="s">
        <v>787</v>
      </c>
      <c r="H123" s="208">
        <v>0.0</v>
      </c>
      <c r="I123" s="208">
        <v>6000000.0</v>
      </c>
      <c r="J123" s="208">
        <v>4216420.05</v>
      </c>
      <c r="K123" s="208">
        <v>0.0</v>
      </c>
      <c r="L123" s="208">
        <v>72.0</v>
      </c>
      <c r="M123" s="208">
        <v>65.0</v>
      </c>
      <c r="N123" s="208">
        <v>1.0</v>
      </c>
      <c r="O123" s="208">
        <v>73.0</v>
      </c>
      <c r="P123" s="208">
        <v>8.0</v>
      </c>
      <c r="Q123" s="208">
        <v>4216420.05</v>
      </c>
      <c r="R123" s="208">
        <v>0.0</v>
      </c>
      <c r="S123" s="208">
        <v>36.0</v>
      </c>
      <c r="T123" s="208">
        <v>0.0</v>
      </c>
      <c r="U123" s="208">
        <v>36.0</v>
      </c>
      <c r="V123" s="208">
        <v>0.0</v>
      </c>
      <c r="W123" s="208">
        <v>16.0</v>
      </c>
      <c r="X123" s="208">
        <v>17.0</v>
      </c>
      <c r="Y123" s="208">
        <v>218.0</v>
      </c>
      <c r="Z123" s="208">
        <v>2.0</v>
      </c>
      <c r="AA123" s="208">
        <v>20.0</v>
      </c>
      <c r="AB123" s="208">
        <v>0.0</v>
      </c>
      <c r="AC123" s="208">
        <v>0.0</v>
      </c>
      <c r="AD123" s="208">
        <v>0.0</v>
      </c>
      <c r="AE123" s="208">
        <v>0.0</v>
      </c>
      <c r="AF123" s="208">
        <v>322.0</v>
      </c>
      <c r="AG123" s="208">
        <v>359.0</v>
      </c>
      <c r="AH123" s="208">
        <v>72.0</v>
      </c>
      <c r="AI123" s="208">
        <v>58561.0</v>
      </c>
      <c r="AJ123" s="208">
        <v>5.0</v>
      </c>
      <c r="AK123" s="208">
        <v>30950.0</v>
      </c>
      <c r="AL123" s="208">
        <v>0.0</v>
      </c>
      <c r="AM123" s="208">
        <v>0.0073</v>
      </c>
      <c r="AN123" s="208">
        <v>117123.0</v>
      </c>
      <c r="AO123" s="208">
        <v>0.7</v>
      </c>
      <c r="AP123" s="208">
        <v>0.0</v>
      </c>
      <c r="AQ123" s="208">
        <v>90.0</v>
      </c>
      <c r="AR123" s="208">
        <v>843.0</v>
      </c>
      <c r="AS123" s="208">
        <v>2884.57</v>
      </c>
      <c r="AT123" s="208">
        <v>0.0</v>
      </c>
      <c r="AU123" s="208">
        <v>44.0</v>
      </c>
      <c r="AV123" s="208">
        <v>36.0</v>
      </c>
      <c r="AW123" s="208">
        <v>29.0</v>
      </c>
      <c r="AX123" s="208">
        <v>8.0</v>
      </c>
      <c r="AY123" s="208" t="s">
        <v>1270</v>
      </c>
    </row>
    <row r="124">
      <c r="A124" s="208" t="s">
        <v>126</v>
      </c>
      <c r="B124" s="208" t="s">
        <v>145</v>
      </c>
      <c r="C124" s="208" t="s">
        <v>167</v>
      </c>
      <c r="D124" s="208" t="s">
        <v>1066</v>
      </c>
      <c r="E124" s="208" t="s">
        <v>168</v>
      </c>
      <c r="F124" s="534">
        <v>45537.0</v>
      </c>
      <c r="G124" s="208" t="s">
        <v>580</v>
      </c>
      <c r="H124" s="208">
        <v>0.0</v>
      </c>
      <c r="I124" s="208">
        <v>3450000.0</v>
      </c>
      <c r="J124" s="208">
        <v>2612671.01</v>
      </c>
      <c r="K124" s="208">
        <v>0.0</v>
      </c>
      <c r="L124" s="208">
        <v>34.0</v>
      </c>
      <c r="M124" s="208">
        <v>31.0</v>
      </c>
      <c r="N124" s="208">
        <v>0.0</v>
      </c>
      <c r="O124" s="208">
        <v>34.0</v>
      </c>
      <c r="P124" s="208">
        <v>3.0</v>
      </c>
      <c r="Q124" s="208">
        <v>2612671.01</v>
      </c>
      <c r="R124" s="208">
        <v>0.0</v>
      </c>
      <c r="S124" s="208">
        <v>22.0</v>
      </c>
      <c r="T124" s="208">
        <v>0.0</v>
      </c>
      <c r="U124" s="208">
        <v>22.0</v>
      </c>
      <c r="V124" s="208">
        <v>0.0</v>
      </c>
      <c r="W124" s="208">
        <v>26.0</v>
      </c>
      <c r="X124" s="208">
        <v>38.0</v>
      </c>
      <c r="Y124" s="208">
        <v>216.0</v>
      </c>
      <c r="Z124" s="208">
        <v>1.0</v>
      </c>
      <c r="AA124" s="208">
        <v>2.0</v>
      </c>
      <c r="AB124" s="208">
        <v>0.0</v>
      </c>
      <c r="AC124" s="208">
        <v>0.0</v>
      </c>
      <c r="AD124" s="208">
        <v>0.0</v>
      </c>
      <c r="AE124" s="208">
        <v>0.0</v>
      </c>
      <c r="AF124" s="208">
        <v>245.0</v>
      </c>
      <c r="AG124" s="208">
        <v>285.0</v>
      </c>
      <c r="AH124" s="208">
        <v>70.0</v>
      </c>
      <c r="AI124" s="208">
        <v>37324.0</v>
      </c>
      <c r="AJ124" s="208">
        <v>4.0</v>
      </c>
      <c r="AK124" s="208">
        <v>26212.0</v>
      </c>
      <c r="AL124" s="208">
        <v>0.0</v>
      </c>
      <c r="AM124" s="208">
        <v>0.01</v>
      </c>
      <c r="AN124" s="208">
        <v>118758.0</v>
      </c>
      <c r="AO124" s="208">
        <v>0.76</v>
      </c>
      <c r="AP124" s="208">
        <v>0.0</v>
      </c>
      <c r="AQ124" s="208">
        <v>55.0</v>
      </c>
      <c r="AR124" s="208">
        <v>773.0</v>
      </c>
      <c r="AS124" s="208">
        <v>3144.99</v>
      </c>
      <c r="AT124" s="208">
        <v>0.0</v>
      </c>
      <c r="AU124" s="208">
        <v>101.0</v>
      </c>
      <c r="AV124" s="208">
        <v>22.0</v>
      </c>
      <c r="AW124" s="208">
        <v>10.0</v>
      </c>
      <c r="AX124" s="208">
        <v>2.0</v>
      </c>
      <c r="AY124" s="208" t="s">
        <v>1270</v>
      </c>
    </row>
    <row r="125">
      <c r="A125" s="208" t="s">
        <v>47</v>
      </c>
      <c r="B125" s="208" t="s">
        <v>50</v>
      </c>
      <c r="C125" s="208" t="s">
        <v>51</v>
      </c>
      <c r="D125" s="208" t="s">
        <v>1091</v>
      </c>
      <c r="E125" s="208" t="s">
        <v>52</v>
      </c>
      <c r="F125" s="534">
        <v>45600.0</v>
      </c>
      <c r="G125" s="208" t="s">
        <v>47</v>
      </c>
      <c r="H125" s="208">
        <v>0.0</v>
      </c>
      <c r="I125" s="208">
        <v>4500000.0</v>
      </c>
      <c r="J125" s="208">
        <v>2778774.82</v>
      </c>
      <c r="K125" s="208">
        <v>0.0</v>
      </c>
      <c r="L125" s="208">
        <v>159.0</v>
      </c>
      <c r="M125" s="208">
        <v>103.0</v>
      </c>
      <c r="N125" s="208">
        <v>5.0</v>
      </c>
      <c r="O125" s="208">
        <v>164.0</v>
      </c>
      <c r="P125" s="208">
        <v>61.0</v>
      </c>
      <c r="Q125" s="208">
        <v>2583648.94</v>
      </c>
      <c r="R125" s="208">
        <v>195125.88</v>
      </c>
      <c r="S125" s="208">
        <v>60.0</v>
      </c>
      <c r="T125" s="208">
        <v>5.0</v>
      </c>
      <c r="U125" s="208">
        <v>65.0</v>
      </c>
      <c r="V125" s="208">
        <v>0.0</v>
      </c>
      <c r="W125" s="208">
        <v>18.0</v>
      </c>
      <c r="X125" s="208">
        <v>24.0</v>
      </c>
      <c r="Y125" s="208">
        <v>429.0</v>
      </c>
      <c r="Z125" s="208">
        <v>2.0</v>
      </c>
      <c r="AA125" s="208">
        <v>26.0</v>
      </c>
      <c r="AB125" s="208">
        <v>0.0</v>
      </c>
      <c r="AC125" s="208">
        <v>0.0</v>
      </c>
      <c r="AD125" s="208">
        <v>0.0</v>
      </c>
      <c r="AE125" s="208">
        <v>0.0</v>
      </c>
      <c r="AF125" s="208">
        <v>442.0</v>
      </c>
      <c r="AG125" s="208">
        <v>492.0</v>
      </c>
      <c r="AH125" s="208">
        <v>69.0</v>
      </c>
      <c r="AI125" s="208">
        <v>40272.0</v>
      </c>
      <c r="AJ125" s="208">
        <v>7.0</v>
      </c>
      <c r="AK125" s="208">
        <v>24116.0</v>
      </c>
      <c r="AL125" s="208">
        <v>0.0</v>
      </c>
      <c r="AM125" s="208">
        <v>0.0087</v>
      </c>
      <c r="AN125" s="208">
        <v>42750.0</v>
      </c>
      <c r="AO125" s="208">
        <v>0.62</v>
      </c>
      <c r="AP125" s="208">
        <v>0.0</v>
      </c>
      <c r="AQ125" s="208">
        <v>178.0</v>
      </c>
      <c r="AR125" s="208">
        <v>619.0</v>
      </c>
      <c r="AS125" s="208">
        <v>2916.37</v>
      </c>
      <c r="AT125" s="208">
        <v>5.0</v>
      </c>
      <c r="AU125" s="208">
        <v>28.0</v>
      </c>
      <c r="AV125" s="208">
        <v>65.0</v>
      </c>
      <c r="AW125" s="208">
        <v>38.0</v>
      </c>
      <c r="AX125" s="208">
        <v>61.0</v>
      </c>
      <c r="AY125" s="208" t="s">
        <v>1270</v>
      </c>
    </row>
    <row r="126">
      <c r="A126" s="208" t="s">
        <v>23</v>
      </c>
      <c r="B126" s="208" t="s">
        <v>30</v>
      </c>
      <c r="C126" s="208" t="s">
        <v>335</v>
      </c>
      <c r="D126" s="208" t="s">
        <v>30</v>
      </c>
      <c r="E126" s="208" t="s">
        <v>46</v>
      </c>
      <c r="F126" s="534">
        <v>45326.0</v>
      </c>
      <c r="G126" s="208" t="s">
        <v>23</v>
      </c>
      <c r="H126" s="208">
        <v>300000.0</v>
      </c>
      <c r="I126" s="208">
        <v>1200000.0</v>
      </c>
      <c r="J126" s="208">
        <v>213352.45</v>
      </c>
      <c r="K126" s="208">
        <v>0.0</v>
      </c>
      <c r="L126" s="208">
        <v>63.0</v>
      </c>
      <c r="M126" s="208">
        <v>25.0</v>
      </c>
      <c r="N126" s="208">
        <v>2.0</v>
      </c>
      <c r="O126" s="208">
        <v>65.0</v>
      </c>
      <c r="P126" s="208">
        <v>40.0</v>
      </c>
      <c r="Q126" s="208">
        <v>213352.45</v>
      </c>
      <c r="R126" s="208">
        <v>0.0</v>
      </c>
      <c r="S126" s="208">
        <v>6.0</v>
      </c>
      <c r="T126" s="208">
        <v>0.0</v>
      </c>
      <c r="U126" s="208">
        <v>6.0</v>
      </c>
      <c r="V126" s="208">
        <v>0.0</v>
      </c>
      <c r="W126" s="208">
        <v>86.0</v>
      </c>
      <c r="X126" s="208">
        <v>99.0</v>
      </c>
      <c r="Y126" s="208">
        <v>332.0</v>
      </c>
      <c r="Z126" s="208">
        <v>2.0</v>
      </c>
      <c r="AA126" s="208">
        <v>2.0</v>
      </c>
      <c r="AB126" s="208">
        <v>1.0</v>
      </c>
      <c r="AC126" s="208">
        <v>1.0</v>
      </c>
      <c r="AD126" s="208">
        <v>0.0</v>
      </c>
      <c r="AE126" s="208">
        <v>0.0</v>
      </c>
      <c r="AF126" s="208">
        <v>34.0</v>
      </c>
      <c r="AG126" s="208">
        <v>136.0</v>
      </c>
      <c r="AH126" s="208">
        <v>27.0</v>
      </c>
      <c r="AI126" s="208">
        <v>7902.0</v>
      </c>
      <c r="AJ126" s="208">
        <v>5.0</v>
      </c>
      <c r="AK126" s="208">
        <v>32500.0</v>
      </c>
      <c r="AL126" s="208">
        <v>0.0</v>
      </c>
      <c r="AM126" s="208">
        <v>0.1523</v>
      </c>
      <c r="AN126" s="208">
        <v>35559.0</v>
      </c>
      <c r="AO126" s="208">
        <v>0.18</v>
      </c>
      <c r="AP126" s="208">
        <v>0.0</v>
      </c>
      <c r="AQ126" s="208">
        <v>8.0</v>
      </c>
      <c r="AR126" s="208">
        <v>265.0</v>
      </c>
      <c r="AS126" s="208">
        <v>0.0</v>
      </c>
      <c r="AT126" s="208">
        <v>0.0</v>
      </c>
      <c r="AU126" s="208">
        <v>0.0</v>
      </c>
      <c r="AV126" s="208">
        <v>6.0</v>
      </c>
      <c r="AW126" s="208">
        <v>22.0</v>
      </c>
      <c r="AX126" s="208">
        <v>37.0</v>
      </c>
      <c r="AY126" s="208" t="s">
        <v>1269</v>
      </c>
    </row>
    <row r="127">
      <c r="A127" s="208" t="s">
        <v>47</v>
      </c>
      <c r="B127" s="208" t="s">
        <v>422</v>
      </c>
      <c r="C127" s="208" t="s">
        <v>420</v>
      </c>
      <c r="D127" s="208" t="s">
        <v>1094</v>
      </c>
      <c r="E127" s="208" t="s">
        <v>421</v>
      </c>
      <c r="F127" s="208" t="s">
        <v>1333</v>
      </c>
      <c r="G127" s="208" t="s">
        <v>47</v>
      </c>
      <c r="H127" s="208">
        <v>0.0</v>
      </c>
      <c r="I127" s="208">
        <v>0.0</v>
      </c>
      <c r="J127" s="208">
        <v>0.0</v>
      </c>
      <c r="K127" s="208">
        <v>0.0</v>
      </c>
      <c r="L127" s="208">
        <v>90.0</v>
      </c>
      <c r="M127" s="208">
        <v>0.0</v>
      </c>
      <c r="N127" s="208">
        <v>0.0</v>
      </c>
      <c r="O127" s="208">
        <v>90.0</v>
      </c>
      <c r="P127" s="208">
        <v>90.0</v>
      </c>
      <c r="Q127" s="208">
        <v>0.0</v>
      </c>
      <c r="R127" s="208">
        <v>0.0</v>
      </c>
      <c r="S127" s="208">
        <v>0.0</v>
      </c>
      <c r="T127" s="208">
        <v>0.0</v>
      </c>
      <c r="U127" s="208">
        <v>0.0</v>
      </c>
      <c r="V127" s="208">
        <v>0.0</v>
      </c>
      <c r="W127" s="208">
        <v>0.0</v>
      </c>
      <c r="X127" s="208">
        <v>0.0</v>
      </c>
      <c r="Y127" s="208">
        <v>605.0</v>
      </c>
      <c r="Z127" s="208">
        <v>0.0</v>
      </c>
      <c r="AA127" s="208">
        <v>0.0</v>
      </c>
      <c r="AB127" s="208">
        <v>0.0</v>
      </c>
      <c r="AC127" s="208">
        <v>0.0</v>
      </c>
      <c r="AD127" s="208">
        <v>0.0</v>
      </c>
      <c r="AE127" s="208">
        <v>0.0</v>
      </c>
      <c r="AF127" s="208">
        <v>0.0</v>
      </c>
      <c r="AG127" s="208">
        <v>0.0</v>
      </c>
      <c r="AH127" s="208">
        <v>0.0</v>
      </c>
      <c r="AI127" s="208">
        <v>0.0</v>
      </c>
      <c r="AJ127" s="208">
        <v>0.0</v>
      </c>
      <c r="AK127" s="208">
        <v>25690.0</v>
      </c>
      <c r="AL127" s="208">
        <v>0.0</v>
      </c>
      <c r="AM127" s="208">
        <v>0.0</v>
      </c>
      <c r="AN127" s="208">
        <v>0.0</v>
      </c>
      <c r="AO127" s="208">
        <v>0.0</v>
      </c>
      <c r="AP127" s="208">
        <v>0.0</v>
      </c>
      <c r="AQ127" s="208">
        <v>0.0</v>
      </c>
      <c r="AR127" s="208">
        <v>0.0</v>
      </c>
      <c r="AS127" s="208">
        <v>0.0</v>
      </c>
      <c r="AT127" s="208">
        <v>0.0</v>
      </c>
      <c r="AU127" s="208">
        <v>0.0</v>
      </c>
      <c r="AV127" s="208">
        <v>0.0</v>
      </c>
      <c r="AW127" s="208">
        <v>0.0</v>
      </c>
      <c r="AX127" s="208">
        <v>90.0</v>
      </c>
      <c r="AY127" s="208" t="s">
        <v>1334</v>
      </c>
    </row>
    <row r="128">
      <c r="A128" s="208" t="s">
        <v>185</v>
      </c>
      <c r="B128" s="208" t="s">
        <v>215</v>
      </c>
      <c r="C128" s="208" t="s">
        <v>267</v>
      </c>
      <c r="D128" s="208" t="s">
        <v>1064</v>
      </c>
      <c r="E128" s="208" t="s">
        <v>268</v>
      </c>
      <c r="F128" s="208" t="s">
        <v>1335</v>
      </c>
      <c r="G128" s="208" t="s">
        <v>776</v>
      </c>
      <c r="H128" s="208">
        <v>0.0</v>
      </c>
      <c r="I128" s="208">
        <v>7449999.0</v>
      </c>
      <c r="J128" s="208">
        <v>1.184919857E7</v>
      </c>
      <c r="K128" s="208">
        <v>0.0</v>
      </c>
      <c r="L128" s="208">
        <v>113.0</v>
      </c>
      <c r="M128" s="208">
        <v>101.0</v>
      </c>
      <c r="N128" s="208">
        <v>3.0</v>
      </c>
      <c r="O128" s="208">
        <v>116.0</v>
      </c>
      <c r="P128" s="208">
        <v>15.0</v>
      </c>
      <c r="Q128" s="208">
        <v>1.167819641E7</v>
      </c>
      <c r="R128" s="208">
        <v>171002.16</v>
      </c>
      <c r="S128" s="208">
        <v>65.0</v>
      </c>
      <c r="T128" s="208">
        <v>3.0</v>
      </c>
      <c r="U128" s="208">
        <v>68.0</v>
      </c>
      <c r="V128" s="208">
        <v>0.0</v>
      </c>
      <c r="W128" s="208">
        <v>44.0</v>
      </c>
      <c r="X128" s="208">
        <v>52.0</v>
      </c>
      <c r="Y128" s="208">
        <v>163.0</v>
      </c>
      <c r="Z128" s="208">
        <v>1.0</v>
      </c>
      <c r="AA128" s="208">
        <v>32.0</v>
      </c>
      <c r="AB128" s="208">
        <v>0.0</v>
      </c>
      <c r="AC128" s="208">
        <v>0.0</v>
      </c>
      <c r="AD128" s="208">
        <v>0.0</v>
      </c>
      <c r="AE128" s="208">
        <v>0.0</v>
      </c>
      <c r="AF128" s="208">
        <v>361.0</v>
      </c>
      <c r="AG128" s="208">
        <v>445.0</v>
      </c>
      <c r="AH128" s="208">
        <v>75.0</v>
      </c>
      <c r="AI128" s="208">
        <v>157989.0</v>
      </c>
      <c r="AJ128" s="208">
        <v>6.0</v>
      </c>
      <c r="AK128" s="208">
        <v>45100.0</v>
      </c>
      <c r="AL128" s="208">
        <v>0.0</v>
      </c>
      <c r="AM128" s="208">
        <v>0.0038</v>
      </c>
      <c r="AN128" s="208">
        <v>174253.0</v>
      </c>
      <c r="AO128" s="208">
        <v>1.59</v>
      </c>
      <c r="AP128" s="208">
        <v>0.0</v>
      </c>
      <c r="AQ128" s="208">
        <v>189.0</v>
      </c>
      <c r="AR128" s="208">
        <v>713.0</v>
      </c>
      <c r="AS128" s="208">
        <v>1978.64</v>
      </c>
      <c r="AT128" s="208">
        <v>3.0</v>
      </c>
      <c r="AU128" s="208">
        <v>20.0</v>
      </c>
      <c r="AV128" s="208">
        <v>68.0</v>
      </c>
      <c r="AW128" s="208">
        <v>38.0</v>
      </c>
      <c r="AX128" s="208">
        <v>10.0</v>
      </c>
      <c r="AY128" s="208" t="s">
        <v>1270</v>
      </c>
    </row>
    <row r="129">
      <c r="A129" s="208" t="s">
        <v>185</v>
      </c>
      <c r="B129" s="208" t="s">
        <v>196</v>
      </c>
      <c r="C129" s="208" t="s">
        <v>269</v>
      </c>
      <c r="D129" s="208" t="s">
        <v>1027</v>
      </c>
      <c r="E129" s="208" t="s">
        <v>270</v>
      </c>
      <c r="F129" s="208" t="s">
        <v>1336</v>
      </c>
      <c r="G129" s="208" t="s">
        <v>199</v>
      </c>
      <c r="H129" s="208">
        <v>0.0</v>
      </c>
      <c r="I129" s="208">
        <v>6000000.0</v>
      </c>
      <c r="J129" s="208">
        <v>2185941.82</v>
      </c>
      <c r="K129" s="208">
        <v>0.0</v>
      </c>
      <c r="L129" s="208">
        <v>76.0</v>
      </c>
      <c r="M129" s="208">
        <v>51.0</v>
      </c>
      <c r="N129" s="208">
        <v>1.0</v>
      </c>
      <c r="O129" s="208">
        <v>77.0</v>
      </c>
      <c r="P129" s="208">
        <v>26.0</v>
      </c>
      <c r="Q129" s="208">
        <v>2157463.42</v>
      </c>
      <c r="R129" s="208">
        <v>28478.4</v>
      </c>
      <c r="S129" s="208">
        <v>37.0</v>
      </c>
      <c r="T129" s="208">
        <v>1.0</v>
      </c>
      <c r="U129" s="208">
        <v>38.0</v>
      </c>
      <c r="V129" s="208">
        <v>0.0</v>
      </c>
      <c r="W129" s="208">
        <v>1.0</v>
      </c>
      <c r="X129" s="208">
        <v>1.0</v>
      </c>
      <c r="Y129" s="208">
        <v>19.0</v>
      </c>
      <c r="Z129" s="208">
        <v>1.0</v>
      </c>
      <c r="AA129" s="208">
        <v>4.0</v>
      </c>
      <c r="AB129" s="208">
        <v>0.0</v>
      </c>
      <c r="AC129" s="208">
        <v>0.0</v>
      </c>
      <c r="AD129" s="208">
        <v>0.0</v>
      </c>
      <c r="AE129" s="208">
        <v>0.0</v>
      </c>
      <c r="AF129" s="208">
        <v>101.0</v>
      </c>
      <c r="AG129" s="208">
        <v>106.0</v>
      </c>
      <c r="AH129" s="208">
        <v>29.0</v>
      </c>
      <c r="AI129" s="208">
        <v>75377.0</v>
      </c>
      <c r="AJ129" s="208">
        <v>4.0</v>
      </c>
      <c r="AK129" s="208">
        <v>69400.0</v>
      </c>
      <c r="AL129" s="208">
        <v>0.0</v>
      </c>
      <c r="AM129" s="208">
        <v>0.0317</v>
      </c>
      <c r="AN129" s="208">
        <v>57525.0</v>
      </c>
      <c r="AO129" s="208">
        <v>0.36</v>
      </c>
      <c r="AP129" s="208">
        <v>0.0</v>
      </c>
      <c r="AQ129" s="208">
        <v>111.0</v>
      </c>
      <c r="AR129" s="208">
        <v>313.0</v>
      </c>
      <c r="AS129" s="208">
        <v>193.2</v>
      </c>
      <c r="AT129" s="208">
        <v>1.0</v>
      </c>
      <c r="AU129" s="208">
        <v>4.0</v>
      </c>
      <c r="AV129" s="208">
        <v>38.0</v>
      </c>
      <c r="AW129" s="208">
        <v>20.0</v>
      </c>
      <c r="AX129" s="208">
        <v>19.0</v>
      </c>
      <c r="AY129" s="208" t="s">
        <v>1270</v>
      </c>
    </row>
    <row r="130">
      <c r="A130" s="208" t="s">
        <v>298</v>
      </c>
      <c r="B130" s="208" t="s">
        <v>301</v>
      </c>
      <c r="C130" s="208" t="s">
        <v>311</v>
      </c>
      <c r="D130" s="208" t="s">
        <v>1066</v>
      </c>
      <c r="E130" s="208" t="s">
        <v>303</v>
      </c>
      <c r="F130" s="534">
        <v>45357.0</v>
      </c>
      <c r="G130" s="208" t="s">
        <v>302</v>
      </c>
      <c r="H130" s="208">
        <v>0.0</v>
      </c>
      <c r="I130" s="208">
        <v>3600000.0</v>
      </c>
      <c r="J130" s="208">
        <v>1954306.57</v>
      </c>
      <c r="K130" s="208">
        <v>0.0</v>
      </c>
      <c r="L130" s="208">
        <v>60.0</v>
      </c>
      <c r="M130" s="208">
        <v>50.0</v>
      </c>
      <c r="N130" s="208">
        <v>5.0</v>
      </c>
      <c r="O130" s="208">
        <v>65.0</v>
      </c>
      <c r="P130" s="208">
        <v>15.0</v>
      </c>
      <c r="Q130" s="208">
        <v>1907937.67</v>
      </c>
      <c r="R130" s="208">
        <v>46368.9</v>
      </c>
      <c r="S130" s="208">
        <v>12.0</v>
      </c>
      <c r="T130" s="208">
        <v>4.0</v>
      </c>
      <c r="U130" s="208">
        <v>16.0</v>
      </c>
      <c r="V130" s="208">
        <v>0.0</v>
      </c>
      <c r="W130" s="208">
        <v>26.0</v>
      </c>
      <c r="X130" s="208">
        <v>35.0</v>
      </c>
      <c r="Y130" s="208">
        <v>202.0</v>
      </c>
      <c r="Z130" s="208">
        <v>5.0</v>
      </c>
      <c r="AA130" s="208">
        <v>46.0</v>
      </c>
      <c r="AB130" s="208">
        <v>0.0</v>
      </c>
      <c r="AC130" s="208">
        <v>0.0</v>
      </c>
      <c r="AD130" s="208">
        <v>1.0</v>
      </c>
      <c r="AE130" s="208">
        <v>5.0</v>
      </c>
      <c r="AF130" s="208">
        <v>194.0</v>
      </c>
      <c r="AG130" s="208">
        <v>280.0</v>
      </c>
      <c r="AH130" s="208">
        <v>71.0</v>
      </c>
      <c r="AI130" s="208">
        <v>27525.0</v>
      </c>
      <c r="AJ130" s="208">
        <v>4.0</v>
      </c>
      <c r="AK130" s="208">
        <v>39840.0</v>
      </c>
      <c r="AL130" s="208">
        <v>0.0</v>
      </c>
      <c r="AM130" s="208">
        <v>0.0204</v>
      </c>
      <c r="AN130" s="208">
        <v>122144.0</v>
      </c>
      <c r="AO130" s="208">
        <v>0.54</v>
      </c>
      <c r="AP130" s="208">
        <v>0.0</v>
      </c>
      <c r="AQ130" s="208">
        <v>44.0</v>
      </c>
      <c r="AR130" s="208">
        <v>701.0</v>
      </c>
      <c r="AS130" s="208">
        <v>2629.51</v>
      </c>
      <c r="AT130" s="208">
        <v>4.0</v>
      </c>
      <c r="AU130" s="208">
        <v>53.0</v>
      </c>
      <c r="AV130" s="208">
        <v>16.0</v>
      </c>
      <c r="AW130" s="208">
        <v>34.0</v>
      </c>
      <c r="AX130" s="208">
        <v>15.0</v>
      </c>
      <c r="AY130" s="208" t="s">
        <v>1270</v>
      </c>
    </row>
    <row r="131">
      <c r="A131" s="208" t="s">
        <v>185</v>
      </c>
      <c r="B131" s="208" t="s">
        <v>1228</v>
      </c>
      <c r="C131" s="208" t="s">
        <v>122</v>
      </c>
      <c r="D131" s="208" t="s">
        <v>1051</v>
      </c>
      <c r="E131" s="208" t="s">
        <v>123</v>
      </c>
      <c r="F131" s="534">
        <v>45571.0</v>
      </c>
      <c r="H131" s="208">
        <v>0.0</v>
      </c>
      <c r="I131" s="208">
        <v>3600000.0</v>
      </c>
      <c r="J131" s="208">
        <v>2112474.2</v>
      </c>
      <c r="K131" s="208">
        <v>0.0</v>
      </c>
      <c r="L131" s="208">
        <v>142.0</v>
      </c>
      <c r="M131" s="208">
        <v>127.0</v>
      </c>
      <c r="N131" s="208">
        <v>0.0</v>
      </c>
      <c r="O131" s="208">
        <v>142.0</v>
      </c>
      <c r="P131" s="208">
        <v>15.0</v>
      </c>
      <c r="Q131" s="208">
        <v>2112474.2</v>
      </c>
      <c r="R131" s="208">
        <v>0.0</v>
      </c>
      <c r="S131" s="208">
        <v>48.0</v>
      </c>
      <c r="T131" s="208">
        <v>0.0</v>
      </c>
      <c r="U131" s="208">
        <v>48.0</v>
      </c>
      <c r="V131" s="208">
        <v>0.0</v>
      </c>
      <c r="W131" s="208">
        <v>11.0</v>
      </c>
      <c r="X131" s="208">
        <v>23.0</v>
      </c>
      <c r="Y131" s="208">
        <v>208.0</v>
      </c>
      <c r="Z131" s="208">
        <v>0.0</v>
      </c>
      <c r="AA131" s="208">
        <v>0.0</v>
      </c>
      <c r="AB131" s="208">
        <v>0.0</v>
      </c>
      <c r="AC131" s="208">
        <v>0.0</v>
      </c>
      <c r="AD131" s="208">
        <v>0.0</v>
      </c>
      <c r="AE131" s="208">
        <v>0.0</v>
      </c>
      <c r="AF131" s="208">
        <v>510.0</v>
      </c>
      <c r="AG131" s="208">
        <v>533.0</v>
      </c>
      <c r="AH131" s="208">
        <v>67.0</v>
      </c>
      <c r="AI131" s="208">
        <v>31529.0</v>
      </c>
      <c r="AJ131" s="208">
        <v>8.0</v>
      </c>
      <c r="AK131" s="208">
        <v>33570.0</v>
      </c>
      <c r="AL131" s="208">
        <v>0.0</v>
      </c>
      <c r="AM131" s="208">
        <v>0.0159</v>
      </c>
      <c r="AN131" s="208">
        <v>44010.0</v>
      </c>
      <c r="AO131" s="208">
        <v>0.59</v>
      </c>
      <c r="AP131" s="208">
        <v>0.0</v>
      </c>
      <c r="AQ131" s="208">
        <v>97.0</v>
      </c>
      <c r="AR131" s="208">
        <v>815.0</v>
      </c>
      <c r="AS131" s="208">
        <v>3213.2</v>
      </c>
      <c r="AT131" s="208">
        <v>0.0</v>
      </c>
      <c r="AU131" s="208">
        <v>25.0</v>
      </c>
      <c r="AV131" s="208">
        <v>48.0</v>
      </c>
      <c r="AW131" s="208">
        <v>79.0</v>
      </c>
      <c r="AX131" s="208">
        <v>15.0</v>
      </c>
      <c r="AY131" s="208" t="s">
        <v>1270</v>
      </c>
    </row>
    <row r="132">
      <c r="A132" s="208" t="s">
        <v>73</v>
      </c>
      <c r="B132" s="208" t="s">
        <v>1229</v>
      </c>
      <c r="C132" s="208" t="s">
        <v>81</v>
      </c>
      <c r="D132" s="208" t="s">
        <v>76</v>
      </c>
      <c r="E132" s="208" t="s">
        <v>82</v>
      </c>
      <c r="F132" s="534">
        <v>45727.0</v>
      </c>
      <c r="G132" s="208" t="s">
        <v>73</v>
      </c>
      <c r="H132" s="208">
        <v>1200000.0</v>
      </c>
      <c r="I132" s="208">
        <v>900000.0</v>
      </c>
      <c r="J132" s="208">
        <v>390349.8</v>
      </c>
      <c r="K132" s="208">
        <v>496692.62</v>
      </c>
      <c r="L132" s="208">
        <v>28.0</v>
      </c>
      <c r="M132" s="208">
        <v>19.0</v>
      </c>
      <c r="N132" s="208">
        <v>1.0</v>
      </c>
      <c r="O132" s="208">
        <v>29.0</v>
      </c>
      <c r="P132" s="208">
        <v>10.0</v>
      </c>
      <c r="Q132" s="208">
        <v>330433.9</v>
      </c>
      <c r="R132" s="208">
        <v>59915.9</v>
      </c>
      <c r="S132" s="208">
        <v>7.0</v>
      </c>
      <c r="T132" s="208">
        <v>1.0</v>
      </c>
      <c r="U132" s="208">
        <v>8.0</v>
      </c>
      <c r="V132" s="208">
        <v>2.0</v>
      </c>
      <c r="W132" s="208">
        <v>122.0</v>
      </c>
      <c r="X132" s="208">
        <v>155.0</v>
      </c>
      <c r="Y132" s="208">
        <v>221.0</v>
      </c>
      <c r="Z132" s="208">
        <v>4.0</v>
      </c>
      <c r="AA132" s="208">
        <v>30.0</v>
      </c>
      <c r="AB132" s="208">
        <v>5.0</v>
      </c>
      <c r="AC132" s="208">
        <v>26.0</v>
      </c>
      <c r="AD132" s="208">
        <v>2.0</v>
      </c>
      <c r="AE132" s="208">
        <v>2.0</v>
      </c>
      <c r="AF132" s="208">
        <v>45.0</v>
      </c>
      <c r="AG132" s="208">
        <v>258.0</v>
      </c>
      <c r="AH132" s="208">
        <v>56.0</v>
      </c>
      <c r="AI132" s="208">
        <v>6971.0</v>
      </c>
      <c r="AJ132" s="208">
        <v>5.0</v>
      </c>
      <c r="AK132" s="208">
        <v>27260.0</v>
      </c>
      <c r="AL132" s="208">
        <v>0.0</v>
      </c>
      <c r="AM132" s="208">
        <v>0.0698</v>
      </c>
      <c r="AN132" s="208">
        <v>48794.0</v>
      </c>
      <c r="AO132" s="208">
        <v>0.43</v>
      </c>
      <c r="AP132" s="208">
        <v>0.41</v>
      </c>
      <c r="AQ132" s="208">
        <v>17.0</v>
      </c>
      <c r="AR132" s="208">
        <v>441.0</v>
      </c>
      <c r="AS132" s="208">
        <v>987.21</v>
      </c>
      <c r="AT132" s="208">
        <v>1.0</v>
      </c>
      <c r="AU132" s="208">
        <v>52.0</v>
      </c>
      <c r="AV132" s="208">
        <v>8.0</v>
      </c>
      <c r="AW132" s="208">
        <v>11.0</v>
      </c>
      <c r="AX132" s="208">
        <v>10.0</v>
      </c>
      <c r="AY132" s="208" t="s">
        <v>1270</v>
      </c>
    </row>
    <row r="133">
      <c r="A133" s="208" t="s">
        <v>185</v>
      </c>
      <c r="B133" s="208" t="s">
        <v>189</v>
      </c>
      <c r="C133" s="208" t="s">
        <v>271</v>
      </c>
      <c r="D133" s="208" t="s">
        <v>1016</v>
      </c>
      <c r="E133" s="208" t="s">
        <v>272</v>
      </c>
      <c r="F133" s="208" t="s">
        <v>1337</v>
      </c>
      <c r="G133" s="208" t="s">
        <v>202</v>
      </c>
      <c r="H133" s="208">
        <v>0.0</v>
      </c>
      <c r="I133" s="208">
        <v>4500000.0</v>
      </c>
      <c r="J133" s="208">
        <v>5238820.16</v>
      </c>
      <c r="K133" s="208">
        <v>0.0</v>
      </c>
      <c r="L133" s="208">
        <v>87.0</v>
      </c>
      <c r="M133" s="208">
        <v>63.0</v>
      </c>
      <c r="N133" s="208">
        <v>9.0</v>
      </c>
      <c r="O133" s="208">
        <v>96.0</v>
      </c>
      <c r="P133" s="208">
        <v>33.0</v>
      </c>
      <c r="Q133" s="208">
        <v>4573363.76</v>
      </c>
      <c r="R133" s="208">
        <v>665456.4</v>
      </c>
      <c r="S133" s="208">
        <v>27.0</v>
      </c>
      <c r="T133" s="208">
        <v>9.0</v>
      </c>
      <c r="U133" s="208">
        <v>36.0</v>
      </c>
      <c r="V133" s="208">
        <v>0.0</v>
      </c>
      <c r="W133" s="208">
        <v>3.0</v>
      </c>
      <c r="X133" s="208">
        <v>4.0</v>
      </c>
      <c r="Y133" s="208">
        <v>73.0</v>
      </c>
      <c r="Z133" s="208">
        <v>1.0</v>
      </c>
      <c r="AA133" s="208">
        <v>20.0</v>
      </c>
      <c r="AB133" s="208">
        <v>0.0</v>
      </c>
      <c r="AC133" s="208">
        <v>0.0</v>
      </c>
      <c r="AD133" s="208">
        <v>0.0</v>
      </c>
      <c r="AE133" s="208">
        <v>0.0</v>
      </c>
      <c r="AF133" s="208">
        <v>285.0</v>
      </c>
      <c r="AG133" s="208">
        <v>309.0</v>
      </c>
      <c r="AH133" s="208">
        <v>71.0</v>
      </c>
      <c r="AI133" s="208">
        <v>73786.0</v>
      </c>
      <c r="AJ133" s="208">
        <v>4.0</v>
      </c>
      <c r="AK133" s="208">
        <v>29900.0</v>
      </c>
      <c r="AL133" s="208">
        <v>0.0</v>
      </c>
      <c r="AM133" s="208">
        <v>0.0057</v>
      </c>
      <c r="AN133" s="208">
        <v>145523.0</v>
      </c>
      <c r="AO133" s="208">
        <v>1.16</v>
      </c>
      <c r="AP133" s="208">
        <v>0.0</v>
      </c>
      <c r="AQ133" s="208">
        <v>86.0</v>
      </c>
      <c r="AR133" s="208">
        <v>754.0</v>
      </c>
      <c r="AS133" s="208">
        <v>2285.03</v>
      </c>
      <c r="AT133" s="208">
        <v>9.0</v>
      </c>
      <c r="AU133" s="208">
        <v>36.0</v>
      </c>
      <c r="AV133" s="208">
        <v>36.0</v>
      </c>
      <c r="AW133" s="208">
        <v>31.0</v>
      </c>
      <c r="AX133" s="208">
        <v>29.0</v>
      </c>
      <c r="AY133" s="208" t="s">
        <v>1270</v>
      </c>
    </row>
    <row r="134">
      <c r="A134" s="208" t="s">
        <v>185</v>
      </c>
      <c r="B134" s="208" t="s">
        <v>117</v>
      </c>
      <c r="C134" s="208" t="s">
        <v>430</v>
      </c>
      <c r="D134" s="208" t="s">
        <v>1044</v>
      </c>
      <c r="E134" s="208" t="s">
        <v>1097</v>
      </c>
      <c r="F134" s="208" t="s">
        <v>1338</v>
      </c>
      <c r="H134" s="208">
        <v>0.0</v>
      </c>
      <c r="I134" s="208">
        <v>0.0</v>
      </c>
      <c r="J134" s="208">
        <v>0.0</v>
      </c>
      <c r="K134" s="208">
        <v>0.0</v>
      </c>
      <c r="L134" s="208">
        <v>48.0</v>
      </c>
      <c r="M134" s="208">
        <v>0.0</v>
      </c>
      <c r="N134" s="208">
        <v>0.0</v>
      </c>
      <c r="O134" s="208">
        <v>48.0</v>
      </c>
      <c r="P134" s="208">
        <v>48.0</v>
      </c>
      <c r="Q134" s="208">
        <v>0.0</v>
      </c>
      <c r="R134" s="208">
        <v>0.0</v>
      </c>
      <c r="S134" s="208">
        <v>0.0</v>
      </c>
      <c r="T134" s="208">
        <v>0.0</v>
      </c>
      <c r="U134" s="208">
        <v>0.0</v>
      </c>
      <c r="V134" s="208">
        <v>0.0</v>
      </c>
      <c r="W134" s="208">
        <v>0.0</v>
      </c>
      <c r="X134" s="208">
        <v>0.0</v>
      </c>
      <c r="Y134" s="208">
        <v>70.0</v>
      </c>
      <c r="Z134" s="208">
        <v>0.0</v>
      </c>
      <c r="AA134" s="208">
        <v>0.0</v>
      </c>
      <c r="AB134" s="208">
        <v>0.0</v>
      </c>
      <c r="AC134" s="208">
        <v>0.0</v>
      </c>
      <c r="AD134" s="208">
        <v>0.0</v>
      </c>
      <c r="AE134" s="208">
        <v>0.0</v>
      </c>
      <c r="AF134" s="208">
        <v>0.0</v>
      </c>
      <c r="AG134" s="208">
        <v>0.0</v>
      </c>
      <c r="AH134" s="208">
        <v>0.0</v>
      </c>
      <c r="AI134" s="208">
        <v>0.0</v>
      </c>
      <c r="AJ134" s="208">
        <v>0.0</v>
      </c>
      <c r="AK134" s="208">
        <v>24116.0</v>
      </c>
      <c r="AL134" s="208">
        <v>0.0</v>
      </c>
      <c r="AM134" s="208">
        <v>0.0</v>
      </c>
      <c r="AN134" s="208">
        <v>0.0</v>
      </c>
      <c r="AO134" s="208">
        <v>0.0</v>
      </c>
      <c r="AP134" s="208">
        <v>0.0</v>
      </c>
      <c r="AQ134" s="208">
        <v>0.0</v>
      </c>
      <c r="AR134" s="208">
        <v>0.0</v>
      </c>
      <c r="AS134" s="208">
        <v>0.0</v>
      </c>
      <c r="AT134" s="208">
        <v>0.0</v>
      </c>
      <c r="AU134" s="208">
        <v>0.0</v>
      </c>
      <c r="AV134" s="208">
        <v>0.0</v>
      </c>
      <c r="AW134" s="208">
        <v>0.0</v>
      </c>
      <c r="AX134" s="208">
        <v>48.0</v>
      </c>
      <c r="AY134" s="208" t="s">
        <v>1339</v>
      </c>
    </row>
    <row r="135">
      <c r="A135" s="208" t="s">
        <v>53</v>
      </c>
      <c r="B135" s="208" t="s">
        <v>56</v>
      </c>
      <c r="C135" s="208" t="s">
        <v>831</v>
      </c>
      <c r="D135" s="208" t="s">
        <v>1092</v>
      </c>
      <c r="E135" s="208" t="s">
        <v>71</v>
      </c>
      <c r="F135" s="208" t="s">
        <v>1340</v>
      </c>
      <c r="G135" s="208" t="s">
        <v>754</v>
      </c>
      <c r="H135" s="208">
        <v>0.0</v>
      </c>
      <c r="I135" s="208">
        <v>0.0</v>
      </c>
      <c r="J135" s="208">
        <v>0.0</v>
      </c>
      <c r="K135" s="208">
        <v>0.0</v>
      </c>
      <c r="L135" s="208">
        <v>34.0</v>
      </c>
      <c r="M135" s="208">
        <v>0.0</v>
      </c>
      <c r="N135" s="208">
        <v>2.0</v>
      </c>
      <c r="O135" s="208">
        <v>36.0</v>
      </c>
      <c r="P135" s="208">
        <v>36.0</v>
      </c>
      <c r="Q135" s="208">
        <v>0.0</v>
      </c>
      <c r="R135" s="208">
        <v>0.0</v>
      </c>
      <c r="S135" s="208">
        <v>0.0</v>
      </c>
      <c r="T135" s="208">
        <v>0.0</v>
      </c>
      <c r="U135" s="208">
        <v>0.0</v>
      </c>
      <c r="V135" s="208">
        <v>0.0</v>
      </c>
      <c r="W135" s="208">
        <v>0.0</v>
      </c>
      <c r="X135" s="208">
        <v>0.0</v>
      </c>
      <c r="Y135" s="208">
        <v>400.0</v>
      </c>
      <c r="Z135" s="208">
        <v>0.0</v>
      </c>
      <c r="AA135" s="208">
        <v>0.0</v>
      </c>
      <c r="AB135" s="208">
        <v>0.0</v>
      </c>
      <c r="AC135" s="208">
        <v>0.0</v>
      </c>
      <c r="AD135" s="208">
        <v>0.0</v>
      </c>
      <c r="AE135" s="208">
        <v>0.0</v>
      </c>
      <c r="AF135" s="208">
        <v>0.0</v>
      </c>
      <c r="AG135" s="208">
        <v>0.0</v>
      </c>
      <c r="AH135" s="208">
        <v>0.0</v>
      </c>
      <c r="AI135" s="208">
        <v>0.0</v>
      </c>
      <c r="AJ135" s="208">
        <v>0.0</v>
      </c>
      <c r="AK135" s="208">
        <v>38285.0</v>
      </c>
      <c r="AL135" s="208">
        <v>0.0</v>
      </c>
      <c r="AM135" s="208">
        <v>0.0</v>
      </c>
      <c r="AN135" s="208">
        <v>0.0</v>
      </c>
      <c r="AO135" s="208">
        <v>0.0</v>
      </c>
      <c r="AP135" s="208">
        <v>0.0</v>
      </c>
      <c r="AQ135" s="208">
        <v>0.0</v>
      </c>
      <c r="AR135" s="208">
        <v>0.0</v>
      </c>
      <c r="AS135" s="208">
        <v>0.0</v>
      </c>
      <c r="AT135" s="208">
        <v>0.0</v>
      </c>
      <c r="AU135" s="208">
        <v>0.0</v>
      </c>
      <c r="AV135" s="208">
        <v>0.0</v>
      </c>
      <c r="AW135" s="208">
        <v>0.0</v>
      </c>
      <c r="AX135" s="208">
        <v>36.0</v>
      </c>
      <c r="AY135" s="208" t="s">
        <v>1339</v>
      </c>
    </row>
    <row r="136">
      <c r="A136" s="208" t="s">
        <v>126</v>
      </c>
      <c r="B136" s="208" t="s">
        <v>140</v>
      </c>
      <c r="C136" s="208" t="s">
        <v>442</v>
      </c>
      <c r="D136" s="208" t="s">
        <v>1061</v>
      </c>
      <c r="E136" s="208" t="s">
        <v>443</v>
      </c>
      <c r="F136" s="208" t="s">
        <v>1341</v>
      </c>
      <c r="G136" s="208" t="s">
        <v>580</v>
      </c>
      <c r="H136" s="208">
        <v>0.0</v>
      </c>
      <c r="I136" s="208">
        <v>1666667.0</v>
      </c>
      <c r="J136" s="208">
        <v>167213.94</v>
      </c>
      <c r="K136" s="208">
        <v>0.0</v>
      </c>
      <c r="L136" s="208">
        <v>48.0</v>
      </c>
      <c r="M136" s="208">
        <v>24.0</v>
      </c>
      <c r="N136" s="208">
        <v>0.0</v>
      </c>
      <c r="O136" s="208">
        <v>48.0</v>
      </c>
      <c r="P136" s="208">
        <v>24.0</v>
      </c>
      <c r="Q136" s="208">
        <v>167213.94</v>
      </c>
      <c r="R136" s="208">
        <v>0.0</v>
      </c>
      <c r="S136" s="208">
        <v>4.0</v>
      </c>
      <c r="T136" s="208">
        <v>0.0</v>
      </c>
      <c r="U136" s="208">
        <v>4.0</v>
      </c>
      <c r="V136" s="208">
        <v>0.0</v>
      </c>
      <c r="W136" s="208">
        <v>1.0</v>
      </c>
      <c r="X136" s="208">
        <v>3.0</v>
      </c>
      <c r="Y136" s="208">
        <v>26.0</v>
      </c>
      <c r="Z136" s="208">
        <v>1.0</v>
      </c>
      <c r="AA136" s="208">
        <v>1.0</v>
      </c>
      <c r="AB136" s="208">
        <v>0.0</v>
      </c>
      <c r="AC136" s="208">
        <v>0.0</v>
      </c>
      <c r="AD136" s="208">
        <v>0.0</v>
      </c>
      <c r="AE136" s="208">
        <v>0.0</v>
      </c>
      <c r="AF136" s="208">
        <v>67.0</v>
      </c>
      <c r="AG136" s="208">
        <v>71.0</v>
      </c>
      <c r="AH136" s="208">
        <v>22.0</v>
      </c>
      <c r="AI136" s="208">
        <v>7601.0</v>
      </c>
      <c r="AJ136" s="208">
        <v>3.0</v>
      </c>
      <c r="AK136" s="208">
        <v>27260.0</v>
      </c>
      <c r="AL136" s="208">
        <v>0.0</v>
      </c>
      <c r="AM136" s="208">
        <v>0.163</v>
      </c>
      <c r="AN136" s="208">
        <v>41803.0</v>
      </c>
      <c r="AO136" s="208">
        <v>0.1</v>
      </c>
      <c r="AP136" s="208">
        <v>0.0</v>
      </c>
      <c r="AQ136" s="208">
        <v>4.0</v>
      </c>
      <c r="AR136" s="208">
        <v>205.0</v>
      </c>
      <c r="AS136" s="208">
        <v>0.0</v>
      </c>
      <c r="AT136" s="208">
        <v>0.0</v>
      </c>
      <c r="AU136" s="208">
        <v>0.0</v>
      </c>
      <c r="AV136" s="208">
        <v>4.0</v>
      </c>
      <c r="AW136" s="208">
        <v>20.0</v>
      </c>
      <c r="AX136" s="208">
        <v>24.0</v>
      </c>
      <c r="AY136" s="208" t="s">
        <v>1269</v>
      </c>
    </row>
    <row r="137">
      <c r="A137" s="208" t="s">
        <v>185</v>
      </c>
      <c r="B137" s="208" t="s">
        <v>85</v>
      </c>
      <c r="C137" s="208" t="s">
        <v>832</v>
      </c>
      <c r="D137" s="208" t="s">
        <v>1058</v>
      </c>
      <c r="E137" s="208" t="s">
        <v>393</v>
      </c>
      <c r="F137" s="534">
        <v>45298.0</v>
      </c>
      <c r="G137" s="208" t="s">
        <v>86</v>
      </c>
      <c r="H137" s="208">
        <v>0.0</v>
      </c>
      <c r="I137" s="208">
        <v>0.0</v>
      </c>
      <c r="J137" s="208">
        <v>0.0</v>
      </c>
      <c r="K137" s="208">
        <v>0.0</v>
      </c>
      <c r="L137" s="208">
        <v>21.0</v>
      </c>
      <c r="M137" s="208">
        <v>0.0</v>
      </c>
      <c r="N137" s="208">
        <v>0.0</v>
      </c>
      <c r="O137" s="208">
        <v>21.0</v>
      </c>
      <c r="P137" s="208">
        <v>21.0</v>
      </c>
      <c r="Q137" s="208">
        <v>0.0</v>
      </c>
      <c r="R137" s="208">
        <v>0.0</v>
      </c>
      <c r="S137" s="208">
        <v>0.0</v>
      </c>
      <c r="T137" s="208">
        <v>0.0</v>
      </c>
      <c r="U137" s="208">
        <v>0.0</v>
      </c>
      <c r="V137" s="208">
        <v>0.0</v>
      </c>
      <c r="W137" s="208">
        <v>0.0</v>
      </c>
      <c r="X137" s="208">
        <v>0.0</v>
      </c>
      <c r="Y137" s="208">
        <v>531.0</v>
      </c>
      <c r="Z137" s="208">
        <v>0.0</v>
      </c>
      <c r="AA137" s="208">
        <v>0.0</v>
      </c>
      <c r="AB137" s="208">
        <v>0.0</v>
      </c>
      <c r="AC137" s="208">
        <v>0.0</v>
      </c>
      <c r="AD137" s="208">
        <v>0.0</v>
      </c>
      <c r="AE137" s="208">
        <v>0.0</v>
      </c>
      <c r="AF137" s="208">
        <v>0.0</v>
      </c>
      <c r="AG137" s="208">
        <v>0.0</v>
      </c>
      <c r="AH137" s="208">
        <v>0.0</v>
      </c>
      <c r="AI137" s="208">
        <v>0.0</v>
      </c>
      <c r="AJ137" s="208">
        <v>0.0</v>
      </c>
      <c r="AK137" s="208">
        <v>35650.0</v>
      </c>
      <c r="AL137" s="208">
        <v>0.0</v>
      </c>
      <c r="AM137" s="208">
        <v>0.0</v>
      </c>
      <c r="AN137" s="208">
        <v>0.0</v>
      </c>
      <c r="AO137" s="208">
        <v>0.0</v>
      </c>
      <c r="AP137" s="208">
        <v>0.0</v>
      </c>
      <c r="AQ137" s="208">
        <v>0.0</v>
      </c>
      <c r="AR137" s="208">
        <v>0.0</v>
      </c>
      <c r="AS137" s="208">
        <v>0.0</v>
      </c>
      <c r="AT137" s="208">
        <v>0.0</v>
      </c>
      <c r="AU137" s="208">
        <v>0.0</v>
      </c>
      <c r="AV137" s="208">
        <v>0.0</v>
      </c>
      <c r="AW137" s="208">
        <v>0.0</v>
      </c>
      <c r="AX137" s="208">
        <v>21.0</v>
      </c>
      <c r="AY137" s="534">
        <v>45877.0</v>
      </c>
    </row>
    <row r="138">
      <c r="A138" s="208" t="s">
        <v>126</v>
      </c>
      <c r="B138" s="208" t="s">
        <v>130</v>
      </c>
      <c r="C138" s="208" t="s">
        <v>165</v>
      </c>
      <c r="D138" s="208" t="s">
        <v>130</v>
      </c>
      <c r="E138" s="208" t="s">
        <v>166</v>
      </c>
      <c r="F138" s="534">
        <v>45542.0</v>
      </c>
      <c r="G138" s="208" t="s">
        <v>131</v>
      </c>
      <c r="H138" s="208">
        <v>0.0</v>
      </c>
      <c r="I138" s="208">
        <v>4749999.0</v>
      </c>
      <c r="J138" s="208">
        <v>3824638.01</v>
      </c>
      <c r="K138" s="208">
        <v>0.0</v>
      </c>
      <c r="L138" s="208">
        <v>73.0</v>
      </c>
      <c r="M138" s="208">
        <v>57.0</v>
      </c>
      <c r="N138" s="208">
        <v>4.0</v>
      </c>
      <c r="O138" s="208">
        <v>77.0</v>
      </c>
      <c r="P138" s="208">
        <v>20.0</v>
      </c>
      <c r="Q138" s="208">
        <v>3539822.7</v>
      </c>
      <c r="R138" s="208">
        <v>284815.31</v>
      </c>
      <c r="S138" s="208">
        <v>41.0</v>
      </c>
      <c r="T138" s="208">
        <v>4.0</v>
      </c>
      <c r="U138" s="208">
        <v>45.0</v>
      </c>
      <c r="V138" s="208">
        <v>0.0</v>
      </c>
      <c r="W138" s="208">
        <v>25.0</v>
      </c>
      <c r="X138" s="208">
        <v>30.0</v>
      </c>
      <c r="Y138" s="208">
        <v>240.0</v>
      </c>
      <c r="Z138" s="208">
        <v>1.0</v>
      </c>
      <c r="AA138" s="208">
        <v>27.0</v>
      </c>
      <c r="AB138" s="208">
        <v>0.0</v>
      </c>
      <c r="AC138" s="208">
        <v>0.0</v>
      </c>
      <c r="AD138" s="208">
        <v>0.0</v>
      </c>
      <c r="AE138" s="208">
        <v>0.0</v>
      </c>
      <c r="AF138" s="208">
        <v>257.0</v>
      </c>
      <c r="AG138" s="208">
        <v>314.0</v>
      </c>
      <c r="AH138" s="208">
        <v>71.0</v>
      </c>
      <c r="AI138" s="208">
        <v>53868.0</v>
      </c>
      <c r="AJ138" s="208">
        <v>4.0</v>
      </c>
      <c r="AK138" s="208">
        <v>25165.0</v>
      </c>
      <c r="AL138" s="208">
        <v>0.0</v>
      </c>
      <c r="AM138" s="208">
        <v>0.0066</v>
      </c>
      <c r="AN138" s="208">
        <v>84992.0</v>
      </c>
      <c r="AO138" s="208">
        <v>0.81</v>
      </c>
      <c r="AP138" s="208">
        <v>0.0</v>
      </c>
      <c r="AQ138" s="208">
        <v>169.0</v>
      </c>
      <c r="AR138" s="208">
        <v>556.0</v>
      </c>
      <c r="AS138" s="208">
        <v>1818.54</v>
      </c>
      <c r="AT138" s="208">
        <v>4.0</v>
      </c>
      <c r="AU138" s="208">
        <v>32.0</v>
      </c>
      <c r="AV138" s="208">
        <v>45.0</v>
      </c>
      <c r="AW138" s="208">
        <v>13.0</v>
      </c>
      <c r="AX138" s="208">
        <v>19.0</v>
      </c>
      <c r="AY138" s="208" t="s">
        <v>1270</v>
      </c>
    </row>
    <row r="139">
      <c r="A139" s="208" t="s">
        <v>298</v>
      </c>
      <c r="B139" s="208" t="s">
        <v>301</v>
      </c>
      <c r="C139" s="208" t="s">
        <v>312</v>
      </c>
      <c r="D139" s="208" t="s">
        <v>1066</v>
      </c>
      <c r="E139" s="208" t="s">
        <v>313</v>
      </c>
      <c r="F139" s="534">
        <v>45572.0</v>
      </c>
      <c r="G139" s="208" t="s">
        <v>302</v>
      </c>
      <c r="H139" s="208">
        <v>0.0</v>
      </c>
      <c r="I139" s="208">
        <v>3000000.0</v>
      </c>
      <c r="J139" s="208">
        <v>2895982.39</v>
      </c>
      <c r="K139" s="208">
        <v>0.0</v>
      </c>
      <c r="L139" s="208">
        <v>89.0</v>
      </c>
      <c r="M139" s="208">
        <v>86.0</v>
      </c>
      <c r="N139" s="208">
        <v>12.0</v>
      </c>
      <c r="O139" s="208">
        <v>101.0</v>
      </c>
      <c r="P139" s="208">
        <v>15.0</v>
      </c>
      <c r="Q139" s="208">
        <v>2251930.68</v>
      </c>
      <c r="R139" s="208">
        <v>644051.71</v>
      </c>
      <c r="S139" s="208">
        <v>50.0</v>
      </c>
      <c r="T139" s="208">
        <v>12.0</v>
      </c>
      <c r="U139" s="208">
        <v>62.0</v>
      </c>
      <c r="V139" s="208">
        <v>0.0</v>
      </c>
      <c r="W139" s="208">
        <v>67.0</v>
      </c>
      <c r="X139" s="208">
        <v>84.0</v>
      </c>
      <c r="Y139" s="208">
        <v>178.0</v>
      </c>
      <c r="Z139" s="208">
        <v>2.0</v>
      </c>
      <c r="AA139" s="208">
        <v>27.0</v>
      </c>
      <c r="AB139" s="208">
        <v>0.0</v>
      </c>
      <c r="AC139" s="208">
        <v>0.0</v>
      </c>
      <c r="AD139" s="208">
        <v>0.0</v>
      </c>
      <c r="AE139" s="208">
        <v>0.0</v>
      </c>
      <c r="AF139" s="208">
        <v>224.0</v>
      </c>
      <c r="AG139" s="208">
        <v>335.0</v>
      </c>
      <c r="AH139" s="208">
        <v>68.0</v>
      </c>
      <c r="AI139" s="208">
        <v>42588.0</v>
      </c>
      <c r="AJ139" s="208">
        <v>5.0</v>
      </c>
      <c r="AK139" s="208">
        <v>42475.0</v>
      </c>
      <c r="AL139" s="208">
        <v>0.0</v>
      </c>
      <c r="AM139" s="208">
        <v>0.0147</v>
      </c>
      <c r="AN139" s="208">
        <v>46709.0</v>
      </c>
      <c r="AO139" s="208">
        <v>0.97</v>
      </c>
      <c r="AP139" s="208">
        <v>0.0</v>
      </c>
      <c r="AQ139" s="208">
        <v>125.0</v>
      </c>
      <c r="AR139" s="208">
        <v>610.0</v>
      </c>
      <c r="AS139" s="208">
        <v>3362.29</v>
      </c>
      <c r="AT139" s="208">
        <v>12.0</v>
      </c>
      <c r="AU139" s="208">
        <v>39.0</v>
      </c>
      <c r="AV139" s="208">
        <v>62.0</v>
      </c>
      <c r="AW139" s="208">
        <v>25.0</v>
      </c>
      <c r="AX139" s="208">
        <v>14.0</v>
      </c>
      <c r="AY139" s="208" t="s">
        <v>1270</v>
      </c>
    </row>
    <row r="140">
      <c r="A140" s="208" t="s">
        <v>97</v>
      </c>
      <c r="B140" s="208" t="s">
        <v>101</v>
      </c>
      <c r="C140" s="208" t="s">
        <v>348</v>
      </c>
      <c r="D140" s="208" t="s">
        <v>1107</v>
      </c>
      <c r="E140" s="208" t="s">
        <v>349</v>
      </c>
      <c r="F140" s="534">
        <v>45302.0</v>
      </c>
      <c r="G140" s="208" t="s">
        <v>97</v>
      </c>
      <c r="H140" s="208">
        <v>0.0</v>
      </c>
      <c r="I140" s="208">
        <v>0.0</v>
      </c>
      <c r="J140" s="208">
        <v>0.0</v>
      </c>
      <c r="K140" s="208">
        <v>0.0</v>
      </c>
      <c r="L140" s="208">
        <v>101.0</v>
      </c>
      <c r="M140" s="208">
        <v>6.0</v>
      </c>
      <c r="N140" s="208">
        <v>0.0</v>
      </c>
      <c r="O140" s="208">
        <v>101.0</v>
      </c>
      <c r="P140" s="208">
        <v>95.0</v>
      </c>
      <c r="Q140" s="208">
        <v>0.0</v>
      </c>
      <c r="R140" s="208">
        <v>0.0</v>
      </c>
      <c r="S140" s="208">
        <v>0.0</v>
      </c>
      <c r="T140" s="208">
        <v>0.0</v>
      </c>
      <c r="U140" s="208">
        <v>0.0</v>
      </c>
      <c r="V140" s="208">
        <v>0.0</v>
      </c>
      <c r="W140" s="208">
        <v>0.0</v>
      </c>
      <c r="X140" s="208">
        <v>0.0</v>
      </c>
      <c r="Y140" s="208">
        <v>69.0</v>
      </c>
      <c r="Z140" s="208">
        <v>1.0</v>
      </c>
      <c r="AA140" s="208">
        <v>2.0</v>
      </c>
      <c r="AB140" s="208">
        <v>0.0</v>
      </c>
      <c r="AC140" s="208">
        <v>0.0</v>
      </c>
      <c r="AD140" s="208">
        <v>0.0</v>
      </c>
      <c r="AE140" s="208">
        <v>0.0</v>
      </c>
      <c r="AF140" s="208">
        <v>7.0</v>
      </c>
      <c r="AG140" s="208">
        <v>9.0</v>
      </c>
      <c r="AH140" s="208">
        <v>2.0</v>
      </c>
      <c r="AI140" s="208">
        <v>0.0</v>
      </c>
      <c r="AJ140" s="208">
        <v>5.0</v>
      </c>
      <c r="AK140" s="208">
        <v>26800.0</v>
      </c>
      <c r="AL140" s="208">
        <v>0.0</v>
      </c>
      <c r="AM140" s="208">
        <v>0.0</v>
      </c>
      <c r="AN140" s="208">
        <v>0.0</v>
      </c>
      <c r="AO140" s="208">
        <v>0.0</v>
      </c>
      <c r="AP140" s="208">
        <v>0.0</v>
      </c>
      <c r="AQ140" s="208">
        <v>0.0</v>
      </c>
      <c r="AR140" s="208">
        <v>15.0</v>
      </c>
      <c r="AS140" s="208">
        <v>0.0</v>
      </c>
      <c r="AT140" s="208">
        <v>0.0</v>
      </c>
      <c r="AU140" s="208">
        <v>0.0</v>
      </c>
      <c r="AV140" s="208">
        <v>0.0</v>
      </c>
      <c r="AW140" s="208">
        <v>6.0</v>
      </c>
      <c r="AX140" s="208">
        <v>95.0</v>
      </c>
      <c r="AY140" s="534">
        <v>46143.0</v>
      </c>
    </row>
    <row r="141">
      <c r="A141" s="208" t="s">
        <v>97</v>
      </c>
      <c r="B141" s="208" t="s">
        <v>101</v>
      </c>
      <c r="C141" s="208" t="s">
        <v>102</v>
      </c>
      <c r="D141" s="208" t="s">
        <v>1062</v>
      </c>
      <c r="E141" s="208" t="s">
        <v>103</v>
      </c>
      <c r="F141" s="208" t="s">
        <v>1300</v>
      </c>
      <c r="G141" s="208" t="s">
        <v>97</v>
      </c>
      <c r="H141" s="208">
        <v>0.0</v>
      </c>
      <c r="I141" s="208">
        <v>3672851.0</v>
      </c>
      <c r="J141" s="208">
        <v>1579508.4</v>
      </c>
      <c r="K141" s="208">
        <v>0.0</v>
      </c>
      <c r="L141" s="208">
        <v>108.0</v>
      </c>
      <c r="M141" s="208">
        <v>89.0</v>
      </c>
      <c r="N141" s="208">
        <v>1.0</v>
      </c>
      <c r="O141" s="208">
        <v>109.0</v>
      </c>
      <c r="P141" s="208">
        <v>20.0</v>
      </c>
      <c r="Q141" s="208">
        <v>1568940.0</v>
      </c>
      <c r="R141" s="208">
        <v>10568.4</v>
      </c>
      <c r="S141" s="208">
        <v>41.0</v>
      </c>
      <c r="T141" s="208">
        <v>1.0</v>
      </c>
      <c r="U141" s="208">
        <v>42.0</v>
      </c>
      <c r="V141" s="208">
        <v>0.0</v>
      </c>
      <c r="W141" s="208">
        <v>6.0</v>
      </c>
      <c r="X141" s="208">
        <v>8.0</v>
      </c>
      <c r="Y141" s="208">
        <v>48.0</v>
      </c>
      <c r="Z141" s="208">
        <v>2.0</v>
      </c>
      <c r="AA141" s="208">
        <v>9.0</v>
      </c>
      <c r="AB141" s="208">
        <v>0.0</v>
      </c>
      <c r="AC141" s="208">
        <v>0.0</v>
      </c>
      <c r="AD141" s="208">
        <v>0.0</v>
      </c>
      <c r="AE141" s="208">
        <v>0.0</v>
      </c>
      <c r="AF141" s="208">
        <v>333.0</v>
      </c>
      <c r="AG141" s="208">
        <v>350.0</v>
      </c>
      <c r="AH141" s="208">
        <v>66.0</v>
      </c>
      <c r="AI141" s="208">
        <v>23932.0</v>
      </c>
      <c r="AJ141" s="208">
        <v>5.0</v>
      </c>
      <c r="AL141" s="208">
        <v>0.0</v>
      </c>
      <c r="AM141" s="208">
        <v>0.0</v>
      </c>
      <c r="AN141" s="208">
        <v>37607.0</v>
      </c>
      <c r="AO141" s="208">
        <v>0.43</v>
      </c>
      <c r="AP141" s="208">
        <v>0.0</v>
      </c>
      <c r="AQ141" s="208">
        <v>89.0</v>
      </c>
      <c r="AR141" s="208">
        <v>572.0</v>
      </c>
      <c r="AS141" s="208">
        <v>2778.6</v>
      </c>
      <c r="AT141" s="208">
        <v>1.0</v>
      </c>
      <c r="AU141" s="208">
        <v>31.0</v>
      </c>
      <c r="AV141" s="208">
        <v>42.0</v>
      </c>
      <c r="AW141" s="208">
        <v>48.0</v>
      </c>
      <c r="AX141" s="208">
        <v>19.0</v>
      </c>
      <c r="AY141" s="208" t="s">
        <v>1270</v>
      </c>
    </row>
    <row r="142">
      <c r="A142" s="208" t="s">
        <v>185</v>
      </c>
      <c r="B142" s="208" t="s">
        <v>212</v>
      </c>
      <c r="C142" s="208" t="s">
        <v>839</v>
      </c>
      <c r="D142" s="208" t="s">
        <v>1031</v>
      </c>
      <c r="E142" s="208" t="s">
        <v>417</v>
      </c>
      <c r="F142" s="208" t="s">
        <v>1300</v>
      </c>
      <c r="G142" s="208" t="s">
        <v>489</v>
      </c>
      <c r="H142" s="208">
        <v>0.0</v>
      </c>
      <c r="I142" s="208">
        <v>4500000.0</v>
      </c>
      <c r="J142" s="208">
        <v>0.0</v>
      </c>
      <c r="K142" s="208">
        <v>0.0</v>
      </c>
      <c r="L142" s="208">
        <v>59.0</v>
      </c>
      <c r="M142" s="208">
        <v>16.0</v>
      </c>
      <c r="N142" s="208">
        <v>0.0</v>
      </c>
      <c r="O142" s="208">
        <v>59.0</v>
      </c>
      <c r="P142" s="208">
        <v>43.0</v>
      </c>
      <c r="Q142" s="208">
        <v>0.0</v>
      </c>
      <c r="R142" s="208">
        <v>0.0</v>
      </c>
      <c r="S142" s="208">
        <v>0.0</v>
      </c>
      <c r="T142" s="208">
        <v>0.0</v>
      </c>
      <c r="U142" s="208">
        <v>0.0</v>
      </c>
      <c r="V142" s="208">
        <v>0.0</v>
      </c>
      <c r="W142" s="208">
        <v>0.0</v>
      </c>
      <c r="X142" s="208">
        <v>0.0</v>
      </c>
      <c r="Y142" s="208">
        <v>58.0</v>
      </c>
      <c r="Z142" s="208">
        <v>1.0</v>
      </c>
      <c r="AA142" s="208">
        <v>5.0</v>
      </c>
      <c r="AB142" s="208">
        <v>0.0</v>
      </c>
      <c r="AC142" s="208">
        <v>0.0</v>
      </c>
      <c r="AD142" s="208">
        <v>0.0</v>
      </c>
      <c r="AE142" s="208">
        <v>0.0</v>
      </c>
      <c r="AF142" s="208">
        <v>19.0</v>
      </c>
      <c r="AG142" s="208">
        <v>24.0</v>
      </c>
      <c r="AH142" s="208">
        <v>6.0</v>
      </c>
      <c r="AI142" s="208">
        <v>0.0</v>
      </c>
      <c r="AJ142" s="208">
        <v>4.0</v>
      </c>
      <c r="AK142" s="208">
        <v>30950.0</v>
      </c>
      <c r="AL142" s="208">
        <v>0.0</v>
      </c>
      <c r="AM142" s="208">
        <v>0.0</v>
      </c>
      <c r="AN142" s="208">
        <v>0.0</v>
      </c>
      <c r="AO142" s="208">
        <v>0.0</v>
      </c>
      <c r="AP142" s="208">
        <v>0.0</v>
      </c>
      <c r="AQ142" s="208">
        <v>0.0</v>
      </c>
      <c r="AR142" s="208">
        <v>59.0</v>
      </c>
      <c r="AS142" s="208">
        <v>0.0</v>
      </c>
      <c r="AT142" s="208">
        <v>0.0</v>
      </c>
      <c r="AU142" s="208">
        <v>0.0</v>
      </c>
      <c r="AV142" s="208">
        <v>0.0</v>
      </c>
      <c r="AW142" s="208">
        <v>16.0</v>
      </c>
      <c r="AX142" s="208">
        <v>43.0</v>
      </c>
      <c r="AY142" s="534">
        <v>46235.0</v>
      </c>
    </row>
    <row r="143">
      <c r="A143" s="208" t="s">
        <v>126</v>
      </c>
      <c r="B143" s="208" t="s">
        <v>130</v>
      </c>
      <c r="C143" s="208" t="s">
        <v>444</v>
      </c>
      <c r="D143" s="208" t="s">
        <v>130</v>
      </c>
      <c r="E143" s="208" t="s">
        <v>445</v>
      </c>
      <c r="F143" s="534">
        <v>45330.0</v>
      </c>
      <c r="G143" s="208" t="s">
        <v>128</v>
      </c>
      <c r="H143" s="208">
        <v>200000.0</v>
      </c>
      <c r="I143" s="208">
        <v>2300000.0</v>
      </c>
      <c r="J143" s="208">
        <v>175410.1</v>
      </c>
      <c r="K143" s="208">
        <v>146364.06</v>
      </c>
      <c r="L143" s="208">
        <v>48.0</v>
      </c>
      <c r="M143" s="208">
        <v>30.0</v>
      </c>
      <c r="N143" s="208">
        <v>1.0</v>
      </c>
      <c r="O143" s="208">
        <v>49.0</v>
      </c>
      <c r="P143" s="208">
        <v>19.0</v>
      </c>
      <c r="Q143" s="208">
        <v>76242.0</v>
      </c>
      <c r="R143" s="208">
        <v>99168.1</v>
      </c>
      <c r="S143" s="208">
        <v>2.0</v>
      </c>
      <c r="T143" s="208">
        <v>1.0</v>
      </c>
      <c r="U143" s="208">
        <v>3.0</v>
      </c>
      <c r="V143" s="208">
        <v>1.0</v>
      </c>
      <c r="W143" s="208">
        <v>31.0</v>
      </c>
      <c r="X143" s="208">
        <v>69.0</v>
      </c>
      <c r="Y143" s="208">
        <v>106.0</v>
      </c>
      <c r="Z143" s="208">
        <v>0.0</v>
      </c>
      <c r="AA143" s="208">
        <v>0.0</v>
      </c>
      <c r="AB143" s="208">
        <v>1.0</v>
      </c>
      <c r="AC143" s="208">
        <v>22.0</v>
      </c>
      <c r="AD143" s="208">
        <v>1.0</v>
      </c>
      <c r="AE143" s="208">
        <v>7.0</v>
      </c>
      <c r="AF143" s="208">
        <v>85.0</v>
      </c>
      <c r="AG143" s="208">
        <v>183.0</v>
      </c>
      <c r="AH143" s="208">
        <v>47.0</v>
      </c>
      <c r="AI143" s="208">
        <v>3732.0</v>
      </c>
      <c r="AJ143" s="208">
        <v>4.0</v>
      </c>
      <c r="AK143" s="208">
        <v>29360.0</v>
      </c>
      <c r="AL143" s="208">
        <v>0.0</v>
      </c>
      <c r="AM143" s="208">
        <v>0.1674</v>
      </c>
      <c r="AN143" s="208">
        <v>58470.0</v>
      </c>
      <c r="AO143" s="208">
        <v>0.08</v>
      </c>
      <c r="AP143" s="208">
        <v>0.73</v>
      </c>
      <c r="AQ143" s="208">
        <v>3.0</v>
      </c>
      <c r="AR143" s="208">
        <v>424.0</v>
      </c>
      <c r="AS143" s="208">
        <v>142.8</v>
      </c>
      <c r="AT143" s="208">
        <v>1.0</v>
      </c>
      <c r="AU143" s="208">
        <v>5.0</v>
      </c>
      <c r="AV143" s="208">
        <v>3.0</v>
      </c>
      <c r="AW143" s="208">
        <v>28.0</v>
      </c>
      <c r="AX143" s="208">
        <v>18.0</v>
      </c>
      <c r="AY143" s="208" t="s">
        <v>1342</v>
      </c>
    </row>
    <row r="144">
      <c r="A144" s="208" t="s">
        <v>53</v>
      </c>
      <c r="B144" s="208" t="s">
        <v>56</v>
      </c>
      <c r="C144" s="208" t="s">
        <v>847</v>
      </c>
      <c r="D144" s="208" t="s">
        <v>1092</v>
      </c>
      <c r="E144" s="208" t="s">
        <v>1099</v>
      </c>
      <c r="F144" s="208" t="s">
        <v>1343</v>
      </c>
      <c r="G144" s="208" t="s">
        <v>754</v>
      </c>
      <c r="H144" s="208">
        <v>0.0</v>
      </c>
      <c r="I144" s="208">
        <v>0.0</v>
      </c>
      <c r="J144" s="208">
        <v>0.0</v>
      </c>
      <c r="K144" s="208">
        <v>0.0</v>
      </c>
      <c r="L144" s="208">
        <v>31.0</v>
      </c>
      <c r="M144" s="208">
        <v>0.0</v>
      </c>
      <c r="N144" s="208">
        <v>0.0</v>
      </c>
      <c r="O144" s="208">
        <v>31.0</v>
      </c>
      <c r="P144" s="208">
        <v>31.0</v>
      </c>
      <c r="Q144" s="208">
        <v>0.0</v>
      </c>
      <c r="R144" s="208">
        <v>0.0</v>
      </c>
      <c r="S144" s="208">
        <v>0.0</v>
      </c>
      <c r="T144" s="208">
        <v>0.0</v>
      </c>
      <c r="U144" s="208">
        <v>0.0</v>
      </c>
      <c r="V144" s="208">
        <v>0.0</v>
      </c>
      <c r="W144" s="208">
        <v>0.0</v>
      </c>
      <c r="X144" s="208">
        <v>0.0</v>
      </c>
      <c r="Y144" s="208">
        <v>130.0</v>
      </c>
      <c r="Z144" s="208">
        <v>0.0</v>
      </c>
      <c r="AA144" s="208">
        <v>0.0</v>
      </c>
      <c r="AB144" s="208">
        <v>0.0</v>
      </c>
      <c r="AC144" s="208">
        <v>0.0</v>
      </c>
      <c r="AD144" s="208">
        <v>0.0</v>
      </c>
      <c r="AE144" s="208">
        <v>0.0</v>
      </c>
      <c r="AF144" s="208">
        <v>0.0</v>
      </c>
      <c r="AG144" s="208">
        <v>0.0</v>
      </c>
      <c r="AH144" s="208">
        <v>0.0</v>
      </c>
      <c r="AI144" s="208">
        <v>0.0</v>
      </c>
      <c r="AJ144" s="208">
        <v>0.0</v>
      </c>
      <c r="AK144" s="208">
        <v>46670.0</v>
      </c>
      <c r="AL144" s="208">
        <v>0.0</v>
      </c>
      <c r="AM144" s="208">
        <v>0.0</v>
      </c>
      <c r="AN144" s="208">
        <v>0.0</v>
      </c>
      <c r="AO144" s="208">
        <v>0.0</v>
      </c>
      <c r="AP144" s="208">
        <v>0.0</v>
      </c>
      <c r="AQ144" s="208">
        <v>0.0</v>
      </c>
      <c r="AR144" s="208">
        <v>0.0</v>
      </c>
      <c r="AS144" s="208">
        <v>0.0</v>
      </c>
      <c r="AT144" s="208">
        <v>0.0</v>
      </c>
      <c r="AU144" s="208">
        <v>0.0</v>
      </c>
      <c r="AV144" s="208">
        <v>0.0</v>
      </c>
      <c r="AW144" s="208">
        <v>0.0</v>
      </c>
      <c r="AX144" s="208">
        <v>31.0</v>
      </c>
      <c r="AY144" s="208" t="s">
        <v>1344</v>
      </c>
    </row>
    <row r="145">
      <c r="A145" s="208" t="s">
        <v>185</v>
      </c>
      <c r="B145" s="208" t="s">
        <v>212</v>
      </c>
      <c r="C145" s="208" t="s">
        <v>273</v>
      </c>
      <c r="D145" s="208" t="s">
        <v>1031</v>
      </c>
      <c r="E145" s="208" t="s">
        <v>274</v>
      </c>
      <c r="F145" s="534">
        <v>45334.0</v>
      </c>
      <c r="G145" s="208" t="s">
        <v>489</v>
      </c>
      <c r="H145" s="208">
        <v>0.0</v>
      </c>
      <c r="I145" s="208">
        <v>4500000.0</v>
      </c>
      <c r="J145" s="208">
        <v>5856871.99</v>
      </c>
      <c r="K145" s="208">
        <v>0.0</v>
      </c>
      <c r="L145" s="208">
        <v>82.0</v>
      </c>
      <c r="M145" s="208">
        <v>70.0</v>
      </c>
      <c r="N145" s="208">
        <v>4.0</v>
      </c>
      <c r="O145" s="208">
        <v>86.0</v>
      </c>
      <c r="P145" s="208">
        <v>16.0</v>
      </c>
      <c r="Q145" s="208">
        <v>5450062.36</v>
      </c>
      <c r="R145" s="208">
        <v>406809.63</v>
      </c>
      <c r="S145" s="208">
        <v>34.0</v>
      </c>
      <c r="T145" s="208">
        <v>4.0</v>
      </c>
      <c r="U145" s="208">
        <v>38.0</v>
      </c>
      <c r="V145" s="208">
        <v>0.0</v>
      </c>
      <c r="W145" s="208">
        <v>30.0</v>
      </c>
      <c r="X145" s="208">
        <v>42.0</v>
      </c>
      <c r="Y145" s="208">
        <v>146.0</v>
      </c>
      <c r="Z145" s="208">
        <v>1.0</v>
      </c>
      <c r="AA145" s="208">
        <v>31.0</v>
      </c>
      <c r="AB145" s="208">
        <v>0.0</v>
      </c>
      <c r="AC145" s="208">
        <v>0.0</v>
      </c>
      <c r="AD145" s="208">
        <v>0.0</v>
      </c>
      <c r="AE145" s="208">
        <v>0.0</v>
      </c>
      <c r="AF145" s="208">
        <v>284.0</v>
      </c>
      <c r="AG145" s="208">
        <v>357.0</v>
      </c>
      <c r="AH145" s="208">
        <v>68.0</v>
      </c>
      <c r="AI145" s="208">
        <v>86130.0</v>
      </c>
      <c r="AJ145" s="208">
        <v>5.0</v>
      </c>
      <c r="AK145" s="208">
        <v>26755.0</v>
      </c>
      <c r="AL145" s="208">
        <v>0.0</v>
      </c>
      <c r="AM145" s="208">
        <v>0.0046</v>
      </c>
      <c r="AN145" s="208">
        <v>154128.0</v>
      </c>
      <c r="AO145" s="208">
        <v>1.3</v>
      </c>
      <c r="AP145" s="208">
        <v>0.0</v>
      </c>
      <c r="AQ145" s="208">
        <v>83.0</v>
      </c>
      <c r="AR145" s="208">
        <v>632.0</v>
      </c>
      <c r="AS145" s="208">
        <v>3046.99</v>
      </c>
      <c r="AT145" s="208">
        <v>4.0</v>
      </c>
      <c r="AU145" s="208">
        <v>44.0</v>
      </c>
      <c r="AV145" s="208">
        <v>38.0</v>
      </c>
      <c r="AW145" s="208">
        <v>33.0</v>
      </c>
      <c r="AX145" s="208">
        <v>15.0</v>
      </c>
      <c r="AY145" s="208" t="s">
        <v>1270</v>
      </c>
    </row>
    <row r="146">
      <c r="A146" s="208" t="s">
        <v>185</v>
      </c>
      <c r="B146" s="208" t="s">
        <v>196</v>
      </c>
      <c r="C146" s="208" t="s">
        <v>412</v>
      </c>
      <c r="D146" s="208" t="s">
        <v>1027</v>
      </c>
      <c r="E146" s="208" t="s">
        <v>209</v>
      </c>
      <c r="F146" s="534">
        <v>45634.0</v>
      </c>
      <c r="G146" s="208" t="s">
        <v>208</v>
      </c>
      <c r="H146" s="208">
        <v>0.0</v>
      </c>
      <c r="I146" s="208">
        <v>0.0</v>
      </c>
      <c r="J146" s="208">
        <v>0.0</v>
      </c>
      <c r="K146" s="208">
        <v>0.0</v>
      </c>
      <c r="L146" s="208">
        <v>11.0</v>
      </c>
      <c r="M146" s="208">
        <v>0.0</v>
      </c>
      <c r="N146" s="208">
        <v>0.0</v>
      </c>
      <c r="O146" s="208">
        <v>11.0</v>
      </c>
      <c r="P146" s="208">
        <v>11.0</v>
      </c>
      <c r="Q146" s="208">
        <v>0.0</v>
      </c>
      <c r="R146" s="208">
        <v>0.0</v>
      </c>
      <c r="S146" s="208">
        <v>0.0</v>
      </c>
      <c r="T146" s="208">
        <v>0.0</v>
      </c>
      <c r="U146" s="208">
        <v>0.0</v>
      </c>
      <c r="V146" s="208">
        <v>0.0</v>
      </c>
      <c r="W146" s="208">
        <v>0.0</v>
      </c>
      <c r="X146" s="208">
        <v>0.0</v>
      </c>
      <c r="Y146" s="208">
        <v>18.0</v>
      </c>
      <c r="Z146" s="208">
        <v>0.0</v>
      </c>
      <c r="AA146" s="208">
        <v>0.0</v>
      </c>
      <c r="AB146" s="208">
        <v>0.0</v>
      </c>
      <c r="AC146" s="208">
        <v>0.0</v>
      </c>
      <c r="AD146" s="208">
        <v>0.0</v>
      </c>
      <c r="AE146" s="208">
        <v>0.0</v>
      </c>
      <c r="AF146" s="208">
        <v>0.0</v>
      </c>
      <c r="AG146" s="208">
        <v>0.0</v>
      </c>
      <c r="AH146" s="208">
        <v>0.0</v>
      </c>
      <c r="AI146" s="208">
        <v>0.0</v>
      </c>
      <c r="AJ146" s="208">
        <v>0.0</v>
      </c>
      <c r="AK146" s="208">
        <v>25700.0</v>
      </c>
      <c r="AL146" s="208">
        <v>0.0</v>
      </c>
      <c r="AM146" s="208">
        <v>0.0</v>
      </c>
      <c r="AN146" s="208">
        <v>0.0</v>
      </c>
      <c r="AO146" s="208">
        <v>0.0</v>
      </c>
      <c r="AP146" s="208">
        <v>0.0</v>
      </c>
      <c r="AQ146" s="208">
        <v>0.0</v>
      </c>
      <c r="AR146" s="208">
        <v>0.0</v>
      </c>
      <c r="AS146" s="208">
        <v>0.0</v>
      </c>
      <c r="AT146" s="208">
        <v>0.0</v>
      </c>
      <c r="AU146" s="208">
        <v>0.0</v>
      </c>
      <c r="AV146" s="208">
        <v>0.0</v>
      </c>
      <c r="AW146" s="208">
        <v>0.0</v>
      </c>
      <c r="AX146" s="208">
        <v>11.0</v>
      </c>
      <c r="AY146" s="208" t="s">
        <v>1294</v>
      </c>
    </row>
    <row r="147">
      <c r="A147" s="208" t="s">
        <v>298</v>
      </c>
      <c r="B147" s="208" t="s">
        <v>301</v>
      </c>
      <c r="C147" s="208" t="s">
        <v>314</v>
      </c>
      <c r="D147" s="208" t="s">
        <v>1066</v>
      </c>
      <c r="E147" s="208" t="s">
        <v>1100</v>
      </c>
      <c r="F147" s="534">
        <v>45634.0</v>
      </c>
      <c r="G147" s="208" t="s">
        <v>298</v>
      </c>
      <c r="H147" s="208">
        <v>0.0</v>
      </c>
      <c r="I147" s="208">
        <v>3000000.0</v>
      </c>
      <c r="J147" s="208">
        <v>2158126.6</v>
      </c>
      <c r="K147" s="208">
        <v>0.0</v>
      </c>
      <c r="L147" s="208">
        <v>149.0</v>
      </c>
      <c r="M147" s="208">
        <v>102.0</v>
      </c>
      <c r="N147" s="208">
        <v>2.0</v>
      </c>
      <c r="O147" s="208">
        <v>151.0</v>
      </c>
      <c r="P147" s="208">
        <v>49.0</v>
      </c>
      <c r="Q147" s="208">
        <v>2139683.3</v>
      </c>
      <c r="R147" s="208">
        <v>18443.3</v>
      </c>
      <c r="S147" s="208">
        <v>49.0</v>
      </c>
      <c r="T147" s="208">
        <v>1.0</v>
      </c>
      <c r="U147" s="208">
        <v>50.0</v>
      </c>
      <c r="V147" s="208">
        <v>0.0</v>
      </c>
      <c r="W147" s="208">
        <v>142.0</v>
      </c>
      <c r="X147" s="208">
        <v>160.0</v>
      </c>
      <c r="Y147" s="208">
        <v>286.0</v>
      </c>
      <c r="Z147" s="208">
        <v>1.0</v>
      </c>
      <c r="AA147" s="208">
        <v>4.0</v>
      </c>
      <c r="AB147" s="208">
        <v>0.0</v>
      </c>
      <c r="AC147" s="208">
        <v>0.0</v>
      </c>
      <c r="AD147" s="208">
        <v>0.0</v>
      </c>
      <c r="AE147" s="208">
        <v>0.0</v>
      </c>
      <c r="AF147" s="208">
        <v>173.0</v>
      </c>
      <c r="AG147" s="208">
        <v>337.0</v>
      </c>
      <c r="AH147" s="208">
        <v>70.0</v>
      </c>
      <c r="AI147" s="208">
        <v>30830.0</v>
      </c>
      <c r="AJ147" s="208">
        <v>5.0</v>
      </c>
      <c r="AK147" s="208">
        <v>27260.0</v>
      </c>
      <c r="AL147" s="208">
        <v>0.0</v>
      </c>
      <c r="AM147" s="208">
        <v>0.0126</v>
      </c>
      <c r="AN147" s="208">
        <v>43163.0</v>
      </c>
      <c r="AO147" s="208">
        <v>0.72</v>
      </c>
      <c r="AP147" s="208">
        <v>0.0</v>
      </c>
      <c r="AQ147" s="208">
        <v>87.0</v>
      </c>
      <c r="AR147" s="208">
        <v>691.0</v>
      </c>
      <c r="AS147" s="208">
        <v>3156.17</v>
      </c>
      <c r="AT147" s="208">
        <v>1.0</v>
      </c>
      <c r="AU147" s="208">
        <v>31.0</v>
      </c>
      <c r="AV147" s="208">
        <v>50.0</v>
      </c>
      <c r="AW147" s="208">
        <v>53.0</v>
      </c>
      <c r="AX147" s="208">
        <v>48.0</v>
      </c>
      <c r="AY147" s="208" t="s">
        <v>1270</v>
      </c>
    </row>
    <row r="148">
      <c r="A148" s="208" t="s">
        <v>185</v>
      </c>
      <c r="B148" s="208" t="s">
        <v>96</v>
      </c>
      <c r="C148" s="208" t="s">
        <v>850</v>
      </c>
      <c r="D148" s="208" t="s">
        <v>1101</v>
      </c>
      <c r="E148" s="208" t="s">
        <v>1102</v>
      </c>
      <c r="F148" s="208" t="s">
        <v>1345</v>
      </c>
      <c r="G148" s="208" t="s">
        <v>185</v>
      </c>
      <c r="H148" s="208">
        <v>0.0</v>
      </c>
      <c r="I148" s="208">
        <v>0.0</v>
      </c>
      <c r="J148" s="208">
        <v>0.0</v>
      </c>
      <c r="K148" s="208">
        <v>0.0</v>
      </c>
      <c r="L148" s="208">
        <v>1.0</v>
      </c>
      <c r="M148" s="208">
        <v>0.0</v>
      </c>
      <c r="N148" s="208">
        <v>0.0</v>
      </c>
      <c r="O148" s="208">
        <v>1.0</v>
      </c>
      <c r="P148" s="208">
        <v>1.0</v>
      </c>
      <c r="Q148" s="208">
        <v>0.0</v>
      </c>
      <c r="R148" s="208">
        <v>0.0</v>
      </c>
      <c r="S148" s="208">
        <v>0.0</v>
      </c>
      <c r="T148" s="208">
        <v>0.0</v>
      </c>
      <c r="U148" s="208">
        <v>0.0</v>
      </c>
      <c r="V148" s="208">
        <v>0.0</v>
      </c>
      <c r="W148" s="208">
        <v>0.0</v>
      </c>
      <c r="X148" s="208">
        <v>0.0</v>
      </c>
      <c r="Y148" s="208">
        <v>53.0</v>
      </c>
      <c r="Z148" s="208">
        <v>0.0</v>
      </c>
      <c r="AA148" s="208">
        <v>0.0</v>
      </c>
      <c r="AB148" s="208">
        <v>0.0</v>
      </c>
      <c r="AC148" s="208">
        <v>0.0</v>
      </c>
      <c r="AD148" s="208">
        <v>0.0</v>
      </c>
      <c r="AE148" s="208">
        <v>0.0</v>
      </c>
      <c r="AF148" s="208">
        <v>0.0</v>
      </c>
      <c r="AG148" s="208">
        <v>0.0</v>
      </c>
      <c r="AH148" s="208">
        <v>0.0</v>
      </c>
      <c r="AI148" s="208">
        <v>0.0</v>
      </c>
      <c r="AJ148" s="208">
        <v>0.0</v>
      </c>
      <c r="AK148" s="208">
        <v>72970.0</v>
      </c>
      <c r="AL148" s="208">
        <v>0.0</v>
      </c>
      <c r="AM148" s="208">
        <v>0.0</v>
      </c>
      <c r="AN148" s="208">
        <v>0.0</v>
      </c>
      <c r="AO148" s="208">
        <v>0.0</v>
      </c>
      <c r="AP148" s="208">
        <v>0.0</v>
      </c>
      <c r="AQ148" s="208">
        <v>0.0</v>
      </c>
      <c r="AR148" s="208">
        <v>0.0</v>
      </c>
      <c r="AS148" s="208">
        <v>0.0</v>
      </c>
      <c r="AT148" s="208">
        <v>0.0</v>
      </c>
      <c r="AU148" s="208">
        <v>0.0</v>
      </c>
      <c r="AV148" s="208">
        <v>0.0</v>
      </c>
      <c r="AW148" s="208">
        <v>0.0</v>
      </c>
      <c r="AX148" s="208">
        <v>1.0</v>
      </c>
      <c r="AY148" s="208" t="s">
        <v>1308</v>
      </c>
    </row>
    <row r="149">
      <c r="A149" s="208" t="s">
        <v>53</v>
      </c>
      <c r="B149" s="208" t="s">
        <v>56</v>
      </c>
      <c r="C149" s="208" t="s">
        <v>57</v>
      </c>
      <c r="D149" s="208" t="s">
        <v>1092</v>
      </c>
      <c r="E149" s="208" t="s">
        <v>58</v>
      </c>
      <c r="F149" s="208" t="s">
        <v>1346</v>
      </c>
      <c r="G149" s="208" t="s">
        <v>754</v>
      </c>
      <c r="H149" s="208">
        <v>0.0</v>
      </c>
      <c r="I149" s="208">
        <v>2100000.0</v>
      </c>
      <c r="J149" s="208">
        <v>620558.8</v>
      </c>
      <c r="K149" s="208">
        <v>0.0</v>
      </c>
      <c r="L149" s="208">
        <v>84.0</v>
      </c>
      <c r="M149" s="208">
        <v>75.0</v>
      </c>
      <c r="N149" s="208">
        <v>4.0</v>
      </c>
      <c r="O149" s="208">
        <v>88.0</v>
      </c>
      <c r="P149" s="208">
        <v>13.0</v>
      </c>
      <c r="Q149" s="208">
        <v>473632.56</v>
      </c>
      <c r="R149" s="208">
        <v>146926.24</v>
      </c>
      <c r="S149" s="208">
        <v>19.0</v>
      </c>
      <c r="T149" s="208">
        <v>4.0</v>
      </c>
      <c r="U149" s="208">
        <v>23.0</v>
      </c>
      <c r="V149" s="208">
        <v>0.0</v>
      </c>
      <c r="W149" s="208">
        <v>51.0</v>
      </c>
      <c r="X149" s="208">
        <v>59.0</v>
      </c>
      <c r="Y149" s="208">
        <v>198.0</v>
      </c>
      <c r="Z149" s="208">
        <v>1.0</v>
      </c>
      <c r="AA149" s="208">
        <v>50.0</v>
      </c>
      <c r="AB149" s="208">
        <v>0.0</v>
      </c>
      <c r="AC149" s="208">
        <v>0.0</v>
      </c>
      <c r="AD149" s="208">
        <v>0.0</v>
      </c>
      <c r="AE149" s="208">
        <v>0.0</v>
      </c>
      <c r="AF149" s="208">
        <v>356.0</v>
      </c>
      <c r="AG149" s="208">
        <v>465.0</v>
      </c>
      <c r="AH149" s="208">
        <v>63.0</v>
      </c>
      <c r="AI149" s="208">
        <v>9850.0</v>
      </c>
      <c r="AJ149" s="208">
        <v>7.0</v>
      </c>
      <c r="AK149" s="208">
        <v>23570.0</v>
      </c>
      <c r="AL149" s="208">
        <v>0.0</v>
      </c>
      <c r="AM149" s="208">
        <v>0.038</v>
      </c>
      <c r="AN149" s="208">
        <v>26981.0</v>
      </c>
      <c r="AO149" s="208">
        <v>0.3</v>
      </c>
      <c r="AP149" s="208">
        <v>0.0</v>
      </c>
      <c r="AQ149" s="208">
        <v>33.0</v>
      </c>
      <c r="AR149" s="208">
        <v>558.0</v>
      </c>
      <c r="AS149" s="208">
        <v>2407.74</v>
      </c>
      <c r="AT149" s="208">
        <v>4.0</v>
      </c>
      <c r="AU149" s="208">
        <v>32.0</v>
      </c>
      <c r="AV149" s="208">
        <v>23.0</v>
      </c>
      <c r="AW149" s="208">
        <v>53.0</v>
      </c>
      <c r="AX149" s="208">
        <v>12.0</v>
      </c>
      <c r="AY149" s="208" t="s">
        <v>1270</v>
      </c>
    </row>
    <row r="150">
      <c r="A150" s="208" t="s">
        <v>23</v>
      </c>
      <c r="B150" s="208" t="s">
        <v>27</v>
      </c>
      <c r="C150" s="208" t="s">
        <v>31</v>
      </c>
      <c r="D150" s="208" t="s">
        <v>1103</v>
      </c>
      <c r="E150" s="208" t="s">
        <v>32</v>
      </c>
      <c r="F150" s="208" t="s">
        <v>1347</v>
      </c>
      <c r="G150" s="208" t="s">
        <v>23</v>
      </c>
      <c r="H150" s="208">
        <v>0.0</v>
      </c>
      <c r="I150" s="208">
        <v>3900000.0</v>
      </c>
      <c r="J150" s="208">
        <v>2801956.22</v>
      </c>
      <c r="K150" s="208">
        <v>0.0</v>
      </c>
      <c r="L150" s="208">
        <v>124.0</v>
      </c>
      <c r="M150" s="208">
        <v>99.0</v>
      </c>
      <c r="N150" s="208">
        <v>0.0</v>
      </c>
      <c r="O150" s="208">
        <v>124.0</v>
      </c>
      <c r="P150" s="208">
        <v>25.0</v>
      </c>
      <c r="Q150" s="208">
        <v>2801956.22</v>
      </c>
      <c r="R150" s="208">
        <v>0.0</v>
      </c>
      <c r="S150" s="208">
        <v>68.0</v>
      </c>
      <c r="T150" s="208">
        <v>0.0</v>
      </c>
      <c r="U150" s="208">
        <v>68.0</v>
      </c>
      <c r="V150" s="208">
        <v>0.0</v>
      </c>
      <c r="W150" s="208">
        <v>23.0</v>
      </c>
      <c r="X150" s="208">
        <v>33.0</v>
      </c>
      <c r="Y150" s="208">
        <v>161.0</v>
      </c>
      <c r="Z150" s="208">
        <v>1.0</v>
      </c>
      <c r="AA150" s="208">
        <v>36.0</v>
      </c>
      <c r="AB150" s="208">
        <v>0.0</v>
      </c>
      <c r="AC150" s="208">
        <v>0.0</v>
      </c>
      <c r="AD150" s="208">
        <v>1.0</v>
      </c>
      <c r="AE150" s="208">
        <v>1.0</v>
      </c>
      <c r="AF150" s="208">
        <v>419.0</v>
      </c>
      <c r="AG150" s="208">
        <v>489.0</v>
      </c>
      <c r="AH150" s="208">
        <v>75.0</v>
      </c>
      <c r="AI150" s="208">
        <v>37359.0</v>
      </c>
      <c r="AJ150" s="208">
        <v>7.0</v>
      </c>
      <c r="AK150" s="208">
        <v>28310.0</v>
      </c>
      <c r="AL150" s="208">
        <v>0.0</v>
      </c>
      <c r="AM150" s="208">
        <v>0.0101</v>
      </c>
      <c r="AN150" s="208">
        <v>41205.0</v>
      </c>
      <c r="AO150" s="208">
        <v>0.72</v>
      </c>
      <c r="AP150" s="208">
        <v>0.0</v>
      </c>
      <c r="AQ150" s="208">
        <v>112.0</v>
      </c>
      <c r="AR150" s="208">
        <v>746.0</v>
      </c>
      <c r="AS150" s="208">
        <v>956.82</v>
      </c>
      <c r="AT150" s="208">
        <v>0.0</v>
      </c>
      <c r="AU150" s="208">
        <v>10.0</v>
      </c>
      <c r="AV150" s="208">
        <v>68.0</v>
      </c>
      <c r="AW150" s="208">
        <v>31.0</v>
      </c>
      <c r="AX150" s="208">
        <v>25.0</v>
      </c>
      <c r="AY150" s="208" t="s">
        <v>1270</v>
      </c>
    </row>
    <row r="151">
      <c r="A151" s="208" t="s">
        <v>23</v>
      </c>
      <c r="B151" s="208" t="s">
        <v>30</v>
      </c>
      <c r="C151" s="208" t="s">
        <v>33</v>
      </c>
      <c r="D151" s="208" t="s">
        <v>1104</v>
      </c>
      <c r="E151" s="208" t="s">
        <v>34</v>
      </c>
      <c r="F151" s="534">
        <v>45361.0</v>
      </c>
      <c r="G151" s="208" t="s">
        <v>23</v>
      </c>
      <c r="H151" s="208">
        <v>600000.0</v>
      </c>
      <c r="I151" s="208">
        <v>3600000.0</v>
      </c>
      <c r="J151" s="208">
        <v>3090009.36</v>
      </c>
      <c r="K151" s="208">
        <v>0.0</v>
      </c>
      <c r="L151" s="208">
        <v>27.0</v>
      </c>
      <c r="M151" s="208">
        <v>24.0</v>
      </c>
      <c r="N151" s="208">
        <v>0.0</v>
      </c>
      <c r="O151" s="208">
        <v>27.0</v>
      </c>
      <c r="P151" s="208">
        <v>3.0</v>
      </c>
      <c r="Q151" s="208">
        <v>3090009.36</v>
      </c>
      <c r="R151" s="208">
        <v>0.0</v>
      </c>
      <c r="S151" s="208">
        <v>22.0</v>
      </c>
      <c r="T151" s="208">
        <v>0.0</v>
      </c>
      <c r="U151" s="208">
        <v>22.0</v>
      </c>
      <c r="V151" s="208">
        <v>0.0</v>
      </c>
      <c r="W151" s="208">
        <v>53.0</v>
      </c>
      <c r="X151" s="208">
        <v>120.0</v>
      </c>
      <c r="Y151" s="208">
        <v>149.0</v>
      </c>
      <c r="Z151" s="208">
        <v>1.0</v>
      </c>
      <c r="AA151" s="208">
        <v>32.0</v>
      </c>
      <c r="AB151" s="208">
        <v>4.0</v>
      </c>
      <c r="AC151" s="208">
        <v>27.0</v>
      </c>
      <c r="AD151" s="208">
        <v>0.0</v>
      </c>
      <c r="AE151" s="208">
        <v>0.0</v>
      </c>
      <c r="AF151" s="208">
        <v>172.0</v>
      </c>
      <c r="AG151" s="208">
        <v>351.0</v>
      </c>
      <c r="AH151" s="208">
        <v>70.0</v>
      </c>
      <c r="AI151" s="208">
        <v>44143.0</v>
      </c>
      <c r="AJ151" s="208">
        <v>5.0</v>
      </c>
      <c r="AK151" s="208">
        <v>30405.0</v>
      </c>
      <c r="AL151" s="208">
        <v>0.0</v>
      </c>
      <c r="AM151" s="208">
        <v>0.0098</v>
      </c>
      <c r="AN151" s="208">
        <v>140455.0</v>
      </c>
      <c r="AO151" s="208">
        <v>0.86</v>
      </c>
      <c r="AP151" s="208">
        <v>0.0</v>
      </c>
      <c r="AQ151" s="208">
        <v>45.0</v>
      </c>
      <c r="AR151" s="208">
        <v>557.0</v>
      </c>
      <c r="AS151" s="208">
        <v>1966.89</v>
      </c>
      <c r="AT151" s="208">
        <v>0.0</v>
      </c>
      <c r="AU151" s="208">
        <v>82.0</v>
      </c>
      <c r="AV151" s="208">
        <v>22.0</v>
      </c>
      <c r="AW151" s="208">
        <v>3.0</v>
      </c>
      <c r="AX151" s="208">
        <v>2.0</v>
      </c>
      <c r="AY151" s="208" t="s">
        <v>1270</v>
      </c>
    </row>
    <row r="152">
      <c r="A152" s="208" t="s">
        <v>185</v>
      </c>
      <c r="B152" s="208" t="s">
        <v>96</v>
      </c>
      <c r="C152" s="208" t="s">
        <v>857</v>
      </c>
      <c r="D152" s="208" t="s">
        <v>1101</v>
      </c>
      <c r="E152" s="208" t="s">
        <v>1105</v>
      </c>
      <c r="F152" s="534">
        <v>45392.0</v>
      </c>
      <c r="G152" s="208" t="s">
        <v>185</v>
      </c>
      <c r="H152" s="208">
        <v>0.0</v>
      </c>
      <c r="I152" s="208">
        <v>0.0</v>
      </c>
      <c r="J152" s="208">
        <v>0.0</v>
      </c>
      <c r="K152" s="208">
        <v>0.0</v>
      </c>
      <c r="L152" s="208">
        <v>7.0</v>
      </c>
      <c r="M152" s="208">
        <v>5.0</v>
      </c>
      <c r="N152" s="208">
        <v>0.0</v>
      </c>
      <c r="O152" s="208">
        <v>7.0</v>
      </c>
      <c r="P152" s="208">
        <v>2.0</v>
      </c>
      <c r="Q152" s="208">
        <v>0.0</v>
      </c>
      <c r="R152" s="208">
        <v>0.0</v>
      </c>
      <c r="S152" s="208">
        <v>0.0</v>
      </c>
      <c r="T152" s="208">
        <v>0.0</v>
      </c>
      <c r="U152" s="208">
        <v>0.0</v>
      </c>
      <c r="V152" s="208">
        <v>0.0</v>
      </c>
      <c r="W152" s="208">
        <v>1.0</v>
      </c>
      <c r="X152" s="208">
        <v>3.0</v>
      </c>
      <c r="Y152" s="208">
        <v>54.0</v>
      </c>
      <c r="Z152" s="208">
        <v>0.0</v>
      </c>
      <c r="AA152" s="208">
        <v>0.0</v>
      </c>
      <c r="AB152" s="208">
        <v>0.0</v>
      </c>
      <c r="AC152" s="208">
        <v>0.0</v>
      </c>
      <c r="AD152" s="208">
        <v>76.0</v>
      </c>
      <c r="AE152" s="208">
        <v>315.0</v>
      </c>
      <c r="AF152" s="208">
        <v>19.0</v>
      </c>
      <c r="AG152" s="208">
        <v>337.0</v>
      </c>
      <c r="AH152" s="208">
        <v>68.0</v>
      </c>
      <c r="AI152" s="208">
        <v>0.0</v>
      </c>
      <c r="AJ152" s="208">
        <v>5.0</v>
      </c>
      <c r="AK152" s="208">
        <v>151000.0</v>
      </c>
      <c r="AL152" s="208">
        <v>0.0</v>
      </c>
      <c r="AM152" s="208">
        <v>0.0</v>
      </c>
      <c r="AN152" s="208">
        <v>0.0</v>
      </c>
      <c r="AO152" s="208">
        <v>0.0</v>
      </c>
      <c r="AP152" s="208">
        <v>0.0</v>
      </c>
      <c r="AQ152" s="208">
        <v>0.0</v>
      </c>
      <c r="AR152" s="208">
        <v>748.0</v>
      </c>
      <c r="AS152" s="208">
        <v>3371.49</v>
      </c>
      <c r="AT152" s="208">
        <v>0.0</v>
      </c>
      <c r="AU152" s="208">
        <v>674.0</v>
      </c>
      <c r="AV152" s="208">
        <v>0.0</v>
      </c>
      <c r="AW152" s="208">
        <v>5.0</v>
      </c>
      <c r="AX152" s="208">
        <v>2.0</v>
      </c>
      <c r="AY152" s="208" t="s">
        <v>1270</v>
      </c>
    </row>
    <row r="153">
      <c r="A153" s="208" t="s">
        <v>185</v>
      </c>
      <c r="B153" s="208" t="s">
        <v>96</v>
      </c>
      <c r="C153" s="208" t="s">
        <v>858</v>
      </c>
      <c r="D153" s="208" t="s">
        <v>1101</v>
      </c>
      <c r="E153" s="208" t="s">
        <v>1106</v>
      </c>
      <c r="F153" s="534">
        <v>45392.0</v>
      </c>
      <c r="G153" s="208" t="s">
        <v>185</v>
      </c>
      <c r="H153" s="208">
        <v>0.0</v>
      </c>
      <c r="I153" s="208">
        <v>0.0</v>
      </c>
      <c r="J153" s="208">
        <v>0.0</v>
      </c>
      <c r="K153" s="208">
        <v>0.0</v>
      </c>
      <c r="L153" s="208">
        <v>2.0</v>
      </c>
      <c r="M153" s="208">
        <v>0.0</v>
      </c>
      <c r="N153" s="208">
        <v>0.0</v>
      </c>
      <c r="O153" s="208">
        <v>2.0</v>
      </c>
      <c r="P153" s="208">
        <v>2.0</v>
      </c>
      <c r="Q153" s="208">
        <v>0.0</v>
      </c>
      <c r="R153" s="208">
        <v>0.0</v>
      </c>
      <c r="S153" s="208">
        <v>0.0</v>
      </c>
      <c r="T153" s="208">
        <v>0.0</v>
      </c>
      <c r="U153" s="208">
        <v>0.0</v>
      </c>
      <c r="V153" s="208">
        <v>0.0</v>
      </c>
      <c r="W153" s="208">
        <v>0.0</v>
      </c>
      <c r="X153" s="208">
        <v>0.0</v>
      </c>
      <c r="Y153" s="208">
        <v>50.0</v>
      </c>
      <c r="Z153" s="208">
        <v>0.0</v>
      </c>
      <c r="AA153" s="208">
        <v>0.0</v>
      </c>
      <c r="AB153" s="208">
        <v>0.0</v>
      </c>
      <c r="AC153" s="208">
        <v>0.0</v>
      </c>
      <c r="AD153" s="208">
        <v>0.0</v>
      </c>
      <c r="AE153" s="208">
        <v>0.0</v>
      </c>
      <c r="AF153" s="208">
        <v>0.0</v>
      </c>
      <c r="AG153" s="208">
        <v>0.0</v>
      </c>
      <c r="AH153" s="208">
        <v>0.0</v>
      </c>
      <c r="AI153" s="208">
        <v>0.0</v>
      </c>
      <c r="AJ153" s="208">
        <v>0.0</v>
      </c>
      <c r="AK153" s="208">
        <v>153110.0</v>
      </c>
      <c r="AL153" s="208">
        <v>0.0</v>
      </c>
      <c r="AM153" s="208">
        <v>0.0</v>
      </c>
      <c r="AN153" s="208">
        <v>0.0</v>
      </c>
      <c r="AO153" s="208">
        <v>0.0</v>
      </c>
      <c r="AP153" s="208">
        <v>0.0</v>
      </c>
      <c r="AQ153" s="208">
        <v>0.0</v>
      </c>
      <c r="AR153" s="208">
        <v>0.0</v>
      </c>
      <c r="AS153" s="208">
        <v>0.0</v>
      </c>
      <c r="AT153" s="208">
        <v>0.0</v>
      </c>
      <c r="AU153" s="208">
        <v>0.0</v>
      </c>
      <c r="AV153" s="208">
        <v>0.0</v>
      </c>
      <c r="AW153" s="208">
        <v>0.0</v>
      </c>
      <c r="AX153" s="208">
        <v>2.0</v>
      </c>
      <c r="AY153" s="208" t="s">
        <v>1348</v>
      </c>
    </row>
    <row r="154">
      <c r="A154" s="208" t="s">
        <v>126</v>
      </c>
      <c r="B154" s="208" t="s">
        <v>130</v>
      </c>
      <c r="C154" s="208" t="s">
        <v>169</v>
      </c>
      <c r="D154" s="208" t="s">
        <v>130</v>
      </c>
      <c r="E154" s="208" t="s">
        <v>151</v>
      </c>
      <c r="F154" s="534">
        <v>45393.0</v>
      </c>
      <c r="G154" s="208" t="s">
        <v>580</v>
      </c>
      <c r="H154" s="208">
        <v>0.0</v>
      </c>
      <c r="I154" s="208">
        <v>6249999.0</v>
      </c>
      <c r="J154" s="208">
        <v>4159829.72</v>
      </c>
      <c r="K154" s="208">
        <v>0.0</v>
      </c>
      <c r="L154" s="208">
        <v>146.0</v>
      </c>
      <c r="M154" s="208">
        <v>93.0</v>
      </c>
      <c r="N154" s="208">
        <v>1.0</v>
      </c>
      <c r="O154" s="208">
        <v>147.0</v>
      </c>
      <c r="P154" s="208">
        <v>54.0</v>
      </c>
      <c r="Q154" s="208">
        <v>4140677.72</v>
      </c>
      <c r="R154" s="208">
        <v>19152.0</v>
      </c>
      <c r="S154" s="208">
        <v>41.0</v>
      </c>
      <c r="T154" s="208">
        <v>1.0</v>
      </c>
      <c r="U154" s="208">
        <v>42.0</v>
      </c>
      <c r="V154" s="208">
        <v>0.0</v>
      </c>
      <c r="W154" s="208">
        <v>7.0</v>
      </c>
      <c r="X154" s="208">
        <v>11.0</v>
      </c>
      <c r="Y154" s="208">
        <v>74.0</v>
      </c>
      <c r="Z154" s="208">
        <v>1.0</v>
      </c>
      <c r="AA154" s="208">
        <v>22.0</v>
      </c>
      <c r="AB154" s="208">
        <v>0.0</v>
      </c>
      <c r="AC154" s="208">
        <v>0.0</v>
      </c>
      <c r="AD154" s="208">
        <v>0.0</v>
      </c>
      <c r="AE154" s="208">
        <v>0.0</v>
      </c>
      <c r="AF154" s="208">
        <v>317.0</v>
      </c>
      <c r="AG154" s="208">
        <v>350.0</v>
      </c>
      <c r="AH154" s="208">
        <v>73.0</v>
      </c>
      <c r="AI154" s="208">
        <v>56984.0</v>
      </c>
      <c r="AJ154" s="208">
        <v>5.0</v>
      </c>
      <c r="AK154" s="208">
        <v>51910.0</v>
      </c>
      <c r="AL154" s="208">
        <v>0.0</v>
      </c>
      <c r="AM154" s="208">
        <v>0.0125</v>
      </c>
      <c r="AN154" s="208">
        <v>99044.0</v>
      </c>
      <c r="AO154" s="208">
        <v>0.67</v>
      </c>
      <c r="AP154" s="208">
        <v>0.0</v>
      </c>
      <c r="AQ154" s="208">
        <v>76.0</v>
      </c>
      <c r="AR154" s="208">
        <v>542.0</v>
      </c>
      <c r="AS154" s="208">
        <v>2819.04</v>
      </c>
      <c r="AT154" s="208">
        <v>1.0</v>
      </c>
      <c r="AU154" s="208">
        <v>30.0</v>
      </c>
      <c r="AV154" s="208">
        <v>42.0</v>
      </c>
      <c r="AW154" s="208">
        <v>54.0</v>
      </c>
      <c r="AX154" s="208">
        <v>51.0</v>
      </c>
      <c r="AY154" s="208" t="s">
        <v>1270</v>
      </c>
    </row>
    <row r="155">
      <c r="A155" s="208" t="s">
        <v>126</v>
      </c>
      <c r="B155" s="208" t="s">
        <v>130</v>
      </c>
      <c r="C155" s="208" t="s">
        <v>170</v>
      </c>
      <c r="D155" s="208" t="s">
        <v>130</v>
      </c>
      <c r="E155" s="208" t="s">
        <v>151</v>
      </c>
      <c r="F155" s="535">
        <v>45607.0</v>
      </c>
      <c r="G155" s="208" t="s">
        <v>580</v>
      </c>
      <c r="H155" s="208">
        <v>0.0</v>
      </c>
      <c r="I155" s="208">
        <v>5499999.0</v>
      </c>
      <c r="J155" s="208">
        <v>3452496.95</v>
      </c>
      <c r="K155" s="208">
        <v>0.0</v>
      </c>
      <c r="L155" s="208">
        <v>146.0</v>
      </c>
      <c r="M155" s="208">
        <v>109.0</v>
      </c>
      <c r="N155" s="208">
        <v>4.0</v>
      </c>
      <c r="O155" s="208">
        <v>150.0</v>
      </c>
      <c r="P155" s="208">
        <v>41.0</v>
      </c>
      <c r="Q155" s="208">
        <v>3386021.75</v>
      </c>
      <c r="R155" s="208">
        <v>66475.2</v>
      </c>
      <c r="S155" s="208">
        <v>40.0</v>
      </c>
      <c r="T155" s="208">
        <v>4.0</v>
      </c>
      <c r="U155" s="208">
        <v>44.0</v>
      </c>
      <c r="V155" s="208">
        <v>0.0</v>
      </c>
      <c r="W155" s="208">
        <v>29.0</v>
      </c>
      <c r="X155" s="208">
        <v>34.0</v>
      </c>
      <c r="Y155" s="208">
        <v>134.0</v>
      </c>
      <c r="Z155" s="208">
        <v>2.0</v>
      </c>
      <c r="AA155" s="208">
        <v>35.0</v>
      </c>
      <c r="AB155" s="208">
        <v>0.0</v>
      </c>
      <c r="AC155" s="208">
        <v>0.0</v>
      </c>
      <c r="AD155" s="208">
        <v>0.0</v>
      </c>
      <c r="AE155" s="208">
        <v>0.0</v>
      </c>
      <c r="AF155" s="208">
        <v>348.0</v>
      </c>
      <c r="AG155" s="208">
        <v>417.0</v>
      </c>
      <c r="AH155" s="208">
        <v>71.0</v>
      </c>
      <c r="AI155" s="208">
        <v>48627.0</v>
      </c>
      <c r="AJ155" s="208">
        <v>6.0</v>
      </c>
      <c r="AK155" s="208">
        <v>33050.0</v>
      </c>
      <c r="AL155" s="208">
        <v>0.0</v>
      </c>
      <c r="AM155" s="208">
        <v>0.0</v>
      </c>
      <c r="AN155" s="208">
        <v>78466.0</v>
      </c>
      <c r="AO155" s="208">
        <v>0.63</v>
      </c>
      <c r="AP155" s="208">
        <v>0.0</v>
      </c>
      <c r="AQ155" s="208">
        <v>110.0</v>
      </c>
      <c r="AR155" s="208">
        <v>658.0</v>
      </c>
      <c r="AS155" s="208">
        <v>1857.83</v>
      </c>
      <c r="AT155" s="208">
        <v>4.0</v>
      </c>
      <c r="AU155" s="208">
        <v>17.0</v>
      </c>
      <c r="AV155" s="208">
        <v>44.0</v>
      </c>
      <c r="AW155" s="208">
        <v>66.0</v>
      </c>
      <c r="AX155" s="208">
        <v>40.0</v>
      </c>
      <c r="AY155" s="208" t="s">
        <v>1270</v>
      </c>
    </row>
    <row r="156">
      <c r="A156" s="208" t="s">
        <v>185</v>
      </c>
      <c r="B156" s="208" t="s">
        <v>189</v>
      </c>
      <c r="C156" s="208" t="s">
        <v>418</v>
      </c>
      <c r="D156" s="208" t="s">
        <v>1108</v>
      </c>
      <c r="E156" s="208" t="s">
        <v>419</v>
      </c>
      <c r="F156" s="208" t="s">
        <v>1349</v>
      </c>
      <c r="G156" s="208" t="s">
        <v>787</v>
      </c>
      <c r="H156" s="208">
        <v>0.0</v>
      </c>
      <c r="I156" s="208">
        <v>0.0</v>
      </c>
      <c r="J156" s="208">
        <v>0.0</v>
      </c>
      <c r="K156" s="208">
        <v>0.0</v>
      </c>
      <c r="L156" s="208">
        <v>92.0</v>
      </c>
      <c r="M156" s="208">
        <v>0.0</v>
      </c>
      <c r="N156" s="208">
        <v>1.0</v>
      </c>
      <c r="O156" s="208">
        <v>93.0</v>
      </c>
      <c r="P156" s="208">
        <v>93.0</v>
      </c>
      <c r="Q156" s="208">
        <v>0.0</v>
      </c>
      <c r="R156" s="208">
        <v>0.0</v>
      </c>
      <c r="S156" s="208">
        <v>0.0</v>
      </c>
      <c r="T156" s="208">
        <v>0.0</v>
      </c>
      <c r="U156" s="208">
        <v>0.0</v>
      </c>
      <c r="V156" s="208">
        <v>0.0</v>
      </c>
      <c r="W156" s="208">
        <v>0.0</v>
      </c>
      <c r="X156" s="208">
        <v>0.0</v>
      </c>
      <c r="Y156" s="208">
        <v>118.0</v>
      </c>
      <c r="Z156" s="208">
        <v>0.0</v>
      </c>
      <c r="AA156" s="208">
        <v>0.0</v>
      </c>
      <c r="AB156" s="208">
        <v>0.0</v>
      </c>
      <c r="AC156" s="208">
        <v>0.0</v>
      </c>
      <c r="AD156" s="208">
        <v>0.0</v>
      </c>
      <c r="AE156" s="208">
        <v>0.0</v>
      </c>
      <c r="AF156" s="208">
        <v>0.0</v>
      </c>
      <c r="AG156" s="208">
        <v>0.0</v>
      </c>
      <c r="AH156" s="208">
        <v>0.0</v>
      </c>
      <c r="AI156" s="208">
        <v>0.0</v>
      </c>
      <c r="AJ156" s="208">
        <v>0.0</v>
      </c>
      <c r="AK156" s="208">
        <v>46670.0</v>
      </c>
      <c r="AL156" s="208">
        <v>0.0</v>
      </c>
      <c r="AM156" s="208">
        <v>0.0</v>
      </c>
      <c r="AN156" s="208">
        <v>0.0</v>
      </c>
      <c r="AO156" s="208">
        <v>0.0</v>
      </c>
      <c r="AP156" s="208">
        <v>0.0</v>
      </c>
      <c r="AQ156" s="208">
        <v>0.0</v>
      </c>
      <c r="AR156" s="208">
        <v>0.0</v>
      </c>
      <c r="AS156" s="208">
        <v>0.0</v>
      </c>
      <c r="AT156" s="208">
        <v>0.0</v>
      </c>
      <c r="AU156" s="208">
        <v>0.0</v>
      </c>
      <c r="AV156" s="208">
        <v>0.0</v>
      </c>
      <c r="AW156" s="208">
        <v>0.0</v>
      </c>
      <c r="AX156" s="208">
        <v>93.0</v>
      </c>
      <c r="AY156" s="208" t="s">
        <v>1276</v>
      </c>
    </row>
    <row r="157">
      <c r="A157" s="208" t="s">
        <v>185</v>
      </c>
      <c r="B157" s="208" t="s">
        <v>1228</v>
      </c>
      <c r="C157" s="208" t="s">
        <v>124</v>
      </c>
      <c r="D157" s="208" t="s">
        <v>1051</v>
      </c>
      <c r="E157" s="208" t="s">
        <v>125</v>
      </c>
      <c r="F157" s="535">
        <v>45577.0</v>
      </c>
      <c r="H157" s="208">
        <v>0.0</v>
      </c>
      <c r="I157" s="208">
        <v>6375000.0</v>
      </c>
      <c r="J157" s="208">
        <v>6670485.74</v>
      </c>
      <c r="K157" s="208">
        <v>0.0</v>
      </c>
      <c r="L157" s="208">
        <v>190.0</v>
      </c>
      <c r="M157" s="208">
        <v>116.0</v>
      </c>
      <c r="N157" s="208">
        <v>14.0</v>
      </c>
      <c r="O157" s="208">
        <v>204.0</v>
      </c>
      <c r="P157" s="208">
        <v>88.0</v>
      </c>
      <c r="Q157" s="208">
        <v>5241639.69</v>
      </c>
      <c r="R157" s="208">
        <v>1428846.05</v>
      </c>
      <c r="S157" s="208">
        <v>70.0</v>
      </c>
      <c r="T157" s="208">
        <v>14.0</v>
      </c>
      <c r="U157" s="208">
        <v>84.0</v>
      </c>
      <c r="V157" s="208">
        <v>0.0</v>
      </c>
      <c r="W157" s="208">
        <v>96.0</v>
      </c>
      <c r="X157" s="208">
        <v>127.0</v>
      </c>
      <c r="Y157" s="208">
        <v>318.0</v>
      </c>
      <c r="Z157" s="208">
        <v>2.0</v>
      </c>
      <c r="AA157" s="208">
        <v>23.0</v>
      </c>
      <c r="AB157" s="208">
        <v>0.0</v>
      </c>
      <c r="AC157" s="208">
        <v>0.0</v>
      </c>
      <c r="AD157" s="208">
        <v>3.0</v>
      </c>
      <c r="AE157" s="208">
        <v>8.0</v>
      </c>
      <c r="AF157" s="208">
        <v>333.0</v>
      </c>
      <c r="AG157" s="208">
        <v>491.0</v>
      </c>
      <c r="AH157" s="208">
        <v>65.0</v>
      </c>
      <c r="AI157" s="208">
        <v>102623.0</v>
      </c>
      <c r="AJ157" s="208">
        <v>8.0</v>
      </c>
      <c r="AK157" s="208">
        <v>51900.0</v>
      </c>
      <c r="AL157" s="208">
        <v>0.0</v>
      </c>
      <c r="AM157" s="208">
        <v>0.0078</v>
      </c>
      <c r="AN157" s="208">
        <v>79411.0</v>
      </c>
      <c r="AO157" s="208">
        <v>1.05</v>
      </c>
      <c r="AP157" s="208">
        <v>0.0</v>
      </c>
      <c r="AQ157" s="208">
        <v>139.0</v>
      </c>
      <c r="AR157" s="208">
        <v>758.0</v>
      </c>
      <c r="AS157" s="208">
        <v>3241.88</v>
      </c>
      <c r="AT157" s="208">
        <v>14.0</v>
      </c>
      <c r="AU157" s="208">
        <v>28.0</v>
      </c>
      <c r="AV157" s="208">
        <v>84.0</v>
      </c>
      <c r="AW157" s="208">
        <v>52.0</v>
      </c>
      <c r="AX157" s="208">
        <v>68.0</v>
      </c>
      <c r="AY157" s="208" t="s">
        <v>1270</v>
      </c>
    </row>
    <row r="158">
      <c r="A158" s="208" t="s">
        <v>185</v>
      </c>
      <c r="B158" s="208" t="s">
        <v>85</v>
      </c>
      <c r="C158" s="208" t="s">
        <v>90</v>
      </c>
      <c r="D158" s="208" t="s">
        <v>1058</v>
      </c>
      <c r="E158" s="208" t="s">
        <v>91</v>
      </c>
      <c r="F158" s="534">
        <v>45547.0</v>
      </c>
      <c r="H158" s="208">
        <v>0.0</v>
      </c>
      <c r="I158" s="208">
        <v>3750000.0</v>
      </c>
      <c r="J158" s="208">
        <v>3069342.3</v>
      </c>
      <c r="K158" s="208">
        <v>0.0</v>
      </c>
      <c r="L158" s="208">
        <v>138.0</v>
      </c>
      <c r="M158" s="208">
        <v>112.0</v>
      </c>
      <c r="N158" s="208">
        <v>15.0</v>
      </c>
      <c r="O158" s="208">
        <v>153.0</v>
      </c>
      <c r="P158" s="208">
        <v>41.0</v>
      </c>
      <c r="Q158" s="208">
        <v>2736113.95</v>
      </c>
      <c r="R158" s="208">
        <v>333228.35</v>
      </c>
      <c r="S158" s="208">
        <v>71.0</v>
      </c>
      <c r="T158" s="208">
        <v>15.0</v>
      </c>
      <c r="U158" s="208">
        <v>86.0</v>
      </c>
      <c r="V158" s="208">
        <v>0.0</v>
      </c>
      <c r="W158" s="208">
        <v>36.0</v>
      </c>
      <c r="X158" s="208">
        <v>64.0</v>
      </c>
      <c r="Y158" s="208">
        <v>74.0</v>
      </c>
      <c r="Z158" s="208">
        <v>5.0</v>
      </c>
      <c r="AA158" s="208">
        <v>77.0</v>
      </c>
      <c r="AB158" s="208">
        <v>1.0</v>
      </c>
      <c r="AC158" s="208">
        <v>3.0</v>
      </c>
      <c r="AD158" s="208">
        <v>1.0</v>
      </c>
      <c r="AE158" s="208">
        <v>1.0</v>
      </c>
      <c r="AF158" s="208">
        <v>509.0</v>
      </c>
      <c r="AG158" s="208">
        <v>654.0</v>
      </c>
      <c r="AH158" s="208">
        <v>71.0</v>
      </c>
      <c r="AI158" s="208">
        <v>43230.0</v>
      </c>
      <c r="AJ158" s="208">
        <v>9.0</v>
      </c>
      <c r="AK158" s="208">
        <v>36190.0</v>
      </c>
      <c r="AL158" s="208">
        <v>0.0</v>
      </c>
      <c r="AM158" s="208">
        <v>0.0118</v>
      </c>
      <c r="AN158" s="208">
        <v>35690.0</v>
      </c>
      <c r="AO158" s="208">
        <v>0.82</v>
      </c>
      <c r="AP158" s="208">
        <v>0.0</v>
      </c>
      <c r="AQ158" s="208">
        <v>231.0</v>
      </c>
      <c r="AR158" s="208">
        <v>820.0</v>
      </c>
      <c r="AS158" s="208">
        <v>4805.35</v>
      </c>
      <c r="AT158" s="208">
        <v>15.0</v>
      </c>
      <c r="AU158" s="208">
        <v>43.0</v>
      </c>
      <c r="AV158" s="208">
        <v>86.0</v>
      </c>
      <c r="AW158" s="208">
        <v>36.0</v>
      </c>
      <c r="AX158" s="208">
        <v>31.0</v>
      </c>
      <c r="AY158" s="208" t="s">
        <v>1270</v>
      </c>
    </row>
    <row r="159">
      <c r="A159" s="208" t="s">
        <v>126</v>
      </c>
      <c r="B159" s="208" t="s">
        <v>130</v>
      </c>
      <c r="C159" s="208" t="s">
        <v>446</v>
      </c>
      <c r="D159" s="208" t="s">
        <v>130</v>
      </c>
      <c r="E159" s="208" t="s">
        <v>129</v>
      </c>
      <c r="F159" s="208" t="s">
        <v>1350</v>
      </c>
      <c r="G159" s="208" t="s">
        <v>128</v>
      </c>
      <c r="H159" s="208">
        <v>0.0</v>
      </c>
      <c r="I159" s="208">
        <v>0.0</v>
      </c>
      <c r="J159" s="208">
        <v>0.0</v>
      </c>
      <c r="K159" s="208">
        <v>0.0</v>
      </c>
      <c r="L159" s="208">
        <v>58.0</v>
      </c>
      <c r="M159" s="208">
        <v>0.0</v>
      </c>
      <c r="N159" s="208">
        <v>0.0</v>
      </c>
      <c r="O159" s="208">
        <v>58.0</v>
      </c>
      <c r="P159" s="208">
        <v>58.0</v>
      </c>
      <c r="Q159" s="208">
        <v>0.0</v>
      </c>
      <c r="R159" s="208">
        <v>0.0</v>
      </c>
      <c r="S159" s="208">
        <v>0.0</v>
      </c>
      <c r="T159" s="208">
        <v>0.0</v>
      </c>
      <c r="U159" s="208">
        <v>0.0</v>
      </c>
      <c r="V159" s="208">
        <v>0.0</v>
      </c>
      <c r="W159" s="208">
        <v>0.0</v>
      </c>
      <c r="X159" s="208">
        <v>0.0</v>
      </c>
      <c r="Y159" s="208">
        <v>123.0</v>
      </c>
      <c r="Z159" s="208">
        <v>0.0</v>
      </c>
      <c r="AA159" s="208">
        <v>0.0</v>
      </c>
      <c r="AB159" s="208">
        <v>0.0</v>
      </c>
      <c r="AC159" s="208">
        <v>0.0</v>
      </c>
      <c r="AD159" s="208">
        <v>0.0</v>
      </c>
      <c r="AE159" s="208">
        <v>0.0</v>
      </c>
      <c r="AF159" s="208">
        <v>0.0</v>
      </c>
      <c r="AG159" s="208">
        <v>0.0</v>
      </c>
      <c r="AH159" s="208">
        <v>0.0</v>
      </c>
      <c r="AI159" s="208">
        <v>0.0</v>
      </c>
      <c r="AJ159" s="208">
        <v>0.0</v>
      </c>
      <c r="AK159" s="208">
        <v>35140.0</v>
      </c>
      <c r="AL159" s="208">
        <v>0.0</v>
      </c>
      <c r="AM159" s="208">
        <v>0.0</v>
      </c>
      <c r="AN159" s="208">
        <v>0.0</v>
      </c>
      <c r="AO159" s="208">
        <v>0.0</v>
      </c>
      <c r="AP159" s="208">
        <v>0.0</v>
      </c>
      <c r="AQ159" s="208">
        <v>0.0</v>
      </c>
      <c r="AR159" s="208">
        <v>0.0</v>
      </c>
      <c r="AS159" s="208">
        <v>0.0</v>
      </c>
      <c r="AT159" s="208">
        <v>0.0</v>
      </c>
      <c r="AU159" s="208">
        <v>0.0</v>
      </c>
      <c r="AV159" s="208">
        <v>0.0</v>
      </c>
      <c r="AW159" s="208">
        <v>0.0</v>
      </c>
      <c r="AX159" s="208">
        <v>58.0</v>
      </c>
      <c r="AY159" s="208" t="s">
        <v>1296</v>
      </c>
    </row>
    <row r="160">
      <c r="A160" s="208" t="s">
        <v>185</v>
      </c>
      <c r="B160" s="208" t="s">
        <v>189</v>
      </c>
      <c r="C160" s="208" t="s">
        <v>275</v>
      </c>
      <c r="D160" s="208" t="s">
        <v>1016</v>
      </c>
      <c r="E160" s="208" t="s">
        <v>276</v>
      </c>
      <c r="F160" s="535">
        <v>45608.0</v>
      </c>
      <c r="G160" s="208" t="s">
        <v>203</v>
      </c>
      <c r="H160" s="208">
        <v>0.0</v>
      </c>
      <c r="I160" s="208">
        <v>1.275E7</v>
      </c>
      <c r="J160" s="208">
        <v>1.285683475E7</v>
      </c>
      <c r="K160" s="208">
        <v>0.0</v>
      </c>
      <c r="L160" s="208">
        <v>92.0</v>
      </c>
      <c r="M160" s="208">
        <v>81.0</v>
      </c>
      <c r="N160" s="208">
        <v>0.0</v>
      </c>
      <c r="O160" s="208">
        <v>92.0</v>
      </c>
      <c r="P160" s="208">
        <v>11.0</v>
      </c>
      <c r="Q160" s="208">
        <v>1.285683475E7</v>
      </c>
      <c r="R160" s="208">
        <v>0.0</v>
      </c>
      <c r="S160" s="208">
        <v>48.0</v>
      </c>
      <c r="T160" s="208">
        <v>0.0</v>
      </c>
      <c r="U160" s="208">
        <v>48.0</v>
      </c>
      <c r="V160" s="208">
        <v>0.0</v>
      </c>
      <c r="W160" s="208">
        <v>1.0</v>
      </c>
      <c r="X160" s="208">
        <v>1.0</v>
      </c>
      <c r="Y160" s="208">
        <v>35.0</v>
      </c>
      <c r="Z160" s="208">
        <v>2.0</v>
      </c>
      <c r="AA160" s="208">
        <v>10.0</v>
      </c>
      <c r="AB160" s="208">
        <v>0.0</v>
      </c>
      <c r="AC160" s="208">
        <v>0.0</v>
      </c>
      <c r="AD160" s="208">
        <v>0.0</v>
      </c>
      <c r="AE160" s="208">
        <v>0.0</v>
      </c>
      <c r="AF160" s="208">
        <v>371.0</v>
      </c>
      <c r="AG160" s="208">
        <v>382.0</v>
      </c>
      <c r="AH160" s="208">
        <v>71.0</v>
      </c>
      <c r="AI160" s="208">
        <v>181082.0</v>
      </c>
      <c r="AJ160" s="208">
        <v>5.0</v>
      </c>
      <c r="AK160" s="208">
        <v>34090.0</v>
      </c>
      <c r="AL160" s="208">
        <v>0.0</v>
      </c>
      <c r="AM160" s="208">
        <v>0.0027</v>
      </c>
      <c r="AN160" s="208">
        <v>267851.0</v>
      </c>
      <c r="AO160" s="208">
        <v>1.01</v>
      </c>
      <c r="AP160" s="208">
        <v>0.0</v>
      </c>
      <c r="AQ160" s="208">
        <v>117.0</v>
      </c>
      <c r="AR160" s="208">
        <v>734.0</v>
      </c>
      <c r="AS160" s="208">
        <v>3765.71</v>
      </c>
      <c r="AT160" s="208">
        <v>0.0</v>
      </c>
      <c r="AU160" s="208">
        <v>46.0</v>
      </c>
      <c r="AV160" s="208">
        <v>48.0</v>
      </c>
      <c r="AW160" s="208">
        <v>33.0</v>
      </c>
      <c r="AX160" s="208">
        <v>11.0</v>
      </c>
      <c r="AY160" s="208" t="s">
        <v>1270</v>
      </c>
    </row>
    <row r="161">
      <c r="A161" s="208" t="s">
        <v>185</v>
      </c>
      <c r="B161" s="208" t="s">
        <v>215</v>
      </c>
      <c r="C161" s="208" t="s">
        <v>277</v>
      </c>
      <c r="D161" s="208" t="s">
        <v>1064</v>
      </c>
      <c r="E161" s="208" t="s">
        <v>278</v>
      </c>
      <c r="F161" s="208" t="s">
        <v>1350</v>
      </c>
      <c r="G161" s="208" t="s">
        <v>776</v>
      </c>
      <c r="H161" s="208">
        <v>0.0</v>
      </c>
      <c r="I161" s="208">
        <v>6000000.0</v>
      </c>
      <c r="J161" s="208">
        <v>6420708.05</v>
      </c>
      <c r="K161" s="208">
        <v>0.0</v>
      </c>
      <c r="L161" s="208">
        <v>100.0</v>
      </c>
      <c r="M161" s="208">
        <v>64.0</v>
      </c>
      <c r="N161" s="208">
        <v>6.0</v>
      </c>
      <c r="O161" s="208">
        <v>106.0</v>
      </c>
      <c r="P161" s="208">
        <v>42.0</v>
      </c>
      <c r="Q161" s="208">
        <v>5961364.74</v>
      </c>
      <c r="R161" s="208">
        <v>459343.31</v>
      </c>
      <c r="S161" s="208">
        <v>30.0</v>
      </c>
      <c r="T161" s="208">
        <v>6.0</v>
      </c>
      <c r="U161" s="208">
        <v>36.0</v>
      </c>
      <c r="V161" s="208">
        <v>0.0</v>
      </c>
      <c r="W161" s="208">
        <v>43.0</v>
      </c>
      <c r="X161" s="208">
        <v>66.0</v>
      </c>
      <c r="Y161" s="208">
        <v>196.0</v>
      </c>
      <c r="Z161" s="208">
        <v>1.0</v>
      </c>
      <c r="AA161" s="208">
        <v>21.0</v>
      </c>
      <c r="AB161" s="208">
        <v>0.0</v>
      </c>
      <c r="AC161" s="208">
        <v>0.0</v>
      </c>
      <c r="AD161" s="208">
        <v>0.0</v>
      </c>
      <c r="AE161" s="208">
        <v>0.0</v>
      </c>
      <c r="AF161" s="208">
        <v>224.0</v>
      </c>
      <c r="AG161" s="208">
        <v>311.0</v>
      </c>
      <c r="AH161" s="208">
        <v>70.0</v>
      </c>
      <c r="AI161" s="208">
        <v>91724.0</v>
      </c>
      <c r="AJ161" s="208">
        <v>4.0</v>
      </c>
      <c r="AK161" s="208">
        <v>33570.0</v>
      </c>
      <c r="AL161" s="208">
        <v>0.0</v>
      </c>
      <c r="AM161" s="208">
        <v>0.0052</v>
      </c>
      <c r="AN161" s="208">
        <v>178353.0</v>
      </c>
      <c r="AO161" s="208">
        <v>1.07</v>
      </c>
      <c r="AP161" s="208">
        <v>0.0</v>
      </c>
      <c r="AQ161" s="208">
        <v>77.0</v>
      </c>
      <c r="AR161" s="208">
        <v>641.0</v>
      </c>
      <c r="AS161" s="208">
        <v>2187.25</v>
      </c>
      <c r="AT161" s="208">
        <v>6.0</v>
      </c>
      <c r="AU161" s="208">
        <v>34.0</v>
      </c>
      <c r="AV161" s="208">
        <v>36.0</v>
      </c>
      <c r="AW161" s="208">
        <v>33.0</v>
      </c>
      <c r="AX161" s="208">
        <v>37.0</v>
      </c>
      <c r="AY161" s="208" t="s">
        <v>1270</v>
      </c>
    </row>
    <row r="162">
      <c r="A162" s="208" t="s">
        <v>185</v>
      </c>
      <c r="B162" s="208" t="s">
        <v>212</v>
      </c>
      <c r="C162" s="208" t="s">
        <v>279</v>
      </c>
      <c r="D162" s="208" t="s">
        <v>1031</v>
      </c>
      <c r="E162" s="208" t="s">
        <v>280</v>
      </c>
      <c r="F162" s="208" t="s">
        <v>1351</v>
      </c>
      <c r="G162" s="208" t="s">
        <v>489</v>
      </c>
      <c r="H162" s="208">
        <v>0.0</v>
      </c>
      <c r="I162" s="208">
        <v>6000000.0</v>
      </c>
      <c r="J162" s="208">
        <v>6206049.5</v>
      </c>
      <c r="K162" s="208">
        <v>0.0</v>
      </c>
      <c r="L162" s="208">
        <v>25.0</v>
      </c>
      <c r="M162" s="208">
        <v>24.0</v>
      </c>
      <c r="N162" s="208">
        <v>1.0</v>
      </c>
      <c r="O162" s="208">
        <v>26.0</v>
      </c>
      <c r="P162" s="208">
        <v>2.0</v>
      </c>
      <c r="Q162" s="208">
        <v>5804102.93</v>
      </c>
      <c r="R162" s="208">
        <v>401946.57</v>
      </c>
      <c r="S162" s="208">
        <v>18.0</v>
      </c>
      <c r="T162" s="208">
        <v>1.0</v>
      </c>
      <c r="U162" s="208">
        <v>19.0</v>
      </c>
      <c r="V162" s="208">
        <v>0.0</v>
      </c>
      <c r="W162" s="208">
        <v>9.0</v>
      </c>
      <c r="X162" s="208">
        <v>12.0</v>
      </c>
      <c r="Y162" s="208">
        <v>107.0</v>
      </c>
      <c r="Z162" s="208">
        <v>1.0</v>
      </c>
      <c r="AA162" s="208">
        <v>9.0</v>
      </c>
      <c r="AB162" s="208">
        <v>0.0</v>
      </c>
      <c r="AC162" s="208">
        <v>0.0</v>
      </c>
      <c r="AD162" s="208">
        <v>0.0</v>
      </c>
      <c r="AE162" s="208">
        <v>0.0</v>
      </c>
      <c r="AF162" s="208">
        <v>181.0</v>
      </c>
      <c r="AG162" s="208">
        <v>202.0</v>
      </c>
      <c r="AH162" s="208">
        <v>61.0</v>
      </c>
      <c r="AI162" s="208">
        <v>101739.0</v>
      </c>
      <c r="AJ162" s="208">
        <v>3.0</v>
      </c>
      <c r="AK162" s="208">
        <v>28850.0</v>
      </c>
      <c r="AL162" s="208">
        <v>0.0</v>
      </c>
      <c r="AM162" s="208">
        <v>0.0046</v>
      </c>
      <c r="AN162" s="208">
        <v>326634.0</v>
      </c>
      <c r="AO162" s="208">
        <v>1.03</v>
      </c>
      <c r="AP162" s="208">
        <v>0.0</v>
      </c>
      <c r="AQ162" s="208">
        <v>65.0</v>
      </c>
      <c r="AR162" s="208">
        <v>667.0</v>
      </c>
      <c r="AS162" s="208">
        <v>1963.27</v>
      </c>
      <c r="AT162" s="208">
        <v>1.0</v>
      </c>
      <c r="AU162" s="208">
        <v>82.0</v>
      </c>
      <c r="AV162" s="208">
        <v>19.0</v>
      </c>
      <c r="AW162" s="208">
        <v>5.0</v>
      </c>
      <c r="AX162" s="208">
        <v>2.0</v>
      </c>
      <c r="AY162" s="208" t="s">
        <v>1270</v>
      </c>
    </row>
    <row r="163">
      <c r="A163" s="208" t="s">
        <v>185</v>
      </c>
      <c r="B163" s="208" t="s">
        <v>85</v>
      </c>
      <c r="C163" s="208" t="s">
        <v>388</v>
      </c>
      <c r="D163" s="208" t="s">
        <v>1058</v>
      </c>
      <c r="E163" s="208" t="s">
        <v>389</v>
      </c>
      <c r="F163" s="208" t="s">
        <v>1352</v>
      </c>
      <c r="H163" s="208">
        <v>0.0</v>
      </c>
      <c r="I163" s="208">
        <v>0.0</v>
      </c>
      <c r="J163" s="208">
        <v>0.0</v>
      </c>
      <c r="K163" s="208">
        <v>0.0</v>
      </c>
      <c r="L163" s="208">
        <v>31.0</v>
      </c>
      <c r="M163" s="208">
        <v>0.0</v>
      </c>
      <c r="N163" s="208">
        <v>0.0</v>
      </c>
      <c r="O163" s="208">
        <v>31.0</v>
      </c>
      <c r="P163" s="208">
        <v>31.0</v>
      </c>
      <c r="Q163" s="208">
        <v>0.0</v>
      </c>
      <c r="R163" s="208">
        <v>0.0</v>
      </c>
      <c r="S163" s="208">
        <v>0.0</v>
      </c>
      <c r="T163" s="208">
        <v>0.0</v>
      </c>
      <c r="U163" s="208">
        <v>0.0</v>
      </c>
      <c r="V163" s="208">
        <v>0.0</v>
      </c>
      <c r="W163" s="208">
        <v>0.0</v>
      </c>
      <c r="X163" s="208">
        <v>0.0</v>
      </c>
      <c r="Y163" s="208">
        <v>92.0</v>
      </c>
      <c r="Z163" s="208">
        <v>0.0</v>
      </c>
      <c r="AA163" s="208">
        <v>0.0</v>
      </c>
      <c r="AB163" s="208">
        <v>0.0</v>
      </c>
      <c r="AC163" s="208">
        <v>0.0</v>
      </c>
      <c r="AD163" s="208">
        <v>0.0</v>
      </c>
      <c r="AE163" s="208">
        <v>0.0</v>
      </c>
      <c r="AF163" s="208">
        <v>0.0</v>
      </c>
      <c r="AG163" s="208">
        <v>0.0</v>
      </c>
      <c r="AH163" s="208">
        <v>0.0</v>
      </c>
      <c r="AI163" s="208">
        <v>0.0</v>
      </c>
      <c r="AJ163" s="208">
        <v>0.0</v>
      </c>
      <c r="AK163" s="208">
        <v>33570.0</v>
      </c>
      <c r="AL163" s="208">
        <v>0.0</v>
      </c>
      <c r="AM163" s="208">
        <v>0.0</v>
      </c>
      <c r="AN163" s="208">
        <v>0.0</v>
      </c>
      <c r="AO163" s="208">
        <v>0.0</v>
      </c>
      <c r="AP163" s="208">
        <v>0.0</v>
      </c>
      <c r="AQ163" s="208">
        <v>0.0</v>
      </c>
      <c r="AR163" s="208">
        <v>0.0</v>
      </c>
      <c r="AS163" s="208">
        <v>0.0</v>
      </c>
      <c r="AT163" s="208">
        <v>0.0</v>
      </c>
      <c r="AU163" s="208">
        <v>0.0</v>
      </c>
      <c r="AV163" s="208">
        <v>0.0</v>
      </c>
      <c r="AW163" s="208">
        <v>0.0</v>
      </c>
      <c r="AX163" s="208">
        <v>31.0</v>
      </c>
      <c r="AY163" s="208" t="s">
        <v>1353</v>
      </c>
    </row>
    <row r="164">
      <c r="A164" s="208" t="s">
        <v>298</v>
      </c>
      <c r="B164" s="208" t="s">
        <v>301</v>
      </c>
      <c r="C164" s="208" t="s">
        <v>356</v>
      </c>
      <c r="D164" s="208" t="s">
        <v>1066</v>
      </c>
      <c r="E164" s="208" t="s">
        <v>319</v>
      </c>
      <c r="F164" s="208" t="s">
        <v>1354</v>
      </c>
      <c r="G164" s="208" t="s">
        <v>298</v>
      </c>
      <c r="H164" s="208">
        <v>0.0</v>
      </c>
      <c r="I164" s="208">
        <v>0.0</v>
      </c>
      <c r="J164" s="208">
        <v>0.0</v>
      </c>
      <c r="K164" s="208">
        <v>0.0</v>
      </c>
      <c r="L164" s="208">
        <v>80.0</v>
      </c>
      <c r="M164" s="208">
        <v>0.0</v>
      </c>
      <c r="N164" s="208">
        <v>1.0</v>
      </c>
      <c r="O164" s="208">
        <v>81.0</v>
      </c>
      <c r="P164" s="208">
        <v>81.0</v>
      </c>
      <c r="Q164" s="208">
        <v>0.0</v>
      </c>
      <c r="R164" s="208">
        <v>0.0</v>
      </c>
      <c r="S164" s="208">
        <v>0.0</v>
      </c>
      <c r="T164" s="208">
        <v>0.0</v>
      </c>
      <c r="U164" s="208">
        <v>0.0</v>
      </c>
      <c r="V164" s="208">
        <v>0.0</v>
      </c>
      <c r="W164" s="208">
        <v>0.0</v>
      </c>
      <c r="X164" s="208">
        <v>0.0</v>
      </c>
      <c r="Y164" s="208">
        <v>73.0</v>
      </c>
      <c r="Z164" s="208">
        <v>0.0</v>
      </c>
      <c r="AA164" s="208">
        <v>0.0</v>
      </c>
      <c r="AB164" s="208">
        <v>0.0</v>
      </c>
      <c r="AC164" s="208">
        <v>0.0</v>
      </c>
      <c r="AD164" s="208">
        <v>0.0</v>
      </c>
      <c r="AE164" s="208">
        <v>0.0</v>
      </c>
      <c r="AF164" s="208">
        <v>0.0</v>
      </c>
      <c r="AG164" s="208">
        <v>0.0</v>
      </c>
      <c r="AH164" s="208">
        <v>0.0</v>
      </c>
      <c r="AI164" s="208">
        <v>0.0</v>
      </c>
      <c r="AJ164" s="208">
        <v>0.0</v>
      </c>
      <c r="AK164" s="208">
        <v>25165.0</v>
      </c>
      <c r="AL164" s="208">
        <v>0.0</v>
      </c>
      <c r="AM164" s="208">
        <v>0.0</v>
      </c>
      <c r="AN164" s="208">
        <v>0.0</v>
      </c>
      <c r="AO164" s="208">
        <v>0.0</v>
      </c>
      <c r="AP164" s="208">
        <v>0.0</v>
      </c>
      <c r="AQ164" s="208">
        <v>0.0</v>
      </c>
      <c r="AR164" s="208">
        <v>0.0</v>
      </c>
      <c r="AS164" s="208">
        <v>0.0</v>
      </c>
      <c r="AT164" s="208">
        <v>0.0</v>
      </c>
      <c r="AU164" s="208">
        <v>0.0</v>
      </c>
      <c r="AV164" s="208">
        <v>0.0</v>
      </c>
      <c r="AW164" s="208">
        <v>0.0</v>
      </c>
      <c r="AX164" s="208">
        <v>81.0</v>
      </c>
      <c r="AY164" s="208" t="s">
        <v>1294</v>
      </c>
    </row>
    <row r="165">
      <c r="A165" s="208" t="s">
        <v>23</v>
      </c>
      <c r="B165" s="208" t="s">
        <v>37</v>
      </c>
      <c r="C165" s="208" t="s">
        <v>35</v>
      </c>
      <c r="D165" s="208" t="s">
        <v>1110</v>
      </c>
      <c r="E165" s="208" t="s">
        <v>36</v>
      </c>
      <c r="F165" s="534">
        <v>45658.0</v>
      </c>
      <c r="G165" s="208" t="s">
        <v>23</v>
      </c>
      <c r="H165" s="208">
        <v>0.0</v>
      </c>
      <c r="I165" s="208">
        <v>3600000.0</v>
      </c>
      <c r="J165" s="208">
        <v>2330752.39</v>
      </c>
      <c r="K165" s="208">
        <v>0.0</v>
      </c>
      <c r="L165" s="208">
        <v>72.0</v>
      </c>
      <c r="M165" s="208">
        <v>67.0</v>
      </c>
      <c r="N165" s="208">
        <v>15.0</v>
      </c>
      <c r="O165" s="208">
        <v>87.0</v>
      </c>
      <c r="P165" s="208">
        <v>20.0</v>
      </c>
      <c r="Q165" s="208">
        <v>1772325.11</v>
      </c>
      <c r="R165" s="208">
        <v>558427.28</v>
      </c>
      <c r="S165" s="208">
        <v>33.0</v>
      </c>
      <c r="T165" s="208">
        <v>15.0</v>
      </c>
      <c r="U165" s="208">
        <v>48.0</v>
      </c>
      <c r="V165" s="208">
        <v>0.0</v>
      </c>
      <c r="W165" s="208">
        <v>83.0</v>
      </c>
      <c r="X165" s="208">
        <v>100.0</v>
      </c>
      <c r="Y165" s="208">
        <v>185.0</v>
      </c>
      <c r="Z165" s="208">
        <v>7.0</v>
      </c>
      <c r="AA165" s="208">
        <v>41.0</v>
      </c>
      <c r="AB165" s="208">
        <v>1.0</v>
      </c>
      <c r="AC165" s="208">
        <v>2.0</v>
      </c>
      <c r="AD165" s="208">
        <v>36.0</v>
      </c>
      <c r="AE165" s="208">
        <v>68.0</v>
      </c>
      <c r="AF165" s="208">
        <v>204.0</v>
      </c>
      <c r="AG165" s="208">
        <v>415.0</v>
      </c>
      <c r="AH165" s="208">
        <v>72.0</v>
      </c>
      <c r="AI165" s="208">
        <v>32372.0</v>
      </c>
      <c r="AJ165" s="208">
        <v>6.0</v>
      </c>
      <c r="AK165" s="208">
        <v>31455.0</v>
      </c>
      <c r="AL165" s="208">
        <v>0.0</v>
      </c>
      <c r="AM165" s="208">
        <v>0.0135</v>
      </c>
      <c r="AN165" s="208">
        <v>48557.0</v>
      </c>
      <c r="AO165" s="208">
        <v>0.65</v>
      </c>
      <c r="AP165" s="208">
        <v>0.0</v>
      </c>
      <c r="AQ165" s="208">
        <v>82.0</v>
      </c>
      <c r="AR165" s="208">
        <v>680.0</v>
      </c>
      <c r="AS165" s="208">
        <v>3652.68</v>
      </c>
      <c r="AT165" s="208">
        <v>15.0</v>
      </c>
      <c r="AU165" s="208">
        <v>55.0</v>
      </c>
      <c r="AV165" s="208">
        <v>48.0</v>
      </c>
      <c r="AW165" s="208">
        <v>22.0</v>
      </c>
      <c r="AX165" s="208">
        <v>17.0</v>
      </c>
      <c r="AY165" s="208" t="s">
        <v>1270</v>
      </c>
    </row>
    <row r="166">
      <c r="A166" s="208" t="s">
        <v>126</v>
      </c>
      <c r="B166" s="208" t="s">
        <v>135</v>
      </c>
      <c r="C166" s="208" t="s">
        <v>171</v>
      </c>
      <c r="D166" s="208" t="s">
        <v>1042</v>
      </c>
      <c r="E166" s="208" t="s">
        <v>137</v>
      </c>
      <c r="F166" s="534">
        <v>45658.0</v>
      </c>
      <c r="G166" s="208" t="s">
        <v>136</v>
      </c>
      <c r="H166" s="208">
        <v>0.0</v>
      </c>
      <c r="I166" s="208">
        <v>3500001.0</v>
      </c>
      <c r="J166" s="208">
        <v>2464008.96</v>
      </c>
      <c r="K166" s="208">
        <v>0.0</v>
      </c>
      <c r="L166" s="208">
        <v>56.0</v>
      </c>
      <c r="M166" s="208">
        <v>44.0</v>
      </c>
      <c r="N166" s="208">
        <v>2.0</v>
      </c>
      <c r="O166" s="208">
        <v>58.0</v>
      </c>
      <c r="P166" s="208">
        <v>14.0</v>
      </c>
      <c r="Q166" s="208">
        <v>2298960.25</v>
      </c>
      <c r="R166" s="208">
        <v>165048.71</v>
      </c>
      <c r="S166" s="208">
        <v>22.0</v>
      </c>
      <c r="T166" s="208">
        <v>2.0</v>
      </c>
      <c r="U166" s="208">
        <v>24.0</v>
      </c>
      <c r="V166" s="208">
        <v>0.0</v>
      </c>
      <c r="W166" s="208">
        <v>39.0</v>
      </c>
      <c r="X166" s="208">
        <v>57.0</v>
      </c>
      <c r="Y166" s="208">
        <v>272.0</v>
      </c>
      <c r="Z166" s="208">
        <v>1.0</v>
      </c>
      <c r="AA166" s="208">
        <v>6.0</v>
      </c>
      <c r="AB166" s="208">
        <v>0.0</v>
      </c>
      <c r="AC166" s="208">
        <v>0.0</v>
      </c>
      <c r="AD166" s="208">
        <v>0.0</v>
      </c>
      <c r="AE166" s="208">
        <v>0.0</v>
      </c>
      <c r="AF166" s="208">
        <v>228.0</v>
      </c>
      <c r="AG166" s="208">
        <v>291.0</v>
      </c>
      <c r="AH166" s="208">
        <v>68.0</v>
      </c>
      <c r="AI166" s="208">
        <v>36235.0</v>
      </c>
      <c r="AJ166" s="208">
        <v>4.0</v>
      </c>
      <c r="AK166" s="208">
        <v>36190.0</v>
      </c>
      <c r="AL166" s="208">
        <v>0.0</v>
      </c>
      <c r="AM166" s="208">
        <v>0.0147</v>
      </c>
      <c r="AN166" s="208">
        <v>102667.0</v>
      </c>
      <c r="AO166" s="208">
        <v>0.7</v>
      </c>
      <c r="AP166" s="208">
        <v>0.0</v>
      </c>
      <c r="AQ166" s="208">
        <v>54.0</v>
      </c>
      <c r="AR166" s="208">
        <v>485.0</v>
      </c>
      <c r="AS166" s="208">
        <v>2135.91</v>
      </c>
      <c r="AT166" s="208">
        <v>2.0</v>
      </c>
      <c r="AU166" s="208">
        <v>49.0</v>
      </c>
      <c r="AV166" s="208">
        <v>24.0</v>
      </c>
      <c r="AW166" s="208">
        <v>20.0</v>
      </c>
      <c r="AX166" s="208">
        <v>14.0</v>
      </c>
      <c r="AY166" s="208" t="s">
        <v>1270</v>
      </c>
    </row>
    <row r="167">
      <c r="A167" s="208" t="s">
        <v>185</v>
      </c>
      <c r="B167" s="208" t="s">
        <v>85</v>
      </c>
      <c r="C167" s="208" t="s">
        <v>390</v>
      </c>
      <c r="D167" s="208" t="s">
        <v>1058</v>
      </c>
      <c r="E167" s="208" t="s">
        <v>391</v>
      </c>
      <c r="F167" s="534">
        <v>45717.0</v>
      </c>
      <c r="G167" s="208" t="s">
        <v>86</v>
      </c>
      <c r="H167" s="208">
        <v>0.0</v>
      </c>
      <c r="I167" s="208">
        <v>0.0</v>
      </c>
      <c r="J167" s="208">
        <v>0.0</v>
      </c>
      <c r="K167" s="208">
        <v>0.0</v>
      </c>
      <c r="L167" s="208">
        <v>73.0</v>
      </c>
      <c r="M167" s="208">
        <v>0.0</v>
      </c>
      <c r="N167" s="208">
        <v>1.0</v>
      </c>
      <c r="O167" s="208">
        <v>74.0</v>
      </c>
      <c r="P167" s="208">
        <v>74.0</v>
      </c>
      <c r="Q167" s="208">
        <v>0.0</v>
      </c>
      <c r="R167" s="208">
        <v>0.0</v>
      </c>
      <c r="S167" s="208">
        <v>0.0</v>
      </c>
      <c r="T167" s="208">
        <v>0.0</v>
      </c>
      <c r="U167" s="208">
        <v>0.0</v>
      </c>
      <c r="V167" s="208">
        <v>0.0</v>
      </c>
      <c r="W167" s="208">
        <v>0.0</v>
      </c>
      <c r="X167" s="208">
        <v>0.0</v>
      </c>
      <c r="Y167" s="208">
        <v>93.0</v>
      </c>
      <c r="Z167" s="208">
        <v>0.0</v>
      </c>
      <c r="AA167" s="208">
        <v>0.0</v>
      </c>
      <c r="AB167" s="208">
        <v>0.0</v>
      </c>
      <c r="AC167" s="208">
        <v>0.0</v>
      </c>
      <c r="AD167" s="208">
        <v>0.0</v>
      </c>
      <c r="AE167" s="208">
        <v>0.0</v>
      </c>
      <c r="AF167" s="208">
        <v>0.0</v>
      </c>
      <c r="AG167" s="208">
        <v>0.0</v>
      </c>
      <c r="AH167" s="208">
        <v>0.0</v>
      </c>
      <c r="AI167" s="208">
        <v>0.0</v>
      </c>
      <c r="AJ167" s="208">
        <v>0.0</v>
      </c>
      <c r="AK167" s="208">
        <v>33885.0</v>
      </c>
      <c r="AL167" s="208">
        <v>0.0</v>
      </c>
      <c r="AM167" s="208">
        <v>0.0</v>
      </c>
      <c r="AN167" s="208">
        <v>0.0</v>
      </c>
      <c r="AO167" s="208">
        <v>0.0</v>
      </c>
      <c r="AP167" s="208">
        <v>0.0</v>
      </c>
      <c r="AQ167" s="208">
        <v>0.0</v>
      </c>
      <c r="AR167" s="208">
        <v>0.0</v>
      </c>
      <c r="AS167" s="208">
        <v>0.0</v>
      </c>
      <c r="AT167" s="208">
        <v>0.0</v>
      </c>
      <c r="AU167" s="208">
        <v>0.0</v>
      </c>
      <c r="AV167" s="208">
        <v>0.0</v>
      </c>
      <c r="AW167" s="208">
        <v>0.0</v>
      </c>
      <c r="AX167" s="208">
        <v>74.0</v>
      </c>
      <c r="AY167" s="534">
        <v>45967.0</v>
      </c>
    </row>
    <row r="168">
      <c r="A168" s="208" t="s">
        <v>47</v>
      </c>
      <c r="B168" s="208" t="s">
        <v>422</v>
      </c>
      <c r="C168" s="208" t="s">
        <v>866</v>
      </c>
      <c r="D168" s="208" t="s">
        <v>1094</v>
      </c>
      <c r="E168" s="208" t="s">
        <v>1111</v>
      </c>
      <c r="F168" s="534">
        <v>45809.0</v>
      </c>
      <c r="G168" s="208" t="s">
        <v>47</v>
      </c>
      <c r="H168" s="208">
        <v>0.0</v>
      </c>
      <c r="I168" s="208">
        <v>0.0</v>
      </c>
      <c r="J168" s="208">
        <v>0.0</v>
      </c>
      <c r="K168" s="208">
        <v>0.0</v>
      </c>
      <c r="L168" s="208">
        <v>43.0</v>
      </c>
      <c r="M168" s="208">
        <v>29.0</v>
      </c>
      <c r="N168" s="208">
        <v>0.0</v>
      </c>
      <c r="O168" s="208">
        <v>43.0</v>
      </c>
      <c r="P168" s="208">
        <v>14.0</v>
      </c>
      <c r="Q168" s="208">
        <v>0.0</v>
      </c>
      <c r="R168" s="208">
        <v>0.0</v>
      </c>
      <c r="S168" s="208">
        <v>0.0</v>
      </c>
      <c r="T168" s="208">
        <v>0.0</v>
      </c>
      <c r="U168" s="208">
        <v>0.0</v>
      </c>
      <c r="V168" s="208">
        <v>0.0</v>
      </c>
      <c r="W168" s="208">
        <v>51.0</v>
      </c>
      <c r="X168" s="208">
        <v>58.0</v>
      </c>
      <c r="Y168" s="208">
        <v>100.0</v>
      </c>
      <c r="Z168" s="208">
        <v>3.0</v>
      </c>
      <c r="AA168" s="208">
        <v>49.0</v>
      </c>
      <c r="AB168" s="208">
        <v>0.0</v>
      </c>
      <c r="AC168" s="208">
        <v>0.0</v>
      </c>
      <c r="AD168" s="208">
        <v>55.0</v>
      </c>
      <c r="AE168" s="208">
        <v>116.0</v>
      </c>
      <c r="AF168" s="208">
        <v>61.0</v>
      </c>
      <c r="AG168" s="208">
        <v>284.0</v>
      </c>
      <c r="AH168" s="208">
        <v>71.0</v>
      </c>
      <c r="AI168" s="208">
        <v>0.0</v>
      </c>
      <c r="AJ168" s="208">
        <v>4.0</v>
      </c>
      <c r="AK168" s="208">
        <v>66667.0</v>
      </c>
      <c r="AL168" s="208">
        <v>0.0</v>
      </c>
      <c r="AM168" s="208">
        <v>0.0</v>
      </c>
      <c r="AN168" s="208">
        <v>0.0</v>
      </c>
      <c r="AO168" s="208">
        <v>0.0</v>
      </c>
      <c r="AP168" s="208">
        <v>0.0</v>
      </c>
      <c r="AQ168" s="208">
        <v>0.0</v>
      </c>
      <c r="AR168" s="208">
        <v>737.0</v>
      </c>
      <c r="AS168" s="208">
        <v>2833.24</v>
      </c>
      <c r="AT168" s="208">
        <v>0.0</v>
      </c>
      <c r="AU168" s="208">
        <v>98.0</v>
      </c>
      <c r="AV168" s="208">
        <v>0.0</v>
      </c>
      <c r="AW168" s="208">
        <v>29.0</v>
      </c>
      <c r="AX168" s="208">
        <v>14.0</v>
      </c>
      <c r="AY168" s="208" t="s">
        <v>1270</v>
      </c>
    </row>
    <row r="169">
      <c r="A169" s="208" t="s">
        <v>47</v>
      </c>
      <c r="B169" s="208" t="s">
        <v>422</v>
      </c>
      <c r="C169" s="208" t="s">
        <v>867</v>
      </c>
      <c r="D169" s="208" t="s">
        <v>1094</v>
      </c>
      <c r="E169" s="208" t="s">
        <v>1112</v>
      </c>
      <c r="F169" s="534">
        <v>45809.0</v>
      </c>
      <c r="G169" s="208" t="s">
        <v>47</v>
      </c>
      <c r="H169" s="208">
        <v>0.0</v>
      </c>
      <c r="I169" s="208">
        <v>0.0</v>
      </c>
      <c r="J169" s="208">
        <v>281580.62</v>
      </c>
      <c r="K169" s="208">
        <v>0.0</v>
      </c>
      <c r="L169" s="208">
        <v>9.0</v>
      </c>
      <c r="M169" s="208">
        <v>5.0</v>
      </c>
      <c r="N169" s="208">
        <v>0.0</v>
      </c>
      <c r="O169" s="208">
        <v>9.0</v>
      </c>
      <c r="P169" s="208">
        <v>4.0</v>
      </c>
      <c r="Q169" s="208">
        <v>281580.62</v>
      </c>
      <c r="R169" s="208">
        <v>0.0</v>
      </c>
      <c r="S169" s="208">
        <v>2.0</v>
      </c>
      <c r="T169" s="208">
        <v>0.0</v>
      </c>
      <c r="U169" s="208">
        <v>2.0</v>
      </c>
      <c r="V169" s="208">
        <v>0.0</v>
      </c>
      <c r="W169" s="208">
        <v>17.0</v>
      </c>
      <c r="X169" s="208">
        <v>18.0</v>
      </c>
      <c r="Y169" s="208">
        <v>94.0</v>
      </c>
      <c r="Z169" s="208">
        <v>5.0</v>
      </c>
      <c r="AA169" s="208">
        <v>68.0</v>
      </c>
      <c r="AB169" s="208">
        <v>0.0</v>
      </c>
      <c r="AC169" s="208">
        <v>0.0</v>
      </c>
      <c r="AD169" s="208">
        <v>39.0</v>
      </c>
      <c r="AE169" s="208">
        <v>158.0</v>
      </c>
      <c r="AF169" s="208">
        <v>41.0</v>
      </c>
      <c r="AG169" s="208">
        <v>285.0</v>
      </c>
      <c r="AH169" s="208">
        <v>72.0</v>
      </c>
      <c r="AI169" s="208">
        <v>3911.0</v>
      </c>
      <c r="AJ169" s="208">
        <v>4.0</v>
      </c>
      <c r="AK169" s="208">
        <v>62500.0</v>
      </c>
      <c r="AL169" s="208">
        <v>0.0</v>
      </c>
      <c r="AM169" s="208">
        <v>0.222</v>
      </c>
      <c r="AN169" s="208">
        <v>140790.0</v>
      </c>
      <c r="AO169" s="208">
        <v>0.0</v>
      </c>
      <c r="AP169" s="208">
        <v>0.0</v>
      </c>
      <c r="AQ169" s="208">
        <v>8.0</v>
      </c>
      <c r="AR169" s="208">
        <v>689.0</v>
      </c>
      <c r="AS169" s="208">
        <v>2428.75</v>
      </c>
      <c r="AT169" s="208">
        <v>0.0</v>
      </c>
      <c r="AU169" s="208">
        <v>486.0</v>
      </c>
      <c r="AV169" s="208">
        <v>2.0</v>
      </c>
      <c r="AW169" s="208">
        <v>3.0</v>
      </c>
      <c r="AX169" s="208">
        <v>4.0</v>
      </c>
      <c r="AY169" s="208" t="s">
        <v>1270</v>
      </c>
    </row>
    <row r="170">
      <c r="A170" s="208" t="s">
        <v>185</v>
      </c>
      <c r="B170" s="208" t="s">
        <v>189</v>
      </c>
      <c r="C170" s="208" t="s">
        <v>281</v>
      </c>
      <c r="D170" s="208" t="s">
        <v>1016</v>
      </c>
      <c r="E170" s="208" t="s">
        <v>282</v>
      </c>
      <c r="F170" s="208" t="s">
        <v>1355</v>
      </c>
      <c r="G170" s="208" t="s">
        <v>787</v>
      </c>
      <c r="H170" s="208">
        <v>0.0</v>
      </c>
      <c r="I170" s="208">
        <v>4500000.0</v>
      </c>
      <c r="J170" s="208">
        <v>3756879.51</v>
      </c>
      <c r="K170" s="208">
        <v>0.0</v>
      </c>
      <c r="L170" s="208">
        <v>41.0</v>
      </c>
      <c r="M170" s="208">
        <v>35.0</v>
      </c>
      <c r="N170" s="208">
        <v>0.0</v>
      </c>
      <c r="O170" s="208">
        <v>41.0</v>
      </c>
      <c r="P170" s="208">
        <v>6.0</v>
      </c>
      <c r="Q170" s="208">
        <v>3756879.51</v>
      </c>
      <c r="R170" s="208">
        <v>0.0</v>
      </c>
      <c r="S170" s="208">
        <v>20.0</v>
      </c>
      <c r="T170" s="208">
        <v>0.0</v>
      </c>
      <c r="U170" s="208">
        <v>20.0</v>
      </c>
      <c r="V170" s="208">
        <v>0.0</v>
      </c>
      <c r="W170" s="208">
        <v>3.0</v>
      </c>
      <c r="X170" s="208">
        <v>3.0</v>
      </c>
      <c r="Y170" s="208">
        <v>142.0</v>
      </c>
      <c r="Z170" s="208">
        <v>1.0</v>
      </c>
      <c r="AA170" s="208">
        <v>51.0</v>
      </c>
      <c r="AB170" s="208">
        <v>0.0</v>
      </c>
      <c r="AC170" s="208">
        <v>0.0</v>
      </c>
      <c r="AD170" s="208">
        <v>0.0</v>
      </c>
      <c r="AE170" s="208">
        <v>0.0</v>
      </c>
      <c r="AF170" s="208">
        <v>154.0</v>
      </c>
      <c r="AG170" s="208">
        <v>208.0</v>
      </c>
      <c r="AH170" s="208">
        <v>69.0</v>
      </c>
      <c r="AI170" s="208">
        <v>54448.0</v>
      </c>
      <c r="AJ170" s="208">
        <v>3.0</v>
      </c>
      <c r="AK170" s="208">
        <v>29375.0</v>
      </c>
      <c r="AL170" s="208">
        <v>0.0</v>
      </c>
      <c r="AM170" s="208">
        <v>0.0078</v>
      </c>
      <c r="AN170" s="208">
        <v>187844.0</v>
      </c>
      <c r="AO170" s="208">
        <v>0.83</v>
      </c>
      <c r="AP170" s="208">
        <v>0.0</v>
      </c>
      <c r="AQ170" s="208">
        <v>38.0</v>
      </c>
      <c r="AR170" s="208">
        <v>803.0</v>
      </c>
      <c r="AS170" s="208">
        <v>913.66</v>
      </c>
      <c r="AT170" s="208">
        <v>0.0</v>
      </c>
      <c r="AU170" s="208">
        <v>26.0</v>
      </c>
      <c r="AV170" s="208">
        <v>20.0</v>
      </c>
      <c r="AW170" s="208">
        <v>15.0</v>
      </c>
      <c r="AX170" s="208">
        <v>6.0</v>
      </c>
      <c r="AY170" s="208" t="s">
        <v>1270</v>
      </c>
    </row>
    <row r="171">
      <c r="A171" s="208" t="s">
        <v>97</v>
      </c>
      <c r="B171" s="208" t="s">
        <v>101</v>
      </c>
      <c r="C171" s="208" t="s">
        <v>341</v>
      </c>
      <c r="D171" s="208" t="s">
        <v>1062</v>
      </c>
      <c r="E171" s="208" t="s">
        <v>105</v>
      </c>
      <c r="F171" s="534">
        <v>45810.0</v>
      </c>
      <c r="G171" s="208" t="s">
        <v>876</v>
      </c>
      <c r="H171" s="208">
        <v>0.0</v>
      </c>
      <c r="I171" s="208">
        <v>0.0</v>
      </c>
      <c r="J171" s="208">
        <v>0.0</v>
      </c>
      <c r="K171" s="208">
        <v>0.0</v>
      </c>
      <c r="L171" s="208">
        <v>72.0</v>
      </c>
      <c r="M171" s="208">
        <v>0.0</v>
      </c>
      <c r="N171" s="208">
        <v>0.0</v>
      </c>
      <c r="O171" s="208">
        <v>72.0</v>
      </c>
      <c r="P171" s="208">
        <v>72.0</v>
      </c>
      <c r="Q171" s="208">
        <v>0.0</v>
      </c>
      <c r="R171" s="208">
        <v>0.0</v>
      </c>
      <c r="S171" s="208">
        <v>0.0</v>
      </c>
      <c r="T171" s="208">
        <v>0.0</v>
      </c>
      <c r="U171" s="208">
        <v>0.0</v>
      </c>
      <c r="V171" s="208">
        <v>0.0</v>
      </c>
      <c r="W171" s="208">
        <v>0.0</v>
      </c>
      <c r="X171" s="208">
        <v>0.0</v>
      </c>
      <c r="Y171" s="208">
        <v>15.0</v>
      </c>
      <c r="Z171" s="208">
        <v>0.0</v>
      </c>
      <c r="AA171" s="208">
        <v>0.0</v>
      </c>
      <c r="AB171" s="208">
        <v>0.0</v>
      </c>
      <c r="AC171" s="208">
        <v>0.0</v>
      </c>
      <c r="AD171" s="208">
        <v>0.0</v>
      </c>
      <c r="AE171" s="208">
        <v>0.0</v>
      </c>
      <c r="AF171" s="208">
        <v>0.0</v>
      </c>
      <c r="AG171" s="208">
        <v>0.0</v>
      </c>
      <c r="AH171" s="208">
        <v>0.0</v>
      </c>
      <c r="AI171" s="208">
        <v>0.0</v>
      </c>
      <c r="AJ171" s="208">
        <v>0.0</v>
      </c>
      <c r="AK171" s="208">
        <v>23000.0</v>
      </c>
      <c r="AL171" s="208">
        <v>0.0</v>
      </c>
      <c r="AM171" s="208">
        <v>0.0</v>
      </c>
      <c r="AN171" s="208">
        <v>0.0</v>
      </c>
      <c r="AO171" s="208">
        <v>0.0</v>
      </c>
      <c r="AP171" s="208">
        <v>0.0</v>
      </c>
      <c r="AQ171" s="208">
        <v>0.0</v>
      </c>
      <c r="AR171" s="208">
        <v>0.0</v>
      </c>
      <c r="AS171" s="208">
        <v>0.0</v>
      </c>
      <c r="AT171" s="208">
        <v>0.0</v>
      </c>
      <c r="AU171" s="208">
        <v>0.0</v>
      </c>
      <c r="AV171" s="208">
        <v>0.0</v>
      </c>
      <c r="AW171" s="208">
        <v>0.0</v>
      </c>
      <c r="AX171" s="208">
        <v>72.0</v>
      </c>
      <c r="AY171" s="208" t="s">
        <v>1294</v>
      </c>
    </row>
    <row r="172">
      <c r="A172" s="208" t="s">
        <v>97</v>
      </c>
      <c r="B172" s="208" t="s">
        <v>101</v>
      </c>
      <c r="C172" s="208" t="s">
        <v>104</v>
      </c>
      <c r="D172" s="208" t="s">
        <v>1062</v>
      </c>
      <c r="E172" s="208" t="s">
        <v>105</v>
      </c>
      <c r="F172" s="534">
        <v>45719.0</v>
      </c>
      <c r="G172" s="208" t="s">
        <v>876</v>
      </c>
      <c r="H172" s="208">
        <v>0.0</v>
      </c>
      <c r="I172" s="208">
        <v>4500000.0</v>
      </c>
      <c r="J172" s="208">
        <v>4756378.79</v>
      </c>
      <c r="K172" s="208">
        <v>0.0</v>
      </c>
      <c r="L172" s="208">
        <v>115.0</v>
      </c>
      <c r="M172" s="208">
        <v>64.0</v>
      </c>
      <c r="N172" s="208">
        <v>2.0</v>
      </c>
      <c r="O172" s="208">
        <v>117.0</v>
      </c>
      <c r="P172" s="208">
        <v>53.0</v>
      </c>
      <c r="Q172" s="208">
        <v>4693057.19</v>
      </c>
      <c r="R172" s="208">
        <v>63321.6</v>
      </c>
      <c r="S172" s="208">
        <v>41.0</v>
      </c>
      <c r="T172" s="208">
        <v>2.0</v>
      </c>
      <c r="U172" s="208">
        <v>43.0</v>
      </c>
      <c r="V172" s="208">
        <v>0.0</v>
      </c>
      <c r="W172" s="208">
        <v>6.0</v>
      </c>
      <c r="X172" s="208">
        <v>11.0</v>
      </c>
      <c r="Y172" s="208">
        <v>3.0</v>
      </c>
      <c r="Z172" s="208">
        <v>1.0</v>
      </c>
      <c r="AA172" s="208">
        <v>13.0</v>
      </c>
      <c r="AB172" s="208">
        <v>0.0</v>
      </c>
      <c r="AC172" s="208">
        <v>0.0</v>
      </c>
      <c r="AD172" s="208">
        <v>0.0</v>
      </c>
      <c r="AE172" s="208">
        <v>0.0</v>
      </c>
      <c r="AF172" s="208">
        <v>516.0</v>
      </c>
      <c r="AG172" s="208">
        <v>540.0</v>
      </c>
      <c r="AH172" s="208">
        <v>72.0</v>
      </c>
      <c r="AI172" s="208">
        <v>66061.0</v>
      </c>
      <c r="AJ172" s="208">
        <v>8.0</v>
      </c>
      <c r="AK172" s="208">
        <v>23000.0</v>
      </c>
      <c r="AL172" s="208">
        <v>0.0</v>
      </c>
      <c r="AM172" s="208">
        <v>0.0048</v>
      </c>
      <c r="AN172" s="208">
        <v>110613.0</v>
      </c>
      <c r="AO172" s="208">
        <v>1.06</v>
      </c>
      <c r="AP172" s="208">
        <v>0.0</v>
      </c>
      <c r="AQ172" s="208">
        <v>99.0</v>
      </c>
      <c r="AR172" s="208">
        <v>694.0</v>
      </c>
      <c r="AS172" s="208">
        <v>2623.96</v>
      </c>
      <c r="AT172" s="208">
        <v>2.0</v>
      </c>
      <c r="AU172" s="208">
        <v>41.0</v>
      </c>
      <c r="AV172" s="208">
        <v>43.0</v>
      </c>
      <c r="AW172" s="208">
        <v>21.0</v>
      </c>
      <c r="AX172" s="208">
        <v>53.0</v>
      </c>
      <c r="AY172" s="208" t="s">
        <v>1270</v>
      </c>
    </row>
    <row r="173">
      <c r="A173" s="208" t="s">
        <v>23</v>
      </c>
      <c r="B173" s="208" t="s">
        <v>30</v>
      </c>
      <c r="C173" s="208" t="s">
        <v>336</v>
      </c>
      <c r="D173" s="208" t="s">
        <v>30</v>
      </c>
      <c r="E173" s="208" t="s">
        <v>44</v>
      </c>
      <c r="F173" s="534">
        <v>45811.0</v>
      </c>
      <c r="G173" s="208" t="s">
        <v>23</v>
      </c>
      <c r="H173" s="208">
        <v>0.0</v>
      </c>
      <c r="I173" s="208">
        <v>3600000.0</v>
      </c>
      <c r="J173" s="208">
        <v>0.0</v>
      </c>
      <c r="K173" s="208">
        <v>0.0</v>
      </c>
      <c r="L173" s="208">
        <v>75.0</v>
      </c>
      <c r="M173" s="208">
        <v>0.0</v>
      </c>
      <c r="N173" s="208">
        <v>4.0</v>
      </c>
      <c r="O173" s="208">
        <v>79.0</v>
      </c>
      <c r="P173" s="208">
        <v>79.0</v>
      </c>
      <c r="Q173" s="208">
        <v>0.0</v>
      </c>
      <c r="R173" s="208">
        <v>0.0</v>
      </c>
      <c r="S173" s="208">
        <v>0.0</v>
      </c>
      <c r="T173" s="208">
        <v>0.0</v>
      </c>
      <c r="U173" s="208">
        <v>0.0</v>
      </c>
      <c r="V173" s="208">
        <v>0.0</v>
      </c>
      <c r="W173" s="208">
        <v>0.0</v>
      </c>
      <c r="X173" s="208">
        <v>0.0</v>
      </c>
      <c r="Y173" s="208">
        <v>290.0</v>
      </c>
      <c r="Z173" s="208">
        <v>0.0</v>
      </c>
      <c r="AA173" s="208">
        <v>0.0</v>
      </c>
      <c r="AB173" s="208">
        <v>0.0</v>
      </c>
      <c r="AC173" s="208">
        <v>0.0</v>
      </c>
      <c r="AD173" s="208">
        <v>0.0</v>
      </c>
      <c r="AE173" s="208">
        <v>0.0</v>
      </c>
      <c r="AF173" s="208">
        <v>0.0</v>
      </c>
      <c r="AG173" s="208">
        <v>0.0</v>
      </c>
      <c r="AH173" s="208">
        <v>0.0</v>
      </c>
      <c r="AI173" s="208">
        <v>0.0</v>
      </c>
      <c r="AJ173" s="208">
        <v>0.0</v>
      </c>
      <c r="AK173" s="208">
        <v>27260.0</v>
      </c>
      <c r="AL173" s="208">
        <v>0.0</v>
      </c>
      <c r="AM173" s="208">
        <v>0.0</v>
      </c>
      <c r="AN173" s="208">
        <v>0.0</v>
      </c>
      <c r="AO173" s="208">
        <v>0.0</v>
      </c>
      <c r="AP173" s="208">
        <v>0.0</v>
      </c>
      <c r="AQ173" s="208">
        <v>0.0</v>
      </c>
      <c r="AR173" s="208">
        <v>0.0</v>
      </c>
      <c r="AS173" s="208">
        <v>0.0</v>
      </c>
      <c r="AT173" s="208">
        <v>0.0</v>
      </c>
      <c r="AU173" s="208">
        <v>0.0</v>
      </c>
      <c r="AV173" s="208">
        <v>0.0</v>
      </c>
      <c r="AW173" s="208">
        <v>0.0</v>
      </c>
      <c r="AX173" s="208">
        <v>79.0</v>
      </c>
      <c r="AY173" s="208" t="s">
        <v>1306</v>
      </c>
    </row>
    <row r="174">
      <c r="A174" s="208" t="s">
        <v>23</v>
      </c>
      <c r="B174" s="208" t="s">
        <v>40</v>
      </c>
      <c r="C174" s="208" t="s">
        <v>38</v>
      </c>
      <c r="D174" s="208" t="s">
        <v>1356</v>
      </c>
      <c r="E174" s="208" t="s">
        <v>39</v>
      </c>
      <c r="F174" s="208" t="s">
        <v>1357</v>
      </c>
      <c r="G174" s="208" t="s">
        <v>23</v>
      </c>
      <c r="H174" s="208">
        <v>150000.0</v>
      </c>
      <c r="I174" s="208">
        <v>3600000.0</v>
      </c>
      <c r="J174" s="208">
        <v>242897.21</v>
      </c>
      <c r="K174" s="208">
        <v>392275.05</v>
      </c>
      <c r="L174" s="208">
        <v>42.0</v>
      </c>
      <c r="M174" s="208">
        <v>29.0</v>
      </c>
      <c r="N174" s="208">
        <v>1.0</v>
      </c>
      <c r="O174" s="208">
        <v>43.0</v>
      </c>
      <c r="P174" s="208">
        <v>14.0</v>
      </c>
      <c r="Q174" s="208">
        <v>194333.94</v>
      </c>
      <c r="R174" s="208">
        <v>48563.27</v>
      </c>
      <c r="S174" s="208">
        <v>7.0</v>
      </c>
      <c r="T174" s="208">
        <v>1.0</v>
      </c>
      <c r="U174" s="208">
        <v>8.0</v>
      </c>
      <c r="V174" s="208">
        <v>2.0</v>
      </c>
      <c r="W174" s="208">
        <v>124.0</v>
      </c>
      <c r="X174" s="208">
        <v>219.0</v>
      </c>
      <c r="Y174" s="208">
        <v>198.0</v>
      </c>
      <c r="Z174" s="208">
        <v>1.0</v>
      </c>
      <c r="AA174" s="208">
        <v>1.0</v>
      </c>
      <c r="AB174" s="208">
        <v>4.0</v>
      </c>
      <c r="AC174" s="208">
        <v>15.0</v>
      </c>
      <c r="AD174" s="208">
        <v>1.0</v>
      </c>
      <c r="AE174" s="208">
        <v>2.0</v>
      </c>
      <c r="AF174" s="208">
        <v>152.0</v>
      </c>
      <c r="AG174" s="208">
        <v>389.0</v>
      </c>
      <c r="AH174" s="208">
        <v>65.0</v>
      </c>
      <c r="AI174" s="208">
        <v>3737.0</v>
      </c>
      <c r="AJ174" s="208">
        <v>6.0</v>
      </c>
      <c r="AK174" s="208">
        <v>27260.0</v>
      </c>
      <c r="AL174" s="208">
        <v>0.0</v>
      </c>
      <c r="AM174" s="208">
        <v>0.1122</v>
      </c>
      <c r="AN174" s="208">
        <v>30362.0</v>
      </c>
      <c r="AO174" s="208">
        <v>0.07</v>
      </c>
      <c r="AP174" s="208">
        <v>2.61</v>
      </c>
      <c r="AQ174" s="208">
        <v>14.0</v>
      </c>
      <c r="AR174" s="208">
        <v>563.0</v>
      </c>
      <c r="AS174" s="208">
        <v>1343.04</v>
      </c>
      <c r="AT174" s="208">
        <v>1.0</v>
      </c>
      <c r="AU174" s="208">
        <v>46.0</v>
      </c>
      <c r="AV174" s="208">
        <v>8.0</v>
      </c>
      <c r="AW174" s="208">
        <v>21.0</v>
      </c>
      <c r="AX174" s="208">
        <v>14.0</v>
      </c>
      <c r="AY174" s="208" t="s">
        <v>1270</v>
      </c>
    </row>
    <row r="175">
      <c r="A175" s="208" t="s">
        <v>53</v>
      </c>
      <c r="B175" s="208" t="s">
        <v>56</v>
      </c>
      <c r="C175" s="208" t="s">
        <v>62</v>
      </c>
      <c r="D175" s="208" t="s">
        <v>1113</v>
      </c>
      <c r="E175" s="208" t="s">
        <v>63</v>
      </c>
      <c r="F175" s="208" t="s">
        <v>1358</v>
      </c>
      <c r="G175" s="208" t="s">
        <v>754</v>
      </c>
      <c r="H175" s="208">
        <v>0.0</v>
      </c>
      <c r="I175" s="208">
        <v>4500000.0</v>
      </c>
      <c r="J175" s="208">
        <v>1441396.38</v>
      </c>
      <c r="K175" s="208">
        <v>0.0</v>
      </c>
      <c r="L175" s="208">
        <v>91.0</v>
      </c>
      <c r="M175" s="208">
        <v>73.0</v>
      </c>
      <c r="N175" s="208">
        <v>1.0</v>
      </c>
      <c r="O175" s="208">
        <v>92.0</v>
      </c>
      <c r="P175" s="208">
        <v>19.0</v>
      </c>
      <c r="Q175" s="208">
        <v>1413382.38</v>
      </c>
      <c r="R175" s="208">
        <v>28014.0</v>
      </c>
      <c r="S175" s="208">
        <v>28.0</v>
      </c>
      <c r="T175" s="208">
        <v>1.0</v>
      </c>
      <c r="U175" s="208">
        <v>29.0</v>
      </c>
      <c r="V175" s="208">
        <v>0.0</v>
      </c>
      <c r="W175" s="208">
        <v>60.0</v>
      </c>
      <c r="X175" s="208">
        <v>73.0</v>
      </c>
      <c r="Y175" s="208">
        <v>167.0</v>
      </c>
      <c r="Z175" s="208">
        <v>6.0</v>
      </c>
      <c r="AA175" s="208">
        <v>42.0</v>
      </c>
      <c r="AB175" s="208">
        <v>1.0</v>
      </c>
      <c r="AC175" s="208">
        <v>1.0</v>
      </c>
      <c r="AD175" s="208">
        <v>17.0</v>
      </c>
      <c r="AE175" s="208">
        <v>49.0</v>
      </c>
      <c r="AF175" s="208">
        <v>305.0</v>
      </c>
      <c r="AG175" s="208">
        <v>470.0</v>
      </c>
      <c r="AH175" s="208">
        <v>72.0</v>
      </c>
      <c r="AI175" s="208">
        <v>20019.0</v>
      </c>
      <c r="AJ175" s="208">
        <v>7.0</v>
      </c>
      <c r="AK175" s="208">
        <v>33550.0</v>
      </c>
      <c r="AL175" s="208">
        <v>0.0</v>
      </c>
      <c r="AM175" s="208">
        <v>0.0233</v>
      </c>
      <c r="AN175" s="208">
        <v>49703.0</v>
      </c>
      <c r="AO175" s="208">
        <v>0.32</v>
      </c>
      <c r="AP175" s="208">
        <v>0.0</v>
      </c>
      <c r="AQ175" s="208">
        <v>44.0</v>
      </c>
      <c r="AR175" s="208">
        <v>673.0</v>
      </c>
      <c r="AS175" s="208">
        <v>5073.69</v>
      </c>
      <c r="AT175" s="208">
        <v>1.0</v>
      </c>
      <c r="AU175" s="208">
        <v>70.0</v>
      </c>
      <c r="AV175" s="208">
        <v>29.0</v>
      </c>
      <c r="AW175" s="208">
        <v>46.0</v>
      </c>
      <c r="AX175" s="208">
        <v>17.0</v>
      </c>
      <c r="AY175" s="208" t="s">
        <v>1270</v>
      </c>
    </row>
    <row r="176">
      <c r="A176" s="208" t="s">
        <v>53</v>
      </c>
      <c r="B176" s="208" t="s">
        <v>56</v>
      </c>
      <c r="C176" s="208" t="s">
        <v>377</v>
      </c>
      <c r="D176" s="208" t="s">
        <v>1092</v>
      </c>
      <c r="E176" s="208" t="s">
        <v>378</v>
      </c>
      <c r="F176" s="208" t="s">
        <v>1304</v>
      </c>
      <c r="G176" s="208" t="s">
        <v>754</v>
      </c>
      <c r="H176" s="208">
        <v>0.0</v>
      </c>
      <c r="I176" s="208">
        <v>0.0</v>
      </c>
      <c r="J176" s="208">
        <v>0.0</v>
      </c>
      <c r="K176" s="208">
        <v>0.0</v>
      </c>
      <c r="L176" s="208">
        <v>75.0</v>
      </c>
      <c r="M176" s="208">
        <v>0.0</v>
      </c>
      <c r="N176" s="208">
        <v>0.0</v>
      </c>
      <c r="O176" s="208">
        <v>75.0</v>
      </c>
      <c r="P176" s="208">
        <v>75.0</v>
      </c>
      <c r="Q176" s="208">
        <v>0.0</v>
      </c>
      <c r="R176" s="208">
        <v>0.0</v>
      </c>
      <c r="S176" s="208">
        <v>0.0</v>
      </c>
      <c r="T176" s="208">
        <v>0.0</v>
      </c>
      <c r="U176" s="208">
        <v>0.0</v>
      </c>
      <c r="V176" s="208">
        <v>0.0</v>
      </c>
      <c r="W176" s="208">
        <v>0.0</v>
      </c>
      <c r="X176" s="208">
        <v>0.0</v>
      </c>
      <c r="Y176" s="208">
        <v>201.0</v>
      </c>
      <c r="Z176" s="208">
        <v>0.0</v>
      </c>
      <c r="AA176" s="208">
        <v>0.0</v>
      </c>
      <c r="AB176" s="208">
        <v>0.0</v>
      </c>
      <c r="AC176" s="208">
        <v>0.0</v>
      </c>
      <c r="AD176" s="208">
        <v>0.0</v>
      </c>
      <c r="AE176" s="208">
        <v>0.0</v>
      </c>
      <c r="AF176" s="208">
        <v>0.0</v>
      </c>
      <c r="AG176" s="208">
        <v>0.0</v>
      </c>
      <c r="AH176" s="208">
        <v>0.0</v>
      </c>
      <c r="AI176" s="208">
        <v>0.0</v>
      </c>
      <c r="AJ176" s="208">
        <v>0.0</v>
      </c>
      <c r="AK176" s="208">
        <v>25165.0</v>
      </c>
      <c r="AL176" s="208">
        <v>0.0</v>
      </c>
      <c r="AM176" s="208">
        <v>0.0</v>
      </c>
      <c r="AN176" s="208">
        <v>0.0</v>
      </c>
      <c r="AO176" s="208">
        <v>0.0</v>
      </c>
      <c r="AP176" s="208">
        <v>0.0</v>
      </c>
      <c r="AQ176" s="208">
        <v>0.0</v>
      </c>
      <c r="AR176" s="208">
        <v>0.0</v>
      </c>
      <c r="AS176" s="208">
        <v>0.0</v>
      </c>
      <c r="AT176" s="208">
        <v>0.0</v>
      </c>
      <c r="AU176" s="208">
        <v>0.0</v>
      </c>
      <c r="AV176" s="208">
        <v>0.0</v>
      </c>
      <c r="AW176" s="208">
        <v>0.0</v>
      </c>
      <c r="AX176" s="208">
        <v>75.0</v>
      </c>
      <c r="AY176" s="534">
        <v>45879.0</v>
      </c>
    </row>
    <row r="177">
      <c r="A177" s="208" t="s">
        <v>53</v>
      </c>
      <c r="B177" s="208" t="s">
        <v>56</v>
      </c>
      <c r="C177" s="208" t="s">
        <v>869</v>
      </c>
      <c r="D177" s="208" t="s">
        <v>1092</v>
      </c>
      <c r="E177" s="208" t="s">
        <v>1093</v>
      </c>
      <c r="F177" s="208" t="s">
        <v>1357</v>
      </c>
      <c r="G177" s="208" t="s">
        <v>754</v>
      </c>
      <c r="H177" s="208">
        <v>0.0</v>
      </c>
      <c r="I177" s="208">
        <v>0.0</v>
      </c>
      <c r="J177" s="208">
        <v>0.0</v>
      </c>
      <c r="K177" s="208">
        <v>0.0</v>
      </c>
      <c r="L177" s="208">
        <v>42.0</v>
      </c>
      <c r="M177" s="208">
        <v>0.0</v>
      </c>
      <c r="N177" s="208">
        <v>3.0</v>
      </c>
      <c r="O177" s="208">
        <v>45.0</v>
      </c>
      <c r="P177" s="208">
        <v>45.0</v>
      </c>
      <c r="Q177" s="208">
        <v>0.0</v>
      </c>
      <c r="R177" s="208">
        <v>0.0</v>
      </c>
      <c r="S177" s="208">
        <v>0.0</v>
      </c>
      <c r="T177" s="208">
        <v>0.0</v>
      </c>
      <c r="U177" s="208">
        <v>0.0</v>
      </c>
      <c r="V177" s="208">
        <v>0.0</v>
      </c>
      <c r="W177" s="208">
        <v>0.0</v>
      </c>
      <c r="X177" s="208">
        <v>0.0</v>
      </c>
      <c r="Y177" s="208">
        <v>120.0</v>
      </c>
      <c r="Z177" s="208">
        <v>0.0</v>
      </c>
      <c r="AA177" s="208">
        <v>0.0</v>
      </c>
      <c r="AB177" s="208">
        <v>0.0</v>
      </c>
      <c r="AC177" s="208">
        <v>0.0</v>
      </c>
      <c r="AD177" s="208">
        <v>0.0</v>
      </c>
      <c r="AE177" s="208">
        <v>0.0</v>
      </c>
      <c r="AF177" s="208">
        <v>0.0</v>
      </c>
      <c r="AG177" s="208">
        <v>0.0</v>
      </c>
      <c r="AH177" s="208">
        <v>0.0</v>
      </c>
      <c r="AI177" s="208">
        <v>0.0</v>
      </c>
      <c r="AJ177" s="208">
        <v>0.0</v>
      </c>
      <c r="AK177" s="208">
        <v>37740.0</v>
      </c>
      <c r="AL177" s="208">
        <v>0.0</v>
      </c>
      <c r="AM177" s="208">
        <v>0.0</v>
      </c>
      <c r="AN177" s="208">
        <v>0.0</v>
      </c>
      <c r="AO177" s="208">
        <v>0.0</v>
      </c>
      <c r="AP177" s="208">
        <v>0.0</v>
      </c>
      <c r="AQ177" s="208">
        <v>0.0</v>
      </c>
      <c r="AR177" s="208">
        <v>0.0</v>
      </c>
      <c r="AS177" s="208">
        <v>0.0</v>
      </c>
      <c r="AT177" s="208">
        <v>0.0</v>
      </c>
      <c r="AU177" s="208">
        <v>0.0</v>
      </c>
      <c r="AV177" s="208">
        <v>0.0</v>
      </c>
      <c r="AW177" s="208">
        <v>0.0</v>
      </c>
      <c r="AX177" s="208">
        <v>45.0</v>
      </c>
      <c r="AY177" s="208" t="s">
        <v>1359</v>
      </c>
    </row>
    <row r="178">
      <c r="A178" s="208" t="s">
        <v>97</v>
      </c>
      <c r="B178" s="208" t="s">
        <v>101</v>
      </c>
      <c r="C178" s="208" t="s">
        <v>342</v>
      </c>
      <c r="D178" s="208" t="s">
        <v>1062</v>
      </c>
      <c r="E178" s="208" t="s">
        <v>343</v>
      </c>
      <c r="F178" s="534">
        <v>45751.0</v>
      </c>
      <c r="G178" s="208" t="s">
        <v>97</v>
      </c>
      <c r="H178" s="208">
        <v>0.0</v>
      </c>
      <c r="I178" s="208">
        <v>0.0</v>
      </c>
      <c r="J178" s="208">
        <v>0.0</v>
      </c>
      <c r="K178" s="208">
        <v>0.0</v>
      </c>
      <c r="L178" s="208">
        <v>230.0</v>
      </c>
      <c r="M178" s="208">
        <v>0.0</v>
      </c>
      <c r="N178" s="208">
        <v>0.0</v>
      </c>
      <c r="O178" s="208">
        <v>230.0</v>
      </c>
      <c r="P178" s="208">
        <v>230.0</v>
      </c>
      <c r="Q178" s="208">
        <v>0.0</v>
      </c>
      <c r="R178" s="208">
        <v>0.0</v>
      </c>
      <c r="S178" s="208">
        <v>0.0</v>
      </c>
      <c r="T178" s="208">
        <v>0.0</v>
      </c>
      <c r="U178" s="208">
        <v>0.0</v>
      </c>
      <c r="V178" s="208">
        <v>0.0</v>
      </c>
      <c r="W178" s="208">
        <v>0.0</v>
      </c>
      <c r="X178" s="208">
        <v>0.0</v>
      </c>
      <c r="Y178" s="208">
        <v>72.0</v>
      </c>
      <c r="Z178" s="208">
        <v>0.0</v>
      </c>
      <c r="AA178" s="208">
        <v>0.0</v>
      </c>
      <c r="AB178" s="208">
        <v>0.0</v>
      </c>
      <c r="AC178" s="208">
        <v>0.0</v>
      </c>
      <c r="AD178" s="208">
        <v>0.0</v>
      </c>
      <c r="AE178" s="208">
        <v>0.0</v>
      </c>
      <c r="AF178" s="208">
        <v>0.0</v>
      </c>
      <c r="AG178" s="208">
        <v>0.0</v>
      </c>
      <c r="AH178" s="208">
        <v>0.0</v>
      </c>
      <c r="AI178" s="208">
        <v>0.0</v>
      </c>
      <c r="AJ178" s="208">
        <v>0.0</v>
      </c>
      <c r="AK178" s="208">
        <v>37760.0</v>
      </c>
      <c r="AL178" s="208">
        <v>0.0</v>
      </c>
      <c r="AM178" s="208">
        <v>0.0</v>
      </c>
      <c r="AN178" s="208">
        <v>0.0</v>
      </c>
      <c r="AO178" s="208">
        <v>0.0</v>
      </c>
      <c r="AP178" s="208">
        <v>0.0</v>
      </c>
      <c r="AQ178" s="208">
        <v>0.0</v>
      </c>
      <c r="AR178" s="208">
        <v>0.0</v>
      </c>
      <c r="AS178" s="208">
        <v>0.0</v>
      </c>
      <c r="AT178" s="208">
        <v>0.0</v>
      </c>
      <c r="AU178" s="208">
        <v>0.0</v>
      </c>
      <c r="AV178" s="208">
        <v>0.0</v>
      </c>
      <c r="AW178" s="208">
        <v>0.0</v>
      </c>
      <c r="AX178" s="208">
        <v>230.0</v>
      </c>
      <c r="AY178" s="534">
        <v>45999.0</v>
      </c>
    </row>
    <row r="179">
      <c r="A179" s="208" t="s">
        <v>53</v>
      </c>
      <c r="B179" s="208" t="s">
        <v>56</v>
      </c>
      <c r="C179" s="208" t="s">
        <v>870</v>
      </c>
      <c r="D179" s="208" t="s">
        <v>1092</v>
      </c>
      <c r="E179" s="208" t="s">
        <v>71</v>
      </c>
      <c r="F179" s="208" t="s">
        <v>1360</v>
      </c>
      <c r="G179" s="208" t="s">
        <v>754</v>
      </c>
      <c r="H179" s="208">
        <v>0.0</v>
      </c>
      <c r="I179" s="208">
        <v>0.0</v>
      </c>
      <c r="J179" s="208">
        <v>0.0</v>
      </c>
      <c r="K179" s="208">
        <v>0.0</v>
      </c>
      <c r="L179" s="208">
        <v>8.0</v>
      </c>
      <c r="M179" s="208">
        <v>0.0</v>
      </c>
      <c r="N179" s="208">
        <v>2.0</v>
      </c>
      <c r="O179" s="208">
        <v>10.0</v>
      </c>
      <c r="P179" s="208">
        <v>10.0</v>
      </c>
      <c r="Q179" s="208">
        <v>0.0</v>
      </c>
      <c r="R179" s="208">
        <v>0.0</v>
      </c>
      <c r="S179" s="208">
        <v>0.0</v>
      </c>
      <c r="T179" s="208">
        <v>0.0</v>
      </c>
      <c r="U179" s="208">
        <v>0.0</v>
      </c>
      <c r="V179" s="208">
        <v>0.0</v>
      </c>
      <c r="W179" s="208">
        <v>0.0</v>
      </c>
      <c r="X179" s="208">
        <v>0.0</v>
      </c>
      <c r="Y179" s="208">
        <v>7.0</v>
      </c>
      <c r="Z179" s="208">
        <v>0.0</v>
      </c>
      <c r="AA179" s="208">
        <v>0.0</v>
      </c>
      <c r="AB179" s="208">
        <v>0.0</v>
      </c>
      <c r="AC179" s="208">
        <v>0.0</v>
      </c>
      <c r="AD179" s="208">
        <v>0.0</v>
      </c>
      <c r="AE179" s="208">
        <v>0.0</v>
      </c>
      <c r="AF179" s="208">
        <v>0.0</v>
      </c>
      <c r="AG179" s="208">
        <v>0.0</v>
      </c>
      <c r="AH179" s="208">
        <v>0.0</v>
      </c>
      <c r="AI179" s="208">
        <v>0.0</v>
      </c>
      <c r="AJ179" s="208">
        <v>0.0</v>
      </c>
      <c r="AK179" s="208">
        <v>65000.0</v>
      </c>
      <c r="AL179" s="208">
        <v>0.0</v>
      </c>
      <c r="AM179" s="208">
        <v>0.0</v>
      </c>
      <c r="AN179" s="208">
        <v>0.0</v>
      </c>
      <c r="AO179" s="208">
        <v>0.0</v>
      </c>
      <c r="AP179" s="208">
        <v>0.0</v>
      </c>
      <c r="AQ179" s="208">
        <v>0.0</v>
      </c>
      <c r="AR179" s="208">
        <v>0.0</v>
      </c>
      <c r="AS179" s="208">
        <v>0.0</v>
      </c>
      <c r="AT179" s="208">
        <v>0.0</v>
      </c>
      <c r="AU179" s="208">
        <v>0.0</v>
      </c>
      <c r="AV179" s="208">
        <v>0.0</v>
      </c>
      <c r="AW179" s="208">
        <v>0.0</v>
      </c>
      <c r="AX179" s="208">
        <v>10.0</v>
      </c>
      <c r="AY179" s="208" t="s">
        <v>1361</v>
      </c>
    </row>
    <row r="180">
      <c r="A180" s="208" t="s">
        <v>47</v>
      </c>
      <c r="B180" s="208" t="s">
        <v>422</v>
      </c>
      <c r="C180" s="208" t="s">
        <v>871</v>
      </c>
      <c r="D180" s="208" t="s">
        <v>1094</v>
      </c>
      <c r="E180" s="208" t="s">
        <v>421</v>
      </c>
      <c r="F180" s="208" t="s">
        <v>1360</v>
      </c>
      <c r="G180" s="208" t="s">
        <v>866</v>
      </c>
      <c r="H180" s="208">
        <v>0.0</v>
      </c>
      <c r="I180" s="208">
        <v>0.0</v>
      </c>
      <c r="J180" s="208">
        <v>0.0</v>
      </c>
      <c r="K180" s="208">
        <v>0.0</v>
      </c>
      <c r="L180" s="208">
        <v>60.0</v>
      </c>
      <c r="M180" s="208">
        <v>0.0</v>
      </c>
      <c r="N180" s="208">
        <v>0.0</v>
      </c>
      <c r="O180" s="208">
        <v>60.0</v>
      </c>
      <c r="P180" s="208">
        <v>60.0</v>
      </c>
      <c r="Q180" s="208">
        <v>0.0</v>
      </c>
      <c r="R180" s="208">
        <v>0.0</v>
      </c>
      <c r="S180" s="208">
        <v>0.0</v>
      </c>
      <c r="T180" s="208">
        <v>0.0</v>
      </c>
      <c r="U180" s="208">
        <v>0.0</v>
      </c>
      <c r="V180" s="208">
        <v>0.0</v>
      </c>
      <c r="W180" s="208">
        <v>0.0</v>
      </c>
      <c r="X180" s="208">
        <v>0.0</v>
      </c>
      <c r="Y180" s="208">
        <v>257.0</v>
      </c>
      <c r="Z180" s="208">
        <v>0.0</v>
      </c>
      <c r="AA180" s="208">
        <v>0.0</v>
      </c>
      <c r="AB180" s="208">
        <v>0.0</v>
      </c>
      <c r="AC180" s="208">
        <v>0.0</v>
      </c>
      <c r="AD180" s="208">
        <v>0.0</v>
      </c>
      <c r="AE180" s="208">
        <v>0.0</v>
      </c>
      <c r="AF180" s="208">
        <v>0.0</v>
      </c>
      <c r="AG180" s="208">
        <v>0.0</v>
      </c>
      <c r="AH180" s="208">
        <v>0.0</v>
      </c>
      <c r="AI180" s="208">
        <v>0.0</v>
      </c>
      <c r="AJ180" s="208">
        <v>0.0</v>
      </c>
      <c r="AK180" s="208">
        <v>24120.0</v>
      </c>
      <c r="AL180" s="208">
        <v>0.0</v>
      </c>
      <c r="AM180" s="208">
        <v>0.0</v>
      </c>
      <c r="AN180" s="208">
        <v>0.0</v>
      </c>
      <c r="AO180" s="208">
        <v>0.0</v>
      </c>
      <c r="AP180" s="208">
        <v>0.0</v>
      </c>
      <c r="AQ180" s="208">
        <v>0.0</v>
      </c>
      <c r="AR180" s="208">
        <v>0.0</v>
      </c>
      <c r="AS180" s="208">
        <v>0.0</v>
      </c>
      <c r="AT180" s="208">
        <v>0.0</v>
      </c>
      <c r="AU180" s="208">
        <v>0.0</v>
      </c>
      <c r="AV180" s="208">
        <v>0.0</v>
      </c>
      <c r="AW180" s="208">
        <v>0.0</v>
      </c>
      <c r="AX180" s="208">
        <v>60.0</v>
      </c>
      <c r="AY180" s="534">
        <v>45879.0</v>
      </c>
    </row>
    <row r="181">
      <c r="A181" s="208" t="s">
        <v>73</v>
      </c>
      <c r="B181" s="208" t="s">
        <v>1229</v>
      </c>
      <c r="C181" s="208" t="s">
        <v>360</v>
      </c>
      <c r="D181" s="208" t="s">
        <v>76</v>
      </c>
      <c r="E181" s="208" t="s">
        <v>82</v>
      </c>
      <c r="F181" s="208" t="s">
        <v>1362</v>
      </c>
      <c r="G181" s="208" t="s">
        <v>73</v>
      </c>
      <c r="H181" s="208">
        <v>0.0</v>
      </c>
      <c r="I181" s="208">
        <v>0.0</v>
      </c>
      <c r="J181" s="208">
        <v>0.0</v>
      </c>
      <c r="K181" s="208">
        <v>0.0</v>
      </c>
      <c r="L181" s="208">
        <v>20.0</v>
      </c>
      <c r="M181" s="208">
        <v>0.0</v>
      </c>
      <c r="N181" s="208">
        <v>1.0</v>
      </c>
      <c r="O181" s="208">
        <v>21.0</v>
      </c>
      <c r="P181" s="208">
        <v>21.0</v>
      </c>
      <c r="Q181" s="208">
        <v>0.0</v>
      </c>
      <c r="R181" s="208">
        <v>0.0</v>
      </c>
      <c r="S181" s="208">
        <v>0.0</v>
      </c>
      <c r="T181" s="208">
        <v>0.0</v>
      </c>
      <c r="U181" s="208">
        <v>0.0</v>
      </c>
      <c r="V181" s="208">
        <v>0.0</v>
      </c>
      <c r="W181" s="208">
        <v>0.0</v>
      </c>
      <c r="X181" s="208">
        <v>0.0</v>
      </c>
      <c r="Y181" s="208">
        <v>116.0</v>
      </c>
      <c r="Z181" s="208">
        <v>0.0</v>
      </c>
      <c r="AA181" s="208">
        <v>0.0</v>
      </c>
      <c r="AB181" s="208">
        <v>0.0</v>
      </c>
      <c r="AC181" s="208">
        <v>0.0</v>
      </c>
      <c r="AD181" s="208">
        <v>0.0</v>
      </c>
      <c r="AE181" s="208">
        <v>0.0</v>
      </c>
      <c r="AF181" s="208">
        <v>0.0</v>
      </c>
      <c r="AG181" s="208">
        <v>0.0</v>
      </c>
      <c r="AH181" s="208">
        <v>0.0</v>
      </c>
      <c r="AI181" s="208">
        <v>0.0</v>
      </c>
      <c r="AJ181" s="208">
        <v>0.0</v>
      </c>
      <c r="AK181" s="208">
        <v>25700.0</v>
      </c>
      <c r="AL181" s="208">
        <v>0.0</v>
      </c>
      <c r="AM181" s="208">
        <v>0.0</v>
      </c>
      <c r="AN181" s="208">
        <v>0.0</v>
      </c>
      <c r="AO181" s="208">
        <v>0.0</v>
      </c>
      <c r="AP181" s="208">
        <v>0.0</v>
      </c>
      <c r="AQ181" s="208">
        <v>0.0</v>
      </c>
      <c r="AR181" s="208">
        <v>0.0</v>
      </c>
      <c r="AS181" s="208">
        <v>0.0</v>
      </c>
      <c r="AT181" s="208">
        <v>0.0</v>
      </c>
      <c r="AU181" s="208">
        <v>0.0</v>
      </c>
      <c r="AV181" s="208">
        <v>0.0</v>
      </c>
      <c r="AW181" s="208">
        <v>0.0</v>
      </c>
      <c r="AX181" s="208">
        <v>21.0</v>
      </c>
      <c r="AY181" s="208" t="s">
        <v>1363</v>
      </c>
    </row>
    <row r="182">
      <c r="A182" s="208" t="s">
        <v>185</v>
      </c>
      <c r="B182" s="208" t="s">
        <v>189</v>
      </c>
      <c r="C182" s="208" t="s">
        <v>283</v>
      </c>
      <c r="D182" s="208" t="s">
        <v>1016</v>
      </c>
      <c r="E182" s="208" t="s">
        <v>1117</v>
      </c>
      <c r="F182" s="534">
        <v>45843.0</v>
      </c>
      <c r="G182" s="208" t="s">
        <v>203</v>
      </c>
      <c r="H182" s="208">
        <v>0.0</v>
      </c>
      <c r="I182" s="208">
        <v>7500000.0</v>
      </c>
      <c r="J182" s="208">
        <v>1.18358517E7</v>
      </c>
      <c r="K182" s="208">
        <v>0.0</v>
      </c>
      <c r="L182" s="208">
        <v>51.0</v>
      </c>
      <c r="M182" s="208">
        <v>44.0</v>
      </c>
      <c r="N182" s="208">
        <v>0.0</v>
      </c>
      <c r="O182" s="208">
        <v>51.0</v>
      </c>
      <c r="P182" s="208">
        <v>7.0</v>
      </c>
      <c r="Q182" s="208">
        <v>1.18358517E7</v>
      </c>
      <c r="R182" s="208">
        <v>0.0</v>
      </c>
      <c r="S182" s="208">
        <v>23.0</v>
      </c>
      <c r="T182" s="208">
        <v>0.0</v>
      </c>
      <c r="U182" s="208">
        <v>23.0</v>
      </c>
      <c r="V182" s="208">
        <v>0.0</v>
      </c>
      <c r="W182" s="208">
        <v>5.0</v>
      </c>
      <c r="X182" s="208">
        <v>7.0</v>
      </c>
      <c r="Y182" s="208">
        <v>25.0</v>
      </c>
      <c r="Z182" s="208">
        <v>2.0</v>
      </c>
      <c r="AA182" s="208">
        <v>5.0</v>
      </c>
      <c r="AB182" s="208">
        <v>0.0</v>
      </c>
      <c r="AC182" s="208">
        <v>0.0</v>
      </c>
      <c r="AD182" s="208">
        <v>0.0</v>
      </c>
      <c r="AE182" s="208">
        <v>0.0</v>
      </c>
      <c r="AF182" s="208">
        <v>382.0</v>
      </c>
      <c r="AG182" s="208">
        <v>394.0</v>
      </c>
      <c r="AH182" s="208">
        <v>74.0</v>
      </c>
      <c r="AI182" s="208">
        <v>159944.0</v>
      </c>
      <c r="AJ182" s="208">
        <v>5.0</v>
      </c>
      <c r="AK182" s="208">
        <v>25985.0</v>
      </c>
      <c r="AL182" s="208">
        <v>0.0</v>
      </c>
      <c r="AM182" s="208">
        <v>0.0022</v>
      </c>
      <c r="AN182" s="208">
        <v>514602.0</v>
      </c>
      <c r="AO182" s="208">
        <v>1.58</v>
      </c>
      <c r="AP182" s="208">
        <v>0.0</v>
      </c>
      <c r="AQ182" s="208">
        <v>113.0</v>
      </c>
      <c r="AR182" s="208">
        <v>776.0</v>
      </c>
      <c r="AS182" s="208">
        <v>3253.13</v>
      </c>
      <c r="AT182" s="208">
        <v>0.0</v>
      </c>
      <c r="AU182" s="208">
        <v>74.0</v>
      </c>
      <c r="AV182" s="208">
        <v>23.0</v>
      </c>
      <c r="AW182" s="208">
        <v>22.0</v>
      </c>
      <c r="AX182" s="208">
        <v>6.0</v>
      </c>
      <c r="AY182" s="208" t="s">
        <v>1270</v>
      </c>
    </row>
    <row r="183">
      <c r="A183" s="208" t="s">
        <v>47</v>
      </c>
      <c r="B183" s="208" t="s">
        <v>50</v>
      </c>
      <c r="C183" s="208" t="s">
        <v>872</v>
      </c>
      <c r="D183" s="208" t="s">
        <v>1085</v>
      </c>
      <c r="E183" s="208" t="s">
        <v>1115</v>
      </c>
      <c r="F183" s="534">
        <v>45782.0</v>
      </c>
      <c r="G183" s="208" t="s">
        <v>47</v>
      </c>
      <c r="H183" s="208">
        <v>0.0</v>
      </c>
      <c r="I183" s="208">
        <v>0.0</v>
      </c>
      <c r="J183" s="208">
        <v>0.0</v>
      </c>
      <c r="K183" s="208">
        <v>0.0</v>
      </c>
      <c r="L183" s="208">
        <v>5.0</v>
      </c>
      <c r="M183" s="208">
        <v>4.0</v>
      </c>
      <c r="N183" s="208">
        <v>0.0</v>
      </c>
      <c r="O183" s="208">
        <v>5.0</v>
      </c>
      <c r="P183" s="208">
        <v>1.0</v>
      </c>
      <c r="Q183" s="208">
        <v>0.0</v>
      </c>
      <c r="R183" s="208">
        <v>0.0</v>
      </c>
      <c r="S183" s="208">
        <v>0.0</v>
      </c>
      <c r="T183" s="208">
        <v>0.0</v>
      </c>
      <c r="U183" s="208">
        <v>0.0</v>
      </c>
      <c r="V183" s="208">
        <v>0.0</v>
      </c>
      <c r="W183" s="208">
        <v>1.0</v>
      </c>
      <c r="X183" s="208">
        <v>1.0</v>
      </c>
      <c r="Y183" s="208">
        <v>12.0</v>
      </c>
      <c r="Z183" s="208">
        <v>3.0</v>
      </c>
      <c r="AA183" s="208">
        <v>20.0</v>
      </c>
      <c r="AB183" s="208">
        <v>0.0</v>
      </c>
      <c r="AC183" s="208">
        <v>0.0</v>
      </c>
      <c r="AD183" s="208">
        <v>84.0</v>
      </c>
      <c r="AE183" s="208">
        <v>239.0</v>
      </c>
      <c r="AF183" s="208">
        <v>5.0</v>
      </c>
      <c r="AG183" s="208">
        <v>265.0</v>
      </c>
      <c r="AH183" s="208">
        <v>72.0</v>
      </c>
      <c r="AI183" s="208">
        <v>0.0</v>
      </c>
      <c r="AJ183" s="208">
        <v>4.0</v>
      </c>
      <c r="AK183" s="208">
        <v>64585.0</v>
      </c>
      <c r="AL183" s="208">
        <v>0.0</v>
      </c>
      <c r="AM183" s="208">
        <v>0.0</v>
      </c>
      <c r="AN183" s="208">
        <v>0.0</v>
      </c>
      <c r="AO183" s="208">
        <v>0.0</v>
      </c>
      <c r="AP183" s="208">
        <v>0.0</v>
      </c>
      <c r="AQ183" s="208">
        <v>0.0</v>
      </c>
      <c r="AR183" s="208">
        <v>792.0</v>
      </c>
      <c r="AS183" s="208">
        <v>5449.72</v>
      </c>
      <c r="AT183" s="208">
        <v>0.0</v>
      </c>
      <c r="AU183" s="208">
        <v>1362.0</v>
      </c>
      <c r="AV183" s="208">
        <v>0.0</v>
      </c>
      <c r="AW183" s="208">
        <v>4.0</v>
      </c>
      <c r="AX183" s="208">
        <v>1.0</v>
      </c>
      <c r="AY183" s="208" t="s">
        <v>1270</v>
      </c>
    </row>
    <row r="184">
      <c r="A184" s="208" t="s">
        <v>97</v>
      </c>
      <c r="B184" s="208" t="s">
        <v>101</v>
      </c>
      <c r="C184" s="208" t="s">
        <v>106</v>
      </c>
      <c r="D184" s="208" t="s">
        <v>1062</v>
      </c>
      <c r="E184" s="208" t="s">
        <v>107</v>
      </c>
      <c r="F184" s="208" t="s">
        <v>1364</v>
      </c>
      <c r="G184" s="208" t="s">
        <v>876</v>
      </c>
      <c r="H184" s="208">
        <v>0.0</v>
      </c>
      <c r="I184" s="208">
        <v>4500000.0</v>
      </c>
      <c r="J184" s="208">
        <v>3855222.6</v>
      </c>
      <c r="K184" s="208">
        <v>0.0</v>
      </c>
      <c r="L184" s="208">
        <v>85.0</v>
      </c>
      <c r="M184" s="208">
        <v>60.0</v>
      </c>
      <c r="N184" s="208">
        <v>0.0</v>
      </c>
      <c r="O184" s="208">
        <v>85.0</v>
      </c>
      <c r="P184" s="208">
        <v>25.0</v>
      </c>
      <c r="Q184" s="208">
        <v>3855222.6</v>
      </c>
      <c r="R184" s="208">
        <v>0.0</v>
      </c>
      <c r="S184" s="208">
        <v>51.0</v>
      </c>
      <c r="T184" s="208">
        <v>0.0</v>
      </c>
      <c r="U184" s="208">
        <v>51.0</v>
      </c>
      <c r="V184" s="208">
        <v>0.0</v>
      </c>
      <c r="W184" s="208">
        <v>1.0</v>
      </c>
      <c r="X184" s="208">
        <v>3.0</v>
      </c>
      <c r="Y184" s="208">
        <v>4.0</v>
      </c>
      <c r="Z184" s="208">
        <v>1.0</v>
      </c>
      <c r="AA184" s="208">
        <v>9.0</v>
      </c>
      <c r="AB184" s="208">
        <v>0.0</v>
      </c>
      <c r="AC184" s="208">
        <v>0.0</v>
      </c>
      <c r="AD184" s="208">
        <v>0.0</v>
      </c>
      <c r="AE184" s="208">
        <v>0.0</v>
      </c>
      <c r="AF184" s="208">
        <v>465.0</v>
      </c>
      <c r="AG184" s="208">
        <v>477.0</v>
      </c>
      <c r="AH184" s="208">
        <v>70.0</v>
      </c>
      <c r="AI184" s="208">
        <v>55075.0</v>
      </c>
      <c r="AJ184" s="208">
        <v>7.0</v>
      </c>
      <c r="AK184" s="208">
        <v>27000.0</v>
      </c>
      <c r="AL184" s="208">
        <v>0.0</v>
      </c>
      <c r="AM184" s="208">
        <v>0.007</v>
      </c>
      <c r="AN184" s="208">
        <v>75593.0</v>
      </c>
      <c r="AO184" s="208">
        <v>0.86</v>
      </c>
      <c r="AP184" s="208">
        <v>0.0</v>
      </c>
      <c r="AQ184" s="208">
        <v>105.0</v>
      </c>
      <c r="AR184" s="208">
        <v>669.0</v>
      </c>
      <c r="AS184" s="208">
        <v>1927.13</v>
      </c>
      <c r="AT184" s="208">
        <v>0.0</v>
      </c>
      <c r="AU184" s="208">
        <v>32.0</v>
      </c>
      <c r="AV184" s="208">
        <v>51.0</v>
      </c>
      <c r="AW184" s="208">
        <v>10.0</v>
      </c>
      <c r="AX184" s="208">
        <v>24.0</v>
      </c>
      <c r="AY184" s="208" t="s">
        <v>1270</v>
      </c>
    </row>
    <row r="185">
      <c r="A185" s="208" t="s">
        <v>185</v>
      </c>
      <c r="B185" s="208" t="s">
        <v>212</v>
      </c>
      <c r="C185" s="208" t="s">
        <v>873</v>
      </c>
      <c r="D185" s="208" t="s">
        <v>1031</v>
      </c>
      <c r="E185" s="208" t="s">
        <v>219</v>
      </c>
      <c r="F185" s="208" t="s">
        <v>1365</v>
      </c>
      <c r="G185" s="208" t="s">
        <v>185</v>
      </c>
      <c r="H185" s="208">
        <v>0.0</v>
      </c>
      <c r="I185" s="208">
        <v>0.0</v>
      </c>
      <c r="J185" s="208">
        <v>0.0</v>
      </c>
      <c r="K185" s="208">
        <v>0.0</v>
      </c>
      <c r="L185" s="208">
        <v>57.0</v>
      </c>
      <c r="M185" s="208">
        <v>0.0</v>
      </c>
      <c r="N185" s="208">
        <v>1.0</v>
      </c>
      <c r="O185" s="208">
        <v>58.0</v>
      </c>
      <c r="P185" s="208">
        <v>58.0</v>
      </c>
      <c r="Q185" s="208">
        <v>0.0</v>
      </c>
      <c r="R185" s="208">
        <v>0.0</v>
      </c>
      <c r="S185" s="208">
        <v>0.0</v>
      </c>
      <c r="T185" s="208">
        <v>0.0</v>
      </c>
      <c r="U185" s="208">
        <v>0.0</v>
      </c>
      <c r="V185" s="208">
        <v>0.0</v>
      </c>
      <c r="W185" s="208">
        <v>0.0</v>
      </c>
      <c r="X185" s="208">
        <v>0.0</v>
      </c>
      <c r="Y185" s="208">
        <v>18.0</v>
      </c>
      <c r="Z185" s="208">
        <v>0.0</v>
      </c>
      <c r="AA185" s="208">
        <v>0.0</v>
      </c>
      <c r="AB185" s="208">
        <v>0.0</v>
      </c>
      <c r="AC185" s="208">
        <v>0.0</v>
      </c>
      <c r="AD185" s="208">
        <v>0.0</v>
      </c>
      <c r="AE185" s="208">
        <v>0.0</v>
      </c>
      <c r="AF185" s="208">
        <v>0.0</v>
      </c>
      <c r="AG185" s="208">
        <v>0.0</v>
      </c>
      <c r="AH185" s="208">
        <v>0.0</v>
      </c>
      <c r="AI185" s="208">
        <v>0.0</v>
      </c>
      <c r="AJ185" s="208">
        <v>0.0</v>
      </c>
      <c r="AK185" s="208">
        <v>119300.0</v>
      </c>
      <c r="AL185" s="208">
        <v>0.0</v>
      </c>
      <c r="AM185" s="208">
        <v>0.0</v>
      </c>
      <c r="AN185" s="208">
        <v>0.0</v>
      </c>
      <c r="AO185" s="208">
        <v>0.0</v>
      </c>
      <c r="AP185" s="208">
        <v>0.0</v>
      </c>
      <c r="AQ185" s="208">
        <v>0.0</v>
      </c>
      <c r="AR185" s="208">
        <v>0.0</v>
      </c>
      <c r="AS185" s="208">
        <v>0.0</v>
      </c>
      <c r="AT185" s="208">
        <v>0.0</v>
      </c>
      <c r="AU185" s="208">
        <v>0.0</v>
      </c>
      <c r="AV185" s="208">
        <v>0.0</v>
      </c>
      <c r="AW185" s="208">
        <v>0.0</v>
      </c>
      <c r="AX185" s="208">
        <v>58.0</v>
      </c>
      <c r="AY185" s="208" t="s">
        <v>1294</v>
      </c>
    </row>
    <row r="186">
      <c r="A186" s="208" t="s">
        <v>185</v>
      </c>
      <c r="B186" s="208" t="s">
        <v>189</v>
      </c>
      <c r="C186" s="208" t="s">
        <v>874</v>
      </c>
      <c r="D186" s="208" t="s">
        <v>1016</v>
      </c>
      <c r="E186" s="208" t="s">
        <v>1118</v>
      </c>
      <c r="F186" s="208" t="s">
        <v>1366</v>
      </c>
      <c r="G186" s="208" t="s">
        <v>185</v>
      </c>
      <c r="H186" s="208">
        <v>0.0</v>
      </c>
      <c r="I186" s="208">
        <v>0.0</v>
      </c>
      <c r="J186" s="208">
        <v>0.0</v>
      </c>
      <c r="K186" s="208">
        <v>0.0</v>
      </c>
      <c r="L186" s="208">
        <v>0.0</v>
      </c>
      <c r="M186" s="208">
        <v>0.0</v>
      </c>
      <c r="N186" s="208">
        <v>0.0</v>
      </c>
      <c r="O186" s="208">
        <v>0.0</v>
      </c>
      <c r="P186" s="208">
        <v>0.0</v>
      </c>
      <c r="Q186" s="208">
        <v>0.0</v>
      </c>
      <c r="R186" s="208">
        <v>0.0</v>
      </c>
      <c r="S186" s="208">
        <v>0.0</v>
      </c>
      <c r="T186" s="208">
        <v>0.0</v>
      </c>
      <c r="U186" s="208">
        <v>0.0</v>
      </c>
      <c r="V186" s="208">
        <v>0.0</v>
      </c>
      <c r="W186" s="208">
        <v>0.0</v>
      </c>
      <c r="X186" s="208">
        <v>0.0</v>
      </c>
      <c r="Y186" s="208">
        <v>0.0</v>
      </c>
      <c r="Z186" s="208">
        <v>0.0</v>
      </c>
      <c r="AA186" s="208">
        <v>0.0</v>
      </c>
      <c r="AB186" s="208">
        <v>0.0</v>
      </c>
      <c r="AC186" s="208">
        <v>0.0</v>
      </c>
      <c r="AD186" s="208">
        <v>0.0</v>
      </c>
      <c r="AE186" s="208">
        <v>0.0</v>
      </c>
      <c r="AF186" s="208">
        <v>0.0</v>
      </c>
      <c r="AG186" s="208">
        <v>0.0</v>
      </c>
      <c r="AH186" s="208">
        <v>0.0</v>
      </c>
      <c r="AI186" s="208">
        <v>0.0</v>
      </c>
      <c r="AJ186" s="208">
        <v>0.0</v>
      </c>
      <c r="AK186" s="208">
        <v>22000.0</v>
      </c>
      <c r="AL186" s="208">
        <v>0.0</v>
      </c>
      <c r="AM186" s="208">
        <v>0.0</v>
      </c>
      <c r="AN186" s="208">
        <v>0.0</v>
      </c>
      <c r="AO186" s="208">
        <v>0.0</v>
      </c>
      <c r="AP186" s="208">
        <v>0.0</v>
      </c>
      <c r="AQ186" s="208">
        <v>0.0</v>
      </c>
      <c r="AR186" s="208">
        <v>0.0</v>
      </c>
      <c r="AS186" s="208">
        <v>0.0</v>
      </c>
      <c r="AT186" s="208">
        <v>0.0</v>
      </c>
      <c r="AU186" s="208">
        <v>0.0</v>
      </c>
      <c r="AV186" s="208">
        <v>0.0</v>
      </c>
      <c r="AW186" s="208">
        <v>0.0</v>
      </c>
      <c r="AX186" s="208">
        <v>0.0</v>
      </c>
      <c r="AY186" s="208" t="s">
        <v>1367</v>
      </c>
    </row>
    <row r="187">
      <c r="A187" s="208" t="s">
        <v>126</v>
      </c>
      <c r="B187" s="208" t="s">
        <v>130</v>
      </c>
      <c r="C187" s="208" t="s">
        <v>447</v>
      </c>
      <c r="D187" s="208" t="s">
        <v>130</v>
      </c>
      <c r="E187" s="208" t="s">
        <v>448</v>
      </c>
      <c r="F187" s="208" t="s">
        <v>1365</v>
      </c>
      <c r="G187" s="208" t="s">
        <v>131</v>
      </c>
      <c r="H187" s="208">
        <v>0.0</v>
      </c>
      <c r="I187" s="208">
        <v>0.0</v>
      </c>
      <c r="J187" s="208">
        <v>0.0</v>
      </c>
      <c r="K187" s="208">
        <v>0.0</v>
      </c>
      <c r="L187" s="208">
        <v>54.0</v>
      </c>
      <c r="M187" s="208">
        <v>0.0</v>
      </c>
      <c r="N187" s="208">
        <v>0.0</v>
      </c>
      <c r="O187" s="208">
        <v>54.0</v>
      </c>
      <c r="P187" s="208">
        <v>54.0</v>
      </c>
      <c r="Q187" s="208">
        <v>0.0</v>
      </c>
      <c r="R187" s="208">
        <v>0.0</v>
      </c>
      <c r="S187" s="208">
        <v>0.0</v>
      </c>
      <c r="T187" s="208">
        <v>0.0</v>
      </c>
      <c r="U187" s="208">
        <v>0.0</v>
      </c>
      <c r="V187" s="208">
        <v>0.0</v>
      </c>
      <c r="W187" s="208">
        <v>0.0</v>
      </c>
      <c r="X187" s="208">
        <v>0.0</v>
      </c>
      <c r="Y187" s="208">
        <v>226.0</v>
      </c>
      <c r="Z187" s="208">
        <v>0.0</v>
      </c>
      <c r="AA187" s="208">
        <v>0.0</v>
      </c>
      <c r="AB187" s="208">
        <v>0.0</v>
      </c>
      <c r="AC187" s="208">
        <v>0.0</v>
      </c>
      <c r="AD187" s="208">
        <v>0.0</v>
      </c>
      <c r="AE187" s="208">
        <v>0.0</v>
      </c>
      <c r="AF187" s="208">
        <v>0.0</v>
      </c>
      <c r="AG187" s="208">
        <v>0.0</v>
      </c>
      <c r="AH187" s="208">
        <v>0.0</v>
      </c>
      <c r="AI187" s="208">
        <v>0.0</v>
      </c>
      <c r="AJ187" s="208">
        <v>0.0</v>
      </c>
      <c r="AK187" s="208">
        <v>33050.0</v>
      </c>
      <c r="AL187" s="208">
        <v>0.0</v>
      </c>
      <c r="AM187" s="208">
        <v>0.0</v>
      </c>
      <c r="AN187" s="208">
        <v>0.0</v>
      </c>
      <c r="AO187" s="208">
        <v>0.0</v>
      </c>
      <c r="AP187" s="208">
        <v>0.0</v>
      </c>
      <c r="AQ187" s="208">
        <v>0.0</v>
      </c>
      <c r="AR187" s="208">
        <v>0.0</v>
      </c>
      <c r="AS187" s="208">
        <v>0.0</v>
      </c>
      <c r="AT187" s="208">
        <v>0.0</v>
      </c>
      <c r="AU187" s="208">
        <v>0.0</v>
      </c>
      <c r="AV187" s="208">
        <v>0.0</v>
      </c>
      <c r="AW187" s="208">
        <v>0.0</v>
      </c>
      <c r="AX187" s="208">
        <v>54.0</v>
      </c>
      <c r="AY187" s="208" t="s">
        <v>1322</v>
      </c>
    </row>
    <row r="188">
      <c r="A188" s="208" t="s">
        <v>185</v>
      </c>
      <c r="B188" s="208" t="s">
        <v>85</v>
      </c>
      <c r="C188" s="208" t="s">
        <v>395</v>
      </c>
      <c r="D188" s="208" t="s">
        <v>1058</v>
      </c>
      <c r="E188" s="208" t="s">
        <v>396</v>
      </c>
      <c r="F188" s="534">
        <v>45906.0</v>
      </c>
      <c r="H188" s="208">
        <v>0.0</v>
      </c>
      <c r="I188" s="208">
        <v>0.0</v>
      </c>
      <c r="J188" s="208">
        <v>0.0</v>
      </c>
      <c r="K188" s="208">
        <v>0.0</v>
      </c>
      <c r="L188" s="208">
        <v>26.0</v>
      </c>
      <c r="M188" s="208">
        <v>0.0</v>
      </c>
      <c r="N188" s="208">
        <v>1.0</v>
      </c>
      <c r="O188" s="208">
        <v>27.0</v>
      </c>
      <c r="P188" s="208">
        <v>27.0</v>
      </c>
      <c r="Q188" s="208">
        <v>0.0</v>
      </c>
      <c r="R188" s="208">
        <v>0.0</v>
      </c>
      <c r="S188" s="208">
        <v>0.0</v>
      </c>
      <c r="T188" s="208">
        <v>0.0</v>
      </c>
      <c r="U188" s="208">
        <v>0.0</v>
      </c>
      <c r="V188" s="208">
        <v>0.0</v>
      </c>
      <c r="W188" s="208">
        <v>0.0</v>
      </c>
      <c r="X188" s="208">
        <v>0.0</v>
      </c>
      <c r="Y188" s="208">
        <v>17.0</v>
      </c>
      <c r="Z188" s="208">
        <v>0.0</v>
      </c>
      <c r="AA188" s="208">
        <v>0.0</v>
      </c>
      <c r="AB188" s="208">
        <v>0.0</v>
      </c>
      <c r="AC188" s="208">
        <v>0.0</v>
      </c>
      <c r="AD188" s="208">
        <v>0.0</v>
      </c>
      <c r="AE188" s="208">
        <v>0.0</v>
      </c>
      <c r="AF188" s="208">
        <v>0.0</v>
      </c>
      <c r="AG188" s="208">
        <v>0.0</v>
      </c>
      <c r="AH188" s="208">
        <v>0.0</v>
      </c>
      <c r="AI188" s="208">
        <v>0.0</v>
      </c>
      <c r="AJ188" s="208">
        <v>0.0</v>
      </c>
      <c r="AK188" s="208">
        <v>24120.0</v>
      </c>
      <c r="AL188" s="208">
        <v>0.0</v>
      </c>
      <c r="AM188" s="208">
        <v>0.0</v>
      </c>
      <c r="AN188" s="208">
        <v>0.0</v>
      </c>
      <c r="AO188" s="208">
        <v>0.0</v>
      </c>
      <c r="AP188" s="208">
        <v>0.0</v>
      </c>
      <c r="AQ188" s="208">
        <v>0.0</v>
      </c>
      <c r="AR188" s="208">
        <v>0.0</v>
      </c>
      <c r="AS188" s="208">
        <v>0.0</v>
      </c>
      <c r="AT188" s="208">
        <v>0.0</v>
      </c>
      <c r="AU188" s="208">
        <v>0.0</v>
      </c>
      <c r="AV188" s="208">
        <v>0.0</v>
      </c>
      <c r="AW188" s="208">
        <v>0.0</v>
      </c>
      <c r="AX188" s="208">
        <v>27.0</v>
      </c>
      <c r="AY188" s="208" t="s">
        <v>1368</v>
      </c>
    </row>
    <row r="189">
      <c r="A189" s="208" t="s">
        <v>53</v>
      </c>
      <c r="B189" s="208" t="s">
        <v>56</v>
      </c>
      <c r="C189" s="208" t="s">
        <v>366</v>
      </c>
      <c r="D189" s="208" t="s">
        <v>1092</v>
      </c>
      <c r="E189" s="208" t="s">
        <v>71</v>
      </c>
      <c r="F189" s="534">
        <v>45753.0</v>
      </c>
      <c r="G189" s="208" t="s">
        <v>754</v>
      </c>
      <c r="H189" s="208">
        <v>0.0</v>
      </c>
      <c r="I189" s="208">
        <v>0.0</v>
      </c>
      <c r="J189" s="208">
        <v>0.0</v>
      </c>
      <c r="K189" s="208">
        <v>0.0</v>
      </c>
      <c r="L189" s="208">
        <v>12.0</v>
      </c>
      <c r="M189" s="208">
        <v>0.0</v>
      </c>
      <c r="N189" s="208">
        <v>0.0</v>
      </c>
      <c r="O189" s="208">
        <v>12.0</v>
      </c>
      <c r="P189" s="208">
        <v>12.0</v>
      </c>
      <c r="Q189" s="208">
        <v>0.0</v>
      </c>
      <c r="R189" s="208">
        <v>0.0</v>
      </c>
      <c r="S189" s="208">
        <v>0.0</v>
      </c>
      <c r="T189" s="208">
        <v>0.0</v>
      </c>
      <c r="U189" s="208">
        <v>0.0</v>
      </c>
      <c r="V189" s="208">
        <v>0.0</v>
      </c>
      <c r="W189" s="208">
        <v>0.0</v>
      </c>
      <c r="X189" s="208">
        <v>0.0</v>
      </c>
      <c r="Y189" s="208">
        <v>77.0</v>
      </c>
      <c r="Z189" s="208">
        <v>0.0</v>
      </c>
      <c r="AA189" s="208">
        <v>0.0</v>
      </c>
      <c r="AB189" s="208">
        <v>0.0</v>
      </c>
      <c r="AC189" s="208">
        <v>0.0</v>
      </c>
      <c r="AD189" s="208">
        <v>0.0</v>
      </c>
      <c r="AE189" s="208">
        <v>0.0</v>
      </c>
      <c r="AF189" s="208">
        <v>0.0</v>
      </c>
      <c r="AG189" s="208">
        <v>0.0</v>
      </c>
      <c r="AH189" s="208">
        <v>0.0</v>
      </c>
      <c r="AI189" s="208">
        <v>0.0</v>
      </c>
      <c r="AJ189" s="208">
        <v>0.0</v>
      </c>
      <c r="AK189" s="208">
        <v>24120.0</v>
      </c>
      <c r="AL189" s="208">
        <v>0.0</v>
      </c>
      <c r="AM189" s="208">
        <v>0.0</v>
      </c>
      <c r="AN189" s="208">
        <v>0.0</v>
      </c>
      <c r="AO189" s="208">
        <v>0.0</v>
      </c>
      <c r="AP189" s="208">
        <v>0.0</v>
      </c>
      <c r="AQ189" s="208">
        <v>0.0</v>
      </c>
      <c r="AR189" s="208">
        <v>0.0</v>
      </c>
      <c r="AS189" s="208">
        <v>0.0</v>
      </c>
      <c r="AT189" s="208">
        <v>0.0</v>
      </c>
      <c r="AU189" s="208">
        <v>0.0</v>
      </c>
      <c r="AV189" s="208">
        <v>0.0</v>
      </c>
      <c r="AW189" s="208">
        <v>0.0</v>
      </c>
      <c r="AX189" s="208">
        <v>12.0</v>
      </c>
      <c r="AY189" s="534">
        <v>45968.0</v>
      </c>
    </row>
    <row r="190">
      <c r="A190" s="208" t="s">
        <v>322</v>
      </c>
      <c r="B190" s="208" t="s">
        <v>325</v>
      </c>
      <c r="C190" s="208" t="s">
        <v>328</v>
      </c>
      <c r="D190" s="208" t="s">
        <v>1049</v>
      </c>
      <c r="E190" s="208" t="s">
        <v>329</v>
      </c>
      <c r="F190" s="534">
        <v>45694.0</v>
      </c>
      <c r="G190" s="208" t="s">
        <v>322</v>
      </c>
      <c r="H190" s="208">
        <v>0.0</v>
      </c>
      <c r="I190" s="208">
        <v>2400000.0</v>
      </c>
      <c r="J190" s="208">
        <v>1559926.67</v>
      </c>
      <c r="K190" s="208">
        <v>0.0</v>
      </c>
      <c r="L190" s="208">
        <v>42.0</v>
      </c>
      <c r="M190" s="208">
        <v>31.0</v>
      </c>
      <c r="N190" s="208">
        <v>2.0</v>
      </c>
      <c r="O190" s="208">
        <v>44.0</v>
      </c>
      <c r="P190" s="208">
        <v>13.0</v>
      </c>
      <c r="Q190" s="208">
        <v>1520097.15</v>
      </c>
      <c r="R190" s="208">
        <v>39829.52</v>
      </c>
      <c r="S190" s="208">
        <v>19.0</v>
      </c>
      <c r="T190" s="208">
        <v>2.0</v>
      </c>
      <c r="U190" s="208">
        <v>21.0</v>
      </c>
      <c r="V190" s="208">
        <v>0.0</v>
      </c>
      <c r="W190" s="208">
        <v>33.0</v>
      </c>
      <c r="X190" s="208">
        <v>47.0</v>
      </c>
      <c r="Y190" s="208">
        <v>93.0</v>
      </c>
      <c r="Z190" s="208">
        <v>1.0</v>
      </c>
      <c r="AA190" s="208">
        <v>38.0</v>
      </c>
      <c r="AB190" s="208">
        <v>0.0</v>
      </c>
      <c r="AC190" s="208">
        <v>0.0</v>
      </c>
      <c r="AD190" s="208">
        <v>0.0</v>
      </c>
      <c r="AE190" s="208">
        <v>0.0</v>
      </c>
      <c r="AF190" s="208">
        <v>151.0</v>
      </c>
      <c r="AG190" s="208">
        <v>236.0</v>
      </c>
      <c r="AH190" s="208">
        <v>69.0</v>
      </c>
      <c r="AI190" s="208">
        <v>22608.0</v>
      </c>
      <c r="AJ190" s="208">
        <v>3.0</v>
      </c>
      <c r="AK190" s="208">
        <v>38285.0</v>
      </c>
      <c r="AL190" s="208">
        <v>0.0</v>
      </c>
      <c r="AM190" s="208">
        <v>0.0245</v>
      </c>
      <c r="AN190" s="208">
        <v>74282.0</v>
      </c>
      <c r="AO190" s="208">
        <v>0.65</v>
      </c>
      <c r="AP190" s="208">
        <v>0.0</v>
      </c>
      <c r="AQ190" s="208">
        <v>51.0</v>
      </c>
      <c r="AR190" s="208">
        <v>526.0</v>
      </c>
      <c r="AS190" s="208">
        <v>1355.17</v>
      </c>
      <c r="AT190" s="208">
        <v>2.0</v>
      </c>
      <c r="AU190" s="208">
        <v>44.0</v>
      </c>
      <c r="AV190" s="208">
        <v>21.0</v>
      </c>
      <c r="AW190" s="208">
        <v>11.0</v>
      </c>
      <c r="AX190" s="208">
        <v>12.0</v>
      </c>
      <c r="AY190" s="208" t="s">
        <v>1270</v>
      </c>
    </row>
    <row r="191">
      <c r="A191" s="208" t="s">
        <v>185</v>
      </c>
      <c r="B191" s="208" t="s">
        <v>189</v>
      </c>
      <c r="C191" s="208" t="s">
        <v>285</v>
      </c>
      <c r="D191" s="208" t="s">
        <v>1016</v>
      </c>
      <c r="E191" s="208" t="s">
        <v>187</v>
      </c>
      <c r="F191" s="534">
        <v>45906.0</v>
      </c>
      <c r="G191" s="208" t="s">
        <v>804</v>
      </c>
      <c r="H191" s="208">
        <v>0.0</v>
      </c>
      <c r="I191" s="208">
        <v>4500000.0</v>
      </c>
      <c r="J191" s="208">
        <v>1998649.74</v>
      </c>
      <c r="K191" s="208">
        <v>0.0</v>
      </c>
      <c r="L191" s="208">
        <v>80.0</v>
      </c>
      <c r="M191" s="208">
        <v>52.0</v>
      </c>
      <c r="N191" s="208">
        <v>3.0</v>
      </c>
      <c r="O191" s="208">
        <v>83.0</v>
      </c>
      <c r="P191" s="208">
        <v>31.0</v>
      </c>
      <c r="Q191" s="208">
        <v>1492766.58</v>
      </c>
      <c r="R191" s="208">
        <v>505883.16</v>
      </c>
      <c r="S191" s="208">
        <v>20.0</v>
      </c>
      <c r="T191" s="208">
        <v>3.0</v>
      </c>
      <c r="U191" s="208">
        <v>23.0</v>
      </c>
      <c r="V191" s="208">
        <v>0.0</v>
      </c>
      <c r="W191" s="208">
        <v>53.0</v>
      </c>
      <c r="X191" s="208">
        <v>68.0</v>
      </c>
      <c r="Y191" s="208">
        <v>163.0</v>
      </c>
      <c r="Z191" s="208">
        <v>1.0</v>
      </c>
      <c r="AA191" s="208">
        <v>8.0</v>
      </c>
      <c r="AB191" s="208">
        <v>0.0</v>
      </c>
      <c r="AC191" s="208">
        <v>0.0</v>
      </c>
      <c r="AD191" s="208">
        <v>0.0</v>
      </c>
      <c r="AE191" s="208">
        <v>0.0</v>
      </c>
      <c r="AF191" s="208">
        <v>213.0</v>
      </c>
      <c r="AG191" s="208">
        <v>289.0</v>
      </c>
      <c r="AH191" s="208">
        <v>69.0</v>
      </c>
      <c r="AI191" s="208">
        <v>28966.0</v>
      </c>
      <c r="AJ191" s="208">
        <v>4.0</v>
      </c>
      <c r="AK191" s="208">
        <v>32500.0</v>
      </c>
      <c r="AL191" s="208">
        <v>0.0</v>
      </c>
      <c r="AM191" s="208">
        <v>0.0163</v>
      </c>
      <c r="AN191" s="208">
        <v>86898.0</v>
      </c>
      <c r="AO191" s="208">
        <v>0.44</v>
      </c>
      <c r="AP191" s="208">
        <v>0.0</v>
      </c>
      <c r="AQ191" s="208">
        <v>38.0</v>
      </c>
      <c r="AR191" s="208">
        <v>689.0</v>
      </c>
      <c r="AS191" s="208">
        <v>2463.6</v>
      </c>
      <c r="AT191" s="208">
        <v>3.0</v>
      </c>
      <c r="AU191" s="208">
        <v>47.0</v>
      </c>
      <c r="AV191" s="208">
        <v>23.0</v>
      </c>
      <c r="AW191" s="208">
        <v>29.0</v>
      </c>
      <c r="AX191" s="208">
        <v>31.0</v>
      </c>
      <c r="AY191" s="208" t="s">
        <v>1270</v>
      </c>
    </row>
    <row r="192">
      <c r="A192" s="208" t="s">
        <v>185</v>
      </c>
      <c r="B192" s="208" t="s">
        <v>189</v>
      </c>
      <c r="C192" s="208" t="s">
        <v>408</v>
      </c>
      <c r="D192" s="208" t="s">
        <v>1016</v>
      </c>
      <c r="E192" s="208" t="s">
        <v>409</v>
      </c>
      <c r="F192" s="208" t="s">
        <v>1369</v>
      </c>
      <c r="G192" s="208" t="s">
        <v>186</v>
      </c>
      <c r="H192" s="208">
        <v>0.0</v>
      </c>
      <c r="I192" s="208">
        <v>0.0</v>
      </c>
      <c r="J192" s="208">
        <v>0.0</v>
      </c>
      <c r="K192" s="208">
        <v>0.0</v>
      </c>
      <c r="L192" s="208">
        <v>12.0</v>
      </c>
      <c r="M192" s="208">
        <v>0.0</v>
      </c>
      <c r="N192" s="208">
        <v>0.0</v>
      </c>
      <c r="O192" s="208">
        <v>12.0</v>
      </c>
      <c r="P192" s="208">
        <v>12.0</v>
      </c>
      <c r="Q192" s="208">
        <v>0.0</v>
      </c>
      <c r="R192" s="208">
        <v>0.0</v>
      </c>
      <c r="S192" s="208">
        <v>0.0</v>
      </c>
      <c r="T192" s="208">
        <v>0.0</v>
      </c>
      <c r="U192" s="208">
        <v>0.0</v>
      </c>
      <c r="V192" s="208">
        <v>0.0</v>
      </c>
      <c r="W192" s="208">
        <v>0.0</v>
      </c>
      <c r="X192" s="208">
        <v>0.0</v>
      </c>
      <c r="Y192" s="208">
        <v>2.0</v>
      </c>
      <c r="Z192" s="208">
        <v>0.0</v>
      </c>
      <c r="AA192" s="208">
        <v>0.0</v>
      </c>
      <c r="AB192" s="208">
        <v>0.0</v>
      </c>
      <c r="AC192" s="208">
        <v>0.0</v>
      </c>
      <c r="AD192" s="208">
        <v>0.0</v>
      </c>
      <c r="AE192" s="208">
        <v>0.0</v>
      </c>
      <c r="AF192" s="208">
        <v>0.0</v>
      </c>
      <c r="AG192" s="208">
        <v>0.0</v>
      </c>
      <c r="AH192" s="208">
        <v>0.0</v>
      </c>
      <c r="AI192" s="208">
        <v>0.0</v>
      </c>
      <c r="AJ192" s="208">
        <v>0.0</v>
      </c>
      <c r="AK192" s="208">
        <v>28850.0</v>
      </c>
      <c r="AL192" s="208">
        <v>0.0</v>
      </c>
      <c r="AM192" s="208">
        <v>0.0</v>
      </c>
      <c r="AN192" s="208">
        <v>0.0</v>
      </c>
      <c r="AO192" s="208">
        <v>0.0</v>
      </c>
      <c r="AP192" s="208">
        <v>0.0</v>
      </c>
      <c r="AQ192" s="208">
        <v>0.0</v>
      </c>
      <c r="AR192" s="208">
        <v>0.0</v>
      </c>
      <c r="AS192" s="208">
        <v>0.0</v>
      </c>
      <c r="AT192" s="208">
        <v>0.0</v>
      </c>
      <c r="AU192" s="208">
        <v>0.0</v>
      </c>
      <c r="AV192" s="208">
        <v>0.0</v>
      </c>
      <c r="AW192" s="208">
        <v>0.0</v>
      </c>
      <c r="AX192" s="208">
        <v>12.0</v>
      </c>
      <c r="AY192" s="208" t="s">
        <v>1370</v>
      </c>
    </row>
    <row r="193">
      <c r="A193" s="208" t="s">
        <v>185</v>
      </c>
      <c r="B193" s="208" t="s">
        <v>85</v>
      </c>
      <c r="C193" s="208" t="s">
        <v>397</v>
      </c>
      <c r="D193" s="208" t="s">
        <v>1058</v>
      </c>
      <c r="E193" s="208" t="s">
        <v>398</v>
      </c>
      <c r="F193" s="208" t="s">
        <v>1369</v>
      </c>
      <c r="G193" s="208" t="s">
        <v>185</v>
      </c>
      <c r="H193" s="208">
        <v>0.0</v>
      </c>
      <c r="I193" s="208">
        <v>0.0</v>
      </c>
      <c r="J193" s="208">
        <v>0.0</v>
      </c>
      <c r="K193" s="208">
        <v>0.0</v>
      </c>
      <c r="L193" s="208">
        <v>36.0</v>
      </c>
      <c r="M193" s="208">
        <v>0.0</v>
      </c>
      <c r="N193" s="208">
        <v>0.0</v>
      </c>
      <c r="O193" s="208">
        <v>36.0</v>
      </c>
      <c r="P193" s="208">
        <v>36.0</v>
      </c>
      <c r="Q193" s="208">
        <v>0.0</v>
      </c>
      <c r="R193" s="208">
        <v>0.0</v>
      </c>
      <c r="S193" s="208">
        <v>0.0</v>
      </c>
      <c r="T193" s="208">
        <v>0.0</v>
      </c>
      <c r="U193" s="208">
        <v>0.0</v>
      </c>
      <c r="V193" s="208">
        <v>0.0</v>
      </c>
      <c r="W193" s="208">
        <v>0.0</v>
      </c>
      <c r="X193" s="208">
        <v>0.0</v>
      </c>
      <c r="Y193" s="208">
        <v>117.0</v>
      </c>
      <c r="Z193" s="208">
        <v>0.0</v>
      </c>
      <c r="AA193" s="208">
        <v>0.0</v>
      </c>
      <c r="AB193" s="208">
        <v>0.0</v>
      </c>
      <c r="AC193" s="208">
        <v>0.0</v>
      </c>
      <c r="AD193" s="208">
        <v>0.0</v>
      </c>
      <c r="AE193" s="208">
        <v>0.0</v>
      </c>
      <c r="AF193" s="208">
        <v>0.0</v>
      </c>
      <c r="AG193" s="208">
        <v>0.0</v>
      </c>
      <c r="AH193" s="208">
        <v>0.0</v>
      </c>
      <c r="AI193" s="208">
        <v>0.0</v>
      </c>
      <c r="AJ193" s="208">
        <v>0.0</v>
      </c>
      <c r="AK193" s="208">
        <v>32500.0</v>
      </c>
      <c r="AL193" s="208">
        <v>0.0</v>
      </c>
      <c r="AM193" s="208">
        <v>0.0</v>
      </c>
      <c r="AN193" s="208">
        <v>0.0</v>
      </c>
      <c r="AO193" s="208">
        <v>0.0</v>
      </c>
      <c r="AP193" s="208">
        <v>0.0</v>
      </c>
      <c r="AQ193" s="208">
        <v>0.0</v>
      </c>
      <c r="AR193" s="208">
        <v>0.0</v>
      </c>
      <c r="AS193" s="208">
        <v>0.0</v>
      </c>
      <c r="AT193" s="208">
        <v>0.0</v>
      </c>
      <c r="AU193" s="208">
        <v>0.0</v>
      </c>
      <c r="AV193" s="208">
        <v>0.0</v>
      </c>
      <c r="AW193" s="208">
        <v>0.0</v>
      </c>
      <c r="AX193" s="208">
        <v>36.0</v>
      </c>
      <c r="AY193" s="208" t="s">
        <v>1371</v>
      </c>
    </row>
    <row r="194">
      <c r="A194" s="208" t="s">
        <v>23</v>
      </c>
      <c r="B194" s="208" t="s">
        <v>37</v>
      </c>
      <c r="C194" s="208" t="s">
        <v>875</v>
      </c>
      <c r="D194" s="208" t="s">
        <v>1110</v>
      </c>
      <c r="E194" s="208" t="s">
        <v>42</v>
      </c>
      <c r="F194" s="208" t="s">
        <v>1372</v>
      </c>
      <c r="G194" s="208" t="s">
        <v>23</v>
      </c>
      <c r="H194" s="208">
        <v>0.0</v>
      </c>
      <c r="I194" s="208">
        <v>0.0</v>
      </c>
      <c r="J194" s="208">
        <v>0.0</v>
      </c>
      <c r="K194" s="208">
        <v>0.0</v>
      </c>
      <c r="L194" s="208">
        <v>0.0</v>
      </c>
      <c r="M194" s="208">
        <v>0.0</v>
      </c>
      <c r="N194" s="208">
        <v>0.0</v>
      </c>
      <c r="O194" s="208">
        <v>0.0</v>
      </c>
      <c r="P194" s="208">
        <v>0.0</v>
      </c>
      <c r="Q194" s="208">
        <v>0.0</v>
      </c>
      <c r="R194" s="208">
        <v>0.0</v>
      </c>
      <c r="S194" s="208">
        <v>0.0</v>
      </c>
      <c r="T194" s="208">
        <v>0.0</v>
      </c>
      <c r="U194" s="208">
        <v>0.0</v>
      </c>
      <c r="V194" s="208">
        <v>0.0</v>
      </c>
      <c r="W194" s="208">
        <v>0.0</v>
      </c>
      <c r="X194" s="208">
        <v>0.0</v>
      </c>
      <c r="Y194" s="208">
        <v>1.0</v>
      </c>
      <c r="Z194" s="208">
        <v>0.0</v>
      </c>
      <c r="AA194" s="208">
        <v>0.0</v>
      </c>
      <c r="AB194" s="208">
        <v>0.0</v>
      </c>
      <c r="AC194" s="208">
        <v>0.0</v>
      </c>
      <c r="AD194" s="208">
        <v>0.0</v>
      </c>
      <c r="AE194" s="208">
        <v>0.0</v>
      </c>
      <c r="AF194" s="208">
        <v>0.0</v>
      </c>
      <c r="AG194" s="208">
        <v>0.0</v>
      </c>
      <c r="AH194" s="208">
        <v>0.0</v>
      </c>
      <c r="AI194" s="208">
        <v>0.0</v>
      </c>
      <c r="AJ194" s="208">
        <v>0.0</v>
      </c>
      <c r="AK194" s="208">
        <v>24120.0</v>
      </c>
      <c r="AL194" s="208">
        <v>0.0</v>
      </c>
      <c r="AM194" s="208">
        <v>0.0</v>
      </c>
      <c r="AN194" s="208">
        <v>0.0</v>
      </c>
      <c r="AO194" s="208">
        <v>0.0</v>
      </c>
      <c r="AP194" s="208">
        <v>0.0</v>
      </c>
      <c r="AQ194" s="208">
        <v>0.0</v>
      </c>
      <c r="AR194" s="208">
        <v>0.0</v>
      </c>
      <c r="AS194" s="208">
        <v>0.0</v>
      </c>
      <c r="AT194" s="208">
        <v>0.0</v>
      </c>
      <c r="AU194" s="208">
        <v>0.0</v>
      </c>
      <c r="AV194" s="208">
        <v>0.0</v>
      </c>
      <c r="AW194" s="208">
        <v>0.0</v>
      </c>
      <c r="AX194" s="208">
        <v>0.0</v>
      </c>
      <c r="AY194" s="208" t="s">
        <v>1373</v>
      </c>
    </row>
    <row r="195">
      <c r="A195" s="208" t="s">
        <v>23</v>
      </c>
      <c r="B195" s="208" t="s">
        <v>27</v>
      </c>
      <c r="C195" s="208" t="s">
        <v>337</v>
      </c>
      <c r="D195" s="208" t="s">
        <v>1073</v>
      </c>
      <c r="E195" s="208" t="s">
        <v>338</v>
      </c>
      <c r="F195" s="208" t="s">
        <v>1373</v>
      </c>
      <c r="G195" s="208" t="s">
        <v>23</v>
      </c>
      <c r="I195" s="208">
        <v>0.0</v>
      </c>
      <c r="J195" s="208">
        <v>0.0</v>
      </c>
      <c r="K195" s="208">
        <v>0.0</v>
      </c>
      <c r="L195" s="208">
        <v>15.0</v>
      </c>
      <c r="M195" s="208">
        <v>0.0</v>
      </c>
      <c r="N195" s="208">
        <v>0.0</v>
      </c>
      <c r="O195" s="208">
        <v>15.0</v>
      </c>
      <c r="P195" s="208">
        <v>15.0</v>
      </c>
      <c r="Q195" s="208">
        <v>0.0</v>
      </c>
      <c r="R195" s="208">
        <v>0.0</v>
      </c>
      <c r="S195" s="208">
        <v>0.0</v>
      </c>
      <c r="T195" s="208">
        <v>0.0</v>
      </c>
      <c r="U195" s="208">
        <v>0.0</v>
      </c>
      <c r="V195" s="208">
        <v>0.0</v>
      </c>
      <c r="W195" s="208">
        <v>0.0</v>
      </c>
      <c r="X195" s="208">
        <v>0.0</v>
      </c>
      <c r="Y195" s="208">
        <v>270.0</v>
      </c>
      <c r="Z195" s="208">
        <v>0.0</v>
      </c>
      <c r="AA195" s="208">
        <v>0.0</v>
      </c>
      <c r="AB195" s="208">
        <v>0.0</v>
      </c>
      <c r="AC195" s="208">
        <v>0.0</v>
      </c>
      <c r="AD195" s="208">
        <v>0.0</v>
      </c>
      <c r="AE195" s="208">
        <v>0.0</v>
      </c>
      <c r="AF195" s="208">
        <v>0.0</v>
      </c>
      <c r="AG195" s="208">
        <v>0.0</v>
      </c>
      <c r="AH195" s="208">
        <v>0.0</v>
      </c>
      <c r="AI195" s="208">
        <v>0.0</v>
      </c>
      <c r="AJ195" s="208">
        <v>0.0</v>
      </c>
      <c r="AK195" s="208">
        <v>24120.0</v>
      </c>
      <c r="AL195" s="208">
        <v>0.0</v>
      </c>
      <c r="AM195" s="208">
        <v>0.0</v>
      </c>
      <c r="AN195" s="208">
        <v>0.0</v>
      </c>
      <c r="AO195" s="208">
        <v>0.0</v>
      </c>
      <c r="AP195" s="208">
        <v>0.0</v>
      </c>
      <c r="AQ195" s="208">
        <v>0.0</v>
      </c>
      <c r="AR195" s="208">
        <v>0.0</v>
      </c>
      <c r="AS195" s="208">
        <v>0.0</v>
      </c>
      <c r="AT195" s="208">
        <v>0.0</v>
      </c>
      <c r="AU195" s="208">
        <v>0.0</v>
      </c>
      <c r="AV195" s="208">
        <v>0.0</v>
      </c>
      <c r="AW195" s="208">
        <v>0.0</v>
      </c>
      <c r="AX195" s="208">
        <v>15.0</v>
      </c>
      <c r="AY195" s="208" t="s">
        <v>1301</v>
      </c>
    </row>
    <row r="196">
      <c r="A196" s="208" t="s">
        <v>185</v>
      </c>
      <c r="B196" s="208" t="s">
        <v>85</v>
      </c>
      <c r="C196" s="208" t="s">
        <v>399</v>
      </c>
      <c r="D196" s="208" t="s">
        <v>1058</v>
      </c>
      <c r="E196" s="208" t="s">
        <v>87</v>
      </c>
      <c r="F196" s="208" t="s">
        <v>1373</v>
      </c>
      <c r="G196" s="208" t="s">
        <v>86</v>
      </c>
      <c r="H196" s="208">
        <v>0.0</v>
      </c>
      <c r="I196" s="208">
        <v>1500000.0</v>
      </c>
      <c r="J196" s="208">
        <v>105212.11</v>
      </c>
      <c r="K196" s="208">
        <v>0.0</v>
      </c>
      <c r="L196" s="208">
        <v>122.0</v>
      </c>
      <c r="M196" s="208">
        <v>36.0</v>
      </c>
      <c r="N196" s="208">
        <v>1.0</v>
      </c>
      <c r="O196" s="208">
        <v>123.0</v>
      </c>
      <c r="P196" s="208">
        <v>87.0</v>
      </c>
      <c r="Q196" s="208">
        <v>96549.61</v>
      </c>
      <c r="R196" s="208">
        <v>8662.5</v>
      </c>
      <c r="S196" s="208">
        <v>9.0</v>
      </c>
      <c r="T196" s="208">
        <v>1.0</v>
      </c>
      <c r="U196" s="208">
        <v>10.0</v>
      </c>
      <c r="V196" s="208">
        <v>0.0</v>
      </c>
      <c r="W196" s="208">
        <v>25.0</v>
      </c>
      <c r="X196" s="208">
        <v>27.0</v>
      </c>
      <c r="Y196" s="208">
        <v>176.0</v>
      </c>
      <c r="Z196" s="208">
        <v>2.0</v>
      </c>
      <c r="AA196" s="208">
        <v>2.0</v>
      </c>
      <c r="AB196" s="208">
        <v>0.0</v>
      </c>
      <c r="AC196" s="208">
        <v>0.0</v>
      </c>
      <c r="AD196" s="208">
        <v>0.0</v>
      </c>
      <c r="AE196" s="208">
        <v>0.0</v>
      </c>
      <c r="AF196" s="208">
        <v>39.0</v>
      </c>
      <c r="AG196" s="208">
        <v>68.0</v>
      </c>
      <c r="AH196" s="208">
        <v>9.0</v>
      </c>
      <c r="AI196" s="208">
        <v>11690.0</v>
      </c>
      <c r="AJ196" s="208">
        <v>8.0</v>
      </c>
      <c r="AK196" s="208">
        <v>27785.0</v>
      </c>
      <c r="AL196" s="208">
        <v>0.0</v>
      </c>
      <c r="AM196" s="208">
        <v>3.0E-4</v>
      </c>
      <c r="AN196" s="208">
        <v>10521.0</v>
      </c>
      <c r="AO196" s="208">
        <v>0.07</v>
      </c>
      <c r="AP196" s="208">
        <v>0.0</v>
      </c>
      <c r="AQ196" s="208">
        <v>11.0</v>
      </c>
      <c r="AR196" s="208">
        <v>102.0</v>
      </c>
      <c r="AS196" s="208">
        <v>0.0</v>
      </c>
      <c r="AT196" s="208">
        <v>1.0</v>
      </c>
      <c r="AU196" s="208">
        <v>0.0</v>
      </c>
      <c r="AV196" s="208">
        <v>10.0</v>
      </c>
      <c r="AW196" s="208">
        <v>27.0</v>
      </c>
      <c r="AX196" s="208">
        <v>86.0</v>
      </c>
      <c r="AY196" s="208" t="s">
        <v>1374</v>
      </c>
    </row>
    <row r="197">
      <c r="A197" s="208" t="s">
        <v>126</v>
      </c>
      <c r="B197" s="208" t="s">
        <v>130</v>
      </c>
      <c r="C197" s="208" t="s">
        <v>449</v>
      </c>
      <c r="D197" s="208" t="s">
        <v>130</v>
      </c>
      <c r="E197" s="208" t="s">
        <v>151</v>
      </c>
      <c r="F197" s="534">
        <v>45664.0</v>
      </c>
      <c r="G197" s="208" t="s">
        <v>580</v>
      </c>
      <c r="H197" s="208">
        <v>0.0</v>
      </c>
      <c r="I197" s="208">
        <v>0.0</v>
      </c>
      <c r="J197" s="208">
        <v>0.0</v>
      </c>
      <c r="K197" s="208">
        <v>0.0</v>
      </c>
      <c r="L197" s="208">
        <v>128.0</v>
      </c>
      <c r="M197" s="208">
        <v>0.0</v>
      </c>
      <c r="N197" s="208">
        <v>1.0</v>
      </c>
      <c r="O197" s="208">
        <v>129.0</v>
      </c>
      <c r="P197" s="208">
        <v>129.0</v>
      </c>
      <c r="Q197" s="208">
        <v>0.0</v>
      </c>
      <c r="R197" s="208">
        <v>0.0</v>
      </c>
      <c r="S197" s="208">
        <v>0.0</v>
      </c>
      <c r="T197" s="208">
        <v>0.0</v>
      </c>
      <c r="U197" s="208">
        <v>0.0</v>
      </c>
      <c r="V197" s="208">
        <v>0.0</v>
      </c>
      <c r="W197" s="208">
        <v>0.0</v>
      </c>
      <c r="X197" s="208">
        <v>0.0</v>
      </c>
      <c r="Y197" s="208">
        <v>55.0</v>
      </c>
      <c r="Z197" s="208">
        <v>0.0</v>
      </c>
      <c r="AA197" s="208">
        <v>0.0</v>
      </c>
      <c r="AB197" s="208">
        <v>0.0</v>
      </c>
      <c r="AC197" s="208">
        <v>0.0</v>
      </c>
      <c r="AD197" s="208">
        <v>0.0</v>
      </c>
      <c r="AE197" s="208">
        <v>0.0</v>
      </c>
      <c r="AF197" s="208">
        <v>0.0</v>
      </c>
      <c r="AG197" s="208">
        <v>0.0</v>
      </c>
      <c r="AH197" s="208">
        <v>0.0</v>
      </c>
      <c r="AI197" s="208">
        <v>0.0</v>
      </c>
      <c r="AJ197" s="208">
        <v>0.0</v>
      </c>
      <c r="AK197" s="208">
        <v>99750.0</v>
      </c>
      <c r="AL197" s="208">
        <v>0.0</v>
      </c>
      <c r="AM197" s="208">
        <v>0.0</v>
      </c>
      <c r="AN197" s="208">
        <v>0.0</v>
      </c>
      <c r="AO197" s="208">
        <v>0.0</v>
      </c>
      <c r="AP197" s="208">
        <v>0.0</v>
      </c>
      <c r="AQ197" s="208">
        <v>0.0</v>
      </c>
      <c r="AR197" s="208">
        <v>0.0</v>
      </c>
      <c r="AS197" s="208">
        <v>0.0</v>
      </c>
      <c r="AT197" s="208">
        <v>0.0</v>
      </c>
      <c r="AU197" s="208">
        <v>0.0</v>
      </c>
      <c r="AV197" s="208">
        <v>0.0</v>
      </c>
      <c r="AW197" s="208">
        <v>0.0</v>
      </c>
      <c r="AX197" s="208">
        <v>129.0</v>
      </c>
      <c r="AY197" s="208" t="s">
        <v>1375</v>
      </c>
    </row>
    <row r="198">
      <c r="A198" s="208" t="s">
        <v>126</v>
      </c>
      <c r="B198" s="208" t="s">
        <v>140</v>
      </c>
      <c r="C198" s="208" t="s">
        <v>173</v>
      </c>
      <c r="D198" s="208" t="s">
        <v>1061</v>
      </c>
      <c r="E198" s="208" t="s">
        <v>174</v>
      </c>
      <c r="F198" s="534">
        <v>45664.0</v>
      </c>
      <c r="G198" s="208" t="s">
        <v>580</v>
      </c>
      <c r="H198" s="208">
        <v>0.0</v>
      </c>
      <c r="I198" s="208">
        <v>4950000.0</v>
      </c>
      <c r="J198" s="208">
        <v>3214861.93</v>
      </c>
      <c r="K198" s="208">
        <v>0.0</v>
      </c>
      <c r="L198" s="208">
        <v>81.0</v>
      </c>
      <c r="M198" s="208">
        <v>86.0</v>
      </c>
      <c r="N198" s="208">
        <v>7.0</v>
      </c>
      <c r="O198" s="208">
        <v>88.0</v>
      </c>
      <c r="P198" s="208">
        <v>2.0</v>
      </c>
      <c r="Q198" s="208">
        <v>2892179.03</v>
      </c>
      <c r="R198" s="208">
        <v>322682.9</v>
      </c>
      <c r="S198" s="208">
        <v>48.0</v>
      </c>
      <c r="T198" s="208">
        <v>7.0</v>
      </c>
      <c r="U198" s="208">
        <v>55.0</v>
      </c>
      <c r="V198" s="208">
        <v>0.0</v>
      </c>
      <c r="W198" s="208">
        <v>15.0</v>
      </c>
      <c r="X198" s="208">
        <v>30.0</v>
      </c>
      <c r="Y198" s="208">
        <v>12.0</v>
      </c>
      <c r="Z198" s="208">
        <v>1.0</v>
      </c>
      <c r="AA198" s="208">
        <v>23.0</v>
      </c>
      <c r="AB198" s="208">
        <v>0.0</v>
      </c>
      <c r="AC198" s="208">
        <v>0.0</v>
      </c>
      <c r="AD198" s="208">
        <v>0.0</v>
      </c>
      <c r="AE198" s="208">
        <v>0.0</v>
      </c>
      <c r="AF198" s="208">
        <v>336.0</v>
      </c>
      <c r="AG198" s="208">
        <v>389.0</v>
      </c>
      <c r="AH198" s="208">
        <v>73.0</v>
      </c>
      <c r="AI198" s="208">
        <v>44039.0</v>
      </c>
      <c r="AJ198" s="208">
        <v>5.0</v>
      </c>
      <c r="AK198" s="208">
        <v>27800.0</v>
      </c>
      <c r="AL198" s="208">
        <v>0.0</v>
      </c>
      <c r="AM198" s="208">
        <v>0.0086</v>
      </c>
      <c r="AN198" s="208">
        <v>58452.0</v>
      </c>
      <c r="AO198" s="208">
        <v>0.65</v>
      </c>
      <c r="AP198" s="208">
        <v>0.0</v>
      </c>
      <c r="AQ198" s="208">
        <v>134.0</v>
      </c>
      <c r="AR198" s="208">
        <v>666.0</v>
      </c>
      <c r="AS198" s="208">
        <v>2671.09</v>
      </c>
      <c r="AT198" s="208">
        <v>7.0</v>
      </c>
      <c r="AU198" s="208">
        <v>31.0</v>
      </c>
      <c r="AV198" s="208">
        <v>55.0</v>
      </c>
      <c r="AW198" s="208">
        <v>31.0</v>
      </c>
      <c r="AX198" s="208">
        <v>2.0</v>
      </c>
      <c r="AY198" s="208" t="s">
        <v>1270</v>
      </c>
    </row>
    <row r="199">
      <c r="A199" s="208" t="s">
        <v>97</v>
      </c>
      <c r="B199" s="208" t="s">
        <v>101</v>
      </c>
      <c r="C199" s="208" t="s">
        <v>344</v>
      </c>
      <c r="D199" s="208" t="s">
        <v>1062</v>
      </c>
      <c r="E199" s="208" t="s">
        <v>345</v>
      </c>
      <c r="F199" s="534">
        <v>45754.0</v>
      </c>
      <c r="G199" s="208" t="s">
        <v>97</v>
      </c>
      <c r="H199" s="208">
        <v>0.0</v>
      </c>
      <c r="I199" s="208">
        <v>0.0</v>
      </c>
      <c r="J199" s="208">
        <v>0.0</v>
      </c>
      <c r="K199" s="208">
        <v>0.0</v>
      </c>
      <c r="L199" s="208">
        <v>22.0</v>
      </c>
      <c r="M199" s="208">
        <v>0.0</v>
      </c>
      <c r="N199" s="208">
        <v>0.0</v>
      </c>
      <c r="O199" s="208">
        <v>22.0</v>
      </c>
      <c r="P199" s="208">
        <v>22.0</v>
      </c>
      <c r="Q199" s="208">
        <v>0.0</v>
      </c>
      <c r="R199" s="208">
        <v>0.0</v>
      </c>
      <c r="S199" s="208">
        <v>0.0</v>
      </c>
      <c r="T199" s="208">
        <v>0.0</v>
      </c>
      <c r="U199" s="208">
        <v>0.0</v>
      </c>
      <c r="V199" s="208">
        <v>0.0</v>
      </c>
      <c r="W199" s="208">
        <v>0.0</v>
      </c>
      <c r="X199" s="208">
        <v>0.0</v>
      </c>
      <c r="Y199" s="208">
        <v>10.0</v>
      </c>
      <c r="Z199" s="208">
        <v>0.0</v>
      </c>
      <c r="AA199" s="208">
        <v>0.0</v>
      </c>
      <c r="AB199" s="208">
        <v>0.0</v>
      </c>
      <c r="AC199" s="208">
        <v>0.0</v>
      </c>
      <c r="AD199" s="208">
        <v>0.0</v>
      </c>
      <c r="AE199" s="208">
        <v>0.0</v>
      </c>
      <c r="AF199" s="208">
        <v>0.0</v>
      </c>
      <c r="AG199" s="208">
        <v>0.0</v>
      </c>
      <c r="AH199" s="208">
        <v>0.0</v>
      </c>
      <c r="AI199" s="208">
        <v>0.0</v>
      </c>
      <c r="AJ199" s="208">
        <v>0.0</v>
      </c>
      <c r="AK199" s="208">
        <v>36190.0</v>
      </c>
      <c r="AL199" s="208">
        <v>0.0</v>
      </c>
      <c r="AM199" s="208">
        <v>0.0</v>
      </c>
      <c r="AN199" s="208">
        <v>0.0</v>
      </c>
      <c r="AO199" s="208">
        <v>0.0</v>
      </c>
      <c r="AP199" s="208">
        <v>0.0</v>
      </c>
      <c r="AQ199" s="208">
        <v>0.0</v>
      </c>
      <c r="AR199" s="208">
        <v>0.0</v>
      </c>
      <c r="AS199" s="208">
        <v>0.0</v>
      </c>
      <c r="AT199" s="208">
        <v>0.0</v>
      </c>
      <c r="AU199" s="208">
        <v>0.0</v>
      </c>
      <c r="AV199" s="208">
        <v>0.0</v>
      </c>
      <c r="AW199" s="208">
        <v>0.0</v>
      </c>
      <c r="AX199" s="208">
        <v>22.0</v>
      </c>
      <c r="AY199" s="534">
        <v>45970.0</v>
      </c>
    </row>
    <row r="200">
      <c r="A200" s="208" t="s">
        <v>97</v>
      </c>
      <c r="B200" s="208" t="s">
        <v>101</v>
      </c>
      <c r="C200" s="208" t="s">
        <v>108</v>
      </c>
      <c r="D200" s="208" t="s">
        <v>1062</v>
      </c>
      <c r="E200" s="208" t="s">
        <v>105</v>
      </c>
      <c r="F200" s="534">
        <v>45754.0</v>
      </c>
      <c r="G200" s="208" t="s">
        <v>97</v>
      </c>
      <c r="H200" s="208">
        <v>0.0</v>
      </c>
      <c r="I200" s="208">
        <v>5800000.0</v>
      </c>
      <c r="J200" s="208">
        <v>3982081.0</v>
      </c>
      <c r="K200" s="208">
        <v>0.0</v>
      </c>
      <c r="L200" s="208">
        <v>120.0</v>
      </c>
      <c r="M200" s="208">
        <v>92.0</v>
      </c>
      <c r="N200" s="208">
        <v>0.0</v>
      </c>
      <c r="O200" s="208">
        <v>120.0</v>
      </c>
      <c r="P200" s="208">
        <v>28.0</v>
      </c>
      <c r="Q200" s="208">
        <v>3982081.0</v>
      </c>
      <c r="R200" s="208">
        <v>0.0</v>
      </c>
      <c r="S200" s="208">
        <v>15.0</v>
      </c>
      <c r="T200" s="208">
        <v>0.0</v>
      </c>
      <c r="U200" s="208">
        <v>15.0</v>
      </c>
      <c r="V200" s="208">
        <v>0.0</v>
      </c>
      <c r="W200" s="208">
        <v>53.0</v>
      </c>
      <c r="X200" s="208">
        <v>81.0</v>
      </c>
      <c r="Y200" s="208">
        <v>94.0</v>
      </c>
      <c r="Z200" s="208">
        <v>3.0</v>
      </c>
      <c r="AA200" s="208">
        <v>16.0</v>
      </c>
      <c r="AB200" s="208">
        <v>0.0</v>
      </c>
      <c r="AC200" s="208">
        <v>0.0</v>
      </c>
      <c r="AD200" s="208">
        <v>0.0</v>
      </c>
      <c r="AE200" s="208">
        <v>0.0</v>
      </c>
      <c r="AF200" s="208">
        <v>373.0</v>
      </c>
      <c r="AG200" s="208">
        <v>470.0</v>
      </c>
      <c r="AH200" s="208">
        <v>69.0</v>
      </c>
      <c r="AI200" s="208">
        <v>57711.0</v>
      </c>
      <c r="AJ200" s="208">
        <v>7.0</v>
      </c>
      <c r="AK200" s="208">
        <v>48765.0</v>
      </c>
      <c r="AL200" s="208">
        <v>0.0</v>
      </c>
      <c r="AM200" s="208">
        <v>0.0122</v>
      </c>
      <c r="AN200" s="208">
        <v>265472.0</v>
      </c>
      <c r="AO200" s="208">
        <v>0.69</v>
      </c>
      <c r="AP200" s="208">
        <v>0.0</v>
      </c>
      <c r="AQ200" s="208">
        <v>50.0</v>
      </c>
      <c r="AR200" s="208">
        <v>631.0</v>
      </c>
      <c r="AS200" s="208">
        <v>3699.21</v>
      </c>
      <c r="AT200" s="208">
        <v>0.0</v>
      </c>
      <c r="AU200" s="208">
        <v>40.0</v>
      </c>
      <c r="AV200" s="208">
        <v>15.0</v>
      </c>
      <c r="AW200" s="208">
        <v>77.0</v>
      </c>
      <c r="AX200" s="208">
        <v>28.0</v>
      </c>
      <c r="AY200" s="208" t="s">
        <v>1270</v>
      </c>
    </row>
    <row r="201">
      <c r="A201" s="208" t="s">
        <v>53</v>
      </c>
      <c r="B201" s="208" t="s">
        <v>61</v>
      </c>
      <c r="C201" s="208" t="s">
        <v>367</v>
      </c>
      <c r="D201" s="208" t="s">
        <v>1077</v>
      </c>
      <c r="E201" s="208" t="s">
        <v>368</v>
      </c>
      <c r="F201" s="534">
        <v>45845.0</v>
      </c>
      <c r="G201" s="208" t="s">
        <v>754</v>
      </c>
      <c r="H201" s="208">
        <v>0.0</v>
      </c>
      <c r="I201" s="208">
        <v>0.0</v>
      </c>
      <c r="J201" s="208">
        <v>0.0</v>
      </c>
      <c r="K201" s="208">
        <v>0.0</v>
      </c>
      <c r="L201" s="208">
        <v>4.0</v>
      </c>
      <c r="M201" s="208">
        <v>0.0</v>
      </c>
      <c r="N201" s="208">
        <v>0.0</v>
      </c>
      <c r="O201" s="208">
        <v>4.0</v>
      </c>
      <c r="P201" s="208">
        <v>4.0</v>
      </c>
      <c r="Q201" s="208">
        <v>0.0</v>
      </c>
      <c r="R201" s="208">
        <v>0.0</v>
      </c>
      <c r="S201" s="208">
        <v>0.0</v>
      </c>
      <c r="T201" s="208">
        <v>0.0</v>
      </c>
      <c r="U201" s="208">
        <v>0.0</v>
      </c>
      <c r="V201" s="208">
        <v>0.0</v>
      </c>
      <c r="W201" s="208">
        <v>0.0</v>
      </c>
      <c r="X201" s="208">
        <v>0.0</v>
      </c>
      <c r="Y201" s="208">
        <v>29.0</v>
      </c>
      <c r="Z201" s="208">
        <v>0.0</v>
      </c>
      <c r="AA201" s="208">
        <v>0.0</v>
      </c>
      <c r="AB201" s="208">
        <v>0.0</v>
      </c>
      <c r="AC201" s="208">
        <v>0.0</v>
      </c>
      <c r="AD201" s="208">
        <v>0.0</v>
      </c>
      <c r="AE201" s="208">
        <v>0.0</v>
      </c>
      <c r="AF201" s="208">
        <v>0.0</v>
      </c>
      <c r="AG201" s="208">
        <v>0.0</v>
      </c>
      <c r="AH201" s="208">
        <v>0.0</v>
      </c>
      <c r="AI201" s="208">
        <v>0.0</v>
      </c>
      <c r="AJ201" s="208">
        <v>0.0</v>
      </c>
      <c r="AK201" s="208">
        <v>37760.0</v>
      </c>
      <c r="AL201" s="208">
        <v>0.0</v>
      </c>
      <c r="AM201" s="208">
        <v>0.0</v>
      </c>
      <c r="AN201" s="208">
        <v>0.0</v>
      </c>
      <c r="AO201" s="208">
        <v>0.0</v>
      </c>
      <c r="AP201" s="208">
        <v>0.0</v>
      </c>
      <c r="AQ201" s="208">
        <v>0.0</v>
      </c>
      <c r="AR201" s="208">
        <v>0.0</v>
      </c>
      <c r="AS201" s="208">
        <v>0.0</v>
      </c>
      <c r="AT201" s="208">
        <v>0.0</v>
      </c>
      <c r="AU201" s="208">
        <v>0.0</v>
      </c>
      <c r="AV201" s="208">
        <v>0.0</v>
      </c>
      <c r="AW201" s="208">
        <v>0.0</v>
      </c>
      <c r="AX201" s="208">
        <v>4.0</v>
      </c>
      <c r="AY201" s="208" t="s">
        <v>1308</v>
      </c>
    </row>
    <row r="202">
      <c r="A202" s="208" t="s">
        <v>185</v>
      </c>
      <c r="B202" s="208" t="s">
        <v>189</v>
      </c>
      <c r="C202" s="208" t="s">
        <v>286</v>
      </c>
      <c r="D202" s="208" t="s">
        <v>1016</v>
      </c>
      <c r="E202" s="208" t="s">
        <v>287</v>
      </c>
      <c r="F202" s="534">
        <v>45845.0</v>
      </c>
      <c r="G202" s="208" t="s">
        <v>203</v>
      </c>
      <c r="H202" s="208">
        <v>0.0</v>
      </c>
      <c r="I202" s="208">
        <v>6000000.0</v>
      </c>
      <c r="J202" s="208">
        <v>7336571.79</v>
      </c>
      <c r="K202" s="208">
        <v>0.0</v>
      </c>
      <c r="L202" s="208">
        <v>63.0</v>
      </c>
      <c r="M202" s="208">
        <v>47.0</v>
      </c>
      <c r="N202" s="208">
        <v>1.0</v>
      </c>
      <c r="O202" s="208">
        <v>64.0</v>
      </c>
      <c r="P202" s="208">
        <v>17.0</v>
      </c>
      <c r="Q202" s="208">
        <v>7043975.1</v>
      </c>
      <c r="R202" s="208">
        <v>292596.69</v>
      </c>
      <c r="S202" s="208">
        <v>20.0</v>
      </c>
      <c r="T202" s="208">
        <v>1.0</v>
      </c>
      <c r="U202" s="208">
        <v>21.0</v>
      </c>
      <c r="V202" s="208">
        <v>0.0</v>
      </c>
      <c r="W202" s="208">
        <v>9.0</v>
      </c>
      <c r="X202" s="208">
        <v>14.0</v>
      </c>
      <c r="Y202" s="208">
        <v>42.0</v>
      </c>
      <c r="Z202" s="208">
        <v>2.0</v>
      </c>
      <c r="AA202" s="208">
        <v>7.0</v>
      </c>
      <c r="AB202" s="208">
        <v>0.0</v>
      </c>
      <c r="AC202" s="208">
        <v>0.0</v>
      </c>
      <c r="AD202" s="208">
        <v>0.0</v>
      </c>
      <c r="AE202" s="208">
        <v>0.0</v>
      </c>
      <c r="AF202" s="208">
        <v>310.0</v>
      </c>
      <c r="AG202" s="208">
        <v>331.0</v>
      </c>
      <c r="AH202" s="208">
        <v>73.0</v>
      </c>
      <c r="AI202" s="208">
        <v>100501.0</v>
      </c>
      <c r="AJ202" s="208">
        <v>5.0</v>
      </c>
      <c r="AK202" s="208">
        <v>24120.0</v>
      </c>
      <c r="AL202" s="208">
        <v>0.0</v>
      </c>
      <c r="AM202" s="208">
        <v>0.0033</v>
      </c>
      <c r="AN202" s="208">
        <v>349361.0</v>
      </c>
      <c r="AO202" s="208">
        <v>1.22</v>
      </c>
      <c r="AP202" s="208">
        <v>0.0</v>
      </c>
      <c r="AQ202" s="208">
        <v>57.0</v>
      </c>
      <c r="AR202" s="208">
        <v>840.0</v>
      </c>
      <c r="AS202" s="208">
        <v>3945.54</v>
      </c>
      <c r="AT202" s="208">
        <v>1.0</v>
      </c>
      <c r="AU202" s="208">
        <v>84.0</v>
      </c>
      <c r="AV202" s="208">
        <v>21.0</v>
      </c>
      <c r="AW202" s="208">
        <v>26.0</v>
      </c>
      <c r="AX202" s="208">
        <v>17.0</v>
      </c>
      <c r="AY202" s="208" t="s">
        <v>1270</v>
      </c>
    </row>
    <row r="203">
      <c r="A203" s="208" t="s">
        <v>126</v>
      </c>
      <c r="B203" s="208" t="s">
        <v>130</v>
      </c>
      <c r="C203" s="208" t="s">
        <v>172</v>
      </c>
      <c r="D203" s="208" t="s">
        <v>130</v>
      </c>
      <c r="E203" s="208" t="s">
        <v>142</v>
      </c>
      <c r="F203" s="534">
        <v>45784.0</v>
      </c>
      <c r="G203" s="208" t="s">
        <v>141</v>
      </c>
      <c r="H203" s="208">
        <v>0.0</v>
      </c>
      <c r="I203" s="208">
        <v>6000000.0</v>
      </c>
      <c r="J203" s="208">
        <v>2971355.24</v>
      </c>
      <c r="K203" s="208">
        <v>0.0</v>
      </c>
      <c r="L203" s="208">
        <v>84.0</v>
      </c>
      <c r="M203" s="208">
        <v>67.0</v>
      </c>
      <c r="N203" s="208">
        <v>11.0</v>
      </c>
      <c r="O203" s="208">
        <v>95.0</v>
      </c>
      <c r="P203" s="208">
        <v>28.0</v>
      </c>
      <c r="Q203" s="208">
        <v>2487610.1</v>
      </c>
      <c r="R203" s="208">
        <v>483745.14</v>
      </c>
      <c r="S203" s="208">
        <v>25.0</v>
      </c>
      <c r="T203" s="208">
        <v>11.0</v>
      </c>
      <c r="U203" s="208">
        <v>36.0</v>
      </c>
      <c r="V203" s="208">
        <v>0.0</v>
      </c>
      <c r="W203" s="208">
        <v>33.0</v>
      </c>
      <c r="X203" s="208">
        <v>43.0</v>
      </c>
      <c r="Y203" s="208">
        <v>22.0</v>
      </c>
      <c r="Z203" s="208">
        <v>2.0</v>
      </c>
      <c r="AA203" s="208">
        <v>48.0</v>
      </c>
      <c r="AB203" s="208">
        <v>0.0</v>
      </c>
      <c r="AC203" s="208">
        <v>0.0</v>
      </c>
      <c r="AD203" s="208">
        <v>1.0</v>
      </c>
      <c r="AE203" s="208">
        <v>2.0</v>
      </c>
      <c r="AF203" s="208">
        <v>251.0</v>
      </c>
      <c r="AG203" s="208">
        <v>344.0</v>
      </c>
      <c r="AH203" s="208">
        <v>69.0</v>
      </c>
      <c r="AI203" s="208">
        <v>43063.0</v>
      </c>
      <c r="AJ203" s="208">
        <v>5.0</v>
      </c>
      <c r="AK203" s="208">
        <v>41430.0</v>
      </c>
      <c r="AL203" s="208">
        <v>0.0</v>
      </c>
      <c r="AM203" s="208">
        <v>0.0139</v>
      </c>
      <c r="AN203" s="208">
        <v>82538.0</v>
      </c>
      <c r="AO203" s="208">
        <v>0.5</v>
      </c>
      <c r="AP203" s="208">
        <v>0.0</v>
      </c>
      <c r="AQ203" s="208">
        <v>102.0</v>
      </c>
      <c r="AR203" s="208">
        <v>650.0</v>
      </c>
      <c r="AS203" s="208">
        <v>3349.75</v>
      </c>
      <c r="AT203" s="208">
        <v>11.0</v>
      </c>
      <c r="AU203" s="208">
        <v>50.0</v>
      </c>
      <c r="AV203" s="208">
        <v>36.0</v>
      </c>
      <c r="AW203" s="208">
        <v>37.0</v>
      </c>
      <c r="AX203" s="208">
        <v>22.0</v>
      </c>
      <c r="AY203" s="208" t="s">
        <v>1270</v>
      </c>
    </row>
    <row r="204">
      <c r="A204" s="208" t="s">
        <v>97</v>
      </c>
      <c r="B204" s="208" t="s">
        <v>101</v>
      </c>
      <c r="C204" s="208" t="s">
        <v>876</v>
      </c>
      <c r="D204" s="208" t="s">
        <v>1062</v>
      </c>
      <c r="E204" s="208" t="s">
        <v>1063</v>
      </c>
      <c r="F204" s="208" t="s">
        <v>1376</v>
      </c>
      <c r="G204" s="208" t="s">
        <v>97</v>
      </c>
      <c r="H204" s="208">
        <v>0.0</v>
      </c>
      <c r="I204" s="208">
        <v>0.0</v>
      </c>
      <c r="J204" s="208">
        <v>0.0</v>
      </c>
      <c r="K204" s="208">
        <v>0.0</v>
      </c>
      <c r="L204" s="208">
        <v>201.0</v>
      </c>
      <c r="M204" s="208">
        <v>153.0</v>
      </c>
      <c r="N204" s="208">
        <v>3.0</v>
      </c>
      <c r="O204" s="208">
        <v>204.0</v>
      </c>
      <c r="P204" s="208">
        <v>51.0</v>
      </c>
      <c r="Q204" s="208">
        <v>0.0</v>
      </c>
      <c r="R204" s="208">
        <v>0.0</v>
      </c>
      <c r="S204" s="208">
        <v>0.0</v>
      </c>
      <c r="T204" s="208">
        <v>0.0</v>
      </c>
      <c r="U204" s="208">
        <v>0.0</v>
      </c>
      <c r="V204" s="208">
        <v>0.0</v>
      </c>
      <c r="W204" s="208">
        <v>19.0</v>
      </c>
      <c r="X204" s="208">
        <v>31.0</v>
      </c>
      <c r="Y204" s="208">
        <v>8.0</v>
      </c>
      <c r="Z204" s="208">
        <v>1.0</v>
      </c>
      <c r="AA204" s="208">
        <v>13.0</v>
      </c>
      <c r="AB204" s="208">
        <v>0.0</v>
      </c>
      <c r="AC204" s="208">
        <v>0.0</v>
      </c>
      <c r="AD204" s="208">
        <v>0.0</v>
      </c>
      <c r="AE204" s="208">
        <v>0.0</v>
      </c>
      <c r="AF204" s="208">
        <v>393.0</v>
      </c>
      <c r="AG204" s="208">
        <v>437.0</v>
      </c>
      <c r="AH204" s="208">
        <v>71.0</v>
      </c>
      <c r="AI204" s="208">
        <v>0.0</v>
      </c>
      <c r="AJ204" s="208">
        <v>6.0</v>
      </c>
      <c r="AK204" s="208">
        <v>51910.0</v>
      </c>
      <c r="AL204" s="208">
        <v>0.0</v>
      </c>
      <c r="AM204" s="208">
        <v>0.0</v>
      </c>
      <c r="AN204" s="208">
        <v>0.0</v>
      </c>
      <c r="AO204" s="208">
        <v>0.0</v>
      </c>
      <c r="AP204" s="208">
        <v>0.0</v>
      </c>
      <c r="AQ204" s="208">
        <v>0.0</v>
      </c>
      <c r="AR204" s="208">
        <v>732.0</v>
      </c>
      <c r="AS204" s="208">
        <v>3455.14</v>
      </c>
      <c r="AT204" s="208">
        <v>0.0</v>
      </c>
      <c r="AU204" s="208">
        <v>23.0</v>
      </c>
      <c r="AV204" s="208">
        <v>0.0</v>
      </c>
      <c r="AW204" s="208">
        <v>153.0</v>
      </c>
      <c r="AX204" s="208">
        <v>51.0</v>
      </c>
      <c r="AY204" s="208" t="s">
        <v>1270</v>
      </c>
    </row>
    <row r="205">
      <c r="A205" s="208" t="s">
        <v>298</v>
      </c>
      <c r="B205" s="208" t="s">
        <v>301</v>
      </c>
      <c r="C205" s="208" t="s">
        <v>877</v>
      </c>
      <c r="D205" s="208" t="s">
        <v>1066</v>
      </c>
      <c r="E205" s="208" t="s">
        <v>358</v>
      </c>
      <c r="F205" s="208" t="s">
        <v>1377</v>
      </c>
      <c r="G205" s="208" t="s">
        <v>298</v>
      </c>
      <c r="H205" s="208">
        <v>0.0</v>
      </c>
      <c r="I205" s="208">
        <v>0.0</v>
      </c>
      <c r="J205" s="208">
        <v>119449.0</v>
      </c>
      <c r="K205" s="208">
        <v>0.0</v>
      </c>
      <c r="L205" s="208">
        <v>40.0</v>
      </c>
      <c r="M205" s="208">
        <v>30.0</v>
      </c>
      <c r="N205" s="208">
        <v>4.0</v>
      </c>
      <c r="O205" s="208">
        <v>44.0</v>
      </c>
      <c r="P205" s="208">
        <v>14.0</v>
      </c>
      <c r="Q205" s="208">
        <v>92787.2</v>
      </c>
      <c r="R205" s="208">
        <v>26661.8</v>
      </c>
      <c r="S205" s="208">
        <v>7.0</v>
      </c>
      <c r="T205" s="208">
        <v>3.0</v>
      </c>
      <c r="U205" s="208">
        <v>10.0</v>
      </c>
      <c r="V205" s="208">
        <v>0.0</v>
      </c>
      <c r="W205" s="208">
        <v>63.0</v>
      </c>
      <c r="X205" s="208">
        <v>73.0</v>
      </c>
      <c r="Y205" s="208">
        <v>78.0</v>
      </c>
      <c r="Z205" s="208">
        <v>1.0</v>
      </c>
      <c r="AA205" s="208">
        <v>1.0</v>
      </c>
      <c r="AB205" s="208">
        <v>0.0</v>
      </c>
      <c r="AC205" s="208">
        <v>0.0</v>
      </c>
      <c r="AD205" s="208">
        <v>0.0</v>
      </c>
      <c r="AE205" s="208">
        <v>0.0</v>
      </c>
      <c r="AF205" s="208">
        <v>38.0</v>
      </c>
      <c r="AG205" s="208">
        <v>112.0</v>
      </c>
      <c r="AH205" s="208">
        <v>24.0</v>
      </c>
      <c r="AI205" s="208">
        <v>4977.0</v>
      </c>
      <c r="AJ205" s="208">
        <v>5.0</v>
      </c>
      <c r="AK205" s="208">
        <v>39330.0</v>
      </c>
      <c r="AL205" s="208">
        <v>0.0</v>
      </c>
      <c r="AM205" s="208">
        <v>0.3293</v>
      </c>
      <c r="AN205" s="208">
        <v>11945.0</v>
      </c>
      <c r="AO205" s="208">
        <v>0.0</v>
      </c>
      <c r="AP205" s="208">
        <v>0.0</v>
      </c>
      <c r="AQ205" s="208">
        <v>10.0</v>
      </c>
      <c r="AR205" s="208">
        <v>225.0</v>
      </c>
      <c r="AS205" s="208">
        <v>0.0</v>
      </c>
      <c r="AT205" s="208">
        <v>3.0</v>
      </c>
      <c r="AU205" s="208">
        <v>0.0</v>
      </c>
      <c r="AV205" s="208">
        <v>10.0</v>
      </c>
      <c r="AW205" s="208">
        <v>23.0</v>
      </c>
      <c r="AX205" s="208">
        <v>11.0</v>
      </c>
      <c r="AY205" s="208" t="s">
        <v>1269</v>
      </c>
    </row>
    <row r="206">
      <c r="A206" s="208" t="s">
        <v>53</v>
      </c>
      <c r="B206" s="208" t="s">
        <v>56</v>
      </c>
      <c r="C206" s="208" t="s">
        <v>878</v>
      </c>
      <c r="D206" s="208" t="s">
        <v>1092</v>
      </c>
      <c r="E206" s="208" t="s">
        <v>380</v>
      </c>
      <c r="F206" s="208" t="s">
        <v>1377</v>
      </c>
      <c r="G206" s="208" t="s">
        <v>754</v>
      </c>
      <c r="H206" s="208">
        <v>0.0</v>
      </c>
      <c r="I206" s="208">
        <v>0.0</v>
      </c>
      <c r="J206" s="208">
        <v>0.0</v>
      </c>
      <c r="K206" s="208">
        <v>0.0</v>
      </c>
      <c r="L206" s="208">
        <v>25.0</v>
      </c>
      <c r="M206" s="208">
        <v>0.0</v>
      </c>
      <c r="N206" s="208">
        <v>0.0</v>
      </c>
      <c r="O206" s="208">
        <v>25.0</v>
      </c>
      <c r="P206" s="208">
        <v>25.0</v>
      </c>
      <c r="Q206" s="208">
        <v>0.0</v>
      </c>
      <c r="R206" s="208">
        <v>0.0</v>
      </c>
      <c r="S206" s="208">
        <v>0.0</v>
      </c>
      <c r="T206" s="208">
        <v>0.0</v>
      </c>
      <c r="U206" s="208">
        <v>0.0</v>
      </c>
      <c r="V206" s="208">
        <v>0.0</v>
      </c>
      <c r="W206" s="208">
        <v>0.0</v>
      </c>
      <c r="X206" s="208">
        <v>0.0</v>
      </c>
      <c r="Y206" s="208">
        <v>114.0</v>
      </c>
      <c r="Z206" s="208">
        <v>0.0</v>
      </c>
      <c r="AA206" s="208">
        <v>0.0</v>
      </c>
      <c r="AB206" s="208">
        <v>0.0</v>
      </c>
      <c r="AC206" s="208">
        <v>0.0</v>
      </c>
      <c r="AD206" s="208">
        <v>0.0</v>
      </c>
      <c r="AE206" s="208">
        <v>0.0</v>
      </c>
      <c r="AF206" s="208">
        <v>0.0</v>
      </c>
      <c r="AG206" s="208">
        <v>0.0</v>
      </c>
      <c r="AH206" s="208">
        <v>0.0</v>
      </c>
      <c r="AI206" s="208">
        <v>0.0</v>
      </c>
      <c r="AJ206" s="208">
        <v>0.0</v>
      </c>
      <c r="AK206" s="208">
        <v>25215.0</v>
      </c>
      <c r="AL206" s="208">
        <v>0.0</v>
      </c>
      <c r="AM206" s="208">
        <v>0.0</v>
      </c>
      <c r="AN206" s="208">
        <v>0.0</v>
      </c>
      <c r="AO206" s="208">
        <v>0.0</v>
      </c>
      <c r="AP206" s="208">
        <v>0.0</v>
      </c>
      <c r="AQ206" s="208">
        <v>0.0</v>
      </c>
      <c r="AR206" s="208">
        <v>0.0</v>
      </c>
      <c r="AS206" s="208">
        <v>0.0</v>
      </c>
      <c r="AT206" s="208">
        <v>0.0</v>
      </c>
      <c r="AU206" s="208">
        <v>0.0</v>
      </c>
      <c r="AV206" s="208">
        <v>0.0</v>
      </c>
      <c r="AW206" s="208">
        <v>0.0</v>
      </c>
      <c r="AX206" s="208">
        <v>25.0</v>
      </c>
      <c r="AY206" s="208" t="s">
        <v>1378</v>
      </c>
    </row>
    <row r="207">
      <c r="A207" s="208" t="s">
        <v>53</v>
      </c>
      <c r="B207" s="208" t="s">
        <v>56</v>
      </c>
      <c r="C207" s="208" t="s">
        <v>879</v>
      </c>
      <c r="D207" s="208" t="s">
        <v>1092</v>
      </c>
      <c r="E207" s="208" t="s">
        <v>65</v>
      </c>
      <c r="F207" s="208" t="s">
        <v>1379</v>
      </c>
      <c r="G207" s="208" t="s">
        <v>754</v>
      </c>
      <c r="H207" s="208">
        <v>0.0</v>
      </c>
      <c r="I207" s="208">
        <v>0.0</v>
      </c>
      <c r="J207" s="208">
        <v>1309071.81</v>
      </c>
      <c r="K207" s="208">
        <v>0.0</v>
      </c>
      <c r="L207" s="208">
        <v>30.0</v>
      </c>
      <c r="M207" s="208">
        <v>35.0</v>
      </c>
      <c r="N207" s="208">
        <v>8.0</v>
      </c>
      <c r="O207" s="208">
        <v>38.0</v>
      </c>
      <c r="P207" s="208">
        <v>3.0</v>
      </c>
      <c r="Q207" s="208">
        <v>693183.18</v>
      </c>
      <c r="R207" s="208">
        <v>615888.63</v>
      </c>
      <c r="S207" s="208">
        <v>22.0</v>
      </c>
      <c r="T207" s="208">
        <v>8.0</v>
      </c>
      <c r="U207" s="208">
        <v>30.0</v>
      </c>
      <c r="V207" s="208">
        <v>0.0</v>
      </c>
      <c r="W207" s="208">
        <v>133.0</v>
      </c>
      <c r="X207" s="208">
        <v>191.0</v>
      </c>
      <c r="Y207" s="208">
        <v>139.0</v>
      </c>
      <c r="Z207" s="208">
        <v>2.0</v>
      </c>
      <c r="AA207" s="208">
        <v>41.0</v>
      </c>
      <c r="AB207" s="208">
        <v>0.0</v>
      </c>
      <c r="AC207" s="208">
        <v>0.0</v>
      </c>
      <c r="AD207" s="208">
        <v>1.0</v>
      </c>
      <c r="AE207" s="208">
        <v>1.0</v>
      </c>
      <c r="AF207" s="208">
        <v>143.0</v>
      </c>
      <c r="AG207" s="208">
        <v>376.0</v>
      </c>
      <c r="AH207" s="208">
        <v>63.0</v>
      </c>
      <c r="AI207" s="208">
        <v>20779.0</v>
      </c>
      <c r="AJ207" s="208">
        <v>6.0</v>
      </c>
      <c r="AK207" s="208">
        <v>24120.0</v>
      </c>
      <c r="AL207" s="208">
        <v>0.0</v>
      </c>
      <c r="AM207" s="208">
        <v>0.0184</v>
      </c>
      <c r="AN207" s="208">
        <v>43636.0</v>
      </c>
      <c r="AO207" s="208">
        <v>0.0</v>
      </c>
      <c r="AP207" s="208">
        <v>0.0</v>
      </c>
      <c r="AQ207" s="208">
        <v>52.0</v>
      </c>
      <c r="AR207" s="208">
        <v>608.0</v>
      </c>
      <c r="AS207" s="208">
        <v>2311.29</v>
      </c>
      <c r="AT207" s="208">
        <v>8.0</v>
      </c>
      <c r="AU207" s="208">
        <v>66.0</v>
      </c>
      <c r="AV207" s="208">
        <v>30.0</v>
      </c>
      <c r="AW207" s="208">
        <v>6.0</v>
      </c>
      <c r="AX207" s="208">
        <v>2.0</v>
      </c>
      <c r="AY207" s="208" t="s">
        <v>1270</v>
      </c>
    </row>
    <row r="208">
      <c r="A208" s="208" t="s">
        <v>23</v>
      </c>
      <c r="B208" s="208" t="s">
        <v>30</v>
      </c>
      <c r="C208" s="208" t="s">
        <v>880</v>
      </c>
      <c r="D208" s="208" t="s">
        <v>30</v>
      </c>
      <c r="E208" s="208" t="s">
        <v>340</v>
      </c>
      <c r="F208" s="534">
        <v>45755.0</v>
      </c>
      <c r="G208" s="208" t="s">
        <v>23</v>
      </c>
      <c r="H208" s="208">
        <v>0.0</v>
      </c>
      <c r="I208" s="208">
        <v>0.0</v>
      </c>
      <c r="J208" s="208">
        <v>0.0</v>
      </c>
      <c r="K208" s="208">
        <v>0.0</v>
      </c>
      <c r="L208" s="208">
        <v>1.0</v>
      </c>
      <c r="M208" s="208">
        <v>0.0</v>
      </c>
      <c r="N208" s="208">
        <v>1.0</v>
      </c>
      <c r="O208" s="208">
        <v>2.0</v>
      </c>
      <c r="P208" s="208">
        <v>2.0</v>
      </c>
      <c r="Q208" s="208">
        <v>0.0</v>
      </c>
      <c r="R208" s="208">
        <v>0.0</v>
      </c>
      <c r="S208" s="208">
        <v>0.0</v>
      </c>
      <c r="T208" s="208">
        <v>0.0</v>
      </c>
      <c r="U208" s="208">
        <v>0.0</v>
      </c>
      <c r="V208" s="208">
        <v>0.0</v>
      </c>
      <c r="W208" s="208">
        <v>0.0</v>
      </c>
      <c r="X208" s="208">
        <v>0.0</v>
      </c>
      <c r="Y208" s="208">
        <v>10.0</v>
      </c>
      <c r="Z208" s="208">
        <v>0.0</v>
      </c>
      <c r="AA208" s="208">
        <v>0.0</v>
      </c>
      <c r="AB208" s="208">
        <v>0.0</v>
      </c>
      <c r="AC208" s="208">
        <v>0.0</v>
      </c>
      <c r="AD208" s="208">
        <v>0.0</v>
      </c>
      <c r="AE208" s="208">
        <v>0.0</v>
      </c>
      <c r="AF208" s="208">
        <v>0.0</v>
      </c>
      <c r="AG208" s="208">
        <v>0.0</v>
      </c>
      <c r="AH208" s="208">
        <v>0.0</v>
      </c>
      <c r="AI208" s="208">
        <v>0.0</v>
      </c>
      <c r="AJ208" s="208">
        <v>0.0</v>
      </c>
      <c r="AK208" s="208">
        <v>34600.0</v>
      </c>
      <c r="AL208" s="208">
        <v>0.0</v>
      </c>
      <c r="AM208" s="208">
        <v>0.0</v>
      </c>
      <c r="AN208" s="208">
        <v>0.0</v>
      </c>
      <c r="AO208" s="208">
        <v>0.0</v>
      </c>
      <c r="AP208" s="208">
        <v>0.0</v>
      </c>
      <c r="AQ208" s="208">
        <v>0.0</v>
      </c>
      <c r="AR208" s="208">
        <v>0.0</v>
      </c>
      <c r="AS208" s="208">
        <v>0.0</v>
      </c>
      <c r="AT208" s="208">
        <v>0.0</v>
      </c>
      <c r="AU208" s="208">
        <v>0.0</v>
      </c>
      <c r="AV208" s="208">
        <v>0.0</v>
      </c>
      <c r="AW208" s="208">
        <v>0.0</v>
      </c>
      <c r="AX208" s="208">
        <v>2.0</v>
      </c>
      <c r="AY208" s="208" t="s">
        <v>1380</v>
      </c>
    </row>
    <row r="209">
      <c r="A209" s="208" t="s">
        <v>185</v>
      </c>
      <c r="B209" s="208" t="s">
        <v>189</v>
      </c>
      <c r="C209" s="208" t="s">
        <v>407</v>
      </c>
      <c r="D209" s="208" t="s">
        <v>1016</v>
      </c>
      <c r="E209" s="208" t="s">
        <v>187</v>
      </c>
      <c r="F209" s="534">
        <v>45846.0</v>
      </c>
      <c r="G209" s="208" t="s">
        <v>186</v>
      </c>
      <c r="H209" s="208">
        <v>0.0</v>
      </c>
      <c r="I209" s="208">
        <v>0.0</v>
      </c>
      <c r="J209" s="208">
        <v>0.0</v>
      </c>
      <c r="K209" s="208">
        <v>0.0</v>
      </c>
      <c r="L209" s="208">
        <v>59.0</v>
      </c>
      <c r="M209" s="208">
        <v>0.0</v>
      </c>
      <c r="N209" s="208">
        <v>1.0</v>
      </c>
      <c r="O209" s="208">
        <v>60.0</v>
      </c>
      <c r="P209" s="208">
        <v>60.0</v>
      </c>
      <c r="Q209" s="208">
        <v>0.0</v>
      </c>
      <c r="R209" s="208">
        <v>0.0</v>
      </c>
      <c r="S209" s="208">
        <v>0.0</v>
      </c>
      <c r="T209" s="208">
        <v>0.0</v>
      </c>
      <c r="U209" s="208">
        <v>0.0</v>
      </c>
      <c r="V209" s="208">
        <v>0.0</v>
      </c>
      <c r="W209" s="208">
        <v>0.0</v>
      </c>
      <c r="X209" s="208">
        <v>0.0</v>
      </c>
      <c r="Y209" s="208">
        <v>12.0</v>
      </c>
      <c r="Z209" s="208">
        <v>0.0</v>
      </c>
      <c r="AA209" s="208">
        <v>0.0</v>
      </c>
      <c r="AB209" s="208">
        <v>0.0</v>
      </c>
      <c r="AC209" s="208">
        <v>0.0</v>
      </c>
      <c r="AD209" s="208">
        <v>0.0</v>
      </c>
      <c r="AE209" s="208">
        <v>0.0</v>
      </c>
      <c r="AF209" s="208">
        <v>0.0</v>
      </c>
      <c r="AG209" s="208">
        <v>0.0</v>
      </c>
      <c r="AH209" s="208">
        <v>0.0</v>
      </c>
      <c r="AI209" s="208">
        <v>0.0</v>
      </c>
      <c r="AJ209" s="208">
        <v>0.0</v>
      </c>
      <c r="AK209" s="208">
        <v>33570.0</v>
      </c>
      <c r="AL209" s="208">
        <v>0.0</v>
      </c>
      <c r="AM209" s="208">
        <v>0.0</v>
      </c>
      <c r="AN209" s="208">
        <v>0.0</v>
      </c>
      <c r="AO209" s="208">
        <v>0.0</v>
      </c>
      <c r="AP209" s="208">
        <v>0.0</v>
      </c>
      <c r="AQ209" s="208">
        <v>0.0</v>
      </c>
      <c r="AR209" s="208">
        <v>0.0</v>
      </c>
      <c r="AS209" s="208">
        <v>0.0</v>
      </c>
      <c r="AT209" s="208">
        <v>0.0</v>
      </c>
      <c r="AU209" s="208">
        <v>0.0</v>
      </c>
      <c r="AV209" s="208">
        <v>0.0</v>
      </c>
      <c r="AW209" s="208">
        <v>0.0</v>
      </c>
      <c r="AX209" s="208">
        <v>60.0</v>
      </c>
      <c r="AY209" s="535">
        <v>45941.0</v>
      </c>
    </row>
    <row r="210">
      <c r="A210" s="208" t="s">
        <v>23</v>
      </c>
      <c r="B210" s="208" t="s">
        <v>37</v>
      </c>
      <c r="C210" s="208" t="s">
        <v>41</v>
      </c>
      <c r="D210" s="208" t="s">
        <v>1110</v>
      </c>
      <c r="E210" s="208" t="s">
        <v>42</v>
      </c>
      <c r="F210" s="208" t="s">
        <v>1334</v>
      </c>
      <c r="G210" s="208" t="s">
        <v>23</v>
      </c>
      <c r="H210" s="208">
        <v>0.0</v>
      </c>
      <c r="I210" s="208">
        <v>3600000.0</v>
      </c>
      <c r="J210" s="208">
        <v>3091062.98</v>
      </c>
      <c r="K210" s="208">
        <v>0.0</v>
      </c>
      <c r="L210" s="208">
        <v>149.0</v>
      </c>
      <c r="M210" s="208">
        <v>130.0</v>
      </c>
      <c r="N210" s="208">
        <v>18.0</v>
      </c>
      <c r="O210" s="208">
        <v>167.0</v>
      </c>
      <c r="P210" s="208">
        <v>37.0</v>
      </c>
      <c r="Q210" s="208">
        <v>2332230.62</v>
      </c>
      <c r="R210" s="208">
        <v>758832.36</v>
      </c>
      <c r="S210" s="208">
        <v>58.0</v>
      </c>
      <c r="T210" s="208">
        <v>18.0</v>
      </c>
      <c r="U210" s="208">
        <v>76.0</v>
      </c>
      <c r="V210" s="208">
        <v>0.0</v>
      </c>
      <c r="W210" s="208">
        <v>41.0</v>
      </c>
      <c r="X210" s="208">
        <v>73.0</v>
      </c>
      <c r="Y210" s="208">
        <v>73.0</v>
      </c>
      <c r="Z210" s="208">
        <v>3.0</v>
      </c>
      <c r="AA210" s="208">
        <v>23.0</v>
      </c>
      <c r="AB210" s="208">
        <v>0.0</v>
      </c>
      <c r="AC210" s="208">
        <v>0.0</v>
      </c>
      <c r="AD210" s="208">
        <v>0.0</v>
      </c>
      <c r="AE210" s="208">
        <v>0.0</v>
      </c>
      <c r="AF210" s="208">
        <v>432.0</v>
      </c>
      <c r="AG210" s="208">
        <v>528.0</v>
      </c>
      <c r="AH210" s="208">
        <v>74.0</v>
      </c>
      <c r="AI210" s="208">
        <v>41771.0</v>
      </c>
      <c r="AJ210" s="208">
        <v>7.0</v>
      </c>
      <c r="AK210" s="208">
        <v>28835.0</v>
      </c>
      <c r="AL210" s="208">
        <v>0.0</v>
      </c>
      <c r="AM210" s="208">
        <v>0.0093</v>
      </c>
      <c r="AN210" s="208">
        <v>40672.0</v>
      </c>
      <c r="AO210" s="208">
        <v>0.86</v>
      </c>
      <c r="AP210" s="208">
        <v>0.0</v>
      </c>
      <c r="AQ210" s="208">
        <v>134.0</v>
      </c>
      <c r="AR210" s="208">
        <v>721.0</v>
      </c>
      <c r="AS210" s="208">
        <v>3431.12</v>
      </c>
      <c r="AT210" s="208">
        <v>18.0</v>
      </c>
      <c r="AU210" s="208">
        <v>26.0</v>
      </c>
      <c r="AV210" s="208">
        <v>76.0</v>
      </c>
      <c r="AW210" s="208">
        <v>56.0</v>
      </c>
      <c r="AX210" s="208">
        <v>35.0</v>
      </c>
      <c r="AY210" s="208" t="s">
        <v>1270</v>
      </c>
    </row>
    <row r="211">
      <c r="A211" s="208" t="s">
        <v>298</v>
      </c>
      <c r="B211" s="208" t="s">
        <v>301</v>
      </c>
      <c r="C211" s="208" t="s">
        <v>318</v>
      </c>
      <c r="D211" s="208" t="s">
        <v>1066</v>
      </c>
      <c r="E211" s="208" t="s">
        <v>319</v>
      </c>
      <c r="F211" s="208" t="s">
        <v>1334</v>
      </c>
      <c r="G211" s="208" t="s">
        <v>302</v>
      </c>
      <c r="H211" s="208">
        <v>0.0</v>
      </c>
      <c r="I211" s="208">
        <v>0.0</v>
      </c>
      <c r="J211" s="208">
        <v>1657345.86</v>
      </c>
      <c r="K211" s="208">
        <v>0.0</v>
      </c>
      <c r="L211" s="208">
        <v>65.0</v>
      </c>
      <c r="M211" s="208">
        <v>52.0</v>
      </c>
      <c r="N211" s="208">
        <v>2.0</v>
      </c>
      <c r="O211" s="208">
        <v>67.0</v>
      </c>
      <c r="P211" s="208">
        <v>15.0</v>
      </c>
      <c r="Q211" s="208">
        <v>1577604.26</v>
      </c>
      <c r="R211" s="208">
        <v>79741.6</v>
      </c>
      <c r="S211" s="208">
        <v>19.0</v>
      </c>
      <c r="T211" s="208">
        <v>2.0</v>
      </c>
      <c r="U211" s="208">
        <v>21.0</v>
      </c>
      <c r="V211" s="208">
        <v>0.0</v>
      </c>
      <c r="W211" s="208">
        <v>47.0</v>
      </c>
      <c r="X211" s="208">
        <v>61.0</v>
      </c>
      <c r="Y211" s="208">
        <v>68.0</v>
      </c>
      <c r="Z211" s="208">
        <v>1.0</v>
      </c>
      <c r="AA211" s="208">
        <v>32.0</v>
      </c>
      <c r="AB211" s="208">
        <v>0.0</v>
      </c>
      <c r="AC211" s="208">
        <v>0.0</v>
      </c>
      <c r="AD211" s="208">
        <v>3.0</v>
      </c>
      <c r="AE211" s="208">
        <v>6.0</v>
      </c>
      <c r="AF211" s="208">
        <v>168.0</v>
      </c>
      <c r="AG211" s="208">
        <v>267.0</v>
      </c>
      <c r="AH211" s="208">
        <v>66.0</v>
      </c>
      <c r="AI211" s="208">
        <v>25111.0</v>
      </c>
      <c r="AJ211" s="208">
        <v>4.0</v>
      </c>
      <c r="AK211" s="208">
        <v>40885.0</v>
      </c>
      <c r="AL211" s="208">
        <v>0.0</v>
      </c>
      <c r="AM211" s="208">
        <v>0.0247</v>
      </c>
      <c r="AN211" s="208">
        <v>78921.0</v>
      </c>
      <c r="AO211" s="208">
        <v>0.0</v>
      </c>
      <c r="AP211" s="208">
        <v>0.0</v>
      </c>
      <c r="AQ211" s="208">
        <v>47.0</v>
      </c>
      <c r="AR211" s="208">
        <v>741.0</v>
      </c>
      <c r="AS211" s="208">
        <v>3156.54</v>
      </c>
      <c r="AT211" s="208">
        <v>2.0</v>
      </c>
      <c r="AU211" s="208">
        <v>61.0</v>
      </c>
      <c r="AV211" s="208">
        <v>21.0</v>
      </c>
      <c r="AW211" s="208">
        <v>33.0</v>
      </c>
      <c r="AX211" s="208">
        <v>13.0</v>
      </c>
      <c r="AY211" s="208" t="s">
        <v>1270</v>
      </c>
    </row>
    <row r="212">
      <c r="A212" s="208" t="s">
        <v>97</v>
      </c>
      <c r="B212" s="208" t="s">
        <v>101</v>
      </c>
      <c r="C212" s="208" t="s">
        <v>351</v>
      </c>
      <c r="D212" s="208" t="s">
        <v>1107</v>
      </c>
      <c r="E212" s="208" t="s">
        <v>352</v>
      </c>
      <c r="F212" s="208" t="s">
        <v>1381</v>
      </c>
      <c r="G212" s="208" t="s">
        <v>97</v>
      </c>
      <c r="H212" s="208">
        <v>0.0</v>
      </c>
      <c r="I212" s="208">
        <v>3770000.0</v>
      </c>
      <c r="J212" s="208">
        <v>771663.0</v>
      </c>
      <c r="K212" s="208">
        <v>0.0</v>
      </c>
      <c r="L212" s="208">
        <v>47.0</v>
      </c>
      <c r="M212" s="208">
        <v>45.0</v>
      </c>
      <c r="N212" s="208">
        <v>1.0</v>
      </c>
      <c r="O212" s="208">
        <v>48.0</v>
      </c>
      <c r="P212" s="208">
        <v>3.0</v>
      </c>
      <c r="Q212" s="208">
        <v>698991.0</v>
      </c>
      <c r="R212" s="208">
        <v>72672.0</v>
      </c>
      <c r="S212" s="208">
        <v>11.0</v>
      </c>
      <c r="T212" s="208">
        <v>1.0</v>
      </c>
      <c r="U212" s="208">
        <v>12.0</v>
      </c>
      <c r="V212" s="208">
        <v>0.0</v>
      </c>
      <c r="W212" s="208">
        <v>13.0</v>
      </c>
      <c r="X212" s="208">
        <v>26.0</v>
      </c>
      <c r="Y212" s="208">
        <v>7.0</v>
      </c>
      <c r="Z212" s="208">
        <v>1.0</v>
      </c>
      <c r="AA212" s="208">
        <v>1.0</v>
      </c>
      <c r="AB212" s="208">
        <v>0.0</v>
      </c>
      <c r="AC212" s="208">
        <v>0.0</v>
      </c>
      <c r="AD212" s="208">
        <v>0.0</v>
      </c>
      <c r="AE212" s="208">
        <v>0.0</v>
      </c>
      <c r="AF212" s="208">
        <v>278.0</v>
      </c>
      <c r="AG212" s="208">
        <v>305.0</v>
      </c>
      <c r="AH212" s="208">
        <v>64.0</v>
      </c>
      <c r="AI212" s="208">
        <v>12057.0</v>
      </c>
      <c r="AJ212" s="208">
        <v>5.0</v>
      </c>
      <c r="AK212" s="208">
        <v>36190.0</v>
      </c>
      <c r="AL212" s="208">
        <v>0.0</v>
      </c>
      <c r="AM212" s="208">
        <v>0.0469</v>
      </c>
      <c r="AN212" s="208">
        <v>64305.0</v>
      </c>
      <c r="AO212" s="208">
        <v>0.2</v>
      </c>
      <c r="AP212" s="208">
        <v>0.0</v>
      </c>
      <c r="AQ212" s="208">
        <v>20.0</v>
      </c>
      <c r="AR212" s="208">
        <v>496.0</v>
      </c>
      <c r="AS212" s="208">
        <v>1830.62</v>
      </c>
      <c r="AT212" s="208">
        <v>1.0</v>
      </c>
      <c r="AU212" s="208">
        <v>41.0</v>
      </c>
      <c r="AV212" s="208">
        <v>12.0</v>
      </c>
      <c r="AW212" s="208">
        <v>33.0</v>
      </c>
      <c r="AX212" s="208">
        <v>3.0</v>
      </c>
      <c r="AY212" s="208" t="s">
        <v>1270</v>
      </c>
    </row>
    <row r="213">
      <c r="A213" s="208" t="s">
        <v>185</v>
      </c>
      <c r="B213" s="208" t="s">
        <v>189</v>
      </c>
      <c r="C213" s="208" t="s">
        <v>881</v>
      </c>
      <c r="D213" s="208" t="s">
        <v>1016</v>
      </c>
      <c r="E213" s="208" t="s">
        <v>289</v>
      </c>
      <c r="F213" s="208" t="s">
        <v>1381</v>
      </c>
      <c r="G213" s="208" t="s">
        <v>186</v>
      </c>
      <c r="H213" s="208">
        <v>0.0</v>
      </c>
      <c r="I213" s="208">
        <v>4500000.0</v>
      </c>
      <c r="J213" s="208">
        <v>598730.19</v>
      </c>
      <c r="K213" s="208">
        <v>0.0</v>
      </c>
      <c r="L213" s="208">
        <v>95.0</v>
      </c>
      <c r="M213" s="208">
        <v>78.0</v>
      </c>
      <c r="N213" s="208">
        <v>0.0</v>
      </c>
      <c r="O213" s="208">
        <v>95.0</v>
      </c>
      <c r="P213" s="208">
        <v>17.0</v>
      </c>
      <c r="Q213" s="208">
        <v>598730.19</v>
      </c>
      <c r="R213" s="208">
        <v>0.0</v>
      </c>
      <c r="S213" s="208">
        <v>13.0</v>
      </c>
      <c r="T213" s="208">
        <v>0.0</v>
      </c>
      <c r="U213" s="208">
        <v>13.0</v>
      </c>
      <c r="V213" s="208">
        <v>0.0</v>
      </c>
      <c r="W213" s="208">
        <v>7.0</v>
      </c>
      <c r="X213" s="208">
        <v>7.0</v>
      </c>
      <c r="Y213" s="208">
        <v>2.0</v>
      </c>
      <c r="Z213" s="208">
        <v>1.0</v>
      </c>
      <c r="AA213" s="208">
        <v>17.0</v>
      </c>
      <c r="AB213" s="208">
        <v>0.0</v>
      </c>
      <c r="AC213" s="208">
        <v>0.0</v>
      </c>
      <c r="AD213" s="208">
        <v>0.0</v>
      </c>
      <c r="AE213" s="208">
        <v>0.0</v>
      </c>
      <c r="AF213" s="208">
        <v>260.0</v>
      </c>
      <c r="AG213" s="208">
        <v>284.0</v>
      </c>
      <c r="AH213" s="208">
        <v>65.0</v>
      </c>
      <c r="AI213" s="208">
        <v>9211.0</v>
      </c>
      <c r="AJ213" s="208">
        <v>4.0</v>
      </c>
      <c r="AK213" s="208">
        <v>27260.0</v>
      </c>
      <c r="AL213" s="208">
        <v>0.0</v>
      </c>
      <c r="AM213" s="208">
        <v>0.0455</v>
      </c>
      <c r="AN213" s="208">
        <v>46056.0</v>
      </c>
      <c r="AO213" s="208">
        <v>0.13</v>
      </c>
      <c r="AP213" s="208">
        <v>0.0</v>
      </c>
      <c r="AQ213" s="208">
        <v>15.0</v>
      </c>
      <c r="AR213" s="208">
        <v>527.0</v>
      </c>
      <c r="AS213" s="208">
        <v>2269.07</v>
      </c>
      <c r="AT213" s="208">
        <v>0.0</v>
      </c>
      <c r="AU213" s="208">
        <v>29.0</v>
      </c>
      <c r="AV213" s="208">
        <v>13.0</v>
      </c>
      <c r="AW213" s="208">
        <v>66.0</v>
      </c>
      <c r="AX213" s="208">
        <v>16.0</v>
      </c>
      <c r="AY213" s="208" t="s">
        <v>1270</v>
      </c>
    </row>
    <row r="214">
      <c r="A214" s="208" t="s">
        <v>298</v>
      </c>
      <c r="B214" s="208" t="s">
        <v>301</v>
      </c>
      <c r="C214" s="208" t="s">
        <v>359</v>
      </c>
      <c r="D214" s="208" t="s">
        <v>1066</v>
      </c>
      <c r="E214" s="208" t="s">
        <v>317</v>
      </c>
      <c r="F214" s="534">
        <v>45939.0</v>
      </c>
      <c r="G214" s="208" t="s">
        <v>298</v>
      </c>
      <c r="H214" s="208">
        <v>0.0</v>
      </c>
      <c r="I214" s="208">
        <v>0.0</v>
      </c>
      <c r="J214" s="208">
        <v>1177710.94</v>
      </c>
      <c r="K214" s="208">
        <v>0.0</v>
      </c>
      <c r="L214" s="208">
        <v>45.0</v>
      </c>
      <c r="M214" s="208">
        <v>78.0</v>
      </c>
      <c r="N214" s="208">
        <v>47.0</v>
      </c>
      <c r="O214" s="208">
        <v>92.0</v>
      </c>
      <c r="P214" s="208">
        <v>14.0</v>
      </c>
      <c r="Q214" s="208">
        <v>601064.9</v>
      </c>
      <c r="R214" s="208">
        <v>576646.04</v>
      </c>
      <c r="S214" s="208">
        <v>26.0</v>
      </c>
      <c r="T214" s="208">
        <v>46.0</v>
      </c>
      <c r="U214" s="208">
        <v>72.0</v>
      </c>
      <c r="V214" s="208">
        <v>0.0</v>
      </c>
      <c r="W214" s="208">
        <v>108.0</v>
      </c>
      <c r="X214" s="208">
        <v>141.0</v>
      </c>
      <c r="Y214" s="208">
        <v>82.0</v>
      </c>
      <c r="Z214" s="208">
        <v>3.0</v>
      </c>
      <c r="AA214" s="208">
        <v>18.0</v>
      </c>
      <c r="AB214" s="208">
        <v>0.0</v>
      </c>
      <c r="AC214" s="208">
        <v>0.0</v>
      </c>
      <c r="AD214" s="208">
        <v>4.0</v>
      </c>
      <c r="AE214" s="208">
        <v>14.0</v>
      </c>
      <c r="AF214" s="208">
        <v>325.0</v>
      </c>
      <c r="AG214" s="208">
        <v>498.0</v>
      </c>
      <c r="AH214" s="208">
        <v>59.0</v>
      </c>
      <c r="AI214" s="208">
        <v>19961.0</v>
      </c>
      <c r="AJ214" s="208">
        <v>8.0</v>
      </c>
      <c r="AK214" s="208">
        <v>40885.0</v>
      </c>
      <c r="AL214" s="208">
        <v>0.0</v>
      </c>
      <c r="AM214" s="208">
        <v>0.0347</v>
      </c>
      <c r="AN214" s="208">
        <v>16357.0</v>
      </c>
      <c r="AO214" s="208">
        <v>0.0</v>
      </c>
      <c r="AP214" s="208">
        <v>0.0</v>
      </c>
      <c r="AQ214" s="208">
        <v>118.0</v>
      </c>
      <c r="AR214" s="208">
        <v>540.0</v>
      </c>
      <c r="AS214" s="208">
        <v>2109.17</v>
      </c>
      <c r="AT214" s="208">
        <v>46.0</v>
      </c>
      <c r="AU214" s="208">
        <v>27.0</v>
      </c>
      <c r="AV214" s="208">
        <v>72.0</v>
      </c>
      <c r="AW214" s="208">
        <v>10.0</v>
      </c>
      <c r="AX214" s="208">
        <v>10.0</v>
      </c>
      <c r="AY214" s="208" t="s">
        <v>1270</v>
      </c>
    </row>
    <row r="215">
      <c r="A215" s="208" t="s">
        <v>23</v>
      </c>
      <c r="B215" s="208" t="s">
        <v>30</v>
      </c>
      <c r="C215" s="208" t="s">
        <v>882</v>
      </c>
      <c r="D215" s="208" t="s">
        <v>30</v>
      </c>
      <c r="E215" s="208" t="s">
        <v>340</v>
      </c>
      <c r="F215" s="208" t="s">
        <v>1382</v>
      </c>
      <c r="G215" s="208" t="s">
        <v>23</v>
      </c>
      <c r="H215" s="208">
        <v>0.0</v>
      </c>
      <c r="I215" s="208">
        <v>2400000.0</v>
      </c>
      <c r="J215" s="208">
        <v>169219.13</v>
      </c>
      <c r="K215" s="208">
        <v>0.0</v>
      </c>
      <c r="L215" s="208">
        <v>36.0</v>
      </c>
      <c r="M215" s="208">
        <v>38.0</v>
      </c>
      <c r="N215" s="208">
        <v>6.0</v>
      </c>
      <c r="O215" s="208">
        <v>42.0</v>
      </c>
      <c r="P215" s="208">
        <v>4.0</v>
      </c>
      <c r="Q215" s="208">
        <v>112900.09</v>
      </c>
      <c r="R215" s="208">
        <v>56319.04</v>
      </c>
      <c r="S215" s="208">
        <v>7.0</v>
      </c>
      <c r="T215" s="208">
        <v>6.0</v>
      </c>
      <c r="U215" s="208">
        <v>13.0</v>
      </c>
      <c r="V215" s="208">
        <v>0.0</v>
      </c>
      <c r="W215" s="208">
        <v>101.0</v>
      </c>
      <c r="X215" s="208">
        <v>211.0</v>
      </c>
      <c r="Y215" s="208">
        <v>69.0</v>
      </c>
      <c r="Z215" s="208">
        <v>2.0</v>
      </c>
      <c r="AA215" s="208">
        <v>24.0</v>
      </c>
      <c r="AB215" s="208">
        <v>1.0</v>
      </c>
      <c r="AC215" s="208">
        <v>1.0</v>
      </c>
      <c r="AD215" s="208">
        <v>2.0</v>
      </c>
      <c r="AE215" s="208">
        <v>14.0</v>
      </c>
      <c r="AF215" s="208">
        <v>114.0</v>
      </c>
      <c r="AG215" s="208">
        <v>364.0</v>
      </c>
      <c r="AH215" s="208">
        <v>45.0</v>
      </c>
      <c r="AI215" s="208">
        <v>3760.0</v>
      </c>
      <c r="AJ215" s="208">
        <v>8.0</v>
      </c>
      <c r="AK215" s="208">
        <v>32500.0</v>
      </c>
      <c r="AL215" s="208">
        <v>0.0</v>
      </c>
      <c r="AM215" s="208">
        <v>0.1921</v>
      </c>
      <c r="AN215" s="208">
        <v>13017.0</v>
      </c>
      <c r="AO215" s="208">
        <v>0.07</v>
      </c>
      <c r="AP215" s="208">
        <v>0.0</v>
      </c>
      <c r="AQ215" s="208">
        <v>17.0</v>
      </c>
      <c r="AR215" s="208">
        <v>376.0</v>
      </c>
      <c r="AS215" s="208">
        <v>567.99</v>
      </c>
      <c r="AT215" s="208">
        <v>6.0</v>
      </c>
      <c r="AU215" s="208">
        <v>15.0</v>
      </c>
      <c r="AV215" s="208">
        <v>13.0</v>
      </c>
      <c r="AW215" s="208">
        <v>25.0</v>
      </c>
      <c r="AX215" s="208">
        <v>4.0</v>
      </c>
      <c r="AY215" s="208" t="s">
        <v>1342</v>
      </c>
    </row>
    <row r="216">
      <c r="A216" s="208" t="s">
        <v>53</v>
      </c>
      <c r="B216" s="208" t="s">
        <v>61</v>
      </c>
      <c r="C216" s="208" t="s">
        <v>381</v>
      </c>
      <c r="D216" s="208" t="s">
        <v>1077</v>
      </c>
      <c r="E216" s="208" t="s">
        <v>382</v>
      </c>
      <c r="F216" s="208" t="s">
        <v>1383</v>
      </c>
      <c r="G216" s="208" t="s">
        <v>754</v>
      </c>
      <c r="H216" s="208">
        <v>0.0</v>
      </c>
      <c r="I216" s="208">
        <v>2000000.0</v>
      </c>
      <c r="J216" s="208">
        <v>0.0</v>
      </c>
      <c r="K216" s="208">
        <v>0.0</v>
      </c>
      <c r="L216" s="208">
        <v>18.0</v>
      </c>
      <c r="M216" s="208">
        <v>10.0</v>
      </c>
      <c r="N216" s="208">
        <v>0.0</v>
      </c>
      <c r="O216" s="208">
        <v>18.0</v>
      </c>
      <c r="P216" s="208">
        <v>8.0</v>
      </c>
      <c r="Q216" s="208">
        <v>0.0</v>
      </c>
      <c r="R216" s="208">
        <v>0.0</v>
      </c>
      <c r="S216" s="208">
        <v>0.0</v>
      </c>
      <c r="T216" s="208">
        <v>0.0</v>
      </c>
      <c r="U216" s="208">
        <v>0.0</v>
      </c>
      <c r="V216" s="208">
        <v>0.0</v>
      </c>
      <c r="W216" s="208">
        <v>100.0</v>
      </c>
      <c r="X216" s="208">
        <v>141.0</v>
      </c>
      <c r="Y216" s="208">
        <v>80.0</v>
      </c>
      <c r="Z216" s="208">
        <v>2.0</v>
      </c>
      <c r="AA216" s="208">
        <v>5.0</v>
      </c>
      <c r="AB216" s="208">
        <v>0.0</v>
      </c>
      <c r="AC216" s="208">
        <v>0.0</v>
      </c>
      <c r="AD216" s="208">
        <v>6.0</v>
      </c>
      <c r="AE216" s="208">
        <v>11.0</v>
      </c>
      <c r="AF216" s="208">
        <v>21.0</v>
      </c>
      <c r="AG216" s="208">
        <v>178.0</v>
      </c>
      <c r="AH216" s="208">
        <v>43.0</v>
      </c>
      <c r="AI216" s="208">
        <v>0.0</v>
      </c>
      <c r="AJ216" s="208">
        <v>4.0</v>
      </c>
      <c r="AK216" s="208">
        <v>41430.0</v>
      </c>
      <c r="AL216" s="208">
        <v>0.0</v>
      </c>
      <c r="AM216" s="208">
        <v>0.0</v>
      </c>
      <c r="AN216" s="208">
        <v>0.0</v>
      </c>
      <c r="AO216" s="208">
        <v>0.0</v>
      </c>
      <c r="AP216" s="208">
        <v>0.0</v>
      </c>
      <c r="AQ216" s="208">
        <v>0.0</v>
      </c>
      <c r="AR216" s="208">
        <v>379.0</v>
      </c>
      <c r="AS216" s="208">
        <v>702.55</v>
      </c>
      <c r="AT216" s="208">
        <v>0.0</v>
      </c>
      <c r="AU216" s="208">
        <v>70.0</v>
      </c>
      <c r="AV216" s="208">
        <v>0.0</v>
      </c>
      <c r="AW216" s="208">
        <v>10.0</v>
      </c>
      <c r="AX216" s="208">
        <v>8.0</v>
      </c>
      <c r="AY216" s="208" t="s">
        <v>1384</v>
      </c>
    </row>
    <row r="217">
      <c r="A217" s="208" t="s">
        <v>298</v>
      </c>
      <c r="B217" s="208" t="s">
        <v>301</v>
      </c>
      <c r="C217" s="208" t="s">
        <v>320</v>
      </c>
      <c r="D217" s="208" t="s">
        <v>1066</v>
      </c>
      <c r="E217" s="208" t="s">
        <v>321</v>
      </c>
      <c r="F217" s="534">
        <v>45818.0</v>
      </c>
      <c r="G217" s="208" t="s">
        <v>302</v>
      </c>
      <c r="H217" s="208">
        <v>0.0</v>
      </c>
      <c r="I217" s="208">
        <v>0.0</v>
      </c>
      <c r="J217" s="208">
        <v>405391.24</v>
      </c>
      <c r="K217" s="208">
        <v>0.0</v>
      </c>
      <c r="L217" s="208">
        <v>19.0</v>
      </c>
      <c r="M217" s="208">
        <v>39.0</v>
      </c>
      <c r="N217" s="208">
        <v>24.0</v>
      </c>
      <c r="O217" s="208">
        <v>43.0</v>
      </c>
      <c r="P217" s="208">
        <v>4.0</v>
      </c>
      <c r="Q217" s="208">
        <v>76016.0</v>
      </c>
      <c r="R217" s="208">
        <v>329375.24</v>
      </c>
      <c r="S217" s="208">
        <v>7.0</v>
      </c>
      <c r="T217" s="208">
        <v>24.0</v>
      </c>
      <c r="U217" s="208">
        <v>31.0</v>
      </c>
      <c r="V217" s="208">
        <v>0.0</v>
      </c>
      <c r="W217" s="208">
        <v>102.0</v>
      </c>
      <c r="X217" s="208">
        <v>213.0</v>
      </c>
      <c r="Y217" s="208">
        <v>38.0</v>
      </c>
      <c r="Z217" s="208">
        <v>2.0</v>
      </c>
      <c r="AA217" s="208">
        <v>10.0</v>
      </c>
      <c r="AB217" s="208">
        <v>1.0</v>
      </c>
      <c r="AC217" s="208">
        <v>1.0</v>
      </c>
      <c r="AD217" s="208">
        <v>1.0</v>
      </c>
      <c r="AE217" s="208">
        <v>1.0</v>
      </c>
      <c r="AF217" s="208">
        <v>158.0</v>
      </c>
      <c r="AG217" s="208">
        <v>383.0</v>
      </c>
      <c r="AH217" s="208">
        <v>67.0</v>
      </c>
      <c r="AI217" s="208">
        <v>6051.0</v>
      </c>
      <c r="AJ217" s="208">
        <v>6.0</v>
      </c>
      <c r="AK217" s="208">
        <v>34100.0</v>
      </c>
      <c r="AL217" s="208">
        <v>0.0</v>
      </c>
      <c r="AM217" s="208">
        <v>0.0841</v>
      </c>
      <c r="AN217" s="208">
        <v>13077.0</v>
      </c>
      <c r="AO217" s="208">
        <v>0.0</v>
      </c>
      <c r="AP217" s="208">
        <v>0.0</v>
      </c>
      <c r="AQ217" s="208">
        <v>41.0</v>
      </c>
      <c r="AR217" s="208">
        <v>614.0</v>
      </c>
      <c r="AS217" s="208">
        <v>1947.71</v>
      </c>
      <c r="AT217" s="208">
        <v>24.0</v>
      </c>
      <c r="AU217" s="208">
        <v>50.0</v>
      </c>
      <c r="AV217" s="208">
        <v>31.0</v>
      </c>
      <c r="AW217" s="208">
        <v>8.0</v>
      </c>
      <c r="AX217" s="208">
        <v>4.0</v>
      </c>
      <c r="AY217" s="208" t="s">
        <v>1270</v>
      </c>
    </row>
    <row r="218">
      <c r="A218" s="208" t="s">
        <v>97</v>
      </c>
      <c r="B218" s="208" t="s">
        <v>101</v>
      </c>
      <c r="C218" s="208" t="s">
        <v>109</v>
      </c>
      <c r="D218" s="208" t="s">
        <v>1062</v>
      </c>
      <c r="E218" s="208" t="s">
        <v>110</v>
      </c>
      <c r="F218" s="534">
        <v>45726.0</v>
      </c>
      <c r="G218" s="208" t="s">
        <v>876</v>
      </c>
      <c r="H218" s="208">
        <v>0.0</v>
      </c>
      <c r="I218" s="208">
        <v>4500000.0</v>
      </c>
      <c r="J218" s="208">
        <v>2374311.0</v>
      </c>
      <c r="K218" s="208">
        <v>0.0</v>
      </c>
      <c r="L218" s="208">
        <v>64.0</v>
      </c>
      <c r="M218" s="208">
        <v>64.0</v>
      </c>
      <c r="N218" s="208">
        <v>5.0</v>
      </c>
      <c r="O218" s="208">
        <v>69.0</v>
      </c>
      <c r="P218" s="208">
        <v>5.0</v>
      </c>
      <c r="Q218" s="208">
        <v>2216007.0</v>
      </c>
      <c r="R218" s="208">
        <v>158304.0</v>
      </c>
      <c r="S218" s="208">
        <v>43.0</v>
      </c>
      <c r="T218" s="208">
        <v>5.0</v>
      </c>
      <c r="U218" s="208">
        <v>48.0</v>
      </c>
      <c r="V218" s="208">
        <v>0.0</v>
      </c>
      <c r="W218" s="208">
        <v>7.0</v>
      </c>
      <c r="X218" s="208">
        <v>14.0</v>
      </c>
      <c r="Y218" s="208">
        <v>6.0</v>
      </c>
      <c r="Z218" s="208">
        <v>1.0</v>
      </c>
      <c r="AA218" s="208">
        <v>12.0</v>
      </c>
      <c r="AB218" s="208">
        <v>0.0</v>
      </c>
      <c r="AC218" s="208">
        <v>0.0</v>
      </c>
      <c r="AD218" s="208">
        <v>0.0</v>
      </c>
      <c r="AE218" s="208">
        <v>0.0</v>
      </c>
      <c r="AF218" s="208">
        <v>547.0</v>
      </c>
      <c r="AG218" s="208">
        <v>573.0</v>
      </c>
      <c r="AH218" s="208">
        <v>74.0</v>
      </c>
      <c r="AI218" s="208">
        <v>32085.0</v>
      </c>
      <c r="AJ218" s="208">
        <v>8.0</v>
      </c>
      <c r="AK218" s="208">
        <v>27000.0</v>
      </c>
      <c r="AL218" s="208">
        <v>0.0</v>
      </c>
      <c r="AM218" s="208">
        <v>0.0114</v>
      </c>
      <c r="AN218" s="208">
        <v>49465.0</v>
      </c>
      <c r="AO218" s="208">
        <v>0.53</v>
      </c>
      <c r="AP218" s="208">
        <v>0.0</v>
      </c>
      <c r="AQ218" s="208">
        <v>95.0</v>
      </c>
      <c r="AR218" s="208">
        <v>756.0</v>
      </c>
      <c r="AS218" s="208">
        <v>2581.89</v>
      </c>
      <c r="AT218" s="208">
        <v>5.0</v>
      </c>
      <c r="AU218" s="208">
        <v>40.0</v>
      </c>
      <c r="AV218" s="208">
        <v>48.0</v>
      </c>
      <c r="AW218" s="208">
        <v>16.0</v>
      </c>
      <c r="AX218" s="208">
        <v>5.0</v>
      </c>
      <c r="AY218" s="208" t="s">
        <v>1270</v>
      </c>
    </row>
    <row r="219">
      <c r="A219" s="208" t="s">
        <v>47</v>
      </c>
      <c r="B219" s="208" t="s">
        <v>422</v>
      </c>
      <c r="C219" s="208" t="s">
        <v>424</v>
      </c>
      <c r="D219" s="208" t="s">
        <v>1094</v>
      </c>
      <c r="E219" s="208" t="s">
        <v>425</v>
      </c>
      <c r="F219" s="208" t="s">
        <v>1363</v>
      </c>
      <c r="G219" s="208" t="s">
        <v>866</v>
      </c>
      <c r="H219" s="208">
        <v>0.0</v>
      </c>
      <c r="I219" s="208">
        <v>0.0</v>
      </c>
      <c r="J219" s="208">
        <v>0.0</v>
      </c>
      <c r="K219" s="208">
        <v>0.0</v>
      </c>
      <c r="L219" s="208">
        <v>0.0</v>
      </c>
      <c r="M219" s="208">
        <v>0.0</v>
      </c>
      <c r="N219" s="208">
        <v>0.0</v>
      </c>
      <c r="O219" s="208">
        <v>0.0</v>
      </c>
      <c r="P219" s="208">
        <v>0.0</v>
      </c>
      <c r="Q219" s="208">
        <v>0.0</v>
      </c>
      <c r="R219" s="208">
        <v>0.0</v>
      </c>
      <c r="S219" s="208">
        <v>0.0</v>
      </c>
      <c r="T219" s="208">
        <v>0.0</v>
      </c>
      <c r="U219" s="208">
        <v>0.0</v>
      </c>
      <c r="V219" s="208">
        <v>0.0</v>
      </c>
      <c r="W219" s="208">
        <v>0.0</v>
      </c>
      <c r="X219" s="208">
        <v>0.0</v>
      </c>
      <c r="Y219" s="208">
        <v>3.0</v>
      </c>
      <c r="Z219" s="208">
        <v>0.0</v>
      </c>
      <c r="AA219" s="208">
        <v>0.0</v>
      </c>
      <c r="AB219" s="208">
        <v>0.0</v>
      </c>
      <c r="AC219" s="208">
        <v>0.0</v>
      </c>
      <c r="AD219" s="208">
        <v>0.0</v>
      </c>
      <c r="AE219" s="208">
        <v>0.0</v>
      </c>
      <c r="AF219" s="208">
        <v>0.0</v>
      </c>
      <c r="AG219" s="208">
        <v>0.0</v>
      </c>
      <c r="AH219" s="208">
        <v>0.0</v>
      </c>
      <c r="AI219" s="208">
        <v>0.0</v>
      </c>
      <c r="AJ219" s="208">
        <v>0.0</v>
      </c>
      <c r="AK219" s="208">
        <v>24115.0</v>
      </c>
      <c r="AL219" s="208">
        <v>0.0</v>
      </c>
      <c r="AM219" s="208">
        <v>0.0</v>
      </c>
      <c r="AN219" s="208">
        <v>0.0</v>
      </c>
      <c r="AO219" s="208">
        <v>0.0</v>
      </c>
      <c r="AP219" s="208">
        <v>0.0</v>
      </c>
      <c r="AQ219" s="208">
        <v>0.0</v>
      </c>
      <c r="AR219" s="208">
        <v>0.0</v>
      </c>
      <c r="AS219" s="208">
        <v>0.0</v>
      </c>
      <c r="AT219" s="208">
        <v>0.0</v>
      </c>
      <c r="AU219" s="208">
        <v>0.0</v>
      </c>
      <c r="AV219" s="208">
        <v>0.0</v>
      </c>
      <c r="AW219" s="208">
        <v>0.0</v>
      </c>
      <c r="AX219" s="208">
        <v>0.0</v>
      </c>
      <c r="AY219" s="208" t="s">
        <v>1306</v>
      </c>
    </row>
    <row r="220">
      <c r="A220" s="208" t="s">
        <v>126</v>
      </c>
      <c r="B220" s="208" t="s">
        <v>135</v>
      </c>
      <c r="C220" s="208" t="s">
        <v>175</v>
      </c>
      <c r="D220" s="208" t="s">
        <v>1042</v>
      </c>
      <c r="E220" s="208" t="s">
        <v>176</v>
      </c>
      <c r="F220" s="534">
        <v>45727.0</v>
      </c>
      <c r="G220" s="208" t="s">
        <v>136</v>
      </c>
      <c r="H220" s="208">
        <v>0.0</v>
      </c>
      <c r="I220" s="208">
        <v>4200000.0</v>
      </c>
      <c r="J220" s="208">
        <v>970650.3</v>
      </c>
      <c r="K220" s="208">
        <v>252706.54</v>
      </c>
      <c r="L220" s="208">
        <v>74.0</v>
      </c>
      <c r="M220" s="208">
        <v>71.0</v>
      </c>
      <c r="N220" s="208">
        <v>7.0</v>
      </c>
      <c r="O220" s="208">
        <v>81.0</v>
      </c>
      <c r="P220" s="208">
        <v>10.0</v>
      </c>
      <c r="Q220" s="208">
        <v>719709.6</v>
      </c>
      <c r="R220" s="208">
        <v>250940.7</v>
      </c>
      <c r="S220" s="208">
        <v>32.0</v>
      </c>
      <c r="T220" s="208">
        <v>7.0</v>
      </c>
      <c r="U220" s="208">
        <v>39.0</v>
      </c>
      <c r="V220" s="208">
        <v>1.0</v>
      </c>
      <c r="W220" s="208">
        <v>166.0</v>
      </c>
      <c r="X220" s="208">
        <v>197.0</v>
      </c>
      <c r="Y220" s="208">
        <v>102.0</v>
      </c>
      <c r="Z220" s="208">
        <v>2.0</v>
      </c>
      <c r="AA220" s="208">
        <v>37.0</v>
      </c>
      <c r="AB220" s="208">
        <v>2.0</v>
      </c>
      <c r="AC220" s="208">
        <v>5.0</v>
      </c>
      <c r="AD220" s="208">
        <v>4.0</v>
      </c>
      <c r="AE220" s="208">
        <v>5.0</v>
      </c>
      <c r="AF220" s="208">
        <v>208.0</v>
      </c>
      <c r="AG220" s="208">
        <v>452.0</v>
      </c>
      <c r="AH220" s="208">
        <v>70.0</v>
      </c>
      <c r="AI220" s="208">
        <v>13866.0</v>
      </c>
      <c r="AJ220" s="208">
        <v>6.0</v>
      </c>
      <c r="AK220" s="208">
        <v>36190.0</v>
      </c>
      <c r="AL220" s="208">
        <v>0.0</v>
      </c>
      <c r="AM220" s="208">
        <v>0.0373</v>
      </c>
      <c r="AN220" s="208">
        <v>24888.0</v>
      </c>
      <c r="AO220" s="208">
        <v>0.23</v>
      </c>
      <c r="AP220" s="208">
        <v>0.0</v>
      </c>
      <c r="AQ220" s="208">
        <v>63.0</v>
      </c>
      <c r="AR220" s="208">
        <v>735.0</v>
      </c>
      <c r="AS220" s="208">
        <v>2269.46</v>
      </c>
      <c r="AT220" s="208">
        <v>7.0</v>
      </c>
      <c r="AU220" s="208">
        <v>32.0</v>
      </c>
      <c r="AV220" s="208">
        <v>39.0</v>
      </c>
      <c r="AW220" s="208">
        <v>32.0</v>
      </c>
      <c r="AX220" s="208">
        <v>10.0</v>
      </c>
      <c r="AY220" s="208" t="s">
        <v>1270</v>
      </c>
    </row>
    <row r="221">
      <c r="A221" s="208" t="s">
        <v>126</v>
      </c>
      <c r="B221" s="208" t="s">
        <v>130</v>
      </c>
      <c r="C221" s="208" t="s">
        <v>177</v>
      </c>
      <c r="D221" s="208" t="s">
        <v>130</v>
      </c>
      <c r="E221" s="208" t="s">
        <v>178</v>
      </c>
      <c r="F221" s="534">
        <v>45727.0</v>
      </c>
      <c r="G221" s="208" t="s">
        <v>580</v>
      </c>
      <c r="H221" s="208">
        <v>0.0</v>
      </c>
      <c r="I221" s="208">
        <v>6000000.0</v>
      </c>
      <c r="J221" s="208">
        <v>1173537.13</v>
      </c>
      <c r="K221" s="208">
        <v>0.0</v>
      </c>
      <c r="L221" s="208">
        <v>20.0</v>
      </c>
      <c r="M221" s="208">
        <v>49.0</v>
      </c>
      <c r="N221" s="208">
        <v>31.0</v>
      </c>
      <c r="O221" s="208">
        <v>51.0</v>
      </c>
      <c r="P221" s="208">
        <v>2.0</v>
      </c>
      <c r="Q221" s="208">
        <v>221434.7</v>
      </c>
      <c r="R221" s="208">
        <v>952102.43</v>
      </c>
      <c r="S221" s="208">
        <v>9.0</v>
      </c>
      <c r="T221" s="208">
        <v>31.0</v>
      </c>
      <c r="U221" s="208">
        <v>40.0</v>
      </c>
      <c r="V221" s="208">
        <v>0.0</v>
      </c>
      <c r="W221" s="208">
        <v>47.0</v>
      </c>
      <c r="X221" s="208">
        <v>75.0</v>
      </c>
      <c r="Y221" s="208">
        <v>17.0</v>
      </c>
      <c r="Z221" s="208">
        <v>5.0</v>
      </c>
      <c r="AA221" s="208">
        <v>48.0</v>
      </c>
      <c r="AB221" s="208">
        <v>0.0</v>
      </c>
      <c r="AC221" s="208">
        <v>0.0</v>
      </c>
      <c r="AD221" s="208">
        <v>21.0</v>
      </c>
      <c r="AE221" s="208">
        <v>65.0</v>
      </c>
      <c r="AF221" s="208">
        <v>153.0</v>
      </c>
      <c r="AG221" s="208">
        <v>341.0</v>
      </c>
      <c r="AH221" s="208">
        <v>72.0</v>
      </c>
      <c r="AI221" s="208">
        <v>16299.0</v>
      </c>
      <c r="AJ221" s="208">
        <v>5.0</v>
      </c>
      <c r="AK221" s="208">
        <v>65825.0</v>
      </c>
      <c r="AL221" s="208">
        <v>0.0</v>
      </c>
      <c r="AM221" s="208">
        <v>0.0561</v>
      </c>
      <c r="AN221" s="208">
        <v>29338.0</v>
      </c>
      <c r="AO221" s="208">
        <v>0.2</v>
      </c>
      <c r="AP221" s="208">
        <v>0.0</v>
      </c>
      <c r="AQ221" s="208">
        <v>76.0</v>
      </c>
      <c r="AR221" s="208">
        <v>664.0</v>
      </c>
      <c r="AS221" s="208">
        <v>2023.28</v>
      </c>
      <c r="AT221" s="208">
        <v>31.0</v>
      </c>
      <c r="AU221" s="208">
        <v>41.0</v>
      </c>
      <c r="AV221" s="208">
        <v>40.0</v>
      </c>
      <c r="AW221" s="208">
        <v>9.0</v>
      </c>
      <c r="AX221" s="208">
        <v>2.0</v>
      </c>
      <c r="AY221" s="208" t="s">
        <v>1270</v>
      </c>
    </row>
    <row r="222">
      <c r="A222" s="208" t="s">
        <v>53</v>
      </c>
      <c r="B222" s="208" t="s">
        <v>61</v>
      </c>
      <c r="C222" s="208" t="s">
        <v>884</v>
      </c>
      <c r="D222" s="208" t="s">
        <v>1077</v>
      </c>
      <c r="E222" s="208" t="s">
        <v>1119</v>
      </c>
      <c r="F222" s="534">
        <v>45727.0</v>
      </c>
      <c r="H222" s="208">
        <v>0.0</v>
      </c>
      <c r="I222" s="208">
        <v>0.0</v>
      </c>
      <c r="J222" s="208">
        <v>0.0</v>
      </c>
      <c r="K222" s="208">
        <v>0.0</v>
      </c>
      <c r="L222" s="208">
        <v>5.0</v>
      </c>
      <c r="M222" s="208">
        <v>0.0</v>
      </c>
      <c r="N222" s="208">
        <v>0.0</v>
      </c>
      <c r="O222" s="208">
        <v>5.0</v>
      </c>
      <c r="P222" s="208">
        <v>5.0</v>
      </c>
      <c r="Q222" s="208">
        <v>0.0</v>
      </c>
      <c r="R222" s="208">
        <v>0.0</v>
      </c>
      <c r="S222" s="208">
        <v>0.0</v>
      </c>
      <c r="T222" s="208">
        <v>0.0</v>
      </c>
      <c r="U222" s="208">
        <v>0.0</v>
      </c>
      <c r="V222" s="208">
        <v>0.0</v>
      </c>
      <c r="W222" s="208">
        <v>0.0</v>
      </c>
      <c r="X222" s="208">
        <v>0.0</v>
      </c>
      <c r="Y222" s="208">
        <v>21.0</v>
      </c>
      <c r="Z222" s="208">
        <v>0.0</v>
      </c>
      <c r="AA222" s="208">
        <v>0.0</v>
      </c>
      <c r="AB222" s="208">
        <v>0.0</v>
      </c>
      <c r="AC222" s="208">
        <v>0.0</v>
      </c>
      <c r="AD222" s="208">
        <v>0.0</v>
      </c>
      <c r="AE222" s="208">
        <v>0.0</v>
      </c>
      <c r="AF222" s="208">
        <v>0.0</v>
      </c>
      <c r="AG222" s="208">
        <v>0.0</v>
      </c>
      <c r="AH222" s="208">
        <v>0.0</v>
      </c>
      <c r="AI222" s="208">
        <v>0.0</v>
      </c>
      <c r="AJ222" s="208">
        <v>0.0</v>
      </c>
      <c r="AK222" s="208">
        <v>24115.0</v>
      </c>
      <c r="AL222" s="208">
        <v>0.0</v>
      </c>
      <c r="AM222" s="208">
        <v>0.0</v>
      </c>
      <c r="AN222" s="208">
        <v>0.0</v>
      </c>
      <c r="AO222" s="208">
        <v>0.0</v>
      </c>
      <c r="AP222" s="208">
        <v>0.0</v>
      </c>
      <c r="AQ222" s="208">
        <v>0.0</v>
      </c>
      <c r="AR222" s="208">
        <v>0.0</v>
      </c>
      <c r="AS222" s="208">
        <v>0.0</v>
      </c>
      <c r="AT222" s="208">
        <v>0.0</v>
      </c>
      <c r="AU222" s="208">
        <v>0.0</v>
      </c>
      <c r="AV222" s="208">
        <v>0.0</v>
      </c>
      <c r="AW222" s="208">
        <v>0.0</v>
      </c>
      <c r="AX222" s="208">
        <v>5.0</v>
      </c>
      <c r="AY222" s="535">
        <v>45972.0</v>
      </c>
    </row>
    <row r="223">
      <c r="A223" s="208" t="s">
        <v>126</v>
      </c>
      <c r="B223" s="208" t="s">
        <v>135</v>
      </c>
      <c r="C223" s="208" t="s">
        <v>179</v>
      </c>
      <c r="D223" s="208" t="s">
        <v>1042</v>
      </c>
      <c r="E223" s="208" t="s">
        <v>1385</v>
      </c>
      <c r="F223" s="535">
        <v>45941.0</v>
      </c>
      <c r="G223" s="208" t="s">
        <v>772</v>
      </c>
      <c r="H223" s="208">
        <v>0.0</v>
      </c>
      <c r="I223" s="208">
        <v>3600000.0</v>
      </c>
      <c r="J223" s="208">
        <v>1302692.38</v>
      </c>
      <c r="K223" s="208">
        <v>0.0</v>
      </c>
      <c r="L223" s="208">
        <v>17.0</v>
      </c>
      <c r="M223" s="208">
        <v>23.0</v>
      </c>
      <c r="N223" s="208">
        <v>13.0</v>
      </c>
      <c r="O223" s="208">
        <v>30.0</v>
      </c>
      <c r="P223" s="208">
        <v>7.0</v>
      </c>
      <c r="Q223" s="208">
        <v>127931.84</v>
      </c>
      <c r="R223" s="208">
        <v>1174760.54</v>
      </c>
      <c r="S223" s="208">
        <v>6.0</v>
      </c>
      <c r="T223" s="208">
        <v>13.0</v>
      </c>
      <c r="U223" s="208">
        <v>19.0</v>
      </c>
      <c r="V223" s="208">
        <v>0.0</v>
      </c>
      <c r="W223" s="208">
        <v>78.0</v>
      </c>
      <c r="X223" s="208">
        <v>124.0</v>
      </c>
      <c r="Y223" s="208">
        <v>42.0</v>
      </c>
      <c r="Z223" s="208">
        <v>1.0</v>
      </c>
      <c r="AA223" s="208">
        <v>18.0</v>
      </c>
      <c r="AB223" s="208">
        <v>0.0</v>
      </c>
      <c r="AC223" s="208">
        <v>0.0</v>
      </c>
      <c r="AD223" s="208">
        <v>0.0</v>
      </c>
      <c r="AE223" s="208">
        <v>0.0</v>
      </c>
      <c r="AF223" s="208">
        <v>53.0</v>
      </c>
      <c r="AG223" s="208">
        <v>195.0</v>
      </c>
      <c r="AH223" s="208">
        <v>59.0</v>
      </c>
      <c r="AI223" s="208">
        <v>22080.0</v>
      </c>
      <c r="AJ223" s="208">
        <v>3.0</v>
      </c>
      <c r="AK223" s="208">
        <v>32500.0</v>
      </c>
      <c r="AL223" s="208">
        <v>0.0</v>
      </c>
      <c r="AM223" s="208">
        <v>0.0249</v>
      </c>
      <c r="AN223" s="208">
        <v>68563.0</v>
      </c>
      <c r="AO223" s="208">
        <v>0.36</v>
      </c>
      <c r="AP223" s="208">
        <v>0.0</v>
      </c>
      <c r="AQ223" s="208">
        <v>43.0</v>
      </c>
      <c r="AR223" s="208">
        <v>658.0</v>
      </c>
      <c r="AS223" s="208">
        <v>5126.7</v>
      </c>
      <c r="AT223" s="208">
        <v>13.0</v>
      </c>
      <c r="AU223" s="208">
        <v>223.0</v>
      </c>
      <c r="AV223" s="208">
        <v>19.0</v>
      </c>
      <c r="AW223" s="208">
        <v>6.0</v>
      </c>
      <c r="AX223" s="208">
        <v>5.0</v>
      </c>
      <c r="AY223" s="208" t="s">
        <v>1270</v>
      </c>
    </row>
    <row r="224">
      <c r="A224" s="208" t="s">
        <v>185</v>
      </c>
      <c r="B224" s="208" t="s">
        <v>85</v>
      </c>
      <c r="C224" s="208" t="s">
        <v>400</v>
      </c>
      <c r="D224" s="208" t="s">
        <v>1058</v>
      </c>
      <c r="E224" s="208" t="s">
        <v>398</v>
      </c>
      <c r="F224" s="208" t="s">
        <v>1386</v>
      </c>
      <c r="G224" s="208" t="s">
        <v>97</v>
      </c>
      <c r="H224" s="208">
        <v>0.0</v>
      </c>
      <c r="I224" s="208">
        <v>0.0</v>
      </c>
      <c r="J224" s="208">
        <v>0.0</v>
      </c>
      <c r="K224" s="208">
        <v>0.0</v>
      </c>
      <c r="L224" s="208">
        <v>6.0</v>
      </c>
      <c r="M224" s="208">
        <v>0.0</v>
      </c>
      <c r="N224" s="208">
        <v>0.0</v>
      </c>
      <c r="O224" s="208">
        <v>6.0</v>
      </c>
      <c r="P224" s="208">
        <v>6.0</v>
      </c>
      <c r="Q224" s="208">
        <v>0.0</v>
      </c>
      <c r="R224" s="208">
        <v>0.0</v>
      </c>
      <c r="S224" s="208">
        <v>0.0</v>
      </c>
      <c r="T224" s="208">
        <v>0.0</v>
      </c>
      <c r="U224" s="208">
        <v>0.0</v>
      </c>
      <c r="V224" s="208">
        <v>0.0</v>
      </c>
      <c r="W224" s="208">
        <v>0.0</v>
      </c>
      <c r="X224" s="208">
        <v>0.0</v>
      </c>
      <c r="Y224" s="208">
        <v>30.0</v>
      </c>
      <c r="Z224" s="208">
        <v>0.0</v>
      </c>
      <c r="AA224" s="208">
        <v>0.0</v>
      </c>
      <c r="AB224" s="208">
        <v>0.0</v>
      </c>
      <c r="AC224" s="208">
        <v>0.0</v>
      </c>
      <c r="AD224" s="208">
        <v>0.0</v>
      </c>
      <c r="AE224" s="208">
        <v>0.0</v>
      </c>
      <c r="AF224" s="208">
        <v>0.0</v>
      </c>
      <c r="AG224" s="208">
        <v>0.0</v>
      </c>
      <c r="AH224" s="208">
        <v>0.0</v>
      </c>
      <c r="AI224" s="208">
        <v>0.0</v>
      </c>
      <c r="AJ224" s="208">
        <v>0.0</v>
      </c>
      <c r="AK224" s="208">
        <v>48765.0</v>
      </c>
      <c r="AL224" s="208">
        <v>0.0</v>
      </c>
      <c r="AM224" s="208">
        <v>0.0</v>
      </c>
      <c r="AN224" s="208">
        <v>0.0</v>
      </c>
      <c r="AO224" s="208">
        <v>0.0</v>
      </c>
      <c r="AP224" s="208">
        <v>0.0</v>
      </c>
      <c r="AQ224" s="208">
        <v>0.0</v>
      </c>
      <c r="AR224" s="208">
        <v>0.0</v>
      </c>
      <c r="AS224" s="208">
        <v>0.0</v>
      </c>
      <c r="AT224" s="208">
        <v>0.0</v>
      </c>
      <c r="AU224" s="208">
        <v>0.0</v>
      </c>
      <c r="AV224" s="208">
        <v>0.0</v>
      </c>
      <c r="AW224" s="208">
        <v>0.0</v>
      </c>
      <c r="AX224" s="208">
        <v>6.0</v>
      </c>
      <c r="AY224" s="208" t="s">
        <v>1387</v>
      </c>
    </row>
    <row r="225">
      <c r="A225" s="208" t="s">
        <v>53</v>
      </c>
      <c r="B225" s="208" t="s">
        <v>61</v>
      </c>
      <c r="C225" s="208" t="s">
        <v>66</v>
      </c>
      <c r="D225" s="208" t="s">
        <v>1077</v>
      </c>
      <c r="E225" s="208" t="s">
        <v>67</v>
      </c>
      <c r="F225" s="208" t="s">
        <v>1388</v>
      </c>
      <c r="G225" s="208" t="s">
        <v>754</v>
      </c>
      <c r="H225" s="208">
        <v>0.0</v>
      </c>
      <c r="I225" s="208">
        <v>3000000.0</v>
      </c>
      <c r="J225" s="208">
        <v>409895.87</v>
      </c>
      <c r="K225" s="208">
        <v>0.0</v>
      </c>
      <c r="L225" s="208">
        <v>36.0</v>
      </c>
      <c r="M225" s="208">
        <v>35.0</v>
      </c>
      <c r="N225" s="208">
        <v>4.0</v>
      </c>
      <c r="O225" s="208">
        <v>40.0</v>
      </c>
      <c r="P225" s="208">
        <v>5.0</v>
      </c>
      <c r="Q225" s="208">
        <v>136298.67</v>
      </c>
      <c r="R225" s="208">
        <v>273597.2</v>
      </c>
      <c r="S225" s="208">
        <v>4.0</v>
      </c>
      <c r="T225" s="208">
        <v>4.0</v>
      </c>
      <c r="U225" s="208">
        <v>8.0</v>
      </c>
      <c r="V225" s="208">
        <v>0.0</v>
      </c>
      <c r="W225" s="208">
        <v>108.0</v>
      </c>
      <c r="X225" s="208">
        <v>177.0</v>
      </c>
      <c r="Y225" s="208">
        <v>47.0</v>
      </c>
      <c r="Z225" s="208">
        <v>3.0</v>
      </c>
      <c r="AA225" s="208">
        <v>60.0</v>
      </c>
      <c r="AB225" s="208">
        <v>0.0</v>
      </c>
      <c r="AC225" s="208">
        <v>0.0</v>
      </c>
      <c r="AD225" s="208">
        <v>1.0</v>
      </c>
      <c r="AE225" s="208">
        <v>1.0</v>
      </c>
      <c r="AF225" s="208">
        <v>169.0</v>
      </c>
      <c r="AG225" s="208">
        <v>407.0</v>
      </c>
      <c r="AH225" s="208">
        <v>70.0</v>
      </c>
      <c r="AI225" s="208">
        <v>5856.0</v>
      </c>
      <c r="AJ225" s="208">
        <v>6.0</v>
      </c>
      <c r="AK225" s="208">
        <v>37740.0</v>
      </c>
      <c r="AL225" s="208">
        <v>0.0</v>
      </c>
      <c r="AM225" s="208">
        <v>0.0921</v>
      </c>
      <c r="AN225" s="208">
        <v>51237.0</v>
      </c>
      <c r="AO225" s="208">
        <v>0.14</v>
      </c>
      <c r="AP225" s="208">
        <v>0.0</v>
      </c>
      <c r="AQ225" s="208">
        <v>16.0</v>
      </c>
      <c r="AR225" s="208">
        <v>621.0</v>
      </c>
      <c r="AS225" s="208">
        <v>1385.95</v>
      </c>
      <c r="AT225" s="208">
        <v>4.0</v>
      </c>
      <c r="AU225" s="208">
        <v>40.0</v>
      </c>
      <c r="AV225" s="208">
        <v>8.0</v>
      </c>
      <c r="AW225" s="208">
        <v>27.0</v>
      </c>
      <c r="AX225" s="208">
        <v>5.0</v>
      </c>
      <c r="AY225" s="208" t="s">
        <v>1270</v>
      </c>
    </row>
    <row r="226">
      <c r="A226" s="208" t="s">
        <v>53</v>
      </c>
      <c r="B226" s="208" t="s">
        <v>56</v>
      </c>
      <c r="C226" s="208" t="s">
        <v>70</v>
      </c>
      <c r="D226" s="208" t="s">
        <v>1092</v>
      </c>
      <c r="E226" s="208" t="s">
        <v>71</v>
      </c>
      <c r="F226" s="534">
        <v>45669.0</v>
      </c>
      <c r="G226" s="208" t="s">
        <v>754</v>
      </c>
      <c r="H226" s="208">
        <v>0.0</v>
      </c>
      <c r="I226" s="208">
        <v>1800000.0</v>
      </c>
      <c r="J226" s="208">
        <v>576720.72</v>
      </c>
      <c r="K226" s="208">
        <v>0.0</v>
      </c>
      <c r="L226" s="208">
        <v>12.0</v>
      </c>
      <c r="M226" s="208">
        <v>18.0</v>
      </c>
      <c r="N226" s="208">
        <v>8.0</v>
      </c>
      <c r="O226" s="208">
        <v>20.0</v>
      </c>
      <c r="P226" s="208">
        <v>2.0</v>
      </c>
      <c r="Q226" s="208">
        <v>101341.21</v>
      </c>
      <c r="R226" s="208">
        <v>475379.51</v>
      </c>
      <c r="S226" s="208">
        <v>2.0</v>
      </c>
      <c r="T226" s="208">
        <v>8.0</v>
      </c>
      <c r="U226" s="208">
        <v>10.0</v>
      </c>
      <c r="V226" s="208">
        <v>0.0</v>
      </c>
      <c r="W226" s="208">
        <v>229.0</v>
      </c>
      <c r="X226" s="208">
        <v>432.0</v>
      </c>
      <c r="Y226" s="208">
        <v>66.0</v>
      </c>
      <c r="Z226" s="208">
        <v>3.0</v>
      </c>
      <c r="AA226" s="208">
        <v>21.0</v>
      </c>
      <c r="AB226" s="208">
        <v>0.0</v>
      </c>
      <c r="AC226" s="208">
        <v>0.0</v>
      </c>
      <c r="AD226" s="208">
        <v>2.0</v>
      </c>
      <c r="AE226" s="208">
        <v>10.0</v>
      </c>
      <c r="AF226" s="208">
        <v>81.0</v>
      </c>
      <c r="AG226" s="208">
        <v>544.0</v>
      </c>
      <c r="AH226" s="208">
        <v>69.0</v>
      </c>
      <c r="AI226" s="208">
        <v>8358.0</v>
      </c>
      <c r="AJ226" s="208">
        <v>8.0</v>
      </c>
      <c r="AK226" s="208">
        <v>28834.0</v>
      </c>
      <c r="AL226" s="208">
        <v>0.0</v>
      </c>
      <c r="AM226" s="208">
        <v>0.05</v>
      </c>
      <c r="AN226" s="208">
        <v>57672.0</v>
      </c>
      <c r="AO226" s="208">
        <v>0.32</v>
      </c>
      <c r="AP226" s="208">
        <v>0.0</v>
      </c>
      <c r="AQ226" s="208">
        <v>13.0</v>
      </c>
      <c r="AR226" s="208">
        <v>673.0</v>
      </c>
      <c r="AS226" s="208">
        <v>3258.35</v>
      </c>
      <c r="AT226" s="208">
        <v>8.0</v>
      </c>
      <c r="AU226" s="208">
        <v>181.0</v>
      </c>
      <c r="AV226" s="208">
        <v>10.0</v>
      </c>
      <c r="AW226" s="208">
        <v>10.0</v>
      </c>
      <c r="AX226" s="208">
        <v>0.0</v>
      </c>
      <c r="AY226" s="208" t="s">
        <v>1270</v>
      </c>
    </row>
    <row r="227">
      <c r="A227" s="208" t="s">
        <v>53</v>
      </c>
      <c r="B227" s="208" t="s">
        <v>61</v>
      </c>
      <c r="C227" s="208" t="s">
        <v>68</v>
      </c>
      <c r="D227" s="208" t="s">
        <v>1077</v>
      </c>
      <c r="E227" s="208" t="s">
        <v>69</v>
      </c>
      <c r="F227" s="534">
        <v>45669.0</v>
      </c>
      <c r="G227" s="208" t="s">
        <v>754</v>
      </c>
      <c r="H227" s="208">
        <v>0.0</v>
      </c>
      <c r="I227" s="208">
        <v>1500000.0</v>
      </c>
      <c r="J227" s="208">
        <v>0.0</v>
      </c>
      <c r="K227" s="208">
        <v>0.0</v>
      </c>
      <c r="L227" s="208">
        <v>39.0</v>
      </c>
      <c r="M227" s="208">
        <v>36.0</v>
      </c>
      <c r="N227" s="208">
        <v>0.0</v>
      </c>
      <c r="O227" s="208">
        <v>39.0</v>
      </c>
      <c r="P227" s="208">
        <v>3.0</v>
      </c>
      <c r="Q227" s="208">
        <v>0.0</v>
      </c>
      <c r="R227" s="208">
        <v>0.0</v>
      </c>
      <c r="S227" s="208">
        <v>0.0</v>
      </c>
      <c r="T227" s="208">
        <v>0.0</v>
      </c>
      <c r="U227" s="208">
        <v>0.0</v>
      </c>
      <c r="V227" s="208">
        <v>0.0</v>
      </c>
      <c r="W227" s="208">
        <v>151.0</v>
      </c>
      <c r="X227" s="208">
        <v>278.0</v>
      </c>
      <c r="Y227" s="208">
        <v>20.0</v>
      </c>
      <c r="Z227" s="208">
        <v>2.0</v>
      </c>
      <c r="AA227" s="208">
        <v>4.0</v>
      </c>
      <c r="AB227" s="208">
        <v>0.0</v>
      </c>
      <c r="AC227" s="208">
        <v>0.0</v>
      </c>
      <c r="AD227" s="208">
        <v>4.0</v>
      </c>
      <c r="AE227" s="208">
        <v>5.0</v>
      </c>
      <c r="AF227" s="208">
        <v>66.0</v>
      </c>
      <c r="AG227" s="208">
        <v>353.0</v>
      </c>
      <c r="AH227" s="208">
        <v>69.0</v>
      </c>
      <c r="AI227" s="208">
        <v>0.0</v>
      </c>
      <c r="AJ227" s="208">
        <v>5.0</v>
      </c>
      <c r="AK227" s="208">
        <v>24116.0</v>
      </c>
      <c r="AL227" s="208">
        <v>0.0</v>
      </c>
      <c r="AM227" s="208">
        <v>0.0</v>
      </c>
      <c r="AN227" s="208">
        <v>0.0</v>
      </c>
      <c r="AO227" s="208">
        <v>0.0</v>
      </c>
      <c r="AP227" s="208">
        <v>0.0</v>
      </c>
      <c r="AQ227" s="208">
        <v>0.0</v>
      </c>
      <c r="AR227" s="208">
        <v>622.0</v>
      </c>
      <c r="AS227" s="208">
        <v>2250.49</v>
      </c>
      <c r="AT227" s="208">
        <v>0.0</v>
      </c>
      <c r="AU227" s="208">
        <v>63.0</v>
      </c>
      <c r="AV227" s="208">
        <v>0.0</v>
      </c>
      <c r="AW227" s="208">
        <v>36.0</v>
      </c>
      <c r="AX227" s="208">
        <v>3.0</v>
      </c>
      <c r="AY227" s="208" t="s">
        <v>1270</v>
      </c>
    </row>
    <row r="228">
      <c r="A228" s="208" t="s">
        <v>126</v>
      </c>
      <c r="B228" s="208" t="s">
        <v>135</v>
      </c>
      <c r="C228" s="208" t="s">
        <v>181</v>
      </c>
      <c r="D228" s="208" t="s">
        <v>1042</v>
      </c>
      <c r="E228" s="208" t="s">
        <v>182</v>
      </c>
      <c r="F228" s="534">
        <v>45881.0</v>
      </c>
      <c r="G228" s="208" t="s">
        <v>133</v>
      </c>
      <c r="H228" s="208">
        <v>0.0</v>
      </c>
      <c r="I228" s="208">
        <v>4500000.0</v>
      </c>
      <c r="J228" s="208">
        <v>1303492.42</v>
      </c>
      <c r="K228" s="208">
        <v>0.0</v>
      </c>
      <c r="L228" s="208">
        <v>6.0</v>
      </c>
      <c r="M228" s="208">
        <v>30.0</v>
      </c>
      <c r="N228" s="208">
        <v>24.0</v>
      </c>
      <c r="O228" s="208">
        <v>30.0</v>
      </c>
      <c r="P228" s="208">
        <v>0.0</v>
      </c>
      <c r="Q228" s="208">
        <v>89605.57</v>
      </c>
      <c r="R228" s="208">
        <v>1213886.85</v>
      </c>
      <c r="S228" s="208">
        <v>3.0</v>
      </c>
      <c r="T228" s="208">
        <v>24.0</v>
      </c>
      <c r="U228" s="208">
        <v>27.0</v>
      </c>
      <c r="V228" s="208">
        <v>0.0</v>
      </c>
      <c r="W228" s="208">
        <v>83.0</v>
      </c>
      <c r="X228" s="208">
        <v>166.0</v>
      </c>
      <c r="Y228" s="208">
        <v>23.0</v>
      </c>
      <c r="Z228" s="208">
        <v>1.0</v>
      </c>
      <c r="AA228" s="208">
        <v>6.0</v>
      </c>
      <c r="AB228" s="208">
        <v>1.0</v>
      </c>
      <c r="AC228" s="208">
        <v>4.0</v>
      </c>
      <c r="AD228" s="208">
        <v>0.0</v>
      </c>
      <c r="AE228" s="208">
        <v>0.0</v>
      </c>
      <c r="AF228" s="208">
        <v>179.0</v>
      </c>
      <c r="AG228" s="208">
        <v>355.0</v>
      </c>
      <c r="AH228" s="208">
        <v>67.0</v>
      </c>
      <c r="AI228" s="208">
        <v>19455.0</v>
      </c>
      <c r="AJ228" s="208">
        <v>5.0</v>
      </c>
      <c r="AK228" s="208">
        <v>32500.0</v>
      </c>
      <c r="AL228" s="208">
        <v>0.0</v>
      </c>
      <c r="AM228" s="208">
        <v>0.0249</v>
      </c>
      <c r="AN228" s="208">
        <v>48277.0</v>
      </c>
      <c r="AO228" s="208">
        <v>0.29</v>
      </c>
      <c r="AP228" s="208">
        <v>0.0</v>
      </c>
      <c r="AQ228" s="208">
        <v>58.0</v>
      </c>
      <c r="AR228" s="208">
        <v>609.0</v>
      </c>
      <c r="AS228" s="208">
        <v>2705.63</v>
      </c>
      <c r="AT228" s="208">
        <v>24.0</v>
      </c>
      <c r="AU228" s="208">
        <v>90.0</v>
      </c>
      <c r="AV228" s="208">
        <v>27.0</v>
      </c>
      <c r="AW228" s="208">
        <v>3.0</v>
      </c>
      <c r="AX228" s="208">
        <v>0.0</v>
      </c>
      <c r="AY228" s="208" t="s">
        <v>1270</v>
      </c>
    </row>
    <row r="229">
      <c r="A229" s="208" t="s">
        <v>23</v>
      </c>
      <c r="B229" s="208" t="s">
        <v>30</v>
      </c>
      <c r="C229" s="208" t="s">
        <v>43</v>
      </c>
      <c r="D229" s="208" t="s">
        <v>30</v>
      </c>
      <c r="E229" s="208" t="s">
        <v>44</v>
      </c>
      <c r="F229" s="535">
        <v>45973.0</v>
      </c>
      <c r="G229" s="208" t="s">
        <v>23</v>
      </c>
      <c r="H229" s="208">
        <v>0.0</v>
      </c>
      <c r="I229" s="208">
        <v>3600000.0</v>
      </c>
      <c r="J229" s="208">
        <v>2415462.21</v>
      </c>
      <c r="K229" s="208">
        <v>0.0</v>
      </c>
      <c r="L229" s="208">
        <v>65.0</v>
      </c>
      <c r="M229" s="208">
        <v>70.0</v>
      </c>
      <c r="N229" s="208">
        <v>6.0</v>
      </c>
      <c r="O229" s="208">
        <v>71.0</v>
      </c>
      <c r="P229" s="208">
        <v>1.0</v>
      </c>
      <c r="Q229" s="208">
        <v>2302375.91</v>
      </c>
      <c r="R229" s="208">
        <v>113086.3</v>
      </c>
      <c r="S229" s="208">
        <v>30.0</v>
      </c>
      <c r="T229" s="208">
        <v>6.0</v>
      </c>
      <c r="U229" s="208">
        <v>36.0</v>
      </c>
      <c r="V229" s="208">
        <v>0.0</v>
      </c>
      <c r="W229" s="208">
        <v>73.0</v>
      </c>
      <c r="X229" s="208">
        <v>136.0</v>
      </c>
      <c r="Y229" s="208">
        <v>14.0</v>
      </c>
      <c r="Z229" s="208">
        <v>2.0</v>
      </c>
      <c r="AA229" s="208">
        <v>57.0</v>
      </c>
      <c r="AB229" s="208">
        <v>0.0</v>
      </c>
      <c r="AC229" s="208">
        <v>0.0</v>
      </c>
      <c r="AD229" s="208">
        <v>0.0</v>
      </c>
      <c r="AE229" s="208">
        <v>0.0</v>
      </c>
      <c r="AF229" s="208">
        <v>336.0</v>
      </c>
      <c r="AG229" s="208">
        <v>529.0</v>
      </c>
      <c r="AH229" s="208">
        <v>72.0</v>
      </c>
      <c r="AI229" s="208">
        <v>33548.0</v>
      </c>
      <c r="AJ229" s="208">
        <v>7.0</v>
      </c>
      <c r="AK229" s="208">
        <v>30405.0</v>
      </c>
      <c r="AL229" s="208">
        <v>0.0</v>
      </c>
      <c r="AM229" s="208">
        <v>0.0126</v>
      </c>
      <c r="AN229" s="208">
        <v>67096.0</v>
      </c>
      <c r="AO229" s="208">
        <v>0.67</v>
      </c>
      <c r="AP229" s="208">
        <v>0.0</v>
      </c>
      <c r="AQ229" s="208">
        <v>88.0</v>
      </c>
      <c r="AR229" s="208">
        <v>778.0</v>
      </c>
      <c r="AS229" s="208">
        <v>2629.45</v>
      </c>
      <c r="AT229" s="208">
        <v>6.0</v>
      </c>
      <c r="AU229" s="208">
        <v>38.0</v>
      </c>
      <c r="AV229" s="208">
        <v>36.0</v>
      </c>
      <c r="AW229" s="208">
        <v>34.0</v>
      </c>
      <c r="AX229" s="208">
        <v>1.0</v>
      </c>
      <c r="AY229" s="208" t="s">
        <v>1270</v>
      </c>
    </row>
    <row r="230">
      <c r="A230" s="208" t="s">
        <v>126</v>
      </c>
      <c r="B230" s="208" t="s">
        <v>135</v>
      </c>
      <c r="C230" s="208" t="s">
        <v>183</v>
      </c>
      <c r="D230" s="208" t="s">
        <v>1042</v>
      </c>
      <c r="E230" s="208" t="s">
        <v>184</v>
      </c>
      <c r="F230" s="534">
        <v>46023.0</v>
      </c>
      <c r="G230" s="208" t="s">
        <v>136</v>
      </c>
      <c r="H230" s="208">
        <v>0.0</v>
      </c>
      <c r="I230" s="208">
        <v>4500000.0</v>
      </c>
      <c r="J230" s="208">
        <v>823085.16</v>
      </c>
      <c r="K230" s="208">
        <v>0.0</v>
      </c>
      <c r="L230" s="208">
        <v>21.0</v>
      </c>
      <c r="M230" s="208">
        <v>37.0</v>
      </c>
      <c r="N230" s="208">
        <v>17.0</v>
      </c>
      <c r="O230" s="208">
        <v>38.0</v>
      </c>
      <c r="P230" s="208">
        <v>1.0</v>
      </c>
      <c r="Q230" s="208">
        <v>154068.72</v>
      </c>
      <c r="R230" s="208">
        <v>669016.44</v>
      </c>
      <c r="S230" s="208">
        <v>6.0</v>
      </c>
      <c r="T230" s="208">
        <v>17.0</v>
      </c>
      <c r="U230" s="208">
        <v>23.0</v>
      </c>
      <c r="V230" s="208">
        <v>0.0</v>
      </c>
      <c r="W230" s="208">
        <v>108.0</v>
      </c>
      <c r="X230" s="208">
        <v>211.0</v>
      </c>
      <c r="Y230" s="208">
        <v>1.0</v>
      </c>
      <c r="Z230" s="208">
        <v>2.0</v>
      </c>
      <c r="AA230" s="208">
        <v>24.0</v>
      </c>
      <c r="AB230" s="208">
        <v>0.0</v>
      </c>
      <c r="AC230" s="208">
        <v>0.0</v>
      </c>
      <c r="AD230" s="208">
        <v>0.0</v>
      </c>
      <c r="AE230" s="208">
        <v>0.0</v>
      </c>
      <c r="AF230" s="208">
        <v>135.0</v>
      </c>
      <c r="AG230" s="208">
        <v>370.0</v>
      </c>
      <c r="AH230" s="208">
        <v>72.0</v>
      </c>
      <c r="AI230" s="208">
        <v>11432.0</v>
      </c>
      <c r="AJ230" s="208">
        <v>5.0</v>
      </c>
      <c r="AK230" s="208">
        <v>38285.0</v>
      </c>
      <c r="AL230" s="208">
        <v>0.0</v>
      </c>
      <c r="AM230" s="208">
        <v>0.0465</v>
      </c>
      <c r="AN230" s="208">
        <v>35786.0</v>
      </c>
      <c r="AO230" s="208">
        <v>0.18</v>
      </c>
      <c r="AP230" s="208">
        <v>0.0</v>
      </c>
      <c r="AQ230" s="208">
        <v>34.0</v>
      </c>
      <c r="AR230" s="208">
        <v>738.0</v>
      </c>
      <c r="AS230" s="208">
        <v>3036.37</v>
      </c>
      <c r="AT230" s="208">
        <v>17.0</v>
      </c>
      <c r="AU230" s="208">
        <v>82.0</v>
      </c>
      <c r="AV230" s="208">
        <v>23.0</v>
      </c>
      <c r="AW230" s="208">
        <v>14.0</v>
      </c>
      <c r="AX230" s="208">
        <v>1.0</v>
      </c>
      <c r="AY230" s="208" t="s">
        <v>1270</v>
      </c>
    </row>
    <row r="231">
      <c r="A231" s="208" t="s">
        <v>322</v>
      </c>
      <c r="B231" s="208" t="s">
        <v>325</v>
      </c>
      <c r="C231" s="208" t="s">
        <v>332</v>
      </c>
      <c r="D231" s="208" t="s">
        <v>1049</v>
      </c>
      <c r="E231" s="208" t="s">
        <v>333</v>
      </c>
      <c r="F231" s="534">
        <v>46143.0</v>
      </c>
      <c r="G231" s="208" t="s">
        <v>322</v>
      </c>
      <c r="H231" s="208">
        <v>0.0</v>
      </c>
      <c r="I231" s="208">
        <v>0.0</v>
      </c>
      <c r="J231" s="208">
        <v>604841.29</v>
      </c>
      <c r="K231" s="208">
        <v>0.0</v>
      </c>
      <c r="L231" s="208">
        <v>41.0</v>
      </c>
      <c r="M231" s="208">
        <v>69.0</v>
      </c>
      <c r="N231" s="208">
        <v>34.0</v>
      </c>
      <c r="O231" s="208">
        <v>75.0</v>
      </c>
      <c r="P231" s="208">
        <v>6.0</v>
      </c>
      <c r="Q231" s="208">
        <v>111763.36</v>
      </c>
      <c r="R231" s="208">
        <v>493077.93</v>
      </c>
      <c r="S231" s="208">
        <v>12.0</v>
      </c>
      <c r="T231" s="208">
        <v>34.0</v>
      </c>
      <c r="U231" s="208">
        <v>46.0</v>
      </c>
      <c r="V231" s="208">
        <v>0.0</v>
      </c>
      <c r="W231" s="208">
        <v>153.0</v>
      </c>
      <c r="X231" s="208">
        <v>251.0</v>
      </c>
      <c r="Y231" s="208">
        <v>8.0</v>
      </c>
      <c r="Z231" s="208">
        <v>3.0</v>
      </c>
      <c r="AA231" s="208">
        <v>26.0</v>
      </c>
      <c r="AB231" s="208">
        <v>0.0</v>
      </c>
      <c r="AC231" s="208">
        <v>0.0</v>
      </c>
      <c r="AD231" s="208">
        <v>1.0</v>
      </c>
      <c r="AE231" s="208">
        <v>1.0</v>
      </c>
      <c r="AF231" s="208">
        <v>162.0</v>
      </c>
      <c r="AG231" s="208">
        <v>440.0</v>
      </c>
      <c r="AH231" s="208">
        <v>69.0</v>
      </c>
      <c r="AI231" s="208">
        <v>8766.0</v>
      </c>
      <c r="AJ231" s="208">
        <v>6.0</v>
      </c>
      <c r="AK231" s="208">
        <v>46670.0</v>
      </c>
      <c r="AL231" s="208">
        <v>0.0</v>
      </c>
      <c r="AM231" s="208">
        <v>0.0772</v>
      </c>
      <c r="AN231" s="208">
        <v>13149.0</v>
      </c>
      <c r="AO231" s="208">
        <v>0.0</v>
      </c>
      <c r="AP231" s="208">
        <v>0.0</v>
      </c>
      <c r="AQ231" s="208">
        <v>66.0</v>
      </c>
      <c r="AR231" s="208">
        <v>704.0</v>
      </c>
      <c r="AS231" s="208">
        <v>3809.94</v>
      </c>
      <c r="AT231" s="208">
        <v>34.0</v>
      </c>
      <c r="AU231" s="208">
        <v>55.0</v>
      </c>
      <c r="AV231" s="208">
        <v>46.0</v>
      </c>
      <c r="AW231" s="208">
        <v>23.0</v>
      </c>
      <c r="AX231" s="208">
        <v>6.0</v>
      </c>
      <c r="AY231" s="208" t="s">
        <v>1270</v>
      </c>
    </row>
    <row r="232">
      <c r="A232" s="208" t="s">
        <v>322</v>
      </c>
      <c r="B232" s="208" t="s">
        <v>325</v>
      </c>
      <c r="C232" s="208" t="s">
        <v>330</v>
      </c>
      <c r="D232" s="208" t="s">
        <v>1049</v>
      </c>
      <c r="E232" s="208" t="s">
        <v>331</v>
      </c>
      <c r="F232" s="534">
        <v>46143.0</v>
      </c>
      <c r="G232" s="208" t="s">
        <v>322</v>
      </c>
      <c r="H232" s="208">
        <v>0.0</v>
      </c>
      <c r="I232" s="208">
        <v>0.0</v>
      </c>
      <c r="J232" s="208">
        <v>0.0</v>
      </c>
      <c r="K232" s="208">
        <v>0.0</v>
      </c>
      <c r="L232" s="208">
        <v>3.0</v>
      </c>
      <c r="M232" s="208">
        <v>3.0</v>
      </c>
      <c r="N232" s="208">
        <v>0.0</v>
      </c>
      <c r="O232" s="208">
        <v>3.0</v>
      </c>
      <c r="P232" s="208">
        <v>0.0</v>
      </c>
      <c r="Q232" s="208">
        <v>0.0</v>
      </c>
      <c r="R232" s="208">
        <v>0.0</v>
      </c>
      <c r="S232" s="208">
        <v>0.0</v>
      </c>
      <c r="T232" s="208">
        <v>0.0</v>
      </c>
      <c r="U232" s="208">
        <v>0.0</v>
      </c>
      <c r="V232" s="208">
        <v>0.0</v>
      </c>
      <c r="W232" s="208">
        <v>51.0</v>
      </c>
      <c r="X232" s="208">
        <v>150.0</v>
      </c>
      <c r="Y232" s="208">
        <v>0.0</v>
      </c>
      <c r="Z232" s="208">
        <v>1.0</v>
      </c>
      <c r="AA232" s="208">
        <v>29.0</v>
      </c>
      <c r="AB232" s="208">
        <v>0.0</v>
      </c>
      <c r="AC232" s="208">
        <v>0.0</v>
      </c>
      <c r="AD232" s="208">
        <v>0.0</v>
      </c>
      <c r="AE232" s="208">
        <v>0.0</v>
      </c>
      <c r="AF232" s="208">
        <v>11.0</v>
      </c>
      <c r="AG232" s="208">
        <v>190.0</v>
      </c>
      <c r="AH232" s="208">
        <v>53.0</v>
      </c>
      <c r="AI232" s="208">
        <v>0.0</v>
      </c>
      <c r="AJ232" s="208">
        <v>4.0</v>
      </c>
      <c r="AK232" s="208">
        <v>26215.0</v>
      </c>
      <c r="AL232" s="208">
        <v>0.0</v>
      </c>
      <c r="AM232" s="208">
        <v>0.0</v>
      </c>
      <c r="AN232" s="208">
        <v>0.0</v>
      </c>
      <c r="AO232" s="208">
        <v>0.0</v>
      </c>
      <c r="AP232" s="208">
        <v>0.0</v>
      </c>
      <c r="AQ232" s="208">
        <v>0.0</v>
      </c>
      <c r="AR232" s="208">
        <v>477.0</v>
      </c>
      <c r="AS232" s="208">
        <v>1900.57</v>
      </c>
      <c r="AT232" s="208">
        <v>0.0</v>
      </c>
      <c r="AU232" s="208">
        <v>634.0</v>
      </c>
      <c r="AV232" s="208">
        <v>0.0</v>
      </c>
      <c r="AW232" s="208">
        <v>3.0</v>
      </c>
      <c r="AX232" s="208">
        <v>0.0</v>
      </c>
      <c r="AY232" s="208" t="s">
        <v>1270</v>
      </c>
    </row>
    <row r="233">
      <c r="A233" s="208" t="s">
        <v>97</v>
      </c>
      <c r="B233" s="208" t="s">
        <v>96</v>
      </c>
      <c r="C233" s="208" t="s">
        <v>885</v>
      </c>
      <c r="D233" s="208" t="s">
        <v>1101</v>
      </c>
      <c r="E233" s="208" t="s">
        <v>1121</v>
      </c>
      <c r="F233" s="208" t="s">
        <v>1389</v>
      </c>
      <c r="G233" s="208" t="s">
        <v>97</v>
      </c>
      <c r="H233" s="208">
        <v>0.0</v>
      </c>
      <c r="I233" s="208">
        <v>0.0</v>
      </c>
      <c r="J233" s="208">
        <v>0.0</v>
      </c>
      <c r="K233" s="208">
        <v>0.0</v>
      </c>
      <c r="L233" s="208">
        <v>2.0</v>
      </c>
      <c r="M233" s="208">
        <v>1.0</v>
      </c>
      <c r="N233" s="208">
        <v>0.0</v>
      </c>
      <c r="O233" s="208">
        <v>2.0</v>
      </c>
      <c r="P233" s="208">
        <v>1.0</v>
      </c>
      <c r="Q233" s="208">
        <v>0.0</v>
      </c>
      <c r="R233" s="208">
        <v>0.0</v>
      </c>
      <c r="S233" s="208">
        <v>0.0</v>
      </c>
      <c r="T233" s="208">
        <v>0.0</v>
      </c>
      <c r="U233" s="208">
        <v>0.0</v>
      </c>
      <c r="V233" s="208">
        <v>0.0</v>
      </c>
      <c r="W233" s="208">
        <v>3.0</v>
      </c>
      <c r="X233" s="208">
        <v>5.0</v>
      </c>
      <c r="Y233" s="208">
        <v>0.0</v>
      </c>
      <c r="Z233" s="208">
        <v>3.0</v>
      </c>
      <c r="AA233" s="208">
        <v>6.0</v>
      </c>
      <c r="AB233" s="208">
        <v>0.0</v>
      </c>
      <c r="AC233" s="208">
        <v>0.0</v>
      </c>
      <c r="AD233" s="208">
        <v>75.0</v>
      </c>
      <c r="AE233" s="208">
        <v>111.0</v>
      </c>
      <c r="AF233" s="208">
        <v>3.0</v>
      </c>
      <c r="AG233" s="208">
        <v>125.0</v>
      </c>
      <c r="AH233" s="208">
        <v>51.0</v>
      </c>
      <c r="AI233" s="208">
        <v>0.0</v>
      </c>
      <c r="AJ233" s="208">
        <v>2.0</v>
      </c>
      <c r="AK233" s="208">
        <v>195835.0</v>
      </c>
      <c r="AL233" s="208">
        <v>0.0</v>
      </c>
      <c r="AM233" s="208">
        <v>0.0</v>
      </c>
      <c r="AN233" s="208">
        <v>0.0</v>
      </c>
      <c r="AO233" s="208">
        <v>0.0</v>
      </c>
      <c r="AP233" s="208">
        <v>0.0</v>
      </c>
      <c r="AQ233" s="208">
        <v>0.0</v>
      </c>
      <c r="AR233" s="208">
        <v>596.0</v>
      </c>
      <c r="AS233" s="208">
        <v>4501.93</v>
      </c>
      <c r="AT233" s="208">
        <v>0.0</v>
      </c>
      <c r="AU233" s="208">
        <v>4502.0</v>
      </c>
      <c r="AV233" s="208">
        <v>0.0</v>
      </c>
      <c r="AW233" s="208">
        <v>1.0</v>
      </c>
      <c r="AX233" s="208">
        <v>1.0</v>
      </c>
      <c r="AY233" s="208" t="s">
        <v>1270</v>
      </c>
    </row>
    <row r="234">
      <c r="A234" s="208" t="s">
        <v>885</v>
      </c>
      <c r="B234" s="208" t="s">
        <v>96</v>
      </c>
      <c r="C234" s="208" t="s">
        <v>94</v>
      </c>
      <c r="D234" s="208" t="s">
        <v>1101</v>
      </c>
      <c r="E234" s="208" t="s">
        <v>95</v>
      </c>
      <c r="F234" s="208" t="s">
        <v>1389</v>
      </c>
      <c r="G234" s="208" t="s">
        <v>885</v>
      </c>
      <c r="H234" s="208">
        <v>0.0</v>
      </c>
      <c r="I234" s="208">
        <v>0.0</v>
      </c>
      <c r="J234" s="208">
        <v>0.0</v>
      </c>
      <c r="K234" s="208">
        <v>0.0</v>
      </c>
      <c r="L234" s="208">
        <v>3.0</v>
      </c>
      <c r="M234" s="208">
        <v>3.0</v>
      </c>
      <c r="N234" s="208">
        <v>0.0</v>
      </c>
      <c r="O234" s="208">
        <v>3.0</v>
      </c>
      <c r="P234" s="208">
        <v>0.0</v>
      </c>
      <c r="Q234" s="208">
        <v>0.0</v>
      </c>
      <c r="R234" s="208">
        <v>0.0</v>
      </c>
      <c r="S234" s="208">
        <v>0.0</v>
      </c>
      <c r="T234" s="208">
        <v>0.0</v>
      </c>
      <c r="U234" s="208">
        <v>0.0</v>
      </c>
      <c r="V234" s="208">
        <v>0.0</v>
      </c>
      <c r="W234" s="208">
        <v>29.0</v>
      </c>
      <c r="X234" s="208">
        <v>37.0</v>
      </c>
      <c r="Y234" s="208">
        <v>2.0</v>
      </c>
      <c r="Z234" s="208">
        <v>2.0</v>
      </c>
      <c r="AA234" s="208">
        <v>2.0</v>
      </c>
      <c r="AB234" s="208">
        <v>0.0</v>
      </c>
      <c r="AC234" s="208">
        <v>0.0</v>
      </c>
      <c r="AD234" s="208">
        <v>65.0</v>
      </c>
      <c r="AE234" s="208">
        <v>181.0</v>
      </c>
      <c r="AF234" s="208">
        <v>4.0</v>
      </c>
      <c r="AG234" s="208">
        <v>224.0</v>
      </c>
      <c r="AH234" s="208">
        <v>52.0</v>
      </c>
      <c r="AI234" s="208">
        <v>0.0</v>
      </c>
      <c r="AJ234" s="208">
        <v>4.0</v>
      </c>
      <c r="AK234" s="208">
        <v>68112.0</v>
      </c>
      <c r="AL234" s="208">
        <v>0.0</v>
      </c>
      <c r="AM234" s="208">
        <v>0.0</v>
      </c>
      <c r="AN234" s="208">
        <v>0.0</v>
      </c>
      <c r="AO234" s="208">
        <v>0.0</v>
      </c>
      <c r="AP234" s="208">
        <v>0.0</v>
      </c>
      <c r="AQ234" s="208">
        <v>0.0</v>
      </c>
      <c r="AR234" s="208">
        <v>559.0</v>
      </c>
      <c r="AS234" s="208">
        <v>3124.4</v>
      </c>
      <c r="AT234" s="208">
        <v>0.0</v>
      </c>
      <c r="AU234" s="208">
        <v>1041.0</v>
      </c>
      <c r="AV234" s="208">
        <v>0.0</v>
      </c>
      <c r="AW234" s="208">
        <v>3.0</v>
      </c>
      <c r="AX234" s="208">
        <v>0.0</v>
      </c>
      <c r="AY234" s="208" t="s">
        <v>1270</v>
      </c>
    </row>
    <row r="235">
      <c r="A235" s="208" t="s">
        <v>185</v>
      </c>
      <c r="B235" s="208" t="s">
        <v>189</v>
      </c>
      <c r="C235" s="208" t="s">
        <v>886</v>
      </c>
      <c r="D235" s="208" t="s">
        <v>1016</v>
      </c>
      <c r="E235" s="208" t="s">
        <v>291</v>
      </c>
      <c r="F235" s="208" t="s">
        <v>1389</v>
      </c>
      <c r="G235" s="208" t="s">
        <v>186</v>
      </c>
      <c r="H235" s="208">
        <v>0.0</v>
      </c>
      <c r="I235" s="208">
        <v>0.0</v>
      </c>
      <c r="J235" s="208">
        <v>3270193.24</v>
      </c>
      <c r="K235" s="208">
        <v>0.0</v>
      </c>
      <c r="L235" s="208">
        <v>56.0</v>
      </c>
      <c r="M235" s="208">
        <v>59.0</v>
      </c>
      <c r="N235" s="208">
        <v>5.0</v>
      </c>
      <c r="O235" s="208">
        <v>61.0</v>
      </c>
      <c r="P235" s="208">
        <v>2.0</v>
      </c>
      <c r="Q235" s="208">
        <v>2745069.14</v>
      </c>
      <c r="R235" s="208">
        <v>525124.1</v>
      </c>
      <c r="S235" s="208">
        <v>26.0</v>
      </c>
      <c r="T235" s="208">
        <v>5.0</v>
      </c>
      <c r="U235" s="208">
        <v>31.0</v>
      </c>
      <c r="V235" s="208">
        <v>0.0</v>
      </c>
      <c r="W235" s="208">
        <v>5.0</v>
      </c>
      <c r="X235" s="208">
        <v>6.0</v>
      </c>
      <c r="Y235" s="208">
        <v>0.0</v>
      </c>
      <c r="Z235" s="208">
        <v>2.0</v>
      </c>
      <c r="AA235" s="208">
        <v>3.0</v>
      </c>
      <c r="AB235" s="208">
        <v>1.0</v>
      </c>
      <c r="AC235" s="208">
        <v>1.0</v>
      </c>
      <c r="AD235" s="208">
        <v>0.0</v>
      </c>
      <c r="AE235" s="208">
        <v>0.0</v>
      </c>
      <c r="AF235" s="208">
        <v>127.0</v>
      </c>
      <c r="AG235" s="208">
        <v>137.0</v>
      </c>
      <c r="AH235" s="208">
        <v>49.0</v>
      </c>
      <c r="AI235" s="208">
        <v>66739.0</v>
      </c>
      <c r="AJ235" s="208">
        <v>3.0</v>
      </c>
      <c r="AK235" s="208">
        <v>35650.0</v>
      </c>
      <c r="AL235" s="208">
        <v>0.0</v>
      </c>
      <c r="AM235" s="208">
        <v>0.0109</v>
      </c>
      <c r="AN235" s="208">
        <v>105490.0</v>
      </c>
      <c r="AO235" s="208">
        <v>0.0</v>
      </c>
      <c r="AP235" s="208">
        <v>0.0</v>
      </c>
      <c r="AQ235" s="208">
        <v>46.0</v>
      </c>
      <c r="AR235" s="208">
        <v>537.0</v>
      </c>
      <c r="AS235" s="208">
        <v>3958.43</v>
      </c>
      <c r="AT235" s="208">
        <v>5.0</v>
      </c>
      <c r="AU235" s="208">
        <v>67.0</v>
      </c>
      <c r="AV235" s="208">
        <v>31.0</v>
      </c>
      <c r="AW235" s="208">
        <v>28.0</v>
      </c>
      <c r="AX235" s="208">
        <v>2.0</v>
      </c>
      <c r="AY235" s="208" t="s">
        <v>1270</v>
      </c>
    </row>
    <row r="236">
      <c r="A236" s="208" t="s">
        <v>23</v>
      </c>
      <c r="B236" s="208" t="s">
        <v>30</v>
      </c>
      <c r="C236" s="208" t="s">
        <v>45</v>
      </c>
      <c r="D236" s="208" t="s">
        <v>30</v>
      </c>
      <c r="E236" s="208" t="s">
        <v>46</v>
      </c>
      <c r="F236" s="208" t="s">
        <v>1390</v>
      </c>
      <c r="G236" s="208" t="s">
        <v>23</v>
      </c>
      <c r="H236" s="208">
        <v>0.0</v>
      </c>
      <c r="I236" s="208">
        <v>1714286.0</v>
      </c>
      <c r="J236" s="208">
        <v>835665.65</v>
      </c>
      <c r="K236" s="208">
        <v>0.0</v>
      </c>
      <c r="L236" s="208">
        <v>22.0</v>
      </c>
      <c r="M236" s="208">
        <v>25.0</v>
      </c>
      <c r="N236" s="208">
        <v>5.0</v>
      </c>
      <c r="O236" s="208">
        <v>27.0</v>
      </c>
      <c r="P236" s="208">
        <v>2.0</v>
      </c>
      <c r="Q236" s="208">
        <v>421509.71</v>
      </c>
      <c r="R236" s="208">
        <v>414155.94</v>
      </c>
      <c r="S236" s="208">
        <v>8.0</v>
      </c>
      <c r="T236" s="208">
        <v>5.0</v>
      </c>
      <c r="U236" s="208">
        <v>13.0</v>
      </c>
      <c r="V236" s="208">
        <v>0.0</v>
      </c>
      <c r="W236" s="208">
        <v>89.0</v>
      </c>
      <c r="X236" s="208">
        <v>167.0</v>
      </c>
      <c r="Y236" s="208">
        <v>9.0</v>
      </c>
      <c r="Z236" s="208">
        <v>4.0</v>
      </c>
      <c r="AA236" s="208">
        <v>18.0</v>
      </c>
      <c r="AB236" s="208">
        <v>1.0</v>
      </c>
      <c r="AC236" s="208">
        <v>1.0</v>
      </c>
      <c r="AD236" s="208">
        <v>1.0</v>
      </c>
      <c r="AE236" s="208">
        <v>1.0</v>
      </c>
      <c r="AF236" s="208">
        <v>62.0</v>
      </c>
      <c r="AG236" s="208">
        <v>249.0</v>
      </c>
      <c r="AH236" s="208">
        <v>31.0</v>
      </c>
      <c r="AI236" s="208">
        <v>26957.0</v>
      </c>
      <c r="AJ236" s="208">
        <v>8.0</v>
      </c>
      <c r="AK236" s="208">
        <v>31455.0</v>
      </c>
      <c r="AL236" s="208">
        <v>0.0</v>
      </c>
      <c r="AM236" s="208">
        <v>0.0376</v>
      </c>
      <c r="AN236" s="208">
        <v>64282.0</v>
      </c>
      <c r="AO236" s="208">
        <v>0.49</v>
      </c>
      <c r="AP236" s="208">
        <v>0.0</v>
      </c>
      <c r="AQ236" s="208">
        <v>41.0</v>
      </c>
      <c r="AR236" s="208">
        <v>336.0</v>
      </c>
      <c r="AS236" s="208">
        <v>3694.69</v>
      </c>
      <c r="AT236" s="208">
        <v>5.0</v>
      </c>
      <c r="AU236" s="208">
        <v>148.0</v>
      </c>
      <c r="AV236" s="208">
        <v>13.0</v>
      </c>
      <c r="AW236" s="208">
        <v>12.0</v>
      </c>
      <c r="AX236" s="208">
        <v>2.0</v>
      </c>
      <c r="AY236" s="208" t="s">
        <v>1270</v>
      </c>
    </row>
    <row r="237">
      <c r="A237" s="208" t="s">
        <v>185</v>
      </c>
      <c r="B237" s="208" t="s">
        <v>85</v>
      </c>
      <c r="C237" s="208" t="s">
        <v>92</v>
      </c>
      <c r="D237" s="208" t="s">
        <v>1058</v>
      </c>
      <c r="E237" s="208" t="s">
        <v>93</v>
      </c>
      <c r="F237" s="534">
        <v>46084.0</v>
      </c>
      <c r="G237" s="208" t="s">
        <v>97</v>
      </c>
      <c r="H237" s="208">
        <v>0.0</v>
      </c>
      <c r="I237" s="208">
        <v>0.0</v>
      </c>
      <c r="J237" s="208">
        <v>96357.7</v>
      </c>
      <c r="K237" s="208">
        <v>0.0</v>
      </c>
      <c r="L237" s="208">
        <v>36.0</v>
      </c>
      <c r="M237" s="208">
        <v>40.0</v>
      </c>
      <c r="N237" s="208">
        <v>6.0</v>
      </c>
      <c r="O237" s="208">
        <v>42.0</v>
      </c>
      <c r="P237" s="208">
        <v>2.0</v>
      </c>
      <c r="Q237" s="208">
        <v>19525.0</v>
      </c>
      <c r="R237" s="208">
        <v>76832.7</v>
      </c>
      <c r="S237" s="208">
        <v>3.0</v>
      </c>
      <c r="T237" s="208">
        <v>3.0</v>
      </c>
      <c r="U237" s="208">
        <v>6.0</v>
      </c>
      <c r="V237" s="208">
        <v>0.0</v>
      </c>
      <c r="W237" s="208">
        <v>63.0</v>
      </c>
      <c r="X237" s="208">
        <v>112.0</v>
      </c>
      <c r="Y237" s="208">
        <v>20.0</v>
      </c>
      <c r="Z237" s="208">
        <v>0.0</v>
      </c>
      <c r="AA237" s="208">
        <v>0.0</v>
      </c>
      <c r="AB237" s="208">
        <v>0.0</v>
      </c>
      <c r="AC237" s="208">
        <v>0.0</v>
      </c>
      <c r="AD237" s="208">
        <v>0.0</v>
      </c>
      <c r="AE237" s="208">
        <v>0.0</v>
      </c>
      <c r="AF237" s="208">
        <v>66.0</v>
      </c>
      <c r="AG237" s="208">
        <v>178.0</v>
      </c>
      <c r="AH237" s="208">
        <v>20.0</v>
      </c>
      <c r="AI237" s="208">
        <v>4818.0</v>
      </c>
      <c r="AJ237" s="208">
        <v>9.0</v>
      </c>
      <c r="AK237" s="208">
        <v>34620.0</v>
      </c>
      <c r="AL237" s="208">
        <v>0.0</v>
      </c>
      <c r="AM237" s="208">
        <v>0.3593</v>
      </c>
      <c r="AN237" s="208">
        <v>16060.0</v>
      </c>
      <c r="AO237" s="208">
        <v>0.0</v>
      </c>
      <c r="AP237" s="208">
        <v>0.0</v>
      </c>
      <c r="AQ237" s="208">
        <v>8.0</v>
      </c>
      <c r="AR237" s="208">
        <v>184.0</v>
      </c>
      <c r="AS237" s="208">
        <v>1968.64</v>
      </c>
      <c r="AT237" s="208">
        <v>3.0</v>
      </c>
      <c r="AU237" s="208">
        <v>49.0</v>
      </c>
      <c r="AV237" s="208">
        <v>6.0</v>
      </c>
      <c r="AW237" s="208">
        <v>34.0</v>
      </c>
      <c r="AX237" s="208">
        <v>2.0</v>
      </c>
      <c r="AY237" s="208" t="s">
        <v>1270</v>
      </c>
    </row>
    <row r="238">
      <c r="A238" s="208" t="s">
        <v>73</v>
      </c>
      <c r="B238" s="208" t="s">
        <v>1229</v>
      </c>
      <c r="C238" s="208" t="s">
        <v>83</v>
      </c>
      <c r="D238" s="208" t="s">
        <v>76</v>
      </c>
      <c r="E238" s="208" t="s">
        <v>75</v>
      </c>
      <c r="F238" s="534">
        <v>46145.0</v>
      </c>
      <c r="G238" s="208" t="s">
        <v>73</v>
      </c>
      <c r="H238" s="208">
        <v>0.0</v>
      </c>
      <c r="I238" s="208">
        <v>700000.0</v>
      </c>
      <c r="J238" s="208">
        <v>50841.5</v>
      </c>
      <c r="K238" s="208">
        <v>0.0</v>
      </c>
      <c r="L238" s="208">
        <v>6.0</v>
      </c>
      <c r="M238" s="208">
        <v>7.0</v>
      </c>
      <c r="N238" s="208">
        <v>1.0</v>
      </c>
      <c r="O238" s="208">
        <v>7.0</v>
      </c>
      <c r="P238" s="208">
        <v>0.0</v>
      </c>
      <c r="Q238" s="208">
        <v>22461.5</v>
      </c>
      <c r="R238" s="208">
        <v>28380.0</v>
      </c>
      <c r="S238" s="208">
        <v>1.0</v>
      </c>
      <c r="T238" s="208">
        <v>1.0</v>
      </c>
      <c r="U238" s="208">
        <v>2.0</v>
      </c>
      <c r="V238" s="208">
        <v>0.0</v>
      </c>
      <c r="W238" s="208">
        <v>48.0</v>
      </c>
      <c r="X238" s="208">
        <v>59.0</v>
      </c>
      <c r="Y238" s="208">
        <v>6.0</v>
      </c>
      <c r="Z238" s="208">
        <v>1.0</v>
      </c>
      <c r="AA238" s="208">
        <v>2.0</v>
      </c>
      <c r="AB238" s="208">
        <v>0.0</v>
      </c>
      <c r="AC238" s="208">
        <v>0.0</v>
      </c>
      <c r="AD238" s="208">
        <v>0.0</v>
      </c>
      <c r="AE238" s="208">
        <v>0.0</v>
      </c>
      <c r="AF238" s="208">
        <v>12.0</v>
      </c>
      <c r="AG238" s="208">
        <v>73.0</v>
      </c>
      <c r="AH238" s="208">
        <v>13.0</v>
      </c>
      <c r="AI238" s="208">
        <v>3911.0</v>
      </c>
      <c r="AJ238" s="208">
        <v>6.0</v>
      </c>
      <c r="AK238" s="208">
        <v>27260.0</v>
      </c>
      <c r="AL238" s="208">
        <v>0.0</v>
      </c>
      <c r="AM238" s="208">
        <v>0.5362</v>
      </c>
      <c r="AN238" s="208">
        <v>25421.0</v>
      </c>
      <c r="AO238" s="208">
        <v>0.07</v>
      </c>
      <c r="AP238" s="208">
        <v>0.0</v>
      </c>
      <c r="AQ238" s="208">
        <v>2.0</v>
      </c>
      <c r="AR238" s="208">
        <v>123.0</v>
      </c>
      <c r="AS238" s="208">
        <v>628.78</v>
      </c>
      <c r="AT238" s="208">
        <v>1.0</v>
      </c>
      <c r="AU238" s="208">
        <v>90.0</v>
      </c>
      <c r="AV238" s="208">
        <v>2.0</v>
      </c>
      <c r="AW238" s="208">
        <v>5.0</v>
      </c>
      <c r="AX238" s="208">
        <v>0.0</v>
      </c>
      <c r="AY238" s="208" t="s">
        <v>1270</v>
      </c>
    </row>
    <row r="239">
      <c r="A239" s="208" t="s">
        <v>185</v>
      </c>
      <c r="B239" s="208" t="s">
        <v>189</v>
      </c>
      <c r="C239" s="208" t="s">
        <v>292</v>
      </c>
      <c r="D239" s="208" t="s">
        <v>1016</v>
      </c>
      <c r="E239" s="208" t="s">
        <v>293</v>
      </c>
      <c r="F239" s="534">
        <v>46176.0</v>
      </c>
      <c r="G239" s="208" t="s">
        <v>787</v>
      </c>
      <c r="H239" s="208">
        <v>0.0</v>
      </c>
      <c r="I239" s="208">
        <v>0.0</v>
      </c>
      <c r="J239" s="208">
        <v>0.0</v>
      </c>
      <c r="K239" s="208">
        <v>0.0</v>
      </c>
      <c r="L239" s="208">
        <v>18.0</v>
      </c>
      <c r="M239" s="208">
        <v>17.0</v>
      </c>
      <c r="N239" s="208">
        <v>0.0</v>
      </c>
      <c r="O239" s="208">
        <v>18.0</v>
      </c>
      <c r="P239" s="208">
        <v>1.0</v>
      </c>
      <c r="Q239" s="208">
        <v>0.0</v>
      </c>
      <c r="R239" s="208">
        <v>0.0</v>
      </c>
      <c r="S239" s="208">
        <v>0.0</v>
      </c>
      <c r="T239" s="208">
        <v>0.0</v>
      </c>
      <c r="U239" s="208">
        <v>0.0</v>
      </c>
      <c r="V239" s="208">
        <v>0.0</v>
      </c>
      <c r="W239" s="208">
        <v>34.0</v>
      </c>
      <c r="X239" s="208">
        <v>59.0</v>
      </c>
      <c r="Y239" s="208">
        <v>6.0</v>
      </c>
      <c r="Z239" s="208">
        <v>3.0</v>
      </c>
      <c r="AA239" s="208">
        <v>4.0</v>
      </c>
      <c r="AB239" s="208">
        <v>0.0</v>
      </c>
      <c r="AC239" s="208">
        <v>0.0</v>
      </c>
      <c r="AD239" s="208">
        <v>0.0</v>
      </c>
      <c r="AE239" s="208">
        <v>0.0</v>
      </c>
      <c r="AF239" s="208">
        <v>29.0</v>
      </c>
      <c r="AG239" s="208">
        <v>92.0</v>
      </c>
      <c r="AH239" s="208">
        <v>18.0</v>
      </c>
      <c r="AI239" s="208">
        <v>0.0</v>
      </c>
      <c r="AJ239" s="208">
        <v>5.0</v>
      </c>
      <c r="AK239" s="208">
        <v>42480.0</v>
      </c>
      <c r="AL239" s="208">
        <v>0.0</v>
      </c>
      <c r="AM239" s="208">
        <v>0.0</v>
      </c>
      <c r="AN239" s="208">
        <v>0.0</v>
      </c>
      <c r="AO239" s="208">
        <v>0.0</v>
      </c>
      <c r="AP239" s="208">
        <v>0.0</v>
      </c>
      <c r="AQ239" s="208">
        <v>0.0</v>
      </c>
      <c r="AR239" s="208">
        <v>135.0</v>
      </c>
      <c r="AS239" s="208">
        <v>589.05</v>
      </c>
      <c r="AT239" s="208">
        <v>0.0</v>
      </c>
      <c r="AU239" s="208">
        <v>35.0</v>
      </c>
      <c r="AV239" s="208">
        <v>0.0</v>
      </c>
      <c r="AW239" s="208">
        <v>17.0</v>
      </c>
      <c r="AX239" s="208">
        <v>1.0</v>
      </c>
      <c r="AY239" s="208" t="s">
        <v>1270</v>
      </c>
    </row>
    <row r="240">
      <c r="A240" s="208" t="s">
        <v>185</v>
      </c>
      <c r="B240" s="208" t="s">
        <v>189</v>
      </c>
      <c r="C240" s="208" t="s">
        <v>294</v>
      </c>
      <c r="D240" s="208" t="s">
        <v>1122</v>
      </c>
      <c r="E240" s="208" t="s">
        <v>295</v>
      </c>
      <c r="F240" s="534">
        <v>46359.0</v>
      </c>
      <c r="G240" s="208" t="s">
        <v>220</v>
      </c>
      <c r="H240" s="208">
        <v>0.0</v>
      </c>
      <c r="I240" s="208">
        <v>0.0</v>
      </c>
      <c r="J240" s="208">
        <v>0.0</v>
      </c>
      <c r="K240" s="208">
        <v>0.0</v>
      </c>
      <c r="L240" s="208">
        <v>20.0</v>
      </c>
      <c r="M240" s="208">
        <v>19.0</v>
      </c>
      <c r="N240" s="208">
        <v>0.0</v>
      </c>
      <c r="O240" s="208">
        <v>20.0</v>
      </c>
      <c r="P240" s="208">
        <v>1.0</v>
      </c>
      <c r="Q240" s="208">
        <v>0.0</v>
      </c>
      <c r="R240" s="208">
        <v>0.0</v>
      </c>
      <c r="S240" s="208">
        <v>0.0</v>
      </c>
      <c r="T240" s="208">
        <v>0.0</v>
      </c>
      <c r="U240" s="208">
        <v>0.0</v>
      </c>
      <c r="V240" s="208">
        <v>0.0</v>
      </c>
      <c r="W240" s="208">
        <v>23.0</v>
      </c>
      <c r="X240" s="208">
        <v>30.0</v>
      </c>
      <c r="Y240" s="208">
        <v>4.0</v>
      </c>
      <c r="Z240" s="208">
        <v>0.0</v>
      </c>
      <c r="AA240" s="208">
        <v>0.0</v>
      </c>
      <c r="AB240" s="208">
        <v>0.0</v>
      </c>
      <c r="AC240" s="208">
        <v>0.0</v>
      </c>
      <c r="AD240" s="208">
        <v>0.0</v>
      </c>
      <c r="AE240" s="208">
        <v>0.0</v>
      </c>
      <c r="AF240" s="208">
        <v>23.0</v>
      </c>
      <c r="AG240" s="208">
        <v>53.0</v>
      </c>
      <c r="AH240" s="208">
        <v>16.0</v>
      </c>
      <c r="AI240" s="208">
        <v>0.0</v>
      </c>
      <c r="AJ240" s="208">
        <v>3.0</v>
      </c>
      <c r="AK240" s="208">
        <v>20000.0</v>
      </c>
      <c r="AL240" s="208">
        <v>0.0</v>
      </c>
      <c r="AM240" s="208">
        <v>0.0</v>
      </c>
      <c r="AN240" s="208">
        <v>0.0</v>
      </c>
      <c r="AO240" s="208">
        <v>0.0</v>
      </c>
      <c r="AP240" s="208">
        <v>0.0</v>
      </c>
      <c r="AQ240" s="208">
        <v>0.0</v>
      </c>
      <c r="AR240" s="208">
        <v>147.0</v>
      </c>
      <c r="AS240" s="208">
        <v>773.05</v>
      </c>
      <c r="AT240" s="208">
        <v>0.0</v>
      </c>
      <c r="AU240" s="208">
        <v>41.0</v>
      </c>
      <c r="AV240" s="208">
        <v>0.0</v>
      </c>
      <c r="AW240" s="208">
        <v>19.0</v>
      </c>
      <c r="AX240" s="208">
        <v>1.0</v>
      </c>
      <c r="AY240" s="208" t="s">
        <v>1270</v>
      </c>
    </row>
    <row r="241">
      <c r="A241" s="208" t="s">
        <v>885</v>
      </c>
      <c r="B241" s="208" t="s">
        <v>96</v>
      </c>
      <c r="C241" s="208" t="s">
        <v>887</v>
      </c>
      <c r="D241" s="208" t="s">
        <v>1101</v>
      </c>
      <c r="E241" s="208" t="s">
        <v>1123</v>
      </c>
      <c r="F241" s="534">
        <v>46268.0</v>
      </c>
      <c r="G241" s="208" t="s">
        <v>885</v>
      </c>
      <c r="H241" s="208">
        <v>0.0</v>
      </c>
      <c r="I241" s="208">
        <v>0.0</v>
      </c>
      <c r="J241" s="208">
        <v>0.0</v>
      </c>
      <c r="K241" s="208">
        <v>0.0</v>
      </c>
      <c r="L241" s="208">
        <v>0.0</v>
      </c>
      <c r="M241" s="208">
        <v>0.0</v>
      </c>
      <c r="N241" s="208">
        <v>0.0</v>
      </c>
      <c r="O241" s="208">
        <v>0.0</v>
      </c>
      <c r="P241" s="208">
        <v>0.0</v>
      </c>
      <c r="Q241" s="208">
        <v>0.0</v>
      </c>
      <c r="R241" s="208">
        <v>0.0</v>
      </c>
      <c r="S241" s="208">
        <v>0.0</v>
      </c>
      <c r="T241" s="208">
        <v>0.0</v>
      </c>
      <c r="U241" s="208">
        <v>0.0</v>
      </c>
      <c r="V241" s="208">
        <v>0.0</v>
      </c>
      <c r="W241" s="208">
        <v>0.0</v>
      </c>
      <c r="X241" s="208">
        <v>0.0</v>
      </c>
      <c r="Y241" s="208">
        <v>0.0</v>
      </c>
      <c r="Z241" s="208">
        <v>0.0</v>
      </c>
      <c r="AA241" s="208">
        <v>0.0</v>
      </c>
      <c r="AB241" s="208">
        <v>0.0</v>
      </c>
      <c r="AC241" s="208">
        <v>0.0</v>
      </c>
      <c r="AD241" s="208">
        <v>8.0</v>
      </c>
      <c r="AE241" s="208">
        <v>25.0</v>
      </c>
      <c r="AF241" s="208">
        <v>0.0</v>
      </c>
      <c r="AG241" s="208">
        <v>25.0</v>
      </c>
      <c r="AH241" s="208">
        <v>11.0</v>
      </c>
      <c r="AI241" s="208">
        <v>0.0</v>
      </c>
      <c r="AJ241" s="208">
        <v>2.0</v>
      </c>
      <c r="AK241" s="208">
        <v>38810.0</v>
      </c>
      <c r="AL241" s="208">
        <v>0.0</v>
      </c>
      <c r="AM241" s="208">
        <v>0.0</v>
      </c>
      <c r="AN241" s="208">
        <v>0.0</v>
      </c>
      <c r="AO241" s="208">
        <v>0.0</v>
      </c>
      <c r="AP241" s="208">
        <v>0.0</v>
      </c>
      <c r="AQ241" s="208">
        <v>0.0</v>
      </c>
      <c r="AR241" s="208">
        <v>150.0</v>
      </c>
      <c r="AS241" s="208">
        <v>318.37</v>
      </c>
      <c r="AT241" s="208">
        <v>0.0</v>
      </c>
      <c r="AU241" s="208">
        <v>0.0</v>
      </c>
      <c r="AV241" s="208">
        <v>0.0</v>
      </c>
      <c r="AW241" s="208">
        <v>0.0</v>
      </c>
      <c r="AX241" s="208">
        <v>0.0</v>
      </c>
      <c r="AY241" s="208" t="s">
        <v>1270</v>
      </c>
    </row>
    <row r="242">
      <c r="A242" s="208" t="s">
        <v>53</v>
      </c>
      <c r="B242" s="208" t="s">
        <v>61</v>
      </c>
      <c r="C242" s="208" t="s">
        <v>72</v>
      </c>
      <c r="D242" s="208" t="s">
        <v>1077</v>
      </c>
      <c r="E242" s="208" t="s">
        <v>67</v>
      </c>
      <c r="F242" s="208" t="s">
        <v>1391</v>
      </c>
      <c r="G242" s="208" t="s">
        <v>754</v>
      </c>
      <c r="H242" s="208">
        <v>0.0</v>
      </c>
      <c r="I242" s="208">
        <v>200000.0</v>
      </c>
      <c r="J242" s="208">
        <v>0.0</v>
      </c>
      <c r="K242" s="208">
        <v>0.0</v>
      </c>
      <c r="L242" s="208">
        <v>12.0</v>
      </c>
      <c r="M242" s="208">
        <v>9.0</v>
      </c>
      <c r="N242" s="208">
        <v>0.0</v>
      </c>
      <c r="O242" s="208">
        <v>12.0</v>
      </c>
      <c r="P242" s="208">
        <v>3.0</v>
      </c>
      <c r="Q242" s="208">
        <v>0.0</v>
      </c>
      <c r="R242" s="208">
        <v>0.0</v>
      </c>
      <c r="S242" s="208">
        <v>0.0</v>
      </c>
      <c r="T242" s="208">
        <v>0.0</v>
      </c>
      <c r="U242" s="208">
        <v>0.0</v>
      </c>
      <c r="V242" s="208">
        <v>0.0</v>
      </c>
      <c r="W242" s="208">
        <v>32.0</v>
      </c>
      <c r="X242" s="208">
        <v>32.0</v>
      </c>
      <c r="Y242" s="208">
        <v>30.0</v>
      </c>
      <c r="Z242" s="208">
        <v>1.0</v>
      </c>
      <c r="AA242" s="208">
        <v>1.0</v>
      </c>
      <c r="AB242" s="208">
        <v>0.0</v>
      </c>
      <c r="AC242" s="208">
        <v>0.0</v>
      </c>
      <c r="AD242" s="208">
        <v>1.0</v>
      </c>
      <c r="AE242" s="208">
        <v>1.0</v>
      </c>
      <c r="AF242" s="208">
        <v>9.0</v>
      </c>
      <c r="AG242" s="208">
        <v>43.0</v>
      </c>
      <c r="AH242" s="208">
        <v>7.0</v>
      </c>
      <c r="AI242" s="208">
        <v>0.0</v>
      </c>
      <c r="AJ242" s="208">
        <v>6.0</v>
      </c>
      <c r="AK242" s="208">
        <v>33050.0</v>
      </c>
      <c r="AL242" s="208">
        <v>0.0</v>
      </c>
      <c r="AM242" s="208">
        <v>0.0</v>
      </c>
      <c r="AN242" s="208">
        <v>0.0</v>
      </c>
      <c r="AO242" s="208">
        <v>0.0</v>
      </c>
      <c r="AP242" s="208">
        <v>0.0</v>
      </c>
      <c r="AQ242" s="208">
        <v>0.0</v>
      </c>
      <c r="AR242" s="208">
        <v>68.0</v>
      </c>
      <c r="AS242" s="208">
        <v>909.81</v>
      </c>
      <c r="AT242" s="208">
        <v>0.0</v>
      </c>
      <c r="AU242" s="208">
        <v>101.0</v>
      </c>
      <c r="AV242" s="208">
        <v>0.0</v>
      </c>
      <c r="AW242" s="208">
        <v>9.0</v>
      </c>
      <c r="AX242" s="208">
        <v>3.0</v>
      </c>
      <c r="AY242" s="208" t="s">
        <v>1270</v>
      </c>
    </row>
    <row r="243">
      <c r="A243" s="208" t="s">
        <v>185</v>
      </c>
      <c r="B243" s="208" t="s">
        <v>189</v>
      </c>
      <c r="C243" s="208" t="s">
        <v>296</v>
      </c>
      <c r="D243" s="208" t="s">
        <v>1016</v>
      </c>
      <c r="E243" s="208" t="s">
        <v>297</v>
      </c>
      <c r="F243" s="208" t="s">
        <v>1392</v>
      </c>
      <c r="G243" s="208" t="s">
        <v>186</v>
      </c>
      <c r="H243" s="208">
        <v>0.0</v>
      </c>
      <c r="I243" s="208">
        <v>0.0</v>
      </c>
      <c r="J243" s="208">
        <v>0.0</v>
      </c>
      <c r="K243" s="208">
        <v>0.0</v>
      </c>
      <c r="L243" s="208">
        <v>15.0</v>
      </c>
      <c r="M243" s="208">
        <v>0.0</v>
      </c>
      <c r="N243" s="208">
        <v>0.0</v>
      </c>
      <c r="O243" s="208">
        <v>15.0</v>
      </c>
      <c r="P243" s="208">
        <v>15.0</v>
      </c>
      <c r="Q243" s="208">
        <v>0.0</v>
      </c>
      <c r="R243" s="208">
        <v>0.0</v>
      </c>
      <c r="S243" s="208">
        <v>0.0</v>
      </c>
      <c r="T243" s="208">
        <v>0.0</v>
      </c>
      <c r="U243" s="208">
        <v>0.0</v>
      </c>
      <c r="V243" s="208">
        <v>0.0</v>
      </c>
      <c r="W243" s="208">
        <v>0.0</v>
      </c>
      <c r="X243" s="208">
        <v>0.0</v>
      </c>
      <c r="Y243" s="208">
        <v>3.0</v>
      </c>
      <c r="Z243" s="208">
        <v>1.0</v>
      </c>
      <c r="AA243" s="208">
        <v>1.0</v>
      </c>
      <c r="AB243" s="208">
        <v>0.0</v>
      </c>
      <c r="AC243" s="208">
        <v>0.0</v>
      </c>
      <c r="AD243" s="208">
        <v>0.0</v>
      </c>
      <c r="AE243" s="208">
        <v>0.0</v>
      </c>
      <c r="AF243" s="208">
        <v>0.0</v>
      </c>
      <c r="AG243" s="208">
        <v>1.0</v>
      </c>
      <c r="AH243" s="208">
        <v>1.0</v>
      </c>
      <c r="AI243" s="208">
        <v>0.0</v>
      </c>
      <c r="AJ243" s="208">
        <v>1.0</v>
      </c>
      <c r="AK243" s="208">
        <v>36715.0</v>
      </c>
      <c r="AL243" s="208">
        <v>0.0</v>
      </c>
      <c r="AM243" s="208">
        <v>0.0</v>
      </c>
      <c r="AN243" s="208">
        <v>0.0</v>
      </c>
      <c r="AO243" s="208">
        <v>0.0</v>
      </c>
      <c r="AP243" s="208">
        <v>0.0</v>
      </c>
      <c r="AQ243" s="208">
        <v>0.0</v>
      </c>
      <c r="AR243" s="208">
        <v>28.0</v>
      </c>
      <c r="AS243" s="208">
        <v>305.61</v>
      </c>
      <c r="AT243" s="208">
        <v>0.0</v>
      </c>
      <c r="AU243" s="208">
        <v>0.0</v>
      </c>
      <c r="AV243" s="208">
        <v>0.0</v>
      </c>
      <c r="AW243" s="208">
        <v>0.0</v>
      </c>
      <c r="AX243" s="208">
        <v>15.0</v>
      </c>
      <c r="AY243" s="208" t="s">
        <v>1270</v>
      </c>
    </row>
  </sheetData>
  <conditionalFormatting sqref="C1:C244">
    <cfRule type="expression" dxfId="0" priority="1">
      <formula>countif(C:C,C1)&gt;1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sheetData>
    <row r="1">
      <c r="B1" s="533"/>
      <c r="L1" s="536"/>
    </row>
    <row r="2">
      <c r="A2" s="208"/>
      <c r="B2" s="533"/>
      <c r="C2" s="157"/>
      <c r="D2" s="157"/>
      <c r="E2" s="157"/>
      <c r="F2" s="157"/>
      <c r="G2" s="157"/>
      <c r="H2" s="157"/>
      <c r="I2" s="157"/>
      <c r="J2" s="157">
        <f t="shared" ref="J2:K2" si="1">SUM(J4:J233)</f>
        <v>548272578.4</v>
      </c>
      <c r="K2" s="157">
        <f t="shared" si="1"/>
        <v>8803912.23</v>
      </c>
      <c r="L2" s="157">
        <f>J2+K2</f>
        <v>557076490.6</v>
      </c>
      <c r="M2" s="234">
        <f>L2-'Area Head Wise Comparison Repor'!I3</f>
        <v>0.0000001192092896</v>
      </c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</row>
    <row r="3">
      <c r="A3" s="208" t="s">
        <v>1267</v>
      </c>
      <c r="B3" s="533" t="s">
        <v>892</v>
      </c>
      <c r="C3" s="157" t="s">
        <v>458</v>
      </c>
      <c r="D3" s="157" t="s">
        <v>895</v>
      </c>
      <c r="E3" s="157" t="s">
        <v>893</v>
      </c>
      <c r="F3" s="157" t="s">
        <v>894</v>
      </c>
      <c r="G3" s="157" t="s">
        <v>1268</v>
      </c>
      <c r="H3" s="157" t="s">
        <v>980</v>
      </c>
      <c r="I3" s="157" t="s">
        <v>969</v>
      </c>
      <c r="J3" s="157" t="s">
        <v>981</v>
      </c>
      <c r="K3" s="157" t="s">
        <v>982</v>
      </c>
      <c r="L3" s="157" t="s">
        <v>905</v>
      </c>
      <c r="M3" s="157" t="s">
        <v>983</v>
      </c>
      <c r="N3" s="157" t="s">
        <v>907</v>
      </c>
      <c r="O3" s="157" t="s">
        <v>909</v>
      </c>
      <c r="P3" s="157" t="s">
        <v>910</v>
      </c>
      <c r="Q3" s="157" t="s">
        <v>911</v>
      </c>
      <c r="R3" s="157" t="s">
        <v>912</v>
      </c>
      <c r="S3" s="157" t="s">
        <v>984</v>
      </c>
      <c r="T3" s="157" t="s">
        <v>985</v>
      </c>
      <c r="U3" s="157" t="s">
        <v>915</v>
      </c>
      <c r="V3" s="157" t="s">
        <v>916</v>
      </c>
      <c r="W3" s="157" t="s">
        <v>917</v>
      </c>
      <c r="X3" s="157" t="s">
        <v>918</v>
      </c>
      <c r="Y3" s="157" t="s">
        <v>919</v>
      </c>
      <c r="Z3" s="157" t="s">
        <v>920</v>
      </c>
      <c r="AA3" s="157" t="s">
        <v>921</v>
      </c>
      <c r="AB3" s="157" t="s">
        <v>922</v>
      </c>
      <c r="AC3" s="157" t="s">
        <v>923</v>
      </c>
      <c r="AD3" s="157" t="s">
        <v>924</v>
      </c>
      <c r="AE3" s="157" t="s">
        <v>925</v>
      </c>
      <c r="AF3" s="157" t="s">
        <v>926</v>
      </c>
      <c r="AG3" s="157" t="s">
        <v>927</v>
      </c>
      <c r="AH3" s="157" t="s">
        <v>928</v>
      </c>
      <c r="AI3" s="157" t="s">
        <v>986</v>
      </c>
      <c r="AJ3" s="157" t="s">
        <v>930</v>
      </c>
      <c r="AK3" s="157" t="s">
        <v>931</v>
      </c>
      <c r="AL3" s="157" t="s">
        <v>932</v>
      </c>
      <c r="AM3" s="157" t="s">
        <v>933</v>
      </c>
      <c r="AN3" s="157" t="s">
        <v>934</v>
      </c>
      <c r="AO3" s="157" t="s">
        <v>902</v>
      </c>
      <c r="AP3" s="157" t="s">
        <v>903</v>
      </c>
      <c r="AQ3" s="157" t="s">
        <v>935</v>
      </c>
      <c r="AR3" s="157" t="s">
        <v>936</v>
      </c>
      <c r="AS3" s="157" t="s">
        <v>937</v>
      </c>
      <c r="AT3" s="157" t="s">
        <v>987</v>
      </c>
      <c r="AU3" s="157" t="s">
        <v>938</v>
      </c>
      <c r="AV3" s="157" t="s">
        <v>939</v>
      </c>
      <c r="AW3" s="157" t="s">
        <v>940</v>
      </c>
      <c r="AX3" s="157" t="s">
        <v>941</v>
      </c>
      <c r="AY3" s="157" t="s">
        <v>942</v>
      </c>
      <c r="AZ3" s="157"/>
    </row>
    <row r="4">
      <c r="A4" s="157" t="s">
        <v>185</v>
      </c>
      <c r="B4" s="124" t="s">
        <v>196</v>
      </c>
      <c r="C4" s="157" t="s">
        <v>413</v>
      </c>
      <c r="D4" s="157" t="s">
        <v>1027</v>
      </c>
      <c r="E4" s="157" t="s">
        <v>1046</v>
      </c>
      <c r="F4" s="338">
        <v>42826.0</v>
      </c>
      <c r="G4" s="157" t="s">
        <v>185</v>
      </c>
      <c r="H4" s="160">
        <v>0.0</v>
      </c>
      <c r="I4" s="160">
        <v>6000000.0</v>
      </c>
      <c r="J4" s="160">
        <v>1869308.7</v>
      </c>
      <c r="K4" s="160">
        <v>0.0</v>
      </c>
      <c r="L4" s="160">
        <v>92.0</v>
      </c>
      <c r="M4" s="160">
        <v>63.0</v>
      </c>
      <c r="N4" s="160">
        <v>2.0</v>
      </c>
      <c r="O4" s="160">
        <v>94.0</v>
      </c>
      <c r="P4" s="160">
        <v>31.0</v>
      </c>
      <c r="Q4" s="160">
        <v>1731733.5</v>
      </c>
      <c r="R4" s="160">
        <v>137575.2</v>
      </c>
      <c r="S4" s="160">
        <v>38.0</v>
      </c>
      <c r="T4" s="160">
        <v>2.0</v>
      </c>
      <c r="U4" s="160">
        <v>40.0</v>
      </c>
      <c r="V4" s="160">
        <v>0.0</v>
      </c>
      <c r="W4" s="160">
        <v>1.0</v>
      </c>
      <c r="X4" s="160">
        <v>2.0</v>
      </c>
      <c r="Y4" s="160">
        <v>10.0</v>
      </c>
      <c r="Z4" s="160">
        <v>1.0</v>
      </c>
      <c r="AA4" s="160">
        <v>33.0</v>
      </c>
      <c r="AB4" s="160">
        <v>0.0</v>
      </c>
      <c r="AC4" s="160">
        <v>0.0</v>
      </c>
      <c r="AD4" s="160">
        <v>0.0</v>
      </c>
      <c r="AE4" s="160">
        <v>0.0</v>
      </c>
      <c r="AF4" s="160">
        <v>294.0</v>
      </c>
      <c r="AG4" s="160">
        <v>329.0</v>
      </c>
      <c r="AH4" s="160">
        <v>70.0</v>
      </c>
      <c r="AI4" s="160">
        <v>26704.0</v>
      </c>
      <c r="AJ4" s="160">
        <v>5.0</v>
      </c>
      <c r="AK4" s="160">
        <v>76300.0</v>
      </c>
      <c r="AL4" s="160">
        <v>0.0</v>
      </c>
      <c r="AM4" s="160">
        <v>0.0408</v>
      </c>
      <c r="AN4" s="160">
        <v>46733.0</v>
      </c>
      <c r="AO4" s="160">
        <v>0.31</v>
      </c>
      <c r="AP4" s="160">
        <v>0.0</v>
      </c>
      <c r="AQ4" s="160">
        <v>71.0</v>
      </c>
      <c r="AR4" s="160">
        <v>571.0</v>
      </c>
      <c r="AS4" s="160">
        <v>2473.74</v>
      </c>
      <c r="AT4" s="160">
        <v>2.0</v>
      </c>
      <c r="AU4" s="160">
        <v>39.0</v>
      </c>
      <c r="AV4" s="160">
        <v>40.0</v>
      </c>
      <c r="AW4" s="160">
        <v>25.0</v>
      </c>
      <c r="AX4" s="160">
        <v>29.0</v>
      </c>
      <c r="AY4" s="537"/>
      <c r="AZ4" s="537"/>
    </row>
    <row r="5">
      <c r="A5" s="157" t="s">
        <v>185</v>
      </c>
      <c r="B5" s="157" t="s">
        <v>189</v>
      </c>
      <c r="C5" s="157" t="s">
        <v>197</v>
      </c>
      <c r="D5" s="157" t="s">
        <v>1016</v>
      </c>
      <c r="E5" s="157" t="s">
        <v>1034</v>
      </c>
      <c r="F5" s="338">
        <v>41791.0</v>
      </c>
      <c r="G5" s="157" t="s">
        <v>185</v>
      </c>
      <c r="H5" s="160">
        <v>0.0</v>
      </c>
      <c r="I5" s="160">
        <v>3.75E7</v>
      </c>
      <c r="J5" s="160">
        <v>1.935335667E7</v>
      </c>
      <c r="K5" s="160">
        <v>0.0</v>
      </c>
      <c r="L5" s="160">
        <v>101.0</v>
      </c>
      <c r="M5" s="160">
        <v>77.0</v>
      </c>
      <c r="N5" s="160">
        <v>1.0</v>
      </c>
      <c r="O5" s="160">
        <v>102.0</v>
      </c>
      <c r="P5" s="160">
        <v>25.0</v>
      </c>
      <c r="Q5" s="160">
        <v>1.935335667E7</v>
      </c>
      <c r="R5" s="160">
        <v>0.0</v>
      </c>
      <c r="S5" s="160">
        <v>61.0</v>
      </c>
      <c r="T5" s="160">
        <v>0.0</v>
      </c>
      <c r="U5" s="160">
        <v>61.0</v>
      </c>
      <c r="V5" s="160">
        <v>0.0</v>
      </c>
      <c r="W5" s="160">
        <v>0.0</v>
      </c>
      <c r="X5" s="160">
        <v>0.0</v>
      </c>
      <c r="Y5" s="160">
        <v>31.0</v>
      </c>
      <c r="Z5" s="160">
        <v>3.0</v>
      </c>
      <c r="AA5" s="160">
        <v>39.0</v>
      </c>
      <c r="AB5" s="160">
        <v>0.0</v>
      </c>
      <c r="AC5" s="160">
        <v>0.0</v>
      </c>
      <c r="AD5" s="160">
        <v>0.0</v>
      </c>
      <c r="AE5" s="160">
        <v>0.0</v>
      </c>
      <c r="AF5" s="160">
        <v>296.0</v>
      </c>
      <c r="AG5" s="160">
        <v>335.0</v>
      </c>
      <c r="AH5" s="160">
        <v>72.0</v>
      </c>
      <c r="AI5" s="160">
        <v>268797.0</v>
      </c>
      <c r="AJ5" s="160">
        <v>5.0</v>
      </c>
      <c r="AK5" s="160">
        <v>87460.0</v>
      </c>
      <c r="AL5" s="160">
        <v>0.0</v>
      </c>
      <c r="AM5" s="160">
        <v>0.0045</v>
      </c>
      <c r="AN5" s="160">
        <v>317268.0</v>
      </c>
      <c r="AO5" s="160">
        <v>0.52</v>
      </c>
      <c r="AP5" s="160">
        <v>0.0</v>
      </c>
      <c r="AQ5" s="160">
        <v>217.0</v>
      </c>
      <c r="AR5" s="160">
        <v>874.0</v>
      </c>
      <c r="AS5" s="160">
        <v>9720.5</v>
      </c>
      <c r="AT5" s="160">
        <v>0.0</v>
      </c>
      <c r="AU5" s="160">
        <v>126.0</v>
      </c>
      <c r="AV5" s="160">
        <v>61.0</v>
      </c>
      <c r="AW5" s="160">
        <v>16.0</v>
      </c>
      <c r="AX5" s="160">
        <v>25.0</v>
      </c>
      <c r="AY5" s="537"/>
      <c r="AZ5" s="537"/>
    </row>
    <row r="6">
      <c r="A6" s="157" t="s">
        <v>185</v>
      </c>
      <c r="B6" s="157" t="s">
        <v>196</v>
      </c>
      <c r="C6" s="157" t="s">
        <v>194</v>
      </c>
      <c r="D6" s="157" t="s">
        <v>1027</v>
      </c>
      <c r="E6" s="157" t="s">
        <v>1028</v>
      </c>
      <c r="F6" s="285">
        <v>41563.0</v>
      </c>
      <c r="G6" s="157" t="s">
        <v>185</v>
      </c>
      <c r="H6" s="160">
        <v>0.0</v>
      </c>
      <c r="I6" s="160">
        <v>6300000.0</v>
      </c>
      <c r="J6" s="160">
        <v>5378052.77</v>
      </c>
      <c r="K6" s="160">
        <v>0.0</v>
      </c>
      <c r="L6" s="160">
        <v>39.0</v>
      </c>
      <c r="M6" s="160">
        <v>37.0</v>
      </c>
      <c r="N6" s="160">
        <v>1.0</v>
      </c>
      <c r="O6" s="160">
        <v>40.0</v>
      </c>
      <c r="P6" s="160">
        <v>3.0</v>
      </c>
      <c r="Q6" s="160">
        <v>5363632.77</v>
      </c>
      <c r="R6" s="160">
        <v>14420.0</v>
      </c>
      <c r="S6" s="160">
        <v>19.0</v>
      </c>
      <c r="T6" s="160">
        <v>1.0</v>
      </c>
      <c r="U6" s="160">
        <v>20.0</v>
      </c>
      <c r="V6" s="160">
        <v>0.0</v>
      </c>
      <c r="W6" s="160">
        <v>2.0</v>
      </c>
      <c r="X6" s="160">
        <v>2.0</v>
      </c>
      <c r="Y6" s="160">
        <v>31.0</v>
      </c>
      <c r="Z6" s="160">
        <v>1.0</v>
      </c>
      <c r="AA6" s="160">
        <v>2.0</v>
      </c>
      <c r="AB6" s="160">
        <v>0.0</v>
      </c>
      <c r="AC6" s="160">
        <v>0.0</v>
      </c>
      <c r="AD6" s="160">
        <v>0.0</v>
      </c>
      <c r="AE6" s="160">
        <v>0.0</v>
      </c>
      <c r="AF6" s="160">
        <v>192.0</v>
      </c>
      <c r="AG6" s="160">
        <v>196.0</v>
      </c>
      <c r="AH6" s="160">
        <v>71.0</v>
      </c>
      <c r="AI6" s="160">
        <v>75747.0</v>
      </c>
      <c r="AJ6" s="160">
        <v>3.0</v>
      </c>
      <c r="AK6" s="160">
        <v>48500.0</v>
      </c>
      <c r="AL6" s="160">
        <v>0.0</v>
      </c>
      <c r="AM6" s="160">
        <v>0.009</v>
      </c>
      <c r="AN6" s="160">
        <v>268903.0</v>
      </c>
      <c r="AO6" s="160">
        <v>0.85</v>
      </c>
      <c r="AP6" s="160">
        <v>0.0</v>
      </c>
      <c r="AQ6" s="160">
        <v>70.0</v>
      </c>
      <c r="AR6" s="160">
        <v>848.0</v>
      </c>
      <c r="AS6" s="160">
        <v>7002.83</v>
      </c>
      <c r="AT6" s="160">
        <v>1.0</v>
      </c>
      <c r="AU6" s="160">
        <v>189.0</v>
      </c>
      <c r="AV6" s="160">
        <v>20.0</v>
      </c>
      <c r="AW6" s="160">
        <v>17.0</v>
      </c>
      <c r="AX6" s="160">
        <v>3.0</v>
      </c>
      <c r="AY6" s="537"/>
      <c r="AZ6" s="537"/>
    </row>
    <row r="7">
      <c r="A7" s="157" t="s">
        <v>185</v>
      </c>
      <c r="B7" s="157" t="s">
        <v>189</v>
      </c>
      <c r="C7" s="157" t="s">
        <v>186</v>
      </c>
      <c r="D7" s="157" t="s">
        <v>1016</v>
      </c>
      <c r="E7" s="157" t="s">
        <v>241</v>
      </c>
      <c r="F7" s="285">
        <v>39859.0</v>
      </c>
      <c r="G7" s="157" t="s">
        <v>185</v>
      </c>
      <c r="H7" s="160">
        <v>0.0</v>
      </c>
      <c r="I7" s="160">
        <v>0.0</v>
      </c>
      <c r="J7" s="160">
        <v>0.0</v>
      </c>
      <c r="K7" s="160">
        <v>0.0</v>
      </c>
      <c r="L7" s="160">
        <v>194.0</v>
      </c>
      <c r="M7" s="160">
        <v>97.0</v>
      </c>
      <c r="N7" s="160">
        <v>0.0</v>
      </c>
      <c r="O7" s="160">
        <v>194.0</v>
      </c>
      <c r="P7" s="160">
        <v>97.0</v>
      </c>
      <c r="Q7" s="160">
        <v>0.0</v>
      </c>
      <c r="R7" s="160">
        <v>0.0</v>
      </c>
      <c r="S7" s="160">
        <v>0.0</v>
      </c>
      <c r="T7" s="160">
        <v>0.0</v>
      </c>
      <c r="U7" s="160">
        <v>0.0</v>
      </c>
      <c r="V7" s="160">
        <v>0.0</v>
      </c>
      <c r="W7" s="160">
        <v>2.0</v>
      </c>
      <c r="X7" s="160">
        <v>3.0</v>
      </c>
      <c r="Y7" s="160">
        <v>83.0</v>
      </c>
      <c r="Z7" s="160">
        <v>8.0</v>
      </c>
      <c r="AA7" s="160">
        <v>59.0</v>
      </c>
      <c r="AB7" s="160">
        <v>1.0</v>
      </c>
      <c r="AC7" s="160">
        <v>7.0</v>
      </c>
      <c r="AD7" s="160">
        <v>1.0</v>
      </c>
      <c r="AE7" s="160">
        <v>8.0</v>
      </c>
      <c r="AF7" s="160">
        <v>180.0</v>
      </c>
      <c r="AG7" s="160">
        <v>257.0</v>
      </c>
      <c r="AH7" s="160">
        <v>71.0</v>
      </c>
      <c r="AI7" s="160">
        <v>0.0</v>
      </c>
      <c r="AJ7" s="160">
        <v>4.0</v>
      </c>
      <c r="AK7" s="160">
        <v>70400.0</v>
      </c>
      <c r="AL7" s="160">
        <v>0.0</v>
      </c>
      <c r="AM7" s="160">
        <v>0.0</v>
      </c>
      <c r="AN7" s="160">
        <v>0.0</v>
      </c>
      <c r="AO7" s="160">
        <v>0.0</v>
      </c>
      <c r="AP7" s="160">
        <v>0.0</v>
      </c>
      <c r="AQ7" s="160">
        <v>0.0</v>
      </c>
      <c r="AR7" s="160">
        <v>819.0</v>
      </c>
      <c r="AS7" s="160">
        <v>17706.14</v>
      </c>
      <c r="AT7" s="160">
        <v>0.0</v>
      </c>
      <c r="AU7" s="160">
        <v>183.0</v>
      </c>
      <c r="AV7" s="160">
        <v>0.0</v>
      </c>
      <c r="AW7" s="160">
        <v>97.0</v>
      </c>
      <c r="AX7" s="160">
        <v>97.0</v>
      </c>
      <c r="AY7" s="537"/>
      <c r="AZ7" s="537"/>
    </row>
    <row r="8">
      <c r="A8" s="157" t="s">
        <v>185</v>
      </c>
      <c r="B8" s="157" t="s">
        <v>196</v>
      </c>
      <c r="C8" s="157" t="s">
        <v>208</v>
      </c>
      <c r="D8" s="157" t="s">
        <v>1027</v>
      </c>
      <c r="E8" s="157" t="s">
        <v>1056</v>
      </c>
      <c r="F8" s="338">
        <v>43710.0</v>
      </c>
      <c r="G8" s="157" t="s">
        <v>185</v>
      </c>
      <c r="H8" s="160">
        <v>0.0</v>
      </c>
      <c r="I8" s="160">
        <v>6000000.0</v>
      </c>
      <c r="J8" s="160">
        <v>4132523.62</v>
      </c>
      <c r="K8" s="160">
        <v>310987.48</v>
      </c>
      <c r="L8" s="160">
        <v>53.0</v>
      </c>
      <c r="M8" s="160">
        <v>47.0</v>
      </c>
      <c r="N8" s="160">
        <v>1.0</v>
      </c>
      <c r="O8" s="160">
        <v>54.0</v>
      </c>
      <c r="P8" s="160">
        <v>7.0</v>
      </c>
      <c r="Q8" s="160">
        <v>3987175.62</v>
      </c>
      <c r="R8" s="160">
        <v>145348.0</v>
      </c>
      <c r="S8" s="160">
        <v>45.0</v>
      </c>
      <c r="T8" s="160">
        <v>1.0</v>
      </c>
      <c r="U8" s="160">
        <v>46.0</v>
      </c>
      <c r="V8" s="160">
        <v>2.0</v>
      </c>
      <c r="W8" s="160">
        <v>2.0</v>
      </c>
      <c r="X8" s="160">
        <v>2.0</v>
      </c>
      <c r="Y8" s="160">
        <v>35.0</v>
      </c>
      <c r="Z8" s="160">
        <v>1.0</v>
      </c>
      <c r="AA8" s="160">
        <v>2.0</v>
      </c>
      <c r="AB8" s="160">
        <v>3.0</v>
      </c>
      <c r="AC8" s="160">
        <v>39.0</v>
      </c>
      <c r="AD8" s="160">
        <v>0.0</v>
      </c>
      <c r="AE8" s="160">
        <v>0.0</v>
      </c>
      <c r="AF8" s="160">
        <v>286.0</v>
      </c>
      <c r="AG8" s="160">
        <v>329.0</v>
      </c>
      <c r="AH8" s="160">
        <v>72.0</v>
      </c>
      <c r="AI8" s="160">
        <v>57396.0</v>
      </c>
      <c r="AJ8" s="160">
        <v>5.0</v>
      </c>
      <c r="AK8" s="160">
        <v>50950.0</v>
      </c>
      <c r="AL8" s="160">
        <v>0.0</v>
      </c>
      <c r="AM8" s="160">
        <v>0.0123</v>
      </c>
      <c r="AN8" s="160">
        <v>89837.0</v>
      </c>
      <c r="AO8" s="160">
        <v>0.69</v>
      </c>
      <c r="AP8" s="160">
        <v>0.0</v>
      </c>
      <c r="AQ8" s="160">
        <v>149.0</v>
      </c>
      <c r="AR8" s="160">
        <v>778.0</v>
      </c>
      <c r="AS8" s="160">
        <v>7659.53</v>
      </c>
      <c r="AT8" s="160">
        <v>1.0</v>
      </c>
      <c r="AU8" s="160">
        <v>163.0</v>
      </c>
      <c r="AV8" s="160">
        <v>46.0</v>
      </c>
      <c r="AW8" s="160">
        <v>3.0</v>
      </c>
      <c r="AX8" s="160">
        <v>5.0</v>
      </c>
      <c r="AY8" s="537"/>
      <c r="AZ8" s="537"/>
    </row>
    <row r="9">
      <c r="A9" s="157" t="s">
        <v>185</v>
      </c>
      <c r="B9" s="157" t="s">
        <v>196</v>
      </c>
      <c r="C9" s="157" t="s">
        <v>199</v>
      </c>
      <c r="D9" s="157" t="s">
        <v>1027</v>
      </c>
      <c r="E9" s="157" t="s">
        <v>1036</v>
      </c>
      <c r="F9" s="342">
        <v>42125.0</v>
      </c>
      <c r="G9" s="157" t="s">
        <v>185</v>
      </c>
      <c r="H9" s="160">
        <v>0.0</v>
      </c>
      <c r="I9" s="160">
        <v>1.9674E7</v>
      </c>
      <c r="J9" s="160">
        <v>1.904418567E7</v>
      </c>
      <c r="K9" s="160">
        <v>0.0</v>
      </c>
      <c r="L9" s="160">
        <v>86.0</v>
      </c>
      <c r="M9" s="160">
        <v>85.0</v>
      </c>
      <c r="N9" s="160">
        <v>1.0</v>
      </c>
      <c r="O9" s="160">
        <v>87.0</v>
      </c>
      <c r="P9" s="160">
        <v>2.0</v>
      </c>
      <c r="Q9" s="160">
        <v>1.895812597E7</v>
      </c>
      <c r="R9" s="160">
        <v>86059.7</v>
      </c>
      <c r="S9" s="160">
        <v>75.0</v>
      </c>
      <c r="T9" s="160">
        <v>1.0</v>
      </c>
      <c r="U9" s="160">
        <v>76.0</v>
      </c>
      <c r="V9" s="160">
        <v>0.0</v>
      </c>
      <c r="W9" s="160">
        <v>0.0</v>
      </c>
      <c r="X9" s="160">
        <v>0.0</v>
      </c>
      <c r="Y9" s="160">
        <v>2.0</v>
      </c>
      <c r="Z9" s="160">
        <v>5.0</v>
      </c>
      <c r="AA9" s="160">
        <v>30.0</v>
      </c>
      <c r="AB9" s="160">
        <v>0.0</v>
      </c>
      <c r="AC9" s="160">
        <v>0.0</v>
      </c>
      <c r="AD9" s="160">
        <v>0.0</v>
      </c>
      <c r="AE9" s="160">
        <v>0.0</v>
      </c>
      <c r="AF9" s="160">
        <v>401.0</v>
      </c>
      <c r="AG9" s="160">
        <v>431.0</v>
      </c>
      <c r="AH9" s="160">
        <v>75.0</v>
      </c>
      <c r="AI9" s="160">
        <v>253922.0</v>
      </c>
      <c r="AJ9" s="160">
        <v>6.0</v>
      </c>
      <c r="AK9" s="160">
        <v>79340.0</v>
      </c>
      <c r="AL9" s="160">
        <v>0.0</v>
      </c>
      <c r="AM9" s="160">
        <v>0.0042</v>
      </c>
      <c r="AN9" s="160">
        <v>250581.0</v>
      </c>
      <c r="AO9" s="160">
        <v>0.97</v>
      </c>
      <c r="AP9" s="160">
        <v>0.0</v>
      </c>
      <c r="AQ9" s="160">
        <v>400.0</v>
      </c>
      <c r="AR9" s="160">
        <v>905.0</v>
      </c>
      <c r="AS9" s="160">
        <v>7573.11</v>
      </c>
      <c r="AT9" s="160">
        <v>1.0</v>
      </c>
      <c r="AU9" s="160">
        <v>89.0</v>
      </c>
      <c r="AV9" s="160">
        <v>76.0</v>
      </c>
      <c r="AW9" s="160">
        <v>11.0</v>
      </c>
      <c r="AX9" s="160">
        <v>0.0</v>
      </c>
      <c r="AY9" s="537"/>
      <c r="AZ9" s="537"/>
    </row>
    <row r="10">
      <c r="A10" s="157" t="s">
        <v>185</v>
      </c>
      <c r="B10" s="157" t="s">
        <v>189</v>
      </c>
      <c r="C10" s="157" t="s">
        <v>201</v>
      </c>
      <c r="D10" s="157" t="s">
        <v>1016</v>
      </c>
      <c r="E10" s="157" t="s">
        <v>238</v>
      </c>
      <c r="F10" s="285">
        <v>42660.0</v>
      </c>
      <c r="G10" s="157" t="s">
        <v>185</v>
      </c>
      <c r="H10" s="160">
        <v>0.0</v>
      </c>
      <c r="I10" s="160">
        <v>1.0149999E7</v>
      </c>
      <c r="J10" s="160">
        <v>8510954.81</v>
      </c>
      <c r="K10" s="160">
        <v>0.0</v>
      </c>
      <c r="L10" s="160">
        <v>59.0</v>
      </c>
      <c r="M10" s="160">
        <v>45.0</v>
      </c>
      <c r="N10" s="160">
        <v>2.0</v>
      </c>
      <c r="O10" s="160">
        <v>61.0</v>
      </c>
      <c r="P10" s="160">
        <v>16.0</v>
      </c>
      <c r="Q10" s="160">
        <v>8349753.81</v>
      </c>
      <c r="R10" s="160">
        <v>161201.0</v>
      </c>
      <c r="S10" s="160">
        <v>35.0</v>
      </c>
      <c r="T10" s="160">
        <v>2.0</v>
      </c>
      <c r="U10" s="160">
        <v>37.0</v>
      </c>
      <c r="V10" s="160">
        <v>0.0</v>
      </c>
      <c r="W10" s="160">
        <v>2.0</v>
      </c>
      <c r="X10" s="160">
        <v>2.0</v>
      </c>
      <c r="Y10" s="160">
        <v>5.0</v>
      </c>
      <c r="Z10" s="160">
        <v>3.0</v>
      </c>
      <c r="AA10" s="160">
        <v>67.0</v>
      </c>
      <c r="AB10" s="160">
        <v>0.0</v>
      </c>
      <c r="AC10" s="160">
        <v>0.0</v>
      </c>
      <c r="AD10" s="160">
        <v>0.0</v>
      </c>
      <c r="AE10" s="160">
        <v>0.0</v>
      </c>
      <c r="AF10" s="160">
        <v>240.0</v>
      </c>
      <c r="AG10" s="160">
        <v>309.0</v>
      </c>
      <c r="AH10" s="160">
        <v>72.0</v>
      </c>
      <c r="AI10" s="160">
        <v>118208.0</v>
      </c>
      <c r="AJ10" s="160">
        <v>4.0</v>
      </c>
      <c r="AK10" s="160">
        <v>48608.0</v>
      </c>
      <c r="AL10" s="160">
        <v>0.0</v>
      </c>
      <c r="AM10" s="160">
        <v>0.0057</v>
      </c>
      <c r="AN10" s="160">
        <v>230026.0</v>
      </c>
      <c r="AO10" s="160">
        <v>0.84</v>
      </c>
      <c r="AP10" s="160">
        <v>0.0</v>
      </c>
      <c r="AQ10" s="160">
        <v>106.0</v>
      </c>
      <c r="AR10" s="160">
        <v>788.0</v>
      </c>
      <c r="AS10" s="160">
        <v>4654.47</v>
      </c>
      <c r="AT10" s="160">
        <v>2.0</v>
      </c>
      <c r="AU10" s="160">
        <v>103.0</v>
      </c>
      <c r="AV10" s="160">
        <v>37.0</v>
      </c>
      <c r="AW10" s="160">
        <v>10.0</v>
      </c>
      <c r="AX10" s="160">
        <v>14.0</v>
      </c>
      <c r="AY10" s="537"/>
      <c r="AZ10" s="537"/>
    </row>
    <row r="11">
      <c r="A11" s="157" t="s">
        <v>185</v>
      </c>
      <c r="B11" s="157" t="s">
        <v>189</v>
      </c>
      <c r="C11" s="157" t="s">
        <v>202</v>
      </c>
      <c r="D11" s="157" t="s">
        <v>1016</v>
      </c>
      <c r="E11" s="157" t="s">
        <v>243</v>
      </c>
      <c r="F11" s="338">
        <v>42826.0</v>
      </c>
      <c r="G11" s="157" t="s">
        <v>185</v>
      </c>
      <c r="H11" s="160">
        <v>0.0</v>
      </c>
      <c r="I11" s="160">
        <v>1.14E7</v>
      </c>
      <c r="J11" s="160">
        <v>7184086.75</v>
      </c>
      <c r="K11" s="160">
        <v>0.0</v>
      </c>
      <c r="L11" s="160">
        <v>133.0</v>
      </c>
      <c r="M11" s="160">
        <v>58.0</v>
      </c>
      <c r="N11" s="160">
        <v>2.0</v>
      </c>
      <c r="O11" s="160">
        <v>135.0</v>
      </c>
      <c r="P11" s="160">
        <v>77.0</v>
      </c>
      <c r="Q11" s="160">
        <v>7184086.75</v>
      </c>
      <c r="R11" s="160">
        <v>0.0</v>
      </c>
      <c r="S11" s="160">
        <v>9.0</v>
      </c>
      <c r="T11" s="160">
        <v>0.0</v>
      </c>
      <c r="U11" s="160">
        <v>9.0</v>
      </c>
      <c r="V11" s="160">
        <v>0.0</v>
      </c>
      <c r="W11" s="160">
        <v>3.0</v>
      </c>
      <c r="X11" s="160">
        <v>3.0</v>
      </c>
      <c r="Y11" s="160">
        <v>38.0</v>
      </c>
      <c r="Z11" s="160">
        <v>3.0</v>
      </c>
      <c r="AA11" s="160">
        <v>10.0</v>
      </c>
      <c r="AB11" s="160">
        <v>0.0</v>
      </c>
      <c r="AC11" s="160">
        <v>0.0</v>
      </c>
      <c r="AD11" s="160">
        <v>1.0</v>
      </c>
      <c r="AE11" s="160">
        <v>10.0</v>
      </c>
      <c r="AF11" s="160">
        <v>192.0</v>
      </c>
      <c r="AG11" s="160">
        <v>215.0</v>
      </c>
      <c r="AH11" s="160">
        <v>75.0</v>
      </c>
      <c r="AI11" s="160">
        <v>95788.0</v>
      </c>
      <c r="AJ11" s="160">
        <v>3.0</v>
      </c>
      <c r="AK11" s="160">
        <v>63250.0</v>
      </c>
      <c r="AL11" s="160">
        <v>0.0</v>
      </c>
      <c r="AM11" s="160">
        <v>0.0088</v>
      </c>
      <c r="AN11" s="160">
        <v>798232.0</v>
      </c>
      <c r="AO11" s="160">
        <v>0.63</v>
      </c>
      <c r="AP11" s="160">
        <v>0.0</v>
      </c>
      <c r="AQ11" s="160">
        <v>20.0</v>
      </c>
      <c r="AR11" s="160">
        <v>891.0</v>
      </c>
      <c r="AS11" s="160">
        <v>15555.19</v>
      </c>
      <c r="AT11" s="160">
        <v>0.0</v>
      </c>
      <c r="AU11" s="160">
        <v>268.0</v>
      </c>
      <c r="AV11" s="160">
        <v>9.0</v>
      </c>
      <c r="AW11" s="160">
        <v>49.0</v>
      </c>
      <c r="AX11" s="160">
        <v>77.0</v>
      </c>
      <c r="AY11" s="537"/>
      <c r="AZ11" s="537"/>
    </row>
    <row r="12">
      <c r="A12" s="157" t="s">
        <v>185</v>
      </c>
      <c r="B12" s="157" t="s">
        <v>189</v>
      </c>
      <c r="C12" s="157" t="s">
        <v>203</v>
      </c>
      <c r="D12" s="157" t="s">
        <v>1016</v>
      </c>
      <c r="E12" s="157" t="s">
        <v>230</v>
      </c>
      <c r="F12" s="338">
        <v>43009.0</v>
      </c>
      <c r="G12" s="157" t="s">
        <v>185</v>
      </c>
      <c r="H12" s="160">
        <v>0.0</v>
      </c>
      <c r="I12" s="160">
        <v>0.0</v>
      </c>
      <c r="J12" s="160">
        <v>0.0</v>
      </c>
      <c r="K12" s="160">
        <v>0.0</v>
      </c>
      <c r="L12" s="160">
        <v>217.0</v>
      </c>
      <c r="M12" s="160">
        <v>96.0</v>
      </c>
      <c r="N12" s="160">
        <v>6.0</v>
      </c>
      <c r="O12" s="160">
        <v>223.0</v>
      </c>
      <c r="P12" s="160">
        <v>127.0</v>
      </c>
      <c r="Q12" s="160">
        <v>0.0</v>
      </c>
      <c r="R12" s="160">
        <v>0.0</v>
      </c>
      <c r="S12" s="160">
        <v>0.0</v>
      </c>
      <c r="T12" s="160">
        <v>0.0</v>
      </c>
      <c r="U12" s="160">
        <v>0.0</v>
      </c>
      <c r="V12" s="160">
        <v>0.0</v>
      </c>
      <c r="W12" s="160">
        <v>4.0</v>
      </c>
      <c r="X12" s="160">
        <v>4.0</v>
      </c>
      <c r="Y12" s="160">
        <v>34.0</v>
      </c>
      <c r="Z12" s="160">
        <v>3.0</v>
      </c>
      <c r="AA12" s="160">
        <v>39.0</v>
      </c>
      <c r="AB12" s="160">
        <v>0.0</v>
      </c>
      <c r="AC12" s="160">
        <v>0.0</v>
      </c>
      <c r="AD12" s="160">
        <v>0.0</v>
      </c>
      <c r="AE12" s="160">
        <v>0.0</v>
      </c>
      <c r="AF12" s="160">
        <v>200.0</v>
      </c>
      <c r="AG12" s="160">
        <v>243.0</v>
      </c>
      <c r="AH12" s="160">
        <v>75.0</v>
      </c>
      <c r="AI12" s="160">
        <v>0.0</v>
      </c>
      <c r="AJ12" s="160">
        <v>3.0</v>
      </c>
      <c r="AK12" s="160">
        <v>54455.0</v>
      </c>
      <c r="AL12" s="160">
        <v>0.0</v>
      </c>
      <c r="AM12" s="160">
        <v>0.0</v>
      </c>
      <c r="AN12" s="160">
        <v>0.0</v>
      </c>
      <c r="AO12" s="160">
        <v>0.0</v>
      </c>
      <c r="AP12" s="160">
        <v>0.0</v>
      </c>
      <c r="AQ12" s="160">
        <v>0.0</v>
      </c>
      <c r="AR12" s="160">
        <v>739.0</v>
      </c>
      <c r="AS12" s="160">
        <v>5703.04</v>
      </c>
      <c r="AT12" s="160">
        <v>0.0</v>
      </c>
      <c r="AU12" s="160">
        <v>59.0</v>
      </c>
      <c r="AV12" s="160">
        <v>0.0</v>
      </c>
      <c r="AW12" s="160">
        <v>96.0</v>
      </c>
      <c r="AX12" s="160">
        <v>127.0</v>
      </c>
      <c r="AY12" s="537"/>
      <c r="AZ12" s="537"/>
    </row>
    <row r="13">
      <c r="A13" s="157" t="s">
        <v>185</v>
      </c>
      <c r="B13" s="157" t="s">
        <v>189</v>
      </c>
      <c r="C13" s="157" t="s">
        <v>205</v>
      </c>
      <c r="D13" s="157" t="s">
        <v>1016</v>
      </c>
      <c r="E13" s="157" t="s">
        <v>243</v>
      </c>
      <c r="F13" s="285">
        <v>43119.0</v>
      </c>
      <c r="G13" s="157" t="s">
        <v>185</v>
      </c>
      <c r="H13" s="160">
        <v>0.0</v>
      </c>
      <c r="I13" s="160">
        <v>1.1499999E7</v>
      </c>
      <c r="J13" s="160">
        <v>5906394.16</v>
      </c>
      <c r="K13" s="160">
        <v>0.0</v>
      </c>
      <c r="L13" s="160">
        <v>62.0</v>
      </c>
      <c r="M13" s="160">
        <v>17.0</v>
      </c>
      <c r="N13" s="160">
        <v>0.0</v>
      </c>
      <c r="O13" s="160">
        <v>62.0</v>
      </c>
      <c r="P13" s="160">
        <v>45.0</v>
      </c>
      <c r="Q13" s="160">
        <v>5906394.16</v>
      </c>
      <c r="R13" s="160">
        <v>0.0</v>
      </c>
      <c r="S13" s="160">
        <v>7.0</v>
      </c>
      <c r="T13" s="160">
        <v>0.0</v>
      </c>
      <c r="U13" s="160">
        <v>7.0</v>
      </c>
      <c r="V13" s="160">
        <v>0.0</v>
      </c>
      <c r="W13" s="160">
        <v>3.0</v>
      </c>
      <c r="X13" s="160">
        <v>3.0</v>
      </c>
      <c r="Y13" s="160">
        <v>75.0</v>
      </c>
      <c r="Z13" s="160">
        <v>3.0</v>
      </c>
      <c r="AA13" s="160">
        <v>28.0</v>
      </c>
      <c r="AB13" s="160">
        <v>0.0</v>
      </c>
      <c r="AC13" s="160">
        <v>0.0</v>
      </c>
      <c r="AD13" s="160">
        <v>0.0</v>
      </c>
      <c r="AE13" s="160">
        <v>0.0</v>
      </c>
      <c r="AF13" s="160">
        <v>73.0</v>
      </c>
      <c r="AG13" s="160">
        <v>104.0</v>
      </c>
      <c r="AH13" s="160">
        <v>72.0</v>
      </c>
      <c r="AI13" s="160">
        <v>82033.0</v>
      </c>
      <c r="AJ13" s="160">
        <v>1.0</v>
      </c>
      <c r="AK13" s="160">
        <v>56700.0</v>
      </c>
      <c r="AL13" s="160">
        <v>0.0</v>
      </c>
      <c r="AM13" s="160">
        <v>0.0096</v>
      </c>
      <c r="AN13" s="160">
        <v>843771.0</v>
      </c>
      <c r="AO13" s="160">
        <v>0.51</v>
      </c>
      <c r="AP13" s="160">
        <v>0.0</v>
      </c>
      <c r="AQ13" s="160">
        <v>8.0</v>
      </c>
      <c r="AR13" s="160">
        <v>560.0</v>
      </c>
      <c r="AS13" s="160">
        <v>1409.27</v>
      </c>
      <c r="AT13" s="160">
        <v>0.0</v>
      </c>
      <c r="AU13" s="160">
        <v>83.0</v>
      </c>
      <c r="AV13" s="160">
        <v>7.0</v>
      </c>
      <c r="AW13" s="160">
        <v>10.0</v>
      </c>
      <c r="AX13" s="160">
        <v>45.0</v>
      </c>
      <c r="AY13" s="537"/>
      <c r="AZ13" s="537"/>
    </row>
    <row r="14">
      <c r="A14" s="157" t="s">
        <v>185</v>
      </c>
      <c r="B14" s="157" t="s">
        <v>189</v>
      </c>
      <c r="C14" s="157" t="s">
        <v>190</v>
      </c>
      <c r="D14" s="157" t="s">
        <v>1016</v>
      </c>
      <c r="E14" s="157" t="s">
        <v>241</v>
      </c>
      <c r="F14" s="285">
        <v>39859.0</v>
      </c>
      <c r="G14" s="157" t="s">
        <v>185</v>
      </c>
      <c r="H14" s="160">
        <v>0.0</v>
      </c>
      <c r="I14" s="160">
        <v>1.515E7</v>
      </c>
      <c r="J14" s="160">
        <v>9369047.87</v>
      </c>
      <c r="K14" s="160">
        <v>0.0</v>
      </c>
      <c r="L14" s="160">
        <v>117.0</v>
      </c>
      <c r="M14" s="160">
        <v>77.0</v>
      </c>
      <c r="N14" s="160">
        <v>2.0</v>
      </c>
      <c r="O14" s="160">
        <v>119.0</v>
      </c>
      <c r="P14" s="160">
        <v>42.0</v>
      </c>
      <c r="Q14" s="160">
        <v>9230926.11</v>
      </c>
      <c r="R14" s="160">
        <v>138121.76</v>
      </c>
      <c r="S14" s="160">
        <v>39.0</v>
      </c>
      <c r="T14" s="160">
        <v>2.0</v>
      </c>
      <c r="U14" s="160">
        <v>41.0</v>
      </c>
      <c r="V14" s="160">
        <v>0.0</v>
      </c>
      <c r="W14" s="160">
        <v>1.0</v>
      </c>
      <c r="X14" s="160">
        <v>1.0</v>
      </c>
      <c r="Y14" s="160">
        <v>86.0</v>
      </c>
      <c r="Z14" s="160">
        <v>7.0</v>
      </c>
      <c r="AA14" s="160">
        <v>26.0</v>
      </c>
      <c r="AB14" s="160">
        <v>0.0</v>
      </c>
      <c r="AC14" s="160">
        <v>0.0</v>
      </c>
      <c r="AD14" s="160">
        <v>0.0</v>
      </c>
      <c r="AE14" s="160">
        <v>0.0</v>
      </c>
      <c r="AF14" s="160">
        <v>247.0</v>
      </c>
      <c r="AG14" s="160">
        <v>274.0</v>
      </c>
      <c r="AH14" s="160">
        <v>71.0</v>
      </c>
      <c r="AI14" s="160">
        <v>131958.0</v>
      </c>
      <c r="AJ14" s="160">
        <v>4.0</v>
      </c>
      <c r="AK14" s="160">
        <v>60500.0</v>
      </c>
      <c r="AL14" s="160">
        <v>0.0</v>
      </c>
      <c r="AM14" s="160">
        <v>0.0065</v>
      </c>
      <c r="AN14" s="160">
        <v>228513.0</v>
      </c>
      <c r="AO14" s="160">
        <v>0.62</v>
      </c>
      <c r="AP14" s="160">
        <v>0.0</v>
      </c>
      <c r="AQ14" s="160">
        <v>101.0</v>
      </c>
      <c r="AR14" s="160">
        <v>716.0</v>
      </c>
      <c r="AS14" s="160">
        <v>5293.16</v>
      </c>
      <c r="AT14" s="160">
        <v>2.0</v>
      </c>
      <c r="AU14" s="160">
        <v>69.0</v>
      </c>
      <c r="AV14" s="160">
        <v>41.0</v>
      </c>
      <c r="AW14" s="160">
        <v>40.0</v>
      </c>
      <c r="AX14" s="160">
        <v>38.0</v>
      </c>
      <c r="AY14" s="537"/>
      <c r="AZ14" s="537"/>
    </row>
    <row r="15">
      <c r="A15" s="157" t="s">
        <v>185</v>
      </c>
      <c r="B15" s="157" t="s">
        <v>189</v>
      </c>
      <c r="C15" s="157" t="s">
        <v>191</v>
      </c>
      <c r="D15" s="157" t="s">
        <v>1016</v>
      </c>
      <c r="E15" s="157" t="s">
        <v>243</v>
      </c>
      <c r="F15" s="338">
        <v>41159.0</v>
      </c>
      <c r="G15" s="157" t="s">
        <v>185</v>
      </c>
      <c r="H15" s="160">
        <v>0.0</v>
      </c>
      <c r="I15" s="160">
        <v>2.0499999E7</v>
      </c>
      <c r="J15" s="160">
        <v>4070824.78</v>
      </c>
      <c r="K15" s="160">
        <v>0.0</v>
      </c>
      <c r="L15" s="160">
        <v>153.0</v>
      </c>
      <c r="M15" s="160">
        <v>100.0</v>
      </c>
      <c r="N15" s="160">
        <v>0.0</v>
      </c>
      <c r="O15" s="160">
        <v>153.0</v>
      </c>
      <c r="P15" s="160">
        <v>53.0</v>
      </c>
      <c r="Q15" s="160">
        <v>4070824.78</v>
      </c>
      <c r="R15" s="160">
        <v>0.0</v>
      </c>
      <c r="S15" s="160">
        <v>17.0</v>
      </c>
      <c r="T15" s="160">
        <v>0.0</v>
      </c>
      <c r="U15" s="160">
        <v>17.0</v>
      </c>
      <c r="V15" s="160">
        <v>0.0</v>
      </c>
      <c r="W15" s="160">
        <v>20.0</v>
      </c>
      <c r="X15" s="160">
        <v>37.0</v>
      </c>
      <c r="Y15" s="160">
        <v>46.0</v>
      </c>
      <c r="Z15" s="160">
        <v>3.0</v>
      </c>
      <c r="AA15" s="160">
        <v>10.0</v>
      </c>
      <c r="AB15" s="160">
        <v>0.0</v>
      </c>
      <c r="AC15" s="160">
        <v>0.0</v>
      </c>
      <c r="AD15" s="160">
        <v>0.0</v>
      </c>
      <c r="AE15" s="160">
        <v>0.0</v>
      </c>
      <c r="AF15" s="160">
        <v>276.0</v>
      </c>
      <c r="AG15" s="160">
        <v>323.0</v>
      </c>
      <c r="AH15" s="160">
        <v>76.0</v>
      </c>
      <c r="AI15" s="160">
        <v>53563.0</v>
      </c>
      <c r="AJ15" s="160">
        <v>4.0</v>
      </c>
      <c r="AK15" s="160">
        <v>78125.0</v>
      </c>
      <c r="AL15" s="160">
        <v>0.0</v>
      </c>
      <c r="AM15" s="160">
        <v>0.0192</v>
      </c>
      <c r="AN15" s="160">
        <v>239460.0</v>
      </c>
      <c r="AO15" s="160">
        <v>0.2</v>
      </c>
      <c r="AP15" s="160">
        <v>0.0</v>
      </c>
      <c r="AQ15" s="160">
        <v>25.0</v>
      </c>
      <c r="AR15" s="160">
        <v>886.0</v>
      </c>
      <c r="AS15" s="160">
        <v>3862.82</v>
      </c>
      <c r="AT15" s="160">
        <v>0.0</v>
      </c>
      <c r="AU15" s="160">
        <v>39.0</v>
      </c>
      <c r="AV15" s="160">
        <v>17.0</v>
      </c>
      <c r="AW15" s="160">
        <v>83.0</v>
      </c>
      <c r="AX15" s="160">
        <v>53.0</v>
      </c>
      <c r="AY15" s="537"/>
      <c r="AZ15" s="537"/>
    </row>
    <row r="16">
      <c r="A16" s="157" t="s">
        <v>185</v>
      </c>
      <c r="B16" s="157" t="s">
        <v>189</v>
      </c>
      <c r="C16" s="157" t="s">
        <v>193</v>
      </c>
      <c r="D16" s="157" t="s">
        <v>1016</v>
      </c>
      <c r="E16" s="157" t="s">
        <v>241</v>
      </c>
      <c r="F16" s="342">
        <v>41400.0</v>
      </c>
      <c r="G16" s="157" t="s">
        <v>185</v>
      </c>
      <c r="H16" s="160">
        <v>0.0</v>
      </c>
      <c r="I16" s="160">
        <v>2.55E7</v>
      </c>
      <c r="J16" s="160">
        <v>1.293728323E7</v>
      </c>
      <c r="K16" s="160">
        <v>0.0</v>
      </c>
      <c r="L16" s="160">
        <v>57.0</v>
      </c>
      <c r="M16" s="160">
        <v>44.0</v>
      </c>
      <c r="N16" s="160">
        <v>0.0</v>
      </c>
      <c r="O16" s="160">
        <v>57.0</v>
      </c>
      <c r="P16" s="160">
        <v>13.0</v>
      </c>
      <c r="Q16" s="160">
        <v>1.293728323E7</v>
      </c>
      <c r="R16" s="160">
        <v>0.0</v>
      </c>
      <c r="S16" s="160">
        <v>37.0</v>
      </c>
      <c r="T16" s="160">
        <v>0.0</v>
      </c>
      <c r="U16" s="160">
        <v>37.0</v>
      </c>
      <c r="V16" s="160">
        <v>0.0</v>
      </c>
      <c r="W16" s="160">
        <v>1.0</v>
      </c>
      <c r="X16" s="160">
        <v>1.0</v>
      </c>
      <c r="Y16" s="160">
        <v>17.0</v>
      </c>
      <c r="Z16" s="160">
        <v>2.0</v>
      </c>
      <c r="AA16" s="160">
        <v>32.0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426.0</v>
      </c>
      <c r="AG16" s="160">
        <v>459.0</v>
      </c>
      <c r="AH16" s="160">
        <v>58.0</v>
      </c>
      <c r="AI16" s="160">
        <v>223057.0</v>
      </c>
      <c r="AJ16" s="160">
        <v>8.0</v>
      </c>
      <c r="AK16" s="160">
        <v>83075.0</v>
      </c>
      <c r="AL16" s="160">
        <v>0.0</v>
      </c>
      <c r="AM16" s="160">
        <v>0.0064</v>
      </c>
      <c r="AN16" s="160">
        <v>349656.0</v>
      </c>
      <c r="AO16" s="160">
        <v>0.51</v>
      </c>
      <c r="AP16" s="160">
        <v>0.0</v>
      </c>
      <c r="AQ16" s="160">
        <v>251.0</v>
      </c>
      <c r="AR16" s="160">
        <v>564.0</v>
      </c>
      <c r="AS16" s="160">
        <v>649.83</v>
      </c>
      <c r="AT16" s="160">
        <v>0.0</v>
      </c>
      <c r="AU16" s="160">
        <v>15.0</v>
      </c>
      <c r="AV16" s="160">
        <v>37.0</v>
      </c>
      <c r="AW16" s="160">
        <v>10.0</v>
      </c>
      <c r="AX16" s="160">
        <v>10.0</v>
      </c>
      <c r="AY16" s="537"/>
      <c r="AZ16" s="537"/>
    </row>
    <row r="17">
      <c r="A17" s="157" t="s">
        <v>185</v>
      </c>
      <c r="B17" s="157" t="s">
        <v>212</v>
      </c>
      <c r="C17" s="157" t="s">
        <v>489</v>
      </c>
      <c r="D17" s="157" t="s">
        <v>1031</v>
      </c>
      <c r="E17" s="157" t="s">
        <v>1032</v>
      </c>
      <c r="F17" s="285">
        <v>41719.0</v>
      </c>
      <c r="G17" s="157" t="s">
        <v>185</v>
      </c>
      <c r="H17" s="160">
        <v>0.0</v>
      </c>
      <c r="I17" s="160">
        <v>0.0</v>
      </c>
      <c r="J17" s="160">
        <v>0.0</v>
      </c>
      <c r="K17" s="160">
        <v>0.0</v>
      </c>
      <c r="L17" s="160">
        <v>176.0</v>
      </c>
      <c r="M17" s="160">
        <v>30.0</v>
      </c>
      <c r="N17" s="160">
        <v>2.0</v>
      </c>
      <c r="O17" s="160">
        <v>178.0</v>
      </c>
      <c r="P17" s="160">
        <v>148.0</v>
      </c>
      <c r="Q17" s="160">
        <v>0.0</v>
      </c>
      <c r="R17" s="160">
        <v>0.0</v>
      </c>
      <c r="S17" s="160">
        <v>0.0</v>
      </c>
      <c r="T17" s="160">
        <v>0.0</v>
      </c>
      <c r="U17" s="160">
        <v>0.0</v>
      </c>
      <c r="V17" s="160">
        <v>0.0</v>
      </c>
      <c r="W17" s="160">
        <v>12.0</v>
      </c>
      <c r="X17" s="160">
        <v>14.0</v>
      </c>
      <c r="Y17" s="160">
        <v>270.0</v>
      </c>
      <c r="Z17" s="160">
        <v>12.0</v>
      </c>
      <c r="AA17" s="160">
        <v>57.0</v>
      </c>
      <c r="AB17" s="160">
        <v>4.0</v>
      </c>
      <c r="AC17" s="160">
        <v>10.0</v>
      </c>
      <c r="AD17" s="160">
        <v>1.0</v>
      </c>
      <c r="AE17" s="160">
        <v>5.0</v>
      </c>
      <c r="AF17" s="160">
        <v>39.0</v>
      </c>
      <c r="AG17" s="160">
        <v>125.0</v>
      </c>
      <c r="AH17" s="160">
        <v>68.0</v>
      </c>
      <c r="AI17" s="160">
        <v>0.0</v>
      </c>
      <c r="AJ17" s="160">
        <v>2.0</v>
      </c>
      <c r="AK17" s="160">
        <v>88170.0</v>
      </c>
      <c r="AL17" s="160">
        <v>0.0</v>
      </c>
      <c r="AM17" s="160">
        <v>0.0</v>
      </c>
      <c r="AN17" s="160">
        <v>0.0</v>
      </c>
      <c r="AO17" s="160">
        <v>0.0</v>
      </c>
      <c r="AP17" s="160">
        <v>0.0</v>
      </c>
      <c r="AQ17" s="160">
        <v>0.0</v>
      </c>
      <c r="AR17" s="160">
        <v>627.0</v>
      </c>
      <c r="AS17" s="160">
        <v>3034.69</v>
      </c>
      <c r="AT17" s="160">
        <v>0.0</v>
      </c>
      <c r="AU17" s="160">
        <v>101.0</v>
      </c>
      <c r="AV17" s="160">
        <v>0.0</v>
      </c>
      <c r="AW17" s="160">
        <v>30.0</v>
      </c>
      <c r="AX17" s="160">
        <v>148.0</v>
      </c>
      <c r="AY17" s="537"/>
      <c r="AZ17" s="537"/>
    </row>
    <row r="18">
      <c r="A18" s="157" t="s">
        <v>185</v>
      </c>
      <c r="B18" s="157" t="s">
        <v>117</v>
      </c>
      <c r="C18" s="157" t="s">
        <v>434</v>
      </c>
      <c r="D18" s="157" t="s">
        <v>1044</v>
      </c>
      <c r="E18" s="157" t="s">
        <v>435</v>
      </c>
      <c r="F18" s="338">
        <v>42769.0</v>
      </c>
      <c r="G18" s="157" t="s">
        <v>111</v>
      </c>
      <c r="H18" s="160">
        <v>0.0</v>
      </c>
      <c r="I18" s="160">
        <v>2800000.0</v>
      </c>
      <c r="J18" s="160">
        <v>609331.02</v>
      </c>
      <c r="K18" s="160">
        <v>0.0</v>
      </c>
      <c r="L18" s="160">
        <v>44.0</v>
      </c>
      <c r="M18" s="160">
        <v>44.0</v>
      </c>
      <c r="N18" s="160">
        <v>0.0</v>
      </c>
      <c r="O18" s="160">
        <v>44.0</v>
      </c>
      <c r="P18" s="160">
        <v>0.0</v>
      </c>
      <c r="Q18" s="160">
        <v>609331.02</v>
      </c>
      <c r="R18" s="160">
        <v>0.0</v>
      </c>
      <c r="S18" s="160">
        <v>10.0</v>
      </c>
      <c r="T18" s="160">
        <v>0.0</v>
      </c>
      <c r="U18" s="160">
        <v>10.0</v>
      </c>
      <c r="V18" s="160">
        <v>0.0</v>
      </c>
      <c r="W18" s="160">
        <v>5.0</v>
      </c>
      <c r="X18" s="160">
        <v>6.0</v>
      </c>
      <c r="Y18" s="160">
        <v>73.0</v>
      </c>
      <c r="Z18" s="160">
        <v>1.0</v>
      </c>
      <c r="AA18" s="160">
        <v>2.0</v>
      </c>
      <c r="AB18" s="160">
        <v>0.0</v>
      </c>
      <c r="AC18" s="160">
        <v>0.0</v>
      </c>
      <c r="AD18" s="160">
        <v>0.0</v>
      </c>
      <c r="AE18" s="160">
        <v>0.0</v>
      </c>
      <c r="AF18" s="160">
        <v>239.0</v>
      </c>
      <c r="AG18" s="160">
        <v>247.0</v>
      </c>
      <c r="AH18" s="160">
        <v>49.0</v>
      </c>
      <c r="AI18" s="160">
        <v>12435.0</v>
      </c>
      <c r="AJ18" s="160">
        <v>5.0</v>
      </c>
      <c r="AK18" s="160">
        <v>28672.0</v>
      </c>
      <c r="AL18" s="160">
        <v>0.0</v>
      </c>
      <c r="AM18" s="160">
        <v>0.0471</v>
      </c>
      <c r="AN18" s="160">
        <v>60933.0</v>
      </c>
      <c r="AO18" s="160">
        <v>0.22</v>
      </c>
      <c r="AP18" s="160">
        <v>0.0</v>
      </c>
      <c r="AQ18" s="160">
        <v>23.0</v>
      </c>
      <c r="AR18" s="160">
        <v>518.0</v>
      </c>
      <c r="AS18" s="160">
        <v>4098.36</v>
      </c>
      <c r="AT18" s="160">
        <v>0.0</v>
      </c>
      <c r="AU18" s="160">
        <v>93.0</v>
      </c>
      <c r="AV18" s="160">
        <v>10.0</v>
      </c>
      <c r="AW18" s="160">
        <v>34.0</v>
      </c>
      <c r="AX18" s="160">
        <v>0.0</v>
      </c>
      <c r="AY18" s="285">
        <v>45991.0</v>
      </c>
      <c r="AZ18" s="285"/>
    </row>
    <row r="19">
      <c r="A19" s="157" t="s">
        <v>185</v>
      </c>
      <c r="B19" s="157" t="s">
        <v>1228</v>
      </c>
      <c r="C19" s="157" t="s">
        <v>112</v>
      </c>
      <c r="D19" s="157" t="s">
        <v>1051</v>
      </c>
      <c r="E19" s="157" t="s">
        <v>1052</v>
      </c>
      <c r="F19" s="285">
        <v>43185.0</v>
      </c>
      <c r="G19" s="157" t="s">
        <v>111</v>
      </c>
      <c r="H19" s="160">
        <v>1250001.0</v>
      </c>
      <c r="I19" s="160">
        <v>4200000.0</v>
      </c>
      <c r="J19" s="160">
        <v>2098927.67</v>
      </c>
      <c r="K19" s="160">
        <v>0.0</v>
      </c>
      <c r="L19" s="160">
        <v>110.0</v>
      </c>
      <c r="M19" s="160">
        <v>98.0</v>
      </c>
      <c r="N19" s="160">
        <v>2.0</v>
      </c>
      <c r="O19" s="160">
        <v>112.0</v>
      </c>
      <c r="P19" s="160">
        <v>14.0</v>
      </c>
      <c r="Q19" s="160">
        <v>2081767.67</v>
      </c>
      <c r="R19" s="160">
        <v>17160.0</v>
      </c>
      <c r="S19" s="160">
        <v>34.0</v>
      </c>
      <c r="T19" s="160">
        <v>1.0</v>
      </c>
      <c r="U19" s="160">
        <v>35.0</v>
      </c>
      <c r="V19" s="160">
        <v>0.0</v>
      </c>
      <c r="W19" s="160">
        <v>8.0</v>
      </c>
      <c r="X19" s="160">
        <v>10.0</v>
      </c>
      <c r="Y19" s="160">
        <v>98.0</v>
      </c>
      <c r="Z19" s="160">
        <v>1.0</v>
      </c>
      <c r="AA19" s="160">
        <v>1.0</v>
      </c>
      <c r="AB19" s="160">
        <v>0.0</v>
      </c>
      <c r="AC19" s="160">
        <v>0.0</v>
      </c>
      <c r="AD19" s="160">
        <v>0.0</v>
      </c>
      <c r="AE19" s="160">
        <v>0.0</v>
      </c>
      <c r="AF19" s="160">
        <v>302.0</v>
      </c>
      <c r="AG19" s="160">
        <v>313.0</v>
      </c>
      <c r="AH19" s="160">
        <v>60.0</v>
      </c>
      <c r="AI19" s="160">
        <v>34982.0</v>
      </c>
      <c r="AJ19" s="160">
        <v>5.0</v>
      </c>
      <c r="AK19" s="160">
        <v>30085.0</v>
      </c>
      <c r="AL19" s="160">
        <v>0.0</v>
      </c>
      <c r="AM19" s="160">
        <v>0.0143</v>
      </c>
      <c r="AN19" s="160">
        <v>59969.0</v>
      </c>
      <c r="AO19" s="160">
        <v>0.5</v>
      </c>
      <c r="AP19" s="160">
        <v>0.0</v>
      </c>
      <c r="AQ19" s="160">
        <v>50.0</v>
      </c>
      <c r="AR19" s="160">
        <v>615.0</v>
      </c>
      <c r="AS19" s="160">
        <v>4517.65</v>
      </c>
      <c r="AT19" s="160">
        <v>1.0</v>
      </c>
      <c r="AU19" s="160">
        <v>46.0</v>
      </c>
      <c r="AV19" s="160">
        <v>35.0</v>
      </c>
      <c r="AW19" s="160">
        <v>63.0</v>
      </c>
      <c r="AX19" s="160">
        <v>14.0</v>
      </c>
      <c r="AY19" s="537"/>
      <c r="AZ19" s="537"/>
    </row>
    <row r="20">
      <c r="A20" s="157" t="s">
        <v>185</v>
      </c>
      <c r="B20" s="157" t="s">
        <v>117</v>
      </c>
      <c r="C20" s="157" t="s">
        <v>524</v>
      </c>
      <c r="D20" s="157" t="s">
        <v>1044</v>
      </c>
      <c r="E20" s="157" t="s">
        <v>1054</v>
      </c>
      <c r="F20" s="285">
        <v>43424.0</v>
      </c>
      <c r="G20" s="157" t="s">
        <v>111</v>
      </c>
      <c r="H20" s="160">
        <v>2499999.0</v>
      </c>
      <c r="I20" s="160">
        <v>6300000.0</v>
      </c>
      <c r="J20" s="160">
        <v>3186335.05</v>
      </c>
      <c r="K20" s="160">
        <v>0.0</v>
      </c>
      <c r="L20" s="160">
        <v>128.0</v>
      </c>
      <c r="M20" s="160">
        <v>67.0</v>
      </c>
      <c r="N20" s="160">
        <v>1.0</v>
      </c>
      <c r="O20" s="160">
        <v>129.0</v>
      </c>
      <c r="P20" s="160">
        <v>62.0</v>
      </c>
      <c r="Q20" s="160">
        <v>3169497.85</v>
      </c>
      <c r="R20" s="160">
        <v>16837.2</v>
      </c>
      <c r="S20" s="160">
        <v>73.0</v>
      </c>
      <c r="T20" s="160">
        <v>1.0</v>
      </c>
      <c r="U20" s="160">
        <v>74.0</v>
      </c>
      <c r="V20" s="160">
        <v>0.0</v>
      </c>
      <c r="W20" s="160">
        <v>2.0</v>
      </c>
      <c r="X20" s="160">
        <v>4.0</v>
      </c>
      <c r="Y20" s="160">
        <v>16.0</v>
      </c>
      <c r="Z20" s="160">
        <v>5.0</v>
      </c>
      <c r="AA20" s="160">
        <v>30.0</v>
      </c>
      <c r="AB20" s="160">
        <v>3.0</v>
      </c>
      <c r="AC20" s="160">
        <v>17.0</v>
      </c>
      <c r="AD20" s="160">
        <v>0.0</v>
      </c>
      <c r="AE20" s="160">
        <v>0.0</v>
      </c>
      <c r="AF20" s="160">
        <v>304.0</v>
      </c>
      <c r="AG20" s="160">
        <v>355.0</v>
      </c>
      <c r="AH20" s="160">
        <v>72.0</v>
      </c>
      <c r="AI20" s="160">
        <v>44255.0</v>
      </c>
      <c r="AJ20" s="160">
        <v>5.0</v>
      </c>
      <c r="AK20" s="160">
        <v>28985.0</v>
      </c>
      <c r="AL20" s="160">
        <v>0.0</v>
      </c>
      <c r="AM20" s="160">
        <v>0.0091</v>
      </c>
      <c r="AN20" s="160">
        <v>43059.0</v>
      </c>
      <c r="AO20" s="160">
        <v>0.51</v>
      </c>
      <c r="AP20" s="160">
        <v>0.0</v>
      </c>
      <c r="AQ20" s="160">
        <v>167.0</v>
      </c>
      <c r="AR20" s="160">
        <v>571.0</v>
      </c>
      <c r="AS20" s="160">
        <v>4071.45</v>
      </c>
      <c r="AT20" s="160">
        <v>1.0</v>
      </c>
      <c r="AU20" s="160">
        <v>61.0</v>
      </c>
      <c r="AV20" s="160">
        <v>74.0</v>
      </c>
      <c r="AW20" s="160">
        <v>26.0</v>
      </c>
      <c r="AX20" s="160">
        <v>29.0</v>
      </c>
      <c r="AY20" s="537"/>
      <c r="AZ20" s="537"/>
    </row>
    <row r="21">
      <c r="A21" s="157" t="s">
        <v>298</v>
      </c>
      <c r="B21" s="157" t="s">
        <v>301</v>
      </c>
      <c r="C21" s="157" t="s">
        <v>299</v>
      </c>
      <c r="D21" s="157" t="s">
        <v>1047</v>
      </c>
      <c r="E21" s="157" t="s">
        <v>1048</v>
      </c>
      <c r="F21" s="285">
        <v>42926.0</v>
      </c>
      <c r="G21" s="157" t="s">
        <v>298</v>
      </c>
      <c r="H21" s="160">
        <v>0.0</v>
      </c>
      <c r="I21" s="160">
        <v>6000000.0</v>
      </c>
      <c r="J21" s="160">
        <v>4798018.26</v>
      </c>
      <c r="K21" s="160">
        <v>0.0</v>
      </c>
      <c r="L21" s="160">
        <v>156.0</v>
      </c>
      <c r="M21" s="160">
        <v>80.0</v>
      </c>
      <c r="N21" s="160">
        <v>2.0</v>
      </c>
      <c r="O21" s="160">
        <v>158.0</v>
      </c>
      <c r="P21" s="160">
        <v>78.0</v>
      </c>
      <c r="Q21" s="160">
        <v>4759753.86</v>
      </c>
      <c r="R21" s="160">
        <v>38264.4</v>
      </c>
      <c r="S21" s="160">
        <v>60.0</v>
      </c>
      <c r="T21" s="160">
        <v>1.0</v>
      </c>
      <c r="U21" s="160">
        <v>61.0</v>
      </c>
      <c r="V21" s="160">
        <v>0.0</v>
      </c>
      <c r="W21" s="160">
        <v>3.0</v>
      </c>
      <c r="X21" s="160">
        <v>4.0</v>
      </c>
      <c r="Y21" s="160">
        <v>56.0</v>
      </c>
      <c r="Z21" s="160">
        <v>3.0</v>
      </c>
      <c r="AA21" s="160">
        <v>31.0</v>
      </c>
      <c r="AB21" s="160">
        <v>0.0</v>
      </c>
      <c r="AC21" s="160">
        <v>0.0</v>
      </c>
      <c r="AD21" s="160">
        <v>0.0</v>
      </c>
      <c r="AE21" s="160">
        <v>0.0</v>
      </c>
      <c r="AF21" s="160">
        <v>196.0</v>
      </c>
      <c r="AG21" s="160">
        <v>231.0</v>
      </c>
      <c r="AH21" s="160">
        <v>73.0</v>
      </c>
      <c r="AI21" s="160">
        <v>65726.0</v>
      </c>
      <c r="AJ21" s="160">
        <v>3.0</v>
      </c>
      <c r="AK21" s="160">
        <v>44575.0</v>
      </c>
      <c r="AL21" s="160">
        <v>0.0</v>
      </c>
      <c r="AM21" s="160">
        <v>0.0093</v>
      </c>
      <c r="AN21" s="160">
        <v>78656.0</v>
      </c>
      <c r="AO21" s="160">
        <v>0.8</v>
      </c>
      <c r="AP21" s="160">
        <v>0.0</v>
      </c>
      <c r="AQ21" s="160">
        <v>164.0</v>
      </c>
      <c r="AR21" s="160">
        <v>553.0</v>
      </c>
      <c r="AS21" s="160">
        <v>6716.42</v>
      </c>
      <c r="AT21" s="160">
        <v>1.0</v>
      </c>
      <c r="AU21" s="160">
        <v>84.0</v>
      </c>
      <c r="AV21" s="160">
        <v>61.0</v>
      </c>
      <c r="AW21" s="160">
        <v>26.0</v>
      </c>
      <c r="AX21" s="160">
        <v>71.0</v>
      </c>
      <c r="AY21" s="537"/>
      <c r="AZ21" s="537"/>
    </row>
    <row r="22">
      <c r="A22" s="157" t="s">
        <v>322</v>
      </c>
      <c r="B22" s="157" t="s">
        <v>325</v>
      </c>
      <c r="C22" s="157" t="s">
        <v>323</v>
      </c>
      <c r="D22" s="157" t="s">
        <v>1049</v>
      </c>
      <c r="E22" s="157" t="s">
        <v>1050</v>
      </c>
      <c r="F22" s="285">
        <v>42993.0</v>
      </c>
      <c r="G22" s="157" t="s">
        <v>322</v>
      </c>
      <c r="H22" s="160">
        <v>0.0</v>
      </c>
      <c r="I22" s="160">
        <v>3750000.0</v>
      </c>
      <c r="J22" s="160">
        <v>3068264.98</v>
      </c>
      <c r="K22" s="160">
        <v>0.0</v>
      </c>
      <c r="L22" s="160">
        <v>139.0</v>
      </c>
      <c r="M22" s="160">
        <v>88.0</v>
      </c>
      <c r="N22" s="160">
        <v>2.0</v>
      </c>
      <c r="O22" s="160">
        <v>141.0</v>
      </c>
      <c r="P22" s="160">
        <v>53.0</v>
      </c>
      <c r="Q22" s="160">
        <v>2807017.98</v>
      </c>
      <c r="R22" s="160">
        <v>261247.0</v>
      </c>
      <c r="S22" s="160">
        <v>74.0</v>
      </c>
      <c r="T22" s="160">
        <v>2.0</v>
      </c>
      <c r="U22" s="160">
        <v>76.0</v>
      </c>
      <c r="V22" s="160">
        <v>0.0</v>
      </c>
      <c r="W22" s="160">
        <v>122.0</v>
      </c>
      <c r="X22" s="160">
        <v>137.0</v>
      </c>
      <c r="Y22" s="160">
        <v>565.0</v>
      </c>
      <c r="Z22" s="160">
        <v>8.0</v>
      </c>
      <c r="AA22" s="160">
        <v>74.0</v>
      </c>
      <c r="AB22" s="160">
        <v>0.0</v>
      </c>
      <c r="AC22" s="160">
        <v>0.0</v>
      </c>
      <c r="AD22" s="160">
        <v>0.0</v>
      </c>
      <c r="AE22" s="160">
        <v>0.0</v>
      </c>
      <c r="AF22" s="160">
        <v>171.0</v>
      </c>
      <c r="AG22" s="160">
        <v>382.0</v>
      </c>
      <c r="AH22" s="160">
        <v>74.0</v>
      </c>
      <c r="AI22" s="160">
        <v>41463.0</v>
      </c>
      <c r="AJ22" s="160">
        <v>5.0</v>
      </c>
      <c r="AK22" s="160">
        <v>51335.0</v>
      </c>
      <c r="AL22" s="160">
        <v>0.0</v>
      </c>
      <c r="AM22" s="160">
        <v>0.0167</v>
      </c>
      <c r="AN22" s="160">
        <v>40372.0</v>
      </c>
      <c r="AO22" s="160">
        <v>0.82</v>
      </c>
      <c r="AP22" s="160">
        <v>0.0</v>
      </c>
      <c r="AQ22" s="160">
        <v>155.0</v>
      </c>
      <c r="AR22" s="160">
        <v>705.0</v>
      </c>
      <c r="AS22" s="160">
        <v>7545.52</v>
      </c>
      <c r="AT22" s="160">
        <v>2.0</v>
      </c>
      <c r="AU22" s="160">
        <v>86.0</v>
      </c>
      <c r="AV22" s="160">
        <v>76.0</v>
      </c>
      <c r="AW22" s="160">
        <v>27.0</v>
      </c>
      <c r="AX22" s="160">
        <v>38.0</v>
      </c>
      <c r="AY22" s="537"/>
      <c r="AZ22" s="537"/>
    </row>
    <row r="23">
      <c r="A23" s="157" t="s">
        <v>185</v>
      </c>
      <c r="B23" s="157" t="s">
        <v>189</v>
      </c>
      <c r="C23" s="157" t="s">
        <v>206</v>
      </c>
      <c r="D23" s="157" t="s">
        <v>1016</v>
      </c>
      <c r="E23" s="157" t="s">
        <v>192</v>
      </c>
      <c r="F23" s="338">
        <v>43255.0</v>
      </c>
      <c r="G23" s="157" t="s">
        <v>185</v>
      </c>
      <c r="H23" s="160">
        <v>0.0</v>
      </c>
      <c r="I23" s="160">
        <v>1.5999999E7</v>
      </c>
      <c r="J23" s="160">
        <v>8670249.75</v>
      </c>
      <c r="K23" s="160">
        <v>0.0</v>
      </c>
      <c r="L23" s="160">
        <v>148.0</v>
      </c>
      <c r="M23" s="160">
        <v>97.0</v>
      </c>
      <c r="N23" s="160">
        <v>0.0</v>
      </c>
      <c r="O23" s="160">
        <v>148.0</v>
      </c>
      <c r="P23" s="160">
        <v>51.0</v>
      </c>
      <c r="Q23" s="160">
        <v>8670249.75</v>
      </c>
      <c r="R23" s="160">
        <v>0.0</v>
      </c>
      <c r="S23" s="160">
        <v>31.0</v>
      </c>
      <c r="T23" s="160">
        <v>0.0</v>
      </c>
      <c r="U23" s="160">
        <v>31.0</v>
      </c>
      <c r="V23" s="160">
        <v>0.0</v>
      </c>
      <c r="W23" s="160">
        <v>5.0</v>
      </c>
      <c r="X23" s="160">
        <v>5.0</v>
      </c>
      <c r="Y23" s="160">
        <v>44.0</v>
      </c>
      <c r="Z23" s="160">
        <v>3.0</v>
      </c>
      <c r="AA23" s="160">
        <v>25.0</v>
      </c>
      <c r="AB23" s="160">
        <v>0.0</v>
      </c>
      <c r="AC23" s="160">
        <v>0.0</v>
      </c>
      <c r="AD23" s="160">
        <v>0.0</v>
      </c>
      <c r="AE23" s="160">
        <v>0.0</v>
      </c>
      <c r="AF23" s="160">
        <v>229.0</v>
      </c>
      <c r="AG23" s="160">
        <v>259.0</v>
      </c>
      <c r="AH23" s="160">
        <v>75.0</v>
      </c>
      <c r="AI23" s="160">
        <v>115603.0</v>
      </c>
      <c r="AJ23" s="160">
        <v>3.0</v>
      </c>
      <c r="AK23" s="160">
        <v>46670.0</v>
      </c>
      <c r="AL23" s="160">
        <v>0.0</v>
      </c>
      <c r="AM23" s="160">
        <v>0.0054</v>
      </c>
      <c r="AN23" s="160">
        <v>279685.0</v>
      </c>
      <c r="AO23" s="160">
        <v>0.54</v>
      </c>
      <c r="AP23" s="160">
        <v>0.0</v>
      </c>
      <c r="AQ23" s="160">
        <v>75.0</v>
      </c>
      <c r="AR23" s="160">
        <v>802.0</v>
      </c>
      <c r="AS23" s="160">
        <v>3795.22</v>
      </c>
      <c r="AT23" s="160">
        <v>0.0</v>
      </c>
      <c r="AU23" s="160">
        <v>39.0</v>
      </c>
      <c r="AV23" s="160">
        <v>31.0</v>
      </c>
      <c r="AW23" s="160">
        <v>69.0</v>
      </c>
      <c r="AX23" s="160">
        <v>48.0</v>
      </c>
      <c r="AY23" s="537"/>
      <c r="AZ23" s="537"/>
    </row>
    <row r="24">
      <c r="A24" s="157" t="s">
        <v>126</v>
      </c>
      <c r="B24" s="157" t="s">
        <v>130</v>
      </c>
      <c r="C24" s="157" t="s">
        <v>128</v>
      </c>
      <c r="D24" s="157" t="s">
        <v>1022</v>
      </c>
      <c r="E24" s="157" t="s">
        <v>129</v>
      </c>
      <c r="F24" s="338">
        <v>41004.0</v>
      </c>
      <c r="G24" s="157" t="s">
        <v>580</v>
      </c>
      <c r="H24" s="160">
        <v>900000.0</v>
      </c>
      <c r="I24" s="160">
        <v>1.1600001E7</v>
      </c>
      <c r="J24" s="160">
        <v>1.168718815E7</v>
      </c>
      <c r="K24" s="160">
        <v>943805.74</v>
      </c>
      <c r="L24" s="160">
        <v>66.0</v>
      </c>
      <c r="M24" s="160">
        <v>50.0</v>
      </c>
      <c r="N24" s="160">
        <v>1.0</v>
      </c>
      <c r="O24" s="160">
        <v>67.0</v>
      </c>
      <c r="P24" s="160">
        <v>17.0</v>
      </c>
      <c r="Q24" s="160">
        <v>1.129226117E7</v>
      </c>
      <c r="R24" s="160">
        <v>394926.98</v>
      </c>
      <c r="S24" s="160">
        <v>44.0</v>
      </c>
      <c r="T24" s="160">
        <v>1.0</v>
      </c>
      <c r="U24" s="160">
        <v>45.0</v>
      </c>
      <c r="V24" s="160">
        <v>6.0</v>
      </c>
      <c r="W24" s="160">
        <v>7.0</v>
      </c>
      <c r="X24" s="160">
        <v>10.0</v>
      </c>
      <c r="Y24" s="160">
        <v>25.0</v>
      </c>
      <c r="Z24" s="160">
        <v>10.0</v>
      </c>
      <c r="AA24" s="160">
        <v>104.0</v>
      </c>
      <c r="AB24" s="160">
        <v>8.0</v>
      </c>
      <c r="AC24" s="160">
        <v>36.0</v>
      </c>
      <c r="AD24" s="160">
        <v>1.0</v>
      </c>
      <c r="AE24" s="160">
        <v>1.0</v>
      </c>
      <c r="AF24" s="160">
        <v>159.0</v>
      </c>
      <c r="AG24" s="160">
        <v>310.0</v>
      </c>
      <c r="AH24" s="160">
        <v>64.0</v>
      </c>
      <c r="AI24" s="160">
        <v>182612.0</v>
      </c>
      <c r="AJ24" s="160">
        <v>5.0</v>
      </c>
      <c r="AK24" s="160">
        <v>30096.0</v>
      </c>
      <c r="AL24" s="160">
        <v>0.0</v>
      </c>
      <c r="AM24" s="160">
        <v>0.0026</v>
      </c>
      <c r="AN24" s="160">
        <v>259715.0</v>
      </c>
      <c r="AO24" s="160">
        <v>1.01</v>
      </c>
      <c r="AP24" s="160">
        <v>1.05</v>
      </c>
      <c r="AQ24" s="160">
        <v>162.0</v>
      </c>
      <c r="AR24" s="160">
        <v>506.0</v>
      </c>
      <c r="AS24" s="160">
        <v>4359.95</v>
      </c>
      <c r="AT24" s="160">
        <v>1.0</v>
      </c>
      <c r="AU24" s="160">
        <v>87.0</v>
      </c>
      <c r="AV24" s="160">
        <v>45.0</v>
      </c>
      <c r="AW24" s="160">
        <v>10.0</v>
      </c>
      <c r="AX24" s="160">
        <v>12.0</v>
      </c>
      <c r="AY24" s="537"/>
      <c r="AZ24" s="537"/>
    </row>
    <row r="25">
      <c r="A25" s="157" t="s">
        <v>126</v>
      </c>
      <c r="B25" s="157" t="s">
        <v>130</v>
      </c>
      <c r="C25" s="157" t="s">
        <v>164</v>
      </c>
      <c r="D25" s="157" t="s">
        <v>130</v>
      </c>
      <c r="E25" s="157" t="s">
        <v>153</v>
      </c>
      <c r="F25" s="338">
        <v>45323.0</v>
      </c>
      <c r="G25" s="157" t="s">
        <v>580</v>
      </c>
      <c r="H25" s="160">
        <v>1200000.0</v>
      </c>
      <c r="I25" s="160">
        <v>6300000.0</v>
      </c>
      <c r="J25" s="160">
        <v>5034335.62</v>
      </c>
      <c r="K25" s="160">
        <v>225839.39</v>
      </c>
      <c r="L25" s="160">
        <v>133.0</v>
      </c>
      <c r="M25" s="160">
        <v>99.0</v>
      </c>
      <c r="N25" s="160">
        <v>5.0</v>
      </c>
      <c r="O25" s="160">
        <v>138.0</v>
      </c>
      <c r="P25" s="160">
        <v>39.0</v>
      </c>
      <c r="Q25" s="160">
        <v>4719846.27</v>
      </c>
      <c r="R25" s="160">
        <v>314489.35</v>
      </c>
      <c r="S25" s="160">
        <v>56.0</v>
      </c>
      <c r="T25" s="160">
        <v>5.0</v>
      </c>
      <c r="U25" s="160">
        <v>61.0</v>
      </c>
      <c r="V25" s="160">
        <v>2.0</v>
      </c>
      <c r="W25" s="160">
        <v>35.0</v>
      </c>
      <c r="X25" s="160">
        <v>38.0</v>
      </c>
      <c r="Y25" s="160">
        <v>126.0</v>
      </c>
      <c r="Z25" s="160">
        <v>6.0</v>
      </c>
      <c r="AA25" s="160">
        <v>55.0</v>
      </c>
      <c r="AB25" s="160">
        <v>4.0</v>
      </c>
      <c r="AC25" s="160">
        <v>7.0</v>
      </c>
      <c r="AD25" s="160">
        <v>0.0</v>
      </c>
      <c r="AE25" s="160">
        <v>0.0</v>
      </c>
      <c r="AF25" s="160">
        <v>335.0</v>
      </c>
      <c r="AG25" s="160">
        <v>435.0</v>
      </c>
      <c r="AH25" s="160">
        <v>70.0</v>
      </c>
      <c r="AI25" s="160">
        <v>71919.0</v>
      </c>
      <c r="AJ25" s="160">
        <v>6.0</v>
      </c>
      <c r="AK25" s="160">
        <v>30646.0</v>
      </c>
      <c r="AL25" s="160">
        <v>0.0</v>
      </c>
      <c r="AM25" s="160">
        <v>0.0061</v>
      </c>
      <c r="AN25" s="160">
        <v>82530.0</v>
      </c>
      <c r="AO25" s="160">
        <v>0.8</v>
      </c>
      <c r="AP25" s="160">
        <v>0.19</v>
      </c>
      <c r="AQ25" s="160">
        <v>114.0</v>
      </c>
      <c r="AR25" s="160">
        <v>659.0</v>
      </c>
      <c r="AS25" s="160">
        <v>4894.56</v>
      </c>
      <c r="AT25" s="160">
        <v>5.0</v>
      </c>
      <c r="AU25" s="160">
        <v>49.0</v>
      </c>
      <c r="AV25" s="160">
        <v>61.0</v>
      </c>
      <c r="AW25" s="160">
        <v>43.0</v>
      </c>
      <c r="AX25" s="160">
        <v>34.0</v>
      </c>
      <c r="AY25" s="537"/>
      <c r="AZ25" s="537"/>
    </row>
    <row r="26">
      <c r="A26" s="157" t="s">
        <v>126</v>
      </c>
      <c r="B26" s="157" t="s">
        <v>130</v>
      </c>
      <c r="C26" s="157" t="s">
        <v>131</v>
      </c>
      <c r="D26" s="157" t="s">
        <v>130</v>
      </c>
      <c r="E26" s="157" t="s">
        <v>1038</v>
      </c>
      <c r="F26" s="338">
        <v>42530.0</v>
      </c>
      <c r="G26" s="157" t="s">
        <v>580</v>
      </c>
      <c r="H26" s="160">
        <v>1500000.0</v>
      </c>
      <c r="I26" s="160">
        <v>7875000.0</v>
      </c>
      <c r="J26" s="160">
        <v>3654863.95</v>
      </c>
      <c r="K26" s="160">
        <v>0.0</v>
      </c>
      <c r="L26" s="160">
        <v>94.0</v>
      </c>
      <c r="M26" s="160">
        <v>63.0</v>
      </c>
      <c r="N26" s="160">
        <v>5.0</v>
      </c>
      <c r="O26" s="160">
        <v>99.0</v>
      </c>
      <c r="P26" s="160">
        <v>36.0</v>
      </c>
      <c r="Q26" s="160">
        <v>3435446.25</v>
      </c>
      <c r="R26" s="160">
        <v>219417.7</v>
      </c>
      <c r="S26" s="160">
        <v>18.0</v>
      </c>
      <c r="T26" s="160">
        <v>2.0</v>
      </c>
      <c r="U26" s="160">
        <v>20.0</v>
      </c>
      <c r="V26" s="160">
        <v>0.0</v>
      </c>
      <c r="W26" s="160">
        <v>31.0</v>
      </c>
      <c r="X26" s="160">
        <v>35.0</v>
      </c>
      <c r="Y26" s="160">
        <v>159.0</v>
      </c>
      <c r="Z26" s="160">
        <v>4.0</v>
      </c>
      <c r="AA26" s="160">
        <v>27.0</v>
      </c>
      <c r="AB26" s="160">
        <v>0.0</v>
      </c>
      <c r="AC26" s="160">
        <v>0.0</v>
      </c>
      <c r="AD26" s="160">
        <v>0.0</v>
      </c>
      <c r="AE26" s="160">
        <v>0.0</v>
      </c>
      <c r="AF26" s="160">
        <v>169.0</v>
      </c>
      <c r="AG26" s="160">
        <v>231.0</v>
      </c>
      <c r="AH26" s="160">
        <v>68.0</v>
      </c>
      <c r="AI26" s="160">
        <v>53748.0</v>
      </c>
      <c r="AJ26" s="160">
        <v>3.0</v>
      </c>
      <c r="AK26" s="160">
        <v>33802.0</v>
      </c>
      <c r="AL26" s="160">
        <v>0.0</v>
      </c>
      <c r="AM26" s="160">
        <v>0.0092</v>
      </c>
      <c r="AN26" s="160">
        <v>182743.0</v>
      </c>
      <c r="AO26" s="160">
        <v>0.46</v>
      </c>
      <c r="AP26" s="160">
        <v>0.0</v>
      </c>
      <c r="AQ26" s="160">
        <v>30.0</v>
      </c>
      <c r="AR26" s="160">
        <v>587.0</v>
      </c>
      <c r="AS26" s="160">
        <v>3673.85</v>
      </c>
      <c r="AT26" s="160">
        <v>2.0</v>
      </c>
      <c r="AU26" s="160">
        <v>58.0</v>
      </c>
      <c r="AV26" s="160">
        <v>20.0</v>
      </c>
      <c r="AW26" s="160">
        <v>47.0</v>
      </c>
      <c r="AX26" s="160">
        <v>32.0</v>
      </c>
      <c r="AY26" s="537"/>
      <c r="AZ26" s="537"/>
    </row>
    <row r="27">
      <c r="A27" s="157" t="s">
        <v>126</v>
      </c>
      <c r="B27" s="157" t="s">
        <v>135</v>
      </c>
      <c r="C27" s="157" t="s">
        <v>133</v>
      </c>
      <c r="D27" s="157" t="s">
        <v>1042</v>
      </c>
      <c r="E27" s="157" t="s">
        <v>180</v>
      </c>
      <c r="F27" s="285">
        <v>42720.0</v>
      </c>
      <c r="G27" s="157" t="s">
        <v>580</v>
      </c>
      <c r="H27" s="160">
        <v>1257000.0</v>
      </c>
      <c r="I27" s="160">
        <v>8118000.0</v>
      </c>
      <c r="J27" s="160">
        <v>5778531.24</v>
      </c>
      <c r="K27" s="160">
        <v>925576.96</v>
      </c>
      <c r="L27" s="160">
        <v>82.0</v>
      </c>
      <c r="M27" s="160">
        <v>66.0</v>
      </c>
      <c r="N27" s="160">
        <v>5.0</v>
      </c>
      <c r="O27" s="160">
        <v>87.0</v>
      </c>
      <c r="P27" s="160">
        <v>21.0</v>
      </c>
      <c r="Q27" s="160">
        <v>4679692.37</v>
      </c>
      <c r="R27" s="160">
        <v>1098838.87</v>
      </c>
      <c r="S27" s="160">
        <v>45.0</v>
      </c>
      <c r="T27" s="160">
        <v>5.0</v>
      </c>
      <c r="U27" s="160">
        <v>50.0</v>
      </c>
      <c r="V27" s="160">
        <v>4.0</v>
      </c>
      <c r="W27" s="160">
        <v>20.0</v>
      </c>
      <c r="X27" s="160">
        <v>26.0</v>
      </c>
      <c r="Y27" s="160">
        <v>180.0</v>
      </c>
      <c r="Z27" s="160">
        <v>3.0</v>
      </c>
      <c r="AA27" s="160">
        <v>19.0</v>
      </c>
      <c r="AB27" s="160">
        <v>4.0</v>
      </c>
      <c r="AC27" s="160">
        <v>11.0</v>
      </c>
      <c r="AD27" s="160">
        <v>1.0</v>
      </c>
      <c r="AE27" s="160">
        <v>11.0</v>
      </c>
      <c r="AF27" s="160">
        <v>211.0</v>
      </c>
      <c r="AG27" s="160">
        <v>278.0</v>
      </c>
      <c r="AH27" s="160">
        <v>74.0</v>
      </c>
      <c r="AI27" s="160">
        <v>78088.0</v>
      </c>
      <c r="AJ27" s="160">
        <v>4.0</v>
      </c>
      <c r="AK27" s="160">
        <v>31584.0</v>
      </c>
      <c r="AL27" s="160">
        <v>0.0</v>
      </c>
      <c r="AM27" s="160">
        <v>0.0055</v>
      </c>
      <c r="AN27" s="160">
        <v>115571.0</v>
      </c>
      <c r="AO27" s="160">
        <v>0.71</v>
      </c>
      <c r="AP27" s="160">
        <v>0.74</v>
      </c>
      <c r="AQ27" s="160">
        <v>148.0</v>
      </c>
      <c r="AR27" s="160">
        <v>499.0</v>
      </c>
      <c r="AS27" s="160">
        <v>3960.17</v>
      </c>
      <c r="AT27" s="160">
        <v>5.0</v>
      </c>
      <c r="AU27" s="160">
        <v>60.0</v>
      </c>
      <c r="AV27" s="160">
        <v>50.0</v>
      </c>
      <c r="AW27" s="160">
        <v>24.0</v>
      </c>
      <c r="AX27" s="160">
        <v>13.0</v>
      </c>
      <c r="AY27" s="537"/>
      <c r="AZ27" s="537"/>
    </row>
    <row r="28">
      <c r="A28" s="157" t="s">
        <v>126</v>
      </c>
      <c r="B28" s="157" t="s">
        <v>135</v>
      </c>
      <c r="C28" s="157" t="s">
        <v>136</v>
      </c>
      <c r="D28" s="157" t="s">
        <v>1042</v>
      </c>
      <c r="E28" s="157" t="s">
        <v>137</v>
      </c>
      <c r="F28" s="338">
        <v>43315.0</v>
      </c>
      <c r="G28" s="157" t="s">
        <v>580</v>
      </c>
      <c r="H28" s="160">
        <v>900000.0</v>
      </c>
      <c r="I28" s="160">
        <v>1.1600001E7</v>
      </c>
      <c r="J28" s="160">
        <v>1.177429538E7</v>
      </c>
      <c r="K28" s="160">
        <v>218639.41</v>
      </c>
      <c r="L28" s="160">
        <v>113.0</v>
      </c>
      <c r="M28" s="160">
        <v>95.0</v>
      </c>
      <c r="N28" s="160">
        <v>4.0</v>
      </c>
      <c r="O28" s="160">
        <v>117.0</v>
      </c>
      <c r="P28" s="160">
        <v>22.0</v>
      </c>
      <c r="Q28" s="160">
        <v>1.148274198E7</v>
      </c>
      <c r="R28" s="160">
        <v>291553.4</v>
      </c>
      <c r="S28" s="160">
        <v>77.0</v>
      </c>
      <c r="T28" s="160">
        <v>4.0</v>
      </c>
      <c r="U28" s="160">
        <v>81.0</v>
      </c>
      <c r="V28" s="160">
        <v>2.0</v>
      </c>
      <c r="W28" s="160">
        <v>1.0</v>
      </c>
      <c r="X28" s="160">
        <v>1.0</v>
      </c>
      <c r="Y28" s="160">
        <v>20.0</v>
      </c>
      <c r="Z28" s="160">
        <v>5.0</v>
      </c>
      <c r="AA28" s="160">
        <v>15.0</v>
      </c>
      <c r="AB28" s="160">
        <v>0.0</v>
      </c>
      <c r="AC28" s="160">
        <v>0.0</v>
      </c>
      <c r="AD28" s="160">
        <v>1.0</v>
      </c>
      <c r="AE28" s="160">
        <v>1.0</v>
      </c>
      <c r="AF28" s="160">
        <v>335.0</v>
      </c>
      <c r="AG28" s="160">
        <v>352.0</v>
      </c>
      <c r="AH28" s="160">
        <v>73.0</v>
      </c>
      <c r="AI28" s="160">
        <v>161292.0</v>
      </c>
      <c r="AJ28" s="160">
        <v>5.0</v>
      </c>
      <c r="AK28" s="160">
        <v>29362.0</v>
      </c>
      <c r="AL28" s="160">
        <v>0.0</v>
      </c>
      <c r="AM28" s="160">
        <v>0.0025</v>
      </c>
      <c r="AN28" s="160">
        <v>145362.0</v>
      </c>
      <c r="AO28" s="160">
        <v>1.02</v>
      </c>
      <c r="AP28" s="160">
        <v>0.24</v>
      </c>
      <c r="AQ28" s="160">
        <v>328.0</v>
      </c>
      <c r="AR28" s="160">
        <v>535.0</v>
      </c>
      <c r="AS28" s="160">
        <v>4323.75</v>
      </c>
      <c r="AT28" s="160">
        <v>4.0</v>
      </c>
      <c r="AU28" s="160">
        <v>46.0</v>
      </c>
      <c r="AV28" s="160">
        <v>81.0</v>
      </c>
      <c r="AW28" s="160">
        <v>17.0</v>
      </c>
      <c r="AX28" s="160">
        <v>19.0</v>
      </c>
      <c r="AY28" s="537"/>
      <c r="AZ28" s="537"/>
    </row>
    <row r="29">
      <c r="A29" s="157" t="s">
        <v>185</v>
      </c>
      <c r="B29" s="157" t="s">
        <v>85</v>
      </c>
      <c r="C29" s="157" t="s">
        <v>86</v>
      </c>
      <c r="D29" s="157" t="s">
        <v>1055</v>
      </c>
      <c r="E29" s="157" t="s">
        <v>87</v>
      </c>
      <c r="F29" s="338">
        <v>43557.0</v>
      </c>
      <c r="G29" s="537"/>
      <c r="H29" s="160">
        <v>0.0</v>
      </c>
      <c r="I29" s="160">
        <v>5000001.0</v>
      </c>
      <c r="J29" s="160">
        <v>2592237.67</v>
      </c>
      <c r="K29" s="160">
        <v>0.0</v>
      </c>
      <c r="L29" s="160">
        <v>148.0</v>
      </c>
      <c r="M29" s="160">
        <v>113.0</v>
      </c>
      <c r="N29" s="160">
        <v>4.0</v>
      </c>
      <c r="O29" s="160">
        <v>152.0</v>
      </c>
      <c r="P29" s="160">
        <v>39.0</v>
      </c>
      <c r="Q29" s="160">
        <v>2472962.47</v>
      </c>
      <c r="R29" s="160">
        <v>119275.2</v>
      </c>
      <c r="S29" s="160">
        <v>56.0</v>
      </c>
      <c r="T29" s="160">
        <v>4.0</v>
      </c>
      <c r="U29" s="160">
        <v>60.0</v>
      </c>
      <c r="V29" s="160">
        <v>0.0</v>
      </c>
      <c r="W29" s="160">
        <v>24.0</v>
      </c>
      <c r="X29" s="160">
        <v>33.0</v>
      </c>
      <c r="Y29" s="160">
        <v>34.0</v>
      </c>
      <c r="Z29" s="160">
        <v>4.0</v>
      </c>
      <c r="AA29" s="160">
        <v>20.0</v>
      </c>
      <c r="AB29" s="160">
        <v>0.0</v>
      </c>
      <c r="AC29" s="160">
        <v>0.0</v>
      </c>
      <c r="AD29" s="160">
        <v>0.0</v>
      </c>
      <c r="AE29" s="160">
        <v>0.0</v>
      </c>
      <c r="AF29" s="160">
        <v>376.0</v>
      </c>
      <c r="AG29" s="160">
        <v>429.0</v>
      </c>
      <c r="AH29" s="160">
        <v>76.0</v>
      </c>
      <c r="AI29" s="160">
        <v>34108.0</v>
      </c>
      <c r="AJ29" s="160">
        <v>6.0</v>
      </c>
      <c r="AK29" s="160">
        <v>27164.0</v>
      </c>
      <c r="AL29" s="160">
        <v>0.0</v>
      </c>
      <c r="AM29" s="160">
        <v>0.0105</v>
      </c>
      <c r="AN29" s="160">
        <v>43204.0</v>
      </c>
      <c r="AO29" s="160">
        <v>0.52</v>
      </c>
      <c r="AP29" s="160">
        <v>0.0</v>
      </c>
      <c r="AQ29" s="160">
        <v>133.0</v>
      </c>
      <c r="AR29" s="160">
        <v>804.0</v>
      </c>
      <c r="AS29" s="160">
        <v>6824.91</v>
      </c>
      <c r="AT29" s="160">
        <v>4.0</v>
      </c>
      <c r="AU29" s="160">
        <v>60.0</v>
      </c>
      <c r="AV29" s="160">
        <v>60.0</v>
      </c>
      <c r="AW29" s="160">
        <v>61.0</v>
      </c>
      <c r="AX29" s="160">
        <v>31.0</v>
      </c>
      <c r="AY29" s="537"/>
      <c r="AZ29" s="537"/>
    </row>
    <row r="30">
      <c r="A30" s="157" t="s">
        <v>185</v>
      </c>
      <c r="B30" s="157" t="s">
        <v>196</v>
      </c>
      <c r="C30" s="157" t="s">
        <v>207</v>
      </c>
      <c r="D30" s="157" t="s">
        <v>1027</v>
      </c>
      <c r="E30" s="157" t="s">
        <v>200</v>
      </c>
      <c r="F30" s="338">
        <v>43556.0</v>
      </c>
      <c r="G30" s="157" t="s">
        <v>185</v>
      </c>
      <c r="H30" s="160">
        <v>0.0</v>
      </c>
      <c r="I30" s="160">
        <v>6000000.0</v>
      </c>
      <c r="J30" s="160">
        <v>5485215.69</v>
      </c>
      <c r="K30" s="160">
        <v>0.0</v>
      </c>
      <c r="L30" s="160">
        <v>74.0</v>
      </c>
      <c r="M30" s="160">
        <v>63.0</v>
      </c>
      <c r="N30" s="160">
        <v>1.0</v>
      </c>
      <c r="O30" s="160">
        <v>75.0</v>
      </c>
      <c r="P30" s="160">
        <v>12.0</v>
      </c>
      <c r="Q30" s="160">
        <v>5485215.69</v>
      </c>
      <c r="R30" s="160">
        <v>0.0</v>
      </c>
      <c r="S30" s="160">
        <v>35.0</v>
      </c>
      <c r="T30" s="160">
        <v>0.0</v>
      </c>
      <c r="U30" s="160">
        <v>35.0</v>
      </c>
      <c r="V30" s="160">
        <v>0.0</v>
      </c>
      <c r="W30" s="160">
        <v>0.0</v>
      </c>
      <c r="X30" s="160">
        <v>0.0</v>
      </c>
      <c r="Y30" s="160">
        <v>0.0</v>
      </c>
      <c r="Z30" s="160">
        <v>2.0</v>
      </c>
      <c r="AA30" s="160">
        <v>12.0</v>
      </c>
      <c r="AB30" s="160">
        <v>0.0</v>
      </c>
      <c r="AC30" s="160">
        <v>0.0</v>
      </c>
      <c r="AD30" s="160">
        <v>0.0</v>
      </c>
      <c r="AE30" s="160">
        <v>0.0</v>
      </c>
      <c r="AF30" s="160">
        <v>345.0</v>
      </c>
      <c r="AG30" s="160">
        <v>357.0</v>
      </c>
      <c r="AH30" s="160">
        <v>75.0</v>
      </c>
      <c r="AI30" s="160">
        <v>73136.0</v>
      </c>
      <c r="AJ30" s="160">
        <v>5.0</v>
      </c>
      <c r="AK30" s="160">
        <v>39070.0</v>
      </c>
      <c r="AL30" s="160">
        <v>0.0</v>
      </c>
      <c r="AM30" s="160">
        <v>0.0071</v>
      </c>
      <c r="AN30" s="160">
        <v>156720.0</v>
      </c>
      <c r="AO30" s="160">
        <v>0.91</v>
      </c>
      <c r="AP30" s="160">
        <v>0.0</v>
      </c>
      <c r="AQ30" s="160">
        <v>74.0</v>
      </c>
      <c r="AR30" s="160">
        <v>574.0</v>
      </c>
      <c r="AS30" s="160">
        <v>2702.12</v>
      </c>
      <c r="AT30" s="160">
        <v>0.0</v>
      </c>
      <c r="AU30" s="160">
        <v>43.0</v>
      </c>
      <c r="AV30" s="160">
        <v>35.0</v>
      </c>
      <c r="AW30" s="160">
        <v>28.0</v>
      </c>
      <c r="AX30" s="160">
        <v>12.0</v>
      </c>
      <c r="AY30" s="537"/>
      <c r="AZ30" s="537"/>
    </row>
    <row r="31">
      <c r="A31" s="157" t="s">
        <v>185</v>
      </c>
      <c r="B31" s="157" t="s">
        <v>212</v>
      </c>
      <c r="C31" s="157" t="s">
        <v>210</v>
      </c>
      <c r="D31" s="157" t="s">
        <v>1031</v>
      </c>
      <c r="E31" s="157" t="s">
        <v>211</v>
      </c>
      <c r="F31" s="338">
        <v>43647.0</v>
      </c>
      <c r="G31" s="157" t="s">
        <v>489</v>
      </c>
      <c r="H31" s="160">
        <v>0.0</v>
      </c>
      <c r="I31" s="160">
        <v>1.875E7</v>
      </c>
      <c r="J31" s="160">
        <v>1.680882756E7</v>
      </c>
      <c r="K31" s="160">
        <v>0.0</v>
      </c>
      <c r="L31" s="160">
        <v>103.0</v>
      </c>
      <c r="M31" s="160">
        <v>93.0</v>
      </c>
      <c r="N31" s="160">
        <v>1.0</v>
      </c>
      <c r="O31" s="160">
        <v>104.0</v>
      </c>
      <c r="P31" s="160">
        <v>11.0</v>
      </c>
      <c r="Q31" s="160">
        <v>1.579798967E7</v>
      </c>
      <c r="R31" s="160">
        <v>1010837.89</v>
      </c>
      <c r="S31" s="160">
        <v>57.0</v>
      </c>
      <c r="T31" s="160">
        <v>1.0</v>
      </c>
      <c r="U31" s="160">
        <v>58.0</v>
      </c>
      <c r="V31" s="160">
        <v>0.0</v>
      </c>
      <c r="W31" s="160">
        <v>12.0</v>
      </c>
      <c r="X31" s="160">
        <v>12.0</v>
      </c>
      <c r="Y31" s="160">
        <v>35.0</v>
      </c>
      <c r="Z31" s="160">
        <v>1.0</v>
      </c>
      <c r="AA31" s="160">
        <v>19.0</v>
      </c>
      <c r="AB31" s="160">
        <v>0.0</v>
      </c>
      <c r="AC31" s="160">
        <v>0.0</v>
      </c>
      <c r="AD31" s="160">
        <v>0.0</v>
      </c>
      <c r="AE31" s="160">
        <v>0.0</v>
      </c>
      <c r="AF31" s="160">
        <v>326.0</v>
      </c>
      <c r="AG31" s="160">
        <v>357.0</v>
      </c>
      <c r="AH31" s="160">
        <v>71.0</v>
      </c>
      <c r="AI31" s="160">
        <v>236744.0</v>
      </c>
      <c r="AJ31" s="160">
        <v>5.0</v>
      </c>
      <c r="AK31" s="160">
        <v>32605.0</v>
      </c>
      <c r="AL31" s="160">
        <v>0.0</v>
      </c>
      <c r="AM31" s="160">
        <v>0.0019</v>
      </c>
      <c r="AN31" s="160">
        <v>289807.0</v>
      </c>
      <c r="AO31" s="160">
        <v>0.9</v>
      </c>
      <c r="AP31" s="160">
        <v>0.0</v>
      </c>
      <c r="AQ31" s="160">
        <v>183.0</v>
      </c>
      <c r="AR31" s="160">
        <v>762.0</v>
      </c>
      <c r="AS31" s="160">
        <v>6185.78</v>
      </c>
      <c r="AT31" s="160">
        <v>1.0</v>
      </c>
      <c r="AU31" s="160">
        <v>67.0</v>
      </c>
      <c r="AV31" s="160">
        <v>58.0</v>
      </c>
      <c r="AW31" s="160">
        <v>35.0</v>
      </c>
      <c r="AX31" s="160">
        <v>11.0</v>
      </c>
      <c r="AY31" s="537"/>
      <c r="AZ31" s="537"/>
    </row>
    <row r="32">
      <c r="A32" s="157" t="s">
        <v>185</v>
      </c>
      <c r="B32" s="157" t="s">
        <v>222</v>
      </c>
      <c r="C32" s="157" t="s">
        <v>223</v>
      </c>
      <c r="D32" s="157" t="s">
        <v>1057</v>
      </c>
      <c r="E32" s="157" t="s">
        <v>224</v>
      </c>
      <c r="F32" s="338">
        <v>43710.0</v>
      </c>
      <c r="G32" s="157" t="s">
        <v>185</v>
      </c>
      <c r="H32" s="160">
        <v>0.0</v>
      </c>
      <c r="I32" s="160">
        <v>4500000.0</v>
      </c>
      <c r="J32" s="160">
        <v>2537853.1</v>
      </c>
      <c r="K32" s="160">
        <v>0.0</v>
      </c>
      <c r="L32" s="160">
        <v>79.0</v>
      </c>
      <c r="M32" s="160">
        <v>58.0</v>
      </c>
      <c r="N32" s="160">
        <v>5.0</v>
      </c>
      <c r="O32" s="160">
        <v>84.0</v>
      </c>
      <c r="P32" s="160">
        <v>26.0</v>
      </c>
      <c r="Q32" s="160">
        <v>2297167.14</v>
      </c>
      <c r="R32" s="160">
        <v>240685.96</v>
      </c>
      <c r="S32" s="160">
        <v>31.0</v>
      </c>
      <c r="T32" s="160">
        <v>5.0</v>
      </c>
      <c r="U32" s="160">
        <v>36.0</v>
      </c>
      <c r="V32" s="160">
        <v>0.0</v>
      </c>
      <c r="W32" s="160">
        <v>8.0</v>
      </c>
      <c r="X32" s="160">
        <v>13.0</v>
      </c>
      <c r="Y32" s="160">
        <v>70.0</v>
      </c>
      <c r="Z32" s="160">
        <v>2.0</v>
      </c>
      <c r="AA32" s="160">
        <v>38.0</v>
      </c>
      <c r="AB32" s="160">
        <v>0.0</v>
      </c>
      <c r="AC32" s="160">
        <v>0.0</v>
      </c>
      <c r="AD32" s="160">
        <v>0.0</v>
      </c>
      <c r="AE32" s="160">
        <v>0.0</v>
      </c>
      <c r="AF32" s="160">
        <v>204.0</v>
      </c>
      <c r="AG32" s="160">
        <v>255.0</v>
      </c>
      <c r="AH32" s="160">
        <v>68.0</v>
      </c>
      <c r="AI32" s="160">
        <v>37321.0</v>
      </c>
      <c r="AJ32" s="160">
        <v>4.0</v>
      </c>
      <c r="AK32" s="160">
        <v>28050.0</v>
      </c>
      <c r="AL32" s="160">
        <v>0.0</v>
      </c>
      <c r="AM32" s="160">
        <v>0.0111</v>
      </c>
      <c r="AN32" s="160">
        <v>70496.0</v>
      </c>
      <c r="AO32" s="160">
        <v>0.56</v>
      </c>
      <c r="AP32" s="160">
        <v>0.0</v>
      </c>
      <c r="AQ32" s="160">
        <v>104.0</v>
      </c>
      <c r="AR32" s="160">
        <v>647.0</v>
      </c>
      <c r="AS32" s="160">
        <v>2999.47</v>
      </c>
      <c r="AT32" s="160">
        <v>5.0</v>
      </c>
      <c r="AU32" s="160">
        <v>52.0</v>
      </c>
      <c r="AV32" s="160">
        <v>36.0</v>
      </c>
      <c r="AW32" s="160">
        <v>24.0</v>
      </c>
      <c r="AX32" s="160">
        <v>24.0</v>
      </c>
      <c r="AY32" s="537"/>
      <c r="AZ32" s="537"/>
    </row>
    <row r="33">
      <c r="A33" s="157" t="s">
        <v>185</v>
      </c>
      <c r="B33" s="157" t="s">
        <v>85</v>
      </c>
      <c r="C33" s="157" t="s">
        <v>88</v>
      </c>
      <c r="D33" s="157" t="s">
        <v>1058</v>
      </c>
      <c r="E33" s="157" t="s">
        <v>1059</v>
      </c>
      <c r="F33" s="338">
        <v>44046.0</v>
      </c>
      <c r="G33" s="537"/>
      <c r="H33" s="160">
        <v>0.0</v>
      </c>
      <c r="I33" s="160">
        <v>5874999.0</v>
      </c>
      <c r="J33" s="160">
        <v>3906202.85</v>
      </c>
      <c r="K33" s="160">
        <v>0.0</v>
      </c>
      <c r="L33" s="160">
        <v>109.0</v>
      </c>
      <c r="M33" s="160">
        <v>107.0</v>
      </c>
      <c r="N33" s="160">
        <v>1.0</v>
      </c>
      <c r="O33" s="160">
        <v>110.0</v>
      </c>
      <c r="P33" s="160">
        <v>3.0</v>
      </c>
      <c r="Q33" s="160">
        <v>3728574.85</v>
      </c>
      <c r="R33" s="160">
        <v>177628.0</v>
      </c>
      <c r="S33" s="160">
        <v>66.0</v>
      </c>
      <c r="T33" s="160">
        <v>1.0</v>
      </c>
      <c r="U33" s="160">
        <v>67.0</v>
      </c>
      <c r="V33" s="160">
        <v>0.0</v>
      </c>
      <c r="W33" s="160">
        <v>3.0</v>
      </c>
      <c r="X33" s="160">
        <v>8.0</v>
      </c>
      <c r="Y33" s="160">
        <v>1.0</v>
      </c>
      <c r="Z33" s="160">
        <v>1.0</v>
      </c>
      <c r="AA33" s="160">
        <v>2.0</v>
      </c>
      <c r="AB33" s="160">
        <v>0.0</v>
      </c>
      <c r="AC33" s="160">
        <v>0.0</v>
      </c>
      <c r="AD33" s="160">
        <v>0.0</v>
      </c>
      <c r="AE33" s="160">
        <v>0.0</v>
      </c>
      <c r="AF33" s="160">
        <v>501.0</v>
      </c>
      <c r="AG33" s="160">
        <v>511.0</v>
      </c>
      <c r="AH33" s="160">
        <v>74.0</v>
      </c>
      <c r="AI33" s="160">
        <v>52787.0</v>
      </c>
      <c r="AJ33" s="160">
        <v>7.0</v>
      </c>
      <c r="AK33" s="160">
        <v>32483.0</v>
      </c>
      <c r="AL33" s="160">
        <v>0.0</v>
      </c>
      <c r="AM33" s="160">
        <v>0.0083</v>
      </c>
      <c r="AN33" s="160">
        <v>58302.0</v>
      </c>
      <c r="AO33" s="160">
        <v>0.66</v>
      </c>
      <c r="AP33" s="160">
        <v>0.0</v>
      </c>
      <c r="AQ33" s="160">
        <v>160.0</v>
      </c>
      <c r="AR33" s="160">
        <v>830.0</v>
      </c>
      <c r="AS33" s="160">
        <v>7603.4</v>
      </c>
      <c r="AT33" s="160">
        <v>1.0</v>
      </c>
      <c r="AU33" s="160">
        <v>71.0</v>
      </c>
      <c r="AV33" s="160">
        <v>67.0</v>
      </c>
      <c r="AW33" s="160">
        <v>41.0</v>
      </c>
      <c r="AX33" s="160">
        <v>2.0</v>
      </c>
      <c r="AY33" s="537"/>
      <c r="AZ33" s="537"/>
    </row>
    <row r="34">
      <c r="A34" s="157" t="s">
        <v>185</v>
      </c>
      <c r="B34" s="157" t="s">
        <v>1228</v>
      </c>
      <c r="C34" s="157" t="s">
        <v>111</v>
      </c>
      <c r="D34" s="157" t="s">
        <v>1084</v>
      </c>
      <c r="E34" s="157" t="s">
        <v>125</v>
      </c>
      <c r="F34" s="338">
        <v>45264.0</v>
      </c>
      <c r="G34" s="157" t="s">
        <v>185</v>
      </c>
      <c r="H34" s="160">
        <v>0.0</v>
      </c>
      <c r="I34" s="160">
        <v>0.0</v>
      </c>
      <c r="J34" s="160">
        <v>0.0</v>
      </c>
      <c r="K34" s="160">
        <v>0.0</v>
      </c>
      <c r="L34" s="160">
        <v>319.0</v>
      </c>
      <c r="M34" s="160">
        <v>75.0</v>
      </c>
      <c r="N34" s="160">
        <v>12.0</v>
      </c>
      <c r="O34" s="160">
        <v>331.0</v>
      </c>
      <c r="P34" s="160">
        <v>256.0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32.0</v>
      </c>
      <c r="X34" s="160">
        <v>41.0</v>
      </c>
      <c r="Y34" s="160">
        <v>158.0</v>
      </c>
      <c r="Z34" s="160">
        <v>3.0</v>
      </c>
      <c r="AA34" s="160">
        <v>17.0</v>
      </c>
      <c r="AB34" s="160">
        <v>1.0</v>
      </c>
      <c r="AC34" s="160">
        <v>1.0</v>
      </c>
      <c r="AD34" s="160">
        <v>1.0</v>
      </c>
      <c r="AE34" s="160">
        <v>1.0</v>
      </c>
      <c r="AF34" s="160">
        <v>158.0</v>
      </c>
      <c r="AG34" s="160">
        <v>218.0</v>
      </c>
      <c r="AH34" s="160">
        <v>68.0</v>
      </c>
      <c r="AI34" s="160">
        <v>0.0</v>
      </c>
      <c r="AJ34" s="160">
        <v>3.0</v>
      </c>
      <c r="AK34" s="537"/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60">
        <v>804.0</v>
      </c>
      <c r="AS34" s="160">
        <v>3393.65</v>
      </c>
      <c r="AT34" s="160">
        <v>0.0</v>
      </c>
      <c r="AU34" s="160">
        <v>45.0</v>
      </c>
      <c r="AV34" s="160">
        <v>0.0</v>
      </c>
      <c r="AW34" s="160">
        <v>75.0</v>
      </c>
      <c r="AX34" s="160">
        <v>256.0</v>
      </c>
      <c r="AY34" s="537"/>
      <c r="AZ34" s="537"/>
    </row>
    <row r="35">
      <c r="A35" s="157" t="s">
        <v>185</v>
      </c>
      <c r="B35" s="157" t="s">
        <v>212</v>
      </c>
      <c r="C35" s="157" t="s">
        <v>225</v>
      </c>
      <c r="D35" s="157" t="s">
        <v>1031</v>
      </c>
      <c r="E35" s="157" t="s">
        <v>226</v>
      </c>
      <c r="F35" s="338">
        <v>44166.0</v>
      </c>
      <c r="G35" s="157" t="s">
        <v>218</v>
      </c>
      <c r="H35" s="160">
        <v>0.0</v>
      </c>
      <c r="I35" s="160">
        <v>4500000.0</v>
      </c>
      <c r="J35" s="160">
        <v>2660740.03</v>
      </c>
      <c r="K35" s="160">
        <v>0.0</v>
      </c>
      <c r="L35" s="160">
        <v>44.0</v>
      </c>
      <c r="M35" s="160">
        <v>44.0</v>
      </c>
      <c r="N35" s="160">
        <v>2.0</v>
      </c>
      <c r="O35" s="160">
        <v>46.0</v>
      </c>
      <c r="P35" s="160">
        <v>2.0</v>
      </c>
      <c r="Q35" s="160">
        <v>1977516.05</v>
      </c>
      <c r="R35" s="160">
        <v>683223.98</v>
      </c>
      <c r="S35" s="160">
        <v>15.0</v>
      </c>
      <c r="T35" s="160">
        <v>2.0</v>
      </c>
      <c r="U35" s="160">
        <v>17.0</v>
      </c>
      <c r="V35" s="160">
        <v>0.0</v>
      </c>
      <c r="W35" s="160">
        <v>0.0</v>
      </c>
      <c r="X35" s="160">
        <v>0.0</v>
      </c>
      <c r="Y35" s="160">
        <v>34.0</v>
      </c>
      <c r="Z35" s="160">
        <v>2.0</v>
      </c>
      <c r="AA35" s="160">
        <v>17.0</v>
      </c>
      <c r="AB35" s="160">
        <v>0.0</v>
      </c>
      <c r="AC35" s="160">
        <v>0.0</v>
      </c>
      <c r="AD35" s="160">
        <v>0.0</v>
      </c>
      <c r="AE35" s="160">
        <v>0.0</v>
      </c>
      <c r="AF35" s="160">
        <v>226.0</v>
      </c>
      <c r="AG35" s="160">
        <v>243.0</v>
      </c>
      <c r="AH35" s="160">
        <v>71.0</v>
      </c>
      <c r="AI35" s="160">
        <v>37475.0</v>
      </c>
      <c r="AJ35" s="160">
        <v>3.0</v>
      </c>
      <c r="AK35" s="160">
        <v>27200.0</v>
      </c>
      <c r="AL35" s="160">
        <v>0.0</v>
      </c>
      <c r="AM35" s="160">
        <v>0.0102</v>
      </c>
      <c r="AN35" s="160">
        <v>156514.0</v>
      </c>
      <c r="AO35" s="160">
        <v>0.59</v>
      </c>
      <c r="AP35" s="160">
        <v>0.0</v>
      </c>
      <c r="AQ35" s="160">
        <v>29.0</v>
      </c>
      <c r="AR35" s="160">
        <v>557.0</v>
      </c>
      <c r="AS35" s="160">
        <v>2355.93</v>
      </c>
      <c r="AT35" s="160">
        <v>2.0</v>
      </c>
      <c r="AU35" s="160">
        <v>54.0</v>
      </c>
      <c r="AV35" s="160">
        <v>17.0</v>
      </c>
      <c r="AW35" s="160">
        <v>27.0</v>
      </c>
      <c r="AX35" s="160">
        <v>2.0</v>
      </c>
      <c r="AY35" s="537"/>
      <c r="AZ35" s="537"/>
    </row>
    <row r="36">
      <c r="A36" s="157" t="s">
        <v>126</v>
      </c>
      <c r="B36" s="157" t="s">
        <v>140</v>
      </c>
      <c r="C36" s="157" t="s">
        <v>591</v>
      </c>
      <c r="D36" s="157" t="s">
        <v>1061</v>
      </c>
      <c r="E36" s="157" t="s">
        <v>174</v>
      </c>
      <c r="F36" s="285">
        <v>44207.0</v>
      </c>
      <c r="G36" s="157" t="s">
        <v>580</v>
      </c>
      <c r="H36" s="160">
        <v>0.0</v>
      </c>
      <c r="I36" s="160">
        <v>0.0</v>
      </c>
      <c r="J36" s="160">
        <v>0.0</v>
      </c>
      <c r="K36" s="160">
        <v>0.0</v>
      </c>
      <c r="L36" s="160">
        <v>70.0</v>
      </c>
      <c r="M36" s="160">
        <v>0.0</v>
      </c>
      <c r="N36" s="160">
        <v>1.0</v>
      </c>
      <c r="O36" s="160">
        <v>71.0</v>
      </c>
      <c r="P36" s="160">
        <v>71.0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0">
        <v>0.0</v>
      </c>
      <c r="Y36" s="160">
        <v>74.0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60">
        <v>0.0</v>
      </c>
      <c r="AF36" s="160">
        <v>0.0</v>
      </c>
      <c r="AG36" s="160">
        <v>0.0</v>
      </c>
      <c r="AH36" s="160">
        <v>0.0</v>
      </c>
      <c r="AI36" s="160">
        <v>0.0</v>
      </c>
      <c r="AJ36" s="160">
        <v>0.0</v>
      </c>
      <c r="AK36" s="160">
        <v>33839.0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60">
        <v>0.0</v>
      </c>
      <c r="AS36" s="160">
        <v>0.0</v>
      </c>
      <c r="AT36" s="160">
        <v>0.0</v>
      </c>
      <c r="AU36" s="160">
        <v>0.0</v>
      </c>
      <c r="AV36" s="160">
        <v>0.0</v>
      </c>
      <c r="AW36" s="160">
        <v>0.0</v>
      </c>
      <c r="AX36" s="160">
        <v>71.0</v>
      </c>
      <c r="AY36" s="285">
        <v>45777.0</v>
      </c>
      <c r="AZ36" s="285"/>
    </row>
    <row r="37">
      <c r="A37" s="157" t="s">
        <v>97</v>
      </c>
      <c r="B37" s="157" t="s">
        <v>101</v>
      </c>
      <c r="C37" s="157" t="s">
        <v>346</v>
      </c>
      <c r="D37" s="157" t="s">
        <v>1062</v>
      </c>
      <c r="E37" s="157" t="s">
        <v>347</v>
      </c>
      <c r="F37" s="338">
        <v>45474.0</v>
      </c>
      <c r="G37" s="157" t="s">
        <v>97</v>
      </c>
      <c r="H37" s="160">
        <v>0.0</v>
      </c>
      <c r="I37" s="160">
        <v>4125000.0</v>
      </c>
      <c r="J37" s="160">
        <v>1462773.6</v>
      </c>
      <c r="K37" s="160">
        <v>0.0</v>
      </c>
      <c r="L37" s="160">
        <v>81.0</v>
      </c>
      <c r="M37" s="160">
        <v>42.0</v>
      </c>
      <c r="N37" s="160">
        <v>1.0</v>
      </c>
      <c r="O37" s="160">
        <v>82.0</v>
      </c>
      <c r="P37" s="160">
        <v>40.0</v>
      </c>
      <c r="Q37" s="160">
        <v>1417629.6</v>
      </c>
      <c r="R37" s="160">
        <v>45144.0</v>
      </c>
      <c r="S37" s="160">
        <v>21.0</v>
      </c>
      <c r="T37" s="160">
        <v>1.0</v>
      </c>
      <c r="U37" s="160">
        <v>22.0</v>
      </c>
      <c r="V37" s="160">
        <v>0.0</v>
      </c>
      <c r="W37" s="160">
        <v>1.0</v>
      </c>
      <c r="X37" s="160">
        <v>1.0</v>
      </c>
      <c r="Y37" s="160">
        <v>23.0</v>
      </c>
      <c r="Z37" s="160">
        <v>3.0</v>
      </c>
      <c r="AA37" s="160">
        <v>4.0</v>
      </c>
      <c r="AB37" s="160">
        <v>0.0</v>
      </c>
      <c r="AC37" s="160">
        <v>0.0</v>
      </c>
      <c r="AD37" s="160">
        <v>0.0</v>
      </c>
      <c r="AE37" s="160">
        <v>0.0</v>
      </c>
      <c r="AF37" s="160">
        <v>361.0</v>
      </c>
      <c r="AG37" s="160">
        <v>366.0</v>
      </c>
      <c r="AH37" s="160">
        <v>64.0</v>
      </c>
      <c r="AI37" s="160">
        <v>22856.0</v>
      </c>
      <c r="AJ37" s="160">
        <v>6.0</v>
      </c>
      <c r="AK37" s="537"/>
      <c r="AL37" s="160">
        <v>0.0</v>
      </c>
      <c r="AM37" s="160">
        <v>0.0</v>
      </c>
      <c r="AN37" s="160">
        <v>66490.0</v>
      </c>
      <c r="AO37" s="160">
        <v>0.35</v>
      </c>
      <c r="AP37" s="160">
        <v>0.0</v>
      </c>
      <c r="AQ37" s="160">
        <v>43.0</v>
      </c>
      <c r="AR37" s="160">
        <v>514.0</v>
      </c>
      <c r="AS37" s="160">
        <v>3298.17</v>
      </c>
      <c r="AT37" s="160">
        <v>1.0</v>
      </c>
      <c r="AU37" s="160">
        <v>79.0</v>
      </c>
      <c r="AV37" s="160">
        <v>22.0</v>
      </c>
      <c r="AW37" s="160">
        <v>21.0</v>
      </c>
      <c r="AX37" s="160">
        <v>39.0</v>
      </c>
      <c r="AY37" s="537"/>
      <c r="AZ37" s="537"/>
    </row>
    <row r="38">
      <c r="A38" s="157" t="s">
        <v>97</v>
      </c>
      <c r="B38" s="157" t="s">
        <v>101</v>
      </c>
      <c r="C38" s="157" t="s">
        <v>597</v>
      </c>
      <c r="D38" s="157" t="s">
        <v>1062</v>
      </c>
      <c r="E38" s="157" t="s">
        <v>1063</v>
      </c>
      <c r="F38" s="285">
        <v>44224.0</v>
      </c>
      <c r="G38" s="157" t="s">
        <v>97</v>
      </c>
      <c r="H38" s="160">
        <v>0.0</v>
      </c>
      <c r="I38" s="160">
        <v>0.0</v>
      </c>
      <c r="J38" s="160">
        <v>0.0</v>
      </c>
      <c r="K38" s="160">
        <v>0.0</v>
      </c>
      <c r="L38" s="160">
        <v>146.0</v>
      </c>
      <c r="M38" s="160">
        <v>0.0</v>
      </c>
      <c r="N38" s="160">
        <v>1.0</v>
      </c>
      <c r="O38" s="160">
        <v>147.0</v>
      </c>
      <c r="P38" s="160">
        <v>147.0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0">
        <v>0.0</v>
      </c>
      <c r="Y38" s="160">
        <v>45.0</v>
      </c>
      <c r="Z38" s="160">
        <v>0.0</v>
      </c>
      <c r="AA38" s="160">
        <v>0.0</v>
      </c>
      <c r="AB38" s="160">
        <v>0.0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60">
        <v>0.0</v>
      </c>
      <c r="AI38" s="160">
        <v>0.0</v>
      </c>
      <c r="AJ38" s="160">
        <v>0.0</v>
      </c>
      <c r="AK38" s="160">
        <v>35543.0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60">
        <v>0.0</v>
      </c>
      <c r="AS38" s="160">
        <v>0.0</v>
      </c>
      <c r="AT38" s="160">
        <v>0.0</v>
      </c>
      <c r="AU38" s="160">
        <v>0.0</v>
      </c>
      <c r="AV38" s="160">
        <v>0.0</v>
      </c>
      <c r="AW38" s="160">
        <v>0.0</v>
      </c>
      <c r="AX38" s="160">
        <v>147.0</v>
      </c>
      <c r="AY38" s="285">
        <v>45774.0</v>
      </c>
      <c r="AZ38" s="285"/>
    </row>
    <row r="39">
      <c r="A39" s="157" t="s">
        <v>185</v>
      </c>
      <c r="B39" s="157" t="s">
        <v>215</v>
      </c>
      <c r="C39" s="157" t="s">
        <v>213</v>
      </c>
      <c r="D39" s="157" t="s">
        <v>1064</v>
      </c>
      <c r="E39" s="157" t="s">
        <v>214</v>
      </c>
      <c r="F39" s="338">
        <v>44228.0</v>
      </c>
      <c r="G39" s="157" t="s">
        <v>185</v>
      </c>
      <c r="H39" s="160">
        <v>0.0</v>
      </c>
      <c r="I39" s="160">
        <v>1.05E7</v>
      </c>
      <c r="J39" s="160">
        <v>4656551.46</v>
      </c>
      <c r="K39" s="160">
        <v>0.0</v>
      </c>
      <c r="L39" s="160">
        <v>79.0</v>
      </c>
      <c r="M39" s="160">
        <v>64.0</v>
      </c>
      <c r="N39" s="160">
        <v>2.0</v>
      </c>
      <c r="O39" s="160">
        <v>81.0</v>
      </c>
      <c r="P39" s="160">
        <v>17.0</v>
      </c>
      <c r="Q39" s="160">
        <v>4600366.91</v>
      </c>
      <c r="R39" s="160">
        <v>56184.55</v>
      </c>
      <c r="S39" s="160">
        <v>33.0</v>
      </c>
      <c r="T39" s="160">
        <v>2.0</v>
      </c>
      <c r="U39" s="160">
        <v>35.0</v>
      </c>
      <c r="V39" s="160">
        <v>0.0</v>
      </c>
      <c r="W39" s="160">
        <v>15.0</v>
      </c>
      <c r="X39" s="160">
        <v>18.0</v>
      </c>
      <c r="Y39" s="160">
        <v>131.0</v>
      </c>
      <c r="Z39" s="160">
        <v>1.0</v>
      </c>
      <c r="AA39" s="160">
        <v>60.0</v>
      </c>
      <c r="AB39" s="160">
        <v>0.0</v>
      </c>
      <c r="AC39" s="160">
        <v>0.0</v>
      </c>
      <c r="AD39" s="160">
        <v>0.0</v>
      </c>
      <c r="AE39" s="160">
        <v>0.0</v>
      </c>
      <c r="AF39" s="160">
        <v>178.0</v>
      </c>
      <c r="AG39" s="160">
        <v>256.0</v>
      </c>
      <c r="AH39" s="160">
        <v>76.0</v>
      </c>
      <c r="AI39" s="160">
        <v>61270.0</v>
      </c>
      <c r="AJ39" s="160">
        <v>3.0</v>
      </c>
      <c r="AK39" s="160">
        <v>40500.0</v>
      </c>
      <c r="AL39" s="160">
        <v>0.0</v>
      </c>
      <c r="AM39" s="160">
        <v>0.0087</v>
      </c>
      <c r="AN39" s="160">
        <v>133044.0</v>
      </c>
      <c r="AO39" s="160">
        <v>0.44</v>
      </c>
      <c r="AP39" s="160">
        <v>0.0</v>
      </c>
      <c r="AQ39" s="160">
        <v>65.0</v>
      </c>
      <c r="AR39" s="160">
        <v>744.0</v>
      </c>
      <c r="AS39" s="160">
        <v>3069.42</v>
      </c>
      <c r="AT39" s="160">
        <v>2.0</v>
      </c>
      <c r="AU39" s="160">
        <v>48.0</v>
      </c>
      <c r="AV39" s="160">
        <v>35.0</v>
      </c>
      <c r="AW39" s="160">
        <v>30.0</v>
      </c>
      <c r="AX39" s="160">
        <v>16.0</v>
      </c>
      <c r="AY39" s="537"/>
      <c r="AZ39" s="537"/>
    </row>
    <row r="40">
      <c r="A40" s="157" t="s">
        <v>185</v>
      </c>
      <c r="B40" s="157" t="s">
        <v>222</v>
      </c>
      <c r="C40" s="157" t="s">
        <v>227</v>
      </c>
      <c r="D40" s="157" t="s">
        <v>1070</v>
      </c>
      <c r="E40" s="157" t="s">
        <v>228</v>
      </c>
      <c r="F40" s="338">
        <v>44868.0</v>
      </c>
      <c r="G40" s="157" t="s">
        <v>185</v>
      </c>
      <c r="H40" s="160">
        <v>0.0</v>
      </c>
      <c r="I40" s="160">
        <v>4500000.0</v>
      </c>
      <c r="J40" s="160">
        <v>2370898.45</v>
      </c>
      <c r="K40" s="160">
        <v>0.0</v>
      </c>
      <c r="L40" s="160">
        <v>69.0</v>
      </c>
      <c r="M40" s="160">
        <v>57.0</v>
      </c>
      <c r="N40" s="160">
        <v>3.0</v>
      </c>
      <c r="O40" s="160">
        <v>72.0</v>
      </c>
      <c r="P40" s="160">
        <v>15.0</v>
      </c>
      <c r="Q40" s="160">
        <v>2093981.13</v>
      </c>
      <c r="R40" s="160">
        <v>276917.32</v>
      </c>
      <c r="S40" s="160">
        <v>24.0</v>
      </c>
      <c r="T40" s="160">
        <v>3.0</v>
      </c>
      <c r="U40" s="160">
        <v>27.0</v>
      </c>
      <c r="V40" s="160">
        <v>0.0</v>
      </c>
      <c r="W40" s="160">
        <v>15.0</v>
      </c>
      <c r="X40" s="160">
        <v>21.0</v>
      </c>
      <c r="Y40" s="160">
        <v>36.0</v>
      </c>
      <c r="Z40" s="160">
        <v>1.0</v>
      </c>
      <c r="AA40" s="160">
        <v>21.0</v>
      </c>
      <c r="AB40" s="160">
        <v>0.0</v>
      </c>
      <c r="AC40" s="160">
        <v>0.0</v>
      </c>
      <c r="AD40" s="160">
        <v>0.0</v>
      </c>
      <c r="AE40" s="160">
        <v>0.0</v>
      </c>
      <c r="AF40" s="160">
        <v>191.0</v>
      </c>
      <c r="AG40" s="160">
        <v>233.0</v>
      </c>
      <c r="AH40" s="160">
        <v>69.0</v>
      </c>
      <c r="AI40" s="160">
        <v>34361.0</v>
      </c>
      <c r="AJ40" s="160">
        <v>3.0</v>
      </c>
      <c r="AK40" s="160">
        <v>31625.0</v>
      </c>
      <c r="AL40" s="160">
        <v>0.0</v>
      </c>
      <c r="AM40" s="160">
        <v>0.0133</v>
      </c>
      <c r="AN40" s="160">
        <v>87811.0</v>
      </c>
      <c r="AO40" s="160">
        <v>0.53</v>
      </c>
      <c r="AP40" s="160">
        <v>0.0</v>
      </c>
      <c r="AQ40" s="160">
        <v>52.0</v>
      </c>
      <c r="AR40" s="160">
        <v>559.0</v>
      </c>
      <c r="AS40" s="160">
        <v>1331.43</v>
      </c>
      <c r="AT40" s="160">
        <v>3.0</v>
      </c>
      <c r="AU40" s="160">
        <v>23.0</v>
      </c>
      <c r="AV40" s="160">
        <v>27.0</v>
      </c>
      <c r="AW40" s="160">
        <v>35.0</v>
      </c>
      <c r="AX40" s="160">
        <v>10.0</v>
      </c>
      <c r="AY40" s="537"/>
      <c r="AZ40" s="537"/>
    </row>
    <row r="41">
      <c r="A41" s="157" t="s">
        <v>126</v>
      </c>
      <c r="B41" s="157" t="s">
        <v>140</v>
      </c>
      <c r="C41" s="157" t="s">
        <v>604</v>
      </c>
      <c r="D41" s="157" t="s">
        <v>1061</v>
      </c>
      <c r="E41" s="157" t="s">
        <v>139</v>
      </c>
      <c r="F41" s="285">
        <v>44245.0</v>
      </c>
      <c r="G41" s="157" t="s">
        <v>580</v>
      </c>
      <c r="H41" s="160">
        <v>0.0</v>
      </c>
      <c r="I41" s="160">
        <v>6999999.0</v>
      </c>
      <c r="J41" s="160">
        <v>3634711.48</v>
      </c>
      <c r="K41" s="160">
        <v>0.0</v>
      </c>
      <c r="L41" s="160">
        <v>114.0</v>
      </c>
      <c r="M41" s="160">
        <v>81.0</v>
      </c>
      <c r="N41" s="160">
        <v>2.0</v>
      </c>
      <c r="O41" s="160">
        <v>116.0</v>
      </c>
      <c r="P41" s="160">
        <v>35.0</v>
      </c>
      <c r="Q41" s="160">
        <v>3505099.48</v>
      </c>
      <c r="R41" s="160">
        <v>129612.0</v>
      </c>
      <c r="S41" s="160">
        <v>43.0</v>
      </c>
      <c r="T41" s="160">
        <v>2.0</v>
      </c>
      <c r="U41" s="160">
        <v>45.0</v>
      </c>
      <c r="V41" s="160">
        <v>0.0</v>
      </c>
      <c r="W41" s="160">
        <v>11.0</v>
      </c>
      <c r="X41" s="160">
        <v>14.0</v>
      </c>
      <c r="Y41" s="160">
        <v>130.0</v>
      </c>
      <c r="Z41" s="160">
        <v>2.0</v>
      </c>
      <c r="AA41" s="160">
        <v>8.0</v>
      </c>
      <c r="AB41" s="160">
        <v>0.0</v>
      </c>
      <c r="AC41" s="160">
        <v>0.0</v>
      </c>
      <c r="AD41" s="160">
        <v>0.0</v>
      </c>
      <c r="AE41" s="160">
        <v>0.0</v>
      </c>
      <c r="AF41" s="160">
        <v>250.0</v>
      </c>
      <c r="AG41" s="160">
        <v>272.0</v>
      </c>
      <c r="AH41" s="160">
        <v>73.0</v>
      </c>
      <c r="AI41" s="160">
        <v>49791.0</v>
      </c>
      <c r="AJ41" s="160">
        <v>4.0</v>
      </c>
      <c r="AK41" s="160">
        <v>31852.0</v>
      </c>
      <c r="AL41" s="160">
        <v>0.0</v>
      </c>
      <c r="AM41" s="160">
        <v>0.0088</v>
      </c>
      <c r="AN41" s="160">
        <v>80771.0</v>
      </c>
      <c r="AO41" s="160">
        <v>0.52</v>
      </c>
      <c r="AP41" s="160">
        <v>0.0</v>
      </c>
      <c r="AQ41" s="160">
        <v>92.0</v>
      </c>
      <c r="AR41" s="160">
        <v>741.0</v>
      </c>
      <c r="AS41" s="160">
        <v>6145.42</v>
      </c>
      <c r="AT41" s="160">
        <v>2.0</v>
      </c>
      <c r="AU41" s="160">
        <v>76.0</v>
      </c>
      <c r="AV41" s="160">
        <v>45.0</v>
      </c>
      <c r="AW41" s="160">
        <v>44.0</v>
      </c>
      <c r="AX41" s="160">
        <v>27.0</v>
      </c>
      <c r="AY41" s="537"/>
      <c r="AZ41" s="537"/>
    </row>
    <row r="42">
      <c r="A42" s="157" t="s">
        <v>126</v>
      </c>
      <c r="B42" s="157" t="s">
        <v>130</v>
      </c>
      <c r="C42" s="157" t="s">
        <v>141</v>
      </c>
      <c r="D42" s="157" t="s">
        <v>130</v>
      </c>
      <c r="E42" s="157" t="s">
        <v>142</v>
      </c>
      <c r="F42" s="285">
        <v>44247.0</v>
      </c>
      <c r="G42" s="157" t="s">
        <v>580</v>
      </c>
      <c r="H42" s="160">
        <v>0.0</v>
      </c>
      <c r="I42" s="160">
        <v>9999999.0</v>
      </c>
      <c r="J42" s="160">
        <v>7247298.05</v>
      </c>
      <c r="K42" s="160">
        <v>0.0</v>
      </c>
      <c r="L42" s="160">
        <v>117.0</v>
      </c>
      <c r="M42" s="160">
        <v>64.0</v>
      </c>
      <c r="N42" s="160">
        <v>6.0</v>
      </c>
      <c r="O42" s="160">
        <v>123.0</v>
      </c>
      <c r="P42" s="160">
        <v>59.0</v>
      </c>
      <c r="Q42" s="160">
        <v>6857183.1</v>
      </c>
      <c r="R42" s="160">
        <v>390114.95</v>
      </c>
      <c r="S42" s="160">
        <v>57.0</v>
      </c>
      <c r="T42" s="160">
        <v>5.0</v>
      </c>
      <c r="U42" s="160">
        <v>62.0</v>
      </c>
      <c r="V42" s="160">
        <v>0.0</v>
      </c>
      <c r="W42" s="160">
        <v>2.0</v>
      </c>
      <c r="X42" s="160">
        <v>2.0</v>
      </c>
      <c r="Y42" s="160">
        <v>44.0</v>
      </c>
      <c r="Z42" s="160">
        <v>3.0</v>
      </c>
      <c r="AA42" s="160">
        <v>47.0</v>
      </c>
      <c r="AB42" s="160">
        <v>0.0</v>
      </c>
      <c r="AC42" s="160">
        <v>0.0</v>
      </c>
      <c r="AD42" s="160">
        <v>1.0</v>
      </c>
      <c r="AE42" s="160">
        <v>1.0</v>
      </c>
      <c r="AF42" s="160">
        <v>244.0</v>
      </c>
      <c r="AG42" s="160">
        <v>294.0</v>
      </c>
      <c r="AH42" s="160">
        <v>74.0</v>
      </c>
      <c r="AI42" s="160">
        <v>97936.0</v>
      </c>
      <c r="AJ42" s="160">
        <v>4.0</v>
      </c>
      <c r="AK42" s="160">
        <v>37917.0</v>
      </c>
      <c r="AL42" s="160">
        <v>0.0</v>
      </c>
      <c r="AM42" s="160">
        <v>0.0052</v>
      </c>
      <c r="AN42" s="160">
        <v>116892.0</v>
      </c>
      <c r="AO42" s="160">
        <v>0.72</v>
      </c>
      <c r="AP42" s="160">
        <v>0.0</v>
      </c>
      <c r="AQ42" s="160">
        <v>219.0</v>
      </c>
      <c r="AR42" s="160">
        <v>770.0</v>
      </c>
      <c r="AS42" s="160">
        <v>4664.69</v>
      </c>
      <c r="AT42" s="160">
        <v>5.0</v>
      </c>
      <c r="AU42" s="160">
        <v>73.0</v>
      </c>
      <c r="AV42" s="160">
        <v>62.0</v>
      </c>
      <c r="AW42" s="160">
        <v>18.0</v>
      </c>
      <c r="AX42" s="160">
        <v>43.0</v>
      </c>
      <c r="AY42" s="537"/>
      <c r="AZ42" s="537"/>
    </row>
    <row r="43">
      <c r="A43" s="157" t="s">
        <v>185</v>
      </c>
      <c r="B43" s="157" t="s">
        <v>212</v>
      </c>
      <c r="C43" s="157" t="s">
        <v>218</v>
      </c>
      <c r="D43" s="157" t="s">
        <v>1031</v>
      </c>
      <c r="E43" s="157" t="s">
        <v>219</v>
      </c>
      <c r="F43" s="285">
        <v>44396.0</v>
      </c>
      <c r="G43" s="157" t="s">
        <v>185</v>
      </c>
      <c r="H43" s="160">
        <v>0.0</v>
      </c>
      <c r="I43" s="160">
        <v>7500000.0</v>
      </c>
      <c r="J43" s="160">
        <v>9048097.16</v>
      </c>
      <c r="K43" s="160">
        <v>0.0</v>
      </c>
      <c r="L43" s="160">
        <v>259.0</v>
      </c>
      <c r="M43" s="160">
        <v>135.0</v>
      </c>
      <c r="N43" s="160">
        <v>8.0</v>
      </c>
      <c r="O43" s="160">
        <v>267.0</v>
      </c>
      <c r="P43" s="160">
        <v>132.0</v>
      </c>
      <c r="Q43" s="160">
        <v>8677312.93</v>
      </c>
      <c r="R43" s="160">
        <v>370784.23</v>
      </c>
      <c r="S43" s="160">
        <v>59.0</v>
      </c>
      <c r="T43" s="160">
        <v>7.0</v>
      </c>
      <c r="U43" s="160">
        <v>66.0</v>
      </c>
      <c r="V43" s="160">
        <v>0.0</v>
      </c>
      <c r="W43" s="160">
        <v>58.0</v>
      </c>
      <c r="X43" s="160">
        <v>58.0</v>
      </c>
      <c r="Y43" s="160">
        <v>478.0</v>
      </c>
      <c r="Z43" s="160">
        <v>3.0</v>
      </c>
      <c r="AA43" s="160">
        <v>24.0</v>
      </c>
      <c r="AB43" s="160">
        <v>0.0</v>
      </c>
      <c r="AC43" s="160">
        <v>0.0</v>
      </c>
      <c r="AD43" s="160">
        <v>1.0</v>
      </c>
      <c r="AE43" s="160">
        <v>1.0</v>
      </c>
      <c r="AF43" s="160">
        <v>228.0</v>
      </c>
      <c r="AG43" s="160">
        <v>311.0</v>
      </c>
      <c r="AH43" s="160">
        <v>70.0</v>
      </c>
      <c r="AI43" s="160">
        <v>129259.0</v>
      </c>
      <c r="AJ43" s="160">
        <v>4.0</v>
      </c>
      <c r="AK43" s="160">
        <v>49690.0</v>
      </c>
      <c r="AL43" s="160">
        <v>0.0</v>
      </c>
      <c r="AM43" s="160">
        <v>0.0055</v>
      </c>
      <c r="AN43" s="160">
        <v>137092.0</v>
      </c>
      <c r="AO43" s="160">
        <v>1.21</v>
      </c>
      <c r="AP43" s="160">
        <v>0.0</v>
      </c>
      <c r="AQ43" s="160">
        <v>101.0</v>
      </c>
      <c r="AR43" s="160">
        <v>730.0</v>
      </c>
      <c r="AS43" s="160">
        <v>4458.84</v>
      </c>
      <c r="AT43" s="160">
        <v>7.0</v>
      </c>
      <c r="AU43" s="160">
        <v>33.0</v>
      </c>
      <c r="AV43" s="160">
        <v>66.0</v>
      </c>
      <c r="AW43" s="160">
        <v>75.0</v>
      </c>
      <c r="AX43" s="160">
        <v>126.0</v>
      </c>
      <c r="AY43" s="537"/>
      <c r="AZ43" s="537"/>
    </row>
    <row r="44">
      <c r="A44" s="157" t="s">
        <v>185</v>
      </c>
      <c r="B44" s="157" t="s">
        <v>215</v>
      </c>
      <c r="C44" s="157" t="s">
        <v>216</v>
      </c>
      <c r="D44" s="157" t="s">
        <v>1065</v>
      </c>
      <c r="E44" s="157" t="s">
        <v>217</v>
      </c>
      <c r="F44" s="285">
        <v>44424.0</v>
      </c>
      <c r="G44" s="157" t="s">
        <v>185</v>
      </c>
      <c r="H44" s="160">
        <v>0.0</v>
      </c>
      <c r="I44" s="160">
        <v>2.2250001E7</v>
      </c>
      <c r="J44" s="160">
        <v>1.371843356E7</v>
      </c>
      <c r="K44" s="160">
        <v>0.0</v>
      </c>
      <c r="L44" s="160">
        <v>85.0</v>
      </c>
      <c r="M44" s="160">
        <v>74.0</v>
      </c>
      <c r="N44" s="160">
        <v>0.0</v>
      </c>
      <c r="O44" s="160">
        <v>85.0</v>
      </c>
      <c r="P44" s="160">
        <v>11.0</v>
      </c>
      <c r="Q44" s="160">
        <v>1.371843356E7</v>
      </c>
      <c r="R44" s="160">
        <v>0.0</v>
      </c>
      <c r="S44" s="160">
        <v>57.0</v>
      </c>
      <c r="T44" s="160">
        <v>0.0</v>
      </c>
      <c r="U44" s="160">
        <v>57.0</v>
      </c>
      <c r="V44" s="160">
        <v>0.0</v>
      </c>
      <c r="W44" s="160">
        <v>5.0</v>
      </c>
      <c r="X44" s="160">
        <v>8.0</v>
      </c>
      <c r="Y44" s="160">
        <v>50.0</v>
      </c>
      <c r="Z44" s="160">
        <v>1.0</v>
      </c>
      <c r="AA44" s="160">
        <v>32.0</v>
      </c>
      <c r="AB44" s="160">
        <v>0.0</v>
      </c>
      <c r="AC44" s="160">
        <v>0.0</v>
      </c>
      <c r="AD44" s="160">
        <v>0.0</v>
      </c>
      <c r="AE44" s="160">
        <v>0.0</v>
      </c>
      <c r="AF44" s="160">
        <v>286.0</v>
      </c>
      <c r="AG44" s="160">
        <v>326.0</v>
      </c>
      <c r="AH44" s="160">
        <v>71.0</v>
      </c>
      <c r="AI44" s="160">
        <v>193217.0</v>
      </c>
      <c r="AJ44" s="160">
        <v>5.0</v>
      </c>
      <c r="AK44" s="160">
        <v>51393.0</v>
      </c>
      <c r="AL44" s="160">
        <v>0.0</v>
      </c>
      <c r="AM44" s="160">
        <v>0.0037</v>
      </c>
      <c r="AN44" s="160">
        <v>240674.0</v>
      </c>
      <c r="AO44" s="160">
        <v>0.62</v>
      </c>
      <c r="AP44" s="160">
        <v>0.0</v>
      </c>
      <c r="AQ44" s="160">
        <v>151.0</v>
      </c>
      <c r="AR44" s="160">
        <v>707.0</v>
      </c>
      <c r="AS44" s="160">
        <v>5115.17</v>
      </c>
      <c r="AT44" s="160">
        <v>0.0</v>
      </c>
      <c r="AU44" s="160">
        <v>69.0</v>
      </c>
      <c r="AV44" s="160">
        <v>57.0</v>
      </c>
      <c r="AW44" s="160">
        <v>18.0</v>
      </c>
      <c r="AX44" s="160">
        <v>10.0</v>
      </c>
      <c r="AY44" s="537"/>
      <c r="AZ44" s="537"/>
    </row>
    <row r="45">
      <c r="A45" s="157" t="s">
        <v>298</v>
      </c>
      <c r="B45" s="157" t="s">
        <v>301</v>
      </c>
      <c r="C45" s="157" t="s">
        <v>302</v>
      </c>
      <c r="D45" s="157" t="s">
        <v>1066</v>
      </c>
      <c r="E45" s="157" t="s">
        <v>303</v>
      </c>
      <c r="F45" s="285">
        <v>44459.0</v>
      </c>
      <c r="G45" s="157" t="s">
        <v>298</v>
      </c>
      <c r="H45" s="160">
        <v>0.0</v>
      </c>
      <c r="I45" s="160">
        <v>5400000.0</v>
      </c>
      <c r="J45" s="160">
        <v>455636.08</v>
      </c>
      <c r="K45" s="160">
        <v>0.0</v>
      </c>
      <c r="L45" s="160">
        <v>105.0</v>
      </c>
      <c r="M45" s="160">
        <v>48.0</v>
      </c>
      <c r="N45" s="160">
        <v>1.0</v>
      </c>
      <c r="O45" s="160">
        <v>106.0</v>
      </c>
      <c r="P45" s="160">
        <v>58.0</v>
      </c>
      <c r="Q45" s="160">
        <v>455636.08</v>
      </c>
      <c r="R45" s="160">
        <v>0.0</v>
      </c>
      <c r="S45" s="160">
        <v>11.0</v>
      </c>
      <c r="T45" s="160">
        <v>0.0</v>
      </c>
      <c r="U45" s="160">
        <v>11.0</v>
      </c>
      <c r="V45" s="160">
        <v>0.0</v>
      </c>
      <c r="W45" s="160">
        <v>9.0</v>
      </c>
      <c r="X45" s="160">
        <v>9.0</v>
      </c>
      <c r="Y45" s="160">
        <v>66.0</v>
      </c>
      <c r="Z45" s="160">
        <v>8.0</v>
      </c>
      <c r="AA45" s="160">
        <v>59.0</v>
      </c>
      <c r="AB45" s="160">
        <v>0.0</v>
      </c>
      <c r="AC45" s="160">
        <v>0.0</v>
      </c>
      <c r="AD45" s="160">
        <v>4.0</v>
      </c>
      <c r="AE45" s="160">
        <v>8.0</v>
      </c>
      <c r="AF45" s="160">
        <v>74.0</v>
      </c>
      <c r="AG45" s="160">
        <v>150.0</v>
      </c>
      <c r="AH45" s="160">
        <v>74.0</v>
      </c>
      <c r="AI45" s="160">
        <v>6157.0</v>
      </c>
      <c r="AJ45" s="160">
        <v>2.0</v>
      </c>
      <c r="AK45" s="160">
        <v>49585.0</v>
      </c>
      <c r="AL45" s="160">
        <v>0.0</v>
      </c>
      <c r="AM45" s="160">
        <v>0.1088</v>
      </c>
      <c r="AN45" s="160">
        <v>41421.0</v>
      </c>
      <c r="AO45" s="160">
        <v>0.07</v>
      </c>
      <c r="AP45" s="160">
        <v>0.0</v>
      </c>
      <c r="AQ45" s="160">
        <v>11.0</v>
      </c>
      <c r="AR45" s="160">
        <v>724.0</v>
      </c>
      <c r="AS45" s="160">
        <v>4810.86</v>
      </c>
      <c r="AT45" s="160">
        <v>0.0</v>
      </c>
      <c r="AU45" s="160">
        <v>100.0</v>
      </c>
      <c r="AV45" s="160">
        <v>11.0</v>
      </c>
      <c r="AW45" s="160">
        <v>44.0</v>
      </c>
      <c r="AX45" s="160">
        <v>51.0</v>
      </c>
      <c r="AY45" s="537"/>
      <c r="AZ45" s="537"/>
    </row>
    <row r="46">
      <c r="A46" s="157" t="s">
        <v>185</v>
      </c>
      <c r="B46" s="157" t="s">
        <v>117</v>
      </c>
      <c r="C46" s="157" t="s">
        <v>432</v>
      </c>
      <c r="D46" s="157" t="s">
        <v>1044</v>
      </c>
      <c r="E46" s="157" t="s">
        <v>433</v>
      </c>
      <c r="F46" s="338">
        <v>45444.0</v>
      </c>
      <c r="G46" s="157" t="s">
        <v>111</v>
      </c>
      <c r="H46" s="160">
        <v>0.0</v>
      </c>
      <c r="I46" s="160">
        <v>0.0</v>
      </c>
      <c r="J46" s="160">
        <v>0.0</v>
      </c>
      <c r="K46" s="160">
        <v>0.0</v>
      </c>
      <c r="L46" s="160">
        <v>27.0</v>
      </c>
      <c r="M46" s="160">
        <v>0.0</v>
      </c>
      <c r="N46" s="160">
        <v>0.0</v>
      </c>
      <c r="O46" s="160">
        <v>27.0</v>
      </c>
      <c r="P46" s="160">
        <v>27.0</v>
      </c>
      <c r="Q46" s="160">
        <v>0.0</v>
      </c>
      <c r="R46" s="160">
        <v>0.0</v>
      </c>
      <c r="S46" s="160">
        <v>0.0</v>
      </c>
      <c r="T46" s="160">
        <v>0.0</v>
      </c>
      <c r="U46" s="160">
        <v>0.0</v>
      </c>
      <c r="V46" s="160">
        <v>0.0</v>
      </c>
      <c r="W46" s="160">
        <v>0.0</v>
      </c>
      <c r="X46" s="160">
        <v>0.0</v>
      </c>
      <c r="Y46" s="160">
        <v>170.0</v>
      </c>
      <c r="Z46" s="160">
        <v>0.0</v>
      </c>
      <c r="AA46" s="160">
        <v>0.0</v>
      </c>
      <c r="AB46" s="160">
        <v>0.0</v>
      </c>
      <c r="AC46" s="160">
        <v>0.0</v>
      </c>
      <c r="AD46" s="160">
        <v>0.0</v>
      </c>
      <c r="AE46" s="160">
        <v>0.0</v>
      </c>
      <c r="AF46" s="160">
        <v>0.0</v>
      </c>
      <c r="AG46" s="160">
        <v>0.0</v>
      </c>
      <c r="AH46" s="160">
        <v>0.0</v>
      </c>
      <c r="AI46" s="160">
        <v>0.0</v>
      </c>
      <c r="AJ46" s="160">
        <v>0.0</v>
      </c>
      <c r="AK46" s="160">
        <v>27000.0</v>
      </c>
      <c r="AL46" s="160">
        <v>0.0</v>
      </c>
      <c r="AM46" s="160">
        <v>0.0</v>
      </c>
      <c r="AN46" s="160">
        <v>0.0</v>
      </c>
      <c r="AO46" s="160">
        <v>0.0</v>
      </c>
      <c r="AP46" s="160">
        <v>0.0</v>
      </c>
      <c r="AQ46" s="160">
        <v>0.0</v>
      </c>
      <c r="AR46" s="160">
        <v>0.0</v>
      </c>
      <c r="AS46" s="160">
        <v>0.0</v>
      </c>
      <c r="AT46" s="160">
        <v>0.0</v>
      </c>
      <c r="AU46" s="160">
        <v>0.0</v>
      </c>
      <c r="AV46" s="160">
        <v>0.0</v>
      </c>
      <c r="AW46" s="160">
        <v>0.0</v>
      </c>
      <c r="AX46" s="160">
        <v>27.0</v>
      </c>
      <c r="AY46" s="285">
        <v>45853.0</v>
      </c>
      <c r="AZ46" s="285"/>
    </row>
    <row r="47">
      <c r="A47" s="157" t="s">
        <v>185</v>
      </c>
      <c r="B47" s="157" t="s">
        <v>222</v>
      </c>
      <c r="C47" s="157" t="s">
        <v>220</v>
      </c>
      <c r="D47" s="157" t="s">
        <v>1057</v>
      </c>
      <c r="E47" s="157" t="s">
        <v>221</v>
      </c>
      <c r="F47" s="338">
        <v>44501.0</v>
      </c>
      <c r="G47" s="157" t="s">
        <v>185</v>
      </c>
      <c r="H47" s="160">
        <v>0.0</v>
      </c>
      <c r="I47" s="160">
        <v>1.35E7</v>
      </c>
      <c r="J47" s="160">
        <v>1.017976755E7</v>
      </c>
      <c r="K47" s="160">
        <v>0.0</v>
      </c>
      <c r="L47" s="160">
        <v>108.0</v>
      </c>
      <c r="M47" s="160">
        <v>87.0</v>
      </c>
      <c r="N47" s="160">
        <v>1.0</v>
      </c>
      <c r="O47" s="160">
        <v>109.0</v>
      </c>
      <c r="P47" s="160">
        <v>22.0</v>
      </c>
      <c r="Q47" s="160">
        <v>9927622.55</v>
      </c>
      <c r="R47" s="160">
        <v>252145.0</v>
      </c>
      <c r="S47" s="160">
        <v>30.0</v>
      </c>
      <c r="T47" s="160">
        <v>1.0</v>
      </c>
      <c r="U47" s="160">
        <v>31.0</v>
      </c>
      <c r="V47" s="160">
        <v>0.0</v>
      </c>
      <c r="W47" s="160">
        <v>8.0</v>
      </c>
      <c r="X47" s="160">
        <v>11.0</v>
      </c>
      <c r="Y47" s="160">
        <v>136.0</v>
      </c>
      <c r="Z47" s="160">
        <v>1.0</v>
      </c>
      <c r="AA47" s="160">
        <v>1.0</v>
      </c>
      <c r="AB47" s="160">
        <v>0.0</v>
      </c>
      <c r="AC47" s="160">
        <v>0.0</v>
      </c>
      <c r="AD47" s="160">
        <v>0.0</v>
      </c>
      <c r="AE47" s="160">
        <v>0.0</v>
      </c>
      <c r="AF47" s="160">
        <v>522.0</v>
      </c>
      <c r="AG47" s="160">
        <v>534.0</v>
      </c>
      <c r="AH47" s="160">
        <v>76.0</v>
      </c>
      <c r="AI47" s="160">
        <v>133944.0</v>
      </c>
      <c r="AJ47" s="160">
        <v>7.0</v>
      </c>
      <c r="AK47" s="160">
        <v>58700.0</v>
      </c>
      <c r="AL47" s="160">
        <v>0.0</v>
      </c>
      <c r="AM47" s="160">
        <v>0.0058</v>
      </c>
      <c r="AN47" s="160">
        <v>328380.0</v>
      </c>
      <c r="AO47" s="160">
        <v>0.75</v>
      </c>
      <c r="AP47" s="160">
        <v>0.0</v>
      </c>
      <c r="AQ47" s="160">
        <v>71.0</v>
      </c>
      <c r="AR47" s="160">
        <v>677.0</v>
      </c>
      <c r="AS47" s="160">
        <v>3624.77</v>
      </c>
      <c r="AT47" s="160">
        <v>1.0</v>
      </c>
      <c r="AU47" s="160">
        <v>42.0</v>
      </c>
      <c r="AV47" s="160">
        <v>31.0</v>
      </c>
      <c r="AW47" s="160">
        <v>57.0</v>
      </c>
      <c r="AX47" s="160">
        <v>21.0</v>
      </c>
      <c r="AY47" s="537"/>
      <c r="AZ47" s="537"/>
    </row>
    <row r="48">
      <c r="A48" s="157" t="s">
        <v>126</v>
      </c>
      <c r="B48" s="157" t="s">
        <v>145</v>
      </c>
      <c r="C48" s="157" t="s">
        <v>143</v>
      </c>
      <c r="D48" s="157" t="s">
        <v>1066</v>
      </c>
      <c r="E48" s="157" t="s">
        <v>1067</v>
      </c>
      <c r="F48" s="338">
        <v>44501.0</v>
      </c>
      <c r="G48" s="157" t="s">
        <v>580</v>
      </c>
      <c r="H48" s="160">
        <v>0.0</v>
      </c>
      <c r="I48" s="160">
        <v>5280000.0</v>
      </c>
      <c r="J48" s="160">
        <v>2411377.38</v>
      </c>
      <c r="K48" s="160">
        <v>0.0</v>
      </c>
      <c r="L48" s="160">
        <v>76.0</v>
      </c>
      <c r="M48" s="160">
        <v>70.0</v>
      </c>
      <c r="N48" s="160">
        <v>2.0</v>
      </c>
      <c r="O48" s="160">
        <v>78.0</v>
      </c>
      <c r="P48" s="160">
        <v>8.0</v>
      </c>
      <c r="Q48" s="160">
        <v>2339165.98</v>
      </c>
      <c r="R48" s="160">
        <v>72211.4</v>
      </c>
      <c r="S48" s="160">
        <v>37.0</v>
      </c>
      <c r="T48" s="160">
        <v>2.0</v>
      </c>
      <c r="U48" s="160">
        <v>39.0</v>
      </c>
      <c r="V48" s="160">
        <v>0.0</v>
      </c>
      <c r="W48" s="160">
        <v>28.0</v>
      </c>
      <c r="X48" s="160">
        <v>37.0</v>
      </c>
      <c r="Y48" s="160">
        <v>274.0</v>
      </c>
      <c r="Z48" s="160">
        <v>1.0</v>
      </c>
      <c r="AA48" s="160">
        <v>1.0</v>
      </c>
      <c r="AB48" s="160">
        <v>0.0</v>
      </c>
      <c r="AC48" s="160">
        <v>0.0</v>
      </c>
      <c r="AD48" s="160">
        <v>0.0</v>
      </c>
      <c r="AE48" s="160">
        <v>0.0</v>
      </c>
      <c r="AF48" s="160">
        <v>278.0</v>
      </c>
      <c r="AG48" s="160">
        <v>316.0</v>
      </c>
      <c r="AH48" s="160">
        <v>73.0</v>
      </c>
      <c r="AI48" s="160">
        <v>33033.0</v>
      </c>
      <c r="AJ48" s="160">
        <v>4.0</v>
      </c>
      <c r="AK48" s="160">
        <v>28500.0</v>
      </c>
      <c r="AL48" s="160">
        <v>0.0</v>
      </c>
      <c r="AM48" s="160">
        <v>0.0118</v>
      </c>
      <c r="AN48" s="160">
        <v>61830.0</v>
      </c>
      <c r="AO48" s="160">
        <v>0.46</v>
      </c>
      <c r="AP48" s="160">
        <v>0.0</v>
      </c>
      <c r="AQ48" s="160">
        <v>94.0</v>
      </c>
      <c r="AR48" s="160">
        <v>904.0</v>
      </c>
      <c r="AS48" s="160">
        <v>5612.78</v>
      </c>
      <c r="AT48" s="160">
        <v>2.0</v>
      </c>
      <c r="AU48" s="160">
        <v>80.0</v>
      </c>
      <c r="AV48" s="160">
        <v>39.0</v>
      </c>
      <c r="AW48" s="160">
        <v>32.0</v>
      </c>
      <c r="AX48" s="160">
        <v>7.0</v>
      </c>
      <c r="AY48" s="537"/>
      <c r="AZ48" s="537"/>
    </row>
    <row r="49">
      <c r="A49" s="157" t="s">
        <v>185</v>
      </c>
      <c r="B49" s="157" t="s">
        <v>85</v>
      </c>
      <c r="C49" s="157" t="s">
        <v>630</v>
      </c>
      <c r="D49" s="157" t="s">
        <v>1058</v>
      </c>
      <c r="E49" s="157" t="s">
        <v>386</v>
      </c>
      <c r="F49" s="338">
        <v>44508.0</v>
      </c>
      <c r="G49" s="537"/>
      <c r="H49" s="160">
        <v>0.0</v>
      </c>
      <c r="I49" s="160">
        <v>0.0</v>
      </c>
      <c r="J49" s="160">
        <v>0.0</v>
      </c>
      <c r="K49" s="160">
        <v>0.0</v>
      </c>
      <c r="L49" s="160">
        <v>95.0</v>
      </c>
      <c r="M49" s="160">
        <v>0.0</v>
      </c>
      <c r="N49" s="160">
        <v>0.0</v>
      </c>
      <c r="O49" s="160">
        <v>95.0</v>
      </c>
      <c r="P49" s="160">
        <v>95.0</v>
      </c>
      <c r="Q49" s="160">
        <v>0.0</v>
      </c>
      <c r="R49" s="160">
        <v>0.0</v>
      </c>
      <c r="S49" s="160">
        <v>0.0</v>
      </c>
      <c r="T49" s="160">
        <v>0.0</v>
      </c>
      <c r="U49" s="160">
        <v>0.0</v>
      </c>
      <c r="V49" s="160">
        <v>0.0</v>
      </c>
      <c r="W49" s="160">
        <v>0.0</v>
      </c>
      <c r="X49" s="160">
        <v>0.0</v>
      </c>
      <c r="Y49" s="160">
        <v>96.0</v>
      </c>
      <c r="Z49" s="160">
        <v>0.0</v>
      </c>
      <c r="AA49" s="160">
        <v>0.0</v>
      </c>
      <c r="AB49" s="160">
        <v>0.0</v>
      </c>
      <c r="AC49" s="160">
        <v>0.0</v>
      </c>
      <c r="AD49" s="160">
        <v>0.0</v>
      </c>
      <c r="AE49" s="160">
        <v>0.0</v>
      </c>
      <c r="AF49" s="160">
        <v>0.0</v>
      </c>
      <c r="AG49" s="160">
        <v>0.0</v>
      </c>
      <c r="AH49" s="160">
        <v>0.0</v>
      </c>
      <c r="AI49" s="160">
        <v>0.0</v>
      </c>
      <c r="AJ49" s="160">
        <v>0.0</v>
      </c>
      <c r="AK49" s="160">
        <v>31355.0</v>
      </c>
      <c r="AL49" s="160">
        <v>0.0</v>
      </c>
      <c r="AM49" s="160">
        <v>0.0</v>
      </c>
      <c r="AN49" s="160">
        <v>0.0</v>
      </c>
      <c r="AO49" s="160">
        <v>0.0</v>
      </c>
      <c r="AP49" s="160">
        <v>0.0</v>
      </c>
      <c r="AQ49" s="160">
        <v>0.0</v>
      </c>
      <c r="AR49" s="160">
        <v>0.0</v>
      </c>
      <c r="AS49" s="160">
        <v>0.0</v>
      </c>
      <c r="AT49" s="160">
        <v>0.0</v>
      </c>
      <c r="AU49" s="160">
        <v>0.0</v>
      </c>
      <c r="AV49" s="160">
        <v>0.0</v>
      </c>
      <c r="AW49" s="160">
        <v>0.0</v>
      </c>
      <c r="AX49" s="160">
        <v>95.0</v>
      </c>
      <c r="AY49" s="285">
        <v>45759.0</v>
      </c>
      <c r="AZ49" s="285"/>
    </row>
    <row r="50">
      <c r="A50" s="157" t="s">
        <v>126</v>
      </c>
      <c r="B50" s="157" t="s">
        <v>130</v>
      </c>
      <c r="C50" s="157" t="s">
        <v>146</v>
      </c>
      <c r="D50" s="157" t="s">
        <v>130</v>
      </c>
      <c r="E50" s="157" t="s">
        <v>1068</v>
      </c>
      <c r="F50" s="285">
        <v>44511.0</v>
      </c>
      <c r="G50" s="157" t="s">
        <v>580</v>
      </c>
      <c r="H50" s="160">
        <v>600000.0</v>
      </c>
      <c r="I50" s="160">
        <v>5900001.0</v>
      </c>
      <c r="J50" s="160">
        <v>2914757.34</v>
      </c>
      <c r="K50" s="160">
        <v>1344984.65</v>
      </c>
      <c r="L50" s="160">
        <v>81.0</v>
      </c>
      <c r="M50" s="160">
        <v>63.0</v>
      </c>
      <c r="N50" s="160">
        <v>0.0</v>
      </c>
      <c r="O50" s="160">
        <v>81.0</v>
      </c>
      <c r="P50" s="160">
        <v>18.0</v>
      </c>
      <c r="Q50" s="160">
        <v>2914757.34</v>
      </c>
      <c r="R50" s="160">
        <v>0.0</v>
      </c>
      <c r="S50" s="160">
        <v>38.0</v>
      </c>
      <c r="T50" s="160">
        <v>0.0</v>
      </c>
      <c r="U50" s="160">
        <v>38.0</v>
      </c>
      <c r="V50" s="160">
        <v>6.0</v>
      </c>
      <c r="W50" s="160">
        <v>1.0</v>
      </c>
      <c r="X50" s="160">
        <v>1.0</v>
      </c>
      <c r="Y50" s="160">
        <v>70.0</v>
      </c>
      <c r="Z50" s="160">
        <v>3.0</v>
      </c>
      <c r="AA50" s="160">
        <v>19.0</v>
      </c>
      <c r="AB50" s="160">
        <v>5.0</v>
      </c>
      <c r="AC50" s="160">
        <v>25.0</v>
      </c>
      <c r="AD50" s="160">
        <v>4.0</v>
      </c>
      <c r="AE50" s="160">
        <v>9.0</v>
      </c>
      <c r="AF50" s="160">
        <v>207.0</v>
      </c>
      <c r="AG50" s="160">
        <v>261.0</v>
      </c>
      <c r="AH50" s="160">
        <v>75.0</v>
      </c>
      <c r="AI50" s="160">
        <v>38863.0</v>
      </c>
      <c r="AJ50" s="160">
        <v>3.0</v>
      </c>
      <c r="AK50" s="160">
        <v>31231.0</v>
      </c>
      <c r="AL50" s="160">
        <v>0.0</v>
      </c>
      <c r="AM50" s="160">
        <v>0.0107</v>
      </c>
      <c r="AN50" s="160">
        <v>76704.0</v>
      </c>
      <c r="AO50" s="160">
        <v>0.49</v>
      </c>
      <c r="AP50" s="160">
        <v>2.24</v>
      </c>
      <c r="AQ50" s="160">
        <v>66.0</v>
      </c>
      <c r="AR50" s="160">
        <v>584.0</v>
      </c>
      <c r="AS50" s="160">
        <v>3448.91</v>
      </c>
      <c r="AT50" s="160">
        <v>0.0</v>
      </c>
      <c r="AU50" s="160">
        <v>55.0</v>
      </c>
      <c r="AV50" s="160">
        <v>38.0</v>
      </c>
      <c r="AW50" s="160">
        <v>26.0</v>
      </c>
      <c r="AX50" s="160">
        <v>17.0</v>
      </c>
      <c r="AY50" s="537"/>
      <c r="AZ50" s="537"/>
    </row>
    <row r="51">
      <c r="A51" s="157" t="s">
        <v>298</v>
      </c>
      <c r="B51" s="157" t="s">
        <v>301</v>
      </c>
      <c r="C51" s="157" t="s">
        <v>637</v>
      </c>
      <c r="D51" s="157" t="s">
        <v>1066</v>
      </c>
      <c r="E51" s="157" t="s">
        <v>317</v>
      </c>
      <c r="F51" s="342">
        <v>45778.0</v>
      </c>
      <c r="G51" s="157" t="s">
        <v>298</v>
      </c>
      <c r="H51" s="160">
        <v>0.0</v>
      </c>
      <c r="I51" s="160">
        <v>3600000.0</v>
      </c>
      <c r="J51" s="160">
        <v>3683757.58</v>
      </c>
      <c r="K51" s="160">
        <v>0.0</v>
      </c>
      <c r="L51" s="160">
        <v>83.0</v>
      </c>
      <c r="M51" s="160">
        <v>62.0</v>
      </c>
      <c r="N51" s="160">
        <v>12.0</v>
      </c>
      <c r="O51" s="160">
        <v>95.0</v>
      </c>
      <c r="P51" s="160">
        <v>33.0</v>
      </c>
      <c r="Q51" s="160">
        <v>3093705.15</v>
      </c>
      <c r="R51" s="160">
        <v>590052.43</v>
      </c>
      <c r="S51" s="160">
        <v>35.0</v>
      </c>
      <c r="T51" s="160">
        <v>9.0</v>
      </c>
      <c r="U51" s="160">
        <v>44.0</v>
      </c>
      <c r="V51" s="160">
        <v>0.0</v>
      </c>
      <c r="W51" s="160">
        <v>71.0</v>
      </c>
      <c r="X51" s="160">
        <v>108.0</v>
      </c>
      <c r="Y51" s="160">
        <v>106.0</v>
      </c>
      <c r="Z51" s="160">
        <v>7.0</v>
      </c>
      <c r="AA51" s="160">
        <v>32.0</v>
      </c>
      <c r="AB51" s="160">
        <v>2.0</v>
      </c>
      <c r="AC51" s="160">
        <v>11.0</v>
      </c>
      <c r="AD51" s="160">
        <v>2.0</v>
      </c>
      <c r="AE51" s="160">
        <v>3.0</v>
      </c>
      <c r="AF51" s="160">
        <v>194.0</v>
      </c>
      <c r="AG51" s="160">
        <v>348.0</v>
      </c>
      <c r="AH51" s="160">
        <v>70.0</v>
      </c>
      <c r="AI51" s="160">
        <v>52625.0</v>
      </c>
      <c r="AJ51" s="160">
        <v>5.0</v>
      </c>
      <c r="AK51" s="160">
        <v>47173.0</v>
      </c>
      <c r="AL51" s="160">
        <v>0.0</v>
      </c>
      <c r="AM51" s="160">
        <v>0.0128</v>
      </c>
      <c r="AN51" s="160">
        <v>83722.0</v>
      </c>
      <c r="AO51" s="160">
        <v>1.02</v>
      </c>
      <c r="AP51" s="160">
        <v>0.0</v>
      </c>
      <c r="AQ51" s="160">
        <v>84.0</v>
      </c>
      <c r="AR51" s="160">
        <v>570.0</v>
      </c>
      <c r="AS51" s="160">
        <v>3431.0</v>
      </c>
      <c r="AT51" s="160">
        <v>9.0</v>
      </c>
      <c r="AU51" s="160">
        <v>55.0</v>
      </c>
      <c r="AV51" s="160">
        <v>44.0</v>
      </c>
      <c r="AW51" s="160">
        <v>23.0</v>
      </c>
      <c r="AX51" s="160">
        <v>28.0</v>
      </c>
      <c r="AY51" s="537"/>
      <c r="AZ51" s="537"/>
    </row>
    <row r="52">
      <c r="A52" s="157" t="s">
        <v>298</v>
      </c>
      <c r="B52" s="157" t="s">
        <v>301</v>
      </c>
      <c r="C52" s="157" t="s">
        <v>355</v>
      </c>
      <c r="D52" s="157" t="s">
        <v>1066</v>
      </c>
      <c r="E52" s="157" t="s">
        <v>319</v>
      </c>
      <c r="F52" s="285">
        <v>44635.0</v>
      </c>
      <c r="G52" s="157" t="s">
        <v>298</v>
      </c>
      <c r="H52" s="160">
        <v>0.0</v>
      </c>
      <c r="I52" s="160">
        <v>0.0</v>
      </c>
      <c r="J52" s="160">
        <v>0.0</v>
      </c>
      <c r="K52" s="160">
        <v>0.0</v>
      </c>
      <c r="L52" s="160">
        <v>117.0</v>
      </c>
      <c r="M52" s="160">
        <v>0.0</v>
      </c>
      <c r="N52" s="160">
        <v>0.0</v>
      </c>
      <c r="O52" s="160">
        <v>117.0</v>
      </c>
      <c r="P52" s="160">
        <v>117.0</v>
      </c>
      <c r="Q52" s="160">
        <v>0.0</v>
      </c>
      <c r="R52" s="160">
        <v>0.0</v>
      </c>
      <c r="S52" s="160">
        <v>0.0</v>
      </c>
      <c r="T52" s="160">
        <v>0.0</v>
      </c>
      <c r="U52" s="160">
        <v>0.0</v>
      </c>
      <c r="V52" s="160">
        <v>0.0</v>
      </c>
      <c r="W52" s="160">
        <v>0.0</v>
      </c>
      <c r="X52" s="160">
        <v>0.0</v>
      </c>
      <c r="Y52" s="160">
        <v>128.0</v>
      </c>
      <c r="Z52" s="160">
        <v>0.0</v>
      </c>
      <c r="AA52" s="160">
        <v>0.0</v>
      </c>
      <c r="AB52" s="160">
        <v>0.0</v>
      </c>
      <c r="AC52" s="160">
        <v>0.0</v>
      </c>
      <c r="AD52" s="160">
        <v>0.0</v>
      </c>
      <c r="AE52" s="160">
        <v>0.0</v>
      </c>
      <c r="AF52" s="160">
        <v>0.0</v>
      </c>
      <c r="AG52" s="160">
        <v>0.0</v>
      </c>
      <c r="AH52" s="160">
        <v>0.0</v>
      </c>
      <c r="AI52" s="160">
        <v>0.0</v>
      </c>
      <c r="AJ52" s="160">
        <v>0.0</v>
      </c>
      <c r="AK52" s="160">
        <v>38000.0</v>
      </c>
      <c r="AL52" s="160">
        <v>0.0</v>
      </c>
      <c r="AM52" s="160">
        <v>0.0</v>
      </c>
      <c r="AN52" s="160">
        <v>0.0</v>
      </c>
      <c r="AO52" s="160">
        <v>0.0</v>
      </c>
      <c r="AP52" s="160">
        <v>0.0</v>
      </c>
      <c r="AQ52" s="160">
        <v>0.0</v>
      </c>
      <c r="AR52" s="160">
        <v>0.0</v>
      </c>
      <c r="AS52" s="160">
        <v>0.0</v>
      </c>
      <c r="AT52" s="160">
        <v>0.0</v>
      </c>
      <c r="AU52" s="160">
        <v>0.0</v>
      </c>
      <c r="AV52" s="160">
        <v>0.0</v>
      </c>
      <c r="AW52" s="160">
        <v>0.0</v>
      </c>
      <c r="AX52" s="160">
        <v>117.0</v>
      </c>
      <c r="AY52" s="338">
        <v>45754.0</v>
      </c>
      <c r="AZ52" s="338"/>
    </row>
    <row r="53">
      <c r="A53" s="157" t="s">
        <v>126</v>
      </c>
      <c r="B53" s="157" t="s">
        <v>135</v>
      </c>
      <c r="C53" s="157" t="s">
        <v>148</v>
      </c>
      <c r="D53" s="157" t="s">
        <v>1042</v>
      </c>
      <c r="E53" s="157" t="s">
        <v>149</v>
      </c>
      <c r="F53" s="285">
        <v>44662.0</v>
      </c>
      <c r="G53" s="157" t="s">
        <v>136</v>
      </c>
      <c r="H53" s="160">
        <v>300000.0</v>
      </c>
      <c r="I53" s="160">
        <v>4899999.0</v>
      </c>
      <c r="J53" s="160">
        <v>3193258.99</v>
      </c>
      <c r="K53" s="160">
        <v>0.0</v>
      </c>
      <c r="L53" s="160">
        <v>53.0</v>
      </c>
      <c r="M53" s="160">
        <v>49.0</v>
      </c>
      <c r="N53" s="160">
        <v>6.0</v>
      </c>
      <c r="O53" s="160">
        <v>59.0</v>
      </c>
      <c r="P53" s="160">
        <v>10.0</v>
      </c>
      <c r="Q53" s="160">
        <v>2918364.6</v>
      </c>
      <c r="R53" s="160">
        <v>274894.39</v>
      </c>
      <c r="S53" s="160">
        <v>27.0</v>
      </c>
      <c r="T53" s="160">
        <v>6.0</v>
      </c>
      <c r="U53" s="160">
        <v>33.0</v>
      </c>
      <c r="V53" s="160">
        <v>0.0</v>
      </c>
      <c r="W53" s="160">
        <v>95.0</v>
      </c>
      <c r="X53" s="160">
        <v>127.0</v>
      </c>
      <c r="Y53" s="160">
        <v>400.0</v>
      </c>
      <c r="Z53" s="160">
        <v>1.0</v>
      </c>
      <c r="AA53" s="160">
        <v>21.0</v>
      </c>
      <c r="AB53" s="160">
        <v>0.0</v>
      </c>
      <c r="AC53" s="160">
        <v>0.0</v>
      </c>
      <c r="AD53" s="160">
        <v>2.0</v>
      </c>
      <c r="AE53" s="160">
        <v>5.0</v>
      </c>
      <c r="AF53" s="160">
        <v>216.0</v>
      </c>
      <c r="AG53" s="160">
        <v>369.0</v>
      </c>
      <c r="AH53" s="160">
        <v>75.0</v>
      </c>
      <c r="AI53" s="160">
        <v>42577.0</v>
      </c>
      <c r="AJ53" s="160">
        <v>5.0</v>
      </c>
      <c r="AK53" s="160">
        <v>33718.0</v>
      </c>
      <c r="AL53" s="160">
        <v>0.0</v>
      </c>
      <c r="AM53" s="160">
        <v>0.0106</v>
      </c>
      <c r="AN53" s="160">
        <v>96765.0</v>
      </c>
      <c r="AO53" s="160">
        <v>0.65</v>
      </c>
      <c r="AP53" s="160">
        <v>0.0</v>
      </c>
      <c r="AQ53" s="160">
        <v>56.0</v>
      </c>
      <c r="AR53" s="160">
        <v>597.0</v>
      </c>
      <c r="AS53" s="160">
        <v>4697.36</v>
      </c>
      <c r="AT53" s="160">
        <v>6.0</v>
      </c>
      <c r="AU53" s="160">
        <v>96.0</v>
      </c>
      <c r="AV53" s="160">
        <v>33.0</v>
      </c>
      <c r="AW53" s="160">
        <v>16.0</v>
      </c>
      <c r="AX53" s="160">
        <v>10.0</v>
      </c>
      <c r="AY53" s="537"/>
      <c r="AZ53" s="537"/>
    </row>
    <row r="54">
      <c r="A54" s="157" t="s">
        <v>53</v>
      </c>
      <c r="B54" s="157" t="s">
        <v>61</v>
      </c>
      <c r="C54" s="157" t="s">
        <v>654</v>
      </c>
      <c r="D54" s="157" t="s">
        <v>1077</v>
      </c>
      <c r="E54" s="157" t="s">
        <v>1114</v>
      </c>
      <c r="F54" s="342">
        <v>45778.0</v>
      </c>
      <c r="G54" s="157" t="s">
        <v>754</v>
      </c>
      <c r="H54" s="160">
        <v>0.0</v>
      </c>
      <c r="I54" s="160">
        <v>0.0</v>
      </c>
      <c r="J54" s="160">
        <v>0.0</v>
      </c>
      <c r="K54" s="160">
        <v>0.0</v>
      </c>
      <c r="L54" s="160">
        <v>58.0</v>
      </c>
      <c r="M54" s="160">
        <v>0.0</v>
      </c>
      <c r="N54" s="160">
        <v>0.0</v>
      </c>
      <c r="O54" s="160">
        <v>58.0</v>
      </c>
      <c r="P54" s="160">
        <v>58.0</v>
      </c>
      <c r="Q54" s="160">
        <v>0.0</v>
      </c>
      <c r="R54" s="160">
        <v>0.0</v>
      </c>
      <c r="S54" s="160">
        <v>0.0</v>
      </c>
      <c r="T54" s="160">
        <v>0.0</v>
      </c>
      <c r="U54" s="160">
        <v>0.0</v>
      </c>
      <c r="V54" s="160">
        <v>0.0</v>
      </c>
      <c r="W54" s="160">
        <v>0.0</v>
      </c>
      <c r="X54" s="160">
        <v>0.0</v>
      </c>
      <c r="Y54" s="160">
        <v>99.0</v>
      </c>
      <c r="Z54" s="160">
        <v>0.0</v>
      </c>
      <c r="AA54" s="160">
        <v>0.0</v>
      </c>
      <c r="AB54" s="160">
        <v>0.0</v>
      </c>
      <c r="AC54" s="160">
        <v>0.0</v>
      </c>
      <c r="AD54" s="160">
        <v>0.0</v>
      </c>
      <c r="AE54" s="160">
        <v>0.0</v>
      </c>
      <c r="AF54" s="160">
        <v>0.0</v>
      </c>
      <c r="AG54" s="160">
        <v>0.0</v>
      </c>
      <c r="AH54" s="160">
        <v>0.0</v>
      </c>
      <c r="AI54" s="160">
        <v>0.0</v>
      </c>
      <c r="AJ54" s="160">
        <v>0.0</v>
      </c>
      <c r="AK54" s="160">
        <v>50860.0</v>
      </c>
      <c r="AL54" s="160">
        <v>0.0</v>
      </c>
      <c r="AM54" s="160">
        <v>0.0</v>
      </c>
      <c r="AN54" s="160">
        <v>0.0</v>
      </c>
      <c r="AO54" s="160">
        <v>0.0</v>
      </c>
      <c r="AP54" s="160">
        <v>0.0</v>
      </c>
      <c r="AQ54" s="160">
        <v>0.0</v>
      </c>
      <c r="AR54" s="160">
        <v>0.0</v>
      </c>
      <c r="AS54" s="160">
        <v>0.0</v>
      </c>
      <c r="AT54" s="160">
        <v>0.0</v>
      </c>
      <c r="AU54" s="160">
        <v>0.0</v>
      </c>
      <c r="AV54" s="160">
        <v>0.0</v>
      </c>
      <c r="AW54" s="160">
        <v>0.0</v>
      </c>
      <c r="AX54" s="160">
        <v>58.0</v>
      </c>
      <c r="AY54" s="285">
        <v>45899.0</v>
      </c>
      <c r="AZ54" s="285"/>
    </row>
    <row r="55">
      <c r="A55" s="157" t="s">
        <v>73</v>
      </c>
      <c r="B55" s="157" t="s">
        <v>1229</v>
      </c>
      <c r="C55" s="157" t="s">
        <v>74</v>
      </c>
      <c r="D55" s="157" t="s">
        <v>76</v>
      </c>
      <c r="E55" s="157" t="s">
        <v>1069</v>
      </c>
      <c r="F55" s="342">
        <v>44684.0</v>
      </c>
      <c r="G55" s="157" t="s">
        <v>73</v>
      </c>
      <c r="H55" s="160">
        <v>999999.0</v>
      </c>
      <c r="I55" s="160">
        <v>6000000.0</v>
      </c>
      <c r="J55" s="160">
        <v>3385317.87</v>
      </c>
      <c r="K55" s="160">
        <v>448818.22</v>
      </c>
      <c r="L55" s="160">
        <v>30.0</v>
      </c>
      <c r="M55" s="160">
        <v>0.0</v>
      </c>
      <c r="N55" s="160">
        <v>0.0</v>
      </c>
      <c r="O55" s="160">
        <v>30.0</v>
      </c>
      <c r="P55" s="160">
        <v>30.0</v>
      </c>
      <c r="Q55" s="160">
        <v>3385317.87</v>
      </c>
      <c r="R55" s="160">
        <v>0.0</v>
      </c>
      <c r="S55" s="160">
        <v>12.0</v>
      </c>
      <c r="T55" s="160">
        <v>0.0</v>
      </c>
      <c r="U55" s="160">
        <v>12.0</v>
      </c>
      <c r="V55" s="160">
        <v>1.0</v>
      </c>
      <c r="W55" s="160">
        <v>0.0</v>
      </c>
      <c r="X55" s="160">
        <v>0.0</v>
      </c>
      <c r="Y55" s="160">
        <v>106.0</v>
      </c>
      <c r="Z55" s="160">
        <v>0.0</v>
      </c>
      <c r="AA55" s="160">
        <v>0.0</v>
      </c>
      <c r="AB55" s="160">
        <v>0.0</v>
      </c>
      <c r="AC55" s="160">
        <v>0.0</v>
      </c>
      <c r="AD55" s="160">
        <v>0.0</v>
      </c>
      <c r="AE55" s="160">
        <v>0.0</v>
      </c>
      <c r="AF55" s="160">
        <v>0.0</v>
      </c>
      <c r="AG55" s="160">
        <v>0.0</v>
      </c>
      <c r="AH55" s="160">
        <v>0.0</v>
      </c>
      <c r="AI55" s="160">
        <v>0.0</v>
      </c>
      <c r="AJ55" s="160">
        <v>0.0</v>
      </c>
      <c r="AK55" s="160">
        <v>34394.0</v>
      </c>
      <c r="AL55" s="160">
        <v>0.0</v>
      </c>
      <c r="AM55" s="160">
        <v>0.0102</v>
      </c>
      <c r="AN55" s="160">
        <v>282110.0</v>
      </c>
      <c r="AO55" s="160">
        <v>0.56</v>
      </c>
      <c r="AP55" s="160">
        <v>0.45</v>
      </c>
      <c r="AQ55" s="160">
        <v>23.0</v>
      </c>
      <c r="AR55" s="160">
        <v>0.0</v>
      </c>
      <c r="AS55" s="160">
        <v>0.0</v>
      </c>
      <c r="AT55" s="160">
        <v>0.0</v>
      </c>
      <c r="AU55" s="160">
        <v>0.0</v>
      </c>
      <c r="AV55" s="160">
        <v>12.0</v>
      </c>
      <c r="AW55" s="160">
        <v>0.0</v>
      </c>
      <c r="AX55" s="160">
        <v>18.0</v>
      </c>
      <c r="AY55" s="537"/>
      <c r="AZ55" s="537"/>
    </row>
    <row r="56">
      <c r="A56" s="157" t="s">
        <v>298</v>
      </c>
      <c r="B56" s="157" t="s">
        <v>301</v>
      </c>
      <c r="C56" s="157" t="s">
        <v>304</v>
      </c>
      <c r="D56" s="157" t="s">
        <v>1066</v>
      </c>
      <c r="E56" s="157" t="s">
        <v>305</v>
      </c>
      <c r="F56" s="349">
        <v>44697.0</v>
      </c>
      <c r="G56" s="157" t="s">
        <v>302</v>
      </c>
      <c r="H56" s="160">
        <v>0.0</v>
      </c>
      <c r="I56" s="160">
        <v>3600000.0</v>
      </c>
      <c r="J56" s="160">
        <v>1927790.69</v>
      </c>
      <c r="K56" s="160">
        <v>0.0</v>
      </c>
      <c r="L56" s="160">
        <v>80.0</v>
      </c>
      <c r="M56" s="160">
        <v>49.0</v>
      </c>
      <c r="N56" s="160">
        <v>0.0</v>
      </c>
      <c r="O56" s="160">
        <v>80.0</v>
      </c>
      <c r="P56" s="160">
        <v>31.0</v>
      </c>
      <c r="Q56" s="160">
        <v>1927790.69</v>
      </c>
      <c r="R56" s="160">
        <v>0.0</v>
      </c>
      <c r="S56" s="160">
        <v>21.0</v>
      </c>
      <c r="T56" s="160">
        <v>0.0</v>
      </c>
      <c r="U56" s="160">
        <v>21.0</v>
      </c>
      <c r="V56" s="160">
        <v>0.0</v>
      </c>
      <c r="W56" s="160">
        <v>2.0</v>
      </c>
      <c r="X56" s="160">
        <v>2.0</v>
      </c>
      <c r="Y56" s="160">
        <v>294.0</v>
      </c>
      <c r="Z56" s="160">
        <v>3.0</v>
      </c>
      <c r="AA56" s="160">
        <v>5.0</v>
      </c>
      <c r="AB56" s="160">
        <v>0.0</v>
      </c>
      <c r="AC56" s="160">
        <v>0.0</v>
      </c>
      <c r="AD56" s="160">
        <v>0.0</v>
      </c>
      <c r="AE56" s="160">
        <v>0.0</v>
      </c>
      <c r="AF56" s="160">
        <v>262.0</v>
      </c>
      <c r="AG56" s="160">
        <v>269.0</v>
      </c>
      <c r="AH56" s="160">
        <v>65.0</v>
      </c>
      <c r="AI56" s="160">
        <v>29658.0</v>
      </c>
      <c r="AJ56" s="160">
        <v>4.0</v>
      </c>
      <c r="AK56" s="160">
        <v>36720.0</v>
      </c>
      <c r="AL56" s="160">
        <v>0.0</v>
      </c>
      <c r="AM56" s="160">
        <v>0.019</v>
      </c>
      <c r="AN56" s="160">
        <v>91800.0</v>
      </c>
      <c r="AO56" s="160">
        <v>0.54</v>
      </c>
      <c r="AP56" s="160">
        <v>0.0</v>
      </c>
      <c r="AQ56" s="160">
        <v>81.0</v>
      </c>
      <c r="AR56" s="160">
        <v>564.0</v>
      </c>
      <c r="AS56" s="160">
        <v>4065.54</v>
      </c>
      <c r="AT56" s="160">
        <v>0.0</v>
      </c>
      <c r="AU56" s="160">
        <v>83.0</v>
      </c>
      <c r="AV56" s="160">
        <v>21.0</v>
      </c>
      <c r="AW56" s="160">
        <v>28.0</v>
      </c>
      <c r="AX56" s="160">
        <v>31.0</v>
      </c>
      <c r="AY56" s="537"/>
      <c r="AZ56" s="537"/>
    </row>
    <row r="57">
      <c r="A57" s="157" t="s">
        <v>97</v>
      </c>
      <c r="B57" s="157" t="s">
        <v>101</v>
      </c>
      <c r="C57" s="157" t="s">
        <v>99</v>
      </c>
      <c r="D57" s="157" t="s">
        <v>1062</v>
      </c>
      <c r="E57" s="157" t="s">
        <v>100</v>
      </c>
      <c r="F57" s="349">
        <v>44693.0</v>
      </c>
      <c r="G57" s="157" t="s">
        <v>876</v>
      </c>
      <c r="H57" s="160">
        <v>0.0</v>
      </c>
      <c r="I57" s="160">
        <v>4000000.0</v>
      </c>
      <c r="J57" s="160">
        <v>3116045.99</v>
      </c>
      <c r="K57" s="160">
        <v>0.0</v>
      </c>
      <c r="L57" s="160">
        <v>74.0</v>
      </c>
      <c r="M57" s="160">
        <v>44.0</v>
      </c>
      <c r="N57" s="160">
        <v>2.0</v>
      </c>
      <c r="O57" s="160">
        <v>76.0</v>
      </c>
      <c r="P57" s="160">
        <v>32.0</v>
      </c>
      <c r="Q57" s="160">
        <v>3033839.99</v>
      </c>
      <c r="R57" s="160">
        <v>82206.0</v>
      </c>
      <c r="S57" s="160">
        <v>26.0</v>
      </c>
      <c r="T57" s="160">
        <v>1.0</v>
      </c>
      <c r="U57" s="160">
        <v>27.0</v>
      </c>
      <c r="V57" s="160">
        <v>0.0</v>
      </c>
      <c r="W57" s="160">
        <v>10.0</v>
      </c>
      <c r="X57" s="160">
        <v>11.0</v>
      </c>
      <c r="Y57" s="160">
        <v>39.0</v>
      </c>
      <c r="Z57" s="160">
        <v>1.0</v>
      </c>
      <c r="AA57" s="160">
        <v>6.0</v>
      </c>
      <c r="AB57" s="160">
        <v>0.0</v>
      </c>
      <c r="AC57" s="160">
        <v>0.0</v>
      </c>
      <c r="AD57" s="160">
        <v>0.0</v>
      </c>
      <c r="AE57" s="160">
        <v>0.0</v>
      </c>
      <c r="AF57" s="160">
        <v>324.0</v>
      </c>
      <c r="AG57" s="160">
        <v>341.0</v>
      </c>
      <c r="AH57" s="160">
        <v>72.0</v>
      </c>
      <c r="AI57" s="160">
        <v>43278.0</v>
      </c>
      <c r="AJ57" s="160">
        <v>5.0</v>
      </c>
      <c r="AK57" s="160">
        <v>34025.0</v>
      </c>
      <c r="AL57" s="160">
        <v>0.0</v>
      </c>
      <c r="AM57" s="160">
        <v>0.0109</v>
      </c>
      <c r="AN57" s="160">
        <v>115409.0</v>
      </c>
      <c r="AO57" s="160">
        <v>0.78</v>
      </c>
      <c r="AP57" s="160">
        <v>0.0</v>
      </c>
      <c r="AQ57" s="160">
        <v>67.0</v>
      </c>
      <c r="AR57" s="160">
        <v>709.0</v>
      </c>
      <c r="AS57" s="160">
        <v>2983.39</v>
      </c>
      <c r="AT57" s="160">
        <v>1.0</v>
      </c>
      <c r="AU57" s="160">
        <v>68.0</v>
      </c>
      <c r="AV57" s="160">
        <v>27.0</v>
      </c>
      <c r="AW57" s="160">
        <v>18.0</v>
      </c>
      <c r="AX57" s="160">
        <v>31.0</v>
      </c>
      <c r="AY57" s="537"/>
      <c r="AZ57" s="537"/>
    </row>
    <row r="58">
      <c r="A58" s="157" t="s">
        <v>185</v>
      </c>
      <c r="B58" s="157" t="s">
        <v>117</v>
      </c>
      <c r="C58" s="157" t="s">
        <v>118</v>
      </c>
      <c r="D58" s="157" t="s">
        <v>1044</v>
      </c>
      <c r="E58" s="157" t="s">
        <v>119</v>
      </c>
      <c r="F58" s="338">
        <v>44743.0</v>
      </c>
      <c r="G58" s="157" t="s">
        <v>111</v>
      </c>
      <c r="H58" s="160">
        <v>0.0</v>
      </c>
      <c r="I58" s="160">
        <v>3600000.0</v>
      </c>
      <c r="J58" s="160">
        <v>913340.63</v>
      </c>
      <c r="K58" s="160">
        <v>0.0</v>
      </c>
      <c r="L58" s="160">
        <v>76.0</v>
      </c>
      <c r="M58" s="160">
        <v>69.0</v>
      </c>
      <c r="N58" s="160">
        <v>0.0</v>
      </c>
      <c r="O58" s="160">
        <v>76.0</v>
      </c>
      <c r="P58" s="160">
        <v>7.0</v>
      </c>
      <c r="Q58" s="160">
        <v>913340.63</v>
      </c>
      <c r="R58" s="160">
        <v>0.0</v>
      </c>
      <c r="S58" s="160">
        <v>27.0</v>
      </c>
      <c r="T58" s="160">
        <v>0.0</v>
      </c>
      <c r="U58" s="160">
        <v>27.0</v>
      </c>
      <c r="V58" s="160">
        <v>0.0</v>
      </c>
      <c r="W58" s="160">
        <v>15.0</v>
      </c>
      <c r="X58" s="160">
        <v>42.0</v>
      </c>
      <c r="Y58" s="160">
        <v>158.0</v>
      </c>
      <c r="Z58" s="160">
        <v>1.0</v>
      </c>
      <c r="AA58" s="160">
        <v>5.0</v>
      </c>
      <c r="AB58" s="160">
        <v>0.0</v>
      </c>
      <c r="AC58" s="160">
        <v>0.0</v>
      </c>
      <c r="AD58" s="160">
        <v>0.0</v>
      </c>
      <c r="AE58" s="160">
        <v>0.0</v>
      </c>
      <c r="AF58" s="160">
        <v>327.0</v>
      </c>
      <c r="AG58" s="160">
        <v>374.0</v>
      </c>
      <c r="AH58" s="160">
        <v>75.0</v>
      </c>
      <c r="AI58" s="160">
        <v>12178.0</v>
      </c>
      <c r="AJ58" s="160">
        <v>5.0</v>
      </c>
      <c r="AK58" s="160">
        <v>30425.0</v>
      </c>
      <c r="AL58" s="160">
        <v>0.0</v>
      </c>
      <c r="AM58" s="160">
        <v>0.0333</v>
      </c>
      <c r="AN58" s="160">
        <v>33827.0</v>
      </c>
      <c r="AO58" s="160">
        <v>0.25</v>
      </c>
      <c r="AP58" s="160">
        <v>0.0</v>
      </c>
      <c r="AQ58" s="160">
        <v>46.0</v>
      </c>
      <c r="AR58" s="160">
        <v>895.0</v>
      </c>
      <c r="AS58" s="160">
        <v>5303.26</v>
      </c>
      <c r="AT58" s="160">
        <v>0.0</v>
      </c>
      <c r="AU58" s="160">
        <v>77.0</v>
      </c>
      <c r="AV58" s="160">
        <v>27.0</v>
      </c>
      <c r="AW58" s="160">
        <v>43.0</v>
      </c>
      <c r="AX58" s="160">
        <v>6.0</v>
      </c>
      <c r="AY58" s="537"/>
      <c r="AZ58" s="537"/>
    </row>
    <row r="59">
      <c r="A59" s="157" t="s">
        <v>322</v>
      </c>
      <c r="B59" s="157" t="s">
        <v>325</v>
      </c>
      <c r="C59" s="157" t="s">
        <v>326</v>
      </c>
      <c r="D59" s="157" t="s">
        <v>1049</v>
      </c>
      <c r="E59" s="157" t="s">
        <v>327</v>
      </c>
      <c r="F59" s="285">
        <v>45638.0</v>
      </c>
      <c r="G59" s="157" t="s">
        <v>322</v>
      </c>
      <c r="H59" s="160">
        <v>0.0</v>
      </c>
      <c r="I59" s="160">
        <v>3125001.0</v>
      </c>
      <c r="J59" s="160">
        <v>0.0</v>
      </c>
      <c r="K59" s="160">
        <v>0.0</v>
      </c>
      <c r="L59" s="160">
        <v>97.0</v>
      </c>
      <c r="M59" s="160">
        <v>2.0</v>
      </c>
      <c r="N59" s="160">
        <v>0.0</v>
      </c>
      <c r="O59" s="160">
        <v>97.0</v>
      </c>
      <c r="P59" s="160">
        <v>95.0</v>
      </c>
      <c r="Q59" s="160">
        <v>0.0</v>
      </c>
      <c r="R59" s="160">
        <v>0.0</v>
      </c>
      <c r="S59" s="160">
        <v>0.0</v>
      </c>
      <c r="T59" s="160">
        <v>0.0</v>
      </c>
      <c r="U59" s="160">
        <v>0.0</v>
      </c>
      <c r="V59" s="160">
        <v>0.0</v>
      </c>
      <c r="W59" s="160">
        <v>76.0</v>
      </c>
      <c r="X59" s="160">
        <v>136.0</v>
      </c>
      <c r="Y59" s="160">
        <v>214.0</v>
      </c>
      <c r="Z59" s="160">
        <v>2.0</v>
      </c>
      <c r="AA59" s="160">
        <v>45.0</v>
      </c>
      <c r="AB59" s="160">
        <v>0.0</v>
      </c>
      <c r="AC59" s="160">
        <v>0.0</v>
      </c>
      <c r="AD59" s="160">
        <v>0.0</v>
      </c>
      <c r="AE59" s="160">
        <v>0.0</v>
      </c>
      <c r="AF59" s="160">
        <v>3.0</v>
      </c>
      <c r="AG59" s="160">
        <v>184.0</v>
      </c>
      <c r="AH59" s="160">
        <v>66.0</v>
      </c>
      <c r="AI59" s="160">
        <v>0.0</v>
      </c>
      <c r="AJ59" s="160">
        <v>3.0</v>
      </c>
      <c r="AK59" s="160">
        <v>47720.0</v>
      </c>
      <c r="AL59" s="160">
        <v>0.0</v>
      </c>
      <c r="AM59" s="160">
        <v>0.0</v>
      </c>
      <c r="AN59" s="160">
        <v>0.0</v>
      </c>
      <c r="AO59" s="160">
        <v>0.0</v>
      </c>
      <c r="AP59" s="160">
        <v>0.0</v>
      </c>
      <c r="AQ59" s="160">
        <v>0.0</v>
      </c>
      <c r="AR59" s="160">
        <v>696.0</v>
      </c>
      <c r="AS59" s="160">
        <v>1585.37</v>
      </c>
      <c r="AT59" s="160">
        <v>0.0</v>
      </c>
      <c r="AU59" s="160">
        <v>793.0</v>
      </c>
      <c r="AV59" s="160">
        <v>0.0</v>
      </c>
      <c r="AW59" s="160">
        <v>2.0</v>
      </c>
      <c r="AX59" s="160">
        <v>95.0</v>
      </c>
      <c r="AY59" s="537"/>
      <c r="AZ59" s="537"/>
    </row>
    <row r="60">
      <c r="A60" s="157" t="s">
        <v>126</v>
      </c>
      <c r="B60" s="157" t="s">
        <v>135</v>
      </c>
      <c r="C60" s="157" t="s">
        <v>437</v>
      </c>
      <c r="D60" s="157" t="s">
        <v>1042</v>
      </c>
      <c r="E60" s="157" t="s">
        <v>176</v>
      </c>
      <c r="F60" s="338">
        <v>44805.0</v>
      </c>
      <c r="G60" s="157" t="s">
        <v>136</v>
      </c>
      <c r="H60" s="160">
        <v>0.0</v>
      </c>
      <c r="I60" s="160">
        <v>0.0</v>
      </c>
      <c r="J60" s="160">
        <v>0.0</v>
      </c>
      <c r="K60" s="160">
        <v>0.0</v>
      </c>
      <c r="L60" s="160">
        <v>78.0</v>
      </c>
      <c r="M60" s="160">
        <v>0.0</v>
      </c>
      <c r="N60" s="160">
        <v>10.0</v>
      </c>
      <c r="O60" s="160">
        <v>88.0</v>
      </c>
      <c r="P60" s="160">
        <v>88.0</v>
      </c>
      <c r="Q60" s="160">
        <v>0.0</v>
      </c>
      <c r="R60" s="160">
        <v>0.0</v>
      </c>
      <c r="S60" s="160">
        <v>0.0</v>
      </c>
      <c r="T60" s="160">
        <v>0.0</v>
      </c>
      <c r="U60" s="160">
        <v>0.0</v>
      </c>
      <c r="V60" s="160">
        <v>0.0</v>
      </c>
      <c r="W60" s="160">
        <v>0.0</v>
      </c>
      <c r="X60" s="160">
        <v>0.0</v>
      </c>
      <c r="Y60" s="160">
        <v>378.0</v>
      </c>
      <c r="Z60" s="160">
        <v>0.0</v>
      </c>
      <c r="AA60" s="160">
        <v>0.0</v>
      </c>
      <c r="AB60" s="160">
        <v>0.0</v>
      </c>
      <c r="AC60" s="160">
        <v>0.0</v>
      </c>
      <c r="AD60" s="160">
        <v>0.0</v>
      </c>
      <c r="AE60" s="160">
        <v>0.0</v>
      </c>
      <c r="AF60" s="160">
        <v>0.0</v>
      </c>
      <c r="AG60" s="160">
        <v>0.0</v>
      </c>
      <c r="AH60" s="160">
        <v>0.0</v>
      </c>
      <c r="AI60" s="160">
        <v>0.0</v>
      </c>
      <c r="AJ60" s="160">
        <v>0.0</v>
      </c>
      <c r="AK60" s="160">
        <v>31260.0</v>
      </c>
      <c r="AL60" s="160">
        <v>0.0</v>
      </c>
      <c r="AM60" s="160">
        <v>0.0</v>
      </c>
      <c r="AN60" s="160">
        <v>0.0</v>
      </c>
      <c r="AO60" s="160">
        <v>0.0</v>
      </c>
      <c r="AP60" s="160">
        <v>0.0</v>
      </c>
      <c r="AQ60" s="160">
        <v>0.0</v>
      </c>
      <c r="AR60" s="160">
        <v>0.0</v>
      </c>
      <c r="AS60" s="160">
        <v>0.0</v>
      </c>
      <c r="AT60" s="160">
        <v>0.0</v>
      </c>
      <c r="AU60" s="160">
        <v>0.0</v>
      </c>
      <c r="AV60" s="160">
        <v>0.0</v>
      </c>
      <c r="AW60" s="160">
        <v>0.0</v>
      </c>
      <c r="AX60" s="160">
        <v>88.0</v>
      </c>
      <c r="AY60" s="285">
        <v>45913.0</v>
      </c>
      <c r="AZ60" s="285"/>
    </row>
    <row r="61">
      <c r="A61" s="157" t="s">
        <v>23</v>
      </c>
      <c r="B61" s="157" t="s">
        <v>30</v>
      </c>
      <c r="C61" s="157" t="s">
        <v>24</v>
      </c>
      <c r="D61" s="157" t="s">
        <v>30</v>
      </c>
      <c r="E61" s="157" t="s">
        <v>25</v>
      </c>
      <c r="F61" s="338">
        <v>44809.0</v>
      </c>
      <c r="G61" s="157" t="s">
        <v>23</v>
      </c>
      <c r="H61" s="160">
        <v>0.0</v>
      </c>
      <c r="I61" s="160">
        <v>5400000.0</v>
      </c>
      <c r="J61" s="160">
        <v>5127304.6</v>
      </c>
      <c r="K61" s="160">
        <v>0.0</v>
      </c>
      <c r="L61" s="160">
        <v>100.0</v>
      </c>
      <c r="M61" s="160">
        <v>80.0</v>
      </c>
      <c r="N61" s="160">
        <v>2.0</v>
      </c>
      <c r="O61" s="160">
        <v>102.0</v>
      </c>
      <c r="P61" s="160">
        <v>22.0</v>
      </c>
      <c r="Q61" s="160">
        <v>4994398.2</v>
      </c>
      <c r="R61" s="160">
        <v>132906.4</v>
      </c>
      <c r="S61" s="160">
        <v>66.0</v>
      </c>
      <c r="T61" s="160">
        <v>2.0</v>
      </c>
      <c r="U61" s="160">
        <v>68.0</v>
      </c>
      <c r="V61" s="160">
        <v>0.0</v>
      </c>
      <c r="W61" s="160">
        <v>15.0</v>
      </c>
      <c r="X61" s="160">
        <v>27.0</v>
      </c>
      <c r="Y61" s="160">
        <v>200.0</v>
      </c>
      <c r="Z61" s="160">
        <v>6.0</v>
      </c>
      <c r="AA61" s="160">
        <v>58.0</v>
      </c>
      <c r="AB61" s="160">
        <v>0.0</v>
      </c>
      <c r="AC61" s="160">
        <v>0.0</v>
      </c>
      <c r="AD61" s="160">
        <v>0.0</v>
      </c>
      <c r="AE61" s="160">
        <v>0.0</v>
      </c>
      <c r="AF61" s="160">
        <v>363.0</v>
      </c>
      <c r="AG61" s="160">
        <v>448.0</v>
      </c>
      <c r="AH61" s="160">
        <v>72.0</v>
      </c>
      <c r="AI61" s="160">
        <v>71213.0</v>
      </c>
      <c r="AJ61" s="160">
        <v>6.0</v>
      </c>
      <c r="AK61" s="160">
        <v>33717.0</v>
      </c>
      <c r="AL61" s="160">
        <v>0.0</v>
      </c>
      <c r="AM61" s="160">
        <v>0.0066</v>
      </c>
      <c r="AN61" s="160">
        <v>75402.0</v>
      </c>
      <c r="AO61" s="160">
        <v>0.95</v>
      </c>
      <c r="AP61" s="160">
        <v>0.0</v>
      </c>
      <c r="AQ61" s="160">
        <v>260.0</v>
      </c>
      <c r="AR61" s="160">
        <v>690.0</v>
      </c>
      <c r="AS61" s="160">
        <v>2735.98</v>
      </c>
      <c r="AT61" s="160">
        <v>2.0</v>
      </c>
      <c r="AU61" s="160">
        <v>34.0</v>
      </c>
      <c r="AV61" s="160">
        <v>68.0</v>
      </c>
      <c r="AW61" s="160">
        <v>17.0</v>
      </c>
      <c r="AX61" s="160">
        <v>17.0</v>
      </c>
      <c r="AY61" s="537"/>
      <c r="AZ61" s="537"/>
    </row>
    <row r="62">
      <c r="A62" s="157" t="s">
        <v>298</v>
      </c>
      <c r="B62" s="157" t="s">
        <v>301</v>
      </c>
      <c r="C62" s="157" t="s">
        <v>306</v>
      </c>
      <c r="D62" s="157" t="s">
        <v>1066</v>
      </c>
      <c r="E62" s="157" t="s">
        <v>226</v>
      </c>
      <c r="F62" s="285">
        <v>44825.0</v>
      </c>
      <c r="G62" s="157" t="s">
        <v>298</v>
      </c>
      <c r="H62" s="160">
        <v>0.0</v>
      </c>
      <c r="I62" s="160">
        <v>5400000.0</v>
      </c>
      <c r="J62" s="160">
        <v>3573922.16</v>
      </c>
      <c r="K62" s="160">
        <v>0.0</v>
      </c>
      <c r="L62" s="160">
        <v>96.0</v>
      </c>
      <c r="M62" s="160">
        <v>87.0</v>
      </c>
      <c r="N62" s="160">
        <v>4.0</v>
      </c>
      <c r="O62" s="160">
        <v>100.0</v>
      </c>
      <c r="P62" s="160">
        <v>13.0</v>
      </c>
      <c r="Q62" s="160">
        <v>3456950.96</v>
      </c>
      <c r="R62" s="160">
        <v>116971.2</v>
      </c>
      <c r="S62" s="160">
        <v>40.0</v>
      </c>
      <c r="T62" s="160">
        <v>3.0</v>
      </c>
      <c r="U62" s="160">
        <v>43.0</v>
      </c>
      <c r="V62" s="160">
        <v>0.0</v>
      </c>
      <c r="W62" s="160">
        <v>23.0</v>
      </c>
      <c r="X62" s="160">
        <v>31.0</v>
      </c>
      <c r="Y62" s="160">
        <v>154.0</v>
      </c>
      <c r="Z62" s="160">
        <v>1.0</v>
      </c>
      <c r="AA62" s="160">
        <v>21.0</v>
      </c>
      <c r="AB62" s="160">
        <v>0.0</v>
      </c>
      <c r="AC62" s="160">
        <v>0.0</v>
      </c>
      <c r="AD62" s="160">
        <v>0.0</v>
      </c>
      <c r="AE62" s="160">
        <v>0.0</v>
      </c>
      <c r="AF62" s="160">
        <v>357.0</v>
      </c>
      <c r="AG62" s="160">
        <v>409.0</v>
      </c>
      <c r="AH62" s="160">
        <v>74.0</v>
      </c>
      <c r="AI62" s="160">
        <v>48296.0</v>
      </c>
      <c r="AJ62" s="160">
        <v>6.0</v>
      </c>
      <c r="AK62" s="160">
        <v>45000.0</v>
      </c>
      <c r="AL62" s="160">
        <v>0.0</v>
      </c>
      <c r="AM62" s="160">
        <v>0.0126</v>
      </c>
      <c r="AN62" s="160">
        <v>83114.0</v>
      </c>
      <c r="AO62" s="160">
        <v>0.66</v>
      </c>
      <c r="AP62" s="160">
        <v>0.0</v>
      </c>
      <c r="AQ62" s="160">
        <v>115.0</v>
      </c>
      <c r="AR62" s="160">
        <v>754.0</v>
      </c>
      <c r="AS62" s="160">
        <v>5549.01</v>
      </c>
      <c r="AT62" s="160">
        <v>3.0</v>
      </c>
      <c r="AU62" s="160">
        <v>64.0</v>
      </c>
      <c r="AV62" s="160">
        <v>43.0</v>
      </c>
      <c r="AW62" s="160">
        <v>46.0</v>
      </c>
      <c r="AX62" s="160">
        <v>11.0</v>
      </c>
      <c r="AY62" s="537"/>
      <c r="AZ62" s="537"/>
    </row>
    <row r="63">
      <c r="A63" s="157" t="s">
        <v>126</v>
      </c>
      <c r="B63" s="157" t="s">
        <v>130</v>
      </c>
      <c r="C63" s="157" t="s">
        <v>150</v>
      </c>
      <c r="D63" s="157" t="s">
        <v>130</v>
      </c>
      <c r="E63" s="157" t="s">
        <v>151</v>
      </c>
      <c r="F63" s="285">
        <v>44911.0</v>
      </c>
      <c r="G63" s="537"/>
      <c r="H63" s="160">
        <v>0.0</v>
      </c>
      <c r="I63" s="160">
        <v>5000001.0</v>
      </c>
      <c r="J63" s="160">
        <v>5488494.76</v>
      </c>
      <c r="K63" s="160">
        <v>0.0</v>
      </c>
      <c r="L63" s="160">
        <v>242.0</v>
      </c>
      <c r="M63" s="160">
        <v>158.0</v>
      </c>
      <c r="N63" s="160">
        <v>17.0</v>
      </c>
      <c r="O63" s="160">
        <v>259.0</v>
      </c>
      <c r="P63" s="160">
        <v>101.0</v>
      </c>
      <c r="Q63" s="160">
        <v>4634579.7</v>
      </c>
      <c r="R63" s="160">
        <v>853915.06</v>
      </c>
      <c r="S63" s="160">
        <v>137.0</v>
      </c>
      <c r="T63" s="160">
        <v>17.0</v>
      </c>
      <c r="U63" s="160">
        <v>154.0</v>
      </c>
      <c r="V63" s="160">
        <v>0.0</v>
      </c>
      <c r="W63" s="160">
        <v>16.0</v>
      </c>
      <c r="X63" s="160">
        <v>19.0</v>
      </c>
      <c r="Y63" s="160">
        <v>152.0</v>
      </c>
      <c r="Z63" s="160">
        <v>2.0</v>
      </c>
      <c r="AA63" s="160">
        <v>46.0</v>
      </c>
      <c r="AB63" s="160">
        <v>0.0</v>
      </c>
      <c r="AC63" s="160">
        <v>0.0</v>
      </c>
      <c r="AD63" s="160">
        <v>0.0</v>
      </c>
      <c r="AE63" s="160">
        <v>0.0</v>
      </c>
      <c r="AF63" s="160">
        <v>456.0</v>
      </c>
      <c r="AG63" s="160">
        <v>521.0</v>
      </c>
      <c r="AH63" s="160">
        <v>74.0</v>
      </c>
      <c r="AI63" s="160">
        <v>74169.0</v>
      </c>
      <c r="AJ63" s="160">
        <v>7.0</v>
      </c>
      <c r="AK63" s="160">
        <v>27951.0</v>
      </c>
      <c r="AL63" s="160">
        <v>0.0</v>
      </c>
      <c r="AM63" s="160">
        <v>0.0051</v>
      </c>
      <c r="AN63" s="160">
        <v>35640.0</v>
      </c>
      <c r="AO63" s="160">
        <v>1.1</v>
      </c>
      <c r="AP63" s="160">
        <v>0.0</v>
      </c>
      <c r="AQ63" s="160">
        <v>336.0</v>
      </c>
      <c r="AR63" s="160">
        <v>503.0</v>
      </c>
      <c r="AS63" s="160">
        <v>4547.39</v>
      </c>
      <c r="AT63" s="160">
        <v>17.0</v>
      </c>
      <c r="AU63" s="160">
        <v>29.0</v>
      </c>
      <c r="AV63" s="160">
        <v>154.0</v>
      </c>
      <c r="AW63" s="160">
        <v>39.0</v>
      </c>
      <c r="AX63" s="160">
        <v>66.0</v>
      </c>
      <c r="AY63" s="537"/>
      <c r="AZ63" s="537"/>
    </row>
    <row r="64">
      <c r="A64" s="157" t="s">
        <v>322</v>
      </c>
      <c r="B64" s="157" t="s">
        <v>325</v>
      </c>
      <c r="C64" s="157" t="s">
        <v>689</v>
      </c>
      <c r="D64" s="157" t="s">
        <v>1049</v>
      </c>
      <c r="E64" s="157" t="s">
        <v>1071</v>
      </c>
      <c r="F64" s="338">
        <v>44928.0</v>
      </c>
      <c r="G64" s="157" t="s">
        <v>322</v>
      </c>
      <c r="H64" s="160">
        <v>0.0</v>
      </c>
      <c r="I64" s="160">
        <v>833333.0</v>
      </c>
      <c r="J64" s="160">
        <v>261505.03</v>
      </c>
      <c r="K64" s="160">
        <v>0.0</v>
      </c>
      <c r="L64" s="160">
        <v>82.0</v>
      </c>
      <c r="M64" s="160">
        <v>61.0</v>
      </c>
      <c r="N64" s="160">
        <v>2.0</v>
      </c>
      <c r="O64" s="160">
        <v>84.0</v>
      </c>
      <c r="P64" s="160">
        <v>23.0</v>
      </c>
      <c r="Q64" s="160">
        <v>243855.73</v>
      </c>
      <c r="R64" s="160">
        <v>17649.3</v>
      </c>
      <c r="S64" s="160">
        <v>16.0</v>
      </c>
      <c r="T64" s="160">
        <v>2.0</v>
      </c>
      <c r="U64" s="160">
        <v>18.0</v>
      </c>
      <c r="V64" s="160">
        <v>0.0</v>
      </c>
      <c r="W64" s="160">
        <v>27.0</v>
      </c>
      <c r="X64" s="160">
        <v>31.0</v>
      </c>
      <c r="Y64" s="160">
        <v>204.0</v>
      </c>
      <c r="Z64" s="160">
        <v>3.0</v>
      </c>
      <c r="AA64" s="160">
        <v>12.0</v>
      </c>
      <c r="AB64" s="160">
        <v>0.0</v>
      </c>
      <c r="AC64" s="160">
        <v>0.0</v>
      </c>
      <c r="AD64" s="160">
        <v>0.0</v>
      </c>
      <c r="AE64" s="160">
        <v>0.0</v>
      </c>
      <c r="AF64" s="160">
        <v>81.0</v>
      </c>
      <c r="AG64" s="160">
        <v>124.0</v>
      </c>
      <c r="AH64" s="160">
        <v>31.0</v>
      </c>
      <c r="AI64" s="160">
        <v>8436.0</v>
      </c>
      <c r="AJ64" s="160">
        <v>4.0</v>
      </c>
      <c r="AK64" s="160">
        <v>49500.0</v>
      </c>
      <c r="AL64" s="160">
        <v>0.0</v>
      </c>
      <c r="AM64" s="160">
        <v>0.1893</v>
      </c>
      <c r="AN64" s="160">
        <v>14528.0</v>
      </c>
      <c r="AO64" s="160">
        <v>0.31</v>
      </c>
      <c r="AP64" s="160">
        <v>0.0</v>
      </c>
      <c r="AQ64" s="160">
        <v>21.0</v>
      </c>
      <c r="AR64" s="160">
        <v>287.0</v>
      </c>
      <c r="AS64" s="160">
        <v>2112.77</v>
      </c>
      <c r="AT64" s="160">
        <v>2.0</v>
      </c>
      <c r="AU64" s="160">
        <v>35.0</v>
      </c>
      <c r="AV64" s="160">
        <v>18.0</v>
      </c>
      <c r="AW64" s="160">
        <v>45.0</v>
      </c>
      <c r="AX64" s="160">
        <v>21.0</v>
      </c>
      <c r="AY64" s="285">
        <v>45971.0</v>
      </c>
      <c r="AZ64" s="285"/>
    </row>
    <row r="65">
      <c r="A65" s="157" t="s">
        <v>185</v>
      </c>
      <c r="B65" s="157" t="s">
        <v>117</v>
      </c>
      <c r="C65" s="157" t="s">
        <v>120</v>
      </c>
      <c r="D65" s="157" t="s">
        <v>1044</v>
      </c>
      <c r="E65" s="157" t="s">
        <v>121</v>
      </c>
      <c r="F65" s="285">
        <v>44953.0</v>
      </c>
      <c r="G65" s="157" t="s">
        <v>111</v>
      </c>
      <c r="H65" s="160">
        <v>0.0</v>
      </c>
      <c r="I65" s="160">
        <v>4200000.0</v>
      </c>
      <c r="J65" s="160">
        <v>1782978.1</v>
      </c>
      <c r="K65" s="160">
        <v>0.0</v>
      </c>
      <c r="L65" s="160">
        <v>142.0</v>
      </c>
      <c r="M65" s="160">
        <v>125.0</v>
      </c>
      <c r="N65" s="160">
        <v>0.0</v>
      </c>
      <c r="O65" s="160">
        <v>142.0</v>
      </c>
      <c r="P65" s="160">
        <v>17.0</v>
      </c>
      <c r="Q65" s="160">
        <v>1782978.1</v>
      </c>
      <c r="R65" s="160">
        <v>0.0</v>
      </c>
      <c r="S65" s="160">
        <v>79.0</v>
      </c>
      <c r="T65" s="160">
        <v>0.0</v>
      </c>
      <c r="U65" s="160">
        <v>79.0</v>
      </c>
      <c r="V65" s="160">
        <v>0.0</v>
      </c>
      <c r="W65" s="160">
        <v>2.0</v>
      </c>
      <c r="X65" s="160">
        <v>3.0</v>
      </c>
      <c r="Y65" s="160">
        <v>43.0</v>
      </c>
      <c r="Z65" s="160">
        <v>0.0</v>
      </c>
      <c r="AA65" s="160">
        <v>0.0</v>
      </c>
      <c r="AB65" s="160">
        <v>0.0</v>
      </c>
      <c r="AC65" s="160">
        <v>0.0</v>
      </c>
      <c r="AD65" s="160">
        <v>0.0</v>
      </c>
      <c r="AE65" s="160">
        <v>0.0</v>
      </c>
      <c r="AF65" s="160">
        <v>524.0</v>
      </c>
      <c r="AG65" s="160">
        <v>527.0</v>
      </c>
      <c r="AH65" s="160">
        <v>70.0</v>
      </c>
      <c r="AI65" s="160">
        <v>25471.0</v>
      </c>
      <c r="AJ65" s="160">
        <v>8.0</v>
      </c>
      <c r="AK65" s="160">
        <v>31778.0</v>
      </c>
      <c r="AL65" s="160">
        <v>0.0</v>
      </c>
      <c r="AM65" s="160">
        <v>0.0178</v>
      </c>
      <c r="AN65" s="160">
        <v>22569.0</v>
      </c>
      <c r="AO65" s="160">
        <v>0.42</v>
      </c>
      <c r="AP65" s="160">
        <v>0.0</v>
      </c>
      <c r="AQ65" s="160">
        <v>158.0</v>
      </c>
      <c r="AR65" s="160">
        <v>752.0</v>
      </c>
      <c r="AS65" s="160">
        <v>4594.75</v>
      </c>
      <c r="AT65" s="160">
        <v>0.0</v>
      </c>
      <c r="AU65" s="160">
        <v>37.0</v>
      </c>
      <c r="AV65" s="160">
        <v>79.0</v>
      </c>
      <c r="AW65" s="160">
        <v>46.0</v>
      </c>
      <c r="AX65" s="160">
        <v>17.0</v>
      </c>
      <c r="AY65" s="537"/>
      <c r="AZ65" s="537"/>
    </row>
    <row r="66">
      <c r="A66" s="157" t="s">
        <v>185</v>
      </c>
      <c r="B66" s="157" t="s">
        <v>189</v>
      </c>
      <c r="C66" s="157" t="s">
        <v>697</v>
      </c>
      <c r="D66" s="157" t="s">
        <v>1016</v>
      </c>
      <c r="E66" s="157" t="s">
        <v>1072</v>
      </c>
      <c r="F66" s="338">
        <v>44958.0</v>
      </c>
      <c r="G66" s="157" t="s">
        <v>203</v>
      </c>
      <c r="H66" s="160">
        <v>0.0</v>
      </c>
      <c r="I66" s="160">
        <v>1.2E7</v>
      </c>
      <c r="J66" s="160">
        <v>1.099556235E7</v>
      </c>
      <c r="K66" s="160">
        <v>0.0</v>
      </c>
      <c r="L66" s="160">
        <v>69.0</v>
      </c>
      <c r="M66" s="160">
        <v>67.0</v>
      </c>
      <c r="N66" s="160">
        <v>3.0</v>
      </c>
      <c r="O66" s="160">
        <v>72.0</v>
      </c>
      <c r="P66" s="160">
        <v>5.0</v>
      </c>
      <c r="Q66" s="160">
        <v>1.070871135E7</v>
      </c>
      <c r="R66" s="160">
        <v>286851.0</v>
      </c>
      <c r="S66" s="160">
        <v>46.0</v>
      </c>
      <c r="T66" s="160">
        <v>2.0</v>
      </c>
      <c r="U66" s="160">
        <v>48.0</v>
      </c>
      <c r="V66" s="160">
        <v>0.0</v>
      </c>
      <c r="W66" s="160">
        <v>0.0</v>
      </c>
      <c r="X66" s="160">
        <v>0.0</v>
      </c>
      <c r="Y66" s="160">
        <v>61.0</v>
      </c>
      <c r="Z66" s="160">
        <v>1.0</v>
      </c>
      <c r="AA66" s="160">
        <v>7.0</v>
      </c>
      <c r="AB66" s="160">
        <v>0.0</v>
      </c>
      <c r="AC66" s="160">
        <v>0.0</v>
      </c>
      <c r="AD66" s="160">
        <v>0.0</v>
      </c>
      <c r="AE66" s="160">
        <v>0.0</v>
      </c>
      <c r="AF66" s="160">
        <v>326.0</v>
      </c>
      <c r="AG66" s="160">
        <v>333.0</v>
      </c>
      <c r="AH66" s="160">
        <v>73.0</v>
      </c>
      <c r="AI66" s="160">
        <v>150624.0</v>
      </c>
      <c r="AJ66" s="160">
        <v>5.0</v>
      </c>
      <c r="AK66" s="160">
        <v>24116.0</v>
      </c>
      <c r="AL66" s="160">
        <v>0.0</v>
      </c>
      <c r="AM66" s="160">
        <v>0.0022</v>
      </c>
      <c r="AN66" s="160">
        <v>229074.0</v>
      </c>
      <c r="AO66" s="160">
        <v>0.92</v>
      </c>
      <c r="AP66" s="160">
        <v>0.0</v>
      </c>
      <c r="AQ66" s="160">
        <v>115.0</v>
      </c>
      <c r="AR66" s="160">
        <v>816.0</v>
      </c>
      <c r="AS66" s="160">
        <v>3319.39</v>
      </c>
      <c r="AT66" s="160">
        <v>2.0</v>
      </c>
      <c r="AU66" s="160">
        <v>50.0</v>
      </c>
      <c r="AV66" s="160">
        <v>48.0</v>
      </c>
      <c r="AW66" s="160">
        <v>20.0</v>
      </c>
      <c r="AX66" s="160">
        <v>4.0</v>
      </c>
      <c r="AY66" s="537"/>
      <c r="AZ66" s="537"/>
    </row>
    <row r="67">
      <c r="A67" s="157" t="s">
        <v>53</v>
      </c>
      <c r="B67" s="157" t="s">
        <v>61</v>
      </c>
      <c r="C67" s="157" t="s">
        <v>373</v>
      </c>
      <c r="D67" s="157" t="s">
        <v>1098</v>
      </c>
      <c r="E67" s="157" t="s">
        <v>374</v>
      </c>
      <c r="F67" s="285">
        <v>45488.0</v>
      </c>
      <c r="G67" s="157" t="s">
        <v>754</v>
      </c>
      <c r="H67" s="160">
        <v>0.0</v>
      </c>
      <c r="I67" s="160">
        <v>0.0</v>
      </c>
      <c r="J67" s="160">
        <v>0.0</v>
      </c>
      <c r="K67" s="160">
        <v>0.0</v>
      </c>
      <c r="L67" s="160">
        <v>40.0</v>
      </c>
      <c r="M67" s="160">
        <v>0.0</v>
      </c>
      <c r="N67" s="160">
        <v>0.0</v>
      </c>
      <c r="O67" s="160">
        <v>40.0</v>
      </c>
      <c r="P67" s="160">
        <v>40.0</v>
      </c>
      <c r="Q67" s="160">
        <v>0.0</v>
      </c>
      <c r="R67" s="160">
        <v>0.0</v>
      </c>
      <c r="S67" s="160">
        <v>0.0</v>
      </c>
      <c r="T67" s="160">
        <v>0.0</v>
      </c>
      <c r="U67" s="160">
        <v>0.0</v>
      </c>
      <c r="V67" s="160">
        <v>0.0</v>
      </c>
      <c r="W67" s="160">
        <v>0.0</v>
      </c>
      <c r="X67" s="160">
        <v>0.0</v>
      </c>
      <c r="Y67" s="160">
        <v>655.0</v>
      </c>
      <c r="Z67" s="160">
        <v>0.0</v>
      </c>
      <c r="AA67" s="160">
        <v>0.0</v>
      </c>
      <c r="AB67" s="160">
        <v>0.0</v>
      </c>
      <c r="AC67" s="160">
        <v>0.0</v>
      </c>
      <c r="AD67" s="160">
        <v>0.0</v>
      </c>
      <c r="AE67" s="160">
        <v>0.0</v>
      </c>
      <c r="AF67" s="160">
        <v>0.0</v>
      </c>
      <c r="AG67" s="160">
        <v>0.0</v>
      </c>
      <c r="AH67" s="160">
        <v>0.0</v>
      </c>
      <c r="AI67" s="160">
        <v>0.0</v>
      </c>
      <c r="AJ67" s="160">
        <v>0.0</v>
      </c>
      <c r="AK67" s="160">
        <v>32500.0</v>
      </c>
      <c r="AL67" s="160">
        <v>0.0</v>
      </c>
      <c r="AM67" s="160">
        <v>0.0</v>
      </c>
      <c r="AN67" s="160">
        <v>0.0</v>
      </c>
      <c r="AO67" s="160">
        <v>0.0</v>
      </c>
      <c r="AP67" s="160">
        <v>0.0</v>
      </c>
      <c r="AQ67" s="160">
        <v>0.0</v>
      </c>
      <c r="AR67" s="160">
        <v>0.0</v>
      </c>
      <c r="AS67" s="160">
        <v>0.0</v>
      </c>
      <c r="AT67" s="160">
        <v>0.0</v>
      </c>
      <c r="AU67" s="160">
        <v>0.0</v>
      </c>
      <c r="AV67" s="160">
        <v>0.0</v>
      </c>
      <c r="AW67" s="160">
        <v>0.0</v>
      </c>
      <c r="AX67" s="160">
        <v>40.0</v>
      </c>
      <c r="AY67" s="338">
        <v>45875.0</v>
      </c>
      <c r="AZ67" s="338"/>
    </row>
    <row r="68">
      <c r="A68" s="157" t="s">
        <v>53</v>
      </c>
      <c r="B68" s="157" t="s">
        <v>61</v>
      </c>
      <c r="C68" s="157" t="s">
        <v>375</v>
      </c>
      <c r="D68" s="157" t="s">
        <v>1077</v>
      </c>
      <c r="E68" s="157" t="s">
        <v>376</v>
      </c>
      <c r="F68" s="349">
        <v>45789.0</v>
      </c>
      <c r="G68" s="157" t="s">
        <v>754</v>
      </c>
      <c r="H68" s="160">
        <v>0.0</v>
      </c>
      <c r="I68" s="160">
        <v>0.0</v>
      </c>
      <c r="J68" s="160">
        <v>0.0</v>
      </c>
      <c r="K68" s="160">
        <v>0.0</v>
      </c>
      <c r="L68" s="160">
        <v>63.0</v>
      </c>
      <c r="M68" s="160">
        <v>0.0</v>
      </c>
      <c r="N68" s="160">
        <v>0.0</v>
      </c>
      <c r="O68" s="160">
        <v>63.0</v>
      </c>
      <c r="P68" s="160">
        <v>63.0</v>
      </c>
      <c r="Q68" s="160">
        <v>0.0</v>
      </c>
      <c r="R68" s="160">
        <v>0.0</v>
      </c>
      <c r="S68" s="160">
        <v>0.0</v>
      </c>
      <c r="T68" s="160">
        <v>0.0</v>
      </c>
      <c r="U68" s="160">
        <v>0.0</v>
      </c>
      <c r="V68" s="160">
        <v>0.0</v>
      </c>
      <c r="W68" s="160">
        <v>0.0</v>
      </c>
      <c r="X68" s="160">
        <v>0.0</v>
      </c>
      <c r="Y68" s="160">
        <v>304.0</v>
      </c>
      <c r="Z68" s="160">
        <v>0.0</v>
      </c>
      <c r="AA68" s="160">
        <v>0.0</v>
      </c>
      <c r="AB68" s="160">
        <v>0.0</v>
      </c>
      <c r="AC68" s="160">
        <v>0.0</v>
      </c>
      <c r="AD68" s="160">
        <v>0.0</v>
      </c>
      <c r="AE68" s="160">
        <v>0.0</v>
      </c>
      <c r="AF68" s="160">
        <v>0.0</v>
      </c>
      <c r="AG68" s="160">
        <v>0.0</v>
      </c>
      <c r="AH68" s="160">
        <v>0.0</v>
      </c>
      <c r="AI68" s="160">
        <v>0.0</v>
      </c>
      <c r="AJ68" s="160">
        <v>0.0</v>
      </c>
      <c r="AK68" s="160">
        <v>30400.0</v>
      </c>
      <c r="AL68" s="160">
        <v>0.0</v>
      </c>
      <c r="AM68" s="160">
        <v>0.0</v>
      </c>
      <c r="AN68" s="160">
        <v>0.0</v>
      </c>
      <c r="AO68" s="160">
        <v>0.0</v>
      </c>
      <c r="AP68" s="160">
        <v>0.0</v>
      </c>
      <c r="AQ68" s="160">
        <v>0.0</v>
      </c>
      <c r="AR68" s="160">
        <v>0.0</v>
      </c>
      <c r="AS68" s="160">
        <v>0.0</v>
      </c>
      <c r="AT68" s="160">
        <v>0.0</v>
      </c>
      <c r="AU68" s="160">
        <v>0.0</v>
      </c>
      <c r="AV68" s="160">
        <v>0.0</v>
      </c>
      <c r="AW68" s="160">
        <v>0.0</v>
      </c>
      <c r="AX68" s="160">
        <v>63.0</v>
      </c>
      <c r="AY68" s="285">
        <v>45930.0</v>
      </c>
      <c r="AZ68" s="285"/>
    </row>
    <row r="69">
      <c r="A69" s="157" t="s">
        <v>23</v>
      </c>
      <c r="B69" s="157" t="s">
        <v>27</v>
      </c>
      <c r="C69" s="157" t="s">
        <v>702</v>
      </c>
      <c r="D69" s="157" t="s">
        <v>1073</v>
      </c>
      <c r="E69" s="157" t="s">
        <v>27</v>
      </c>
      <c r="F69" s="338">
        <v>44994.0</v>
      </c>
      <c r="G69" s="157" t="s">
        <v>23</v>
      </c>
      <c r="H69" s="160">
        <v>600000.0</v>
      </c>
      <c r="I69" s="160">
        <v>4500000.0</v>
      </c>
      <c r="J69" s="160">
        <v>1320864.95</v>
      </c>
      <c r="K69" s="160">
        <v>383474.38</v>
      </c>
      <c r="L69" s="160">
        <v>85.0</v>
      </c>
      <c r="M69" s="160">
        <v>59.0</v>
      </c>
      <c r="N69" s="160">
        <v>0.0</v>
      </c>
      <c r="O69" s="160">
        <v>85.0</v>
      </c>
      <c r="P69" s="160">
        <v>26.0</v>
      </c>
      <c r="Q69" s="160">
        <v>1320864.95</v>
      </c>
      <c r="R69" s="160">
        <v>0.0</v>
      </c>
      <c r="S69" s="160">
        <v>28.0</v>
      </c>
      <c r="T69" s="160">
        <v>0.0</v>
      </c>
      <c r="U69" s="160">
        <v>28.0</v>
      </c>
      <c r="V69" s="160">
        <v>3.0</v>
      </c>
      <c r="W69" s="160">
        <v>5.0</v>
      </c>
      <c r="X69" s="160">
        <v>9.0</v>
      </c>
      <c r="Y69" s="160">
        <v>126.0</v>
      </c>
      <c r="Z69" s="160">
        <v>3.0</v>
      </c>
      <c r="AA69" s="160">
        <v>36.0</v>
      </c>
      <c r="AB69" s="160">
        <v>7.0</v>
      </c>
      <c r="AC69" s="160">
        <v>62.0</v>
      </c>
      <c r="AD69" s="160">
        <v>2.0</v>
      </c>
      <c r="AE69" s="160">
        <v>20.0</v>
      </c>
      <c r="AF69" s="160">
        <v>314.0</v>
      </c>
      <c r="AG69" s="160">
        <v>441.0</v>
      </c>
      <c r="AH69" s="160">
        <v>71.0</v>
      </c>
      <c r="AI69" s="160">
        <v>18604.0</v>
      </c>
      <c r="AJ69" s="160">
        <v>6.0</v>
      </c>
      <c r="AK69" s="160">
        <v>26418.0</v>
      </c>
      <c r="AL69" s="160">
        <v>0.0</v>
      </c>
      <c r="AM69" s="160">
        <v>0.02</v>
      </c>
      <c r="AN69" s="160">
        <v>47174.0</v>
      </c>
      <c r="AO69" s="160">
        <v>0.29</v>
      </c>
      <c r="AP69" s="160">
        <v>0.64</v>
      </c>
      <c r="AQ69" s="160">
        <v>51.0</v>
      </c>
      <c r="AR69" s="160">
        <v>768.0</v>
      </c>
      <c r="AS69" s="160">
        <v>2856.23</v>
      </c>
      <c r="AT69" s="160">
        <v>0.0</v>
      </c>
      <c r="AU69" s="160">
        <v>48.0</v>
      </c>
      <c r="AV69" s="160">
        <v>28.0</v>
      </c>
      <c r="AW69" s="160">
        <v>31.0</v>
      </c>
      <c r="AX69" s="160">
        <v>26.0</v>
      </c>
      <c r="AY69" s="537"/>
      <c r="AZ69" s="537"/>
    </row>
    <row r="70">
      <c r="A70" s="157" t="s">
        <v>126</v>
      </c>
      <c r="B70" s="157" t="s">
        <v>130</v>
      </c>
      <c r="C70" s="157" t="s">
        <v>704</v>
      </c>
      <c r="D70" s="157" t="s">
        <v>130</v>
      </c>
      <c r="E70" s="157" t="s">
        <v>439</v>
      </c>
      <c r="F70" s="285">
        <v>45000.0</v>
      </c>
      <c r="G70" s="157" t="s">
        <v>580</v>
      </c>
      <c r="H70" s="160">
        <v>0.0</v>
      </c>
      <c r="I70" s="160">
        <v>0.0</v>
      </c>
      <c r="J70" s="160">
        <v>0.0</v>
      </c>
      <c r="K70" s="160">
        <v>0.0</v>
      </c>
      <c r="L70" s="160">
        <v>34.0</v>
      </c>
      <c r="M70" s="160">
        <v>0.0</v>
      </c>
      <c r="N70" s="160">
        <v>0.0</v>
      </c>
      <c r="O70" s="160">
        <v>34.0</v>
      </c>
      <c r="P70" s="160">
        <v>34.0</v>
      </c>
      <c r="Q70" s="160">
        <v>0.0</v>
      </c>
      <c r="R70" s="160">
        <v>0.0</v>
      </c>
      <c r="S70" s="160">
        <v>0.0</v>
      </c>
      <c r="T70" s="160">
        <v>0.0</v>
      </c>
      <c r="U70" s="160">
        <v>0.0</v>
      </c>
      <c r="V70" s="160">
        <v>0.0</v>
      </c>
      <c r="W70" s="160">
        <v>0.0</v>
      </c>
      <c r="X70" s="160">
        <v>0.0</v>
      </c>
      <c r="Y70" s="160">
        <v>108.0</v>
      </c>
      <c r="Z70" s="160">
        <v>0.0</v>
      </c>
      <c r="AA70" s="160">
        <v>0.0</v>
      </c>
      <c r="AB70" s="160">
        <v>0.0</v>
      </c>
      <c r="AC70" s="160">
        <v>0.0</v>
      </c>
      <c r="AD70" s="160">
        <v>0.0</v>
      </c>
      <c r="AE70" s="160">
        <v>0.0</v>
      </c>
      <c r="AF70" s="160">
        <v>0.0</v>
      </c>
      <c r="AG70" s="160">
        <v>0.0</v>
      </c>
      <c r="AH70" s="160">
        <v>0.0</v>
      </c>
      <c r="AI70" s="160">
        <v>0.0</v>
      </c>
      <c r="AJ70" s="160">
        <v>0.0</v>
      </c>
      <c r="AK70" s="160">
        <v>32669.0</v>
      </c>
      <c r="AL70" s="160">
        <v>0.0</v>
      </c>
      <c r="AM70" s="160">
        <v>0.0</v>
      </c>
      <c r="AN70" s="160">
        <v>0.0</v>
      </c>
      <c r="AO70" s="160">
        <v>0.0</v>
      </c>
      <c r="AP70" s="160">
        <v>0.0</v>
      </c>
      <c r="AQ70" s="160">
        <v>0.0</v>
      </c>
      <c r="AR70" s="160">
        <v>0.0</v>
      </c>
      <c r="AS70" s="160">
        <v>0.0</v>
      </c>
      <c r="AT70" s="160">
        <v>0.0</v>
      </c>
      <c r="AU70" s="160">
        <v>0.0</v>
      </c>
      <c r="AV70" s="160">
        <v>0.0</v>
      </c>
      <c r="AW70" s="160">
        <v>0.0</v>
      </c>
      <c r="AX70" s="160">
        <v>34.0</v>
      </c>
      <c r="AY70" s="285">
        <v>45900.0</v>
      </c>
      <c r="AZ70" s="285"/>
    </row>
    <row r="71">
      <c r="A71" s="157" t="s">
        <v>53</v>
      </c>
      <c r="B71" s="157" t="s">
        <v>56</v>
      </c>
      <c r="C71" s="157" t="s">
        <v>364</v>
      </c>
      <c r="D71" s="157" t="s">
        <v>1092</v>
      </c>
      <c r="E71" s="157" t="s">
        <v>365</v>
      </c>
      <c r="F71" s="285">
        <v>45735.0</v>
      </c>
      <c r="G71" s="157" t="s">
        <v>754</v>
      </c>
      <c r="H71" s="160">
        <v>0.0</v>
      </c>
      <c r="I71" s="160">
        <v>0.0</v>
      </c>
      <c r="J71" s="160">
        <v>0.0</v>
      </c>
      <c r="K71" s="160">
        <v>0.0</v>
      </c>
      <c r="L71" s="160">
        <v>32.0</v>
      </c>
      <c r="M71" s="160">
        <v>0.0</v>
      </c>
      <c r="N71" s="160">
        <v>3.0</v>
      </c>
      <c r="O71" s="160">
        <v>35.0</v>
      </c>
      <c r="P71" s="160">
        <v>35.0</v>
      </c>
      <c r="Q71" s="160">
        <v>0.0</v>
      </c>
      <c r="R71" s="160">
        <v>0.0</v>
      </c>
      <c r="S71" s="160">
        <v>0.0</v>
      </c>
      <c r="T71" s="160">
        <v>0.0</v>
      </c>
      <c r="U71" s="160">
        <v>0.0</v>
      </c>
      <c r="V71" s="160">
        <v>0.0</v>
      </c>
      <c r="W71" s="160">
        <v>0.0</v>
      </c>
      <c r="X71" s="160">
        <v>0.0</v>
      </c>
      <c r="Y71" s="160">
        <v>255.0</v>
      </c>
      <c r="Z71" s="160">
        <v>0.0</v>
      </c>
      <c r="AA71" s="160">
        <v>0.0</v>
      </c>
      <c r="AB71" s="160">
        <v>0.0</v>
      </c>
      <c r="AC71" s="160">
        <v>0.0</v>
      </c>
      <c r="AD71" s="160">
        <v>0.0</v>
      </c>
      <c r="AE71" s="160">
        <v>0.0</v>
      </c>
      <c r="AF71" s="160">
        <v>0.0</v>
      </c>
      <c r="AG71" s="160">
        <v>0.0</v>
      </c>
      <c r="AH71" s="160">
        <v>0.0</v>
      </c>
      <c r="AI71" s="160">
        <v>0.0</v>
      </c>
      <c r="AJ71" s="160">
        <v>0.0</v>
      </c>
      <c r="AK71" s="160">
        <v>25165.0</v>
      </c>
      <c r="AL71" s="160">
        <v>0.0</v>
      </c>
      <c r="AM71" s="160">
        <v>0.0</v>
      </c>
      <c r="AN71" s="160">
        <v>0.0</v>
      </c>
      <c r="AO71" s="160">
        <v>0.0</v>
      </c>
      <c r="AP71" s="160">
        <v>0.0</v>
      </c>
      <c r="AQ71" s="160">
        <v>0.0</v>
      </c>
      <c r="AR71" s="160">
        <v>0.0</v>
      </c>
      <c r="AS71" s="160">
        <v>0.0</v>
      </c>
      <c r="AT71" s="160">
        <v>0.0</v>
      </c>
      <c r="AU71" s="160">
        <v>0.0</v>
      </c>
      <c r="AV71" s="160">
        <v>0.0</v>
      </c>
      <c r="AW71" s="160">
        <v>0.0</v>
      </c>
      <c r="AX71" s="160">
        <v>35.0</v>
      </c>
      <c r="AY71" s="285">
        <v>45853.0</v>
      </c>
      <c r="AZ71" s="285"/>
    </row>
    <row r="72">
      <c r="A72" s="157" t="s">
        <v>185</v>
      </c>
      <c r="B72" s="157" t="s">
        <v>215</v>
      </c>
      <c r="C72" s="157" t="s">
        <v>713</v>
      </c>
      <c r="D72" s="157" t="s">
        <v>1064</v>
      </c>
      <c r="E72" s="157" t="s">
        <v>1074</v>
      </c>
      <c r="F72" s="285">
        <v>45040.0</v>
      </c>
      <c r="G72" s="157" t="s">
        <v>185</v>
      </c>
      <c r="H72" s="160">
        <v>0.0</v>
      </c>
      <c r="I72" s="160">
        <v>4500000.0</v>
      </c>
      <c r="J72" s="160">
        <v>3107969.6</v>
      </c>
      <c r="K72" s="160">
        <v>0.0</v>
      </c>
      <c r="L72" s="160">
        <v>36.0</v>
      </c>
      <c r="M72" s="160">
        <v>33.0</v>
      </c>
      <c r="N72" s="160">
        <v>0.0</v>
      </c>
      <c r="O72" s="160">
        <v>36.0</v>
      </c>
      <c r="P72" s="160">
        <v>3.0</v>
      </c>
      <c r="Q72" s="160">
        <v>3107969.6</v>
      </c>
      <c r="R72" s="160">
        <v>0.0</v>
      </c>
      <c r="S72" s="160">
        <v>16.0</v>
      </c>
      <c r="T72" s="160">
        <v>0.0</v>
      </c>
      <c r="U72" s="160">
        <v>16.0</v>
      </c>
      <c r="V72" s="160">
        <v>0.0</v>
      </c>
      <c r="W72" s="160">
        <v>23.0</v>
      </c>
      <c r="X72" s="160">
        <v>39.0</v>
      </c>
      <c r="Y72" s="160">
        <v>94.0</v>
      </c>
      <c r="Z72" s="160">
        <v>1.0</v>
      </c>
      <c r="AA72" s="160">
        <v>3.0</v>
      </c>
      <c r="AB72" s="160">
        <v>0.0</v>
      </c>
      <c r="AC72" s="160">
        <v>0.0</v>
      </c>
      <c r="AD72" s="160">
        <v>0.0</v>
      </c>
      <c r="AE72" s="160">
        <v>0.0</v>
      </c>
      <c r="AF72" s="160">
        <v>406.0</v>
      </c>
      <c r="AG72" s="160">
        <v>448.0</v>
      </c>
      <c r="AH72" s="160">
        <v>75.0</v>
      </c>
      <c r="AI72" s="160">
        <v>41440.0</v>
      </c>
      <c r="AJ72" s="160">
        <v>6.0</v>
      </c>
      <c r="AK72" s="160">
        <v>36400.0</v>
      </c>
      <c r="AL72" s="160">
        <v>0.0</v>
      </c>
      <c r="AM72" s="160">
        <v>0.0117</v>
      </c>
      <c r="AN72" s="160">
        <v>194248.0</v>
      </c>
      <c r="AO72" s="160">
        <v>0.69</v>
      </c>
      <c r="AP72" s="160">
        <v>0.0</v>
      </c>
      <c r="AQ72" s="160">
        <v>37.0</v>
      </c>
      <c r="AR72" s="160">
        <v>605.0</v>
      </c>
      <c r="AS72" s="160">
        <v>4429.15</v>
      </c>
      <c r="AT72" s="160">
        <v>0.0</v>
      </c>
      <c r="AU72" s="160">
        <v>134.0</v>
      </c>
      <c r="AV72" s="160">
        <v>16.0</v>
      </c>
      <c r="AW72" s="160">
        <v>17.0</v>
      </c>
      <c r="AX72" s="160">
        <v>3.0</v>
      </c>
      <c r="AY72" s="537"/>
      <c r="AZ72" s="537"/>
    </row>
    <row r="73">
      <c r="A73" s="157" t="s">
        <v>185</v>
      </c>
      <c r="B73" s="157" t="s">
        <v>189</v>
      </c>
      <c r="C73" s="157" t="s">
        <v>402</v>
      </c>
      <c r="D73" s="157" t="s">
        <v>1016</v>
      </c>
      <c r="E73" s="157" t="s">
        <v>192</v>
      </c>
      <c r="F73" s="285">
        <v>45040.0</v>
      </c>
      <c r="G73" s="157" t="s">
        <v>206</v>
      </c>
      <c r="H73" s="160">
        <v>0.0</v>
      </c>
      <c r="I73" s="160">
        <v>1500000.0</v>
      </c>
      <c r="J73" s="160">
        <v>0.0</v>
      </c>
      <c r="K73" s="160">
        <v>0.0</v>
      </c>
      <c r="L73" s="160">
        <v>76.0</v>
      </c>
      <c r="M73" s="160">
        <v>47.0</v>
      </c>
      <c r="N73" s="160">
        <v>0.0</v>
      </c>
      <c r="O73" s="160">
        <v>76.0</v>
      </c>
      <c r="P73" s="160">
        <v>29.0</v>
      </c>
      <c r="Q73" s="160">
        <v>0.0</v>
      </c>
      <c r="R73" s="160">
        <v>0.0</v>
      </c>
      <c r="S73" s="160">
        <v>0.0</v>
      </c>
      <c r="T73" s="160">
        <v>0.0</v>
      </c>
      <c r="U73" s="160">
        <v>0.0</v>
      </c>
      <c r="V73" s="160">
        <v>0.0</v>
      </c>
      <c r="W73" s="160">
        <v>0.0</v>
      </c>
      <c r="X73" s="160">
        <v>0.0</v>
      </c>
      <c r="Y73" s="160">
        <v>51.0</v>
      </c>
      <c r="Z73" s="160">
        <v>0.0</v>
      </c>
      <c r="AA73" s="160">
        <v>0.0</v>
      </c>
      <c r="AB73" s="160">
        <v>0.0</v>
      </c>
      <c r="AC73" s="160">
        <v>0.0</v>
      </c>
      <c r="AD73" s="160">
        <v>0.0</v>
      </c>
      <c r="AE73" s="160">
        <v>0.0</v>
      </c>
      <c r="AF73" s="160">
        <v>101.0</v>
      </c>
      <c r="AG73" s="160">
        <v>101.0</v>
      </c>
      <c r="AH73" s="160">
        <v>22.0</v>
      </c>
      <c r="AI73" s="160">
        <v>0.0</v>
      </c>
      <c r="AJ73" s="160">
        <v>5.0</v>
      </c>
      <c r="AK73" s="160">
        <v>25690.0</v>
      </c>
      <c r="AL73" s="160">
        <v>0.0</v>
      </c>
      <c r="AM73" s="160">
        <v>0.0</v>
      </c>
      <c r="AN73" s="160">
        <v>0.0</v>
      </c>
      <c r="AO73" s="160">
        <v>0.0</v>
      </c>
      <c r="AP73" s="160">
        <v>0.0</v>
      </c>
      <c r="AQ73" s="160">
        <v>0.0</v>
      </c>
      <c r="AR73" s="160">
        <v>176.0</v>
      </c>
      <c r="AS73" s="160">
        <v>655.23</v>
      </c>
      <c r="AT73" s="160">
        <v>0.0</v>
      </c>
      <c r="AU73" s="160">
        <v>14.0</v>
      </c>
      <c r="AV73" s="160">
        <v>0.0</v>
      </c>
      <c r="AW73" s="160">
        <v>47.0</v>
      </c>
      <c r="AX73" s="160">
        <v>29.0</v>
      </c>
      <c r="AY73" s="285">
        <v>45961.0</v>
      </c>
      <c r="AZ73" s="285"/>
    </row>
    <row r="74">
      <c r="A74" s="157" t="s">
        <v>298</v>
      </c>
      <c r="B74" s="157" t="s">
        <v>301</v>
      </c>
      <c r="C74" s="157" t="s">
        <v>715</v>
      </c>
      <c r="D74" s="157" t="s">
        <v>1066</v>
      </c>
      <c r="E74" s="157" t="s">
        <v>303</v>
      </c>
      <c r="F74" s="342">
        <v>45047.0</v>
      </c>
      <c r="G74" s="157" t="s">
        <v>302</v>
      </c>
      <c r="H74" s="160">
        <v>0.0</v>
      </c>
      <c r="I74" s="160">
        <v>3600000.0</v>
      </c>
      <c r="J74" s="160">
        <v>1427990.05</v>
      </c>
      <c r="K74" s="160">
        <v>0.0</v>
      </c>
      <c r="L74" s="160">
        <v>116.0</v>
      </c>
      <c r="M74" s="160">
        <v>80.0</v>
      </c>
      <c r="N74" s="160">
        <v>2.0</v>
      </c>
      <c r="O74" s="160">
        <v>118.0</v>
      </c>
      <c r="P74" s="160">
        <v>38.0</v>
      </c>
      <c r="Q74" s="160">
        <v>1180603.35</v>
      </c>
      <c r="R74" s="160">
        <v>247386.7</v>
      </c>
      <c r="S74" s="160">
        <v>55.0</v>
      </c>
      <c r="T74" s="160">
        <v>2.0</v>
      </c>
      <c r="U74" s="160">
        <v>57.0</v>
      </c>
      <c r="V74" s="160">
        <v>0.0</v>
      </c>
      <c r="W74" s="160">
        <v>2.0</v>
      </c>
      <c r="X74" s="160">
        <v>2.0</v>
      </c>
      <c r="Y74" s="160">
        <v>167.0</v>
      </c>
      <c r="Z74" s="160">
        <v>2.0</v>
      </c>
      <c r="AA74" s="160">
        <v>16.0</v>
      </c>
      <c r="AB74" s="160">
        <v>0.0</v>
      </c>
      <c r="AC74" s="160">
        <v>0.0</v>
      </c>
      <c r="AD74" s="160">
        <v>0.0</v>
      </c>
      <c r="AE74" s="160">
        <v>0.0</v>
      </c>
      <c r="AF74" s="160">
        <v>330.0</v>
      </c>
      <c r="AG74" s="160">
        <v>348.0</v>
      </c>
      <c r="AH74" s="160">
        <v>73.0</v>
      </c>
      <c r="AI74" s="160">
        <v>19562.0</v>
      </c>
      <c r="AJ74" s="160">
        <v>5.0</v>
      </c>
      <c r="AK74" s="160">
        <v>37990.0</v>
      </c>
      <c r="AL74" s="160">
        <v>0.0</v>
      </c>
      <c r="AM74" s="160">
        <v>0.0266</v>
      </c>
      <c r="AN74" s="160">
        <v>25052.0</v>
      </c>
      <c r="AO74" s="160">
        <v>0.4</v>
      </c>
      <c r="AP74" s="160">
        <v>0.0</v>
      </c>
      <c r="AQ74" s="160">
        <v>130.0</v>
      </c>
      <c r="AR74" s="160">
        <v>717.0</v>
      </c>
      <c r="AS74" s="160">
        <v>3305.29</v>
      </c>
      <c r="AT74" s="160">
        <v>2.0</v>
      </c>
      <c r="AU74" s="160">
        <v>41.0</v>
      </c>
      <c r="AV74" s="160">
        <v>57.0</v>
      </c>
      <c r="AW74" s="160">
        <v>24.0</v>
      </c>
      <c r="AX74" s="160">
        <v>37.0</v>
      </c>
      <c r="AY74" s="537"/>
      <c r="AZ74" s="537"/>
    </row>
    <row r="75">
      <c r="A75" s="157" t="s">
        <v>298</v>
      </c>
      <c r="B75" s="157" t="s">
        <v>301</v>
      </c>
      <c r="C75" s="157" t="s">
        <v>716</v>
      </c>
      <c r="D75" s="157" t="s">
        <v>1066</v>
      </c>
      <c r="E75" s="157" t="s">
        <v>317</v>
      </c>
      <c r="F75" s="342">
        <v>45047.0</v>
      </c>
      <c r="G75" s="157" t="s">
        <v>298</v>
      </c>
      <c r="H75" s="160">
        <v>0.0</v>
      </c>
      <c r="I75" s="160">
        <v>0.0</v>
      </c>
      <c r="J75" s="160">
        <v>0.0</v>
      </c>
      <c r="K75" s="160">
        <v>0.0</v>
      </c>
      <c r="L75" s="160">
        <v>36.0</v>
      </c>
      <c r="M75" s="160">
        <v>0.0</v>
      </c>
      <c r="N75" s="160">
        <v>0.0</v>
      </c>
      <c r="O75" s="160">
        <v>36.0</v>
      </c>
      <c r="P75" s="160">
        <v>36.0</v>
      </c>
      <c r="Q75" s="160">
        <v>0.0</v>
      </c>
      <c r="R75" s="160">
        <v>0.0</v>
      </c>
      <c r="S75" s="160">
        <v>0.0</v>
      </c>
      <c r="T75" s="160">
        <v>0.0</v>
      </c>
      <c r="U75" s="160">
        <v>0.0</v>
      </c>
      <c r="V75" s="160">
        <v>0.0</v>
      </c>
      <c r="W75" s="160">
        <v>0.0</v>
      </c>
      <c r="X75" s="160">
        <v>0.0</v>
      </c>
      <c r="Y75" s="160">
        <v>123.0</v>
      </c>
      <c r="Z75" s="160">
        <v>0.0</v>
      </c>
      <c r="AA75" s="160">
        <v>0.0</v>
      </c>
      <c r="AB75" s="160">
        <v>0.0</v>
      </c>
      <c r="AC75" s="160">
        <v>0.0</v>
      </c>
      <c r="AD75" s="160">
        <v>0.0</v>
      </c>
      <c r="AE75" s="160">
        <v>0.0</v>
      </c>
      <c r="AF75" s="160">
        <v>0.0</v>
      </c>
      <c r="AG75" s="160">
        <v>0.0</v>
      </c>
      <c r="AH75" s="160">
        <v>0.0</v>
      </c>
      <c r="AI75" s="160">
        <v>0.0</v>
      </c>
      <c r="AJ75" s="160">
        <v>0.0</v>
      </c>
      <c r="AK75" s="160">
        <v>37335.0</v>
      </c>
      <c r="AL75" s="160">
        <v>0.0</v>
      </c>
      <c r="AM75" s="160">
        <v>0.0</v>
      </c>
      <c r="AN75" s="160">
        <v>0.0</v>
      </c>
      <c r="AO75" s="160">
        <v>0.0</v>
      </c>
      <c r="AP75" s="160">
        <v>0.0</v>
      </c>
      <c r="AQ75" s="160">
        <v>0.0</v>
      </c>
      <c r="AR75" s="160">
        <v>0.0</v>
      </c>
      <c r="AS75" s="160">
        <v>0.0</v>
      </c>
      <c r="AT75" s="160">
        <v>0.0</v>
      </c>
      <c r="AU75" s="160">
        <v>0.0</v>
      </c>
      <c r="AV75" s="160">
        <v>0.0</v>
      </c>
      <c r="AW75" s="160">
        <v>0.0</v>
      </c>
      <c r="AX75" s="160">
        <v>36.0</v>
      </c>
      <c r="AY75" s="342">
        <v>45785.0</v>
      </c>
      <c r="AZ75" s="342"/>
    </row>
    <row r="76">
      <c r="A76" s="157" t="s">
        <v>185</v>
      </c>
      <c r="B76" s="157" t="s">
        <v>85</v>
      </c>
      <c r="C76" s="157" t="s">
        <v>387</v>
      </c>
      <c r="D76" s="157" t="s">
        <v>1058</v>
      </c>
      <c r="E76" s="157" t="s">
        <v>87</v>
      </c>
      <c r="F76" s="342">
        <v>45054.0</v>
      </c>
      <c r="G76" s="157" t="s">
        <v>86</v>
      </c>
      <c r="H76" s="160">
        <v>0.0</v>
      </c>
      <c r="I76" s="160">
        <v>0.0</v>
      </c>
      <c r="J76" s="160">
        <v>0.0</v>
      </c>
      <c r="K76" s="160">
        <v>0.0</v>
      </c>
      <c r="L76" s="160">
        <v>89.0</v>
      </c>
      <c r="M76" s="160">
        <v>0.0</v>
      </c>
      <c r="N76" s="160">
        <v>0.0</v>
      </c>
      <c r="O76" s="160">
        <v>89.0</v>
      </c>
      <c r="P76" s="160">
        <v>89.0</v>
      </c>
      <c r="Q76" s="160">
        <v>0.0</v>
      </c>
      <c r="R76" s="160">
        <v>0.0</v>
      </c>
      <c r="S76" s="160">
        <v>0.0</v>
      </c>
      <c r="T76" s="160">
        <v>0.0</v>
      </c>
      <c r="U76" s="160">
        <v>0.0</v>
      </c>
      <c r="V76" s="160">
        <v>0.0</v>
      </c>
      <c r="W76" s="160">
        <v>0.0</v>
      </c>
      <c r="X76" s="160">
        <v>0.0</v>
      </c>
      <c r="Y76" s="160">
        <v>10.0</v>
      </c>
      <c r="Z76" s="160">
        <v>0.0</v>
      </c>
      <c r="AA76" s="160">
        <v>0.0</v>
      </c>
      <c r="AB76" s="160">
        <v>0.0</v>
      </c>
      <c r="AC76" s="160">
        <v>0.0</v>
      </c>
      <c r="AD76" s="160">
        <v>0.0</v>
      </c>
      <c r="AE76" s="160">
        <v>0.0</v>
      </c>
      <c r="AF76" s="160">
        <v>0.0</v>
      </c>
      <c r="AG76" s="160">
        <v>0.0</v>
      </c>
      <c r="AH76" s="160">
        <v>0.0</v>
      </c>
      <c r="AI76" s="160">
        <v>0.0</v>
      </c>
      <c r="AJ76" s="160">
        <v>0.0</v>
      </c>
      <c r="AK76" s="160">
        <v>34422.0</v>
      </c>
      <c r="AL76" s="160">
        <v>0.0</v>
      </c>
      <c r="AM76" s="160">
        <v>0.0</v>
      </c>
      <c r="AN76" s="160">
        <v>0.0</v>
      </c>
      <c r="AO76" s="160">
        <v>0.0</v>
      </c>
      <c r="AP76" s="160">
        <v>0.0</v>
      </c>
      <c r="AQ76" s="160">
        <v>0.0</v>
      </c>
      <c r="AR76" s="160">
        <v>0.0</v>
      </c>
      <c r="AS76" s="160">
        <v>0.0</v>
      </c>
      <c r="AT76" s="160">
        <v>0.0</v>
      </c>
      <c r="AU76" s="160">
        <v>0.0</v>
      </c>
      <c r="AV76" s="160">
        <v>0.0</v>
      </c>
      <c r="AW76" s="160">
        <v>0.0</v>
      </c>
      <c r="AX76" s="160">
        <v>89.0</v>
      </c>
      <c r="AY76" s="349">
        <v>45801.0</v>
      </c>
      <c r="AZ76" s="349"/>
    </row>
    <row r="77">
      <c r="A77" s="157" t="s">
        <v>185</v>
      </c>
      <c r="B77" s="157" t="s">
        <v>189</v>
      </c>
      <c r="C77" s="157" t="s">
        <v>726</v>
      </c>
      <c r="D77" s="157" t="s">
        <v>1016</v>
      </c>
      <c r="E77" s="157" t="s">
        <v>1075</v>
      </c>
      <c r="F77" s="342">
        <v>45047.0</v>
      </c>
      <c r="G77" s="157" t="s">
        <v>205</v>
      </c>
      <c r="H77" s="160">
        <v>0.0</v>
      </c>
      <c r="I77" s="160">
        <v>4500000.0</v>
      </c>
      <c r="J77" s="160">
        <v>3265536.6</v>
      </c>
      <c r="K77" s="160">
        <v>0.0</v>
      </c>
      <c r="L77" s="160">
        <v>50.0</v>
      </c>
      <c r="M77" s="160">
        <v>42.0</v>
      </c>
      <c r="N77" s="160">
        <v>2.0</v>
      </c>
      <c r="O77" s="160">
        <v>52.0</v>
      </c>
      <c r="P77" s="160">
        <v>10.0</v>
      </c>
      <c r="Q77" s="160">
        <v>3049458.6</v>
      </c>
      <c r="R77" s="160">
        <v>216078.0</v>
      </c>
      <c r="S77" s="160">
        <v>15.0</v>
      </c>
      <c r="T77" s="160">
        <v>1.0</v>
      </c>
      <c r="U77" s="160">
        <v>16.0</v>
      </c>
      <c r="V77" s="160">
        <v>0.0</v>
      </c>
      <c r="W77" s="160">
        <v>24.0</v>
      </c>
      <c r="X77" s="160">
        <v>51.0</v>
      </c>
      <c r="Y77" s="160">
        <v>199.0</v>
      </c>
      <c r="Z77" s="160">
        <v>0.0</v>
      </c>
      <c r="AA77" s="160">
        <v>0.0</v>
      </c>
      <c r="AB77" s="160">
        <v>0.0</v>
      </c>
      <c r="AC77" s="160">
        <v>0.0</v>
      </c>
      <c r="AD77" s="160">
        <v>0.0</v>
      </c>
      <c r="AE77" s="160">
        <v>0.0</v>
      </c>
      <c r="AF77" s="160">
        <v>404.0</v>
      </c>
      <c r="AG77" s="160">
        <v>455.0</v>
      </c>
      <c r="AH77" s="160">
        <v>74.0</v>
      </c>
      <c r="AI77" s="160">
        <v>44129.0</v>
      </c>
      <c r="AJ77" s="160">
        <v>6.0</v>
      </c>
      <c r="AK77" s="160">
        <v>31500.0</v>
      </c>
      <c r="AL77" s="160">
        <v>0.0</v>
      </c>
      <c r="AM77" s="160">
        <v>0.0096</v>
      </c>
      <c r="AN77" s="160">
        <v>204096.0</v>
      </c>
      <c r="AO77" s="160">
        <v>0.73</v>
      </c>
      <c r="AP77" s="160">
        <v>0.0</v>
      </c>
      <c r="AQ77" s="160">
        <v>28.0</v>
      </c>
      <c r="AR77" s="160">
        <v>726.0</v>
      </c>
      <c r="AS77" s="160">
        <v>6073.34</v>
      </c>
      <c r="AT77" s="160">
        <v>1.0</v>
      </c>
      <c r="AU77" s="160">
        <v>145.0</v>
      </c>
      <c r="AV77" s="160">
        <v>16.0</v>
      </c>
      <c r="AW77" s="160">
        <v>26.0</v>
      </c>
      <c r="AX77" s="160">
        <v>10.0</v>
      </c>
      <c r="AY77" s="537"/>
      <c r="AZ77" s="537"/>
    </row>
    <row r="78">
      <c r="A78" s="157" t="s">
        <v>185</v>
      </c>
      <c r="B78" s="157" t="s">
        <v>189</v>
      </c>
      <c r="C78" s="157" t="s">
        <v>728</v>
      </c>
      <c r="D78" s="157" t="s">
        <v>1016</v>
      </c>
      <c r="E78" s="157" t="s">
        <v>1075</v>
      </c>
      <c r="F78" s="342">
        <v>45047.0</v>
      </c>
      <c r="G78" s="157" t="s">
        <v>205</v>
      </c>
      <c r="H78" s="160">
        <v>0.0</v>
      </c>
      <c r="I78" s="160">
        <v>4500000.0</v>
      </c>
      <c r="J78" s="160">
        <v>2527203.35</v>
      </c>
      <c r="K78" s="160">
        <v>0.0</v>
      </c>
      <c r="L78" s="160">
        <v>57.0</v>
      </c>
      <c r="M78" s="160">
        <v>40.0</v>
      </c>
      <c r="N78" s="160">
        <v>1.0</v>
      </c>
      <c r="O78" s="160">
        <v>58.0</v>
      </c>
      <c r="P78" s="160">
        <v>18.0</v>
      </c>
      <c r="Q78" s="160">
        <v>2480194.55</v>
      </c>
      <c r="R78" s="160">
        <v>47008.8</v>
      </c>
      <c r="S78" s="160">
        <v>1.0</v>
      </c>
      <c r="T78" s="160">
        <v>1.0</v>
      </c>
      <c r="U78" s="160">
        <v>2.0</v>
      </c>
      <c r="V78" s="160">
        <v>0.0</v>
      </c>
      <c r="W78" s="160">
        <v>21.0</v>
      </c>
      <c r="X78" s="160">
        <v>29.0</v>
      </c>
      <c r="Y78" s="160">
        <v>256.0</v>
      </c>
      <c r="Z78" s="160">
        <v>1.0</v>
      </c>
      <c r="AA78" s="160">
        <v>4.0</v>
      </c>
      <c r="AB78" s="160">
        <v>0.0</v>
      </c>
      <c r="AC78" s="160">
        <v>0.0</v>
      </c>
      <c r="AD78" s="160">
        <v>0.0</v>
      </c>
      <c r="AE78" s="160">
        <v>0.0</v>
      </c>
      <c r="AF78" s="160">
        <v>292.0</v>
      </c>
      <c r="AG78" s="160">
        <v>325.0</v>
      </c>
      <c r="AH78" s="160">
        <v>74.0</v>
      </c>
      <c r="AI78" s="160">
        <v>34151.0</v>
      </c>
      <c r="AJ78" s="160">
        <v>4.0</v>
      </c>
      <c r="AK78" s="160">
        <v>26000.0</v>
      </c>
      <c r="AL78" s="160">
        <v>0.0</v>
      </c>
      <c r="AM78" s="160">
        <v>0.0103</v>
      </c>
      <c r="AN78" s="160">
        <v>1263602.0</v>
      </c>
      <c r="AO78" s="160">
        <v>0.56</v>
      </c>
      <c r="AP78" s="160">
        <v>0.0</v>
      </c>
      <c r="AQ78" s="160">
        <v>13.0</v>
      </c>
      <c r="AR78" s="160">
        <v>566.0</v>
      </c>
      <c r="AS78" s="160">
        <v>3416.7</v>
      </c>
      <c r="AT78" s="160">
        <v>1.0</v>
      </c>
      <c r="AU78" s="160">
        <v>85.0</v>
      </c>
      <c r="AV78" s="160">
        <v>2.0</v>
      </c>
      <c r="AW78" s="160">
        <v>38.0</v>
      </c>
      <c r="AX78" s="160">
        <v>18.0</v>
      </c>
      <c r="AY78" s="537"/>
      <c r="AZ78" s="537"/>
    </row>
    <row r="79">
      <c r="A79" s="157" t="s">
        <v>185</v>
      </c>
      <c r="B79" s="157" t="s">
        <v>189</v>
      </c>
      <c r="C79" s="157" t="s">
        <v>237</v>
      </c>
      <c r="D79" s="157" t="s">
        <v>1016</v>
      </c>
      <c r="E79" s="157" t="s">
        <v>1076</v>
      </c>
      <c r="F79" s="342">
        <v>45048.0</v>
      </c>
      <c r="G79" s="157" t="s">
        <v>201</v>
      </c>
      <c r="H79" s="160">
        <v>0.0</v>
      </c>
      <c r="I79" s="160">
        <v>4500000.0</v>
      </c>
      <c r="J79" s="160">
        <v>2910884.54</v>
      </c>
      <c r="K79" s="160">
        <v>0.0</v>
      </c>
      <c r="L79" s="160">
        <v>54.0</v>
      </c>
      <c r="M79" s="160">
        <v>53.0</v>
      </c>
      <c r="N79" s="160">
        <v>1.0</v>
      </c>
      <c r="O79" s="160">
        <v>55.0</v>
      </c>
      <c r="P79" s="160">
        <v>2.0</v>
      </c>
      <c r="Q79" s="160">
        <v>2887206.62</v>
      </c>
      <c r="R79" s="160">
        <v>23677.92</v>
      </c>
      <c r="S79" s="160">
        <v>38.0</v>
      </c>
      <c r="T79" s="160">
        <v>1.0</v>
      </c>
      <c r="U79" s="160">
        <v>39.0</v>
      </c>
      <c r="V79" s="160">
        <v>0.0</v>
      </c>
      <c r="W79" s="160">
        <v>0.0</v>
      </c>
      <c r="X79" s="160">
        <v>0.0</v>
      </c>
      <c r="Y79" s="160">
        <v>1.0</v>
      </c>
      <c r="Z79" s="160">
        <v>2.0</v>
      </c>
      <c r="AA79" s="160">
        <v>61.0</v>
      </c>
      <c r="AB79" s="160">
        <v>0.0</v>
      </c>
      <c r="AC79" s="160">
        <v>0.0</v>
      </c>
      <c r="AD79" s="160">
        <v>0.0</v>
      </c>
      <c r="AE79" s="160">
        <v>0.0</v>
      </c>
      <c r="AF79" s="160">
        <v>337.0</v>
      </c>
      <c r="AG79" s="160">
        <v>398.0</v>
      </c>
      <c r="AH79" s="160">
        <v>70.0</v>
      </c>
      <c r="AI79" s="160">
        <v>41584.0</v>
      </c>
      <c r="AJ79" s="160">
        <v>6.0</v>
      </c>
      <c r="AK79" s="160">
        <v>26000.0</v>
      </c>
      <c r="AL79" s="160">
        <v>0.0</v>
      </c>
      <c r="AM79" s="160">
        <v>0.0089</v>
      </c>
      <c r="AN79" s="160">
        <v>74638.0</v>
      </c>
      <c r="AO79" s="160">
        <v>0.65</v>
      </c>
      <c r="AP79" s="160">
        <v>0.0</v>
      </c>
      <c r="AQ79" s="160">
        <v>66.0</v>
      </c>
      <c r="AR79" s="160">
        <v>643.0</v>
      </c>
      <c r="AS79" s="160">
        <v>4606.36</v>
      </c>
      <c r="AT79" s="160">
        <v>1.0</v>
      </c>
      <c r="AU79" s="160">
        <v>87.0</v>
      </c>
      <c r="AV79" s="160">
        <v>39.0</v>
      </c>
      <c r="AW79" s="160">
        <v>16.0</v>
      </c>
      <c r="AX79" s="160">
        <v>0.0</v>
      </c>
      <c r="AY79" s="537"/>
      <c r="AZ79" s="537"/>
    </row>
    <row r="80">
      <c r="A80" s="157" t="s">
        <v>185</v>
      </c>
      <c r="B80" s="157" t="s">
        <v>189</v>
      </c>
      <c r="C80" s="157" t="s">
        <v>732</v>
      </c>
      <c r="D80" s="157" t="s">
        <v>1016</v>
      </c>
      <c r="E80" s="157" t="s">
        <v>187</v>
      </c>
      <c r="F80" s="342">
        <v>45047.0</v>
      </c>
      <c r="G80" s="157" t="s">
        <v>186</v>
      </c>
      <c r="H80" s="160">
        <v>0.0</v>
      </c>
      <c r="I80" s="160">
        <v>0.0</v>
      </c>
      <c r="J80" s="160">
        <v>0.0</v>
      </c>
      <c r="K80" s="160">
        <v>0.0</v>
      </c>
      <c r="L80" s="160">
        <v>114.0</v>
      </c>
      <c r="M80" s="160">
        <v>0.0</v>
      </c>
      <c r="N80" s="160">
        <v>0.0</v>
      </c>
      <c r="O80" s="160">
        <v>114.0</v>
      </c>
      <c r="P80" s="160">
        <v>114.0</v>
      </c>
      <c r="Q80" s="160">
        <v>0.0</v>
      </c>
      <c r="R80" s="160">
        <v>0.0</v>
      </c>
      <c r="S80" s="160">
        <v>0.0</v>
      </c>
      <c r="T80" s="160">
        <v>0.0</v>
      </c>
      <c r="U80" s="160">
        <v>0.0</v>
      </c>
      <c r="V80" s="160">
        <v>0.0</v>
      </c>
      <c r="W80" s="160">
        <v>0.0</v>
      </c>
      <c r="X80" s="160">
        <v>0.0</v>
      </c>
      <c r="Y80" s="160">
        <v>50.0</v>
      </c>
      <c r="Z80" s="160">
        <v>0.0</v>
      </c>
      <c r="AA80" s="160">
        <v>0.0</v>
      </c>
      <c r="AB80" s="160">
        <v>0.0</v>
      </c>
      <c r="AC80" s="160">
        <v>0.0</v>
      </c>
      <c r="AD80" s="160">
        <v>0.0</v>
      </c>
      <c r="AE80" s="160">
        <v>0.0</v>
      </c>
      <c r="AF80" s="160">
        <v>0.0</v>
      </c>
      <c r="AG80" s="160">
        <v>0.0</v>
      </c>
      <c r="AH80" s="160">
        <v>0.0</v>
      </c>
      <c r="AI80" s="160">
        <v>0.0</v>
      </c>
      <c r="AJ80" s="160">
        <v>0.0</v>
      </c>
      <c r="AK80" s="160">
        <v>25167.0</v>
      </c>
      <c r="AL80" s="160">
        <v>0.0</v>
      </c>
      <c r="AM80" s="160">
        <v>0.0</v>
      </c>
      <c r="AN80" s="160">
        <v>0.0</v>
      </c>
      <c r="AO80" s="160">
        <v>0.0</v>
      </c>
      <c r="AP80" s="160">
        <v>0.0</v>
      </c>
      <c r="AQ80" s="160">
        <v>0.0</v>
      </c>
      <c r="AR80" s="160">
        <v>0.0</v>
      </c>
      <c r="AS80" s="160">
        <v>0.0</v>
      </c>
      <c r="AT80" s="160">
        <v>0.0</v>
      </c>
      <c r="AU80" s="160">
        <v>0.0</v>
      </c>
      <c r="AV80" s="160">
        <v>0.0</v>
      </c>
      <c r="AW80" s="160">
        <v>0.0</v>
      </c>
      <c r="AX80" s="160">
        <v>114.0</v>
      </c>
      <c r="AY80" s="285">
        <v>45869.0</v>
      </c>
      <c r="AZ80" s="285"/>
    </row>
    <row r="81">
      <c r="A81" s="157" t="s">
        <v>53</v>
      </c>
      <c r="B81" s="157" t="s">
        <v>56</v>
      </c>
      <c r="C81" s="157" t="s">
        <v>733</v>
      </c>
      <c r="D81" s="157" t="s">
        <v>1092</v>
      </c>
      <c r="E81" s="157" t="s">
        <v>1309</v>
      </c>
      <c r="F81" s="349">
        <v>45428.0</v>
      </c>
      <c r="G81" s="157" t="s">
        <v>754</v>
      </c>
      <c r="H81" s="160">
        <v>0.0</v>
      </c>
      <c r="I81" s="160">
        <v>1000000.0</v>
      </c>
      <c r="J81" s="160">
        <v>0.0</v>
      </c>
      <c r="K81" s="160">
        <v>0.0</v>
      </c>
      <c r="L81" s="160">
        <v>71.0</v>
      </c>
      <c r="M81" s="160">
        <v>24.0</v>
      </c>
      <c r="N81" s="160">
        <v>0.0</v>
      </c>
      <c r="O81" s="160">
        <v>71.0</v>
      </c>
      <c r="P81" s="160">
        <v>47.0</v>
      </c>
      <c r="Q81" s="160">
        <v>0.0</v>
      </c>
      <c r="R81" s="160">
        <v>0.0</v>
      </c>
      <c r="S81" s="160">
        <v>0.0</v>
      </c>
      <c r="T81" s="160">
        <v>0.0</v>
      </c>
      <c r="U81" s="160">
        <v>0.0</v>
      </c>
      <c r="V81" s="160">
        <v>0.0</v>
      </c>
      <c r="W81" s="160">
        <v>103.0</v>
      </c>
      <c r="X81" s="160">
        <v>152.0</v>
      </c>
      <c r="Y81" s="160">
        <v>224.0</v>
      </c>
      <c r="Z81" s="160">
        <v>7.0</v>
      </c>
      <c r="AA81" s="160">
        <v>42.0</v>
      </c>
      <c r="AB81" s="160">
        <v>0.0</v>
      </c>
      <c r="AC81" s="160">
        <v>0.0</v>
      </c>
      <c r="AD81" s="160">
        <v>8.0</v>
      </c>
      <c r="AE81" s="160">
        <v>8.0</v>
      </c>
      <c r="AF81" s="160">
        <v>56.0</v>
      </c>
      <c r="AG81" s="160">
        <v>258.0</v>
      </c>
      <c r="AH81" s="160">
        <v>72.0</v>
      </c>
      <c r="AI81" s="160">
        <v>0.0</v>
      </c>
      <c r="AJ81" s="160">
        <v>4.0</v>
      </c>
      <c r="AK81" s="160">
        <v>29880.0</v>
      </c>
      <c r="AL81" s="160">
        <v>0.0</v>
      </c>
      <c r="AM81" s="160">
        <v>0.0</v>
      </c>
      <c r="AN81" s="160">
        <v>0.0</v>
      </c>
      <c r="AO81" s="160">
        <v>0.0</v>
      </c>
      <c r="AP81" s="160">
        <v>0.0</v>
      </c>
      <c r="AQ81" s="160">
        <v>0.0</v>
      </c>
      <c r="AR81" s="160">
        <v>579.0</v>
      </c>
      <c r="AS81" s="160">
        <v>5631.56</v>
      </c>
      <c r="AT81" s="160">
        <v>0.0</v>
      </c>
      <c r="AU81" s="160">
        <v>235.0</v>
      </c>
      <c r="AV81" s="160">
        <v>0.0</v>
      </c>
      <c r="AW81" s="160">
        <v>24.0</v>
      </c>
      <c r="AX81" s="160">
        <v>47.0</v>
      </c>
      <c r="AY81" s="537"/>
      <c r="AZ81" s="537"/>
    </row>
    <row r="82">
      <c r="A82" s="157" t="s">
        <v>185</v>
      </c>
      <c r="B82" s="157" t="s">
        <v>189</v>
      </c>
      <c r="C82" s="157" t="s">
        <v>738</v>
      </c>
      <c r="D82" s="157" t="s">
        <v>1016</v>
      </c>
      <c r="E82" s="157" t="s">
        <v>1075</v>
      </c>
      <c r="F82" s="349">
        <v>45056.0</v>
      </c>
      <c r="G82" s="157" t="s">
        <v>205</v>
      </c>
      <c r="H82" s="160">
        <v>0.0</v>
      </c>
      <c r="I82" s="160">
        <v>4500000.0</v>
      </c>
      <c r="J82" s="160">
        <v>3988920.54</v>
      </c>
      <c r="K82" s="160">
        <v>0.0</v>
      </c>
      <c r="L82" s="160">
        <v>68.0</v>
      </c>
      <c r="M82" s="160">
        <v>54.0</v>
      </c>
      <c r="N82" s="160">
        <v>2.0</v>
      </c>
      <c r="O82" s="160">
        <v>70.0</v>
      </c>
      <c r="P82" s="160">
        <v>16.0</v>
      </c>
      <c r="Q82" s="160">
        <v>3694047.38</v>
      </c>
      <c r="R82" s="160">
        <v>294873.16</v>
      </c>
      <c r="S82" s="160">
        <v>17.0</v>
      </c>
      <c r="T82" s="160">
        <v>2.0</v>
      </c>
      <c r="U82" s="160">
        <v>19.0</v>
      </c>
      <c r="V82" s="160">
        <v>0.0</v>
      </c>
      <c r="W82" s="160">
        <v>72.0</v>
      </c>
      <c r="X82" s="160">
        <v>115.0</v>
      </c>
      <c r="Y82" s="160">
        <v>234.0</v>
      </c>
      <c r="Z82" s="160">
        <v>0.0</v>
      </c>
      <c r="AA82" s="160">
        <v>0.0</v>
      </c>
      <c r="AB82" s="160">
        <v>0.0</v>
      </c>
      <c r="AC82" s="160">
        <v>0.0</v>
      </c>
      <c r="AD82" s="160">
        <v>0.0</v>
      </c>
      <c r="AE82" s="160">
        <v>0.0</v>
      </c>
      <c r="AF82" s="160">
        <v>329.0</v>
      </c>
      <c r="AG82" s="160">
        <v>444.0</v>
      </c>
      <c r="AH82" s="160">
        <v>70.0</v>
      </c>
      <c r="AI82" s="160">
        <v>56985.0</v>
      </c>
      <c r="AJ82" s="160">
        <v>6.0</v>
      </c>
      <c r="AK82" s="160">
        <v>24850.0</v>
      </c>
      <c r="AL82" s="160">
        <v>0.0</v>
      </c>
      <c r="AM82" s="160">
        <v>0.0062</v>
      </c>
      <c r="AN82" s="160">
        <v>209943.0</v>
      </c>
      <c r="AO82" s="160">
        <v>0.89</v>
      </c>
      <c r="AP82" s="160">
        <v>0.0</v>
      </c>
      <c r="AQ82" s="160">
        <v>29.0</v>
      </c>
      <c r="AR82" s="160">
        <v>734.0</v>
      </c>
      <c r="AS82" s="160">
        <v>3654.29</v>
      </c>
      <c r="AT82" s="160">
        <v>2.0</v>
      </c>
      <c r="AU82" s="160">
        <v>68.0</v>
      </c>
      <c r="AV82" s="160">
        <v>19.0</v>
      </c>
      <c r="AW82" s="160">
        <v>35.0</v>
      </c>
      <c r="AX82" s="160">
        <v>16.0</v>
      </c>
      <c r="AY82" s="537"/>
      <c r="AZ82" s="537"/>
    </row>
    <row r="83">
      <c r="A83" s="157" t="s">
        <v>185</v>
      </c>
      <c r="B83" s="157" t="s">
        <v>212</v>
      </c>
      <c r="C83" s="157" t="s">
        <v>744</v>
      </c>
      <c r="D83" s="157" t="s">
        <v>1031</v>
      </c>
      <c r="E83" s="157" t="s">
        <v>219</v>
      </c>
      <c r="F83" s="349">
        <v>45058.0</v>
      </c>
      <c r="G83" s="157" t="s">
        <v>218</v>
      </c>
      <c r="H83" s="160">
        <v>0.0</v>
      </c>
      <c r="I83" s="160">
        <v>4000000.0</v>
      </c>
      <c r="J83" s="160">
        <v>1140899.83</v>
      </c>
      <c r="K83" s="160">
        <v>0.0</v>
      </c>
      <c r="L83" s="160">
        <v>117.0</v>
      </c>
      <c r="M83" s="160">
        <v>71.0</v>
      </c>
      <c r="N83" s="160">
        <v>5.0</v>
      </c>
      <c r="O83" s="160">
        <v>122.0</v>
      </c>
      <c r="P83" s="160">
        <v>51.0</v>
      </c>
      <c r="Q83" s="160">
        <v>1052336.3</v>
      </c>
      <c r="R83" s="160">
        <v>88563.53</v>
      </c>
      <c r="S83" s="160">
        <v>13.0</v>
      </c>
      <c r="T83" s="160">
        <v>2.0</v>
      </c>
      <c r="U83" s="160">
        <v>15.0</v>
      </c>
      <c r="V83" s="160">
        <v>0.0</v>
      </c>
      <c r="W83" s="160">
        <v>8.0</v>
      </c>
      <c r="X83" s="160">
        <v>8.0</v>
      </c>
      <c r="Y83" s="160">
        <v>376.0</v>
      </c>
      <c r="Z83" s="160">
        <v>1.0</v>
      </c>
      <c r="AA83" s="160">
        <v>16.0</v>
      </c>
      <c r="AB83" s="160">
        <v>0.0</v>
      </c>
      <c r="AC83" s="160">
        <v>0.0</v>
      </c>
      <c r="AD83" s="160">
        <v>0.0</v>
      </c>
      <c r="AE83" s="160">
        <v>0.0</v>
      </c>
      <c r="AF83" s="160">
        <v>91.0</v>
      </c>
      <c r="AG83" s="160">
        <v>115.0</v>
      </c>
      <c r="AH83" s="160">
        <v>28.0</v>
      </c>
      <c r="AI83" s="160">
        <v>40746.0</v>
      </c>
      <c r="AJ83" s="160">
        <v>4.0</v>
      </c>
      <c r="AK83" s="160">
        <v>30770.0</v>
      </c>
      <c r="AL83" s="160">
        <v>0.0</v>
      </c>
      <c r="AM83" s="160">
        <v>0.027</v>
      </c>
      <c r="AN83" s="160">
        <v>76060.0</v>
      </c>
      <c r="AO83" s="160">
        <v>0.29</v>
      </c>
      <c r="AP83" s="160">
        <v>0.0</v>
      </c>
      <c r="AQ83" s="160">
        <v>20.0</v>
      </c>
      <c r="AR83" s="160">
        <v>264.0</v>
      </c>
      <c r="AS83" s="160">
        <v>828.73</v>
      </c>
      <c r="AT83" s="160">
        <v>2.0</v>
      </c>
      <c r="AU83" s="160">
        <v>12.0</v>
      </c>
      <c r="AV83" s="160">
        <v>15.0</v>
      </c>
      <c r="AW83" s="160">
        <v>58.0</v>
      </c>
      <c r="AX83" s="160">
        <v>49.0</v>
      </c>
      <c r="AY83" s="285">
        <v>45981.0</v>
      </c>
      <c r="AZ83" s="285"/>
    </row>
    <row r="84">
      <c r="A84" s="157" t="s">
        <v>53</v>
      </c>
      <c r="B84" s="157" t="s">
        <v>61</v>
      </c>
      <c r="C84" s="157" t="s">
        <v>746</v>
      </c>
      <c r="D84" s="157" t="s">
        <v>1077</v>
      </c>
      <c r="E84" s="157" t="s">
        <v>60</v>
      </c>
      <c r="F84" s="349">
        <v>45061.0</v>
      </c>
      <c r="G84" s="157" t="s">
        <v>754</v>
      </c>
      <c r="H84" s="160">
        <v>0.0</v>
      </c>
      <c r="I84" s="160">
        <v>4500000.0</v>
      </c>
      <c r="J84" s="160">
        <v>2932646.57</v>
      </c>
      <c r="K84" s="160">
        <v>0.0</v>
      </c>
      <c r="L84" s="160">
        <v>123.0</v>
      </c>
      <c r="M84" s="160">
        <v>91.0</v>
      </c>
      <c r="N84" s="160">
        <v>0.0</v>
      </c>
      <c r="O84" s="160">
        <v>123.0</v>
      </c>
      <c r="P84" s="160">
        <v>32.0</v>
      </c>
      <c r="Q84" s="160">
        <v>2932646.57</v>
      </c>
      <c r="R84" s="160">
        <v>0.0</v>
      </c>
      <c r="S84" s="160">
        <v>35.0</v>
      </c>
      <c r="T84" s="160">
        <v>0.0</v>
      </c>
      <c r="U84" s="160">
        <v>35.0</v>
      </c>
      <c r="V84" s="160">
        <v>0.0</v>
      </c>
      <c r="W84" s="160">
        <v>30.0</v>
      </c>
      <c r="X84" s="160">
        <v>40.0</v>
      </c>
      <c r="Y84" s="160">
        <v>469.0</v>
      </c>
      <c r="Z84" s="160">
        <v>2.0</v>
      </c>
      <c r="AA84" s="160">
        <v>21.0</v>
      </c>
      <c r="AB84" s="160">
        <v>0.0</v>
      </c>
      <c r="AC84" s="160">
        <v>0.0</v>
      </c>
      <c r="AD84" s="160">
        <v>1.0</v>
      </c>
      <c r="AE84" s="160">
        <v>5.0</v>
      </c>
      <c r="AF84" s="160">
        <v>361.0</v>
      </c>
      <c r="AG84" s="160">
        <v>427.0</v>
      </c>
      <c r="AH84" s="160">
        <v>69.0</v>
      </c>
      <c r="AI84" s="160">
        <v>42502.0</v>
      </c>
      <c r="AJ84" s="160">
        <v>6.0</v>
      </c>
      <c r="AK84" s="160">
        <v>34135.0</v>
      </c>
      <c r="AL84" s="160">
        <v>0.0</v>
      </c>
      <c r="AM84" s="160">
        <v>0.0116</v>
      </c>
      <c r="AN84" s="160">
        <v>83790.0</v>
      </c>
      <c r="AO84" s="160">
        <v>0.65</v>
      </c>
      <c r="AP84" s="160">
        <v>0.0</v>
      </c>
      <c r="AQ84" s="160">
        <v>62.0</v>
      </c>
      <c r="AR84" s="160">
        <v>718.0</v>
      </c>
      <c r="AS84" s="160">
        <v>5632.89</v>
      </c>
      <c r="AT84" s="160">
        <v>0.0</v>
      </c>
      <c r="AU84" s="160">
        <v>62.0</v>
      </c>
      <c r="AV84" s="160">
        <v>35.0</v>
      </c>
      <c r="AW84" s="160">
        <v>56.0</v>
      </c>
      <c r="AX84" s="160">
        <v>32.0</v>
      </c>
      <c r="AY84" s="537"/>
      <c r="AZ84" s="537"/>
    </row>
    <row r="85">
      <c r="A85" s="157" t="s">
        <v>185</v>
      </c>
      <c r="B85" s="157" t="s">
        <v>189</v>
      </c>
      <c r="C85" s="157" t="s">
        <v>747</v>
      </c>
      <c r="D85" s="157" t="s">
        <v>1016</v>
      </c>
      <c r="E85" s="157" t="s">
        <v>1078</v>
      </c>
      <c r="F85" s="349">
        <v>45069.0</v>
      </c>
      <c r="G85" s="157" t="s">
        <v>202</v>
      </c>
      <c r="H85" s="160">
        <v>0.0</v>
      </c>
      <c r="I85" s="160">
        <v>4500000.0</v>
      </c>
      <c r="J85" s="160">
        <v>1676965.46</v>
      </c>
      <c r="K85" s="160">
        <v>0.0</v>
      </c>
      <c r="L85" s="160">
        <v>46.0</v>
      </c>
      <c r="M85" s="160">
        <v>40.0</v>
      </c>
      <c r="N85" s="160">
        <v>1.0</v>
      </c>
      <c r="O85" s="160">
        <v>47.0</v>
      </c>
      <c r="P85" s="160">
        <v>7.0</v>
      </c>
      <c r="Q85" s="160">
        <v>1676965.46</v>
      </c>
      <c r="R85" s="160">
        <v>0.0</v>
      </c>
      <c r="S85" s="160">
        <v>13.0</v>
      </c>
      <c r="T85" s="160">
        <v>0.0</v>
      </c>
      <c r="U85" s="160">
        <v>13.0</v>
      </c>
      <c r="V85" s="160">
        <v>0.0</v>
      </c>
      <c r="W85" s="160">
        <v>4.0</v>
      </c>
      <c r="X85" s="160">
        <v>5.0</v>
      </c>
      <c r="Y85" s="160">
        <v>92.0</v>
      </c>
      <c r="Z85" s="160">
        <v>1.0</v>
      </c>
      <c r="AA85" s="160">
        <v>1.0</v>
      </c>
      <c r="AB85" s="160">
        <v>0.0</v>
      </c>
      <c r="AC85" s="160">
        <v>0.0</v>
      </c>
      <c r="AD85" s="160">
        <v>0.0</v>
      </c>
      <c r="AE85" s="160">
        <v>0.0</v>
      </c>
      <c r="AF85" s="160">
        <v>335.0</v>
      </c>
      <c r="AG85" s="160">
        <v>341.0</v>
      </c>
      <c r="AH85" s="160">
        <v>71.0</v>
      </c>
      <c r="AI85" s="160">
        <v>23619.0</v>
      </c>
      <c r="AJ85" s="160">
        <v>5.0</v>
      </c>
      <c r="AK85" s="160">
        <v>29042.0</v>
      </c>
      <c r="AL85" s="160">
        <v>0.0</v>
      </c>
      <c r="AM85" s="160">
        <v>0.0173</v>
      </c>
      <c r="AN85" s="160">
        <v>128997.0</v>
      </c>
      <c r="AO85" s="160">
        <v>0.37</v>
      </c>
      <c r="AP85" s="160">
        <v>0.0</v>
      </c>
      <c r="AQ85" s="160">
        <v>29.0</v>
      </c>
      <c r="AR85" s="160">
        <v>796.0</v>
      </c>
      <c r="AS85" s="160">
        <v>4198.34</v>
      </c>
      <c r="AT85" s="160">
        <v>0.0</v>
      </c>
      <c r="AU85" s="160">
        <v>105.0</v>
      </c>
      <c r="AV85" s="160">
        <v>13.0</v>
      </c>
      <c r="AW85" s="160">
        <v>27.0</v>
      </c>
      <c r="AX85" s="160">
        <v>7.0</v>
      </c>
      <c r="AY85" s="537"/>
      <c r="AZ85" s="537"/>
    </row>
    <row r="86">
      <c r="A86" s="157" t="s">
        <v>185</v>
      </c>
      <c r="B86" s="157" t="s">
        <v>189</v>
      </c>
      <c r="C86" s="157" t="s">
        <v>240</v>
      </c>
      <c r="D86" s="157" t="s">
        <v>1016</v>
      </c>
      <c r="E86" s="157" t="s">
        <v>187</v>
      </c>
      <c r="F86" s="349">
        <v>45069.0</v>
      </c>
      <c r="G86" s="157" t="s">
        <v>186</v>
      </c>
      <c r="H86" s="160">
        <v>0.0</v>
      </c>
      <c r="I86" s="160">
        <v>4500000.0</v>
      </c>
      <c r="J86" s="160">
        <v>4183562.02</v>
      </c>
      <c r="K86" s="160">
        <v>0.0</v>
      </c>
      <c r="L86" s="160">
        <v>129.0</v>
      </c>
      <c r="M86" s="160">
        <v>102.0</v>
      </c>
      <c r="N86" s="160">
        <v>0.0</v>
      </c>
      <c r="O86" s="160">
        <v>129.0</v>
      </c>
      <c r="P86" s="160">
        <v>27.0</v>
      </c>
      <c r="Q86" s="160">
        <v>4183562.02</v>
      </c>
      <c r="R86" s="160">
        <v>0.0</v>
      </c>
      <c r="S86" s="160">
        <v>83.0</v>
      </c>
      <c r="T86" s="160">
        <v>0.0</v>
      </c>
      <c r="U86" s="160">
        <v>83.0</v>
      </c>
      <c r="V86" s="160">
        <v>0.0</v>
      </c>
      <c r="W86" s="160">
        <v>0.0</v>
      </c>
      <c r="X86" s="160">
        <v>0.0</v>
      </c>
      <c r="Y86" s="160">
        <v>74.0</v>
      </c>
      <c r="Z86" s="160">
        <v>1.0</v>
      </c>
      <c r="AA86" s="160">
        <v>28.0</v>
      </c>
      <c r="AB86" s="160">
        <v>0.0</v>
      </c>
      <c r="AC86" s="160">
        <v>0.0</v>
      </c>
      <c r="AD86" s="160">
        <v>0.0</v>
      </c>
      <c r="AE86" s="160">
        <v>0.0</v>
      </c>
      <c r="AF86" s="160">
        <v>352.0</v>
      </c>
      <c r="AG86" s="160">
        <v>380.0</v>
      </c>
      <c r="AH86" s="160">
        <v>71.0</v>
      </c>
      <c r="AI86" s="160">
        <v>58923.0</v>
      </c>
      <c r="AJ86" s="160">
        <v>5.0</v>
      </c>
      <c r="AK86" s="160">
        <v>25212.0</v>
      </c>
      <c r="AL86" s="160">
        <v>0.0</v>
      </c>
      <c r="AM86" s="160">
        <v>0.006</v>
      </c>
      <c r="AN86" s="160">
        <v>50404.0</v>
      </c>
      <c r="AO86" s="160">
        <v>0.93</v>
      </c>
      <c r="AP86" s="160">
        <v>0.0</v>
      </c>
      <c r="AQ86" s="160">
        <v>170.0</v>
      </c>
      <c r="AR86" s="160">
        <v>773.0</v>
      </c>
      <c r="AS86" s="160">
        <v>4217.55</v>
      </c>
      <c r="AT86" s="160">
        <v>0.0</v>
      </c>
      <c r="AU86" s="160">
        <v>41.0</v>
      </c>
      <c r="AV86" s="160">
        <v>83.0</v>
      </c>
      <c r="AW86" s="160">
        <v>24.0</v>
      </c>
      <c r="AX86" s="160">
        <v>22.0</v>
      </c>
      <c r="AY86" s="537"/>
      <c r="AZ86" s="537"/>
    </row>
    <row r="87">
      <c r="A87" s="157" t="s">
        <v>185</v>
      </c>
      <c r="B87" s="157" t="s">
        <v>117</v>
      </c>
      <c r="C87" s="157" t="s">
        <v>428</v>
      </c>
      <c r="D87" s="157" t="s">
        <v>1044</v>
      </c>
      <c r="E87" s="157" t="s">
        <v>429</v>
      </c>
      <c r="F87" s="349">
        <v>45071.0</v>
      </c>
      <c r="G87" s="157" t="s">
        <v>111</v>
      </c>
      <c r="H87" s="160">
        <v>0.0</v>
      </c>
      <c r="I87" s="160">
        <v>0.0</v>
      </c>
      <c r="J87" s="160">
        <v>0.0</v>
      </c>
      <c r="K87" s="160">
        <v>0.0</v>
      </c>
      <c r="L87" s="160">
        <v>57.0</v>
      </c>
      <c r="M87" s="160">
        <v>0.0</v>
      </c>
      <c r="N87" s="160">
        <v>0.0</v>
      </c>
      <c r="O87" s="160">
        <v>57.0</v>
      </c>
      <c r="P87" s="160">
        <v>57.0</v>
      </c>
      <c r="Q87" s="160">
        <v>0.0</v>
      </c>
      <c r="R87" s="160">
        <v>0.0</v>
      </c>
      <c r="S87" s="160">
        <v>0.0</v>
      </c>
      <c r="T87" s="160">
        <v>0.0</v>
      </c>
      <c r="U87" s="160">
        <v>0.0</v>
      </c>
      <c r="V87" s="160">
        <v>0.0</v>
      </c>
      <c r="W87" s="160">
        <v>0.0</v>
      </c>
      <c r="X87" s="160">
        <v>0.0</v>
      </c>
      <c r="Y87" s="160">
        <v>217.0</v>
      </c>
      <c r="Z87" s="160">
        <v>0.0</v>
      </c>
      <c r="AA87" s="160">
        <v>0.0</v>
      </c>
      <c r="AB87" s="160">
        <v>0.0</v>
      </c>
      <c r="AC87" s="160">
        <v>0.0</v>
      </c>
      <c r="AD87" s="160">
        <v>0.0</v>
      </c>
      <c r="AE87" s="160">
        <v>0.0</v>
      </c>
      <c r="AF87" s="160">
        <v>0.0</v>
      </c>
      <c r="AG87" s="160">
        <v>0.0</v>
      </c>
      <c r="AH87" s="160">
        <v>0.0</v>
      </c>
      <c r="AI87" s="160">
        <v>0.0</v>
      </c>
      <c r="AJ87" s="160">
        <v>0.0</v>
      </c>
      <c r="AK87" s="160">
        <v>37094.0</v>
      </c>
      <c r="AL87" s="160">
        <v>0.0</v>
      </c>
      <c r="AM87" s="160">
        <v>0.0</v>
      </c>
      <c r="AN87" s="160">
        <v>0.0</v>
      </c>
      <c r="AO87" s="160">
        <v>0.0</v>
      </c>
      <c r="AP87" s="160">
        <v>0.0</v>
      </c>
      <c r="AQ87" s="160">
        <v>0.0</v>
      </c>
      <c r="AR87" s="160">
        <v>0.0</v>
      </c>
      <c r="AS87" s="160">
        <v>0.0</v>
      </c>
      <c r="AT87" s="160">
        <v>0.0</v>
      </c>
      <c r="AU87" s="160">
        <v>0.0</v>
      </c>
      <c r="AV87" s="160">
        <v>0.0</v>
      </c>
      <c r="AW87" s="160">
        <v>0.0</v>
      </c>
      <c r="AX87" s="160">
        <v>57.0</v>
      </c>
      <c r="AY87" s="349">
        <v>45808.0</v>
      </c>
      <c r="AZ87" s="349"/>
    </row>
    <row r="88">
      <c r="A88" s="157" t="s">
        <v>73</v>
      </c>
      <c r="B88" s="157" t="s">
        <v>1229</v>
      </c>
      <c r="C88" s="157" t="s">
        <v>77</v>
      </c>
      <c r="D88" s="157" t="s">
        <v>76</v>
      </c>
      <c r="E88" s="157" t="s">
        <v>78</v>
      </c>
      <c r="F88" s="349">
        <v>45068.0</v>
      </c>
      <c r="G88" s="157" t="s">
        <v>73</v>
      </c>
      <c r="H88" s="160">
        <v>375000.0</v>
      </c>
      <c r="I88" s="160">
        <v>6000000.0</v>
      </c>
      <c r="J88" s="160">
        <v>1361577.8</v>
      </c>
      <c r="K88" s="160">
        <v>1298463.8</v>
      </c>
      <c r="L88" s="160">
        <v>48.0</v>
      </c>
      <c r="M88" s="160">
        <v>26.0</v>
      </c>
      <c r="N88" s="160">
        <v>0.0</v>
      </c>
      <c r="O88" s="160">
        <v>48.0</v>
      </c>
      <c r="P88" s="160">
        <v>22.0</v>
      </c>
      <c r="Q88" s="160">
        <v>1361577.8</v>
      </c>
      <c r="R88" s="160">
        <v>0.0</v>
      </c>
      <c r="S88" s="160">
        <v>15.0</v>
      </c>
      <c r="T88" s="160">
        <v>0.0</v>
      </c>
      <c r="U88" s="160">
        <v>15.0</v>
      </c>
      <c r="V88" s="160">
        <v>9.0</v>
      </c>
      <c r="W88" s="160">
        <v>5.0</v>
      </c>
      <c r="X88" s="160">
        <v>12.0</v>
      </c>
      <c r="Y88" s="160">
        <v>150.0</v>
      </c>
      <c r="Z88" s="160">
        <v>6.0</v>
      </c>
      <c r="AA88" s="160">
        <v>26.0</v>
      </c>
      <c r="AB88" s="160">
        <v>15.0</v>
      </c>
      <c r="AC88" s="160">
        <v>95.0</v>
      </c>
      <c r="AD88" s="160">
        <v>4.0</v>
      </c>
      <c r="AE88" s="160">
        <v>5.0</v>
      </c>
      <c r="AF88" s="160">
        <v>92.0</v>
      </c>
      <c r="AG88" s="160">
        <v>230.0</v>
      </c>
      <c r="AH88" s="160">
        <v>77.0</v>
      </c>
      <c r="AI88" s="160">
        <v>17683.0</v>
      </c>
      <c r="AJ88" s="160">
        <v>3.0</v>
      </c>
      <c r="AK88" s="160">
        <v>34661.0</v>
      </c>
      <c r="AL88" s="160">
        <v>0.0</v>
      </c>
      <c r="AM88" s="160">
        <v>0.0255</v>
      </c>
      <c r="AN88" s="160">
        <v>90772.0</v>
      </c>
      <c r="AO88" s="160">
        <v>0.23</v>
      </c>
      <c r="AP88" s="160">
        <v>3.46</v>
      </c>
      <c r="AQ88" s="160">
        <v>25.0</v>
      </c>
      <c r="AR88" s="160">
        <v>637.0</v>
      </c>
      <c r="AS88" s="160">
        <v>3407.49</v>
      </c>
      <c r="AT88" s="160">
        <v>0.0</v>
      </c>
      <c r="AU88" s="160">
        <v>131.0</v>
      </c>
      <c r="AV88" s="160">
        <v>15.0</v>
      </c>
      <c r="AW88" s="160">
        <v>11.0</v>
      </c>
      <c r="AX88" s="160">
        <v>22.0</v>
      </c>
      <c r="AY88" s="537"/>
      <c r="AZ88" s="537"/>
    </row>
    <row r="89">
      <c r="A89" s="157" t="s">
        <v>53</v>
      </c>
      <c r="B89" s="157" t="s">
        <v>61</v>
      </c>
      <c r="C89" s="157" t="s">
        <v>363</v>
      </c>
      <c r="D89" s="157" t="s">
        <v>1077</v>
      </c>
      <c r="E89" s="157" t="s">
        <v>60</v>
      </c>
      <c r="F89" s="338">
        <v>45079.0</v>
      </c>
      <c r="G89" s="157" t="s">
        <v>754</v>
      </c>
      <c r="H89" s="160">
        <v>0.0</v>
      </c>
      <c r="I89" s="160">
        <v>0.0</v>
      </c>
      <c r="J89" s="160">
        <v>0.0</v>
      </c>
      <c r="K89" s="160">
        <v>0.0</v>
      </c>
      <c r="L89" s="160">
        <v>80.0</v>
      </c>
      <c r="M89" s="160">
        <v>0.0</v>
      </c>
      <c r="N89" s="160">
        <v>1.0</v>
      </c>
      <c r="O89" s="160">
        <v>81.0</v>
      </c>
      <c r="P89" s="160">
        <v>81.0</v>
      </c>
      <c r="Q89" s="160">
        <v>0.0</v>
      </c>
      <c r="R89" s="160">
        <v>0.0</v>
      </c>
      <c r="S89" s="160">
        <v>0.0</v>
      </c>
      <c r="T89" s="160">
        <v>0.0</v>
      </c>
      <c r="U89" s="160">
        <v>0.0</v>
      </c>
      <c r="V89" s="160">
        <v>0.0</v>
      </c>
      <c r="W89" s="160">
        <v>0.0</v>
      </c>
      <c r="X89" s="160">
        <v>0.0</v>
      </c>
      <c r="Y89" s="160">
        <v>620.0</v>
      </c>
      <c r="Z89" s="160">
        <v>0.0</v>
      </c>
      <c r="AA89" s="160">
        <v>0.0</v>
      </c>
      <c r="AB89" s="160">
        <v>0.0</v>
      </c>
      <c r="AC89" s="160">
        <v>0.0</v>
      </c>
      <c r="AD89" s="160">
        <v>0.0</v>
      </c>
      <c r="AE89" s="160">
        <v>0.0</v>
      </c>
      <c r="AF89" s="160">
        <v>0.0</v>
      </c>
      <c r="AG89" s="160">
        <v>0.0</v>
      </c>
      <c r="AH89" s="160">
        <v>0.0</v>
      </c>
      <c r="AI89" s="160">
        <v>0.0</v>
      </c>
      <c r="AJ89" s="160">
        <v>0.0</v>
      </c>
      <c r="AK89" s="160">
        <v>35853.0</v>
      </c>
      <c r="AL89" s="160">
        <v>0.0</v>
      </c>
      <c r="AM89" s="160">
        <v>0.0</v>
      </c>
      <c r="AN89" s="160">
        <v>0.0</v>
      </c>
      <c r="AO89" s="160">
        <v>0.0</v>
      </c>
      <c r="AP89" s="160">
        <v>0.0</v>
      </c>
      <c r="AQ89" s="160">
        <v>0.0</v>
      </c>
      <c r="AR89" s="160">
        <v>0.0</v>
      </c>
      <c r="AS89" s="160">
        <v>0.0</v>
      </c>
      <c r="AT89" s="160">
        <v>0.0</v>
      </c>
      <c r="AU89" s="160">
        <v>0.0</v>
      </c>
      <c r="AV89" s="160">
        <v>0.0</v>
      </c>
      <c r="AW89" s="160">
        <v>0.0</v>
      </c>
      <c r="AX89" s="160">
        <v>81.0</v>
      </c>
      <c r="AY89" s="349">
        <v>45794.0</v>
      </c>
      <c r="AZ89" s="349"/>
    </row>
    <row r="90">
      <c r="A90" s="157" t="s">
        <v>53</v>
      </c>
      <c r="B90" s="157" t="s">
        <v>56</v>
      </c>
      <c r="C90" s="157" t="s">
        <v>54</v>
      </c>
      <c r="D90" s="157" t="s">
        <v>1092</v>
      </c>
      <c r="E90" s="157" t="s">
        <v>1095</v>
      </c>
      <c r="F90" s="349">
        <v>45428.0</v>
      </c>
      <c r="G90" s="157" t="s">
        <v>754</v>
      </c>
      <c r="H90" s="160">
        <v>0.0</v>
      </c>
      <c r="I90" s="160">
        <v>3000000.0</v>
      </c>
      <c r="J90" s="160">
        <v>1545325.35</v>
      </c>
      <c r="K90" s="160">
        <v>0.0</v>
      </c>
      <c r="L90" s="160">
        <v>91.0</v>
      </c>
      <c r="M90" s="160">
        <v>70.0</v>
      </c>
      <c r="N90" s="160">
        <v>3.0</v>
      </c>
      <c r="O90" s="160">
        <v>94.0</v>
      </c>
      <c r="P90" s="160">
        <v>24.0</v>
      </c>
      <c r="Q90" s="160">
        <v>1487662.17</v>
      </c>
      <c r="R90" s="160">
        <v>57663.18</v>
      </c>
      <c r="S90" s="160">
        <v>26.0</v>
      </c>
      <c r="T90" s="160">
        <v>3.0</v>
      </c>
      <c r="U90" s="160">
        <v>29.0</v>
      </c>
      <c r="V90" s="160">
        <v>0.0</v>
      </c>
      <c r="W90" s="160">
        <v>43.0</v>
      </c>
      <c r="X90" s="160">
        <v>67.0</v>
      </c>
      <c r="Y90" s="160">
        <v>476.0</v>
      </c>
      <c r="Z90" s="160">
        <v>3.0</v>
      </c>
      <c r="AA90" s="160">
        <v>44.0</v>
      </c>
      <c r="AB90" s="160">
        <v>0.0</v>
      </c>
      <c r="AC90" s="160">
        <v>0.0</v>
      </c>
      <c r="AD90" s="160">
        <v>0.0</v>
      </c>
      <c r="AE90" s="160">
        <v>0.0</v>
      </c>
      <c r="AF90" s="160">
        <v>304.0</v>
      </c>
      <c r="AG90" s="160">
        <v>415.0</v>
      </c>
      <c r="AH90" s="160">
        <v>70.0</v>
      </c>
      <c r="AI90" s="160">
        <v>22076.0</v>
      </c>
      <c r="AJ90" s="160">
        <v>6.0</v>
      </c>
      <c r="AK90" s="160">
        <v>26526.0</v>
      </c>
      <c r="AL90" s="160">
        <v>0.0</v>
      </c>
      <c r="AM90" s="160">
        <v>0.0172</v>
      </c>
      <c r="AN90" s="160">
        <v>53287.0</v>
      </c>
      <c r="AO90" s="160">
        <v>0.52</v>
      </c>
      <c r="AP90" s="160">
        <v>0.0</v>
      </c>
      <c r="AQ90" s="160">
        <v>59.0</v>
      </c>
      <c r="AR90" s="160">
        <v>724.0</v>
      </c>
      <c r="AS90" s="160">
        <v>5298.75</v>
      </c>
      <c r="AT90" s="160">
        <v>3.0</v>
      </c>
      <c r="AU90" s="160">
        <v>76.0</v>
      </c>
      <c r="AV90" s="160">
        <v>29.0</v>
      </c>
      <c r="AW90" s="160">
        <v>43.0</v>
      </c>
      <c r="AX90" s="160">
        <v>22.0</v>
      </c>
      <c r="AY90" s="537"/>
      <c r="AZ90" s="537"/>
    </row>
    <row r="91">
      <c r="A91" s="157" t="s">
        <v>126</v>
      </c>
      <c r="B91" s="157" t="s">
        <v>130</v>
      </c>
      <c r="C91" s="157" t="s">
        <v>152</v>
      </c>
      <c r="D91" s="157" t="s">
        <v>130</v>
      </c>
      <c r="E91" s="157" t="s">
        <v>153</v>
      </c>
      <c r="F91" s="338">
        <v>45080.0</v>
      </c>
      <c r="G91" s="157" t="s">
        <v>580</v>
      </c>
      <c r="H91" s="160">
        <v>1200000.0</v>
      </c>
      <c r="I91" s="160">
        <v>6300000.0</v>
      </c>
      <c r="J91" s="160">
        <v>3683478.12</v>
      </c>
      <c r="K91" s="160">
        <v>1056986.24</v>
      </c>
      <c r="L91" s="160">
        <v>132.0</v>
      </c>
      <c r="M91" s="160">
        <v>98.0</v>
      </c>
      <c r="N91" s="160">
        <v>2.0</v>
      </c>
      <c r="O91" s="160">
        <v>134.0</v>
      </c>
      <c r="P91" s="160">
        <v>36.0</v>
      </c>
      <c r="Q91" s="160">
        <v>3683478.12</v>
      </c>
      <c r="R91" s="160">
        <v>0.0</v>
      </c>
      <c r="S91" s="160">
        <v>29.0</v>
      </c>
      <c r="T91" s="160">
        <v>0.0</v>
      </c>
      <c r="U91" s="160">
        <v>29.0</v>
      </c>
      <c r="V91" s="160">
        <v>2.0</v>
      </c>
      <c r="W91" s="160">
        <v>45.0</v>
      </c>
      <c r="X91" s="160">
        <v>58.0</v>
      </c>
      <c r="Y91" s="160">
        <v>279.0</v>
      </c>
      <c r="Z91" s="160">
        <v>6.0</v>
      </c>
      <c r="AA91" s="160">
        <v>37.0</v>
      </c>
      <c r="AB91" s="160">
        <v>8.0</v>
      </c>
      <c r="AC91" s="160">
        <v>25.0</v>
      </c>
      <c r="AD91" s="160">
        <v>0.0</v>
      </c>
      <c r="AE91" s="160">
        <v>0.0</v>
      </c>
      <c r="AF91" s="160">
        <v>387.0</v>
      </c>
      <c r="AG91" s="160">
        <v>507.0</v>
      </c>
      <c r="AH91" s="160">
        <v>74.0</v>
      </c>
      <c r="AI91" s="160">
        <v>49777.0</v>
      </c>
      <c r="AJ91" s="160">
        <v>7.0</v>
      </c>
      <c r="AK91" s="160">
        <v>31981.0</v>
      </c>
      <c r="AL91" s="160">
        <v>0.0</v>
      </c>
      <c r="AM91" s="160">
        <v>0.0087</v>
      </c>
      <c r="AN91" s="160">
        <v>127016.0</v>
      </c>
      <c r="AO91" s="160">
        <v>0.58</v>
      </c>
      <c r="AP91" s="160">
        <v>0.88</v>
      </c>
      <c r="AQ91" s="160">
        <v>71.0</v>
      </c>
      <c r="AR91" s="160">
        <v>797.0</v>
      </c>
      <c r="AS91" s="160">
        <v>6981.28</v>
      </c>
      <c r="AT91" s="160">
        <v>0.0</v>
      </c>
      <c r="AU91" s="160">
        <v>71.0</v>
      </c>
      <c r="AV91" s="160">
        <v>29.0</v>
      </c>
      <c r="AW91" s="160">
        <v>70.0</v>
      </c>
      <c r="AX91" s="160">
        <v>35.0</v>
      </c>
      <c r="AY91" s="537"/>
      <c r="AZ91" s="537"/>
    </row>
    <row r="92">
      <c r="A92" s="157" t="s">
        <v>185</v>
      </c>
      <c r="B92" s="157" t="s">
        <v>189</v>
      </c>
      <c r="C92" s="157" t="s">
        <v>755</v>
      </c>
      <c r="D92" s="157" t="s">
        <v>1016</v>
      </c>
      <c r="E92" s="157" t="s">
        <v>1079</v>
      </c>
      <c r="F92" s="338">
        <v>45084.0</v>
      </c>
      <c r="G92" s="157" t="s">
        <v>186</v>
      </c>
      <c r="H92" s="160">
        <v>0.0</v>
      </c>
      <c r="I92" s="160">
        <v>0.0</v>
      </c>
      <c r="J92" s="160">
        <v>0.0</v>
      </c>
      <c r="K92" s="160">
        <v>0.0</v>
      </c>
      <c r="L92" s="160">
        <v>91.0</v>
      </c>
      <c r="M92" s="160">
        <v>0.0</v>
      </c>
      <c r="N92" s="160">
        <v>0.0</v>
      </c>
      <c r="O92" s="160">
        <v>91.0</v>
      </c>
      <c r="P92" s="160">
        <v>91.0</v>
      </c>
      <c r="Q92" s="160">
        <v>0.0</v>
      </c>
      <c r="R92" s="160">
        <v>0.0</v>
      </c>
      <c r="S92" s="160">
        <v>0.0</v>
      </c>
      <c r="T92" s="160">
        <v>0.0</v>
      </c>
      <c r="U92" s="160">
        <v>0.0</v>
      </c>
      <c r="V92" s="160">
        <v>0.0</v>
      </c>
      <c r="W92" s="160">
        <v>0.0</v>
      </c>
      <c r="X92" s="160">
        <v>0.0</v>
      </c>
      <c r="Y92" s="160">
        <v>183.0</v>
      </c>
      <c r="Z92" s="160">
        <v>0.0</v>
      </c>
      <c r="AA92" s="160">
        <v>0.0</v>
      </c>
      <c r="AB92" s="160">
        <v>0.0</v>
      </c>
      <c r="AC92" s="160">
        <v>0.0</v>
      </c>
      <c r="AD92" s="160">
        <v>0.0</v>
      </c>
      <c r="AE92" s="160">
        <v>0.0</v>
      </c>
      <c r="AF92" s="160">
        <v>0.0</v>
      </c>
      <c r="AG92" s="160">
        <v>0.0</v>
      </c>
      <c r="AH92" s="160">
        <v>0.0</v>
      </c>
      <c r="AI92" s="160">
        <v>0.0</v>
      </c>
      <c r="AJ92" s="160">
        <v>0.0</v>
      </c>
      <c r="AK92" s="160">
        <v>25850.0</v>
      </c>
      <c r="AL92" s="160">
        <v>0.0</v>
      </c>
      <c r="AM92" s="160">
        <v>0.0</v>
      </c>
      <c r="AN92" s="160">
        <v>0.0</v>
      </c>
      <c r="AO92" s="160">
        <v>0.0</v>
      </c>
      <c r="AP92" s="160">
        <v>0.0</v>
      </c>
      <c r="AQ92" s="160">
        <v>0.0</v>
      </c>
      <c r="AR92" s="160">
        <v>0.0</v>
      </c>
      <c r="AS92" s="160">
        <v>0.0</v>
      </c>
      <c r="AT92" s="160">
        <v>0.0</v>
      </c>
      <c r="AU92" s="160">
        <v>0.0</v>
      </c>
      <c r="AV92" s="160">
        <v>0.0</v>
      </c>
      <c r="AW92" s="160">
        <v>0.0</v>
      </c>
      <c r="AX92" s="160">
        <v>91.0</v>
      </c>
      <c r="AY92" s="285">
        <v>45869.0</v>
      </c>
      <c r="AZ92" s="285"/>
    </row>
    <row r="93">
      <c r="A93" s="157" t="s">
        <v>185</v>
      </c>
      <c r="B93" s="157" t="s">
        <v>222</v>
      </c>
      <c r="C93" s="157" t="s">
        <v>244</v>
      </c>
      <c r="D93" s="157" t="s">
        <v>1080</v>
      </c>
      <c r="E93" s="157" t="s">
        <v>245</v>
      </c>
      <c r="F93" s="338">
        <v>45108.0</v>
      </c>
      <c r="G93" s="157" t="s">
        <v>185</v>
      </c>
      <c r="H93" s="160">
        <v>0.0</v>
      </c>
      <c r="I93" s="160">
        <v>4500000.0</v>
      </c>
      <c r="J93" s="160">
        <v>2538081.66</v>
      </c>
      <c r="K93" s="160">
        <v>0.0</v>
      </c>
      <c r="L93" s="160">
        <v>73.0</v>
      </c>
      <c r="M93" s="160">
        <v>67.0</v>
      </c>
      <c r="N93" s="160">
        <v>1.0</v>
      </c>
      <c r="O93" s="160">
        <v>74.0</v>
      </c>
      <c r="P93" s="160">
        <v>7.0</v>
      </c>
      <c r="Q93" s="160">
        <v>2486186.86</v>
      </c>
      <c r="R93" s="160">
        <v>51894.8</v>
      </c>
      <c r="S93" s="160">
        <v>20.0</v>
      </c>
      <c r="T93" s="160">
        <v>1.0</v>
      </c>
      <c r="U93" s="160">
        <v>21.0</v>
      </c>
      <c r="V93" s="160">
        <v>0.0</v>
      </c>
      <c r="W93" s="160">
        <v>33.0</v>
      </c>
      <c r="X93" s="160">
        <v>54.0</v>
      </c>
      <c r="Y93" s="160">
        <v>279.0</v>
      </c>
      <c r="Z93" s="160">
        <v>1.0</v>
      </c>
      <c r="AA93" s="160">
        <v>1.0</v>
      </c>
      <c r="AB93" s="160">
        <v>0.0</v>
      </c>
      <c r="AC93" s="160">
        <v>0.0</v>
      </c>
      <c r="AD93" s="160">
        <v>0.0</v>
      </c>
      <c r="AE93" s="160">
        <v>0.0</v>
      </c>
      <c r="AF93" s="160">
        <v>346.0</v>
      </c>
      <c r="AG93" s="160">
        <v>401.0</v>
      </c>
      <c r="AH93" s="160">
        <v>70.0</v>
      </c>
      <c r="AI93" s="160">
        <v>36258.0</v>
      </c>
      <c r="AJ93" s="160">
        <v>6.0</v>
      </c>
      <c r="AK93" s="160">
        <v>27680.0</v>
      </c>
      <c r="AL93" s="160">
        <v>0.0</v>
      </c>
      <c r="AM93" s="160">
        <v>0.0109</v>
      </c>
      <c r="AN93" s="160">
        <v>120861.0</v>
      </c>
      <c r="AO93" s="160">
        <v>0.56</v>
      </c>
      <c r="AP93" s="160">
        <v>0.0</v>
      </c>
      <c r="AQ93" s="160">
        <v>27.0</v>
      </c>
      <c r="AR93" s="160">
        <v>747.0</v>
      </c>
      <c r="AS93" s="160">
        <v>6470.05</v>
      </c>
      <c r="AT93" s="160">
        <v>1.0</v>
      </c>
      <c r="AU93" s="160">
        <v>97.0</v>
      </c>
      <c r="AV93" s="160">
        <v>21.0</v>
      </c>
      <c r="AW93" s="160">
        <v>47.0</v>
      </c>
      <c r="AX93" s="160">
        <v>6.0</v>
      </c>
      <c r="AY93" s="537"/>
      <c r="AZ93" s="537"/>
    </row>
    <row r="94">
      <c r="A94" s="157" t="s">
        <v>185</v>
      </c>
      <c r="B94" s="157" t="s">
        <v>189</v>
      </c>
      <c r="C94" s="157" t="s">
        <v>246</v>
      </c>
      <c r="D94" s="157" t="s">
        <v>1016</v>
      </c>
      <c r="E94" s="157" t="s">
        <v>247</v>
      </c>
      <c r="F94" s="338">
        <v>45108.0</v>
      </c>
      <c r="G94" s="157" t="s">
        <v>203</v>
      </c>
      <c r="H94" s="160">
        <v>0.0</v>
      </c>
      <c r="I94" s="160">
        <v>1.2E7</v>
      </c>
      <c r="J94" s="160">
        <v>9159061.37</v>
      </c>
      <c r="K94" s="160">
        <v>0.0</v>
      </c>
      <c r="L94" s="160">
        <v>147.0</v>
      </c>
      <c r="M94" s="160">
        <v>61.0</v>
      </c>
      <c r="N94" s="160">
        <v>1.0</v>
      </c>
      <c r="O94" s="160">
        <v>148.0</v>
      </c>
      <c r="P94" s="160">
        <v>87.0</v>
      </c>
      <c r="Q94" s="160">
        <v>9075221.21</v>
      </c>
      <c r="R94" s="160">
        <v>83840.16</v>
      </c>
      <c r="S94" s="160">
        <v>33.0</v>
      </c>
      <c r="T94" s="160">
        <v>1.0</v>
      </c>
      <c r="U94" s="160">
        <v>34.0</v>
      </c>
      <c r="V94" s="160">
        <v>0.0</v>
      </c>
      <c r="W94" s="160">
        <v>0.0</v>
      </c>
      <c r="X94" s="160">
        <v>0.0</v>
      </c>
      <c r="Y94" s="160">
        <v>69.0</v>
      </c>
      <c r="Z94" s="160">
        <v>1.0</v>
      </c>
      <c r="AA94" s="160">
        <v>13.0</v>
      </c>
      <c r="AB94" s="160">
        <v>0.0</v>
      </c>
      <c r="AC94" s="160">
        <v>0.0</v>
      </c>
      <c r="AD94" s="160">
        <v>0.0</v>
      </c>
      <c r="AE94" s="160">
        <v>0.0</v>
      </c>
      <c r="AF94" s="160">
        <v>427.0</v>
      </c>
      <c r="AG94" s="160">
        <v>440.0</v>
      </c>
      <c r="AH94" s="160">
        <v>75.0</v>
      </c>
      <c r="AI94" s="160">
        <v>122121.0</v>
      </c>
      <c r="AJ94" s="160">
        <v>6.0</v>
      </c>
      <c r="AK94" s="160">
        <v>20520.0</v>
      </c>
      <c r="AL94" s="160">
        <v>0.0</v>
      </c>
      <c r="AM94" s="160">
        <v>0.0022</v>
      </c>
      <c r="AN94" s="160">
        <v>269384.0</v>
      </c>
      <c r="AO94" s="160">
        <v>0.76</v>
      </c>
      <c r="AP94" s="160">
        <v>0.0</v>
      </c>
      <c r="AQ94" s="160">
        <v>59.0</v>
      </c>
      <c r="AR94" s="160">
        <v>750.0</v>
      </c>
      <c r="AS94" s="160">
        <v>3161.95</v>
      </c>
      <c r="AT94" s="160">
        <v>1.0</v>
      </c>
      <c r="AU94" s="160">
        <v>52.0</v>
      </c>
      <c r="AV94" s="160">
        <v>34.0</v>
      </c>
      <c r="AW94" s="160">
        <v>27.0</v>
      </c>
      <c r="AX94" s="160">
        <v>87.0</v>
      </c>
      <c r="AY94" s="537"/>
      <c r="AZ94" s="537"/>
    </row>
    <row r="95">
      <c r="A95" s="157" t="s">
        <v>185</v>
      </c>
      <c r="B95" s="157" t="s">
        <v>189</v>
      </c>
      <c r="C95" s="157" t="s">
        <v>248</v>
      </c>
      <c r="D95" s="157" t="s">
        <v>1016</v>
      </c>
      <c r="E95" s="157" t="s">
        <v>192</v>
      </c>
      <c r="F95" s="285">
        <v>45117.0</v>
      </c>
      <c r="G95" s="157" t="s">
        <v>202</v>
      </c>
      <c r="H95" s="160">
        <v>0.0</v>
      </c>
      <c r="I95" s="160">
        <v>4500000.0</v>
      </c>
      <c r="J95" s="160">
        <v>4002381.31</v>
      </c>
      <c r="K95" s="160">
        <v>0.0</v>
      </c>
      <c r="L95" s="160">
        <v>73.0</v>
      </c>
      <c r="M95" s="160">
        <v>56.0</v>
      </c>
      <c r="N95" s="160">
        <v>3.0</v>
      </c>
      <c r="O95" s="160">
        <v>76.0</v>
      </c>
      <c r="P95" s="160">
        <v>20.0</v>
      </c>
      <c r="Q95" s="160">
        <v>3858527.35</v>
      </c>
      <c r="R95" s="160">
        <v>143853.96</v>
      </c>
      <c r="S95" s="160">
        <v>27.0</v>
      </c>
      <c r="T95" s="160">
        <v>3.0</v>
      </c>
      <c r="U95" s="160">
        <v>30.0</v>
      </c>
      <c r="V95" s="160">
        <v>0.0</v>
      </c>
      <c r="W95" s="160">
        <v>8.0</v>
      </c>
      <c r="X95" s="160">
        <v>18.0</v>
      </c>
      <c r="Y95" s="160">
        <v>65.0</v>
      </c>
      <c r="Z95" s="160">
        <v>1.0</v>
      </c>
      <c r="AA95" s="160">
        <v>1.0</v>
      </c>
      <c r="AB95" s="160">
        <v>0.0</v>
      </c>
      <c r="AC95" s="160">
        <v>0.0</v>
      </c>
      <c r="AD95" s="160">
        <v>0.0</v>
      </c>
      <c r="AE95" s="160">
        <v>0.0</v>
      </c>
      <c r="AF95" s="160">
        <v>398.0</v>
      </c>
      <c r="AG95" s="160">
        <v>417.0</v>
      </c>
      <c r="AH95" s="160">
        <v>76.0</v>
      </c>
      <c r="AI95" s="160">
        <v>52663.0</v>
      </c>
      <c r="AJ95" s="160">
        <v>5.0</v>
      </c>
      <c r="AK95" s="160">
        <v>24356.0</v>
      </c>
      <c r="AL95" s="160">
        <v>0.0</v>
      </c>
      <c r="AM95" s="160">
        <v>0.0061</v>
      </c>
      <c r="AN95" s="160">
        <v>133413.0</v>
      </c>
      <c r="AO95" s="160">
        <v>0.89</v>
      </c>
      <c r="AP95" s="160">
        <v>0.0</v>
      </c>
      <c r="AQ95" s="160">
        <v>92.0</v>
      </c>
      <c r="AR95" s="160">
        <v>824.0</v>
      </c>
      <c r="AS95" s="160">
        <v>4764.5</v>
      </c>
      <c r="AT95" s="160">
        <v>3.0</v>
      </c>
      <c r="AU95" s="160">
        <v>85.0</v>
      </c>
      <c r="AV95" s="160">
        <v>30.0</v>
      </c>
      <c r="AW95" s="160">
        <v>28.0</v>
      </c>
      <c r="AX95" s="160">
        <v>18.0</v>
      </c>
      <c r="AY95" s="537"/>
      <c r="AZ95" s="537"/>
    </row>
    <row r="96">
      <c r="A96" s="157" t="s">
        <v>126</v>
      </c>
      <c r="B96" s="157" t="s">
        <v>145</v>
      </c>
      <c r="C96" s="157" t="s">
        <v>158</v>
      </c>
      <c r="D96" s="157" t="s">
        <v>1066</v>
      </c>
      <c r="E96" s="157" t="s">
        <v>159</v>
      </c>
      <c r="F96" s="285">
        <v>45124.0</v>
      </c>
      <c r="G96" s="157" t="s">
        <v>580</v>
      </c>
      <c r="H96" s="160">
        <v>0.0</v>
      </c>
      <c r="I96" s="160">
        <v>4950000.0</v>
      </c>
      <c r="J96" s="160">
        <v>1944826.27</v>
      </c>
      <c r="K96" s="160">
        <v>0.0</v>
      </c>
      <c r="L96" s="160">
        <v>42.0</v>
      </c>
      <c r="M96" s="160">
        <v>33.0</v>
      </c>
      <c r="N96" s="160">
        <v>1.0</v>
      </c>
      <c r="O96" s="160">
        <v>43.0</v>
      </c>
      <c r="P96" s="160">
        <v>10.0</v>
      </c>
      <c r="Q96" s="160">
        <v>1760043.87</v>
      </c>
      <c r="R96" s="160">
        <v>184782.4</v>
      </c>
      <c r="S96" s="160">
        <v>23.0</v>
      </c>
      <c r="T96" s="160">
        <v>1.0</v>
      </c>
      <c r="U96" s="160">
        <v>24.0</v>
      </c>
      <c r="V96" s="160">
        <v>0.0</v>
      </c>
      <c r="W96" s="160">
        <v>107.0</v>
      </c>
      <c r="X96" s="160">
        <v>175.0</v>
      </c>
      <c r="Y96" s="160">
        <v>240.0</v>
      </c>
      <c r="Z96" s="160">
        <v>1.0</v>
      </c>
      <c r="AA96" s="160">
        <v>1.0</v>
      </c>
      <c r="AB96" s="160">
        <v>0.0</v>
      </c>
      <c r="AC96" s="160">
        <v>0.0</v>
      </c>
      <c r="AD96" s="160">
        <v>0.0</v>
      </c>
      <c r="AE96" s="160">
        <v>0.0</v>
      </c>
      <c r="AF96" s="160">
        <v>115.0</v>
      </c>
      <c r="AG96" s="160">
        <v>291.0</v>
      </c>
      <c r="AH96" s="160">
        <v>68.0</v>
      </c>
      <c r="AI96" s="160">
        <v>28600.0</v>
      </c>
      <c r="AJ96" s="160">
        <v>4.0</v>
      </c>
      <c r="AK96" s="160">
        <v>26500.0</v>
      </c>
      <c r="AL96" s="160">
        <v>0.0</v>
      </c>
      <c r="AM96" s="160">
        <v>0.0136</v>
      </c>
      <c r="AN96" s="160">
        <v>81034.0</v>
      </c>
      <c r="AO96" s="160">
        <v>0.39</v>
      </c>
      <c r="AP96" s="160">
        <v>0.0</v>
      </c>
      <c r="AQ96" s="160">
        <v>62.0</v>
      </c>
      <c r="AR96" s="160">
        <v>761.0</v>
      </c>
      <c r="AS96" s="160">
        <v>3941.88</v>
      </c>
      <c r="AT96" s="160">
        <v>1.0</v>
      </c>
      <c r="AU96" s="160">
        <v>119.0</v>
      </c>
      <c r="AV96" s="160">
        <v>24.0</v>
      </c>
      <c r="AW96" s="160">
        <v>9.0</v>
      </c>
      <c r="AX96" s="160">
        <v>10.0</v>
      </c>
      <c r="AY96" s="537"/>
      <c r="AZ96" s="537"/>
    </row>
    <row r="97">
      <c r="A97" s="157" t="s">
        <v>126</v>
      </c>
      <c r="B97" s="157" t="s">
        <v>130</v>
      </c>
      <c r="C97" s="157" t="s">
        <v>154</v>
      </c>
      <c r="D97" s="157" t="s">
        <v>130</v>
      </c>
      <c r="E97" s="157" t="s">
        <v>155</v>
      </c>
      <c r="F97" s="285">
        <v>45121.0</v>
      </c>
      <c r="G97" s="157" t="s">
        <v>128</v>
      </c>
      <c r="H97" s="160">
        <v>0.0</v>
      </c>
      <c r="I97" s="160">
        <v>6624999.0</v>
      </c>
      <c r="J97" s="160">
        <v>6696473.39</v>
      </c>
      <c r="K97" s="160">
        <v>0.0</v>
      </c>
      <c r="L97" s="160">
        <v>69.0</v>
      </c>
      <c r="M97" s="160">
        <v>61.0</v>
      </c>
      <c r="N97" s="160">
        <v>2.0</v>
      </c>
      <c r="O97" s="160">
        <v>71.0</v>
      </c>
      <c r="P97" s="160">
        <v>10.0</v>
      </c>
      <c r="Q97" s="160">
        <v>6381870.09</v>
      </c>
      <c r="R97" s="160">
        <v>314603.3</v>
      </c>
      <c r="S97" s="160">
        <v>40.0</v>
      </c>
      <c r="T97" s="160">
        <v>2.0</v>
      </c>
      <c r="U97" s="160">
        <v>42.0</v>
      </c>
      <c r="V97" s="160">
        <v>0.0</v>
      </c>
      <c r="W97" s="160">
        <v>24.0</v>
      </c>
      <c r="X97" s="160">
        <v>37.0</v>
      </c>
      <c r="Y97" s="160">
        <v>74.0</v>
      </c>
      <c r="Z97" s="160">
        <v>1.0</v>
      </c>
      <c r="AA97" s="160">
        <v>7.0</v>
      </c>
      <c r="AB97" s="160">
        <v>0.0</v>
      </c>
      <c r="AC97" s="160">
        <v>0.0</v>
      </c>
      <c r="AD97" s="160">
        <v>0.0</v>
      </c>
      <c r="AE97" s="160">
        <v>0.0</v>
      </c>
      <c r="AF97" s="160">
        <v>219.0</v>
      </c>
      <c r="AG97" s="160">
        <v>263.0</v>
      </c>
      <c r="AH97" s="160">
        <v>72.0</v>
      </c>
      <c r="AI97" s="160">
        <v>93007.0</v>
      </c>
      <c r="AJ97" s="160">
        <v>4.0</v>
      </c>
      <c r="AK97" s="160">
        <v>34946.0</v>
      </c>
      <c r="AL97" s="160">
        <v>0.0</v>
      </c>
      <c r="AM97" s="160">
        <v>0.0052</v>
      </c>
      <c r="AN97" s="160">
        <v>159440.0</v>
      </c>
      <c r="AO97" s="160">
        <v>1.01</v>
      </c>
      <c r="AP97" s="160">
        <v>0.0</v>
      </c>
      <c r="AQ97" s="160">
        <v>65.0</v>
      </c>
      <c r="AR97" s="160">
        <v>623.0</v>
      </c>
      <c r="AS97" s="160">
        <v>2901.76</v>
      </c>
      <c r="AT97" s="160">
        <v>2.0</v>
      </c>
      <c r="AU97" s="160">
        <v>48.0</v>
      </c>
      <c r="AV97" s="160">
        <v>42.0</v>
      </c>
      <c r="AW97" s="160">
        <v>20.0</v>
      </c>
      <c r="AX97" s="160">
        <v>9.0</v>
      </c>
      <c r="AY97" s="537"/>
      <c r="AZ97" s="537"/>
    </row>
    <row r="98">
      <c r="A98" s="157" t="s">
        <v>126</v>
      </c>
      <c r="B98" s="157" t="s">
        <v>130</v>
      </c>
      <c r="C98" s="157" t="s">
        <v>156</v>
      </c>
      <c r="D98" s="157" t="s">
        <v>130</v>
      </c>
      <c r="E98" s="157" t="s">
        <v>157</v>
      </c>
      <c r="F98" s="285">
        <v>45122.0</v>
      </c>
      <c r="G98" s="157" t="s">
        <v>128</v>
      </c>
      <c r="H98" s="160">
        <v>0.0</v>
      </c>
      <c r="I98" s="160">
        <v>5375001.0</v>
      </c>
      <c r="J98" s="160">
        <v>3059636.97</v>
      </c>
      <c r="K98" s="160">
        <v>0.0</v>
      </c>
      <c r="L98" s="160">
        <v>57.0</v>
      </c>
      <c r="M98" s="160">
        <v>44.0</v>
      </c>
      <c r="N98" s="160">
        <v>2.0</v>
      </c>
      <c r="O98" s="160">
        <v>59.0</v>
      </c>
      <c r="P98" s="160">
        <v>15.0</v>
      </c>
      <c r="Q98" s="160">
        <v>3014110.05</v>
      </c>
      <c r="R98" s="160">
        <v>45526.92</v>
      </c>
      <c r="S98" s="160">
        <v>32.0</v>
      </c>
      <c r="T98" s="160">
        <v>2.0</v>
      </c>
      <c r="U98" s="160">
        <v>34.0</v>
      </c>
      <c r="V98" s="160">
        <v>0.0</v>
      </c>
      <c r="W98" s="160">
        <v>58.0</v>
      </c>
      <c r="X98" s="160">
        <v>79.0</v>
      </c>
      <c r="Y98" s="160">
        <v>315.0</v>
      </c>
      <c r="Z98" s="160">
        <v>1.0</v>
      </c>
      <c r="AA98" s="160">
        <v>1.0</v>
      </c>
      <c r="AB98" s="160">
        <v>0.0</v>
      </c>
      <c r="AC98" s="160">
        <v>0.0</v>
      </c>
      <c r="AD98" s="160">
        <v>1.0</v>
      </c>
      <c r="AE98" s="160">
        <v>1.0</v>
      </c>
      <c r="AF98" s="160">
        <v>401.0</v>
      </c>
      <c r="AG98" s="160">
        <v>482.0</v>
      </c>
      <c r="AH98" s="160">
        <v>70.0</v>
      </c>
      <c r="AI98" s="160">
        <v>43709.0</v>
      </c>
      <c r="AJ98" s="160">
        <v>7.0</v>
      </c>
      <c r="AK98" s="160">
        <v>30785.0</v>
      </c>
      <c r="AL98" s="160">
        <v>0.0</v>
      </c>
      <c r="AM98" s="160">
        <v>0.0101</v>
      </c>
      <c r="AN98" s="160">
        <v>89989.0</v>
      </c>
      <c r="AO98" s="160">
        <v>0.57</v>
      </c>
      <c r="AP98" s="160">
        <v>0.0</v>
      </c>
      <c r="AQ98" s="160">
        <v>88.0</v>
      </c>
      <c r="AR98" s="160">
        <v>497.0</v>
      </c>
      <c r="AS98" s="160">
        <v>3268.09</v>
      </c>
      <c r="AT98" s="160">
        <v>2.0</v>
      </c>
      <c r="AU98" s="160">
        <v>74.0</v>
      </c>
      <c r="AV98" s="160">
        <v>34.0</v>
      </c>
      <c r="AW98" s="160">
        <v>12.0</v>
      </c>
      <c r="AX98" s="160">
        <v>13.0</v>
      </c>
      <c r="AY98" s="537"/>
      <c r="AZ98" s="537"/>
    </row>
    <row r="99">
      <c r="A99" s="157" t="s">
        <v>126</v>
      </c>
      <c r="B99" s="157" t="s">
        <v>135</v>
      </c>
      <c r="C99" s="157" t="s">
        <v>770</v>
      </c>
      <c r="D99" s="157" t="s">
        <v>1022</v>
      </c>
      <c r="E99" s="157" t="s">
        <v>1081</v>
      </c>
      <c r="F99" s="338">
        <v>45145.0</v>
      </c>
      <c r="G99" s="157" t="s">
        <v>136</v>
      </c>
      <c r="H99" s="160">
        <v>0.0</v>
      </c>
      <c r="I99" s="160">
        <v>5499999.0</v>
      </c>
      <c r="J99" s="160">
        <v>2456164.8</v>
      </c>
      <c r="K99" s="160">
        <v>136605.11</v>
      </c>
      <c r="L99" s="160">
        <v>71.0</v>
      </c>
      <c r="M99" s="160">
        <v>59.0</v>
      </c>
      <c r="N99" s="160">
        <v>0.0</v>
      </c>
      <c r="O99" s="160">
        <v>71.0</v>
      </c>
      <c r="P99" s="160">
        <v>12.0</v>
      </c>
      <c r="Q99" s="160">
        <v>2456164.8</v>
      </c>
      <c r="R99" s="160">
        <v>0.0</v>
      </c>
      <c r="S99" s="160">
        <v>31.0</v>
      </c>
      <c r="T99" s="160">
        <v>0.0</v>
      </c>
      <c r="U99" s="160">
        <v>31.0</v>
      </c>
      <c r="V99" s="160">
        <v>1.0</v>
      </c>
      <c r="W99" s="160">
        <v>25.0</v>
      </c>
      <c r="X99" s="160">
        <v>35.0</v>
      </c>
      <c r="Y99" s="160">
        <v>195.0</v>
      </c>
      <c r="Z99" s="160">
        <v>1.0</v>
      </c>
      <c r="AA99" s="160">
        <v>16.0</v>
      </c>
      <c r="AB99" s="160">
        <v>1.0</v>
      </c>
      <c r="AC99" s="160">
        <v>3.0</v>
      </c>
      <c r="AD99" s="160">
        <v>0.0</v>
      </c>
      <c r="AE99" s="160">
        <v>0.0</v>
      </c>
      <c r="AF99" s="160">
        <v>240.0</v>
      </c>
      <c r="AG99" s="160">
        <v>294.0</v>
      </c>
      <c r="AH99" s="160">
        <v>71.0</v>
      </c>
      <c r="AI99" s="160">
        <v>34594.0</v>
      </c>
      <c r="AJ99" s="160">
        <v>4.0</v>
      </c>
      <c r="AK99" s="160">
        <v>33259.0</v>
      </c>
      <c r="AL99" s="160">
        <v>0.0</v>
      </c>
      <c r="AM99" s="160">
        <v>0.0135</v>
      </c>
      <c r="AN99" s="160">
        <v>79231.0</v>
      </c>
      <c r="AO99" s="160">
        <v>0.45</v>
      </c>
      <c r="AP99" s="160">
        <v>0.0</v>
      </c>
      <c r="AQ99" s="160">
        <v>118.0</v>
      </c>
      <c r="AR99" s="160">
        <v>663.0</v>
      </c>
      <c r="AS99" s="160">
        <v>4098.07</v>
      </c>
      <c r="AT99" s="160">
        <v>0.0</v>
      </c>
      <c r="AU99" s="160">
        <v>69.0</v>
      </c>
      <c r="AV99" s="160">
        <v>31.0</v>
      </c>
      <c r="AW99" s="160">
        <v>29.0</v>
      </c>
      <c r="AX99" s="160">
        <v>11.0</v>
      </c>
      <c r="AY99" s="537"/>
      <c r="AZ99" s="537"/>
    </row>
    <row r="100">
      <c r="A100" s="157" t="s">
        <v>185</v>
      </c>
      <c r="B100" s="157" t="s">
        <v>189</v>
      </c>
      <c r="C100" s="157" t="s">
        <v>414</v>
      </c>
      <c r="D100" s="157" t="s">
        <v>1016</v>
      </c>
      <c r="E100" s="157" t="s">
        <v>415</v>
      </c>
      <c r="F100" s="285">
        <v>45148.0</v>
      </c>
      <c r="G100" s="157" t="s">
        <v>186</v>
      </c>
      <c r="H100" s="160">
        <v>0.0</v>
      </c>
      <c r="I100" s="160">
        <v>5199999.0</v>
      </c>
      <c r="J100" s="160">
        <v>2886513.97</v>
      </c>
      <c r="K100" s="160">
        <v>0.0</v>
      </c>
      <c r="L100" s="160">
        <v>101.0</v>
      </c>
      <c r="M100" s="160">
        <v>93.0</v>
      </c>
      <c r="N100" s="160">
        <v>0.0</v>
      </c>
      <c r="O100" s="160">
        <v>101.0</v>
      </c>
      <c r="P100" s="160">
        <v>8.0</v>
      </c>
      <c r="Q100" s="160">
        <v>2886513.97</v>
      </c>
      <c r="R100" s="160">
        <v>0.0</v>
      </c>
      <c r="S100" s="160">
        <v>40.0</v>
      </c>
      <c r="T100" s="160">
        <v>0.0</v>
      </c>
      <c r="U100" s="160">
        <v>40.0</v>
      </c>
      <c r="V100" s="160">
        <v>0.0</v>
      </c>
      <c r="W100" s="160">
        <v>36.0</v>
      </c>
      <c r="X100" s="160">
        <v>44.0</v>
      </c>
      <c r="Y100" s="160">
        <v>219.0</v>
      </c>
      <c r="Z100" s="160">
        <v>2.0</v>
      </c>
      <c r="AA100" s="160">
        <v>22.0</v>
      </c>
      <c r="AB100" s="160">
        <v>0.0</v>
      </c>
      <c r="AC100" s="160">
        <v>0.0</v>
      </c>
      <c r="AD100" s="160">
        <v>0.0</v>
      </c>
      <c r="AE100" s="160">
        <v>0.0</v>
      </c>
      <c r="AF100" s="160">
        <v>302.0</v>
      </c>
      <c r="AG100" s="160">
        <v>368.0</v>
      </c>
      <c r="AH100" s="160">
        <v>64.0</v>
      </c>
      <c r="AI100" s="160">
        <v>45102.0</v>
      </c>
      <c r="AJ100" s="160">
        <v>6.0</v>
      </c>
      <c r="AK100" s="160">
        <v>26870.0</v>
      </c>
      <c r="AL100" s="160">
        <v>0.0</v>
      </c>
      <c r="AM100" s="160">
        <v>0.0093</v>
      </c>
      <c r="AN100" s="160">
        <v>72163.0</v>
      </c>
      <c r="AO100" s="160">
        <v>0.56</v>
      </c>
      <c r="AP100" s="160">
        <v>0.0</v>
      </c>
      <c r="AQ100" s="160">
        <v>61.0</v>
      </c>
      <c r="AR100" s="160">
        <v>726.0</v>
      </c>
      <c r="AS100" s="160">
        <v>5037.79</v>
      </c>
      <c r="AT100" s="160">
        <v>0.0</v>
      </c>
      <c r="AU100" s="160">
        <v>54.0</v>
      </c>
      <c r="AV100" s="160">
        <v>40.0</v>
      </c>
      <c r="AW100" s="160">
        <v>53.0</v>
      </c>
      <c r="AX100" s="160">
        <v>8.0</v>
      </c>
      <c r="AY100" s="285">
        <v>46022.0</v>
      </c>
      <c r="AZ100" s="285"/>
    </row>
    <row r="101">
      <c r="A101" s="157" t="s">
        <v>126</v>
      </c>
      <c r="B101" s="157" t="s">
        <v>135</v>
      </c>
      <c r="C101" s="157" t="s">
        <v>772</v>
      </c>
      <c r="D101" s="157" t="s">
        <v>1042</v>
      </c>
      <c r="E101" s="157" t="s">
        <v>180</v>
      </c>
      <c r="F101" s="285">
        <v>45152.0</v>
      </c>
      <c r="G101" s="157" t="s">
        <v>136</v>
      </c>
      <c r="H101" s="160">
        <v>0.0</v>
      </c>
      <c r="I101" s="160">
        <v>6000000.0</v>
      </c>
      <c r="J101" s="160">
        <v>5686697.63</v>
      </c>
      <c r="K101" s="160">
        <v>0.0</v>
      </c>
      <c r="L101" s="160">
        <v>120.0</v>
      </c>
      <c r="M101" s="160">
        <v>86.0</v>
      </c>
      <c r="N101" s="160">
        <v>6.0</v>
      </c>
      <c r="O101" s="160">
        <v>126.0</v>
      </c>
      <c r="P101" s="160">
        <v>40.0</v>
      </c>
      <c r="Q101" s="160">
        <v>5186126.41</v>
      </c>
      <c r="R101" s="160">
        <v>500571.22</v>
      </c>
      <c r="S101" s="160">
        <v>65.0</v>
      </c>
      <c r="T101" s="160">
        <v>5.0</v>
      </c>
      <c r="U101" s="160">
        <v>70.0</v>
      </c>
      <c r="V101" s="160">
        <v>0.0</v>
      </c>
      <c r="W101" s="160">
        <v>32.0</v>
      </c>
      <c r="X101" s="160">
        <v>36.0</v>
      </c>
      <c r="Y101" s="160">
        <v>266.0</v>
      </c>
      <c r="Z101" s="160">
        <v>4.0</v>
      </c>
      <c r="AA101" s="160">
        <v>25.0</v>
      </c>
      <c r="AB101" s="160">
        <v>0.0</v>
      </c>
      <c r="AC101" s="160">
        <v>0.0</v>
      </c>
      <c r="AD101" s="160">
        <v>1.0</v>
      </c>
      <c r="AE101" s="160">
        <v>14.0</v>
      </c>
      <c r="AF101" s="160">
        <v>200.0</v>
      </c>
      <c r="AG101" s="160">
        <v>275.0</v>
      </c>
      <c r="AH101" s="160">
        <v>72.0</v>
      </c>
      <c r="AI101" s="160">
        <v>78982.0</v>
      </c>
      <c r="AJ101" s="160">
        <v>4.0</v>
      </c>
      <c r="AK101" s="160">
        <v>34708.0</v>
      </c>
      <c r="AL101" s="160">
        <v>0.0</v>
      </c>
      <c r="AM101" s="160">
        <v>0.0061</v>
      </c>
      <c r="AN101" s="160">
        <v>81239.0</v>
      </c>
      <c r="AO101" s="160">
        <v>0.95</v>
      </c>
      <c r="AP101" s="160">
        <v>0.0</v>
      </c>
      <c r="AQ101" s="160">
        <v>278.0</v>
      </c>
      <c r="AR101" s="160">
        <v>628.0</v>
      </c>
      <c r="AS101" s="160">
        <v>4087.32</v>
      </c>
      <c r="AT101" s="160">
        <v>5.0</v>
      </c>
      <c r="AU101" s="160">
        <v>48.0</v>
      </c>
      <c r="AV101" s="160">
        <v>70.0</v>
      </c>
      <c r="AW101" s="160">
        <v>25.0</v>
      </c>
      <c r="AX101" s="160">
        <v>31.0</v>
      </c>
      <c r="AY101" s="537"/>
      <c r="AZ101" s="537"/>
    </row>
    <row r="102">
      <c r="A102" s="157" t="s">
        <v>298</v>
      </c>
      <c r="B102" s="157" t="s">
        <v>301</v>
      </c>
      <c r="C102" s="157" t="s">
        <v>773</v>
      </c>
      <c r="D102" s="157" t="s">
        <v>1066</v>
      </c>
      <c r="E102" s="157" t="s">
        <v>310</v>
      </c>
      <c r="F102" s="285">
        <v>45159.0</v>
      </c>
      <c r="G102" s="157" t="s">
        <v>298</v>
      </c>
      <c r="H102" s="160">
        <v>0.0</v>
      </c>
      <c r="I102" s="160">
        <v>4500000.0</v>
      </c>
      <c r="J102" s="160">
        <v>3097125.1</v>
      </c>
      <c r="K102" s="160">
        <v>0.0</v>
      </c>
      <c r="L102" s="160">
        <v>72.0</v>
      </c>
      <c r="M102" s="160">
        <v>61.0</v>
      </c>
      <c r="N102" s="160">
        <v>1.0</v>
      </c>
      <c r="O102" s="160">
        <v>73.0</v>
      </c>
      <c r="P102" s="160">
        <v>12.0</v>
      </c>
      <c r="Q102" s="160">
        <v>3086484.46</v>
      </c>
      <c r="R102" s="160">
        <v>10640.64</v>
      </c>
      <c r="S102" s="160">
        <v>37.0</v>
      </c>
      <c r="T102" s="160">
        <v>1.0</v>
      </c>
      <c r="U102" s="160">
        <v>38.0</v>
      </c>
      <c r="V102" s="160">
        <v>0.0</v>
      </c>
      <c r="W102" s="160">
        <v>22.0</v>
      </c>
      <c r="X102" s="160">
        <v>33.0</v>
      </c>
      <c r="Y102" s="160">
        <v>163.0</v>
      </c>
      <c r="Z102" s="160">
        <v>1.0</v>
      </c>
      <c r="AA102" s="160">
        <v>4.0</v>
      </c>
      <c r="AB102" s="160">
        <v>0.0</v>
      </c>
      <c r="AC102" s="160">
        <v>0.0</v>
      </c>
      <c r="AD102" s="160">
        <v>0.0</v>
      </c>
      <c r="AE102" s="160">
        <v>0.0</v>
      </c>
      <c r="AF102" s="160">
        <v>350.0</v>
      </c>
      <c r="AG102" s="160">
        <v>387.0</v>
      </c>
      <c r="AH102" s="160">
        <v>75.0</v>
      </c>
      <c r="AI102" s="160">
        <v>41295.0</v>
      </c>
      <c r="AJ102" s="160">
        <v>5.0</v>
      </c>
      <c r="AK102" s="160">
        <v>30195.0</v>
      </c>
      <c r="AL102" s="160">
        <v>0.0</v>
      </c>
      <c r="AM102" s="160">
        <v>0.0097</v>
      </c>
      <c r="AN102" s="160">
        <v>81503.0</v>
      </c>
      <c r="AO102" s="160">
        <v>0.69</v>
      </c>
      <c r="AP102" s="160">
        <v>0.0</v>
      </c>
      <c r="AQ102" s="160">
        <v>91.0</v>
      </c>
      <c r="AR102" s="160">
        <v>790.0</v>
      </c>
      <c r="AS102" s="160">
        <v>5922.13</v>
      </c>
      <c r="AT102" s="160">
        <v>1.0</v>
      </c>
      <c r="AU102" s="160">
        <v>97.0</v>
      </c>
      <c r="AV102" s="160">
        <v>38.0</v>
      </c>
      <c r="AW102" s="160">
        <v>25.0</v>
      </c>
      <c r="AX102" s="160">
        <v>10.0</v>
      </c>
      <c r="AY102" s="537"/>
      <c r="AZ102" s="537"/>
    </row>
    <row r="103">
      <c r="A103" s="157" t="s">
        <v>185</v>
      </c>
      <c r="B103" s="157" t="s">
        <v>215</v>
      </c>
      <c r="C103" s="157" t="s">
        <v>776</v>
      </c>
      <c r="D103" s="157" t="s">
        <v>1065</v>
      </c>
      <c r="E103" s="157" t="s">
        <v>278</v>
      </c>
      <c r="F103" s="338">
        <v>45170.0</v>
      </c>
      <c r="G103" s="157" t="s">
        <v>185</v>
      </c>
      <c r="H103" s="160">
        <v>0.0</v>
      </c>
      <c r="I103" s="160">
        <v>0.0</v>
      </c>
      <c r="J103" s="160">
        <v>0.0</v>
      </c>
      <c r="K103" s="160">
        <v>0.0</v>
      </c>
      <c r="L103" s="160">
        <v>215.0</v>
      </c>
      <c r="M103" s="160">
        <v>89.0</v>
      </c>
      <c r="N103" s="160">
        <v>6.0</v>
      </c>
      <c r="O103" s="160">
        <v>221.0</v>
      </c>
      <c r="P103" s="160">
        <v>132.0</v>
      </c>
      <c r="Q103" s="160">
        <v>0.0</v>
      </c>
      <c r="R103" s="160">
        <v>0.0</v>
      </c>
      <c r="S103" s="160">
        <v>0.0</v>
      </c>
      <c r="T103" s="160">
        <v>0.0</v>
      </c>
      <c r="U103" s="160">
        <v>0.0</v>
      </c>
      <c r="V103" s="160">
        <v>0.0</v>
      </c>
      <c r="W103" s="160">
        <v>14.0</v>
      </c>
      <c r="X103" s="160">
        <v>16.0</v>
      </c>
      <c r="Y103" s="160">
        <v>78.0</v>
      </c>
      <c r="Z103" s="160">
        <v>4.0</v>
      </c>
      <c r="AA103" s="160">
        <v>44.0</v>
      </c>
      <c r="AB103" s="160">
        <v>0.0</v>
      </c>
      <c r="AC103" s="160">
        <v>0.0</v>
      </c>
      <c r="AD103" s="160">
        <v>0.0</v>
      </c>
      <c r="AE103" s="160">
        <v>0.0</v>
      </c>
      <c r="AF103" s="160">
        <v>147.0</v>
      </c>
      <c r="AG103" s="160">
        <v>207.0</v>
      </c>
      <c r="AH103" s="160">
        <v>64.0</v>
      </c>
      <c r="AI103" s="160">
        <v>0.0</v>
      </c>
      <c r="AJ103" s="160">
        <v>3.0</v>
      </c>
      <c r="AK103" s="160">
        <v>95640.0</v>
      </c>
      <c r="AL103" s="160">
        <v>0.0</v>
      </c>
      <c r="AM103" s="160">
        <v>0.0</v>
      </c>
      <c r="AN103" s="160">
        <v>0.0</v>
      </c>
      <c r="AO103" s="160">
        <v>0.0</v>
      </c>
      <c r="AP103" s="160">
        <v>0.0</v>
      </c>
      <c r="AQ103" s="160">
        <v>0.0</v>
      </c>
      <c r="AR103" s="160">
        <v>598.0</v>
      </c>
      <c r="AS103" s="160">
        <v>3603.13</v>
      </c>
      <c r="AT103" s="160">
        <v>0.0</v>
      </c>
      <c r="AU103" s="160">
        <v>40.0</v>
      </c>
      <c r="AV103" s="160">
        <v>0.0</v>
      </c>
      <c r="AW103" s="160">
        <v>89.0</v>
      </c>
      <c r="AX103" s="160">
        <v>132.0</v>
      </c>
      <c r="AY103" s="537"/>
      <c r="AZ103" s="537"/>
    </row>
    <row r="104">
      <c r="A104" s="157" t="s">
        <v>126</v>
      </c>
      <c r="B104" s="157" t="s">
        <v>130</v>
      </c>
      <c r="C104" s="157" t="s">
        <v>781</v>
      </c>
      <c r="D104" s="157" t="s">
        <v>1082</v>
      </c>
      <c r="E104" s="157" t="s">
        <v>441</v>
      </c>
      <c r="F104" s="338">
        <v>45171.0</v>
      </c>
      <c r="G104" s="157" t="s">
        <v>580</v>
      </c>
      <c r="H104" s="160">
        <v>0.0</v>
      </c>
      <c r="I104" s="160">
        <v>2000000.0</v>
      </c>
      <c r="J104" s="160">
        <v>95477.06</v>
      </c>
      <c r="K104" s="160">
        <v>0.0</v>
      </c>
      <c r="L104" s="160">
        <v>28.0</v>
      </c>
      <c r="M104" s="160">
        <v>22.0</v>
      </c>
      <c r="N104" s="160">
        <v>6.0</v>
      </c>
      <c r="O104" s="160">
        <v>34.0</v>
      </c>
      <c r="P104" s="160">
        <v>12.0</v>
      </c>
      <c r="Q104" s="160">
        <v>95477.06</v>
      </c>
      <c r="R104" s="160">
        <v>0.0</v>
      </c>
      <c r="S104" s="160">
        <v>6.0</v>
      </c>
      <c r="T104" s="160">
        <v>0.0</v>
      </c>
      <c r="U104" s="160">
        <v>6.0</v>
      </c>
      <c r="V104" s="160">
        <v>0.0</v>
      </c>
      <c r="W104" s="160">
        <v>23.0</v>
      </c>
      <c r="X104" s="160">
        <v>28.0</v>
      </c>
      <c r="Y104" s="160">
        <v>230.0</v>
      </c>
      <c r="Z104" s="160">
        <v>3.0</v>
      </c>
      <c r="AA104" s="160">
        <v>24.0</v>
      </c>
      <c r="AB104" s="160">
        <v>0.0</v>
      </c>
      <c r="AC104" s="160">
        <v>0.0</v>
      </c>
      <c r="AD104" s="160">
        <v>12.0</v>
      </c>
      <c r="AE104" s="160">
        <v>31.0</v>
      </c>
      <c r="AF104" s="160">
        <v>129.0</v>
      </c>
      <c r="AG104" s="160">
        <v>212.0</v>
      </c>
      <c r="AH104" s="160">
        <v>48.0</v>
      </c>
      <c r="AI104" s="160">
        <v>1989.0</v>
      </c>
      <c r="AJ104" s="160">
        <v>4.0</v>
      </c>
      <c r="AK104" s="160">
        <v>34940.0</v>
      </c>
      <c r="AL104" s="160">
        <v>0.0</v>
      </c>
      <c r="AM104" s="160">
        <v>0.366</v>
      </c>
      <c r="AN104" s="160">
        <v>15913.0</v>
      </c>
      <c r="AO104" s="160">
        <v>0.05</v>
      </c>
      <c r="AP104" s="160">
        <v>0.0</v>
      </c>
      <c r="AQ104" s="160">
        <v>9.0</v>
      </c>
      <c r="AR104" s="160">
        <v>432.0</v>
      </c>
      <c r="AS104" s="160">
        <v>1820.91</v>
      </c>
      <c r="AT104" s="160">
        <v>0.0</v>
      </c>
      <c r="AU104" s="160">
        <v>83.0</v>
      </c>
      <c r="AV104" s="160">
        <v>6.0</v>
      </c>
      <c r="AW104" s="160">
        <v>16.0</v>
      </c>
      <c r="AX104" s="160">
        <v>12.0</v>
      </c>
      <c r="AY104" s="285">
        <v>45991.0</v>
      </c>
      <c r="AZ104" s="285"/>
    </row>
    <row r="105">
      <c r="A105" s="157" t="s">
        <v>185</v>
      </c>
      <c r="B105" s="157" t="s">
        <v>215</v>
      </c>
      <c r="C105" s="157" t="s">
        <v>783</v>
      </c>
      <c r="D105" s="157" t="s">
        <v>1064</v>
      </c>
      <c r="E105" s="157" t="s">
        <v>250</v>
      </c>
      <c r="F105" s="285">
        <v>45184.0</v>
      </c>
      <c r="G105" s="157" t="s">
        <v>185</v>
      </c>
      <c r="H105" s="160">
        <v>0.0</v>
      </c>
      <c r="I105" s="160">
        <v>5574999.0</v>
      </c>
      <c r="J105" s="160">
        <v>4546754.71</v>
      </c>
      <c r="K105" s="160">
        <v>0.0</v>
      </c>
      <c r="L105" s="160">
        <v>49.0</v>
      </c>
      <c r="M105" s="160">
        <v>43.0</v>
      </c>
      <c r="N105" s="160">
        <v>5.0</v>
      </c>
      <c r="O105" s="160">
        <v>54.0</v>
      </c>
      <c r="P105" s="160">
        <v>11.0</v>
      </c>
      <c r="Q105" s="160">
        <v>3592692.79</v>
      </c>
      <c r="R105" s="160">
        <v>954061.92</v>
      </c>
      <c r="S105" s="160">
        <v>14.0</v>
      </c>
      <c r="T105" s="160">
        <v>5.0</v>
      </c>
      <c r="U105" s="160">
        <v>19.0</v>
      </c>
      <c r="V105" s="160">
        <v>0.0</v>
      </c>
      <c r="W105" s="160">
        <v>22.0</v>
      </c>
      <c r="X105" s="160">
        <v>27.0</v>
      </c>
      <c r="Y105" s="160">
        <v>118.0</v>
      </c>
      <c r="Z105" s="160">
        <v>1.0</v>
      </c>
      <c r="AA105" s="160">
        <v>5.0</v>
      </c>
      <c r="AB105" s="160">
        <v>0.0</v>
      </c>
      <c r="AC105" s="160">
        <v>0.0</v>
      </c>
      <c r="AD105" s="160">
        <v>0.0</v>
      </c>
      <c r="AE105" s="160">
        <v>0.0</v>
      </c>
      <c r="AF105" s="160">
        <v>227.0</v>
      </c>
      <c r="AG105" s="160">
        <v>259.0</v>
      </c>
      <c r="AH105" s="160">
        <v>77.0</v>
      </c>
      <c r="AI105" s="160">
        <v>59049.0</v>
      </c>
      <c r="AJ105" s="160">
        <v>3.0</v>
      </c>
      <c r="AK105" s="160">
        <v>36400.0</v>
      </c>
      <c r="AL105" s="160">
        <v>0.0</v>
      </c>
      <c r="AM105" s="160">
        <v>0.008</v>
      </c>
      <c r="AN105" s="160">
        <v>239303.0</v>
      </c>
      <c r="AO105" s="160">
        <v>0.82</v>
      </c>
      <c r="AP105" s="160">
        <v>0.0</v>
      </c>
      <c r="AQ105" s="160">
        <v>38.0</v>
      </c>
      <c r="AR105" s="160">
        <v>660.0</v>
      </c>
      <c r="AS105" s="160">
        <v>3605.78</v>
      </c>
      <c r="AT105" s="160">
        <v>5.0</v>
      </c>
      <c r="AU105" s="160">
        <v>84.0</v>
      </c>
      <c r="AV105" s="160">
        <v>19.0</v>
      </c>
      <c r="AW105" s="160">
        <v>24.0</v>
      </c>
      <c r="AX105" s="160">
        <v>11.0</v>
      </c>
      <c r="AY105" s="537"/>
      <c r="AZ105" s="537"/>
    </row>
    <row r="106">
      <c r="A106" s="157" t="s">
        <v>185</v>
      </c>
      <c r="B106" s="157" t="s">
        <v>212</v>
      </c>
      <c r="C106" s="157" t="s">
        <v>784</v>
      </c>
      <c r="D106" s="157" t="s">
        <v>40</v>
      </c>
      <c r="E106" s="157" t="s">
        <v>39</v>
      </c>
      <c r="F106" s="285">
        <v>45182.0</v>
      </c>
      <c r="G106" s="157" t="s">
        <v>23</v>
      </c>
      <c r="H106" s="160">
        <v>0.0</v>
      </c>
      <c r="I106" s="160">
        <v>0.0</v>
      </c>
      <c r="J106" s="160">
        <v>0.0</v>
      </c>
      <c r="K106" s="160">
        <v>0.0</v>
      </c>
      <c r="L106" s="160">
        <v>46.0</v>
      </c>
      <c r="M106" s="160">
        <v>0.0</v>
      </c>
      <c r="N106" s="160">
        <v>0.0</v>
      </c>
      <c r="O106" s="160">
        <v>46.0</v>
      </c>
      <c r="P106" s="160">
        <v>46.0</v>
      </c>
      <c r="Q106" s="160">
        <v>0.0</v>
      </c>
      <c r="R106" s="160">
        <v>0.0</v>
      </c>
      <c r="S106" s="160">
        <v>0.0</v>
      </c>
      <c r="T106" s="160">
        <v>0.0</v>
      </c>
      <c r="U106" s="160">
        <v>0.0</v>
      </c>
      <c r="V106" s="160">
        <v>0.0</v>
      </c>
      <c r="W106" s="160">
        <v>0.0</v>
      </c>
      <c r="X106" s="160">
        <v>0.0</v>
      </c>
      <c r="Y106" s="160">
        <v>89.0</v>
      </c>
      <c r="Z106" s="160">
        <v>0.0</v>
      </c>
      <c r="AA106" s="160">
        <v>0.0</v>
      </c>
      <c r="AB106" s="160">
        <v>0.0</v>
      </c>
      <c r="AC106" s="160">
        <v>0.0</v>
      </c>
      <c r="AD106" s="160">
        <v>0.0</v>
      </c>
      <c r="AE106" s="160">
        <v>0.0</v>
      </c>
      <c r="AF106" s="160">
        <v>0.0</v>
      </c>
      <c r="AG106" s="160">
        <v>0.0</v>
      </c>
      <c r="AH106" s="160">
        <v>0.0</v>
      </c>
      <c r="AI106" s="160">
        <v>0.0</v>
      </c>
      <c r="AJ106" s="160">
        <v>0.0</v>
      </c>
      <c r="AK106" s="537"/>
      <c r="AL106" s="160">
        <v>0.0</v>
      </c>
      <c r="AM106" s="160">
        <v>0.0</v>
      </c>
      <c r="AN106" s="160">
        <v>0.0</v>
      </c>
      <c r="AO106" s="160">
        <v>0.0</v>
      </c>
      <c r="AP106" s="160">
        <v>0.0</v>
      </c>
      <c r="AQ106" s="160">
        <v>0.0</v>
      </c>
      <c r="AR106" s="160">
        <v>0.0</v>
      </c>
      <c r="AS106" s="160">
        <v>0.0</v>
      </c>
      <c r="AT106" s="160">
        <v>0.0</v>
      </c>
      <c r="AU106" s="160">
        <v>0.0</v>
      </c>
      <c r="AV106" s="160">
        <v>0.0</v>
      </c>
      <c r="AW106" s="160">
        <v>0.0</v>
      </c>
      <c r="AX106" s="160">
        <v>46.0</v>
      </c>
      <c r="AY106" s="342">
        <v>45421.0</v>
      </c>
      <c r="AZ106" s="342"/>
    </row>
    <row r="107">
      <c r="A107" s="157" t="s">
        <v>126</v>
      </c>
      <c r="B107" s="157" t="s">
        <v>130</v>
      </c>
      <c r="C107" s="157" t="s">
        <v>163</v>
      </c>
      <c r="D107" s="157" t="s">
        <v>130</v>
      </c>
      <c r="E107" s="157" t="s">
        <v>151</v>
      </c>
      <c r="F107" s="285">
        <v>45187.0</v>
      </c>
      <c r="G107" s="157" t="s">
        <v>580</v>
      </c>
      <c r="H107" s="160">
        <v>0.0</v>
      </c>
      <c r="I107" s="160">
        <v>5499999.0</v>
      </c>
      <c r="J107" s="160">
        <v>3538715.91</v>
      </c>
      <c r="K107" s="160">
        <v>0.0</v>
      </c>
      <c r="L107" s="160">
        <v>141.0</v>
      </c>
      <c r="M107" s="160">
        <v>95.0</v>
      </c>
      <c r="N107" s="160">
        <v>11.0</v>
      </c>
      <c r="O107" s="160">
        <v>152.0</v>
      </c>
      <c r="P107" s="160">
        <v>57.0</v>
      </c>
      <c r="Q107" s="160">
        <v>3334881.0</v>
      </c>
      <c r="R107" s="160">
        <v>203834.91</v>
      </c>
      <c r="S107" s="160">
        <v>62.0</v>
      </c>
      <c r="T107" s="160">
        <v>7.0</v>
      </c>
      <c r="U107" s="160">
        <v>69.0</v>
      </c>
      <c r="V107" s="160">
        <v>0.0</v>
      </c>
      <c r="W107" s="160">
        <v>18.0</v>
      </c>
      <c r="X107" s="160">
        <v>22.0</v>
      </c>
      <c r="Y107" s="160">
        <v>214.0</v>
      </c>
      <c r="Z107" s="160">
        <v>2.0</v>
      </c>
      <c r="AA107" s="160">
        <v>32.0</v>
      </c>
      <c r="AB107" s="160">
        <v>0.0</v>
      </c>
      <c r="AC107" s="160">
        <v>0.0</v>
      </c>
      <c r="AD107" s="160">
        <v>0.0</v>
      </c>
      <c r="AE107" s="160">
        <v>0.0</v>
      </c>
      <c r="AF107" s="160">
        <v>333.0</v>
      </c>
      <c r="AG107" s="160">
        <v>387.0</v>
      </c>
      <c r="AH107" s="160">
        <v>74.0</v>
      </c>
      <c r="AI107" s="160">
        <v>47820.0</v>
      </c>
      <c r="AJ107" s="160">
        <v>5.0</v>
      </c>
      <c r="AK107" s="160">
        <v>32670.0</v>
      </c>
      <c r="AL107" s="160">
        <v>0.0</v>
      </c>
      <c r="AM107" s="160">
        <v>0.0092</v>
      </c>
      <c r="AN107" s="160">
        <v>51286.0</v>
      </c>
      <c r="AO107" s="160">
        <v>0.64</v>
      </c>
      <c r="AP107" s="160">
        <v>0.0</v>
      </c>
      <c r="AQ107" s="160">
        <v>164.0</v>
      </c>
      <c r="AR107" s="160">
        <v>632.0</v>
      </c>
      <c r="AS107" s="160">
        <v>2860.12</v>
      </c>
      <c r="AT107" s="160">
        <v>7.0</v>
      </c>
      <c r="AU107" s="160">
        <v>30.0</v>
      </c>
      <c r="AV107" s="160">
        <v>69.0</v>
      </c>
      <c r="AW107" s="160">
        <v>32.0</v>
      </c>
      <c r="AX107" s="160">
        <v>51.0</v>
      </c>
      <c r="AY107" s="537"/>
      <c r="AZ107" s="537"/>
    </row>
    <row r="108">
      <c r="A108" s="157" t="s">
        <v>185</v>
      </c>
      <c r="B108" s="157" t="s">
        <v>189</v>
      </c>
      <c r="C108" s="157" t="s">
        <v>405</v>
      </c>
      <c r="D108" s="157" t="s">
        <v>1083</v>
      </c>
      <c r="E108" s="157" t="s">
        <v>406</v>
      </c>
      <c r="F108" s="338">
        <v>45202.0</v>
      </c>
      <c r="G108" s="157" t="s">
        <v>191</v>
      </c>
      <c r="H108" s="160">
        <v>0.0</v>
      </c>
      <c r="I108" s="160">
        <v>1500000.0</v>
      </c>
      <c r="J108" s="160">
        <v>0.0</v>
      </c>
      <c r="K108" s="160">
        <v>0.0</v>
      </c>
      <c r="L108" s="160">
        <v>54.0</v>
      </c>
      <c r="M108" s="160">
        <v>14.0</v>
      </c>
      <c r="N108" s="160">
        <v>0.0</v>
      </c>
      <c r="O108" s="160">
        <v>54.0</v>
      </c>
      <c r="P108" s="160">
        <v>40.0</v>
      </c>
      <c r="Q108" s="160">
        <v>0.0</v>
      </c>
      <c r="R108" s="160">
        <v>0.0</v>
      </c>
      <c r="S108" s="160">
        <v>0.0</v>
      </c>
      <c r="T108" s="160">
        <v>0.0</v>
      </c>
      <c r="U108" s="160">
        <v>0.0</v>
      </c>
      <c r="V108" s="160">
        <v>0.0</v>
      </c>
      <c r="W108" s="160">
        <v>0.0</v>
      </c>
      <c r="X108" s="160">
        <v>0.0</v>
      </c>
      <c r="Y108" s="160">
        <v>76.0</v>
      </c>
      <c r="Z108" s="160">
        <v>0.0</v>
      </c>
      <c r="AA108" s="160">
        <v>0.0</v>
      </c>
      <c r="AB108" s="160">
        <v>0.0</v>
      </c>
      <c r="AC108" s="160">
        <v>0.0</v>
      </c>
      <c r="AD108" s="160">
        <v>0.0</v>
      </c>
      <c r="AE108" s="160">
        <v>0.0</v>
      </c>
      <c r="AF108" s="160">
        <v>30.0</v>
      </c>
      <c r="AG108" s="160">
        <v>30.0</v>
      </c>
      <c r="AH108" s="160">
        <v>6.0</v>
      </c>
      <c r="AI108" s="160">
        <v>0.0</v>
      </c>
      <c r="AJ108" s="160">
        <v>5.0</v>
      </c>
      <c r="AK108" s="160">
        <v>25325.0</v>
      </c>
      <c r="AL108" s="160">
        <v>0.0</v>
      </c>
      <c r="AM108" s="160">
        <v>0.0</v>
      </c>
      <c r="AN108" s="160">
        <v>0.0</v>
      </c>
      <c r="AO108" s="160">
        <v>0.0</v>
      </c>
      <c r="AP108" s="160">
        <v>0.0</v>
      </c>
      <c r="AQ108" s="160">
        <v>0.0</v>
      </c>
      <c r="AR108" s="160">
        <v>66.0</v>
      </c>
      <c r="AS108" s="160">
        <v>41.39</v>
      </c>
      <c r="AT108" s="160">
        <v>0.0</v>
      </c>
      <c r="AU108" s="160">
        <v>3.0</v>
      </c>
      <c r="AV108" s="160">
        <v>0.0</v>
      </c>
      <c r="AW108" s="160">
        <v>14.0</v>
      </c>
      <c r="AX108" s="160">
        <v>40.0</v>
      </c>
      <c r="AY108" s="285">
        <v>45943.0</v>
      </c>
      <c r="AZ108" s="285"/>
    </row>
    <row r="109">
      <c r="A109" s="157" t="s">
        <v>185</v>
      </c>
      <c r="B109" s="157" t="s">
        <v>189</v>
      </c>
      <c r="C109" s="157" t="s">
        <v>787</v>
      </c>
      <c r="D109" s="157" t="s">
        <v>1016</v>
      </c>
      <c r="E109" s="157" t="s">
        <v>187</v>
      </c>
      <c r="F109" s="338">
        <v>45202.0</v>
      </c>
      <c r="G109" s="157" t="s">
        <v>185</v>
      </c>
      <c r="H109" s="160">
        <v>0.0</v>
      </c>
      <c r="I109" s="160">
        <v>0.0</v>
      </c>
      <c r="J109" s="160">
        <v>0.0</v>
      </c>
      <c r="K109" s="160">
        <v>0.0</v>
      </c>
      <c r="L109" s="160">
        <v>183.0</v>
      </c>
      <c r="M109" s="160">
        <v>76.0</v>
      </c>
      <c r="N109" s="160">
        <v>5.0</v>
      </c>
      <c r="O109" s="160">
        <v>188.0</v>
      </c>
      <c r="P109" s="160">
        <v>112.0</v>
      </c>
      <c r="Q109" s="160">
        <v>0.0</v>
      </c>
      <c r="R109" s="160">
        <v>0.0</v>
      </c>
      <c r="S109" s="160">
        <v>0.0</v>
      </c>
      <c r="T109" s="160">
        <v>0.0</v>
      </c>
      <c r="U109" s="160">
        <v>0.0</v>
      </c>
      <c r="V109" s="160">
        <v>0.0</v>
      </c>
      <c r="W109" s="160">
        <v>12.0</v>
      </c>
      <c r="X109" s="160">
        <v>17.0</v>
      </c>
      <c r="Y109" s="160">
        <v>28.0</v>
      </c>
      <c r="Z109" s="160">
        <v>21.0</v>
      </c>
      <c r="AA109" s="160">
        <v>44.0</v>
      </c>
      <c r="AB109" s="160">
        <v>1.0</v>
      </c>
      <c r="AC109" s="160">
        <v>1.0</v>
      </c>
      <c r="AD109" s="160">
        <v>0.0</v>
      </c>
      <c r="AE109" s="160">
        <v>0.0</v>
      </c>
      <c r="AF109" s="160">
        <v>131.0</v>
      </c>
      <c r="AG109" s="160">
        <v>193.0</v>
      </c>
      <c r="AH109" s="160">
        <v>75.0</v>
      </c>
      <c r="AI109" s="160">
        <v>0.0</v>
      </c>
      <c r="AJ109" s="160">
        <v>3.0</v>
      </c>
      <c r="AK109" s="160">
        <v>93820.0</v>
      </c>
      <c r="AL109" s="160">
        <v>0.0</v>
      </c>
      <c r="AM109" s="160">
        <v>0.0</v>
      </c>
      <c r="AN109" s="160">
        <v>0.0</v>
      </c>
      <c r="AO109" s="160">
        <v>0.0</v>
      </c>
      <c r="AP109" s="160">
        <v>0.0</v>
      </c>
      <c r="AQ109" s="160">
        <v>0.0</v>
      </c>
      <c r="AR109" s="160">
        <v>768.0</v>
      </c>
      <c r="AS109" s="160">
        <v>5581.23</v>
      </c>
      <c r="AT109" s="160">
        <v>0.0</v>
      </c>
      <c r="AU109" s="160">
        <v>73.0</v>
      </c>
      <c r="AV109" s="160">
        <v>0.0</v>
      </c>
      <c r="AW109" s="160">
        <v>76.0</v>
      </c>
      <c r="AX109" s="160">
        <v>112.0</v>
      </c>
      <c r="AY109" s="537"/>
      <c r="AZ109" s="537"/>
    </row>
    <row r="110">
      <c r="A110" s="157" t="s">
        <v>73</v>
      </c>
      <c r="B110" s="157" t="s">
        <v>1229</v>
      </c>
      <c r="C110" s="157" t="s">
        <v>79</v>
      </c>
      <c r="D110" s="157" t="s">
        <v>76</v>
      </c>
      <c r="E110" s="157" t="s">
        <v>80</v>
      </c>
      <c r="F110" s="338">
        <v>45208.0</v>
      </c>
      <c r="G110" s="157" t="s">
        <v>73</v>
      </c>
      <c r="H110" s="160">
        <v>500001.0</v>
      </c>
      <c r="I110" s="160">
        <v>3000000.0</v>
      </c>
      <c r="J110" s="160">
        <v>952695.51</v>
      </c>
      <c r="K110" s="160">
        <v>0.0</v>
      </c>
      <c r="L110" s="160">
        <v>21.0</v>
      </c>
      <c r="M110" s="160">
        <v>23.0</v>
      </c>
      <c r="N110" s="160">
        <v>4.0</v>
      </c>
      <c r="O110" s="160">
        <v>25.0</v>
      </c>
      <c r="P110" s="160">
        <v>2.0</v>
      </c>
      <c r="Q110" s="160">
        <v>753292.41</v>
      </c>
      <c r="R110" s="160">
        <v>199403.1</v>
      </c>
      <c r="S110" s="160">
        <v>9.0</v>
      </c>
      <c r="T110" s="160">
        <v>4.0</v>
      </c>
      <c r="U110" s="160">
        <v>13.0</v>
      </c>
      <c r="V110" s="160">
        <v>0.0</v>
      </c>
      <c r="W110" s="160">
        <v>10.0</v>
      </c>
      <c r="X110" s="160">
        <v>20.0</v>
      </c>
      <c r="Y110" s="160">
        <v>111.0</v>
      </c>
      <c r="Z110" s="160">
        <v>1.0</v>
      </c>
      <c r="AA110" s="160">
        <v>26.0</v>
      </c>
      <c r="AB110" s="160">
        <v>1.0</v>
      </c>
      <c r="AC110" s="160">
        <v>1.0</v>
      </c>
      <c r="AD110" s="160">
        <v>0.0</v>
      </c>
      <c r="AE110" s="160">
        <v>0.0</v>
      </c>
      <c r="AF110" s="160">
        <v>254.0</v>
      </c>
      <c r="AG110" s="160">
        <v>301.0</v>
      </c>
      <c r="AH110" s="160">
        <v>69.0</v>
      </c>
      <c r="AI110" s="160">
        <v>13807.0</v>
      </c>
      <c r="AJ110" s="160">
        <v>4.0</v>
      </c>
      <c r="AK110" s="160">
        <v>36018.0</v>
      </c>
      <c r="AL110" s="160">
        <v>0.0</v>
      </c>
      <c r="AM110" s="160">
        <v>0.0378</v>
      </c>
      <c r="AN110" s="160">
        <v>73284.0</v>
      </c>
      <c r="AO110" s="160">
        <v>0.32</v>
      </c>
      <c r="AP110" s="160">
        <v>0.0</v>
      </c>
      <c r="AQ110" s="160">
        <v>21.0</v>
      </c>
      <c r="AR110" s="160">
        <v>596.0</v>
      </c>
      <c r="AS110" s="160">
        <v>3176.3</v>
      </c>
      <c r="AT110" s="160">
        <v>4.0</v>
      </c>
      <c r="AU110" s="160">
        <v>138.0</v>
      </c>
      <c r="AV110" s="160">
        <v>13.0</v>
      </c>
      <c r="AW110" s="160">
        <v>11.0</v>
      </c>
      <c r="AX110" s="160">
        <v>1.0</v>
      </c>
      <c r="AY110" s="537"/>
      <c r="AZ110" s="537"/>
    </row>
    <row r="111">
      <c r="A111" s="157" t="s">
        <v>185</v>
      </c>
      <c r="B111" s="157" t="s">
        <v>212</v>
      </c>
      <c r="C111" s="157" t="s">
        <v>251</v>
      </c>
      <c r="D111" s="157" t="s">
        <v>1065</v>
      </c>
      <c r="E111" s="157" t="s">
        <v>252</v>
      </c>
      <c r="F111" s="338">
        <v>45231.0</v>
      </c>
      <c r="G111" s="157" t="s">
        <v>218</v>
      </c>
      <c r="H111" s="160">
        <v>0.0</v>
      </c>
      <c r="I111" s="160">
        <v>4500000.0</v>
      </c>
      <c r="J111" s="160">
        <v>1003211.53</v>
      </c>
      <c r="K111" s="160">
        <v>0.0</v>
      </c>
      <c r="L111" s="160">
        <v>40.0</v>
      </c>
      <c r="M111" s="160">
        <v>36.0</v>
      </c>
      <c r="N111" s="160">
        <v>0.0</v>
      </c>
      <c r="O111" s="160">
        <v>40.0</v>
      </c>
      <c r="P111" s="160">
        <v>4.0</v>
      </c>
      <c r="Q111" s="160">
        <v>1003211.53</v>
      </c>
      <c r="R111" s="160">
        <v>0.0</v>
      </c>
      <c r="S111" s="160">
        <v>4.0</v>
      </c>
      <c r="T111" s="160">
        <v>0.0</v>
      </c>
      <c r="U111" s="160">
        <v>4.0</v>
      </c>
      <c r="V111" s="160">
        <v>0.0</v>
      </c>
      <c r="W111" s="160">
        <v>19.0</v>
      </c>
      <c r="X111" s="160">
        <v>29.0</v>
      </c>
      <c r="Y111" s="160">
        <v>79.0</v>
      </c>
      <c r="Z111" s="160">
        <v>1.0</v>
      </c>
      <c r="AA111" s="160">
        <v>59.0</v>
      </c>
      <c r="AB111" s="160">
        <v>0.0</v>
      </c>
      <c r="AC111" s="160">
        <v>0.0</v>
      </c>
      <c r="AD111" s="160">
        <v>0.0</v>
      </c>
      <c r="AE111" s="160">
        <v>0.0</v>
      </c>
      <c r="AF111" s="160">
        <v>210.0</v>
      </c>
      <c r="AG111" s="160">
        <v>298.0</v>
      </c>
      <c r="AH111" s="160">
        <v>69.0</v>
      </c>
      <c r="AI111" s="160">
        <v>14539.0</v>
      </c>
      <c r="AJ111" s="160">
        <v>4.0</v>
      </c>
      <c r="AK111" s="160">
        <v>25803.0</v>
      </c>
      <c r="AL111" s="160">
        <v>0.0</v>
      </c>
      <c r="AM111" s="160">
        <v>0.0257</v>
      </c>
      <c r="AN111" s="160">
        <v>250803.0</v>
      </c>
      <c r="AO111" s="160">
        <v>0.22</v>
      </c>
      <c r="AP111" s="160">
        <v>0.0</v>
      </c>
      <c r="AQ111" s="160">
        <v>5.0</v>
      </c>
      <c r="AR111" s="160">
        <v>608.0</v>
      </c>
      <c r="AS111" s="160">
        <v>2623.44</v>
      </c>
      <c r="AT111" s="160">
        <v>0.0</v>
      </c>
      <c r="AU111" s="160">
        <v>73.0</v>
      </c>
      <c r="AV111" s="160">
        <v>4.0</v>
      </c>
      <c r="AW111" s="160">
        <v>32.0</v>
      </c>
      <c r="AX111" s="160">
        <v>4.0</v>
      </c>
      <c r="AY111" s="537"/>
      <c r="AZ111" s="537"/>
    </row>
    <row r="112">
      <c r="A112" s="157" t="s">
        <v>185</v>
      </c>
      <c r="B112" s="157" t="s">
        <v>212</v>
      </c>
      <c r="C112" s="157" t="s">
        <v>253</v>
      </c>
      <c r="D112" s="157" t="s">
        <v>1031</v>
      </c>
      <c r="E112" s="157" t="s">
        <v>254</v>
      </c>
      <c r="F112" s="338">
        <v>45233.0</v>
      </c>
      <c r="G112" s="157" t="s">
        <v>489</v>
      </c>
      <c r="H112" s="160">
        <v>0.0</v>
      </c>
      <c r="I112" s="160">
        <v>4500000.0</v>
      </c>
      <c r="J112" s="160">
        <v>2940046.07</v>
      </c>
      <c r="K112" s="160">
        <v>0.0</v>
      </c>
      <c r="L112" s="160">
        <v>56.0</v>
      </c>
      <c r="M112" s="160">
        <v>49.0</v>
      </c>
      <c r="N112" s="160">
        <v>3.0</v>
      </c>
      <c r="O112" s="160">
        <v>59.0</v>
      </c>
      <c r="P112" s="160">
        <v>10.0</v>
      </c>
      <c r="Q112" s="160">
        <v>2796595.89</v>
      </c>
      <c r="R112" s="160">
        <v>143450.18</v>
      </c>
      <c r="S112" s="160">
        <v>37.0</v>
      </c>
      <c r="T112" s="160">
        <v>3.0</v>
      </c>
      <c r="U112" s="160">
        <v>40.0</v>
      </c>
      <c r="V112" s="160">
        <v>0.0</v>
      </c>
      <c r="W112" s="160">
        <v>31.0</v>
      </c>
      <c r="X112" s="160">
        <v>43.0</v>
      </c>
      <c r="Y112" s="160">
        <v>85.0</v>
      </c>
      <c r="Z112" s="160">
        <v>3.0</v>
      </c>
      <c r="AA112" s="160">
        <v>45.0</v>
      </c>
      <c r="AB112" s="160">
        <v>2.0</v>
      </c>
      <c r="AC112" s="160">
        <v>3.0</v>
      </c>
      <c r="AD112" s="160">
        <v>1.0</v>
      </c>
      <c r="AE112" s="160">
        <v>1.0</v>
      </c>
      <c r="AF112" s="160">
        <v>183.0</v>
      </c>
      <c r="AG112" s="160">
        <v>275.0</v>
      </c>
      <c r="AH112" s="160">
        <v>70.0</v>
      </c>
      <c r="AI112" s="160">
        <v>42001.0</v>
      </c>
      <c r="AJ112" s="160">
        <v>4.0</v>
      </c>
      <c r="AK112" s="160">
        <v>26530.0</v>
      </c>
      <c r="AL112" s="160">
        <v>0.0</v>
      </c>
      <c r="AM112" s="160">
        <v>0.009</v>
      </c>
      <c r="AN112" s="160">
        <v>73501.0</v>
      </c>
      <c r="AO112" s="160">
        <v>0.65</v>
      </c>
      <c r="AP112" s="160">
        <v>0.0</v>
      </c>
      <c r="AQ112" s="160">
        <v>63.0</v>
      </c>
      <c r="AR112" s="160">
        <v>723.0</v>
      </c>
      <c r="AS112" s="160">
        <v>4029.01</v>
      </c>
      <c r="AT112" s="160">
        <v>3.0</v>
      </c>
      <c r="AU112" s="160">
        <v>82.0</v>
      </c>
      <c r="AV112" s="160">
        <v>40.0</v>
      </c>
      <c r="AW112" s="160">
        <v>15.0</v>
      </c>
      <c r="AX112" s="160">
        <v>4.0</v>
      </c>
      <c r="AY112" s="537"/>
      <c r="AZ112" s="537"/>
    </row>
    <row r="113">
      <c r="A113" s="157" t="s">
        <v>185</v>
      </c>
      <c r="B113" s="157" t="s">
        <v>212</v>
      </c>
      <c r="C113" s="157" t="s">
        <v>255</v>
      </c>
      <c r="D113" s="157" t="s">
        <v>1031</v>
      </c>
      <c r="E113" s="157" t="s">
        <v>256</v>
      </c>
      <c r="F113" s="338">
        <v>45236.0</v>
      </c>
      <c r="G113" s="157" t="s">
        <v>489</v>
      </c>
      <c r="H113" s="160">
        <v>0.0</v>
      </c>
      <c r="I113" s="160">
        <v>4500000.0</v>
      </c>
      <c r="J113" s="160">
        <v>3700991.03</v>
      </c>
      <c r="K113" s="160">
        <v>0.0</v>
      </c>
      <c r="L113" s="160">
        <v>61.0</v>
      </c>
      <c r="M113" s="160">
        <v>57.0</v>
      </c>
      <c r="N113" s="160">
        <v>3.0</v>
      </c>
      <c r="O113" s="160">
        <v>64.0</v>
      </c>
      <c r="P113" s="160">
        <v>7.0</v>
      </c>
      <c r="Q113" s="160">
        <v>3500022.03</v>
      </c>
      <c r="R113" s="160">
        <v>200969.0</v>
      </c>
      <c r="S113" s="160">
        <v>39.0</v>
      </c>
      <c r="T113" s="160">
        <v>3.0</v>
      </c>
      <c r="U113" s="160">
        <v>42.0</v>
      </c>
      <c r="V113" s="160">
        <v>0.0</v>
      </c>
      <c r="W113" s="160">
        <v>15.0</v>
      </c>
      <c r="X113" s="160">
        <v>18.0</v>
      </c>
      <c r="Y113" s="160">
        <v>162.0</v>
      </c>
      <c r="Z113" s="160">
        <v>0.0</v>
      </c>
      <c r="AA113" s="160">
        <v>0.0</v>
      </c>
      <c r="AB113" s="160">
        <v>0.0</v>
      </c>
      <c r="AC113" s="160">
        <v>0.0</v>
      </c>
      <c r="AD113" s="160">
        <v>0.0</v>
      </c>
      <c r="AE113" s="160">
        <v>0.0</v>
      </c>
      <c r="AF113" s="160">
        <v>380.0</v>
      </c>
      <c r="AG113" s="160">
        <v>398.0</v>
      </c>
      <c r="AH113" s="160">
        <v>72.0</v>
      </c>
      <c r="AI113" s="160">
        <v>51403.0</v>
      </c>
      <c r="AJ113" s="160">
        <v>6.0</v>
      </c>
      <c r="AK113" s="160">
        <v>27680.0</v>
      </c>
      <c r="AL113" s="160">
        <v>0.0</v>
      </c>
      <c r="AM113" s="160">
        <v>0.0075</v>
      </c>
      <c r="AN113" s="160">
        <v>88119.0</v>
      </c>
      <c r="AO113" s="160">
        <v>0.82</v>
      </c>
      <c r="AP113" s="160">
        <v>0.0</v>
      </c>
      <c r="AQ113" s="160">
        <v>153.0</v>
      </c>
      <c r="AR113" s="160">
        <v>527.0</v>
      </c>
      <c r="AS113" s="160">
        <v>4743.61</v>
      </c>
      <c r="AT113" s="160">
        <v>3.0</v>
      </c>
      <c r="AU113" s="160">
        <v>83.0</v>
      </c>
      <c r="AV113" s="160">
        <v>42.0</v>
      </c>
      <c r="AW113" s="160">
        <v>15.0</v>
      </c>
      <c r="AX113" s="160">
        <v>7.0</v>
      </c>
      <c r="AY113" s="537"/>
      <c r="AZ113" s="537"/>
    </row>
    <row r="114">
      <c r="A114" s="157" t="s">
        <v>185</v>
      </c>
      <c r="B114" s="157" t="s">
        <v>215</v>
      </c>
      <c r="C114" s="157" t="s">
        <v>257</v>
      </c>
      <c r="D114" s="157" t="s">
        <v>1065</v>
      </c>
      <c r="E114" s="157" t="s">
        <v>258</v>
      </c>
      <c r="F114" s="338">
        <v>45236.0</v>
      </c>
      <c r="G114" s="157" t="s">
        <v>776</v>
      </c>
      <c r="H114" s="160">
        <v>0.0</v>
      </c>
      <c r="I114" s="160">
        <v>5850000.0</v>
      </c>
      <c r="J114" s="160">
        <v>3481296.25</v>
      </c>
      <c r="K114" s="160">
        <v>0.0</v>
      </c>
      <c r="L114" s="160">
        <v>32.0</v>
      </c>
      <c r="M114" s="160">
        <v>29.0</v>
      </c>
      <c r="N114" s="160">
        <v>1.0</v>
      </c>
      <c r="O114" s="160">
        <v>33.0</v>
      </c>
      <c r="P114" s="160">
        <v>4.0</v>
      </c>
      <c r="Q114" s="160">
        <v>3403817.05</v>
      </c>
      <c r="R114" s="160">
        <v>77479.2</v>
      </c>
      <c r="S114" s="160">
        <v>23.0</v>
      </c>
      <c r="T114" s="160">
        <v>1.0</v>
      </c>
      <c r="U114" s="160">
        <v>24.0</v>
      </c>
      <c r="V114" s="160">
        <v>0.0</v>
      </c>
      <c r="W114" s="160">
        <v>13.0</v>
      </c>
      <c r="X114" s="160">
        <v>21.0</v>
      </c>
      <c r="Y114" s="160">
        <v>109.0</v>
      </c>
      <c r="Z114" s="160">
        <v>1.0</v>
      </c>
      <c r="AA114" s="160">
        <v>1.0</v>
      </c>
      <c r="AB114" s="160">
        <v>0.0</v>
      </c>
      <c r="AC114" s="160">
        <v>0.0</v>
      </c>
      <c r="AD114" s="160">
        <v>0.0</v>
      </c>
      <c r="AE114" s="160">
        <v>0.0</v>
      </c>
      <c r="AF114" s="160">
        <v>229.0</v>
      </c>
      <c r="AG114" s="160">
        <v>251.0</v>
      </c>
      <c r="AH114" s="160">
        <v>67.0</v>
      </c>
      <c r="AI114" s="160">
        <v>51960.0</v>
      </c>
      <c r="AJ114" s="160">
        <v>4.0</v>
      </c>
      <c r="AK114" s="160">
        <v>29985.0</v>
      </c>
      <c r="AL114" s="160">
        <v>0.0</v>
      </c>
      <c r="AM114" s="160">
        <v>0.0086</v>
      </c>
      <c r="AN114" s="160">
        <v>145054.0</v>
      </c>
      <c r="AO114" s="160">
        <v>0.6</v>
      </c>
      <c r="AP114" s="160">
        <v>0.0</v>
      </c>
      <c r="AQ114" s="160">
        <v>35.0</v>
      </c>
      <c r="AR114" s="160">
        <v>680.0</v>
      </c>
      <c r="AS114" s="160">
        <v>4496.66</v>
      </c>
      <c r="AT114" s="160">
        <v>1.0</v>
      </c>
      <c r="AU114" s="160">
        <v>155.0</v>
      </c>
      <c r="AV114" s="160">
        <v>24.0</v>
      </c>
      <c r="AW114" s="160">
        <v>5.0</v>
      </c>
      <c r="AX114" s="160">
        <v>4.0</v>
      </c>
      <c r="AY114" s="537"/>
      <c r="AZ114" s="537"/>
    </row>
    <row r="115">
      <c r="A115" s="157" t="s">
        <v>23</v>
      </c>
      <c r="B115" s="157" t="s">
        <v>30</v>
      </c>
      <c r="C115" s="157" t="s">
        <v>28</v>
      </c>
      <c r="D115" s="157" t="s">
        <v>30</v>
      </c>
      <c r="E115" s="157" t="s">
        <v>29</v>
      </c>
      <c r="F115" s="338">
        <v>45261.0</v>
      </c>
      <c r="G115" s="157" t="s">
        <v>23</v>
      </c>
      <c r="H115" s="160">
        <v>600000.0</v>
      </c>
      <c r="I115" s="160">
        <v>3600000.0</v>
      </c>
      <c r="J115" s="160">
        <v>2717390.38</v>
      </c>
      <c r="K115" s="160">
        <v>103449.17</v>
      </c>
      <c r="L115" s="160">
        <v>92.0</v>
      </c>
      <c r="M115" s="160">
        <v>88.0</v>
      </c>
      <c r="N115" s="160">
        <v>4.0</v>
      </c>
      <c r="O115" s="160">
        <v>96.0</v>
      </c>
      <c r="P115" s="160">
        <v>8.0</v>
      </c>
      <c r="Q115" s="160">
        <v>2558586.75</v>
      </c>
      <c r="R115" s="160">
        <v>158803.63</v>
      </c>
      <c r="S115" s="160">
        <v>51.0</v>
      </c>
      <c r="T115" s="160">
        <v>4.0</v>
      </c>
      <c r="U115" s="160">
        <v>55.0</v>
      </c>
      <c r="V115" s="160">
        <v>1.0</v>
      </c>
      <c r="W115" s="160">
        <v>40.0</v>
      </c>
      <c r="X115" s="160">
        <v>68.0</v>
      </c>
      <c r="Y115" s="160">
        <v>102.0</v>
      </c>
      <c r="Z115" s="160">
        <v>3.0</v>
      </c>
      <c r="AA115" s="160">
        <v>69.0</v>
      </c>
      <c r="AB115" s="160">
        <v>4.0</v>
      </c>
      <c r="AC115" s="160">
        <v>11.0</v>
      </c>
      <c r="AD115" s="160">
        <v>0.0</v>
      </c>
      <c r="AE115" s="160">
        <v>0.0</v>
      </c>
      <c r="AF115" s="160">
        <v>337.0</v>
      </c>
      <c r="AG115" s="160">
        <v>485.0</v>
      </c>
      <c r="AH115" s="160">
        <v>78.0</v>
      </c>
      <c r="AI115" s="160">
        <v>34838.0</v>
      </c>
      <c r="AJ115" s="160">
        <v>6.0</v>
      </c>
      <c r="AK115" s="160">
        <v>33784.0</v>
      </c>
      <c r="AL115" s="160">
        <v>0.0</v>
      </c>
      <c r="AM115" s="160">
        <v>0.0124</v>
      </c>
      <c r="AN115" s="160">
        <v>49407.0</v>
      </c>
      <c r="AO115" s="160">
        <v>0.75</v>
      </c>
      <c r="AP115" s="160">
        <v>0.17</v>
      </c>
      <c r="AQ115" s="160">
        <v>86.0</v>
      </c>
      <c r="AR115" s="160">
        <v>721.0</v>
      </c>
      <c r="AS115" s="160">
        <v>4634.57</v>
      </c>
      <c r="AT115" s="160">
        <v>4.0</v>
      </c>
      <c r="AU115" s="160">
        <v>53.0</v>
      </c>
      <c r="AV115" s="160">
        <v>55.0</v>
      </c>
      <c r="AW115" s="160">
        <v>33.0</v>
      </c>
      <c r="AX115" s="160">
        <v>8.0</v>
      </c>
      <c r="AY115" s="537"/>
      <c r="AZ115" s="537"/>
    </row>
    <row r="116">
      <c r="A116" s="157" t="s">
        <v>47</v>
      </c>
      <c r="B116" s="157" t="s">
        <v>50</v>
      </c>
      <c r="C116" s="157" t="s">
        <v>801</v>
      </c>
      <c r="D116" s="157" t="s">
        <v>1085</v>
      </c>
      <c r="E116" s="157" t="s">
        <v>1086</v>
      </c>
      <c r="F116" s="285">
        <v>45271.0</v>
      </c>
      <c r="G116" s="157" t="s">
        <v>47</v>
      </c>
      <c r="H116" s="160">
        <v>0.0</v>
      </c>
      <c r="I116" s="160">
        <v>0.0</v>
      </c>
      <c r="J116" s="160">
        <v>0.0</v>
      </c>
      <c r="K116" s="160">
        <v>0.0</v>
      </c>
      <c r="L116" s="160">
        <v>67.0</v>
      </c>
      <c r="M116" s="160">
        <v>0.0</v>
      </c>
      <c r="N116" s="160">
        <v>0.0</v>
      </c>
      <c r="O116" s="160">
        <v>67.0</v>
      </c>
      <c r="P116" s="160">
        <v>67.0</v>
      </c>
      <c r="Q116" s="160">
        <v>0.0</v>
      </c>
      <c r="R116" s="160">
        <v>0.0</v>
      </c>
      <c r="S116" s="160">
        <v>0.0</v>
      </c>
      <c r="T116" s="160">
        <v>0.0</v>
      </c>
      <c r="U116" s="160">
        <v>0.0</v>
      </c>
      <c r="V116" s="160">
        <v>0.0</v>
      </c>
      <c r="W116" s="160">
        <v>0.0</v>
      </c>
      <c r="X116" s="160">
        <v>0.0</v>
      </c>
      <c r="Y116" s="160">
        <v>92.0</v>
      </c>
      <c r="Z116" s="160">
        <v>0.0</v>
      </c>
      <c r="AA116" s="160">
        <v>0.0</v>
      </c>
      <c r="AB116" s="160">
        <v>0.0</v>
      </c>
      <c r="AC116" s="160">
        <v>0.0</v>
      </c>
      <c r="AD116" s="160">
        <v>0.0</v>
      </c>
      <c r="AE116" s="160">
        <v>0.0</v>
      </c>
      <c r="AF116" s="160">
        <v>0.0</v>
      </c>
      <c r="AG116" s="160">
        <v>0.0</v>
      </c>
      <c r="AH116" s="160">
        <v>0.0</v>
      </c>
      <c r="AI116" s="160">
        <v>0.0</v>
      </c>
      <c r="AJ116" s="160">
        <v>0.0</v>
      </c>
      <c r="AK116" s="160">
        <v>35410.0</v>
      </c>
      <c r="AL116" s="160">
        <v>0.0</v>
      </c>
      <c r="AM116" s="160">
        <v>0.0</v>
      </c>
      <c r="AN116" s="160">
        <v>0.0</v>
      </c>
      <c r="AO116" s="160">
        <v>0.0</v>
      </c>
      <c r="AP116" s="160">
        <v>0.0</v>
      </c>
      <c r="AQ116" s="160">
        <v>0.0</v>
      </c>
      <c r="AR116" s="160">
        <v>0.0</v>
      </c>
      <c r="AS116" s="160">
        <v>0.0</v>
      </c>
      <c r="AT116" s="160">
        <v>0.0</v>
      </c>
      <c r="AU116" s="160">
        <v>0.0</v>
      </c>
      <c r="AV116" s="160">
        <v>0.0</v>
      </c>
      <c r="AW116" s="160">
        <v>0.0</v>
      </c>
      <c r="AX116" s="160">
        <v>67.0</v>
      </c>
      <c r="AY116" s="285">
        <v>45930.0</v>
      </c>
      <c r="AZ116" s="285"/>
    </row>
    <row r="117">
      <c r="A117" s="157" t="s">
        <v>185</v>
      </c>
      <c r="B117" s="157" t="s">
        <v>196</v>
      </c>
      <c r="C117" s="157" t="s">
        <v>259</v>
      </c>
      <c r="D117" s="157" t="s">
        <v>1027</v>
      </c>
      <c r="E117" s="157" t="s">
        <v>260</v>
      </c>
      <c r="F117" s="285">
        <v>45278.0</v>
      </c>
      <c r="G117" s="157" t="s">
        <v>185</v>
      </c>
      <c r="H117" s="160">
        <v>0.0</v>
      </c>
      <c r="I117" s="160">
        <v>5100000.0</v>
      </c>
      <c r="J117" s="160">
        <v>3827373.08</v>
      </c>
      <c r="K117" s="160">
        <v>0.0</v>
      </c>
      <c r="L117" s="160">
        <v>69.0</v>
      </c>
      <c r="M117" s="160">
        <v>69.0</v>
      </c>
      <c r="N117" s="160">
        <v>3.0</v>
      </c>
      <c r="O117" s="160">
        <v>72.0</v>
      </c>
      <c r="P117" s="160">
        <v>3.0</v>
      </c>
      <c r="Q117" s="160">
        <v>3685145.28</v>
      </c>
      <c r="R117" s="160">
        <v>142227.8</v>
      </c>
      <c r="S117" s="160">
        <v>30.0</v>
      </c>
      <c r="T117" s="160">
        <v>3.0</v>
      </c>
      <c r="U117" s="160">
        <v>33.0</v>
      </c>
      <c r="V117" s="160">
        <v>0.0</v>
      </c>
      <c r="W117" s="160">
        <v>14.0</v>
      </c>
      <c r="X117" s="160">
        <v>23.0</v>
      </c>
      <c r="Y117" s="160">
        <v>117.0</v>
      </c>
      <c r="Z117" s="160">
        <v>2.0</v>
      </c>
      <c r="AA117" s="160">
        <v>10.0</v>
      </c>
      <c r="AB117" s="160">
        <v>0.0</v>
      </c>
      <c r="AC117" s="160">
        <v>0.0</v>
      </c>
      <c r="AD117" s="160">
        <v>0.0</v>
      </c>
      <c r="AE117" s="160">
        <v>0.0</v>
      </c>
      <c r="AF117" s="160">
        <v>361.0</v>
      </c>
      <c r="AG117" s="160">
        <v>394.0</v>
      </c>
      <c r="AH117" s="160">
        <v>73.0</v>
      </c>
      <c r="AI117" s="160">
        <v>52430.0</v>
      </c>
      <c r="AJ117" s="160">
        <v>5.0</v>
      </c>
      <c r="AK117" s="160">
        <v>39855.0</v>
      </c>
      <c r="AL117" s="160">
        <v>0.0</v>
      </c>
      <c r="AM117" s="160">
        <v>0.0104</v>
      </c>
      <c r="AN117" s="160">
        <v>115981.0</v>
      </c>
      <c r="AO117" s="160">
        <v>0.75</v>
      </c>
      <c r="AP117" s="160">
        <v>0.0</v>
      </c>
      <c r="AQ117" s="160">
        <v>105.0</v>
      </c>
      <c r="AR117" s="160">
        <v>820.0</v>
      </c>
      <c r="AS117" s="160">
        <v>6475.6</v>
      </c>
      <c r="AT117" s="160">
        <v>3.0</v>
      </c>
      <c r="AU117" s="160">
        <v>94.0</v>
      </c>
      <c r="AV117" s="160">
        <v>33.0</v>
      </c>
      <c r="AW117" s="160">
        <v>37.0</v>
      </c>
      <c r="AX117" s="160">
        <v>2.0</v>
      </c>
      <c r="AY117" s="537"/>
      <c r="AZ117" s="537"/>
    </row>
    <row r="118">
      <c r="A118" s="157" t="s">
        <v>185</v>
      </c>
      <c r="B118" s="157" t="s">
        <v>222</v>
      </c>
      <c r="C118" s="157" t="s">
        <v>261</v>
      </c>
      <c r="D118" s="157" t="s">
        <v>1088</v>
      </c>
      <c r="E118" s="157" t="s">
        <v>262</v>
      </c>
      <c r="F118" s="338">
        <v>45292.0</v>
      </c>
      <c r="G118" s="157" t="s">
        <v>185</v>
      </c>
      <c r="H118" s="160">
        <v>0.0</v>
      </c>
      <c r="I118" s="160">
        <v>4500000.0</v>
      </c>
      <c r="J118" s="160">
        <v>2106499.54</v>
      </c>
      <c r="K118" s="160">
        <v>0.0</v>
      </c>
      <c r="L118" s="160">
        <v>42.0</v>
      </c>
      <c r="M118" s="160">
        <v>33.0</v>
      </c>
      <c r="N118" s="160">
        <v>0.0</v>
      </c>
      <c r="O118" s="160">
        <v>42.0</v>
      </c>
      <c r="P118" s="160">
        <v>9.0</v>
      </c>
      <c r="Q118" s="160">
        <v>2106499.54</v>
      </c>
      <c r="R118" s="160">
        <v>0.0</v>
      </c>
      <c r="S118" s="160">
        <v>16.0</v>
      </c>
      <c r="T118" s="160">
        <v>0.0</v>
      </c>
      <c r="U118" s="160">
        <v>16.0</v>
      </c>
      <c r="V118" s="160">
        <v>0.0</v>
      </c>
      <c r="W118" s="160">
        <v>18.0</v>
      </c>
      <c r="X118" s="160">
        <v>22.0</v>
      </c>
      <c r="Y118" s="160">
        <v>69.0</v>
      </c>
      <c r="Z118" s="160">
        <v>0.0</v>
      </c>
      <c r="AA118" s="160">
        <v>0.0</v>
      </c>
      <c r="AB118" s="160">
        <v>0.0</v>
      </c>
      <c r="AC118" s="160">
        <v>0.0</v>
      </c>
      <c r="AD118" s="160">
        <v>0.0</v>
      </c>
      <c r="AE118" s="160">
        <v>0.0</v>
      </c>
      <c r="AF118" s="160">
        <v>365.0</v>
      </c>
      <c r="AG118" s="160">
        <v>387.0</v>
      </c>
      <c r="AH118" s="160">
        <v>65.0</v>
      </c>
      <c r="AI118" s="160">
        <v>32408.0</v>
      </c>
      <c r="AJ118" s="160">
        <v>6.0</v>
      </c>
      <c r="AK118" s="160">
        <v>29430.0</v>
      </c>
      <c r="AL118" s="160">
        <v>0.0</v>
      </c>
      <c r="AM118" s="160">
        <v>0.014</v>
      </c>
      <c r="AN118" s="160">
        <v>131656.0</v>
      </c>
      <c r="AO118" s="160">
        <v>0.47</v>
      </c>
      <c r="AP118" s="160">
        <v>0.0</v>
      </c>
      <c r="AQ118" s="160">
        <v>26.0</v>
      </c>
      <c r="AR118" s="160">
        <v>790.0</v>
      </c>
      <c r="AS118" s="160">
        <v>1807.31</v>
      </c>
      <c r="AT118" s="160">
        <v>0.0</v>
      </c>
      <c r="AU118" s="160">
        <v>55.0</v>
      </c>
      <c r="AV118" s="160">
        <v>16.0</v>
      </c>
      <c r="AW118" s="160">
        <v>17.0</v>
      </c>
      <c r="AX118" s="160">
        <v>9.0</v>
      </c>
      <c r="AY118" s="537"/>
      <c r="AZ118" s="537"/>
    </row>
    <row r="119">
      <c r="A119" s="157" t="s">
        <v>185</v>
      </c>
      <c r="B119" s="157" t="s">
        <v>85</v>
      </c>
      <c r="C119" s="157" t="s">
        <v>394</v>
      </c>
      <c r="D119" s="157" t="s">
        <v>1058</v>
      </c>
      <c r="E119" s="157" t="s">
        <v>91</v>
      </c>
      <c r="F119" s="338">
        <v>45294.0</v>
      </c>
      <c r="G119" s="537"/>
      <c r="H119" s="160">
        <v>0.0</v>
      </c>
      <c r="I119" s="160">
        <v>5000001.0</v>
      </c>
      <c r="J119" s="160">
        <v>3042744.25</v>
      </c>
      <c r="K119" s="160">
        <v>0.0</v>
      </c>
      <c r="L119" s="160">
        <v>126.0</v>
      </c>
      <c r="M119" s="160">
        <v>67.0</v>
      </c>
      <c r="N119" s="160">
        <v>4.0</v>
      </c>
      <c r="O119" s="160">
        <v>130.0</v>
      </c>
      <c r="P119" s="160">
        <v>63.0</v>
      </c>
      <c r="Q119" s="160">
        <v>2848234.25</v>
      </c>
      <c r="R119" s="160">
        <v>194510.0</v>
      </c>
      <c r="S119" s="160">
        <v>23.0</v>
      </c>
      <c r="T119" s="160">
        <v>1.0</v>
      </c>
      <c r="U119" s="160">
        <v>24.0</v>
      </c>
      <c r="V119" s="160">
        <v>0.0</v>
      </c>
      <c r="W119" s="160">
        <v>14.0</v>
      </c>
      <c r="X119" s="160">
        <v>16.0</v>
      </c>
      <c r="Y119" s="160">
        <v>93.0</v>
      </c>
      <c r="Z119" s="160">
        <v>4.0</v>
      </c>
      <c r="AA119" s="160">
        <v>30.0</v>
      </c>
      <c r="AB119" s="160">
        <v>2.0</v>
      </c>
      <c r="AC119" s="160">
        <v>3.0</v>
      </c>
      <c r="AD119" s="160">
        <v>3.0</v>
      </c>
      <c r="AE119" s="160">
        <v>3.0</v>
      </c>
      <c r="AF119" s="160">
        <v>170.0</v>
      </c>
      <c r="AG119" s="160">
        <v>222.0</v>
      </c>
      <c r="AH119" s="160">
        <v>76.0</v>
      </c>
      <c r="AI119" s="160">
        <v>40036.0</v>
      </c>
      <c r="AJ119" s="160">
        <v>3.0</v>
      </c>
      <c r="AK119" s="160">
        <v>31870.0</v>
      </c>
      <c r="AL119" s="160">
        <v>0.0</v>
      </c>
      <c r="AM119" s="160">
        <v>0.0105</v>
      </c>
      <c r="AN119" s="160">
        <v>126781.0</v>
      </c>
      <c r="AO119" s="160">
        <v>0.61</v>
      </c>
      <c r="AP119" s="160">
        <v>0.0</v>
      </c>
      <c r="AQ119" s="160">
        <v>53.0</v>
      </c>
      <c r="AR119" s="160">
        <v>734.0</v>
      </c>
      <c r="AS119" s="160">
        <v>6495.76</v>
      </c>
      <c r="AT119" s="160">
        <v>1.0</v>
      </c>
      <c r="AU119" s="160">
        <v>97.0</v>
      </c>
      <c r="AV119" s="160">
        <v>24.0</v>
      </c>
      <c r="AW119" s="160">
        <v>46.0</v>
      </c>
      <c r="AX119" s="160">
        <v>60.0</v>
      </c>
      <c r="AY119" s="285">
        <v>46022.0</v>
      </c>
      <c r="AZ119" s="285"/>
    </row>
    <row r="120">
      <c r="A120" s="157" t="s">
        <v>185</v>
      </c>
      <c r="B120" s="157" t="s">
        <v>189</v>
      </c>
      <c r="C120" s="157" t="s">
        <v>804</v>
      </c>
      <c r="D120" s="157" t="s">
        <v>1016</v>
      </c>
      <c r="E120" s="157" t="s">
        <v>187</v>
      </c>
      <c r="F120" s="338">
        <v>45295.0</v>
      </c>
      <c r="G120" s="157" t="s">
        <v>185</v>
      </c>
      <c r="H120" s="160">
        <v>0.0</v>
      </c>
      <c r="I120" s="160">
        <v>0.0</v>
      </c>
      <c r="J120" s="160">
        <v>0.0</v>
      </c>
      <c r="K120" s="160">
        <v>0.0</v>
      </c>
      <c r="L120" s="160">
        <v>196.0</v>
      </c>
      <c r="M120" s="160">
        <v>73.0</v>
      </c>
      <c r="N120" s="160">
        <v>3.0</v>
      </c>
      <c r="O120" s="160">
        <v>199.0</v>
      </c>
      <c r="P120" s="160">
        <v>126.0</v>
      </c>
      <c r="Q120" s="160">
        <v>0.0</v>
      </c>
      <c r="R120" s="160">
        <v>0.0</v>
      </c>
      <c r="S120" s="160">
        <v>0.0</v>
      </c>
      <c r="T120" s="160">
        <v>0.0</v>
      </c>
      <c r="U120" s="160">
        <v>0.0</v>
      </c>
      <c r="V120" s="160">
        <v>0.0</v>
      </c>
      <c r="W120" s="160">
        <v>11.0</v>
      </c>
      <c r="X120" s="160">
        <v>11.0</v>
      </c>
      <c r="Y120" s="160">
        <v>18.0</v>
      </c>
      <c r="Z120" s="160">
        <v>8.0</v>
      </c>
      <c r="AA120" s="160">
        <v>19.0</v>
      </c>
      <c r="AB120" s="160">
        <v>0.0</v>
      </c>
      <c r="AC120" s="160">
        <v>0.0</v>
      </c>
      <c r="AD120" s="160">
        <v>1.0</v>
      </c>
      <c r="AE120" s="160">
        <v>3.0</v>
      </c>
      <c r="AF120" s="160">
        <v>107.0</v>
      </c>
      <c r="AG120" s="160">
        <v>140.0</v>
      </c>
      <c r="AH120" s="160">
        <v>73.0</v>
      </c>
      <c r="AI120" s="160">
        <v>0.0</v>
      </c>
      <c r="AJ120" s="160">
        <v>2.0</v>
      </c>
      <c r="AK120" s="160">
        <v>88555.0</v>
      </c>
      <c r="AL120" s="160">
        <v>0.0</v>
      </c>
      <c r="AM120" s="160">
        <v>0.0</v>
      </c>
      <c r="AN120" s="160">
        <v>0.0</v>
      </c>
      <c r="AO120" s="160">
        <v>0.0</v>
      </c>
      <c r="AP120" s="160">
        <v>0.0</v>
      </c>
      <c r="AQ120" s="160">
        <v>0.0</v>
      </c>
      <c r="AR120" s="160">
        <v>834.0</v>
      </c>
      <c r="AS120" s="160">
        <v>8125.21</v>
      </c>
      <c r="AT120" s="160">
        <v>0.0</v>
      </c>
      <c r="AU120" s="160">
        <v>111.0</v>
      </c>
      <c r="AV120" s="160">
        <v>0.0</v>
      </c>
      <c r="AW120" s="160">
        <v>73.0</v>
      </c>
      <c r="AX120" s="160">
        <v>126.0</v>
      </c>
      <c r="AY120" s="537"/>
      <c r="AZ120" s="537"/>
    </row>
    <row r="121">
      <c r="A121" s="157" t="s">
        <v>47</v>
      </c>
      <c r="B121" s="157" t="s">
        <v>50</v>
      </c>
      <c r="C121" s="157" t="s">
        <v>48</v>
      </c>
      <c r="D121" s="157" t="s">
        <v>1091</v>
      </c>
      <c r="E121" s="157" t="s">
        <v>49</v>
      </c>
      <c r="F121" s="285">
        <v>45311.0</v>
      </c>
      <c r="G121" s="157" t="s">
        <v>47</v>
      </c>
      <c r="H121" s="160">
        <v>0.0</v>
      </c>
      <c r="I121" s="160">
        <v>2499999.0</v>
      </c>
      <c r="J121" s="160">
        <v>1586620.04</v>
      </c>
      <c r="K121" s="160">
        <v>0.0</v>
      </c>
      <c r="L121" s="160">
        <v>72.0</v>
      </c>
      <c r="M121" s="160">
        <v>67.0</v>
      </c>
      <c r="N121" s="160">
        <v>2.0</v>
      </c>
      <c r="O121" s="160">
        <v>74.0</v>
      </c>
      <c r="P121" s="160">
        <v>7.0</v>
      </c>
      <c r="Q121" s="160">
        <v>1487755.24</v>
      </c>
      <c r="R121" s="160">
        <v>98864.8</v>
      </c>
      <c r="S121" s="160">
        <v>62.0</v>
      </c>
      <c r="T121" s="160">
        <v>2.0</v>
      </c>
      <c r="U121" s="160">
        <v>64.0</v>
      </c>
      <c r="V121" s="160">
        <v>0.0</v>
      </c>
      <c r="W121" s="160">
        <v>13.0</v>
      </c>
      <c r="X121" s="160">
        <v>16.0</v>
      </c>
      <c r="Y121" s="160">
        <v>221.0</v>
      </c>
      <c r="Z121" s="160">
        <v>1.0</v>
      </c>
      <c r="AA121" s="160">
        <v>54.0</v>
      </c>
      <c r="AB121" s="160">
        <v>1.0</v>
      </c>
      <c r="AC121" s="160">
        <v>1.0</v>
      </c>
      <c r="AD121" s="160">
        <v>1.0</v>
      </c>
      <c r="AE121" s="160">
        <v>1.0</v>
      </c>
      <c r="AF121" s="160">
        <v>407.0</v>
      </c>
      <c r="AG121" s="160">
        <v>479.0</v>
      </c>
      <c r="AH121" s="160">
        <v>71.0</v>
      </c>
      <c r="AI121" s="160">
        <v>22347.0</v>
      </c>
      <c r="AJ121" s="160">
        <v>7.0</v>
      </c>
      <c r="AK121" s="160">
        <v>32318.0</v>
      </c>
      <c r="AL121" s="160">
        <v>0.0</v>
      </c>
      <c r="AM121" s="160">
        <v>0.0204</v>
      </c>
      <c r="AN121" s="160">
        <v>24791.0</v>
      </c>
      <c r="AO121" s="160">
        <v>0.63</v>
      </c>
      <c r="AP121" s="160">
        <v>0.0</v>
      </c>
      <c r="AQ121" s="160">
        <v>246.0</v>
      </c>
      <c r="AR121" s="160">
        <v>668.0</v>
      </c>
      <c r="AS121" s="160">
        <v>9314.07</v>
      </c>
      <c r="AT121" s="160">
        <v>2.0</v>
      </c>
      <c r="AU121" s="160">
        <v>139.0</v>
      </c>
      <c r="AV121" s="160">
        <v>64.0</v>
      </c>
      <c r="AW121" s="160">
        <v>3.0</v>
      </c>
      <c r="AX121" s="160">
        <v>7.0</v>
      </c>
      <c r="AY121" s="537"/>
      <c r="AZ121" s="537"/>
    </row>
    <row r="122">
      <c r="A122" s="157" t="s">
        <v>185</v>
      </c>
      <c r="B122" s="157" t="s">
        <v>222</v>
      </c>
      <c r="C122" s="157" t="s">
        <v>809</v>
      </c>
      <c r="D122" s="157" t="s">
        <v>1089</v>
      </c>
      <c r="E122" s="157" t="s">
        <v>1090</v>
      </c>
      <c r="F122" s="285">
        <v>45309.0</v>
      </c>
      <c r="G122" s="157" t="s">
        <v>185</v>
      </c>
      <c r="H122" s="160">
        <v>0.0</v>
      </c>
      <c r="I122" s="160">
        <v>4500000.0</v>
      </c>
      <c r="J122" s="160">
        <v>4396154.38</v>
      </c>
      <c r="K122" s="160">
        <v>0.0</v>
      </c>
      <c r="L122" s="160">
        <v>109.0</v>
      </c>
      <c r="M122" s="160">
        <v>93.0</v>
      </c>
      <c r="N122" s="160">
        <v>5.0</v>
      </c>
      <c r="O122" s="160">
        <v>114.0</v>
      </c>
      <c r="P122" s="160">
        <v>21.0</v>
      </c>
      <c r="Q122" s="160">
        <v>4251889.0</v>
      </c>
      <c r="R122" s="160">
        <v>144265.38</v>
      </c>
      <c r="S122" s="160">
        <v>41.0</v>
      </c>
      <c r="T122" s="160">
        <v>5.0</v>
      </c>
      <c r="U122" s="160">
        <v>46.0</v>
      </c>
      <c r="V122" s="160">
        <v>0.0</v>
      </c>
      <c r="W122" s="160">
        <v>7.0</v>
      </c>
      <c r="X122" s="160">
        <v>7.0</v>
      </c>
      <c r="Y122" s="160">
        <v>82.0</v>
      </c>
      <c r="Z122" s="160">
        <v>1.0</v>
      </c>
      <c r="AA122" s="160">
        <v>1.0</v>
      </c>
      <c r="AB122" s="160">
        <v>0.0</v>
      </c>
      <c r="AC122" s="160">
        <v>0.0</v>
      </c>
      <c r="AD122" s="160">
        <v>0.0</v>
      </c>
      <c r="AE122" s="160">
        <v>0.0</v>
      </c>
      <c r="AF122" s="160">
        <v>294.0</v>
      </c>
      <c r="AG122" s="160">
        <v>302.0</v>
      </c>
      <c r="AH122" s="160">
        <v>71.0</v>
      </c>
      <c r="AI122" s="160">
        <v>61918.0</v>
      </c>
      <c r="AJ122" s="160">
        <v>4.0</v>
      </c>
      <c r="AK122" s="160">
        <v>42820.0</v>
      </c>
      <c r="AL122" s="160">
        <v>0.0</v>
      </c>
      <c r="AM122" s="160">
        <v>0.0097</v>
      </c>
      <c r="AN122" s="160">
        <v>95569.0</v>
      </c>
      <c r="AO122" s="160">
        <v>0.98</v>
      </c>
      <c r="AP122" s="160">
        <v>0.0</v>
      </c>
      <c r="AQ122" s="160">
        <v>74.0</v>
      </c>
      <c r="AR122" s="160">
        <v>636.0</v>
      </c>
      <c r="AS122" s="160">
        <v>3563.4</v>
      </c>
      <c r="AT122" s="160">
        <v>5.0</v>
      </c>
      <c r="AU122" s="160">
        <v>38.0</v>
      </c>
      <c r="AV122" s="160">
        <v>46.0</v>
      </c>
      <c r="AW122" s="160">
        <v>52.0</v>
      </c>
      <c r="AX122" s="160">
        <v>16.0</v>
      </c>
      <c r="AY122" s="537"/>
      <c r="AZ122" s="537"/>
    </row>
    <row r="123">
      <c r="A123" s="157" t="s">
        <v>53</v>
      </c>
      <c r="B123" s="157" t="s">
        <v>56</v>
      </c>
      <c r="C123" s="157" t="s">
        <v>361</v>
      </c>
      <c r="D123" s="157" t="s">
        <v>1092</v>
      </c>
      <c r="E123" s="157" t="s">
        <v>1093</v>
      </c>
      <c r="F123" s="285">
        <v>45313.0</v>
      </c>
      <c r="G123" s="157" t="s">
        <v>754</v>
      </c>
      <c r="H123" s="160">
        <v>0.0</v>
      </c>
      <c r="I123" s="160">
        <v>0.0</v>
      </c>
      <c r="J123" s="160">
        <v>0.0</v>
      </c>
      <c r="K123" s="160">
        <v>0.0</v>
      </c>
      <c r="L123" s="160">
        <v>45.0</v>
      </c>
      <c r="M123" s="160">
        <v>0.0</v>
      </c>
      <c r="N123" s="160">
        <v>3.0</v>
      </c>
      <c r="O123" s="160">
        <v>48.0</v>
      </c>
      <c r="P123" s="160">
        <v>48.0</v>
      </c>
      <c r="Q123" s="160">
        <v>0.0</v>
      </c>
      <c r="R123" s="160">
        <v>0.0</v>
      </c>
      <c r="S123" s="160">
        <v>0.0</v>
      </c>
      <c r="T123" s="160">
        <v>0.0</v>
      </c>
      <c r="U123" s="160">
        <v>0.0</v>
      </c>
      <c r="V123" s="160">
        <v>0.0</v>
      </c>
      <c r="W123" s="160">
        <v>0.0</v>
      </c>
      <c r="X123" s="160">
        <v>0.0</v>
      </c>
      <c r="Y123" s="160">
        <v>361.0</v>
      </c>
      <c r="Z123" s="160">
        <v>0.0</v>
      </c>
      <c r="AA123" s="160">
        <v>0.0</v>
      </c>
      <c r="AB123" s="160">
        <v>0.0</v>
      </c>
      <c r="AC123" s="160">
        <v>0.0</v>
      </c>
      <c r="AD123" s="160">
        <v>0.0</v>
      </c>
      <c r="AE123" s="160">
        <v>0.0</v>
      </c>
      <c r="AF123" s="160">
        <v>0.0</v>
      </c>
      <c r="AG123" s="160">
        <v>0.0</v>
      </c>
      <c r="AH123" s="160">
        <v>0.0</v>
      </c>
      <c r="AI123" s="160">
        <v>0.0</v>
      </c>
      <c r="AJ123" s="160">
        <v>0.0</v>
      </c>
      <c r="AK123" s="160">
        <v>24425.0</v>
      </c>
      <c r="AL123" s="160">
        <v>0.0</v>
      </c>
      <c r="AM123" s="160">
        <v>0.0</v>
      </c>
      <c r="AN123" s="160">
        <v>0.0</v>
      </c>
      <c r="AO123" s="160">
        <v>0.0</v>
      </c>
      <c r="AP123" s="160">
        <v>0.0</v>
      </c>
      <c r="AQ123" s="160">
        <v>0.0</v>
      </c>
      <c r="AR123" s="160">
        <v>0.0</v>
      </c>
      <c r="AS123" s="160">
        <v>0.0</v>
      </c>
      <c r="AT123" s="160">
        <v>0.0</v>
      </c>
      <c r="AU123" s="160">
        <v>0.0</v>
      </c>
      <c r="AV123" s="160">
        <v>0.0</v>
      </c>
      <c r="AW123" s="160">
        <v>0.0</v>
      </c>
      <c r="AX123" s="160">
        <v>48.0</v>
      </c>
      <c r="AY123" s="285">
        <v>45768.0</v>
      </c>
      <c r="AZ123" s="285"/>
    </row>
    <row r="124">
      <c r="A124" s="157" t="s">
        <v>185</v>
      </c>
      <c r="B124" s="157" t="s">
        <v>189</v>
      </c>
      <c r="C124" s="157" t="s">
        <v>265</v>
      </c>
      <c r="D124" s="157" t="s">
        <v>1016</v>
      </c>
      <c r="E124" s="157" t="s">
        <v>266</v>
      </c>
      <c r="F124" s="338">
        <v>45323.0</v>
      </c>
      <c r="G124" s="157" t="s">
        <v>787</v>
      </c>
      <c r="H124" s="160">
        <v>0.0</v>
      </c>
      <c r="I124" s="160">
        <v>6000000.0</v>
      </c>
      <c r="J124" s="160">
        <v>3508985.79</v>
      </c>
      <c r="K124" s="160">
        <v>0.0</v>
      </c>
      <c r="L124" s="160">
        <v>69.0</v>
      </c>
      <c r="M124" s="160">
        <v>65.0</v>
      </c>
      <c r="N124" s="160">
        <v>2.0</v>
      </c>
      <c r="O124" s="160">
        <v>71.0</v>
      </c>
      <c r="P124" s="160">
        <v>6.0</v>
      </c>
      <c r="Q124" s="160">
        <v>3383879.43</v>
      </c>
      <c r="R124" s="160">
        <v>125106.36</v>
      </c>
      <c r="S124" s="160">
        <v>33.0</v>
      </c>
      <c r="T124" s="160">
        <v>2.0</v>
      </c>
      <c r="U124" s="160">
        <v>35.0</v>
      </c>
      <c r="V124" s="160">
        <v>0.0</v>
      </c>
      <c r="W124" s="160">
        <v>30.0</v>
      </c>
      <c r="X124" s="160">
        <v>38.0</v>
      </c>
      <c r="Y124" s="160">
        <v>202.0</v>
      </c>
      <c r="Z124" s="160">
        <v>2.0</v>
      </c>
      <c r="AA124" s="160">
        <v>17.0</v>
      </c>
      <c r="AB124" s="160">
        <v>0.0</v>
      </c>
      <c r="AC124" s="160">
        <v>0.0</v>
      </c>
      <c r="AD124" s="160">
        <v>0.0</v>
      </c>
      <c r="AE124" s="160">
        <v>0.0</v>
      </c>
      <c r="AF124" s="160">
        <v>322.0</v>
      </c>
      <c r="AG124" s="160">
        <v>377.0</v>
      </c>
      <c r="AH124" s="160">
        <v>74.0</v>
      </c>
      <c r="AI124" s="160">
        <v>47419.0</v>
      </c>
      <c r="AJ124" s="160">
        <v>5.0</v>
      </c>
      <c r="AK124" s="160">
        <v>30950.0</v>
      </c>
      <c r="AL124" s="160">
        <v>0.0</v>
      </c>
      <c r="AM124" s="160">
        <v>0.0088</v>
      </c>
      <c r="AN124" s="160">
        <v>100257.0</v>
      </c>
      <c r="AO124" s="160">
        <v>0.58</v>
      </c>
      <c r="AP124" s="160">
        <v>0.0</v>
      </c>
      <c r="AQ124" s="160">
        <v>79.0</v>
      </c>
      <c r="AR124" s="160">
        <v>870.0</v>
      </c>
      <c r="AS124" s="160">
        <v>5301.87</v>
      </c>
      <c r="AT124" s="160">
        <v>2.0</v>
      </c>
      <c r="AU124" s="160">
        <v>82.0</v>
      </c>
      <c r="AV124" s="160">
        <v>35.0</v>
      </c>
      <c r="AW124" s="160">
        <v>30.0</v>
      </c>
      <c r="AX124" s="160">
        <v>6.0</v>
      </c>
      <c r="AY124" s="537"/>
      <c r="AZ124" s="537"/>
    </row>
    <row r="125">
      <c r="A125" s="157" t="s">
        <v>126</v>
      </c>
      <c r="B125" s="157" t="s">
        <v>145</v>
      </c>
      <c r="C125" s="157" t="s">
        <v>167</v>
      </c>
      <c r="D125" s="157" t="s">
        <v>1066</v>
      </c>
      <c r="E125" s="157" t="s">
        <v>168</v>
      </c>
      <c r="F125" s="338">
        <v>45331.0</v>
      </c>
      <c r="G125" s="157" t="s">
        <v>580</v>
      </c>
      <c r="H125" s="160">
        <v>0.0</v>
      </c>
      <c r="I125" s="160">
        <v>3450000.0</v>
      </c>
      <c r="J125" s="160">
        <v>1984366.25</v>
      </c>
      <c r="K125" s="160">
        <v>0.0</v>
      </c>
      <c r="L125" s="160">
        <v>33.0</v>
      </c>
      <c r="M125" s="160">
        <v>32.0</v>
      </c>
      <c r="N125" s="160">
        <v>0.0</v>
      </c>
      <c r="O125" s="160">
        <v>33.0</v>
      </c>
      <c r="P125" s="160">
        <v>1.0</v>
      </c>
      <c r="Q125" s="160">
        <v>1984366.25</v>
      </c>
      <c r="R125" s="160">
        <v>0.0</v>
      </c>
      <c r="S125" s="160">
        <v>21.0</v>
      </c>
      <c r="T125" s="160">
        <v>0.0</v>
      </c>
      <c r="U125" s="160">
        <v>21.0</v>
      </c>
      <c r="V125" s="160">
        <v>0.0</v>
      </c>
      <c r="W125" s="160">
        <v>42.0</v>
      </c>
      <c r="X125" s="160">
        <v>58.0</v>
      </c>
      <c r="Y125" s="160">
        <v>189.0</v>
      </c>
      <c r="Z125" s="160">
        <v>1.0</v>
      </c>
      <c r="AA125" s="160">
        <v>2.0</v>
      </c>
      <c r="AB125" s="160">
        <v>0.0</v>
      </c>
      <c r="AC125" s="160">
        <v>0.0</v>
      </c>
      <c r="AD125" s="160">
        <v>0.0</v>
      </c>
      <c r="AE125" s="160">
        <v>0.0</v>
      </c>
      <c r="AF125" s="160">
        <v>256.0</v>
      </c>
      <c r="AG125" s="160">
        <v>316.0</v>
      </c>
      <c r="AH125" s="160">
        <v>72.0</v>
      </c>
      <c r="AI125" s="160">
        <v>27561.0</v>
      </c>
      <c r="AJ125" s="160">
        <v>4.0</v>
      </c>
      <c r="AK125" s="160">
        <v>26212.0</v>
      </c>
      <c r="AL125" s="160">
        <v>0.0</v>
      </c>
      <c r="AM125" s="160">
        <v>0.0132</v>
      </c>
      <c r="AN125" s="160">
        <v>94494.0</v>
      </c>
      <c r="AO125" s="160">
        <v>0.58</v>
      </c>
      <c r="AP125" s="160">
        <v>0.0</v>
      </c>
      <c r="AQ125" s="160">
        <v>56.0</v>
      </c>
      <c r="AR125" s="160">
        <v>805.0</v>
      </c>
      <c r="AS125" s="160">
        <v>5170.82</v>
      </c>
      <c r="AT125" s="160">
        <v>0.0</v>
      </c>
      <c r="AU125" s="160">
        <v>162.0</v>
      </c>
      <c r="AV125" s="160">
        <v>21.0</v>
      </c>
      <c r="AW125" s="160">
        <v>11.0</v>
      </c>
      <c r="AX125" s="160">
        <v>1.0</v>
      </c>
      <c r="AY125" s="537"/>
      <c r="AZ125" s="537"/>
    </row>
    <row r="126">
      <c r="A126" s="157" t="s">
        <v>47</v>
      </c>
      <c r="B126" s="157" t="s">
        <v>50</v>
      </c>
      <c r="C126" s="157" t="s">
        <v>51</v>
      </c>
      <c r="D126" s="157" t="s">
        <v>1091</v>
      </c>
      <c r="E126" s="157" t="s">
        <v>52</v>
      </c>
      <c r="F126" s="285">
        <v>45393.0</v>
      </c>
      <c r="G126" s="157" t="s">
        <v>47</v>
      </c>
      <c r="H126" s="160">
        <v>0.0</v>
      </c>
      <c r="I126" s="160">
        <v>4500000.0</v>
      </c>
      <c r="J126" s="160">
        <v>1699355.56</v>
      </c>
      <c r="K126" s="160">
        <v>0.0</v>
      </c>
      <c r="L126" s="160">
        <v>149.0</v>
      </c>
      <c r="M126" s="160">
        <v>107.0</v>
      </c>
      <c r="N126" s="160">
        <v>7.0</v>
      </c>
      <c r="O126" s="160">
        <v>156.0</v>
      </c>
      <c r="P126" s="160">
        <v>49.0</v>
      </c>
      <c r="Q126" s="160">
        <v>1544546.43</v>
      </c>
      <c r="R126" s="160">
        <v>154809.13</v>
      </c>
      <c r="S126" s="160">
        <v>67.0</v>
      </c>
      <c r="T126" s="160">
        <v>7.0</v>
      </c>
      <c r="U126" s="160">
        <v>74.0</v>
      </c>
      <c r="V126" s="160">
        <v>0.0</v>
      </c>
      <c r="W126" s="160">
        <v>32.0</v>
      </c>
      <c r="X126" s="160">
        <v>43.0</v>
      </c>
      <c r="Y126" s="160">
        <v>412.0</v>
      </c>
      <c r="Z126" s="160">
        <v>2.0</v>
      </c>
      <c r="AA126" s="160">
        <v>26.0</v>
      </c>
      <c r="AB126" s="160">
        <v>0.0</v>
      </c>
      <c r="AC126" s="160">
        <v>0.0</v>
      </c>
      <c r="AD126" s="160">
        <v>0.0</v>
      </c>
      <c r="AE126" s="160">
        <v>0.0</v>
      </c>
      <c r="AF126" s="160">
        <v>418.0</v>
      </c>
      <c r="AG126" s="160">
        <v>487.0</v>
      </c>
      <c r="AH126" s="160">
        <v>70.0</v>
      </c>
      <c r="AI126" s="160">
        <v>24277.0</v>
      </c>
      <c r="AJ126" s="160">
        <v>7.0</v>
      </c>
      <c r="AK126" s="160">
        <v>24116.0</v>
      </c>
      <c r="AL126" s="160">
        <v>0.0</v>
      </c>
      <c r="AM126" s="160">
        <v>0.0142</v>
      </c>
      <c r="AN126" s="160">
        <v>22964.0</v>
      </c>
      <c r="AO126" s="160">
        <v>0.38</v>
      </c>
      <c r="AP126" s="160">
        <v>0.0</v>
      </c>
      <c r="AQ126" s="160">
        <v>156.0</v>
      </c>
      <c r="AR126" s="160">
        <v>600.0</v>
      </c>
      <c r="AS126" s="160">
        <v>5115.25</v>
      </c>
      <c r="AT126" s="160">
        <v>7.0</v>
      </c>
      <c r="AU126" s="160">
        <v>48.0</v>
      </c>
      <c r="AV126" s="160">
        <v>74.0</v>
      </c>
      <c r="AW126" s="160">
        <v>35.0</v>
      </c>
      <c r="AX126" s="160">
        <v>47.0</v>
      </c>
      <c r="AY126" s="537"/>
      <c r="AZ126" s="537"/>
    </row>
    <row r="127">
      <c r="A127" s="157" t="s">
        <v>23</v>
      </c>
      <c r="B127" s="157" t="s">
        <v>30</v>
      </c>
      <c r="C127" s="157" t="s">
        <v>335</v>
      </c>
      <c r="D127" s="157" t="s">
        <v>30</v>
      </c>
      <c r="E127" s="157" t="s">
        <v>46</v>
      </c>
      <c r="F127" s="338">
        <v>45384.0</v>
      </c>
      <c r="G127" s="157" t="s">
        <v>23</v>
      </c>
      <c r="H127" s="160">
        <v>900000.0</v>
      </c>
      <c r="I127" s="160">
        <v>3600000.0</v>
      </c>
      <c r="J127" s="160">
        <v>1760517.78</v>
      </c>
      <c r="K127" s="160">
        <v>0.0</v>
      </c>
      <c r="L127" s="160">
        <v>63.0</v>
      </c>
      <c r="M127" s="160">
        <v>51.0</v>
      </c>
      <c r="N127" s="160">
        <v>0.0</v>
      </c>
      <c r="O127" s="160">
        <v>63.0</v>
      </c>
      <c r="P127" s="160">
        <v>12.0</v>
      </c>
      <c r="Q127" s="160">
        <v>1760517.78</v>
      </c>
      <c r="R127" s="160">
        <v>0.0</v>
      </c>
      <c r="S127" s="160">
        <v>34.0</v>
      </c>
      <c r="T127" s="160">
        <v>0.0</v>
      </c>
      <c r="U127" s="160">
        <v>34.0</v>
      </c>
      <c r="V127" s="160">
        <v>0.0</v>
      </c>
      <c r="W127" s="160">
        <v>163.0</v>
      </c>
      <c r="X127" s="160">
        <v>238.0</v>
      </c>
      <c r="Y127" s="160">
        <v>256.0</v>
      </c>
      <c r="Z127" s="160">
        <v>4.0</v>
      </c>
      <c r="AA127" s="160">
        <v>17.0</v>
      </c>
      <c r="AB127" s="160">
        <v>2.0</v>
      </c>
      <c r="AC127" s="160">
        <v>2.0</v>
      </c>
      <c r="AD127" s="160">
        <v>0.0</v>
      </c>
      <c r="AE127" s="160">
        <v>0.0</v>
      </c>
      <c r="AF127" s="160">
        <v>129.0</v>
      </c>
      <c r="AG127" s="160">
        <v>386.0</v>
      </c>
      <c r="AH127" s="160">
        <v>76.0</v>
      </c>
      <c r="AI127" s="160">
        <v>23165.0</v>
      </c>
      <c r="AJ127" s="160">
        <v>5.0</v>
      </c>
      <c r="AK127" s="160">
        <v>32500.0</v>
      </c>
      <c r="AL127" s="160">
        <v>0.0</v>
      </c>
      <c r="AM127" s="160">
        <v>0.0185</v>
      </c>
      <c r="AN127" s="160">
        <v>51780.0</v>
      </c>
      <c r="AO127" s="160">
        <v>0.49</v>
      </c>
      <c r="AP127" s="160">
        <v>0.0</v>
      </c>
      <c r="AQ127" s="160">
        <v>78.0</v>
      </c>
      <c r="AR127" s="160">
        <v>774.0</v>
      </c>
      <c r="AS127" s="160">
        <v>5641.66</v>
      </c>
      <c r="AT127" s="160">
        <v>0.0</v>
      </c>
      <c r="AU127" s="160">
        <v>111.0</v>
      </c>
      <c r="AV127" s="160">
        <v>34.0</v>
      </c>
      <c r="AW127" s="160">
        <v>18.0</v>
      </c>
      <c r="AX127" s="160">
        <v>11.0</v>
      </c>
      <c r="AY127" s="537"/>
      <c r="AZ127" s="537"/>
    </row>
    <row r="128">
      <c r="A128" s="157" t="s">
        <v>47</v>
      </c>
      <c r="B128" s="157" t="s">
        <v>422</v>
      </c>
      <c r="C128" s="157" t="s">
        <v>420</v>
      </c>
      <c r="D128" s="157" t="s">
        <v>1094</v>
      </c>
      <c r="E128" s="157" t="s">
        <v>421</v>
      </c>
      <c r="F128" s="285">
        <v>45411.0</v>
      </c>
      <c r="G128" s="157" t="s">
        <v>47</v>
      </c>
      <c r="H128" s="160">
        <v>0.0</v>
      </c>
      <c r="I128" s="160">
        <v>0.0</v>
      </c>
      <c r="J128" s="160">
        <v>0.0</v>
      </c>
      <c r="K128" s="160">
        <v>0.0</v>
      </c>
      <c r="L128" s="160">
        <v>90.0</v>
      </c>
      <c r="M128" s="160">
        <v>0.0</v>
      </c>
      <c r="N128" s="160">
        <v>0.0</v>
      </c>
      <c r="O128" s="160">
        <v>90.0</v>
      </c>
      <c r="P128" s="160">
        <v>90.0</v>
      </c>
      <c r="Q128" s="160">
        <v>0.0</v>
      </c>
      <c r="R128" s="160">
        <v>0.0</v>
      </c>
      <c r="S128" s="160">
        <v>0.0</v>
      </c>
      <c r="T128" s="160">
        <v>0.0</v>
      </c>
      <c r="U128" s="160">
        <v>0.0</v>
      </c>
      <c r="V128" s="160">
        <v>0.0</v>
      </c>
      <c r="W128" s="160">
        <v>0.0</v>
      </c>
      <c r="X128" s="160">
        <v>0.0</v>
      </c>
      <c r="Y128" s="160">
        <v>606.0</v>
      </c>
      <c r="Z128" s="160">
        <v>0.0</v>
      </c>
      <c r="AA128" s="160">
        <v>0.0</v>
      </c>
      <c r="AB128" s="160">
        <v>0.0</v>
      </c>
      <c r="AC128" s="160">
        <v>0.0</v>
      </c>
      <c r="AD128" s="160">
        <v>0.0</v>
      </c>
      <c r="AE128" s="160">
        <v>0.0</v>
      </c>
      <c r="AF128" s="160">
        <v>0.0</v>
      </c>
      <c r="AG128" s="160">
        <v>0.0</v>
      </c>
      <c r="AH128" s="160">
        <v>0.0</v>
      </c>
      <c r="AI128" s="160">
        <v>0.0</v>
      </c>
      <c r="AJ128" s="160">
        <v>0.0</v>
      </c>
      <c r="AK128" s="160">
        <v>25690.0</v>
      </c>
      <c r="AL128" s="160">
        <v>0.0</v>
      </c>
      <c r="AM128" s="160">
        <v>0.0</v>
      </c>
      <c r="AN128" s="160">
        <v>0.0</v>
      </c>
      <c r="AO128" s="160">
        <v>0.0</v>
      </c>
      <c r="AP128" s="160">
        <v>0.0</v>
      </c>
      <c r="AQ128" s="160">
        <v>0.0</v>
      </c>
      <c r="AR128" s="160">
        <v>0.0</v>
      </c>
      <c r="AS128" s="160">
        <v>0.0</v>
      </c>
      <c r="AT128" s="160">
        <v>0.0</v>
      </c>
      <c r="AU128" s="160">
        <v>0.0</v>
      </c>
      <c r="AV128" s="160">
        <v>0.0</v>
      </c>
      <c r="AW128" s="160">
        <v>0.0</v>
      </c>
      <c r="AX128" s="160">
        <v>90.0</v>
      </c>
      <c r="AY128" s="285">
        <v>45887.0</v>
      </c>
      <c r="AZ128" s="285"/>
    </row>
    <row r="129">
      <c r="A129" s="157" t="s">
        <v>185</v>
      </c>
      <c r="B129" s="157" t="s">
        <v>215</v>
      </c>
      <c r="C129" s="157" t="s">
        <v>267</v>
      </c>
      <c r="D129" s="157" t="s">
        <v>1064</v>
      </c>
      <c r="E129" s="157" t="s">
        <v>268</v>
      </c>
      <c r="F129" s="349">
        <v>45432.0</v>
      </c>
      <c r="G129" s="157" t="s">
        <v>776</v>
      </c>
      <c r="H129" s="160">
        <v>0.0</v>
      </c>
      <c r="I129" s="160">
        <v>7449999.0</v>
      </c>
      <c r="J129" s="160">
        <v>7615387.7</v>
      </c>
      <c r="K129" s="160">
        <v>0.0</v>
      </c>
      <c r="L129" s="160">
        <v>110.0</v>
      </c>
      <c r="M129" s="160">
        <v>97.0</v>
      </c>
      <c r="N129" s="160">
        <v>3.0</v>
      </c>
      <c r="O129" s="160">
        <v>113.0</v>
      </c>
      <c r="P129" s="160">
        <v>16.0</v>
      </c>
      <c r="Q129" s="160">
        <v>7401216.18</v>
      </c>
      <c r="R129" s="160">
        <v>214171.52</v>
      </c>
      <c r="S129" s="160">
        <v>58.0</v>
      </c>
      <c r="T129" s="160">
        <v>3.0</v>
      </c>
      <c r="U129" s="160">
        <v>61.0</v>
      </c>
      <c r="V129" s="160">
        <v>0.0</v>
      </c>
      <c r="W129" s="160">
        <v>55.0</v>
      </c>
      <c r="X129" s="160">
        <v>71.0</v>
      </c>
      <c r="Y129" s="160">
        <v>142.0</v>
      </c>
      <c r="Z129" s="160">
        <v>1.0</v>
      </c>
      <c r="AA129" s="160">
        <v>37.0</v>
      </c>
      <c r="AB129" s="160">
        <v>0.0</v>
      </c>
      <c r="AC129" s="160">
        <v>0.0</v>
      </c>
      <c r="AD129" s="160">
        <v>0.0</v>
      </c>
      <c r="AE129" s="160">
        <v>0.0</v>
      </c>
      <c r="AF129" s="160">
        <v>350.0</v>
      </c>
      <c r="AG129" s="160">
        <v>458.0</v>
      </c>
      <c r="AH129" s="160">
        <v>77.0</v>
      </c>
      <c r="AI129" s="160">
        <v>98901.0</v>
      </c>
      <c r="AJ129" s="160">
        <v>6.0</v>
      </c>
      <c r="AK129" s="160">
        <v>45100.0</v>
      </c>
      <c r="AL129" s="160">
        <v>0.0</v>
      </c>
      <c r="AM129" s="160">
        <v>0.0059</v>
      </c>
      <c r="AN129" s="160">
        <v>124842.0</v>
      </c>
      <c r="AO129" s="160">
        <v>1.02</v>
      </c>
      <c r="AP129" s="160">
        <v>0.0</v>
      </c>
      <c r="AQ129" s="160">
        <v>185.0</v>
      </c>
      <c r="AR129" s="160">
        <v>738.0</v>
      </c>
      <c r="AS129" s="160">
        <v>3343.56</v>
      </c>
      <c r="AT129" s="160">
        <v>3.0</v>
      </c>
      <c r="AU129" s="160">
        <v>34.0</v>
      </c>
      <c r="AV129" s="160">
        <v>61.0</v>
      </c>
      <c r="AW129" s="160">
        <v>39.0</v>
      </c>
      <c r="AX129" s="160">
        <v>13.0</v>
      </c>
      <c r="AY129" s="537"/>
      <c r="AZ129" s="537"/>
    </row>
    <row r="130">
      <c r="A130" s="157" t="s">
        <v>185</v>
      </c>
      <c r="B130" s="157" t="s">
        <v>196</v>
      </c>
      <c r="C130" s="157" t="s">
        <v>269</v>
      </c>
      <c r="D130" s="157" t="s">
        <v>1027</v>
      </c>
      <c r="E130" s="157" t="s">
        <v>270</v>
      </c>
      <c r="F130" s="349">
        <v>45434.0</v>
      </c>
      <c r="G130" s="157" t="s">
        <v>185</v>
      </c>
      <c r="H130" s="160">
        <v>0.0</v>
      </c>
      <c r="I130" s="160">
        <v>6000000.0</v>
      </c>
      <c r="J130" s="160">
        <v>3546868.94</v>
      </c>
      <c r="K130" s="160">
        <v>0.0</v>
      </c>
      <c r="L130" s="160">
        <v>74.0</v>
      </c>
      <c r="M130" s="160">
        <v>54.0</v>
      </c>
      <c r="N130" s="160">
        <v>2.0</v>
      </c>
      <c r="O130" s="160">
        <v>76.0</v>
      </c>
      <c r="P130" s="160">
        <v>22.0</v>
      </c>
      <c r="Q130" s="160">
        <v>3517665.74</v>
      </c>
      <c r="R130" s="160">
        <v>29203.2</v>
      </c>
      <c r="S130" s="160">
        <v>34.0</v>
      </c>
      <c r="T130" s="160">
        <v>1.0</v>
      </c>
      <c r="U130" s="160">
        <v>35.0</v>
      </c>
      <c r="V130" s="160">
        <v>0.0</v>
      </c>
      <c r="W130" s="160">
        <v>1.0</v>
      </c>
      <c r="X130" s="160">
        <v>1.0</v>
      </c>
      <c r="Y130" s="160">
        <v>19.0</v>
      </c>
      <c r="Z130" s="160">
        <v>1.0</v>
      </c>
      <c r="AA130" s="160">
        <v>17.0</v>
      </c>
      <c r="AB130" s="160">
        <v>0.0</v>
      </c>
      <c r="AC130" s="160">
        <v>0.0</v>
      </c>
      <c r="AD130" s="160">
        <v>0.0</v>
      </c>
      <c r="AE130" s="160">
        <v>0.0</v>
      </c>
      <c r="AF130" s="160">
        <v>248.0</v>
      </c>
      <c r="AG130" s="160">
        <v>266.0</v>
      </c>
      <c r="AH130" s="160">
        <v>66.0</v>
      </c>
      <c r="AI130" s="160">
        <v>53740.0</v>
      </c>
      <c r="AJ130" s="160">
        <v>4.0</v>
      </c>
      <c r="AK130" s="160">
        <v>69400.0</v>
      </c>
      <c r="AL130" s="160">
        <v>0.0</v>
      </c>
      <c r="AM130" s="160">
        <v>0.0196</v>
      </c>
      <c r="AN130" s="160">
        <v>101339.0</v>
      </c>
      <c r="AO130" s="160">
        <v>0.59</v>
      </c>
      <c r="AP130" s="160">
        <v>0.0</v>
      </c>
      <c r="AQ130" s="160">
        <v>187.0</v>
      </c>
      <c r="AR130" s="160">
        <v>700.0</v>
      </c>
      <c r="AS130" s="160">
        <v>3851.09</v>
      </c>
      <c r="AT130" s="160">
        <v>1.0</v>
      </c>
      <c r="AU130" s="160">
        <v>71.0</v>
      </c>
      <c r="AV130" s="160">
        <v>35.0</v>
      </c>
      <c r="AW130" s="160">
        <v>21.0</v>
      </c>
      <c r="AX130" s="160">
        <v>20.0</v>
      </c>
      <c r="AY130" s="537"/>
      <c r="AZ130" s="537"/>
    </row>
    <row r="131">
      <c r="A131" s="157" t="s">
        <v>298</v>
      </c>
      <c r="B131" s="157" t="s">
        <v>301</v>
      </c>
      <c r="C131" s="157" t="s">
        <v>311</v>
      </c>
      <c r="D131" s="157" t="s">
        <v>1066</v>
      </c>
      <c r="E131" s="157" t="s">
        <v>303</v>
      </c>
      <c r="F131" s="338">
        <v>45446.0</v>
      </c>
      <c r="G131" s="157" t="s">
        <v>302</v>
      </c>
      <c r="H131" s="160">
        <v>0.0</v>
      </c>
      <c r="I131" s="160">
        <v>3600000.0</v>
      </c>
      <c r="J131" s="160">
        <v>2692591.45</v>
      </c>
      <c r="K131" s="160">
        <v>0.0</v>
      </c>
      <c r="L131" s="160">
        <v>48.0</v>
      </c>
      <c r="M131" s="160">
        <v>45.0</v>
      </c>
      <c r="N131" s="160">
        <v>5.0</v>
      </c>
      <c r="O131" s="160">
        <v>53.0</v>
      </c>
      <c r="P131" s="160">
        <v>8.0</v>
      </c>
      <c r="Q131" s="160">
        <v>1890835.24</v>
      </c>
      <c r="R131" s="160">
        <v>801756.21</v>
      </c>
      <c r="S131" s="160">
        <v>20.0</v>
      </c>
      <c r="T131" s="160">
        <v>5.0</v>
      </c>
      <c r="U131" s="160">
        <v>25.0</v>
      </c>
      <c r="V131" s="160">
        <v>0.0</v>
      </c>
      <c r="W131" s="160">
        <v>43.0</v>
      </c>
      <c r="X131" s="160">
        <v>72.0</v>
      </c>
      <c r="Y131" s="160">
        <v>184.0</v>
      </c>
      <c r="Z131" s="160">
        <v>6.0</v>
      </c>
      <c r="AA131" s="160">
        <v>56.0</v>
      </c>
      <c r="AB131" s="160">
        <v>0.0</v>
      </c>
      <c r="AC131" s="160">
        <v>0.0</v>
      </c>
      <c r="AD131" s="160">
        <v>1.0</v>
      </c>
      <c r="AE131" s="160">
        <v>8.0</v>
      </c>
      <c r="AF131" s="160">
        <v>202.0</v>
      </c>
      <c r="AG131" s="160">
        <v>338.0</v>
      </c>
      <c r="AH131" s="160">
        <v>74.0</v>
      </c>
      <c r="AI131" s="160">
        <v>36386.0</v>
      </c>
      <c r="AJ131" s="160">
        <v>5.0</v>
      </c>
      <c r="AK131" s="160">
        <v>39840.0</v>
      </c>
      <c r="AL131" s="160">
        <v>0.0</v>
      </c>
      <c r="AM131" s="160">
        <v>0.0148</v>
      </c>
      <c r="AN131" s="160">
        <v>107704.0</v>
      </c>
      <c r="AO131" s="160">
        <v>0.75</v>
      </c>
      <c r="AP131" s="160">
        <v>0.0</v>
      </c>
      <c r="AQ131" s="160">
        <v>53.0</v>
      </c>
      <c r="AR131" s="160">
        <v>744.0</v>
      </c>
      <c r="AS131" s="160">
        <v>3964.18</v>
      </c>
      <c r="AT131" s="160">
        <v>5.0</v>
      </c>
      <c r="AU131" s="160">
        <v>88.0</v>
      </c>
      <c r="AV131" s="160">
        <v>25.0</v>
      </c>
      <c r="AW131" s="160">
        <v>21.0</v>
      </c>
      <c r="AX131" s="160">
        <v>7.0</v>
      </c>
      <c r="AY131" s="537"/>
      <c r="AZ131" s="537"/>
    </row>
    <row r="132">
      <c r="A132" s="157" t="s">
        <v>185</v>
      </c>
      <c r="B132" s="157" t="s">
        <v>1228</v>
      </c>
      <c r="C132" s="157" t="s">
        <v>122</v>
      </c>
      <c r="D132" s="157" t="s">
        <v>1051</v>
      </c>
      <c r="E132" s="157" t="s">
        <v>123</v>
      </c>
      <c r="F132" s="285">
        <v>45453.0</v>
      </c>
      <c r="G132" s="157" t="s">
        <v>111</v>
      </c>
      <c r="H132" s="160">
        <v>0.0</v>
      </c>
      <c r="I132" s="160">
        <v>3600000.0</v>
      </c>
      <c r="J132" s="160">
        <v>2516948.56</v>
      </c>
      <c r="K132" s="160">
        <v>0.0</v>
      </c>
      <c r="L132" s="160">
        <v>137.0</v>
      </c>
      <c r="M132" s="160">
        <v>133.0</v>
      </c>
      <c r="N132" s="160">
        <v>5.0</v>
      </c>
      <c r="O132" s="160">
        <v>142.0</v>
      </c>
      <c r="P132" s="160">
        <v>9.0</v>
      </c>
      <c r="Q132" s="160">
        <v>2389510.26</v>
      </c>
      <c r="R132" s="160">
        <v>127438.3</v>
      </c>
      <c r="S132" s="160">
        <v>50.0</v>
      </c>
      <c r="T132" s="160">
        <v>5.0</v>
      </c>
      <c r="U132" s="160">
        <v>55.0</v>
      </c>
      <c r="V132" s="160">
        <v>0.0</v>
      </c>
      <c r="W132" s="160">
        <v>21.0</v>
      </c>
      <c r="X132" s="160">
        <v>36.0</v>
      </c>
      <c r="Y132" s="160">
        <v>192.0</v>
      </c>
      <c r="Z132" s="160">
        <v>0.0</v>
      </c>
      <c r="AA132" s="160">
        <v>0.0</v>
      </c>
      <c r="AB132" s="160">
        <v>0.0</v>
      </c>
      <c r="AC132" s="160">
        <v>0.0</v>
      </c>
      <c r="AD132" s="160">
        <v>0.0</v>
      </c>
      <c r="AE132" s="160">
        <v>0.0</v>
      </c>
      <c r="AF132" s="160">
        <v>512.0</v>
      </c>
      <c r="AG132" s="160">
        <v>548.0</v>
      </c>
      <c r="AH132" s="160">
        <v>69.0</v>
      </c>
      <c r="AI132" s="160">
        <v>36478.0</v>
      </c>
      <c r="AJ132" s="160">
        <v>8.0</v>
      </c>
      <c r="AK132" s="160">
        <v>33570.0</v>
      </c>
      <c r="AL132" s="160">
        <v>0.0</v>
      </c>
      <c r="AM132" s="160">
        <v>0.0133</v>
      </c>
      <c r="AN132" s="160">
        <v>45763.0</v>
      </c>
      <c r="AO132" s="160">
        <v>0.7</v>
      </c>
      <c r="AP132" s="160">
        <v>0.0</v>
      </c>
      <c r="AQ132" s="160">
        <v>114.0</v>
      </c>
      <c r="AR132" s="160">
        <v>862.0</v>
      </c>
      <c r="AS132" s="160">
        <v>5855.57</v>
      </c>
      <c r="AT132" s="160">
        <v>5.0</v>
      </c>
      <c r="AU132" s="160">
        <v>44.0</v>
      </c>
      <c r="AV132" s="160">
        <v>55.0</v>
      </c>
      <c r="AW132" s="160">
        <v>79.0</v>
      </c>
      <c r="AX132" s="160">
        <v>8.0</v>
      </c>
      <c r="AY132" s="537"/>
      <c r="AZ132" s="537"/>
    </row>
    <row r="133">
      <c r="A133" s="157" t="s">
        <v>73</v>
      </c>
      <c r="B133" s="157" t="s">
        <v>1229</v>
      </c>
      <c r="C133" s="157" t="s">
        <v>81</v>
      </c>
      <c r="D133" s="157" t="s">
        <v>76</v>
      </c>
      <c r="E133" s="157" t="s">
        <v>82</v>
      </c>
      <c r="F133" s="338">
        <v>45964.0</v>
      </c>
      <c r="G133" s="157" t="s">
        <v>73</v>
      </c>
      <c r="H133" s="160">
        <v>800000.0</v>
      </c>
      <c r="I133" s="160">
        <v>600000.0</v>
      </c>
      <c r="J133" s="160">
        <v>423187.6</v>
      </c>
      <c r="K133" s="160">
        <v>504459.2</v>
      </c>
      <c r="L133" s="160">
        <v>28.0</v>
      </c>
      <c r="M133" s="160">
        <v>25.0</v>
      </c>
      <c r="N133" s="160">
        <v>0.0</v>
      </c>
      <c r="O133" s="160">
        <v>28.0</v>
      </c>
      <c r="P133" s="160">
        <v>3.0</v>
      </c>
      <c r="Q133" s="160">
        <v>423187.6</v>
      </c>
      <c r="R133" s="160">
        <v>0.0</v>
      </c>
      <c r="S133" s="160">
        <v>12.0</v>
      </c>
      <c r="T133" s="160">
        <v>0.0</v>
      </c>
      <c r="U133" s="160">
        <v>12.0</v>
      </c>
      <c r="V133" s="160">
        <v>3.0</v>
      </c>
      <c r="W133" s="160">
        <v>96.0</v>
      </c>
      <c r="X133" s="160">
        <v>121.0</v>
      </c>
      <c r="Y133" s="160">
        <v>219.0</v>
      </c>
      <c r="Z133" s="160">
        <v>4.0</v>
      </c>
      <c r="AA133" s="160">
        <v>33.0</v>
      </c>
      <c r="AB133" s="160">
        <v>4.0</v>
      </c>
      <c r="AC133" s="160">
        <v>19.0</v>
      </c>
      <c r="AD133" s="160">
        <v>5.0</v>
      </c>
      <c r="AE133" s="160">
        <v>7.0</v>
      </c>
      <c r="AF133" s="160">
        <v>51.0</v>
      </c>
      <c r="AG133" s="160">
        <v>231.0</v>
      </c>
      <c r="AH133" s="160">
        <v>49.0</v>
      </c>
      <c r="AI133" s="160">
        <v>8636.0</v>
      </c>
      <c r="AJ133" s="160">
        <v>5.0</v>
      </c>
      <c r="AK133" s="160">
        <v>27260.0</v>
      </c>
      <c r="AL133" s="160">
        <v>0.0</v>
      </c>
      <c r="AM133" s="160">
        <v>0.0644</v>
      </c>
      <c r="AN133" s="160">
        <v>35266.0</v>
      </c>
      <c r="AO133" s="160">
        <v>0.71</v>
      </c>
      <c r="AP133" s="160">
        <v>0.63</v>
      </c>
      <c r="AQ133" s="160">
        <v>21.0</v>
      </c>
      <c r="AR133" s="160">
        <v>353.0</v>
      </c>
      <c r="AS133" s="160">
        <v>1994.21</v>
      </c>
      <c r="AT133" s="160">
        <v>0.0</v>
      </c>
      <c r="AU133" s="160">
        <v>80.0</v>
      </c>
      <c r="AV133" s="160">
        <v>12.0</v>
      </c>
      <c r="AW133" s="160">
        <v>13.0</v>
      </c>
      <c r="AX133" s="160">
        <v>3.0</v>
      </c>
      <c r="AY133" s="537"/>
      <c r="AZ133" s="537"/>
    </row>
    <row r="134">
      <c r="A134" s="157" t="s">
        <v>185</v>
      </c>
      <c r="B134" s="157" t="s">
        <v>189</v>
      </c>
      <c r="C134" s="157" t="s">
        <v>271</v>
      </c>
      <c r="D134" s="157" t="s">
        <v>1016</v>
      </c>
      <c r="E134" s="157" t="s">
        <v>272</v>
      </c>
      <c r="F134" s="285">
        <v>45460.0</v>
      </c>
      <c r="G134" s="157" t="s">
        <v>202</v>
      </c>
      <c r="H134" s="160">
        <v>0.0</v>
      </c>
      <c r="I134" s="160">
        <v>4500000.0</v>
      </c>
      <c r="J134" s="160">
        <v>4111888.64</v>
      </c>
      <c r="K134" s="160">
        <v>0.0</v>
      </c>
      <c r="L134" s="160">
        <v>79.0</v>
      </c>
      <c r="M134" s="160">
        <v>66.0</v>
      </c>
      <c r="N134" s="160">
        <v>7.0</v>
      </c>
      <c r="O134" s="160">
        <v>86.0</v>
      </c>
      <c r="P134" s="160">
        <v>20.0</v>
      </c>
      <c r="Q134" s="160">
        <v>2768909.43</v>
      </c>
      <c r="R134" s="160">
        <v>1342979.21</v>
      </c>
      <c r="S134" s="160">
        <v>18.0</v>
      </c>
      <c r="T134" s="160">
        <v>7.0</v>
      </c>
      <c r="U134" s="160">
        <v>25.0</v>
      </c>
      <c r="V134" s="160">
        <v>0.0</v>
      </c>
      <c r="W134" s="160">
        <v>12.0</v>
      </c>
      <c r="X134" s="160">
        <v>15.0</v>
      </c>
      <c r="Y134" s="160">
        <v>68.0</v>
      </c>
      <c r="Z134" s="160">
        <v>0.0</v>
      </c>
      <c r="AA134" s="160">
        <v>0.0</v>
      </c>
      <c r="AB134" s="160">
        <v>0.0</v>
      </c>
      <c r="AC134" s="160">
        <v>0.0</v>
      </c>
      <c r="AD134" s="160">
        <v>1.0</v>
      </c>
      <c r="AE134" s="160">
        <v>5.0</v>
      </c>
      <c r="AF134" s="160">
        <v>281.0</v>
      </c>
      <c r="AG134" s="160">
        <v>301.0</v>
      </c>
      <c r="AH134" s="160">
        <v>72.0</v>
      </c>
      <c r="AI134" s="160">
        <v>57110.0</v>
      </c>
      <c r="AJ134" s="160">
        <v>4.0</v>
      </c>
      <c r="AK134" s="160">
        <v>29900.0</v>
      </c>
      <c r="AL134" s="160">
        <v>0.0</v>
      </c>
      <c r="AM134" s="160">
        <v>0.0073</v>
      </c>
      <c r="AN134" s="160">
        <v>164476.0</v>
      </c>
      <c r="AO134" s="160">
        <v>0.91</v>
      </c>
      <c r="AP134" s="160">
        <v>0.0</v>
      </c>
      <c r="AQ134" s="160">
        <v>54.0</v>
      </c>
      <c r="AR134" s="160">
        <v>760.0</v>
      </c>
      <c r="AS134" s="160">
        <v>4366.28</v>
      </c>
      <c r="AT134" s="160">
        <v>7.0</v>
      </c>
      <c r="AU134" s="160">
        <v>66.0</v>
      </c>
      <c r="AV134" s="160">
        <v>25.0</v>
      </c>
      <c r="AW134" s="160">
        <v>44.0</v>
      </c>
      <c r="AX134" s="160">
        <v>17.0</v>
      </c>
      <c r="AY134" s="537"/>
      <c r="AZ134" s="537"/>
    </row>
    <row r="135">
      <c r="A135" s="157" t="s">
        <v>185</v>
      </c>
      <c r="B135" s="157" t="s">
        <v>117</v>
      </c>
      <c r="C135" s="157" t="s">
        <v>430</v>
      </c>
      <c r="D135" s="157" t="s">
        <v>1044</v>
      </c>
      <c r="E135" s="157" t="s">
        <v>1097</v>
      </c>
      <c r="F135" s="285">
        <v>45462.0</v>
      </c>
      <c r="G135" s="157" t="s">
        <v>111</v>
      </c>
      <c r="H135" s="160">
        <v>0.0</v>
      </c>
      <c r="I135" s="160">
        <v>0.0</v>
      </c>
      <c r="J135" s="160">
        <v>0.0</v>
      </c>
      <c r="K135" s="160">
        <v>0.0</v>
      </c>
      <c r="L135" s="160">
        <v>48.0</v>
      </c>
      <c r="M135" s="160">
        <v>0.0</v>
      </c>
      <c r="N135" s="160">
        <v>0.0</v>
      </c>
      <c r="O135" s="160">
        <v>48.0</v>
      </c>
      <c r="P135" s="160">
        <v>48.0</v>
      </c>
      <c r="Q135" s="160">
        <v>0.0</v>
      </c>
      <c r="R135" s="160">
        <v>0.0</v>
      </c>
      <c r="S135" s="160">
        <v>0.0</v>
      </c>
      <c r="T135" s="160">
        <v>0.0</v>
      </c>
      <c r="U135" s="160">
        <v>0.0</v>
      </c>
      <c r="V135" s="160">
        <v>0.0</v>
      </c>
      <c r="W135" s="160">
        <v>0.0</v>
      </c>
      <c r="X135" s="160">
        <v>0.0</v>
      </c>
      <c r="Y135" s="160">
        <v>70.0</v>
      </c>
      <c r="Z135" s="160">
        <v>0.0</v>
      </c>
      <c r="AA135" s="160">
        <v>0.0</v>
      </c>
      <c r="AB135" s="160">
        <v>0.0</v>
      </c>
      <c r="AC135" s="160">
        <v>0.0</v>
      </c>
      <c r="AD135" s="160">
        <v>0.0</v>
      </c>
      <c r="AE135" s="160">
        <v>0.0</v>
      </c>
      <c r="AF135" s="160">
        <v>0.0</v>
      </c>
      <c r="AG135" s="160">
        <v>0.0</v>
      </c>
      <c r="AH135" s="160">
        <v>0.0</v>
      </c>
      <c r="AI135" s="160">
        <v>0.0</v>
      </c>
      <c r="AJ135" s="160">
        <v>0.0</v>
      </c>
      <c r="AK135" s="160">
        <v>24116.0</v>
      </c>
      <c r="AL135" s="160">
        <v>0.0</v>
      </c>
      <c r="AM135" s="160">
        <v>0.0</v>
      </c>
      <c r="AN135" s="160">
        <v>0.0</v>
      </c>
      <c r="AO135" s="160">
        <v>0.0</v>
      </c>
      <c r="AP135" s="160">
        <v>0.0</v>
      </c>
      <c r="AQ135" s="160">
        <v>0.0</v>
      </c>
      <c r="AR135" s="160">
        <v>0.0</v>
      </c>
      <c r="AS135" s="160">
        <v>0.0</v>
      </c>
      <c r="AT135" s="160">
        <v>0.0</v>
      </c>
      <c r="AU135" s="160">
        <v>0.0</v>
      </c>
      <c r="AV135" s="160">
        <v>0.0</v>
      </c>
      <c r="AW135" s="160">
        <v>0.0</v>
      </c>
      <c r="AX135" s="160">
        <v>48.0</v>
      </c>
      <c r="AY135" s="285">
        <v>45838.0</v>
      </c>
      <c r="AZ135" s="285"/>
    </row>
    <row r="136">
      <c r="A136" s="157" t="s">
        <v>53</v>
      </c>
      <c r="B136" s="157" t="s">
        <v>56</v>
      </c>
      <c r="C136" s="157" t="s">
        <v>831</v>
      </c>
      <c r="D136" s="157" t="s">
        <v>1092</v>
      </c>
      <c r="E136" s="157" t="s">
        <v>71</v>
      </c>
      <c r="F136" s="285">
        <v>45464.0</v>
      </c>
      <c r="G136" s="157" t="s">
        <v>754</v>
      </c>
      <c r="H136" s="160">
        <v>0.0</v>
      </c>
      <c r="I136" s="160">
        <v>0.0</v>
      </c>
      <c r="J136" s="160">
        <v>0.0</v>
      </c>
      <c r="K136" s="160">
        <v>0.0</v>
      </c>
      <c r="L136" s="160">
        <v>34.0</v>
      </c>
      <c r="M136" s="160">
        <v>0.0</v>
      </c>
      <c r="N136" s="160">
        <v>0.0</v>
      </c>
      <c r="O136" s="160">
        <v>34.0</v>
      </c>
      <c r="P136" s="160">
        <v>34.0</v>
      </c>
      <c r="Q136" s="160">
        <v>0.0</v>
      </c>
      <c r="R136" s="160">
        <v>0.0</v>
      </c>
      <c r="S136" s="160">
        <v>0.0</v>
      </c>
      <c r="T136" s="160">
        <v>0.0</v>
      </c>
      <c r="U136" s="160">
        <v>0.0</v>
      </c>
      <c r="V136" s="160">
        <v>0.0</v>
      </c>
      <c r="W136" s="160">
        <v>0.0</v>
      </c>
      <c r="X136" s="160">
        <v>0.0</v>
      </c>
      <c r="Y136" s="160">
        <v>402.0</v>
      </c>
      <c r="Z136" s="160">
        <v>0.0</v>
      </c>
      <c r="AA136" s="160">
        <v>0.0</v>
      </c>
      <c r="AB136" s="160">
        <v>0.0</v>
      </c>
      <c r="AC136" s="160">
        <v>0.0</v>
      </c>
      <c r="AD136" s="160">
        <v>0.0</v>
      </c>
      <c r="AE136" s="160">
        <v>0.0</v>
      </c>
      <c r="AF136" s="160">
        <v>0.0</v>
      </c>
      <c r="AG136" s="160">
        <v>0.0</v>
      </c>
      <c r="AH136" s="160">
        <v>0.0</v>
      </c>
      <c r="AI136" s="160">
        <v>0.0</v>
      </c>
      <c r="AJ136" s="160">
        <v>0.0</v>
      </c>
      <c r="AK136" s="160">
        <v>38285.0</v>
      </c>
      <c r="AL136" s="160">
        <v>0.0</v>
      </c>
      <c r="AM136" s="160">
        <v>0.0</v>
      </c>
      <c r="AN136" s="160">
        <v>0.0</v>
      </c>
      <c r="AO136" s="160">
        <v>0.0</v>
      </c>
      <c r="AP136" s="160">
        <v>0.0</v>
      </c>
      <c r="AQ136" s="160">
        <v>0.0</v>
      </c>
      <c r="AR136" s="160">
        <v>0.0</v>
      </c>
      <c r="AS136" s="160">
        <v>0.0</v>
      </c>
      <c r="AT136" s="160">
        <v>0.0</v>
      </c>
      <c r="AU136" s="160">
        <v>0.0</v>
      </c>
      <c r="AV136" s="160">
        <v>0.0</v>
      </c>
      <c r="AW136" s="160">
        <v>0.0</v>
      </c>
      <c r="AX136" s="160">
        <v>34.0</v>
      </c>
      <c r="AY136" s="285">
        <v>45838.0</v>
      </c>
      <c r="AZ136" s="285"/>
    </row>
    <row r="137">
      <c r="A137" s="157" t="s">
        <v>126</v>
      </c>
      <c r="B137" s="157" t="s">
        <v>140</v>
      </c>
      <c r="C137" s="157" t="s">
        <v>442</v>
      </c>
      <c r="D137" s="157" t="s">
        <v>1061</v>
      </c>
      <c r="E137" s="157" t="s">
        <v>443</v>
      </c>
      <c r="F137" s="285">
        <v>45467.0</v>
      </c>
      <c r="G137" s="157" t="s">
        <v>580</v>
      </c>
      <c r="H137" s="160">
        <v>0.0</v>
      </c>
      <c r="I137" s="160">
        <v>5000001.0</v>
      </c>
      <c r="J137" s="160">
        <v>1635085.6</v>
      </c>
      <c r="K137" s="160">
        <v>0.0</v>
      </c>
      <c r="L137" s="160">
        <v>48.0</v>
      </c>
      <c r="M137" s="160">
        <v>44.0</v>
      </c>
      <c r="N137" s="160">
        <v>0.0</v>
      </c>
      <c r="O137" s="160">
        <v>48.0</v>
      </c>
      <c r="P137" s="160">
        <v>4.0</v>
      </c>
      <c r="Q137" s="160">
        <v>1635085.6</v>
      </c>
      <c r="R137" s="160">
        <v>0.0</v>
      </c>
      <c r="S137" s="160">
        <v>20.0</v>
      </c>
      <c r="T137" s="160">
        <v>0.0</v>
      </c>
      <c r="U137" s="160">
        <v>20.0</v>
      </c>
      <c r="V137" s="160">
        <v>0.0</v>
      </c>
      <c r="W137" s="160">
        <v>11.0</v>
      </c>
      <c r="X137" s="160">
        <v>23.0</v>
      </c>
      <c r="Y137" s="160">
        <v>16.0</v>
      </c>
      <c r="Z137" s="160">
        <v>1.0</v>
      </c>
      <c r="AA137" s="160">
        <v>9.0</v>
      </c>
      <c r="AB137" s="160">
        <v>0.0</v>
      </c>
      <c r="AC137" s="160">
        <v>0.0</v>
      </c>
      <c r="AD137" s="160">
        <v>0.0</v>
      </c>
      <c r="AE137" s="160">
        <v>0.0</v>
      </c>
      <c r="AF137" s="160">
        <v>212.0</v>
      </c>
      <c r="AG137" s="160">
        <v>244.0</v>
      </c>
      <c r="AH137" s="160">
        <v>70.0</v>
      </c>
      <c r="AI137" s="160">
        <v>23358.0</v>
      </c>
      <c r="AJ137" s="160">
        <v>3.0</v>
      </c>
      <c r="AK137" s="160">
        <v>27260.0</v>
      </c>
      <c r="AL137" s="160">
        <v>0.0</v>
      </c>
      <c r="AM137" s="160">
        <v>0.0167</v>
      </c>
      <c r="AN137" s="160">
        <v>81754.0</v>
      </c>
      <c r="AO137" s="160">
        <v>0.33</v>
      </c>
      <c r="AP137" s="160">
        <v>0.0</v>
      </c>
      <c r="AQ137" s="160">
        <v>34.0</v>
      </c>
      <c r="AR137" s="160">
        <v>662.0</v>
      </c>
      <c r="AS137" s="160">
        <v>3805.27</v>
      </c>
      <c r="AT137" s="160">
        <v>0.0</v>
      </c>
      <c r="AU137" s="160">
        <v>86.0</v>
      </c>
      <c r="AV137" s="160">
        <v>20.0</v>
      </c>
      <c r="AW137" s="160">
        <v>24.0</v>
      </c>
      <c r="AX137" s="160">
        <v>4.0</v>
      </c>
      <c r="AY137" s="537"/>
      <c r="AZ137" s="537"/>
    </row>
    <row r="138">
      <c r="A138" s="157" t="s">
        <v>185</v>
      </c>
      <c r="B138" s="157" t="s">
        <v>85</v>
      </c>
      <c r="C138" s="157" t="s">
        <v>832</v>
      </c>
      <c r="D138" s="157" t="s">
        <v>1058</v>
      </c>
      <c r="E138" s="157" t="s">
        <v>393</v>
      </c>
      <c r="F138" s="338">
        <v>45474.0</v>
      </c>
      <c r="G138" s="157" t="s">
        <v>86</v>
      </c>
      <c r="H138" s="160">
        <v>0.0</v>
      </c>
      <c r="I138" s="160">
        <v>0.0</v>
      </c>
      <c r="J138" s="160">
        <v>0.0</v>
      </c>
      <c r="K138" s="160">
        <v>0.0</v>
      </c>
      <c r="L138" s="160">
        <v>21.0</v>
      </c>
      <c r="M138" s="160">
        <v>0.0</v>
      </c>
      <c r="N138" s="160">
        <v>0.0</v>
      </c>
      <c r="O138" s="160">
        <v>21.0</v>
      </c>
      <c r="P138" s="160">
        <v>21.0</v>
      </c>
      <c r="Q138" s="160">
        <v>0.0</v>
      </c>
      <c r="R138" s="160">
        <v>0.0</v>
      </c>
      <c r="S138" s="160">
        <v>0.0</v>
      </c>
      <c r="T138" s="160">
        <v>0.0</v>
      </c>
      <c r="U138" s="160">
        <v>0.0</v>
      </c>
      <c r="V138" s="160">
        <v>0.0</v>
      </c>
      <c r="W138" s="160">
        <v>0.0</v>
      </c>
      <c r="X138" s="160">
        <v>0.0</v>
      </c>
      <c r="Y138" s="160">
        <v>531.0</v>
      </c>
      <c r="Z138" s="160">
        <v>0.0</v>
      </c>
      <c r="AA138" s="160">
        <v>0.0</v>
      </c>
      <c r="AB138" s="160">
        <v>0.0</v>
      </c>
      <c r="AC138" s="160">
        <v>0.0</v>
      </c>
      <c r="AD138" s="160">
        <v>0.0</v>
      </c>
      <c r="AE138" s="160">
        <v>0.0</v>
      </c>
      <c r="AF138" s="160">
        <v>0.0</v>
      </c>
      <c r="AG138" s="160">
        <v>0.0</v>
      </c>
      <c r="AH138" s="160">
        <v>0.0</v>
      </c>
      <c r="AI138" s="160">
        <v>0.0</v>
      </c>
      <c r="AJ138" s="160">
        <v>0.0</v>
      </c>
      <c r="AK138" s="160">
        <v>35650.0</v>
      </c>
      <c r="AL138" s="160">
        <v>0.0</v>
      </c>
      <c r="AM138" s="160">
        <v>0.0</v>
      </c>
      <c r="AN138" s="160">
        <v>0.0</v>
      </c>
      <c r="AO138" s="160">
        <v>0.0</v>
      </c>
      <c r="AP138" s="160">
        <v>0.0</v>
      </c>
      <c r="AQ138" s="160">
        <v>0.0</v>
      </c>
      <c r="AR138" s="160">
        <v>0.0</v>
      </c>
      <c r="AS138" s="160">
        <v>0.0</v>
      </c>
      <c r="AT138" s="160">
        <v>0.0</v>
      </c>
      <c r="AU138" s="160">
        <v>0.0</v>
      </c>
      <c r="AV138" s="160">
        <v>0.0</v>
      </c>
      <c r="AW138" s="160">
        <v>0.0</v>
      </c>
      <c r="AX138" s="160">
        <v>21.0</v>
      </c>
      <c r="AY138" s="338">
        <v>45877.0</v>
      </c>
      <c r="AZ138" s="338"/>
    </row>
    <row r="139">
      <c r="A139" s="157" t="s">
        <v>126</v>
      </c>
      <c r="B139" s="157" t="s">
        <v>130</v>
      </c>
      <c r="C139" s="157" t="s">
        <v>165</v>
      </c>
      <c r="D139" s="157" t="s">
        <v>130</v>
      </c>
      <c r="E139" s="157" t="s">
        <v>166</v>
      </c>
      <c r="F139" s="338">
        <v>45482.0</v>
      </c>
      <c r="G139" s="157" t="s">
        <v>131</v>
      </c>
      <c r="H139" s="160">
        <v>0.0</v>
      </c>
      <c r="I139" s="160">
        <v>4749999.0</v>
      </c>
      <c r="J139" s="160">
        <v>3304161.74</v>
      </c>
      <c r="K139" s="160">
        <v>0.0</v>
      </c>
      <c r="L139" s="160">
        <v>69.0</v>
      </c>
      <c r="M139" s="160">
        <v>61.0</v>
      </c>
      <c r="N139" s="160">
        <v>3.0</v>
      </c>
      <c r="O139" s="160">
        <v>72.0</v>
      </c>
      <c r="P139" s="160">
        <v>11.0</v>
      </c>
      <c r="Q139" s="160">
        <v>3127830.96</v>
      </c>
      <c r="R139" s="160">
        <v>176330.78</v>
      </c>
      <c r="S139" s="160">
        <v>34.0</v>
      </c>
      <c r="T139" s="160">
        <v>3.0</v>
      </c>
      <c r="U139" s="160">
        <v>37.0</v>
      </c>
      <c r="V139" s="160">
        <v>0.0</v>
      </c>
      <c r="W139" s="160">
        <v>23.0</v>
      </c>
      <c r="X139" s="160">
        <v>28.0</v>
      </c>
      <c r="Y139" s="160">
        <v>239.0</v>
      </c>
      <c r="Z139" s="160">
        <v>1.0</v>
      </c>
      <c r="AA139" s="160">
        <v>15.0</v>
      </c>
      <c r="AB139" s="160">
        <v>0.0</v>
      </c>
      <c r="AC139" s="160">
        <v>0.0</v>
      </c>
      <c r="AD139" s="160">
        <v>0.0</v>
      </c>
      <c r="AE139" s="160">
        <v>0.0</v>
      </c>
      <c r="AF139" s="160">
        <v>293.0</v>
      </c>
      <c r="AG139" s="160">
        <v>336.0</v>
      </c>
      <c r="AH139" s="160">
        <v>66.0</v>
      </c>
      <c r="AI139" s="160">
        <v>50063.0</v>
      </c>
      <c r="AJ139" s="160">
        <v>5.0</v>
      </c>
      <c r="AK139" s="160">
        <v>25165.0</v>
      </c>
      <c r="AL139" s="160">
        <v>0.0</v>
      </c>
      <c r="AM139" s="160">
        <v>0.0076</v>
      </c>
      <c r="AN139" s="160">
        <v>89302.0</v>
      </c>
      <c r="AO139" s="160">
        <v>0.7</v>
      </c>
      <c r="AP139" s="160">
        <v>0.0</v>
      </c>
      <c r="AQ139" s="160">
        <v>130.0</v>
      </c>
      <c r="AR139" s="160">
        <v>503.0</v>
      </c>
      <c r="AS139" s="160">
        <v>3968.46</v>
      </c>
      <c r="AT139" s="160">
        <v>3.0</v>
      </c>
      <c r="AU139" s="160">
        <v>65.0</v>
      </c>
      <c r="AV139" s="160">
        <v>37.0</v>
      </c>
      <c r="AW139" s="160">
        <v>26.0</v>
      </c>
      <c r="AX139" s="160">
        <v>9.0</v>
      </c>
      <c r="AY139" s="537"/>
      <c r="AZ139" s="537"/>
    </row>
    <row r="140">
      <c r="A140" s="157" t="s">
        <v>298</v>
      </c>
      <c r="B140" s="157" t="s">
        <v>301</v>
      </c>
      <c r="C140" s="157" t="s">
        <v>312</v>
      </c>
      <c r="D140" s="157" t="s">
        <v>1066</v>
      </c>
      <c r="E140" s="157" t="s">
        <v>313</v>
      </c>
      <c r="F140" s="285">
        <v>45483.0</v>
      </c>
      <c r="G140" s="157" t="s">
        <v>302</v>
      </c>
      <c r="H140" s="160">
        <v>0.0</v>
      </c>
      <c r="I140" s="160">
        <v>3000000.0</v>
      </c>
      <c r="J140" s="160">
        <v>1648104.8</v>
      </c>
      <c r="K140" s="160">
        <v>0.0</v>
      </c>
      <c r="L140" s="160">
        <v>74.0</v>
      </c>
      <c r="M140" s="160">
        <v>72.0</v>
      </c>
      <c r="N140" s="160">
        <v>16.0</v>
      </c>
      <c r="O140" s="160">
        <v>90.0</v>
      </c>
      <c r="P140" s="160">
        <v>18.0</v>
      </c>
      <c r="Q140" s="160">
        <v>1099936.36</v>
      </c>
      <c r="R140" s="160">
        <v>548168.44</v>
      </c>
      <c r="S140" s="160">
        <v>40.0</v>
      </c>
      <c r="T140" s="160">
        <v>16.0</v>
      </c>
      <c r="U140" s="160">
        <v>56.0</v>
      </c>
      <c r="V140" s="160">
        <v>0.0</v>
      </c>
      <c r="W140" s="160">
        <v>80.0</v>
      </c>
      <c r="X140" s="160">
        <v>102.0</v>
      </c>
      <c r="Y140" s="160">
        <v>148.0</v>
      </c>
      <c r="Z140" s="160">
        <v>2.0</v>
      </c>
      <c r="AA140" s="160">
        <v>30.0</v>
      </c>
      <c r="AB140" s="160">
        <v>0.0</v>
      </c>
      <c r="AC140" s="160">
        <v>0.0</v>
      </c>
      <c r="AD140" s="160">
        <v>0.0</v>
      </c>
      <c r="AE140" s="160">
        <v>0.0</v>
      </c>
      <c r="AF140" s="160">
        <v>217.0</v>
      </c>
      <c r="AG140" s="160">
        <v>349.0</v>
      </c>
      <c r="AH140" s="160">
        <v>70.0</v>
      </c>
      <c r="AI140" s="160">
        <v>23544.0</v>
      </c>
      <c r="AJ140" s="160">
        <v>5.0</v>
      </c>
      <c r="AK140" s="160">
        <v>42475.0</v>
      </c>
      <c r="AL140" s="160">
        <v>0.0</v>
      </c>
      <c r="AM140" s="160">
        <v>0.0258</v>
      </c>
      <c r="AN140" s="160">
        <v>29430.0</v>
      </c>
      <c r="AO140" s="160">
        <v>0.55</v>
      </c>
      <c r="AP140" s="160">
        <v>0.0</v>
      </c>
      <c r="AQ140" s="160">
        <v>91.0</v>
      </c>
      <c r="AR140" s="160">
        <v>614.0</v>
      </c>
      <c r="AS140" s="160">
        <v>6693.96</v>
      </c>
      <c r="AT140" s="160">
        <v>16.0</v>
      </c>
      <c r="AU140" s="160">
        <v>93.0</v>
      </c>
      <c r="AV140" s="160">
        <v>56.0</v>
      </c>
      <c r="AW140" s="160">
        <v>18.0</v>
      </c>
      <c r="AX140" s="160">
        <v>16.0</v>
      </c>
      <c r="AY140" s="537"/>
      <c r="AZ140" s="537"/>
    </row>
    <row r="141">
      <c r="A141" s="157" t="s">
        <v>97</v>
      </c>
      <c r="B141" s="157" t="s">
        <v>101</v>
      </c>
      <c r="C141" s="157" t="s">
        <v>348</v>
      </c>
      <c r="D141" s="157" t="s">
        <v>1107</v>
      </c>
      <c r="E141" s="157" t="s">
        <v>349</v>
      </c>
      <c r="F141" s="338">
        <v>45597.0</v>
      </c>
      <c r="G141" s="157" t="s">
        <v>97</v>
      </c>
      <c r="H141" s="160">
        <v>0.0</v>
      </c>
      <c r="I141" s="160">
        <v>3500000.0</v>
      </c>
      <c r="J141" s="160">
        <v>1036702.8</v>
      </c>
      <c r="K141" s="160">
        <v>0.0</v>
      </c>
      <c r="L141" s="160">
        <v>99.0</v>
      </c>
      <c r="M141" s="160">
        <v>84.0</v>
      </c>
      <c r="N141" s="160">
        <v>2.0</v>
      </c>
      <c r="O141" s="160">
        <v>101.0</v>
      </c>
      <c r="P141" s="160">
        <v>17.0</v>
      </c>
      <c r="Q141" s="160">
        <v>880306.8</v>
      </c>
      <c r="R141" s="160">
        <v>156396.0</v>
      </c>
      <c r="S141" s="160">
        <v>18.0</v>
      </c>
      <c r="T141" s="160">
        <v>2.0</v>
      </c>
      <c r="U141" s="160">
        <v>20.0</v>
      </c>
      <c r="V141" s="160">
        <v>0.0</v>
      </c>
      <c r="W141" s="160">
        <v>4.0</v>
      </c>
      <c r="X141" s="160">
        <v>6.0</v>
      </c>
      <c r="Y141" s="160">
        <v>65.0</v>
      </c>
      <c r="Z141" s="160">
        <v>1.0</v>
      </c>
      <c r="AA141" s="160">
        <v>32.0</v>
      </c>
      <c r="AB141" s="160">
        <v>0.0</v>
      </c>
      <c r="AC141" s="160">
        <v>0.0</v>
      </c>
      <c r="AD141" s="160">
        <v>0.0</v>
      </c>
      <c r="AE141" s="160">
        <v>0.0</v>
      </c>
      <c r="AF141" s="160">
        <v>376.0</v>
      </c>
      <c r="AG141" s="160">
        <v>414.0</v>
      </c>
      <c r="AH141" s="160">
        <v>72.0</v>
      </c>
      <c r="AI141" s="160">
        <v>14399.0</v>
      </c>
      <c r="AJ141" s="160">
        <v>6.0</v>
      </c>
      <c r="AK141" s="160">
        <v>26800.0</v>
      </c>
      <c r="AL141" s="160">
        <v>0.0</v>
      </c>
      <c r="AM141" s="160">
        <v>0.0</v>
      </c>
      <c r="AN141" s="160">
        <v>51835.0</v>
      </c>
      <c r="AO141" s="160">
        <v>0.3</v>
      </c>
      <c r="AP141" s="160">
        <v>0.0</v>
      </c>
      <c r="AQ141" s="160">
        <v>30.0</v>
      </c>
      <c r="AR141" s="160">
        <v>535.0</v>
      </c>
      <c r="AS141" s="160">
        <v>2487.79</v>
      </c>
      <c r="AT141" s="160">
        <v>2.0</v>
      </c>
      <c r="AU141" s="160">
        <v>30.0</v>
      </c>
      <c r="AV141" s="160">
        <v>20.0</v>
      </c>
      <c r="AW141" s="160">
        <v>64.0</v>
      </c>
      <c r="AX141" s="160">
        <v>17.0</v>
      </c>
      <c r="AY141" s="338">
        <v>46027.0</v>
      </c>
      <c r="AZ141" s="338"/>
    </row>
    <row r="142">
      <c r="A142" s="157" t="s">
        <v>97</v>
      </c>
      <c r="B142" s="157" t="s">
        <v>101</v>
      </c>
      <c r="C142" s="157" t="s">
        <v>102</v>
      </c>
      <c r="D142" s="157" t="s">
        <v>1062</v>
      </c>
      <c r="E142" s="157" t="s">
        <v>103</v>
      </c>
      <c r="F142" s="285">
        <v>45488.0</v>
      </c>
      <c r="G142" s="157" t="s">
        <v>97</v>
      </c>
      <c r="H142" s="160">
        <v>0.0</v>
      </c>
      <c r="I142" s="160">
        <v>3166251.0</v>
      </c>
      <c r="J142" s="160">
        <v>1221339.6</v>
      </c>
      <c r="K142" s="160">
        <v>0.0</v>
      </c>
      <c r="L142" s="160">
        <v>108.0</v>
      </c>
      <c r="M142" s="160">
        <v>98.0</v>
      </c>
      <c r="N142" s="160">
        <v>0.0</v>
      </c>
      <c r="O142" s="160">
        <v>108.0</v>
      </c>
      <c r="P142" s="160">
        <v>10.0</v>
      </c>
      <c r="Q142" s="160">
        <v>1221339.6</v>
      </c>
      <c r="R142" s="160">
        <v>0.0</v>
      </c>
      <c r="S142" s="160">
        <v>54.0</v>
      </c>
      <c r="T142" s="160">
        <v>0.0</v>
      </c>
      <c r="U142" s="160">
        <v>54.0</v>
      </c>
      <c r="V142" s="160">
        <v>0.0</v>
      </c>
      <c r="W142" s="160">
        <v>11.0</v>
      </c>
      <c r="X142" s="160">
        <v>16.0</v>
      </c>
      <c r="Y142" s="160">
        <v>43.0</v>
      </c>
      <c r="Z142" s="160">
        <v>2.0</v>
      </c>
      <c r="AA142" s="160">
        <v>18.0</v>
      </c>
      <c r="AB142" s="160">
        <v>0.0</v>
      </c>
      <c r="AC142" s="160">
        <v>0.0</v>
      </c>
      <c r="AD142" s="160">
        <v>0.0</v>
      </c>
      <c r="AE142" s="160">
        <v>0.0</v>
      </c>
      <c r="AF142" s="160">
        <v>398.0</v>
      </c>
      <c r="AG142" s="160">
        <v>432.0</v>
      </c>
      <c r="AH142" s="160">
        <v>73.0</v>
      </c>
      <c r="AI142" s="160">
        <v>16731.0</v>
      </c>
      <c r="AJ142" s="160">
        <v>6.0</v>
      </c>
      <c r="AK142" s="537"/>
      <c r="AL142" s="160">
        <v>0.0</v>
      </c>
      <c r="AM142" s="160">
        <v>0.0</v>
      </c>
      <c r="AN142" s="160">
        <v>22617.0</v>
      </c>
      <c r="AO142" s="160">
        <v>0.39</v>
      </c>
      <c r="AP142" s="160">
        <v>0.0</v>
      </c>
      <c r="AQ142" s="160">
        <v>110.0</v>
      </c>
      <c r="AR142" s="160">
        <v>633.0</v>
      </c>
      <c r="AS142" s="160">
        <v>4789.97</v>
      </c>
      <c r="AT142" s="160">
        <v>0.0</v>
      </c>
      <c r="AU142" s="160">
        <v>49.0</v>
      </c>
      <c r="AV142" s="160">
        <v>54.0</v>
      </c>
      <c r="AW142" s="160">
        <v>44.0</v>
      </c>
      <c r="AX142" s="160">
        <v>10.0</v>
      </c>
      <c r="AY142" s="537"/>
      <c r="AZ142" s="537"/>
    </row>
    <row r="143">
      <c r="A143" s="157" t="s">
        <v>185</v>
      </c>
      <c r="B143" s="157" t="s">
        <v>212</v>
      </c>
      <c r="C143" s="157" t="s">
        <v>839</v>
      </c>
      <c r="D143" s="157" t="s">
        <v>1031</v>
      </c>
      <c r="E143" s="157" t="s">
        <v>417</v>
      </c>
      <c r="F143" s="285">
        <v>45488.0</v>
      </c>
      <c r="G143" s="157" t="s">
        <v>489</v>
      </c>
      <c r="H143" s="160">
        <v>0.0</v>
      </c>
      <c r="I143" s="160">
        <v>4500000.0</v>
      </c>
      <c r="J143" s="160">
        <v>1106455.24</v>
      </c>
      <c r="K143" s="160">
        <v>0.0</v>
      </c>
      <c r="L143" s="160">
        <v>58.0</v>
      </c>
      <c r="M143" s="160">
        <v>51.0</v>
      </c>
      <c r="N143" s="160">
        <v>1.0</v>
      </c>
      <c r="O143" s="160">
        <v>59.0</v>
      </c>
      <c r="P143" s="160">
        <v>8.0</v>
      </c>
      <c r="Q143" s="160">
        <v>890492.88</v>
      </c>
      <c r="R143" s="160">
        <v>215962.36</v>
      </c>
      <c r="S143" s="160">
        <v>18.0</v>
      </c>
      <c r="T143" s="160">
        <v>1.0</v>
      </c>
      <c r="U143" s="160">
        <v>19.0</v>
      </c>
      <c r="V143" s="160">
        <v>0.0</v>
      </c>
      <c r="W143" s="160">
        <v>1.0</v>
      </c>
      <c r="X143" s="160">
        <v>4.0</v>
      </c>
      <c r="Y143" s="160">
        <v>57.0</v>
      </c>
      <c r="Z143" s="160">
        <v>1.0</v>
      </c>
      <c r="AA143" s="160">
        <v>36.0</v>
      </c>
      <c r="AB143" s="160">
        <v>0.0</v>
      </c>
      <c r="AC143" s="160">
        <v>0.0</v>
      </c>
      <c r="AD143" s="160">
        <v>0.0</v>
      </c>
      <c r="AE143" s="160">
        <v>0.0</v>
      </c>
      <c r="AF143" s="160">
        <v>221.0</v>
      </c>
      <c r="AG143" s="160">
        <v>261.0</v>
      </c>
      <c r="AH143" s="160">
        <v>65.0</v>
      </c>
      <c r="AI143" s="160">
        <v>17022.0</v>
      </c>
      <c r="AJ143" s="160">
        <v>4.0</v>
      </c>
      <c r="AK143" s="160">
        <v>30950.0</v>
      </c>
      <c r="AL143" s="160">
        <v>0.0</v>
      </c>
      <c r="AM143" s="160">
        <v>0.028</v>
      </c>
      <c r="AN143" s="160">
        <v>58234.0</v>
      </c>
      <c r="AO143" s="160">
        <v>0.25</v>
      </c>
      <c r="AP143" s="160">
        <v>0.0</v>
      </c>
      <c r="AQ143" s="160">
        <v>26.0</v>
      </c>
      <c r="AR143" s="160">
        <v>699.0</v>
      </c>
      <c r="AS143" s="160">
        <v>4671.71</v>
      </c>
      <c r="AT143" s="160">
        <v>1.0</v>
      </c>
      <c r="AU143" s="160">
        <v>92.0</v>
      </c>
      <c r="AV143" s="160">
        <v>19.0</v>
      </c>
      <c r="AW143" s="160">
        <v>32.0</v>
      </c>
      <c r="AX143" s="160">
        <v>8.0</v>
      </c>
      <c r="AY143" s="537"/>
      <c r="AZ143" s="537"/>
    </row>
    <row r="144">
      <c r="A144" s="157" t="s">
        <v>126</v>
      </c>
      <c r="B144" s="157" t="s">
        <v>130</v>
      </c>
      <c r="C144" s="157" t="s">
        <v>444</v>
      </c>
      <c r="D144" s="157" t="s">
        <v>130</v>
      </c>
      <c r="E144" s="157" t="s">
        <v>445</v>
      </c>
      <c r="F144" s="338">
        <v>45506.0</v>
      </c>
      <c r="G144" s="157" t="s">
        <v>128</v>
      </c>
      <c r="H144" s="160">
        <v>300000.0</v>
      </c>
      <c r="I144" s="160">
        <v>3450000.0</v>
      </c>
      <c r="J144" s="160">
        <v>371533.04</v>
      </c>
      <c r="K144" s="160">
        <v>565888.95</v>
      </c>
      <c r="L144" s="160">
        <v>48.0</v>
      </c>
      <c r="M144" s="160">
        <v>39.0</v>
      </c>
      <c r="N144" s="160">
        <v>0.0</v>
      </c>
      <c r="O144" s="160">
        <v>48.0</v>
      </c>
      <c r="P144" s="160">
        <v>9.0</v>
      </c>
      <c r="Q144" s="160">
        <v>371533.04</v>
      </c>
      <c r="R144" s="160">
        <v>0.0</v>
      </c>
      <c r="S144" s="160">
        <v>13.0</v>
      </c>
      <c r="T144" s="160">
        <v>0.0</v>
      </c>
      <c r="U144" s="160">
        <v>13.0</v>
      </c>
      <c r="V144" s="160">
        <v>1.0</v>
      </c>
      <c r="W144" s="160">
        <v>43.0</v>
      </c>
      <c r="X144" s="160">
        <v>69.0</v>
      </c>
      <c r="Y144" s="160">
        <v>85.0</v>
      </c>
      <c r="Z144" s="160">
        <v>3.0</v>
      </c>
      <c r="AA144" s="160">
        <v>9.0</v>
      </c>
      <c r="AB144" s="160">
        <v>1.0</v>
      </c>
      <c r="AC144" s="160">
        <v>56.0</v>
      </c>
      <c r="AD144" s="160">
        <v>2.0</v>
      </c>
      <c r="AE144" s="160">
        <v>8.0</v>
      </c>
      <c r="AF144" s="160">
        <v>158.0</v>
      </c>
      <c r="AG144" s="160">
        <v>300.0</v>
      </c>
      <c r="AH144" s="160">
        <v>72.0</v>
      </c>
      <c r="AI144" s="160">
        <v>5160.0</v>
      </c>
      <c r="AJ144" s="160">
        <v>4.0</v>
      </c>
      <c r="AK144" s="160">
        <v>29360.0</v>
      </c>
      <c r="AL144" s="160">
        <v>0.0</v>
      </c>
      <c r="AM144" s="160">
        <v>0.079</v>
      </c>
      <c r="AN144" s="160">
        <v>28579.0</v>
      </c>
      <c r="AO144" s="160">
        <v>0.11</v>
      </c>
      <c r="AP144" s="160">
        <v>1.89</v>
      </c>
      <c r="AQ144" s="160">
        <v>17.0</v>
      </c>
      <c r="AR144" s="160">
        <v>681.0</v>
      </c>
      <c r="AS144" s="160">
        <v>3160.58</v>
      </c>
      <c r="AT144" s="160">
        <v>0.0</v>
      </c>
      <c r="AU144" s="160">
        <v>81.0</v>
      </c>
      <c r="AV144" s="160">
        <v>13.0</v>
      </c>
      <c r="AW144" s="160">
        <v>26.0</v>
      </c>
      <c r="AX144" s="160">
        <v>9.0</v>
      </c>
      <c r="AY144" s="537"/>
      <c r="AZ144" s="537"/>
    </row>
    <row r="145">
      <c r="A145" s="157" t="s">
        <v>53</v>
      </c>
      <c r="B145" s="157" t="s">
        <v>56</v>
      </c>
      <c r="C145" s="157" t="s">
        <v>847</v>
      </c>
      <c r="D145" s="157" t="s">
        <v>1092</v>
      </c>
      <c r="E145" s="157" t="s">
        <v>1099</v>
      </c>
      <c r="F145" s="285">
        <v>45502.0</v>
      </c>
      <c r="G145" s="157" t="s">
        <v>754</v>
      </c>
      <c r="H145" s="160">
        <v>0.0</v>
      </c>
      <c r="I145" s="160">
        <v>0.0</v>
      </c>
      <c r="J145" s="160">
        <v>0.0</v>
      </c>
      <c r="K145" s="160">
        <v>0.0</v>
      </c>
      <c r="L145" s="160">
        <v>31.0</v>
      </c>
      <c r="M145" s="160">
        <v>0.0</v>
      </c>
      <c r="N145" s="160">
        <v>0.0</v>
      </c>
      <c r="O145" s="160">
        <v>31.0</v>
      </c>
      <c r="P145" s="160">
        <v>31.0</v>
      </c>
      <c r="Q145" s="160">
        <v>0.0</v>
      </c>
      <c r="R145" s="160">
        <v>0.0</v>
      </c>
      <c r="S145" s="160">
        <v>0.0</v>
      </c>
      <c r="T145" s="160">
        <v>0.0</v>
      </c>
      <c r="U145" s="160">
        <v>0.0</v>
      </c>
      <c r="V145" s="160">
        <v>0.0</v>
      </c>
      <c r="W145" s="160">
        <v>0.0</v>
      </c>
      <c r="X145" s="160">
        <v>0.0</v>
      </c>
      <c r="Y145" s="160">
        <v>130.0</v>
      </c>
      <c r="Z145" s="160">
        <v>0.0</v>
      </c>
      <c r="AA145" s="160">
        <v>0.0</v>
      </c>
      <c r="AB145" s="160">
        <v>0.0</v>
      </c>
      <c r="AC145" s="160">
        <v>0.0</v>
      </c>
      <c r="AD145" s="160">
        <v>0.0</v>
      </c>
      <c r="AE145" s="160">
        <v>0.0</v>
      </c>
      <c r="AF145" s="160">
        <v>0.0</v>
      </c>
      <c r="AG145" s="160">
        <v>0.0</v>
      </c>
      <c r="AH145" s="160">
        <v>0.0</v>
      </c>
      <c r="AI145" s="160">
        <v>0.0</v>
      </c>
      <c r="AJ145" s="160">
        <v>0.0</v>
      </c>
      <c r="AK145" s="160">
        <v>46670.0</v>
      </c>
      <c r="AL145" s="160">
        <v>0.0</v>
      </c>
      <c r="AM145" s="160">
        <v>0.0</v>
      </c>
      <c r="AN145" s="160">
        <v>0.0</v>
      </c>
      <c r="AO145" s="160">
        <v>0.0</v>
      </c>
      <c r="AP145" s="160">
        <v>0.0</v>
      </c>
      <c r="AQ145" s="160">
        <v>0.0</v>
      </c>
      <c r="AR145" s="160">
        <v>0.0</v>
      </c>
      <c r="AS145" s="160">
        <v>0.0</v>
      </c>
      <c r="AT145" s="160">
        <v>0.0</v>
      </c>
      <c r="AU145" s="160">
        <v>0.0</v>
      </c>
      <c r="AV145" s="160">
        <v>0.0</v>
      </c>
      <c r="AW145" s="160">
        <v>0.0</v>
      </c>
      <c r="AX145" s="160">
        <v>31.0</v>
      </c>
      <c r="AY145" s="285">
        <v>45882.0</v>
      </c>
      <c r="AZ145" s="285"/>
    </row>
    <row r="146">
      <c r="A146" s="157" t="s">
        <v>185</v>
      </c>
      <c r="B146" s="157" t="s">
        <v>212</v>
      </c>
      <c r="C146" s="157" t="s">
        <v>273</v>
      </c>
      <c r="D146" s="157" t="s">
        <v>1031</v>
      </c>
      <c r="E146" s="157" t="s">
        <v>274</v>
      </c>
      <c r="F146" s="338">
        <v>45628.0</v>
      </c>
      <c r="G146" s="157" t="s">
        <v>489</v>
      </c>
      <c r="H146" s="160">
        <v>0.0</v>
      </c>
      <c r="I146" s="160">
        <v>4500000.0</v>
      </c>
      <c r="J146" s="160">
        <v>4254089.91</v>
      </c>
      <c r="K146" s="160">
        <v>0.0</v>
      </c>
      <c r="L146" s="160">
        <v>79.0</v>
      </c>
      <c r="M146" s="160">
        <v>69.0</v>
      </c>
      <c r="N146" s="160">
        <v>3.0</v>
      </c>
      <c r="O146" s="160">
        <v>82.0</v>
      </c>
      <c r="P146" s="160">
        <v>13.0</v>
      </c>
      <c r="Q146" s="160">
        <v>3777269.26</v>
      </c>
      <c r="R146" s="160">
        <v>476820.65</v>
      </c>
      <c r="S146" s="160">
        <v>36.0</v>
      </c>
      <c r="T146" s="160">
        <v>3.0</v>
      </c>
      <c r="U146" s="160">
        <v>39.0</v>
      </c>
      <c r="V146" s="160">
        <v>0.0</v>
      </c>
      <c r="W146" s="160">
        <v>40.0</v>
      </c>
      <c r="X146" s="160">
        <v>60.0</v>
      </c>
      <c r="Y146" s="160">
        <v>130.0</v>
      </c>
      <c r="Z146" s="160">
        <v>2.0</v>
      </c>
      <c r="AA146" s="160">
        <v>22.0</v>
      </c>
      <c r="AB146" s="160">
        <v>0.0</v>
      </c>
      <c r="AC146" s="160">
        <v>0.0</v>
      </c>
      <c r="AD146" s="160">
        <v>2.0</v>
      </c>
      <c r="AE146" s="160">
        <v>2.0</v>
      </c>
      <c r="AF146" s="160">
        <v>272.0</v>
      </c>
      <c r="AG146" s="160">
        <v>356.0</v>
      </c>
      <c r="AH146" s="160">
        <v>68.0</v>
      </c>
      <c r="AI146" s="160">
        <v>62560.0</v>
      </c>
      <c r="AJ146" s="160">
        <v>5.0</v>
      </c>
      <c r="AK146" s="160">
        <v>26755.0</v>
      </c>
      <c r="AL146" s="160">
        <v>0.0</v>
      </c>
      <c r="AM146" s="160">
        <v>0.0063</v>
      </c>
      <c r="AN146" s="160">
        <v>109079.0</v>
      </c>
      <c r="AO146" s="160">
        <v>0.95</v>
      </c>
      <c r="AP146" s="160">
        <v>0.0</v>
      </c>
      <c r="AQ146" s="160">
        <v>60.0</v>
      </c>
      <c r="AR146" s="160">
        <v>659.0</v>
      </c>
      <c r="AS146" s="160">
        <v>3321.88</v>
      </c>
      <c r="AT146" s="160">
        <v>3.0</v>
      </c>
      <c r="AU146" s="160">
        <v>48.0</v>
      </c>
      <c r="AV146" s="160">
        <v>39.0</v>
      </c>
      <c r="AW146" s="160">
        <v>30.0</v>
      </c>
      <c r="AX146" s="160">
        <v>13.0</v>
      </c>
      <c r="AY146" s="537"/>
      <c r="AZ146" s="537"/>
    </row>
    <row r="147">
      <c r="A147" s="157" t="s">
        <v>185</v>
      </c>
      <c r="B147" s="157" t="s">
        <v>196</v>
      </c>
      <c r="C147" s="157" t="s">
        <v>412</v>
      </c>
      <c r="D147" s="157" t="s">
        <v>1027</v>
      </c>
      <c r="E147" s="157" t="s">
        <v>209</v>
      </c>
      <c r="F147" s="285">
        <v>45516.0</v>
      </c>
      <c r="G147" s="157" t="s">
        <v>208</v>
      </c>
      <c r="H147" s="160">
        <v>0.0</v>
      </c>
      <c r="I147" s="160">
        <v>0.0</v>
      </c>
      <c r="J147" s="160">
        <v>0.0</v>
      </c>
      <c r="K147" s="160">
        <v>0.0</v>
      </c>
      <c r="L147" s="160">
        <v>11.0</v>
      </c>
      <c r="M147" s="160">
        <v>0.0</v>
      </c>
      <c r="N147" s="160">
        <v>0.0</v>
      </c>
      <c r="O147" s="160">
        <v>11.0</v>
      </c>
      <c r="P147" s="160">
        <v>11.0</v>
      </c>
      <c r="Q147" s="160">
        <v>0.0</v>
      </c>
      <c r="R147" s="160">
        <v>0.0</v>
      </c>
      <c r="S147" s="160">
        <v>0.0</v>
      </c>
      <c r="T147" s="160">
        <v>0.0</v>
      </c>
      <c r="U147" s="160">
        <v>0.0</v>
      </c>
      <c r="V147" s="160">
        <v>0.0</v>
      </c>
      <c r="W147" s="160">
        <v>0.0</v>
      </c>
      <c r="X147" s="160">
        <v>0.0</v>
      </c>
      <c r="Y147" s="160">
        <v>18.0</v>
      </c>
      <c r="Z147" s="160">
        <v>0.0</v>
      </c>
      <c r="AA147" s="160">
        <v>0.0</v>
      </c>
      <c r="AB147" s="160">
        <v>0.0</v>
      </c>
      <c r="AC147" s="160">
        <v>0.0</v>
      </c>
      <c r="AD147" s="160">
        <v>0.0</v>
      </c>
      <c r="AE147" s="160">
        <v>0.0</v>
      </c>
      <c r="AF147" s="160">
        <v>0.0</v>
      </c>
      <c r="AG147" s="160">
        <v>0.0</v>
      </c>
      <c r="AH147" s="160">
        <v>0.0</v>
      </c>
      <c r="AI147" s="160">
        <v>0.0</v>
      </c>
      <c r="AJ147" s="160">
        <v>0.0</v>
      </c>
      <c r="AK147" s="160">
        <v>25700.0</v>
      </c>
      <c r="AL147" s="160">
        <v>0.0</v>
      </c>
      <c r="AM147" s="160">
        <v>0.0</v>
      </c>
      <c r="AN147" s="160">
        <v>0.0</v>
      </c>
      <c r="AO147" s="160">
        <v>0.0</v>
      </c>
      <c r="AP147" s="160">
        <v>0.0</v>
      </c>
      <c r="AQ147" s="160">
        <v>0.0</v>
      </c>
      <c r="AR147" s="160">
        <v>0.0</v>
      </c>
      <c r="AS147" s="160">
        <v>0.0</v>
      </c>
      <c r="AT147" s="160">
        <v>0.0</v>
      </c>
      <c r="AU147" s="160">
        <v>0.0</v>
      </c>
      <c r="AV147" s="160">
        <v>0.0</v>
      </c>
      <c r="AW147" s="160">
        <v>0.0</v>
      </c>
      <c r="AX147" s="160">
        <v>11.0</v>
      </c>
      <c r="AY147" s="285">
        <v>45899.0</v>
      </c>
      <c r="AZ147" s="285"/>
    </row>
    <row r="148">
      <c r="A148" s="157" t="s">
        <v>298</v>
      </c>
      <c r="B148" s="157" t="s">
        <v>301</v>
      </c>
      <c r="C148" s="157" t="s">
        <v>314</v>
      </c>
      <c r="D148" s="157" t="s">
        <v>1066</v>
      </c>
      <c r="E148" s="157" t="s">
        <v>1100</v>
      </c>
      <c r="F148" s="285">
        <v>45516.0</v>
      </c>
      <c r="G148" s="157" t="s">
        <v>298</v>
      </c>
      <c r="H148" s="160">
        <v>0.0</v>
      </c>
      <c r="I148" s="160">
        <v>3000000.0</v>
      </c>
      <c r="J148" s="160">
        <v>1406967.75</v>
      </c>
      <c r="K148" s="160">
        <v>0.0</v>
      </c>
      <c r="L148" s="160">
        <v>136.0</v>
      </c>
      <c r="M148" s="160">
        <v>87.0</v>
      </c>
      <c r="N148" s="160">
        <v>6.0</v>
      </c>
      <c r="O148" s="160">
        <v>142.0</v>
      </c>
      <c r="P148" s="160">
        <v>55.0</v>
      </c>
      <c r="Q148" s="160">
        <v>1232568.25</v>
      </c>
      <c r="R148" s="160">
        <v>174399.5</v>
      </c>
      <c r="S148" s="160">
        <v>34.0</v>
      </c>
      <c r="T148" s="160">
        <v>6.0</v>
      </c>
      <c r="U148" s="160">
        <v>40.0</v>
      </c>
      <c r="V148" s="160">
        <v>0.0</v>
      </c>
      <c r="W148" s="160">
        <v>158.0</v>
      </c>
      <c r="X148" s="160">
        <v>180.0</v>
      </c>
      <c r="Y148" s="160">
        <v>241.0</v>
      </c>
      <c r="Z148" s="160">
        <v>1.0</v>
      </c>
      <c r="AA148" s="160">
        <v>6.0</v>
      </c>
      <c r="AB148" s="160">
        <v>0.0</v>
      </c>
      <c r="AC148" s="160">
        <v>0.0</v>
      </c>
      <c r="AD148" s="160">
        <v>0.0</v>
      </c>
      <c r="AE148" s="160">
        <v>0.0</v>
      </c>
      <c r="AF148" s="160">
        <v>145.0</v>
      </c>
      <c r="AG148" s="160">
        <v>331.0</v>
      </c>
      <c r="AH148" s="160">
        <v>73.0</v>
      </c>
      <c r="AI148" s="160">
        <v>19274.0</v>
      </c>
      <c r="AJ148" s="160">
        <v>5.0</v>
      </c>
      <c r="AK148" s="160">
        <v>27260.0</v>
      </c>
      <c r="AL148" s="160">
        <v>0.0</v>
      </c>
      <c r="AM148" s="160">
        <v>0.0194</v>
      </c>
      <c r="AN148" s="160">
        <v>35174.0</v>
      </c>
      <c r="AO148" s="160">
        <v>0.47</v>
      </c>
      <c r="AP148" s="160">
        <v>0.0</v>
      </c>
      <c r="AQ148" s="160">
        <v>72.0</v>
      </c>
      <c r="AR148" s="160">
        <v>713.0</v>
      </c>
      <c r="AS148" s="160">
        <v>5379.07</v>
      </c>
      <c r="AT148" s="160">
        <v>6.0</v>
      </c>
      <c r="AU148" s="160">
        <v>62.0</v>
      </c>
      <c r="AV148" s="160">
        <v>40.0</v>
      </c>
      <c r="AW148" s="160">
        <v>53.0</v>
      </c>
      <c r="AX148" s="160">
        <v>49.0</v>
      </c>
      <c r="AY148" s="537"/>
      <c r="AZ148" s="537"/>
    </row>
    <row r="149">
      <c r="A149" s="157" t="s">
        <v>185</v>
      </c>
      <c r="B149" s="157" t="s">
        <v>96</v>
      </c>
      <c r="C149" s="157" t="s">
        <v>850</v>
      </c>
      <c r="D149" s="157" t="s">
        <v>1101</v>
      </c>
      <c r="E149" s="157" t="s">
        <v>1102</v>
      </c>
      <c r="F149" s="285">
        <v>45523.0</v>
      </c>
      <c r="G149" s="157" t="s">
        <v>185</v>
      </c>
      <c r="H149" s="160">
        <v>0.0</v>
      </c>
      <c r="I149" s="160">
        <v>0.0</v>
      </c>
      <c r="J149" s="160">
        <v>0.0</v>
      </c>
      <c r="K149" s="160">
        <v>0.0</v>
      </c>
      <c r="L149" s="160">
        <v>1.0</v>
      </c>
      <c r="M149" s="160">
        <v>0.0</v>
      </c>
      <c r="N149" s="160">
        <v>0.0</v>
      </c>
      <c r="O149" s="160">
        <v>1.0</v>
      </c>
      <c r="P149" s="160">
        <v>1.0</v>
      </c>
      <c r="Q149" s="160">
        <v>0.0</v>
      </c>
      <c r="R149" s="160">
        <v>0.0</v>
      </c>
      <c r="S149" s="160">
        <v>0.0</v>
      </c>
      <c r="T149" s="160">
        <v>0.0</v>
      </c>
      <c r="U149" s="160">
        <v>0.0</v>
      </c>
      <c r="V149" s="160">
        <v>0.0</v>
      </c>
      <c r="W149" s="160">
        <v>0.0</v>
      </c>
      <c r="X149" s="160">
        <v>0.0</v>
      </c>
      <c r="Y149" s="160">
        <v>53.0</v>
      </c>
      <c r="Z149" s="160">
        <v>0.0</v>
      </c>
      <c r="AA149" s="160">
        <v>0.0</v>
      </c>
      <c r="AB149" s="160">
        <v>0.0</v>
      </c>
      <c r="AC149" s="160">
        <v>0.0</v>
      </c>
      <c r="AD149" s="160">
        <v>0.0</v>
      </c>
      <c r="AE149" s="160">
        <v>0.0</v>
      </c>
      <c r="AF149" s="160">
        <v>0.0</v>
      </c>
      <c r="AG149" s="160">
        <v>0.0</v>
      </c>
      <c r="AH149" s="160">
        <v>0.0</v>
      </c>
      <c r="AI149" s="160">
        <v>0.0</v>
      </c>
      <c r="AJ149" s="160">
        <v>0.0</v>
      </c>
      <c r="AK149" s="160">
        <v>72970.0</v>
      </c>
      <c r="AL149" s="160">
        <v>0.0</v>
      </c>
      <c r="AM149" s="160">
        <v>0.0</v>
      </c>
      <c r="AN149" s="160">
        <v>0.0</v>
      </c>
      <c r="AO149" s="160">
        <v>0.0</v>
      </c>
      <c r="AP149" s="160">
        <v>0.0</v>
      </c>
      <c r="AQ149" s="160">
        <v>0.0</v>
      </c>
      <c r="AR149" s="160">
        <v>0.0</v>
      </c>
      <c r="AS149" s="160">
        <v>0.0</v>
      </c>
      <c r="AT149" s="160">
        <v>0.0</v>
      </c>
      <c r="AU149" s="160">
        <v>0.0</v>
      </c>
      <c r="AV149" s="160">
        <v>0.0</v>
      </c>
      <c r="AW149" s="160">
        <v>0.0</v>
      </c>
      <c r="AX149" s="160">
        <v>1.0</v>
      </c>
      <c r="AY149" s="285">
        <v>45869.0</v>
      </c>
      <c r="AZ149" s="285"/>
    </row>
    <row r="150">
      <c r="A150" s="157" t="s">
        <v>53</v>
      </c>
      <c r="B150" s="157" t="s">
        <v>56</v>
      </c>
      <c r="C150" s="157" t="s">
        <v>57</v>
      </c>
      <c r="D150" s="157" t="s">
        <v>1092</v>
      </c>
      <c r="E150" s="157" t="s">
        <v>58</v>
      </c>
      <c r="F150" s="285">
        <v>45518.0</v>
      </c>
      <c r="G150" s="157" t="s">
        <v>754</v>
      </c>
      <c r="H150" s="160">
        <v>0.0</v>
      </c>
      <c r="I150" s="160">
        <v>2100000.0</v>
      </c>
      <c r="J150" s="160">
        <v>717115.8</v>
      </c>
      <c r="K150" s="160">
        <v>0.0</v>
      </c>
      <c r="L150" s="160">
        <v>82.0</v>
      </c>
      <c r="M150" s="160">
        <v>72.0</v>
      </c>
      <c r="N150" s="160">
        <v>4.0</v>
      </c>
      <c r="O150" s="160">
        <v>86.0</v>
      </c>
      <c r="P150" s="160">
        <v>14.0</v>
      </c>
      <c r="Q150" s="160">
        <v>544031.64</v>
      </c>
      <c r="R150" s="160">
        <v>173084.16</v>
      </c>
      <c r="S150" s="160">
        <v>32.0</v>
      </c>
      <c r="T150" s="160">
        <v>4.0</v>
      </c>
      <c r="U150" s="160">
        <v>36.0</v>
      </c>
      <c r="V150" s="160">
        <v>0.0</v>
      </c>
      <c r="W150" s="160">
        <v>54.0</v>
      </c>
      <c r="X150" s="160">
        <v>66.0</v>
      </c>
      <c r="Y150" s="160">
        <v>184.0</v>
      </c>
      <c r="Z150" s="160">
        <v>3.0</v>
      </c>
      <c r="AA150" s="160">
        <v>51.0</v>
      </c>
      <c r="AB150" s="160">
        <v>0.0</v>
      </c>
      <c r="AC150" s="160">
        <v>0.0</v>
      </c>
      <c r="AD150" s="160">
        <v>0.0</v>
      </c>
      <c r="AE150" s="160">
        <v>0.0</v>
      </c>
      <c r="AF150" s="160">
        <v>372.0</v>
      </c>
      <c r="AG150" s="160">
        <v>489.0</v>
      </c>
      <c r="AH150" s="160">
        <v>64.0</v>
      </c>
      <c r="AI150" s="160">
        <v>11205.0</v>
      </c>
      <c r="AJ150" s="160">
        <v>8.0</v>
      </c>
      <c r="AK150" s="160">
        <v>23570.0</v>
      </c>
      <c r="AL150" s="160">
        <v>0.0</v>
      </c>
      <c r="AM150" s="160">
        <v>0.0329</v>
      </c>
      <c r="AN150" s="160">
        <v>19920.0</v>
      </c>
      <c r="AO150" s="160">
        <v>0.34</v>
      </c>
      <c r="AP150" s="160">
        <v>0.0</v>
      </c>
      <c r="AQ150" s="160">
        <v>54.0</v>
      </c>
      <c r="AR150" s="160">
        <v>660.0</v>
      </c>
      <c r="AS150" s="160">
        <v>5131.12</v>
      </c>
      <c r="AT150" s="160">
        <v>4.0</v>
      </c>
      <c r="AU150" s="160">
        <v>71.0</v>
      </c>
      <c r="AV150" s="160">
        <v>36.0</v>
      </c>
      <c r="AW150" s="160">
        <v>36.0</v>
      </c>
      <c r="AX150" s="160">
        <v>14.0</v>
      </c>
      <c r="AY150" s="537"/>
      <c r="AZ150" s="537"/>
    </row>
    <row r="151">
      <c r="A151" s="157" t="s">
        <v>23</v>
      </c>
      <c r="B151" s="157" t="s">
        <v>27</v>
      </c>
      <c r="C151" s="157" t="s">
        <v>31</v>
      </c>
      <c r="D151" s="157" t="s">
        <v>1103</v>
      </c>
      <c r="E151" s="157" t="s">
        <v>32</v>
      </c>
      <c r="F151" s="285">
        <v>45551.0</v>
      </c>
      <c r="G151" s="157" t="s">
        <v>23</v>
      </c>
      <c r="H151" s="160">
        <v>0.0</v>
      </c>
      <c r="I151" s="160">
        <v>3900000.0</v>
      </c>
      <c r="J151" s="160">
        <v>2940171.83</v>
      </c>
      <c r="K151" s="160">
        <v>0.0</v>
      </c>
      <c r="L151" s="160">
        <v>123.0</v>
      </c>
      <c r="M151" s="160">
        <v>94.0</v>
      </c>
      <c r="N151" s="160">
        <v>0.0</v>
      </c>
      <c r="O151" s="160">
        <v>123.0</v>
      </c>
      <c r="P151" s="160">
        <v>29.0</v>
      </c>
      <c r="Q151" s="160">
        <v>2940171.83</v>
      </c>
      <c r="R151" s="160">
        <v>0.0</v>
      </c>
      <c r="S151" s="160">
        <v>72.0</v>
      </c>
      <c r="T151" s="160">
        <v>0.0</v>
      </c>
      <c r="U151" s="160">
        <v>72.0</v>
      </c>
      <c r="V151" s="160">
        <v>0.0</v>
      </c>
      <c r="W151" s="160">
        <v>14.0</v>
      </c>
      <c r="X151" s="160">
        <v>14.0</v>
      </c>
      <c r="Y151" s="160">
        <v>165.0</v>
      </c>
      <c r="Z151" s="160">
        <v>2.0</v>
      </c>
      <c r="AA151" s="160">
        <v>41.0</v>
      </c>
      <c r="AB151" s="160">
        <v>0.0</v>
      </c>
      <c r="AC151" s="160">
        <v>0.0</v>
      </c>
      <c r="AD151" s="160">
        <v>2.0</v>
      </c>
      <c r="AE151" s="160">
        <v>2.0</v>
      </c>
      <c r="AF151" s="160">
        <v>447.0</v>
      </c>
      <c r="AG151" s="160">
        <v>504.0</v>
      </c>
      <c r="AH151" s="160">
        <v>76.0</v>
      </c>
      <c r="AI151" s="160">
        <v>38686.0</v>
      </c>
      <c r="AJ151" s="160">
        <v>7.0</v>
      </c>
      <c r="AK151" s="160">
        <v>28310.0</v>
      </c>
      <c r="AL151" s="160">
        <v>0.0</v>
      </c>
      <c r="AM151" s="160">
        <v>0.0096</v>
      </c>
      <c r="AN151" s="160">
        <v>40836.0</v>
      </c>
      <c r="AO151" s="160">
        <v>0.75</v>
      </c>
      <c r="AP151" s="160">
        <v>0.0</v>
      </c>
      <c r="AQ151" s="160">
        <v>117.0</v>
      </c>
      <c r="AR151" s="160">
        <v>752.0</v>
      </c>
      <c r="AS151" s="160">
        <v>1749.62</v>
      </c>
      <c r="AT151" s="160">
        <v>0.0</v>
      </c>
      <c r="AU151" s="160">
        <v>19.0</v>
      </c>
      <c r="AV151" s="160">
        <v>72.0</v>
      </c>
      <c r="AW151" s="160">
        <v>25.0</v>
      </c>
      <c r="AX151" s="160">
        <v>26.0</v>
      </c>
      <c r="AY151" s="537"/>
      <c r="AZ151" s="537"/>
    </row>
    <row r="152">
      <c r="A152" s="157" t="s">
        <v>23</v>
      </c>
      <c r="B152" s="157" t="s">
        <v>30</v>
      </c>
      <c r="C152" s="157" t="s">
        <v>33</v>
      </c>
      <c r="D152" s="157" t="s">
        <v>1104</v>
      </c>
      <c r="E152" s="157" t="s">
        <v>34</v>
      </c>
      <c r="F152" s="338">
        <v>45568.0</v>
      </c>
      <c r="G152" s="157" t="s">
        <v>23</v>
      </c>
      <c r="H152" s="160">
        <v>600000.0</v>
      </c>
      <c r="I152" s="160">
        <v>3600000.0</v>
      </c>
      <c r="J152" s="160">
        <v>2581519.97</v>
      </c>
      <c r="K152" s="160">
        <v>0.0</v>
      </c>
      <c r="L152" s="160">
        <v>24.0</v>
      </c>
      <c r="M152" s="160">
        <v>24.0</v>
      </c>
      <c r="N152" s="160">
        <v>2.0</v>
      </c>
      <c r="O152" s="160">
        <v>26.0</v>
      </c>
      <c r="P152" s="160">
        <v>2.0</v>
      </c>
      <c r="Q152" s="160">
        <v>2364834.17</v>
      </c>
      <c r="R152" s="160">
        <v>216685.8</v>
      </c>
      <c r="S152" s="160">
        <v>21.0</v>
      </c>
      <c r="T152" s="160">
        <v>2.0</v>
      </c>
      <c r="U152" s="160">
        <v>23.0</v>
      </c>
      <c r="V152" s="160">
        <v>0.0</v>
      </c>
      <c r="W152" s="160">
        <v>28.0</v>
      </c>
      <c r="X152" s="160">
        <v>54.0</v>
      </c>
      <c r="Y152" s="160">
        <v>139.0</v>
      </c>
      <c r="Z152" s="160">
        <v>2.0</v>
      </c>
      <c r="AA152" s="160">
        <v>48.0</v>
      </c>
      <c r="AB152" s="160">
        <v>4.0</v>
      </c>
      <c r="AC152" s="160">
        <v>29.0</v>
      </c>
      <c r="AD152" s="160">
        <v>0.0</v>
      </c>
      <c r="AE152" s="160">
        <v>0.0</v>
      </c>
      <c r="AF152" s="160">
        <v>206.0</v>
      </c>
      <c r="AG152" s="160">
        <v>337.0</v>
      </c>
      <c r="AH152" s="160">
        <v>74.0</v>
      </c>
      <c r="AI152" s="160">
        <v>34885.0</v>
      </c>
      <c r="AJ152" s="160">
        <v>5.0</v>
      </c>
      <c r="AK152" s="160">
        <v>30405.0</v>
      </c>
      <c r="AL152" s="160">
        <v>0.0</v>
      </c>
      <c r="AM152" s="160">
        <v>0.0118</v>
      </c>
      <c r="AN152" s="160">
        <v>112240.0</v>
      </c>
      <c r="AO152" s="160">
        <v>0.72</v>
      </c>
      <c r="AP152" s="160">
        <v>0.0</v>
      </c>
      <c r="AQ152" s="160">
        <v>37.0</v>
      </c>
      <c r="AR152" s="160">
        <v>566.0</v>
      </c>
      <c r="AS152" s="160">
        <v>3411.17</v>
      </c>
      <c r="AT152" s="160">
        <v>2.0</v>
      </c>
      <c r="AU152" s="160">
        <v>142.0</v>
      </c>
      <c r="AV152" s="160">
        <v>23.0</v>
      </c>
      <c r="AW152" s="160">
        <v>2.0</v>
      </c>
      <c r="AX152" s="160">
        <v>1.0</v>
      </c>
      <c r="AY152" s="537"/>
      <c r="AZ152" s="537"/>
    </row>
    <row r="153">
      <c r="A153" s="157" t="s">
        <v>185</v>
      </c>
      <c r="B153" s="157" t="s">
        <v>96</v>
      </c>
      <c r="C153" s="157" t="s">
        <v>857</v>
      </c>
      <c r="D153" s="157" t="s">
        <v>1101</v>
      </c>
      <c r="E153" s="157" t="s">
        <v>1105</v>
      </c>
      <c r="F153" s="338">
        <v>45569.0</v>
      </c>
      <c r="G153" s="157" t="s">
        <v>185</v>
      </c>
      <c r="H153" s="160">
        <v>0.0</v>
      </c>
      <c r="I153" s="160">
        <v>0.0</v>
      </c>
      <c r="J153" s="160">
        <v>0.0</v>
      </c>
      <c r="K153" s="160">
        <v>0.0</v>
      </c>
      <c r="L153" s="160">
        <v>6.0</v>
      </c>
      <c r="M153" s="160">
        <v>3.0</v>
      </c>
      <c r="N153" s="160">
        <v>0.0</v>
      </c>
      <c r="O153" s="160">
        <v>6.0</v>
      </c>
      <c r="P153" s="160">
        <v>3.0</v>
      </c>
      <c r="Q153" s="160">
        <v>0.0</v>
      </c>
      <c r="R153" s="160">
        <v>0.0</v>
      </c>
      <c r="S153" s="160">
        <v>0.0</v>
      </c>
      <c r="T153" s="160">
        <v>0.0</v>
      </c>
      <c r="U153" s="160">
        <v>0.0</v>
      </c>
      <c r="V153" s="160">
        <v>0.0</v>
      </c>
      <c r="W153" s="160">
        <v>5.0</v>
      </c>
      <c r="X153" s="160">
        <v>6.0</v>
      </c>
      <c r="Y153" s="160">
        <v>50.0</v>
      </c>
      <c r="Z153" s="160">
        <v>0.0</v>
      </c>
      <c r="AA153" s="160">
        <v>0.0</v>
      </c>
      <c r="AB153" s="160">
        <v>0.0</v>
      </c>
      <c r="AC153" s="160">
        <v>0.0</v>
      </c>
      <c r="AD153" s="160">
        <v>73.0</v>
      </c>
      <c r="AE153" s="160">
        <v>358.0</v>
      </c>
      <c r="AF153" s="160">
        <v>13.0</v>
      </c>
      <c r="AG153" s="160">
        <v>377.0</v>
      </c>
      <c r="AH153" s="160">
        <v>70.0</v>
      </c>
      <c r="AI153" s="160">
        <v>0.0</v>
      </c>
      <c r="AJ153" s="160">
        <v>5.0</v>
      </c>
      <c r="AK153" s="160">
        <v>151000.0</v>
      </c>
      <c r="AL153" s="160">
        <v>0.0</v>
      </c>
      <c r="AM153" s="160">
        <v>0.0</v>
      </c>
      <c r="AN153" s="160">
        <v>0.0</v>
      </c>
      <c r="AO153" s="160">
        <v>0.0</v>
      </c>
      <c r="AP153" s="160">
        <v>0.0</v>
      </c>
      <c r="AQ153" s="160">
        <v>0.0</v>
      </c>
      <c r="AR153" s="160">
        <v>722.0</v>
      </c>
      <c r="AS153" s="160">
        <v>5325.56</v>
      </c>
      <c r="AT153" s="160">
        <v>0.0</v>
      </c>
      <c r="AU153" s="160">
        <v>1775.0</v>
      </c>
      <c r="AV153" s="160">
        <v>0.0</v>
      </c>
      <c r="AW153" s="160">
        <v>3.0</v>
      </c>
      <c r="AX153" s="160">
        <v>3.0</v>
      </c>
      <c r="AY153" s="537"/>
      <c r="AZ153" s="537"/>
    </row>
    <row r="154">
      <c r="A154" s="157" t="s">
        <v>185</v>
      </c>
      <c r="B154" s="157" t="s">
        <v>96</v>
      </c>
      <c r="C154" s="157" t="s">
        <v>858</v>
      </c>
      <c r="D154" s="157" t="s">
        <v>1101</v>
      </c>
      <c r="E154" s="157" t="s">
        <v>1106</v>
      </c>
      <c r="F154" s="338">
        <v>45569.0</v>
      </c>
      <c r="G154" s="157" t="s">
        <v>185</v>
      </c>
      <c r="H154" s="160">
        <v>0.0</v>
      </c>
      <c r="I154" s="160">
        <v>0.0</v>
      </c>
      <c r="J154" s="160">
        <v>0.0</v>
      </c>
      <c r="K154" s="160">
        <v>0.0</v>
      </c>
      <c r="L154" s="160">
        <v>2.0</v>
      </c>
      <c r="M154" s="160">
        <v>0.0</v>
      </c>
      <c r="N154" s="160">
        <v>0.0</v>
      </c>
      <c r="O154" s="160">
        <v>2.0</v>
      </c>
      <c r="P154" s="160">
        <v>2.0</v>
      </c>
      <c r="Q154" s="160">
        <v>0.0</v>
      </c>
      <c r="R154" s="160">
        <v>0.0</v>
      </c>
      <c r="S154" s="160">
        <v>0.0</v>
      </c>
      <c r="T154" s="160">
        <v>0.0</v>
      </c>
      <c r="U154" s="160">
        <v>0.0</v>
      </c>
      <c r="V154" s="160">
        <v>0.0</v>
      </c>
      <c r="W154" s="160">
        <v>0.0</v>
      </c>
      <c r="X154" s="160">
        <v>0.0</v>
      </c>
      <c r="Y154" s="160">
        <v>50.0</v>
      </c>
      <c r="Z154" s="160">
        <v>0.0</v>
      </c>
      <c r="AA154" s="160">
        <v>0.0</v>
      </c>
      <c r="AB154" s="160">
        <v>0.0</v>
      </c>
      <c r="AC154" s="160">
        <v>0.0</v>
      </c>
      <c r="AD154" s="160">
        <v>0.0</v>
      </c>
      <c r="AE154" s="160">
        <v>0.0</v>
      </c>
      <c r="AF154" s="160">
        <v>0.0</v>
      </c>
      <c r="AG154" s="160">
        <v>0.0</v>
      </c>
      <c r="AH154" s="160">
        <v>0.0</v>
      </c>
      <c r="AI154" s="160">
        <v>0.0</v>
      </c>
      <c r="AJ154" s="160">
        <v>0.0</v>
      </c>
      <c r="AK154" s="160">
        <v>153110.0</v>
      </c>
      <c r="AL154" s="160">
        <v>0.0</v>
      </c>
      <c r="AM154" s="160">
        <v>0.0</v>
      </c>
      <c r="AN154" s="160">
        <v>0.0</v>
      </c>
      <c r="AO154" s="160">
        <v>0.0</v>
      </c>
      <c r="AP154" s="160">
        <v>0.0</v>
      </c>
      <c r="AQ154" s="160">
        <v>0.0</v>
      </c>
      <c r="AR154" s="160">
        <v>0.0</v>
      </c>
      <c r="AS154" s="160">
        <v>0.0</v>
      </c>
      <c r="AT154" s="160">
        <v>0.0</v>
      </c>
      <c r="AU154" s="160">
        <v>0.0</v>
      </c>
      <c r="AV154" s="160">
        <v>0.0</v>
      </c>
      <c r="AW154" s="160">
        <v>0.0</v>
      </c>
      <c r="AX154" s="160">
        <v>2.0</v>
      </c>
      <c r="AY154" s="285">
        <v>45856.0</v>
      </c>
      <c r="AZ154" s="285"/>
    </row>
    <row r="155">
      <c r="A155" s="157" t="s">
        <v>126</v>
      </c>
      <c r="B155" s="157" t="s">
        <v>130</v>
      </c>
      <c r="C155" s="157" t="s">
        <v>169</v>
      </c>
      <c r="D155" s="157" t="s">
        <v>130</v>
      </c>
      <c r="E155" s="157" t="s">
        <v>151</v>
      </c>
      <c r="F155" s="338">
        <v>45600.0</v>
      </c>
      <c r="G155" s="157" t="s">
        <v>580</v>
      </c>
      <c r="H155" s="160">
        <v>0.0</v>
      </c>
      <c r="I155" s="160">
        <v>6249999.0</v>
      </c>
      <c r="J155" s="160">
        <v>4047121.15</v>
      </c>
      <c r="K155" s="160">
        <v>0.0</v>
      </c>
      <c r="L155" s="160">
        <v>143.0</v>
      </c>
      <c r="M155" s="160">
        <v>104.0</v>
      </c>
      <c r="N155" s="160">
        <v>6.0</v>
      </c>
      <c r="O155" s="160">
        <v>149.0</v>
      </c>
      <c r="P155" s="160">
        <v>45.0</v>
      </c>
      <c r="Q155" s="160">
        <v>3798948.04</v>
      </c>
      <c r="R155" s="160">
        <v>248173.11</v>
      </c>
      <c r="S155" s="160">
        <v>49.0</v>
      </c>
      <c r="T155" s="160">
        <v>3.0</v>
      </c>
      <c r="U155" s="160">
        <v>52.0</v>
      </c>
      <c r="V155" s="160">
        <v>0.0</v>
      </c>
      <c r="W155" s="160">
        <v>6.0</v>
      </c>
      <c r="X155" s="160">
        <v>8.0</v>
      </c>
      <c r="Y155" s="160">
        <v>72.0</v>
      </c>
      <c r="Z155" s="160">
        <v>1.0</v>
      </c>
      <c r="AA155" s="160">
        <v>26.0</v>
      </c>
      <c r="AB155" s="160">
        <v>0.0</v>
      </c>
      <c r="AC155" s="160">
        <v>0.0</v>
      </c>
      <c r="AD155" s="160">
        <v>0.0</v>
      </c>
      <c r="AE155" s="160">
        <v>0.0</v>
      </c>
      <c r="AF155" s="160">
        <v>347.0</v>
      </c>
      <c r="AG155" s="160">
        <v>381.0</v>
      </c>
      <c r="AH155" s="160">
        <v>75.0</v>
      </c>
      <c r="AI155" s="160">
        <v>53962.0</v>
      </c>
      <c r="AJ155" s="160">
        <v>5.0</v>
      </c>
      <c r="AK155" s="160">
        <v>51910.0</v>
      </c>
      <c r="AL155" s="160">
        <v>0.0</v>
      </c>
      <c r="AM155" s="160">
        <v>0.0128</v>
      </c>
      <c r="AN155" s="160">
        <v>77829.0</v>
      </c>
      <c r="AO155" s="160">
        <v>0.65</v>
      </c>
      <c r="AP155" s="160">
        <v>0.0</v>
      </c>
      <c r="AQ155" s="160">
        <v>93.0</v>
      </c>
      <c r="AR155" s="160">
        <v>574.0</v>
      </c>
      <c r="AS155" s="160">
        <v>4449.14</v>
      </c>
      <c r="AT155" s="160">
        <v>3.0</v>
      </c>
      <c r="AU155" s="160">
        <v>43.0</v>
      </c>
      <c r="AV155" s="160">
        <v>52.0</v>
      </c>
      <c r="AW155" s="160">
        <v>55.0</v>
      </c>
      <c r="AX155" s="160">
        <v>42.0</v>
      </c>
      <c r="AY155" s="537"/>
      <c r="AZ155" s="537"/>
    </row>
    <row r="156">
      <c r="A156" s="157" t="s">
        <v>126</v>
      </c>
      <c r="B156" s="157" t="s">
        <v>130</v>
      </c>
      <c r="C156" s="157" t="s">
        <v>170</v>
      </c>
      <c r="D156" s="157" t="s">
        <v>130</v>
      </c>
      <c r="E156" s="157" t="s">
        <v>151</v>
      </c>
      <c r="F156" s="285">
        <v>45607.0</v>
      </c>
      <c r="G156" s="157" t="s">
        <v>580</v>
      </c>
      <c r="H156" s="160">
        <v>0.0</v>
      </c>
      <c r="I156" s="160">
        <v>5499999.0</v>
      </c>
      <c r="J156" s="160">
        <v>2631594.48</v>
      </c>
      <c r="K156" s="160">
        <v>0.0</v>
      </c>
      <c r="L156" s="160">
        <v>135.0</v>
      </c>
      <c r="M156" s="160">
        <v>100.0</v>
      </c>
      <c r="N156" s="160">
        <v>5.0</v>
      </c>
      <c r="O156" s="160">
        <v>140.0</v>
      </c>
      <c r="P156" s="160">
        <v>40.0</v>
      </c>
      <c r="Q156" s="160">
        <v>2571177.88</v>
      </c>
      <c r="R156" s="160">
        <v>60416.6</v>
      </c>
      <c r="S156" s="160">
        <v>35.0</v>
      </c>
      <c r="T156" s="160">
        <v>4.0</v>
      </c>
      <c r="U156" s="160">
        <v>39.0</v>
      </c>
      <c r="V156" s="160">
        <v>0.0</v>
      </c>
      <c r="W156" s="160">
        <v>37.0</v>
      </c>
      <c r="X156" s="160">
        <v>55.0</v>
      </c>
      <c r="Y156" s="160">
        <v>117.0</v>
      </c>
      <c r="Z156" s="160">
        <v>2.0</v>
      </c>
      <c r="AA156" s="160">
        <v>23.0</v>
      </c>
      <c r="AB156" s="160">
        <v>0.0</v>
      </c>
      <c r="AC156" s="160">
        <v>0.0</v>
      </c>
      <c r="AD156" s="160">
        <v>0.0</v>
      </c>
      <c r="AE156" s="160">
        <v>0.0</v>
      </c>
      <c r="AF156" s="160">
        <v>353.0</v>
      </c>
      <c r="AG156" s="160">
        <v>431.0</v>
      </c>
      <c r="AH156" s="160">
        <v>72.0</v>
      </c>
      <c r="AI156" s="160">
        <v>36550.0</v>
      </c>
      <c r="AJ156" s="160">
        <v>6.0</v>
      </c>
      <c r="AK156" s="160">
        <v>33050.0</v>
      </c>
      <c r="AL156" s="160">
        <v>0.0</v>
      </c>
      <c r="AM156" s="160">
        <v>0.0</v>
      </c>
      <c r="AN156" s="160">
        <v>67477.0</v>
      </c>
      <c r="AO156" s="160">
        <v>0.48</v>
      </c>
      <c r="AP156" s="160">
        <v>0.0</v>
      </c>
      <c r="AQ156" s="160">
        <v>94.0</v>
      </c>
      <c r="AR156" s="160">
        <v>656.0</v>
      </c>
      <c r="AS156" s="160">
        <v>2975.21</v>
      </c>
      <c r="AT156" s="160">
        <v>4.0</v>
      </c>
      <c r="AU156" s="160">
        <v>30.0</v>
      </c>
      <c r="AV156" s="160">
        <v>39.0</v>
      </c>
      <c r="AW156" s="160">
        <v>62.0</v>
      </c>
      <c r="AX156" s="160">
        <v>39.0</v>
      </c>
      <c r="AY156" s="537"/>
      <c r="AZ156" s="537"/>
    </row>
    <row r="157">
      <c r="A157" s="157" t="s">
        <v>185</v>
      </c>
      <c r="B157" s="157" t="s">
        <v>189</v>
      </c>
      <c r="C157" s="157" t="s">
        <v>418</v>
      </c>
      <c r="D157" s="157" t="s">
        <v>1108</v>
      </c>
      <c r="E157" s="157" t="s">
        <v>419</v>
      </c>
      <c r="F157" s="285">
        <v>45614.0</v>
      </c>
      <c r="G157" s="157" t="s">
        <v>787</v>
      </c>
      <c r="H157" s="160">
        <v>0.0</v>
      </c>
      <c r="I157" s="160">
        <v>0.0</v>
      </c>
      <c r="J157" s="160">
        <v>425118.99</v>
      </c>
      <c r="K157" s="160">
        <v>0.0</v>
      </c>
      <c r="L157" s="160">
        <v>88.0</v>
      </c>
      <c r="M157" s="160">
        <v>53.0</v>
      </c>
      <c r="N157" s="160">
        <v>5.0</v>
      </c>
      <c r="O157" s="160">
        <v>93.0</v>
      </c>
      <c r="P157" s="160">
        <v>40.0</v>
      </c>
      <c r="Q157" s="160">
        <v>322869.52</v>
      </c>
      <c r="R157" s="160">
        <v>102249.47</v>
      </c>
      <c r="S157" s="160">
        <v>14.0</v>
      </c>
      <c r="T157" s="160">
        <v>5.0</v>
      </c>
      <c r="U157" s="160">
        <v>19.0</v>
      </c>
      <c r="V157" s="160">
        <v>0.0</v>
      </c>
      <c r="W157" s="160">
        <v>24.0</v>
      </c>
      <c r="X157" s="160">
        <v>28.0</v>
      </c>
      <c r="Y157" s="160">
        <v>94.0</v>
      </c>
      <c r="Z157" s="160">
        <v>3.0</v>
      </c>
      <c r="AA157" s="160">
        <v>28.0</v>
      </c>
      <c r="AB157" s="160">
        <v>0.0</v>
      </c>
      <c r="AC157" s="160">
        <v>0.0</v>
      </c>
      <c r="AD157" s="160">
        <v>3.0</v>
      </c>
      <c r="AE157" s="160">
        <v>3.0</v>
      </c>
      <c r="AF157" s="160">
        <v>144.0</v>
      </c>
      <c r="AG157" s="160">
        <v>203.0</v>
      </c>
      <c r="AH157" s="160">
        <v>39.0</v>
      </c>
      <c r="AI157" s="160">
        <v>10900.0</v>
      </c>
      <c r="AJ157" s="160">
        <v>5.0</v>
      </c>
      <c r="AK157" s="160">
        <v>46670.0</v>
      </c>
      <c r="AL157" s="160">
        <v>0.0</v>
      </c>
      <c r="AM157" s="160">
        <v>0.1098</v>
      </c>
      <c r="AN157" s="160">
        <v>22375.0</v>
      </c>
      <c r="AO157" s="160">
        <v>0.0</v>
      </c>
      <c r="AP157" s="160">
        <v>0.0</v>
      </c>
      <c r="AQ157" s="160">
        <v>24.0</v>
      </c>
      <c r="AR157" s="160">
        <v>377.0</v>
      </c>
      <c r="AS157" s="160">
        <v>1273.28</v>
      </c>
      <c r="AT157" s="160">
        <v>5.0</v>
      </c>
      <c r="AU157" s="160">
        <v>24.0</v>
      </c>
      <c r="AV157" s="160">
        <v>19.0</v>
      </c>
      <c r="AW157" s="160">
        <v>34.0</v>
      </c>
      <c r="AX157" s="160">
        <v>40.0</v>
      </c>
      <c r="AY157" s="285">
        <v>45991.0</v>
      </c>
      <c r="AZ157" s="285"/>
    </row>
    <row r="158">
      <c r="A158" s="157" t="s">
        <v>185</v>
      </c>
      <c r="B158" s="157" t="s">
        <v>1228</v>
      </c>
      <c r="C158" s="157" t="s">
        <v>124</v>
      </c>
      <c r="D158" s="157" t="s">
        <v>1051</v>
      </c>
      <c r="E158" s="157" t="s">
        <v>125</v>
      </c>
      <c r="F158" s="285">
        <v>45636.0</v>
      </c>
      <c r="G158" s="157" t="s">
        <v>111</v>
      </c>
      <c r="H158" s="160">
        <v>0.0</v>
      </c>
      <c r="I158" s="160">
        <v>6375000.0</v>
      </c>
      <c r="J158" s="160">
        <v>6518707.12</v>
      </c>
      <c r="K158" s="160">
        <v>0.0</v>
      </c>
      <c r="L158" s="160">
        <v>158.0</v>
      </c>
      <c r="M158" s="160">
        <v>137.0</v>
      </c>
      <c r="N158" s="160">
        <v>27.0</v>
      </c>
      <c r="O158" s="160">
        <v>185.0</v>
      </c>
      <c r="P158" s="160">
        <v>48.0</v>
      </c>
      <c r="Q158" s="160">
        <v>4462101.14</v>
      </c>
      <c r="R158" s="160">
        <v>2056605.98</v>
      </c>
      <c r="S158" s="160">
        <v>68.0</v>
      </c>
      <c r="T158" s="160">
        <v>27.0</v>
      </c>
      <c r="U158" s="160">
        <v>95.0</v>
      </c>
      <c r="V158" s="160">
        <v>0.0</v>
      </c>
      <c r="W158" s="160">
        <v>119.0</v>
      </c>
      <c r="X158" s="160">
        <v>200.0</v>
      </c>
      <c r="Y158" s="160">
        <v>258.0</v>
      </c>
      <c r="Z158" s="160">
        <v>2.0</v>
      </c>
      <c r="AA158" s="160">
        <v>28.0</v>
      </c>
      <c r="AB158" s="160">
        <v>0.0</v>
      </c>
      <c r="AC158" s="160">
        <v>0.0</v>
      </c>
      <c r="AD158" s="160">
        <v>3.0</v>
      </c>
      <c r="AE158" s="160">
        <v>10.0</v>
      </c>
      <c r="AF158" s="160">
        <v>370.0</v>
      </c>
      <c r="AG158" s="160">
        <v>608.0</v>
      </c>
      <c r="AH158" s="160">
        <v>72.0</v>
      </c>
      <c r="AI158" s="160">
        <v>90538.0</v>
      </c>
      <c r="AJ158" s="160">
        <v>8.0</v>
      </c>
      <c r="AK158" s="160">
        <v>51900.0</v>
      </c>
      <c r="AL158" s="160">
        <v>0.0</v>
      </c>
      <c r="AM158" s="160">
        <v>0.008</v>
      </c>
      <c r="AN158" s="160">
        <v>68618.0</v>
      </c>
      <c r="AO158" s="160">
        <v>1.02</v>
      </c>
      <c r="AP158" s="160">
        <v>0.0</v>
      </c>
      <c r="AQ158" s="160">
        <v>143.0</v>
      </c>
      <c r="AR158" s="160">
        <v>830.0</v>
      </c>
      <c r="AS158" s="160">
        <v>6036.05</v>
      </c>
      <c r="AT158" s="160">
        <v>27.0</v>
      </c>
      <c r="AU158" s="160">
        <v>44.0</v>
      </c>
      <c r="AV158" s="160">
        <v>95.0</v>
      </c>
      <c r="AW158" s="160">
        <v>47.0</v>
      </c>
      <c r="AX158" s="160">
        <v>43.0</v>
      </c>
      <c r="AY158" s="537"/>
      <c r="AZ158" s="537"/>
    </row>
    <row r="159">
      <c r="A159" s="157" t="s">
        <v>185</v>
      </c>
      <c r="B159" s="157" t="s">
        <v>85</v>
      </c>
      <c r="C159" s="157" t="s">
        <v>90</v>
      </c>
      <c r="D159" s="157" t="s">
        <v>1058</v>
      </c>
      <c r="E159" s="157" t="s">
        <v>91</v>
      </c>
      <c r="F159" s="338">
        <v>45635.0</v>
      </c>
      <c r="G159" s="537"/>
      <c r="H159" s="160">
        <v>0.0</v>
      </c>
      <c r="I159" s="160">
        <v>3750000.0</v>
      </c>
      <c r="J159" s="160">
        <v>2697024.6</v>
      </c>
      <c r="K159" s="160">
        <v>0.0</v>
      </c>
      <c r="L159" s="160">
        <v>126.0</v>
      </c>
      <c r="M159" s="160">
        <v>109.0</v>
      </c>
      <c r="N159" s="160">
        <v>8.0</v>
      </c>
      <c r="O159" s="160">
        <v>134.0</v>
      </c>
      <c r="P159" s="160">
        <v>25.0</v>
      </c>
      <c r="Q159" s="160">
        <v>2526634.05</v>
      </c>
      <c r="R159" s="160">
        <v>170390.55</v>
      </c>
      <c r="S159" s="160">
        <v>61.0</v>
      </c>
      <c r="T159" s="160">
        <v>8.0</v>
      </c>
      <c r="U159" s="160">
        <v>69.0</v>
      </c>
      <c r="V159" s="160">
        <v>0.0</v>
      </c>
      <c r="W159" s="160">
        <v>38.0</v>
      </c>
      <c r="X159" s="160">
        <v>44.0</v>
      </c>
      <c r="Y159" s="160">
        <v>56.0</v>
      </c>
      <c r="Z159" s="160">
        <v>5.0</v>
      </c>
      <c r="AA159" s="160">
        <v>78.0</v>
      </c>
      <c r="AB159" s="160">
        <v>3.0</v>
      </c>
      <c r="AC159" s="160">
        <v>5.0</v>
      </c>
      <c r="AD159" s="160">
        <v>3.0</v>
      </c>
      <c r="AE159" s="160">
        <v>3.0</v>
      </c>
      <c r="AF159" s="160">
        <v>501.0</v>
      </c>
      <c r="AG159" s="160">
        <v>631.0</v>
      </c>
      <c r="AH159" s="160">
        <v>75.0</v>
      </c>
      <c r="AI159" s="160">
        <v>35960.0</v>
      </c>
      <c r="AJ159" s="160">
        <v>8.0</v>
      </c>
      <c r="AK159" s="160">
        <v>36190.0</v>
      </c>
      <c r="AL159" s="160">
        <v>0.0</v>
      </c>
      <c r="AM159" s="160">
        <v>0.0134</v>
      </c>
      <c r="AN159" s="160">
        <v>39087.0</v>
      </c>
      <c r="AO159" s="160">
        <v>0.72</v>
      </c>
      <c r="AP159" s="160">
        <v>0.0</v>
      </c>
      <c r="AQ159" s="160">
        <v>203.0</v>
      </c>
      <c r="AR159" s="160">
        <v>887.0</v>
      </c>
      <c r="AS159" s="160">
        <v>7205.9</v>
      </c>
      <c r="AT159" s="160">
        <v>8.0</v>
      </c>
      <c r="AU159" s="160">
        <v>66.0</v>
      </c>
      <c r="AV159" s="160">
        <v>69.0</v>
      </c>
      <c r="AW159" s="160">
        <v>45.0</v>
      </c>
      <c r="AX159" s="160">
        <v>20.0</v>
      </c>
      <c r="AY159" s="537"/>
      <c r="AZ159" s="537"/>
    </row>
    <row r="160">
      <c r="A160" s="157" t="s">
        <v>126</v>
      </c>
      <c r="B160" s="157" t="s">
        <v>130</v>
      </c>
      <c r="C160" s="157" t="s">
        <v>446</v>
      </c>
      <c r="D160" s="157" t="s">
        <v>130</v>
      </c>
      <c r="E160" s="157" t="s">
        <v>129</v>
      </c>
      <c r="F160" s="285">
        <v>45639.0</v>
      </c>
      <c r="G160" s="157" t="s">
        <v>128</v>
      </c>
      <c r="H160" s="160">
        <v>0.0</v>
      </c>
      <c r="I160" s="160">
        <v>0.0</v>
      </c>
      <c r="J160" s="160">
        <v>0.0</v>
      </c>
      <c r="K160" s="160">
        <v>0.0</v>
      </c>
      <c r="L160" s="160">
        <v>58.0</v>
      </c>
      <c r="M160" s="160">
        <v>0.0</v>
      </c>
      <c r="N160" s="160">
        <v>0.0</v>
      </c>
      <c r="O160" s="160">
        <v>58.0</v>
      </c>
      <c r="P160" s="160">
        <v>58.0</v>
      </c>
      <c r="Q160" s="160">
        <v>0.0</v>
      </c>
      <c r="R160" s="160">
        <v>0.0</v>
      </c>
      <c r="S160" s="160">
        <v>0.0</v>
      </c>
      <c r="T160" s="160">
        <v>0.0</v>
      </c>
      <c r="U160" s="160">
        <v>0.0</v>
      </c>
      <c r="V160" s="160">
        <v>0.0</v>
      </c>
      <c r="W160" s="160">
        <v>0.0</v>
      </c>
      <c r="X160" s="160">
        <v>0.0</v>
      </c>
      <c r="Y160" s="160">
        <v>123.0</v>
      </c>
      <c r="Z160" s="160">
        <v>0.0</v>
      </c>
      <c r="AA160" s="160">
        <v>0.0</v>
      </c>
      <c r="AB160" s="160">
        <v>0.0</v>
      </c>
      <c r="AC160" s="160">
        <v>0.0</v>
      </c>
      <c r="AD160" s="160">
        <v>0.0</v>
      </c>
      <c r="AE160" s="160">
        <v>0.0</v>
      </c>
      <c r="AF160" s="160">
        <v>0.0</v>
      </c>
      <c r="AG160" s="160">
        <v>0.0</v>
      </c>
      <c r="AH160" s="160">
        <v>0.0</v>
      </c>
      <c r="AI160" s="160">
        <v>0.0</v>
      </c>
      <c r="AJ160" s="160">
        <v>0.0</v>
      </c>
      <c r="AK160" s="160">
        <v>35140.0</v>
      </c>
      <c r="AL160" s="160">
        <v>0.0</v>
      </c>
      <c r="AM160" s="160">
        <v>0.0</v>
      </c>
      <c r="AN160" s="160">
        <v>0.0</v>
      </c>
      <c r="AO160" s="160">
        <v>0.0</v>
      </c>
      <c r="AP160" s="160">
        <v>0.0</v>
      </c>
      <c r="AQ160" s="160">
        <v>0.0</v>
      </c>
      <c r="AR160" s="160">
        <v>0.0</v>
      </c>
      <c r="AS160" s="160">
        <v>0.0</v>
      </c>
      <c r="AT160" s="160">
        <v>0.0</v>
      </c>
      <c r="AU160" s="160">
        <v>0.0</v>
      </c>
      <c r="AV160" s="160">
        <v>0.0</v>
      </c>
      <c r="AW160" s="160">
        <v>0.0</v>
      </c>
      <c r="AX160" s="160">
        <v>58.0</v>
      </c>
      <c r="AY160" s="285">
        <v>45913.0</v>
      </c>
      <c r="AZ160" s="285"/>
    </row>
    <row r="161">
      <c r="A161" s="157" t="s">
        <v>185</v>
      </c>
      <c r="B161" s="157" t="s">
        <v>189</v>
      </c>
      <c r="C161" s="157" t="s">
        <v>275</v>
      </c>
      <c r="D161" s="157" t="s">
        <v>1016</v>
      </c>
      <c r="E161" s="157" t="s">
        <v>276</v>
      </c>
      <c r="F161" s="285">
        <v>45637.0</v>
      </c>
      <c r="G161" s="157" t="s">
        <v>203</v>
      </c>
      <c r="H161" s="160">
        <v>0.0</v>
      </c>
      <c r="I161" s="160">
        <v>1.275E7</v>
      </c>
      <c r="J161" s="160">
        <v>9611341.71</v>
      </c>
      <c r="K161" s="160">
        <v>0.0</v>
      </c>
      <c r="L161" s="160">
        <v>90.0</v>
      </c>
      <c r="M161" s="160">
        <v>80.0</v>
      </c>
      <c r="N161" s="160">
        <v>2.0</v>
      </c>
      <c r="O161" s="160">
        <v>92.0</v>
      </c>
      <c r="P161" s="160">
        <v>12.0</v>
      </c>
      <c r="Q161" s="160">
        <v>8973900.89</v>
      </c>
      <c r="R161" s="160">
        <v>637440.82</v>
      </c>
      <c r="S161" s="160">
        <v>47.0</v>
      </c>
      <c r="T161" s="160">
        <v>2.0</v>
      </c>
      <c r="U161" s="160">
        <v>49.0</v>
      </c>
      <c r="V161" s="160">
        <v>0.0</v>
      </c>
      <c r="W161" s="160">
        <v>1.0</v>
      </c>
      <c r="X161" s="160">
        <v>1.0</v>
      </c>
      <c r="Y161" s="160">
        <v>35.0</v>
      </c>
      <c r="Z161" s="160">
        <v>1.0</v>
      </c>
      <c r="AA161" s="160">
        <v>11.0</v>
      </c>
      <c r="AB161" s="160">
        <v>0.0</v>
      </c>
      <c r="AC161" s="160">
        <v>0.0</v>
      </c>
      <c r="AD161" s="160">
        <v>0.0</v>
      </c>
      <c r="AE161" s="160">
        <v>0.0</v>
      </c>
      <c r="AF161" s="160">
        <v>399.0</v>
      </c>
      <c r="AG161" s="160">
        <v>411.0</v>
      </c>
      <c r="AH161" s="160">
        <v>74.0</v>
      </c>
      <c r="AI161" s="160">
        <v>129883.0</v>
      </c>
      <c r="AJ161" s="160">
        <v>6.0</v>
      </c>
      <c r="AK161" s="160">
        <v>34090.0</v>
      </c>
      <c r="AL161" s="160">
        <v>0.0</v>
      </c>
      <c r="AM161" s="160">
        <v>0.0035</v>
      </c>
      <c r="AN161" s="160">
        <v>196150.0</v>
      </c>
      <c r="AO161" s="160">
        <v>0.75</v>
      </c>
      <c r="AP161" s="160">
        <v>0.0</v>
      </c>
      <c r="AQ161" s="160">
        <v>112.0</v>
      </c>
      <c r="AR161" s="160">
        <v>779.0</v>
      </c>
      <c r="AS161" s="160">
        <v>5990.43</v>
      </c>
      <c r="AT161" s="160">
        <v>2.0</v>
      </c>
      <c r="AU161" s="160">
        <v>75.0</v>
      </c>
      <c r="AV161" s="160">
        <v>49.0</v>
      </c>
      <c r="AW161" s="160">
        <v>32.0</v>
      </c>
      <c r="AX161" s="160">
        <v>11.0</v>
      </c>
      <c r="AY161" s="537"/>
      <c r="AZ161" s="537"/>
    </row>
    <row r="162">
      <c r="A162" s="157" t="s">
        <v>185</v>
      </c>
      <c r="B162" s="157" t="s">
        <v>215</v>
      </c>
      <c r="C162" s="157" t="s">
        <v>277</v>
      </c>
      <c r="D162" s="157" t="s">
        <v>1064</v>
      </c>
      <c r="E162" s="157" t="s">
        <v>278</v>
      </c>
      <c r="F162" s="285">
        <v>45639.0</v>
      </c>
      <c r="G162" s="157" t="s">
        <v>776</v>
      </c>
      <c r="H162" s="160">
        <v>0.0</v>
      </c>
      <c r="I162" s="160">
        <v>6000000.0</v>
      </c>
      <c r="J162" s="160">
        <v>5901962.07</v>
      </c>
      <c r="K162" s="160">
        <v>0.0</v>
      </c>
      <c r="L162" s="160">
        <v>96.0</v>
      </c>
      <c r="M162" s="160">
        <v>64.0</v>
      </c>
      <c r="N162" s="160">
        <v>4.0</v>
      </c>
      <c r="O162" s="160">
        <v>100.0</v>
      </c>
      <c r="P162" s="160">
        <v>36.0</v>
      </c>
      <c r="Q162" s="160">
        <v>5449505.9</v>
      </c>
      <c r="R162" s="160">
        <v>452456.17</v>
      </c>
      <c r="S162" s="160">
        <v>33.0</v>
      </c>
      <c r="T162" s="160">
        <v>4.0</v>
      </c>
      <c r="U162" s="160">
        <v>37.0</v>
      </c>
      <c r="V162" s="160">
        <v>0.0</v>
      </c>
      <c r="W162" s="160">
        <v>55.0</v>
      </c>
      <c r="X162" s="160">
        <v>74.0</v>
      </c>
      <c r="Y162" s="160">
        <v>166.0</v>
      </c>
      <c r="Z162" s="160">
        <v>1.0</v>
      </c>
      <c r="AA162" s="160">
        <v>26.0</v>
      </c>
      <c r="AB162" s="160">
        <v>0.0</v>
      </c>
      <c r="AC162" s="160">
        <v>0.0</v>
      </c>
      <c r="AD162" s="160">
        <v>0.0</v>
      </c>
      <c r="AE162" s="160">
        <v>0.0</v>
      </c>
      <c r="AF162" s="160">
        <v>218.0</v>
      </c>
      <c r="AG162" s="160">
        <v>318.0</v>
      </c>
      <c r="AH162" s="160">
        <v>74.0</v>
      </c>
      <c r="AI162" s="160">
        <v>79756.0</v>
      </c>
      <c r="AJ162" s="160">
        <v>4.0</v>
      </c>
      <c r="AK162" s="160">
        <v>33570.0</v>
      </c>
      <c r="AL162" s="160">
        <v>0.0</v>
      </c>
      <c r="AM162" s="160">
        <v>0.0057</v>
      </c>
      <c r="AN162" s="160">
        <v>159512.0</v>
      </c>
      <c r="AO162" s="160">
        <v>0.98</v>
      </c>
      <c r="AP162" s="160">
        <v>0.0</v>
      </c>
      <c r="AQ162" s="160">
        <v>69.0</v>
      </c>
      <c r="AR162" s="160">
        <v>696.0</v>
      </c>
      <c r="AS162" s="160">
        <v>3455.61</v>
      </c>
      <c r="AT162" s="160">
        <v>4.0</v>
      </c>
      <c r="AU162" s="160">
        <v>54.0</v>
      </c>
      <c r="AV162" s="160">
        <v>37.0</v>
      </c>
      <c r="AW162" s="160">
        <v>32.0</v>
      </c>
      <c r="AX162" s="160">
        <v>31.0</v>
      </c>
      <c r="AY162" s="537"/>
      <c r="AZ162" s="537"/>
    </row>
    <row r="163">
      <c r="A163" s="157" t="s">
        <v>185</v>
      </c>
      <c r="B163" s="157" t="s">
        <v>212</v>
      </c>
      <c r="C163" s="157" t="s">
        <v>279</v>
      </c>
      <c r="D163" s="157" t="s">
        <v>1031</v>
      </c>
      <c r="E163" s="157" t="s">
        <v>280</v>
      </c>
      <c r="F163" s="285">
        <v>45640.0</v>
      </c>
      <c r="G163" s="157" t="s">
        <v>489</v>
      </c>
      <c r="H163" s="160">
        <v>0.0</v>
      </c>
      <c r="I163" s="160">
        <v>6000000.0</v>
      </c>
      <c r="J163" s="160">
        <v>4910016.81</v>
      </c>
      <c r="K163" s="160">
        <v>0.0</v>
      </c>
      <c r="L163" s="160">
        <v>25.0</v>
      </c>
      <c r="M163" s="160">
        <v>25.0</v>
      </c>
      <c r="N163" s="160">
        <v>0.0</v>
      </c>
      <c r="O163" s="160">
        <v>25.0</v>
      </c>
      <c r="P163" s="160">
        <v>0.0</v>
      </c>
      <c r="Q163" s="160">
        <v>4910016.81</v>
      </c>
      <c r="R163" s="160">
        <v>0.0</v>
      </c>
      <c r="S163" s="160">
        <v>17.0</v>
      </c>
      <c r="T163" s="160">
        <v>0.0</v>
      </c>
      <c r="U163" s="160">
        <v>17.0</v>
      </c>
      <c r="V163" s="160">
        <v>0.0</v>
      </c>
      <c r="W163" s="160">
        <v>21.0</v>
      </c>
      <c r="X163" s="160">
        <v>39.0</v>
      </c>
      <c r="Y163" s="160">
        <v>95.0</v>
      </c>
      <c r="Z163" s="160">
        <v>1.0</v>
      </c>
      <c r="AA163" s="160">
        <v>11.0</v>
      </c>
      <c r="AB163" s="160">
        <v>0.0</v>
      </c>
      <c r="AC163" s="160">
        <v>0.0</v>
      </c>
      <c r="AD163" s="160">
        <v>0.0</v>
      </c>
      <c r="AE163" s="160">
        <v>0.0</v>
      </c>
      <c r="AF163" s="160">
        <v>167.0</v>
      </c>
      <c r="AG163" s="160">
        <v>217.0</v>
      </c>
      <c r="AH163" s="160">
        <v>61.0</v>
      </c>
      <c r="AI163" s="160">
        <v>80492.0</v>
      </c>
      <c r="AJ163" s="160">
        <v>4.0</v>
      </c>
      <c r="AK163" s="160">
        <v>28850.0</v>
      </c>
      <c r="AL163" s="160">
        <v>0.0</v>
      </c>
      <c r="AM163" s="160">
        <v>0.0059</v>
      </c>
      <c r="AN163" s="160">
        <v>288825.0</v>
      </c>
      <c r="AO163" s="160">
        <v>0.82</v>
      </c>
      <c r="AP163" s="160">
        <v>0.0</v>
      </c>
      <c r="AQ163" s="160">
        <v>63.0</v>
      </c>
      <c r="AR163" s="160">
        <v>647.0</v>
      </c>
      <c r="AS163" s="160">
        <v>3266.83</v>
      </c>
      <c r="AT163" s="160">
        <v>0.0</v>
      </c>
      <c r="AU163" s="160">
        <v>131.0</v>
      </c>
      <c r="AV163" s="160">
        <v>17.0</v>
      </c>
      <c r="AW163" s="160">
        <v>8.0</v>
      </c>
      <c r="AX163" s="160">
        <v>0.0</v>
      </c>
      <c r="AY163" s="537"/>
      <c r="AZ163" s="537"/>
    </row>
    <row r="164">
      <c r="A164" s="157" t="s">
        <v>185</v>
      </c>
      <c r="B164" s="157" t="s">
        <v>85</v>
      </c>
      <c r="C164" s="157" t="s">
        <v>388</v>
      </c>
      <c r="D164" s="157" t="s">
        <v>1058</v>
      </c>
      <c r="E164" s="157" t="s">
        <v>389</v>
      </c>
      <c r="F164" s="285">
        <v>45646.0</v>
      </c>
      <c r="G164" s="537"/>
      <c r="H164" s="160">
        <v>0.0</v>
      </c>
      <c r="I164" s="160">
        <v>0.0</v>
      </c>
      <c r="J164" s="160">
        <v>0.0</v>
      </c>
      <c r="K164" s="160">
        <v>0.0</v>
      </c>
      <c r="L164" s="160">
        <v>31.0</v>
      </c>
      <c r="M164" s="160">
        <v>0.0</v>
      </c>
      <c r="N164" s="160">
        <v>1.0</v>
      </c>
      <c r="O164" s="160">
        <v>32.0</v>
      </c>
      <c r="P164" s="160">
        <v>32.0</v>
      </c>
      <c r="Q164" s="160">
        <v>0.0</v>
      </c>
      <c r="R164" s="160">
        <v>0.0</v>
      </c>
      <c r="S164" s="160">
        <v>0.0</v>
      </c>
      <c r="T164" s="160">
        <v>0.0</v>
      </c>
      <c r="U164" s="160">
        <v>0.0</v>
      </c>
      <c r="V164" s="160">
        <v>0.0</v>
      </c>
      <c r="W164" s="160">
        <v>0.0</v>
      </c>
      <c r="X164" s="160">
        <v>0.0</v>
      </c>
      <c r="Y164" s="160">
        <v>93.0</v>
      </c>
      <c r="Z164" s="160">
        <v>0.0</v>
      </c>
      <c r="AA164" s="160">
        <v>0.0</v>
      </c>
      <c r="AB164" s="160">
        <v>0.0</v>
      </c>
      <c r="AC164" s="160">
        <v>0.0</v>
      </c>
      <c r="AD164" s="160">
        <v>0.0</v>
      </c>
      <c r="AE164" s="160">
        <v>0.0</v>
      </c>
      <c r="AF164" s="160">
        <v>0.0</v>
      </c>
      <c r="AG164" s="160">
        <v>0.0</v>
      </c>
      <c r="AH164" s="160">
        <v>0.0</v>
      </c>
      <c r="AI164" s="160">
        <v>0.0</v>
      </c>
      <c r="AJ164" s="160">
        <v>0.0</v>
      </c>
      <c r="AK164" s="160">
        <v>33570.0</v>
      </c>
      <c r="AL164" s="160">
        <v>0.0</v>
      </c>
      <c r="AM164" s="160">
        <v>0.0</v>
      </c>
      <c r="AN164" s="160">
        <v>0.0</v>
      </c>
      <c r="AO164" s="160">
        <v>0.0</v>
      </c>
      <c r="AP164" s="160">
        <v>0.0</v>
      </c>
      <c r="AQ164" s="160">
        <v>0.0</v>
      </c>
      <c r="AR164" s="160">
        <v>0.0</v>
      </c>
      <c r="AS164" s="160">
        <v>0.0</v>
      </c>
      <c r="AT164" s="160">
        <v>0.0</v>
      </c>
      <c r="AU164" s="160">
        <v>0.0</v>
      </c>
      <c r="AV164" s="160">
        <v>0.0</v>
      </c>
      <c r="AW164" s="160">
        <v>0.0</v>
      </c>
      <c r="AX164" s="160">
        <v>32.0</v>
      </c>
      <c r="AY164" s="285">
        <v>45762.0</v>
      </c>
      <c r="AZ164" s="285"/>
    </row>
    <row r="165">
      <c r="A165" s="157" t="s">
        <v>298</v>
      </c>
      <c r="B165" s="157" t="s">
        <v>301</v>
      </c>
      <c r="C165" s="157" t="s">
        <v>356</v>
      </c>
      <c r="D165" s="157" t="s">
        <v>1066</v>
      </c>
      <c r="E165" s="157" t="s">
        <v>319</v>
      </c>
      <c r="F165" s="285">
        <v>45651.0</v>
      </c>
      <c r="G165" s="157" t="s">
        <v>298</v>
      </c>
      <c r="H165" s="160">
        <v>0.0</v>
      </c>
      <c r="I165" s="160">
        <v>0.0</v>
      </c>
      <c r="J165" s="160">
        <v>0.0</v>
      </c>
      <c r="K165" s="160">
        <v>0.0</v>
      </c>
      <c r="L165" s="160">
        <v>79.0</v>
      </c>
      <c r="M165" s="160">
        <v>0.0</v>
      </c>
      <c r="N165" s="160">
        <v>1.0</v>
      </c>
      <c r="O165" s="160">
        <v>80.0</v>
      </c>
      <c r="P165" s="160">
        <v>80.0</v>
      </c>
      <c r="Q165" s="160">
        <v>0.0</v>
      </c>
      <c r="R165" s="160">
        <v>0.0</v>
      </c>
      <c r="S165" s="160">
        <v>0.0</v>
      </c>
      <c r="T165" s="160">
        <v>0.0</v>
      </c>
      <c r="U165" s="160">
        <v>0.0</v>
      </c>
      <c r="V165" s="160">
        <v>0.0</v>
      </c>
      <c r="W165" s="160">
        <v>0.0</v>
      </c>
      <c r="X165" s="160">
        <v>0.0</v>
      </c>
      <c r="Y165" s="160">
        <v>74.0</v>
      </c>
      <c r="Z165" s="160">
        <v>0.0</v>
      </c>
      <c r="AA165" s="160">
        <v>0.0</v>
      </c>
      <c r="AB165" s="160">
        <v>0.0</v>
      </c>
      <c r="AC165" s="160">
        <v>0.0</v>
      </c>
      <c r="AD165" s="160">
        <v>0.0</v>
      </c>
      <c r="AE165" s="160">
        <v>0.0</v>
      </c>
      <c r="AF165" s="160">
        <v>0.0</v>
      </c>
      <c r="AG165" s="160">
        <v>0.0</v>
      </c>
      <c r="AH165" s="160">
        <v>0.0</v>
      </c>
      <c r="AI165" s="160">
        <v>0.0</v>
      </c>
      <c r="AJ165" s="160">
        <v>0.0</v>
      </c>
      <c r="AK165" s="160">
        <v>25165.0</v>
      </c>
      <c r="AL165" s="160">
        <v>0.0</v>
      </c>
      <c r="AM165" s="160">
        <v>0.0</v>
      </c>
      <c r="AN165" s="160">
        <v>0.0</v>
      </c>
      <c r="AO165" s="160">
        <v>0.0</v>
      </c>
      <c r="AP165" s="160">
        <v>0.0</v>
      </c>
      <c r="AQ165" s="160">
        <v>0.0</v>
      </c>
      <c r="AR165" s="160">
        <v>0.0</v>
      </c>
      <c r="AS165" s="160">
        <v>0.0</v>
      </c>
      <c r="AT165" s="160">
        <v>0.0</v>
      </c>
      <c r="AU165" s="160">
        <v>0.0</v>
      </c>
      <c r="AV165" s="160">
        <v>0.0</v>
      </c>
      <c r="AW165" s="160">
        <v>0.0</v>
      </c>
      <c r="AX165" s="160">
        <v>80.0</v>
      </c>
      <c r="AY165" s="285">
        <v>45899.0</v>
      </c>
      <c r="AZ165" s="285"/>
    </row>
    <row r="166">
      <c r="A166" s="157" t="s">
        <v>23</v>
      </c>
      <c r="B166" s="157" t="s">
        <v>37</v>
      </c>
      <c r="C166" s="157" t="s">
        <v>35</v>
      </c>
      <c r="D166" s="157" t="s">
        <v>1110</v>
      </c>
      <c r="E166" s="157" t="s">
        <v>36</v>
      </c>
      <c r="F166" s="338">
        <v>45658.0</v>
      </c>
      <c r="G166" s="157" t="s">
        <v>23</v>
      </c>
      <c r="H166" s="160">
        <v>0.0</v>
      </c>
      <c r="I166" s="160">
        <v>3600000.0</v>
      </c>
      <c r="J166" s="160">
        <v>2005506.86</v>
      </c>
      <c r="K166" s="160">
        <v>0.0</v>
      </c>
      <c r="L166" s="160">
        <v>48.0</v>
      </c>
      <c r="M166" s="160">
        <v>60.0</v>
      </c>
      <c r="N166" s="160">
        <v>23.0</v>
      </c>
      <c r="O166" s="160">
        <v>71.0</v>
      </c>
      <c r="P166" s="160">
        <v>11.0</v>
      </c>
      <c r="Q166" s="160">
        <v>1444538.76</v>
      </c>
      <c r="R166" s="160">
        <v>560968.1</v>
      </c>
      <c r="S166" s="160">
        <v>26.0</v>
      </c>
      <c r="T166" s="160">
        <v>23.0</v>
      </c>
      <c r="U166" s="160">
        <v>49.0</v>
      </c>
      <c r="V166" s="160">
        <v>0.0</v>
      </c>
      <c r="W166" s="160">
        <v>97.0</v>
      </c>
      <c r="X166" s="160">
        <v>126.0</v>
      </c>
      <c r="Y166" s="160">
        <v>162.0</v>
      </c>
      <c r="Z166" s="160">
        <v>6.0</v>
      </c>
      <c r="AA166" s="160">
        <v>33.0</v>
      </c>
      <c r="AB166" s="160">
        <v>1.0</v>
      </c>
      <c r="AC166" s="160">
        <v>2.0</v>
      </c>
      <c r="AD166" s="160">
        <v>41.0</v>
      </c>
      <c r="AE166" s="160">
        <v>72.0</v>
      </c>
      <c r="AF166" s="160">
        <v>158.0</v>
      </c>
      <c r="AG166" s="160">
        <v>391.0</v>
      </c>
      <c r="AH166" s="160">
        <v>72.0</v>
      </c>
      <c r="AI166" s="160">
        <v>27854.0</v>
      </c>
      <c r="AJ166" s="160">
        <v>5.0</v>
      </c>
      <c r="AK166" s="160">
        <v>31455.0</v>
      </c>
      <c r="AL166" s="160">
        <v>0.0</v>
      </c>
      <c r="AM166" s="160">
        <v>0.0157</v>
      </c>
      <c r="AN166" s="160">
        <v>40929.0</v>
      </c>
      <c r="AO166" s="160">
        <v>0.56</v>
      </c>
      <c r="AP166" s="160">
        <v>0.0</v>
      </c>
      <c r="AQ166" s="160">
        <v>86.0</v>
      </c>
      <c r="AR166" s="160">
        <v>674.0</v>
      </c>
      <c r="AS166" s="160">
        <v>5385.42</v>
      </c>
      <c r="AT166" s="160">
        <v>23.0</v>
      </c>
      <c r="AU166" s="160">
        <v>90.0</v>
      </c>
      <c r="AV166" s="160">
        <v>49.0</v>
      </c>
      <c r="AW166" s="160">
        <v>15.0</v>
      </c>
      <c r="AX166" s="160">
        <v>7.0</v>
      </c>
      <c r="AY166" s="537"/>
      <c r="AZ166" s="537"/>
    </row>
    <row r="167">
      <c r="A167" s="157" t="s">
        <v>126</v>
      </c>
      <c r="B167" s="157" t="s">
        <v>135</v>
      </c>
      <c r="C167" s="157" t="s">
        <v>171</v>
      </c>
      <c r="D167" s="157" t="s">
        <v>1042</v>
      </c>
      <c r="E167" s="157" t="s">
        <v>137</v>
      </c>
      <c r="F167" s="338">
        <v>45658.0</v>
      </c>
      <c r="G167" s="157" t="s">
        <v>136</v>
      </c>
      <c r="H167" s="160">
        <v>0.0</v>
      </c>
      <c r="I167" s="160">
        <v>3500001.0</v>
      </c>
      <c r="J167" s="160">
        <v>1684117.72</v>
      </c>
      <c r="K167" s="160">
        <v>0.0</v>
      </c>
      <c r="L167" s="160">
        <v>53.0</v>
      </c>
      <c r="M167" s="160">
        <v>44.0</v>
      </c>
      <c r="N167" s="160">
        <v>3.0</v>
      </c>
      <c r="O167" s="160">
        <v>56.0</v>
      </c>
      <c r="P167" s="160">
        <v>12.0</v>
      </c>
      <c r="Q167" s="160">
        <v>1574262.41</v>
      </c>
      <c r="R167" s="160">
        <v>109855.31</v>
      </c>
      <c r="S167" s="160">
        <v>21.0</v>
      </c>
      <c r="T167" s="160">
        <v>2.0</v>
      </c>
      <c r="U167" s="160">
        <v>23.0</v>
      </c>
      <c r="V167" s="160">
        <v>0.0</v>
      </c>
      <c r="W167" s="160">
        <v>46.0</v>
      </c>
      <c r="X167" s="160">
        <v>52.0</v>
      </c>
      <c r="Y167" s="160">
        <v>245.0</v>
      </c>
      <c r="Z167" s="160">
        <v>1.0</v>
      </c>
      <c r="AA167" s="160">
        <v>3.0</v>
      </c>
      <c r="AB167" s="160">
        <v>0.0</v>
      </c>
      <c r="AC167" s="160">
        <v>0.0</v>
      </c>
      <c r="AD167" s="160">
        <v>0.0</v>
      </c>
      <c r="AE167" s="160">
        <v>0.0</v>
      </c>
      <c r="AF167" s="160">
        <v>268.0</v>
      </c>
      <c r="AG167" s="160">
        <v>323.0</v>
      </c>
      <c r="AH167" s="160">
        <v>69.0</v>
      </c>
      <c r="AI167" s="160">
        <v>24408.0</v>
      </c>
      <c r="AJ167" s="160">
        <v>5.0</v>
      </c>
      <c r="AK167" s="160">
        <v>36190.0</v>
      </c>
      <c r="AL167" s="160">
        <v>0.0</v>
      </c>
      <c r="AM167" s="160">
        <v>0.0215</v>
      </c>
      <c r="AN167" s="160">
        <v>73223.0</v>
      </c>
      <c r="AO167" s="160">
        <v>0.48</v>
      </c>
      <c r="AP167" s="160">
        <v>0.0</v>
      </c>
      <c r="AQ167" s="160">
        <v>60.0</v>
      </c>
      <c r="AR167" s="160">
        <v>533.0</v>
      </c>
      <c r="AS167" s="160">
        <v>2993.18</v>
      </c>
      <c r="AT167" s="160">
        <v>2.0</v>
      </c>
      <c r="AU167" s="160">
        <v>68.0</v>
      </c>
      <c r="AV167" s="160">
        <v>23.0</v>
      </c>
      <c r="AW167" s="160">
        <v>21.0</v>
      </c>
      <c r="AX167" s="160">
        <v>12.0</v>
      </c>
      <c r="AY167" s="537"/>
      <c r="AZ167" s="537"/>
    </row>
    <row r="168">
      <c r="A168" s="157" t="s">
        <v>185</v>
      </c>
      <c r="B168" s="157" t="s">
        <v>85</v>
      </c>
      <c r="C168" s="157" t="s">
        <v>390</v>
      </c>
      <c r="D168" s="157" t="s">
        <v>1058</v>
      </c>
      <c r="E168" s="157" t="s">
        <v>391</v>
      </c>
      <c r="F168" s="338">
        <v>45660.0</v>
      </c>
      <c r="G168" s="157" t="s">
        <v>86</v>
      </c>
      <c r="H168" s="160">
        <v>0.0</v>
      </c>
      <c r="I168" s="160">
        <v>0.0</v>
      </c>
      <c r="J168" s="160">
        <v>0.0</v>
      </c>
      <c r="K168" s="160">
        <v>0.0</v>
      </c>
      <c r="L168" s="160">
        <v>73.0</v>
      </c>
      <c r="M168" s="160">
        <v>0.0</v>
      </c>
      <c r="N168" s="160">
        <v>0.0</v>
      </c>
      <c r="O168" s="160">
        <v>73.0</v>
      </c>
      <c r="P168" s="160">
        <v>73.0</v>
      </c>
      <c r="Q168" s="160">
        <v>0.0</v>
      </c>
      <c r="R168" s="160">
        <v>0.0</v>
      </c>
      <c r="S168" s="160">
        <v>0.0</v>
      </c>
      <c r="T168" s="160">
        <v>0.0</v>
      </c>
      <c r="U168" s="160">
        <v>0.0</v>
      </c>
      <c r="V168" s="160">
        <v>0.0</v>
      </c>
      <c r="W168" s="160">
        <v>0.0</v>
      </c>
      <c r="X168" s="160">
        <v>0.0</v>
      </c>
      <c r="Y168" s="160">
        <v>94.0</v>
      </c>
      <c r="Z168" s="160">
        <v>0.0</v>
      </c>
      <c r="AA168" s="160">
        <v>0.0</v>
      </c>
      <c r="AB168" s="160">
        <v>0.0</v>
      </c>
      <c r="AC168" s="160">
        <v>0.0</v>
      </c>
      <c r="AD168" s="160">
        <v>0.0</v>
      </c>
      <c r="AE168" s="160">
        <v>0.0</v>
      </c>
      <c r="AF168" s="160">
        <v>0.0</v>
      </c>
      <c r="AG168" s="160">
        <v>0.0</v>
      </c>
      <c r="AH168" s="160">
        <v>0.0</v>
      </c>
      <c r="AI168" s="160">
        <v>0.0</v>
      </c>
      <c r="AJ168" s="160">
        <v>0.0</v>
      </c>
      <c r="AK168" s="160">
        <v>33885.0</v>
      </c>
      <c r="AL168" s="160">
        <v>0.0</v>
      </c>
      <c r="AM168" s="160">
        <v>0.0</v>
      </c>
      <c r="AN168" s="160">
        <v>0.0</v>
      </c>
      <c r="AO168" s="160">
        <v>0.0</v>
      </c>
      <c r="AP168" s="160">
        <v>0.0</v>
      </c>
      <c r="AQ168" s="160">
        <v>0.0</v>
      </c>
      <c r="AR168" s="160">
        <v>0.0</v>
      </c>
      <c r="AS168" s="160">
        <v>0.0</v>
      </c>
      <c r="AT168" s="160">
        <v>0.0</v>
      </c>
      <c r="AU168" s="160">
        <v>0.0</v>
      </c>
      <c r="AV168" s="160">
        <v>0.0</v>
      </c>
      <c r="AW168" s="160">
        <v>0.0</v>
      </c>
      <c r="AX168" s="160">
        <v>73.0</v>
      </c>
      <c r="AY168" s="285">
        <v>45819.0</v>
      </c>
      <c r="AZ168" s="285"/>
    </row>
    <row r="169">
      <c r="A169" s="157" t="s">
        <v>47</v>
      </c>
      <c r="B169" s="157" t="s">
        <v>422</v>
      </c>
      <c r="C169" s="157" t="s">
        <v>866</v>
      </c>
      <c r="D169" s="157" t="s">
        <v>1094</v>
      </c>
      <c r="E169" s="157" t="s">
        <v>1111</v>
      </c>
      <c r="F169" s="338">
        <v>45663.0</v>
      </c>
      <c r="G169" s="157" t="s">
        <v>47</v>
      </c>
      <c r="H169" s="160">
        <v>0.0</v>
      </c>
      <c r="I169" s="160">
        <v>0.0</v>
      </c>
      <c r="J169" s="160">
        <v>0.0</v>
      </c>
      <c r="K169" s="160">
        <v>0.0</v>
      </c>
      <c r="L169" s="160">
        <v>38.0</v>
      </c>
      <c r="M169" s="160">
        <v>23.0</v>
      </c>
      <c r="N169" s="160">
        <v>0.0</v>
      </c>
      <c r="O169" s="160">
        <v>38.0</v>
      </c>
      <c r="P169" s="160">
        <v>15.0</v>
      </c>
      <c r="Q169" s="160">
        <v>0.0</v>
      </c>
      <c r="R169" s="160">
        <v>0.0</v>
      </c>
      <c r="S169" s="160">
        <v>0.0</v>
      </c>
      <c r="T169" s="160">
        <v>0.0</v>
      </c>
      <c r="U169" s="160">
        <v>0.0</v>
      </c>
      <c r="V169" s="160">
        <v>0.0</v>
      </c>
      <c r="W169" s="160">
        <v>51.0</v>
      </c>
      <c r="X169" s="160">
        <v>60.0</v>
      </c>
      <c r="Y169" s="160">
        <v>90.0</v>
      </c>
      <c r="Z169" s="160">
        <v>3.0</v>
      </c>
      <c r="AA169" s="160">
        <v>51.0</v>
      </c>
      <c r="AB169" s="160">
        <v>0.0</v>
      </c>
      <c r="AC169" s="160">
        <v>0.0</v>
      </c>
      <c r="AD169" s="160">
        <v>58.0</v>
      </c>
      <c r="AE169" s="160">
        <v>135.0</v>
      </c>
      <c r="AF169" s="160">
        <v>48.0</v>
      </c>
      <c r="AG169" s="160">
        <v>294.0</v>
      </c>
      <c r="AH169" s="160">
        <v>72.0</v>
      </c>
      <c r="AI169" s="160">
        <v>0.0</v>
      </c>
      <c r="AJ169" s="160">
        <v>4.0</v>
      </c>
      <c r="AK169" s="160">
        <v>66667.0</v>
      </c>
      <c r="AL169" s="160">
        <v>0.0</v>
      </c>
      <c r="AM169" s="160">
        <v>0.0</v>
      </c>
      <c r="AN169" s="160">
        <v>0.0</v>
      </c>
      <c r="AO169" s="160">
        <v>0.0</v>
      </c>
      <c r="AP169" s="160">
        <v>0.0</v>
      </c>
      <c r="AQ169" s="160">
        <v>0.0</v>
      </c>
      <c r="AR169" s="160">
        <v>698.0</v>
      </c>
      <c r="AS169" s="160">
        <v>4844.26</v>
      </c>
      <c r="AT169" s="160">
        <v>0.0</v>
      </c>
      <c r="AU169" s="160">
        <v>211.0</v>
      </c>
      <c r="AV169" s="160">
        <v>0.0</v>
      </c>
      <c r="AW169" s="160">
        <v>23.0</v>
      </c>
      <c r="AX169" s="160">
        <v>15.0</v>
      </c>
      <c r="AY169" s="537"/>
      <c r="AZ169" s="537"/>
    </row>
    <row r="170">
      <c r="A170" s="157" t="s">
        <v>47</v>
      </c>
      <c r="B170" s="157" t="s">
        <v>422</v>
      </c>
      <c r="C170" s="157" t="s">
        <v>867</v>
      </c>
      <c r="D170" s="157" t="s">
        <v>1094</v>
      </c>
      <c r="E170" s="157" t="s">
        <v>1112</v>
      </c>
      <c r="F170" s="338">
        <v>45663.0</v>
      </c>
      <c r="G170" s="157" t="s">
        <v>47</v>
      </c>
      <c r="H170" s="160">
        <v>0.0</v>
      </c>
      <c r="I170" s="160">
        <v>0.0</v>
      </c>
      <c r="J170" s="160">
        <v>241402.44</v>
      </c>
      <c r="K170" s="160">
        <v>0.0</v>
      </c>
      <c r="L170" s="160">
        <v>8.0</v>
      </c>
      <c r="M170" s="160">
        <v>5.0</v>
      </c>
      <c r="N170" s="160">
        <v>1.0</v>
      </c>
      <c r="O170" s="160">
        <v>9.0</v>
      </c>
      <c r="P170" s="160">
        <v>4.0</v>
      </c>
      <c r="Q170" s="160">
        <v>199263.99</v>
      </c>
      <c r="R170" s="160">
        <v>42138.45</v>
      </c>
      <c r="S170" s="160">
        <v>2.0</v>
      </c>
      <c r="T170" s="160">
        <v>1.0</v>
      </c>
      <c r="U170" s="160">
        <v>3.0</v>
      </c>
      <c r="V170" s="160">
        <v>0.0</v>
      </c>
      <c r="W170" s="160">
        <v>24.0</v>
      </c>
      <c r="X170" s="160">
        <v>31.0</v>
      </c>
      <c r="Y170" s="160">
        <v>86.0</v>
      </c>
      <c r="Z170" s="160">
        <v>4.0</v>
      </c>
      <c r="AA170" s="160">
        <v>60.0</v>
      </c>
      <c r="AB170" s="160">
        <v>0.0</v>
      </c>
      <c r="AC170" s="160">
        <v>0.0</v>
      </c>
      <c r="AD170" s="160">
        <v>39.0</v>
      </c>
      <c r="AE170" s="160">
        <v>138.0</v>
      </c>
      <c r="AF170" s="160">
        <v>33.0</v>
      </c>
      <c r="AG170" s="160">
        <v>262.0</v>
      </c>
      <c r="AH170" s="160">
        <v>73.0</v>
      </c>
      <c r="AI170" s="160">
        <v>3307.0</v>
      </c>
      <c r="AJ170" s="160">
        <v>4.0</v>
      </c>
      <c r="AK170" s="160">
        <v>62500.0</v>
      </c>
      <c r="AL170" s="160">
        <v>0.0</v>
      </c>
      <c r="AM170" s="160">
        <v>0.2589</v>
      </c>
      <c r="AN170" s="160">
        <v>80467.0</v>
      </c>
      <c r="AO170" s="160">
        <v>0.0</v>
      </c>
      <c r="AP170" s="160">
        <v>0.0</v>
      </c>
      <c r="AQ170" s="160">
        <v>4.0</v>
      </c>
      <c r="AR170" s="160">
        <v>713.0</v>
      </c>
      <c r="AS170" s="160">
        <v>3804.61</v>
      </c>
      <c r="AT170" s="160">
        <v>1.0</v>
      </c>
      <c r="AU170" s="160">
        <v>761.0</v>
      </c>
      <c r="AV170" s="160">
        <v>3.0</v>
      </c>
      <c r="AW170" s="160">
        <v>2.0</v>
      </c>
      <c r="AX170" s="160">
        <v>4.0</v>
      </c>
      <c r="AY170" s="537"/>
      <c r="AZ170" s="537"/>
    </row>
    <row r="171">
      <c r="A171" s="157" t="s">
        <v>185</v>
      </c>
      <c r="B171" s="157" t="s">
        <v>189</v>
      </c>
      <c r="C171" s="157" t="s">
        <v>281</v>
      </c>
      <c r="D171" s="157" t="s">
        <v>1016</v>
      </c>
      <c r="E171" s="157" t="s">
        <v>282</v>
      </c>
      <c r="F171" s="285">
        <v>45670.0</v>
      </c>
      <c r="G171" s="157" t="s">
        <v>787</v>
      </c>
      <c r="H171" s="160">
        <v>0.0</v>
      </c>
      <c r="I171" s="160">
        <v>4500000.0</v>
      </c>
      <c r="J171" s="160">
        <v>2910850.33</v>
      </c>
      <c r="K171" s="160">
        <v>0.0</v>
      </c>
      <c r="L171" s="160">
        <v>38.0</v>
      </c>
      <c r="M171" s="160">
        <v>35.0</v>
      </c>
      <c r="N171" s="160">
        <v>2.0</v>
      </c>
      <c r="O171" s="160">
        <v>40.0</v>
      </c>
      <c r="P171" s="160">
        <v>5.0</v>
      </c>
      <c r="Q171" s="160">
        <v>2875254.75</v>
      </c>
      <c r="R171" s="160">
        <v>35595.58</v>
      </c>
      <c r="S171" s="160">
        <v>26.0</v>
      </c>
      <c r="T171" s="160">
        <v>2.0</v>
      </c>
      <c r="U171" s="160">
        <v>28.0</v>
      </c>
      <c r="V171" s="160">
        <v>0.0</v>
      </c>
      <c r="W171" s="160">
        <v>13.0</v>
      </c>
      <c r="X171" s="160">
        <v>14.0</v>
      </c>
      <c r="Y171" s="160">
        <v>132.0</v>
      </c>
      <c r="Z171" s="160">
        <v>1.0</v>
      </c>
      <c r="AA171" s="160">
        <v>43.0</v>
      </c>
      <c r="AB171" s="160">
        <v>0.0</v>
      </c>
      <c r="AC171" s="160">
        <v>0.0</v>
      </c>
      <c r="AD171" s="160">
        <v>0.0</v>
      </c>
      <c r="AE171" s="160">
        <v>0.0</v>
      </c>
      <c r="AF171" s="160">
        <v>182.0</v>
      </c>
      <c r="AG171" s="160">
        <v>239.0</v>
      </c>
      <c r="AH171" s="160">
        <v>67.0</v>
      </c>
      <c r="AI171" s="160">
        <v>43446.0</v>
      </c>
      <c r="AJ171" s="160">
        <v>4.0</v>
      </c>
      <c r="AK171" s="160">
        <v>29375.0</v>
      </c>
      <c r="AL171" s="160">
        <v>0.0</v>
      </c>
      <c r="AM171" s="160">
        <v>0.0101</v>
      </c>
      <c r="AN171" s="160">
        <v>103959.0</v>
      </c>
      <c r="AO171" s="160">
        <v>0.65</v>
      </c>
      <c r="AP171" s="160">
        <v>0.0</v>
      </c>
      <c r="AQ171" s="160">
        <v>54.0</v>
      </c>
      <c r="AR171" s="160">
        <v>782.0</v>
      </c>
      <c r="AS171" s="160">
        <v>1867.09</v>
      </c>
      <c r="AT171" s="160">
        <v>2.0</v>
      </c>
      <c r="AU171" s="160">
        <v>53.0</v>
      </c>
      <c r="AV171" s="160">
        <v>28.0</v>
      </c>
      <c r="AW171" s="160">
        <v>9.0</v>
      </c>
      <c r="AX171" s="160">
        <v>3.0</v>
      </c>
      <c r="AY171" s="537"/>
      <c r="AZ171" s="537"/>
    </row>
    <row r="172">
      <c r="A172" s="157" t="s">
        <v>97</v>
      </c>
      <c r="B172" s="157" t="s">
        <v>101</v>
      </c>
      <c r="C172" s="157" t="s">
        <v>341</v>
      </c>
      <c r="D172" s="157" t="s">
        <v>1062</v>
      </c>
      <c r="E172" s="157" t="s">
        <v>105</v>
      </c>
      <c r="F172" s="338">
        <v>45694.0</v>
      </c>
      <c r="G172" s="157" t="s">
        <v>876</v>
      </c>
      <c r="H172" s="160">
        <v>0.0</v>
      </c>
      <c r="I172" s="160">
        <v>0.0</v>
      </c>
      <c r="J172" s="160">
        <v>0.0</v>
      </c>
      <c r="K172" s="160">
        <v>0.0</v>
      </c>
      <c r="L172" s="160">
        <v>72.0</v>
      </c>
      <c r="M172" s="160">
        <v>0.0</v>
      </c>
      <c r="N172" s="160">
        <v>2.0</v>
      </c>
      <c r="O172" s="160">
        <v>74.0</v>
      </c>
      <c r="P172" s="160">
        <v>74.0</v>
      </c>
      <c r="Q172" s="160">
        <v>0.0</v>
      </c>
      <c r="R172" s="160">
        <v>0.0</v>
      </c>
      <c r="S172" s="160">
        <v>0.0</v>
      </c>
      <c r="T172" s="160">
        <v>0.0</v>
      </c>
      <c r="U172" s="160">
        <v>0.0</v>
      </c>
      <c r="V172" s="160">
        <v>0.0</v>
      </c>
      <c r="W172" s="160">
        <v>0.0</v>
      </c>
      <c r="X172" s="160">
        <v>0.0</v>
      </c>
      <c r="Y172" s="160">
        <v>16.0</v>
      </c>
      <c r="Z172" s="160">
        <v>0.0</v>
      </c>
      <c r="AA172" s="160">
        <v>0.0</v>
      </c>
      <c r="AB172" s="160">
        <v>0.0</v>
      </c>
      <c r="AC172" s="160">
        <v>0.0</v>
      </c>
      <c r="AD172" s="160">
        <v>0.0</v>
      </c>
      <c r="AE172" s="160">
        <v>0.0</v>
      </c>
      <c r="AF172" s="160">
        <v>0.0</v>
      </c>
      <c r="AG172" s="160">
        <v>0.0</v>
      </c>
      <c r="AH172" s="160">
        <v>0.0</v>
      </c>
      <c r="AI172" s="160">
        <v>0.0</v>
      </c>
      <c r="AJ172" s="160">
        <v>0.0</v>
      </c>
      <c r="AK172" s="160">
        <v>23000.0</v>
      </c>
      <c r="AL172" s="160">
        <v>0.0</v>
      </c>
      <c r="AM172" s="160">
        <v>0.0</v>
      </c>
      <c r="AN172" s="160">
        <v>0.0</v>
      </c>
      <c r="AO172" s="160">
        <v>0.0</v>
      </c>
      <c r="AP172" s="160">
        <v>0.0</v>
      </c>
      <c r="AQ172" s="160">
        <v>0.0</v>
      </c>
      <c r="AR172" s="160">
        <v>0.0</v>
      </c>
      <c r="AS172" s="160">
        <v>0.0</v>
      </c>
      <c r="AT172" s="160">
        <v>0.0</v>
      </c>
      <c r="AU172" s="160">
        <v>0.0</v>
      </c>
      <c r="AV172" s="160">
        <v>0.0</v>
      </c>
      <c r="AW172" s="160">
        <v>0.0</v>
      </c>
      <c r="AX172" s="160">
        <v>74.0</v>
      </c>
      <c r="AY172" s="285">
        <v>45899.0</v>
      </c>
      <c r="AZ172" s="285"/>
    </row>
    <row r="173">
      <c r="A173" s="157" t="s">
        <v>97</v>
      </c>
      <c r="B173" s="157" t="s">
        <v>101</v>
      </c>
      <c r="C173" s="157" t="s">
        <v>104</v>
      </c>
      <c r="D173" s="157" t="s">
        <v>1062</v>
      </c>
      <c r="E173" s="157" t="s">
        <v>105</v>
      </c>
      <c r="F173" s="338">
        <v>45719.0</v>
      </c>
      <c r="G173" s="157" t="s">
        <v>876</v>
      </c>
      <c r="H173" s="160">
        <v>0.0</v>
      </c>
      <c r="I173" s="160">
        <v>4000000.0</v>
      </c>
      <c r="J173" s="160">
        <v>2777280.0</v>
      </c>
      <c r="K173" s="160">
        <v>0.0</v>
      </c>
      <c r="L173" s="160">
        <v>111.0</v>
      </c>
      <c r="M173" s="160">
        <v>67.0</v>
      </c>
      <c r="N173" s="160">
        <v>4.0</v>
      </c>
      <c r="O173" s="160">
        <v>115.0</v>
      </c>
      <c r="P173" s="160">
        <v>48.0</v>
      </c>
      <c r="Q173" s="160">
        <v>2684506.8</v>
      </c>
      <c r="R173" s="160">
        <v>92773.2</v>
      </c>
      <c r="S173" s="160">
        <v>36.0</v>
      </c>
      <c r="T173" s="160">
        <v>4.0</v>
      </c>
      <c r="U173" s="160">
        <v>40.0</v>
      </c>
      <c r="V173" s="160">
        <v>0.0</v>
      </c>
      <c r="W173" s="160">
        <v>4.0</v>
      </c>
      <c r="X173" s="160">
        <v>11.0</v>
      </c>
      <c r="Y173" s="160">
        <v>3.0</v>
      </c>
      <c r="Z173" s="160">
        <v>1.0</v>
      </c>
      <c r="AA173" s="160">
        <v>9.0</v>
      </c>
      <c r="AB173" s="160">
        <v>0.0</v>
      </c>
      <c r="AC173" s="160">
        <v>0.0</v>
      </c>
      <c r="AD173" s="160">
        <v>0.0</v>
      </c>
      <c r="AE173" s="160">
        <v>0.0</v>
      </c>
      <c r="AF173" s="160">
        <v>456.0</v>
      </c>
      <c r="AG173" s="160">
        <v>476.0</v>
      </c>
      <c r="AH173" s="160">
        <v>74.0</v>
      </c>
      <c r="AI173" s="160">
        <v>37531.0</v>
      </c>
      <c r="AJ173" s="160">
        <v>6.0</v>
      </c>
      <c r="AK173" s="160">
        <v>23000.0</v>
      </c>
      <c r="AL173" s="160">
        <v>0.0</v>
      </c>
      <c r="AM173" s="160">
        <v>0.0083</v>
      </c>
      <c r="AN173" s="160">
        <v>69432.0</v>
      </c>
      <c r="AO173" s="160">
        <v>0.69</v>
      </c>
      <c r="AP173" s="160">
        <v>0.0</v>
      </c>
      <c r="AQ173" s="160">
        <v>80.0</v>
      </c>
      <c r="AR173" s="160">
        <v>711.0</v>
      </c>
      <c r="AS173" s="160">
        <v>3896.44</v>
      </c>
      <c r="AT173" s="160">
        <v>4.0</v>
      </c>
      <c r="AU173" s="160">
        <v>58.0</v>
      </c>
      <c r="AV173" s="160">
        <v>40.0</v>
      </c>
      <c r="AW173" s="160">
        <v>28.0</v>
      </c>
      <c r="AX173" s="160">
        <v>47.0</v>
      </c>
      <c r="AY173" s="537"/>
      <c r="AZ173" s="537"/>
    </row>
    <row r="174">
      <c r="A174" s="157" t="s">
        <v>23</v>
      </c>
      <c r="B174" s="157" t="s">
        <v>30</v>
      </c>
      <c r="C174" s="157" t="s">
        <v>336</v>
      </c>
      <c r="D174" s="157" t="s">
        <v>30</v>
      </c>
      <c r="E174" s="157" t="s">
        <v>44</v>
      </c>
      <c r="F174" s="338">
        <v>45722.0</v>
      </c>
      <c r="G174" s="157" t="s">
        <v>23</v>
      </c>
      <c r="H174" s="160">
        <v>0.0</v>
      </c>
      <c r="I174" s="160">
        <v>3600000.0</v>
      </c>
      <c r="J174" s="160">
        <v>107502.89</v>
      </c>
      <c r="K174" s="160">
        <v>0.0</v>
      </c>
      <c r="L174" s="160">
        <v>75.0</v>
      </c>
      <c r="M174" s="160">
        <v>58.0</v>
      </c>
      <c r="N174" s="160">
        <v>3.0</v>
      </c>
      <c r="O174" s="160">
        <v>78.0</v>
      </c>
      <c r="P174" s="160">
        <v>20.0</v>
      </c>
      <c r="Q174" s="160">
        <v>101982.89</v>
      </c>
      <c r="R174" s="160">
        <v>5520.0</v>
      </c>
      <c r="S174" s="160">
        <v>9.0</v>
      </c>
      <c r="T174" s="160">
        <v>1.0</v>
      </c>
      <c r="U174" s="160">
        <v>10.0</v>
      </c>
      <c r="V174" s="160">
        <v>0.0</v>
      </c>
      <c r="W174" s="160">
        <v>42.0</v>
      </c>
      <c r="X174" s="160">
        <v>47.0</v>
      </c>
      <c r="Y174" s="160">
        <v>253.0</v>
      </c>
      <c r="Z174" s="160">
        <v>2.0</v>
      </c>
      <c r="AA174" s="160">
        <v>19.0</v>
      </c>
      <c r="AB174" s="160">
        <v>0.0</v>
      </c>
      <c r="AC174" s="160">
        <v>0.0</v>
      </c>
      <c r="AD174" s="160">
        <v>0.0</v>
      </c>
      <c r="AE174" s="160">
        <v>0.0</v>
      </c>
      <c r="AF174" s="160">
        <v>103.0</v>
      </c>
      <c r="AG174" s="160">
        <v>169.0</v>
      </c>
      <c r="AH174" s="160">
        <v>20.0</v>
      </c>
      <c r="AI174" s="160">
        <v>5375.0</v>
      </c>
      <c r="AJ174" s="160">
        <v>8.0</v>
      </c>
      <c r="AK174" s="160">
        <v>27260.0</v>
      </c>
      <c r="AL174" s="160">
        <v>0.0</v>
      </c>
      <c r="AM174" s="160">
        <v>0.2536</v>
      </c>
      <c r="AN174" s="160">
        <v>10750.0</v>
      </c>
      <c r="AO174" s="160">
        <v>0.03</v>
      </c>
      <c r="AP174" s="160">
        <v>0.0</v>
      </c>
      <c r="AQ174" s="160">
        <v>10.0</v>
      </c>
      <c r="AR174" s="160">
        <v>194.0</v>
      </c>
      <c r="AS174" s="160">
        <v>1886.29</v>
      </c>
      <c r="AT174" s="160">
        <v>1.0</v>
      </c>
      <c r="AU174" s="160">
        <v>33.0</v>
      </c>
      <c r="AV174" s="160">
        <v>10.0</v>
      </c>
      <c r="AW174" s="160">
        <v>48.0</v>
      </c>
      <c r="AX174" s="160">
        <v>20.0</v>
      </c>
      <c r="AY174" s="285">
        <v>45961.0</v>
      </c>
      <c r="AZ174" s="285"/>
    </row>
    <row r="175">
      <c r="A175" s="157" t="s">
        <v>23</v>
      </c>
      <c r="B175" s="157" t="s">
        <v>40</v>
      </c>
      <c r="C175" s="157" t="s">
        <v>38</v>
      </c>
      <c r="D175" s="157" t="s">
        <v>1356</v>
      </c>
      <c r="E175" s="157" t="s">
        <v>39</v>
      </c>
      <c r="F175" s="285">
        <v>45736.0</v>
      </c>
      <c r="G175" s="157" t="s">
        <v>23</v>
      </c>
      <c r="H175" s="160">
        <v>150000.0</v>
      </c>
      <c r="I175" s="160">
        <v>3600000.0</v>
      </c>
      <c r="J175" s="160">
        <v>922457.53</v>
      </c>
      <c r="K175" s="160">
        <v>126703.38</v>
      </c>
      <c r="L175" s="160">
        <v>38.0</v>
      </c>
      <c r="M175" s="160">
        <v>32.0</v>
      </c>
      <c r="N175" s="160">
        <v>1.0</v>
      </c>
      <c r="O175" s="160">
        <v>39.0</v>
      </c>
      <c r="P175" s="160">
        <v>7.0</v>
      </c>
      <c r="Q175" s="160">
        <v>888406.17</v>
      </c>
      <c r="R175" s="160">
        <v>34051.36</v>
      </c>
      <c r="S175" s="160">
        <v>11.0</v>
      </c>
      <c r="T175" s="160">
        <v>1.0</v>
      </c>
      <c r="U175" s="160">
        <v>12.0</v>
      </c>
      <c r="V175" s="160">
        <v>1.0</v>
      </c>
      <c r="W175" s="160">
        <v>152.0</v>
      </c>
      <c r="X175" s="160">
        <v>224.0</v>
      </c>
      <c r="Y175" s="160">
        <v>133.0</v>
      </c>
      <c r="Z175" s="160">
        <v>3.0</v>
      </c>
      <c r="AA175" s="160">
        <v>12.0</v>
      </c>
      <c r="AB175" s="160">
        <v>4.0</v>
      </c>
      <c r="AC175" s="160">
        <v>13.0</v>
      </c>
      <c r="AD175" s="160">
        <v>2.0</v>
      </c>
      <c r="AE175" s="160">
        <v>2.0</v>
      </c>
      <c r="AF175" s="160">
        <v>151.0</v>
      </c>
      <c r="AG175" s="160">
        <v>402.0</v>
      </c>
      <c r="AH175" s="160">
        <v>73.0</v>
      </c>
      <c r="AI175" s="160">
        <v>12636.0</v>
      </c>
      <c r="AJ175" s="160">
        <v>6.0</v>
      </c>
      <c r="AK175" s="160">
        <v>27260.0</v>
      </c>
      <c r="AL175" s="160">
        <v>0.0</v>
      </c>
      <c r="AM175" s="160">
        <v>0.0296</v>
      </c>
      <c r="AN175" s="160">
        <v>76871.0</v>
      </c>
      <c r="AO175" s="160">
        <v>0.26</v>
      </c>
      <c r="AP175" s="160">
        <v>0.84</v>
      </c>
      <c r="AQ175" s="160">
        <v>25.0</v>
      </c>
      <c r="AR175" s="160">
        <v>643.0</v>
      </c>
      <c r="AS175" s="160">
        <v>2415.29</v>
      </c>
      <c r="AT175" s="160">
        <v>1.0</v>
      </c>
      <c r="AU175" s="160">
        <v>75.0</v>
      </c>
      <c r="AV175" s="160">
        <v>12.0</v>
      </c>
      <c r="AW175" s="160">
        <v>20.0</v>
      </c>
      <c r="AX175" s="160">
        <v>7.0</v>
      </c>
      <c r="AY175" s="537"/>
      <c r="AZ175" s="537"/>
    </row>
    <row r="176">
      <c r="A176" s="157" t="s">
        <v>53</v>
      </c>
      <c r="B176" s="157" t="s">
        <v>56</v>
      </c>
      <c r="C176" s="157" t="s">
        <v>62</v>
      </c>
      <c r="D176" s="157" t="s">
        <v>1113</v>
      </c>
      <c r="E176" s="157" t="s">
        <v>63</v>
      </c>
      <c r="F176" s="285">
        <v>45733.0</v>
      </c>
      <c r="G176" s="157" t="s">
        <v>754</v>
      </c>
      <c r="H176" s="160">
        <v>0.0</v>
      </c>
      <c r="I176" s="160">
        <v>4500000.0</v>
      </c>
      <c r="J176" s="160">
        <v>1733714.67</v>
      </c>
      <c r="K176" s="160">
        <v>0.0</v>
      </c>
      <c r="L176" s="160">
        <v>85.0</v>
      </c>
      <c r="M176" s="160">
        <v>78.0</v>
      </c>
      <c r="N176" s="160">
        <v>3.0</v>
      </c>
      <c r="O176" s="160">
        <v>88.0</v>
      </c>
      <c r="P176" s="160">
        <v>10.0</v>
      </c>
      <c r="Q176" s="160">
        <v>1650656.77</v>
      </c>
      <c r="R176" s="160">
        <v>83057.9</v>
      </c>
      <c r="S176" s="160">
        <v>32.0</v>
      </c>
      <c r="T176" s="160">
        <v>3.0</v>
      </c>
      <c r="U176" s="160">
        <v>35.0</v>
      </c>
      <c r="V176" s="160">
        <v>0.0</v>
      </c>
      <c r="W176" s="160">
        <v>93.0</v>
      </c>
      <c r="X176" s="160">
        <v>129.0</v>
      </c>
      <c r="Y176" s="160">
        <v>124.0</v>
      </c>
      <c r="Z176" s="160">
        <v>3.0</v>
      </c>
      <c r="AA176" s="160">
        <v>37.0</v>
      </c>
      <c r="AB176" s="160">
        <v>1.0</v>
      </c>
      <c r="AC176" s="160">
        <v>2.0</v>
      </c>
      <c r="AD176" s="160">
        <v>13.0</v>
      </c>
      <c r="AE176" s="160">
        <v>40.0</v>
      </c>
      <c r="AF176" s="160">
        <v>318.0</v>
      </c>
      <c r="AG176" s="160">
        <v>526.0</v>
      </c>
      <c r="AH176" s="160">
        <v>74.0</v>
      </c>
      <c r="AI176" s="160">
        <v>23429.0</v>
      </c>
      <c r="AJ176" s="160">
        <v>7.0</v>
      </c>
      <c r="AK176" s="160">
        <v>33550.0</v>
      </c>
      <c r="AL176" s="160">
        <v>0.0</v>
      </c>
      <c r="AM176" s="160">
        <v>0.0194</v>
      </c>
      <c r="AN176" s="160">
        <v>49535.0</v>
      </c>
      <c r="AO176" s="160">
        <v>0.39</v>
      </c>
      <c r="AP176" s="160">
        <v>0.0</v>
      </c>
      <c r="AQ176" s="160">
        <v>67.0</v>
      </c>
      <c r="AR176" s="160">
        <v>690.0</v>
      </c>
      <c r="AS176" s="160">
        <v>9265.58</v>
      </c>
      <c r="AT176" s="160">
        <v>3.0</v>
      </c>
      <c r="AU176" s="160">
        <v>119.0</v>
      </c>
      <c r="AV176" s="160">
        <v>35.0</v>
      </c>
      <c r="AW176" s="160">
        <v>45.0</v>
      </c>
      <c r="AX176" s="160">
        <v>8.0</v>
      </c>
      <c r="AY176" s="537"/>
      <c r="AZ176" s="537"/>
    </row>
    <row r="177">
      <c r="A177" s="157" t="s">
        <v>53</v>
      </c>
      <c r="B177" s="157" t="s">
        <v>56</v>
      </c>
      <c r="C177" s="157" t="s">
        <v>377</v>
      </c>
      <c r="D177" s="157" t="s">
        <v>1092</v>
      </c>
      <c r="E177" s="157" t="s">
        <v>378</v>
      </c>
      <c r="F177" s="285">
        <v>45735.0</v>
      </c>
      <c r="G177" s="157" t="s">
        <v>754</v>
      </c>
      <c r="H177" s="160">
        <v>0.0</v>
      </c>
      <c r="I177" s="160">
        <v>700000.0</v>
      </c>
      <c r="J177" s="160">
        <v>0.0</v>
      </c>
      <c r="K177" s="160">
        <v>0.0</v>
      </c>
      <c r="L177" s="160">
        <v>75.0</v>
      </c>
      <c r="M177" s="160">
        <v>19.0</v>
      </c>
      <c r="N177" s="160">
        <v>0.0</v>
      </c>
      <c r="O177" s="160">
        <v>75.0</v>
      </c>
      <c r="P177" s="160">
        <v>56.0</v>
      </c>
      <c r="Q177" s="160">
        <v>0.0</v>
      </c>
      <c r="R177" s="160">
        <v>0.0</v>
      </c>
      <c r="S177" s="160">
        <v>0.0</v>
      </c>
      <c r="T177" s="160">
        <v>0.0</v>
      </c>
      <c r="U177" s="160">
        <v>0.0</v>
      </c>
      <c r="V177" s="160">
        <v>0.0</v>
      </c>
      <c r="W177" s="160">
        <v>15.0</v>
      </c>
      <c r="X177" s="160">
        <v>15.0</v>
      </c>
      <c r="Y177" s="160">
        <v>186.0</v>
      </c>
      <c r="Z177" s="160">
        <v>2.0</v>
      </c>
      <c r="AA177" s="160">
        <v>4.0</v>
      </c>
      <c r="AB177" s="160">
        <v>0.0</v>
      </c>
      <c r="AC177" s="160">
        <v>0.0</v>
      </c>
      <c r="AD177" s="160">
        <v>1.0</v>
      </c>
      <c r="AE177" s="160">
        <v>1.0</v>
      </c>
      <c r="AF177" s="160">
        <v>27.0</v>
      </c>
      <c r="AG177" s="160">
        <v>47.0</v>
      </c>
      <c r="AH177" s="160">
        <v>6.0</v>
      </c>
      <c r="AI177" s="160">
        <v>0.0</v>
      </c>
      <c r="AJ177" s="160">
        <v>8.0</v>
      </c>
      <c r="AK177" s="160">
        <v>25165.0</v>
      </c>
      <c r="AL177" s="160">
        <v>0.0</v>
      </c>
      <c r="AM177" s="160">
        <v>0.0</v>
      </c>
      <c r="AN177" s="160">
        <v>0.0</v>
      </c>
      <c r="AO177" s="160">
        <v>0.0</v>
      </c>
      <c r="AP177" s="160">
        <v>0.0</v>
      </c>
      <c r="AQ177" s="160">
        <v>0.0</v>
      </c>
      <c r="AR177" s="160">
        <v>66.0</v>
      </c>
      <c r="AS177" s="160">
        <v>433.31</v>
      </c>
      <c r="AT177" s="160">
        <v>0.0</v>
      </c>
      <c r="AU177" s="160">
        <v>23.0</v>
      </c>
      <c r="AV177" s="160">
        <v>0.0</v>
      </c>
      <c r="AW177" s="160">
        <v>19.0</v>
      </c>
      <c r="AX177" s="160">
        <v>56.0</v>
      </c>
      <c r="AY177" s="338">
        <v>45938.0</v>
      </c>
      <c r="AZ177" s="338"/>
    </row>
    <row r="178">
      <c r="A178" s="157" t="s">
        <v>53</v>
      </c>
      <c r="B178" s="157" t="s">
        <v>56</v>
      </c>
      <c r="C178" s="157" t="s">
        <v>869</v>
      </c>
      <c r="D178" s="157" t="s">
        <v>1092</v>
      </c>
      <c r="E178" s="157" t="s">
        <v>1093</v>
      </c>
      <c r="F178" s="285">
        <v>45736.0</v>
      </c>
      <c r="G178" s="157" t="s">
        <v>754</v>
      </c>
      <c r="H178" s="160">
        <v>0.0</v>
      </c>
      <c r="I178" s="160">
        <v>0.0</v>
      </c>
      <c r="J178" s="160">
        <v>0.0</v>
      </c>
      <c r="K178" s="160">
        <v>0.0</v>
      </c>
      <c r="L178" s="160">
        <v>41.0</v>
      </c>
      <c r="M178" s="160">
        <v>0.0</v>
      </c>
      <c r="N178" s="160">
        <v>1.0</v>
      </c>
      <c r="O178" s="160">
        <v>42.0</v>
      </c>
      <c r="P178" s="160">
        <v>42.0</v>
      </c>
      <c r="Q178" s="160">
        <v>0.0</v>
      </c>
      <c r="R178" s="160">
        <v>0.0</v>
      </c>
      <c r="S178" s="160">
        <v>0.0</v>
      </c>
      <c r="T178" s="160">
        <v>0.0</v>
      </c>
      <c r="U178" s="160">
        <v>0.0</v>
      </c>
      <c r="V178" s="160">
        <v>0.0</v>
      </c>
      <c r="W178" s="160">
        <v>0.0</v>
      </c>
      <c r="X178" s="160">
        <v>0.0</v>
      </c>
      <c r="Y178" s="160">
        <v>123.0</v>
      </c>
      <c r="Z178" s="160">
        <v>0.0</v>
      </c>
      <c r="AA178" s="160">
        <v>0.0</v>
      </c>
      <c r="AB178" s="160">
        <v>0.0</v>
      </c>
      <c r="AC178" s="160">
        <v>0.0</v>
      </c>
      <c r="AD178" s="160">
        <v>0.0</v>
      </c>
      <c r="AE178" s="160">
        <v>0.0</v>
      </c>
      <c r="AF178" s="160">
        <v>0.0</v>
      </c>
      <c r="AG178" s="160">
        <v>0.0</v>
      </c>
      <c r="AH178" s="160">
        <v>0.0</v>
      </c>
      <c r="AI178" s="160">
        <v>0.0</v>
      </c>
      <c r="AJ178" s="160">
        <v>0.0</v>
      </c>
      <c r="AK178" s="160">
        <v>37740.0</v>
      </c>
      <c r="AL178" s="160">
        <v>0.0</v>
      </c>
      <c r="AM178" s="160">
        <v>0.0</v>
      </c>
      <c r="AN178" s="160">
        <v>0.0</v>
      </c>
      <c r="AO178" s="160">
        <v>0.0</v>
      </c>
      <c r="AP178" s="160">
        <v>0.0</v>
      </c>
      <c r="AQ178" s="160">
        <v>0.0</v>
      </c>
      <c r="AR178" s="160">
        <v>0.0</v>
      </c>
      <c r="AS178" s="160">
        <v>0.0</v>
      </c>
      <c r="AT178" s="160">
        <v>0.0</v>
      </c>
      <c r="AU178" s="160">
        <v>0.0</v>
      </c>
      <c r="AV178" s="160">
        <v>0.0</v>
      </c>
      <c r="AW178" s="160">
        <v>0.0</v>
      </c>
      <c r="AX178" s="160">
        <v>42.0</v>
      </c>
      <c r="AY178" s="285">
        <v>45919.0</v>
      </c>
      <c r="AZ178" s="285"/>
    </row>
    <row r="179">
      <c r="A179" s="157" t="s">
        <v>97</v>
      </c>
      <c r="B179" s="157" t="s">
        <v>101</v>
      </c>
      <c r="C179" s="157" t="s">
        <v>342</v>
      </c>
      <c r="D179" s="157" t="s">
        <v>1062</v>
      </c>
      <c r="E179" s="157" t="s">
        <v>343</v>
      </c>
      <c r="F179" s="338">
        <v>45751.0</v>
      </c>
      <c r="G179" s="157" t="s">
        <v>97</v>
      </c>
      <c r="H179" s="160">
        <v>0.0</v>
      </c>
      <c r="I179" s="160">
        <v>0.0</v>
      </c>
      <c r="J179" s="160">
        <v>0.0</v>
      </c>
      <c r="K179" s="160">
        <v>0.0</v>
      </c>
      <c r="L179" s="160">
        <v>231.0</v>
      </c>
      <c r="M179" s="160">
        <v>0.0</v>
      </c>
      <c r="N179" s="160">
        <v>0.0</v>
      </c>
      <c r="O179" s="160">
        <v>231.0</v>
      </c>
      <c r="P179" s="160">
        <v>231.0</v>
      </c>
      <c r="Q179" s="160">
        <v>0.0</v>
      </c>
      <c r="R179" s="160">
        <v>0.0</v>
      </c>
      <c r="S179" s="160">
        <v>0.0</v>
      </c>
      <c r="T179" s="160">
        <v>0.0</v>
      </c>
      <c r="U179" s="160">
        <v>0.0</v>
      </c>
      <c r="V179" s="160">
        <v>0.0</v>
      </c>
      <c r="W179" s="160">
        <v>0.0</v>
      </c>
      <c r="X179" s="160">
        <v>0.0</v>
      </c>
      <c r="Y179" s="160">
        <v>72.0</v>
      </c>
      <c r="Z179" s="160">
        <v>0.0</v>
      </c>
      <c r="AA179" s="160">
        <v>0.0</v>
      </c>
      <c r="AB179" s="160">
        <v>0.0</v>
      </c>
      <c r="AC179" s="160">
        <v>0.0</v>
      </c>
      <c r="AD179" s="160">
        <v>0.0</v>
      </c>
      <c r="AE179" s="160">
        <v>0.0</v>
      </c>
      <c r="AF179" s="160">
        <v>0.0</v>
      </c>
      <c r="AG179" s="160">
        <v>0.0</v>
      </c>
      <c r="AH179" s="160">
        <v>0.0</v>
      </c>
      <c r="AI179" s="160">
        <v>0.0</v>
      </c>
      <c r="AJ179" s="160">
        <v>0.0</v>
      </c>
      <c r="AK179" s="160">
        <v>37760.0</v>
      </c>
      <c r="AL179" s="160">
        <v>0.0</v>
      </c>
      <c r="AM179" s="160">
        <v>0.0</v>
      </c>
      <c r="AN179" s="160">
        <v>0.0</v>
      </c>
      <c r="AO179" s="160">
        <v>0.0</v>
      </c>
      <c r="AP179" s="160">
        <v>0.0</v>
      </c>
      <c r="AQ179" s="160">
        <v>0.0</v>
      </c>
      <c r="AR179" s="160">
        <v>0.0</v>
      </c>
      <c r="AS179" s="160">
        <v>0.0</v>
      </c>
      <c r="AT179" s="160">
        <v>0.0</v>
      </c>
      <c r="AU179" s="160">
        <v>0.0</v>
      </c>
      <c r="AV179" s="160">
        <v>0.0</v>
      </c>
      <c r="AW179" s="160">
        <v>0.0</v>
      </c>
      <c r="AX179" s="160">
        <v>231.0</v>
      </c>
      <c r="AY179" s="285">
        <v>45881.0</v>
      </c>
      <c r="AZ179" s="285"/>
    </row>
    <row r="180">
      <c r="A180" s="157" t="s">
        <v>53</v>
      </c>
      <c r="B180" s="157" t="s">
        <v>56</v>
      </c>
      <c r="C180" s="157" t="s">
        <v>870</v>
      </c>
      <c r="D180" s="157" t="s">
        <v>1092</v>
      </c>
      <c r="E180" s="157" t="s">
        <v>71</v>
      </c>
      <c r="F180" s="285">
        <v>45761.0</v>
      </c>
      <c r="G180" s="157" t="s">
        <v>754</v>
      </c>
      <c r="H180" s="160">
        <v>0.0</v>
      </c>
      <c r="I180" s="160">
        <v>0.0</v>
      </c>
      <c r="J180" s="160">
        <v>0.0</v>
      </c>
      <c r="K180" s="160">
        <v>0.0</v>
      </c>
      <c r="L180" s="160">
        <v>9.0</v>
      </c>
      <c r="M180" s="160">
        <v>0.0</v>
      </c>
      <c r="N180" s="160">
        <v>0.0</v>
      </c>
      <c r="O180" s="160">
        <v>9.0</v>
      </c>
      <c r="P180" s="160">
        <v>9.0</v>
      </c>
      <c r="Q180" s="160">
        <v>0.0</v>
      </c>
      <c r="R180" s="160">
        <v>0.0</v>
      </c>
      <c r="S180" s="160">
        <v>0.0</v>
      </c>
      <c r="T180" s="160">
        <v>0.0</v>
      </c>
      <c r="U180" s="160">
        <v>0.0</v>
      </c>
      <c r="V180" s="160">
        <v>0.0</v>
      </c>
      <c r="W180" s="160">
        <v>0.0</v>
      </c>
      <c r="X180" s="160">
        <v>0.0</v>
      </c>
      <c r="Y180" s="160">
        <v>8.0</v>
      </c>
      <c r="Z180" s="160">
        <v>0.0</v>
      </c>
      <c r="AA180" s="160">
        <v>0.0</v>
      </c>
      <c r="AB180" s="160">
        <v>0.0</v>
      </c>
      <c r="AC180" s="160">
        <v>0.0</v>
      </c>
      <c r="AD180" s="160">
        <v>0.0</v>
      </c>
      <c r="AE180" s="160">
        <v>0.0</v>
      </c>
      <c r="AF180" s="160">
        <v>0.0</v>
      </c>
      <c r="AG180" s="160">
        <v>0.0</v>
      </c>
      <c r="AH180" s="160">
        <v>0.0</v>
      </c>
      <c r="AI180" s="160">
        <v>0.0</v>
      </c>
      <c r="AJ180" s="160">
        <v>0.0</v>
      </c>
      <c r="AK180" s="160">
        <v>65000.0</v>
      </c>
      <c r="AL180" s="160">
        <v>0.0</v>
      </c>
      <c r="AM180" s="160">
        <v>0.0</v>
      </c>
      <c r="AN180" s="160">
        <v>0.0</v>
      </c>
      <c r="AO180" s="160">
        <v>0.0</v>
      </c>
      <c r="AP180" s="160">
        <v>0.0</v>
      </c>
      <c r="AQ180" s="160">
        <v>0.0</v>
      </c>
      <c r="AR180" s="160">
        <v>0.0</v>
      </c>
      <c r="AS180" s="160">
        <v>0.0</v>
      </c>
      <c r="AT180" s="160">
        <v>0.0</v>
      </c>
      <c r="AU180" s="160">
        <v>0.0</v>
      </c>
      <c r="AV180" s="160">
        <v>0.0</v>
      </c>
      <c r="AW180" s="160">
        <v>0.0</v>
      </c>
      <c r="AX180" s="160">
        <v>9.0</v>
      </c>
      <c r="AY180" s="285">
        <v>45771.0</v>
      </c>
      <c r="AZ180" s="285"/>
    </row>
    <row r="181">
      <c r="A181" s="157" t="s">
        <v>47</v>
      </c>
      <c r="B181" s="157" t="s">
        <v>422</v>
      </c>
      <c r="C181" s="157" t="s">
        <v>871</v>
      </c>
      <c r="D181" s="157" t="s">
        <v>1094</v>
      </c>
      <c r="E181" s="157" t="s">
        <v>421</v>
      </c>
      <c r="F181" s="285">
        <v>45761.0</v>
      </c>
      <c r="G181" s="157" t="s">
        <v>866</v>
      </c>
      <c r="H181" s="160">
        <v>0.0</v>
      </c>
      <c r="I181" s="160">
        <v>666667.0</v>
      </c>
      <c r="J181" s="160">
        <v>43858.62</v>
      </c>
      <c r="K181" s="160">
        <v>0.0</v>
      </c>
      <c r="L181" s="160">
        <v>60.0</v>
      </c>
      <c r="M181" s="160">
        <v>5.0</v>
      </c>
      <c r="N181" s="160">
        <v>0.0</v>
      </c>
      <c r="O181" s="160">
        <v>60.0</v>
      </c>
      <c r="P181" s="160">
        <v>55.0</v>
      </c>
      <c r="Q181" s="160">
        <v>43858.62</v>
      </c>
      <c r="R181" s="160">
        <v>0.0</v>
      </c>
      <c r="S181" s="160">
        <v>3.0</v>
      </c>
      <c r="T181" s="160">
        <v>0.0</v>
      </c>
      <c r="U181" s="160">
        <v>3.0</v>
      </c>
      <c r="V181" s="160">
        <v>0.0</v>
      </c>
      <c r="W181" s="160">
        <v>12.0</v>
      </c>
      <c r="X181" s="160">
        <v>12.0</v>
      </c>
      <c r="Y181" s="160">
        <v>245.0</v>
      </c>
      <c r="Z181" s="160">
        <v>0.0</v>
      </c>
      <c r="AA181" s="160">
        <v>0.0</v>
      </c>
      <c r="AB181" s="160">
        <v>0.0</v>
      </c>
      <c r="AC181" s="160">
        <v>0.0</v>
      </c>
      <c r="AD181" s="160">
        <v>0.0</v>
      </c>
      <c r="AE181" s="160">
        <v>0.0</v>
      </c>
      <c r="AF181" s="160">
        <v>5.0</v>
      </c>
      <c r="AG181" s="160">
        <v>17.0</v>
      </c>
      <c r="AH181" s="160">
        <v>4.0</v>
      </c>
      <c r="AI181" s="160">
        <v>10965.0</v>
      </c>
      <c r="AJ181" s="160">
        <v>4.0</v>
      </c>
      <c r="AK181" s="160">
        <v>24120.0</v>
      </c>
      <c r="AL181" s="160">
        <v>0.0</v>
      </c>
      <c r="AM181" s="160">
        <v>0.5499</v>
      </c>
      <c r="AN181" s="160">
        <v>14620.0</v>
      </c>
      <c r="AO181" s="160">
        <v>0.07</v>
      </c>
      <c r="AP181" s="160">
        <v>0.0</v>
      </c>
      <c r="AQ181" s="160">
        <v>3.0</v>
      </c>
      <c r="AR181" s="160">
        <v>38.0</v>
      </c>
      <c r="AS181" s="160">
        <v>106.95</v>
      </c>
      <c r="AT181" s="160">
        <v>0.0</v>
      </c>
      <c r="AU181" s="160">
        <v>21.0</v>
      </c>
      <c r="AV181" s="160">
        <v>3.0</v>
      </c>
      <c r="AW181" s="160">
        <v>5.0</v>
      </c>
      <c r="AX181" s="160">
        <v>52.0</v>
      </c>
      <c r="AY181" s="338">
        <v>45938.0</v>
      </c>
      <c r="AZ181" s="338"/>
    </row>
    <row r="182">
      <c r="A182" s="157" t="s">
        <v>73</v>
      </c>
      <c r="B182" s="157" t="s">
        <v>1229</v>
      </c>
      <c r="C182" s="157" t="s">
        <v>360</v>
      </c>
      <c r="D182" s="157" t="s">
        <v>76</v>
      </c>
      <c r="E182" s="157" t="s">
        <v>82</v>
      </c>
      <c r="F182" s="285">
        <v>45765.0</v>
      </c>
      <c r="G182" s="157" t="s">
        <v>73</v>
      </c>
      <c r="H182" s="160">
        <v>166667.0</v>
      </c>
      <c r="I182" s="160">
        <v>1000000.0</v>
      </c>
      <c r="J182" s="160">
        <v>429606.5</v>
      </c>
      <c r="K182" s="160">
        <v>123831.26</v>
      </c>
      <c r="L182" s="160">
        <v>20.0</v>
      </c>
      <c r="M182" s="160">
        <v>4.0</v>
      </c>
      <c r="N182" s="160">
        <v>1.0</v>
      </c>
      <c r="O182" s="160">
        <v>21.0</v>
      </c>
      <c r="P182" s="160">
        <v>17.0</v>
      </c>
      <c r="Q182" s="160">
        <v>373418.5</v>
      </c>
      <c r="R182" s="160">
        <v>56188.0</v>
      </c>
      <c r="S182" s="160">
        <v>8.0</v>
      </c>
      <c r="T182" s="160">
        <v>1.0</v>
      </c>
      <c r="U182" s="160">
        <v>9.0</v>
      </c>
      <c r="V182" s="160">
        <v>1.0</v>
      </c>
      <c r="W182" s="160">
        <v>16.0</v>
      </c>
      <c r="X182" s="160">
        <v>20.0</v>
      </c>
      <c r="Y182" s="160">
        <v>100.0</v>
      </c>
      <c r="Z182" s="160">
        <v>3.0</v>
      </c>
      <c r="AA182" s="160">
        <v>8.0</v>
      </c>
      <c r="AB182" s="160">
        <v>3.0</v>
      </c>
      <c r="AC182" s="160">
        <v>5.0</v>
      </c>
      <c r="AD182" s="160">
        <v>1.0</v>
      </c>
      <c r="AE182" s="160">
        <v>2.0</v>
      </c>
      <c r="AF182" s="160">
        <v>6.0</v>
      </c>
      <c r="AG182" s="160">
        <v>41.0</v>
      </c>
      <c r="AH182" s="160">
        <v>10.0</v>
      </c>
      <c r="AI182" s="160">
        <v>42961.0</v>
      </c>
      <c r="AJ182" s="160">
        <v>4.0</v>
      </c>
      <c r="AK182" s="160">
        <v>25700.0</v>
      </c>
      <c r="AL182" s="160">
        <v>0.0</v>
      </c>
      <c r="AM182" s="160">
        <v>1.0E-4</v>
      </c>
      <c r="AN182" s="160">
        <v>47734.0</v>
      </c>
      <c r="AO182" s="160">
        <v>0.43</v>
      </c>
      <c r="AP182" s="160">
        <v>0.74</v>
      </c>
      <c r="AQ182" s="160">
        <v>12.0</v>
      </c>
      <c r="AR182" s="160">
        <v>88.0</v>
      </c>
      <c r="AS182" s="160">
        <v>570.13</v>
      </c>
      <c r="AT182" s="160">
        <v>1.0</v>
      </c>
      <c r="AU182" s="160">
        <v>143.0</v>
      </c>
      <c r="AV182" s="160">
        <v>9.0</v>
      </c>
      <c r="AW182" s="160">
        <v>1.0</v>
      </c>
      <c r="AX182" s="160">
        <v>11.0</v>
      </c>
      <c r="AY182" s="285">
        <v>45944.0</v>
      </c>
      <c r="AZ182" s="285"/>
    </row>
    <row r="183">
      <c r="A183" s="157" t="s">
        <v>185</v>
      </c>
      <c r="B183" s="157" t="s">
        <v>189</v>
      </c>
      <c r="C183" s="157" t="s">
        <v>283</v>
      </c>
      <c r="D183" s="157" t="s">
        <v>1016</v>
      </c>
      <c r="E183" s="157" t="s">
        <v>1117</v>
      </c>
      <c r="F183" s="342">
        <v>45784.0</v>
      </c>
      <c r="G183" s="157" t="s">
        <v>203</v>
      </c>
      <c r="H183" s="160">
        <v>0.0</v>
      </c>
      <c r="I183" s="160">
        <v>7500000.0</v>
      </c>
      <c r="J183" s="160">
        <v>7038967.18</v>
      </c>
      <c r="K183" s="160">
        <v>0.0</v>
      </c>
      <c r="L183" s="160">
        <v>47.0</v>
      </c>
      <c r="M183" s="160">
        <v>48.0</v>
      </c>
      <c r="N183" s="160">
        <v>4.0</v>
      </c>
      <c r="O183" s="160">
        <v>51.0</v>
      </c>
      <c r="P183" s="160">
        <v>3.0</v>
      </c>
      <c r="Q183" s="160">
        <v>6904031.24</v>
      </c>
      <c r="R183" s="160">
        <v>134935.94</v>
      </c>
      <c r="S183" s="160">
        <v>30.0</v>
      </c>
      <c r="T183" s="160">
        <v>4.0</v>
      </c>
      <c r="U183" s="160">
        <v>34.0</v>
      </c>
      <c r="V183" s="160">
        <v>0.0</v>
      </c>
      <c r="W183" s="160">
        <v>10.0</v>
      </c>
      <c r="X183" s="160">
        <v>23.0</v>
      </c>
      <c r="Y183" s="160">
        <v>20.0</v>
      </c>
      <c r="Z183" s="160">
        <v>1.0</v>
      </c>
      <c r="AA183" s="160">
        <v>4.0</v>
      </c>
      <c r="AB183" s="160">
        <v>0.0</v>
      </c>
      <c r="AC183" s="160">
        <v>0.0</v>
      </c>
      <c r="AD183" s="160">
        <v>0.0</v>
      </c>
      <c r="AE183" s="160">
        <v>0.0</v>
      </c>
      <c r="AF183" s="160">
        <v>378.0</v>
      </c>
      <c r="AG183" s="160">
        <v>405.0</v>
      </c>
      <c r="AH183" s="160">
        <v>69.0</v>
      </c>
      <c r="AI183" s="160">
        <v>102014.0</v>
      </c>
      <c r="AJ183" s="160">
        <v>6.0</v>
      </c>
      <c r="AK183" s="160">
        <v>25985.0</v>
      </c>
      <c r="AL183" s="160">
        <v>0.0</v>
      </c>
      <c r="AM183" s="160">
        <v>0.0037</v>
      </c>
      <c r="AN183" s="160">
        <v>207028.0</v>
      </c>
      <c r="AO183" s="160">
        <v>0.94</v>
      </c>
      <c r="AP183" s="160">
        <v>0.0</v>
      </c>
      <c r="AQ183" s="160">
        <v>143.0</v>
      </c>
      <c r="AR183" s="160">
        <v>688.0</v>
      </c>
      <c r="AS183" s="160">
        <v>5568.03</v>
      </c>
      <c r="AT183" s="160">
        <v>4.0</v>
      </c>
      <c r="AU183" s="160">
        <v>116.0</v>
      </c>
      <c r="AV183" s="160">
        <v>34.0</v>
      </c>
      <c r="AW183" s="160">
        <v>14.0</v>
      </c>
      <c r="AX183" s="160">
        <v>3.0</v>
      </c>
      <c r="AY183" s="537"/>
      <c r="AZ183" s="537"/>
    </row>
    <row r="184">
      <c r="A184" s="157" t="s">
        <v>47</v>
      </c>
      <c r="B184" s="157" t="s">
        <v>50</v>
      </c>
      <c r="C184" s="157" t="s">
        <v>872</v>
      </c>
      <c r="D184" s="157" t="s">
        <v>1085</v>
      </c>
      <c r="E184" s="157" t="s">
        <v>1115</v>
      </c>
      <c r="F184" s="342">
        <v>45782.0</v>
      </c>
      <c r="G184" s="157" t="s">
        <v>47</v>
      </c>
      <c r="H184" s="160">
        <v>0.0</v>
      </c>
      <c r="I184" s="160">
        <v>0.0</v>
      </c>
      <c r="J184" s="160">
        <v>0.0</v>
      </c>
      <c r="K184" s="160">
        <v>0.0</v>
      </c>
      <c r="L184" s="160">
        <v>3.0</v>
      </c>
      <c r="M184" s="160">
        <v>3.0</v>
      </c>
      <c r="N184" s="160">
        <v>0.0</v>
      </c>
      <c r="O184" s="160">
        <v>3.0</v>
      </c>
      <c r="P184" s="160">
        <v>0.0</v>
      </c>
      <c r="Q184" s="160">
        <v>0.0</v>
      </c>
      <c r="R184" s="160">
        <v>0.0</v>
      </c>
      <c r="S184" s="160">
        <v>0.0</v>
      </c>
      <c r="T184" s="160">
        <v>0.0</v>
      </c>
      <c r="U184" s="160">
        <v>0.0</v>
      </c>
      <c r="V184" s="160">
        <v>0.0</v>
      </c>
      <c r="W184" s="160">
        <v>7.0</v>
      </c>
      <c r="X184" s="160">
        <v>11.0</v>
      </c>
      <c r="Y184" s="160">
        <v>6.0</v>
      </c>
      <c r="Z184" s="160">
        <v>3.0</v>
      </c>
      <c r="AA184" s="160">
        <v>21.0</v>
      </c>
      <c r="AB184" s="160">
        <v>0.0</v>
      </c>
      <c r="AC184" s="160">
        <v>0.0</v>
      </c>
      <c r="AD184" s="160">
        <v>88.0</v>
      </c>
      <c r="AE184" s="160">
        <v>222.0</v>
      </c>
      <c r="AF184" s="160">
        <v>5.0</v>
      </c>
      <c r="AG184" s="160">
        <v>259.0</v>
      </c>
      <c r="AH184" s="160">
        <v>70.0</v>
      </c>
      <c r="AI184" s="160">
        <v>0.0</v>
      </c>
      <c r="AJ184" s="160">
        <v>4.0</v>
      </c>
      <c r="AK184" s="160">
        <v>64585.0</v>
      </c>
      <c r="AL184" s="160">
        <v>0.0</v>
      </c>
      <c r="AM184" s="160">
        <v>0.0</v>
      </c>
      <c r="AN184" s="160">
        <v>0.0</v>
      </c>
      <c r="AO184" s="160">
        <v>0.0</v>
      </c>
      <c r="AP184" s="160">
        <v>0.0</v>
      </c>
      <c r="AQ184" s="160">
        <v>0.0</v>
      </c>
      <c r="AR184" s="160">
        <v>755.0</v>
      </c>
      <c r="AS184" s="160">
        <v>10463.3</v>
      </c>
      <c r="AT184" s="160">
        <v>0.0</v>
      </c>
      <c r="AU184" s="160">
        <v>3488.0</v>
      </c>
      <c r="AV184" s="160">
        <v>0.0</v>
      </c>
      <c r="AW184" s="160">
        <v>3.0</v>
      </c>
      <c r="AX184" s="160">
        <v>0.0</v>
      </c>
      <c r="AY184" s="537"/>
      <c r="AZ184" s="537"/>
    </row>
    <row r="185">
      <c r="A185" s="157" t="s">
        <v>97</v>
      </c>
      <c r="B185" s="157" t="s">
        <v>101</v>
      </c>
      <c r="C185" s="157" t="s">
        <v>106</v>
      </c>
      <c r="D185" s="157" t="s">
        <v>1062</v>
      </c>
      <c r="E185" s="157" t="s">
        <v>107</v>
      </c>
      <c r="F185" s="349">
        <v>45793.0</v>
      </c>
      <c r="G185" s="157" t="s">
        <v>876</v>
      </c>
      <c r="H185" s="160">
        <v>0.0</v>
      </c>
      <c r="I185" s="160">
        <v>4000000.0</v>
      </c>
      <c r="J185" s="160">
        <v>2878869.6</v>
      </c>
      <c r="K185" s="160">
        <v>0.0</v>
      </c>
      <c r="L185" s="160">
        <v>79.0</v>
      </c>
      <c r="M185" s="160">
        <v>68.0</v>
      </c>
      <c r="N185" s="160">
        <v>6.0</v>
      </c>
      <c r="O185" s="160">
        <v>85.0</v>
      </c>
      <c r="P185" s="160">
        <v>17.0</v>
      </c>
      <c r="Q185" s="160">
        <v>2643981.6</v>
      </c>
      <c r="R185" s="160">
        <v>234888.0</v>
      </c>
      <c r="S185" s="160">
        <v>45.0</v>
      </c>
      <c r="T185" s="160">
        <v>6.0</v>
      </c>
      <c r="U185" s="160">
        <v>51.0</v>
      </c>
      <c r="V185" s="160">
        <v>0.0</v>
      </c>
      <c r="W185" s="160">
        <v>5.0</v>
      </c>
      <c r="X185" s="160">
        <v>9.0</v>
      </c>
      <c r="Y185" s="160">
        <v>0.0</v>
      </c>
      <c r="Z185" s="160">
        <v>1.0</v>
      </c>
      <c r="AA185" s="160">
        <v>9.0</v>
      </c>
      <c r="AB185" s="160">
        <v>0.0</v>
      </c>
      <c r="AC185" s="160">
        <v>0.0</v>
      </c>
      <c r="AD185" s="160">
        <v>0.0</v>
      </c>
      <c r="AE185" s="160">
        <v>0.0</v>
      </c>
      <c r="AF185" s="160">
        <v>428.0</v>
      </c>
      <c r="AG185" s="160">
        <v>446.0</v>
      </c>
      <c r="AH185" s="160">
        <v>74.0</v>
      </c>
      <c r="AI185" s="160">
        <v>38904.0</v>
      </c>
      <c r="AJ185" s="160">
        <v>6.0</v>
      </c>
      <c r="AK185" s="160">
        <v>27000.0</v>
      </c>
      <c r="AL185" s="160">
        <v>0.0</v>
      </c>
      <c r="AM185" s="160">
        <v>0.0094</v>
      </c>
      <c r="AN185" s="160">
        <v>56448.0</v>
      </c>
      <c r="AO185" s="160">
        <v>0.72</v>
      </c>
      <c r="AP185" s="160">
        <v>0.0</v>
      </c>
      <c r="AQ185" s="160">
        <v>114.0</v>
      </c>
      <c r="AR185" s="160">
        <v>742.0</v>
      </c>
      <c r="AS185" s="160">
        <v>3487.49</v>
      </c>
      <c r="AT185" s="160">
        <v>6.0</v>
      </c>
      <c r="AU185" s="160">
        <v>51.0</v>
      </c>
      <c r="AV185" s="160">
        <v>51.0</v>
      </c>
      <c r="AW185" s="160">
        <v>18.0</v>
      </c>
      <c r="AX185" s="160">
        <v>16.0</v>
      </c>
      <c r="AY185" s="537"/>
      <c r="AZ185" s="537"/>
    </row>
    <row r="186">
      <c r="A186" s="157" t="s">
        <v>185</v>
      </c>
      <c r="B186" s="157" t="s">
        <v>212</v>
      </c>
      <c r="C186" s="157" t="s">
        <v>784</v>
      </c>
      <c r="D186" s="157" t="s">
        <v>1031</v>
      </c>
      <c r="E186" s="157" t="s">
        <v>219</v>
      </c>
      <c r="F186" s="349">
        <v>45797.0</v>
      </c>
      <c r="G186" s="157" t="s">
        <v>185</v>
      </c>
      <c r="H186" s="160">
        <v>0.0</v>
      </c>
      <c r="I186" s="160">
        <v>0.0</v>
      </c>
      <c r="J186" s="160">
        <v>0.0</v>
      </c>
      <c r="K186" s="160">
        <v>0.0</v>
      </c>
      <c r="L186" s="160">
        <v>57.0</v>
      </c>
      <c r="M186" s="160">
        <v>0.0</v>
      </c>
      <c r="N186" s="160">
        <v>1.0</v>
      </c>
      <c r="O186" s="160">
        <v>58.0</v>
      </c>
      <c r="P186" s="160">
        <v>58.0</v>
      </c>
      <c r="Q186" s="160">
        <v>0.0</v>
      </c>
      <c r="R186" s="160">
        <v>0.0</v>
      </c>
      <c r="S186" s="160">
        <v>0.0</v>
      </c>
      <c r="T186" s="160">
        <v>0.0</v>
      </c>
      <c r="U186" s="160">
        <v>0.0</v>
      </c>
      <c r="V186" s="160">
        <v>0.0</v>
      </c>
      <c r="W186" s="160">
        <v>0.0</v>
      </c>
      <c r="X186" s="160">
        <v>0.0</v>
      </c>
      <c r="Y186" s="160">
        <v>18.0</v>
      </c>
      <c r="Z186" s="160">
        <v>0.0</v>
      </c>
      <c r="AA186" s="160">
        <v>0.0</v>
      </c>
      <c r="AB186" s="160">
        <v>0.0</v>
      </c>
      <c r="AC186" s="160">
        <v>0.0</v>
      </c>
      <c r="AD186" s="160">
        <v>0.0</v>
      </c>
      <c r="AE186" s="160">
        <v>0.0</v>
      </c>
      <c r="AF186" s="160">
        <v>0.0</v>
      </c>
      <c r="AG186" s="160">
        <v>0.0</v>
      </c>
      <c r="AH186" s="160">
        <v>0.0</v>
      </c>
      <c r="AI186" s="160">
        <v>0.0</v>
      </c>
      <c r="AJ186" s="160">
        <v>0.0</v>
      </c>
      <c r="AK186" s="160">
        <v>119300.0</v>
      </c>
      <c r="AL186" s="160">
        <v>0.0</v>
      </c>
      <c r="AM186" s="160">
        <v>0.0</v>
      </c>
      <c r="AN186" s="160">
        <v>0.0</v>
      </c>
      <c r="AO186" s="160">
        <v>0.0</v>
      </c>
      <c r="AP186" s="160">
        <v>0.0</v>
      </c>
      <c r="AQ186" s="160">
        <v>0.0</v>
      </c>
      <c r="AR186" s="160">
        <v>0.0</v>
      </c>
      <c r="AS186" s="160">
        <v>0.0</v>
      </c>
      <c r="AT186" s="160">
        <v>0.0</v>
      </c>
      <c r="AU186" s="160">
        <v>0.0</v>
      </c>
      <c r="AV186" s="160">
        <v>0.0</v>
      </c>
      <c r="AW186" s="160">
        <v>0.0</v>
      </c>
      <c r="AX186" s="160">
        <v>58.0</v>
      </c>
      <c r="AY186" s="285">
        <v>45899.0</v>
      </c>
      <c r="AZ186" s="285"/>
    </row>
    <row r="187">
      <c r="A187" s="157" t="s">
        <v>185</v>
      </c>
      <c r="B187" s="157" t="s">
        <v>189</v>
      </c>
      <c r="C187" s="157" t="s">
        <v>874</v>
      </c>
      <c r="D187" s="157" t="s">
        <v>1016</v>
      </c>
      <c r="E187" s="157" t="s">
        <v>1118</v>
      </c>
      <c r="F187" s="349">
        <v>45796.0</v>
      </c>
      <c r="G187" s="157" t="s">
        <v>185</v>
      </c>
      <c r="H187" s="160">
        <v>0.0</v>
      </c>
      <c r="I187" s="160">
        <v>0.0</v>
      </c>
      <c r="J187" s="160">
        <v>0.0</v>
      </c>
      <c r="K187" s="160">
        <v>0.0</v>
      </c>
      <c r="L187" s="160">
        <v>0.0</v>
      </c>
      <c r="M187" s="160">
        <v>0.0</v>
      </c>
      <c r="N187" s="160">
        <v>0.0</v>
      </c>
      <c r="O187" s="160">
        <v>0.0</v>
      </c>
      <c r="P187" s="160">
        <v>0.0</v>
      </c>
      <c r="Q187" s="160">
        <v>0.0</v>
      </c>
      <c r="R187" s="160">
        <v>0.0</v>
      </c>
      <c r="S187" s="160">
        <v>0.0</v>
      </c>
      <c r="T187" s="160">
        <v>0.0</v>
      </c>
      <c r="U187" s="160">
        <v>0.0</v>
      </c>
      <c r="V187" s="160">
        <v>0.0</v>
      </c>
      <c r="W187" s="160">
        <v>0.0</v>
      </c>
      <c r="X187" s="160">
        <v>0.0</v>
      </c>
      <c r="Y187" s="160">
        <v>0.0</v>
      </c>
      <c r="Z187" s="160">
        <v>0.0</v>
      </c>
      <c r="AA187" s="160">
        <v>0.0</v>
      </c>
      <c r="AB187" s="160">
        <v>0.0</v>
      </c>
      <c r="AC187" s="160">
        <v>0.0</v>
      </c>
      <c r="AD187" s="160">
        <v>0.0</v>
      </c>
      <c r="AE187" s="160">
        <v>0.0</v>
      </c>
      <c r="AF187" s="160">
        <v>0.0</v>
      </c>
      <c r="AG187" s="160">
        <v>0.0</v>
      </c>
      <c r="AH187" s="160">
        <v>0.0</v>
      </c>
      <c r="AI187" s="160">
        <v>0.0</v>
      </c>
      <c r="AJ187" s="160">
        <v>0.0</v>
      </c>
      <c r="AK187" s="160">
        <v>22000.0</v>
      </c>
      <c r="AL187" s="160">
        <v>0.0</v>
      </c>
      <c r="AM187" s="160">
        <v>0.0</v>
      </c>
      <c r="AN187" s="160">
        <v>0.0</v>
      </c>
      <c r="AO187" s="160">
        <v>0.0</v>
      </c>
      <c r="AP187" s="160">
        <v>0.0</v>
      </c>
      <c r="AQ187" s="160">
        <v>0.0</v>
      </c>
      <c r="AR187" s="160">
        <v>0.0</v>
      </c>
      <c r="AS187" s="160">
        <v>0.0</v>
      </c>
      <c r="AT187" s="160">
        <v>0.0</v>
      </c>
      <c r="AU187" s="160">
        <v>0.0</v>
      </c>
      <c r="AV187" s="160">
        <v>0.0</v>
      </c>
      <c r="AW187" s="160">
        <v>0.0</v>
      </c>
      <c r="AX187" s="160">
        <v>0.0</v>
      </c>
      <c r="AY187" s="349">
        <v>45804.0</v>
      </c>
      <c r="AZ187" s="349"/>
    </row>
    <row r="188">
      <c r="A188" s="157" t="s">
        <v>126</v>
      </c>
      <c r="B188" s="157" t="s">
        <v>130</v>
      </c>
      <c r="C188" s="157" t="s">
        <v>447</v>
      </c>
      <c r="D188" s="157" t="s">
        <v>130</v>
      </c>
      <c r="E188" s="157" t="s">
        <v>448</v>
      </c>
      <c r="F188" s="349">
        <v>45797.0</v>
      </c>
      <c r="G188" s="157" t="s">
        <v>131</v>
      </c>
      <c r="H188" s="160">
        <v>0.0</v>
      </c>
      <c r="I188" s="160">
        <v>3600000.0</v>
      </c>
      <c r="J188" s="160">
        <v>555275.62</v>
      </c>
      <c r="K188" s="160">
        <v>0.0</v>
      </c>
      <c r="L188" s="160">
        <v>46.0</v>
      </c>
      <c r="M188" s="160">
        <v>48.0</v>
      </c>
      <c r="N188" s="160">
        <v>8.0</v>
      </c>
      <c r="O188" s="160">
        <v>54.0</v>
      </c>
      <c r="P188" s="160">
        <v>6.0</v>
      </c>
      <c r="Q188" s="160">
        <v>271645.22</v>
      </c>
      <c r="R188" s="160">
        <v>283630.4</v>
      </c>
      <c r="S188" s="160">
        <v>5.0</v>
      </c>
      <c r="T188" s="160">
        <v>8.0</v>
      </c>
      <c r="U188" s="160">
        <v>13.0</v>
      </c>
      <c r="V188" s="160">
        <v>0.0</v>
      </c>
      <c r="W188" s="160">
        <v>152.0</v>
      </c>
      <c r="X188" s="160">
        <v>311.0</v>
      </c>
      <c r="Y188" s="160">
        <v>74.0</v>
      </c>
      <c r="Z188" s="160">
        <v>1.0</v>
      </c>
      <c r="AA188" s="160">
        <v>11.0</v>
      </c>
      <c r="AB188" s="160">
        <v>0.0</v>
      </c>
      <c r="AC188" s="160">
        <v>0.0</v>
      </c>
      <c r="AD188" s="160">
        <v>0.0</v>
      </c>
      <c r="AE188" s="160">
        <v>0.0</v>
      </c>
      <c r="AF188" s="160">
        <v>193.0</v>
      </c>
      <c r="AG188" s="160">
        <v>515.0</v>
      </c>
      <c r="AH188" s="160">
        <v>73.0</v>
      </c>
      <c r="AI188" s="160">
        <v>7607.0</v>
      </c>
      <c r="AJ188" s="160">
        <v>7.0</v>
      </c>
      <c r="AK188" s="160">
        <v>33050.0</v>
      </c>
      <c r="AL188" s="160">
        <v>0.0</v>
      </c>
      <c r="AM188" s="160">
        <v>0.0595</v>
      </c>
      <c r="AN188" s="160">
        <v>42714.0</v>
      </c>
      <c r="AO188" s="160">
        <v>0.15</v>
      </c>
      <c r="AP188" s="160">
        <v>0.0</v>
      </c>
      <c r="AQ188" s="160">
        <v>14.0</v>
      </c>
      <c r="AR188" s="160">
        <v>698.0</v>
      </c>
      <c r="AS188" s="160">
        <v>4735.36</v>
      </c>
      <c r="AT188" s="160">
        <v>8.0</v>
      </c>
      <c r="AU188" s="160">
        <v>99.0</v>
      </c>
      <c r="AV188" s="160">
        <v>13.0</v>
      </c>
      <c r="AW188" s="160">
        <v>36.0</v>
      </c>
      <c r="AX188" s="160">
        <v>5.0</v>
      </c>
      <c r="AY188" s="285">
        <v>46022.0</v>
      </c>
      <c r="AZ188" s="285"/>
    </row>
    <row r="189">
      <c r="A189" s="157" t="s">
        <v>185</v>
      </c>
      <c r="B189" s="157" t="s">
        <v>85</v>
      </c>
      <c r="C189" s="157" t="s">
        <v>395</v>
      </c>
      <c r="D189" s="157" t="s">
        <v>1058</v>
      </c>
      <c r="E189" s="157" t="s">
        <v>396</v>
      </c>
      <c r="F189" s="338">
        <v>45817.0</v>
      </c>
      <c r="G189" s="537"/>
      <c r="H189" s="160">
        <v>0.0</v>
      </c>
      <c r="I189" s="160">
        <v>4500000.0</v>
      </c>
      <c r="J189" s="160">
        <v>320335.0</v>
      </c>
      <c r="K189" s="160">
        <v>0.0</v>
      </c>
      <c r="L189" s="160">
        <v>26.0</v>
      </c>
      <c r="M189" s="160">
        <v>22.0</v>
      </c>
      <c r="N189" s="160">
        <v>0.0</v>
      </c>
      <c r="O189" s="160">
        <v>26.0</v>
      </c>
      <c r="P189" s="160">
        <v>4.0</v>
      </c>
      <c r="Q189" s="160">
        <v>320335.0</v>
      </c>
      <c r="R189" s="160">
        <v>0.0</v>
      </c>
      <c r="S189" s="160">
        <v>6.0</v>
      </c>
      <c r="T189" s="160">
        <v>0.0</v>
      </c>
      <c r="U189" s="160">
        <v>6.0</v>
      </c>
      <c r="V189" s="160">
        <v>0.0</v>
      </c>
      <c r="W189" s="160">
        <v>9.0</v>
      </c>
      <c r="X189" s="160">
        <v>20.0</v>
      </c>
      <c r="Y189" s="160">
        <v>9.0</v>
      </c>
      <c r="Z189" s="160">
        <v>0.0</v>
      </c>
      <c r="AA189" s="160">
        <v>0.0</v>
      </c>
      <c r="AB189" s="160">
        <v>0.0</v>
      </c>
      <c r="AC189" s="160">
        <v>0.0</v>
      </c>
      <c r="AD189" s="160">
        <v>0.0</v>
      </c>
      <c r="AE189" s="160">
        <v>0.0</v>
      </c>
      <c r="AF189" s="160">
        <v>235.0</v>
      </c>
      <c r="AG189" s="160">
        <v>255.0</v>
      </c>
      <c r="AH189" s="160">
        <v>59.0</v>
      </c>
      <c r="AI189" s="160">
        <v>5429.0</v>
      </c>
      <c r="AJ189" s="160">
        <v>4.0</v>
      </c>
      <c r="AK189" s="160">
        <v>24120.0</v>
      </c>
      <c r="AL189" s="160">
        <v>0.0</v>
      </c>
      <c r="AM189" s="160">
        <v>0.0753</v>
      </c>
      <c r="AN189" s="160">
        <v>53389.0</v>
      </c>
      <c r="AO189" s="160">
        <v>0.07</v>
      </c>
      <c r="AP189" s="160">
        <v>0.0</v>
      </c>
      <c r="AQ189" s="160">
        <v>14.0</v>
      </c>
      <c r="AR189" s="160">
        <v>623.0</v>
      </c>
      <c r="AS189" s="160">
        <v>3443.26</v>
      </c>
      <c r="AT189" s="160">
        <v>0.0</v>
      </c>
      <c r="AU189" s="160">
        <v>157.0</v>
      </c>
      <c r="AV189" s="160">
        <v>6.0</v>
      </c>
      <c r="AW189" s="160">
        <v>16.0</v>
      </c>
      <c r="AX189" s="160">
        <v>4.0</v>
      </c>
      <c r="AY189" s="285">
        <v>46008.0</v>
      </c>
      <c r="AZ189" s="285"/>
    </row>
    <row r="190">
      <c r="A190" s="157" t="s">
        <v>53</v>
      </c>
      <c r="B190" s="157" t="s">
        <v>56</v>
      </c>
      <c r="C190" s="157" t="s">
        <v>366</v>
      </c>
      <c r="D190" s="157" t="s">
        <v>1092</v>
      </c>
      <c r="E190" s="157" t="s">
        <v>71</v>
      </c>
      <c r="F190" s="338">
        <v>45812.0</v>
      </c>
      <c r="G190" s="157" t="s">
        <v>754</v>
      </c>
      <c r="H190" s="160">
        <v>0.0</v>
      </c>
      <c r="I190" s="160">
        <v>0.0</v>
      </c>
      <c r="J190" s="160">
        <v>0.0</v>
      </c>
      <c r="K190" s="160">
        <v>0.0</v>
      </c>
      <c r="L190" s="160">
        <v>12.0</v>
      </c>
      <c r="M190" s="160">
        <v>0.0</v>
      </c>
      <c r="N190" s="160">
        <v>0.0</v>
      </c>
      <c r="O190" s="160">
        <v>12.0</v>
      </c>
      <c r="P190" s="160">
        <v>12.0</v>
      </c>
      <c r="Q190" s="160">
        <v>0.0</v>
      </c>
      <c r="R190" s="160">
        <v>0.0</v>
      </c>
      <c r="S190" s="160">
        <v>0.0</v>
      </c>
      <c r="T190" s="160">
        <v>0.0</v>
      </c>
      <c r="U190" s="160">
        <v>0.0</v>
      </c>
      <c r="V190" s="160">
        <v>0.0</v>
      </c>
      <c r="W190" s="160">
        <v>0.0</v>
      </c>
      <c r="X190" s="160">
        <v>0.0</v>
      </c>
      <c r="Y190" s="160">
        <v>77.0</v>
      </c>
      <c r="Z190" s="160">
        <v>0.0</v>
      </c>
      <c r="AA190" s="160">
        <v>0.0</v>
      </c>
      <c r="AB190" s="160">
        <v>0.0</v>
      </c>
      <c r="AC190" s="160">
        <v>0.0</v>
      </c>
      <c r="AD190" s="160">
        <v>0.0</v>
      </c>
      <c r="AE190" s="160">
        <v>0.0</v>
      </c>
      <c r="AF190" s="160">
        <v>0.0</v>
      </c>
      <c r="AG190" s="160">
        <v>0.0</v>
      </c>
      <c r="AH190" s="160">
        <v>0.0</v>
      </c>
      <c r="AI190" s="160">
        <v>0.0</v>
      </c>
      <c r="AJ190" s="160">
        <v>0.0</v>
      </c>
      <c r="AK190" s="160">
        <v>24120.0</v>
      </c>
      <c r="AL190" s="160">
        <v>0.0</v>
      </c>
      <c r="AM190" s="160">
        <v>0.0</v>
      </c>
      <c r="AN190" s="160">
        <v>0.0</v>
      </c>
      <c r="AO190" s="160">
        <v>0.0</v>
      </c>
      <c r="AP190" s="160">
        <v>0.0</v>
      </c>
      <c r="AQ190" s="160">
        <v>0.0</v>
      </c>
      <c r="AR190" s="160">
        <v>0.0</v>
      </c>
      <c r="AS190" s="160">
        <v>0.0</v>
      </c>
      <c r="AT190" s="160">
        <v>0.0</v>
      </c>
      <c r="AU190" s="160">
        <v>0.0</v>
      </c>
      <c r="AV190" s="160">
        <v>0.0</v>
      </c>
      <c r="AW190" s="160">
        <v>0.0</v>
      </c>
      <c r="AX190" s="160">
        <v>12.0</v>
      </c>
      <c r="AY190" s="285">
        <v>45849.0</v>
      </c>
      <c r="AZ190" s="285"/>
    </row>
    <row r="191">
      <c r="A191" s="157" t="s">
        <v>322</v>
      </c>
      <c r="B191" s="157" t="s">
        <v>325</v>
      </c>
      <c r="C191" s="157" t="s">
        <v>328</v>
      </c>
      <c r="D191" s="157" t="s">
        <v>1049</v>
      </c>
      <c r="E191" s="157" t="s">
        <v>329</v>
      </c>
      <c r="F191" s="338">
        <v>45810.0</v>
      </c>
      <c r="G191" s="157" t="s">
        <v>322</v>
      </c>
      <c r="H191" s="160">
        <v>0.0</v>
      </c>
      <c r="I191" s="160">
        <v>2400000.0</v>
      </c>
      <c r="J191" s="160">
        <v>716437.66</v>
      </c>
      <c r="K191" s="160">
        <v>0.0</v>
      </c>
      <c r="L191" s="160">
        <v>33.0</v>
      </c>
      <c r="M191" s="160">
        <v>37.0</v>
      </c>
      <c r="N191" s="160">
        <v>8.0</v>
      </c>
      <c r="O191" s="160">
        <v>41.0</v>
      </c>
      <c r="P191" s="160">
        <v>4.0</v>
      </c>
      <c r="Q191" s="160">
        <v>471794.93</v>
      </c>
      <c r="R191" s="160">
        <v>244642.73</v>
      </c>
      <c r="S191" s="160">
        <v>20.0</v>
      </c>
      <c r="T191" s="160">
        <v>8.0</v>
      </c>
      <c r="U191" s="160">
        <v>28.0</v>
      </c>
      <c r="V191" s="160">
        <v>0.0</v>
      </c>
      <c r="W191" s="160">
        <v>58.0</v>
      </c>
      <c r="X191" s="160">
        <v>96.0</v>
      </c>
      <c r="Y191" s="160">
        <v>62.0</v>
      </c>
      <c r="Z191" s="160">
        <v>1.0</v>
      </c>
      <c r="AA191" s="160">
        <v>34.0</v>
      </c>
      <c r="AB191" s="160">
        <v>0.0</v>
      </c>
      <c r="AC191" s="160">
        <v>0.0</v>
      </c>
      <c r="AD191" s="160">
        <v>0.0</v>
      </c>
      <c r="AE191" s="160">
        <v>0.0</v>
      </c>
      <c r="AF191" s="160">
        <v>156.0</v>
      </c>
      <c r="AG191" s="160">
        <v>286.0</v>
      </c>
      <c r="AH191" s="160">
        <v>74.0</v>
      </c>
      <c r="AI191" s="160">
        <v>9682.0</v>
      </c>
      <c r="AJ191" s="160">
        <v>4.0</v>
      </c>
      <c r="AK191" s="160">
        <v>38285.0</v>
      </c>
      <c r="AL191" s="160">
        <v>0.0</v>
      </c>
      <c r="AM191" s="160">
        <v>0.0534</v>
      </c>
      <c r="AN191" s="160">
        <v>25587.0</v>
      </c>
      <c r="AO191" s="160">
        <v>0.3</v>
      </c>
      <c r="AP191" s="160">
        <v>0.0</v>
      </c>
      <c r="AQ191" s="160">
        <v>63.0</v>
      </c>
      <c r="AR191" s="160">
        <v>562.0</v>
      </c>
      <c r="AS191" s="160">
        <v>1753.97</v>
      </c>
      <c r="AT191" s="160">
        <v>8.0</v>
      </c>
      <c r="AU191" s="160">
        <v>47.0</v>
      </c>
      <c r="AV191" s="160">
        <v>28.0</v>
      </c>
      <c r="AW191" s="160">
        <v>9.0</v>
      </c>
      <c r="AX191" s="160">
        <v>4.0</v>
      </c>
      <c r="AY191" s="537"/>
      <c r="AZ191" s="537"/>
    </row>
    <row r="192">
      <c r="A192" s="157" t="s">
        <v>185</v>
      </c>
      <c r="B192" s="157" t="s">
        <v>189</v>
      </c>
      <c r="C192" s="157" t="s">
        <v>285</v>
      </c>
      <c r="D192" s="157" t="s">
        <v>1016</v>
      </c>
      <c r="E192" s="157" t="s">
        <v>187</v>
      </c>
      <c r="F192" s="338">
        <v>45817.0</v>
      </c>
      <c r="G192" s="157" t="s">
        <v>804</v>
      </c>
      <c r="H192" s="160">
        <v>0.0</v>
      </c>
      <c r="I192" s="160">
        <v>4500000.0</v>
      </c>
      <c r="J192" s="160">
        <v>1502730.94</v>
      </c>
      <c r="K192" s="160">
        <v>0.0</v>
      </c>
      <c r="L192" s="160">
        <v>71.0</v>
      </c>
      <c r="M192" s="160">
        <v>51.0</v>
      </c>
      <c r="N192" s="160">
        <v>7.0</v>
      </c>
      <c r="O192" s="160">
        <v>78.0</v>
      </c>
      <c r="P192" s="160">
        <v>27.0</v>
      </c>
      <c r="Q192" s="160">
        <v>1229959.03</v>
      </c>
      <c r="R192" s="160">
        <v>272771.91</v>
      </c>
      <c r="S192" s="160">
        <v>20.0</v>
      </c>
      <c r="T192" s="160">
        <v>7.0</v>
      </c>
      <c r="U192" s="160">
        <v>27.0</v>
      </c>
      <c r="V192" s="160">
        <v>0.0</v>
      </c>
      <c r="W192" s="160">
        <v>96.0</v>
      </c>
      <c r="X192" s="160">
        <v>140.0</v>
      </c>
      <c r="Y192" s="160">
        <v>119.0</v>
      </c>
      <c r="Z192" s="160">
        <v>2.0</v>
      </c>
      <c r="AA192" s="160">
        <v>7.0</v>
      </c>
      <c r="AB192" s="160">
        <v>0.0</v>
      </c>
      <c r="AC192" s="160">
        <v>0.0</v>
      </c>
      <c r="AD192" s="160">
        <v>0.0</v>
      </c>
      <c r="AE192" s="160">
        <v>0.0</v>
      </c>
      <c r="AF192" s="160">
        <v>196.0</v>
      </c>
      <c r="AG192" s="160">
        <v>343.0</v>
      </c>
      <c r="AH192" s="160">
        <v>67.0</v>
      </c>
      <c r="AI192" s="160">
        <v>22429.0</v>
      </c>
      <c r="AJ192" s="160">
        <v>5.0</v>
      </c>
      <c r="AK192" s="160">
        <v>32500.0</v>
      </c>
      <c r="AL192" s="160">
        <v>0.0</v>
      </c>
      <c r="AM192" s="160">
        <v>0.0216</v>
      </c>
      <c r="AN192" s="160">
        <v>55657.0</v>
      </c>
      <c r="AO192" s="160">
        <v>0.33</v>
      </c>
      <c r="AP192" s="160">
        <v>0.0</v>
      </c>
      <c r="AQ192" s="160">
        <v>41.0</v>
      </c>
      <c r="AR192" s="160">
        <v>650.0</v>
      </c>
      <c r="AS192" s="160">
        <v>3863.13</v>
      </c>
      <c r="AT192" s="160">
        <v>7.0</v>
      </c>
      <c r="AU192" s="160">
        <v>76.0</v>
      </c>
      <c r="AV192" s="160">
        <v>27.0</v>
      </c>
      <c r="AW192" s="160">
        <v>25.0</v>
      </c>
      <c r="AX192" s="160">
        <v>26.0</v>
      </c>
      <c r="AY192" s="537"/>
      <c r="AZ192" s="537"/>
    </row>
    <row r="193">
      <c r="A193" s="157" t="s">
        <v>185</v>
      </c>
      <c r="B193" s="157" t="s">
        <v>189</v>
      </c>
      <c r="C193" s="157" t="s">
        <v>408</v>
      </c>
      <c r="D193" s="157" t="s">
        <v>1016</v>
      </c>
      <c r="E193" s="157" t="s">
        <v>409</v>
      </c>
      <c r="F193" s="285">
        <v>45824.0</v>
      </c>
      <c r="G193" s="157" t="s">
        <v>186</v>
      </c>
      <c r="H193" s="160">
        <v>0.0</v>
      </c>
      <c r="I193" s="160">
        <v>0.0</v>
      </c>
      <c r="J193" s="160">
        <v>0.0</v>
      </c>
      <c r="K193" s="160">
        <v>0.0</v>
      </c>
      <c r="L193" s="160">
        <v>12.0</v>
      </c>
      <c r="M193" s="160">
        <v>0.0</v>
      </c>
      <c r="N193" s="160">
        <v>0.0</v>
      </c>
      <c r="O193" s="160">
        <v>12.0</v>
      </c>
      <c r="P193" s="160">
        <v>12.0</v>
      </c>
      <c r="Q193" s="160">
        <v>0.0</v>
      </c>
      <c r="R193" s="160">
        <v>0.0</v>
      </c>
      <c r="S193" s="160">
        <v>0.0</v>
      </c>
      <c r="T193" s="160">
        <v>0.0</v>
      </c>
      <c r="U193" s="160">
        <v>0.0</v>
      </c>
      <c r="V193" s="160">
        <v>0.0</v>
      </c>
      <c r="W193" s="160">
        <v>0.0</v>
      </c>
      <c r="X193" s="160">
        <v>0.0</v>
      </c>
      <c r="Y193" s="160">
        <v>2.0</v>
      </c>
      <c r="Z193" s="160">
        <v>0.0</v>
      </c>
      <c r="AA193" s="160">
        <v>0.0</v>
      </c>
      <c r="AB193" s="160">
        <v>0.0</v>
      </c>
      <c r="AC193" s="160">
        <v>0.0</v>
      </c>
      <c r="AD193" s="160">
        <v>0.0</v>
      </c>
      <c r="AE193" s="160">
        <v>0.0</v>
      </c>
      <c r="AF193" s="160">
        <v>0.0</v>
      </c>
      <c r="AG193" s="160">
        <v>0.0</v>
      </c>
      <c r="AH193" s="160">
        <v>0.0</v>
      </c>
      <c r="AI193" s="160">
        <v>0.0</v>
      </c>
      <c r="AJ193" s="160">
        <v>0.0</v>
      </c>
      <c r="AK193" s="160">
        <v>28850.0</v>
      </c>
      <c r="AL193" s="160">
        <v>0.0</v>
      </c>
      <c r="AM193" s="160">
        <v>0.0</v>
      </c>
      <c r="AN193" s="160">
        <v>0.0</v>
      </c>
      <c r="AO193" s="160">
        <v>0.0</v>
      </c>
      <c r="AP193" s="160">
        <v>0.0</v>
      </c>
      <c r="AQ193" s="160">
        <v>0.0</v>
      </c>
      <c r="AR193" s="160">
        <v>0.0</v>
      </c>
      <c r="AS193" s="160">
        <v>0.0</v>
      </c>
      <c r="AT193" s="160">
        <v>0.0</v>
      </c>
      <c r="AU193" s="160">
        <v>0.0</v>
      </c>
      <c r="AV193" s="160">
        <v>0.0</v>
      </c>
      <c r="AW193" s="160">
        <v>0.0</v>
      </c>
      <c r="AX193" s="160">
        <v>12.0</v>
      </c>
      <c r="AY193" s="285">
        <v>45852.0</v>
      </c>
      <c r="AZ193" s="285"/>
    </row>
    <row r="194">
      <c r="A194" s="157" t="s">
        <v>185</v>
      </c>
      <c r="B194" s="157" t="s">
        <v>85</v>
      </c>
      <c r="C194" s="157" t="s">
        <v>397</v>
      </c>
      <c r="D194" s="157" t="s">
        <v>1058</v>
      </c>
      <c r="E194" s="157" t="s">
        <v>398</v>
      </c>
      <c r="F194" s="285">
        <v>45824.0</v>
      </c>
      <c r="G194" s="157" t="s">
        <v>185</v>
      </c>
      <c r="H194" s="160">
        <v>0.0</v>
      </c>
      <c r="I194" s="160">
        <v>4500000.0</v>
      </c>
      <c r="J194" s="160">
        <v>331351.02</v>
      </c>
      <c r="K194" s="160">
        <v>0.0</v>
      </c>
      <c r="L194" s="160">
        <v>27.0</v>
      </c>
      <c r="M194" s="160">
        <v>30.0</v>
      </c>
      <c r="N194" s="160">
        <v>9.0</v>
      </c>
      <c r="O194" s="160">
        <v>36.0</v>
      </c>
      <c r="P194" s="160">
        <v>6.0</v>
      </c>
      <c r="Q194" s="160">
        <v>179361.72</v>
      </c>
      <c r="R194" s="160">
        <v>151989.3</v>
      </c>
      <c r="S194" s="160">
        <v>8.0</v>
      </c>
      <c r="T194" s="160">
        <v>9.0</v>
      </c>
      <c r="U194" s="160">
        <v>17.0</v>
      </c>
      <c r="V194" s="160">
        <v>0.0</v>
      </c>
      <c r="W194" s="160">
        <v>81.0</v>
      </c>
      <c r="X194" s="160">
        <v>190.0</v>
      </c>
      <c r="Y194" s="160">
        <v>36.0</v>
      </c>
      <c r="Z194" s="160">
        <v>2.0</v>
      </c>
      <c r="AA194" s="160">
        <v>4.0</v>
      </c>
      <c r="AB194" s="160">
        <v>0.0</v>
      </c>
      <c r="AC194" s="160">
        <v>0.0</v>
      </c>
      <c r="AD194" s="160">
        <v>6.0</v>
      </c>
      <c r="AE194" s="160">
        <v>19.0</v>
      </c>
      <c r="AF194" s="160">
        <v>148.0</v>
      </c>
      <c r="AG194" s="160">
        <v>361.0</v>
      </c>
      <c r="AH194" s="160">
        <v>61.0</v>
      </c>
      <c r="AI194" s="160">
        <v>5432.0</v>
      </c>
      <c r="AJ194" s="160">
        <v>6.0</v>
      </c>
      <c r="AK194" s="160">
        <v>32500.0</v>
      </c>
      <c r="AL194" s="160">
        <v>0.0</v>
      </c>
      <c r="AM194" s="160">
        <v>1.0E-4</v>
      </c>
      <c r="AN194" s="160">
        <v>19491.0</v>
      </c>
      <c r="AO194" s="160">
        <v>0.07</v>
      </c>
      <c r="AP194" s="160">
        <v>0.0</v>
      </c>
      <c r="AQ194" s="160">
        <v>27.0</v>
      </c>
      <c r="AR194" s="160">
        <v>534.0</v>
      </c>
      <c r="AS194" s="160">
        <v>1652.7</v>
      </c>
      <c r="AT194" s="160">
        <v>9.0</v>
      </c>
      <c r="AU194" s="160">
        <v>55.0</v>
      </c>
      <c r="AV194" s="160">
        <v>17.0</v>
      </c>
      <c r="AW194" s="160">
        <v>14.0</v>
      </c>
      <c r="AX194" s="160">
        <v>5.0</v>
      </c>
      <c r="AY194" s="285">
        <v>46009.0</v>
      </c>
      <c r="AZ194" s="285"/>
    </row>
    <row r="195">
      <c r="A195" s="157" t="s">
        <v>23</v>
      </c>
      <c r="B195" s="157" t="s">
        <v>37</v>
      </c>
      <c r="C195" s="157" t="s">
        <v>875</v>
      </c>
      <c r="D195" s="157" t="s">
        <v>1110</v>
      </c>
      <c r="E195" s="157" t="s">
        <v>42</v>
      </c>
      <c r="F195" s="285">
        <v>45828.0</v>
      </c>
      <c r="G195" s="157" t="s">
        <v>23</v>
      </c>
      <c r="H195" s="160">
        <v>0.0</v>
      </c>
      <c r="I195" s="160">
        <v>0.0</v>
      </c>
      <c r="J195" s="160">
        <v>0.0</v>
      </c>
      <c r="K195" s="160">
        <v>0.0</v>
      </c>
      <c r="L195" s="160">
        <v>0.0</v>
      </c>
      <c r="M195" s="160">
        <v>0.0</v>
      </c>
      <c r="N195" s="160">
        <v>0.0</v>
      </c>
      <c r="O195" s="160">
        <v>0.0</v>
      </c>
      <c r="P195" s="160">
        <v>0.0</v>
      </c>
      <c r="Q195" s="160">
        <v>0.0</v>
      </c>
      <c r="R195" s="160">
        <v>0.0</v>
      </c>
      <c r="S195" s="160">
        <v>0.0</v>
      </c>
      <c r="T195" s="160">
        <v>0.0</v>
      </c>
      <c r="U195" s="160">
        <v>0.0</v>
      </c>
      <c r="V195" s="160">
        <v>0.0</v>
      </c>
      <c r="W195" s="160">
        <v>0.0</v>
      </c>
      <c r="X195" s="160">
        <v>0.0</v>
      </c>
      <c r="Y195" s="160">
        <v>1.0</v>
      </c>
      <c r="Z195" s="160">
        <v>0.0</v>
      </c>
      <c r="AA195" s="160">
        <v>0.0</v>
      </c>
      <c r="AB195" s="160">
        <v>0.0</v>
      </c>
      <c r="AC195" s="160">
        <v>0.0</v>
      </c>
      <c r="AD195" s="160">
        <v>0.0</v>
      </c>
      <c r="AE195" s="160">
        <v>0.0</v>
      </c>
      <c r="AF195" s="160">
        <v>0.0</v>
      </c>
      <c r="AG195" s="160">
        <v>0.0</v>
      </c>
      <c r="AH195" s="160">
        <v>0.0</v>
      </c>
      <c r="AI195" s="160">
        <v>0.0</v>
      </c>
      <c r="AJ195" s="160">
        <v>0.0</v>
      </c>
      <c r="AK195" s="160">
        <v>24120.0</v>
      </c>
      <c r="AL195" s="160">
        <v>0.0</v>
      </c>
      <c r="AM195" s="160">
        <v>0.0</v>
      </c>
      <c r="AN195" s="160">
        <v>0.0</v>
      </c>
      <c r="AO195" s="160">
        <v>0.0</v>
      </c>
      <c r="AP195" s="160">
        <v>0.0</v>
      </c>
      <c r="AQ195" s="160">
        <v>0.0</v>
      </c>
      <c r="AR195" s="160">
        <v>0.0</v>
      </c>
      <c r="AS195" s="160">
        <v>0.0</v>
      </c>
      <c r="AT195" s="160">
        <v>0.0</v>
      </c>
      <c r="AU195" s="160">
        <v>0.0</v>
      </c>
      <c r="AV195" s="160">
        <v>0.0</v>
      </c>
      <c r="AW195" s="160">
        <v>0.0</v>
      </c>
      <c r="AX195" s="160">
        <v>0.0</v>
      </c>
      <c r="AY195" s="285">
        <v>45831.0</v>
      </c>
      <c r="AZ195" s="285"/>
    </row>
    <row r="196">
      <c r="A196" s="157" t="s">
        <v>23</v>
      </c>
      <c r="B196" s="157" t="s">
        <v>27</v>
      </c>
      <c r="C196" s="157" t="s">
        <v>337</v>
      </c>
      <c r="D196" s="157" t="s">
        <v>1073</v>
      </c>
      <c r="E196" s="157" t="s">
        <v>338</v>
      </c>
      <c r="F196" s="285">
        <v>45831.0</v>
      </c>
      <c r="G196" s="157" t="s">
        <v>23</v>
      </c>
      <c r="H196" s="160"/>
      <c r="I196" s="160">
        <v>0.0</v>
      </c>
      <c r="J196" s="160">
        <v>0.0</v>
      </c>
      <c r="K196" s="160">
        <v>0.0</v>
      </c>
      <c r="L196" s="160">
        <v>15.0</v>
      </c>
      <c r="M196" s="160">
        <v>0.0</v>
      </c>
      <c r="N196" s="160">
        <v>0.0</v>
      </c>
      <c r="O196" s="160">
        <v>15.0</v>
      </c>
      <c r="P196" s="160">
        <v>15.0</v>
      </c>
      <c r="Q196" s="160">
        <v>0.0</v>
      </c>
      <c r="R196" s="160">
        <v>0.0</v>
      </c>
      <c r="S196" s="160">
        <v>0.0</v>
      </c>
      <c r="T196" s="160">
        <v>0.0</v>
      </c>
      <c r="U196" s="160">
        <v>0.0</v>
      </c>
      <c r="V196" s="160">
        <v>0.0</v>
      </c>
      <c r="W196" s="160">
        <v>5.0</v>
      </c>
      <c r="X196" s="160">
        <v>5.0</v>
      </c>
      <c r="Y196" s="160">
        <v>265.0</v>
      </c>
      <c r="Z196" s="160">
        <v>0.0</v>
      </c>
      <c r="AA196" s="160">
        <v>0.0</v>
      </c>
      <c r="AB196" s="160">
        <v>0.0</v>
      </c>
      <c r="AC196" s="160">
        <v>0.0</v>
      </c>
      <c r="AD196" s="160">
        <v>0.0</v>
      </c>
      <c r="AE196" s="160">
        <v>0.0</v>
      </c>
      <c r="AF196" s="160">
        <v>0.0</v>
      </c>
      <c r="AG196" s="160">
        <v>5.0</v>
      </c>
      <c r="AH196" s="160">
        <v>1.0</v>
      </c>
      <c r="AI196" s="160">
        <v>0.0</v>
      </c>
      <c r="AJ196" s="160">
        <v>5.0</v>
      </c>
      <c r="AK196" s="160">
        <v>24120.0</v>
      </c>
      <c r="AL196" s="160">
        <v>0.0</v>
      </c>
      <c r="AM196" s="160">
        <v>0.0</v>
      </c>
      <c r="AN196" s="160">
        <v>0.0</v>
      </c>
      <c r="AO196" s="160">
        <v>0.0</v>
      </c>
      <c r="AP196" s="160">
        <v>0.0</v>
      </c>
      <c r="AQ196" s="160">
        <v>0.0</v>
      </c>
      <c r="AR196" s="160">
        <v>7.0</v>
      </c>
      <c r="AS196" s="160">
        <v>3.19</v>
      </c>
      <c r="AT196" s="160">
        <v>0.0</v>
      </c>
      <c r="AU196" s="160">
        <v>0.0</v>
      </c>
      <c r="AV196" s="160">
        <v>0.0</v>
      </c>
      <c r="AW196" s="160">
        <v>0.0</v>
      </c>
      <c r="AX196" s="160">
        <v>15.0</v>
      </c>
      <c r="AY196" s="285">
        <v>45930.0</v>
      </c>
      <c r="AZ196" s="285"/>
    </row>
    <row r="197">
      <c r="A197" s="157" t="s">
        <v>185</v>
      </c>
      <c r="B197" s="157" t="s">
        <v>85</v>
      </c>
      <c r="C197" s="157" t="s">
        <v>399</v>
      </c>
      <c r="D197" s="157" t="s">
        <v>1058</v>
      </c>
      <c r="E197" s="157" t="s">
        <v>87</v>
      </c>
      <c r="F197" s="285">
        <v>45831.0</v>
      </c>
      <c r="G197" s="157" t="s">
        <v>86</v>
      </c>
      <c r="H197" s="160">
        <v>0.0</v>
      </c>
      <c r="I197" s="160">
        <v>4500000.0</v>
      </c>
      <c r="J197" s="160">
        <v>822877.63</v>
      </c>
      <c r="K197" s="160">
        <v>0.0</v>
      </c>
      <c r="L197" s="160">
        <v>116.0</v>
      </c>
      <c r="M197" s="160">
        <v>98.0</v>
      </c>
      <c r="N197" s="160">
        <v>7.0</v>
      </c>
      <c r="O197" s="160">
        <v>123.0</v>
      </c>
      <c r="P197" s="160">
        <v>25.0</v>
      </c>
      <c r="Q197" s="160">
        <v>738962.43</v>
      </c>
      <c r="R197" s="160">
        <v>83915.2</v>
      </c>
      <c r="S197" s="160">
        <v>38.0</v>
      </c>
      <c r="T197" s="160">
        <v>7.0</v>
      </c>
      <c r="U197" s="160">
        <v>45.0</v>
      </c>
      <c r="V197" s="160">
        <v>0.0</v>
      </c>
      <c r="W197" s="160">
        <v>117.0</v>
      </c>
      <c r="X197" s="160">
        <v>231.0</v>
      </c>
      <c r="Y197" s="160">
        <v>84.0</v>
      </c>
      <c r="Z197" s="160">
        <v>2.0</v>
      </c>
      <c r="AA197" s="160">
        <v>16.0</v>
      </c>
      <c r="AB197" s="160">
        <v>0.0</v>
      </c>
      <c r="AC197" s="160">
        <v>0.0</v>
      </c>
      <c r="AD197" s="160">
        <v>0.0</v>
      </c>
      <c r="AE197" s="160">
        <v>0.0</v>
      </c>
      <c r="AF197" s="160">
        <v>305.0</v>
      </c>
      <c r="AG197" s="160">
        <v>552.0</v>
      </c>
      <c r="AH197" s="160">
        <v>72.0</v>
      </c>
      <c r="AI197" s="160">
        <v>11429.0</v>
      </c>
      <c r="AJ197" s="160">
        <v>8.0</v>
      </c>
      <c r="AK197" s="160">
        <v>27785.0</v>
      </c>
      <c r="AL197" s="160">
        <v>0.0</v>
      </c>
      <c r="AM197" s="160">
        <v>0.0</v>
      </c>
      <c r="AN197" s="160">
        <v>18286.0</v>
      </c>
      <c r="AO197" s="160">
        <v>0.18</v>
      </c>
      <c r="AP197" s="160">
        <v>0.0</v>
      </c>
      <c r="AQ197" s="160">
        <v>192.0</v>
      </c>
      <c r="AR197" s="160">
        <v>793.0</v>
      </c>
      <c r="AS197" s="160">
        <v>7300.21</v>
      </c>
      <c r="AT197" s="160">
        <v>7.0</v>
      </c>
      <c r="AU197" s="160">
        <v>74.0</v>
      </c>
      <c r="AV197" s="160">
        <v>45.0</v>
      </c>
      <c r="AW197" s="160">
        <v>61.0</v>
      </c>
      <c r="AX197" s="160">
        <v>17.0</v>
      </c>
      <c r="AY197" s="537"/>
      <c r="AZ197" s="537"/>
    </row>
    <row r="198">
      <c r="A198" s="157" t="s">
        <v>126</v>
      </c>
      <c r="B198" s="157" t="s">
        <v>130</v>
      </c>
      <c r="C198" s="157" t="s">
        <v>449</v>
      </c>
      <c r="D198" s="157" t="s">
        <v>130</v>
      </c>
      <c r="E198" s="157" t="s">
        <v>151</v>
      </c>
      <c r="F198" s="338">
        <v>45839.0</v>
      </c>
      <c r="G198" s="157" t="s">
        <v>580</v>
      </c>
      <c r="H198" s="160">
        <v>3000000.0</v>
      </c>
      <c r="I198" s="160">
        <v>4000000.0</v>
      </c>
      <c r="J198" s="160">
        <v>256329.44</v>
      </c>
      <c r="K198" s="160">
        <v>0.0</v>
      </c>
      <c r="L198" s="160">
        <v>128.0</v>
      </c>
      <c r="M198" s="160">
        <v>64.0</v>
      </c>
      <c r="N198" s="160">
        <v>6.0</v>
      </c>
      <c r="O198" s="160">
        <v>134.0</v>
      </c>
      <c r="P198" s="160">
        <v>70.0</v>
      </c>
      <c r="Q198" s="160">
        <v>232329.44</v>
      </c>
      <c r="R198" s="160">
        <v>24000.0</v>
      </c>
      <c r="S198" s="160">
        <v>2.0</v>
      </c>
      <c r="T198" s="160">
        <v>1.0</v>
      </c>
      <c r="U198" s="160">
        <v>3.0</v>
      </c>
      <c r="V198" s="160">
        <v>0.0</v>
      </c>
      <c r="W198" s="160">
        <v>13.0</v>
      </c>
      <c r="X198" s="160">
        <v>19.0</v>
      </c>
      <c r="Y198" s="160">
        <v>44.0</v>
      </c>
      <c r="Z198" s="160">
        <v>3.0</v>
      </c>
      <c r="AA198" s="160">
        <v>29.0</v>
      </c>
      <c r="AB198" s="160">
        <v>0.0</v>
      </c>
      <c r="AC198" s="160">
        <v>0.0</v>
      </c>
      <c r="AD198" s="160">
        <v>0.0</v>
      </c>
      <c r="AE198" s="160">
        <v>0.0</v>
      </c>
      <c r="AF198" s="160">
        <v>132.0</v>
      </c>
      <c r="AG198" s="160">
        <v>180.0</v>
      </c>
      <c r="AH198" s="160">
        <v>41.0</v>
      </c>
      <c r="AI198" s="160">
        <v>6252.0</v>
      </c>
      <c r="AJ198" s="160">
        <v>4.0</v>
      </c>
      <c r="AK198" s="160">
        <v>99750.0</v>
      </c>
      <c r="AL198" s="160">
        <v>0.0</v>
      </c>
      <c r="AM198" s="160">
        <v>0.3891</v>
      </c>
      <c r="AN198" s="160">
        <v>85443.0</v>
      </c>
      <c r="AO198" s="160">
        <v>0.06</v>
      </c>
      <c r="AP198" s="160">
        <v>0.0</v>
      </c>
      <c r="AQ198" s="160">
        <v>3.0</v>
      </c>
      <c r="AR198" s="160">
        <v>313.0</v>
      </c>
      <c r="AS198" s="160">
        <v>2116.84</v>
      </c>
      <c r="AT198" s="160">
        <v>1.0</v>
      </c>
      <c r="AU198" s="160">
        <v>33.0</v>
      </c>
      <c r="AV198" s="160">
        <v>3.0</v>
      </c>
      <c r="AW198" s="160">
        <v>62.0</v>
      </c>
      <c r="AX198" s="160">
        <v>69.0</v>
      </c>
      <c r="AY198" s="285">
        <v>45985.0</v>
      </c>
      <c r="AZ198" s="285"/>
    </row>
    <row r="199">
      <c r="A199" s="157" t="s">
        <v>126</v>
      </c>
      <c r="B199" s="157" t="s">
        <v>140</v>
      </c>
      <c r="C199" s="157" t="s">
        <v>173</v>
      </c>
      <c r="D199" s="157" t="s">
        <v>1061</v>
      </c>
      <c r="E199" s="157" t="s">
        <v>174</v>
      </c>
      <c r="F199" s="338">
        <v>45839.0</v>
      </c>
      <c r="G199" s="157" t="s">
        <v>580</v>
      </c>
      <c r="H199" s="160">
        <v>0.0</v>
      </c>
      <c r="I199" s="160">
        <v>4950000.0</v>
      </c>
      <c r="J199" s="160">
        <v>2006690.9</v>
      </c>
      <c r="K199" s="160">
        <v>0.0</v>
      </c>
      <c r="L199" s="160">
        <v>76.0</v>
      </c>
      <c r="M199" s="160">
        <v>77.0</v>
      </c>
      <c r="N199" s="160">
        <v>3.0</v>
      </c>
      <c r="O199" s="160">
        <v>79.0</v>
      </c>
      <c r="P199" s="160">
        <v>2.0</v>
      </c>
      <c r="Q199" s="160">
        <v>1948099.7</v>
      </c>
      <c r="R199" s="160">
        <v>58591.2</v>
      </c>
      <c r="S199" s="160">
        <v>45.0</v>
      </c>
      <c r="T199" s="160">
        <v>3.0</v>
      </c>
      <c r="U199" s="160">
        <v>48.0</v>
      </c>
      <c r="V199" s="160">
        <v>0.0</v>
      </c>
      <c r="W199" s="160">
        <v>16.0</v>
      </c>
      <c r="X199" s="160">
        <v>40.0</v>
      </c>
      <c r="Y199" s="160">
        <v>9.0</v>
      </c>
      <c r="Z199" s="160">
        <v>1.0</v>
      </c>
      <c r="AA199" s="160">
        <v>28.0</v>
      </c>
      <c r="AB199" s="160">
        <v>0.0</v>
      </c>
      <c r="AC199" s="160">
        <v>0.0</v>
      </c>
      <c r="AD199" s="160">
        <v>0.0</v>
      </c>
      <c r="AE199" s="160">
        <v>0.0</v>
      </c>
      <c r="AF199" s="160">
        <v>294.0</v>
      </c>
      <c r="AG199" s="160">
        <v>362.0</v>
      </c>
      <c r="AH199" s="160">
        <v>76.0</v>
      </c>
      <c r="AI199" s="160">
        <v>26404.0</v>
      </c>
      <c r="AJ199" s="160">
        <v>5.0</v>
      </c>
      <c r="AK199" s="160">
        <v>27800.0</v>
      </c>
      <c r="AL199" s="160">
        <v>0.0</v>
      </c>
      <c r="AM199" s="160">
        <v>0.0139</v>
      </c>
      <c r="AN199" s="160">
        <v>41806.0</v>
      </c>
      <c r="AO199" s="160">
        <v>0.41</v>
      </c>
      <c r="AP199" s="160">
        <v>0.0</v>
      </c>
      <c r="AQ199" s="160">
        <v>113.0</v>
      </c>
      <c r="AR199" s="160">
        <v>708.0</v>
      </c>
      <c r="AS199" s="160">
        <v>3964.93</v>
      </c>
      <c r="AT199" s="160">
        <v>3.0</v>
      </c>
      <c r="AU199" s="160">
        <v>51.0</v>
      </c>
      <c r="AV199" s="160">
        <v>48.0</v>
      </c>
      <c r="AW199" s="160">
        <v>29.0</v>
      </c>
      <c r="AX199" s="160">
        <v>2.0</v>
      </c>
      <c r="AY199" s="537"/>
      <c r="AZ199" s="537"/>
    </row>
    <row r="200">
      <c r="A200" s="157" t="s">
        <v>97</v>
      </c>
      <c r="B200" s="157" t="s">
        <v>101</v>
      </c>
      <c r="C200" s="157" t="s">
        <v>344</v>
      </c>
      <c r="D200" s="157" t="s">
        <v>1062</v>
      </c>
      <c r="E200" s="157" t="s">
        <v>345</v>
      </c>
      <c r="F200" s="338">
        <v>45842.0</v>
      </c>
      <c r="G200" s="157" t="s">
        <v>97</v>
      </c>
      <c r="H200" s="160">
        <v>0.0</v>
      </c>
      <c r="I200" s="160">
        <v>0.0</v>
      </c>
      <c r="J200" s="160">
        <v>0.0</v>
      </c>
      <c r="K200" s="160">
        <v>0.0</v>
      </c>
      <c r="L200" s="160">
        <v>22.0</v>
      </c>
      <c r="M200" s="160">
        <v>0.0</v>
      </c>
      <c r="N200" s="160">
        <v>0.0</v>
      </c>
      <c r="O200" s="160">
        <v>22.0</v>
      </c>
      <c r="P200" s="160">
        <v>22.0</v>
      </c>
      <c r="Q200" s="160">
        <v>0.0</v>
      </c>
      <c r="R200" s="160">
        <v>0.0</v>
      </c>
      <c r="S200" s="160">
        <v>0.0</v>
      </c>
      <c r="T200" s="160">
        <v>0.0</v>
      </c>
      <c r="U200" s="160">
        <v>0.0</v>
      </c>
      <c r="V200" s="160">
        <v>0.0</v>
      </c>
      <c r="W200" s="160">
        <v>0.0</v>
      </c>
      <c r="X200" s="160">
        <v>0.0</v>
      </c>
      <c r="Y200" s="160">
        <v>10.0</v>
      </c>
      <c r="Z200" s="160">
        <v>0.0</v>
      </c>
      <c r="AA200" s="160">
        <v>0.0</v>
      </c>
      <c r="AB200" s="160">
        <v>0.0</v>
      </c>
      <c r="AC200" s="160">
        <v>0.0</v>
      </c>
      <c r="AD200" s="160">
        <v>0.0</v>
      </c>
      <c r="AE200" s="160">
        <v>0.0</v>
      </c>
      <c r="AF200" s="160">
        <v>0.0</v>
      </c>
      <c r="AG200" s="160">
        <v>0.0</v>
      </c>
      <c r="AH200" s="160">
        <v>0.0</v>
      </c>
      <c r="AI200" s="160">
        <v>0.0</v>
      </c>
      <c r="AJ200" s="160">
        <v>0.0</v>
      </c>
      <c r="AK200" s="160">
        <v>36190.0</v>
      </c>
      <c r="AL200" s="160">
        <v>0.0</v>
      </c>
      <c r="AM200" s="160">
        <v>0.0</v>
      </c>
      <c r="AN200" s="160">
        <v>0.0</v>
      </c>
      <c r="AO200" s="160">
        <v>0.0</v>
      </c>
      <c r="AP200" s="160">
        <v>0.0</v>
      </c>
      <c r="AQ200" s="160">
        <v>0.0</v>
      </c>
      <c r="AR200" s="160">
        <v>0.0</v>
      </c>
      <c r="AS200" s="160">
        <v>0.0</v>
      </c>
      <c r="AT200" s="160">
        <v>0.0</v>
      </c>
      <c r="AU200" s="160">
        <v>0.0</v>
      </c>
      <c r="AV200" s="160">
        <v>0.0</v>
      </c>
      <c r="AW200" s="160">
        <v>0.0</v>
      </c>
      <c r="AX200" s="160">
        <v>22.0</v>
      </c>
      <c r="AY200" s="285">
        <v>45911.0</v>
      </c>
      <c r="AZ200" s="285"/>
    </row>
    <row r="201">
      <c r="A201" s="157" t="s">
        <v>97</v>
      </c>
      <c r="B201" s="157" t="s">
        <v>101</v>
      </c>
      <c r="C201" s="157" t="s">
        <v>108</v>
      </c>
      <c r="D201" s="157" t="s">
        <v>1062</v>
      </c>
      <c r="E201" s="157" t="s">
        <v>105</v>
      </c>
      <c r="F201" s="338">
        <v>45842.0</v>
      </c>
      <c r="G201" s="157" t="s">
        <v>97</v>
      </c>
      <c r="H201" s="160">
        <v>0.0</v>
      </c>
      <c r="I201" s="160">
        <v>5000000.0</v>
      </c>
      <c r="J201" s="160">
        <v>2941380.0</v>
      </c>
      <c r="K201" s="160">
        <v>0.0</v>
      </c>
      <c r="L201" s="160">
        <v>92.0</v>
      </c>
      <c r="M201" s="160">
        <v>89.0</v>
      </c>
      <c r="N201" s="160">
        <v>5.0</v>
      </c>
      <c r="O201" s="160">
        <v>97.0</v>
      </c>
      <c r="P201" s="160">
        <v>8.0</v>
      </c>
      <c r="Q201" s="160">
        <v>2916360.0</v>
      </c>
      <c r="R201" s="160">
        <v>25020.0</v>
      </c>
      <c r="S201" s="160">
        <v>15.0</v>
      </c>
      <c r="T201" s="160">
        <v>1.0</v>
      </c>
      <c r="U201" s="160">
        <v>16.0</v>
      </c>
      <c r="V201" s="160">
        <v>0.0</v>
      </c>
      <c r="W201" s="160">
        <v>106.0</v>
      </c>
      <c r="X201" s="160">
        <v>179.0</v>
      </c>
      <c r="Y201" s="160">
        <v>31.0</v>
      </c>
      <c r="Z201" s="160">
        <v>1.0</v>
      </c>
      <c r="AA201" s="160">
        <v>6.0</v>
      </c>
      <c r="AB201" s="160">
        <v>0.0</v>
      </c>
      <c r="AC201" s="160">
        <v>0.0</v>
      </c>
      <c r="AD201" s="160">
        <v>0.0</v>
      </c>
      <c r="AE201" s="160">
        <v>0.0</v>
      </c>
      <c r="AF201" s="160">
        <v>295.0</v>
      </c>
      <c r="AG201" s="160">
        <v>480.0</v>
      </c>
      <c r="AH201" s="160">
        <v>73.0</v>
      </c>
      <c r="AI201" s="160">
        <v>40293.0</v>
      </c>
      <c r="AJ201" s="160">
        <v>7.0</v>
      </c>
      <c r="AK201" s="160">
        <v>48765.0</v>
      </c>
      <c r="AL201" s="160">
        <v>0.0</v>
      </c>
      <c r="AM201" s="160">
        <v>0.0166</v>
      </c>
      <c r="AN201" s="160">
        <v>183836.0</v>
      </c>
      <c r="AO201" s="160">
        <v>0.59</v>
      </c>
      <c r="AP201" s="160">
        <v>0.0</v>
      </c>
      <c r="AQ201" s="160">
        <v>51.0</v>
      </c>
      <c r="AR201" s="160">
        <v>674.0</v>
      </c>
      <c r="AS201" s="160">
        <v>6236.01</v>
      </c>
      <c r="AT201" s="160">
        <v>1.0</v>
      </c>
      <c r="AU201" s="160">
        <v>70.0</v>
      </c>
      <c r="AV201" s="160">
        <v>16.0</v>
      </c>
      <c r="AW201" s="160">
        <v>73.0</v>
      </c>
      <c r="AX201" s="160">
        <v>8.0</v>
      </c>
      <c r="AY201" s="537"/>
      <c r="AZ201" s="537"/>
    </row>
    <row r="202">
      <c r="A202" s="157" t="s">
        <v>53</v>
      </c>
      <c r="B202" s="157" t="s">
        <v>61</v>
      </c>
      <c r="C202" s="157" t="s">
        <v>367</v>
      </c>
      <c r="D202" s="157" t="s">
        <v>1077</v>
      </c>
      <c r="E202" s="157" t="s">
        <v>368</v>
      </c>
      <c r="F202" s="338">
        <v>45845.0</v>
      </c>
      <c r="G202" s="157" t="s">
        <v>754</v>
      </c>
      <c r="H202" s="160">
        <v>0.0</v>
      </c>
      <c r="I202" s="160">
        <v>0.0</v>
      </c>
      <c r="J202" s="160">
        <v>0.0</v>
      </c>
      <c r="K202" s="160">
        <v>0.0</v>
      </c>
      <c r="L202" s="160">
        <v>4.0</v>
      </c>
      <c r="M202" s="160">
        <v>0.0</v>
      </c>
      <c r="N202" s="160">
        <v>0.0</v>
      </c>
      <c r="O202" s="160">
        <v>4.0</v>
      </c>
      <c r="P202" s="160">
        <v>4.0</v>
      </c>
      <c r="Q202" s="160">
        <v>0.0</v>
      </c>
      <c r="R202" s="160">
        <v>0.0</v>
      </c>
      <c r="S202" s="160">
        <v>0.0</v>
      </c>
      <c r="T202" s="160">
        <v>0.0</v>
      </c>
      <c r="U202" s="160">
        <v>0.0</v>
      </c>
      <c r="V202" s="160">
        <v>0.0</v>
      </c>
      <c r="W202" s="160">
        <v>0.0</v>
      </c>
      <c r="X202" s="160">
        <v>0.0</v>
      </c>
      <c r="Y202" s="160">
        <v>29.0</v>
      </c>
      <c r="Z202" s="160">
        <v>0.0</v>
      </c>
      <c r="AA202" s="160">
        <v>0.0</v>
      </c>
      <c r="AB202" s="160">
        <v>0.0</v>
      </c>
      <c r="AC202" s="160">
        <v>0.0</v>
      </c>
      <c r="AD202" s="160">
        <v>0.0</v>
      </c>
      <c r="AE202" s="160">
        <v>0.0</v>
      </c>
      <c r="AF202" s="160">
        <v>0.0</v>
      </c>
      <c r="AG202" s="160">
        <v>0.0</v>
      </c>
      <c r="AH202" s="160">
        <v>0.0</v>
      </c>
      <c r="AI202" s="160">
        <v>0.0</v>
      </c>
      <c r="AJ202" s="160">
        <v>0.0</v>
      </c>
      <c r="AK202" s="160">
        <v>37760.0</v>
      </c>
      <c r="AL202" s="160">
        <v>0.0</v>
      </c>
      <c r="AM202" s="160">
        <v>0.0</v>
      </c>
      <c r="AN202" s="160">
        <v>0.0</v>
      </c>
      <c r="AO202" s="160">
        <v>0.0</v>
      </c>
      <c r="AP202" s="160">
        <v>0.0</v>
      </c>
      <c r="AQ202" s="160">
        <v>0.0</v>
      </c>
      <c r="AR202" s="160">
        <v>0.0</v>
      </c>
      <c r="AS202" s="160">
        <v>0.0</v>
      </c>
      <c r="AT202" s="160">
        <v>0.0</v>
      </c>
      <c r="AU202" s="160">
        <v>0.0</v>
      </c>
      <c r="AV202" s="160">
        <v>0.0</v>
      </c>
      <c r="AW202" s="160">
        <v>0.0</v>
      </c>
      <c r="AX202" s="160">
        <v>4.0</v>
      </c>
      <c r="AY202" s="285">
        <v>45869.0</v>
      </c>
      <c r="AZ202" s="285"/>
    </row>
    <row r="203">
      <c r="A203" s="157" t="s">
        <v>185</v>
      </c>
      <c r="B203" s="157" t="s">
        <v>189</v>
      </c>
      <c r="C203" s="157" t="s">
        <v>286</v>
      </c>
      <c r="D203" s="157" t="s">
        <v>1016</v>
      </c>
      <c r="E203" s="157" t="s">
        <v>287</v>
      </c>
      <c r="F203" s="338">
        <v>45845.0</v>
      </c>
      <c r="G203" s="157" t="s">
        <v>203</v>
      </c>
      <c r="H203" s="160">
        <v>0.0</v>
      </c>
      <c r="I203" s="160">
        <v>6000000.0</v>
      </c>
      <c r="J203" s="160">
        <v>4668747.91</v>
      </c>
      <c r="K203" s="160">
        <v>0.0</v>
      </c>
      <c r="L203" s="160">
        <v>55.0</v>
      </c>
      <c r="M203" s="160">
        <v>55.0</v>
      </c>
      <c r="N203" s="160">
        <v>9.0</v>
      </c>
      <c r="O203" s="160">
        <v>64.0</v>
      </c>
      <c r="P203" s="160">
        <v>9.0</v>
      </c>
      <c r="Q203" s="160">
        <v>4010943.47</v>
      </c>
      <c r="R203" s="160">
        <v>657804.44</v>
      </c>
      <c r="S203" s="160">
        <v>23.0</v>
      </c>
      <c r="T203" s="160">
        <v>9.0</v>
      </c>
      <c r="U203" s="160">
        <v>32.0</v>
      </c>
      <c r="V203" s="160">
        <v>0.0</v>
      </c>
      <c r="W203" s="160">
        <v>17.0</v>
      </c>
      <c r="X203" s="160">
        <v>27.0</v>
      </c>
      <c r="Y203" s="160">
        <v>32.0</v>
      </c>
      <c r="Z203" s="160">
        <v>1.0</v>
      </c>
      <c r="AA203" s="160">
        <v>5.0</v>
      </c>
      <c r="AB203" s="160">
        <v>0.0</v>
      </c>
      <c r="AC203" s="160">
        <v>0.0</v>
      </c>
      <c r="AD203" s="160">
        <v>0.0</v>
      </c>
      <c r="AE203" s="160">
        <v>0.0</v>
      </c>
      <c r="AF203" s="160">
        <v>327.0</v>
      </c>
      <c r="AG203" s="160">
        <v>359.0</v>
      </c>
      <c r="AH203" s="160">
        <v>72.0</v>
      </c>
      <c r="AI203" s="160">
        <v>64844.0</v>
      </c>
      <c r="AJ203" s="160">
        <v>5.0</v>
      </c>
      <c r="AK203" s="160">
        <v>24120.0</v>
      </c>
      <c r="AL203" s="160">
        <v>0.0</v>
      </c>
      <c r="AM203" s="160">
        <v>0.0052</v>
      </c>
      <c r="AN203" s="160">
        <v>145898.0</v>
      </c>
      <c r="AO203" s="160">
        <v>0.78</v>
      </c>
      <c r="AP203" s="160">
        <v>0.0</v>
      </c>
      <c r="AQ203" s="160">
        <v>66.0</v>
      </c>
      <c r="AR203" s="160">
        <v>818.0</v>
      </c>
      <c r="AS203" s="160">
        <v>6533.34</v>
      </c>
      <c r="AT203" s="160">
        <v>9.0</v>
      </c>
      <c r="AU203" s="160">
        <v>119.0</v>
      </c>
      <c r="AV203" s="160">
        <v>32.0</v>
      </c>
      <c r="AW203" s="160">
        <v>23.0</v>
      </c>
      <c r="AX203" s="160">
        <v>9.0</v>
      </c>
      <c r="AY203" s="537"/>
      <c r="AZ203" s="537"/>
    </row>
    <row r="204">
      <c r="A204" s="157" t="s">
        <v>126</v>
      </c>
      <c r="B204" s="157" t="s">
        <v>130</v>
      </c>
      <c r="C204" s="157" t="s">
        <v>172</v>
      </c>
      <c r="D204" s="157" t="s">
        <v>130</v>
      </c>
      <c r="E204" s="157" t="s">
        <v>142</v>
      </c>
      <c r="F204" s="338">
        <v>45843.0</v>
      </c>
      <c r="G204" s="157" t="s">
        <v>141</v>
      </c>
      <c r="H204" s="160">
        <v>0.0</v>
      </c>
      <c r="I204" s="160">
        <v>6000000.0</v>
      </c>
      <c r="J204" s="160">
        <v>2655149.99</v>
      </c>
      <c r="K204" s="160">
        <v>0.0</v>
      </c>
      <c r="L204" s="160">
        <v>60.0</v>
      </c>
      <c r="M204" s="160">
        <v>52.0</v>
      </c>
      <c r="N204" s="160">
        <v>12.0</v>
      </c>
      <c r="O204" s="160">
        <v>72.0</v>
      </c>
      <c r="P204" s="160">
        <v>20.0</v>
      </c>
      <c r="Q204" s="160">
        <v>2352774.45</v>
      </c>
      <c r="R204" s="160">
        <v>302375.54</v>
      </c>
      <c r="S204" s="160">
        <v>29.0</v>
      </c>
      <c r="T204" s="160">
        <v>9.0</v>
      </c>
      <c r="U204" s="160">
        <v>38.0</v>
      </c>
      <c r="V204" s="160">
        <v>0.0</v>
      </c>
      <c r="W204" s="160">
        <v>20.0</v>
      </c>
      <c r="X204" s="160">
        <v>39.0</v>
      </c>
      <c r="Y204" s="160">
        <v>8.0</v>
      </c>
      <c r="Z204" s="160">
        <v>3.0</v>
      </c>
      <c r="AA204" s="160">
        <v>48.0</v>
      </c>
      <c r="AB204" s="160">
        <v>0.0</v>
      </c>
      <c r="AC204" s="160">
        <v>0.0</v>
      </c>
      <c r="AD204" s="160">
        <v>0.0</v>
      </c>
      <c r="AE204" s="160">
        <v>0.0</v>
      </c>
      <c r="AF204" s="160">
        <v>234.0</v>
      </c>
      <c r="AG204" s="160">
        <v>321.0</v>
      </c>
      <c r="AH204" s="160">
        <v>67.0</v>
      </c>
      <c r="AI204" s="160">
        <v>39629.0</v>
      </c>
      <c r="AJ204" s="160">
        <v>5.0</v>
      </c>
      <c r="AK204" s="160">
        <v>41430.0</v>
      </c>
      <c r="AL204" s="160">
        <v>0.0</v>
      </c>
      <c r="AM204" s="160">
        <v>0.0156</v>
      </c>
      <c r="AN204" s="160">
        <v>69872.0</v>
      </c>
      <c r="AO204" s="160">
        <v>0.44</v>
      </c>
      <c r="AP204" s="160">
        <v>0.0</v>
      </c>
      <c r="AQ204" s="160">
        <v>104.0</v>
      </c>
      <c r="AR204" s="160">
        <v>666.0</v>
      </c>
      <c r="AS204" s="160">
        <v>5064.12</v>
      </c>
      <c r="AT204" s="160">
        <v>9.0</v>
      </c>
      <c r="AU204" s="160">
        <v>97.0</v>
      </c>
      <c r="AV204" s="160">
        <v>38.0</v>
      </c>
      <c r="AW204" s="160">
        <v>20.0</v>
      </c>
      <c r="AX204" s="160">
        <v>14.0</v>
      </c>
      <c r="AY204" s="537"/>
      <c r="AZ204" s="537"/>
    </row>
    <row r="205">
      <c r="A205" s="157" t="s">
        <v>97</v>
      </c>
      <c r="B205" s="157" t="s">
        <v>101</v>
      </c>
      <c r="C205" s="157" t="s">
        <v>876</v>
      </c>
      <c r="D205" s="157" t="s">
        <v>1062</v>
      </c>
      <c r="E205" s="157" t="s">
        <v>1063</v>
      </c>
      <c r="F205" s="285">
        <v>45859.0</v>
      </c>
      <c r="G205" s="157" t="s">
        <v>97</v>
      </c>
      <c r="H205" s="160">
        <v>0.0</v>
      </c>
      <c r="I205" s="160">
        <v>0.0</v>
      </c>
      <c r="J205" s="160">
        <v>0.0</v>
      </c>
      <c r="K205" s="160">
        <v>0.0</v>
      </c>
      <c r="L205" s="160">
        <v>172.0</v>
      </c>
      <c r="M205" s="160">
        <v>142.0</v>
      </c>
      <c r="N205" s="160">
        <v>10.0</v>
      </c>
      <c r="O205" s="160">
        <v>182.0</v>
      </c>
      <c r="P205" s="160">
        <v>40.0</v>
      </c>
      <c r="Q205" s="160">
        <v>0.0</v>
      </c>
      <c r="R205" s="160">
        <v>0.0</v>
      </c>
      <c r="S205" s="160">
        <v>0.0</v>
      </c>
      <c r="T205" s="160">
        <v>0.0</v>
      </c>
      <c r="U205" s="160">
        <v>0.0</v>
      </c>
      <c r="V205" s="160">
        <v>0.0</v>
      </c>
      <c r="W205" s="160">
        <v>11.0</v>
      </c>
      <c r="X205" s="160">
        <v>18.0</v>
      </c>
      <c r="Y205" s="160">
        <v>3.0</v>
      </c>
      <c r="Z205" s="160">
        <v>1.0</v>
      </c>
      <c r="AA205" s="160">
        <v>10.0</v>
      </c>
      <c r="AB205" s="160">
        <v>0.0</v>
      </c>
      <c r="AC205" s="160">
        <v>0.0</v>
      </c>
      <c r="AD205" s="160">
        <v>0.0</v>
      </c>
      <c r="AE205" s="160">
        <v>0.0</v>
      </c>
      <c r="AF205" s="160">
        <v>417.0</v>
      </c>
      <c r="AG205" s="160">
        <v>445.0</v>
      </c>
      <c r="AH205" s="160">
        <v>74.0</v>
      </c>
      <c r="AI205" s="160">
        <v>0.0</v>
      </c>
      <c r="AJ205" s="160">
        <v>6.0</v>
      </c>
      <c r="AK205" s="160">
        <v>51910.0</v>
      </c>
      <c r="AL205" s="160">
        <v>0.0</v>
      </c>
      <c r="AM205" s="160">
        <v>0.0</v>
      </c>
      <c r="AN205" s="160">
        <v>0.0</v>
      </c>
      <c r="AO205" s="160">
        <v>0.0</v>
      </c>
      <c r="AP205" s="160">
        <v>0.0</v>
      </c>
      <c r="AQ205" s="160">
        <v>0.0</v>
      </c>
      <c r="AR205" s="160">
        <v>781.0</v>
      </c>
      <c r="AS205" s="160">
        <v>6059.57</v>
      </c>
      <c r="AT205" s="160">
        <v>0.0</v>
      </c>
      <c r="AU205" s="160">
        <v>43.0</v>
      </c>
      <c r="AV205" s="160">
        <v>0.0</v>
      </c>
      <c r="AW205" s="160">
        <v>142.0</v>
      </c>
      <c r="AX205" s="160">
        <v>40.0</v>
      </c>
      <c r="AY205" s="537"/>
      <c r="AZ205" s="537"/>
    </row>
    <row r="206">
      <c r="A206" s="157" t="s">
        <v>298</v>
      </c>
      <c r="B206" s="157" t="s">
        <v>301</v>
      </c>
      <c r="C206" s="157" t="s">
        <v>877</v>
      </c>
      <c r="D206" s="157" t="s">
        <v>1066</v>
      </c>
      <c r="E206" s="157" t="s">
        <v>358</v>
      </c>
      <c r="F206" s="285">
        <v>45862.0</v>
      </c>
      <c r="G206" s="157" t="s">
        <v>298</v>
      </c>
      <c r="H206" s="160">
        <v>0.0</v>
      </c>
      <c r="I206" s="160">
        <v>3600000.0</v>
      </c>
      <c r="J206" s="160">
        <v>309579.6</v>
      </c>
      <c r="K206" s="160">
        <v>0.0</v>
      </c>
      <c r="L206" s="160">
        <v>38.0</v>
      </c>
      <c r="M206" s="160">
        <v>40.0</v>
      </c>
      <c r="N206" s="160">
        <v>3.0</v>
      </c>
      <c r="O206" s="160">
        <v>41.0</v>
      </c>
      <c r="P206" s="160">
        <v>1.0</v>
      </c>
      <c r="Q206" s="160">
        <v>255358.4</v>
      </c>
      <c r="R206" s="160">
        <v>54221.2</v>
      </c>
      <c r="S206" s="160">
        <v>11.0</v>
      </c>
      <c r="T206" s="160">
        <v>3.0</v>
      </c>
      <c r="U206" s="160">
        <v>14.0</v>
      </c>
      <c r="V206" s="160">
        <v>0.0</v>
      </c>
      <c r="W206" s="160">
        <v>111.0</v>
      </c>
      <c r="X206" s="160">
        <v>216.0</v>
      </c>
      <c r="Y206" s="160">
        <v>24.0</v>
      </c>
      <c r="Z206" s="160">
        <v>1.0</v>
      </c>
      <c r="AA206" s="160">
        <v>2.0</v>
      </c>
      <c r="AB206" s="160">
        <v>0.0</v>
      </c>
      <c r="AC206" s="160">
        <v>0.0</v>
      </c>
      <c r="AD206" s="160">
        <v>0.0</v>
      </c>
      <c r="AE206" s="160">
        <v>0.0</v>
      </c>
      <c r="AF206" s="160">
        <v>112.0</v>
      </c>
      <c r="AG206" s="160">
        <v>330.0</v>
      </c>
      <c r="AH206" s="160">
        <v>70.0</v>
      </c>
      <c r="AI206" s="160">
        <v>4423.0</v>
      </c>
      <c r="AJ206" s="160">
        <v>5.0</v>
      </c>
      <c r="AK206" s="160">
        <v>39330.0</v>
      </c>
      <c r="AL206" s="160">
        <v>0.0</v>
      </c>
      <c r="AM206" s="160">
        <v>0.127</v>
      </c>
      <c r="AN206" s="160">
        <v>22113.0</v>
      </c>
      <c r="AO206" s="160">
        <v>0.09</v>
      </c>
      <c r="AP206" s="160">
        <v>0.0</v>
      </c>
      <c r="AQ206" s="160">
        <v>22.0</v>
      </c>
      <c r="AR206" s="160">
        <v>619.0</v>
      </c>
      <c r="AS206" s="160">
        <v>3953.38</v>
      </c>
      <c r="AT206" s="160">
        <v>3.0</v>
      </c>
      <c r="AU206" s="160">
        <v>99.0</v>
      </c>
      <c r="AV206" s="160">
        <v>14.0</v>
      </c>
      <c r="AW206" s="160">
        <v>26.0</v>
      </c>
      <c r="AX206" s="160">
        <v>1.0</v>
      </c>
      <c r="AY206" s="537"/>
      <c r="AZ206" s="537"/>
    </row>
    <row r="207">
      <c r="A207" s="157" t="s">
        <v>53</v>
      </c>
      <c r="B207" s="157" t="s">
        <v>56</v>
      </c>
      <c r="C207" s="157" t="s">
        <v>878</v>
      </c>
      <c r="D207" s="157" t="s">
        <v>1092</v>
      </c>
      <c r="E207" s="157" t="s">
        <v>380</v>
      </c>
      <c r="F207" s="285">
        <v>45862.0</v>
      </c>
      <c r="G207" s="157" t="s">
        <v>754</v>
      </c>
      <c r="H207" s="160">
        <v>0.0</v>
      </c>
      <c r="I207" s="160">
        <v>1500000.0</v>
      </c>
      <c r="J207" s="160">
        <v>196491.1</v>
      </c>
      <c r="K207" s="160">
        <v>0.0</v>
      </c>
      <c r="L207" s="160">
        <v>8.0</v>
      </c>
      <c r="M207" s="160">
        <v>25.0</v>
      </c>
      <c r="N207" s="160">
        <v>17.0</v>
      </c>
      <c r="O207" s="160">
        <v>25.0</v>
      </c>
      <c r="P207" s="160">
        <v>0.0</v>
      </c>
      <c r="Q207" s="160">
        <v>76454.18</v>
      </c>
      <c r="R207" s="160">
        <v>120036.92</v>
      </c>
      <c r="S207" s="160">
        <v>6.0</v>
      </c>
      <c r="T207" s="160">
        <v>17.0</v>
      </c>
      <c r="U207" s="160">
        <v>23.0</v>
      </c>
      <c r="V207" s="160">
        <v>0.0</v>
      </c>
      <c r="W207" s="160">
        <v>75.0</v>
      </c>
      <c r="X207" s="160">
        <v>155.0</v>
      </c>
      <c r="Y207" s="160">
        <v>39.0</v>
      </c>
      <c r="Z207" s="160">
        <v>1.0</v>
      </c>
      <c r="AA207" s="160">
        <v>41.0</v>
      </c>
      <c r="AB207" s="160">
        <v>0.0</v>
      </c>
      <c r="AC207" s="160">
        <v>0.0</v>
      </c>
      <c r="AD207" s="160">
        <v>2.0</v>
      </c>
      <c r="AE207" s="160">
        <v>16.0</v>
      </c>
      <c r="AF207" s="160">
        <v>182.0</v>
      </c>
      <c r="AG207" s="160">
        <v>394.0</v>
      </c>
      <c r="AH207" s="160">
        <v>62.0</v>
      </c>
      <c r="AI207" s="160">
        <v>3169.0</v>
      </c>
      <c r="AJ207" s="160">
        <v>6.0</v>
      </c>
      <c r="AK207" s="160">
        <v>25215.0</v>
      </c>
      <c r="AL207" s="160">
        <v>0.0</v>
      </c>
      <c r="AM207" s="160">
        <v>0.1283</v>
      </c>
      <c r="AN207" s="160">
        <v>8543.0</v>
      </c>
      <c r="AO207" s="160">
        <v>0.13</v>
      </c>
      <c r="AP207" s="160">
        <v>0.0</v>
      </c>
      <c r="AQ207" s="160">
        <v>31.0</v>
      </c>
      <c r="AR207" s="160">
        <v>491.0</v>
      </c>
      <c r="AS207" s="160">
        <v>3555.95</v>
      </c>
      <c r="AT207" s="160">
        <v>17.0</v>
      </c>
      <c r="AU207" s="160">
        <v>142.0</v>
      </c>
      <c r="AV207" s="160">
        <v>23.0</v>
      </c>
      <c r="AW207" s="160">
        <v>2.0</v>
      </c>
      <c r="AX207" s="160">
        <v>0.0</v>
      </c>
      <c r="AY207" s="285">
        <v>46007.0</v>
      </c>
      <c r="AZ207" s="285"/>
    </row>
    <row r="208">
      <c r="A208" s="157" t="s">
        <v>53</v>
      </c>
      <c r="B208" s="157" t="s">
        <v>56</v>
      </c>
      <c r="C208" s="157" t="s">
        <v>879</v>
      </c>
      <c r="D208" s="157" t="s">
        <v>1092</v>
      </c>
      <c r="E208" s="157" t="s">
        <v>65</v>
      </c>
      <c r="F208" s="285">
        <v>45861.0</v>
      </c>
      <c r="G208" s="157" t="s">
        <v>754</v>
      </c>
      <c r="H208" s="160">
        <v>0.0</v>
      </c>
      <c r="I208" s="160">
        <v>1500000.0</v>
      </c>
      <c r="J208" s="160">
        <v>1612860.3</v>
      </c>
      <c r="K208" s="160">
        <v>0.0</v>
      </c>
      <c r="L208" s="160">
        <v>10.0</v>
      </c>
      <c r="M208" s="160">
        <v>24.0</v>
      </c>
      <c r="N208" s="160">
        <v>15.0</v>
      </c>
      <c r="O208" s="160">
        <v>25.0</v>
      </c>
      <c r="P208" s="160">
        <v>1.0</v>
      </c>
      <c r="Q208" s="160">
        <v>234633.16</v>
      </c>
      <c r="R208" s="160">
        <v>1378227.14</v>
      </c>
      <c r="S208" s="160">
        <v>6.0</v>
      </c>
      <c r="T208" s="160">
        <v>15.0</v>
      </c>
      <c r="U208" s="160">
        <v>21.0</v>
      </c>
      <c r="V208" s="160">
        <v>0.0</v>
      </c>
      <c r="W208" s="160">
        <v>188.0</v>
      </c>
      <c r="X208" s="160">
        <v>318.0</v>
      </c>
      <c r="Y208" s="160">
        <v>52.0</v>
      </c>
      <c r="Z208" s="160">
        <v>2.0</v>
      </c>
      <c r="AA208" s="160">
        <v>42.0</v>
      </c>
      <c r="AB208" s="160">
        <v>0.0</v>
      </c>
      <c r="AC208" s="160">
        <v>0.0</v>
      </c>
      <c r="AD208" s="160">
        <v>1.0</v>
      </c>
      <c r="AE208" s="160">
        <v>1.0</v>
      </c>
      <c r="AF208" s="160">
        <v>94.0</v>
      </c>
      <c r="AG208" s="160">
        <v>455.0</v>
      </c>
      <c r="AH208" s="160">
        <v>67.0</v>
      </c>
      <c r="AI208" s="160">
        <v>24073.0</v>
      </c>
      <c r="AJ208" s="160">
        <v>7.0</v>
      </c>
      <c r="AK208" s="160">
        <v>24120.0</v>
      </c>
      <c r="AL208" s="160">
        <v>0.0</v>
      </c>
      <c r="AM208" s="160">
        <v>0.015</v>
      </c>
      <c r="AN208" s="160">
        <v>76803.0</v>
      </c>
      <c r="AO208" s="160">
        <v>1.08</v>
      </c>
      <c r="AP208" s="160">
        <v>0.0</v>
      </c>
      <c r="AQ208" s="160">
        <v>38.0</v>
      </c>
      <c r="AR208" s="160">
        <v>621.0</v>
      </c>
      <c r="AS208" s="160">
        <v>4958.7</v>
      </c>
      <c r="AT208" s="160">
        <v>15.0</v>
      </c>
      <c r="AU208" s="160">
        <v>207.0</v>
      </c>
      <c r="AV208" s="160">
        <v>21.0</v>
      </c>
      <c r="AW208" s="160">
        <v>3.0</v>
      </c>
      <c r="AX208" s="160">
        <v>1.0</v>
      </c>
      <c r="AY208" s="537"/>
      <c r="AZ208" s="537"/>
    </row>
    <row r="209">
      <c r="A209" s="157" t="s">
        <v>23</v>
      </c>
      <c r="B209" s="157" t="s">
        <v>30</v>
      </c>
      <c r="C209" s="157" t="s">
        <v>880</v>
      </c>
      <c r="D209" s="157" t="s">
        <v>30</v>
      </c>
      <c r="E209" s="157" t="s">
        <v>340</v>
      </c>
      <c r="F209" s="338">
        <v>45873.0</v>
      </c>
      <c r="G209" s="157" t="s">
        <v>23</v>
      </c>
      <c r="H209" s="160">
        <v>0.0</v>
      </c>
      <c r="I209" s="160">
        <v>0.0</v>
      </c>
      <c r="J209" s="160">
        <v>0.0</v>
      </c>
      <c r="K209" s="160">
        <v>0.0</v>
      </c>
      <c r="L209" s="160">
        <v>1.0</v>
      </c>
      <c r="M209" s="160">
        <v>0.0</v>
      </c>
      <c r="N209" s="160">
        <v>0.0</v>
      </c>
      <c r="O209" s="160">
        <v>1.0</v>
      </c>
      <c r="P209" s="160">
        <v>1.0</v>
      </c>
      <c r="Q209" s="160">
        <v>0.0</v>
      </c>
      <c r="R209" s="160">
        <v>0.0</v>
      </c>
      <c r="S209" s="160">
        <v>0.0</v>
      </c>
      <c r="T209" s="160">
        <v>0.0</v>
      </c>
      <c r="U209" s="160">
        <v>0.0</v>
      </c>
      <c r="V209" s="160">
        <v>0.0</v>
      </c>
      <c r="W209" s="160">
        <v>0.0</v>
      </c>
      <c r="X209" s="160">
        <v>0.0</v>
      </c>
      <c r="Y209" s="160">
        <v>11.0</v>
      </c>
      <c r="Z209" s="160">
        <v>0.0</v>
      </c>
      <c r="AA209" s="160">
        <v>0.0</v>
      </c>
      <c r="AB209" s="160">
        <v>0.0</v>
      </c>
      <c r="AC209" s="160">
        <v>0.0</v>
      </c>
      <c r="AD209" s="160">
        <v>0.0</v>
      </c>
      <c r="AE209" s="160">
        <v>0.0</v>
      </c>
      <c r="AF209" s="160">
        <v>0.0</v>
      </c>
      <c r="AG209" s="160">
        <v>0.0</v>
      </c>
      <c r="AH209" s="160">
        <v>0.0</v>
      </c>
      <c r="AI209" s="160">
        <v>0.0</v>
      </c>
      <c r="AJ209" s="160">
        <v>0.0</v>
      </c>
      <c r="AK209" s="160">
        <v>34600.0</v>
      </c>
      <c r="AL209" s="160">
        <v>0.0</v>
      </c>
      <c r="AM209" s="160">
        <v>0.0</v>
      </c>
      <c r="AN209" s="160">
        <v>0.0</v>
      </c>
      <c r="AO209" s="160">
        <v>0.0</v>
      </c>
      <c r="AP209" s="160">
        <v>0.0</v>
      </c>
      <c r="AQ209" s="160">
        <v>0.0</v>
      </c>
      <c r="AR209" s="160">
        <v>0.0</v>
      </c>
      <c r="AS209" s="160">
        <v>0.0</v>
      </c>
      <c r="AT209" s="160">
        <v>0.0</v>
      </c>
      <c r="AU209" s="160">
        <v>0.0</v>
      </c>
      <c r="AV209" s="160">
        <v>0.0</v>
      </c>
      <c r="AW209" s="160">
        <v>0.0</v>
      </c>
      <c r="AX209" s="160">
        <v>1.0</v>
      </c>
      <c r="AY209" s="285">
        <v>45890.0</v>
      </c>
      <c r="AZ209" s="285"/>
    </row>
    <row r="210">
      <c r="A210" s="157" t="s">
        <v>185</v>
      </c>
      <c r="B210" s="157" t="s">
        <v>189</v>
      </c>
      <c r="C210" s="157" t="s">
        <v>407</v>
      </c>
      <c r="D210" s="157" t="s">
        <v>1016</v>
      </c>
      <c r="E210" s="157" t="s">
        <v>187</v>
      </c>
      <c r="F210" s="338">
        <v>45876.0</v>
      </c>
      <c r="G210" s="157" t="s">
        <v>186</v>
      </c>
      <c r="H210" s="160">
        <v>0.0</v>
      </c>
      <c r="I210" s="160">
        <v>3000000.0</v>
      </c>
      <c r="J210" s="160">
        <v>1040578.4</v>
      </c>
      <c r="K210" s="160">
        <v>0.0</v>
      </c>
      <c r="L210" s="160">
        <v>57.0</v>
      </c>
      <c r="M210" s="160">
        <v>45.0</v>
      </c>
      <c r="N210" s="160">
        <v>2.0</v>
      </c>
      <c r="O210" s="160">
        <v>59.0</v>
      </c>
      <c r="P210" s="160">
        <v>14.0</v>
      </c>
      <c r="Q210" s="160">
        <v>631088.8</v>
      </c>
      <c r="R210" s="160">
        <v>409489.6</v>
      </c>
      <c r="S210" s="160">
        <v>10.0</v>
      </c>
      <c r="T210" s="160">
        <v>2.0</v>
      </c>
      <c r="U210" s="160">
        <v>12.0</v>
      </c>
      <c r="V210" s="160">
        <v>0.0</v>
      </c>
      <c r="W210" s="160">
        <v>5.0</v>
      </c>
      <c r="X210" s="160">
        <v>8.0</v>
      </c>
      <c r="Y210" s="160">
        <v>8.0</v>
      </c>
      <c r="Z210" s="160">
        <v>0.0</v>
      </c>
      <c r="AA210" s="160">
        <v>0.0</v>
      </c>
      <c r="AB210" s="160">
        <v>0.0</v>
      </c>
      <c r="AC210" s="160">
        <v>0.0</v>
      </c>
      <c r="AD210" s="160">
        <v>0.0</v>
      </c>
      <c r="AE210" s="160">
        <v>0.0</v>
      </c>
      <c r="AF210" s="160">
        <v>103.0</v>
      </c>
      <c r="AG210" s="160">
        <v>111.0</v>
      </c>
      <c r="AH210" s="160">
        <v>27.0</v>
      </c>
      <c r="AI210" s="160">
        <v>38540.0</v>
      </c>
      <c r="AJ210" s="160">
        <v>4.0</v>
      </c>
      <c r="AK210" s="160">
        <v>33570.0</v>
      </c>
      <c r="AL210" s="160">
        <v>0.0</v>
      </c>
      <c r="AM210" s="160">
        <v>0.0323</v>
      </c>
      <c r="AN210" s="160">
        <v>86715.0</v>
      </c>
      <c r="AO210" s="160">
        <v>0.35</v>
      </c>
      <c r="AP210" s="160">
        <v>0.0</v>
      </c>
      <c r="AQ210" s="160">
        <v>20.0</v>
      </c>
      <c r="AR210" s="160">
        <v>303.0</v>
      </c>
      <c r="AS210" s="160">
        <v>2481.36</v>
      </c>
      <c r="AT210" s="160">
        <v>2.0</v>
      </c>
      <c r="AU210" s="160">
        <v>55.0</v>
      </c>
      <c r="AV210" s="160">
        <v>12.0</v>
      </c>
      <c r="AW210" s="160">
        <v>35.0</v>
      </c>
      <c r="AX210" s="160">
        <v>12.0</v>
      </c>
      <c r="AY210" s="285">
        <v>45971.0</v>
      </c>
      <c r="AZ210" s="285"/>
    </row>
    <row r="211">
      <c r="A211" s="157" t="s">
        <v>23</v>
      </c>
      <c r="B211" s="157" t="s">
        <v>37</v>
      </c>
      <c r="C211" s="157" t="s">
        <v>41</v>
      </c>
      <c r="D211" s="157" t="s">
        <v>1110</v>
      </c>
      <c r="E211" s="157" t="s">
        <v>42</v>
      </c>
      <c r="F211" s="285">
        <v>45887.0</v>
      </c>
      <c r="G211" s="157" t="s">
        <v>23</v>
      </c>
      <c r="H211" s="160">
        <v>0.0</v>
      </c>
      <c r="I211" s="160">
        <v>3600000.0</v>
      </c>
      <c r="J211" s="160">
        <v>2134970.6</v>
      </c>
      <c r="K211" s="160">
        <v>0.0</v>
      </c>
      <c r="L211" s="160">
        <v>103.0</v>
      </c>
      <c r="M211" s="160">
        <v>106.0</v>
      </c>
      <c r="N211" s="160">
        <v>26.0</v>
      </c>
      <c r="O211" s="160">
        <v>129.0</v>
      </c>
      <c r="P211" s="160">
        <v>23.0</v>
      </c>
      <c r="Q211" s="160">
        <v>1389074.9</v>
      </c>
      <c r="R211" s="160">
        <v>745895.7</v>
      </c>
      <c r="S211" s="160">
        <v>43.0</v>
      </c>
      <c r="T211" s="160">
        <v>26.0</v>
      </c>
      <c r="U211" s="160">
        <v>69.0</v>
      </c>
      <c r="V211" s="160">
        <v>0.0</v>
      </c>
      <c r="W211" s="160">
        <v>58.0</v>
      </c>
      <c r="X211" s="160">
        <v>84.0</v>
      </c>
      <c r="Y211" s="160">
        <v>29.0</v>
      </c>
      <c r="Z211" s="160">
        <v>3.0</v>
      </c>
      <c r="AA211" s="160">
        <v>24.0</v>
      </c>
      <c r="AB211" s="160">
        <v>1.0</v>
      </c>
      <c r="AC211" s="160">
        <v>3.0</v>
      </c>
      <c r="AD211" s="160">
        <v>0.0</v>
      </c>
      <c r="AE211" s="160">
        <v>0.0</v>
      </c>
      <c r="AF211" s="160">
        <v>383.0</v>
      </c>
      <c r="AG211" s="160">
        <v>494.0</v>
      </c>
      <c r="AH211" s="160">
        <v>74.0</v>
      </c>
      <c r="AI211" s="160">
        <v>28851.0</v>
      </c>
      <c r="AJ211" s="160">
        <v>7.0</v>
      </c>
      <c r="AK211" s="160">
        <v>28835.0</v>
      </c>
      <c r="AL211" s="160">
        <v>0.0</v>
      </c>
      <c r="AM211" s="160">
        <v>0.0135</v>
      </c>
      <c r="AN211" s="160">
        <v>30942.0</v>
      </c>
      <c r="AO211" s="160">
        <v>0.59</v>
      </c>
      <c r="AP211" s="160">
        <v>0.0</v>
      </c>
      <c r="AQ211" s="160">
        <v>131.0</v>
      </c>
      <c r="AR211" s="160">
        <v>683.0</v>
      </c>
      <c r="AS211" s="160">
        <v>4217.67</v>
      </c>
      <c r="AT211" s="160">
        <v>26.0</v>
      </c>
      <c r="AU211" s="160">
        <v>40.0</v>
      </c>
      <c r="AV211" s="160">
        <v>69.0</v>
      </c>
      <c r="AW211" s="160">
        <v>38.0</v>
      </c>
      <c r="AX211" s="160">
        <v>22.0</v>
      </c>
      <c r="AY211" s="537"/>
      <c r="AZ211" s="537"/>
    </row>
    <row r="212">
      <c r="A212" s="157" t="s">
        <v>298</v>
      </c>
      <c r="B212" s="157" t="s">
        <v>301</v>
      </c>
      <c r="C212" s="157" t="s">
        <v>318</v>
      </c>
      <c r="D212" s="157" t="s">
        <v>1066</v>
      </c>
      <c r="E212" s="157" t="s">
        <v>319</v>
      </c>
      <c r="F212" s="285">
        <v>45887.0</v>
      </c>
      <c r="G212" s="157" t="s">
        <v>302</v>
      </c>
      <c r="H212" s="160">
        <v>0.0</v>
      </c>
      <c r="I212" s="160">
        <v>3600000.0</v>
      </c>
      <c r="J212" s="160">
        <v>1111473.56</v>
      </c>
      <c r="K212" s="160">
        <v>0.0</v>
      </c>
      <c r="L212" s="160">
        <v>61.0</v>
      </c>
      <c r="M212" s="160">
        <v>52.0</v>
      </c>
      <c r="N212" s="160">
        <v>3.0</v>
      </c>
      <c r="O212" s="160">
        <v>64.0</v>
      </c>
      <c r="P212" s="160">
        <v>12.0</v>
      </c>
      <c r="Q212" s="160">
        <v>1053457.06</v>
      </c>
      <c r="R212" s="160">
        <v>58016.5</v>
      </c>
      <c r="S212" s="160">
        <v>21.0</v>
      </c>
      <c r="T212" s="160">
        <v>2.0</v>
      </c>
      <c r="U212" s="160">
        <v>23.0</v>
      </c>
      <c r="V212" s="160">
        <v>0.0</v>
      </c>
      <c r="W212" s="160">
        <v>55.0</v>
      </c>
      <c r="X212" s="160">
        <v>112.0</v>
      </c>
      <c r="Y212" s="160">
        <v>38.0</v>
      </c>
      <c r="Z212" s="160">
        <v>1.0</v>
      </c>
      <c r="AA212" s="160">
        <v>47.0</v>
      </c>
      <c r="AB212" s="160">
        <v>0.0</v>
      </c>
      <c r="AC212" s="160">
        <v>0.0</v>
      </c>
      <c r="AD212" s="160">
        <v>0.0</v>
      </c>
      <c r="AE212" s="160">
        <v>0.0</v>
      </c>
      <c r="AF212" s="160">
        <v>160.0</v>
      </c>
      <c r="AG212" s="160">
        <v>319.0</v>
      </c>
      <c r="AH212" s="160">
        <v>69.0</v>
      </c>
      <c r="AI212" s="160">
        <v>16108.0</v>
      </c>
      <c r="AJ212" s="160">
        <v>5.0</v>
      </c>
      <c r="AK212" s="160">
        <v>40885.0</v>
      </c>
      <c r="AL212" s="160">
        <v>0.0</v>
      </c>
      <c r="AM212" s="160">
        <v>0.0368</v>
      </c>
      <c r="AN212" s="160">
        <v>48325.0</v>
      </c>
      <c r="AO212" s="160">
        <v>0.31</v>
      </c>
      <c r="AP212" s="160">
        <v>0.0</v>
      </c>
      <c r="AQ212" s="160">
        <v>43.0</v>
      </c>
      <c r="AR212" s="160">
        <v>726.0</v>
      </c>
      <c r="AS212" s="160">
        <v>5287.48</v>
      </c>
      <c r="AT212" s="160">
        <v>2.0</v>
      </c>
      <c r="AU212" s="160">
        <v>102.0</v>
      </c>
      <c r="AV212" s="160">
        <v>23.0</v>
      </c>
      <c r="AW212" s="160">
        <v>30.0</v>
      </c>
      <c r="AX212" s="160">
        <v>11.0</v>
      </c>
      <c r="AY212" s="537"/>
      <c r="AZ212" s="537"/>
    </row>
    <row r="213">
      <c r="A213" s="157" t="s">
        <v>97</v>
      </c>
      <c r="B213" s="157" t="s">
        <v>101</v>
      </c>
      <c r="C213" s="157" t="s">
        <v>351</v>
      </c>
      <c r="D213" s="157" t="s">
        <v>1107</v>
      </c>
      <c r="E213" s="157" t="s">
        <v>352</v>
      </c>
      <c r="F213" s="285">
        <v>45894.0</v>
      </c>
      <c r="G213" s="157" t="s">
        <v>97</v>
      </c>
      <c r="H213" s="160">
        <v>0.0</v>
      </c>
      <c r="I213" s="160">
        <v>3250000.0</v>
      </c>
      <c r="J213" s="160">
        <v>569754.0</v>
      </c>
      <c r="K213" s="160">
        <v>0.0</v>
      </c>
      <c r="L213" s="160">
        <v>43.0</v>
      </c>
      <c r="M213" s="160">
        <v>43.0</v>
      </c>
      <c r="N213" s="160">
        <v>1.0</v>
      </c>
      <c r="O213" s="160">
        <v>44.0</v>
      </c>
      <c r="P213" s="160">
        <v>1.0</v>
      </c>
      <c r="Q213" s="160">
        <v>569754.0</v>
      </c>
      <c r="R213" s="160">
        <v>0.0</v>
      </c>
      <c r="S213" s="160">
        <v>7.0</v>
      </c>
      <c r="T213" s="160">
        <v>0.0</v>
      </c>
      <c r="U213" s="160">
        <v>7.0</v>
      </c>
      <c r="V213" s="160">
        <v>0.0</v>
      </c>
      <c r="W213" s="160">
        <v>18.0</v>
      </c>
      <c r="X213" s="160">
        <v>63.0</v>
      </c>
      <c r="Y213" s="160">
        <v>0.0</v>
      </c>
      <c r="Z213" s="160">
        <v>0.0</v>
      </c>
      <c r="AA213" s="160">
        <v>0.0</v>
      </c>
      <c r="AB213" s="160">
        <v>0.0</v>
      </c>
      <c r="AC213" s="160">
        <v>0.0</v>
      </c>
      <c r="AD213" s="160">
        <v>0.0</v>
      </c>
      <c r="AE213" s="160">
        <v>0.0</v>
      </c>
      <c r="AF213" s="160">
        <v>266.0</v>
      </c>
      <c r="AG213" s="160">
        <v>329.0</v>
      </c>
      <c r="AH213" s="160">
        <v>68.0</v>
      </c>
      <c r="AI213" s="160">
        <v>8379.0</v>
      </c>
      <c r="AJ213" s="160">
        <v>5.0</v>
      </c>
      <c r="AK213" s="160">
        <v>36190.0</v>
      </c>
      <c r="AL213" s="160">
        <v>0.0</v>
      </c>
      <c r="AM213" s="160">
        <v>0.0635</v>
      </c>
      <c r="AN213" s="160">
        <v>81393.0</v>
      </c>
      <c r="AO213" s="160">
        <v>0.18</v>
      </c>
      <c r="AP213" s="160">
        <v>0.0</v>
      </c>
      <c r="AQ213" s="160">
        <v>10.0</v>
      </c>
      <c r="AR213" s="160">
        <v>561.0</v>
      </c>
      <c r="AS213" s="160">
        <v>3699.36</v>
      </c>
      <c r="AT213" s="160">
        <v>0.0</v>
      </c>
      <c r="AU213" s="160">
        <v>86.0</v>
      </c>
      <c r="AV213" s="160">
        <v>7.0</v>
      </c>
      <c r="AW213" s="160">
        <v>36.0</v>
      </c>
      <c r="AX213" s="160">
        <v>1.0</v>
      </c>
      <c r="AY213" s="537"/>
      <c r="AZ213" s="537"/>
    </row>
    <row r="214">
      <c r="A214" s="157" t="s">
        <v>185</v>
      </c>
      <c r="B214" s="157" t="s">
        <v>189</v>
      </c>
      <c r="C214" s="157" t="s">
        <v>881</v>
      </c>
      <c r="D214" s="157" t="s">
        <v>1016</v>
      </c>
      <c r="E214" s="157" t="s">
        <v>289</v>
      </c>
      <c r="F214" s="285">
        <v>45894.0</v>
      </c>
      <c r="G214" s="157" t="s">
        <v>186</v>
      </c>
      <c r="H214" s="160">
        <v>0.0</v>
      </c>
      <c r="I214" s="160">
        <v>4500000.0</v>
      </c>
      <c r="J214" s="160">
        <v>502226.63</v>
      </c>
      <c r="K214" s="160">
        <v>0.0</v>
      </c>
      <c r="L214" s="160">
        <v>90.0</v>
      </c>
      <c r="M214" s="160">
        <v>83.0</v>
      </c>
      <c r="N214" s="160">
        <v>0.0</v>
      </c>
      <c r="O214" s="160">
        <v>90.0</v>
      </c>
      <c r="P214" s="160">
        <v>7.0</v>
      </c>
      <c r="Q214" s="160">
        <v>502226.63</v>
      </c>
      <c r="R214" s="160">
        <v>0.0</v>
      </c>
      <c r="S214" s="160">
        <v>13.0</v>
      </c>
      <c r="T214" s="160">
        <v>0.0</v>
      </c>
      <c r="U214" s="160">
        <v>13.0</v>
      </c>
      <c r="V214" s="160">
        <v>0.0</v>
      </c>
      <c r="W214" s="160">
        <v>7.0</v>
      </c>
      <c r="X214" s="160">
        <v>13.0</v>
      </c>
      <c r="Y214" s="160">
        <v>1.0</v>
      </c>
      <c r="Z214" s="160">
        <v>1.0</v>
      </c>
      <c r="AA214" s="160">
        <v>15.0</v>
      </c>
      <c r="AB214" s="160">
        <v>0.0</v>
      </c>
      <c r="AC214" s="160">
        <v>0.0</v>
      </c>
      <c r="AD214" s="160">
        <v>0.0</v>
      </c>
      <c r="AE214" s="160">
        <v>0.0</v>
      </c>
      <c r="AF214" s="160">
        <v>278.0</v>
      </c>
      <c r="AG214" s="160">
        <v>306.0</v>
      </c>
      <c r="AH214" s="160">
        <v>61.0</v>
      </c>
      <c r="AI214" s="160">
        <v>8233.0</v>
      </c>
      <c r="AJ214" s="160">
        <v>5.0</v>
      </c>
      <c r="AK214" s="160">
        <v>27260.0</v>
      </c>
      <c r="AL214" s="160">
        <v>0.0</v>
      </c>
      <c r="AM214" s="160">
        <v>0.0543</v>
      </c>
      <c r="AN214" s="160">
        <v>38633.0</v>
      </c>
      <c r="AO214" s="160">
        <v>0.11</v>
      </c>
      <c r="AP214" s="160">
        <v>0.0</v>
      </c>
      <c r="AQ214" s="160">
        <v>15.0</v>
      </c>
      <c r="AR214" s="160">
        <v>542.0</v>
      </c>
      <c r="AS214" s="160">
        <v>3251.63</v>
      </c>
      <c r="AT214" s="160">
        <v>0.0</v>
      </c>
      <c r="AU214" s="160">
        <v>39.0</v>
      </c>
      <c r="AV214" s="160">
        <v>13.0</v>
      </c>
      <c r="AW214" s="160">
        <v>70.0</v>
      </c>
      <c r="AX214" s="160">
        <v>7.0</v>
      </c>
      <c r="AY214" s="537"/>
      <c r="AZ214" s="537"/>
    </row>
    <row r="215">
      <c r="A215" s="157" t="s">
        <v>298</v>
      </c>
      <c r="B215" s="157" t="s">
        <v>301</v>
      </c>
      <c r="C215" s="157" t="s">
        <v>359</v>
      </c>
      <c r="D215" s="157" t="s">
        <v>1066</v>
      </c>
      <c r="E215" s="157" t="s">
        <v>317</v>
      </c>
      <c r="F215" s="285">
        <v>45910.0</v>
      </c>
      <c r="G215" s="157" t="s">
        <v>298</v>
      </c>
      <c r="H215" s="160">
        <v>0.0</v>
      </c>
      <c r="I215" s="160">
        <v>3600000.0</v>
      </c>
      <c r="J215" s="160">
        <v>1238702.68</v>
      </c>
      <c r="K215" s="160">
        <v>0.0</v>
      </c>
      <c r="L215" s="160">
        <v>8.0</v>
      </c>
      <c r="M215" s="160">
        <v>44.0</v>
      </c>
      <c r="N215" s="160">
        <v>37.0</v>
      </c>
      <c r="O215" s="160">
        <v>45.0</v>
      </c>
      <c r="P215" s="160">
        <v>1.0</v>
      </c>
      <c r="Q215" s="160">
        <v>80877.05</v>
      </c>
      <c r="R215" s="160">
        <v>1157825.63</v>
      </c>
      <c r="S215" s="160">
        <v>4.0</v>
      </c>
      <c r="T215" s="160">
        <v>36.0</v>
      </c>
      <c r="U215" s="160">
        <v>40.0</v>
      </c>
      <c r="V215" s="160">
        <v>0.0</v>
      </c>
      <c r="W215" s="160">
        <v>136.0</v>
      </c>
      <c r="X215" s="160">
        <v>252.0</v>
      </c>
      <c r="Y215" s="160">
        <v>12.0</v>
      </c>
      <c r="Z215" s="160">
        <v>4.0</v>
      </c>
      <c r="AA215" s="160">
        <v>12.0</v>
      </c>
      <c r="AB215" s="160">
        <v>0.0</v>
      </c>
      <c r="AC215" s="160">
        <v>0.0</v>
      </c>
      <c r="AD215" s="160">
        <v>2.0</v>
      </c>
      <c r="AE215" s="160">
        <v>10.0</v>
      </c>
      <c r="AF215" s="160">
        <v>173.0</v>
      </c>
      <c r="AG215" s="160">
        <v>447.0</v>
      </c>
      <c r="AH215" s="160">
        <v>69.0</v>
      </c>
      <c r="AI215" s="160">
        <v>17952.0</v>
      </c>
      <c r="AJ215" s="160">
        <v>6.0</v>
      </c>
      <c r="AK215" s="160">
        <v>40885.0</v>
      </c>
      <c r="AL215" s="160">
        <v>0.0</v>
      </c>
      <c r="AM215" s="160">
        <v>0.033</v>
      </c>
      <c r="AN215" s="160">
        <v>30968.0</v>
      </c>
      <c r="AO215" s="160">
        <v>0.34</v>
      </c>
      <c r="AP215" s="160">
        <v>0.0</v>
      </c>
      <c r="AQ215" s="160">
        <v>77.0</v>
      </c>
      <c r="AR215" s="160">
        <v>620.0</v>
      </c>
      <c r="AS215" s="160">
        <v>4218.05</v>
      </c>
      <c r="AT215" s="160">
        <v>36.0</v>
      </c>
      <c r="AU215" s="160">
        <v>96.0</v>
      </c>
      <c r="AV215" s="160">
        <v>40.0</v>
      </c>
      <c r="AW215" s="160">
        <v>4.0</v>
      </c>
      <c r="AX215" s="160">
        <v>1.0</v>
      </c>
      <c r="AY215" s="537"/>
      <c r="AZ215" s="537"/>
    </row>
    <row r="216">
      <c r="A216" s="157" t="s">
        <v>23</v>
      </c>
      <c r="B216" s="157" t="s">
        <v>30</v>
      </c>
      <c r="C216" s="157" t="s">
        <v>882</v>
      </c>
      <c r="D216" s="157" t="s">
        <v>30</v>
      </c>
      <c r="E216" s="157" t="s">
        <v>340</v>
      </c>
      <c r="F216" s="285">
        <v>45917.0</v>
      </c>
      <c r="G216" s="157" t="s">
        <v>23</v>
      </c>
      <c r="H216" s="160">
        <v>0.0</v>
      </c>
      <c r="I216" s="160">
        <v>3600000.0</v>
      </c>
      <c r="J216" s="160">
        <v>50190.96</v>
      </c>
      <c r="K216" s="160">
        <v>0.0</v>
      </c>
      <c r="L216" s="160">
        <v>11.0</v>
      </c>
      <c r="M216" s="160">
        <v>18.0</v>
      </c>
      <c r="N216" s="160">
        <v>7.0</v>
      </c>
      <c r="O216" s="160">
        <v>18.0</v>
      </c>
      <c r="P216" s="160">
        <v>0.0</v>
      </c>
      <c r="Q216" s="160">
        <v>0.01</v>
      </c>
      <c r="R216" s="160">
        <v>50190.95</v>
      </c>
      <c r="S216" s="160">
        <v>0.0</v>
      </c>
      <c r="T216" s="160">
        <v>7.0</v>
      </c>
      <c r="U216" s="160">
        <v>7.0</v>
      </c>
      <c r="V216" s="160">
        <v>0.0</v>
      </c>
      <c r="W216" s="160">
        <v>112.0</v>
      </c>
      <c r="X216" s="160">
        <v>326.0</v>
      </c>
      <c r="Y216" s="160">
        <v>15.0</v>
      </c>
      <c r="Z216" s="160">
        <v>2.0</v>
      </c>
      <c r="AA216" s="160">
        <v>21.0</v>
      </c>
      <c r="AB216" s="160">
        <v>2.0</v>
      </c>
      <c r="AC216" s="160">
        <v>2.0</v>
      </c>
      <c r="AD216" s="160">
        <v>2.0</v>
      </c>
      <c r="AE216" s="160">
        <v>18.0</v>
      </c>
      <c r="AF216" s="160">
        <v>59.0</v>
      </c>
      <c r="AG216" s="160">
        <v>426.0</v>
      </c>
      <c r="AH216" s="160">
        <v>68.0</v>
      </c>
      <c r="AI216" s="160">
        <v>738.0</v>
      </c>
      <c r="AJ216" s="160">
        <v>6.0</v>
      </c>
      <c r="AK216" s="160">
        <v>32500.0</v>
      </c>
      <c r="AL216" s="160">
        <v>0.0</v>
      </c>
      <c r="AM216" s="160">
        <v>0.6475</v>
      </c>
      <c r="AN216" s="160">
        <v>7170.0</v>
      </c>
      <c r="AO216" s="160">
        <v>0.01</v>
      </c>
      <c r="AP216" s="160">
        <v>0.0</v>
      </c>
      <c r="AQ216" s="160">
        <v>7.0</v>
      </c>
      <c r="AR216" s="160">
        <v>597.0</v>
      </c>
      <c r="AS216" s="160">
        <v>3028.26</v>
      </c>
      <c r="AT216" s="160">
        <v>7.0</v>
      </c>
      <c r="AU216" s="160">
        <v>168.0</v>
      </c>
      <c r="AV216" s="160">
        <v>7.0</v>
      </c>
      <c r="AW216" s="160">
        <v>11.0</v>
      </c>
      <c r="AX216" s="160">
        <v>0.0</v>
      </c>
      <c r="AY216" s="537"/>
      <c r="AZ216" s="537"/>
    </row>
    <row r="217">
      <c r="A217" s="157" t="s">
        <v>53</v>
      </c>
      <c r="B217" s="157" t="s">
        <v>61</v>
      </c>
      <c r="C217" s="157" t="s">
        <v>381</v>
      </c>
      <c r="D217" s="157" t="s">
        <v>1077</v>
      </c>
      <c r="E217" s="157" t="s">
        <v>382</v>
      </c>
      <c r="F217" s="285">
        <v>45922.0</v>
      </c>
      <c r="G217" s="157" t="s">
        <v>754</v>
      </c>
      <c r="H217" s="160">
        <v>0.0</v>
      </c>
      <c r="I217" s="160">
        <v>2133333.0</v>
      </c>
      <c r="J217" s="160">
        <v>357731.03</v>
      </c>
      <c r="K217" s="160">
        <v>0.0</v>
      </c>
      <c r="L217" s="160">
        <v>14.0</v>
      </c>
      <c r="M217" s="160">
        <v>14.0</v>
      </c>
      <c r="N217" s="160">
        <v>2.0</v>
      </c>
      <c r="O217" s="160">
        <v>16.0</v>
      </c>
      <c r="P217" s="160">
        <v>2.0</v>
      </c>
      <c r="Q217" s="160">
        <v>0.0</v>
      </c>
      <c r="R217" s="160">
        <v>357731.03</v>
      </c>
      <c r="S217" s="160">
        <v>0.0</v>
      </c>
      <c r="T217" s="160">
        <v>2.0</v>
      </c>
      <c r="U217" s="160">
        <v>2.0</v>
      </c>
      <c r="V217" s="160">
        <v>0.0</v>
      </c>
      <c r="W217" s="160">
        <v>126.0</v>
      </c>
      <c r="X217" s="160">
        <v>197.0</v>
      </c>
      <c r="Y217" s="160">
        <v>13.0</v>
      </c>
      <c r="Z217" s="160">
        <v>8.0</v>
      </c>
      <c r="AA217" s="160">
        <v>10.0</v>
      </c>
      <c r="AB217" s="160">
        <v>0.0</v>
      </c>
      <c r="AC217" s="160">
        <v>0.0</v>
      </c>
      <c r="AD217" s="160">
        <v>11.0</v>
      </c>
      <c r="AE217" s="160">
        <v>19.0</v>
      </c>
      <c r="AF217" s="160">
        <v>39.0</v>
      </c>
      <c r="AG217" s="160">
        <v>265.0</v>
      </c>
      <c r="AH217" s="160">
        <v>68.0</v>
      </c>
      <c r="AI217" s="160">
        <v>5261.0</v>
      </c>
      <c r="AJ217" s="160">
        <v>4.0</v>
      </c>
      <c r="AK217" s="160">
        <v>41430.0</v>
      </c>
      <c r="AL217" s="160">
        <v>0.0</v>
      </c>
      <c r="AM217" s="160">
        <v>0.1158</v>
      </c>
      <c r="AN217" s="160">
        <v>178866.0</v>
      </c>
      <c r="AO217" s="160">
        <v>0.17</v>
      </c>
      <c r="AP217" s="160">
        <v>0.0</v>
      </c>
      <c r="AQ217" s="160">
        <v>3.0</v>
      </c>
      <c r="AR217" s="160">
        <v>568.0</v>
      </c>
      <c r="AS217" s="160">
        <v>6620.27</v>
      </c>
      <c r="AT217" s="160">
        <v>2.0</v>
      </c>
      <c r="AU217" s="160">
        <v>473.0</v>
      </c>
      <c r="AV217" s="160">
        <v>2.0</v>
      </c>
      <c r="AW217" s="160">
        <v>12.0</v>
      </c>
      <c r="AX217" s="160">
        <v>2.0</v>
      </c>
      <c r="AY217" s="537"/>
      <c r="AZ217" s="537"/>
    </row>
    <row r="218">
      <c r="A218" s="157" t="s">
        <v>298</v>
      </c>
      <c r="B218" s="157" t="s">
        <v>301</v>
      </c>
      <c r="C218" s="157" t="s">
        <v>320</v>
      </c>
      <c r="D218" s="157" t="s">
        <v>1066</v>
      </c>
      <c r="E218" s="157" t="s">
        <v>321</v>
      </c>
      <c r="F218" s="338">
        <v>45936.0</v>
      </c>
      <c r="G218" s="157" t="s">
        <v>302</v>
      </c>
      <c r="H218" s="160">
        <v>0.0</v>
      </c>
      <c r="I218" s="160">
        <v>3600000.0</v>
      </c>
      <c r="J218" s="160">
        <v>25753.0</v>
      </c>
      <c r="K218" s="160">
        <v>0.0</v>
      </c>
      <c r="L218" s="160">
        <v>19.0</v>
      </c>
      <c r="M218" s="160">
        <v>20.0</v>
      </c>
      <c r="N218" s="160">
        <v>2.0</v>
      </c>
      <c r="O218" s="160">
        <v>21.0</v>
      </c>
      <c r="P218" s="160">
        <v>1.0</v>
      </c>
      <c r="Q218" s="160">
        <v>0.0</v>
      </c>
      <c r="R218" s="160">
        <v>25753.0</v>
      </c>
      <c r="S218" s="160">
        <v>0.0</v>
      </c>
      <c r="T218" s="160">
        <v>2.0</v>
      </c>
      <c r="U218" s="160">
        <v>2.0</v>
      </c>
      <c r="V218" s="160">
        <v>0.0</v>
      </c>
      <c r="W218" s="160">
        <v>99.0</v>
      </c>
      <c r="X218" s="160">
        <v>252.0</v>
      </c>
      <c r="Y218" s="160">
        <v>0.0</v>
      </c>
      <c r="Z218" s="160">
        <v>1.0</v>
      </c>
      <c r="AA218" s="160">
        <v>16.0</v>
      </c>
      <c r="AB218" s="160">
        <v>1.0</v>
      </c>
      <c r="AC218" s="160">
        <v>3.0</v>
      </c>
      <c r="AD218" s="160">
        <v>0.0</v>
      </c>
      <c r="AE218" s="160">
        <v>0.0</v>
      </c>
      <c r="AF218" s="160">
        <v>69.0</v>
      </c>
      <c r="AG218" s="160">
        <v>340.0</v>
      </c>
      <c r="AH218" s="160">
        <v>69.0</v>
      </c>
      <c r="AI218" s="160">
        <v>373.0</v>
      </c>
      <c r="AJ218" s="160">
        <v>5.0</v>
      </c>
      <c r="AK218" s="160">
        <v>34100.0</v>
      </c>
      <c r="AL218" s="160">
        <v>0.0</v>
      </c>
      <c r="AM218" s="160">
        <v>1.3241</v>
      </c>
      <c r="AN218" s="160">
        <v>12877.0</v>
      </c>
      <c r="AO218" s="160">
        <v>0.01</v>
      </c>
      <c r="AP218" s="160">
        <v>0.0</v>
      </c>
      <c r="AQ218" s="160">
        <v>2.0</v>
      </c>
      <c r="AR218" s="160">
        <v>489.0</v>
      </c>
      <c r="AS218" s="160">
        <v>1332.61</v>
      </c>
      <c r="AT218" s="160">
        <v>2.0</v>
      </c>
      <c r="AU218" s="160">
        <v>67.0</v>
      </c>
      <c r="AV218" s="160">
        <v>2.0</v>
      </c>
      <c r="AW218" s="160">
        <v>18.0</v>
      </c>
      <c r="AX218" s="160">
        <v>1.0</v>
      </c>
      <c r="AY218" s="537"/>
      <c r="AZ218" s="537"/>
    </row>
    <row r="219">
      <c r="A219" s="157" t="s">
        <v>97</v>
      </c>
      <c r="B219" s="157" t="s">
        <v>101</v>
      </c>
      <c r="C219" s="157" t="s">
        <v>109</v>
      </c>
      <c r="D219" s="157" t="s">
        <v>1062</v>
      </c>
      <c r="E219" s="157" t="s">
        <v>110</v>
      </c>
      <c r="F219" s="338">
        <v>45933.0</v>
      </c>
      <c r="G219" s="157" t="s">
        <v>876</v>
      </c>
      <c r="H219" s="160">
        <v>0.0</v>
      </c>
      <c r="I219" s="160">
        <v>3000000.0</v>
      </c>
      <c r="J219" s="160">
        <v>1307582.4</v>
      </c>
      <c r="K219" s="160">
        <v>0.0</v>
      </c>
      <c r="L219" s="160">
        <v>53.0</v>
      </c>
      <c r="M219" s="160">
        <v>63.0</v>
      </c>
      <c r="N219" s="160">
        <v>10.0</v>
      </c>
      <c r="O219" s="160">
        <v>63.0</v>
      </c>
      <c r="P219" s="160">
        <v>0.0</v>
      </c>
      <c r="Q219" s="160">
        <v>1112834.4</v>
      </c>
      <c r="R219" s="160">
        <v>194748.0</v>
      </c>
      <c r="S219" s="160">
        <v>25.0</v>
      </c>
      <c r="T219" s="160">
        <v>10.0</v>
      </c>
      <c r="U219" s="160">
        <v>35.0</v>
      </c>
      <c r="V219" s="160">
        <v>0.0</v>
      </c>
      <c r="W219" s="160">
        <v>15.0</v>
      </c>
      <c r="X219" s="160">
        <v>53.0</v>
      </c>
      <c r="Y219" s="160">
        <v>0.0</v>
      </c>
      <c r="Z219" s="160">
        <v>1.0</v>
      </c>
      <c r="AA219" s="160">
        <v>10.0</v>
      </c>
      <c r="AB219" s="160">
        <v>0.0</v>
      </c>
      <c r="AC219" s="160">
        <v>0.0</v>
      </c>
      <c r="AD219" s="160">
        <v>0.0</v>
      </c>
      <c r="AE219" s="160">
        <v>0.0</v>
      </c>
      <c r="AF219" s="160">
        <v>455.0</v>
      </c>
      <c r="AG219" s="160">
        <v>518.0</v>
      </c>
      <c r="AH219" s="160">
        <v>71.0</v>
      </c>
      <c r="AI219" s="160">
        <v>18417.0</v>
      </c>
      <c r="AJ219" s="160">
        <v>7.0</v>
      </c>
      <c r="AK219" s="160">
        <v>27000.0</v>
      </c>
      <c r="AL219" s="160">
        <v>0.0</v>
      </c>
      <c r="AM219" s="160">
        <v>0.0206</v>
      </c>
      <c r="AN219" s="160">
        <v>37359.0</v>
      </c>
      <c r="AO219" s="160">
        <v>0.44</v>
      </c>
      <c r="AP219" s="160">
        <v>0.0</v>
      </c>
      <c r="AQ219" s="160">
        <v>76.0</v>
      </c>
      <c r="AR219" s="160">
        <v>697.0</v>
      </c>
      <c r="AS219" s="160">
        <v>4196.65</v>
      </c>
      <c r="AT219" s="160">
        <v>10.0</v>
      </c>
      <c r="AU219" s="160">
        <v>67.0</v>
      </c>
      <c r="AV219" s="160">
        <v>35.0</v>
      </c>
      <c r="AW219" s="160">
        <v>28.0</v>
      </c>
      <c r="AX219" s="160">
        <v>0.0</v>
      </c>
      <c r="AY219" s="537"/>
      <c r="AZ219" s="537"/>
    </row>
    <row r="220">
      <c r="A220" s="157" t="s">
        <v>47</v>
      </c>
      <c r="B220" s="157" t="s">
        <v>422</v>
      </c>
      <c r="C220" s="157" t="s">
        <v>424</v>
      </c>
      <c r="D220" s="157" t="s">
        <v>1094</v>
      </c>
      <c r="E220" s="157" t="s">
        <v>425</v>
      </c>
      <c r="F220" s="285">
        <v>45944.0</v>
      </c>
      <c r="G220" s="157" t="s">
        <v>866</v>
      </c>
      <c r="H220" s="160">
        <v>0.0</v>
      </c>
      <c r="I220" s="160">
        <v>0.0</v>
      </c>
      <c r="J220" s="160">
        <v>0.0</v>
      </c>
      <c r="K220" s="160">
        <v>0.0</v>
      </c>
      <c r="L220" s="160">
        <v>0.0</v>
      </c>
      <c r="M220" s="160">
        <v>0.0</v>
      </c>
      <c r="N220" s="160">
        <v>0.0</v>
      </c>
      <c r="O220" s="160">
        <v>0.0</v>
      </c>
      <c r="P220" s="160">
        <v>0.0</v>
      </c>
      <c r="Q220" s="160">
        <v>0.0</v>
      </c>
      <c r="R220" s="160">
        <v>0.0</v>
      </c>
      <c r="S220" s="160">
        <v>0.0</v>
      </c>
      <c r="T220" s="160">
        <v>0.0</v>
      </c>
      <c r="U220" s="160">
        <v>0.0</v>
      </c>
      <c r="V220" s="160">
        <v>0.0</v>
      </c>
      <c r="W220" s="160">
        <v>0.0</v>
      </c>
      <c r="X220" s="160">
        <v>0.0</v>
      </c>
      <c r="Y220" s="160">
        <v>3.0</v>
      </c>
      <c r="Z220" s="160">
        <v>1.0</v>
      </c>
      <c r="AA220" s="160">
        <v>1.0</v>
      </c>
      <c r="AB220" s="160">
        <v>0.0</v>
      </c>
      <c r="AC220" s="160">
        <v>0.0</v>
      </c>
      <c r="AD220" s="160">
        <v>8.0</v>
      </c>
      <c r="AE220" s="160">
        <v>8.0</v>
      </c>
      <c r="AF220" s="160">
        <v>0.0</v>
      </c>
      <c r="AG220" s="160">
        <v>9.0</v>
      </c>
      <c r="AH220" s="160">
        <v>4.0</v>
      </c>
      <c r="AI220" s="160">
        <v>0.0</v>
      </c>
      <c r="AJ220" s="160">
        <v>2.0</v>
      </c>
      <c r="AK220" s="160">
        <v>24115.0</v>
      </c>
      <c r="AL220" s="160">
        <v>0.0</v>
      </c>
      <c r="AM220" s="160">
        <v>0.0</v>
      </c>
      <c r="AN220" s="160">
        <v>0.0</v>
      </c>
      <c r="AO220" s="160">
        <v>0.0</v>
      </c>
      <c r="AP220" s="160">
        <v>0.0</v>
      </c>
      <c r="AQ220" s="160">
        <v>0.0</v>
      </c>
      <c r="AR220" s="160">
        <v>41.0</v>
      </c>
      <c r="AS220" s="160">
        <v>68.82</v>
      </c>
      <c r="AT220" s="160">
        <v>0.0</v>
      </c>
      <c r="AU220" s="160">
        <v>0.0</v>
      </c>
      <c r="AV220" s="160">
        <v>0.0</v>
      </c>
      <c r="AW220" s="160">
        <v>0.0</v>
      </c>
      <c r="AX220" s="160">
        <v>0.0</v>
      </c>
      <c r="AY220" s="285">
        <v>45961.0</v>
      </c>
      <c r="AZ220" s="285"/>
    </row>
    <row r="221">
      <c r="A221" s="157" t="s">
        <v>126</v>
      </c>
      <c r="B221" s="157" t="s">
        <v>135</v>
      </c>
      <c r="C221" s="157" t="s">
        <v>175</v>
      </c>
      <c r="D221" s="157" t="s">
        <v>1042</v>
      </c>
      <c r="E221" s="157" t="s">
        <v>176</v>
      </c>
      <c r="F221" s="338">
        <v>45964.0</v>
      </c>
      <c r="G221" s="157" t="s">
        <v>136</v>
      </c>
      <c r="H221" s="160">
        <v>0.0</v>
      </c>
      <c r="I221" s="160">
        <v>2800000.0</v>
      </c>
      <c r="J221" s="160">
        <v>520169.3</v>
      </c>
      <c r="K221" s="160">
        <v>85398.89</v>
      </c>
      <c r="L221" s="160">
        <v>44.0</v>
      </c>
      <c r="M221" s="160">
        <v>58.0</v>
      </c>
      <c r="N221" s="160">
        <v>16.0</v>
      </c>
      <c r="O221" s="160">
        <v>60.0</v>
      </c>
      <c r="P221" s="160">
        <v>2.0</v>
      </c>
      <c r="Q221" s="160">
        <v>310746.1</v>
      </c>
      <c r="R221" s="160">
        <v>209423.2</v>
      </c>
      <c r="S221" s="160">
        <v>17.0</v>
      </c>
      <c r="T221" s="160">
        <v>16.0</v>
      </c>
      <c r="U221" s="160">
        <v>33.0</v>
      </c>
      <c r="V221" s="160">
        <v>1.0</v>
      </c>
      <c r="W221" s="160">
        <v>140.0</v>
      </c>
      <c r="X221" s="160">
        <v>178.0</v>
      </c>
      <c r="Y221" s="160">
        <v>22.0</v>
      </c>
      <c r="Z221" s="160">
        <v>2.0</v>
      </c>
      <c r="AA221" s="160">
        <v>36.0</v>
      </c>
      <c r="AB221" s="160">
        <v>1.0</v>
      </c>
      <c r="AC221" s="160">
        <v>1.0</v>
      </c>
      <c r="AD221" s="160">
        <v>1.0</v>
      </c>
      <c r="AE221" s="160">
        <v>1.0</v>
      </c>
      <c r="AF221" s="160">
        <v>104.0</v>
      </c>
      <c r="AG221" s="160">
        <v>320.0</v>
      </c>
      <c r="AH221" s="160">
        <v>49.0</v>
      </c>
      <c r="AI221" s="160">
        <v>10616.0</v>
      </c>
      <c r="AJ221" s="160">
        <v>7.0</v>
      </c>
      <c r="AK221" s="160">
        <v>36190.0</v>
      </c>
      <c r="AL221" s="160">
        <v>0.0</v>
      </c>
      <c r="AM221" s="160">
        <v>0.0696</v>
      </c>
      <c r="AN221" s="160">
        <v>15763.0</v>
      </c>
      <c r="AO221" s="160">
        <v>0.19</v>
      </c>
      <c r="AP221" s="160">
        <v>0.0</v>
      </c>
      <c r="AQ221" s="160">
        <v>43.0</v>
      </c>
      <c r="AR221" s="160">
        <v>520.0</v>
      </c>
      <c r="AS221" s="160">
        <v>2948.09</v>
      </c>
      <c r="AT221" s="160">
        <v>16.0</v>
      </c>
      <c r="AU221" s="160">
        <v>51.0</v>
      </c>
      <c r="AV221" s="160">
        <v>33.0</v>
      </c>
      <c r="AW221" s="160">
        <v>25.0</v>
      </c>
      <c r="AX221" s="160">
        <v>2.0</v>
      </c>
      <c r="AY221" s="537"/>
      <c r="AZ221" s="537"/>
    </row>
    <row r="222">
      <c r="A222" s="157" t="s">
        <v>126</v>
      </c>
      <c r="B222" s="157" t="s">
        <v>130</v>
      </c>
      <c r="C222" s="157" t="s">
        <v>177</v>
      </c>
      <c r="D222" s="157" t="s">
        <v>130</v>
      </c>
      <c r="E222" s="157" t="s">
        <v>178</v>
      </c>
      <c r="F222" s="338">
        <v>45964.0</v>
      </c>
      <c r="G222" s="157" t="s">
        <v>580</v>
      </c>
      <c r="H222" s="160">
        <v>0.0</v>
      </c>
      <c r="I222" s="160">
        <v>4000000.0</v>
      </c>
      <c r="J222" s="160">
        <v>83318.75</v>
      </c>
      <c r="K222" s="160">
        <v>0.0</v>
      </c>
      <c r="L222" s="160">
        <v>11.0</v>
      </c>
      <c r="M222" s="160">
        <v>17.0</v>
      </c>
      <c r="N222" s="160">
        <v>6.0</v>
      </c>
      <c r="O222" s="160">
        <v>17.0</v>
      </c>
      <c r="P222" s="160">
        <v>0.0</v>
      </c>
      <c r="Q222" s="160">
        <v>11011.0</v>
      </c>
      <c r="R222" s="160">
        <v>72307.75</v>
      </c>
      <c r="S222" s="160">
        <v>1.0</v>
      </c>
      <c r="T222" s="160">
        <v>6.0</v>
      </c>
      <c r="U222" s="160">
        <v>7.0</v>
      </c>
      <c r="V222" s="160">
        <v>0.0</v>
      </c>
      <c r="W222" s="160">
        <v>51.0</v>
      </c>
      <c r="X222" s="160">
        <v>115.0</v>
      </c>
      <c r="Y222" s="160">
        <v>8.0</v>
      </c>
      <c r="Z222" s="160">
        <v>5.0</v>
      </c>
      <c r="AA222" s="160">
        <v>27.0</v>
      </c>
      <c r="AB222" s="160">
        <v>0.0</v>
      </c>
      <c r="AC222" s="160">
        <v>0.0</v>
      </c>
      <c r="AD222" s="160">
        <v>13.0</v>
      </c>
      <c r="AE222" s="160">
        <v>34.0</v>
      </c>
      <c r="AF222" s="160">
        <v>53.0</v>
      </c>
      <c r="AG222" s="160">
        <v>229.0</v>
      </c>
      <c r="AH222" s="160">
        <v>50.0</v>
      </c>
      <c r="AI222" s="160">
        <v>1666.0</v>
      </c>
      <c r="AJ222" s="160">
        <v>5.0</v>
      </c>
      <c r="AK222" s="160">
        <v>65825.0</v>
      </c>
      <c r="AL222" s="160">
        <v>0.0</v>
      </c>
      <c r="AM222" s="160">
        <v>0.79</v>
      </c>
      <c r="AN222" s="160">
        <v>11903.0</v>
      </c>
      <c r="AO222" s="160">
        <v>0.02</v>
      </c>
      <c r="AP222" s="160">
        <v>0.0</v>
      </c>
      <c r="AQ222" s="160">
        <v>7.0</v>
      </c>
      <c r="AR222" s="160">
        <v>455.0</v>
      </c>
      <c r="AS222" s="160">
        <v>2114.43</v>
      </c>
      <c r="AT222" s="160">
        <v>6.0</v>
      </c>
      <c r="AU222" s="160">
        <v>124.0</v>
      </c>
      <c r="AV222" s="160">
        <v>7.0</v>
      </c>
      <c r="AW222" s="160">
        <v>10.0</v>
      </c>
      <c r="AX222" s="160">
        <v>0.0</v>
      </c>
      <c r="AY222" s="537"/>
      <c r="AZ222" s="537"/>
    </row>
    <row r="223">
      <c r="A223" s="157" t="s">
        <v>53</v>
      </c>
      <c r="B223" s="157" t="s">
        <v>61</v>
      </c>
      <c r="C223" s="157" t="s">
        <v>884</v>
      </c>
      <c r="D223" s="157" t="s">
        <v>1077</v>
      </c>
      <c r="E223" s="157" t="s">
        <v>1119</v>
      </c>
      <c r="F223" s="338">
        <v>45964.0</v>
      </c>
      <c r="G223" s="157" t="s">
        <v>381</v>
      </c>
      <c r="H223" s="160">
        <v>0.0</v>
      </c>
      <c r="I223" s="160">
        <v>500000.0</v>
      </c>
      <c r="J223" s="160">
        <v>0.0</v>
      </c>
      <c r="K223" s="160">
        <v>0.0</v>
      </c>
      <c r="L223" s="160">
        <v>5.0</v>
      </c>
      <c r="M223" s="160">
        <v>5.0</v>
      </c>
      <c r="N223" s="160">
        <v>0.0</v>
      </c>
      <c r="O223" s="160">
        <v>5.0</v>
      </c>
      <c r="P223" s="160">
        <v>0.0</v>
      </c>
      <c r="Q223" s="160">
        <v>0.0</v>
      </c>
      <c r="R223" s="160">
        <v>0.0</v>
      </c>
      <c r="S223" s="160">
        <v>0.0</v>
      </c>
      <c r="T223" s="160">
        <v>0.0</v>
      </c>
      <c r="U223" s="160">
        <v>0.0</v>
      </c>
      <c r="V223" s="160">
        <v>0.0</v>
      </c>
      <c r="W223" s="160">
        <v>21.0</v>
      </c>
      <c r="X223" s="160">
        <v>21.0</v>
      </c>
      <c r="Y223" s="160">
        <v>0.0</v>
      </c>
      <c r="Z223" s="160">
        <v>0.0</v>
      </c>
      <c r="AA223" s="160">
        <v>0.0</v>
      </c>
      <c r="AB223" s="160">
        <v>0.0</v>
      </c>
      <c r="AC223" s="160">
        <v>0.0</v>
      </c>
      <c r="AD223" s="160">
        <v>1.0</v>
      </c>
      <c r="AE223" s="160">
        <v>2.0</v>
      </c>
      <c r="AF223" s="160">
        <v>5.0</v>
      </c>
      <c r="AG223" s="160">
        <v>28.0</v>
      </c>
      <c r="AH223" s="160">
        <v>6.0</v>
      </c>
      <c r="AI223" s="160">
        <v>0.0</v>
      </c>
      <c r="AJ223" s="160">
        <v>5.0</v>
      </c>
      <c r="AK223" s="160">
        <v>24115.0</v>
      </c>
      <c r="AL223" s="160">
        <v>0.0</v>
      </c>
      <c r="AM223" s="160">
        <v>0.0</v>
      </c>
      <c r="AN223" s="160">
        <v>0.0</v>
      </c>
      <c r="AO223" s="160">
        <v>0.0</v>
      </c>
      <c r="AP223" s="160">
        <v>0.0</v>
      </c>
      <c r="AQ223" s="160">
        <v>0.0</v>
      </c>
      <c r="AR223" s="160">
        <v>48.0</v>
      </c>
      <c r="AS223" s="160">
        <v>320.02</v>
      </c>
      <c r="AT223" s="160">
        <v>0.0</v>
      </c>
      <c r="AU223" s="160">
        <v>64.0</v>
      </c>
      <c r="AV223" s="160">
        <v>0.0</v>
      </c>
      <c r="AW223" s="160">
        <v>5.0</v>
      </c>
      <c r="AX223" s="160">
        <v>0.0</v>
      </c>
      <c r="AY223" s="285">
        <v>45972.0</v>
      </c>
      <c r="AZ223" s="285"/>
    </row>
    <row r="224">
      <c r="A224" s="157" t="s">
        <v>126</v>
      </c>
      <c r="B224" s="157" t="s">
        <v>135</v>
      </c>
      <c r="C224" s="157" t="s">
        <v>179</v>
      </c>
      <c r="D224" s="157" t="s">
        <v>1042</v>
      </c>
      <c r="E224" s="157" t="s">
        <v>180</v>
      </c>
      <c r="F224" s="285">
        <v>45971.0</v>
      </c>
      <c r="G224" s="157" t="s">
        <v>772</v>
      </c>
      <c r="H224" s="160">
        <v>0.0</v>
      </c>
      <c r="I224" s="160">
        <v>2400000.0</v>
      </c>
      <c r="J224" s="160">
        <v>8787.28</v>
      </c>
      <c r="K224" s="160">
        <v>0.0</v>
      </c>
      <c r="L224" s="160">
        <v>15.0</v>
      </c>
      <c r="M224" s="160">
        <v>17.0</v>
      </c>
      <c r="N224" s="160">
        <v>3.0</v>
      </c>
      <c r="O224" s="160">
        <v>18.0</v>
      </c>
      <c r="P224" s="160">
        <v>1.0</v>
      </c>
      <c r="Q224" s="160">
        <v>0.0</v>
      </c>
      <c r="R224" s="160">
        <v>8787.28</v>
      </c>
      <c r="S224" s="160">
        <v>0.0</v>
      </c>
      <c r="T224" s="160">
        <v>2.0</v>
      </c>
      <c r="U224" s="160">
        <v>2.0</v>
      </c>
      <c r="V224" s="160">
        <v>0.0</v>
      </c>
      <c r="W224" s="160">
        <v>67.0</v>
      </c>
      <c r="X224" s="160">
        <v>82.0</v>
      </c>
      <c r="Y224" s="160">
        <v>10.0</v>
      </c>
      <c r="Z224" s="160">
        <v>1.0</v>
      </c>
      <c r="AA224" s="160">
        <v>9.0</v>
      </c>
      <c r="AB224" s="160">
        <v>0.0</v>
      </c>
      <c r="AC224" s="160">
        <v>0.0</v>
      </c>
      <c r="AD224" s="160">
        <v>0.0</v>
      </c>
      <c r="AE224" s="160">
        <v>0.0</v>
      </c>
      <c r="AF224" s="160">
        <v>22.0</v>
      </c>
      <c r="AG224" s="160">
        <v>113.0</v>
      </c>
      <c r="AH224" s="160">
        <v>28.0</v>
      </c>
      <c r="AI224" s="160">
        <v>314.0</v>
      </c>
      <c r="AJ224" s="160">
        <v>4.0</v>
      </c>
      <c r="AK224" s="160">
        <v>32500.0</v>
      </c>
      <c r="AL224" s="160">
        <v>0.0</v>
      </c>
      <c r="AM224" s="160">
        <v>3.6985</v>
      </c>
      <c r="AN224" s="160">
        <v>4394.0</v>
      </c>
      <c r="AO224" s="160">
        <v>0.0</v>
      </c>
      <c r="AP224" s="160">
        <v>0.0</v>
      </c>
      <c r="AQ224" s="160">
        <v>2.0</v>
      </c>
      <c r="AR224" s="160">
        <v>326.0</v>
      </c>
      <c r="AS224" s="160">
        <v>4150.53</v>
      </c>
      <c r="AT224" s="160">
        <v>2.0</v>
      </c>
      <c r="AU224" s="160">
        <v>244.0</v>
      </c>
      <c r="AV224" s="160">
        <v>2.0</v>
      </c>
      <c r="AW224" s="160">
        <v>15.0</v>
      </c>
      <c r="AX224" s="160">
        <v>1.0</v>
      </c>
      <c r="AY224" s="537"/>
      <c r="AZ224" s="537"/>
    </row>
    <row r="225">
      <c r="A225" s="157" t="s">
        <v>185</v>
      </c>
      <c r="B225" s="157" t="s">
        <v>85</v>
      </c>
      <c r="C225" s="157" t="s">
        <v>400</v>
      </c>
      <c r="D225" s="157" t="s">
        <v>1058</v>
      </c>
      <c r="E225" s="157" t="s">
        <v>398</v>
      </c>
      <c r="F225" s="285">
        <v>45855.0</v>
      </c>
      <c r="G225" s="157" t="s">
        <v>97</v>
      </c>
      <c r="H225" s="160">
        <v>0.0</v>
      </c>
      <c r="I225" s="160">
        <v>1500000.0</v>
      </c>
      <c r="J225" s="160">
        <v>0.0</v>
      </c>
      <c r="K225" s="160">
        <v>0.0</v>
      </c>
      <c r="L225" s="160">
        <v>6.0</v>
      </c>
      <c r="M225" s="160">
        <v>6.0</v>
      </c>
      <c r="N225" s="160">
        <v>0.0</v>
      </c>
      <c r="O225" s="160">
        <v>6.0</v>
      </c>
      <c r="P225" s="160">
        <v>0.0</v>
      </c>
      <c r="Q225" s="160">
        <v>0.0</v>
      </c>
      <c r="R225" s="160">
        <v>0.0</v>
      </c>
      <c r="S225" s="160">
        <v>0.0</v>
      </c>
      <c r="T225" s="160">
        <v>0.0</v>
      </c>
      <c r="U225" s="160">
        <v>0.0</v>
      </c>
      <c r="V225" s="160">
        <v>0.0</v>
      </c>
      <c r="W225" s="160">
        <v>26.0</v>
      </c>
      <c r="X225" s="160">
        <v>66.0</v>
      </c>
      <c r="Y225" s="160">
        <v>4.0</v>
      </c>
      <c r="Z225" s="160">
        <v>0.0</v>
      </c>
      <c r="AA225" s="160">
        <v>0.0</v>
      </c>
      <c r="AB225" s="160">
        <v>0.0</v>
      </c>
      <c r="AC225" s="160">
        <v>0.0</v>
      </c>
      <c r="AD225" s="160">
        <v>1.0</v>
      </c>
      <c r="AE225" s="160">
        <v>6.0</v>
      </c>
      <c r="AF225" s="160">
        <v>18.0</v>
      </c>
      <c r="AG225" s="160">
        <v>90.0</v>
      </c>
      <c r="AH225" s="160">
        <v>17.0</v>
      </c>
      <c r="AI225" s="160">
        <v>0.0</v>
      </c>
      <c r="AJ225" s="160">
        <v>5.0</v>
      </c>
      <c r="AK225" s="160">
        <v>48765.0</v>
      </c>
      <c r="AL225" s="160">
        <v>0.0</v>
      </c>
      <c r="AM225" s="160">
        <v>0.0</v>
      </c>
      <c r="AN225" s="160">
        <v>0.0</v>
      </c>
      <c r="AO225" s="160">
        <v>0.0</v>
      </c>
      <c r="AP225" s="160">
        <v>0.0</v>
      </c>
      <c r="AQ225" s="160">
        <v>0.0</v>
      </c>
      <c r="AR225" s="160">
        <v>146.0</v>
      </c>
      <c r="AS225" s="160">
        <v>525.93</v>
      </c>
      <c r="AT225" s="160">
        <v>0.0</v>
      </c>
      <c r="AU225" s="160">
        <v>88.0</v>
      </c>
      <c r="AV225" s="160">
        <v>0.0</v>
      </c>
      <c r="AW225" s="160">
        <v>6.0</v>
      </c>
      <c r="AX225" s="160">
        <v>0.0</v>
      </c>
      <c r="AY225" s="285">
        <v>46010.0</v>
      </c>
      <c r="AZ225" s="285"/>
    </row>
    <row r="226">
      <c r="A226" s="157" t="s">
        <v>53</v>
      </c>
      <c r="B226" s="157" t="s">
        <v>61</v>
      </c>
      <c r="C226" s="157" t="s">
        <v>66</v>
      </c>
      <c r="D226" s="157" t="s">
        <v>1077</v>
      </c>
      <c r="E226" s="157" t="s">
        <v>67</v>
      </c>
      <c r="F226" s="285">
        <v>45979.0</v>
      </c>
      <c r="G226" s="157" t="s">
        <v>754</v>
      </c>
      <c r="H226" s="160">
        <v>0.0</v>
      </c>
      <c r="I226" s="160">
        <v>800000.0</v>
      </c>
      <c r="J226" s="160">
        <v>61777.66</v>
      </c>
      <c r="K226" s="160">
        <v>0.0</v>
      </c>
      <c r="L226" s="160">
        <v>21.0</v>
      </c>
      <c r="M226" s="160">
        <v>22.0</v>
      </c>
      <c r="N226" s="160">
        <v>3.0</v>
      </c>
      <c r="O226" s="160">
        <v>24.0</v>
      </c>
      <c r="P226" s="160">
        <v>2.0</v>
      </c>
      <c r="Q226" s="160">
        <v>11730.6</v>
      </c>
      <c r="R226" s="160">
        <v>50047.06</v>
      </c>
      <c r="S226" s="160">
        <v>1.0</v>
      </c>
      <c r="T226" s="160">
        <v>3.0</v>
      </c>
      <c r="U226" s="160">
        <v>4.0</v>
      </c>
      <c r="V226" s="160">
        <v>0.0</v>
      </c>
      <c r="W226" s="160">
        <v>96.0</v>
      </c>
      <c r="X226" s="160">
        <v>126.0</v>
      </c>
      <c r="Y226" s="160">
        <v>14.0</v>
      </c>
      <c r="Z226" s="160">
        <v>1.0</v>
      </c>
      <c r="AA226" s="160">
        <v>27.0</v>
      </c>
      <c r="AB226" s="160">
        <v>0.0</v>
      </c>
      <c r="AC226" s="160">
        <v>0.0</v>
      </c>
      <c r="AD226" s="160">
        <v>1.0</v>
      </c>
      <c r="AE226" s="160">
        <v>1.0</v>
      </c>
      <c r="AF226" s="160">
        <v>41.0</v>
      </c>
      <c r="AG226" s="160">
        <v>195.0</v>
      </c>
      <c r="AH226" s="160">
        <v>29.0</v>
      </c>
      <c r="AI226" s="160">
        <v>2130.0</v>
      </c>
      <c r="AJ226" s="160">
        <v>7.0</v>
      </c>
      <c r="AK226" s="160">
        <v>37740.0</v>
      </c>
      <c r="AL226" s="160">
        <v>0.0</v>
      </c>
      <c r="AM226" s="160">
        <v>0.6109</v>
      </c>
      <c r="AN226" s="160">
        <v>15444.0</v>
      </c>
      <c r="AO226" s="160">
        <v>0.08</v>
      </c>
      <c r="AP226" s="160">
        <v>0.0</v>
      </c>
      <c r="AQ226" s="160">
        <v>4.0</v>
      </c>
      <c r="AR226" s="160">
        <v>299.0</v>
      </c>
      <c r="AS226" s="160">
        <v>1355.7</v>
      </c>
      <c r="AT226" s="160">
        <v>3.0</v>
      </c>
      <c r="AU226" s="160">
        <v>62.0</v>
      </c>
      <c r="AV226" s="160">
        <v>4.0</v>
      </c>
      <c r="AW226" s="160">
        <v>18.0</v>
      </c>
      <c r="AX226" s="160">
        <v>2.0</v>
      </c>
      <c r="AY226" s="537"/>
      <c r="AZ226" s="537"/>
    </row>
    <row r="227">
      <c r="A227" s="157" t="s">
        <v>53</v>
      </c>
      <c r="B227" s="157" t="s">
        <v>56</v>
      </c>
      <c r="C227" s="157" t="s">
        <v>70</v>
      </c>
      <c r="D227" s="157" t="s">
        <v>1092</v>
      </c>
      <c r="E227" s="157" t="s">
        <v>71</v>
      </c>
      <c r="F227" s="338">
        <v>45992.0</v>
      </c>
      <c r="G227" s="157" t="s">
        <v>754</v>
      </c>
      <c r="H227" s="160">
        <v>0.0</v>
      </c>
      <c r="I227" s="160">
        <v>600000.0</v>
      </c>
      <c r="J227" s="160">
        <v>57493.99</v>
      </c>
      <c r="K227" s="160">
        <v>0.0</v>
      </c>
      <c r="L227" s="160">
        <v>5.0</v>
      </c>
      <c r="M227" s="160">
        <v>4.0</v>
      </c>
      <c r="N227" s="160">
        <v>1.0</v>
      </c>
      <c r="O227" s="160">
        <v>6.0</v>
      </c>
      <c r="P227" s="160">
        <v>2.0</v>
      </c>
      <c r="Q227" s="160">
        <v>46374.19</v>
      </c>
      <c r="R227" s="160">
        <v>11119.8</v>
      </c>
      <c r="S227" s="160">
        <v>1.0</v>
      </c>
      <c r="T227" s="160">
        <v>1.0</v>
      </c>
      <c r="U227" s="160">
        <v>2.0</v>
      </c>
      <c r="V227" s="160">
        <v>0.0</v>
      </c>
      <c r="W227" s="160">
        <v>109.0</v>
      </c>
      <c r="X227" s="160">
        <v>149.0</v>
      </c>
      <c r="Y227" s="160">
        <v>21.0</v>
      </c>
      <c r="Z227" s="160">
        <v>1.0</v>
      </c>
      <c r="AA227" s="160">
        <v>12.0</v>
      </c>
      <c r="AB227" s="160">
        <v>0.0</v>
      </c>
      <c r="AC227" s="160">
        <v>0.0</v>
      </c>
      <c r="AD227" s="160">
        <v>2.0</v>
      </c>
      <c r="AE227" s="160">
        <v>3.0</v>
      </c>
      <c r="AF227" s="160">
        <v>9.0</v>
      </c>
      <c r="AG227" s="160">
        <v>173.0</v>
      </c>
      <c r="AH227" s="160">
        <v>22.0</v>
      </c>
      <c r="AI227" s="160">
        <v>2613.0</v>
      </c>
      <c r="AJ227" s="160">
        <v>8.0</v>
      </c>
      <c r="AK227" s="160">
        <v>28834.0</v>
      </c>
      <c r="AL227" s="160">
        <v>0.0</v>
      </c>
      <c r="AM227" s="160">
        <v>0.5015</v>
      </c>
      <c r="AN227" s="160">
        <v>28747.0</v>
      </c>
      <c r="AO227" s="160">
        <v>0.03</v>
      </c>
      <c r="AP227" s="160">
        <v>0.0</v>
      </c>
      <c r="AQ227" s="160">
        <v>2.0</v>
      </c>
      <c r="AR227" s="160">
        <v>206.0</v>
      </c>
      <c r="AS227" s="160">
        <v>1001.24</v>
      </c>
      <c r="AT227" s="160">
        <v>1.0</v>
      </c>
      <c r="AU227" s="160">
        <v>250.0</v>
      </c>
      <c r="AV227" s="160">
        <v>2.0</v>
      </c>
      <c r="AW227" s="160">
        <v>2.0</v>
      </c>
      <c r="AX227" s="160">
        <v>2.0</v>
      </c>
      <c r="AY227" s="537"/>
      <c r="AZ227" s="537"/>
    </row>
    <row r="228">
      <c r="A228" s="157" t="s">
        <v>53</v>
      </c>
      <c r="B228" s="157" t="s">
        <v>61</v>
      </c>
      <c r="C228" s="157" t="s">
        <v>68</v>
      </c>
      <c r="D228" s="157" t="s">
        <v>1077</v>
      </c>
      <c r="E228" s="157" t="s">
        <v>69</v>
      </c>
      <c r="F228" s="338">
        <v>45992.0</v>
      </c>
      <c r="G228" s="157" t="s">
        <v>754</v>
      </c>
      <c r="H228" s="160">
        <v>0.0</v>
      </c>
      <c r="I228" s="160">
        <v>500000.0</v>
      </c>
      <c r="J228" s="160">
        <v>0.0</v>
      </c>
      <c r="K228" s="160">
        <v>0.0</v>
      </c>
      <c r="L228" s="160">
        <v>15.0</v>
      </c>
      <c r="M228" s="160">
        <v>14.0</v>
      </c>
      <c r="N228" s="160">
        <v>0.0</v>
      </c>
      <c r="O228" s="160">
        <v>15.0</v>
      </c>
      <c r="P228" s="160">
        <v>1.0</v>
      </c>
      <c r="Q228" s="160">
        <v>0.0</v>
      </c>
      <c r="R228" s="160">
        <v>0.0</v>
      </c>
      <c r="S228" s="160">
        <v>0.0</v>
      </c>
      <c r="T228" s="160">
        <v>0.0</v>
      </c>
      <c r="U228" s="160">
        <v>0.0</v>
      </c>
      <c r="V228" s="160">
        <v>0.0</v>
      </c>
      <c r="W228" s="160">
        <v>73.0</v>
      </c>
      <c r="X228" s="160">
        <v>122.0</v>
      </c>
      <c r="Y228" s="160">
        <v>8.0</v>
      </c>
      <c r="Z228" s="160">
        <v>2.0</v>
      </c>
      <c r="AA228" s="160">
        <v>2.0</v>
      </c>
      <c r="AB228" s="160">
        <v>0.0</v>
      </c>
      <c r="AC228" s="160">
        <v>0.0</v>
      </c>
      <c r="AD228" s="160">
        <v>2.0</v>
      </c>
      <c r="AE228" s="160">
        <v>3.0</v>
      </c>
      <c r="AF228" s="160">
        <v>19.0</v>
      </c>
      <c r="AG228" s="160">
        <v>146.0</v>
      </c>
      <c r="AH228" s="160">
        <v>22.0</v>
      </c>
      <c r="AI228" s="160">
        <v>0.0</v>
      </c>
      <c r="AJ228" s="160">
        <v>7.0</v>
      </c>
      <c r="AK228" s="160">
        <v>24116.0</v>
      </c>
      <c r="AL228" s="160">
        <v>0.0</v>
      </c>
      <c r="AM228" s="160">
        <v>0.0</v>
      </c>
      <c r="AN228" s="160">
        <v>0.0</v>
      </c>
      <c r="AO228" s="160">
        <v>0.0</v>
      </c>
      <c r="AP228" s="160">
        <v>0.0</v>
      </c>
      <c r="AQ228" s="160">
        <v>0.0</v>
      </c>
      <c r="AR228" s="160">
        <v>190.0</v>
      </c>
      <c r="AS228" s="160">
        <v>1331.71</v>
      </c>
      <c r="AT228" s="160">
        <v>0.0</v>
      </c>
      <c r="AU228" s="160">
        <v>95.0</v>
      </c>
      <c r="AV228" s="160">
        <v>0.0</v>
      </c>
      <c r="AW228" s="160">
        <v>14.0</v>
      </c>
      <c r="AX228" s="160">
        <v>1.0</v>
      </c>
      <c r="AY228" s="537"/>
      <c r="AZ228" s="537"/>
    </row>
    <row r="229">
      <c r="A229" s="157" t="s">
        <v>126</v>
      </c>
      <c r="B229" s="157" t="s">
        <v>135</v>
      </c>
      <c r="C229" s="157" t="s">
        <v>181</v>
      </c>
      <c r="D229" s="157" t="s">
        <v>1042</v>
      </c>
      <c r="E229" s="157" t="s">
        <v>182</v>
      </c>
      <c r="F229" s="338">
        <v>45999.0</v>
      </c>
      <c r="G229" s="157" t="s">
        <v>133</v>
      </c>
      <c r="H229" s="160">
        <v>0.0</v>
      </c>
      <c r="I229" s="160">
        <v>1500000.0</v>
      </c>
      <c r="J229" s="160">
        <v>52727.52</v>
      </c>
      <c r="K229" s="160">
        <v>0.0</v>
      </c>
      <c r="L229" s="160">
        <v>2.0</v>
      </c>
      <c r="M229" s="160">
        <v>6.0</v>
      </c>
      <c r="N229" s="160">
        <v>4.0</v>
      </c>
      <c r="O229" s="160">
        <v>6.0</v>
      </c>
      <c r="P229" s="160">
        <v>0.0</v>
      </c>
      <c r="Q229" s="160">
        <v>0.0</v>
      </c>
      <c r="R229" s="160">
        <v>52727.52</v>
      </c>
      <c r="S229" s="160">
        <v>0.0</v>
      </c>
      <c r="T229" s="160">
        <v>4.0</v>
      </c>
      <c r="U229" s="160">
        <v>4.0</v>
      </c>
      <c r="V229" s="160">
        <v>0.0</v>
      </c>
      <c r="W229" s="160">
        <v>68.0</v>
      </c>
      <c r="X229" s="160">
        <v>88.0</v>
      </c>
      <c r="Y229" s="160">
        <v>10.0</v>
      </c>
      <c r="Z229" s="160">
        <v>0.0</v>
      </c>
      <c r="AA229" s="160">
        <v>0.0</v>
      </c>
      <c r="AB229" s="160">
        <v>1.0</v>
      </c>
      <c r="AC229" s="160">
        <v>3.0</v>
      </c>
      <c r="AD229" s="160">
        <v>0.0</v>
      </c>
      <c r="AE229" s="160">
        <v>0.0</v>
      </c>
      <c r="AF229" s="160">
        <v>18.0</v>
      </c>
      <c r="AG229" s="160">
        <v>109.0</v>
      </c>
      <c r="AH229" s="160">
        <v>17.0</v>
      </c>
      <c r="AI229" s="160">
        <v>3102.0</v>
      </c>
      <c r="AJ229" s="160">
        <v>6.0</v>
      </c>
      <c r="AK229" s="160">
        <v>32500.0</v>
      </c>
      <c r="AL229" s="160">
        <v>0.0</v>
      </c>
      <c r="AM229" s="160">
        <v>0.6164</v>
      </c>
      <c r="AN229" s="160">
        <v>13182.0</v>
      </c>
      <c r="AO229" s="160">
        <v>0.0</v>
      </c>
      <c r="AP229" s="160">
        <v>0.0</v>
      </c>
      <c r="AQ229" s="160">
        <v>4.0</v>
      </c>
      <c r="AR229" s="160">
        <v>139.0</v>
      </c>
      <c r="AS229" s="160">
        <v>1005.53</v>
      </c>
      <c r="AT229" s="160">
        <v>4.0</v>
      </c>
      <c r="AU229" s="160">
        <v>168.0</v>
      </c>
      <c r="AV229" s="160">
        <v>4.0</v>
      </c>
      <c r="AW229" s="160">
        <v>2.0</v>
      </c>
      <c r="AX229" s="160">
        <v>0.0</v>
      </c>
      <c r="AY229" s="537"/>
      <c r="AZ229" s="537"/>
    </row>
    <row r="230">
      <c r="A230" s="157" t="s">
        <v>23</v>
      </c>
      <c r="B230" s="157" t="s">
        <v>30</v>
      </c>
      <c r="C230" s="157" t="s">
        <v>43</v>
      </c>
      <c r="D230" s="157" t="s">
        <v>30</v>
      </c>
      <c r="E230" s="157" t="s">
        <v>44</v>
      </c>
      <c r="F230" s="285">
        <v>46002.0</v>
      </c>
      <c r="G230" s="157" t="s">
        <v>23</v>
      </c>
      <c r="H230" s="160">
        <v>0.0</v>
      </c>
      <c r="I230" s="160">
        <v>774194.0</v>
      </c>
      <c r="J230" s="160">
        <v>458961.05</v>
      </c>
      <c r="K230" s="160">
        <v>0.0</v>
      </c>
      <c r="L230" s="160">
        <v>46.0</v>
      </c>
      <c r="M230" s="160">
        <v>42.0</v>
      </c>
      <c r="N230" s="160">
        <v>5.0</v>
      </c>
      <c r="O230" s="160">
        <v>51.0</v>
      </c>
      <c r="P230" s="160">
        <v>9.0</v>
      </c>
      <c r="Q230" s="160">
        <v>371205.29</v>
      </c>
      <c r="R230" s="160">
        <v>87755.76</v>
      </c>
      <c r="S230" s="160">
        <v>22.0</v>
      </c>
      <c r="T230" s="160">
        <v>5.0</v>
      </c>
      <c r="U230" s="160">
        <v>27.0</v>
      </c>
      <c r="V230" s="160">
        <v>0.0</v>
      </c>
      <c r="W230" s="160">
        <v>36.0</v>
      </c>
      <c r="X230" s="160">
        <v>43.0</v>
      </c>
      <c r="Y230" s="160">
        <v>13.0</v>
      </c>
      <c r="Z230" s="160">
        <v>1.0</v>
      </c>
      <c r="AA230" s="160">
        <v>9.0</v>
      </c>
      <c r="AB230" s="160">
        <v>0.0</v>
      </c>
      <c r="AC230" s="160">
        <v>0.0</v>
      </c>
      <c r="AD230" s="160">
        <v>0.0</v>
      </c>
      <c r="AE230" s="160">
        <v>0.0</v>
      </c>
      <c r="AF230" s="160">
        <v>73.0</v>
      </c>
      <c r="AG230" s="160">
        <v>125.0</v>
      </c>
      <c r="AH230" s="160">
        <v>18.0</v>
      </c>
      <c r="AI230" s="160">
        <v>25498.0</v>
      </c>
      <c r="AJ230" s="160">
        <v>7.0</v>
      </c>
      <c r="AK230" s="160">
        <v>30405.0</v>
      </c>
      <c r="AL230" s="160">
        <v>0.0</v>
      </c>
      <c r="AM230" s="160">
        <v>0.0662</v>
      </c>
      <c r="AN230" s="160">
        <v>16999.0</v>
      </c>
      <c r="AO230" s="160">
        <v>0.59</v>
      </c>
      <c r="AP230" s="160">
        <v>0.0</v>
      </c>
      <c r="AQ230" s="160">
        <v>32.0</v>
      </c>
      <c r="AR230" s="160">
        <v>180.0</v>
      </c>
      <c r="AS230" s="160">
        <v>1022.81</v>
      </c>
      <c r="AT230" s="160">
        <v>5.0</v>
      </c>
      <c r="AU230" s="160">
        <v>24.0</v>
      </c>
      <c r="AV230" s="160">
        <v>27.0</v>
      </c>
      <c r="AW230" s="160">
        <v>15.0</v>
      </c>
      <c r="AX230" s="160">
        <v>9.0</v>
      </c>
      <c r="AY230" s="537"/>
      <c r="AZ230" s="537"/>
    </row>
    <row r="231">
      <c r="A231" s="157" t="s">
        <v>126</v>
      </c>
      <c r="B231" s="157" t="s">
        <v>135</v>
      </c>
      <c r="C231" s="157" t="s">
        <v>183</v>
      </c>
      <c r="D231" s="157" t="s">
        <v>1042</v>
      </c>
      <c r="E231" s="157" t="s">
        <v>184</v>
      </c>
      <c r="F231" s="338">
        <v>46023.0</v>
      </c>
      <c r="G231" s="157" t="s">
        <v>136</v>
      </c>
      <c r="H231" s="160">
        <v>0.0</v>
      </c>
      <c r="I231" s="160">
        <v>0.0</v>
      </c>
      <c r="J231" s="160">
        <v>0.0</v>
      </c>
      <c r="K231" s="160">
        <v>0.0</v>
      </c>
      <c r="L231" s="160">
        <v>4.0</v>
      </c>
      <c r="M231" s="160">
        <v>0.0</v>
      </c>
      <c r="N231" s="160">
        <v>0.0</v>
      </c>
      <c r="O231" s="160">
        <v>4.0</v>
      </c>
      <c r="P231" s="160">
        <v>4.0</v>
      </c>
      <c r="Q231" s="160">
        <v>0.0</v>
      </c>
      <c r="R231" s="160">
        <v>0.0</v>
      </c>
      <c r="S231" s="160">
        <v>0.0</v>
      </c>
      <c r="T231" s="160">
        <v>0.0</v>
      </c>
      <c r="U231" s="160">
        <v>0.0</v>
      </c>
      <c r="V231" s="160">
        <v>0.0</v>
      </c>
      <c r="W231" s="160">
        <v>0.0</v>
      </c>
      <c r="X231" s="160">
        <v>0.0</v>
      </c>
      <c r="Y231" s="160">
        <v>16.0</v>
      </c>
      <c r="Z231" s="160">
        <v>0.0</v>
      </c>
      <c r="AA231" s="160">
        <v>0.0</v>
      </c>
      <c r="AB231" s="160">
        <v>0.0</v>
      </c>
      <c r="AC231" s="160">
        <v>0.0</v>
      </c>
      <c r="AD231" s="160">
        <v>0.0</v>
      </c>
      <c r="AE231" s="160">
        <v>0.0</v>
      </c>
      <c r="AF231" s="160">
        <v>0.0</v>
      </c>
      <c r="AG231" s="160">
        <v>0.0</v>
      </c>
      <c r="AH231" s="160">
        <v>0.0</v>
      </c>
      <c r="AI231" s="160">
        <v>0.0</v>
      </c>
      <c r="AJ231" s="160">
        <v>0.0</v>
      </c>
      <c r="AK231" s="160">
        <v>36485.0</v>
      </c>
      <c r="AL231" s="160">
        <v>0.0</v>
      </c>
      <c r="AM231" s="160">
        <v>0.0</v>
      </c>
      <c r="AN231" s="160">
        <v>0.0</v>
      </c>
      <c r="AO231" s="160">
        <v>0.0</v>
      </c>
      <c r="AP231" s="160">
        <v>0.0</v>
      </c>
      <c r="AQ231" s="160">
        <v>0.0</v>
      </c>
      <c r="AR231" s="160">
        <v>0.0</v>
      </c>
      <c r="AS231" s="160">
        <v>0.0</v>
      </c>
      <c r="AT231" s="160">
        <v>0.0</v>
      </c>
      <c r="AU231" s="160">
        <v>0.0</v>
      </c>
      <c r="AV231" s="160">
        <v>0.0</v>
      </c>
      <c r="AW231" s="160">
        <v>0.0</v>
      </c>
      <c r="AX231" s="160">
        <v>4.0</v>
      </c>
      <c r="AY231" s="537"/>
      <c r="AZ231" s="537"/>
    </row>
    <row r="232">
      <c r="A232" s="157" t="s">
        <v>322</v>
      </c>
      <c r="B232" s="157" t="s">
        <v>325</v>
      </c>
      <c r="C232" s="157" t="s">
        <v>332</v>
      </c>
      <c r="D232" s="157" t="s">
        <v>1049</v>
      </c>
      <c r="E232" s="157" t="s">
        <v>333</v>
      </c>
      <c r="F232" s="338">
        <v>46027.0</v>
      </c>
      <c r="G232" s="157" t="s">
        <v>322</v>
      </c>
      <c r="H232" s="160">
        <v>0.0</v>
      </c>
      <c r="I232" s="160">
        <v>0.0</v>
      </c>
      <c r="J232" s="160">
        <v>0.0</v>
      </c>
      <c r="K232" s="160">
        <v>0.0</v>
      </c>
      <c r="L232" s="160">
        <v>4.0</v>
      </c>
      <c r="M232" s="160">
        <v>0.0</v>
      </c>
      <c r="N232" s="160">
        <v>0.0</v>
      </c>
      <c r="O232" s="160">
        <v>4.0</v>
      </c>
      <c r="P232" s="160">
        <v>4.0</v>
      </c>
      <c r="Q232" s="160">
        <v>0.0</v>
      </c>
      <c r="R232" s="160">
        <v>0.0</v>
      </c>
      <c r="S232" s="160">
        <v>0.0</v>
      </c>
      <c r="T232" s="160">
        <v>0.0</v>
      </c>
      <c r="U232" s="160">
        <v>0.0</v>
      </c>
      <c r="V232" s="160">
        <v>0.0</v>
      </c>
      <c r="W232" s="160">
        <v>0.0</v>
      </c>
      <c r="X232" s="160">
        <v>0.0</v>
      </c>
      <c r="Y232" s="160">
        <v>17.0</v>
      </c>
      <c r="Z232" s="160">
        <v>0.0</v>
      </c>
      <c r="AA232" s="160">
        <v>0.0</v>
      </c>
      <c r="AB232" s="160">
        <v>0.0</v>
      </c>
      <c r="AC232" s="160">
        <v>0.0</v>
      </c>
      <c r="AD232" s="160">
        <v>0.0</v>
      </c>
      <c r="AE232" s="160">
        <v>0.0</v>
      </c>
      <c r="AF232" s="160">
        <v>0.0</v>
      </c>
      <c r="AG232" s="160">
        <v>0.0</v>
      </c>
      <c r="AH232" s="160">
        <v>0.0</v>
      </c>
      <c r="AI232" s="160">
        <v>0.0</v>
      </c>
      <c r="AJ232" s="160">
        <v>0.0</v>
      </c>
      <c r="AK232" s="160">
        <v>46670.0</v>
      </c>
      <c r="AL232" s="160">
        <v>0.0</v>
      </c>
      <c r="AM232" s="160">
        <v>0.0</v>
      </c>
      <c r="AN232" s="160">
        <v>0.0</v>
      </c>
      <c r="AO232" s="160">
        <v>0.0</v>
      </c>
      <c r="AP232" s="160">
        <v>0.0</v>
      </c>
      <c r="AQ232" s="160">
        <v>0.0</v>
      </c>
      <c r="AR232" s="160">
        <v>0.0</v>
      </c>
      <c r="AS232" s="160">
        <v>0.0</v>
      </c>
      <c r="AT232" s="160">
        <v>0.0</v>
      </c>
      <c r="AU232" s="160">
        <v>0.0</v>
      </c>
      <c r="AV232" s="160">
        <v>0.0</v>
      </c>
      <c r="AW232" s="160">
        <v>0.0</v>
      </c>
      <c r="AX232" s="160">
        <v>4.0</v>
      </c>
      <c r="AY232" s="537"/>
      <c r="AZ232" s="537"/>
    </row>
    <row r="233">
      <c r="A233" s="157" t="s">
        <v>322</v>
      </c>
      <c r="B233" s="157" t="s">
        <v>325</v>
      </c>
      <c r="C233" s="157" t="s">
        <v>330</v>
      </c>
      <c r="D233" s="157" t="s">
        <v>1049</v>
      </c>
      <c r="E233" s="157" t="s">
        <v>331</v>
      </c>
      <c r="F233" s="338">
        <v>46027.0</v>
      </c>
      <c r="G233" s="157" t="s">
        <v>322</v>
      </c>
      <c r="H233" s="160">
        <v>0.0</v>
      </c>
      <c r="I233" s="160">
        <v>0.0</v>
      </c>
      <c r="J233" s="160">
        <v>0.0</v>
      </c>
      <c r="K233" s="160">
        <v>0.0</v>
      </c>
      <c r="L233" s="160">
        <v>0.0</v>
      </c>
      <c r="M233" s="160">
        <v>0.0</v>
      </c>
      <c r="N233" s="160">
        <v>0.0</v>
      </c>
      <c r="O233" s="160">
        <v>0.0</v>
      </c>
      <c r="P233" s="160">
        <v>0.0</v>
      </c>
      <c r="Q233" s="160">
        <v>0.0</v>
      </c>
      <c r="R233" s="160">
        <v>0.0</v>
      </c>
      <c r="S233" s="160">
        <v>0.0</v>
      </c>
      <c r="T233" s="160">
        <v>0.0</v>
      </c>
      <c r="U233" s="160">
        <v>0.0</v>
      </c>
      <c r="V233" s="160">
        <v>0.0</v>
      </c>
      <c r="W233" s="160">
        <v>0.0</v>
      </c>
      <c r="X233" s="160">
        <v>0.0</v>
      </c>
      <c r="Y233" s="160">
        <v>0.0</v>
      </c>
      <c r="Z233" s="160">
        <v>0.0</v>
      </c>
      <c r="AA233" s="160">
        <v>0.0</v>
      </c>
      <c r="AB233" s="160">
        <v>0.0</v>
      </c>
      <c r="AC233" s="160">
        <v>0.0</v>
      </c>
      <c r="AD233" s="160">
        <v>0.0</v>
      </c>
      <c r="AE233" s="160">
        <v>0.0</v>
      </c>
      <c r="AF233" s="160">
        <v>0.0</v>
      </c>
      <c r="AG233" s="160">
        <v>0.0</v>
      </c>
      <c r="AH233" s="160">
        <v>0.0</v>
      </c>
      <c r="AI233" s="160">
        <v>0.0</v>
      </c>
      <c r="AJ233" s="160">
        <v>0.0</v>
      </c>
      <c r="AK233" s="160">
        <v>26215.0</v>
      </c>
      <c r="AL233" s="160">
        <v>0.0</v>
      </c>
      <c r="AM233" s="160">
        <v>0.0</v>
      </c>
      <c r="AN233" s="160">
        <v>0.0</v>
      </c>
      <c r="AO233" s="160">
        <v>0.0</v>
      </c>
      <c r="AP233" s="160">
        <v>0.0</v>
      </c>
      <c r="AQ233" s="160">
        <v>0.0</v>
      </c>
      <c r="AR233" s="160">
        <v>0.0</v>
      </c>
      <c r="AS233" s="160">
        <v>0.0</v>
      </c>
      <c r="AT233" s="160">
        <v>0.0</v>
      </c>
      <c r="AU233" s="160">
        <v>0.0</v>
      </c>
      <c r="AV233" s="160">
        <v>0.0</v>
      </c>
      <c r="AW233" s="160">
        <v>0.0</v>
      </c>
      <c r="AX233" s="160">
        <v>0.0</v>
      </c>
      <c r="AY233" s="537"/>
      <c r="AZ233" s="537"/>
    </row>
  </sheetData>
  <conditionalFormatting sqref="C2:C233">
    <cfRule type="expression" dxfId="6" priority="1">
      <formula>countif(C:C,C2)&gt;1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63"/>
    <col customWidth="1" min="2" max="2" width="10.38"/>
    <col customWidth="1" min="4" max="4" width="17.25"/>
    <col hidden="1" min="5" max="5" width="12.63"/>
    <col customWidth="1" hidden="1" min="6" max="6" width="24.0"/>
    <col customWidth="1" min="7" max="7" width="5.88"/>
    <col customWidth="1" min="8" max="8" width="13.13"/>
    <col customWidth="1" min="9" max="9" width="6.88"/>
    <col customWidth="1" hidden="1" min="10" max="32" width="9.38"/>
    <col customWidth="1" min="33" max="34" width="9.38"/>
    <col customWidth="1" min="35" max="35" width="7.0"/>
    <col customWidth="1" min="36" max="36" width="9.38"/>
    <col customWidth="1" min="37" max="37" width="7.88"/>
    <col customWidth="1" min="38" max="38" width="7.25"/>
    <col customWidth="1" min="39" max="40" width="5.5"/>
    <col customWidth="1" min="41" max="41" width="6.75"/>
  </cols>
  <sheetData>
    <row r="1">
      <c r="A1" s="428"/>
      <c r="B1" s="538" t="s">
        <v>1393</v>
      </c>
      <c r="C1" s="538"/>
      <c r="D1" s="538" t="s">
        <v>1394</v>
      </c>
      <c r="E1" s="539"/>
      <c r="F1" s="539"/>
      <c r="G1" s="540">
        <v>4.0</v>
      </c>
      <c r="H1" s="541" t="s">
        <v>1395</v>
      </c>
      <c r="I1" s="541">
        <v>2.0</v>
      </c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  <c r="AN1" s="122"/>
      <c r="AO1" s="122"/>
      <c r="AP1" s="428"/>
    </row>
    <row r="2">
      <c r="A2" s="542"/>
      <c r="B2" s="543" t="s">
        <v>1396</v>
      </c>
      <c r="C2" s="544">
        <f>count(A4:A15)</f>
        <v>12</v>
      </c>
      <c r="D2" s="543" t="s">
        <v>1397</v>
      </c>
      <c r="E2" s="545"/>
      <c r="F2" s="545"/>
      <c r="G2" s="544">
        <f>COUNTBLANK(C4:C15)</f>
        <v>5</v>
      </c>
      <c r="H2" s="541" t="s">
        <v>1398</v>
      </c>
      <c r="I2" s="541">
        <v>2.0</v>
      </c>
      <c r="J2" s="546"/>
      <c r="K2" s="546"/>
      <c r="L2" s="546"/>
      <c r="M2" s="546"/>
      <c r="N2" s="546"/>
      <c r="O2" s="546"/>
      <c r="P2" s="546"/>
      <c r="Q2" s="546"/>
      <c r="R2" s="546"/>
      <c r="S2" s="546"/>
      <c r="T2" s="546"/>
      <c r="U2" s="546"/>
      <c r="V2" s="546"/>
      <c r="W2" s="546"/>
      <c r="X2" s="546"/>
      <c r="Y2" s="546"/>
      <c r="Z2" s="546"/>
      <c r="AA2" s="546"/>
      <c r="AB2" s="546"/>
      <c r="AC2" s="546"/>
      <c r="AD2" s="546"/>
      <c r="AE2" s="546"/>
      <c r="AF2" s="546"/>
      <c r="AG2" s="546"/>
      <c r="AH2" s="546"/>
      <c r="AI2" s="546"/>
      <c r="AJ2" s="546"/>
      <c r="AK2" s="546"/>
      <c r="AL2" s="546"/>
      <c r="AM2" s="546"/>
      <c r="AN2" s="546"/>
      <c r="AO2" s="546"/>
      <c r="AP2" s="542"/>
    </row>
    <row r="3">
      <c r="A3" s="543" t="s">
        <v>1399</v>
      </c>
      <c r="B3" s="543" t="s">
        <v>1396</v>
      </c>
      <c r="C3" s="544" t="s">
        <v>1400</v>
      </c>
      <c r="D3" s="543" t="s">
        <v>1401</v>
      </c>
      <c r="E3" s="547" t="s">
        <v>1402</v>
      </c>
      <c r="F3" s="547" t="s">
        <v>1403</v>
      </c>
      <c r="G3" s="544" t="s">
        <v>1404</v>
      </c>
      <c r="H3" s="544" t="s">
        <v>1405</v>
      </c>
      <c r="I3" s="544" t="s">
        <v>480</v>
      </c>
      <c r="J3" s="544"/>
      <c r="K3" s="544" t="s">
        <v>459</v>
      </c>
      <c r="L3" s="544" t="s">
        <v>460</v>
      </c>
      <c r="M3" s="544" t="s">
        <v>476</v>
      </c>
      <c r="N3" s="544" t="s">
        <v>461</v>
      </c>
      <c r="O3" s="544" t="s">
        <v>462</v>
      </c>
      <c r="P3" s="544" t="s">
        <v>463</v>
      </c>
      <c r="Q3" s="544" t="s">
        <v>464</v>
      </c>
      <c r="R3" s="544" t="s">
        <v>465</v>
      </c>
      <c r="S3" s="544" t="s">
        <v>466</v>
      </c>
      <c r="T3" s="544" t="s">
        <v>454</v>
      </c>
      <c r="U3" s="544" t="s">
        <v>468</v>
      </c>
      <c r="V3" s="544" t="s">
        <v>474</v>
      </c>
      <c r="W3" s="544" t="s">
        <v>1406</v>
      </c>
      <c r="X3" s="544" t="s">
        <v>469</v>
      </c>
      <c r="Y3" s="544" t="s">
        <v>455</v>
      </c>
      <c r="Z3" s="544" t="s">
        <v>1407</v>
      </c>
      <c r="AA3" s="544" t="s">
        <v>470</v>
      </c>
      <c r="AB3" s="544" t="s">
        <v>1408</v>
      </c>
      <c r="AC3" s="544" t="s">
        <v>471</v>
      </c>
      <c r="AD3" s="544" t="s">
        <v>475</v>
      </c>
      <c r="AE3" s="544" t="s">
        <v>472</v>
      </c>
      <c r="AF3" s="544" t="s">
        <v>473</v>
      </c>
      <c r="AG3" s="544" t="s">
        <v>1409</v>
      </c>
      <c r="AH3" s="544" t="s">
        <v>1410</v>
      </c>
      <c r="AI3" s="544" t="s">
        <v>452</v>
      </c>
      <c r="AJ3" s="544" t="s">
        <v>453</v>
      </c>
      <c r="AK3" s="544" t="s">
        <v>455</v>
      </c>
      <c r="AL3" s="544" t="s">
        <v>454</v>
      </c>
      <c r="AM3" s="544" t="s">
        <v>457</v>
      </c>
      <c r="AN3" s="544" t="s">
        <v>456</v>
      </c>
      <c r="AO3" s="544" t="s">
        <v>1411</v>
      </c>
      <c r="AP3" s="542"/>
    </row>
    <row r="4">
      <c r="A4" s="548">
        <v>1.0</v>
      </c>
      <c r="B4" s="548" t="s">
        <v>1412</v>
      </c>
      <c r="C4" s="540">
        <v>3.0</v>
      </c>
      <c r="D4" s="549" t="s">
        <v>1413</v>
      </c>
      <c r="E4" s="550">
        <v>2.0</v>
      </c>
      <c r="F4" s="550" t="s">
        <v>1414</v>
      </c>
      <c r="G4" s="551">
        <v>12.0</v>
      </c>
      <c r="H4" s="551">
        <v>4.0</v>
      </c>
      <c r="I4" s="551">
        <v>158770.0</v>
      </c>
      <c r="J4" s="551"/>
      <c r="K4" s="551">
        <v>2.0</v>
      </c>
      <c r="L4" s="551">
        <v>0.0</v>
      </c>
      <c r="M4" s="551">
        <v>0.0</v>
      </c>
      <c r="N4" s="551">
        <v>0.0</v>
      </c>
      <c r="O4" s="551">
        <v>0.0</v>
      </c>
      <c r="P4" s="551">
        <v>0.0</v>
      </c>
      <c r="Q4" s="551">
        <v>0.0</v>
      </c>
      <c r="R4" s="551">
        <v>1.0</v>
      </c>
      <c r="S4" s="551">
        <v>0.0</v>
      </c>
      <c r="T4" s="551">
        <v>0.0</v>
      </c>
      <c r="U4" s="551">
        <v>2.0</v>
      </c>
      <c r="V4" s="551">
        <v>1.0</v>
      </c>
      <c r="W4" s="551">
        <v>0.0</v>
      </c>
      <c r="X4" s="551">
        <v>0.0</v>
      </c>
      <c r="Y4" s="551">
        <v>0.0</v>
      </c>
      <c r="Z4" s="551">
        <v>0.0</v>
      </c>
      <c r="AA4" s="551">
        <v>1.0</v>
      </c>
      <c r="AB4" s="551">
        <v>0.0</v>
      </c>
      <c r="AC4" s="551">
        <v>0.0</v>
      </c>
      <c r="AD4" s="551">
        <v>0.0</v>
      </c>
      <c r="AE4" s="551">
        <v>0.0</v>
      </c>
      <c r="AF4" s="551">
        <v>0.0</v>
      </c>
      <c r="AG4" s="551">
        <v>0.0</v>
      </c>
      <c r="AH4" s="551">
        <v>117179.9016</v>
      </c>
      <c r="AI4" s="551">
        <v>41589.00012</v>
      </c>
      <c r="AJ4" s="551">
        <v>0.0</v>
      </c>
      <c r="AK4" s="551">
        <v>0.0</v>
      </c>
      <c r="AL4" s="551">
        <v>0.0</v>
      </c>
      <c r="AM4" s="551">
        <v>0.0</v>
      </c>
      <c r="AN4" s="551">
        <v>0.0</v>
      </c>
      <c r="AO4" s="551">
        <v>0.0</v>
      </c>
      <c r="AP4" s="552"/>
    </row>
    <row r="5">
      <c r="A5" s="548">
        <v>2.0</v>
      </c>
      <c r="B5" s="553" t="s">
        <v>1415</v>
      </c>
      <c r="C5" s="554"/>
      <c r="D5" s="555"/>
      <c r="E5" s="550">
        <v>0.0</v>
      </c>
      <c r="F5" s="556"/>
      <c r="G5" s="557"/>
      <c r="H5" s="557"/>
      <c r="I5" s="557"/>
      <c r="J5" s="557"/>
      <c r="K5" s="557"/>
      <c r="L5" s="557"/>
      <c r="M5" s="557"/>
      <c r="N5" s="557"/>
      <c r="O5" s="557"/>
      <c r="P5" s="557"/>
      <c r="Q5" s="557"/>
      <c r="R5" s="557"/>
      <c r="S5" s="557"/>
      <c r="T5" s="557"/>
      <c r="U5" s="557"/>
      <c r="V5" s="557"/>
      <c r="W5" s="557"/>
      <c r="X5" s="557"/>
      <c r="Y5" s="557"/>
      <c r="Z5" s="557"/>
      <c r="AA5" s="557"/>
      <c r="AB5" s="557"/>
      <c r="AC5" s="557"/>
      <c r="AD5" s="557"/>
      <c r="AE5" s="557"/>
      <c r="AF5" s="557"/>
      <c r="AG5" s="557"/>
      <c r="AH5" s="557"/>
      <c r="AI5" s="557"/>
      <c r="AJ5" s="557"/>
      <c r="AK5" s="557"/>
      <c r="AL5" s="557"/>
      <c r="AM5" s="557"/>
      <c r="AN5" s="557"/>
      <c r="AO5" s="557"/>
      <c r="AP5" s="428"/>
    </row>
    <row r="6">
      <c r="A6" s="548">
        <v>3.0</v>
      </c>
      <c r="B6" s="548" t="s">
        <v>1416</v>
      </c>
      <c r="C6" s="540">
        <v>3.0</v>
      </c>
      <c r="D6" s="549" t="s">
        <v>1413</v>
      </c>
      <c r="E6" s="550">
        <v>2.0</v>
      </c>
      <c r="F6" s="550" t="s">
        <v>1417</v>
      </c>
      <c r="G6" s="551">
        <v>49.0</v>
      </c>
      <c r="H6" s="551">
        <v>29.0</v>
      </c>
      <c r="I6" s="551">
        <v>1308636.0</v>
      </c>
      <c r="J6" s="551"/>
      <c r="K6" s="551">
        <v>16.0</v>
      </c>
      <c r="L6" s="551">
        <v>0.0</v>
      </c>
      <c r="M6" s="551">
        <v>0.0</v>
      </c>
      <c r="N6" s="551">
        <v>0.0</v>
      </c>
      <c r="O6" s="551">
        <v>0.0</v>
      </c>
      <c r="P6" s="551">
        <v>0.0</v>
      </c>
      <c r="Q6" s="551">
        <v>0.0</v>
      </c>
      <c r="R6" s="551">
        <v>7.0</v>
      </c>
      <c r="S6" s="551">
        <v>0.0</v>
      </c>
      <c r="T6" s="551">
        <v>0.0</v>
      </c>
      <c r="U6" s="551">
        <v>19.0</v>
      </c>
      <c r="V6" s="551">
        <v>8.0</v>
      </c>
      <c r="W6" s="551">
        <v>0.0</v>
      </c>
      <c r="X6" s="551">
        <v>5.0</v>
      </c>
      <c r="Y6" s="551">
        <v>0.0</v>
      </c>
      <c r="Z6" s="551">
        <v>0.0</v>
      </c>
      <c r="AA6" s="551">
        <v>6.0</v>
      </c>
      <c r="AB6" s="551">
        <v>0.0</v>
      </c>
      <c r="AC6" s="551">
        <v>0.0</v>
      </c>
      <c r="AD6" s="551">
        <v>0.0</v>
      </c>
      <c r="AE6" s="551">
        <v>0.0</v>
      </c>
      <c r="AF6" s="551">
        <v>0.0</v>
      </c>
      <c r="AG6" s="551">
        <v>0.0</v>
      </c>
      <c r="AH6" s="551">
        <v>754083.9545</v>
      </c>
      <c r="AI6" s="551">
        <v>255231.4007</v>
      </c>
      <c r="AJ6" s="551">
        <v>299321.0</v>
      </c>
      <c r="AK6" s="551">
        <v>0.0</v>
      </c>
      <c r="AL6" s="551">
        <v>0.0</v>
      </c>
      <c r="AM6" s="551">
        <v>0.0</v>
      </c>
      <c r="AN6" s="551">
        <v>0.0</v>
      </c>
      <c r="AO6" s="551">
        <v>0.0</v>
      </c>
      <c r="AP6" s="552"/>
    </row>
    <row r="7">
      <c r="A7" s="548">
        <v>4.0</v>
      </c>
      <c r="B7" s="548" t="s">
        <v>1112</v>
      </c>
      <c r="C7" s="540">
        <v>2.0</v>
      </c>
      <c r="D7" s="549" t="s">
        <v>1418</v>
      </c>
      <c r="E7" s="550">
        <v>2.0</v>
      </c>
      <c r="F7" s="550" t="s">
        <v>1419</v>
      </c>
      <c r="G7" s="551">
        <v>27.0</v>
      </c>
      <c r="H7" s="551">
        <v>10.0</v>
      </c>
      <c r="I7" s="551">
        <v>269782.0</v>
      </c>
      <c r="J7" s="551"/>
      <c r="K7" s="551">
        <v>2.0</v>
      </c>
      <c r="L7" s="551">
        <v>0.0</v>
      </c>
      <c r="M7" s="551">
        <v>0.0</v>
      </c>
      <c r="N7" s="551">
        <v>0.0</v>
      </c>
      <c r="O7" s="551">
        <v>0.0</v>
      </c>
      <c r="P7" s="551">
        <v>0.0</v>
      </c>
      <c r="Q7" s="551">
        <v>0.0</v>
      </c>
      <c r="R7" s="551">
        <v>0.0</v>
      </c>
      <c r="S7" s="551">
        <v>0.0</v>
      </c>
      <c r="T7" s="551">
        <v>0.0</v>
      </c>
      <c r="U7" s="551">
        <v>8.0</v>
      </c>
      <c r="V7" s="551">
        <v>0.0</v>
      </c>
      <c r="W7" s="551">
        <v>0.0</v>
      </c>
      <c r="X7" s="551">
        <v>2.0</v>
      </c>
      <c r="Y7" s="551">
        <v>0.0</v>
      </c>
      <c r="Z7" s="551">
        <v>0.0</v>
      </c>
      <c r="AA7" s="551">
        <v>2.0</v>
      </c>
      <c r="AB7" s="551">
        <v>0.0</v>
      </c>
      <c r="AC7" s="551">
        <v>0.0</v>
      </c>
      <c r="AD7" s="551">
        <v>0.0</v>
      </c>
      <c r="AE7" s="551">
        <v>0.0</v>
      </c>
      <c r="AF7" s="551">
        <v>0.0</v>
      </c>
      <c r="AG7" s="551">
        <v>0.0</v>
      </c>
      <c r="AH7" s="551">
        <v>143624.2467</v>
      </c>
      <c r="AI7" s="551">
        <v>66363.00024</v>
      </c>
      <c r="AJ7" s="551">
        <v>59796.0</v>
      </c>
      <c r="AK7" s="551">
        <v>0.0</v>
      </c>
      <c r="AL7" s="551">
        <v>0.0</v>
      </c>
      <c r="AM7" s="551">
        <v>0.0</v>
      </c>
      <c r="AN7" s="551">
        <v>0.0</v>
      </c>
      <c r="AO7" s="551">
        <v>0.0</v>
      </c>
      <c r="AP7" s="552"/>
    </row>
    <row r="8">
      <c r="A8" s="548">
        <v>5.0</v>
      </c>
      <c r="B8" s="553" t="s">
        <v>1420</v>
      </c>
      <c r="C8" s="554"/>
      <c r="D8" s="555"/>
      <c r="E8" s="550"/>
      <c r="F8" s="556"/>
      <c r="G8" s="557"/>
      <c r="H8" s="557"/>
      <c r="I8" s="557"/>
      <c r="J8" s="557"/>
      <c r="K8" s="557"/>
      <c r="L8" s="557"/>
      <c r="M8" s="557"/>
      <c r="N8" s="557"/>
      <c r="O8" s="557"/>
      <c r="P8" s="557"/>
      <c r="Q8" s="557"/>
      <c r="R8" s="557"/>
      <c r="S8" s="557"/>
      <c r="T8" s="557"/>
      <c r="U8" s="557"/>
      <c r="V8" s="557"/>
      <c r="W8" s="557"/>
      <c r="X8" s="557"/>
      <c r="Y8" s="557"/>
      <c r="Z8" s="557"/>
      <c r="AA8" s="557"/>
      <c r="AB8" s="557"/>
      <c r="AC8" s="557"/>
      <c r="AD8" s="557"/>
      <c r="AE8" s="557"/>
      <c r="AF8" s="557"/>
      <c r="AG8" s="557"/>
      <c r="AH8" s="557"/>
      <c r="AI8" s="557"/>
      <c r="AJ8" s="557"/>
      <c r="AK8" s="557"/>
      <c r="AL8" s="557"/>
      <c r="AM8" s="557"/>
      <c r="AN8" s="557"/>
      <c r="AO8" s="557"/>
      <c r="AP8" s="428"/>
    </row>
    <row r="9">
      <c r="A9" s="548">
        <v>6.0</v>
      </c>
      <c r="B9" s="553" t="s">
        <v>1421</v>
      </c>
      <c r="C9" s="554"/>
      <c r="D9" s="555"/>
      <c r="E9" s="550"/>
      <c r="F9" s="556"/>
      <c r="G9" s="557"/>
      <c r="H9" s="557"/>
      <c r="I9" s="557"/>
      <c r="J9" s="557"/>
      <c r="K9" s="557"/>
      <c r="L9" s="557"/>
      <c r="M9" s="557"/>
      <c r="N9" s="557"/>
      <c r="O9" s="557"/>
      <c r="P9" s="557"/>
      <c r="Q9" s="557"/>
      <c r="R9" s="557"/>
      <c r="S9" s="557"/>
      <c r="T9" s="557"/>
      <c r="U9" s="557"/>
      <c r="V9" s="557"/>
      <c r="W9" s="557"/>
      <c r="X9" s="557"/>
      <c r="Y9" s="557"/>
      <c r="Z9" s="557"/>
      <c r="AA9" s="557"/>
      <c r="AB9" s="557"/>
      <c r="AC9" s="557"/>
      <c r="AD9" s="557"/>
      <c r="AE9" s="557"/>
      <c r="AF9" s="557"/>
      <c r="AG9" s="557"/>
      <c r="AH9" s="557"/>
      <c r="AI9" s="557"/>
      <c r="AJ9" s="557"/>
      <c r="AK9" s="557"/>
      <c r="AL9" s="557"/>
      <c r="AM9" s="557"/>
      <c r="AN9" s="557"/>
      <c r="AO9" s="557"/>
      <c r="AP9" s="428"/>
    </row>
    <row r="10">
      <c r="A10" s="548">
        <v>7.0</v>
      </c>
      <c r="B10" s="553" t="s">
        <v>1422</v>
      </c>
      <c r="C10" s="554"/>
      <c r="D10" s="555"/>
      <c r="E10" s="550"/>
      <c r="F10" s="556"/>
      <c r="G10" s="557"/>
      <c r="H10" s="557"/>
      <c r="I10" s="557"/>
      <c r="J10" s="557"/>
      <c r="K10" s="557"/>
      <c r="L10" s="557"/>
      <c r="M10" s="557"/>
      <c r="N10" s="557"/>
      <c r="O10" s="557"/>
      <c r="P10" s="557"/>
      <c r="Q10" s="557"/>
      <c r="R10" s="557"/>
      <c r="S10" s="557"/>
      <c r="T10" s="557"/>
      <c r="U10" s="557"/>
      <c r="V10" s="557"/>
      <c r="W10" s="557"/>
      <c r="X10" s="557"/>
      <c r="Y10" s="557"/>
      <c r="Z10" s="557"/>
      <c r="AA10" s="557"/>
      <c r="AB10" s="557"/>
      <c r="AC10" s="557"/>
      <c r="AD10" s="557"/>
      <c r="AE10" s="557"/>
      <c r="AF10" s="557"/>
      <c r="AG10" s="557"/>
      <c r="AH10" s="557"/>
      <c r="AI10" s="557"/>
      <c r="AJ10" s="557"/>
      <c r="AK10" s="557"/>
      <c r="AL10" s="557"/>
      <c r="AM10" s="557"/>
      <c r="AN10" s="557"/>
      <c r="AO10" s="557"/>
      <c r="AP10" s="428"/>
    </row>
    <row r="11">
      <c r="A11" s="548">
        <v>8.0</v>
      </c>
      <c r="B11" s="548" t="s">
        <v>1111</v>
      </c>
      <c r="C11" s="540">
        <v>3.0</v>
      </c>
      <c r="D11" s="549" t="s">
        <v>1413</v>
      </c>
      <c r="E11" s="550">
        <v>2.0</v>
      </c>
      <c r="F11" s="550" t="s">
        <v>1414</v>
      </c>
      <c r="G11" s="551">
        <v>16.0</v>
      </c>
      <c r="H11" s="551">
        <v>12.0</v>
      </c>
      <c r="I11" s="551">
        <v>352873.0</v>
      </c>
      <c r="J11" s="551"/>
      <c r="K11" s="551">
        <v>12.0</v>
      </c>
      <c r="L11" s="551">
        <v>0.0</v>
      </c>
      <c r="M11" s="551">
        <v>0.0</v>
      </c>
      <c r="N11" s="551">
        <v>0.0</v>
      </c>
      <c r="O11" s="551">
        <v>0.0</v>
      </c>
      <c r="P11" s="551">
        <v>0.0</v>
      </c>
      <c r="Q11" s="551">
        <v>0.0</v>
      </c>
      <c r="R11" s="551">
        <v>0.0</v>
      </c>
      <c r="S11" s="551">
        <v>0.0</v>
      </c>
      <c r="T11" s="551">
        <v>0.0</v>
      </c>
      <c r="U11" s="551">
        <v>5.0</v>
      </c>
      <c r="V11" s="551">
        <v>0.0</v>
      </c>
      <c r="W11" s="551">
        <v>0.0</v>
      </c>
      <c r="X11" s="551">
        <v>0.0</v>
      </c>
      <c r="Y11" s="551">
        <v>0.0</v>
      </c>
      <c r="Z11" s="551">
        <v>0.0</v>
      </c>
      <c r="AA11" s="551">
        <v>6.0</v>
      </c>
      <c r="AB11" s="551">
        <v>0.0</v>
      </c>
      <c r="AC11" s="551">
        <v>0.0</v>
      </c>
      <c r="AD11" s="551">
        <v>0.0</v>
      </c>
      <c r="AE11" s="551">
        <v>0.0</v>
      </c>
      <c r="AF11" s="551">
        <v>0.0</v>
      </c>
      <c r="AG11" s="551">
        <v>0.0</v>
      </c>
      <c r="AH11" s="551">
        <v>328251.6598</v>
      </c>
      <c r="AI11" s="551">
        <v>24622.60004</v>
      </c>
      <c r="AJ11" s="551">
        <v>0.0</v>
      </c>
      <c r="AK11" s="551">
        <v>0.0</v>
      </c>
      <c r="AL11" s="551">
        <v>0.0</v>
      </c>
      <c r="AM11" s="551">
        <v>0.0</v>
      </c>
      <c r="AN11" s="551">
        <v>0.0</v>
      </c>
      <c r="AO11" s="551">
        <v>0.0</v>
      </c>
      <c r="AP11" s="552"/>
    </row>
    <row r="12">
      <c r="A12" s="548">
        <v>9.0</v>
      </c>
      <c r="B12" s="548" t="s">
        <v>1423</v>
      </c>
      <c r="C12" s="540">
        <v>1.0</v>
      </c>
      <c r="D12" s="549" t="s">
        <v>420</v>
      </c>
      <c r="E12" s="550">
        <v>1.0</v>
      </c>
      <c r="F12" s="550" t="s">
        <v>420</v>
      </c>
      <c r="G12" s="551">
        <v>26.0</v>
      </c>
      <c r="H12" s="551">
        <v>11.0</v>
      </c>
      <c r="I12" s="551">
        <v>457656.0</v>
      </c>
      <c r="J12" s="551"/>
      <c r="K12" s="551">
        <v>0.0</v>
      </c>
      <c r="L12" s="551">
        <v>0.0</v>
      </c>
      <c r="M12" s="551">
        <v>0.0</v>
      </c>
      <c r="N12" s="551">
        <v>0.0</v>
      </c>
      <c r="O12" s="551">
        <v>0.0</v>
      </c>
      <c r="P12" s="551">
        <v>0.0</v>
      </c>
      <c r="Q12" s="551">
        <v>0.0</v>
      </c>
      <c r="R12" s="551">
        <v>6.0</v>
      </c>
      <c r="S12" s="551">
        <v>0.0</v>
      </c>
      <c r="T12" s="551">
        <v>0.0</v>
      </c>
      <c r="U12" s="551">
        <v>19.0</v>
      </c>
      <c r="V12" s="551">
        <v>3.0</v>
      </c>
      <c r="W12" s="551">
        <v>0.0</v>
      </c>
      <c r="X12" s="551">
        <v>2.0</v>
      </c>
      <c r="Y12" s="551">
        <v>0.0</v>
      </c>
      <c r="Z12" s="551">
        <v>0.0</v>
      </c>
      <c r="AA12" s="551">
        <v>0.0</v>
      </c>
      <c r="AB12" s="551">
        <v>0.0</v>
      </c>
      <c r="AC12" s="551">
        <v>0.0</v>
      </c>
      <c r="AD12" s="551">
        <v>0.0</v>
      </c>
      <c r="AE12" s="551">
        <v>0.0</v>
      </c>
      <c r="AF12" s="551">
        <v>0.0</v>
      </c>
      <c r="AG12" s="551">
        <v>0.0</v>
      </c>
      <c r="AH12" s="551">
        <v>28352.5</v>
      </c>
      <c r="AI12" s="551">
        <v>424716.6013</v>
      </c>
      <c r="AJ12" s="551">
        <v>4587.0</v>
      </c>
      <c r="AK12" s="551">
        <v>0.0</v>
      </c>
      <c r="AL12" s="551">
        <v>0.0</v>
      </c>
      <c r="AM12" s="551">
        <v>0.0</v>
      </c>
      <c r="AN12" s="551">
        <v>0.0</v>
      </c>
      <c r="AO12" s="551">
        <v>0.0</v>
      </c>
      <c r="AP12" s="552"/>
    </row>
    <row r="13">
      <c r="A13" s="548">
        <v>10.0</v>
      </c>
      <c r="B13" s="553" t="s">
        <v>1424</v>
      </c>
      <c r="C13" s="554"/>
      <c r="D13" s="555"/>
      <c r="E13" s="550"/>
      <c r="F13" s="556"/>
      <c r="G13" s="551">
        <v>1.0</v>
      </c>
      <c r="H13" s="551">
        <v>0.0</v>
      </c>
      <c r="I13" s="557"/>
      <c r="J13" s="551"/>
      <c r="K13" s="551">
        <v>0.0</v>
      </c>
      <c r="L13" s="551">
        <v>0.0</v>
      </c>
      <c r="M13" s="551">
        <v>0.0</v>
      </c>
      <c r="N13" s="551">
        <v>0.0</v>
      </c>
      <c r="O13" s="551">
        <v>0.0</v>
      </c>
      <c r="P13" s="551">
        <v>0.0</v>
      </c>
      <c r="Q13" s="551">
        <v>0.0</v>
      </c>
      <c r="R13" s="551">
        <v>0.0</v>
      </c>
      <c r="S13" s="551">
        <v>0.0</v>
      </c>
      <c r="T13" s="551">
        <v>0.0</v>
      </c>
      <c r="U13" s="551">
        <v>0.0</v>
      </c>
      <c r="V13" s="551">
        <v>0.0</v>
      </c>
      <c r="W13" s="551">
        <v>0.0</v>
      </c>
      <c r="X13" s="551">
        <v>0.0</v>
      </c>
      <c r="Y13" s="551">
        <v>0.0</v>
      </c>
      <c r="Z13" s="551">
        <v>0.0</v>
      </c>
      <c r="AA13" s="551">
        <v>0.0</v>
      </c>
      <c r="AB13" s="551">
        <v>0.0</v>
      </c>
      <c r="AC13" s="551">
        <v>0.0</v>
      </c>
      <c r="AD13" s="551">
        <v>0.0</v>
      </c>
      <c r="AE13" s="551">
        <v>0.0</v>
      </c>
      <c r="AF13" s="551">
        <v>0.0</v>
      </c>
      <c r="AG13" s="551"/>
      <c r="AH13" s="551"/>
      <c r="AI13" s="551"/>
      <c r="AJ13" s="551"/>
      <c r="AK13" s="551"/>
      <c r="AL13" s="551"/>
      <c r="AM13" s="551"/>
      <c r="AN13" s="551"/>
      <c r="AO13" s="551"/>
      <c r="AP13" s="552"/>
    </row>
    <row r="14">
      <c r="A14" s="548">
        <v>11.0</v>
      </c>
      <c r="B14" s="548" t="s">
        <v>1425</v>
      </c>
      <c r="C14" s="540">
        <v>1.0</v>
      </c>
      <c r="D14" s="549" t="s">
        <v>420</v>
      </c>
      <c r="E14" s="550">
        <v>1.0</v>
      </c>
      <c r="F14" s="550" t="s">
        <v>420</v>
      </c>
      <c r="G14" s="551">
        <v>2.0</v>
      </c>
      <c r="H14" s="551">
        <v>1.0</v>
      </c>
      <c r="I14" s="551">
        <v>37814.0</v>
      </c>
      <c r="J14" s="551"/>
      <c r="K14" s="551">
        <v>0.0</v>
      </c>
      <c r="L14" s="551">
        <v>0.0</v>
      </c>
      <c r="M14" s="551">
        <v>0.0</v>
      </c>
      <c r="N14" s="551">
        <v>0.0</v>
      </c>
      <c r="O14" s="551">
        <v>0.0</v>
      </c>
      <c r="P14" s="551">
        <v>0.0</v>
      </c>
      <c r="Q14" s="551">
        <v>0.0</v>
      </c>
      <c r="R14" s="551">
        <v>0.0</v>
      </c>
      <c r="S14" s="551">
        <v>0.0</v>
      </c>
      <c r="T14" s="551">
        <v>0.0</v>
      </c>
      <c r="U14" s="551">
        <v>1.0</v>
      </c>
      <c r="V14" s="551">
        <v>0.0</v>
      </c>
      <c r="W14" s="551">
        <v>0.0</v>
      </c>
      <c r="X14" s="551">
        <v>0.0</v>
      </c>
      <c r="Y14" s="551">
        <v>0.0</v>
      </c>
      <c r="Z14" s="551">
        <v>0.0</v>
      </c>
      <c r="AA14" s="551">
        <v>0.0</v>
      </c>
      <c r="AB14" s="551">
        <v>0.0</v>
      </c>
      <c r="AC14" s="551">
        <v>0.0</v>
      </c>
      <c r="AD14" s="551">
        <v>0.0</v>
      </c>
      <c r="AE14" s="551">
        <v>0.0</v>
      </c>
      <c r="AF14" s="551">
        <v>0.0</v>
      </c>
      <c r="AG14" s="551">
        <v>0.0</v>
      </c>
      <c r="AH14" s="551">
        <v>0.0</v>
      </c>
      <c r="AI14" s="551">
        <v>37813.59998</v>
      </c>
      <c r="AJ14" s="551">
        <v>0.0</v>
      </c>
      <c r="AK14" s="551">
        <v>0.0</v>
      </c>
      <c r="AL14" s="551">
        <v>0.0</v>
      </c>
      <c r="AM14" s="551">
        <v>0.0</v>
      </c>
      <c r="AN14" s="551">
        <v>0.0</v>
      </c>
      <c r="AO14" s="551">
        <v>0.0</v>
      </c>
      <c r="AP14" s="552"/>
    </row>
    <row r="15">
      <c r="A15" s="548">
        <v>12.0</v>
      </c>
      <c r="B15" s="548" t="s">
        <v>425</v>
      </c>
      <c r="C15" s="540">
        <v>2.0</v>
      </c>
      <c r="D15" s="549" t="s">
        <v>1426</v>
      </c>
      <c r="E15" s="550">
        <v>1.0</v>
      </c>
      <c r="F15" s="550" t="s">
        <v>420</v>
      </c>
      <c r="G15" s="551">
        <v>4.0</v>
      </c>
      <c r="H15" s="551">
        <v>2.0</v>
      </c>
      <c r="I15" s="551">
        <v>34551.0</v>
      </c>
      <c r="J15" s="551"/>
      <c r="K15" s="551">
        <v>0.0</v>
      </c>
      <c r="L15" s="551">
        <v>0.0</v>
      </c>
      <c r="M15" s="551">
        <v>0.0</v>
      </c>
      <c r="N15" s="551">
        <v>0.0</v>
      </c>
      <c r="O15" s="551">
        <v>0.0</v>
      </c>
      <c r="P15" s="551">
        <v>0.0</v>
      </c>
      <c r="Q15" s="551">
        <v>0.0</v>
      </c>
      <c r="R15" s="551">
        <v>0.0</v>
      </c>
      <c r="S15" s="551">
        <v>0.0</v>
      </c>
      <c r="T15" s="551">
        <v>0.0</v>
      </c>
      <c r="U15" s="551">
        <v>2.0</v>
      </c>
      <c r="V15" s="551">
        <v>0.0</v>
      </c>
      <c r="W15" s="551">
        <v>0.0</v>
      </c>
      <c r="X15" s="551">
        <v>1.0</v>
      </c>
      <c r="Y15" s="551">
        <v>0.0</v>
      </c>
      <c r="Z15" s="551">
        <v>0.0</v>
      </c>
      <c r="AA15" s="551">
        <v>0.0</v>
      </c>
      <c r="AB15" s="551">
        <v>0.0</v>
      </c>
      <c r="AC15" s="551">
        <v>0.0</v>
      </c>
      <c r="AD15" s="551">
        <v>0.0</v>
      </c>
      <c r="AE15" s="551">
        <v>0.0</v>
      </c>
      <c r="AF15" s="551">
        <v>0.0</v>
      </c>
      <c r="AG15" s="551">
        <v>0.0</v>
      </c>
      <c r="AH15" s="551">
        <v>0.0</v>
      </c>
      <c r="AI15" s="551">
        <v>31531.5</v>
      </c>
      <c r="AJ15" s="551">
        <v>3019.5</v>
      </c>
      <c r="AK15" s="551">
        <v>0.0</v>
      </c>
      <c r="AL15" s="551">
        <v>0.0</v>
      </c>
      <c r="AM15" s="551">
        <v>0.0</v>
      </c>
      <c r="AN15" s="551">
        <v>0.0</v>
      </c>
      <c r="AO15" s="551">
        <v>0.0</v>
      </c>
      <c r="AP15" s="552"/>
    </row>
    <row r="16">
      <c r="A16" s="428"/>
      <c r="B16" s="428"/>
      <c r="C16" s="122"/>
      <c r="D16" s="558"/>
      <c r="E16" s="539"/>
      <c r="F16" s="539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428"/>
    </row>
    <row r="17">
      <c r="A17" s="428"/>
      <c r="B17" s="428"/>
      <c r="C17" s="122"/>
      <c r="D17" s="558"/>
      <c r="E17" s="428"/>
      <c r="F17" s="428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559"/>
      <c r="AH17" s="560"/>
      <c r="AI17" s="560"/>
      <c r="AJ17" s="560"/>
      <c r="AK17" s="560"/>
      <c r="AL17" s="560"/>
      <c r="AM17" s="560"/>
      <c r="AN17" s="560"/>
      <c r="AO17" s="560"/>
      <c r="AP17" s="561"/>
    </row>
    <row r="18">
      <c r="A18" s="428"/>
      <c r="B18" s="428"/>
      <c r="C18" s="122"/>
      <c r="D18" s="558"/>
      <c r="E18" s="428"/>
      <c r="F18" s="428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559"/>
      <c r="AH18" s="560"/>
      <c r="AI18" s="560"/>
      <c r="AJ18" s="560"/>
      <c r="AK18" s="560"/>
      <c r="AL18" s="560"/>
      <c r="AM18" s="560"/>
      <c r="AN18" s="560"/>
      <c r="AO18" s="560"/>
      <c r="AP18" s="561"/>
    </row>
    <row r="19">
      <c r="A19" s="428"/>
      <c r="B19" s="428"/>
      <c r="C19" s="122"/>
      <c r="D19" s="558"/>
      <c r="E19" s="428"/>
      <c r="F19" s="428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559"/>
      <c r="AH19" s="560"/>
      <c r="AI19" s="560"/>
      <c r="AJ19" s="560"/>
      <c r="AK19" s="560"/>
      <c r="AL19" s="560"/>
      <c r="AM19" s="560"/>
      <c r="AN19" s="560"/>
      <c r="AO19" s="560"/>
      <c r="AP19" s="561"/>
    </row>
    <row r="20">
      <c r="A20" s="428"/>
      <c r="B20" s="428"/>
      <c r="C20" s="122"/>
      <c r="D20" s="558"/>
      <c r="E20" s="428"/>
      <c r="F20" s="428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559"/>
      <c r="AH20" s="560"/>
      <c r="AI20" s="560"/>
      <c r="AJ20" s="560"/>
      <c r="AK20" s="560"/>
      <c r="AL20" s="560"/>
      <c r="AM20" s="560"/>
      <c r="AN20" s="560"/>
      <c r="AO20" s="560"/>
      <c r="AP20" s="561"/>
    </row>
    <row r="21">
      <c r="A21" s="428"/>
      <c r="B21" s="428"/>
      <c r="C21" s="122"/>
      <c r="D21" s="558"/>
      <c r="E21" s="428"/>
      <c r="F21" s="428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559"/>
      <c r="AH21" s="560"/>
      <c r="AI21" s="560"/>
      <c r="AJ21" s="560"/>
      <c r="AK21" s="560"/>
      <c r="AL21" s="560"/>
      <c r="AM21" s="560"/>
      <c r="AN21" s="560"/>
      <c r="AO21" s="560"/>
      <c r="AP21" s="561"/>
    </row>
    <row r="22">
      <c r="A22" s="428"/>
      <c r="B22" s="428"/>
      <c r="C22" s="122"/>
      <c r="D22" s="558"/>
      <c r="E22" s="428"/>
      <c r="F22" s="428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559"/>
      <c r="AH22" s="560"/>
      <c r="AI22" s="560"/>
      <c r="AJ22" s="560"/>
      <c r="AK22" s="560"/>
      <c r="AL22" s="560"/>
      <c r="AM22" s="560"/>
      <c r="AN22" s="560"/>
      <c r="AO22" s="560"/>
      <c r="AP22" s="561"/>
    </row>
    <row r="23">
      <c r="A23" s="428"/>
      <c r="B23" s="428"/>
      <c r="C23" s="122"/>
      <c r="D23" s="558"/>
      <c r="E23" s="428"/>
      <c r="F23" s="428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559"/>
      <c r="AH23" s="560"/>
      <c r="AI23" s="560"/>
      <c r="AJ23" s="560"/>
      <c r="AK23" s="560"/>
      <c r="AL23" s="560"/>
      <c r="AM23" s="560"/>
      <c r="AN23" s="560"/>
      <c r="AO23" s="560"/>
      <c r="AP23" s="561"/>
    </row>
    <row r="24">
      <c r="A24" s="428"/>
      <c r="B24" s="428"/>
      <c r="C24" s="122"/>
      <c r="D24" s="558"/>
      <c r="E24" s="428"/>
      <c r="F24" s="428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559"/>
      <c r="AH24" s="560"/>
      <c r="AI24" s="560"/>
      <c r="AJ24" s="560"/>
      <c r="AK24" s="560"/>
      <c r="AL24" s="560"/>
      <c r="AM24" s="560"/>
      <c r="AN24" s="560"/>
      <c r="AO24" s="560"/>
      <c r="AP24" s="561"/>
    </row>
    <row r="25">
      <c r="A25" s="428"/>
      <c r="B25" s="428"/>
      <c r="C25" s="122"/>
      <c r="D25" s="558"/>
      <c r="E25" s="428"/>
      <c r="F25" s="428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559"/>
      <c r="AH25" s="560"/>
      <c r="AI25" s="560"/>
      <c r="AJ25" s="560"/>
      <c r="AK25" s="560"/>
      <c r="AL25" s="560"/>
      <c r="AM25" s="560"/>
      <c r="AN25" s="560"/>
      <c r="AO25" s="560"/>
      <c r="AP25" s="561"/>
    </row>
    <row r="26">
      <c r="A26" s="428"/>
      <c r="B26" s="428"/>
      <c r="C26" s="122"/>
      <c r="D26" s="558"/>
      <c r="E26" s="428"/>
      <c r="F26" s="428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559"/>
      <c r="AH26" s="560"/>
      <c r="AI26" s="560"/>
      <c r="AJ26" s="560"/>
      <c r="AK26" s="560"/>
      <c r="AL26" s="560"/>
      <c r="AM26" s="560"/>
      <c r="AN26" s="560"/>
      <c r="AO26" s="560"/>
      <c r="AP26" s="561"/>
    </row>
    <row r="27">
      <c r="A27" s="428"/>
      <c r="B27" s="428"/>
      <c r="C27" s="122"/>
      <c r="D27" s="558"/>
      <c r="E27" s="428"/>
      <c r="F27" s="428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559"/>
      <c r="AH27" s="560"/>
      <c r="AI27" s="560"/>
      <c r="AJ27" s="560"/>
      <c r="AK27" s="560"/>
      <c r="AL27" s="560"/>
      <c r="AM27" s="560"/>
      <c r="AN27" s="560"/>
      <c r="AO27" s="560"/>
      <c r="AP27" s="561"/>
    </row>
    <row r="28">
      <c r="A28" s="428"/>
      <c r="B28" s="428"/>
      <c r="C28" s="122"/>
      <c r="D28" s="558"/>
      <c r="E28" s="428"/>
      <c r="F28" s="428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559"/>
      <c r="AH28" s="560"/>
      <c r="AI28" s="560"/>
      <c r="AJ28" s="560"/>
      <c r="AK28" s="560"/>
      <c r="AL28" s="560"/>
      <c r="AM28" s="560"/>
      <c r="AN28" s="560"/>
      <c r="AO28" s="560"/>
      <c r="AP28" s="561"/>
    </row>
    <row r="29" hidden="1">
      <c r="A29" s="428"/>
      <c r="B29" s="428"/>
      <c r="C29" s="122"/>
      <c r="D29" s="558"/>
      <c r="E29" s="539"/>
      <c r="F29" s="539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562" t="s">
        <v>1427</v>
      </c>
      <c r="AH29" s="563" t="s">
        <v>1409</v>
      </c>
      <c r="AI29" s="564" t="s">
        <v>1410</v>
      </c>
      <c r="AJ29" s="564" t="s">
        <v>452</v>
      </c>
      <c r="AK29" s="564" t="s">
        <v>453</v>
      </c>
      <c r="AL29" s="564" t="s">
        <v>455</v>
      </c>
      <c r="AM29" s="564" t="s">
        <v>454</v>
      </c>
      <c r="AN29" s="564" t="s">
        <v>457</v>
      </c>
      <c r="AO29" s="564" t="s">
        <v>456</v>
      </c>
      <c r="AP29" s="565" t="s">
        <v>1411</v>
      </c>
    </row>
    <row r="30" hidden="1">
      <c r="A30" s="428"/>
      <c r="B30" s="566" t="s">
        <v>1396</v>
      </c>
      <c r="C30" s="567"/>
      <c r="D30" s="568" t="s">
        <v>18</v>
      </c>
      <c r="E30" s="539"/>
      <c r="F30" s="569" t="s">
        <v>1427</v>
      </c>
      <c r="G30" s="122"/>
      <c r="H30" s="122"/>
      <c r="I30" s="122"/>
      <c r="J30" s="122"/>
      <c r="K30" s="570" t="s">
        <v>455</v>
      </c>
      <c r="L30" s="570" t="s">
        <v>454</v>
      </c>
      <c r="M30" s="570" t="s">
        <v>457</v>
      </c>
      <c r="N30" s="570" t="s">
        <v>456</v>
      </c>
      <c r="O30" s="570" t="s">
        <v>1411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571" t="s">
        <v>1412</v>
      </c>
      <c r="AH30" s="571">
        <v>0.0</v>
      </c>
      <c r="AI30" s="571">
        <v>117179.9016</v>
      </c>
      <c r="AJ30" s="571">
        <v>41589.00012</v>
      </c>
      <c r="AK30" s="571">
        <v>0.0</v>
      </c>
      <c r="AL30" s="571">
        <v>0.0</v>
      </c>
      <c r="AM30" s="571">
        <v>0.0</v>
      </c>
      <c r="AN30" s="571">
        <v>0.0</v>
      </c>
      <c r="AO30" s="571">
        <v>0.0</v>
      </c>
      <c r="AP30" s="572">
        <v>0.0</v>
      </c>
    </row>
    <row r="31" hidden="1">
      <c r="A31" s="428"/>
      <c r="B31" s="566" t="s">
        <v>1112</v>
      </c>
      <c r="C31" s="567"/>
      <c r="D31" s="573">
        <v>269782.0</v>
      </c>
      <c r="E31" s="539"/>
      <c r="F31" s="569" t="s">
        <v>1412</v>
      </c>
      <c r="G31" s="122"/>
      <c r="H31" s="122"/>
      <c r="I31" s="122"/>
      <c r="J31" s="122"/>
      <c r="K31" s="570">
        <v>0.0</v>
      </c>
      <c r="L31" s="570">
        <v>0.0</v>
      </c>
      <c r="M31" s="570">
        <v>0.0</v>
      </c>
      <c r="N31" s="570">
        <v>0.0</v>
      </c>
      <c r="O31" s="570">
        <v>0.0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571" t="s">
        <v>1416</v>
      </c>
      <c r="AH31" s="571">
        <v>0.0</v>
      </c>
      <c r="AI31" s="571">
        <v>754083.9545</v>
      </c>
      <c r="AJ31" s="571">
        <v>255231.4007</v>
      </c>
      <c r="AK31" s="571">
        <v>299321.0</v>
      </c>
      <c r="AL31" s="571">
        <v>0.0</v>
      </c>
      <c r="AM31" s="571">
        <v>0.0</v>
      </c>
      <c r="AN31" s="571">
        <v>0.0</v>
      </c>
      <c r="AO31" s="571">
        <v>0.0</v>
      </c>
      <c r="AP31" s="572">
        <v>0.0</v>
      </c>
    </row>
    <row r="32" hidden="1">
      <c r="A32" s="428"/>
      <c r="B32" s="566" t="s">
        <v>1423</v>
      </c>
      <c r="C32" s="567"/>
      <c r="D32" s="573">
        <v>457656.0</v>
      </c>
      <c r="E32" s="539"/>
      <c r="F32" s="569" t="s">
        <v>1416</v>
      </c>
      <c r="G32" s="122"/>
      <c r="H32" s="122"/>
      <c r="I32" s="122"/>
      <c r="J32" s="122"/>
      <c r="K32" s="570">
        <v>0.0</v>
      </c>
      <c r="L32" s="570">
        <v>0.0</v>
      </c>
      <c r="M32" s="570">
        <v>0.0</v>
      </c>
      <c r="N32" s="570">
        <v>0.0</v>
      </c>
      <c r="O32" s="570">
        <v>0.0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2"/>
      <c r="AE32" s="122"/>
      <c r="AF32" s="122"/>
      <c r="AG32" s="571" t="s">
        <v>1112</v>
      </c>
      <c r="AH32" s="571">
        <v>0.0</v>
      </c>
      <c r="AI32" s="571">
        <v>143624.2467</v>
      </c>
      <c r="AJ32" s="571">
        <v>66363.00024</v>
      </c>
      <c r="AK32" s="571">
        <v>59796.0</v>
      </c>
      <c r="AL32" s="571">
        <v>0.0</v>
      </c>
      <c r="AM32" s="571">
        <v>0.0</v>
      </c>
      <c r="AN32" s="571">
        <v>0.0</v>
      </c>
      <c r="AO32" s="571">
        <v>0.0</v>
      </c>
      <c r="AP32" s="572">
        <v>0.0</v>
      </c>
    </row>
    <row r="33" hidden="1">
      <c r="A33" s="428"/>
      <c r="B33" s="566" t="s">
        <v>1416</v>
      </c>
      <c r="D33" s="573">
        <v>1308636.0</v>
      </c>
      <c r="E33" s="539"/>
      <c r="F33" s="569" t="s">
        <v>1112</v>
      </c>
      <c r="G33" s="122"/>
      <c r="H33" s="122"/>
      <c r="I33" s="122"/>
      <c r="J33" s="122"/>
      <c r="K33" s="570">
        <v>0.0</v>
      </c>
      <c r="L33" s="570">
        <v>0.0</v>
      </c>
      <c r="M33" s="570">
        <v>0.0</v>
      </c>
      <c r="N33" s="570">
        <v>0.0</v>
      </c>
      <c r="O33" s="570">
        <v>0.0</v>
      </c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2"/>
      <c r="AE33" s="122"/>
      <c r="AF33" s="122"/>
      <c r="AG33" s="571" t="s">
        <v>1111</v>
      </c>
      <c r="AH33" s="571">
        <v>0.0</v>
      </c>
      <c r="AI33" s="571">
        <v>328251.6598</v>
      </c>
      <c r="AJ33" s="571">
        <v>24622.60004</v>
      </c>
      <c r="AK33" s="571">
        <v>0.0</v>
      </c>
      <c r="AL33" s="571">
        <v>0.0</v>
      </c>
      <c r="AM33" s="571">
        <v>0.0</v>
      </c>
      <c r="AN33" s="571">
        <v>0.0</v>
      </c>
      <c r="AO33" s="571">
        <v>0.0</v>
      </c>
      <c r="AP33" s="572">
        <v>0.0</v>
      </c>
    </row>
    <row r="34" hidden="1">
      <c r="A34" s="428"/>
      <c r="B34" s="566" t="s">
        <v>1412</v>
      </c>
      <c r="D34" s="573">
        <v>158770.0</v>
      </c>
      <c r="E34" s="539"/>
      <c r="F34" s="569" t="s">
        <v>1111</v>
      </c>
      <c r="G34" s="122"/>
      <c r="H34" s="122"/>
      <c r="I34" s="122"/>
      <c r="J34" s="122"/>
      <c r="K34" s="570">
        <v>0.0</v>
      </c>
      <c r="L34" s="570">
        <v>0.0</v>
      </c>
      <c r="M34" s="570">
        <v>0.0</v>
      </c>
      <c r="N34" s="570">
        <v>0.0</v>
      </c>
      <c r="O34" s="570">
        <v>0.0</v>
      </c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2"/>
      <c r="AF34" s="122"/>
      <c r="AG34" s="571" t="s">
        <v>1423</v>
      </c>
      <c r="AH34" s="571">
        <v>0.0</v>
      </c>
      <c r="AI34" s="571">
        <v>28352.5</v>
      </c>
      <c r="AJ34" s="571">
        <v>424716.6013</v>
      </c>
      <c r="AK34" s="571">
        <v>4587.0</v>
      </c>
      <c r="AL34" s="571">
        <v>0.0</v>
      </c>
      <c r="AM34" s="571">
        <v>0.0</v>
      </c>
      <c r="AN34" s="571">
        <v>0.0</v>
      </c>
      <c r="AO34" s="571">
        <v>0.0</v>
      </c>
      <c r="AP34" s="572">
        <v>0.0</v>
      </c>
    </row>
    <row r="35" hidden="1">
      <c r="A35" s="428"/>
      <c r="B35" s="566" t="s">
        <v>1425</v>
      </c>
      <c r="C35" s="567"/>
      <c r="D35" s="573">
        <v>37814.0</v>
      </c>
      <c r="E35" s="539"/>
      <c r="F35" s="569" t="s">
        <v>1423</v>
      </c>
      <c r="G35" s="122"/>
      <c r="H35" s="122"/>
      <c r="I35" s="122"/>
      <c r="J35" s="122"/>
      <c r="K35" s="570">
        <v>0.0</v>
      </c>
      <c r="L35" s="570">
        <v>0.0</v>
      </c>
      <c r="M35" s="570">
        <v>0.0</v>
      </c>
      <c r="N35" s="570">
        <v>0.0</v>
      </c>
      <c r="O35" s="570">
        <v>0.0</v>
      </c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571" t="s">
        <v>1425</v>
      </c>
      <c r="AH35" s="571">
        <v>0.0</v>
      </c>
      <c r="AI35" s="571">
        <v>0.0</v>
      </c>
      <c r="AJ35" s="571">
        <v>37813.59998</v>
      </c>
      <c r="AK35" s="571">
        <v>0.0</v>
      </c>
      <c r="AL35" s="571">
        <v>0.0</v>
      </c>
      <c r="AM35" s="571">
        <v>0.0</v>
      </c>
      <c r="AN35" s="571">
        <v>0.0</v>
      </c>
      <c r="AO35" s="571">
        <v>0.0</v>
      </c>
      <c r="AP35" s="572">
        <v>0.0</v>
      </c>
    </row>
    <row r="36" hidden="1">
      <c r="A36" s="428"/>
      <c r="B36" s="566" t="s">
        <v>425</v>
      </c>
      <c r="C36" s="567"/>
      <c r="D36" s="573">
        <v>34551.0</v>
      </c>
      <c r="E36" s="539"/>
      <c r="F36" s="569" t="s">
        <v>1425</v>
      </c>
      <c r="G36" s="122"/>
      <c r="H36" s="122"/>
      <c r="I36" s="122"/>
      <c r="J36" s="122"/>
      <c r="K36" s="570">
        <v>0.0</v>
      </c>
      <c r="L36" s="570">
        <v>0.0</v>
      </c>
      <c r="M36" s="570">
        <v>0.0</v>
      </c>
      <c r="N36" s="570">
        <v>0.0</v>
      </c>
      <c r="O36" s="570">
        <v>0.0</v>
      </c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2"/>
      <c r="AF36" s="122"/>
      <c r="AG36" s="571" t="s">
        <v>425</v>
      </c>
      <c r="AH36" s="571">
        <v>0.0</v>
      </c>
      <c r="AI36" s="571">
        <v>0.0</v>
      </c>
      <c r="AJ36" s="571">
        <v>31531.5</v>
      </c>
      <c r="AK36" s="571">
        <v>3019.5</v>
      </c>
      <c r="AL36" s="571">
        <v>0.0</v>
      </c>
      <c r="AM36" s="571">
        <v>0.0</v>
      </c>
      <c r="AN36" s="571">
        <v>0.0</v>
      </c>
      <c r="AO36" s="571">
        <v>0.0</v>
      </c>
      <c r="AP36" s="572">
        <v>0.0</v>
      </c>
    </row>
    <row r="37" hidden="1">
      <c r="A37" s="428"/>
      <c r="B37" s="566" t="s">
        <v>1111</v>
      </c>
      <c r="C37" s="567"/>
      <c r="D37" s="573">
        <v>352873.0</v>
      </c>
      <c r="E37" s="539"/>
      <c r="F37" s="569" t="s">
        <v>425</v>
      </c>
      <c r="G37" s="122"/>
      <c r="H37" s="122"/>
      <c r="I37" s="122"/>
      <c r="J37" s="122"/>
      <c r="K37" s="570">
        <v>0.0</v>
      </c>
      <c r="L37" s="570">
        <v>0.0</v>
      </c>
      <c r="M37" s="570">
        <v>0.0</v>
      </c>
      <c r="N37" s="570">
        <v>0.0</v>
      </c>
      <c r="O37" s="570">
        <v>0.0</v>
      </c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428"/>
    </row>
    <row r="38" hidden="1">
      <c r="A38" s="428"/>
      <c r="B38" s="566" t="s">
        <v>1424</v>
      </c>
      <c r="C38" s="567"/>
      <c r="D38" s="573">
        <v>0.0</v>
      </c>
      <c r="E38" s="539"/>
      <c r="F38" s="539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428"/>
    </row>
    <row r="39" hidden="1">
      <c r="A39" s="428"/>
      <c r="B39" s="428"/>
      <c r="C39" s="122"/>
      <c r="D39" s="558">
        <f>SUM(D31:D38)</f>
        <v>2620082</v>
      </c>
      <c r="E39" s="539"/>
      <c r="F39" s="539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428"/>
    </row>
    <row r="40" hidden="1">
      <c r="A40" s="428"/>
      <c r="B40" s="428"/>
      <c r="C40" s="122"/>
      <c r="D40" s="558"/>
      <c r="E40" s="539"/>
      <c r="F40" s="539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428"/>
    </row>
    <row r="41" hidden="1">
      <c r="A41" s="428"/>
      <c r="B41" s="428"/>
      <c r="C41" s="122"/>
      <c r="D41" s="558"/>
      <c r="E41" s="539"/>
      <c r="F41" s="539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428"/>
    </row>
    <row r="42" hidden="1">
      <c r="A42" s="428"/>
      <c r="B42" s="428"/>
      <c r="C42" s="122"/>
      <c r="D42" s="558"/>
      <c r="E42" s="539"/>
      <c r="F42" s="539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428"/>
    </row>
    <row r="43" hidden="1">
      <c r="A43" s="428"/>
      <c r="B43" s="428"/>
      <c r="C43" s="122"/>
      <c r="D43" s="558"/>
      <c r="E43" s="539"/>
      <c r="F43" s="539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428"/>
    </row>
    <row r="44" hidden="1">
      <c r="A44" s="428"/>
      <c r="B44" s="428"/>
      <c r="C44" s="122"/>
      <c r="D44" s="558"/>
      <c r="E44" s="539"/>
      <c r="F44" s="539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428"/>
    </row>
    <row r="45" hidden="1">
      <c r="A45" s="428"/>
      <c r="B45" s="428"/>
      <c r="C45" s="122"/>
      <c r="D45" s="558"/>
      <c r="E45" s="539"/>
      <c r="F45" s="539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428"/>
    </row>
    <row r="46" hidden="1">
      <c r="A46" s="428"/>
      <c r="B46" s="428"/>
      <c r="C46" s="122"/>
      <c r="D46" s="558"/>
      <c r="E46" s="539"/>
      <c r="F46" s="539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428"/>
    </row>
    <row r="47" hidden="1">
      <c r="A47" s="428"/>
      <c r="B47" s="428"/>
      <c r="C47" s="122"/>
      <c r="D47" s="558"/>
      <c r="E47" s="539"/>
      <c r="F47" s="539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428"/>
    </row>
    <row r="48" hidden="1">
      <c r="A48" s="428"/>
      <c r="B48" s="428"/>
      <c r="C48" s="122"/>
      <c r="D48" s="558"/>
      <c r="E48" s="539"/>
      <c r="F48" s="539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428"/>
    </row>
    <row r="49" hidden="1">
      <c r="A49" s="428"/>
      <c r="B49" s="428"/>
      <c r="C49" s="122"/>
      <c r="D49" s="558"/>
      <c r="E49" s="539"/>
      <c r="F49" s="539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428"/>
    </row>
    <row r="50" hidden="1">
      <c r="A50" s="428"/>
      <c r="B50" s="428"/>
      <c r="C50" s="122"/>
      <c r="D50" s="558"/>
      <c r="E50" s="539"/>
      <c r="F50" s="539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428"/>
    </row>
    <row r="51" hidden="1">
      <c r="A51" s="428"/>
      <c r="B51" s="428"/>
      <c r="C51" s="122"/>
      <c r="D51" s="558"/>
      <c r="E51" s="539"/>
      <c r="F51" s="539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428"/>
    </row>
    <row r="52" hidden="1">
      <c r="A52" s="428"/>
      <c r="B52" s="428"/>
      <c r="C52" s="122"/>
      <c r="D52" s="558"/>
      <c r="E52" s="539"/>
      <c r="F52" s="539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428"/>
    </row>
    <row r="53" hidden="1">
      <c r="A53" s="428"/>
      <c r="B53" s="428"/>
      <c r="C53" s="122"/>
      <c r="D53" s="558"/>
      <c r="E53" s="539"/>
      <c r="F53" s="539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428"/>
    </row>
    <row r="54" hidden="1">
      <c r="A54" s="428"/>
      <c r="B54" s="428"/>
      <c r="C54" s="122"/>
      <c r="D54" s="558"/>
      <c r="E54" s="539"/>
      <c r="F54" s="539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428"/>
    </row>
    <row r="55" hidden="1">
      <c r="A55" s="428"/>
      <c r="B55" s="428"/>
      <c r="C55" s="122"/>
      <c r="D55" s="558"/>
      <c r="E55" s="539"/>
      <c r="F55" s="539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428"/>
    </row>
    <row r="56" hidden="1">
      <c r="A56" s="428"/>
      <c r="B56" s="428"/>
      <c r="C56" s="122"/>
      <c r="D56" s="558"/>
      <c r="E56" s="539"/>
      <c r="F56" s="539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428"/>
    </row>
    <row r="57" hidden="1">
      <c r="A57" s="428"/>
      <c r="B57" s="428"/>
      <c r="C57" s="122"/>
      <c r="D57" s="558"/>
      <c r="E57" s="539"/>
      <c r="F57" s="539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428"/>
    </row>
    <row r="58" hidden="1">
      <c r="A58" s="428"/>
      <c r="B58" s="428"/>
      <c r="C58" s="122"/>
      <c r="D58" s="558"/>
      <c r="E58" s="539"/>
      <c r="F58" s="539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428"/>
    </row>
    <row r="59" hidden="1">
      <c r="A59" s="428"/>
      <c r="B59" s="428"/>
      <c r="C59" s="122"/>
      <c r="D59" s="558"/>
      <c r="E59" s="539"/>
      <c r="F59" s="539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428"/>
    </row>
    <row r="60" hidden="1">
      <c r="A60" s="428"/>
      <c r="B60" s="428"/>
      <c r="C60" s="122"/>
      <c r="D60" s="558"/>
      <c r="E60" s="539"/>
      <c r="F60" s="539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428"/>
    </row>
    <row r="61" hidden="1">
      <c r="A61" s="428"/>
      <c r="B61" s="428"/>
      <c r="C61" s="122"/>
      <c r="D61" s="558"/>
      <c r="E61" s="539"/>
      <c r="F61" s="539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428"/>
    </row>
    <row r="62" hidden="1">
      <c r="A62" s="428"/>
      <c r="B62" s="428"/>
      <c r="C62" s="122"/>
      <c r="D62" s="558"/>
      <c r="E62" s="539"/>
      <c r="F62" s="539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428"/>
    </row>
    <row r="63" hidden="1">
      <c r="A63" s="428"/>
      <c r="B63" s="428"/>
      <c r="C63" s="122"/>
      <c r="D63" s="558"/>
      <c r="E63" s="539"/>
      <c r="F63" s="539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428"/>
    </row>
    <row r="64" hidden="1">
      <c r="A64" s="428"/>
      <c r="B64" s="428"/>
      <c r="C64" s="122"/>
      <c r="D64" s="558"/>
      <c r="E64" s="539"/>
      <c r="F64" s="539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428"/>
    </row>
    <row r="65" hidden="1">
      <c r="A65" s="428"/>
      <c r="B65" s="428"/>
      <c r="C65" s="122"/>
      <c r="D65" s="558"/>
      <c r="E65" s="539"/>
      <c r="F65" s="539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428"/>
    </row>
    <row r="66" hidden="1">
      <c r="A66" s="428"/>
      <c r="B66" s="428"/>
      <c r="C66" s="122"/>
      <c r="D66" s="558"/>
      <c r="E66" s="539"/>
      <c r="F66" s="539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428"/>
    </row>
    <row r="67" hidden="1">
      <c r="A67" s="428"/>
      <c r="B67" s="428"/>
      <c r="C67" s="122"/>
      <c r="D67" s="558"/>
      <c r="E67" s="539"/>
      <c r="F67" s="539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428"/>
    </row>
    <row r="68" hidden="1">
      <c r="A68" s="428"/>
      <c r="B68" s="428"/>
      <c r="C68" s="122"/>
      <c r="D68" s="558"/>
      <c r="E68" s="539"/>
      <c r="F68" s="539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428"/>
    </row>
    <row r="69" hidden="1">
      <c r="A69" s="428"/>
      <c r="B69" s="428"/>
      <c r="C69" s="122"/>
      <c r="D69" s="558"/>
      <c r="E69" s="539"/>
      <c r="F69" s="539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428"/>
    </row>
    <row r="70" hidden="1">
      <c r="A70" s="428"/>
      <c r="B70" s="428"/>
      <c r="C70" s="122"/>
      <c r="D70" s="558"/>
      <c r="E70" s="539"/>
      <c r="F70" s="539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428"/>
    </row>
    <row r="71" hidden="1">
      <c r="A71" s="428"/>
      <c r="B71" s="428"/>
      <c r="C71" s="122"/>
      <c r="D71" s="558"/>
      <c r="E71" s="539"/>
      <c r="F71" s="539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428"/>
    </row>
    <row r="72" hidden="1">
      <c r="A72" s="428"/>
      <c r="B72" s="428"/>
      <c r="C72" s="122"/>
      <c r="D72" s="558"/>
      <c r="E72" s="539"/>
      <c r="F72" s="539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428"/>
    </row>
    <row r="73" hidden="1">
      <c r="A73" s="428"/>
      <c r="B73" s="428"/>
      <c r="C73" s="122"/>
      <c r="D73" s="558"/>
      <c r="E73" s="539"/>
      <c r="F73" s="539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428"/>
    </row>
    <row r="74" hidden="1">
      <c r="A74" s="428"/>
      <c r="B74" s="428"/>
      <c r="C74" s="122"/>
      <c r="D74" s="558"/>
      <c r="E74" s="539"/>
      <c r="F74" s="539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428"/>
    </row>
    <row r="75" hidden="1">
      <c r="A75" s="428"/>
      <c r="B75" s="428"/>
      <c r="C75" s="122"/>
      <c r="D75" s="558"/>
      <c r="E75" s="539"/>
      <c r="F75" s="539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428"/>
    </row>
    <row r="76" hidden="1">
      <c r="A76" s="428"/>
      <c r="B76" s="428"/>
      <c r="C76" s="122"/>
      <c r="D76" s="558"/>
      <c r="E76" s="539"/>
      <c r="F76" s="539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428"/>
    </row>
    <row r="77" hidden="1">
      <c r="A77" s="428"/>
      <c r="B77" s="428"/>
      <c r="C77" s="122"/>
      <c r="D77" s="558"/>
      <c r="E77" s="539"/>
      <c r="F77" s="539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428"/>
    </row>
    <row r="78" hidden="1">
      <c r="A78" s="428"/>
      <c r="B78" s="428"/>
      <c r="C78" s="122"/>
      <c r="D78" s="558"/>
      <c r="E78" s="539"/>
      <c r="F78" s="539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428"/>
    </row>
    <row r="79" hidden="1">
      <c r="A79" s="428"/>
      <c r="B79" s="428"/>
      <c r="C79" s="122"/>
      <c r="D79" s="558"/>
      <c r="E79" s="539"/>
      <c r="F79" s="539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428"/>
    </row>
    <row r="80" hidden="1">
      <c r="A80" s="428"/>
      <c r="B80" s="428"/>
      <c r="C80" s="122"/>
      <c r="D80" s="558"/>
      <c r="E80" s="539"/>
      <c r="F80" s="539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428"/>
    </row>
    <row r="81" hidden="1">
      <c r="A81" s="428"/>
      <c r="B81" s="428"/>
      <c r="C81" s="122"/>
      <c r="D81" s="558"/>
      <c r="E81" s="539"/>
      <c r="F81" s="539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428"/>
    </row>
    <row r="82" hidden="1">
      <c r="A82" s="428"/>
      <c r="B82" s="428"/>
      <c r="C82" s="122"/>
      <c r="D82" s="558"/>
      <c r="E82" s="539"/>
      <c r="F82" s="539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428"/>
    </row>
    <row r="83" hidden="1">
      <c r="A83" s="428"/>
      <c r="B83" s="428"/>
      <c r="C83" s="122"/>
      <c r="D83" s="558"/>
      <c r="E83" s="539"/>
      <c r="F83" s="539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428"/>
    </row>
    <row r="84" hidden="1">
      <c r="A84" s="428"/>
      <c r="B84" s="428"/>
      <c r="C84" s="122"/>
      <c r="D84" s="558"/>
      <c r="E84" s="539"/>
      <c r="F84" s="539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428"/>
    </row>
    <row r="85" hidden="1">
      <c r="A85" s="428"/>
      <c r="B85" s="428"/>
      <c r="C85" s="122"/>
      <c r="D85" s="558"/>
      <c r="E85" s="539"/>
      <c r="F85" s="539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428"/>
    </row>
    <row r="86" hidden="1">
      <c r="A86" s="428"/>
      <c r="B86" s="428"/>
      <c r="C86" s="122"/>
      <c r="D86" s="558"/>
      <c r="E86" s="539"/>
      <c r="F86" s="539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428"/>
    </row>
    <row r="87" hidden="1">
      <c r="A87" s="428"/>
      <c r="B87" s="428"/>
      <c r="C87" s="122"/>
      <c r="D87" s="558"/>
      <c r="E87" s="539"/>
      <c r="F87" s="539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428"/>
    </row>
    <row r="88" hidden="1">
      <c r="A88" s="428"/>
      <c r="B88" s="428"/>
      <c r="C88" s="122"/>
      <c r="D88" s="558"/>
      <c r="E88" s="539"/>
      <c r="F88" s="539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428"/>
    </row>
    <row r="89" hidden="1">
      <c r="A89" s="428"/>
      <c r="B89" s="428"/>
      <c r="C89" s="122"/>
      <c r="D89" s="558"/>
      <c r="E89" s="539"/>
      <c r="F89" s="539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428"/>
    </row>
    <row r="90" hidden="1">
      <c r="A90" s="428"/>
      <c r="B90" s="428"/>
      <c r="C90" s="122"/>
      <c r="D90" s="558"/>
      <c r="E90" s="539"/>
      <c r="F90" s="539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428"/>
    </row>
    <row r="91" hidden="1">
      <c r="A91" s="428"/>
      <c r="B91" s="428"/>
      <c r="C91" s="122"/>
      <c r="D91" s="558"/>
      <c r="E91" s="539"/>
      <c r="F91" s="539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428"/>
    </row>
    <row r="92" hidden="1">
      <c r="A92" s="428"/>
      <c r="B92" s="428"/>
      <c r="C92" s="122"/>
      <c r="D92" s="558"/>
      <c r="E92" s="539"/>
      <c r="F92" s="539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428"/>
    </row>
    <row r="93" hidden="1">
      <c r="A93" s="428"/>
      <c r="B93" s="428"/>
      <c r="C93" s="122"/>
      <c r="D93" s="558"/>
      <c r="E93" s="539"/>
      <c r="F93" s="539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428"/>
    </row>
    <row r="94" hidden="1">
      <c r="A94" s="428"/>
      <c r="B94" s="428"/>
      <c r="C94" s="122"/>
      <c r="D94" s="558"/>
      <c r="E94" s="539"/>
      <c r="F94" s="539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428"/>
    </row>
    <row r="95" hidden="1">
      <c r="A95" s="428"/>
      <c r="B95" s="428"/>
      <c r="C95" s="122"/>
      <c r="D95" s="558"/>
      <c r="E95" s="539"/>
      <c r="F95" s="539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428"/>
    </row>
    <row r="96" hidden="1">
      <c r="A96" s="428"/>
      <c r="B96" s="428"/>
      <c r="C96" s="122"/>
      <c r="D96" s="558"/>
      <c r="E96" s="539"/>
      <c r="F96" s="539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428"/>
    </row>
    <row r="97" hidden="1">
      <c r="A97" s="428"/>
      <c r="B97" s="428"/>
      <c r="C97" s="122"/>
      <c r="D97" s="558"/>
      <c r="E97" s="539"/>
      <c r="F97" s="539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428"/>
    </row>
    <row r="98" hidden="1">
      <c r="A98" s="428"/>
      <c r="B98" s="428"/>
      <c r="C98" s="122"/>
      <c r="D98" s="558"/>
      <c r="E98" s="539"/>
      <c r="F98" s="539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428"/>
    </row>
    <row r="99" hidden="1">
      <c r="A99" s="428"/>
      <c r="B99" s="428"/>
      <c r="C99" s="122"/>
      <c r="D99" s="558"/>
      <c r="E99" s="539"/>
      <c r="F99" s="539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428"/>
    </row>
    <row r="100" hidden="1">
      <c r="A100" s="428"/>
      <c r="B100" s="428"/>
      <c r="C100" s="122"/>
      <c r="D100" s="558"/>
      <c r="E100" s="539"/>
      <c r="F100" s="539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428"/>
    </row>
    <row r="101" hidden="1">
      <c r="A101" s="428"/>
      <c r="B101" s="428"/>
      <c r="C101" s="122"/>
      <c r="D101" s="558"/>
      <c r="E101" s="539"/>
      <c r="F101" s="539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428"/>
    </row>
    <row r="102" hidden="1">
      <c r="A102" s="428"/>
      <c r="B102" s="428"/>
      <c r="C102" s="122"/>
      <c r="D102" s="558"/>
      <c r="E102" s="539"/>
      <c r="F102" s="539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428"/>
    </row>
    <row r="103" hidden="1">
      <c r="A103" s="428"/>
      <c r="B103" s="428"/>
      <c r="C103" s="122"/>
      <c r="D103" s="558"/>
      <c r="E103" s="539"/>
      <c r="F103" s="539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428"/>
    </row>
    <row r="104" hidden="1">
      <c r="A104" s="428"/>
      <c r="B104" s="428"/>
      <c r="C104" s="122"/>
      <c r="D104" s="558"/>
      <c r="E104" s="539"/>
      <c r="F104" s="539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428"/>
    </row>
    <row r="105" hidden="1">
      <c r="A105" s="428"/>
      <c r="B105" s="428"/>
      <c r="C105" s="122"/>
      <c r="D105" s="558"/>
      <c r="E105" s="539"/>
      <c r="F105" s="53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428"/>
    </row>
    <row r="106" hidden="1">
      <c r="A106" s="428"/>
      <c r="B106" s="428"/>
      <c r="C106" s="122"/>
      <c r="D106" s="558"/>
      <c r="E106" s="539"/>
      <c r="F106" s="539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428"/>
    </row>
    <row r="107" hidden="1">
      <c r="A107" s="428"/>
      <c r="B107" s="428"/>
      <c r="C107" s="122"/>
      <c r="D107" s="558"/>
      <c r="E107" s="539"/>
      <c r="F107" s="539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428"/>
    </row>
    <row r="108" hidden="1">
      <c r="A108" s="428"/>
      <c r="B108" s="428"/>
      <c r="C108" s="122"/>
      <c r="D108" s="558"/>
      <c r="E108" s="539"/>
      <c r="F108" s="539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428"/>
    </row>
    <row r="109" hidden="1">
      <c r="A109" s="428"/>
      <c r="B109" s="428"/>
      <c r="C109" s="122"/>
      <c r="D109" s="558"/>
      <c r="E109" s="539"/>
      <c r="F109" s="539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428"/>
    </row>
    <row r="110" hidden="1">
      <c r="A110" s="428"/>
      <c r="B110" s="428"/>
      <c r="C110" s="122"/>
      <c r="D110" s="558"/>
      <c r="E110" s="539"/>
      <c r="F110" s="539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428"/>
    </row>
    <row r="111" hidden="1">
      <c r="A111" s="428"/>
      <c r="B111" s="428"/>
      <c r="C111" s="122"/>
      <c r="D111" s="558"/>
      <c r="E111" s="539"/>
      <c r="F111" s="539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428"/>
    </row>
    <row r="112" hidden="1">
      <c r="A112" s="428"/>
      <c r="B112" s="428"/>
      <c r="C112" s="122"/>
      <c r="D112" s="558"/>
      <c r="E112" s="539"/>
      <c r="F112" s="539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428"/>
    </row>
    <row r="113" hidden="1">
      <c r="A113" s="428"/>
      <c r="B113" s="428"/>
      <c r="C113" s="122"/>
      <c r="D113" s="558"/>
      <c r="E113" s="539"/>
      <c r="F113" s="539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428"/>
    </row>
    <row r="114" hidden="1">
      <c r="A114" s="428"/>
      <c r="B114" s="428"/>
      <c r="C114" s="122"/>
      <c r="D114" s="558"/>
      <c r="E114" s="539"/>
      <c r="F114" s="539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428"/>
    </row>
    <row r="115" hidden="1">
      <c r="A115" s="428"/>
      <c r="B115" s="428"/>
      <c r="C115" s="122"/>
      <c r="D115" s="558"/>
      <c r="E115" s="539"/>
      <c r="F115" s="539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428"/>
    </row>
    <row r="116" hidden="1">
      <c r="A116" s="428"/>
      <c r="B116" s="428"/>
      <c r="C116" s="122"/>
      <c r="D116" s="558"/>
      <c r="E116" s="539"/>
      <c r="F116" s="539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428"/>
    </row>
    <row r="117" hidden="1">
      <c r="A117" s="428"/>
      <c r="B117" s="428"/>
      <c r="C117" s="122"/>
      <c r="D117" s="558"/>
      <c r="E117" s="539"/>
      <c r="F117" s="539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428"/>
    </row>
    <row r="118" hidden="1">
      <c r="A118" s="428"/>
      <c r="B118" s="428"/>
      <c r="C118" s="122"/>
      <c r="D118" s="558"/>
      <c r="E118" s="539"/>
      <c r="F118" s="539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428"/>
    </row>
    <row r="119" hidden="1">
      <c r="A119" s="428"/>
      <c r="B119" s="428"/>
      <c r="C119" s="122"/>
      <c r="D119" s="558"/>
      <c r="E119" s="539"/>
      <c r="F119" s="539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428"/>
    </row>
    <row r="120" hidden="1">
      <c r="A120" s="428"/>
      <c r="B120" s="428"/>
      <c r="C120" s="122"/>
      <c r="D120" s="558"/>
      <c r="E120" s="539"/>
      <c r="F120" s="539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428"/>
    </row>
    <row r="121" hidden="1">
      <c r="A121" s="428"/>
      <c r="B121" s="428"/>
      <c r="C121" s="122"/>
      <c r="D121" s="558"/>
      <c r="E121" s="539"/>
      <c r="F121" s="539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428"/>
    </row>
    <row r="122" hidden="1">
      <c r="A122" s="428"/>
      <c r="B122" s="428"/>
      <c r="C122" s="122"/>
      <c r="D122" s="558"/>
      <c r="E122" s="539"/>
      <c r="F122" s="539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428"/>
    </row>
    <row r="123" hidden="1">
      <c r="A123" s="428"/>
      <c r="B123" s="428"/>
      <c r="C123" s="122"/>
      <c r="D123" s="558"/>
      <c r="E123" s="539"/>
      <c r="F123" s="539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428"/>
    </row>
    <row r="124" hidden="1">
      <c r="A124" s="428"/>
      <c r="B124" s="428"/>
      <c r="C124" s="122"/>
      <c r="D124" s="558"/>
      <c r="E124" s="539"/>
      <c r="F124" s="539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428"/>
    </row>
    <row r="125" hidden="1">
      <c r="A125" s="428"/>
      <c r="B125" s="428"/>
      <c r="C125" s="122"/>
      <c r="D125" s="558"/>
      <c r="E125" s="539"/>
      <c r="F125" s="539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428"/>
    </row>
    <row r="126" hidden="1">
      <c r="A126" s="428"/>
      <c r="B126" s="428"/>
      <c r="C126" s="122"/>
      <c r="D126" s="558"/>
      <c r="E126" s="539"/>
      <c r="F126" s="539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428"/>
    </row>
    <row r="127" hidden="1">
      <c r="A127" s="428"/>
      <c r="B127" s="428"/>
      <c r="C127" s="122"/>
      <c r="D127" s="558"/>
      <c r="E127" s="539"/>
      <c r="F127" s="539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428"/>
    </row>
    <row r="128" hidden="1">
      <c r="A128" s="428"/>
      <c r="B128" s="428"/>
      <c r="C128" s="122"/>
      <c r="D128" s="558"/>
      <c r="E128" s="539"/>
      <c r="F128" s="539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428"/>
    </row>
    <row r="129" hidden="1">
      <c r="A129" s="428"/>
      <c r="B129" s="428"/>
      <c r="C129" s="122"/>
      <c r="D129" s="558"/>
      <c r="E129" s="539"/>
      <c r="F129" s="539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428"/>
    </row>
    <row r="130" hidden="1">
      <c r="A130" s="428"/>
      <c r="B130" s="428"/>
      <c r="C130" s="122"/>
      <c r="D130" s="558"/>
      <c r="E130" s="539"/>
      <c r="F130" s="539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428"/>
    </row>
    <row r="131" hidden="1">
      <c r="A131" s="428"/>
      <c r="B131" s="428"/>
      <c r="C131" s="122"/>
      <c r="D131" s="558"/>
      <c r="E131" s="539"/>
      <c r="F131" s="539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428"/>
    </row>
    <row r="132" hidden="1">
      <c r="A132" s="428"/>
      <c r="B132" s="428"/>
      <c r="C132" s="122"/>
      <c r="D132" s="558"/>
      <c r="E132" s="539"/>
      <c r="F132" s="539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428"/>
    </row>
    <row r="133" hidden="1">
      <c r="A133" s="428"/>
      <c r="B133" s="428"/>
      <c r="C133" s="122"/>
      <c r="D133" s="558"/>
      <c r="E133" s="539"/>
      <c r="F133" s="539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428"/>
    </row>
    <row r="134" hidden="1">
      <c r="A134" s="428"/>
      <c r="B134" s="428"/>
      <c r="C134" s="122"/>
      <c r="D134" s="558"/>
      <c r="E134" s="539"/>
      <c r="F134" s="539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428"/>
    </row>
    <row r="135" hidden="1">
      <c r="A135" s="428"/>
      <c r="B135" s="428"/>
      <c r="C135" s="122"/>
      <c r="D135" s="558"/>
      <c r="E135" s="539"/>
      <c r="F135" s="539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428"/>
    </row>
    <row r="136" hidden="1">
      <c r="A136" s="428"/>
      <c r="B136" s="428"/>
      <c r="C136" s="122"/>
      <c r="D136" s="558"/>
      <c r="E136" s="539"/>
      <c r="F136" s="539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428"/>
    </row>
    <row r="137" hidden="1">
      <c r="A137" s="428"/>
      <c r="B137" s="428"/>
      <c r="C137" s="122"/>
      <c r="D137" s="558"/>
      <c r="E137" s="539"/>
      <c r="F137" s="539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428"/>
    </row>
    <row r="138" hidden="1">
      <c r="A138" s="428"/>
      <c r="B138" s="428"/>
      <c r="C138" s="122"/>
      <c r="D138" s="558"/>
      <c r="E138" s="539"/>
      <c r="F138" s="539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428"/>
    </row>
    <row r="139" hidden="1">
      <c r="A139" s="428"/>
      <c r="B139" s="428"/>
      <c r="C139" s="122"/>
      <c r="D139" s="558"/>
      <c r="E139" s="539"/>
      <c r="F139" s="539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428"/>
    </row>
    <row r="140" hidden="1">
      <c r="A140" s="428"/>
      <c r="B140" s="428"/>
      <c r="C140" s="122"/>
      <c r="D140" s="558"/>
      <c r="E140" s="539"/>
      <c r="F140" s="539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428"/>
    </row>
    <row r="141" hidden="1">
      <c r="A141" s="428"/>
      <c r="B141" s="428"/>
      <c r="C141" s="122"/>
      <c r="D141" s="558"/>
      <c r="E141" s="539"/>
      <c r="F141" s="539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428"/>
    </row>
    <row r="142" hidden="1">
      <c r="A142" s="428"/>
      <c r="B142" s="428"/>
      <c r="C142" s="122"/>
      <c r="D142" s="558"/>
      <c r="E142" s="539"/>
      <c r="F142" s="539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428"/>
    </row>
    <row r="143" hidden="1">
      <c r="A143" s="428"/>
      <c r="B143" s="428"/>
      <c r="C143" s="122"/>
      <c r="D143" s="558"/>
      <c r="E143" s="539"/>
      <c r="F143" s="539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428"/>
    </row>
    <row r="144" hidden="1">
      <c r="A144" s="428"/>
      <c r="B144" s="428"/>
      <c r="C144" s="122"/>
      <c r="D144" s="558"/>
      <c r="E144" s="539"/>
      <c r="F144" s="539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428"/>
    </row>
    <row r="145" hidden="1">
      <c r="A145" s="428"/>
      <c r="B145" s="428"/>
      <c r="C145" s="122"/>
      <c r="D145" s="558"/>
      <c r="E145" s="539"/>
      <c r="F145" s="539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428"/>
    </row>
    <row r="146" hidden="1">
      <c r="A146" s="428"/>
      <c r="B146" s="428"/>
      <c r="C146" s="122"/>
      <c r="D146" s="558"/>
      <c r="E146" s="539"/>
      <c r="F146" s="539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428"/>
    </row>
    <row r="147" hidden="1">
      <c r="A147" s="428"/>
      <c r="B147" s="428"/>
      <c r="C147" s="122"/>
      <c r="D147" s="558"/>
      <c r="E147" s="539"/>
      <c r="F147" s="539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428"/>
    </row>
    <row r="148" hidden="1">
      <c r="A148" s="428"/>
      <c r="B148" s="428"/>
      <c r="C148" s="122"/>
      <c r="D148" s="558"/>
      <c r="E148" s="539"/>
      <c r="F148" s="539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428"/>
    </row>
    <row r="149" hidden="1">
      <c r="A149" s="428"/>
      <c r="B149" s="428"/>
      <c r="C149" s="122"/>
      <c r="D149" s="558"/>
      <c r="E149" s="539"/>
      <c r="F149" s="539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428"/>
    </row>
    <row r="150" hidden="1">
      <c r="A150" s="428"/>
      <c r="B150" s="428"/>
      <c r="C150" s="122"/>
      <c r="D150" s="558"/>
      <c r="E150" s="539"/>
      <c r="F150" s="539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428"/>
    </row>
    <row r="151" hidden="1">
      <c r="A151" s="428"/>
      <c r="B151" s="428"/>
      <c r="C151" s="122"/>
      <c r="D151" s="558"/>
      <c r="E151" s="539"/>
      <c r="F151" s="539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428"/>
    </row>
    <row r="152" hidden="1">
      <c r="A152" s="428"/>
      <c r="B152" s="428"/>
      <c r="C152" s="122"/>
      <c r="D152" s="558"/>
      <c r="E152" s="539"/>
      <c r="F152" s="539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428"/>
    </row>
    <row r="153" hidden="1">
      <c r="A153" s="428"/>
      <c r="B153" s="428"/>
      <c r="C153" s="122"/>
      <c r="D153" s="558"/>
      <c r="E153" s="539"/>
      <c r="F153" s="539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428"/>
    </row>
    <row r="154" hidden="1">
      <c r="A154" s="428"/>
      <c r="B154" s="428"/>
      <c r="C154" s="122"/>
      <c r="D154" s="558"/>
      <c r="E154" s="539"/>
      <c r="F154" s="539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428"/>
    </row>
    <row r="155" hidden="1">
      <c r="A155" s="428"/>
      <c r="B155" s="428"/>
      <c r="C155" s="122"/>
      <c r="D155" s="558"/>
      <c r="E155" s="539"/>
      <c r="F155" s="539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428"/>
    </row>
    <row r="156" hidden="1">
      <c r="A156" s="428"/>
      <c r="B156" s="428"/>
      <c r="C156" s="122"/>
      <c r="D156" s="558"/>
      <c r="E156" s="539"/>
      <c r="F156" s="539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428"/>
    </row>
    <row r="157" hidden="1">
      <c r="A157" s="428"/>
      <c r="B157" s="428"/>
      <c r="C157" s="122"/>
      <c r="D157" s="558"/>
      <c r="E157" s="539"/>
      <c r="F157" s="539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428"/>
    </row>
    <row r="158" hidden="1">
      <c r="A158" s="428"/>
      <c r="B158" s="428"/>
      <c r="C158" s="122"/>
      <c r="D158" s="558"/>
      <c r="E158" s="539"/>
      <c r="F158" s="539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428"/>
    </row>
    <row r="159" hidden="1">
      <c r="A159" s="428"/>
      <c r="B159" s="428"/>
      <c r="C159" s="122"/>
      <c r="D159" s="558"/>
      <c r="E159" s="539"/>
      <c r="F159" s="539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428"/>
    </row>
    <row r="160" hidden="1">
      <c r="A160" s="428"/>
      <c r="B160" s="428"/>
      <c r="C160" s="122"/>
      <c r="D160" s="558"/>
      <c r="E160" s="539"/>
      <c r="F160" s="539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428"/>
    </row>
    <row r="161" hidden="1">
      <c r="A161" s="428"/>
      <c r="B161" s="428"/>
      <c r="C161" s="122"/>
      <c r="D161" s="558"/>
      <c r="E161" s="539"/>
      <c r="F161" s="539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428"/>
    </row>
    <row r="162" hidden="1">
      <c r="A162" s="428"/>
      <c r="B162" s="428"/>
      <c r="C162" s="122"/>
      <c r="D162" s="558"/>
      <c r="E162" s="539"/>
      <c r="F162" s="539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428"/>
    </row>
    <row r="163" hidden="1">
      <c r="A163" s="428"/>
      <c r="B163" s="428"/>
      <c r="C163" s="122"/>
      <c r="D163" s="558"/>
      <c r="E163" s="539"/>
      <c r="F163" s="539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428"/>
    </row>
    <row r="164" hidden="1">
      <c r="A164" s="428"/>
      <c r="B164" s="428"/>
      <c r="C164" s="122"/>
      <c r="D164" s="558"/>
      <c r="E164" s="539"/>
      <c r="F164" s="539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428"/>
    </row>
    <row r="165" hidden="1">
      <c r="A165" s="428"/>
      <c r="B165" s="428"/>
      <c r="C165" s="122"/>
      <c r="D165" s="558"/>
      <c r="E165" s="539"/>
      <c r="F165" s="539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428"/>
    </row>
    <row r="166" hidden="1">
      <c r="A166" s="428"/>
      <c r="B166" s="428"/>
      <c r="C166" s="122"/>
      <c r="D166" s="558"/>
      <c r="E166" s="539"/>
      <c r="F166" s="539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428"/>
    </row>
    <row r="167" hidden="1">
      <c r="A167" s="428"/>
      <c r="B167" s="428"/>
      <c r="C167" s="122"/>
      <c r="D167" s="558"/>
      <c r="E167" s="539"/>
      <c r="F167" s="539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428"/>
    </row>
    <row r="168" hidden="1">
      <c r="A168" s="428"/>
      <c r="B168" s="428"/>
      <c r="C168" s="122"/>
      <c r="D168" s="558"/>
      <c r="E168" s="539"/>
      <c r="F168" s="539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428"/>
    </row>
    <row r="169" hidden="1">
      <c r="A169" s="428"/>
      <c r="B169" s="428"/>
      <c r="C169" s="122"/>
      <c r="D169" s="558"/>
      <c r="E169" s="539"/>
      <c r="F169" s="539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428"/>
    </row>
    <row r="170" hidden="1">
      <c r="A170" s="428"/>
      <c r="B170" s="428"/>
      <c r="C170" s="122"/>
      <c r="D170" s="558"/>
      <c r="E170" s="539"/>
      <c r="F170" s="539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428"/>
    </row>
    <row r="171" hidden="1">
      <c r="A171" s="428"/>
      <c r="B171" s="428"/>
      <c r="C171" s="122"/>
      <c r="D171" s="558"/>
      <c r="E171" s="539"/>
      <c r="F171" s="539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428"/>
    </row>
    <row r="172" hidden="1">
      <c r="A172" s="428"/>
      <c r="B172" s="428"/>
      <c r="C172" s="122"/>
      <c r="D172" s="558"/>
      <c r="E172" s="539"/>
      <c r="F172" s="539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428"/>
    </row>
    <row r="173" hidden="1">
      <c r="A173" s="428"/>
      <c r="B173" s="428"/>
      <c r="C173" s="122"/>
      <c r="D173" s="558"/>
      <c r="E173" s="539"/>
      <c r="F173" s="539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122"/>
      <c r="AL173" s="122"/>
      <c r="AM173" s="122"/>
      <c r="AN173" s="122"/>
      <c r="AO173" s="122"/>
      <c r="AP173" s="428"/>
    </row>
    <row r="174" hidden="1">
      <c r="A174" s="428"/>
      <c r="B174" s="428"/>
      <c r="C174" s="122"/>
      <c r="D174" s="558"/>
      <c r="E174" s="539"/>
      <c r="F174" s="539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2"/>
      <c r="AE174" s="122"/>
      <c r="AF174" s="122"/>
      <c r="AG174" s="122"/>
      <c r="AH174" s="122"/>
      <c r="AI174" s="122"/>
      <c r="AJ174" s="122"/>
      <c r="AK174" s="122"/>
      <c r="AL174" s="122"/>
      <c r="AM174" s="122"/>
      <c r="AN174" s="122"/>
      <c r="AO174" s="122"/>
      <c r="AP174" s="428"/>
    </row>
    <row r="175" hidden="1">
      <c r="A175" s="428"/>
      <c r="B175" s="428"/>
      <c r="C175" s="122"/>
      <c r="D175" s="558"/>
      <c r="E175" s="539"/>
      <c r="F175" s="539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122"/>
      <c r="AL175" s="122"/>
      <c r="AM175" s="122"/>
      <c r="AN175" s="122"/>
      <c r="AO175" s="122"/>
      <c r="AP175" s="428"/>
    </row>
    <row r="176" hidden="1">
      <c r="A176" s="428"/>
      <c r="B176" s="428"/>
      <c r="C176" s="122"/>
      <c r="D176" s="558"/>
      <c r="E176" s="539"/>
      <c r="F176" s="539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2"/>
      <c r="AE176" s="122"/>
      <c r="AF176" s="122"/>
      <c r="AG176" s="122"/>
      <c r="AH176" s="122"/>
      <c r="AI176" s="122"/>
      <c r="AJ176" s="122"/>
      <c r="AK176" s="122"/>
      <c r="AL176" s="122"/>
      <c r="AM176" s="122"/>
      <c r="AN176" s="122"/>
      <c r="AO176" s="122"/>
      <c r="AP176" s="428"/>
    </row>
    <row r="177" hidden="1">
      <c r="A177" s="428"/>
      <c r="B177" s="428"/>
      <c r="C177" s="122"/>
      <c r="D177" s="558"/>
      <c r="E177" s="539"/>
      <c r="F177" s="539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2"/>
      <c r="AE177" s="122"/>
      <c r="AF177" s="122"/>
      <c r="AG177" s="122"/>
      <c r="AH177" s="122"/>
      <c r="AI177" s="122"/>
      <c r="AJ177" s="122"/>
      <c r="AK177" s="122"/>
      <c r="AL177" s="122"/>
      <c r="AM177" s="122"/>
      <c r="AN177" s="122"/>
      <c r="AO177" s="122"/>
      <c r="AP177" s="428"/>
    </row>
    <row r="178" hidden="1">
      <c r="A178" s="428"/>
      <c r="B178" s="428"/>
      <c r="C178" s="122"/>
      <c r="D178" s="558"/>
      <c r="E178" s="539"/>
      <c r="F178" s="539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2"/>
      <c r="AE178" s="122"/>
      <c r="AF178" s="122"/>
      <c r="AG178" s="122"/>
      <c r="AH178" s="122"/>
      <c r="AI178" s="122"/>
      <c r="AJ178" s="122"/>
      <c r="AK178" s="122"/>
      <c r="AL178" s="122"/>
      <c r="AM178" s="122"/>
      <c r="AN178" s="122"/>
      <c r="AO178" s="122"/>
      <c r="AP178" s="428"/>
    </row>
    <row r="179" hidden="1">
      <c r="A179" s="428"/>
      <c r="B179" s="428"/>
      <c r="C179" s="122"/>
      <c r="D179" s="558"/>
      <c r="E179" s="539"/>
      <c r="F179" s="539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2"/>
      <c r="AE179" s="122"/>
      <c r="AF179" s="122"/>
      <c r="AG179" s="122"/>
      <c r="AH179" s="122"/>
      <c r="AI179" s="122"/>
      <c r="AJ179" s="122"/>
      <c r="AK179" s="122"/>
      <c r="AL179" s="122"/>
      <c r="AM179" s="122"/>
      <c r="AN179" s="122"/>
      <c r="AO179" s="122"/>
      <c r="AP179" s="428"/>
    </row>
    <row r="180" hidden="1">
      <c r="A180" s="428"/>
      <c r="B180" s="428"/>
      <c r="C180" s="122"/>
      <c r="D180" s="558"/>
      <c r="E180" s="539"/>
      <c r="F180" s="539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2"/>
      <c r="AE180" s="122"/>
      <c r="AF180" s="122"/>
      <c r="AG180" s="122"/>
      <c r="AH180" s="122"/>
      <c r="AI180" s="122"/>
      <c r="AJ180" s="122"/>
      <c r="AK180" s="122"/>
      <c r="AL180" s="122"/>
      <c r="AM180" s="122"/>
      <c r="AN180" s="122"/>
      <c r="AO180" s="122"/>
      <c r="AP180" s="428"/>
    </row>
    <row r="181" hidden="1">
      <c r="A181" s="428"/>
      <c r="B181" s="428"/>
      <c r="C181" s="122"/>
      <c r="D181" s="558"/>
      <c r="E181" s="539"/>
      <c r="F181" s="539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2"/>
      <c r="AE181" s="122"/>
      <c r="AF181" s="122"/>
      <c r="AG181" s="122"/>
      <c r="AH181" s="122"/>
      <c r="AI181" s="122"/>
      <c r="AJ181" s="122"/>
      <c r="AK181" s="122"/>
      <c r="AL181" s="122"/>
      <c r="AM181" s="122"/>
      <c r="AN181" s="122"/>
      <c r="AO181" s="122"/>
      <c r="AP181" s="428"/>
    </row>
    <row r="182" hidden="1">
      <c r="A182" s="428"/>
      <c r="B182" s="428"/>
      <c r="C182" s="122"/>
      <c r="D182" s="558"/>
      <c r="E182" s="539"/>
      <c r="F182" s="539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2"/>
      <c r="AE182" s="122"/>
      <c r="AF182" s="122"/>
      <c r="AG182" s="122"/>
      <c r="AH182" s="122"/>
      <c r="AI182" s="122"/>
      <c r="AJ182" s="122"/>
      <c r="AK182" s="122"/>
      <c r="AL182" s="122"/>
      <c r="AM182" s="122"/>
      <c r="AN182" s="122"/>
      <c r="AO182" s="122"/>
      <c r="AP182" s="428"/>
    </row>
    <row r="183" hidden="1">
      <c r="A183" s="428"/>
      <c r="B183" s="428"/>
      <c r="C183" s="122"/>
      <c r="D183" s="558"/>
      <c r="E183" s="539"/>
      <c r="F183" s="539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2"/>
      <c r="AE183" s="122"/>
      <c r="AF183" s="122"/>
      <c r="AG183" s="122"/>
      <c r="AH183" s="122"/>
      <c r="AI183" s="122"/>
      <c r="AJ183" s="122"/>
      <c r="AK183" s="122"/>
      <c r="AL183" s="122"/>
      <c r="AM183" s="122"/>
      <c r="AN183" s="122"/>
      <c r="AO183" s="122"/>
      <c r="AP183" s="428"/>
    </row>
    <row r="184" hidden="1">
      <c r="A184" s="428"/>
      <c r="B184" s="428"/>
      <c r="C184" s="122"/>
      <c r="D184" s="558"/>
      <c r="E184" s="539"/>
      <c r="F184" s="539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2"/>
      <c r="AE184" s="122"/>
      <c r="AF184" s="122"/>
      <c r="AG184" s="122"/>
      <c r="AH184" s="122"/>
      <c r="AI184" s="122"/>
      <c r="AJ184" s="122"/>
      <c r="AK184" s="122"/>
      <c r="AL184" s="122"/>
      <c r="AM184" s="122"/>
      <c r="AN184" s="122"/>
      <c r="AO184" s="122"/>
      <c r="AP184" s="428"/>
    </row>
    <row r="185" hidden="1">
      <c r="A185" s="428"/>
      <c r="B185" s="428"/>
      <c r="C185" s="122"/>
      <c r="D185" s="558"/>
      <c r="E185" s="539"/>
      <c r="F185" s="539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2"/>
      <c r="AE185" s="122"/>
      <c r="AF185" s="122"/>
      <c r="AG185" s="122"/>
      <c r="AH185" s="122"/>
      <c r="AI185" s="122"/>
      <c r="AJ185" s="122"/>
      <c r="AK185" s="122"/>
      <c r="AL185" s="122"/>
      <c r="AM185" s="122"/>
      <c r="AN185" s="122"/>
      <c r="AO185" s="122"/>
      <c r="AP185" s="428"/>
    </row>
    <row r="186" hidden="1">
      <c r="A186" s="428"/>
      <c r="B186" s="428"/>
      <c r="C186" s="122"/>
      <c r="D186" s="558"/>
      <c r="E186" s="539"/>
      <c r="F186" s="539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2"/>
      <c r="AE186" s="122"/>
      <c r="AF186" s="122"/>
      <c r="AG186" s="122"/>
      <c r="AH186" s="122"/>
      <c r="AI186" s="122"/>
      <c r="AJ186" s="122"/>
      <c r="AK186" s="122"/>
      <c r="AL186" s="122"/>
      <c r="AM186" s="122"/>
      <c r="AN186" s="122"/>
      <c r="AO186" s="122"/>
      <c r="AP186" s="428"/>
    </row>
    <row r="187" hidden="1">
      <c r="A187" s="428"/>
      <c r="B187" s="428"/>
      <c r="C187" s="122"/>
      <c r="D187" s="558"/>
      <c r="E187" s="539"/>
      <c r="F187" s="539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2"/>
      <c r="AE187" s="122"/>
      <c r="AF187" s="122"/>
      <c r="AG187" s="122"/>
      <c r="AH187" s="122"/>
      <c r="AI187" s="122"/>
      <c r="AJ187" s="122"/>
      <c r="AK187" s="122"/>
      <c r="AL187" s="122"/>
      <c r="AM187" s="122"/>
      <c r="AN187" s="122"/>
      <c r="AO187" s="122"/>
      <c r="AP187" s="428"/>
    </row>
    <row r="188" hidden="1">
      <c r="A188" s="428"/>
      <c r="B188" s="428"/>
      <c r="C188" s="122"/>
      <c r="D188" s="558"/>
      <c r="E188" s="539"/>
      <c r="F188" s="539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2"/>
      <c r="AE188" s="122"/>
      <c r="AF188" s="122"/>
      <c r="AG188" s="122"/>
      <c r="AH188" s="122"/>
      <c r="AI188" s="122"/>
      <c r="AJ188" s="122"/>
      <c r="AK188" s="122"/>
      <c r="AL188" s="122"/>
      <c r="AM188" s="122"/>
      <c r="AN188" s="122"/>
      <c r="AO188" s="122"/>
      <c r="AP188" s="428"/>
    </row>
    <row r="189" hidden="1">
      <c r="A189" s="428"/>
      <c r="B189" s="428"/>
      <c r="C189" s="122"/>
      <c r="D189" s="558"/>
      <c r="E189" s="539"/>
      <c r="F189" s="539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2"/>
      <c r="AE189" s="122"/>
      <c r="AF189" s="122"/>
      <c r="AG189" s="122"/>
      <c r="AH189" s="122"/>
      <c r="AI189" s="122"/>
      <c r="AJ189" s="122"/>
      <c r="AK189" s="122"/>
      <c r="AL189" s="122"/>
      <c r="AM189" s="122"/>
      <c r="AN189" s="122"/>
      <c r="AO189" s="122"/>
      <c r="AP189" s="428"/>
    </row>
    <row r="190" hidden="1">
      <c r="A190" s="428"/>
      <c r="B190" s="428"/>
      <c r="C190" s="122"/>
      <c r="D190" s="558"/>
      <c r="E190" s="539"/>
      <c r="F190" s="539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2"/>
      <c r="AE190" s="122"/>
      <c r="AF190" s="122"/>
      <c r="AG190" s="122"/>
      <c r="AH190" s="122"/>
      <c r="AI190" s="122"/>
      <c r="AJ190" s="122"/>
      <c r="AK190" s="122"/>
      <c r="AL190" s="122"/>
      <c r="AM190" s="122"/>
      <c r="AN190" s="122"/>
      <c r="AO190" s="122"/>
      <c r="AP190" s="428"/>
    </row>
    <row r="191" hidden="1">
      <c r="A191" s="428"/>
      <c r="B191" s="428"/>
      <c r="C191" s="122"/>
      <c r="D191" s="558"/>
      <c r="E191" s="539"/>
      <c r="F191" s="539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2"/>
      <c r="AE191" s="122"/>
      <c r="AF191" s="122"/>
      <c r="AG191" s="122"/>
      <c r="AH191" s="122"/>
      <c r="AI191" s="122"/>
      <c r="AJ191" s="122"/>
      <c r="AK191" s="122"/>
      <c r="AL191" s="122"/>
      <c r="AM191" s="122"/>
      <c r="AN191" s="122"/>
      <c r="AO191" s="122"/>
      <c r="AP191" s="428"/>
    </row>
    <row r="192" hidden="1">
      <c r="A192" s="428"/>
      <c r="B192" s="428"/>
      <c r="C192" s="122"/>
      <c r="D192" s="558"/>
      <c r="E192" s="539"/>
      <c r="F192" s="539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2"/>
      <c r="AE192" s="122"/>
      <c r="AF192" s="122"/>
      <c r="AG192" s="122"/>
      <c r="AH192" s="122"/>
      <c r="AI192" s="122"/>
      <c r="AJ192" s="122"/>
      <c r="AK192" s="122"/>
      <c r="AL192" s="122"/>
      <c r="AM192" s="122"/>
      <c r="AN192" s="122"/>
      <c r="AO192" s="122"/>
      <c r="AP192" s="428"/>
    </row>
    <row r="193" hidden="1">
      <c r="A193" s="428"/>
      <c r="B193" s="428"/>
      <c r="C193" s="122"/>
      <c r="D193" s="558"/>
      <c r="E193" s="539"/>
      <c r="F193" s="539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2"/>
      <c r="AE193" s="122"/>
      <c r="AF193" s="122"/>
      <c r="AG193" s="122"/>
      <c r="AH193" s="122"/>
      <c r="AI193" s="122"/>
      <c r="AJ193" s="122"/>
      <c r="AK193" s="122"/>
      <c r="AL193" s="122"/>
      <c r="AM193" s="122"/>
      <c r="AN193" s="122"/>
      <c r="AO193" s="122"/>
      <c r="AP193" s="428"/>
    </row>
    <row r="194" hidden="1">
      <c r="A194" s="428"/>
      <c r="B194" s="428"/>
      <c r="C194" s="122"/>
      <c r="D194" s="558"/>
      <c r="E194" s="539"/>
      <c r="F194" s="539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2"/>
      <c r="AE194" s="122"/>
      <c r="AF194" s="122"/>
      <c r="AG194" s="122"/>
      <c r="AH194" s="122"/>
      <c r="AI194" s="122"/>
      <c r="AJ194" s="122"/>
      <c r="AK194" s="122"/>
      <c r="AL194" s="122"/>
      <c r="AM194" s="122"/>
      <c r="AN194" s="122"/>
      <c r="AO194" s="122"/>
      <c r="AP194" s="428"/>
    </row>
    <row r="195" hidden="1">
      <c r="A195" s="428"/>
      <c r="B195" s="428"/>
      <c r="C195" s="122"/>
      <c r="D195" s="558"/>
      <c r="E195" s="539"/>
      <c r="F195" s="539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2"/>
      <c r="AE195" s="122"/>
      <c r="AF195" s="122"/>
      <c r="AG195" s="122"/>
      <c r="AH195" s="122"/>
      <c r="AI195" s="122"/>
      <c r="AJ195" s="122"/>
      <c r="AK195" s="122"/>
      <c r="AL195" s="122"/>
      <c r="AM195" s="122"/>
      <c r="AN195" s="122"/>
      <c r="AO195" s="122"/>
      <c r="AP195" s="428"/>
    </row>
    <row r="196" hidden="1">
      <c r="A196" s="428"/>
      <c r="B196" s="428"/>
      <c r="C196" s="122"/>
      <c r="D196" s="558"/>
      <c r="E196" s="539"/>
      <c r="F196" s="539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2"/>
      <c r="AE196" s="122"/>
      <c r="AF196" s="122"/>
      <c r="AG196" s="122"/>
      <c r="AH196" s="122"/>
      <c r="AI196" s="122"/>
      <c r="AJ196" s="122"/>
      <c r="AK196" s="122"/>
      <c r="AL196" s="122"/>
      <c r="AM196" s="122"/>
      <c r="AN196" s="122"/>
      <c r="AO196" s="122"/>
      <c r="AP196" s="428"/>
    </row>
    <row r="197" hidden="1">
      <c r="A197" s="428"/>
      <c r="B197" s="428"/>
      <c r="C197" s="122"/>
      <c r="D197" s="558"/>
      <c r="E197" s="539"/>
      <c r="F197" s="539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2"/>
      <c r="AE197" s="122"/>
      <c r="AF197" s="122"/>
      <c r="AG197" s="122"/>
      <c r="AH197" s="122"/>
      <c r="AI197" s="122"/>
      <c r="AJ197" s="122"/>
      <c r="AK197" s="122"/>
      <c r="AL197" s="122"/>
      <c r="AM197" s="122"/>
      <c r="AN197" s="122"/>
      <c r="AO197" s="122"/>
      <c r="AP197" s="428"/>
    </row>
    <row r="198" hidden="1">
      <c r="A198" s="428"/>
      <c r="B198" s="428"/>
      <c r="C198" s="122"/>
      <c r="D198" s="558"/>
      <c r="E198" s="539"/>
      <c r="F198" s="539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2"/>
      <c r="AE198" s="122"/>
      <c r="AF198" s="122"/>
      <c r="AG198" s="122"/>
      <c r="AH198" s="122"/>
      <c r="AI198" s="122"/>
      <c r="AJ198" s="122"/>
      <c r="AK198" s="122"/>
      <c r="AL198" s="122"/>
      <c r="AM198" s="122"/>
      <c r="AN198" s="122"/>
      <c r="AO198" s="122"/>
      <c r="AP198" s="428"/>
    </row>
    <row r="199" hidden="1">
      <c r="A199" s="428"/>
      <c r="B199" s="428"/>
      <c r="C199" s="122"/>
      <c r="D199" s="558"/>
      <c r="E199" s="539"/>
      <c r="F199" s="539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2"/>
      <c r="AE199" s="122"/>
      <c r="AF199" s="122"/>
      <c r="AG199" s="122"/>
      <c r="AH199" s="122"/>
      <c r="AI199" s="122"/>
      <c r="AJ199" s="122"/>
      <c r="AK199" s="122"/>
      <c r="AL199" s="122"/>
      <c r="AM199" s="122"/>
      <c r="AN199" s="122"/>
      <c r="AO199" s="122"/>
      <c r="AP199" s="428"/>
    </row>
    <row r="200" hidden="1">
      <c r="A200" s="428"/>
      <c r="B200" s="428"/>
      <c r="C200" s="122"/>
      <c r="D200" s="558"/>
      <c r="E200" s="539"/>
      <c r="F200" s="539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2"/>
      <c r="AE200" s="122"/>
      <c r="AF200" s="122"/>
      <c r="AG200" s="122"/>
      <c r="AH200" s="122"/>
      <c r="AI200" s="122"/>
      <c r="AJ200" s="122"/>
      <c r="AK200" s="122"/>
      <c r="AL200" s="122"/>
      <c r="AM200" s="122"/>
      <c r="AN200" s="122"/>
      <c r="AO200" s="122"/>
      <c r="AP200" s="428"/>
    </row>
    <row r="201" hidden="1">
      <c r="A201" s="428"/>
      <c r="B201" s="428"/>
      <c r="C201" s="122"/>
      <c r="D201" s="558"/>
      <c r="E201" s="539"/>
      <c r="F201" s="539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2"/>
      <c r="AE201" s="122"/>
      <c r="AF201" s="122"/>
      <c r="AG201" s="122"/>
      <c r="AH201" s="122"/>
      <c r="AI201" s="122"/>
      <c r="AJ201" s="122"/>
      <c r="AK201" s="122"/>
      <c r="AL201" s="122"/>
      <c r="AM201" s="122"/>
      <c r="AN201" s="122"/>
      <c r="AO201" s="122"/>
      <c r="AP201" s="428"/>
    </row>
    <row r="202" hidden="1">
      <c r="A202" s="428"/>
      <c r="B202" s="428"/>
      <c r="C202" s="122"/>
      <c r="D202" s="558"/>
      <c r="E202" s="539"/>
      <c r="F202" s="539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2"/>
      <c r="AE202" s="122"/>
      <c r="AF202" s="122"/>
      <c r="AG202" s="122"/>
      <c r="AH202" s="122"/>
      <c r="AI202" s="122"/>
      <c r="AJ202" s="122"/>
      <c r="AK202" s="122"/>
      <c r="AL202" s="122"/>
      <c r="AM202" s="122"/>
      <c r="AN202" s="122"/>
      <c r="AO202" s="122"/>
      <c r="AP202" s="428"/>
    </row>
    <row r="203" hidden="1">
      <c r="A203" s="428"/>
      <c r="B203" s="428"/>
      <c r="C203" s="122"/>
      <c r="D203" s="558"/>
      <c r="E203" s="539"/>
      <c r="F203" s="539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2"/>
      <c r="AE203" s="122"/>
      <c r="AF203" s="122"/>
      <c r="AG203" s="122"/>
      <c r="AH203" s="122"/>
      <c r="AI203" s="122"/>
      <c r="AJ203" s="122"/>
      <c r="AK203" s="122"/>
      <c r="AL203" s="122"/>
      <c r="AM203" s="122"/>
      <c r="AN203" s="122"/>
      <c r="AO203" s="122"/>
      <c r="AP203" s="428"/>
    </row>
    <row r="204" hidden="1">
      <c r="A204" s="428"/>
      <c r="B204" s="428"/>
      <c r="C204" s="122"/>
      <c r="D204" s="558"/>
      <c r="E204" s="539"/>
      <c r="F204" s="539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2"/>
      <c r="AE204" s="122"/>
      <c r="AF204" s="122"/>
      <c r="AG204" s="122"/>
      <c r="AH204" s="122"/>
      <c r="AI204" s="122"/>
      <c r="AJ204" s="122"/>
      <c r="AK204" s="122"/>
      <c r="AL204" s="122"/>
      <c r="AM204" s="122"/>
      <c r="AN204" s="122"/>
      <c r="AO204" s="122"/>
      <c r="AP204" s="428"/>
    </row>
    <row r="205" hidden="1">
      <c r="A205" s="428"/>
      <c r="B205" s="428"/>
      <c r="C205" s="122"/>
      <c r="D205" s="558"/>
      <c r="E205" s="539"/>
      <c r="F205" s="539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2"/>
      <c r="AE205" s="122"/>
      <c r="AF205" s="122"/>
      <c r="AG205" s="122"/>
      <c r="AH205" s="122"/>
      <c r="AI205" s="122"/>
      <c r="AJ205" s="122"/>
      <c r="AK205" s="122"/>
      <c r="AL205" s="122"/>
      <c r="AM205" s="122"/>
      <c r="AN205" s="122"/>
      <c r="AO205" s="122"/>
      <c r="AP205" s="428"/>
    </row>
    <row r="206" hidden="1">
      <c r="A206" s="428"/>
      <c r="B206" s="428"/>
      <c r="C206" s="122"/>
      <c r="D206" s="558"/>
      <c r="E206" s="539"/>
      <c r="F206" s="539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2"/>
      <c r="AE206" s="122"/>
      <c r="AF206" s="122"/>
      <c r="AG206" s="122"/>
      <c r="AH206" s="122"/>
      <c r="AI206" s="122"/>
      <c r="AJ206" s="122"/>
      <c r="AK206" s="122"/>
      <c r="AL206" s="122"/>
      <c r="AM206" s="122"/>
      <c r="AN206" s="122"/>
      <c r="AO206" s="122"/>
      <c r="AP206" s="428"/>
    </row>
    <row r="207" hidden="1">
      <c r="A207" s="428"/>
      <c r="B207" s="428"/>
      <c r="C207" s="122"/>
      <c r="D207" s="558"/>
      <c r="E207" s="539"/>
      <c r="F207" s="539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2"/>
      <c r="AE207" s="122"/>
      <c r="AF207" s="122"/>
      <c r="AG207" s="122"/>
      <c r="AH207" s="122"/>
      <c r="AI207" s="122"/>
      <c r="AJ207" s="122"/>
      <c r="AK207" s="122"/>
      <c r="AL207" s="122"/>
      <c r="AM207" s="122"/>
      <c r="AN207" s="122"/>
      <c r="AO207" s="122"/>
      <c r="AP207" s="428"/>
    </row>
    <row r="208" hidden="1">
      <c r="A208" s="428"/>
      <c r="B208" s="428"/>
      <c r="C208" s="122"/>
      <c r="D208" s="558"/>
      <c r="E208" s="539"/>
      <c r="F208" s="539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2"/>
      <c r="AE208" s="122"/>
      <c r="AF208" s="122"/>
      <c r="AG208" s="122"/>
      <c r="AH208" s="122"/>
      <c r="AI208" s="122"/>
      <c r="AJ208" s="122"/>
      <c r="AK208" s="122"/>
      <c r="AL208" s="122"/>
      <c r="AM208" s="122"/>
      <c r="AN208" s="122"/>
      <c r="AO208" s="122"/>
      <c r="AP208" s="428"/>
    </row>
    <row r="209" hidden="1">
      <c r="A209" s="428"/>
      <c r="B209" s="428"/>
      <c r="C209" s="122"/>
      <c r="D209" s="558"/>
      <c r="E209" s="539"/>
      <c r="F209" s="539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2"/>
      <c r="AE209" s="122"/>
      <c r="AF209" s="122"/>
      <c r="AG209" s="122"/>
      <c r="AH209" s="122"/>
      <c r="AI209" s="122"/>
      <c r="AJ209" s="122"/>
      <c r="AK209" s="122"/>
      <c r="AL209" s="122"/>
      <c r="AM209" s="122"/>
      <c r="AN209" s="122"/>
      <c r="AO209" s="122"/>
      <c r="AP209" s="428"/>
    </row>
    <row r="210" hidden="1">
      <c r="A210" s="428"/>
      <c r="B210" s="428"/>
      <c r="C210" s="122"/>
      <c r="D210" s="558"/>
      <c r="E210" s="539"/>
      <c r="F210" s="539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2"/>
      <c r="AE210" s="122"/>
      <c r="AF210" s="122"/>
      <c r="AG210" s="122"/>
      <c r="AH210" s="122"/>
      <c r="AI210" s="122"/>
      <c r="AJ210" s="122"/>
      <c r="AK210" s="122"/>
      <c r="AL210" s="122"/>
      <c r="AM210" s="122"/>
      <c r="AN210" s="122"/>
      <c r="AO210" s="122"/>
      <c r="AP210" s="428"/>
    </row>
    <row r="211" hidden="1">
      <c r="A211" s="428"/>
      <c r="B211" s="428"/>
      <c r="C211" s="122"/>
      <c r="D211" s="558"/>
      <c r="E211" s="539"/>
      <c r="F211" s="539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2"/>
      <c r="AE211" s="122"/>
      <c r="AF211" s="122"/>
      <c r="AG211" s="122"/>
      <c r="AH211" s="122"/>
      <c r="AI211" s="122"/>
      <c r="AJ211" s="122"/>
      <c r="AK211" s="122"/>
      <c r="AL211" s="122"/>
      <c r="AM211" s="122"/>
      <c r="AN211" s="122"/>
      <c r="AO211" s="122"/>
      <c r="AP211" s="428"/>
    </row>
    <row r="212" hidden="1">
      <c r="A212" s="428"/>
      <c r="B212" s="428"/>
      <c r="C212" s="122"/>
      <c r="D212" s="558"/>
      <c r="E212" s="539"/>
      <c r="F212" s="539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2"/>
      <c r="AE212" s="122"/>
      <c r="AF212" s="122"/>
      <c r="AG212" s="122"/>
      <c r="AH212" s="122"/>
      <c r="AI212" s="122"/>
      <c r="AJ212" s="122"/>
      <c r="AK212" s="122"/>
      <c r="AL212" s="122"/>
      <c r="AM212" s="122"/>
      <c r="AN212" s="122"/>
      <c r="AO212" s="122"/>
      <c r="AP212" s="428"/>
    </row>
    <row r="213" hidden="1">
      <c r="A213" s="428"/>
      <c r="B213" s="428"/>
      <c r="C213" s="122"/>
      <c r="D213" s="558"/>
      <c r="E213" s="539"/>
      <c r="F213" s="539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2"/>
      <c r="AE213" s="122"/>
      <c r="AF213" s="122"/>
      <c r="AG213" s="122"/>
      <c r="AH213" s="122"/>
      <c r="AI213" s="122"/>
      <c r="AJ213" s="122"/>
      <c r="AK213" s="122"/>
      <c r="AL213" s="122"/>
      <c r="AM213" s="122"/>
      <c r="AN213" s="122"/>
      <c r="AO213" s="122"/>
      <c r="AP213" s="428"/>
    </row>
    <row r="214" hidden="1">
      <c r="A214" s="428"/>
      <c r="B214" s="428"/>
      <c r="C214" s="122"/>
      <c r="D214" s="558"/>
      <c r="E214" s="539"/>
      <c r="F214" s="539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2"/>
      <c r="AE214" s="122"/>
      <c r="AF214" s="122"/>
      <c r="AG214" s="122"/>
      <c r="AH214" s="122"/>
      <c r="AI214" s="122"/>
      <c r="AJ214" s="122"/>
      <c r="AK214" s="122"/>
      <c r="AL214" s="122"/>
      <c r="AM214" s="122"/>
      <c r="AN214" s="122"/>
      <c r="AO214" s="122"/>
      <c r="AP214" s="428"/>
    </row>
    <row r="215" hidden="1">
      <c r="A215" s="428"/>
      <c r="B215" s="428"/>
      <c r="C215" s="122"/>
      <c r="D215" s="558"/>
      <c r="E215" s="539"/>
      <c r="F215" s="539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2"/>
      <c r="AE215" s="122"/>
      <c r="AF215" s="122"/>
      <c r="AG215" s="122"/>
      <c r="AH215" s="122"/>
      <c r="AI215" s="122"/>
      <c r="AJ215" s="122"/>
      <c r="AK215" s="122"/>
      <c r="AL215" s="122"/>
      <c r="AM215" s="122"/>
      <c r="AN215" s="122"/>
      <c r="AO215" s="122"/>
      <c r="AP215" s="428"/>
    </row>
    <row r="216" hidden="1">
      <c r="A216" s="428"/>
      <c r="B216" s="428"/>
      <c r="C216" s="122"/>
      <c r="D216" s="558"/>
      <c r="E216" s="539"/>
      <c r="F216" s="539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428"/>
    </row>
    <row r="217" hidden="1">
      <c r="A217" s="428"/>
      <c r="B217" s="428"/>
      <c r="C217" s="122"/>
      <c r="D217" s="558"/>
      <c r="E217" s="539"/>
      <c r="F217" s="539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2"/>
      <c r="AE217" s="122"/>
      <c r="AF217" s="122"/>
      <c r="AG217" s="122"/>
      <c r="AH217" s="122"/>
      <c r="AI217" s="122"/>
      <c r="AJ217" s="122"/>
      <c r="AK217" s="122"/>
      <c r="AL217" s="122"/>
      <c r="AM217" s="122"/>
      <c r="AN217" s="122"/>
      <c r="AO217" s="122"/>
      <c r="AP217" s="428"/>
    </row>
    <row r="218" hidden="1">
      <c r="A218" s="428"/>
      <c r="B218" s="428"/>
      <c r="C218" s="122"/>
      <c r="D218" s="558"/>
      <c r="E218" s="539"/>
      <c r="F218" s="539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2"/>
      <c r="AE218" s="122"/>
      <c r="AF218" s="122"/>
      <c r="AG218" s="122"/>
      <c r="AH218" s="122"/>
      <c r="AI218" s="122"/>
      <c r="AJ218" s="122"/>
      <c r="AK218" s="122"/>
      <c r="AL218" s="122"/>
      <c r="AM218" s="122"/>
      <c r="AN218" s="122"/>
      <c r="AO218" s="122"/>
      <c r="AP218" s="428"/>
    </row>
    <row r="219" hidden="1">
      <c r="A219" s="428"/>
      <c r="B219" s="428"/>
      <c r="C219" s="122"/>
      <c r="D219" s="558"/>
      <c r="E219" s="539"/>
      <c r="F219" s="539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2"/>
      <c r="AE219" s="122"/>
      <c r="AF219" s="122"/>
      <c r="AG219" s="122"/>
      <c r="AH219" s="122"/>
      <c r="AI219" s="122"/>
      <c r="AJ219" s="122"/>
      <c r="AK219" s="122"/>
      <c r="AL219" s="122"/>
      <c r="AM219" s="122"/>
      <c r="AN219" s="122"/>
      <c r="AO219" s="122"/>
      <c r="AP219" s="428"/>
    </row>
    <row r="220" hidden="1">
      <c r="A220" s="428"/>
      <c r="B220" s="428"/>
      <c r="C220" s="122"/>
      <c r="D220" s="558"/>
      <c r="E220" s="539"/>
      <c r="F220" s="539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2"/>
      <c r="AE220" s="122"/>
      <c r="AF220" s="122"/>
      <c r="AG220" s="122"/>
      <c r="AH220" s="122"/>
      <c r="AI220" s="122"/>
      <c r="AJ220" s="122"/>
      <c r="AK220" s="122"/>
      <c r="AL220" s="122"/>
      <c r="AM220" s="122"/>
      <c r="AN220" s="122"/>
      <c r="AO220" s="122"/>
      <c r="AP220" s="428"/>
    </row>
    <row r="221" hidden="1">
      <c r="A221" s="428"/>
      <c r="B221" s="428"/>
      <c r="C221" s="122"/>
      <c r="D221" s="558"/>
      <c r="E221" s="539"/>
      <c r="F221" s="539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2"/>
      <c r="AE221" s="122"/>
      <c r="AF221" s="122"/>
      <c r="AG221" s="122"/>
      <c r="AH221" s="122"/>
      <c r="AI221" s="122"/>
      <c r="AJ221" s="122"/>
      <c r="AK221" s="122"/>
      <c r="AL221" s="122"/>
      <c r="AM221" s="122"/>
      <c r="AN221" s="122"/>
      <c r="AO221" s="122"/>
      <c r="AP221" s="428"/>
    </row>
    <row r="222" hidden="1">
      <c r="A222" s="428"/>
      <c r="B222" s="428"/>
      <c r="C222" s="122"/>
      <c r="D222" s="558"/>
      <c r="E222" s="539"/>
      <c r="F222" s="539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2"/>
      <c r="AE222" s="122"/>
      <c r="AF222" s="122"/>
      <c r="AG222" s="122"/>
      <c r="AH222" s="122"/>
      <c r="AI222" s="122"/>
      <c r="AJ222" s="122"/>
      <c r="AK222" s="122"/>
      <c r="AL222" s="122"/>
      <c r="AM222" s="122"/>
      <c r="AN222" s="122"/>
      <c r="AO222" s="122"/>
      <c r="AP222" s="428"/>
    </row>
    <row r="223" hidden="1">
      <c r="A223" s="428"/>
      <c r="B223" s="428"/>
      <c r="C223" s="122"/>
      <c r="D223" s="558"/>
      <c r="E223" s="539"/>
      <c r="F223" s="539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2"/>
      <c r="AE223" s="122"/>
      <c r="AF223" s="122"/>
      <c r="AG223" s="122"/>
      <c r="AH223" s="122"/>
      <c r="AI223" s="122"/>
      <c r="AJ223" s="122"/>
      <c r="AK223" s="122"/>
      <c r="AL223" s="122"/>
      <c r="AM223" s="122"/>
      <c r="AN223" s="122"/>
      <c r="AO223" s="122"/>
      <c r="AP223" s="428"/>
    </row>
    <row r="224" hidden="1">
      <c r="A224" s="428"/>
      <c r="B224" s="428"/>
      <c r="C224" s="122"/>
      <c r="D224" s="558"/>
      <c r="E224" s="539"/>
      <c r="F224" s="539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2"/>
      <c r="AE224" s="122"/>
      <c r="AF224" s="122"/>
      <c r="AG224" s="122"/>
      <c r="AH224" s="122"/>
      <c r="AI224" s="122"/>
      <c r="AJ224" s="122"/>
      <c r="AK224" s="122"/>
      <c r="AL224" s="122"/>
      <c r="AM224" s="122"/>
      <c r="AN224" s="122"/>
      <c r="AO224" s="122"/>
      <c r="AP224" s="428"/>
    </row>
    <row r="225" hidden="1">
      <c r="A225" s="428"/>
      <c r="B225" s="428"/>
      <c r="C225" s="122"/>
      <c r="D225" s="558"/>
      <c r="E225" s="539"/>
      <c r="F225" s="539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2"/>
      <c r="AE225" s="122"/>
      <c r="AF225" s="122"/>
      <c r="AG225" s="122"/>
      <c r="AH225" s="122"/>
      <c r="AI225" s="122"/>
      <c r="AJ225" s="122"/>
      <c r="AK225" s="122"/>
      <c r="AL225" s="122"/>
      <c r="AM225" s="122"/>
      <c r="AN225" s="122"/>
      <c r="AO225" s="122"/>
      <c r="AP225" s="428"/>
    </row>
    <row r="226" hidden="1">
      <c r="A226" s="428"/>
      <c r="B226" s="428"/>
      <c r="C226" s="122"/>
      <c r="D226" s="558"/>
      <c r="E226" s="539"/>
      <c r="F226" s="539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2"/>
      <c r="AE226" s="122"/>
      <c r="AF226" s="122"/>
      <c r="AG226" s="122"/>
      <c r="AH226" s="122"/>
      <c r="AI226" s="122"/>
      <c r="AJ226" s="122"/>
      <c r="AK226" s="122"/>
      <c r="AL226" s="122"/>
      <c r="AM226" s="122"/>
      <c r="AN226" s="122"/>
      <c r="AO226" s="122"/>
      <c r="AP226" s="428"/>
    </row>
    <row r="227" hidden="1">
      <c r="A227" s="428"/>
      <c r="B227" s="428"/>
      <c r="C227" s="122"/>
      <c r="D227" s="558"/>
      <c r="E227" s="539"/>
      <c r="F227" s="539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2"/>
      <c r="AE227" s="122"/>
      <c r="AF227" s="122"/>
      <c r="AG227" s="122"/>
      <c r="AH227" s="122"/>
      <c r="AI227" s="122"/>
      <c r="AJ227" s="122"/>
      <c r="AK227" s="122"/>
      <c r="AL227" s="122"/>
      <c r="AM227" s="122"/>
      <c r="AN227" s="122"/>
      <c r="AO227" s="122"/>
      <c r="AP227" s="428"/>
    </row>
    <row r="228" hidden="1">
      <c r="A228" s="428"/>
      <c r="B228" s="428"/>
      <c r="C228" s="122"/>
      <c r="D228" s="558"/>
      <c r="E228" s="539"/>
      <c r="F228" s="539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2"/>
      <c r="AE228" s="122"/>
      <c r="AF228" s="122"/>
      <c r="AG228" s="122"/>
      <c r="AH228" s="122"/>
      <c r="AI228" s="122"/>
      <c r="AJ228" s="122"/>
      <c r="AK228" s="122"/>
      <c r="AL228" s="122"/>
      <c r="AM228" s="122"/>
      <c r="AN228" s="122"/>
      <c r="AO228" s="122"/>
      <c r="AP228" s="428"/>
    </row>
    <row r="229" hidden="1">
      <c r="A229" s="428"/>
      <c r="B229" s="428"/>
      <c r="C229" s="122"/>
      <c r="D229" s="558"/>
      <c r="E229" s="539"/>
      <c r="F229" s="539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2"/>
      <c r="AE229" s="122"/>
      <c r="AF229" s="122"/>
      <c r="AG229" s="122"/>
      <c r="AH229" s="122"/>
      <c r="AI229" s="122"/>
      <c r="AJ229" s="122"/>
      <c r="AK229" s="122"/>
      <c r="AL229" s="122"/>
      <c r="AM229" s="122"/>
      <c r="AN229" s="122"/>
      <c r="AO229" s="122"/>
      <c r="AP229" s="428"/>
    </row>
    <row r="230" hidden="1">
      <c r="A230" s="428"/>
      <c r="B230" s="428"/>
      <c r="C230" s="122"/>
      <c r="D230" s="558"/>
      <c r="E230" s="539"/>
      <c r="F230" s="539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2"/>
      <c r="AE230" s="122"/>
      <c r="AF230" s="122"/>
      <c r="AG230" s="122"/>
      <c r="AH230" s="122"/>
      <c r="AI230" s="122"/>
      <c r="AJ230" s="122"/>
      <c r="AK230" s="122"/>
      <c r="AL230" s="122"/>
      <c r="AM230" s="122"/>
      <c r="AN230" s="122"/>
      <c r="AO230" s="122"/>
      <c r="AP230" s="428"/>
    </row>
    <row r="231" hidden="1">
      <c r="A231" s="428"/>
      <c r="B231" s="428"/>
      <c r="C231" s="122"/>
      <c r="D231" s="558"/>
      <c r="E231" s="539"/>
      <c r="F231" s="539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2"/>
      <c r="AE231" s="122"/>
      <c r="AF231" s="122"/>
      <c r="AG231" s="122"/>
      <c r="AH231" s="122"/>
      <c r="AI231" s="122"/>
      <c r="AJ231" s="122"/>
      <c r="AK231" s="122"/>
      <c r="AL231" s="122"/>
      <c r="AM231" s="122"/>
      <c r="AN231" s="122"/>
      <c r="AO231" s="122"/>
      <c r="AP231" s="428"/>
    </row>
    <row r="232" hidden="1">
      <c r="A232" s="428"/>
      <c r="B232" s="428"/>
      <c r="C232" s="122"/>
      <c r="D232" s="558"/>
      <c r="E232" s="539"/>
      <c r="F232" s="539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2"/>
      <c r="AE232" s="122"/>
      <c r="AF232" s="122"/>
      <c r="AG232" s="122"/>
      <c r="AH232" s="122"/>
      <c r="AI232" s="122"/>
      <c r="AJ232" s="122"/>
      <c r="AK232" s="122"/>
      <c r="AL232" s="122"/>
      <c r="AM232" s="122"/>
      <c r="AN232" s="122"/>
      <c r="AO232" s="122"/>
      <c r="AP232" s="428"/>
    </row>
    <row r="233" hidden="1">
      <c r="A233" s="428"/>
      <c r="B233" s="428"/>
      <c r="C233" s="122"/>
      <c r="D233" s="558"/>
      <c r="E233" s="539"/>
      <c r="F233" s="539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2"/>
      <c r="AE233" s="122"/>
      <c r="AF233" s="122"/>
      <c r="AG233" s="122"/>
      <c r="AH233" s="122"/>
      <c r="AI233" s="122"/>
      <c r="AJ233" s="122"/>
      <c r="AK233" s="122"/>
      <c r="AL233" s="122"/>
      <c r="AM233" s="122"/>
      <c r="AN233" s="122"/>
      <c r="AO233" s="122"/>
      <c r="AP233" s="428"/>
    </row>
    <row r="234" hidden="1">
      <c r="A234" s="428"/>
      <c r="B234" s="428"/>
      <c r="C234" s="122"/>
      <c r="D234" s="558"/>
      <c r="E234" s="539"/>
      <c r="F234" s="539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2"/>
      <c r="AE234" s="122"/>
      <c r="AF234" s="122"/>
      <c r="AG234" s="122"/>
      <c r="AH234" s="122"/>
      <c r="AI234" s="122"/>
      <c r="AJ234" s="122"/>
      <c r="AK234" s="122"/>
      <c r="AL234" s="122"/>
      <c r="AM234" s="122"/>
      <c r="AN234" s="122"/>
      <c r="AO234" s="122"/>
      <c r="AP234" s="428"/>
    </row>
    <row r="235" hidden="1">
      <c r="A235" s="428"/>
      <c r="B235" s="428"/>
      <c r="C235" s="122"/>
      <c r="D235" s="558"/>
      <c r="E235" s="539"/>
      <c r="F235" s="539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2"/>
      <c r="AE235" s="122"/>
      <c r="AF235" s="122"/>
      <c r="AG235" s="122"/>
      <c r="AH235" s="122"/>
      <c r="AI235" s="122"/>
      <c r="AJ235" s="122"/>
      <c r="AK235" s="122"/>
      <c r="AL235" s="122"/>
      <c r="AM235" s="122"/>
      <c r="AN235" s="122"/>
      <c r="AO235" s="122"/>
      <c r="AP235" s="428"/>
    </row>
    <row r="236" hidden="1">
      <c r="A236" s="428"/>
      <c r="B236" s="428"/>
      <c r="C236" s="122"/>
      <c r="D236" s="558"/>
      <c r="E236" s="539"/>
      <c r="F236" s="539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2"/>
      <c r="AE236" s="122"/>
      <c r="AF236" s="122"/>
      <c r="AG236" s="122"/>
      <c r="AH236" s="122"/>
      <c r="AI236" s="122"/>
      <c r="AJ236" s="122"/>
      <c r="AK236" s="122"/>
      <c r="AL236" s="122"/>
      <c r="AM236" s="122"/>
      <c r="AN236" s="122"/>
      <c r="AO236" s="122"/>
      <c r="AP236" s="428"/>
    </row>
    <row r="237" hidden="1">
      <c r="A237" s="428"/>
      <c r="B237" s="428"/>
      <c r="C237" s="122"/>
      <c r="D237" s="558"/>
      <c r="E237" s="539"/>
      <c r="F237" s="539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2"/>
      <c r="AE237" s="122"/>
      <c r="AF237" s="122"/>
      <c r="AG237" s="122"/>
      <c r="AH237" s="122"/>
      <c r="AI237" s="122"/>
      <c r="AJ237" s="122"/>
      <c r="AK237" s="122"/>
      <c r="AL237" s="122"/>
      <c r="AM237" s="122"/>
      <c r="AN237" s="122"/>
      <c r="AO237" s="122"/>
      <c r="AP237" s="428"/>
    </row>
    <row r="238" hidden="1">
      <c r="A238" s="428"/>
      <c r="B238" s="428"/>
      <c r="C238" s="122"/>
      <c r="D238" s="558"/>
      <c r="E238" s="539"/>
      <c r="F238" s="539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2"/>
      <c r="AE238" s="122"/>
      <c r="AF238" s="122"/>
      <c r="AG238" s="122"/>
      <c r="AH238" s="122"/>
      <c r="AI238" s="122"/>
      <c r="AJ238" s="122"/>
      <c r="AK238" s="122"/>
      <c r="AL238" s="122"/>
      <c r="AM238" s="122"/>
      <c r="AN238" s="122"/>
      <c r="AO238" s="122"/>
      <c r="AP238" s="428"/>
    </row>
    <row r="239" hidden="1">
      <c r="A239" s="428"/>
      <c r="B239" s="428"/>
      <c r="C239" s="122"/>
      <c r="D239" s="558"/>
      <c r="E239" s="539"/>
      <c r="F239" s="539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2"/>
      <c r="AE239" s="122"/>
      <c r="AF239" s="122"/>
      <c r="AG239" s="122"/>
      <c r="AH239" s="122"/>
      <c r="AI239" s="122"/>
      <c r="AJ239" s="122"/>
      <c r="AK239" s="122"/>
      <c r="AL239" s="122"/>
      <c r="AM239" s="122"/>
      <c r="AN239" s="122"/>
      <c r="AO239" s="122"/>
      <c r="AP239" s="428"/>
    </row>
    <row r="240" hidden="1">
      <c r="A240" s="428"/>
      <c r="B240" s="428"/>
      <c r="C240" s="122"/>
      <c r="D240" s="558"/>
      <c r="E240" s="539"/>
      <c r="F240" s="539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2"/>
      <c r="AE240" s="122"/>
      <c r="AF240" s="122"/>
      <c r="AG240" s="122"/>
      <c r="AH240" s="122"/>
      <c r="AI240" s="122"/>
      <c r="AJ240" s="122"/>
      <c r="AK240" s="122"/>
      <c r="AL240" s="122"/>
      <c r="AM240" s="122"/>
      <c r="AN240" s="122"/>
      <c r="AO240" s="122"/>
      <c r="AP240" s="428"/>
    </row>
    <row r="241" hidden="1">
      <c r="A241" s="428"/>
      <c r="B241" s="428"/>
      <c r="C241" s="122"/>
      <c r="D241" s="558"/>
      <c r="E241" s="539"/>
      <c r="F241" s="539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2"/>
      <c r="AE241" s="122"/>
      <c r="AF241" s="122"/>
      <c r="AG241" s="122"/>
      <c r="AH241" s="122"/>
      <c r="AI241" s="122"/>
      <c r="AJ241" s="122"/>
      <c r="AK241" s="122"/>
      <c r="AL241" s="122"/>
      <c r="AM241" s="122"/>
      <c r="AN241" s="122"/>
      <c r="AO241" s="122"/>
      <c r="AP241" s="428"/>
    </row>
    <row r="242" hidden="1">
      <c r="A242" s="428"/>
      <c r="B242" s="428"/>
      <c r="C242" s="122"/>
      <c r="D242" s="558"/>
      <c r="E242" s="539"/>
      <c r="F242" s="539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2"/>
      <c r="AE242" s="122"/>
      <c r="AF242" s="122"/>
      <c r="AG242" s="122"/>
      <c r="AH242" s="122"/>
      <c r="AI242" s="122"/>
      <c r="AJ242" s="122"/>
      <c r="AK242" s="122"/>
      <c r="AL242" s="122"/>
      <c r="AM242" s="122"/>
      <c r="AN242" s="122"/>
      <c r="AO242" s="122"/>
      <c r="AP242" s="428"/>
    </row>
    <row r="243" hidden="1">
      <c r="A243" s="428"/>
      <c r="B243" s="428"/>
      <c r="C243" s="122"/>
      <c r="D243" s="558"/>
      <c r="E243" s="539"/>
      <c r="F243" s="539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2"/>
      <c r="AE243" s="122"/>
      <c r="AF243" s="122"/>
      <c r="AG243" s="122"/>
      <c r="AH243" s="122"/>
      <c r="AI243" s="122"/>
      <c r="AJ243" s="122"/>
      <c r="AK243" s="122"/>
      <c r="AL243" s="122"/>
      <c r="AM243" s="122"/>
      <c r="AN243" s="122"/>
      <c r="AO243" s="122"/>
      <c r="AP243" s="428"/>
    </row>
    <row r="244" hidden="1">
      <c r="A244" s="428"/>
      <c r="B244" s="428"/>
      <c r="C244" s="122"/>
      <c r="D244" s="558"/>
      <c r="E244" s="539"/>
      <c r="F244" s="539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2"/>
      <c r="AE244" s="122"/>
      <c r="AF244" s="122"/>
      <c r="AG244" s="122"/>
      <c r="AH244" s="122"/>
      <c r="AI244" s="122"/>
      <c r="AJ244" s="122"/>
      <c r="AK244" s="122"/>
      <c r="AL244" s="122"/>
      <c r="AM244" s="122"/>
      <c r="AN244" s="122"/>
      <c r="AO244" s="122"/>
      <c r="AP244" s="428"/>
    </row>
    <row r="245" hidden="1">
      <c r="A245" s="428"/>
      <c r="B245" s="428"/>
      <c r="C245" s="122"/>
      <c r="D245" s="558"/>
      <c r="E245" s="539"/>
      <c r="F245" s="539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2"/>
      <c r="AE245" s="122"/>
      <c r="AF245" s="122"/>
      <c r="AG245" s="122"/>
      <c r="AH245" s="122"/>
      <c r="AI245" s="122"/>
      <c r="AJ245" s="122"/>
      <c r="AK245" s="122"/>
      <c r="AL245" s="122"/>
      <c r="AM245" s="122"/>
      <c r="AN245" s="122"/>
      <c r="AO245" s="122"/>
      <c r="AP245" s="428"/>
    </row>
    <row r="246" hidden="1">
      <c r="A246" s="428"/>
      <c r="B246" s="428"/>
      <c r="C246" s="122"/>
      <c r="D246" s="558"/>
      <c r="E246" s="539"/>
      <c r="F246" s="539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2"/>
      <c r="AE246" s="122"/>
      <c r="AF246" s="122"/>
      <c r="AG246" s="122"/>
      <c r="AH246" s="122"/>
      <c r="AI246" s="122"/>
      <c r="AJ246" s="122"/>
      <c r="AK246" s="122"/>
      <c r="AL246" s="122"/>
      <c r="AM246" s="122"/>
      <c r="AN246" s="122"/>
      <c r="AO246" s="122"/>
      <c r="AP246" s="428"/>
    </row>
    <row r="247" hidden="1">
      <c r="A247" s="428"/>
      <c r="B247" s="428"/>
      <c r="C247" s="122"/>
      <c r="D247" s="558"/>
      <c r="E247" s="539"/>
      <c r="F247" s="539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2"/>
      <c r="AE247" s="122"/>
      <c r="AF247" s="122"/>
      <c r="AG247" s="122"/>
      <c r="AH247" s="122"/>
      <c r="AI247" s="122"/>
      <c r="AJ247" s="122"/>
      <c r="AK247" s="122"/>
      <c r="AL247" s="122"/>
      <c r="AM247" s="122"/>
      <c r="AN247" s="122"/>
      <c r="AO247" s="122"/>
      <c r="AP247" s="428"/>
    </row>
    <row r="248" hidden="1">
      <c r="A248" s="428"/>
      <c r="B248" s="428"/>
      <c r="C248" s="122"/>
      <c r="D248" s="558"/>
      <c r="E248" s="539"/>
      <c r="F248" s="539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2"/>
      <c r="AE248" s="122"/>
      <c r="AF248" s="122"/>
      <c r="AG248" s="122"/>
      <c r="AH248" s="122"/>
      <c r="AI248" s="122"/>
      <c r="AJ248" s="122"/>
      <c r="AK248" s="122"/>
      <c r="AL248" s="122"/>
      <c r="AM248" s="122"/>
      <c r="AN248" s="122"/>
      <c r="AO248" s="122"/>
      <c r="AP248" s="428"/>
    </row>
    <row r="249" hidden="1">
      <c r="A249" s="428"/>
      <c r="B249" s="428"/>
      <c r="C249" s="122"/>
      <c r="D249" s="558"/>
      <c r="E249" s="539"/>
      <c r="F249" s="539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2"/>
      <c r="AE249" s="122"/>
      <c r="AF249" s="122"/>
      <c r="AG249" s="122"/>
      <c r="AH249" s="122"/>
      <c r="AI249" s="122"/>
      <c r="AJ249" s="122"/>
      <c r="AK249" s="122"/>
      <c r="AL249" s="122"/>
      <c r="AM249" s="122"/>
      <c r="AN249" s="122"/>
      <c r="AO249" s="122"/>
      <c r="AP249" s="428"/>
    </row>
    <row r="250" hidden="1">
      <c r="A250" s="428"/>
      <c r="B250" s="428"/>
      <c r="C250" s="122"/>
      <c r="D250" s="558"/>
      <c r="E250" s="539"/>
      <c r="F250" s="539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2"/>
      <c r="AE250" s="122"/>
      <c r="AF250" s="122"/>
      <c r="AG250" s="122"/>
      <c r="AH250" s="122"/>
      <c r="AI250" s="122"/>
      <c r="AJ250" s="122"/>
      <c r="AK250" s="122"/>
      <c r="AL250" s="122"/>
      <c r="AM250" s="122"/>
      <c r="AN250" s="122"/>
      <c r="AO250" s="122"/>
      <c r="AP250" s="428"/>
    </row>
    <row r="251" hidden="1">
      <c r="A251" s="428"/>
      <c r="B251" s="428"/>
      <c r="C251" s="122"/>
      <c r="D251" s="558"/>
      <c r="E251" s="539"/>
      <c r="F251" s="539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2"/>
      <c r="AE251" s="122"/>
      <c r="AF251" s="122"/>
      <c r="AG251" s="122"/>
      <c r="AH251" s="122"/>
      <c r="AI251" s="122"/>
      <c r="AJ251" s="122"/>
      <c r="AK251" s="122"/>
      <c r="AL251" s="122"/>
      <c r="AM251" s="122"/>
      <c r="AN251" s="122"/>
      <c r="AO251" s="122"/>
      <c r="AP251" s="428"/>
    </row>
    <row r="252" hidden="1">
      <c r="A252" s="428"/>
      <c r="B252" s="428"/>
      <c r="C252" s="122"/>
      <c r="D252" s="558"/>
      <c r="E252" s="539"/>
      <c r="F252" s="539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2"/>
      <c r="AE252" s="122"/>
      <c r="AF252" s="122"/>
      <c r="AG252" s="122"/>
      <c r="AH252" s="122"/>
      <c r="AI252" s="122"/>
      <c r="AJ252" s="122"/>
      <c r="AK252" s="122"/>
      <c r="AL252" s="122"/>
      <c r="AM252" s="122"/>
      <c r="AN252" s="122"/>
      <c r="AO252" s="122"/>
      <c r="AP252" s="428"/>
    </row>
    <row r="253" hidden="1">
      <c r="A253" s="428"/>
      <c r="B253" s="428"/>
      <c r="C253" s="122"/>
      <c r="D253" s="558"/>
      <c r="E253" s="539"/>
      <c r="F253" s="539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2"/>
      <c r="AE253" s="122"/>
      <c r="AF253" s="122"/>
      <c r="AG253" s="122"/>
      <c r="AH253" s="122"/>
      <c r="AI253" s="122"/>
      <c r="AJ253" s="122"/>
      <c r="AK253" s="122"/>
      <c r="AL253" s="122"/>
      <c r="AM253" s="122"/>
      <c r="AN253" s="122"/>
      <c r="AO253" s="122"/>
      <c r="AP253" s="428"/>
    </row>
    <row r="254" hidden="1">
      <c r="A254" s="428"/>
      <c r="B254" s="428"/>
      <c r="C254" s="122"/>
      <c r="D254" s="558"/>
      <c r="E254" s="539"/>
      <c r="F254" s="539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2"/>
      <c r="AE254" s="122"/>
      <c r="AF254" s="122"/>
      <c r="AG254" s="122"/>
      <c r="AH254" s="122"/>
      <c r="AI254" s="122"/>
      <c r="AJ254" s="122"/>
      <c r="AK254" s="122"/>
      <c r="AL254" s="122"/>
      <c r="AM254" s="122"/>
      <c r="AN254" s="122"/>
      <c r="AO254" s="122"/>
      <c r="AP254" s="428"/>
    </row>
    <row r="255" hidden="1">
      <c r="A255" s="428"/>
      <c r="B255" s="428"/>
      <c r="C255" s="122"/>
      <c r="D255" s="558"/>
      <c r="E255" s="539"/>
      <c r="F255" s="539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2"/>
      <c r="AE255" s="122"/>
      <c r="AF255" s="122"/>
      <c r="AG255" s="122"/>
      <c r="AH255" s="122"/>
      <c r="AI255" s="122"/>
      <c r="AJ255" s="122"/>
      <c r="AK255" s="122"/>
      <c r="AL255" s="122"/>
      <c r="AM255" s="122"/>
      <c r="AN255" s="122"/>
      <c r="AO255" s="122"/>
      <c r="AP255" s="428"/>
    </row>
    <row r="256" hidden="1">
      <c r="A256" s="428"/>
      <c r="B256" s="428"/>
      <c r="C256" s="122"/>
      <c r="D256" s="558"/>
      <c r="E256" s="539"/>
      <c r="F256" s="539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2"/>
      <c r="AE256" s="122"/>
      <c r="AF256" s="122"/>
      <c r="AG256" s="122"/>
      <c r="AH256" s="122"/>
      <c r="AI256" s="122"/>
      <c r="AJ256" s="122"/>
      <c r="AK256" s="122"/>
      <c r="AL256" s="122"/>
      <c r="AM256" s="122"/>
      <c r="AN256" s="122"/>
      <c r="AO256" s="122"/>
      <c r="AP256" s="428"/>
    </row>
    <row r="257" hidden="1">
      <c r="A257" s="428"/>
      <c r="B257" s="428"/>
      <c r="C257" s="122"/>
      <c r="D257" s="558"/>
      <c r="E257" s="539"/>
      <c r="F257" s="539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2"/>
      <c r="AE257" s="122"/>
      <c r="AF257" s="122"/>
      <c r="AG257" s="122"/>
      <c r="AH257" s="122"/>
      <c r="AI257" s="122"/>
      <c r="AJ257" s="122"/>
      <c r="AK257" s="122"/>
      <c r="AL257" s="122"/>
      <c r="AM257" s="122"/>
      <c r="AN257" s="122"/>
      <c r="AO257" s="122"/>
      <c r="AP257" s="428"/>
    </row>
    <row r="258" hidden="1">
      <c r="A258" s="428"/>
      <c r="B258" s="428"/>
      <c r="C258" s="122"/>
      <c r="D258" s="558"/>
      <c r="E258" s="539"/>
      <c r="F258" s="539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2"/>
      <c r="AE258" s="122"/>
      <c r="AF258" s="122"/>
      <c r="AG258" s="122"/>
      <c r="AH258" s="122"/>
      <c r="AI258" s="122"/>
      <c r="AJ258" s="122"/>
      <c r="AK258" s="122"/>
      <c r="AL258" s="122"/>
      <c r="AM258" s="122"/>
      <c r="AN258" s="122"/>
      <c r="AO258" s="122"/>
      <c r="AP258" s="428"/>
    </row>
    <row r="259" hidden="1">
      <c r="A259" s="428"/>
      <c r="B259" s="428"/>
      <c r="C259" s="122"/>
      <c r="D259" s="558"/>
      <c r="E259" s="539"/>
      <c r="F259" s="539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2"/>
      <c r="AE259" s="122"/>
      <c r="AF259" s="122"/>
      <c r="AG259" s="122"/>
      <c r="AH259" s="122"/>
      <c r="AI259" s="122"/>
      <c r="AJ259" s="122"/>
      <c r="AK259" s="122"/>
      <c r="AL259" s="122"/>
      <c r="AM259" s="122"/>
      <c r="AN259" s="122"/>
      <c r="AO259" s="122"/>
      <c r="AP259" s="428"/>
    </row>
    <row r="260" hidden="1">
      <c r="A260" s="428"/>
      <c r="B260" s="428"/>
      <c r="C260" s="122"/>
      <c r="D260" s="558"/>
      <c r="E260" s="539"/>
      <c r="F260" s="539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2"/>
      <c r="AE260" s="122"/>
      <c r="AF260" s="122"/>
      <c r="AG260" s="122"/>
      <c r="AH260" s="122"/>
      <c r="AI260" s="122"/>
      <c r="AJ260" s="122"/>
      <c r="AK260" s="122"/>
      <c r="AL260" s="122"/>
      <c r="AM260" s="122"/>
      <c r="AN260" s="122"/>
      <c r="AO260" s="122"/>
      <c r="AP260" s="428"/>
    </row>
    <row r="261" hidden="1">
      <c r="A261" s="428"/>
      <c r="B261" s="428"/>
      <c r="C261" s="122"/>
      <c r="D261" s="558"/>
      <c r="E261" s="539"/>
      <c r="F261" s="539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2"/>
      <c r="AE261" s="122"/>
      <c r="AF261" s="122"/>
      <c r="AG261" s="122"/>
      <c r="AH261" s="122"/>
      <c r="AI261" s="122"/>
      <c r="AJ261" s="122"/>
      <c r="AK261" s="122"/>
      <c r="AL261" s="122"/>
      <c r="AM261" s="122"/>
      <c r="AN261" s="122"/>
      <c r="AO261" s="122"/>
      <c r="AP261" s="428"/>
    </row>
    <row r="262" hidden="1">
      <c r="A262" s="428"/>
      <c r="B262" s="428"/>
      <c r="C262" s="122"/>
      <c r="D262" s="558"/>
      <c r="E262" s="539"/>
      <c r="F262" s="539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2"/>
      <c r="AE262" s="122"/>
      <c r="AF262" s="122"/>
      <c r="AG262" s="122"/>
      <c r="AH262" s="122"/>
      <c r="AI262" s="122"/>
      <c r="AJ262" s="122"/>
      <c r="AK262" s="122"/>
      <c r="AL262" s="122"/>
      <c r="AM262" s="122"/>
      <c r="AN262" s="122"/>
      <c r="AO262" s="122"/>
      <c r="AP262" s="428"/>
    </row>
    <row r="263" hidden="1">
      <c r="A263" s="428"/>
      <c r="B263" s="428"/>
      <c r="C263" s="122"/>
      <c r="D263" s="558"/>
      <c r="E263" s="539"/>
      <c r="F263" s="539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2"/>
      <c r="AE263" s="122"/>
      <c r="AF263" s="122"/>
      <c r="AG263" s="122"/>
      <c r="AH263" s="122"/>
      <c r="AI263" s="122"/>
      <c r="AJ263" s="122"/>
      <c r="AK263" s="122"/>
      <c r="AL263" s="122"/>
      <c r="AM263" s="122"/>
      <c r="AN263" s="122"/>
      <c r="AO263" s="122"/>
      <c r="AP263" s="428"/>
    </row>
    <row r="264" hidden="1">
      <c r="A264" s="428"/>
      <c r="B264" s="428"/>
      <c r="C264" s="122"/>
      <c r="D264" s="558"/>
      <c r="E264" s="539"/>
      <c r="F264" s="539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2"/>
      <c r="AE264" s="122"/>
      <c r="AF264" s="122"/>
      <c r="AG264" s="122"/>
      <c r="AH264" s="122"/>
      <c r="AI264" s="122"/>
      <c r="AJ264" s="122"/>
      <c r="AK264" s="122"/>
      <c r="AL264" s="122"/>
      <c r="AM264" s="122"/>
      <c r="AN264" s="122"/>
      <c r="AO264" s="122"/>
      <c r="AP264" s="428"/>
    </row>
    <row r="265" hidden="1">
      <c r="A265" s="428"/>
      <c r="B265" s="428"/>
      <c r="C265" s="122"/>
      <c r="D265" s="558"/>
      <c r="E265" s="539"/>
      <c r="F265" s="539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2"/>
      <c r="AE265" s="122"/>
      <c r="AF265" s="122"/>
      <c r="AG265" s="122"/>
      <c r="AH265" s="122"/>
      <c r="AI265" s="122"/>
      <c r="AJ265" s="122"/>
      <c r="AK265" s="122"/>
      <c r="AL265" s="122"/>
      <c r="AM265" s="122"/>
      <c r="AN265" s="122"/>
      <c r="AO265" s="122"/>
      <c r="AP265" s="428"/>
    </row>
    <row r="266" hidden="1">
      <c r="A266" s="428"/>
      <c r="B266" s="428"/>
      <c r="C266" s="122"/>
      <c r="D266" s="558"/>
      <c r="E266" s="539"/>
      <c r="F266" s="539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2"/>
      <c r="AE266" s="122"/>
      <c r="AF266" s="122"/>
      <c r="AG266" s="122"/>
      <c r="AH266" s="122"/>
      <c r="AI266" s="122"/>
      <c r="AJ266" s="122"/>
      <c r="AK266" s="122"/>
      <c r="AL266" s="122"/>
      <c r="AM266" s="122"/>
      <c r="AN266" s="122"/>
      <c r="AO266" s="122"/>
      <c r="AP266" s="428"/>
    </row>
    <row r="267" hidden="1">
      <c r="A267" s="428"/>
      <c r="B267" s="428"/>
      <c r="C267" s="122"/>
      <c r="D267" s="558"/>
      <c r="E267" s="539"/>
      <c r="F267" s="539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2"/>
      <c r="AE267" s="122"/>
      <c r="AF267" s="122"/>
      <c r="AG267" s="122"/>
      <c r="AH267" s="122"/>
      <c r="AI267" s="122"/>
      <c r="AJ267" s="122"/>
      <c r="AK267" s="122"/>
      <c r="AL267" s="122"/>
      <c r="AM267" s="122"/>
      <c r="AN267" s="122"/>
      <c r="AO267" s="122"/>
      <c r="AP267" s="428"/>
    </row>
    <row r="268" hidden="1">
      <c r="A268" s="428"/>
      <c r="B268" s="428"/>
      <c r="C268" s="122"/>
      <c r="D268" s="558"/>
      <c r="E268" s="539"/>
      <c r="F268" s="539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2"/>
      <c r="AE268" s="122"/>
      <c r="AF268" s="122"/>
      <c r="AG268" s="122"/>
      <c r="AH268" s="122"/>
      <c r="AI268" s="122"/>
      <c r="AJ268" s="122"/>
      <c r="AK268" s="122"/>
      <c r="AL268" s="122"/>
      <c r="AM268" s="122"/>
      <c r="AN268" s="122"/>
      <c r="AO268" s="122"/>
      <c r="AP268" s="428"/>
    </row>
    <row r="269" hidden="1">
      <c r="A269" s="428"/>
      <c r="B269" s="428"/>
      <c r="C269" s="122"/>
      <c r="D269" s="558"/>
      <c r="E269" s="539"/>
      <c r="F269" s="539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2"/>
      <c r="AE269" s="122"/>
      <c r="AF269" s="122"/>
      <c r="AG269" s="122"/>
      <c r="AH269" s="122"/>
      <c r="AI269" s="122"/>
      <c r="AJ269" s="122"/>
      <c r="AK269" s="122"/>
      <c r="AL269" s="122"/>
      <c r="AM269" s="122"/>
      <c r="AN269" s="122"/>
      <c r="AO269" s="122"/>
      <c r="AP269" s="428"/>
    </row>
    <row r="270" hidden="1">
      <c r="A270" s="428"/>
      <c r="B270" s="428"/>
      <c r="C270" s="122"/>
      <c r="D270" s="558"/>
      <c r="E270" s="539"/>
      <c r="F270" s="539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2"/>
      <c r="AE270" s="122"/>
      <c r="AF270" s="122"/>
      <c r="AG270" s="122"/>
      <c r="AH270" s="122"/>
      <c r="AI270" s="122"/>
      <c r="AJ270" s="122"/>
      <c r="AK270" s="122"/>
      <c r="AL270" s="122"/>
      <c r="AM270" s="122"/>
      <c r="AN270" s="122"/>
      <c r="AO270" s="122"/>
      <c r="AP270" s="428"/>
    </row>
    <row r="271" hidden="1">
      <c r="A271" s="428"/>
      <c r="B271" s="428"/>
      <c r="C271" s="122"/>
      <c r="D271" s="558"/>
      <c r="E271" s="539"/>
      <c r="F271" s="539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2"/>
      <c r="AE271" s="122"/>
      <c r="AF271" s="122"/>
      <c r="AG271" s="122"/>
      <c r="AH271" s="122"/>
      <c r="AI271" s="122"/>
      <c r="AJ271" s="122"/>
      <c r="AK271" s="122"/>
      <c r="AL271" s="122"/>
      <c r="AM271" s="122"/>
      <c r="AN271" s="122"/>
      <c r="AO271" s="122"/>
      <c r="AP271" s="428"/>
    </row>
    <row r="272" hidden="1">
      <c r="A272" s="428"/>
      <c r="B272" s="428"/>
      <c r="C272" s="122"/>
      <c r="D272" s="558"/>
      <c r="E272" s="539"/>
      <c r="F272" s="539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2"/>
      <c r="AE272" s="122"/>
      <c r="AF272" s="122"/>
      <c r="AG272" s="122"/>
      <c r="AH272" s="122"/>
      <c r="AI272" s="122"/>
      <c r="AJ272" s="122"/>
      <c r="AK272" s="122"/>
      <c r="AL272" s="122"/>
      <c r="AM272" s="122"/>
      <c r="AN272" s="122"/>
      <c r="AO272" s="122"/>
      <c r="AP272" s="428"/>
    </row>
    <row r="273" hidden="1">
      <c r="A273" s="428"/>
      <c r="B273" s="428"/>
      <c r="C273" s="122"/>
      <c r="D273" s="558"/>
      <c r="E273" s="539"/>
      <c r="F273" s="539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2"/>
      <c r="AE273" s="122"/>
      <c r="AF273" s="122"/>
      <c r="AG273" s="122"/>
      <c r="AH273" s="122"/>
      <c r="AI273" s="122"/>
      <c r="AJ273" s="122"/>
      <c r="AK273" s="122"/>
      <c r="AL273" s="122"/>
      <c r="AM273" s="122"/>
      <c r="AN273" s="122"/>
      <c r="AO273" s="122"/>
      <c r="AP273" s="428"/>
    </row>
    <row r="274" hidden="1">
      <c r="A274" s="428"/>
      <c r="B274" s="428"/>
      <c r="C274" s="122"/>
      <c r="D274" s="558"/>
      <c r="E274" s="539"/>
      <c r="F274" s="539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2"/>
      <c r="AE274" s="122"/>
      <c r="AF274" s="122"/>
      <c r="AG274" s="122"/>
      <c r="AH274" s="122"/>
      <c r="AI274" s="122"/>
      <c r="AJ274" s="122"/>
      <c r="AK274" s="122"/>
      <c r="AL274" s="122"/>
      <c r="AM274" s="122"/>
      <c r="AN274" s="122"/>
      <c r="AO274" s="122"/>
      <c r="AP274" s="428"/>
    </row>
    <row r="275" hidden="1">
      <c r="A275" s="428"/>
      <c r="B275" s="428"/>
      <c r="C275" s="122"/>
      <c r="D275" s="558"/>
      <c r="E275" s="539"/>
      <c r="F275" s="539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2"/>
      <c r="AE275" s="122"/>
      <c r="AF275" s="122"/>
      <c r="AG275" s="122"/>
      <c r="AH275" s="122"/>
      <c r="AI275" s="122"/>
      <c r="AJ275" s="122"/>
      <c r="AK275" s="122"/>
      <c r="AL275" s="122"/>
      <c r="AM275" s="122"/>
      <c r="AN275" s="122"/>
      <c r="AO275" s="122"/>
      <c r="AP275" s="428"/>
    </row>
    <row r="276" hidden="1">
      <c r="A276" s="428"/>
      <c r="B276" s="428"/>
      <c r="C276" s="122"/>
      <c r="D276" s="558"/>
      <c r="E276" s="539"/>
      <c r="F276" s="539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2"/>
      <c r="AE276" s="122"/>
      <c r="AF276" s="122"/>
      <c r="AG276" s="122"/>
      <c r="AH276" s="122"/>
      <c r="AI276" s="122"/>
      <c r="AJ276" s="122"/>
      <c r="AK276" s="122"/>
      <c r="AL276" s="122"/>
      <c r="AM276" s="122"/>
      <c r="AN276" s="122"/>
      <c r="AO276" s="122"/>
      <c r="AP276" s="428"/>
    </row>
    <row r="277" hidden="1">
      <c r="A277" s="428"/>
      <c r="B277" s="428"/>
      <c r="C277" s="122"/>
      <c r="D277" s="558"/>
      <c r="E277" s="539"/>
      <c r="F277" s="539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2"/>
      <c r="AE277" s="122"/>
      <c r="AF277" s="122"/>
      <c r="AG277" s="122"/>
      <c r="AH277" s="122"/>
      <c r="AI277" s="122"/>
      <c r="AJ277" s="122"/>
      <c r="AK277" s="122"/>
      <c r="AL277" s="122"/>
      <c r="AM277" s="122"/>
      <c r="AN277" s="122"/>
      <c r="AO277" s="122"/>
      <c r="AP277" s="428"/>
    </row>
    <row r="278" hidden="1">
      <c r="A278" s="428"/>
      <c r="B278" s="428"/>
      <c r="C278" s="122"/>
      <c r="D278" s="558"/>
      <c r="E278" s="539"/>
      <c r="F278" s="539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2"/>
      <c r="AE278" s="122"/>
      <c r="AF278" s="122"/>
      <c r="AG278" s="122"/>
      <c r="AH278" s="122"/>
      <c r="AI278" s="122"/>
      <c r="AJ278" s="122"/>
      <c r="AK278" s="122"/>
      <c r="AL278" s="122"/>
      <c r="AM278" s="122"/>
      <c r="AN278" s="122"/>
      <c r="AO278" s="122"/>
      <c r="AP278" s="428"/>
    </row>
    <row r="279" hidden="1">
      <c r="A279" s="428"/>
      <c r="B279" s="428"/>
      <c r="C279" s="122"/>
      <c r="D279" s="558"/>
      <c r="E279" s="539"/>
      <c r="F279" s="539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2"/>
      <c r="AE279" s="122"/>
      <c r="AF279" s="122"/>
      <c r="AG279" s="122"/>
      <c r="AH279" s="122"/>
      <c r="AI279" s="122"/>
      <c r="AJ279" s="122"/>
      <c r="AK279" s="122"/>
      <c r="AL279" s="122"/>
      <c r="AM279" s="122"/>
      <c r="AN279" s="122"/>
      <c r="AO279" s="122"/>
      <c r="AP279" s="428"/>
    </row>
    <row r="280" hidden="1">
      <c r="A280" s="428"/>
      <c r="B280" s="428"/>
      <c r="C280" s="122"/>
      <c r="D280" s="558"/>
      <c r="E280" s="539"/>
      <c r="F280" s="539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2"/>
      <c r="AE280" s="122"/>
      <c r="AF280" s="122"/>
      <c r="AG280" s="122"/>
      <c r="AH280" s="122"/>
      <c r="AI280" s="122"/>
      <c r="AJ280" s="122"/>
      <c r="AK280" s="122"/>
      <c r="AL280" s="122"/>
      <c r="AM280" s="122"/>
      <c r="AN280" s="122"/>
      <c r="AO280" s="122"/>
      <c r="AP280" s="428"/>
    </row>
    <row r="281" hidden="1">
      <c r="A281" s="428"/>
      <c r="B281" s="428"/>
      <c r="C281" s="122"/>
      <c r="D281" s="558"/>
      <c r="E281" s="539"/>
      <c r="F281" s="539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2"/>
      <c r="AE281" s="122"/>
      <c r="AF281" s="122"/>
      <c r="AG281" s="122"/>
      <c r="AH281" s="122"/>
      <c r="AI281" s="122"/>
      <c r="AJ281" s="122"/>
      <c r="AK281" s="122"/>
      <c r="AL281" s="122"/>
      <c r="AM281" s="122"/>
      <c r="AN281" s="122"/>
      <c r="AO281" s="122"/>
      <c r="AP281" s="428"/>
    </row>
    <row r="282" hidden="1">
      <c r="A282" s="428"/>
      <c r="B282" s="428"/>
      <c r="C282" s="122"/>
      <c r="D282" s="558"/>
      <c r="E282" s="539"/>
      <c r="F282" s="539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2"/>
      <c r="AE282" s="122"/>
      <c r="AF282" s="122"/>
      <c r="AG282" s="122"/>
      <c r="AH282" s="122"/>
      <c r="AI282" s="122"/>
      <c r="AJ282" s="122"/>
      <c r="AK282" s="122"/>
      <c r="AL282" s="122"/>
      <c r="AM282" s="122"/>
      <c r="AN282" s="122"/>
      <c r="AO282" s="122"/>
      <c r="AP282" s="428"/>
    </row>
    <row r="283" hidden="1">
      <c r="A283" s="428"/>
      <c r="B283" s="428"/>
      <c r="C283" s="122"/>
      <c r="D283" s="558"/>
      <c r="E283" s="539"/>
      <c r="F283" s="539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  <c r="AM283" s="122"/>
      <c r="AN283" s="122"/>
      <c r="AO283" s="122"/>
      <c r="AP283" s="428"/>
    </row>
    <row r="284" hidden="1">
      <c r="A284" s="428"/>
      <c r="B284" s="428"/>
      <c r="C284" s="122"/>
      <c r="D284" s="558"/>
      <c r="E284" s="539"/>
      <c r="F284" s="539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2"/>
      <c r="AE284" s="122"/>
      <c r="AF284" s="122"/>
      <c r="AG284" s="122"/>
      <c r="AH284" s="122"/>
      <c r="AI284" s="122"/>
      <c r="AJ284" s="122"/>
      <c r="AK284" s="122"/>
      <c r="AL284" s="122"/>
      <c r="AM284" s="122"/>
      <c r="AN284" s="122"/>
      <c r="AO284" s="122"/>
      <c r="AP284" s="428"/>
    </row>
    <row r="285" hidden="1">
      <c r="A285" s="428"/>
      <c r="B285" s="428"/>
      <c r="C285" s="122"/>
      <c r="D285" s="558"/>
      <c r="E285" s="539"/>
      <c r="F285" s="539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2"/>
      <c r="AE285" s="122"/>
      <c r="AF285" s="122"/>
      <c r="AG285" s="122"/>
      <c r="AH285" s="122"/>
      <c r="AI285" s="122"/>
      <c r="AJ285" s="122"/>
      <c r="AK285" s="122"/>
      <c r="AL285" s="122"/>
      <c r="AM285" s="122"/>
      <c r="AN285" s="122"/>
      <c r="AO285" s="122"/>
      <c r="AP285" s="428"/>
    </row>
    <row r="286" hidden="1">
      <c r="A286" s="428"/>
      <c r="B286" s="428"/>
      <c r="C286" s="122"/>
      <c r="D286" s="558"/>
      <c r="E286" s="539"/>
      <c r="F286" s="539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2"/>
      <c r="AE286" s="122"/>
      <c r="AF286" s="122"/>
      <c r="AG286" s="122"/>
      <c r="AH286" s="122"/>
      <c r="AI286" s="122"/>
      <c r="AJ286" s="122"/>
      <c r="AK286" s="122"/>
      <c r="AL286" s="122"/>
      <c r="AM286" s="122"/>
      <c r="AN286" s="122"/>
      <c r="AO286" s="122"/>
      <c r="AP286" s="428"/>
    </row>
    <row r="287" hidden="1">
      <c r="A287" s="428"/>
      <c r="B287" s="428"/>
      <c r="C287" s="122"/>
      <c r="D287" s="558"/>
      <c r="E287" s="539"/>
      <c r="F287" s="539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2"/>
      <c r="AE287" s="122"/>
      <c r="AF287" s="122"/>
      <c r="AG287" s="122"/>
      <c r="AH287" s="122"/>
      <c r="AI287" s="122"/>
      <c r="AJ287" s="122"/>
      <c r="AK287" s="122"/>
      <c r="AL287" s="122"/>
      <c r="AM287" s="122"/>
      <c r="AN287" s="122"/>
      <c r="AO287" s="122"/>
      <c r="AP287" s="428"/>
    </row>
    <row r="288" hidden="1">
      <c r="A288" s="428"/>
      <c r="B288" s="428"/>
      <c r="C288" s="122"/>
      <c r="D288" s="558"/>
      <c r="E288" s="539"/>
      <c r="F288" s="539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2"/>
      <c r="AE288" s="122"/>
      <c r="AF288" s="122"/>
      <c r="AG288" s="122"/>
      <c r="AH288" s="122"/>
      <c r="AI288" s="122"/>
      <c r="AJ288" s="122"/>
      <c r="AK288" s="122"/>
      <c r="AL288" s="122"/>
      <c r="AM288" s="122"/>
      <c r="AN288" s="122"/>
      <c r="AO288" s="122"/>
      <c r="AP288" s="428"/>
    </row>
    <row r="289" hidden="1">
      <c r="A289" s="428"/>
      <c r="B289" s="428"/>
      <c r="C289" s="122"/>
      <c r="D289" s="558"/>
      <c r="E289" s="539"/>
      <c r="F289" s="539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2"/>
      <c r="AE289" s="122"/>
      <c r="AF289" s="122"/>
      <c r="AG289" s="122"/>
      <c r="AH289" s="122"/>
      <c r="AI289" s="122"/>
      <c r="AJ289" s="122"/>
      <c r="AK289" s="122"/>
      <c r="AL289" s="122"/>
      <c r="AM289" s="122"/>
      <c r="AN289" s="122"/>
      <c r="AO289" s="122"/>
      <c r="AP289" s="428"/>
    </row>
    <row r="290" hidden="1">
      <c r="A290" s="428"/>
      <c r="B290" s="428"/>
      <c r="C290" s="122"/>
      <c r="D290" s="558"/>
      <c r="E290" s="539"/>
      <c r="F290" s="539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2"/>
      <c r="AE290" s="122"/>
      <c r="AF290" s="122"/>
      <c r="AG290" s="122"/>
      <c r="AH290" s="122"/>
      <c r="AI290" s="122"/>
      <c r="AJ290" s="122"/>
      <c r="AK290" s="122"/>
      <c r="AL290" s="122"/>
      <c r="AM290" s="122"/>
      <c r="AN290" s="122"/>
      <c r="AO290" s="122"/>
      <c r="AP290" s="428"/>
    </row>
    <row r="291" hidden="1">
      <c r="A291" s="428"/>
      <c r="B291" s="428"/>
      <c r="C291" s="122"/>
      <c r="D291" s="558"/>
      <c r="E291" s="539"/>
      <c r="F291" s="539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2"/>
      <c r="AE291" s="122"/>
      <c r="AF291" s="122"/>
      <c r="AG291" s="122"/>
      <c r="AH291" s="122"/>
      <c r="AI291" s="122"/>
      <c r="AJ291" s="122"/>
      <c r="AK291" s="122"/>
      <c r="AL291" s="122"/>
      <c r="AM291" s="122"/>
      <c r="AN291" s="122"/>
      <c r="AO291" s="122"/>
      <c r="AP291" s="428"/>
    </row>
    <row r="292" hidden="1">
      <c r="A292" s="428"/>
      <c r="B292" s="428"/>
      <c r="C292" s="122"/>
      <c r="D292" s="558"/>
      <c r="E292" s="539"/>
      <c r="F292" s="539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2"/>
      <c r="AE292" s="122"/>
      <c r="AF292" s="122"/>
      <c r="AG292" s="122"/>
      <c r="AH292" s="122"/>
      <c r="AI292" s="122"/>
      <c r="AJ292" s="122"/>
      <c r="AK292" s="122"/>
      <c r="AL292" s="122"/>
      <c r="AM292" s="122"/>
      <c r="AN292" s="122"/>
      <c r="AO292" s="122"/>
      <c r="AP292" s="428"/>
    </row>
    <row r="293" hidden="1">
      <c r="A293" s="428"/>
      <c r="B293" s="428"/>
      <c r="C293" s="122"/>
      <c r="D293" s="558"/>
      <c r="E293" s="539"/>
      <c r="F293" s="539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2"/>
      <c r="AE293" s="122"/>
      <c r="AF293" s="122"/>
      <c r="AG293" s="122"/>
      <c r="AH293" s="122"/>
      <c r="AI293" s="122"/>
      <c r="AJ293" s="122"/>
      <c r="AK293" s="122"/>
      <c r="AL293" s="122"/>
      <c r="AM293" s="122"/>
      <c r="AN293" s="122"/>
      <c r="AO293" s="122"/>
      <c r="AP293" s="428"/>
    </row>
    <row r="294" hidden="1">
      <c r="A294" s="428"/>
      <c r="B294" s="428"/>
      <c r="C294" s="122"/>
      <c r="D294" s="558"/>
      <c r="E294" s="539"/>
      <c r="F294" s="539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2"/>
      <c r="AE294" s="122"/>
      <c r="AF294" s="122"/>
      <c r="AG294" s="122"/>
      <c r="AH294" s="122"/>
      <c r="AI294" s="122"/>
      <c r="AJ294" s="122"/>
      <c r="AK294" s="122"/>
      <c r="AL294" s="122"/>
      <c r="AM294" s="122"/>
      <c r="AN294" s="122"/>
      <c r="AO294" s="122"/>
      <c r="AP294" s="428"/>
    </row>
    <row r="295" hidden="1">
      <c r="A295" s="428"/>
      <c r="B295" s="428"/>
      <c r="C295" s="122"/>
      <c r="D295" s="558"/>
      <c r="E295" s="539"/>
      <c r="F295" s="539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2"/>
      <c r="AE295" s="122"/>
      <c r="AF295" s="122"/>
      <c r="AG295" s="122"/>
      <c r="AH295" s="122"/>
      <c r="AI295" s="122"/>
      <c r="AJ295" s="122"/>
      <c r="AK295" s="122"/>
      <c r="AL295" s="122"/>
      <c r="AM295" s="122"/>
      <c r="AN295" s="122"/>
      <c r="AO295" s="122"/>
      <c r="AP295" s="428"/>
    </row>
    <row r="296" hidden="1">
      <c r="A296" s="428"/>
      <c r="B296" s="428"/>
      <c r="C296" s="122"/>
      <c r="D296" s="558"/>
      <c r="E296" s="539"/>
      <c r="F296" s="539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2"/>
      <c r="AE296" s="122"/>
      <c r="AF296" s="122"/>
      <c r="AG296" s="122"/>
      <c r="AH296" s="122"/>
      <c r="AI296" s="122"/>
      <c r="AJ296" s="122"/>
      <c r="AK296" s="122"/>
      <c r="AL296" s="122"/>
      <c r="AM296" s="122"/>
      <c r="AN296" s="122"/>
      <c r="AO296" s="122"/>
      <c r="AP296" s="428"/>
    </row>
    <row r="297" hidden="1">
      <c r="A297" s="428"/>
      <c r="B297" s="428"/>
      <c r="C297" s="122"/>
      <c r="D297" s="558"/>
      <c r="E297" s="539"/>
      <c r="F297" s="539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2"/>
      <c r="AE297" s="122"/>
      <c r="AF297" s="122"/>
      <c r="AG297" s="122"/>
      <c r="AH297" s="122"/>
      <c r="AI297" s="122"/>
      <c r="AJ297" s="122"/>
      <c r="AK297" s="122"/>
      <c r="AL297" s="122"/>
      <c r="AM297" s="122"/>
      <c r="AN297" s="122"/>
      <c r="AO297" s="122"/>
      <c r="AP297" s="428"/>
    </row>
    <row r="298" hidden="1">
      <c r="A298" s="428"/>
      <c r="B298" s="428"/>
      <c r="C298" s="122"/>
      <c r="D298" s="558"/>
      <c r="E298" s="539"/>
      <c r="F298" s="539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2"/>
      <c r="AE298" s="122"/>
      <c r="AF298" s="122"/>
      <c r="AG298" s="122"/>
      <c r="AH298" s="122"/>
      <c r="AI298" s="122"/>
      <c r="AJ298" s="122"/>
      <c r="AK298" s="122"/>
      <c r="AL298" s="122"/>
      <c r="AM298" s="122"/>
      <c r="AN298" s="122"/>
      <c r="AO298" s="122"/>
      <c r="AP298" s="428"/>
    </row>
    <row r="299" hidden="1">
      <c r="A299" s="428"/>
      <c r="B299" s="428"/>
      <c r="C299" s="122"/>
      <c r="D299" s="558"/>
      <c r="E299" s="539"/>
      <c r="F299" s="539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2"/>
      <c r="AE299" s="122"/>
      <c r="AF299" s="122"/>
      <c r="AG299" s="122"/>
      <c r="AH299" s="122"/>
      <c r="AI299" s="122"/>
      <c r="AJ299" s="122"/>
      <c r="AK299" s="122"/>
      <c r="AL299" s="122"/>
      <c r="AM299" s="122"/>
      <c r="AN299" s="122"/>
      <c r="AO299" s="122"/>
      <c r="AP299" s="428"/>
    </row>
    <row r="300" hidden="1">
      <c r="A300" s="428"/>
      <c r="B300" s="428"/>
      <c r="C300" s="122"/>
      <c r="D300" s="558"/>
      <c r="E300" s="539"/>
      <c r="F300" s="539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2"/>
      <c r="AE300" s="122"/>
      <c r="AF300" s="122"/>
      <c r="AG300" s="122"/>
      <c r="AH300" s="122"/>
      <c r="AI300" s="122"/>
      <c r="AJ300" s="122"/>
      <c r="AK300" s="122"/>
      <c r="AL300" s="122"/>
      <c r="AM300" s="122"/>
      <c r="AN300" s="122"/>
      <c r="AO300" s="122"/>
      <c r="AP300" s="428"/>
    </row>
    <row r="301" hidden="1">
      <c r="A301" s="428"/>
      <c r="B301" s="428"/>
      <c r="C301" s="122"/>
      <c r="D301" s="558"/>
      <c r="E301" s="539"/>
      <c r="F301" s="539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2"/>
      <c r="AE301" s="122"/>
      <c r="AF301" s="122"/>
      <c r="AG301" s="122"/>
      <c r="AH301" s="122"/>
      <c r="AI301" s="122"/>
      <c r="AJ301" s="122"/>
      <c r="AK301" s="122"/>
      <c r="AL301" s="122"/>
      <c r="AM301" s="122"/>
      <c r="AN301" s="122"/>
      <c r="AO301" s="122"/>
      <c r="AP301" s="428"/>
    </row>
    <row r="302" hidden="1">
      <c r="A302" s="428"/>
      <c r="B302" s="428"/>
      <c r="C302" s="122"/>
      <c r="D302" s="558"/>
      <c r="E302" s="539"/>
      <c r="F302" s="539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2"/>
      <c r="AE302" s="122"/>
      <c r="AF302" s="122"/>
      <c r="AG302" s="122"/>
      <c r="AH302" s="122"/>
      <c r="AI302" s="122"/>
      <c r="AJ302" s="122"/>
      <c r="AK302" s="122"/>
      <c r="AL302" s="122"/>
      <c r="AM302" s="122"/>
      <c r="AN302" s="122"/>
      <c r="AO302" s="122"/>
      <c r="AP302" s="428"/>
    </row>
    <row r="303" hidden="1">
      <c r="A303" s="428"/>
      <c r="B303" s="428"/>
      <c r="C303" s="122"/>
      <c r="D303" s="558"/>
      <c r="E303" s="539"/>
      <c r="F303" s="539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2"/>
      <c r="AE303" s="122"/>
      <c r="AF303" s="122"/>
      <c r="AG303" s="122"/>
      <c r="AH303" s="122"/>
      <c r="AI303" s="122"/>
      <c r="AJ303" s="122"/>
      <c r="AK303" s="122"/>
      <c r="AL303" s="122"/>
      <c r="AM303" s="122"/>
      <c r="AN303" s="122"/>
      <c r="AO303" s="122"/>
      <c r="AP303" s="428"/>
    </row>
    <row r="304" hidden="1">
      <c r="A304" s="428"/>
      <c r="B304" s="428"/>
      <c r="C304" s="122"/>
      <c r="D304" s="558"/>
      <c r="E304" s="539"/>
      <c r="F304" s="539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2"/>
      <c r="AE304" s="122"/>
      <c r="AF304" s="122"/>
      <c r="AG304" s="122"/>
      <c r="AH304" s="122"/>
      <c r="AI304" s="122"/>
      <c r="AJ304" s="122"/>
      <c r="AK304" s="122"/>
      <c r="AL304" s="122"/>
      <c r="AM304" s="122"/>
      <c r="AN304" s="122"/>
      <c r="AO304" s="122"/>
      <c r="AP304" s="428"/>
    </row>
    <row r="305" hidden="1">
      <c r="A305" s="428"/>
      <c r="B305" s="428"/>
      <c r="C305" s="122"/>
      <c r="D305" s="558"/>
      <c r="E305" s="539"/>
      <c r="F305" s="539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2"/>
      <c r="AE305" s="122"/>
      <c r="AF305" s="122"/>
      <c r="AG305" s="122"/>
      <c r="AH305" s="122"/>
      <c r="AI305" s="122"/>
      <c r="AJ305" s="122"/>
      <c r="AK305" s="122"/>
      <c r="AL305" s="122"/>
      <c r="AM305" s="122"/>
      <c r="AN305" s="122"/>
      <c r="AO305" s="122"/>
      <c r="AP305" s="428"/>
    </row>
    <row r="306" hidden="1">
      <c r="A306" s="428"/>
      <c r="B306" s="428"/>
      <c r="C306" s="122"/>
      <c r="D306" s="558"/>
      <c r="E306" s="539"/>
      <c r="F306" s="539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2"/>
      <c r="AE306" s="122"/>
      <c r="AF306" s="122"/>
      <c r="AG306" s="122"/>
      <c r="AH306" s="122"/>
      <c r="AI306" s="122"/>
      <c r="AJ306" s="122"/>
      <c r="AK306" s="122"/>
      <c r="AL306" s="122"/>
      <c r="AM306" s="122"/>
      <c r="AN306" s="122"/>
      <c r="AO306" s="122"/>
      <c r="AP306" s="428"/>
    </row>
    <row r="307" hidden="1">
      <c r="A307" s="428"/>
      <c r="B307" s="428"/>
      <c r="C307" s="122"/>
      <c r="D307" s="558"/>
      <c r="E307" s="539"/>
      <c r="F307" s="539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2"/>
      <c r="AE307" s="122"/>
      <c r="AF307" s="122"/>
      <c r="AG307" s="122"/>
      <c r="AH307" s="122"/>
      <c r="AI307" s="122"/>
      <c r="AJ307" s="122"/>
      <c r="AK307" s="122"/>
      <c r="AL307" s="122"/>
      <c r="AM307" s="122"/>
      <c r="AN307" s="122"/>
      <c r="AO307" s="122"/>
      <c r="AP307" s="428"/>
    </row>
    <row r="308" hidden="1">
      <c r="A308" s="428"/>
      <c r="B308" s="428"/>
      <c r="C308" s="122"/>
      <c r="D308" s="558"/>
      <c r="E308" s="539"/>
      <c r="F308" s="539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2"/>
      <c r="AE308" s="122"/>
      <c r="AF308" s="122"/>
      <c r="AG308" s="122"/>
      <c r="AH308" s="122"/>
      <c r="AI308" s="122"/>
      <c r="AJ308" s="122"/>
      <c r="AK308" s="122"/>
      <c r="AL308" s="122"/>
      <c r="AM308" s="122"/>
      <c r="AN308" s="122"/>
      <c r="AO308" s="122"/>
      <c r="AP308" s="428"/>
    </row>
    <row r="309" hidden="1">
      <c r="A309" s="428"/>
      <c r="B309" s="428"/>
      <c r="C309" s="122"/>
      <c r="D309" s="558"/>
      <c r="E309" s="539"/>
      <c r="F309" s="539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2"/>
      <c r="AE309" s="122"/>
      <c r="AF309" s="122"/>
      <c r="AG309" s="122"/>
      <c r="AH309" s="122"/>
      <c r="AI309" s="122"/>
      <c r="AJ309" s="122"/>
      <c r="AK309" s="122"/>
      <c r="AL309" s="122"/>
      <c r="AM309" s="122"/>
      <c r="AN309" s="122"/>
      <c r="AO309" s="122"/>
      <c r="AP309" s="428"/>
    </row>
    <row r="310" hidden="1">
      <c r="A310" s="428"/>
      <c r="B310" s="428"/>
      <c r="C310" s="122"/>
      <c r="D310" s="558"/>
      <c r="E310" s="539"/>
      <c r="F310" s="539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2"/>
      <c r="AE310" s="122"/>
      <c r="AF310" s="122"/>
      <c r="AG310" s="122"/>
      <c r="AH310" s="122"/>
      <c r="AI310" s="122"/>
      <c r="AJ310" s="122"/>
      <c r="AK310" s="122"/>
      <c r="AL310" s="122"/>
      <c r="AM310" s="122"/>
      <c r="AN310" s="122"/>
      <c r="AO310" s="122"/>
      <c r="AP310" s="428"/>
    </row>
    <row r="311" hidden="1">
      <c r="A311" s="428"/>
      <c r="B311" s="428"/>
      <c r="C311" s="122"/>
      <c r="D311" s="558"/>
      <c r="E311" s="539"/>
      <c r="F311" s="539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2"/>
      <c r="AE311" s="122"/>
      <c r="AF311" s="122"/>
      <c r="AG311" s="122"/>
      <c r="AH311" s="122"/>
      <c r="AI311" s="122"/>
      <c r="AJ311" s="122"/>
      <c r="AK311" s="122"/>
      <c r="AL311" s="122"/>
      <c r="AM311" s="122"/>
      <c r="AN311" s="122"/>
      <c r="AO311" s="122"/>
      <c r="AP311" s="428"/>
    </row>
    <row r="312" hidden="1">
      <c r="A312" s="428"/>
      <c r="B312" s="428"/>
      <c r="C312" s="122"/>
      <c r="D312" s="558"/>
      <c r="E312" s="539"/>
      <c r="F312" s="539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2"/>
      <c r="AE312" s="122"/>
      <c r="AF312" s="122"/>
      <c r="AG312" s="122"/>
      <c r="AH312" s="122"/>
      <c r="AI312" s="122"/>
      <c r="AJ312" s="122"/>
      <c r="AK312" s="122"/>
      <c r="AL312" s="122"/>
      <c r="AM312" s="122"/>
      <c r="AN312" s="122"/>
      <c r="AO312" s="122"/>
      <c r="AP312" s="428"/>
    </row>
    <row r="313" hidden="1">
      <c r="A313" s="428"/>
      <c r="B313" s="428"/>
      <c r="C313" s="122"/>
      <c r="D313" s="558"/>
      <c r="E313" s="539"/>
      <c r="F313" s="539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2"/>
      <c r="AE313" s="122"/>
      <c r="AF313" s="122"/>
      <c r="AG313" s="122"/>
      <c r="AH313" s="122"/>
      <c r="AI313" s="122"/>
      <c r="AJ313" s="122"/>
      <c r="AK313" s="122"/>
      <c r="AL313" s="122"/>
      <c r="AM313" s="122"/>
      <c r="AN313" s="122"/>
      <c r="AO313" s="122"/>
      <c r="AP313" s="428"/>
    </row>
    <row r="314" hidden="1">
      <c r="A314" s="428"/>
      <c r="B314" s="428"/>
      <c r="C314" s="122"/>
      <c r="D314" s="558"/>
      <c r="E314" s="539"/>
      <c r="F314" s="539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2"/>
      <c r="AE314" s="122"/>
      <c r="AF314" s="122"/>
      <c r="AG314" s="122"/>
      <c r="AH314" s="122"/>
      <c r="AI314" s="122"/>
      <c r="AJ314" s="122"/>
      <c r="AK314" s="122"/>
      <c r="AL314" s="122"/>
      <c r="AM314" s="122"/>
      <c r="AN314" s="122"/>
      <c r="AO314" s="122"/>
      <c r="AP314" s="428"/>
    </row>
    <row r="315" hidden="1">
      <c r="A315" s="428"/>
      <c r="B315" s="428"/>
      <c r="C315" s="122"/>
      <c r="D315" s="558"/>
      <c r="E315" s="539"/>
      <c r="F315" s="539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2"/>
      <c r="AE315" s="122"/>
      <c r="AF315" s="122"/>
      <c r="AG315" s="122"/>
      <c r="AH315" s="122"/>
      <c r="AI315" s="122"/>
      <c r="AJ315" s="122"/>
      <c r="AK315" s="122"/>
      <c r="AL315" s="122"/>
      <c r="AM315" s="122"/>
      <c r="AN315" s="122"/>
      <c r="AO315" s="122"/>
      <c r="AP315" s="428"/>
    </row>
    <row r="316" hidden="1">
      <c r="A316" s="428"/>
      <c r="B316" s="428"/>
      <c r="C316" s="122"/>
      <c r="D316" s="558"/>
      <c r="E316" s="539"/>
      <c r="F316" s="539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2"/>
      <c r="AE316" s="122"/>
      <c r="AF316" s="122"/>
      <c r="AG316" s="122"/>
      <c r="AH316" s="122"/>
      <c r="AI316" s="122"/>
      <c r="AJ316" s="122"/>
      <c r="AK316" s="122"/>
      <c r="AL316" s="122"/>
      <c r="AM316" s="122"/>
      <c r="AN316" s="122"/>
      <c r="AO316" s="122"/>
      <c r="AP316" s="428"/>
    </row>
    <row r="317" hidden="1">
      <c r="A317" s="428"/>
      <c r="B317" s="428"/>
      <c r="C317" s="122"/>
      <c r="D317" s="558"/>
      <c r="E317" s="539"/>
      <c r="F317" s="539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2"/>
      <c r="AE317" s="122"/>
      <c r="AF317" s="122"/>
      <c r="AG317" s="122"/>
      <c r="AH317" s="122"/>
      <c r="AI317" s="122"/>
      <c r="AJ317" s="122"/>
      <c r="AK317" s="122"/>
      <c r="AL317" s="122"/>
      <c r="AM317" s="122"/>
      <c r="AN317" s="122"/>
      <c r="AO317" s="122"/>
      <c r="AP317" s="428"/>
    </row>
    <row r="318" hidden="1">
      <c r="A318" s="428"/>
      <c r="B318" s="428"/>
      <c r="C318" s="122"/>
      <c r="D318" s="558"/>
      <c r="E318" s="539"/>
      <c r="F318" s="539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2"/>
      <c r="AE318" s="122"/>
      <c r="AF318" s="122"/>
      <c r="AG318" s="122"/>
      <c r="AH318" s="122"/>
      <c r="AI318" s="122"/>
      <c r="AJ318" s="122"/>
      <c r="AK318" s="122"/>
      <c r="AL318" s="122"/>
      <c r="AM318" s="122"/>
      <c r="AN318" s="122"/>
      <c r="AO318" s="122"/>
      <c r="AP318" s="428"/>
    </row>
    <row r="319" hidden="1">
      <c r="A319" s="428"/>
      <c r="B319" s="428"/>
      <c r="C319" s="122"/>
      <c r="D319" s="558"/>
      <c r="E319" s="539"/>
      <c r="F319" s="539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2"/>
      <c r="AE319" s="122"/>
      <c r="AF319" s="122"/>
      <c r="AG319" s="122"/>
      <c r="AH319" s="122"/>
      <c r="AI319" s="122"/>
      <c r="AJ319" s="122"/>
      <c r="AK319" s="122"/>
      <c r="AL319" s="122"/>
      <c r="AM319" s="122"/>
      <c r="AN319" s="122"/>
      <c r="AO319" s="122"/>
      <c r="AP319" s="428"/>
    </row>
    <row r="320" hidden="1">
      <c r="A320" s="428"/>
      <c r="B320" s="428"/>
      <c r="C320" s="122"/>
      <c r="D320" s="558"/>
      <c r="E320" s="539"/>
      <c r="F320" s="539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2"/>
      <c r="AE320" s="122"/>
      <c r="AF320" s="122"/>
      <c r="AG320" s="122"/>
      <c r="AH320" s="122"/>
      <c r="AI320" s="122"/>
      <c r="AJ320" s="122"/>
      <c r="AK320" s="122"/>
      <c r="AL320" s="122"/>
      <c r="AM320" s="122"/>
      <c r="AN320" s="122"/>
      <c r="AO320" s="122"/>
      <c r="AP320" s="428"/>
    </row>
    <row r="321" hidden="1">
      <c r="A321" s="428"/>
      <c r="B321" s="428"/>
      <c r="C321" s="122"/>
      <c r="D321" s="558"/>
      <c r="E321" s="539"/>
      <c r="F321" s="539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2"/>
      <c r="AE321" s="122"/>
      <c r="AF321" s="122"/>
      <c r="AG321" s="122"/>
      <c r="AH321" s="122"/>
      <c r="AI321" s="122"/>
      <c r="AJ321" s="122"/>
      <c r="AK321" s="122"/>
      <c r="AL321" s="122"/>
      <c r="AM321" s="122"/>
      <c r="AN321" s="122"/>
      <c r="AO321" s="122"/>
      <c r="AP321" s="428"/>
    </row>
    <row r="322" hidden="1">
      <c r="A322" s="428"/>
      <c r="B322" s="428"/>
      <c r="C322" s="122"/>
      <c r="D322" s="558"/>
      <c r="E322" s="539"/>
      <c r="F322" s="539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2"/>
      <c r="AE322" s="122"/>
      <c r="AF322" s="122"/>
      <c r="AG322" s="122"/>
      <c r="AH322" s="122"/>
      <c r="AI322" s="122"/>
      <c r="AJ322" s="122"/>
      <c r="AK322" s="122"/>
      <c r="AL322" s="122"/>
      <c r="AM322" s="122"/>
      <c r="AN322" s="122"/>
      <c r="AO322" s="122"/>
      <c r="AP322" s="428"/>
    </row>
    <row r="323" hidden="1">
      <c r="A323" s="428"/>
      <c r="B323" s="428"/>
      <c r="C323" s="122"/>
      <c r="D323" s="558"/>
      <c r="E323" s="539"/>
      <c r="F323" s="539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2"/>
      <c r="AE323" s="122"/>
      <c r="AF323" s="122"/>
      <c r="AG323" s="122"/>
      <c r="AH323" s="122"/>
      <c r="AI323" s="122"/>
      <c r="AJ323" s="122"/>
      <c r="AK323" s="122"/>
      <c r="AL323" s="122"/>
      <c r="AM323" s="122"/>
      <c r="AN323" s="122"/>
      <c r="AO323" s="122"/>
      <c r="AP323" s="428"/>
    </row>
    <row r="324" hidden="1">
      <c r="A324" s="428"/>
      <c r="B324" s="428"/>
      <c r="C324" s="122"/>
      <c r="D324" s="558"/>
      <c r="E324" s="539"/>
      <c r="F324" s="539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2"/>
      <c r="AE324" s="122"/>
      <c r="AF324" s="122"/>
      <c r="AG324" s="122"/>
      <c r="AH324" s="122"/>
      <c r="AI324" s="122"/>
      <c r="AJ324" s="122"/>
      <c r="AK324" s="122"/>
      <c r="AL324" s="122"/>
      <c r="AM324" s="122"/>
      <c r="AN324" s="122"/>
      <c r="AO324" s="122"/>
      <c r="AP324" s="428"/>
    </row>
    <row r="325" hidden="1">
      <c r="A325" s="428"/>
      <c r="B325" s="428"/>
      <c r="C325" s="122"/>
      <c r="D325" s="558"/>
      <c r="E325" s="539"/>
      <c r="F325" s="539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2"/>
      <c r="AE325" s="122"/>
      <c r="AF325" s="122"/>
      <c r="AG325" s="122"/>
      <c r="AH325" s="122"/>
      <c r="AI325" s="122"/>
      <c r="AJ325" s="122"/>
      <c r="AK325" s="122"/>
      <c r="AL325" s="122"/>
      <c r="AM325" s="122"/>
      <c r="AN325" s="122"/>
      <c r="AO325" s="122"/>
      <c r="AP325" s="428"/>
    </row>
    <row r="326" hidden="1">
      <c r="A326" s="428"/>
      <c r="B326" s="428"/>
      <c r="C326" s="122"/>
      <c r="D326" s="558"/>
      <c r="E326" s="539"/>
      <c r="F326" s="539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2"/>
      <c r="AE326" s="122"/>
      <c r="AF326" s="122"/>
      <c r="AG326" s="122"/>
      <c r="AH326" s="122"/>
      <c r="AI326" s="122"/>
      <c r="AJ326" s="122"/>
      <c r="AK326" s="122"/>
      <c r="AL326" s="122"/>
      <c r="AM326" s="122"/>
      <c r="AN326" s="122"/>
      <c r="AO326" s="122"/>
      <c r="AP326" s="428"/>
    </row>
    <row r="327" hidden="1">
      <c r="A327" s="428"/>
      <c r="B327" s="428"/>
      <c r="C327" s="122"/>
      <c r="D327" s="558"/>
      <c r="E327" s="539"/>
      <c r="F327" s="539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2"/>
      <c r="AE327" s="122"/>
      <c r="AF327" s="122"/>
      <c r="AG327" s="122"/>
      <c r="AH327" s="122"/>
      <c r="AI327" s="122"/>
      <c r="AJ327" s="122"/>
      <c r="AK327" s="122"/>
      <c r="AL327" s="122"/>
      <c r="AM327" s="122"/>
      <c r="AN327" s="122"/>
      <c r="AO327" s="122"/>
      <c r="AP327" s="428"/>
    </row>
    <row r="328" hidden="1">
      <c r="A328" s="428"/>
      <c r="B328" s="428"/>
      <c r="C328" s="122"/>
      <c r="D328" s="558"/>
      <c r="E328" s="539"/>
      <c r="F328" s="539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2"/>
      <c r="AE328" s="122"/>
      <c r="AF328" s="122"/>
      <c r="AG328" s="122"/>
      <c r="AH328" s="122"/>
      <c r="AI328" s="122"/>
      <c r="AJ328" s="122"/>
      <c r="AK328" s="122"/>
      <c r="AL328" s="122"/>
      <c r="AM328" s="122"/>
      <c r="AN328" s="122"/>
      <c r="AO328" s="122"/>
      <c r="AP328" s="428"/>
    </row>
    <row r="329" hidden="1">
      <c r="A329" s="428"/>
      <c r="B329" s="428"/>
      <c r="C329" s="122"/>
      <c r="D329" s="558"/>
      <c r="E329" s="539"/>
      <c r="F329" s="539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2"/>
      <c r="AE329" s="122"/>
      <c r="AF329" s="122"/>
      <c r="AG329" s="122"/>
      <c r="AH329" s="122"/>
      <c r="AI329" s="122"/>
      <c r="AJ329" s="122"/>
      <c r="AK329" s="122"/>
      <c r="AL329" s="122"/>
      <c r="AM329" s="122"/>
      <c r="AN329" s="122"/>
      <c r="AO329" s="122"/>
      <c r="AP329" s="428"/>
    </row>
    <row r="330" hidden="1">
      <c r="A330" s="428"/>
      <c r="B330" s="428"/>
      <c r="C330" s="122"/>
      <c r="D330" s="558"/>
      <c r="E330" s="539"/>
      <c r="F330" s="539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2"/>
      <c r="AE330" s="122"/>
      <c r="AF330" s="122"/>
      <c r="AG330" s="122"/>
      <c r="AH330" s="122"/>
      <c r="AI330" s="122"/>
      <c r="AJ330" s="122"/>
      <c r="AK330" s="122"/>
      <c r="AL330" s="122"/>
      <c r="AM330" s="122"/>
      <c r="AN330" s="122"/>
      <c r="AO330" s="122"/>
      <c r="AP330" s="428"/>
    </row>
    <row r="331" hidden="1">
      <c r="A331" s="428"/>
      <c r="B331" s="428"/>
      <c r="C331" s="122"/>
      <c r="D331" s="558"/>
      <c r="E331" s="539"/>
      <c r="F331" s="539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2"/>
      <c r="AE331" s="122"/>
      <c r="AF331" s="122"/>
      <c r="AG331" s="122"/>
      <c r="AH331" s="122"/>
      <c r="AI331" s="122"/>
      <c r="AJ331" s="122"/>
      <c r="AK331" s="122"/>
      <c r="AL331" s="122"/>
      <c r="AM331" s="122"/>
      <c r="AN331" s="122"/>
      <c r="AO331" s="122"/>
      <c r="AP331" s="428"/>
    </row>
    <row r="332" hidden="1">
      <c r="A332" s="428"/>
      <c r="B332" s="428"/>
      <c r="C332" s="122"/>
      <c r="D332" s="558"/>
      <c r="E332" s="539"/>
      <c r="F332" s="539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2"/>
      <c r="AE332" s="122"/>
      <c r="AF332" s="122"/>
      <c r="AG332" s="122"/>
      <c r="AH332" s="122"/>
      <c r="AI332" s="122"/>
      <c r="AJ332" s="122"/>
      <c r="AK332" s="122"/>
      <c r="AL332" s="122"/>
      <c r="AM332" s="122"/>
      <c r="AN332" s="122"/>
      <c r="AO332" s="122"/>
      <c r="AP332" s="428"/>
    </row>
    <row r="333" hidden="1">
      <c r="A333" s="428"/>
      <c r="B333" s="428"/>
      <c r="C333" s="122"/>
      <c r="D333" s="558"/>
      <c r="E333" s="539"/>
      <c r="F333" s="539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2"/>
      <c r="AE333" s="122"/>
      <c r="AF333" s="122"/>
      <c r="AG333" s="122"/>
      <c r="AH333" s="122"/>
      <c r="AI333" s="122"/>
      <c r="AJ333" s="122"/>
      <c r="AK333" s="122"/>
      <c r="AL333" s="122"/>
      <c r="AM333" s="122"/>
      <c r="AN333" s="122"/>
      <c r="AO333" s="122"/>
      <c r="AP333" s="428"/>
    </row>
    <row r="334" hidden="1">
      <c r="A334" s="428"/>
      <c r="B334" s="428"/>
      <c r="C334" s="122"/>
      <c r="D334" s="558"/>
      <c r="E334" s="539"/>
      <c r="F334" s="539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2"/>
      <c r="AE334" s="122"/>
      <c r="AF334" s="122"/>
      <c r="AG334" s="122"/>
      <c r="AH334" s="122"/>
      <c r="AI334" s="122"/>
      <c r="AJ334" s="122"/>
      <c r="AK334" s="122"/>
      <c r="AL334" s="122"/>
      <c r="AM334" s="122"/>
      <c r="AN334" s="122"/>
      <c r="AO334" s="122"/>
      <c r="AP334" s="428"/>
    </row>
    <row r="335" hidden="1">
      <c r="A335" s="428"/>
      <c r="B335" s="428"/>
      <c r="C335" s="122"/>
      <c r="D335" s="558"/>
      <c r="E335" s="539"/>
      <c r="F335" s="539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2"/>
      <c r="AE335" s="122"/>
      <c r="AF335" s="122"/>
      <c r="AG335" s="122"/>
      <c r="AH335" s="122"/>
      <c r="AI335" s="122"/>
      <c r="AJ335" s="122"/>
      <c r="AK335" s="122"/>
      <c r="AL335" s="122"/>
      <c r="AM335" s="122"/>
      <c r="AN335" s="122"/>
      <c r="AO335" s="122"/>
      <c r="AP335" s="428"/>
    </row>
    <row r="336" hidden="1">
      <c r="A336" s="428"/>
      <c r="B336" s="428"/>
      <c r="C336" s="122"/>
      <c r="D336" s="558"/>
      <c r="E336" s="539"/>
      <c r="F336" s="539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2"/>
      <c r="AE336" s="122"/>
      <c r="AF336" s="122"/>
      <c r="AG336" s="122"/>
      <c r="AH336" s="122"/>
      <c r="AI336" s="122"/>
      <c r="AJ336" s="122"/>
      <c r="AK336" s="122"/>
      <c r="AL336" s="122"/>
      <c r="AM336" s="122"/>
      <c r="AN336" s="122"/>
      <c r="AO336" s="122"/>
      <c r="AP336" s="428"/>
    </row>
    <row r="337" hidden="1">
      <c r="A337" s="428"/>
      <c r="B337" s="428"/>
      <c r="C337" s="122"/>
      <c r="D337" s="558"/>
      <c r="E337" s="539"/>
      <c r="F337" s="539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2"/>
      <c r="AE337" s="122"/>
      <c r="AF337" s="122"/>
      <c r="AG337" s="122"/>
      <c r="AH337" s="122"/>
      <c r="AI337" s="122"/>
      <c r="AJ337" s="122"/>
      <c r="AK337" s="122"/>
      <c r="AL337" s="122"/>
      <c r="AM337" s="122"/>
      <c r="AN337" s="122"/>
      <c r="AO337" s="122"/>
      <c r="AP337" s="428"/>
    </row>
    <row r="338" hidden="1">
      <c r="A338" s="428"/>
      <c r="B338" s="428"/>
      <c r="C338" s="122"/>
      <c r="D338" s="558"/>
      <c r="E338" s="539"/>
      <c r="F338" s="539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2"/>
      <c r="AE338" s="122"/>
      <c r="AF338" s="122"/>
      <c r="AG338" s="122"/>
      <c r="AH338" s="122"/>
      <c r="AI338" s="122"/>
      <c r="AJ338" s="122"/>
      <c r="AK338" s="122"/>
      <c r="AL338" s="122"/>
      <c r="AM338" s="122"/>
      <c r="AN338" s="122"/>
      <c r="AO338" s="122"/>
      <c r="AP338" s="428"/>
    </row>
    <row r="339" hidden="1">
      <c r="A339" s="428"/>
      <c r="B339" s="428"/>
      <c r="C339" s="122"/>
      <c r="D339" s="558"/>
      <c r="E339" s="539"/>
      <c r="F339" s="539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2"/>
      <c r="AE339" s="122"/>
      <c r="AF339" s="122"/>
      <c r="AG339" s="122"/>
      <c r="AH339" s="122"/>
      <c r="AI339" s="122"/>
      <c r="AJ339" s="122"/>
      <c r="AK339" s="122"/>
      <c r="AL339" s="122"/>
      <c r="AM339" s="122"/>
      <c r="AN339" s="122"/>
      <c r="AO339" s="122"/>
      <c r="AP339" s="428"/>
    </row>
    <row r="340" hidden="1">
      <c r="A340" s="428"/>
      <c r="B340" s="428"/>
      <c r="C340" s="122"/>
      <c r="D340" s="558"/>
      <c r="E340" s="539"/>
      <c r="F340" s="539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2"/>
      <c r="AE340" s="122"/>
      <c r="AF340" s="122"/>
      <c r="AG340" s="122"/>
      <c r="AH340" s="122"/>
      <c r="AI340" s="122"/>
      <c r="AJ340" s="122"/>
      <c r="AK340" s="122"/>
      <c r="AL340" s="122"/>
      <c r="AM340" s="122"/>
      <c r="AN340" s="122"/>
      <c r="AO340" s="122"/>
      <c r="AP340" s="428"/>
    </row>
    <row r="341" hidden="1">
      <c r="A341" s="428"/>
      <c r="B341" s="428"/>
      <c r="C341" s="122"/>
      <c r="D341" s="558"/>
      <c r="E341" s="539"/>
      <c r="F341" s="539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2"/>
      <c r="AE341" s="122"/>
      <c r="AF341" s="122"/>
      <c r="AG341" s="122"/>
      <c r="AH341" s="122"/>
      <c r="AI341" s="122"/>
      <c r="AJ341" s="122"/>
      <c r="AK341" s="122"/>
      <c r="AL341" s="122"/>
      <c r="AM341" s="122"/>
      <c r="AN341" s="122"/>
      <c r="AO341" s="122"/>
      <c r="AP341" s="428"/>
    </row>
    <row r="342" hidden="1">
      <c r="A342" s="428"/>
      <c r="B342" s="428"/>
      <c r="C342" s="122"/>
      <c r="D342" s="558"/>
      <c r="E342" s="539"/>
      <c r="F342" s="539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2"/>
      <c r="AE342" s="122"/>
      <c r="AF342" s="122"/>
      <c r="AG342" s="122"/>
      <c r="AH342" s="122"/>
      <c r="AI342" s="122"/>
      <c r="AJ342" s="122"/>
      <c r="AK342" s="122"/>
      <c r="AL342" s="122"/>
      <c r="AM342" s="122"/>
      <c r="AN342" s="122"/>
      <c r="AO342" s="122"/>
      <c r="AP342" s="428"/>
    </row>
    <row r="343" hidden="1">
      <c r="A343" s="428"/>
      <c r="B343" s="428"/>
      <c r="C343" s="122"/>
      <c r="D343" s="558"/>
      <c r="E343" s="539"/>
      <c r="F343" s="539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2"/>
      <c r="AE343" s="122"/>
      <c r="AF343" s="122"/>
      <c r="AG343" s="122"/>
      <c r="AH343" s="122"/>
      <c r="AI343" s="122"/>
      <c r="AJ343" s="122"/>
      <c r="AK343" s="122"/>
      <c r="AL343" s="122"/>
      <c r="AM343" s="122"/>
      <c r="AN343" s="122"/>
      <c r="AO343" s="122"/>
      <c r="AP343" s="428"/>
    </row>
    <row r="344" hidden="1">
      <c r="A344" s="428"/>
      <c r="B344" s="428"/>
      <c r="C344" s="122"/>
      <c r="D344" s="558"/>
      <c r="E344" s="539"/>
      <c r="F344" s="539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2"/>
      <c r="AE344" s="122"/>
      <c r="AF344" s="122"/>
      <c r="AG344" s="122"/>
      <c r="AH344" s="122"/>
      <c r="AI344" s="122"/>
      <c r="AJ344" s="122"/>
      <c r="AK344" s="122"/>
      <c r="AL344" s="122"/>
      <c r="AM344" s="122"/>
      <c r="AN344" s="122"/>
      <c r="AO344" s="122"/>
      <c r="AP344" s="428"/>
    </row>
    <row r="345" hidden="1">
      <c r="A345" s="428"/>
      <c r="B345" s="428"/>
      <c r="C345" s="122"/>
      <c r="D345" s="558"/>
      <c r="E345" s="539"/>
      <c r="F345" s="539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2"/>
      <c r="AE345" s="122"/>
      <c r="AF345" s="122"/>
      <c r="AG345" s="122"/>
      <c r="AH345" s="122"/>
      <c r="AI345" s="122"/>
      <c r="AJ345" s="122"/>
      <c r="AK345" s="122"/>
      <c r="AL345" s="122"/>
      <c r="AM345" s="122"/>
      <c r="AN345" s="122"/>
      <c r="AO345" s="122"/>
      <c r="AP345" s="428"/>
    </row>
    <row r="346" hidden="1">
      <c r="A346" s="428"/>
      <c r="B346" s="428"/>
      <c r="C346" s="122"/>
      <c r="D346" s="558"/>
      <c r="E346" s="539"/>
      <c r="F346" s="539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2"/>
      <c r="AE346" s="122"/>
      <c r="AF346" s="122"/>
      <c r="AG346" s="122"/>
      <c r="AH346" s="122"/>
      <c r="AI346" s="122"/>
      <c r="AJ346" s="122"/>
      <c r="AK346" s="122"/>
      <c r="AL346" s="122"/>
      <c r="AM346" s="122"/>
      <c r="AN346" s="122"/>
      <c r="AO346" s="122"/>
      <c r="AP346" s="428"/>
    </row>
    <row r="347" hidden="1">
      <c r="A347" s="428"/>
      <c r="B347" s="428"/>
      <c r="C347" s="122"/>
      <c r="D347" s="558"/>
      <c r="E347" s="539"/>
      <c r="F347" s="539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2"/>
      <c r="AE347" s="122"/>
      <c r="AF347" s="122"/>
      <c r="AG347" s="122"/>
      <c r="AH347" s="122"/>
      <c r="AI347" s="122"/>
      <c r="AJ347" s="122"/>
      <c r="AK347" s="122"/>
      <c r="AL347" s="122"/>
      <c r="AM347" s="122"/>
      <c r="AN347" s="122"/>
      <c r="AO347" s="122"/>
      <c r="AP347" s="428"/>
    </row>
    <row r="348" hidden="1">
      <c r="A348" s="428"/>
      <c r="B348" s="428"/>
      <c r="C348" s="122"/>
      <c r="D348" s="558"/>
      <c r="E348" s="539"/>
      <c r="F348" s="539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2"/>
      <c r="AE348" s="122"/>
      <c r="AF348" s="122"/>
      <c r="AG348" s="122"/>
      <c r="AH348" s="122"/>
      <c r="AI348" s="122"/>
      <c r="AJ348" s="122"/>
      <c r="AK348" s="122"/>
      <c r="AL348" s="122"/>
      <c r="AM348" s="122"/>
      <c r="AN348" s="122"/>
      <c r="AO348" s="122"/>
      <c r="AP348" s="428"/>
    </row>
    <row r="349" hidden="1">
      <c r="A349" s="428"/>
      <c r="B349" s="428"/>
      <c r="C349" s="122"/>
      <c r="D349" s="558"/>
      <c r="E349" s="539"/>
      <c r="F349" s="539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2"/>
      <c r="AE349" s="122"/>
      <c r="AF349" s="122"/>
      <c r="AG349" s="122"/>
      <c r="AH349" s="122"/>
      <c r="AI349" s="122"/>
      <c r="AJ349" s="122"/>
      <c r="AK349" s="122"/>
      <c r="AL349" s="122"/>
      <c r="AM349" s="122"/>
      <c r="AN349" s="122"/>
      <c r="AO349" s="122"/>
      <c r="AP349" s="428"/>
    </row>
    <row r="350" hidden="1">
      <c r="A350" s="428"/>
      <c r="B350" s="428"/>
      <c r="C350" s="122"/>
      <c r="D350" s="558"/>
      <c r="E350" s="539"/>
      <c r="F350" s="539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2"/>
      <c r="AE350" s="122"/>
      <c r="AF350" s="122"/>
      <c r="AG350" s="122"/>
      <c r="AH350" s="122"/>
      <c r="AI350" s="122"/>
      <c r="AJ350" s="122"/>
      <c r="AK350" s="122"/>
      <c r="AL350" s="122"/>
      <c r="AM350" s="122"/>
      <c r="AN350" s="122"/>
      <c r="AO350" s="122"/>
      <c r="AP350" s="428"/>
    </row>
    <row r="351" hidden="1">
      <c r="A351" s="428"/>
      <c r="B351" s="428"/>
      <c r="C351" s="122"/>
      <c r="D351" s="558"/>
      <c r="E351" s="539"/>
      <c r="F351" s="539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2"/>
      <c r="AE351" s="122"/>
      <c r="AF351" s="122"/>
      <c r="AG351" s="122"/>
      <c r="AH351" s="122"/>
      <c r="AI351" s="122"/>
      <c r="AJ351" s="122"/>
      <c r="AK351" s="122"/>
      <c r="AL351" s="122"/>
      <c r="AM351" s="122"/>
      <c r="AN351" s="122"/>
      <c r="AO351" s="122"/>
      <c r="AP351" s="428"/>
    </row>
    <row r="352" hidden="1">
      <c r="A352" s="428"/>
      <c r="B352" s="428"/>
      <c r="C352" s="122"/>
      <c r="D352" s="558"/>
      <c r="E352" s="539"/>
      <c r="F352" s="539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2"/>
      <c r="AE352" s="122"/>
      <c r="AF352" s="122"/>
      <c r="AG352" s="122"/>
      <c r="AH352" s="122"/>
      <c r="AI352" s="122"/>
      <c r="AJ352" s="122"/>
      <c r="AK352" s="122"/>
      <c r="AL352" s="122"/>
      <c r="AM352" s="122"/>
      <c r="AN352" s="122"/>
      <c r="AO352" s="122"/>
      <c r="AP352" s="428"/>
    </row>
    <row r="353" hidden="1">
      <c r="A353" s="428"/>
      <c r="B353" s="428"/>
      <c r="C353" s="122"/>
      <c r="D353" s="558"/>
      <c r="E353" s="539"/>
      <c r="F353" s="539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2"/>
      <c r="AE353" s="122"/>
      <c r="AF353" s="122"/>
      <c r="AG353" s="122"/>
      <c r="AH353" s="122"/>
      <c r="AI353" s="122"/>
      <c r="AJ353" s="122"/>
      <c r="AK353" s="122"/>
      <c r="AL353" s="122"/>
      <c r="AM353" s="122"/>
      <c r="AN353" s="122"/>
      <c r="AO353" s="122"/>
      <c r="AP353" s="428"/>
    </row>
    <row r="354" hidden="1">
      <c r="A354" s="428"/>
      <c r="B354" s="428"/>
      <c r="C354" s="122"/>
      <c r="D354" s="558"/>
      <c r="E354" s="539"/>
      <c r="F354" s="539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2"/>
      <c r="AE354" s="122"/>
      <c r="AF354" s="122"/>
      <c r="AG354" s="122"/>
      <c r="AH354" s="122"/>
      <c r="AI354" s="122"/>
      <c r="AJ354" s="122"/>
      <c r="AK354" s="122"/>
      <c r="AL354" s="122"/>
      <c r="AM354" s="122"/>
      <c r="AN354" s="122"/>
      <c r="AO354" s="122"/>
      <c r="AP354" s="428"/>
    </row>
    <row r="355" hidden="1">
      <c r="A355" s="428"/>
      <c r="B355" s="428"/>
      <c r="C355" s="122"/>
      <c r="D355" s="558"/>
      <c r="E355" s="539"/>
      <c r="F355" s="539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2"/>
      <c r="AE355" s="122"/>
      <c r="AF355" s="122"/>
      <c r="AG355" s="122"/>
      <c r="AH355" s="122"/>
      <c r="AI355" s="122"/>
      <c r="AJ355" s="122"/>
      <c r="AK355" s="122"/>
      <c r="AL355" s="122"/>
      <c r="AM355" s="122"/>
      <c r="AN355" s="122"/>
      <c r="AO355" s="122"/>
      <c r="AP355" s="428"/>
    </row>
    <row r="356" hidden="1">
      <c r="A356" s="428"/>
      <c r="B356" s="428"/>
      <c r="C356" s="122"/>
      <c r="D356" s="558"/>
      <c r="E356" s="539"/>
      <c r="F356" s="539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2"/>
      <c r="AE356" s="122"/>
      <c r="AF356" s="122"/>
      <c r="AG356" s="122"/>
      <c r="AH356" s="122"/>
      <c r="AI356" s="122"/>
      <c r="AJ356" s="122"/>
      <c r="AK356" s="122"/>
      <c r="AL356" s="122"/>
      <c r="AM356" s="122"/>
      <c r="AN356" s="122"/>
      <c r="AO356" s="122"/>
      <c r="AP356" s="428"/>
    </row>
    <row r="357" hidden="1">
      <c r="A357" s="428"/>
      <c r="B357" s="428"/>
      <c r="C357" s="122"/>
      <c r="D357" s="558"/>
      <c r="E357" s="539"/>
      <c r="F357" s="539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2"/>
      <c r="AE357" s="122"/>
      <c r="AF357" s="122"/>
      <c r="AG357" s="122"/>
      <c r="AH357" s="122"/>
      <c r="AI357" s="122"/>
      <c r="AJ357" s="122"/>
      <c r="AK357" s="122"/>
      <c r="AL357" s="122"/>
      <c r="AM357" s="122"/>
      <c r="AN357" s="122"/>
      <c r="AO357" s="122"/>
      <c r="AP357" s="428"/>
    </row>
    <row r="358" hidden="1">
      <c r="A358" s="428"/>
      <c r="B358" s="428"/>
      <c r="C358" s="122"/>
      <c r="D358" s="558"/>
      <c r="E358" s="539"/>
      <c r="F358" s="539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2"/>
      <c r="AE358" s="122"/>
      <c r="AF358" s="122"/>
      <c r="AG358" s="122"/>
      <c r="AH358" s="122"/>
      <c r="AI358" s="122"/>
      <c r="AJ358" s="122"/>
      <c r="AK358" s="122"/>
      <c r="AL358" s="122"/>
      <c r="AM358" s="122"/>
      <c r="AN358" s="122"/>
      <c r="AO358" s="122"/>
      <c r="AP358" s="428"/>
    </row>
    <row r="359" hidden="1">
      <c r="A359" s="428"/>
      <c r="B359" s="428"/>
      <c r="C359" s="122"/>
      <c r="D359" s="558"/>
      <c r="E359" s="539"/>
      <c r="F359" s="539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2"/>
      <c r="AE359" s="122"/>
      <c r="AF359" s="122"/>
      <c r="AG359" s="122"/>
      <c r="AH359" s="122"/>
      <c r="AI359" s="122"/>
      <c r="AJ359" s="122"/>
      <c r="AK359" s="122"/>
      <c r="AL359" s="122"/>
      <c r="AM359" s="122"/>
      <c r="AN359" s="122"/>
      <c r="AO359" s="122"/>
      <c r="AP359" s="428"/>
    </row>
    <row r="360" hidden="1">
      <c r="A360" s="428"/>
      <c r="B360" s="428"/>
      <c r="C360" s="122"/>
      <c r="D360" s="558"/>
      <c r="E360" s="539"/>
      <c r="F360" s="539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2"/>
      <c r="AE360" s="122"/>
      <c r="AF360" s="122"/>
      <c r="AG360" s="122"/>
      <c r="AH360" s="122"/>
      <c r="AI360" s="122"/>
      <c r="AJ360" s="122"/>
      <c r="AK360" s="122"/>
      <c r="AL360" s="122"/>
      <c r="AM360" s="122"/>
      <c r="AN360" s="122"/>
      <c r="AO360" s="122"/>
      <c r="AP360" s="428"/>
    </row>
    <row r="361" hidden="1">
      <c r="A361" s="428"/>
      <c r="B361" s="428"/>
      <c r="C361" s="122"/>
      <c r="D361" s="558"/>
      <c r="E361" s="539"/>
      <c r="F361" s="539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2"/>
      <c r="AE361" s="122"/>
      <c r="AF361" s="122"/>
      <c r="AG361" s="122"/>
      <c r="AH361" s="122"/>
      <c r="AI361" s="122"/>
      <c r="AJ361" s="122"/>
      <c r="AK361" s="122"/>
      <c r="AL361" s="122"/>
      <c r="AM361" s="122"/>
      <c r="AN361" s="122"/>
      <c r="AO361" s="122"/>
      <c r="AP361" s="428"/>
    </row>
    <row r="362" hidden="1">
      <c r="A362" s="428"/>
      <c r="B362" s="428"/>
      <c r="C362" s="122"/>
      <c r="D362" s="558"/>
      <c r="E362" s="539"/>
      <c r="F362" s="539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2"/>
      <c r="AE362" s="122"/>
      <c r="AF362" s="122"/>
      <c r="AG362" s="122"/>
      <c r="AH362" s="122"/>
      <c r="AI362" s="122"/>
      <c r="AJ362" s="122"/>
      <c r="AK362" s="122"/>
      <c r="AL362" s="122"/>
      <c r="AM362" s="122"/>
      <c r="AN362" s="122"/>
      <c r="AO362" s="122"/>
      <c r="AP362" s="428"/>
    </row>
    <row r="363" hidden="1">
      <c r="A363" s="428"/>
      <c r="B363" s="428"/>
      <c r="C363" s="122"/>
      <c r="D363" s="558"/>
      <c r="E363" s="539"/>
      <c r="F363" s="539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2"/>
      <c r="AE363" s="122"/>
      <c r="AF363" s="122"/>
      <c r="AG363" s="122"/>
      <c r="AH363" s="122"/>
      <c r="AI363" s="122"/>
      <c r="AJ363" s="122"/>
      <c r="AK363" s="122"/>
      <c r="AL363" s="122"/>
      <c r="AM363" s="122"/>
      <c r="AN363" s="122"/>
      <c r="AO363" s="122"/>
      <c r="AP363" s="428"/>
    </row>
    <row r="364" hidden="1">
      <c r="A364" s="428"/>
      <c r="B364" s="428"/>
      <c r="C364" s="122"/>
      <c r="D364" s="558"/>
      <c r="E364" s="539"/>
      <c r="F364" s="539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2"/>
      <c r="AE364" s="122"/>
      <c r="AF364" s="122"/>
      <c r="AG364" s="122"/>
      <c r="AH364" s="122"/>
      <c r="AI364" s="122"/>
      <c r="AJ364" s="122"/>
      <c r="AK364" s="122"/>
      <c r="AL364" s="122"/>
      <c r="AM364" s="122"/>
      <c r="AN364" s="122"/>
      <c r="AO364" s="122"/>
      <c r="AP364" s="428"/>
    </row>
    <row r="365" hidden="1">
      <c r="A365" s="428"/>
      <c r="B365" s="428"/>
      <c r="C365" s="122"/>
      <c r="D365" s="558"/>
      <c r="E365" s="539"/>
      <c r="F365" s="539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2"/>
      <c r="AE365" s="122"/>
      <c r="AF365" s="122"/>
      <c r="AG365" s="122"/>
      <c r="AH365" s="122"/>
      <c r="AI365" s="122"/>
      <c r="AJ365" s="122"/>
      <c r="AK365" s="122"/>
      <c r="AL365" s="122"/>
      <c r="AM365" s="122"/>
      <c r="AN365" s="122"/>
      <c r="AO365" s="122"/>
      <c r="AP365" s="428"/>
    </row>
    <row r="366" hidden="1">
      <c r="A366" s="428"/>
      <c r="B366" s="428"/>
      <c r="C366" s="122"/>
      <c r="D366" s="558"/>
      <c r="E366" s="539"/>
      <c r="F366" s="539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2"/>
      <c r="AE366" s="122"/>
      <c r="AF366" s="122"/>
      <c r="AG366" s="122"/>
      <c r="AH366" s="122"/>
      <c r="AI366" s="122"/>
      <c r="AJ366" s="122"/>
      <c r="AK366" s="122"/>
      <c r="AL366" s="122"/>
      <c r="AM366" s="122"/>
      <c r="AN366" s="122"/>
      <c r="AO366" s="122"/>
      <c r="AP366" s="428"/>
    </row>
    <row r="367" hidden="1">
      <c r="A367" s="428"/>
      <c r="B367" s="428"/>
      <c r="C367" s="122"/>
      <c r="D367" s="558"/>
      <c r="E367" s="539"/>
      <c r="F367" s="539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2"/>
      <c r="AE367" s="122"/>
      <c r="AF367" s="122"/>
      <c r="AG367" s="122"/>
      <c r="AH367" s="122"/>
      <c r="AI367" s="122"/>
      <c r="AJ367" s="122"/>
      <c r="AK367" s="122"/>
      <c r="AL367" s="122"/>
      <c r="AM367" s="122"/>
      <c r="AN367" s="122"/>
      <c r="AO367" s="122"/>
      <c r="AP367" s="428"/>
    </row>
    <row r="368" hidden="1">
      <c r="A368" s="428"/>
      <c r="B368" s="428"/>
      <c r="C368" s="122"/>
      <c r="D368" s="558"/>
      <c r="E368" s="539"/>
      <c r="F368" s="539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2"/>
      <c r="AE368" s="122"/>
      <c r="AF368" s="122"/>
      <c r="AG368" s="122"/>
      <c r="AH368" s="122"/>
      <c r="AI368" s="122"/>
      <c r="AJ368" s="122"/>
      <c r="AK368" s="122"/>
      <c r="AL368" s="122"/>
      <c r="AM368" s="122"/>
      <c r="AN368" s="122"/>
      <c r="AO368" s="122"/>
      <c r="AP368" s="428"/>
    </row>
    <row r="369" hidden="1">
      <c r="A369" s="428"/>
      <c r="B369" s="428"/>
      <c r="C369" s="122"/>
      <c r="D369" s="558"/>
      <c r="E369" s="539"/>
      <c r="F369" s="539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2"/>
      <c r="AE369" s="122"/>
      <c r="AF369" s="122"/>
      <c r="AG369" s="122"/>
      <c r="AH369" s="122"/>
      <c r="AI369" s="122"/>
      <c r="AJ369" s="122"/>
      <c r="AK369" s="122"/>
      <c r="AL369" s="122"/>
      <c r="AM369" s="122"/>
      <c r="AN369" s="122"/>
      <c r="AO369" s="122"/>
      <c r="AP369" s="428"/>
    </row>
    <row r="370" hidden="1">
      <c r="A370" s="428"/>
      <c r="B370" s="428"/>
      <c r="C370" s="122"/>
      <c r="D370" s="558"/>
      <c r="E370" s="539"/>
      <c r="F370" s="539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2"/>
      <c r="AE370" s="122"/>
      <c r="AF370" s="122"/>
      <c r="AG370" s="122"/>
      <c r="AH370" s="122"/>
      <c r="AI370" s="122"/>
      <c r="AJ370" s="122"/>
      <c r="AK370" s="122"/>
      <c r="AL370" s="122"/>
      <c r="AM370" s="122"/>
      <c r="AN370" s="122"/>
      <c r="AO370" s="122"/>
      <c r="AP370" s="428"/>
    </row>
    <row r="371" hidden="1">
      <c r="A371" s="428"/>
      <c r="B371" s="428"/>
      <c r="C371" s="122"/>
      <c r="D371" s="558"/>
      <c r="E371" s="539"/>
      <c r="F371" s="539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2"/>
      <c r="AE371" s="122"/>
      <c r="AF371" s="122"/>
      <c r="AG371" s="122"/>
      <c r="AH371" s="122"/>
      <c r="AI371" s="122"/>
      <c r="AJ371" s="122"/>
      <c r="AK371" s="122"/>
      <c r="AL371" s="122"/>
      <c r="AM371" s="122"/>
      <c r="AN371" s="122"/>
      <c r="AO371" s="122"/>
      <c r="AP371" s="428"/>
    </row>
    <row r="372" hidden="1">
      <c r="A372" s="428"/>
      <c r="B372" s="428"/>
      <c r="C372" s="122"/>
      <c r="D372" s="558"/>
      <c r="E372" s="539"/>
      <c r="F372" s="539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2"/>
      <c r="AE372" s="122"/>
      <c r="AF372" s="122"/>
      <c r="AG372" s="122"/>
      <c r="AH372" s="122"/>
      <c r="AI372" s="122"/>
      <c r="AJ372" s="122"/>
      <c r="AK372" s="122"/>
      <c r="AL372" s="122"/>
      <c r="AM372" s="122"/>
      <c r="AN372" s="122"/>
      <c r="AO372" s="122"/>
      <c r="AP372" s="428"/>
    </row>
    <row r="373" hidden="1">
      <c r="A373" s="428"/>
      <c r="B373" s="428"/>
      <c r="C373" s="122"/>
      <c r="D373" s="558"/>
      <c r="E373" s="539"/>
      <c r="F373" s="539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2"/>
      <c r="AE373" s="122"/>
      <c r="AF373" s="122"/>
      <c r="AG373" s="122"/>
      <c r="AH373" s="122"/>
      <c r="AI373" s="122"/>
      <c r="AJ373" s="122"/>
      <c r="AK373" s="122"/>
      <c r="AL373" s="122"/>
      <c r="AM373" s="122"/>
      <c r="AN373" s="122"/>
      <c r="AO373" s="122"/>
      <c r="AP373" s="428"/>
    </row>
    <row r="374" hidden="1">
      <c r="A374" s="428"/>
      <c r="B374" s="428"/>
      <c r="C374" s="122"/>
      <c r="D374" s="558"/>
      <c r="E374" s="539"/>
      <c r="F374" s="539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2"/>
      <c r="AE374" s="122"/>
      <c r="AF374" s="122"/>
      <c r="AG374" s="122"/>
      <c r="AH374" s="122"/>
      <c r="AI374" s="122"/>
      <c r="AJ374" s="122"/>
      <c r="AK374" s="122"/>
      <c r="AL374" s="122"/>
      <c r="AM374" s="122"/>
      <c r="AN374" s="122"/>
      <c r="AO374" s="122"/>
      <c r="AP374" s="428"/>
    </row>
    <row r="375" hidden="1">
      <c r="A375" s="428"/>
      <c r="B375" s="428"/>
      <c r="C375" s="122"/>
      <c r="D375" s="558"/>
      <c r="E375" s="539"/>
      <c r="F375" s="539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2"/>
      <c r="AE375" s="122"/>
      <c r="AF375" s="122"/>
      <c r="AG375" s="122"/>
      <c r="AH375" s="122"/>
      <c r="AI375" s="122"/>
      <c r="AJ375" s="122"/>
      <c r="AK375" s="122"/>
      <c r="AL375" s="122"/>
      <c r="AM375" s="122"/>
      <c r="AN375" s="122"/>
      <c r="AO375" s="122"/>
      <c r="AP375" s="428"/>
    </row>
    <row r="376" hidden="1">
      <c r="A376" s="428"/>
      <c r="B376" s="428"/>
      <c r="C376" s="122"/>
      <c r="D376" s="558"/>
      <c r="E376" s="539"/>
      <c r="F376" s="539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2"/>
      <c r="AE376" s="122"/>
      <c r="AF376" s="122"/>
      <c r="AG376" s="122"/>
      <c r="AH376" s="122"/>
      <c r="AI376" s="122"/>
      <c r="AJ376" s="122"/>
      <c r="AK376" s="122"/>
      <c r="AL376" s="122"/>
      <c r="AM376" s="122"/>
      <c r="AN376" s="122"/>
      <c r="AO376" s="122"/>
      <c r="AP376" s="428"/>
    </row>
    <row r="377" hidden="1">
      <c r="A377" s="428"/>
      <c r="B377" s="428"/>
      <c r="C377" s="122"/>
      <c r="D377" s="558"/>
      <c r="E377" s="539"/>
      <c r="F377" s="539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2"/>
      <c r="AE377" s="122"/>
      <c r="AF377" s="122"/>
      <c r="AG377" s="122"/>
      <c r="AH377" s="122"/>
      <c r="AI377" s="122"/>
      <c r="AJ377" s="122"/>
      <c r="AK377" s="122"/>
      <c r="AL377" s="122"/>
      <c r="AM377" s="122"/>
      <c r="AN377" s="122"/>
      <c r="AO377" s="122"/>
      <c r="AP377" s="428"/>
    </row>
    <row r="378" hidden="1">
      <c r="A378" s="428"/>
      <c r="B378" s="428"/>
      <c r="C378" s="122"/>
      <c r="D378" s="558"/>
      <c r="E378" s="539"/>
      <c r="F378" s="539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2"/>
      <c r="AE378" s="122"/>
      <c r="AF378" s="122"/>
      <c r="AG378" s="122"/>
      <c r="AH378" s="122"/>
      <c r="AI378" s="122"/>
      <c r="AJ378" s="122"/>
      <c r="AK378" s="122"/>
      <c r="AL378" s="122"/>
      <c r="AM378" s="122"/>
      <c r="AN378" s="122"/>
      <c r="AO378" s="122"/>
      <c r="AP378" s="428"/>
    </row>
    <row r="379" hidden="1">
      <c r="A379" s="428"/>
      <c r="B379" s="428"/>
      <c r="C379" s="122"/>
      <c r="D379" s="558"/>
      <c r="E379" s="539"/>
      <c r="F379" s="539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2"/>
      <c r="AE379" s="122"/>
      <c r="AF379" s="122"/>
      <c r="AG379" s="122"/>
      <c r="AH379" s="122"/>
      <c r="AI379" s="122"/>
      <c r="AJ379" s="122"/>
      <c r="AK379" s="122"/>
      <c r="AL379" s="122"/>
      <c r="AM379" s="122"/>
      <c r="AN379" s="122"/>
      <c r="AO379" s="122"/>
      <c r="AP379" s="428"/>
    </row>
    <row r="380" hidden="1">
      <c r="A380" s="428"/>
      <c r="B380" s="428"/>
      <c r="C380" s="122"/>
      <c r="D380" s="558"/>
      <c r="E380" s="539"/>
      <c r="F380" s="539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2"/>
      <c r="AE380" s="122"/>
      <c r="AF380" s="122"/>
      <c r="AG380" s="122"/>
      <c r="AH380" s="122"/>
      <c r="AI380" s="122"/>
      <c r="AJ380" s="122"/>
      <c r="AK380" s="122"/>
      <c r="AL380" s="122"/>
      <c r="AM380" s="122"/>
      <c r="AN380" s="122"/>
      <c r="AO380" s="122"/>
      <c r="AP380" s="428"/>
    </row>
    <row r="381" hidden="1">
      <c r="A381" s="428"/>
      <c r="B381" s="428"/>
      <c r="C381" s="122"/>
      <c r="D381" s="558"/>
      <c r="E381" s="539"/>
      <c r="F381" s="539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2"/>
      <c r="AE381" s="122"/>
      <c r="AF381" s="122"/>
      <c r="AG381" s="122"/>
      <c r="AH381" s="122"/>
      <c r="AI381" s="122"/>
      <c r="AJ381" s="122"/>
      <c r="AK381" s="122"/>
      <c r="AL381" s="122"/>
      <c r="AM381" s="122"/>
      <c r="AN381" s="122"/>
      <c r="AO381" s="122"/>
      <c r="AP381" s="428"/>
    </row>
    <row r="382" hidden="1">
      <c r="A382" s="428"/>
      <c r="B382" s="428"/>
      <c r="C382" s="122"/>
      <c r="D382" s="558"/>
      <c r="E382" s="539"/>
      <c r="F382" s="539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2"/>
      <c r="AE382" s="122"/>
      <c r="AF382" s="122"/>
      <c r="AG382" s="122"/>
      <c r="AH382" s="122"/>
      <c r="AI382" s="122"/>
      <c r="AJ382" s="122"/>
      <c r="AK382" s="122"/>
      <c r="AL382" s="122"/>
      <c r="AM382" s="122"/>
      <c r="AN382" s="122"/>
      <c r="AO382" s="122"/>
      <c r="AP382" s="428"/>
    </row>
    <row r="383" hidden="1">
      <c r="A383" s="428"/>
      <c r="B383" s="428"/>
      <c r="C383" s="122"/>
      <c r="D383" s="558"/>
      <c r="E383" s="539"/>
      <c r="F383" s="539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2"/>
      <c r="AE383" s="122"/>
      <c r="AF383" s="122"/>
      <c r="AG383" s="122"/>
      <c r="AH383" s="122"/>
      <c r="AI383" s="122"/>
      <c r="AJ383" s="122"/>
      <c r="AK383" s="122"/>
      <c r="AL383" s="122"/>
      <c r="AM383" s="122"/>
      <c r="AN383" s="122"/>
      <c r="AO383" s="122"/>
      <c r="AP383" s="428"/>
    </row>
    <row r="384" hidden="1">
      <c r="A384" s="428"/>
      <c r="B384" s="428"/>
      <c r="C384" s="122"/>
      <c r="D384" s="558"/>
      <c r="E384" s="539"/>
      <c r="F384" s="539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2"/>
      <c r="AE384" s="122"/>
      <c r="AF384" s="122"/>
      <c r="AG384" s="122"/>
      <c r="AH384" s="122"/>
      <c r="AI384" s="122"/>
      <c r="AJ384" s="122"/>
      <c r="AK384" s="122"/>
      <c r="AL384" s="122"/>
      <c r="AM384" s="122"/>
      <c r="AN384" s="122"/>
      <c r="AO384" s="122"/>
      <c r="AP384" s="428"/>
    </row>
    <row r="385" hidden="1">
      <c r="A385" s="428"/>
      <c r="B385" s="428"/>
      <c r="C385" s="122"/>
      <c r="D385" s="558"/>
      <c r="E385" s="539"/>
      <c r="F385" s="539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2"/>
      <c r="AE385" s="122"/>
      <c r="AF385" s="122"/>
      <c r="AG385" s="122"/>
      <c r="AH385" s="122"/>
      <c r="AI385" s="122"/>
      <c r="AJ385" s="122"/>
      <c r="AK385" s="122"/>
      <c r="AL385" s="122"/>
      <c r="AM385" s="122"/>
      <c r="AN385" s="122"/>
      <c r="AO385" s="122"/>
      <c r="AP385" s="428"/>
    </row>
    <row r="386" hidden="1">
      <c r="A386" s="428"/>
      <c r="B386" s="428"/>
      <c r="C386" s="122"/>
      <c r="D386" s="558"/>
      <c r="E386" s="539"/>
      <c r="F386" s="539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2"/>
      <c r="AE386" s="122"/>
      <c r="AF386" s="122"/>
      <c r="AG386" s="122"/>
      <c r="AH386" s="122"/>
      <c r="AI386" s="122"/>
      <c r="AJ386" s="122"/>
      <c r="AK386" s="122"/>
      <c r="AL386" s="122"/>
      <c r="AM386" s="122"/>
      <c r="AN386" s="122"/>
      <c r="AO386" s="122"/>
      <c r="AP386" s="428"/>
    </row>
    <row r="387" hidden="1">
      <c r="A387" s="428"/>
      <c r="B387" s="428"/>
      <c r="C387" s="122"/>
      <c r="D387" s="558"/>
      <c r="E387" s="539"/>
      <c r="F387" s="539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2"/>
      <c r="AE387" s="122"/>
      <c r="AF387" s="122"/>
      <c r="AG387" s="122"/>
      <c r="AH387" s="122"/>
      <c r="AI387" s="122"/>
      <c r="AJ387" s="122"/>
      <c r="AK387" s="122"/>
      <c r="AL387" s="122"/>
      <c r="AM387" s="122"/>
      <c r="AN387" s="122"/>
      <c r="AO387" s="122"/>
      <c r="AP387" s="428"/>
    </row>
    <row r="388" hidden="1">
      <c r="A388" s="428"/>
      <c r="B388" s="428"/>
      <c r="C388" s="122"/>
      <c r="D388" s="558"/>
      <c r="E388" s="539"/>
      <c r="F388" s="539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2"/>
      <c r="AE388" s="122"/>
      <c r="AF388" s="122"/>
      <c r="AG388" s="122"/>
      <c r="AH388" s="122"/>
      <c r="AI388" s="122"/>
      <c r="AJ388" s="122"/>
      <c r="AK388" s="122"/>
      <c r="AL388" s="122"/>
      <c r="AM388" s="122"/>
      <c r="AN388" s="122"/>
      <c r="AO388" s="122"/>
      <c r="AP388" s="428"/>
    </row>
    <row r="389" hidden="1">
      <c r="A389" s="428"/>
      <c r="B389" s="428"/>
      <c r="C389" s="122"/>
      <c r="D389" s="558"/>
      <c r="E389" s="539"/>
      <c r="F389" s="539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2"/>
      <c r="AE389" s="122"/>
      <c r="AF389" s="122"/>
      <c r="AG389" s="122"/>
      <c r="AH389" s="122"/>
      <c r="AI389" s="122"/>
      <c r="AJ389" s="122"/>
      <c r="AK389" s="122"/>
      <c r="AL389" s="122"/>
      <c r="AM389" s="122"/>
      <c r="AN389" s="122"/>
      <c r="AO389" s="122"/>
      <c r="AP389" s="428"/>
    </row>
    <row r="390" hidden="1">
      <c r="A390" s="428"/>
      <c r="B390" s="428"/>
      <c r="C390" s="122"/>
      <c r="D390" s="558"/>
      <c r="E390" s="539"/>
      <c r="F390" s="539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2"/>
      <c r="AE390" s="122"/>
      <c r="AF390" s="122"/>
      <c r="AG390" s="122"/>
      <c r="AH390" s="122"/>
      <c r="AI390" s="122"/>
      <c r="AJ390" s="122"/>
      <c r="AK390" s="122"/>
      <c r="AL390" s="122"/>
      <c r="AM390" s="122"/>
      <c r="AN390" s="122"/>
      <c r="AO390" s="122"/>
      <c r="AP390" s="428"/>
    </row>
    <row r="391" hidden="1">
      <c r="A391" s="428"/>
      <c r="B391" s="428"/>
      <c r="C391" s="122"/>
      <c r="D391" s="558"/>
      <c r="E391" s="539"/>
      <c r="F391" s="539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2"/>
      <c r="AE391" s="122"/>
      <c r="AF391" s="122"/>
      <c r="AG391" s="122"/>
      <c r="AH391" s="122"/>
      <c r="AI391" s="122"/>
      <c r="AJ391" s="122"/>
      <c r="AK391" s="122"/>
      <c r="AL391" s="122"/>
      <c r="AM391" s="122"/>
      <c r="AN391" s="122"/>
      <c r="AO391" s="122"/>
      <c r="AP391" s="428"/>
    </row>
    <row r="392" hidden="1">
      <c r="A392" s="428"/>
      <c r="B392" s="428"/>
      <c r="C392" s="122"/>
      <c r="D392" s="558"/>
      <c r="E392" s="539"/>
      <c r="F392" s="539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2"/>
      <c r="AE392" s="122"/>
      <c r="AF392" s="122"/>
      <c r="AG392" s="122"/>
      <c r="AH392" s="122"/>
      <c r="AI392" s="122"/>
      <c r="AJ392" s="122"/>
      <c r="AK392" s="122"/>
      <c r="AL392" s="122"/>
      <c r="AM392" s="122"/>
      <c r="AN392" s="122"/>
      <c r="AO392" s="122"/>
      <c r="AP392" s="428"/>
    </row>
    <row r="393" hidden="1">
      <c r="A393" s="428"/>
      <c r="B393" s="428"/>
      <c r="C393" s="122"/>
      <c r="D393" s="558"/>
      <c r="E393" s="539"/>
      <c r="F393" s="539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2"/>
      <c r="AE393" s="122"/>
      <c r="AF393" s="122"/>
      <c r="AG393" s="122"/>
      <c r="AH393" s="122"/>
      <c r="AI393" s="122"/>
      <c r="AJ393" s="122"/>
      <c r="AK393" s="122"/>
      <c r="AL393" s="122"/>
      <c r="AM393" s="122"/>
      <c r="AN393" s="122"/>
      <c r="AO393" s="122"/>
      <c r="AP393" s="428"/>
    </row>
    <row r="394" hidden="1">
      <c r="A394" s="428"/>
      <c r="B394" s="428"/>
      <c r="C394" s="122"/>
      <c r="D394" s="558"/>
      <c r="E394" s="539"/>
      <c r="F394" s="539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2"/>
      <c r="AE394" s="122"/>
      <c r="AF394" s="122"/>
      <c r="AG394" s="122"/>
      <c r="AH394" s="122"/>
      <c r="AI394" s="122"/>
      <c r="AJ394" s="122"/>
      <c r="AK394" s="122"/>
      <c r="AL394" s="122"/>
      <c r="AM394" s="122"/>
      <c r="AN394" s="122"/>
      <c r="AO394" s="122"/>
      <c r="AP394" s="428"/>
    </row>
    <row r="395" hidden="1">
      <c r="A395" s="428"/>
      <c r="B395" s="428"/>
      <c r="C395" s="122"/>
      <c r="D395" s="558"/>
      <c r="E395" s="539"/>
      <c r="F395" s="539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2"/>
      <c r="AE395" s="122"/>
      <c r="AF395" s="122"/>
      <c r="AG395" s="122"/>
      <c r="AH395" s="122"/>
      <c r="AI395" s="122"/>
      <c r="AJ395" s="122"/>
      <c r="AK395" s="122"/>
      <c r="AL395" s="122"/>
      <c r="AM395" s="122"/>
      <c r="AN395" s="122"/>
      <c r="AO395" s="122"/>
      <c r="AP395" s="428"/>
    </row>
    <row r="396" hidden="1">
      <c r="A396" s="428"/>
      <c r="B396" s="428"/>
      <c r="C396" s="122"/>
      <c r="D396" s="558"/>
      <c r="E396" s="539"/>
      <c r="F396" s="539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2"/>
      <c r="AE396" s="122"/>
      <c r="AF396" s="122"/>
      <c r="AG396" s="122"/>
      <c r="AH396" s="122"/>
      <c r="AI396" s="122"/>
      <c r="AJ396" s="122"/>
      <c r="AK396" s="122"/>
      <c r="AL396" s="122"/>
      <c r="AM396" s="122"/>
      <c r="AN396" s="122"/>
      <c r="AO396" s="122"/>
      <c r="AP396" s="428"/>
    </row>
    <row r="397" hidden="1">
      <c r="A397" s="428"/>
      <c r="B397" s="428"/>
      <c r="C397" s="122"/>
      <c r="D397" s="558"/>
      <c r="E397" s="539"/>
      <c r="F397" s="539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2"/>
      <c r="AE397" s="122"/>
      <c r="AF397" s="122"/>
      <c r="AG397" s="122"/>
      <c r="AH397" s="122"/>
      <c r="AI397" s="122"/>
      <c r="AJ397" s="122"/>
      <c r="AK397" s="122"/>
      <c r="AL397" s="122"/>
      <c r="AM397" s="122"/>
      <c r="AN397" s="122"/>
      <c r="AO397" s="122"/>
      <c r="AP397" s="428"/>
    </row>
    <row r="398" hidden="1">
      <c r="A398" s="428"/>
      <c r="B398" s="428"/>
      <c r="C398" s="122"/>
      <c r="D398" s="558"/>
      <c r="E398" s="539"/>
      <c r="F398" s="539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2"/>
      <c r="AE398" s="122"/>
      <c r="AF398" s="122"/>
      <c r="AG398" s="122"/>
      <c r="AH398" s="122"/>
      <c r="AI398" s="122"/>
      <c r="AJ398" s="122"/>
      <c r="AK398" s="122"/>
      <c r="AL398" s="122"/>
      <c r="AM398" s="122"/>
      <c r="AN398" s="122"/>
      <c r="AO398" s="122"/>
      <c r="AP398" s="428"/>
    </row>
    <row r="399" hidden="1">
      <c r="A399" s="428"/>
      <c r="B399" s="428"/>
      <c r="C399" s="122"/>
      <c r="D399" s="558"/>
      <c r="E399" s="539"/>
      <c r="F399" s="539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2"/>
      <c r="AE399" s="122"/>
      <c r="AF399" s="122"/>
      <c r="AG399" s="122"/>
      <c r="AH399" s="122"/>
      <c r="AI399" s="122"/>
      <c r="AJ399" s="122"/>
      <c r="AK399" s="122"/>
      <c r="AL399" s="122"/>
      <c r="AM399" s="122"/>
      <c r="AN399" s="122"/>
      <c r="AO399" s="122"/>
      <c r="AP399" s="428"/>
    </row>
    <row r="400" hidden="1">
      <c r="A400" s="428"/>
      <c r="B400" s="428"/>
      <c r="C400" s="122"/>
      <c r="D400" s="558"/>
      <c r="E400" s="539"/>
      <c r="F400" s="539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2"/>
      <c r="AE400" s="122"/>
      <c r="AF400" s="122"/>
      <c r="AG400" s="122"/>
      <c r="AH400" s="122"/>
      <c r="AI400" s="122"/>
      <c r="AJ400" s="122"/>
      <c r="AK400" s="122"/>
      <c r="AL400" s="122"/>
      <c r="AM400" s="122"/>
      <c r="AN400" s="122"/>
      <c r="AO400" s="122"/>
      <c r="AP400" s="428"/>
    </row>
    <row r="401" hidden="1">
      <c r="A401" s="428"/>
      <c r="B401" s="428"/>
      <c r="C401" s="122"/>
      <c r="D401" s="558"/>
      <c r="E401" s="539"/>
      <c r="F401" s="539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  <c r="AJ401" s="122"/>
      <c r="AK401" s="122"/>
      <c r="AL401" s="122"/>
      <c r="AM401" s="122"/>
      <c r="AN401" s="122"/>
      <c r="AO401" s="122"/>
      <c r="AP401" s="428"/>
    </row>
    <row r="402" hidden="1">
      <c r="A402" s="428"/>
      <c r="B402" s="428"/>
      <c r="C402" s="122"/>
      <c r="D402" s="558"/>
      <c r="E402" s="539"/>
      <c r="F402" s="539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2"/>
      <c r="AE402" s="122"/>
      <c r="AF402" s="122"/>
      <c r="AG402" s="122"/>
      <c r="AH402" s="122"/>
      <c r="AI402" s="122"/>
      <c r="AJ402" s="122"/>
      <c r="AK402" s="122"/>
      <c r="AL402" s="122"/>
      <c r="AM402" s="122"/>
      <c r="AN402" s="122"/>
      <c r="AO402" s="122"/>
      <c r="AP402" s="428"/>
    </row>
    <row r="403" hidden="1">
      <c r="A403" s="428"/>
      <c r="B403" s="428"/>
      <c r="C403" s="122"/>
      <c r="D403" s="558"/>
      <c r="E403" s="539"/>
      <c r="F403" s="539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2"/>
      <c r="AE403" s="122"/>
      <c r="AF403" s="122"/>
      <c r="AG403" s="122"/>
      <c r="AH403" s="122"/>
      <c r="AI403" s="122"/>
      <c r="AJ403" s="122"/>
      <c r="AK403" s="122"/>
      <c r="AL403" s="122"/>
      <c r="AM403" s="122"/>
      <c r="AN403" s="122"/>
      <c r="AO403" s="122"/>
      <c r="AP403" s="428"/>
    </row>
    <row r="404" hidden="1">
      <c r="A404" s="428"/>
      <c r="B404" s="428"/>
      <c r="C404" s="122"/>
      <c r="D404" s="558"/>
      <c r="E404" s="539"/>
      <c r="F404" s="539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2"/>
      <c r="AE404" s="122"/>
      <c r="AF404" s="122"/>
      <c r="AG404" s="122"/>
      <c r="AH404" s="122"/>
      <c r="AI404" s="122"/>
      <c r="AJ404" s="122"/>
      <c r="AK404" s="122"/>
      <c r="AL404" s="122"/>
      <c r="AM404" s="122"/>
      <c r="AN404" s="122"/>
      <c r="AO404" s="122"/>
      <c r="AP404" s="428"/>
    </row>
    <row r="405" hidden="1">
      <c r="A405" s="428"/>
      <c r="B405" s="428"/>
      <c r="C405" s="122"/>
      <c r="D405" s="558"/>
      <c r="E405" s="539"/>
      <c r="F405" s="539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2"/>
      <c r="AE405" s="122"/>
      <c r="AF405" s="122"/>
      <c r="AG405" s="122"/>
      <c r="AH405" s="122"/>
      <c r="AI405" s="122"/>
      <c r="AJ405" s="122"/>
      <c r="AK405" s="122"/>
      <c r="AL405" s="122"/>
      <c r="AM405" s="122"/>
      <c r="AN405" s="122"/>
      <c r="AO405" s="122"/>
      <c r="AP405" s="428"/>
    </row>
    <row r="406" hidden="1">
      <c r="A406" s="428"/>
      <c r="B406" s="428"/>
      <c r="C406" s="122"/>
      <c r="D406" s="558"/>
      <c r="E406" s="539"/>
      <c r="F406" s="539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2"/>
      <c r="AE406" s="122"/>
      <c r="AF406" s="122"/>
      <c r="AG406" s="122"/>
      <c r="AH406" s="122"/>
      <c r="AI406" s="122"/>
      <c r="AJ406" s="122"/>
      <c r="AK406" s="122"/>
      <c r="AL406" s="122"/>
      <c r="AM406" s="122"/>
      <c r="AN406" s="122"/>
      <c r="AO406" s="122"/>
      <c r="AP406" s="428"/>
    </row>
    <row r="407" hidden="1">
      <c r="A407" s="428"/>
      <c r="B407" s="428"/>
      <c r="C407" s="122"/>
      <c r="D407" s="558"/>
      <c r="E407" s="539"/>
      <c r="F407" s="539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2"/>
      <c r="AE407" s="122"/>
      <c r="AF407" s="122"/>
      <c r="AG407" s="122"/>
      <c r="AH407" s="122"/>
      <c r="AI407" s="122"/>
      <c r="AJ407" s="122"/>
      <c r="AK407" s="122"/>
      <c r="AL407" s="122"/>
      <c r="AM407" s="122"/>
      <c r="AN407" s="122"/>
      <c r="AO407" s="122"/>
      <c r="AP407" s="428"/>
    </row>
    <row r="408" hidden="1">
      <c r="A408" s="428"/>
      <c r="B408" s="428"/>
      <c r="C408" s="122"/>
      <c r="D408" s="558"/>
      <c r="E408" s="539"/>
      <c r="F408" s="539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2"/>
      <c r="AE408" s="122"/>
      <c r="AF408" s="122"/>
      <c r="AG408" s="122"/>
      <c r="AH408" s="122"/>
      <c r="AI408" s="122"/>
      <c r="AJ408" s="122"/>
      <c r="AK408" s="122"/>
      <c r="AL408" s="122"/>
      <c r="AM408" s="122"/>
      <c r="AN408" s="122"/>
      <c r="AO408" s="122"/>
      <c r="AP408" s="428"/>
    </row>
    <row r="409" hidden="1">
      <c r="A409" s="428"/>
      <c r="B409" s="428"/>
      <c r="C409" s="122"/>
      <c r="D409" s="558"/>
      <c r="E409" s="539"/>
      <c r="F409" s="539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2"/>
      <c r="AE409" s="122"/>
      <c r="AF409" s="122"/>
      <c r="AG409" s="122"/>
      <c r="AH409" s="122"/>
      <c r="AI409" s="122"/>
      <c r="AJ409" s="122"/>
      <c r="AK409" s="122"/>
      <c r="AL409" s="122"/>
      <c r="AM409" s="122"/>
      <c r="AN409" s="122"/>
      <c r="AO409" s="122"/>
      <c r="AP409" s="428"/>
    </row>
    <row r="410" hidden="1">
      <c r="A410" s="428"/>
      <c r="B410" s="428"/>
      <c r="C410" s="122"/>
      <c r="D410" s="558"/>
      <c r="E410" s="539"/>
      <c r="F410" s="539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2"/>
      <c r="AE410" s="122"/>
      <c r="AF410" s="122"/>
      <c r="AG410" s="122"/>
      <c r="AH410" s="122"/>
      <c r="AI410" s="122"/>
      <c r="AJ410" s="122"/>
      <c r="AK410" s="122"/>
      <c r="AL410" s="122"/>
      <c r="AM410" s="122"/>
      <c r="AN410" s="122"/>
      <c r="AO410" s="122"/>
      <c r="AP410" s="428"/>
    </row>
    <row r="411" hidden="1">
      <c r="A411" s="428"/>
      <c r="B411" s="428"/>
      <c r="C411" s="122"/>
      <c r="D411" s="558"/>
      <c r="E411" s="539"/>
      <c r="F411" s="539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2"/>
      <c r="AE411" s="122"/>
      <c r="AF411" s="122"/>
      <c r="AG411" s="122"/>
      <c r="AH411" s="122"/>
      <c r="AI411" s="122"/>
      <c r="AJ411" s="122"/>
      <c r="AK411" s="122"/>
      <c r="AL411" s="122"/>
      <c r="AM411" s="122"/>
      <c r="AN411" s="122"/>
      <c r="AO411" s="122"/>
      <c r="AP411" s="428"/>
    </row>
    <row r="412" hidden="1">
      <c r="A412" s="428"/>
      <c r="B412" s="428"/>
      <c r="C412" s="122"/>
      <c r="D412" s="558"/>
      <c r="E412" s="539"/>
      <c r="F412" s="539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2"/>
      <c r="AE412" s="122"/>
      <c r="AF412" s="122"/>
      <c r="AG412" s="122"/>
      <c r="AH412" s="122"/>
      <c r="AI412" s="122"/>
      <c r="AJ412" s="122"/>
      <c r="AK412" s="122"/>
      <c r="AL412" s="122"/>
      <c r="AM412" s="122"/>
      <c r="AN412" s="122"/>
      <c r="AO412" s="122"/>
      <c r="AP412" s="428"/>
    </row>
    <row r="413" hidden="1">
      <c r="A413" s="428"/>
      <c r="B413" s="428"/>
      <c r="C413" s="122"/>
      <c r="D413" s="558"/>
      <c r="E413" s="539"/>
      <c r="F413" s="539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2"/>
      <c r="AE413" s="122"/>
      <c r="AF413" s="122"/>
      <c r="AG413" s="122"/>
      <c r="AH413" s="122"/>
      <c r="AI413" s="122"/>
      <c r="AJ413" s="122"/>
      <c r="AK413" s="122"/>
      <c r="AL413" s="122"/>
      <c r="AM413" s="122"/>
      <c r="AN413" s="122"/>
      <c r="AO413" s="122"/>
      <c r="AP413" s="428"/>
    </row>
    <row r="414" hidden="1">
      <c r="A414" s="428"/>
      <c r="B414" s="428"/>
      <c r="C414" s="122"/>
      <c r="D414" s="558"/>
      <c r="E414" s="539"/>
      <c r="F414" s="539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2"/>
      <c r="AE414" s="122"/>
      <c r="AF414" s="122"/>
      <c r="AG414" s="122"/>
      <c r="AH414" s="122"/>
      <c r="AI414" s="122"/>
      <c r="AJ414" s="122"/>
      <c r="AK414" s="122"/>
      <c r="AL414" s="122"/>
      <c r="AM414" s="122"/>
      <c r="AN414" s="122"/>
      <c r="AO414" s="122"/>
      <c r="AP414" s="428"/>
    </row>
    <row r="415" hidden="1">
      <c r="A415" s="428"/>
      <c r="B415" s="428"/>
      <c r="C415" s="122"/>
      <c r="D415" s="558"/>
      <c r="E415" s="539"/>
      <c r="F415" s="539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2"/>
      <c r="AE415" s="122"/>
      <c r="AF415" s="122"/>
      <c r="AG415" s="122"/>
      <c r="AH415" s="122"/>
      <c r="AI415" s="122"/>
      <c r="AJ415" s="122"/>
      <c r="AK415" s="122"/>
      <c r="AL415" s="122"/>
      <c r="AM415" s="122"/>
      <c r="AN415" s="122"/>
      <c r="AO415" s="122"/>
      <c r="AP415" s="428"/>
    </row>
    <row r="416" hidden="1">
      <c r="A416" s="428"/>
      <c r="B416" s="428"/>
      <c r="C416" s="122"/>
      <c r="D416" s="558"/>
      <c r="E416" s="539"/>
      <c r="F416" s="539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2"/>
      <c r="AE416" s="122"/>
      <c r="AF416" s="122"/>
      <c r="AG416" s="122"/>
      <c r="AH416" s="122"/>
      <c r="AI416" s="122"/>
      <c r="AJ416" s="122"/>
      <c r="AK416" s="122"/>
      <c r="AL416" s="122"/>
      <c r="AM416" s="122"/>
      <c r="AN416" s="122"/>
      <c r="AO416" s="122"/>
      <c r="AP416" s="428"/>
    </row>
    <row r="417" hidden="1">
      <c r="A417" s="428"/>
      <c r="B417" s="428"/>
      <c r="C417" s="122"/>
      <c r="D417" s="558"/>
      <c r="E417" s="539"/>
      <c r="F417" s="539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2"/>
      <c r="AE417" s="122"/>
      <c r="AF417" s="122"/>
      <c r="AG417" s="122"/>
      <c r="AH417" s="122"/>
      <c r="AI417" s="122"/>
      <c r="AJ417" s="122"/>
      <c r="AK417" s="122"/>
      <c r="AL417" s="122"/>
      <c r="AM417" s="122"/>
      <c r="AN417" s="122"/>
      <c r="AO417" s="122"/>
      <c r="AP417" s="428"/>
    </row>
    <row r="418" hidden="1">
      <c r="A418" s="428"/>
      <c r="B418" s="428"/>
      <c r="C418" s="122"/>
      <c r="D418" s="558"/>
      <c r="E418" s="539"/>
      <c r="F418" s="539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2"/>
      <c r="AE418" s="122"/>
      <c r="AF418" s="122"/>
      <c r="AG418" s="122"/>
      <c r="AH418" s="122"/>
      <c r="AI418" s="122"/>
      <c r="AJ418" s="122"/>
      <c r="AK418" s="122"/>
      <c r="AL418" s="122"/>
      <c r="AM418" s="122"/>
      <c r="AN418" s="122"/>
      <c r="AO418" s="122"/>
      <c r="AP418" s="428"/>
    </row>
    <row r="419" hidden="1">
      <c r="A419" s="428"/>
      <c r="B419" s="428"/>
      <c r="C419" s="122"/>
      <c r="D419" s="558"/>
      <c r="E419" s="539"/>
      <c r="F419" s="539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2"/>
      <c r="AE419" s="122"/>
      <c r="AF419" s="122"/>
      <c r="AG419" s="122"/>
      <c r="AH419" s="122"/>
      <c r="AI419" s="122"/>
      <c r="AJ419" s="122"/>
      <c r="AK419" s="122"/>
      <c r="AL419" s="122"/>
      <c r="AM419" s="122"/>
      <c r="AN419" s="122"/>
      <c r="AO419" s="122"/>
      <c r="AP419" s="428"/>
    </row>
    <row r="420" hidden="1">
      <c r="A420" s="428"/>
      <c r="B420" s="428"/>
      <c r="C420" s="122"/>
      <c r="D420" s="558"/>
      <c r="E420" s="539"/>
      <c r="F420" s="539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2"/>
      <c r="AE420" s="122"/>
      <c r="AF420" s="122"/>
      <c r="AG420" s="122"/>
      <c r="AH420" s="122"/>
      <c r="AI420" s="122"/>
      <c r="AJ420" s="122"/>
      <c r="AK420" s="122"/>
      <c r="AL420" s="122"/>
      <c r="AM420" s="122"/>
      <c r="AN420" s="122"/>
      <c r="AO420" s="122"/>
      <c r="AP420" s="428"/>
    </row>
    <row r="421" hidden="1">
      <c r="A421" s="428"/>
      <c r="B421" s="428"/>
      <c r="C421" s="122"/>
      <c r="D421" s="558"/>
      <c r="E421" s="539"/>
      <c r="F421" s="539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2"/>
      <c r="AE421" s="122"/>
      <c r="AF421" s="122"/>
      <c r="AG421" s="122"/>
      <c r="AH421" s="122"/>
      <c r="AI421" s="122"/>
      <c r="AJ421" s="122"/>
      <c r="AK421" s="122"/>
      <c r="AL421" s="122"/>
      <c r="AM421" s="122"/>
      <c r="AN421" s="122"/>
      <c r="AO421" s="122"/>
      <c r="AP421" s="428"/>
    </row>
    <row r="422" hidden="1">
      <c r="A422" s="428"/>
      <c r="B422" s="428"/>
      <c r="C422" s="122"/>
      <c r="D422" s="558"/>
      <c r="E422" s="539"/>
      <c r="F422" s="539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2"/>
      <c r="AE422" s="122"/>
      <c r="AF422" s="122"/>
      <c r="AG422" s="122"/>
      <c r="AH422" s="122"/>
      <c r="AI422" s="122"/>
      <c r="AJ422" s="122"/>
      <c r="AK422" s="122"/>
      <c r="AL422" s="122"/>
      <c r="AM422" s="122"/>
      <c r="AN422" s="122"/>
      <c r="AO422" s="122"/>
      <c r="AP422" s="428"/>
    </row>
    <row r="423" hidden="1">
      <c r="A423" s="428"/>
      <c r="B423" s="428"/>
      <c r="C423" s="122"/>
      <c r="D423" s="558"/>
      <c r="E423" s="539"/>
      <c r="F423" s="539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2"/>
      <c r="AE423" s="122"/>
      <c r="AF423" s="122"/>
      <c r="AG423" s="122"/>
      <c r="AH423" s="122"/>
      <c r="AI423" s="122"/>
      <c r="AJ423" s="122"/>
      <c r="AK423" s="122"/>
      <c r="AL423" s="122"/>
      <c r="AM423" s="122"/>
      <c r="AN423" s="122"/>
      <c r="AO423" s="122"/>
      <c r="AP423" s="428"/>
    </row>
    <row r="424" hidden="1">
      <c r="A424" s="428"/>
      <c r="B424" s="428"/>
      <c r="C424" s="122"/>
      <c r="D424" s="558"/>
      <c r="E424" s="539"/>
      <c r="F424" s="539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2"/>
      <c r="AE424" s="122"/>
      <c r="AF424" s="122"/>
      <c r="AG424" s="122"/>
      <c r="AH424" s="122"/>
      <c r="AI424" s="122"/>
      <c r="AJ424" s="122"/>
      <c r="AK424" s="122"/>
      <c r="AL424" s="122"/>
      <c r="AM424" s="122"/>
      <c r="AN424" s="122"/>
      <c r="AO424" s="122"/>
      <c r="AP424" s="428"/>
    </row>
    <row r="425" hidden="1">
      <c r="A425" s="428"/>
      <c r="B425" s="428"/>
      <c r="C425" s="122"/>
      <c r="D425" s="558"/>
      <c r="E425" s="539"/>
      <c r="F425" s="539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2"/>
      <c r="AE425" s="122"/>
      <c r="AF425" s="122"/>
      <c r="AG425" s="122"/>
      <c r="AH425" s="122"/>
      <c r="AI425" s="122"/>
      <c r="AJ425" s="122"/>
      <c r="AK425" s="122"/>
      <c r="AL425" s="122"/>
      <c r="AM425" s="122"/>
      <c r="AN425" s="122"/>
      <c r="AO425" s="122"/>
      <c r="AP425" s="428"/>
    </row>
    <row r="426" hidden="1">
      <c r="A426" s="428"/>
      <c r="B426" s="428"/>
      <c r="C426" s="122"/>
      <c r="D426" s="558"/>
      <c r="E426" s="539"/>
      <c r="F426" s="539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2"/>
      <c r="AE426" s="122"/>
      <c r="AF426" s="122"/>
      <c r="AG426" s="122"/>
      <c r="AH426" s="122"/>
      <c r="AI426" s="122"/>
      <c r="AJ426" s="122"/>
      <c r="AK426" s="122"/>
      <c r="AL426" s="122"/>
      <c r="AM426" s="122"/>
      <c r="AN426" s="122"/>
      <c r="AO426" s="122"/>
      <c r="AP426" s="428"/>
    </row>
    <row r="427" hidden="1">
      <c r="A427" s="428"/>
      <c r="B427" s="428"/>
      <c r="C427" s="122"/>
      <c r="D427" s="558"/>
      <c r="E427" s="539"/>
      <c r="F427" s="539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2"/>
      <c r="AE427" s="122"/>
      <c r="AF427" s="122"/>
      <c r="AG427" s="122"/>
      <c r="AH427" s="122"/>
      <c r="AI427" s="122"/>
      <c r="AJ427" s="122"/>
      <c r="AK427" s="122"/>
      <c r="AL427" s="122"/>
      <c r="AM427" s="122"/>
      <c r="AN427" s="122"/>
      <c r="AO427" s="122"/>
      <c r="AP427" s="428"/>
    </row>
    <row r="428" hidden="1">
      <c r="A428" s="428"/>
      <c r="B428" s="428"/>
      <c r="C428" s="122"/>
      <c r="D428" s="558"/>
      <c r="E428" s="539"/>
      <c r="F428" s="539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2"/>
      <c r="AE428" s="122"/>
      <c r="AF428" s="122"/>
      <c r="AG428" s="122"/>
      <c r="AH428" s="122"/>
      <c r="AI428" s="122"/>
      <c r="AJ428" s="122"/>
      <c r="AK428" s="122"/>
      <c r="AL428" s="122"/>
      <c r="AM428" s="122"/>
      <c r="AN428" s="122"/>
      <c r="AO428" s="122"/>
      <c r="AP428" s="428"/>
    </row>
    <row r="429" hidden="1">
      <c r="A429" s="428"/>
      <c r="B429" s="428"/>
      <c r="C429" s="122"/>
      <c r="D429" s="558"/>
      <c r="E429" s="539"/>
      <c r="F429" s="539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2"/>
      <c r="AE429" s="122"/>
      <c r="AF429" s="122"/>
      <c r="AG429" s="122"/>
      <c r="AH429" s="122"/>
      <c r="AI429" s="122"/>
      <c r="AJ429" s="122"/>
      <c r="AK429" s="122"/>
      <c r="AL429" s="122"/>
      <c r="AM429" s="122"/>
      <c r="AN429" s="122"/>
      <c r="AO429" s="122"/>
      <c r="AP429" s="428"/>
    </row>
    <row r="430" hidden="1">
      <c r="A430" s="428"/>
      <c r="B430" s="428"/>
      <c r="C430" s="122"/>
      <c r="D430" s="558"/>
      <c r="E430" s="539"/>
      <c r="F430" s="539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2"/>
      <c r="AE430" s="122"/>
      <c r="AF430" s="122"/>
      <c r="AG430" s="122"/>
      <c r="AH430" s="122"/>
      <c r="AI430" s="122"/>
      <c r="AJ430" s="122"/>
      <c r="AK430" s="122"/>
      <c r="AL430" s="122"/>
      <c r="AM430" s="122"/>
      <c r="AN430" s="122"/>
      <c r="AO430" s="122"/>
      <c r="AP430" s="428"/>
    </row>
    <row r="431" hidden="1">
      <c r="A431" s="428"/>
      <c r="B431" s="428"/>
      <c r="C431" s="122"/>
      <c r="D431" s="558"/>
      <c r="E431" s="539"/>
      <c r="F431" s="539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2"/>
      <c r="AE431" s="122"/>
      <c r="AF431" s="122"/>
      <c r="AG431" s="122"/>
      <c r="AH431" s="122"/>
      <c r="AI431" s="122"/>
      <c r="AJ431" s="122"/>
      <c r="AK431" s="122"/>
      <c r="AL431" s="122"/>
      <c r="AM431" s="122"/>
      <c r="AN431" s="122"/>
      <c r="AO431" s="122"/>
      <c r="AP431" s="428"/>
    </row>
    <row r="432" hidden="1">
      <c r="A432" s="428"/>
      <c r="B432" s="428"/>
      <c r="C432" s="122"/>
      <c r="D432" s="558"/>
      <c r="E432" s="539"/>
      <c r="F432" s="539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2"/>
      <c r="AE432" s="122"/>
      <c r="AF432" s="122"/>
      <c r="AG432" s="122"/>
      <c r="AH432" s="122"/>
      <c r="AI432" s="122"/>
      <c r="AJ432" s="122"/>
      <c r="AK432" s="122"/>
      <c r="AL432" s="122"/>
      <c r="AM432" s="122"/>
      <c r="AN432" s="122"/>
      <c r="AO432" s="122"/>
      <c r="AP432" s="428"/>
    </row>
    <row r="433" hidden="1">
      <c r="A433" s="428"/>
      <c r="B433" s="428"/>
      <c r="C433" s="122"/>
      <c r="D433" s="558"/>
      <c r="E433" s="539"/>
      <c r="F433" s="539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2"/>
      <c r="AE433" s="122"/>
      <c r="AF433" s="122"/>
      <c r="AG433" s="122"/>
      <c r="AH433" s="122"/>
      <c r="AI433" s="122"/>
      <c r="AJ433" s="122"/>
      <c r="AK433" s="122"/>
      <c r="AL433" s="122"/>
      <c r="AM433" s="122"/>
      <c r="AN433" s="122"/>
      <c r="AO433" s="122"/>
      <c r="AP433" s="428"/>
    </row>
    <row r="434" hidden="1">
      <c r="A434" s="428"/>
      <c r="B434" s="428"/>
      <c r="C434" s="122"/>
      <c r="D434" s="558"/>
      <c r="E434" s="539"/>
      <c r="F434" s="539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2"/>
      <c r="AE434" s="122"/>
      <c r="AF434" s="122"/>
      <c r="AG434" s="122"/>
      <c r="AH434" s="122"/>
      <c r="AI434" s="122"/>
      <c r="AJ434" s="122"/>
      <c r="AK434" s="122"/>
      <c r="AL434" s="122"/>
      <c r="AM434" s="122"/>
      <c r="AN434" s="122"/>
      <c r="AO434" s="122"/>
      <c r="AP434" s="428"/>
    </row>
    <row r="435" hidden="1">
      <c r="A435" s="428"/>
      <c r="B435" s="428"/>
      <c r="C435" s="122"/>
      <c r="D435" s="558"/>
      <c r="E435" s="539"/>
      <c r="F435" s="539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2"/>
      <c r="AE435" s="122"/>
      <c r="AF435" s="122"/>
      <c r="AG435" s="122"/>
      <c r="AH435" s="122"/>
      <c r="AI435" s="122"/>
      <c r="AJ435" s="122"/>
      <c r="AK435" s="122"/>
      <c r="AL435" s="122"/>
      <c r="AM435" s="122"/>
      <c r="AN435" s="122"/>
      <c r="AO435" s="122"/>
      <c r="AP435" s="428"/>
    </row>
    <row r="436" hidden="1">
      <c r="A436" s="428"/>
      <c r="B436" s="428"/>
      <c r="C436" s="122"/>
      <c r="D436" s="558"/>
      <c r="E436" s="539"/>
      <c r="F436" s="539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2"/>
      <c r="AE436" s="122"/>
      <c r="AF436" s="122"/>
      <c r="AG436" s="122"/>
      <c r="AH436" s="122"/>
      <c r="AI436" s="122"/>
      <c r="AJ436" s="122"/>
      <c r="AK436" s="122"/>
      <c r="AL436" s="122"/>
      <c r="AM436" s="122"/>
      <c r="AN436" s="122"/>
      <c r="AO436" s="122"/>
      <c r="AP436" s="428"/>
    </row>
    <row r="437" hidden="1">
      <c r="A437" s="428"/>
      <c r="B437" s="428"/>
      <c r="C437" s="122"/>
      <c r="D437" s="558"/>
      <c r="E437" s="539"/>
      <c r="F437" s="539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2"/>
      <c r="AE437" s="122"/>
      <c r="AF437" s="122"/>
      <c r="AG437" s="122"/>
      <c r="AH437" s="122"/>
      <c r="AI437" s="122"/>
      <c r="AJ437" s="122"/>
      <c r="AK437" s="122"/>
      <c r="AL437" s="122"/>
      <c r="AM437" s="122"/>
      <c r="AN437" s="122"/>
      <c r="AO437" s="122"/>
      <c r="AP437" s="428"/>
    </row>
    <row r="438" hidden="1">
      <c r="A438" s="428"/>
      <c r="B438" s="428"/>
      <c r="C438" s="122"/>
      <c r="D438" s="558"/>
      <c r="E438" s="539"/>
      <c r="F438" s="539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2"/>
      <c r="AE438" s="122"/>
      <c r="AF438" s="122"/>
      <c r="AG438" s="122"/>
      <c r="AH438" s="122"/>
      <c r="AI438" s="122"/>
      <c r="AJ438" s="122"/>
      <c r="AK438" s="122"/>
      <c r="AL438" s="122"/>
      <c r="AM438" s="122"/>
      <c r="AN438" s="122"/>
      <c r="AO438" s="122"/>
      <c r="AP438" s="428"/>
    </row>
    <row r="439" hidden="1">
      <c r="A439" s="428"/>
      <c r="B439" s="428"/>
      <c r="C439" s="122"/>
      <c r="D439" s="558"/>
      <c r="E439" s="539"/>
      <c r="F439" s="539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2"/>
      <c r="AE439" s="122"/>
      <c r="AF439" s="122"/>
      <c r="AG439" s="122"/>
      <c r="AH439" s="122"/>
      <c r="AI439" s="122"/>
      <c r="AJ439" s="122"/>
      <c r="AK439" s="122"/>
      <c r="AL439" s="122"/>
      <c r="AM439" s="122"/>
      <c r="AN439" s="122"/>
      <c r="AO439" s="122"/>
      <c r="AP439" s="428"/>
    </row>
    <row r="440" hidden="1">
      <c r="A440" s="428"/>
      <c r="B440" s="428"/>
      <c r="C440" s="122"/>
      <c r="D440" s="558"/>
      <c r="E440" s="539"/>
      <c r="F440" s="539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2"/>
      <c r="AE440" s="122"/>
      <c r="AF440" s="122"/>
      <c r="AG440" s="122"/>
      <c r="AH440" s="122"/>
      <c r="AI440" s="122"/>
      <c r="AJ440" s="122"/>
      <c r="AK440" s="122"/>
      <c r="AL440" s="122"/>
      <c r="AM440" s="122"/>
      <c r="AN440" s="122"/>
      <c r="AO440" s="122"/>
      <c r="AP440" s="428"/>
    </row>
    <row r="441" hidden="1">
      <c r="A441" s="428"/>
      <c r="B441" s="428"/>
      <c r="C441" s="122"/>
      <c r="D441" s="558"/>
      <c r="E441" s="539"/>
      <c r="F441" s="539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2"/>
      <c r="AE441" s="122"/>
      <c r="AF441" s="122"/>
      <c r="AG441" s="122"/>
      <c r="AH441" s="122"/>
      <c r="AI441" s="122"/>
      <c r="AJ441" s="122"/>
      <c r="AK441" s="122"/>
      <c r="AL441" s="122"/>
      <c r="AM441" s="122"/>
      <c r="AN441" s="122"/>
      <c r="AO441" s="122"/>
      <c r="AP441" s="428"/>
    </row>
    <row r="442" hidden="1">
      <c r="A442" s="428"/>
      <c r="B442" s="428"/>
      <c r="C442" s="122"/>
      <c r="D442" s="558"/>
      <c r="E442" s="539"/>
      <c r="F442" s="539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2"/>
      <c r="AE442" s="122"/>
      <c r="AF442" s="122"/>
      <c r="AG442" s="122"/>
      <c r="AH442" s="122"/>
      <c r="AI442" s="122"/>
      <c r="AJ442" s="122"/>
      <c r="AK442" s="122"/>
      <c r="AL442" s="122"/>
      <c r="AM442" s="122"/>
      <c r="AN442" s="122"/>
      <c r="AO442" s="122"/>
      <c r="AP442" s="428"/>
    </row>
    <row r="443" hidden="1">
      <c r="A443" s="428"/>
      <c r="B443" s="428"/>
      <c r="C443" s="122"/>
      <c r="D443" s="558"/>
      <c r="E443" s="539"/>
      <c r="F443" s="539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2"/>
      <c r="AE443" s="122"/>
      <c r="AF443" s="122"/>
      <c r="AG443" s="122"/>
      <c r="AH443" s="122"/>
      <c r="AI443" s="122"/>
      <c r="AJ443" s="122"/>
      <c r="AK443" s="122"/>
      <c r="AL443" s="122"/>
      <c r="AM443" s="122"/>
      <c r="AN443" s="122"/>
      <c r="AO443" s="122"/>
      <c r="AP443" s="428"/>
    </row>
    <row r="444" hidden="1">
      <c r="A444" s="428"/>
      <c r="B444" s="428"/>
      <c r="C444" s="122"/>
      <c r="D444" s="558"/>
      <c r="E444" s="539"/>
      <c r="F444" s="539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2"/>
      <c r="AE444" s="122"/>
      <c r="AF444" s="122"/>
      <c r="AG444" s="122"/>
      <c r="AH444" s="122"/>
      <c r="AI444" s="122"/>
      <c r="AJ444" s="122"/>
      <c r="AK444" s="122"/>
      <c r="AL444" s="122"/>
      <c r="AM444" s="122"/>
      <c r="AN444" s="122"/>
      <c r="AO444" s="122"/>
      <c r="AP444" s="428"/>
    </row>
    <row r="445" hidden="1">
      <c r="A445" s="428"/>
      <c r="B445" s="428"/>
      <c r="C445" s="122"/>
      <c r="D445" s="558"/>
      <c r="E445" s="539"/>
      <c r="F445" s="539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2"/>
      <c r="AE445" s="122"/>
      <c r="AF445" s="122"/>
      <c r="AG445" s="122"/>
      <c r="AH445" s="122"/>
      <c r="AI445" s="122"/>
      <c r="AJ445" s="122"/>
      <c r="AK445" s="122"/>
      <c r="AL445" s="122"/>
      <c r="AM445" s="122"/>
      <c r="AN445" s="122"/>
      <c r="AO445" s="122"/>
      <c r="AP445" s="428"/>
    </row>
    <row r="446" hidden="1">
      <c r="A446" s="428"/>
      <c r="B446" s="428"/>
      <c r="C446" s="122"/>
      <c r="D446" s="558"/>
      <c r="E446" s="539"/>
      <c r="F446" s="539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2"/>
      <c r="AE446" s="122"/>
      <c r="AF446" s="122"/>
      <c r="AG446" s="122"/>
      <c r="AH446" s="122"/>
      <c r="AI446" s="122"/>
      <c r="AJ446" s="122"/>
      <c r="AK446" s="122"/>
      <c r="AL446" s="122"/>
      <c r="AM446" s="122"/>
      <c r="AN446" s="122"/>
      <c r="AO446" s="122"/>
      <c r="AP446" s="428"/>
    </row>
    <row r="447" hidden="1">
      <c r="A447" s="428"/>
      <c r="B447" s="428"/>
      <c r="C447" s="122"/>
      <c r="D447" s="558"/>
      <c r="E447" s="539"/>
      <c r="F447" s="539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2"/>
      <c r="AE447" s="122"/>
      <c r="AF447" s="122"/>
      <c r="AG447" s="122"/>
      <c r="AH447" s="122"/>
      <c r="AI447" s="122"/>
      <c r="AJ447" s="122"/>
      <c r="AK447" s="122"/>
      <c r="AL447" s="122"/>
      <c r="AM447" s="122"/>
      <c r="AN447" s="122"/>
      <c r="AO447" s="122"/>
      <c r="AP447" s="428"/>
    </row>
    <row r="448" hidden="1">
      <c r="A448" s="428"/>
      <c r="B448" s="428"/>
      <c r="C448" s="122"/>
      <c r="D448" s="558"/>
      <c r="E448" s="539"/>
      <c r="F448" s="539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2"/>
      <c r="AE448" s="122"/>
      <c r="AF448" s="122"/>
      <c r="AG448" s="122"/>
      <c r="AH448" s="122"/>
      <c r="AI448" s="122"/>
      <c r="AJ448" s="122"/>
      <c r="AK448" s="122"/>
      <c r="AL448" s="122"/>
      <c r="AM448" s="122"/>
      <c r="AN448" s="122"/>
      <c r="AO448" s="122"/>
      <c r="AP448" s="428"/>
    </row>
    <row r="449" hidden="1">
      <c r="A449" s="428"/>
      <c r="B449" s="428"/>
      <c r="C449" s="122"/>
      <c r="D449" s="558"/>
      <c r="E449" s="539"/>
      <c r="F449" s="539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2"/>
      <c r="AE449" s="122"/>
      <c r="AF449" s="122"/>
      <c r="AG449" s="122"/>
      <c r="AH449" s="122"/>
      <c r="AI449" s="122"/>
      <c r="AJ449" s="122"/>
      <c r="AK449" s="122"/>
      <c r="AL449" s="122"/>
      <c r="AM449" s="122"/>
      <c r="AN449" s="122"/>
      <c r="AO449" s="122"/>
      <c r="AP449" s="428"/>
    </row>
    <row r="450" hidden="1">
      <c r="A450" s="428"/>
      <c r="B450" s="428"/>
      <c r="C450" s="122"/>
      <c r="D450" s="558"/>
      <c r="E450" s="539"/>
      <c r="F450" s="539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2"/>
      <c r="AE450" s="122"/>
      <c r="AF450" s="122"/>
      <c r="AG450" s="122"/>
      <c r="AH450" s="122"/>
      <c r="AI450" s="122"/>
      <c r="AJ450" s="122"/>
      <c r="AK450" s="122"/>
      <c r="AL450" s="122"/>
      <c r="AM450" s="122"/>
      <c r="AN450" s="122"/>
      <c r="AO450" s="122"/>
      <c r="AP450" s="428"/>
    </row>
    <row r="451" hidden="1">
      <c r="A451" s="428"/>
      <c r="B451" s="428"/>
      <c r="C451" s="122"/>
      <c r="D451" s="558"/>
      <c r="E451" s="539"/>
      <c r="F451" s="539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2"/>
      <c r="AE451" s="122"/>
      <c r="AF451" s="122"/>
      <c r="AG451" s="122"/>
      <c r="AH451" s="122"/>
      <c r="AI451" s="122"/>
      <c r="AJ451" s="122"/>
      <c r="AK451" s="122"/>
      <c r="AL451" s="122"/>
      <c r="AM451" s="122"/>
      <c r="AN451" s="122"/>
      <c r="AO451" s="122"/>
      <c r="AP451" s="428"/>
    </row>
    <row r="452" hidden="1">
      <c r="A452" s="428"/>
      <c r="B452" s="428"/>
      <c r="C452" s="122"/>
      <c r="D452" s="558"/>
      <c r="E452" s="539"/>
      <c r="F452" s="539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2"/>
      <c r="AE452" s="122"/>
      <c r="AF452" s="122"/>
      <c r="AG452" s="122"/>
      <c r="AH452" s="122"/>
      <c r="AI452" s="122"/>
      <c r="AJ452" s="122"/>
      <c r="AK452" s="122"/>
      <c r="AL452" s="122"/>
      <c r="AM452" s="122"/>
      <c r="AN452" s="122"/>
      <c r="AO452" s="122"/>
      <c r="AP452" s="428"/>
    </row>
    <row r="453" hidden="1">
      <c r="A453" s="428"/>
      <c r="B453" s="428"/>
      <c r="C453" s="122"/>
      <c r="D453" s="558"/>
      <c r="E453" s="539"/>
      <c r="F453" s="539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2"/>
      <c r="AE453" s="122"/>
      <c r="AF453" s="122"/>
      <c r="AG453" s="122"/>
      <c r="AH453" s="122"/>
      <c r="AI453" s="122"/>
      <c r="AJ453" s="122"/>
      <c r="AK453" s="122"/>
      <c r="AL453" s="122"/>
      <c r="AM453" s="122"/>
      <c r="AN453" s="122"/>
      <c r="AO453" s="122"/>
      <c r="AP453" s="428"/>
    </row>
    <row r="454" hidden="1">
      <c r="A454" s="428"/>
      <c r="B454" s="428"/>
      <c r="C454" s="122"/>
      <c r="D454" s="558"/>
      <c r="E454" s="539"/>
      <c r="F454" s="539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2"/>
      <c r="AE454" s="122"/>
      <c r="AF454" s="122"/>
      <c r="AG454" s="122"/>
      <c r="AH454" s="122"/>
      <c r="AI454" s="122"/>
      <c r="AJ454" s="122"/>
      <c r="AK454" s="122"/>
      <c r="AL454" s="122"/>
      <c r="AM454" s="122"/>
      <c r="AN454" s="122"/>
      <c r="AO454" s="122"/>
      <c r="AP454" s="428"/>
    </row>
    <row r="455" hidden="1">
      <c r="A455" s="428"/>
      <c r="B455" s="428"/>
      <c r="C455" s="122"/>
      <c r="D455" s="558"/>
      <c r="E455" s="539"/>
      <c r="F455" s="539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2"/>
      <c r="AE455" s="122"/>
      <c r="AF455" s="122"/>
      <c r="AG455" s="122"/>
      <c r="AH455" s="122"/>
      <c r="AI455" s="122"/>
      <c r="AJ455" s="122"/>
      <c r="AK455" s="122"/>
      <c r="AL455" s="122"/>
      <c r="AM455" s="122"/>
      <c r="AN455" s="122"/>
      <c r="AO455" s="122"/>
      <c r="AP455" s="428"/>
    </row>
    <row r="456" hidden="1">
      <c r="A456" s="428"/>
      <c r="B456" s="428"/>
      <c r="C456" s="122"/>
      <c r="D456" s="558"/>
      <c r="E456" s="539"/>
      <c r="F456" s="539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2"/>
      <c r="AE456" s="122"/>
      <c r="AF456" s="122"/>
      <c r="AG456" s="122"/>
      <c r="AH456" s="122"/>
      <c r="AI456" s="122"/>
      <c r="AJ456" s="122"/>
      <c r="AK456" s="122"/>
      <c r="AL456" s="122"/>
      <c r="AM456" s="122"/>
      <c r="AN456" s="122"/>
      <c r="AO456" s="122"/>
      <c r="AP456" s="428"/>
    </row>
    <row r="457" hidden="1">
      <c r="A457" s="428"/>
      <c r="B457" s="428"/>
      <c r="C457" s="122"/>
      <c r="D457" s="558"/>
      <c r="E457" s="539"/>
      <c r="F457" s="539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2"/>
      <c r="AE457" s="122"/>
      <c r="AF457" s="122"/>
      <c r="AG457" s="122"/>
      <c r="AH457" s="122"/>
      <c r="AI457" s="122"/>
      <c r="AJ457" s="122"/>
      <c r="AK457" s="122"/>
      <c r="AL457" s="122"/>
      <c r="AM457" s="122"/>
      <c r="AN457" s="122"/>
      <c r="AO457" s="122"/>
      <c r="AP457" s="428"/>
    </row>
    <row r="458" hidden="1">
      <c r="A458" s="428"/>
      <c r="B458" s="428"/>
      <c r="C458" s="122"/>
      <c r="D458" s="558"/>
      <c r="E458" s="539"/>
      <c r="F458" s="539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2"/>
      <c r="AE458" s="122"/>
      <c r="AF458" s="122"/>
      <c r="AG458" s="122"/>
      <c r="AH458" s="122"/>
      <c r="AI458" s="122"/>
      <c r="AJ458" s="122"/>
      <c r="AK458" s="122"/>
      <c r="AL458" s="122"/>
      <c r="AM458" s="122"/>
      <c r="AN458" s="122"/>
      <c r="AO458" s="122"/>
      <c r="AP458" s="428"/>
    </row>
    <row r="459" hidden="1">
      <c r="A459" s="428"/>
      <c r="B459" s="428"/>
      <c r="C459" s="122"/>
      <c r="D459" s="558"/>
      <c r="E459" s="539"/>
      <c r="F459" s="539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2"/>
      <c r="AE459" s="122"/>
      <c r="AF459" s="122"/>
      <c r="AG459" s="122"/>
      <c r="AH459" s="122"/>
      <c r="AI459" s="122"/>
      <c r="AJ459" s="122"/>
      <c r="AK459" s="122"/>
      <c r="AL459" s="122"/>
      <c r="AM459" s="122"/>
      <c r="AN459" s="122"/>
      <c r="AO459" s="122"/>
      <c r="AP459" s="428"/>
    </row>
    <row r="460" hidden="1">
      <c r="A460" s="428"/>
      <c r="B460" s="428"/>
      <c r="C460" s="122"/>
      <c r="D460" s="558"/>
      <c r="E460" s="539"/>
      <c r="F460" s="539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2"/>
      <c r="AE460" s="122"/>
      <c r="AF460" s="122"/>
      <c r="AG460" s="122"/>
      <c r="AH460" s="122"/>
      <c r="AI460" s="122"/>
      <c r="AJ460" s="122"/>
      <c r="AK460" s="122"/>
      <c r="AL460" s="122"/>
      <c r="AM460" s="122"/>
      <c r="AN460" s="122"/>
      <c r="AO460" s="122"/>
      <c r="AP460" s="428"/>
    </row>
    <row r="461" hidden="1">
      <c r="A461" s="428"/>
      <c r="B461" s="428"/>
      <c r="C461" s="122"/>
      <c r="D461" s="558"/>
      <c r="E461" s="539"/>
      <c r="F461" s="539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2"/>
      <c r="AE461" s="122"/>
      <c r="AF461" s="122"/>
      <c r="AG461" s="122"/>
      <c r="AH461" s="122"/>
      <c r="AI461" s="122"/>
      <c r="AJ461" s="122"/>
      <c r="AK461" s="122"/>
      <c r="AL461" s="122"/>
      <c r="AM461" s="122"/>
      <c r="AN461" s="122"/>
      <c r="AO461" s="122"/>
      <c r="AP461" s="428"/>
    </row>
    <row r="462" hidden="1">
      <c r="A462" s="428"/>
      <c r="B462" s="428"/>
      <c r="C462" s="122"/>
      <c r="D462" s="558"/>
      <c r="E462" s="539"/>
      <c r="F462" s="539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2"/>
      <c r="AE462" s="122"/>
      <c r="AF462" s="122"/>
      <c r="AG462" s="122"/>
      <c r="AH462" s="122"/>
      <c r="AI462" s="122"/>
      <c r="AJ462" s="122"/>
      <c r="AK462" s="122"/>
      <c r="AL462" s="122"/>
      <c r="AM462" s="122"/>
      <c r="AN462" s="122"/>
      <c r="AO462" s="122"/>
      <c r="AP462" s="428"/>
    </row>
    <row r="463" hidden="1">
      <c r="A463" s="428"/>
      <c r="B463" s="428"/>
      <c r="C463" s="122"/>
      <c r="D463" s="558"/>
      <c r="E463" s="539"/>
      <c r="F463" s="539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2"/>
      <c r="AE463" s="122"/>
      <c r="AF463" s="122"/>
      <c r="AG463" s="122"/>
      <c r="AH463" s="122"/>
      <c r="AI463" s="122"/>
      <c r="AJ463" s="122"/>
      <c r="AK463" s="122"/>
      <c r="AL463" s="122"/>
      <c r="AM463" s="122"/>
      <c r="AN463" s="122"/>
      <c r="AO463" s="122"/>
      <c r="AP463" s="428"/>
    </row>
    <row r="464" hidden="1">
      <c r="A464" s="428"/>
      <c r="B464" s="428"/>
      <c r="C464" s="122"/>
      <c r="D464" s="558"/>
      <c r="E464" s="539"/>
      <c r="F464" s="539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2"/>
      <c r="AE464" s="122"/>
      <c r="AF464" s="122"/>
      <c r="AG464" s="122"/>
      <c r="AH464" s="122"/>
      <c r="AI464" s="122"/>
      <c r="AJ464" s="122"/>
      <c r="AK464" s="122"/>
      <c r="AL464" s="122"/>
      <c r="AM464" s="122"/>
      <c r="AN464" s="122"/>
      <c r="AO464" s="122"/>
      <c r="AP464" s="428"/>
    </row>
    <row r="465" hidden="1">
      <c r="A465" s="428"/>
      <c r="B465" s="428"/>
      <c r="C465" s="122"/>
      <c r="D465" s="558"/>
      <c r="E465" s="539"/>
      <c r="F465" s="539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2"/>
      <c r="AE465" s="122"/>
      <c r="AF465" s="122"/>
      <c r="AG465" s="122"/>
      <c r="AH465" s="122"/>
      <c r="AI465" s="122"/>
      <c r="AJ465" s="122"/>
      <c r="AK465" s="122"/>
      <c r="AL465" s="122"/>
      <c r="AM465" s="122"/>
      <c r="AN465" s="122"/>
      <c r="AO465" s="122"/>
      <c r="AP465" s="428"/>
    </row>
    <row r="466" hidden="1">
      <c r="A466" s="428"/>
      <c r="B466" s="428"/>
      <c r="C466" s="122"/>
      <c r="D466" s="558"/>
      <c r="E466" s="539"/>
      <c r="F466" s="539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2"/>
      <c r="AE466" s="122"/>
      <c r="AF466" s="122"/>
      <c r="AG466" s="122"/>
      <c r="AH466" s="122"/>
      <c r="AI466" s="122"/>
      <c r="AJ466" s="122"/>
      <c r="AK466" s="122"/>
      <c r="AL466" s="122"/>
      <c r="AM466" s="122"/>
      <c r="AN466" s="122"/>
      <c r="AO466" s="122"/>
      <c r="AP466" s="428"/>
    </row>
    <row r="467" hidden="1">
      <c r="A467" s="428"/>
      <c r="B467" s="428"/>
      <c r="C467" s="122"/>
      <c r="D467" s="558"/>
      <c r="E467" s="539"/>
      <c r="F467" s="539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2"/>
      <c r="AE467" s="122"/>
      <c r="AF467" s="122"/>
      <c r="AG467" s="122"/>
      <c r="AH467" s="122"/>
      <c r="AI467" s="122"/>
      <c r="AJ467" s="122"/>
      <c r="AK467" s="122"/>
      <c r="AL467" s="122"/>
      <c r="AM467" s="122"/>
      <c r="AN467" s="122"/>
      <c r="AO467" s="122"/>
      <c r="AP467" s="428"/>
    </row>
    <row r="468" hidden="1">
      <c r="A468" s="428"/>
      <c r="B468" s="428"/>
      <c r="C468" s="122"/>
      <c r="D468" s="558"/>
      <c r="E468" s="539"/>
      <c r="F468" s="539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2"/>
      <c r="AE468" s="122"/>
      <c r="AF468" s="122"/>
      <c r="AG468" s="122"/>
      <c r="AH468" s="122"/>
      <c r="AI468" s="122"/>
      <c r="AJ468" s="122"/>
      <c r="AK468" s="122"/>
      <c r="AL468" s="122"/>
      <c r="AM468" s="122"/>
      <c r="AN468" s="122"/>
      <c r="AO468" s="122"/>
      <c r="AP468" s="428"/>
    </row>
    <row r="469" hidden="1">
      <c r="A469" s="428"/>
      <c r="B469" s="428"/>
      <c r="C469" s="122"/>
      <c r="D469" s="558"/>
      <c r="E469" s="539"/>
      <c r="F469" s="539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2"/>
      <c r="AE469" s="122"/>
      <c r="AF469" s="122"/>
      <c r="AG469" s="122"/>
      <c r="AH469" s="122"/>
      <c r="AI469" s="122"/>
      <c r="AJ469" s="122"/>
      <c r="AK469" s="122"/>
      <c r="AL469" s="122"/>
      <c r="AM469" s="122"/>
      <c r="AN469" s="122"/>
      <c r="AO469" s="122"/>
      <c r="AP469" s="428"/>
    </row>
    <row r="470" hidden="1">
      <c r="A470" s="428"/>
      <c r="B470" s="428"/>
      <c r="C470" s="122"/>
      <c r="D470" s="558"/>
      <c r="E470" s="539"/>
      <c r="F470" s="539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2"/>
      <c r="AE470" s="122"/>
      <c r="AF470" s="122"/>
      <c r="AG470" s="122"/>
      <c r="AH470" s="122"/>
      <c r="AI470" s="122"/>
      <c r="AJ470" s="122"/>
      <c r="AK470" s="122"/>
      <c r="AL470" s="122"/>
      <c r="AM470" s="122"/>
      <c r="AN470" s="122"/>
      <c r="AO470" s="122"/>
      <c r="AP470" s="428"/>
    </row>
    <row r="471" hidden="1">
      <c r="A471" s="428"/>
      <c r="B471" s="428"/>
      <c r="C471" s="122"/>
      <c r="D471" s="558"/>
      <c r="E471" s="539"/>
      <c r="F471" s="539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2"/>
      <c r="AE471" s="122"/>
      <c r="AF471" s="122"/>
      <c r="AG471" s="122"/>
      <c r="AH471" s="122"/>
      <c r="AI471" s="122"/>
      <c r="AJ471" s="122"/>
      <c r="AK471" s="122"/>
      <c r="AL471" s="122"/>
      <c r="AM471" s="122"/>
      <c r="AN471" s="122"/>
      <c r="AO471" s="122"/>
      <c r="AP471" s="428"/>
    </row>
    <row r="472" hidden="1">
      <c r="A472" s="428"/>
      <c r="B472" s="428"/>
      <c r="C472" s="122"/>
      <c r="D472" s="558"/>
      <c r="E472" s="539"/>
      <c r="F472" s="539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2"/>
      <c r="AE472" s="122"/>
      <c r="AF472" s="122"/>
      <c r="AG472" s="122"/>
      <c r="AH472" s="122"/>
      <c r="AI472" s="122"/>
      <c r="AJ472" s="122"/>
      <c r="AK472" s="122"/>
      <c r="AL472" s="122"/>
      <c r="AM472" s="122"/>
      <c r="AN472" s="122"/>
      <c r="AO472" s="122"/>
      <c r="AP472" s="428"/>
    </row>
    <row r="473" hidden="1">
      <c r="A473" s="428"/>
      <c r="B473" s="428"/>
      <c r="C473" s="122"/>
      <c r="D473" s="558"/>
      <c r="E473" s="539"/>
      <c r="F473" s="539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2"/>
      <c r="AE473" s="122"/>
      <c r="AF473" s="122"/>
      <c r="AG473" s="122"/>
      <c r="AH473" s="122"/>
      <c r="AI473" s="122"/>
      <c r="AJ473" s="122"/>
      <c r="AK473" s="122"/>
      <c r="AL473" s="122"/>
      <c r="AM473" s="122"/>
      <c r="AN473" s="122"/>
      <c r="AO473" s="122"/>
      <c r="AP473" s="428"/>
    </row>
    <row r="474" hidden="1">
      <c r="A474" s="428"/>
      <c r="B474" s="428"/>
      <c r="C474" s="122"/>
      <c r="D474" s="558"/>
      <c r="E474" s="539"/>
      <c r="F474" s="539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2"/>
      <c r="AE474" s="122"/>
      <c r="AF474" s="122"/>
      <c r="AG474" s="122"/>
      <c r="AH474" s="122"/>
      <c r="AI474" s="122"/>
      <c r="AJ474" s="122"/>
      <c r="AK474" s="122"/>
      <c r="AL474" s="122"/>
      <c r="AM474" s="122"/>
      <c r="AN474" s="122"/>
      <c r="AO474" s="122"/>
      <c r="AP474" s="428"/>
    </row>
    <row r="475" hidden="1">
      <c r="A475" s="428"/>
      <c r="B475" s="428"/>
      <c r="C475" s="122"/>
      <c r="D475" s="558"/>
      <c r="E475" s="539"/>
      <c r="F475" s="539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2"/>
      <c r="AE475" s="122"/>
      <c r="AF475" s="122"/>
      <c r="AG475" s="122"/>
      <c r="AH475" s="122"/>
      <c r="AI475" s="122"/>
      <c r="AJ475" s="122"/>
      <c r="AK475" s="122"/>
      <c r="AL475" s="122"/>
      <c r="AM475" s="122"/>
      <c r="AN475" s="122"/>
      <c r="AO475" s="122"/>
      <c r="AP475" s="428"/>
    </row>
    <row r="476" hidden="1">
      <c r="A476" s="428"/>
      <c r="B476" s="428"/>
      <c r="C476" s="122"/>
      <c r="D476" s="558"/>
      <c r="E476" s="539"/>
      <c r="F476" s="539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2"/>
      <c r="AE476" s="122"/>
      <c r="AF476" s="122"/>
      <c r="AG476" s="122"/>
      <c r="AH476" s="122"/>
      <c r="AI476" s="122"/>
      <c r="AJ476" s="122"/>
      <c r="AK476" s="122"/>
      <c r="AL476" s="122"/>
      <c r="AM476" s="122"/>
      <c r="AN476" s="122"/>
      <c r="AO476" s="122"/>
      <c r="AP476" s="428"/>
    </row>
    <row r="477" hidden="1">
      <c r="A477" s="428"/>
      <c r="B477" s="428"/>
      <c r="C477" s="122"/>
      <c r="D477" s="558"/>
      <c r="E477" s="539"/>
      <c r="F477" s="539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2"/>
      <c r="AE477" s="122"/>
      <c r="AF477" s="122"/>
      <c r="AG477" s="122"/>
      <c r="AH477" s="122"/>
      <c r="AI477" s="122"/>
      <c r="AJ477" s="122"/>
      <c r="AK477" s="122"/>
      <c r="AL477" s="122"/>
      <c r="AM477" s="122"/>
      <c r="AN477" s="122"/>
      <c r="AO477" s="122"/>
      <c r="AP477" s="428"/>
    </row>
    <row r="478" hidden="1">
      <c r="A478" s="428"/>
      <c r="B478" s="428"/>
      <c r="C478" s="122"/>
      <c r="D478" s="558"/>
      <c r="E478" s="539"/>
      <c r="F478" s="539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2"/>
      <c r="AE478" s="122"/>
      <c r="AF478" s="122"/>
      <c r="AG478" s="122"/>
      <c r="AH478" s="122"/>
      <c r="AI478" s="122"/>
      <c r="AJ478" s="122"/>
      <c r="AK478" s="122"/>
      <c r="AL478" s="122"/>
      <c r="AM478" s="122"/>
      <c r="AN478" s="122"/>
      <c r="AO478" s="122"/>
      <c r="AP478" s="428"/>
    </row>
    <row r="479" hidden="1">
      <c r="A479" s="428"/>
      <c r="B479" s="428"/>
      <c r="C479" s="122"/>
      <c r="D479" s="558"/>
      <c r="E479" s="539"/>
      <c r="F479" s="539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2"/>
      <c r="AE479" s="122"/>
      <c r="AF479" s="122"/>
      <c r="AG479" s="122"/>
      <c r="AH479" s="122"/>
      <c r="AI479" s="122"/>
      <c r="AJ479" s="122"/>
      <c r="AK479" s="122"/>
      <c r="AL479" s="122"/>
      <c r="AM479" s="122"/>
      <c r="AN479" s="122"/>
      <c r="AO479" s="122"/>
      <c r="AP479" s="428"/>
    </row>
    <row r="480" hidden="1">
      <c r="A480" s="428"/>
      <c r="B480" s="428"/>
      <c r="C480" s="122"/>
      <c r="D480" s="558"/>
      <c r="E480" s="539"/>
      <c r="F480" s="539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2"/>
      <c r="AE480" s="122"/>
      <c r="AF480" s="122"/>
      <c r="AG480" s="122"/>
      <c r="AH480" s="122"/>
      <c r="AI480" s="122"/>
      <c r="AJ480" s="122"/>
      <c r="AK480" s="122"/>
      <c r="AL480" s="122"/>
      <c r="AM480" s="122"/>
      <c r="AN480" s="122"/>
      <c r="AO480" s="122"/>
      <c r="AP480" s="428"/>
    </row>
    <row r="481" hidden="1">
      <c r="A481" s="428"/>
      <c r="B481" s="428"/>
      <c r="C481" s="122"/>
      <c r="D481" s="558"/>
      <c r="E481" s="539"/>
      <c r="F481" s="539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2"/>
      <c r="AE481" s="122"/>
      <c r="AF481" s="122"/>
      <c r="AG481" s="122"/>
      <c r="AH481" s="122"/>
      <c r="AI481" s="122"/>
      <c r="AJ481" s="122"/>
      <c r="AK481" s="122"/>
      <c r="AL481" s="122"/>
      <c r="AM481" s="122"/>
      <c r="AN481" s="122"/>
      <c r="AO481" s="122"/>
      <c r="AP481" s="428"/>
    </row>
    <row r="482" hidden="1">
      <c r="A482" s="428"/>
      <c r="B482" s="428"/>
      <c r="C482" s="122"/>
      <c r="D482" s="558"/>
      <c r="E482" s="539"/>
      <c r="F482" s="539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2"/>
      <c r="AE482" s="122"/>
      <c r="AF482" s="122"/>
      <c r="AG482" s="122"/>
      <c r="AH482" s="122"/>
      <c r="AI482" s="122"/>
      <c r="AJ482" s="122"/>
      <c r="AK482" s="122"/>
      <c r="AL482" s="122"/>
      <c r="AM482" s="122"/>
      <c r="AN482" s="122"/>
      <c r="AO482" s="122"/>
      <c r="AP482" s="428"/>
    </row>
    <row r="483" hidden="1">
      <c r="A483" s="428"/>
      <c r="B483" s="428"/>
      <c r="C483" s="122"/>
      <c r="D483" s="558"/>
      <c r="E483" s="539"/>
      <c r="F483" s="539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2"/>
      <c r="AE483" s="122"/>
      <c r="AF483" s="122"/>
      <c r="AG483" s="122"/>
      <c r="AH483" s="122"/>
      <c r="AI483" s="122"/>
      <c r="AJ483" s="122"/>
      <c r="AK483" s="122"/>
      <c r="AL483" s="122"/>
      <c r="AM483" s="122"/>
      <c r="AN483" s="122"/>
      <c r="AO483" s="122"/>
      <c r="AP483" s="428"/>
    </row>
    <row r="484" hidden="1">
      <c r="A484" s="428"/>
      <c r="B484" s="428"/>
      <c r="C484" s="122"/>
      <c r="D484" s="558"/>
      <c r="E484" s="539"/>
      <c r="F484" s="539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2"/>
      <c r="AE484" s="122"/>
      <c r="AF484" s="122"/>
      <c r="AG484" s="122"/>
      <c r="AH484" s="122"/>
      <c r="AI484" s="122"/>
      <c r="AJ484" s="122"/>
      <c r="AK484" s="122"/>
      <c r="AL484" s="122"/>
      <c r="AM484" s="122"/>
      <c r="AN484" s="122"/>
      <c r="AO484" s="122"/>
      <c r="AP484" s="428"/>
    </row>
    <row r="485" hidden="1">
      <c r="A485" s="428"/>
      <c r="B485" s="428"/>
      <c r="C485" s="122"/>
      <c r="D485" s="558"/>
      <c r="E485" s="539"/>
      <c r="F485" s="539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2"/>
      <c r="AE485" s="122"/>
      <c r="AF485" s="122"/>
      <c r="AG485" s="122"/>
      <c r="AH485" s="122"/>
      <c r="AI485" s="122"/>
      <c r="AJ485" s="122"/>
      <c r="AK485" s="122"/>
      <c r="AL485" s="122"/>
      <c r="AM485" s="122"/>
      <c r="AN485" s="122"/>
      <c r="AO485" s="122"/>
      <c r="AP485" s="428"/>
    </row>
    <row r="486" hidden="1">
      <c r="A486" s="428"/>
      <c r="B486" s="428"/>
      <c r="C486" s="122"/>
      <c r="D486" s="558"/>
      <c r="E486" s="539"/>
      <c r="F486" s="539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2"/>
      <c r="AE486" s="122"/>
      <c r="AF486" s="122"/>
      <c r="AG486" s="122"/>
      <c r="AH486" s="122"/>
      <c r="AI486" s="122"/>
      <c r="AJ486" s="122"/>
      <c r="AK486" s="122"/>
      <c r="AL486" s="122"/>
      <c r="AM486" s="122"/>
      <c r="AN486" s="122"/>
      <c r="AO486" s="122"/>
      <c r="AP486" s="428"/>
    </row>
    <row r="487" hidden="1">
      <c r="A487" s="428"/>
      <c r="B487" s="428"/>
      <c r="C487" s="122"/>
      <c r="D487" s="558"/>
      <c r="E487" s="539"/>
      <c r="F487" s="539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2"/>
      <c r="AE487" s="122"/>
      <c r="AF487" s="122"/>
      <c r="AG487" s="122"/>
      <c r="AH487" s="122"/>
      <c r="AI487" s="122"/>
      <c r="AJ487" s="122"/>
      <c r="AK487" s="122"/>
      <c r="AL487" s="122"/>
      <c r="AM487" s="122"/>
      <c r="AN487" s="122"/>
      <c r="AO487" s="122"/>
      <c r="AP487" s="428"/>
    </row>
    <row r="488" hidden="1">
      <c r="A488" s="428"/>
      <c r="B488" s="428"/>
      <c r="C488" s="122"/>
      <c r="D488" s="558"/>
      <c r="E488" s="539"/>
      <c r="F488" s="539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2"/>
      <c r="AE488" s="122"/>
      <c r="AF488" s="122"/>
      <c r="AG488" s="122"/>
      <c r="AH488" s="122"/>
      <c r="AI488" s="122"/>
      <c r="AJ488" s="122"/>
      <c r="AK488" s="122"/>
      <c r="AL488" s="122"/>
      <c r="AM488" s="122"/>
      <c r="AN488" s="122"/>
      <c r="AO488" s="122"/>
      <c r="AP488" s="428"/>
    </row>
    <row r="489" hidden="1">
      <c r="A489" s="428"/>
      <c r="B489" s="428"/>
      <c r="C489" s="122"/>
      <c r="D489" s="558"/>
      <c r="E489" s="539"/>
      <c r="F489" s="539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2"/>
      <c r="AE489" s="122"/>
      <c r="AF489" s="122"/>
      <c r="AG489" s="122"/>
      <c r="AH489" s="122"/>
      <c r="AI489" s="122"/>
      <c r="AJ489" s="122"/>
      <c r="AK489" s="122"/>
      <c r="AL489" s="122"/>
      <c r="AM489" s="122"/>
      <c r="AN489" s="122"/>
      <c r="AO489" s="122"/>
      <c r="AP489" s="428"/>
    </row>
    <row r="490" hidden="1">
      <c r="A490" s="428"/>
      <c r="B490" s="428"/>
      <c r="C490" s="122"/>
      <c r="D490" s="558"/>
      <c r="E490" s="539"/>
      <c r="F490" s="539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2"/>
      <c r="AE490" s="122"/>
      <c r="AF490" s="122"/>
      <c r="AG490" s="122"/>
      <c r="AH490" s="122"/>
      <c r="AI490" s="122"/>
      <c r="AJ490" s="122"/>
      <c r="AK490" s="122"/>
      <c r="AL490" s="122"/>
      <c r="AM490" s="122"/>
      <c r="AN490" s="122"/>
      <c r="AO490" s="122"/>
      <c r="AP490" s="428"/>
    </row>
    <row r="491" hidden="1">
      <c r="A491" s="428"/>
      <c r="B491" s="428"/>
      <c r="C491" s="122"/>
      <c r="D491" s="558"/>
      <c r="E491" s="539"/>
      <c r="F491" s="539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2"/>
      <c r="AE491" s="122"/>
      <c r="AF491" s="122"/>
      <c r="AG491" s="122"/>
      <c r="AH491" s="122"/>
      <c r="AI491" s="122"/>
      <c r="AJ491" s="122"/>
      <c r="AK491" s="122"/>
      <c r="AL491" s="122"/>
      <c r="AM491" s="122"/>
      <c r="AN491" s="122"/>
      <c r="AO491" s="122"/>
      <c r="AP491" s="428"/>
    </row>
    <row r="492" hidden="1">
      <c r="A492" s="428"/>
      <c r="B492" s="428"/>
      <c r="C492" s="122"/>
      <c r="D492" s="558"/>
      <c r="E492" s="539"/>
      <c r="F492" s="539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2"/>
      <c r="AE492" s="122"/>
      <c r="AF492" s="122"/>
      <c r="AG492" s="122"/>
      <c r="AH492" s="122"/>
      <c r="AI492" s="122"/>
      <c r="AJ492" s="122"/>
      <c r="AK492" s="122"/>
      <c r="AL492" s="122"/>
      <c r="AM492" s="122"/>
      <c r="AN492" s="122"/>
      <c r="AO492" s="122"/>
      <c r="AP492" s="428"/>
    </row>
    <row r="493" hidden="1">
      <c r="A493" s="428"/>
      <c r="B493" s="428"/>
      <c r="C493" s="122"/>
      <c r="D493" s="558"/>
      <c r="E493" s="539"/>
      <c r="F493" s="539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2"/>
      <c r="AE493" s="122"/>
      <c r="AF493" s="122"/>
      <c r="AG493" s="122"/>
      <c r="AH493" s="122"/>
      <c r="AI493" s="122"/>
      <c r="AJ493" s="122"/>
      <c r="AK493" s="122"/>
      <c r="AL493" s="122"/>
      <c r="AM493" s="122"/>
      <c r="AN493" s="122"/>
      <c r="AO493" s="122"/>
      <c r="AP493" s="428"/>
    </row>
    <row r="494" hidden="1">
      <c r="A494" s="428"/>
      <c r="B494" s="428"/>
      <c r="C494" s="122"/>
      <c r="D494" s="558"/>
      <c r="E494" s="539"/>
      <c r="F494" s="539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2"/>
      <c r="AE494" s="122"/>
      <c r="AF494" s="122"/>
      <c r="AG494" s="122"/>
      <c r="AH494" s="122"/>
      <c r="AI494" s="122"/>
      <c r="AJ494" s="122"/>
      <c r="AK494" s="122"/>
      <c r="AL494" s="122"/>
      <c r="AM494" s="122"/>
      <c r="AN494" s="122"/>
      <c r="AO494" s="122"/>
      <c r="AP494" s="428"/>
    </row>
    <row r="495" hidden="1">
      <c r="A495" s="428"/>
      <c r="B495" s="428"/>
      <c r="C495" s="122"/>
      <c r="D495" s="558"/>
      <c r="E495" s="539"/>
      <c r="F495" s="539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2"/>
      <c r="AE495" s="122"/>
      <c r="AF495" s="122"/>
      <c r="AG495" s="122"/>
      <c r="AH495" s="122"/>
      <c r="AI495" s="122"/>
      <c r="AJ495" s="122"/>
      <c r="AK495" s="122"/>
      <c r="AL495" s="122"/>
      <c r="AM495" s="122"/>
      <c r="AN495" s="122"/>
      <c r="AO495" s="122"/>
      <c r="AP495" s="428"/>
    </row>
    <row r="496" hidden="1">
      <c r="A496" s="428"/>
      <c r="B496" s="428"/>
      <c r="C496" s="122"/>
      <c r="D496" s="558"/>
      <c r="E496" s="539"/>
      <c r="F496" s="539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2"/>
      <c r="AE496" s="122"/>
      <c r="AF496" s="122"/>
      <c r="AG496" s="122"/>
      <c r="AH496" s="122"/>
      <c r="AI496" s="122"/>
      <c r="AJ496" s="122"/>
      <c r="AK496" s="122"/>
      <c r="AL496" s="122"/>
      <c r="AM496" s="122"/>
      <c r="AN496" s="122"/>
      <c r="AO496" s="122"/>
      <c r="AP496" s="428"/>
    </row>
    <row r="497" hidden="1">
      <c r="A497" s="428"/>
      <c r="B497" s="428"/>
      <c r="C497" s="122"/>
      <c r="D497" s="558"/>
      <c r="E497" s="539"/>
      <c r="F497" s="539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2"/>
      <c r="AE497" s="122"/>
      <c r="AF497" s="122"/>
      <c r="AG497" s="122"/>
      <c r="AH497" s="122"/>
      <c r="AI497" s="122"/>
      <c r="AJ497" s="122"/>
      <c r="AK497" s="122"/>
      <c r="AL497" s="122"/>
      <c r="AM497" s="122"/>
      <c r="AN497" s="122"/>
      <c r="AO497" s="122"/>
      <c r="AP497" s="428"/>
    </row>
    <row r="498" hidden="1">
      <c r="A498" s="428"/>
      <c r="B498" s="428"/>
      <c r="C498" s="122"/>
      <c r="D498" s="558"/>
      <c r="E498" s="539"/>
      <c r="F498" s="539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2"/>
      <c r="AE498" s="122"/>
      <c r="AF498" s="122"/>
      <c r="AG498" s="122"/>
      <c r="AH498" s="122"/>
      <c r="AI498" s="122"/>
      <c r="AJ498" s="122"/>
      <c r="AK498" s="122"/>
      <c r="AL498" s="122"/>
      <c r="AM498" s="122"/>
      <c r="AN498" s="122"/>
      <c r="AO498" s="122"/>
      <c r="AP498" s="428"/>
    </row>
    <row r="499" hidden="1">
      <c r="A499" s="428"/>
      <c r="B499" s="428"/>
      <c r="C499" s="122"/>
      <c r="D499" s="558"/>
      <c r="E499" s="539"/>
      <c r="F499" s="539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2"/>
      <c r="AE499" s="122"/>
      <c r="AF499" s="122"/>
      <c r="AG499" s="122"/>
      <c r="AH499" s="122"/>
      <c r="AI499" s="122"/>
      <c r="AJ499" s="122"/>
      <c r="AK499" s="122"/>
      <c r="AL499" s="122"/>
      <c r="AM499" s="122"/>
      <c r="AN499" s="122"/>
      <c r="AO499" s="122"/>
      <c r="AP499" s="428"/>
    </row>
    <row r="500" hidden="1">
      <c r="A500" s="428"/>
      <c r="B500" s="428"/>
      <c r="C500" s="122"/>
      <c r="D500" s="558"/>
      <c r="E500" s="539"/>
      <c r="F500" s="539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2"/>
      <c r="AE500" s="122"/>
      <c r="AF500" s="122"/>
      <c r="AG500" s="122"/>
      <c r="AH500" s="122"/>
      <c r="AI500" s="122"/>
      <c r="AJ500" s="122"/>
      <c r="AK500" s="122"/>
      <c r="AL500" s="122"/>
      <c r="AM500" s="122"/>
      <c r="AN500" s="122"/>
      <c r="AO500" s="122"/>
      <c r="AP500" s="428"/>
    </row>
    <row r="501" hidden="1">
      <c r="A501" s="428"/>
      <c r="B501" s="428"/>
      <c r="C501" s="122"/>
      <c r="D501" s="558"/>
      <c r="E501" s="539"/>
      <c r="F501" s="539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2"/>
      <c r="AE501" s="122"/>
      <c r="AF501" s="122"/>
      <c r="AG501" s="122"/>
      <c r="AH501" s="122"/>
      <c r="AI501" s="122"/>
      <c r="AJ501" s="122"/>
      <c r="AK501" s="122"/>
      <c r="AL501" s="122"/>
      <c r="AM501" s="122"/>
      <c r="AN501" s="122"/>
      <c r="AO501" s="122"/>
      <c r="AP501" s="428"/>
    </row>
    <row r="502" hidden="1">
      <c r="A502" s="428"/>
      <c r="B502" s="428"/>
      <c r="C502" s="122"/>
      <c r="D502" s="558"/>
      <c r="E502" s="539"/>
      <c r="F502" s="539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2"/>
      <c r="AE502" s="122"/>
      <c r="AF502" s="122"/>
      <c r="AG502" s="122"/>
      <c r="AH502" s="122"/>
      <c r="AI502" s="122"/>
      <c r="AJ502" s="122"/>
      <c r="AK502" s="122"/>
      <c r="AL502" s="122"/>
      <c r="AM502" s="122"/>
      <c r="AN502" s="122"/>
      <c r="AO502" s="122"/>
      <c r="AP502" s="428"/>
    </row>
    <row r="503" hidden="1">
      <c r="A503" s="428"/>
      <c r="B503" s="428"/>
      <c r="C503" s="122"/>
      <c r="D503" s="558"/>
      <c r="E503" s="539"/>
      <c r="F503" s="539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2"/>
      <c r="AE503" s="122"/>
      <c r="AF503" s="122"/>
      <c r="AG503" s="122"/>
      <c r="AH503" s="122"/>
      <c r="AI503" s="122"/>
      <c r="AJ503" s="122"/>
      <c r="AK503" s="122"/>
      <c r="AL503" s="122"/>
      <c r="AM503" s="122"/>
      <c r="AN503" s="122"/>
      <c r="AO503" s="122"/>
      <c r="AP503" s="428"/>
    </row>
    <row r="504" hidden="1">
      <c r="A504" s="428"/>
      <c r="B504" s="428"/>
      <c r="C504" s="122"/>
      <c r="D504" s="558"/>
      <c r="E504" s="539"/>
      <c r="F504" s="539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2"/>
      <c r="AE504" s="122"/>
      <c r="AF504" s="122"/>
      <c r="AG504" s="122"/>
      <c r="AH504" s="122"/>
      <c r="AI504" s="122"/>
      <c r="AJ504" s="122"/>
      <c r="AK504" s="122"/>
      <c r="AL504" s="122"/>
      <c r="AM504" s="122"/>
      <c r="AN504" s="122"/>
      <c r="AO504" s="122"/>
      <c r="AP504" s="428"/>
    </row>
    <row r="505" hidden="1">
      <c r="A505" s="428"/>
      <c r="B505" s="428"/>
      <c r="C505" s="122"/>
      <c r="D505" s="558"/>
      <c r="E505" s="539"/>
      <c r="F505" s="539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2"/>
      <c r="AE505" s="122"/>
      <c r="AF505" s="122"/>
      <c r="AG505" s="122"/>
      <c r="AH505" s="122"/>
      <c r="AI505" s="122"/>
      <c r="AJ505" s="122"/>
      <c r="AK505" s="122"/>
      <c r="AL505" s="122"/>
      <c r="AM505" s="122"/>
      <c r="AN505" s="122"/>
      <c r="AO505" s="122"/>
      <c r="AP505" s="428"/>
    </row>
    <row r="506" hidden="1">
      <c r="A506" s="428"/>
      <c r="B506" s="428"/>
      <c r="C506" s="122"/>
      <c r="D506" s="558"/>
      <c r="E506" s="539"/>
      <c r="F506" s="539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2"/>
      <c r="AE506" s="122"/>
      <c r="AF506" s="122"/>
      <c r="AG506" s="122"/>
      <c r="AH506" s="122"/>
      <c r="AI506" s="122"/>
      <c r="AJ506" s="122"/>
      <c r="AK506" s="122"/>
      <c r="AL506" s="122"/>
      <c r="AM506" s="122"/>
      <c r="AN506" s="122"/>
      <c r="AO506" s="122"/>
      <c r="AP506" s="428"/>
    </row>
    <row r="507" hidden="1">
      <c r="A507" s="428"/>
      <c r="B507" s="428"/>
      <c r="C507" s="122"/>
      <c r="D507" s="558"/>
      <c r="E507" s="539"/>
      <c r="F507" s="539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2"/>
      <c r="AE507" s="122"/>
      <c r="AF507" s="122"/>
      <c r="AG507" s="122"/>
      <c r="AH507" s="122"/>
      <c r="AI507" s="122"/>
      <c r="AJ507" s="122"/>
      <c r="AK507" s="122"/>
      <c r="AL507" s="122"/>
      <c r="AM507" s="122"/>
      <c r="AN507" s="122"/>
      <c r="AO507" s="122"/>
      <c r="AP507" s="428"/>
    </row>
    <row r="508" hidden="1">
      <c r="A508" s="428"/>
      <c r="B508" s="428"/>
      <c r="C508" s="122"/>
      <c r="D508" s="558"/>
      <c r="E508" s="539"/>
      <c r="F508" s="539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2"/>
      <c r="AE508" s="122"/>
      <c r="AF508" s="122"/>
      <c r="AG508" s="122"/>
      <c r="AH508" s="122"/>
      <c r="AI508" s="122"/>
      <c r="AJ508" s="122"/>
      <c r="AK508" s="122"/>
      <c r="AL508" s="122"/>
      <c r="AM508" s="122"/>
      <c r="AN508" s="122"/>
      <c r="AO508" s="122"/>
      <c r="AP508" s="428"/>
    </row>
    <row r="509" hidden="1">
      <c r="A509" s="428"/>
      <c r="B509" s="428"/>
      <c r="C509" s="122"/>
      <c r="D509" s="558"/>
      <c r="E509" s="539"/>
      <c r="F509" s="539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2"/>
      <c r="AE509" s="122"/>
      <c r="AF509" s="122"/>
      <c r="AG509" s="122"/>
      <c r="AH509" s="122"/>
      <c r="AI509" s="122"/>
      <c r="AJ509" s="122"/>
      <c r="AK509" s="122"/>
      <c r="AL509" s="122"/>
      <c r="AM509" s="122"/>
      <c r="AN509" s="122"/>
      <c r="AO509" s="122"/>
      <c r="AP509" s="428"/>
    </row>
    <row r="510" hidden="1">
      <c r="A510" s="428"/>
      <c r="B510" s="428"/>
      <c r="C510" s="122"/>
      <c r="D510" s="558"/>
      <c r="E510" s="539"/>
      <c r="F510" s="539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2"/>
      <c r="AE510" s="122"/>
      <c r="AF510" s="122"/>
      <c r="AG510" s="122"/>
      <c r="AH510" s="122"/>
      <c r="AI510" s="122"/>
      <c r="AJ510" s="122"/>
      <c r="AK510" s="122"/>
      <c r="AL510" s="122"/>
      <c r="AM510" s="122"/>
      <c r="AN510" s="122"/>
      <c r="AO510" s="122"/>
      <c r="AP510" s="428"/>
    </row>
    <row r="511" hidden="1">
      <c r="A511" s="428"/>
      <c r="B511" s="428"/>
      <c r="C511" s="122"/>
      <c r="D511" s="558"/>
      <c r="E511" s="539"/>
      <c r="F511" s="539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2"/>
      <c r="AE511" s="122"/>
      <c r="AF511" s="122"/>
      <c r="AG511" s="122"/>
      <c r="AH511" s="122"/>
      <c r="AI511" s="122"/>
      <c r="AJ511" s="122"/>
      <c r="AK511" s="122"/>
      <c r="AL511" s="122"/>
      <c r="AM511" s="122"/>
      <c r="AN511" s="122"/>
      <c r="AO511" s="122"/>
      <c r="AP511" s="428"/>
    </row>
    <row r="512" hidden="1">
      <c r="A512" s="428"/>
      <c r="B512" s="428"/>
      <c r="C512" s="122"/>
      <c r="D512" s="558"/>
      <c r="E512" s="539"/>
      <c r="F512" s="539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2"/>
      <c r="AE512" s="122"/>
      <c r="AF512" s="122"/>
      <c r="AG512" s="122"/>
      <c r="AH512" s="122"/>
      <c r="AI512" s="122"/>
      <c r="AJ512" s="122"/>
      <c r="AK512" s="122"/>
      <c r="AL512" s="122"/>
      <c r="AM512" s="122"/>
      <c r="AN512" s="122"/>
      <c r="AO512" s="122"/>
      <c r="AP512" s="428"/>
    </row>
    <row r="513" hidden="1">
      <c r="A513" s="428"/>
      <c r="B513" s="428"/>
      <c r="C513" s="122"/>
      <c r="D513" s="558"/>
      <c r="E513" s="539"/>
      <c r="F513" s="539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2"/>
      <c r="AE513" s="122"/>
      <c r="AF513" s="122"/>
      <c r="AG513" s="122"/>
      <c r="AH513" s="122"/>
      <c r="AI513" s="122"/>
      <c r="AJ513" s="122"/>
      <c r="AK513" s="122"/>
      <c r="AL513" s="122"/>
      <c r="AM513" s="122"/>
      <c r="AN513" s="122"/>
      <c r="AO513" s="122"/>
      <c r="AP513" s="428"/>
    </row>
    <row r="514" hidden="1">
      <c r="A514" s="428"/>
      <c r="B514" s="428"/>
      <c r="C514" s="122"/>
      <c r="D514" s="558"/>
      <c r="E514" s="539"/>
      <c r="F514" s="539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2"/>
      <c r="AE514" s="122"/>
      <c r="AF514" s="122"/>
      <c r="AG514" s="122"/>
      <c r="AH514" s="122"/>
      <c r="AI514" s="122"/>
      <c r="AJ514" s="122"/>
      <c r="AK514" s="122"/>
      <c r="AL514" s="122"/>
      <c r="AM514" s="122"/>
      <c r="AN514" s="122"/>
      <c r="AO514" s="122"/>
      <c r="AP514" s="428"/>
    </row>
    <row r="515" hidden="1">
      <c r="A515" s="428"/>
      <c r="B515" s="428"/>
      <c r="C515" s="122"/>
      <c r="D515" s="558"/>
      <c r="E515" s="539"/>
      <c r="F515" s="539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2"/>
      <c r="AE515" s="122"/>
      <c r="AF515" s="122"/>
      <c r="AG515" s="122"/>
      <c r="AH515" s="122"/>
      <c r="AI515" s="122"/>
      <c r="AJ515" s="122"/>
      <c r="AK515" s="122"/>
      <c r="AL515" s="122"/>
      <c r="AM515" s="122"/>
      <c r="AN515" s="122"/>
      <c r="AO515" s="122"/>
      <c r="AP515" s="428"/>
    </row>
    <row r="516" hidden="1">
      <c r="A516" s="428"/>
      <c r="B516" s="428"/>
      <c r="C516" s="122"/>
      <c r="D516" s="558"/>
      <c r="E516" s="539"/>
      <c r="F516" s="539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2"/>
      <c r="AE516" s="122"/>
      <c r="AF516" s="122"/>
      <c r="AG516" s="122"/>
      <c r="AH516" s="122"/>
      <c r="AI516" s="122"/>
      <c r="AJ516" s="122"/>
      <c r="AK516" s="122"/>
      <c r="AL516" s="122"/>
      <c r="AM516" s="122"/>
      <c r="AN516" s="122"/>
      <c r="AO516" s="122"/>
      <c r="AP516" s="428"/>
    </row>
    <row r="517" hidden="1">
      <c r="A517" s="428"/>
      <c r="B517" s="428"/>
      <c r="C517" s="122"/>
      <c r="D517" s="558"/>
      <c r="E517" s="539"/>
      <c r="F517" s="539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2"/>
      <c r="AE517" s="122"/>
      <c r="AF517" s="122"/>
      <c r="AG517" s="122"/>
      <c r="AH517" s="122"/>
      <c r="AI517" s="122"/>
      <c r="AJ517" s="122"/>
      <c r="AK517" s="122"/>
      <c r="AL517" s="122"/>
      <c r="AM517" s="122"/>
      <c r="AN517" s="122"/>
      <c r="AO517" s="122"/>
      <c r="AP517" s="428"/>
    </row>
    <row r="518" hidden="1">
      <c r="A518" s="428"/>
      <c r="B518" s="428"/>
      <c r="C518" s="122"/>
      <c r="D518" s="558"/>
      <c r="E518" s="539"/>
      <c r="F518" s="539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2"/>
      <c r="AE518" s="122"/>
      <c r="AF518" s="122"/>
      <c r="AG518" s="122"/>
      <c r="AH518" s="122"/>
      <c r="AI518" s="122"/>
      <c r="AJ518" s="122"/>
      <c r="AK518" s="122"/>
      <c r="AL518" s="122"/>
      <c r="AM518" s="122"/>
      <c r="AN518" s="122"/>
      <c r="AO518" s="122"/>
      <c r="AP518" s="428"/>
    </row>
    <row r="519" hidden="1">
      <c r="A519" s="428"/>
      <c r="B519" s="428"/>
      <c r="C519" s="122"/>
      <c r="D519" s="558"/>
      <c r="E519" s="539"/>
      <c r="F519" s="539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2"/>
      <c r="AE519" s="122"/>
      <c r="AF519" s="122"/>
      <c r="AG519" s="122"/>
      <c r="AH519" s="122"/>
      <c r="AI519" s="122"/>
      <c r="AJ519" s="122"/>
      <c r="AK519" s="122"/>
      <c r="AL519" s="122"/>
      <c r="AM519" s="122"/>
      <c r="AN519" s="122"/>
      <c r="AO519" s="122"/>
      <c r="AP519" s="428"/>
    </row>
    <row r="520" hidden="1">
      <c r="A520" s="428"/>
      <c r="B520" s="428"/>
      <c r="C520" s="122"/>
      <c r="D520" s="558"/>
      <c r="E520" s="539"/>
      <c r="F520" s="539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2"/>
      <c r="AE520" s="122"/>
      <c r="AF520" s="122"/>
      <c r="AG520" s="122"/>
      <c r="AH520" s="122"/>
      <c r="AI520" s="122"/>
      <c r="AJ520" s="122"/>
      <c r="AK520" s="122"/>
      <c r="AL520" s="122"/>
      <c r="AM520" s="122"/>
      <c r="AN520" s="122"/>
      <c r="AO520" s="122"/>
      <c r="AP520" s="428"/>
    </row>
    <row r="521" hidden="1">
      <c r="A521" s="428"/>
      <c r="B521" s="428"/>
      <c r="C521" s="122"/>
      <c r="D521" s="558"/>
      <c r="E521" s="539"/>
      <c r="F521" s="539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2"/>
      <c r="AE521" s="122"/>
      <c r="AF521" s="122"/>
      <c r="AG521" s="122"/>
      <c r="AH521" s="122"/>
      <c r="AI521" s="122"/>
      <c r="AJ521" s="122"/>
      <c r="AK521" s="122"/>
      <c r="AL521" s="122"/>
      <c r="AM521" s="122"/>
      <c r="AN521" s="122"/>
      <c r="AO521" s="122"/>
      <c r="AP521" s="428"/>
    </row>
    <row r="522" hidden="1">
      <c r="A522" s="428"/>
      <c r="B522" s="428"/>
      <c r="C522" s="122"/>
      <c r="D522" s="558"/>
      <c r="E522" s="539"/>
      <c r="F522" s="539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2"/>
      <c r="AE522" s="122"/>
      <c r="AF522" s="122"/>
      <c r="AG522" s="122"/>
      <c r="AH522" s="122"/>
      <c r="AI522" s="122"/>
      <c r="AJ522" s="122"/>
      <c r="AK522" s="122"/>
      <c r="AL522" s="122"/>
      <c r="AM522" s="122"/>
      <c r="AN522" s="122"/>
      <c r="AO522" s="122"/>
      <c r="AP522" s="428"/>
    </row>
    <row r="523" hidden="1">
      <c r="A523" s="428"/>
      <c r="B523" s="428"/>
      <c r="C523" s="122"/>
      <c r="D523" s="558"/>
      <c r="E523" s="539"/>
      <c r="F523" s="539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2"/>
      <c r="AE523" s="122"/>
      <c r="AF523" s="122"/>
      <c r="AG523" s="122"/>
      <c r="AH523" s="122"/>
      <c r="AI523" s="122"/>
      <c r="AJ523" s="122"/>
      <c r="AK523" s="122"/>
      <c r="AL523" s="122"/>
      <c r="AM523" s="122"/>
      <c r="AN523" s="122"/>
      <c r="AO523" s="122"/>
      <c r="AP523" s="428"/>
    </row>
    <row r="524" hidden="1">
      <c r="A524" s="428"/>
      <c r="B524" s="428"/>
      <c r="C524" s="122"/>
      <c r="D524" s="558"/>
      <c r="E524" s="539"/>
      <c r="F524" s="539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2"/>
      <c r="AE524" s="122"/>
      <c r="AF524" s="122"/>
      <c r="AG524" s="122"/>
      <c r="AH524" s="122"/>
      <c r="AI524" s="122"/>
      <c r="AJ524" s="122"/>
      <c r="AK524" s="122"/>
      <c r="AL524" s="122"/>
      <c r="AM524" s="122"/>
      <c r="AN524" s="122"/>
      <c r="AO524" s="122"/>
      <c r="AP524" s="428"/>
    </row>
    <row r="525" hidden="1">
      <c r="A525" s="428"/>
      <c r="B525" s="428"/>
      <c r="C525" s="122"/>
      <c r="D525" s="558"/>
      <c r="E525" s="539"/>
      <c r="F525" s="539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2"/>
      <c r="AE525" s="122"/>
      <c r="AF525" s="122"/>
      <c r="AG525" s="122"/>
      <c r="AH525" s="122"/>
      <c r="AI525" s="122"/>
      <c r="AJ525" s="122"/>
      <c r="AK525" s="122"/>
      <c r="AL525" s="122"/>
      <c r="AM525" s="122"/>
      <c r="AN525" s="122"/>
      <c r="AO525" s="122"/>
      <c r="AP525" s="428"/>
    </row>
    <row r="526" hidden="1">
      <c r="A526" s="428"/>
      <c r="B526" s="428"/>
      <c r="C526" s="122"/>
      <c r="D526" s="558"/>
      <c r="E526" s="539"/>
      <c r="F526" s="539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2"/>
      <c r="AE526" s="122"/>
      <c r="AF526" s="122"/>
      <c r="AG526" s="122"/>
      <c r="AH526" s="122"/>
      <c r="AI526" s="122"/>
      <c r="AJ526" s="122"/>
      <c r="AK526" s="122"/>
      <c r="AL526" s="122"/>
      <c r="AM526" s="122"/>
      <c r="AN526" s="122"/>
      <c r="AO526" s="122"/>
      <c r="AP526" s="428"/>
    </row>
    <row r="527" hidden="1">
      <c r="A527" s="428"/>
      <c r="B527" s="428"/>
      <c r="C527" s="122"/>
      <c r="D527" s="558"/>
      <c r="E527" s="539"/>
      <c r="F527" s="539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2"/>
      <c r="AE527" s="122"/>
      <c r="AF527" s="122"/>
      <c r="AG527" s="122"/>
      <c r="AH527" s="122"/>
      <c r="AI527" s="122"/>
      <c r="AJ527" s="122"/>
      <c r="AK527" s="122"/>
      <c r="AL527" s="122"/>
      <c r="AM527" s="122"/>
      <c r="AN527" s="122"/>
      <c r="AO527" s="122"/>
      <c r="AP527" s="428"/>
    </row>
    <row r="528" hidden="1">
      <c r="A528" s="428"/>
      <c r="B528" s="428"/>
      <c r="C528" s="122"/>
      <c r="D528" s="558"/>
      <c r="E528" s="539"/>
      <c r="F528" s="539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2"/>
      <c r="AE528" s="122"/>
      <c r="AF528" s="122"/>
      <c r="AG528" s="122"/>
      <c r="AH528" s="122"/>
      <c r="AI528" s="122"/>
      <c r="AJ528" s="122"/>
      <c r="AK528" s="122"/>
      <c r="AL528" s="122"/>
      <c r="AM528" s="122"/>
      <c r="AN528" s="122"/>
      <c r="AO528" s="122"/>
      <c r="AP528" s="428"/>
    </row>
    <row r="529" hidden="1">
      <c r="A529" s="428"/>
      <c r="B529" s="428"/>
      <c r="C529" s="122"/>
      <c r="D529" s="558"/>
      <c r="E529" s="539"/>
      <c r="F529" s="539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2"/>
      <c r="AE529" s="122"/>
      <c r="AF529" s="122"/>
      <c r="AG529" s="122"/>
      <c r="AH529" s="122"/>
      <c r="AI529" s="122"/>
      <c r="AJ529" s="122"/>
      <c r="AK529" s="122"/>
      <c r="AL529" s="122"/>
      <c r="AM529" s="122"/>
      <c r="AN529" s="122"/>
      <c r="AO529" s="122"/>
      <c r="AP529" s="428"/>
    </row>
    <row r="530" hidden="1">
      <c r="A530" s="428"/>
      <c r="B530" s="428"/>
      <c r="C530" s="122"/>
      <c r="D530" s="558"/>
      <c r="E530" s="539"/>
      <c r="F530" s="539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2"/>
      <c r="AE530" s="122"/>
      <c r="AF530" s="122"/>
      <c r="AG530" s="122"/>
      <c r="AH530" s="122"/>
      <c r="AI530" s="122"/>
      <c r="AJ530" s="122"/>
      <c r="AK530" s="122"/>
      <c r="AL530" s="122"/>
      <c r="AM530" s="122"/>
      <c r="AN530" s="122"/>
      <c r="AO530" s="122"/>
      <c r="AP530" s="428"/>
    </row>
    <row r="531" hidden="1">
      <c r="A531" s="428"/>
      <c r="B531" s="428"/>
      <c r="C531" s="122"/>
      <c r="D531" s="558"/>
      <c r="E531" s="539"/>
      <c r="F531" s="539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2"/>
      <c r="AE531" s="122"/>
      <c r="AF531" s="122"/>
      <c r="AG531" s="122"/>
      <c r="AH531" s="122"/>
      <c r="AI531" s="122"/>
      <c r="AJ531" s="122"/>
      <c r="AK531" s="122"/>
      <c r="AL531" s="122"/>
      <c r="AM531" s="122"/>
      <c r="AN531" s="122"/>
      <c r="AO531" s="122"/>
      <c r="AP531" s="428"/>
    </row>
    <row r="532" hidden="1">
      <c r="A532" s="428"/>
      <c r="B532" s="428"/>
      <c r="C532" s="122"/>
      <c r="D532" s="558"/>
      <c r="E532" s="539"/>
      <c r="F532" s="539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2"/>
      <c r="AE532" s="122"/>
      <c r="AF532" s="122"/>
      <c r="AG532" s="122"/>
      <c r="AH532" s="122"/>
      <c r="AI532" s="122"/>
      <c r="AJ532" s="122"/>
      <c r="AK532" s="122"/>
      <c r="AL532" s="122"/>
      <c r="AM532" s="122"/>
      <c r="AN532" s="122"/>
      <c r="AO532" s="122"/>
      <c r="AP532" s="428"/>
    </row>
    <row r="533" hidden="1">
      <c r="A533" s="428"/>
      <c r="B533" s="428"/>
      <c r="C533" s="122"/>
      <c r="D533" s="558"/>
      <c r="E533" s="539"/>
      <c r="F533" s="539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2"/>
      <c r="AE533" s="122"/>
      <c r="AF533" s="122"/>
      <c r="AG533" s="122"/>
      <c r="AH533" s="122"/>
      <c r="AI533" s="122"/>
      <c r="AJ533" s="122"/>
      <c r="AK533" s="122"/>
      <c r="AL533" s="122"/>
      <c r="AM533" s="122"/>
      <c r="AN533" s="122"/>
      <c r="AO533" s="122"/>
      <c r="AP533" s="428"/>
    </row>
    <row r="534" hidden="1">
      <c r="A534" s="428"/>
      <c r="B534" s="428"/>
      <c r="C534" s="122"/>
      <c r="D534" s="558"/>
      <c r="E534" s="539"/>
      <c r="F534" s="539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2"/>
      <c r="AE534" s="122"/>
      <c r="AF534" s="122"/>
      <c r="AG534" s="122"/>
      <c r="AH534" s="122"/>
      <c r="AI534" s="122"/>
      <c r="AJ534" s="122"/>
      <c r="AK534" s="122"/>
      <c r="AL534" s="122"/>
      <c r="AM534" s="122"/>
      <c r="AN534" s="122"/>
      <c r="AO534" s="122"/>
      <c r="AP534" s="428"/>
    </row>
    <row r="535" hidden="1">
      <c r="A535" s="428"/>
      <c r="B535" s="428"/>
      <c r="C535" s="122"/>
      <c r="D535" s="558"/>
      <c r="E535" s="539"/>
      <c r="F535" s="539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2"/>
      <c r="AE535" s="122"/>
      <c r="AF535" s="122"/>
      <c r="AG535" s="122"/>
      <c r="AH535" s="122"/>
      <c r="AI535" s="122"/>
      <c r="AJ535" s="122"/>
      <c r="AK535" s="122"/>
      <c r="AL535" s="122"/>
      <c r="AM535" s="122"/>
      <c r="AN535" s="122"/>
      <c r="AO535" s="122"/>
      <c r="AP535" s="428"/>
    </row>
    <row r="536" hidden="1">
      <c r="A536" s="428"/>
      <c r="B536" s="428"/>
      <c r="C536" s="122"/>
      <c r="D536" s="558"/>
      <c r="E536" s="539"/>
      <c r="F536" s="539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2"/>
      <c r="AE536" s="122"/>
      <c r="AF536" s="122"/>
      <c r="AG536" s="122"/>
      <c r="AH536" s="122"/>
      <c r="AI536" s="122"/>
      <c r="AJ536" s="122"/>
      <c r="AK536" s="122"/>
      <c r="AL536" s="122"/>
      <c r="AM536" s="122"/>
      <c r="AN536" s="122"/>
      <c r="AO536" s="122"/>
      <c r="AP536" s="428"/>
    </row>
    <row r="537" hidden="1">
      <c r="A537" s="428"/>
      <c r="B537" s="428"/>
      <c r="C537" s="122"/>
      <c r="D537" s="558"/>
      <c r="E537" s="539"/>
      <c r="F537" s="539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2"/>
      <c r="AE537" s="122"/>
      <c r="AF537" s="122"/>
      <c r="AG537" s="122"/>
      <c r="AH537" s="122"/>
      <c r="AI537" s="122"/>
      <c r="AJ537" s="122"/>
      <c r="AK537" s="122"/>
      <c r="AL537" s="122"/>
      <c r="AM537" s="122"/>
      <c r="AN537" s="122"/>
      <c r="AO537" s="122"/>
      <c r="AP537" s="428"/>
    </row>
    <row r="538" hidden="1">
      <c r="A538" s="428"/>
      <c r="B538" s="428"/>
      <c r="C538" s="122"/>
      <c r="D538" s="558"/>
      <c r="E538" s="539"/>
      <c r="F538" s="539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2"/>
      <c r="AE538" s="122"/>
      <c r="AF538" s="122"/>
      <c r="AG538" s="122"/>
      <c r="AH538" s="122"/>
      <c r="AI538" s="122"/>
      <c r="AJ538" s="122"/>
      <c r="AK538" s="122"/>
      <c r="AL538" s="122"/>
      <c r="AM538" s="122"/>
      <c r="AN538" s="122"/>
      <c r="AO538" s="122"/>
      <c r="AP538" s="428"/>
    </row>
    <row r="539" hidden="1">
      <c r="A539" s="428"/>
      <c r="B539" s="428"/>
      <c r="C539" s="122"/>
      <c r="D539" s="558"/>
      <c r="E539" s="539"/>
      <c r="F539" s="539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2"/>
      <c r="AE539" s="122"/>
      <c r="AF539" s="122"/>
      <c r="AG539" s="122"/>
      <c r="AH539" s="122"/>
      <c r="AI539" s="122"/>
      <c r="AJ539" s="122"/>
      <c r="AK539" s="122"/>
      <c r="AL539" s="122"/>
      <c r="AM539" s="122"/>
      <c r="AN539" s="122"/>
      <c r="AO539" s="122"/>
      <c r="AP539" s="428"/>
    </row>
    <row r="540" hidden="1">
      <c r="A540" s="428"/>
      <c r="B540" s="428"/>
      <c r="C540" s="122"/>
      <c r="D540" s="558"/>
      <c r="E540" s="539"/>
      <c r="F540" s="539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2"/>
      <c r="AE540" s="122"/>
      <c r="AF540" s="122"/>
      <c r="AG540" s="122"/>
      <c r="AH540" s="122"/>
      <c r="AI540" s="122"/>
      <c r="AJ540" s="122"/>
      <c r="AK540" s="122"/>
      <c r="AL540" s="122"/>
      <c r="AM540" s="122"/>
      <c r="AN540" s="122"/>
      <c r="AO540" s="122"/>
      <c r="AP540" s="428"/>
    </row>
    <row r="541" hidden="1">
      <c r="A541" s="428"/>
      <c r="B541" s="428"/>
      <c r="C541" s="122"/>
      <c r="D541" s="558"/>
      <c r="E541" s="539"/>
      <c r="F541" s="539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2"/>
      <c r="AE541" s="122"/>
      <c r="AF541" s="122"/>
      <c r="AG541" s="122"/>
      <c r="AH541" s="122"/>
      <c r="AI541" s="122"/>
      <c r="AJ541" s="122"/>
      <c r="AK541" s="122"/>
      <c r="AL541" s="122"/>
      <c r="AM541" s="122"/>
      <c r="AN541" s="122"/>
      <c r="AO541" s="122"/>
      <c r="AP541" s="428"/>
    </row>
    <row r="542" hidden="1">
      <c r="A542" s="428"/>
      <c r="B542" s="428"/>
      <c r="C542" s="122"/>
      <c r="D542" s="558"/>
      <c r="E542" s="539"/>
      <c r="F542" s="539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2"/>
      <c r="AE542" s="122"/>
      <c r="AF542" s="122"/>
      <c r="AG542" s="122"/>
      <c r="AH542" s="122"/>
      <c r="AI542" s="122"/>
      <c r="AJ542" s="122"/>
      <c r="AK542" s="122"/>
      <c r="AL542" s="122"/>
      <c r="AM542" s="122"/>
      <c r="AN542" s="122"/>
      <c r="AO542" s="122"/>
      <c r="AP542" s="428"/>
    </row>
    <row r="543" hidden="1">
      <c r="A543" s="428"/>
      <c r="B543" s="428"/>
      <c r="C543" s="122"/>
      <c r="D543" s="558"/>
      <c r="E543" s="539"/>
      <c r="F543" s="539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2"/>
      <c r="AE543" s="122"/>
      <c r="AF543" s="122"/>
      <c r="AG543" s="122"/>
      <c r="AH543" s="122"/>
      <c r="AI543" s="122"/>
      <c r="AJ543" s="122"/>
      <c r="AK543" s="122"/>
      <c r="AL543" s="122"/>
      <c r="AM543" s="122"/>
      <c r="AN543" s="122"/>
      <c r="AO543" s="122"/>
      <c r="AP543" s="428"/>
    </row>
    <row r="544" hidden="1">
      <c r="A544" s="428"/>
      <c r="B544" s="428"/>
      <c r="C544" s="122"/>
      <c r="D544" s="558"/>
      <c r="E544" s="539"/>
      <c r="F544" s="539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2"/>
      <c r="AE544" s="122"/>
      <c r="AF544" s="122"/>
      <c r="AG544" s="122"/>
      <c r="AH544" s="122"/>
      <c r="AI544" s="122"/>
      <c r="AJ544" s="122"/>
      <c r="AK544" s="122"/>
      <c r="AL544" s="122"/>
      <c r="AM544" s="122"/>
      <c r="AN544" s="122"/>
      <c r="AO544" s="122"/>
      <c r="AP544" s="428"/>
    </row>
    <row r="545" hidden="1">
      <c r="A545" s="428"/>
      <c r="B545" s="428"/>
      <c r="C545" s="122"/>
      <c r="D545" s="558"/>
      <c r="E545" s="539"/>
      <c r="F545" s="539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2"/>
      <c r="AE545" s="122"/>
      <c r="AF545" s="122"/>
      <c r="AG545" s="122"/>
      <c r="AH545" s="122"/>
      <c r="AI545" s="122"/>
      <c r="AJ545" s="122"/>
      <c r="AK545" s="122"/>
      <c r="AL545" s="122"/>
      <c r="AM545" s="122"/>
      <c r="AN545" s="122"/>
      <c r="AO545" s="122"/>
      <c r="AP545" s="428"/>
    </row>
    <row r="546" hidden="1">
      <c r="A546" s="428"/>
      <c r="B546" s="428"/>
      <c r="C546" s="122"/>
      <c r="D546" s="558"/>
      <c r="E546" s="539"/>
      <c r="F546" s="539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2"/>
      <c r="AE546" s="122"/>
      <c r="AF546" s="122"/>
      <c r="AG546" s="122"/>
      <c r="AH546" s="122"/>
      <c r="AI546" s="122"/>
      <c r="AJ546" s="122"/>
      <c r="AK546" s="122"/>
      <c r="AL546" s="122"/>
      <c r="AM546" s="122"/>
      <c r="AN546" s="122"/>
      <c r="AO546" s="122"/>
      <c r="AP546" s="428"/>
    </row>
    <row r="547" hidden="1">
      <c r="A547" s="428"/>
      <c r="B547" s="428"/>
      <c r="C547" s="122"/>
      <c r="D547" s="558"/>
      <c r="E547" s="539"/>
      <c r="F547" s="539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2"/>
      <c r="AE547" s="122"/>
      <c r="AF547" s="122"/>
      <c r="AG547" s="122"/>
      <c r="AH547" s="122"/>
      <c r="AI547" s="122"/>
      <c r="AJ547" s="122"/>
      <c r="AK547" s="122"/>
      <c r="AL547" s="122"/>
      <c r="AM547" s="122"/>
      <c r="AN547" s="122"/>
      <c r="AO547" s="122"/>
      <c r="AP547" s="428"/>
    </row>
    <row r="548" hidden="1">
      <c r="A548" s="428"/>
      <c r="B548" s="428"/>
      <c r="C548" s="122"/>
      <c r="D548" s="558"/>
      <c r="E548" s="539"/>
      <c r="F548" s="539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2"/>
      <c r="AE548" s="122"/>
      <c r="AF548" s="122"/>
      <c r="AG548" s="122"/>
      <c r="AH548" s="122"/>
      <c r="AI548" s="122"/>
      <c r="AJ548" s="122"/>
      <c r="AK548" s="122"/>
      <c r="AL548" s="122"/>
      <c r="AM548" s="122"/>
      <c r="AN548" s="122"/>
      <c r="AO548" s="122"/>
      <c r="AP548" s="428"/>
    </row>
    <row r="549" hidden="1">
      <c r="A549" s="428"/>
      <c r="B549" s="428"/>
      <c r="C549" s="122"/>
      <c r="D549" s="558"/>
      <c r="E549" s="539"/>
      <c r="F549" s="539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2"/>
      <c r="AE549" s="122"/>
      <c r="AF549" s="122"/>
      <c r="AG549" s="122"/>
      <c r="AH549" s="122"/>
      <c r="AI549" s="122"/>
      <c r="AJ549" s="122"/>
      <c r="AK549" s="122"/>
      <c r="AL549" s="122"/>
      <c r="AM549" s="122"/>
      <c r="AN549" s="122"/>
      <c r="AO549" s="122"/>
      <c r="AP549" s="428"/>
    </row>
    <row r="550" hidden="1">
      <c r="A550" s="428"/>
      <c r="B550" s="428"/>
      <c r="C550" s="122"/>
      <c r="D550" s="558"/>
      <c r="E550" s="539"/>
      <c r="F550" s="539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2"/>
      <c r="AE550" s="122"/>
      <c r="AF550" s="122"/>
      <c r="AG550" s="122"/>
      <c r="AH550" s="122"/>
      <c r="AI550" s="122"/>
      <c r="AJ550" s="122"/>
      <c r="AK550" s="122"/>
      <c r="AL550" s="122"/>
      <c r="AM550" s="122"/>
      <c r="AN550" s="122"/>
      <c r="AO550" s="122"/>
      <c r="AP550" s="428"/>
    </row>
    <row r="551" hidden="1">
      <c r="A551" s="428"/>
      <c r="B551" s="428"/>
      <c r="C551" s="122"/>
      <c r="D551" s="558"/>
      <c r="E551" s="539"/>
      <c r="F551" s="539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2"/>
      <c r="AE551" s="122"/>
      <c r="AF551" s="122"/>
      <c r="AG551" s="122"/>
      <c r="AH551" s="122"/>
      <c r="AI551" s="122"/>
      <c r="AJ551" s="122"/>
      <c r="AK551" s="122"/>
      <c r="AL551" s="122"/>
      <c r="AM551" s="122"/>
      <c r="AN551" s="122"/>
      <c r="AO551" s="122"/>
      <c r="AP551" s="428"/>
    </row>
    <row r="552" hidden="1">
      <c r="A552" s="428"/>
      <c r="B552" s="428"/>
      <c r="C552" s="122"/>
      <c r="D552" s="558"/>
      <c r="E552" s="539"/>
      <c r="F552" s="539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2"/>
      <c r="AE552" s="122"/>
      <c r="AF552" s="122"/>
      <c r="AG552" s="122"/>
      <c r="AH552" s="122"/>
      <c r="AI552" s="122"/>
      <c r="AJ552" s="122"/>
      <c r="AK552" s="122"/>
      <c r="AL552" s="122"/>
      <c r="AM552" s="122"/>
      <c r="AN552" s="122"/>
      <c r="AO552" s="122"/>
      <c r="AP552" s="428"/>
    </row>
    <row r="553" hidden="1">
      <c r="A553" s="428"/>
      <c r="B553" s="428"/>
      <c r="C553" s="122"/>
      <c r="D553" s="558"/>
      <c r="E553" s="539"/>
      <c r="F553" s="539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2"/>
      <c r="AE553" s="122"/>
      <c r="AF553" s="122"/>
      <c r="AG553" s="122"/>
      <c r="AH553" s="122"/>
      <c r="AI553" s="122"/>
      <c r="AJ553" s="122"/>
      <c r="AK553" s="122"/>
      <c r="AL553" s="122"/>
      <c r="AM553" s="122"/>
      <c r="AN553" s="122"/>
      <c r="AO553" s="122"/>
      <c r="AP553" s="428"/>
    </row>
    <row r="554" hidden="1">
      <c r="A554" s="428"/>
      <c r="B554" s="428"/>
      <c r="C554" s="122"/>
      <c r="D554" s="558"/>
      <c r="E554" s="539"/>
      <c r="F554" s="539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2"/>
      <c r="AE554" s="122"/>
      <c r="AF554" s="122"/>
      <c r="AG554" s="122"/>
      <c r="AH554" s="122"/>
      <c r="AI554" s="122"/>
      <c r="AJ554" s="122"/>
      <c r="AK554" s="122"/>
      <c r="AL554" s="122"/>
      <c r="AM554" s="122"/>
      <c r="AN554" s="122"/>
      <c r="AO554" s="122"/>
      <c r="AP554" s="428"/>
    </row>
    <row r="555" hidden="1">
      <c r="A555" s="428"/>
      <c r="B555" s="428"/>
      <c r="C555" s="122"/>
      <c r="D555" s="558"/>
      <c r="E555" s="539"/>
      <c r="F555" s="539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2"/>
      <c r="AE555" s="122"/>
      <c r="AF555" s="122"/>
      <c r="AG555" s="122"/>
      <c r="AH555" s="122"/>
      <c r="AI555" s="122"/>
      <c r="AJ555" s="122"/>
      <c r="AK555" s="122"/>
      <c r="AL555" s="122"/>
      <c r="AM555" s="122"/>
      <c r="AN555" s="122"/>
      <c r="AO555" s="122"/>
      <c r="AP555" s="428"/>
    </row>
    <row r="556" hidden="1">
      <c r="A556" s="428"/>
      <c r="B556" s="428"/>
      <c r="C556" s="122"/>
      <c r="D556" s="558"/>
      <c r="E556" s="539"/>
      <c r="F556" s="539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2"/>
      <c r="AE556" s="122"/>
      <c r="AF556" s="122"/>
      <c r="AG556" s="122"/>
      <c r="AH556" s="122"/>
      <c r="AI556" s="122"/>
      <c r="AJ556" s="122"/>
      <c r="AK556" s="122"/>
      <c r="AL556" s="122"/>
      <c r="AM556" s="122"/>
      <c r="AN556" s="122"/>
      <c r="AO556" s="122"/>
      <c r="AP556" s="428"/>
    </row>
    <row r="557" hidden="1">
      <c r="A557" s="428"/>
      <c r="B557" s="428"/>
      <c r="C557" s="122"/>
      <c r="D557" s="558"/>
      <c r="E557" s="539"/>
      <c r="F557" s="539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2"/>
      <c r="AE557" s="122"/>
      <c r="AF557" s="122"/>
      <c r="AG557" s="122"/>
      <c r="AH557" s="122"/>
      <c r="AI557" s="122"/>
      <c r="AJ557" s="122"/>
      <c r="AK557" s="122"/>
      <c r="AL557" s="122"/>
      <c r="AM557" s="122"/>
      <c r="AN557" s="122"/>
      <c r="AO557" s="122"/>
      <c r="AP557" s="428"/>
    </row>
    <row r="558" hidden="1">
      <c r="A558" s="428"/>
      <c r="B558" s="428"/>
      <c r="C558" s="122"/>
      <c r="D558" s="558"/>
      <c r="E558" s="539"/>
      <c r="F558" s="539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2"/>
      <c r="AE558" s="122"/>
      <c r="AF558" s="122"/>
      <c r="AG558" s="122"/>
      <c r="AH558" s="122"/>
      <c r="AI558" s="122"/>
      <c r="AJ558" s="122"/>
      <c r="AK558" s="122"/>
      <c r="AL558" s="122"/>
      <c r="AM558" s="122"/>
      <c r="AN558" s="122"/>
      <c r="AO558" s="122"/>
      <c r="AP558" s="428"/>
    </row>
    <row r="559" hidden="1">
      <c r="A559" s="428"/>
      <c r="B559" s="428"/>
      <c r="C559" s="122"/>
      <c r="D559" s="558"/>
      <c r="E559" s="539"/>
      <c r="F559" s="539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2"/>
      <c r="AE559" s="122"/>
      <c r="AF559" s="122"/>
      <c r="AG559" s="122"/>
      <c r="AH559" s="122"/>
      <c r="AI559" s="122"/>
      <c r="AJ559" s="122"/>
      <c r="AK559" s="122"/>
      <c r="AL559" s="122"/>
      <c r="AM559" s="122"/>
      <c r="AN559" s="122"/>
      <c r="AO559" s="122"/>
      <c r="AP559" s="428"/>
    </row>
    <row r="560" hidden="1">
      <c r="A560" s="428"/>
      <c r="B560" s="428"/>
      <c r="C560" s="122"/>
      <c r="D560" s="558"/>
      <c r="E560" s="539"/>
      <c r="F560" s="539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2"/>
      <c r="AE560" s="122"/>
      <c r="AF560" s="122"/>
      <c r="AG560" s="122"/>
      <c r="AH560" s="122"/>
      <c r="AI560" s="122"/>
      <c r="AJ560" s="122"/>
      <c r="AK560" s="122"/>
      <c r="AL560" s="122"/>
      <c r="AM560" s="122"/>
      <c r="AN560" s="122"/>
      <c r="AO560" s="122"/>
      <c r="AP560" s="428"/>
    </row>
    <row r="561" hidden="1">
      <c r="A561" s="428"/>
      <c r="B561" s="428"/>
      <c r="C561" s="122"/>
      <c r="D561" s="558"/>
      <c r="E561" s="539"/>
      <c r="F561" s="539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2"/>
      <c r="AE561" s="122"/>
      <c r="AF561" s="122"/>
      <c r="AG561" s="122"/>
      <c r="AH561" s="122"/>
      <c r="AI561" s="122"/>
      <c r="AJ561" s="122"/>
      <c r="AK561" s="122"/>
      <c r="AL561" s="122"/>
      <c r="AM561" s="122"/>
      <c r="AN561" s="122"/>
      <c r="AO561" s="122"/>
      <c r="AP561" s="428"/>
    </row>
    <row r="562" hidden="1">
      <c r="A562" s="428"/>
      <c r="B562" s="428"/>
      <c r="C562" s="122"/>
      <c r="D562" s="558"/>
      <c r="E562" s="539"/>
      <c r="F562" s="539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2"/>
      <c r="AE562" s="122"/>
      <c r="AF562" s="122"/>
      <c r="AG562" s="122"/>
      <c r="AH562" s="122"/>
      <c r="AI562" s="122"/>
      <c r="AJ562" s="122"/>
      <c r="AK562" s="122"/>
      <c r="AL562" s="122"/>
      <c r="AM562" s="122"/>
      <c r="AN562" s="122"/>
      <c r="AO562" s="122"/>
      <c r="AP562" s="428"/>
    </row>
    <row r="563" hidden="1">
      <c r="A563" s="428"/>
      <c r="B563" s="428"/>
      <c r="C563" s="122"/>
      <c r="D563" s="558"/>
      <c r="E563" s="539"/>
      <c r="F563" s="539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2"/>
      <c r="AE563" s="122"/>
      <c r="AF563" s="122"/>
      <c r="AG563" s="122"/>
      <c r="AH563" s="122"/>
      <c r="AI563" s="122"/>
      <c r="AJ563" s="122"/>
      <c r="AK563" s="122"/>
      <c r="AL563" s="122"/>
      <c r="AM563" s="122"/>
      <c r="AN563" s="122"/>
      <c r="AO563" s="122"/>
      <c r="AP563" s="428"/>
    </row>
    <row r="564" hidden="1">
      <c r="A564" s="428"/>
      <c r="B564" s="428"/>
      <c r="C564" s="122"/>
      <c r="D564" s="558"/>
      <c r="E564" s="539"/>
      <c r="F564" s="539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2"/>
      <c r="AE564" s="122"/>
      <c r="AF564" s="122"/>
      <c r="AG564" s="122"/>
      <c r="AH564" s="122"/>
      <c r="AI564" s="122"/>
      <c r="AJ564" s="122"/>
      <c r="AK564" s="122"/>
      <c r="AL564" s="122"/>
      <c r="AM564" s="122"/>
      <c r="AN564" s="122"/>
      <c r="AO564" s="122"/>
      <c r="AP564" s="428"/>
    </row>
    <row r="565" hidden="1">
      <c r="A565" s="428"/>
      <c r="B565" s="428"/>
      <c r="C565" s="122"/>
      <c r="D565" s="558"/>
      <c r="E565" s="539"/>
      <c r="F565" s="539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2"/>
      <c r="AE565" s="122"/>
      <c r="AF565" s="122"/>
      <c r="AG565" s="122"/>
      <c r="AH565" s="122"/>
      <c r="AI565" s="122"/>
      <c r="AJ565" s="122"/>
      <c r="AK565" s="122"/>
      <c r="AL565" s="122"/>
      <c r="AM565" s="122"/>
      <c r="AN565" s="122"/>
      <c r="AO565" s="122"/>
      <c r="AP565" s="428"/>
    </row>
    <row r="566" hidden="1">
      <c r="A566" s="428"/>
      <c r="B566" s="428"/>
      <c r="C566" s="122"/>
      <c r="D566" s="558"/>
      <c r="E566" s="539"/>
      <c r="F566" s="539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2"/>
      <c r="AE566" s="122"/>
      <c r="AF566" s="122"/>
      <c r="AG566" s="122"/>
      <c r="AH566" s="122"/>
      <c r="AI566" s="122"/>
      <c r="AJ566" s="122"/>
      <c r="AK566" s="122"/>
      <c r="AL566" s="122"/>
      <c r="AM566" s="122"/>
      <c r="AN566" s="122"/>
      <c r="AO566" s="122"/>
      <c r="AP566" s="428"/>
    </row>
    <row r="567" hidden="1">
      <c r="A567" s="428"/>
      <c r="B567" s="428"/>
      <c r="C567" s="122"/>
      <c r="D567" s="558"/>
      <c r="E567" s="539"/>
      <c r="F567" s="539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2"/>
      <c r="AE567" s="122"/>
      <c r="AF567" s="122"/>
      <c r="AG567" s="122"/>
      <c r="AH567" s="122"/>
      <c r="AI567" s="122"/>
      <c r="AJ567" s="122"/>
      <c r="AK567" s="122"/>
      <c r="AL567" s="122"/>
      <c r="AM567" s="122"/>
      <c r="AN567" s="122"/>
      <c r="AO567" s="122"/>
      <c r="AP567" s="428"/>
    </row>
    <row r="568" hidden="1">
      <c r="A568" s="428"/>
      <c r="B568" s="428"/>
      <c r="C568" s="122"/>
      <c r="D568" s="558"/>
      <c r="E568" s="539"/>
      <c r="F568" s="539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2"/>
      <c r="AE568" s="122"/>
      <c r="AF568" s="122"/>
      <c r="AG568" s="122"/>
      <c r="AH568" s="122"/>
      <c r="AI568" s="122"/>
      <c r="AJ568" s="122"/>
      <c r="AK568" s="122"/>
      <c r="AL568" s="122"/>
      <c r="AM568" s="122"/>
      <c r="AN568" s="122"/>
      <c r="AO568" s="122"/>
      <c r="AP568" s="428"/>
    </row>
    <row r="569" hidden="1">
      <c r="A569" s="428"/>
      <c r="B569" s="428"/>
      <c r="C569" s="122"/>
      <c r="D569" s="558"/>
      <c r="E569" s="539"/>
      <c r="F569" s="539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2"/>
      <c r="AE569" s="122"/>
      <c r="AF569" s="122"/>
      <c r="AG569" s="122"/>
      <c r="AH569" s="122"/>
      <c r="AI569" s="122"/>
      <c r="AJ569" s="122"/>
      <c r="AK569" s="122"/>
      <c r="AL569" s="122"/>
      <c r="AM569" s="122"/>
      <c r="AN569" s="122"/>
      <c r="AO569" s="122"/>
      <c r="AP569" s="428"/>
    </row>
    <row r="570" hidden="1">
      <c r="A570" s="428"/>
      <c r="B570" s="428"/>
      <c r="C570" s="122"/>
      <c r="D570" s="558"/>
      <c r="E570" s="539"/>
      <c r="F570" s="539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2"/>
      <c r="AE570" s="122"/>
      <c r="AF570" s="122"/>
      <c r="AG570" s="122"/>
      <c r="AH570" s="122"/>
      <c r="AI570" s="122"/>
      <c r="AJ570" s="122"/>
      <c r="AK570" s="122"/>
      <c r="AL570" s="122"/>
      <c r="AM570" s="122"/>
      <c r="AN570" s="122"/>
      <c r="AO570" s="122"/>
      <c r="AP570" s="428"/>
    </row>
    <row r="571" hidden="1">
      <c r="A571" s="428"/>
      <c r="B571" s="428"/>
      <c r="C571" s="122"/>
      <c r="D571" s="558"/>
      <c r="E571" s="539"/>
      <c r="F571" s="539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2"/>
      <c r="AE571" s="122"/>
      <c r="AF571" s="122"/>
      <c r="AG571" s="122"/>
      <c r="AH571" s="122"/>
      <c r="AI571" s="122"/>
      <c r="AJ571" s="122"/>
      <c r="AK571" s="122"/>
      <c r="AL571" s="122"/>
      <c r="AM571" s="122"/>
      <c r="AN571" s="122"/>
      <c r="AO571" s="122"/>
      <c r="AP571" s="428"/>
    </row>
    <row r="572" hidden="1">
      <c r="A572" s="428"/>
      <c r="B572" s="428"/>
      <c r="C572" s="122"/>
      <c r="D572" s="558"/>
      <c r="E572" s="539"/>
      <c r="F572" s="539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2"/>
      <c r="AE572" s="122"/>
      <c r="AF572" s="122"/>
      <c r="AG572" s="122"/>
      <c r="AH572" s="122"/>
      <c r="AI572" s="122"/>
      <c r="AJ572" s="122"/>
      <c r="AK572" s="122"/>
      <c r="AL572" s="122"/>
      <c r="AM572" s="122"/>
      <c r="AN572" s="122"/>
      <c r="AO572" s="122"/>
      <c r="AP572" s="428"/>
    </row>
    <row r="573" hidden="1">
      <c r="A573" s="428"/>
      <c r="B573" s="428"/>
      <c r="C573" s="122"/>
      <c r="D573" s="558"/>
      <c r="E573" s="539"/>
      <c r="F573" s="539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2"/>
      <c r="AE573" s="122"/>
      <c r="AF573" s="122"/>
      <c r="AG573" s="122"/>
      <c r="AH573" s="122"/>
      <c r="AI573" s="122"/>
      <c r="AJ573" s="122"/>
      <c r="AK573" s="122"/>
      <c r="AL573" s="122"/>
      <c r="AM573" s="122"/>
      <c r="AN573" s="122"/>
      <c r="AO573" s="122"/>
      <c r="AP573" s="428"/>
    </row>
    <row r="574" hidden="1">
      <c r="A574" s="428"/>
      <c r="B574" s="428"/>
      <c r="C574" s="122"/>
      <c r="D574" s="558"/>
      <c r="E574" s="539"/>
      <c r="F574" s="539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2"/>
      <c r="AE574" s="122"/>
      <c r="AF574" s="122"/>
      <c r="AG574" s="122"/>
      <c r="AH574" s="122"/>
      <c r="AI574" s="122"/>
      <c r="AJ574" s="122"/>
      <c r="AK574" s="122"/>
      <c r="AL574" s="122"/>
      <c r="AM574" s="122"/>
      <c r="AN574" s="122"/>
      <c r="AO574" s="122"/>
      <c r="AP574" s="428"/>
    </row>
    <row r="575" hidden="1">
      <c r="A575" s="428"/>
      <c r="B575" s="428"/>
      <c r="C575" s="122"/>
      <c r="D575" s="558"/>
      <c r="E575" s="539"/>
      <c r="F575" s="539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2"/>
      <c r="AE575" s="122"/>
      <c r="AF575" s="122"/>
      <c r="AG575" s="122"/>
      <c r="AH575" s="122"/>
      <c r="AI575" s="122"/>
      <c r="AJ575" s="122"/>
      <c r="AK575" s="122"/>
      <c r="AL575" s="122"/>
      <c r="AM575" s="122"/>
      <c r="AN575" s="122"/>
      <c r="AO575" s="122"/>
      <c r="AP575" s="428"/>
    </row>
    <row r="576" hidden="1">
      <c r="A576" s="428"/>
      <c r="B576" s="428"/>
      <c r="C576" s="122"/>
      <c r="D576" s="558"/>
      <c r="E576" s="539"/>
      <c r="F576" s="539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2"/>
      <c r="AE576" s="122"/>
      <c r="AF576" s="122"/>
      <c r="AG576" s="122"/>
      <c r="AH576" s="122"/>
      <c r="AI576" s="122"/>
      <c r="AJ576" s="122"/>
      <c r="AK576" s="122"/>
      <c r="AL576" s="122"/>
      <c r="AM576" s="122"/>
      <c r="AN576" s="122"/>
      <c r="AO576" s="122"/>
      <c r="AP576" s="428"/>
    </row>
    <row r="577" hidden="1">
      <c r="A577" s="428"/>
      <c r="B577" s="428"/>
      <c r="C577" s="122"/>
      <c r="D577" s="558"/>
      <c r="E577" s="539"/>
      <c r="F577" s="539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2"/>
      <c r="AE577" s="122"/>
      <c r="AF577" s="122"/>
      <c r="AG577" s="122"/>
      <c r="AH577" s="122"/>
      <c r="AI577" s="122"/>
      <c r="AJ577" s="122"/>
      <c r="AK577" s="122"/>
      <c r="AL577" s="122"/>
      <c r="AM577" s="122"/>
      <c r="AN577" s="122"/>
      <c r="AO577" s="122"/>
      <c r="AP577" s="428"/>
    </row>
    <row r="578" hidden="1">
      <c r="A578" s="428"/>
      <c r="B578" s="428"/>
      <c r="C578" s="122"/>
      <c r="D578" s="558"/>
      <c r="E578" s="539"/>
      <c r="F578" s="539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2"/>
      <c r="AE578" s="122"/>
      <c r="AF578" s="122"/>
      <c r="AG578" s="122"/>
      <c r="AH578" s="122"/>
      <c r="AI578" s="122"/>
      <c r="AJ578" s="122"/>
      <c r="AK578" s="122"/>
      <c r="AL578" s="122"/>
      <c r="AM578" s="122"/>
      <c r="AN578" s="122"/>
      <c r="AO578" s="122"/>
      <c r="AP578" s="428"/>
    </row>
    <row r="579" hidden="1">
      <c r="A579" s="428"/>
      <c r="B579" s="428"/>
      <c r="C579" s="122"/>
      <c r="D579" s="558"/>
      <c r="E579" s="539"/>
      <c r="F579" s="539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2"/>
      <c r="AE579" s="122"/>
      <c r="AF579" s="122"/>
      <c r="AG579" s="122"/>
      <c r="AH579" s="122"/>
      <c r="AI579" s="122"/>
      <c r="AJ579" s="122"/>
      <c r="AK579" s="122"/>
      <c r="AL579" s="122"/>
      <c r="AM579" s="122"/>
      <c r="AN579" s="122"/>
      <c r="AO579" s="122"/>
      <c r="AP579" s="428"/>
    </row>
    <row r="580" hidden="1">
      <c r="A580" s="428"/>
      <c r="B580" s="428"/>
      <c r="C580" s="122"/>
      <c r="D580" s="558"/>
      <c r="E580" s="539"/>
      <c r="F580" s="539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2"/>
      <c r="AE580" s="122"/>
      <c r="AF580" s="122"/>
      <c r="AG580" s="122"/>
      <c r="AH580" s="122"/>
      <c r="AI580" s="122"/>
      <c r="AJ580" s="122"/>
      <c r="AK580" s="122"/>
      <c r="AL580" s="122"/>
      <c r="AM580" s="122"/>
      <c r="AN580" s="122"/>
      <c r="AO580" s="122"/>
      <c r="AP580" s="428"/>
    </row>
    <row r="581" hidden="1">
      <c r="A581" s="428"/>
      <c r="B581" s="428"/>
      <c r="C581" s="122"/>
      <c r="D581" s="558"/>
      <c r="E581" s="539"/>
      <c r="F581" s="539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2"/>
      <c r="AE581" s="122"/>
      <c r="AF581" s="122"/>
      <c r="AG581" s="122"/>
      <c r="AH581" s="122"/>
      <c r="AI581" s="122"/>
      <c r="AJ581" s="122"/>
      <c r="AK581" s="122"/>
      <c r="AL581" s="122"/>
      <c r="AM581" s="122"/>
      <c r="AN581" s="122"/>
      <c r="AO581" s="122"/>
      <c r="AP581" s="428"/>
    </row>
    <row r="582" hidden="1">
      <c r="A582" s="428"/>
      <c r="B582" s="428"/>
      <c r="C582" s="122"/>
      <c r="D582" s="558"/>
      <c r="E582" s="539"/>
      <c r="F582" s="539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2"/>
      <c r="AE582" s="122"/>
      <c r="AF582" s="122"/>
      <c r="AG582" s="122"/>
      <c r="AH582" s="122"/>
      <c r="AI582" s="122"/>
      <c r="AJ582" s="122"/>
      <c r="AK582" s="122"/>
      <c r="AL582" s="122"/>
      <c r="AM582" s="122"/>
      <c r="AN582" s="122"/>
      <c r="AO582" s="122"/>
      <c r="AP582" s="428"/>
    </row>
    <row r="583" hidden="1">
      <c r="A583" s="428"/>
      <c r="B583" s="428"/>
      <c r="C583" s="122"/>
      <c r="D583" s="558"/>
      <c r="E583" s="539"/>
      <c r="F583" s="539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2"/>
      <c r="AE583" s="122"/>
      <c r="AF583" s="122"/>
      <c r="AG583" s="122"/>
      <c r="AH583" s="122"/>
      <c r="AI583" s="122"/>
      <c r="AJ583" s="122"/>
      <c r="AK583" s="122"/>
      <c r="AL583" s="122"/>
      <c r="AM583" s="122"/>
      <c r="AN583" s="122"/>
      <c r="AO583" s="122"/>
      <c r="AP583" s="428"/>
    </row>
    <row r="584" hidden="1">
      <c r="A584" s="428"/>
      <c r="B584" s="428"/>
      <c r="C584" s="122"/>
      <c r="D584" s="558"/>
      <c r="E584" s="539"/>
      <c r="F584" s="539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2"/>
      <c r="AE584" s="122"/>
      <c r="AF584" s="122"/>
      <c r="AG584" s="122"/>
      <c r="AH584" s="122"/>
      <c r="AI584" s="122"/>
      <c r="AJ584" s="122"/>
      <c r="AK584" s="122"/>
      <c r="AL584" s="122"/>
      <c r="AM584" s="122"/>
      <c r="AN584" s="122"/>
      <c r="AO584" s="122"/>
      <c r="AP584" s="428"/>
    </row>
    <row r="585" hidden="1">
      <c r="A585" s="428"/>
      <c r="B585" s="428"/>
      <c r="C585" s="122"/>
      <c r="D585" s="558"/>
      <c r="E585" s="539"/>
      <c r="F585" s="539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2"/>
      <c r="AE585" s="122"/>
      <c r="AF585" s="122"/>
      <c r="AG585" s="122"/>
      <c r="AH585" s="122"/>
      <c r="AI585" s="122"/>
      <c r="AJ585" s="122"/>
      <c r="AK585" s="122"/>
      <c r="AL585" s="122"/>
      <c r="AM585" s="122"/>
      <c r="AN585" s="122"/>
      <c r="AO585" s="122"/>
      <c r="AP585" s="428"/>
    </row>
    <row r="586" hidden="1">
      <c r="A586" s="428"/>
      <c r="B586" s="428"/>
      <c r="C586" s="122"/>
      <c r="D586" s="558"/>
      <c r="E586" s="539"/>
      <c r="F586" s="539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2"/>
      <c r="AE586" s="122"/>
      <c r="AF586" s="122"/>
      <c r="AG586" s="122"/>
      <c r="AH586" s="122"/>
      <c r="AI586" s="122"/>
      <c r="AJ586" s="122"/>
      <c r="AK586" s="122"/>
      <c r="AL586" s="122"/>
      <c r="AM586" s="122"/>
      <c r="AN586" s="122"/>
      <c r="AO586" s="122"/>
      <c r="AP586" s="428"/>
    </row>
    <row r="587" hidden="1">
      <c r="A587" s="428"/>
      <c r="B587" s="428"/>
      <c r="C587" s="122"/>
      <c r="D587" s="558"/>
      <c r="E587" s="539"/>
      <c r="F587" s="539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2"/>
      <c r="AE587" s="122"/>
      <c r="AF587" s="122"/>
      <c r="AG587" s="122"/>
      <c r="AH587" s="122"/>
      <c r="AI587" s="122"/>
      <c r="AJ587" s="122"/>
      <c r="AK587" s="122"/>
      <c r="AL587" s="122"/>
      <c r="AM587" s="122"/>
      <c r="AN587" s="122"/>
      <c r="AO587" s="122"/>
      <c r="AP587" s="428"/>
    </row>
    <row r="588" hidden="1">
      <c r="A588" s="428"/>
      <c r="B588" s="428"/>
      <c r="C588" s="122"/>
      <c r="D588" s="558"/>
      <c r="E588" s="539"/>
      <c r="F588" s="539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2"/>
      <c r="AE588" s="122"/>
      <c r="AF588" s="122"/>
      <c r="AG588" s="122"/>
      <c r="AH588" s="122"/>
      <c r="AI588" s="122"/>
      <c r="AJ588" s="122"/>
      <c r="AK588" s="122"/>
      <c r="AL588" s="122"/>
      <c r="AM588" s="122"/>
      <c r="AN588" s="122"/>
      <c r="AO588" s="122"/>
      <c r="AP588" s="428"/>
    </row>
    <row r="589" hidden="1">
      <c r="A589" s="428"/>
      <c r="B589" s="428"/>
      <c r="C589" s="122"/>
      <c r="D589" s="558"/>
      <c r="E589" s="539"/>
      <c r="F589" s="539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2"/>
      <c r="AE589" s="122"/>
      <c r="AF589" s="122"/>
      <c r="AG589" s="122"/>
      <c r="AH589" s="122"/>
      <c r="AI589" s="122"/>
      <c r="AJ589" s="122"/>
      <c r="AK589" s="122"/>
      <c r="AL589" s="122"/>
      <c r="AM589" s="122"/>
      <c r="AN589" s="122"/>
      <c r="AO589" s="122"/>
      <c r="AP589" s="428"/>
    </row>
    <row r="590" hidden="1">
      <c r="A590" s="428"/>
      <c r="B590" s="428"/>
      <c r="C590" s="122"/>
      <c r="D590" s="558"/>
      <c r="E590" s="539"/>
      <c r="F590" s="539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2"/>
      <c r="AE590" s="122"/>
      <c r="AF590" s="122"/>
      <c r="AG590" s="122"/>
      <c r="AH590" s="122"/>
      <c r="AI590" s="122"/>
      <c r="AJ590" s="122"/>
      <c r="AK590" s="122"/>
      <c r="AL590" s="122"/>
      <c r="AM590" s="122"/>
      <c r="AN590" s="122"/>
      <c r="AO590" s="122"/>
      <c r="AP590" s="428"/>
    </row>
    <row r="591" hidden="1">
      <c r="A591" s="428"/>
      <c r="B591" s="428"/>
      <c r="C591" s="122"/>
      <c r="D591" s="558"/>
      <c r="E591" s="539"/>
      <c r="F591" s="539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2"/>
      <c r="AE591" s="122"/>
      <c r="AF591" s="122"/>
      <c r="AG591" s="122"/>
      <c r="AH591" s="122"/>
      <c r="AI591" s="122"/>
      <c r="AJ591" s="122"/>
      <c r="AK591" s="122"/>
      <c r="AL591" s="122"/>
      <c r="AM591" s="122"/>
      <c r="AN591" s="122"/>
      <c r="AO591" s="122"/>
      <c r="AP591" s="428"/>
    </row>
    <row r="592" hidden="1">
      <c r="A592" s="428"/>
      <c r="B592" s="428"/>
      <c r="C592" s="122"/>
      <c r="D592" s="558"/>
      <c r="E592" s="539"/>
      <c r="F592" s="539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2"/>
      <c r="AE592" s="122"/>
      <c r="AF592" s="122"/>
      <c r="AG592" s="122"/>
      <c r="AH592" s="122"/>
      <c r="AI592" s="122"/>
      <c r="AJ592" s="122"/>
      <c r="AK592" s="122"/>
      <c r="AL592" s="122"/>
      <c r="AM592" s="122"/>
      <c r="AN592" s="122"/>
      <c r="AO592" s="122"/>
      <c r="AP592" s="428"/>
    </row>
    <row r="593" hidden="1">
      <c r="A593" s="428"/>
      <c r="B593" s="428"/>
      <c r="C593" s="122"/>
      <c r="D593" s="558"/>
      <c r="E593" s="539"/>
      <c r="F593" s="539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2"/>
      <c r="AE593" s="122"/>
      <c r="AF593" s="122"/>
      <c r="AG593" s="122"/>
      <c r="AH593" s="122"/>
      <c r="AI593" s="122"/>
      <c r="AJ593" s="122"/>
      <c r="AK593" s="122"/>
      <c r="AL593" s="122"/>
      <c r="AM593" s="122"/>
      <c r="AN593" s="122"/>
      <c r="AO593" s="122"/>
      <c r="AP593" s="428"/>
    </row>
    <row r="594" hidden="1">
      <c r="A594" s="428"/>
      <c r="B594" s="428"/>
      <c r="C594" s="122"/>
      <c r="D594" s="558"/>
      <c r="E594" s="539"/>
      <c r="F594" s="539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2"/>
      <c r="AE594" s="122"/>
      <c r="AF594" s="122"/>
      <c r="AG594" s="122"/>
      <c r="AH594" s="122"/>
      <c r="AI594" s="122"/>
      <c r="AJ594" s="122"/>
      <c r="AK594" s="122"/>
      <c r="AL594" s="122"/>
      <c r="AM594" s="122"/>
      <c r="AN594" s="122"/>
      <c r="AO594" s="122"/>
      <c r="AP594" s="428"/>
    </row>
    <row r="595" hidden="1">
      <c r="A595" s="428"/>
      <c r="B595" s="428"/>
      <c r="C595" s="122"/>
      <c r="D595" s="558"/>
      <c r="E595" s="539"/>
      <c r="F595" s="539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2"/>
      <c r="AE595" s="122"/>
      <c r="AF595" s="122"/>
      <c r="AG595" s="122"/>
      <c r="AH595" s="122"/>
      <c r="AI595" s="122"/>
      <c r="AJ595" s="122"/>
      <c r="AK595" s="122"/>
      <c r="AL595" s="122"/>
      <c r="AM595" s="122"/>
      <c r="AN595" s="122"/>
      <c r="AO595" s="122"/>
      <c r="AP595" s="428"/>
    </row>
    <row r="596" hidden="1">
      <c r="A596" s="428"/>
      <c r="B596" s="428"/>
      <c r="C596" s="122"/>
      <c r="D596" s="558"/>
      <c r="E596" s="539"/>
      <c r="F596" s="539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2"/>
      <c r="AE596" s="122"/>
      <c r="AF596" s="122"/>
      <c r="AG596" s="122"/>
      <c r="AH596" s="122"/>
      <c r="AI596" s="122"/>
      <c r="AJ596" s="122"/>
      <c r="AK596" s="122"/>
      <c r="AL596" s="122"/>
      <c r="AM596" s="122"/>
      <c r="AN596" s="122"/>
      <c r="AO596" s="122"/>
      <c r="AP596" s="428"/>
    </row>
    <row r="597" hidden="1">
      <c r="A597" s="428"/>
      <c r="B597" s="428"/>
      <c r="C597" s="122"/>
      <c r="D597" s="558"/>
      <c r="E597" s="539"/>
      <c r="F597" s="539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2"/>
      <c r="AE597" s="122"/>
      <c r="AF597" s="122"/>
      <c r="AG597" s="122"/>
      <c r="AH597" s="122"/>
      <c r="AI597" s="122"/>
      <c r="AJ597" s="122"/>
      <c r="AK597" s="122"/>
      <c r="AL597" s="122"/>
      <c r="AM597" s="122"/>
      <c r="AN597" s="122"/>
      <c r="AO597" s="122"/>
      <c r="AP597" s="428"/>
    </row>
    <row r="598" hidden="1">
      <c r="A598" s="428"/>
      <c r="B598" s="428"/>
      <c r="C598" s="122"/>
      <c r="D598" s="558"/>
      <c r="E598" s="539"/>
      <c r="F598" s="539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2"/>
      <c r="AE598" s="122"/>
      <c r="AF598" s="122"/>
      <c r="AG598" s="122"/>
      <c r="AH598" s="122"/>
      <c r="AI598" s="122"/>
      <c r="AJ598" s="122"/>
      <c r="AK598" s="122"/>
      <c r="AL598" s="122"/>
      <c r="AM598" s="122"/>
      <c r="AN598" s="122"/>
      <c r="AO598" s="122"/>
      <c r="AP598" s="428"/>
    </row>
    <row r="599" hidden="1">
      <c r="A599" s="428"/>
      <c r="B599" s="428"/>
      <c r="C599" s="122"/>
      <c r="D599" s="558"/>
      <c r="E599" s="539"/>
      <c r="F599" s="539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2"/>
      <c r="AE599" s="122"/>
      <c r="AF599" s="122"/>
      <c r="AG599" s="122"/>
      <c r="AH599" s="122"/>
      <c r="AI599" s="122"/>
      <c r="AJ599" s="122"/>
      <c r="AK599" s="122"/>
      <c r="AL599" s="122"/>
      <c r="AM599" s="122"/>
      <c r="AN599" s="122"/>
      <c r="AO599" s="122"/>
      <c r="AP599" s="428"/>
    </row>
    <row r="600" hidden="1">
      <c r="A600" s="428"/>
      <c r="B600" s="428"/>
      <c r="C600" s="122"/>
      <c r="D600" s="558"/>
      <c r="E600" s="539"/>
      <c r="F600" s="539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2"/>
      <c r="AE600" s="122"/>
      <c r="AF600" s="122"/>
      <c r="AG600" s="122"/>
      <c r="AH600" s="122"/>
      <c r="AI600" s="122"/>
      <c r="AJ600" s="122"/>
      <c r="AK600" s="122"/>
      <c r="AL600" s="122"/>
      <c r="AM600" s="122"/>
      <c r="AN600" s="122"/>
      <c r="AO600" s="122"/>
      <c r="AP600" s="428"/>
    </row>
    <row r="601" hidden="1">
      <c r="A601" s="428"/>
      <c r="B601" s="428"/>
      <c r="C601" s="122"/>
      <c r="D601" s="558"/>
      <c r="E601" s="539"/>
      <c r="F601" s="539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2"/>
      <c r="AE601" s="122"/>
      <c r="AF601" s="122"/>
      <c r="AG601" s="122"/>
      <c r="AH601" s="122"/>
      <c r="AI601" s="122"/>
      <c r="AJ601" s="122"/>
      <c r="AK601" s="122"/>
      <c r="AL601" s="122"/>
      <c r="AM601" s="122"/>
      <c r="AN601" s="122"/>
      <c r="AO601" s="122"/>
      <c r="AP601" s="428"/>
    </row>
    <row r="602" hidden="1">
      <c r="A602" s="428"/>
      <c r="B602" s="428"/>
      <c r="C602" s="122"/>
      <c r="D602" s="558"/>
      <c r="E602" s="539"/>
      <c r="F602" s="539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2"/>
      <c r="AE602" s="122"/>
      <c r="AF602" s="122"/>
      <c r="AG602" s="122"/>
      <c r="AH602" s="122"/>
      <c r="AI602" s="122"/>
      <c r="AJ602" s="122"/>
      <c r="AK602" s="122"/>
      <c r="AL602" s="122"/>
      <c r="AM602" s="122"/>
      <c r="AN602" s="122"/>
      <c r="AO602" s="122"/>
      <c r="AP602" s="428"/>
    </row>
    <row r="603" hidden="1">
      <c r="A603" s="428"/>
      <c r="B603" s="428"/>
      <c r="C603" s="122"/>
      <c r="D603" s="558"/>
      <c r="E603" s="539"/>
      <c r="F603" s="539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2"/>
      <c r="AE603" s="122"/>
      <c r="AF603" s="122"/>
      <c r="AG603" s="122"/>
      <c r="AH603" s="122"/>
      <c r="AI603" s="122"/>
      <c r="AJ603" s="122"/>
      <c r="AK603" s="122"/>
      <c r="AL603" s="122"/>
      <c r="AM603" s="122"/>
      <c r="AN603" s="122"/>
      <c r="AO603" s="122"/>
      <c r="AP603" s="428"/>
    </row>
    <row r="604" hidden="1">
      <c r="A604" s="428"/>
      <c r="B604" s="428"/>
      <c r="C604" s="122"/>
      <c r="D604" s="558"/>
      <c r="E604" s="539"/>
      <c r="F604" s="539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2"/>
      <c r="AE604" s="122"/>
      <c r="AF604" s="122"/>
      <c r="AG604" s="122"/>
      <c r="AH604" s="122"/>
      <c r="AI604" s="122"/>
      <c r="AJ604" s="122"/>
      <c r="AK604" s="122"/>
      <c r="AL604" s="122"/>
      <c r="AM604" s="122"/>
      <c r="AN604" s="122"/>
      <c r="AO604" s="122"/>
      <c r="AP604" s="428"/>
    </row>
    <row r="605" hidden="1">
      <c r="A605" s="428"/>
      <c r="B605" s="428"/>
      <c r="C605" s="122"/>
      <c r="D605" s="558"/>
      <c r="E605" s="539"/>
      <c r="F605" s="539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2"/>
      <c r="AE605" s="122"/>
      <c r="AF605" s="122"/>
      <c r="AG605" s="122"/>
      <c r="AH605" s="122"/>
      <c r="AI605" s="122"/>
      <c r="AJ605" s="122"/>
      <c r="AK605" s="122"/>
      <c r="AL605" s="122"/>
      <c r="AM605" s="122"/>
      <c r="AN605" s="122"/>
      <c r="AO605" s="122"/>
      <c r="AP605" s="428"/>
    </row>
    <row r="606" hidden="1">
      <c r="A606" s="428"/>
      <c r="B606" s="428"/>
      <c r="C606" s="122"/>
      <c r="D606" s="558"/>
      <c r="E606" s="539"/>
      <c r="F606" s="539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2"/>
      <c r="AE606" s="122"/>
      <c r="AF606" s="122"/>
      <c r="AG606" s="122"/>
      <c r="AH606" s="122"/>
      <c r="AI606" s="122"/>
      <c r="AJ606" s="122"/>
      <c r="AK606" s="122"/>
      <c r="AL606" s="122"/>
      <c r="AM606" s="122"/>
      <c r="AN606" s="122"/>
      <c r="AO606" s="122"/>
      <c r="AP606" s="428"/>
    </row>
    <row r="607" hidden="1">
      <c r="A607" s="428"/>
      <c r="B607" s="428"/>
      <c r="C607" s="122"/>
      <c r="D607" s="558"/>
      <c r="E607" s="539"/>
      <c r="F607" s="539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2"/>
      <c r="AE607" s="122"/>
      <c r="AF607" s="122"/>
      <c r="AG607" s="122"/>
      <c r="AH607" s="122"/>
      <c r="AI607" s="122"/>
      <c r="AJ607" s="122"/>
      <c r="AK607" s="122"/>
      <c r="AL607" s="122"/>
      <c r="AM607" s="122"/>
      <c r="AN607" s="122"/>
      <c r="AO607" s="122"/>
      <c r="AP607" s="428"/>
    </row>
    <row r="608" hidden="1">
      <c r="A608" s="428"/>
      <c r="B608" s="428"/>
      <c r="C608" s="122"/>
      <c r="D608" s="558"/>
      <c r="E608" s="539"/>
      <c r="F608" s="539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2"/>
      <c r="AE608" s="122"/>
      <c r="AF608" s="122"/>
      <c r="AG608" s="122"/>
      <c r="AH608" s="122"/>
      <c r="AI608" s="122"/>
      <c r="AJ608" s="122"/>
      <c r="AK608" s="122"/>
      <c r="AL608" s="122"/>
      <c r="AM608" s="122"/>
      <c r="AN608" s="122"/>
      <c r="AO608" s="122"/>
      <c r="AP608" s="428"/>
    </row>
    <row r="609" hidden="1">
      <c r="A609" s="428"/>
      <c r="B609" s="428"/>
      <c r="C609" s="122"/>
      <c r="D609" s="558"/>
      <c r="E609" s="539"/>
      <c r="F609" s="539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2"/>
      <c r="AE609" s="122"/>
      <c r="AF609" s="122"/>
      <c r="AG609" s="122"/>
      <c r="AH609" s="122"/>
      <c r="AI609" s="122"/>
      <c r="AJ609" s="122"/>
      <c r="AK609" s="122"/>
      <c r="AL609" s="122"/>
      <c r="AM609" s="122"/>
      <c r="AN609" s="122"/>
      <c r="AO609" s="122"/>
      <c r="AP609" s="428"/>
    </row>
    <row r="610" hidden="1">
      <c r="A610" s="428"/>
      <c r="B610" s="428"/>
      <c r="C610" s="122"/>
      <c r="D610" s="558"/>
      <c r="E610" s="539"/>
      <c r="F610" s="539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2"/>
      <c r="AE610" s="122"/>
      <c r="AF610" s="122"/>
      <c r="AG610" s="122"/>
      <c r="AH610" s="122"/>
      <c r="AI610" s="122"/>
      <c r="AJ610" s="122"/>
      <c r="AK610" s="122"/>
      <c r="AL610" s="122"/>
      <c r="AM610" s="122"/>
      <c r="AN610" s="122"/>
      <c r="AO610" s="122"/>
      <c r="AP610" s="428"/>
    </row>
    <row r="611" hidden="1">
      <c r="A611" s="428"/>
      <c r="B611" s="428"/>
      <c r="C611" s="122"/>
      <c r="D611" s="558"/>
      <c r="E611" s="539"/>
      <c r="F611" s="539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2"/>
      <c r="AE611" s="122"/>
      <c r="AF611" s="122"/>
      <c r="AG611" s="122"/>
      <c r="AH611" s="122"/>
      <c r="AI611" s="122"/>
      <c r="AJ611" s="122"/>
      <c r="AK611" s="122"/>
      <c r="AL611" s="122"/>
      <c r="AM611" s="122"/>
      <c r="AN611" s="122"/>
      <c r="AO611" s="122"/>
      <c r="AP611" s="428"/>
    </row>
    <row r="612" hidden="1">
      <c r="A612" s="428"/>
      <c r="B612" s="428"/>
      <c r="C612" s="122"/>
      <c r="D612" s="558"/>
      <c r="E612" s="539"/>
      <c r="F612" s="539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2"/>
      <c r="AE612" s="122"/>
      <c r="AF612" s="122"/>
      <c r="AG612" s="122"/>
      <c r="AH612" s="122"/>
      <c r="AI612" s="122"/>
      <c r="AJ612" s="122"/>
      <c r="AK612" s="122"/>
      <c r="AL612" s="122"/>
      <c r="AM612" s="122"/>
      <c r="AN612" s="122"/>
      <c r="AO612" s="122"/>
      <c r="AP612" s="428"/>
    </row>
    <row r="613" hidden="1">
      <c r="A613" s="428"/>
      <c r="B613" s="428"/>
      <c r="C613" s="122"/>
      <c r="D613" s="558"/>
      <c r="E613" s="539"/>
      <c r="F613" s="539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2"/>
      <c r="AE613" s="122"/>
      <c r="AF613" s="122"/>
      <c r="AG613" s="122"/>
      <c r="AH613" s="122"/>
      <c r="AI613" s="122"/>
      <c r="AJ613" s="122"/>
      <c r="AK613" s="122"/>
      <c r="AL613" s="122"/>
      <c r="AM613" s="122"/>
      <c r="AN613" s="122"/>
      <c r="AO613" s="122"/>
      <c r="AP613" s="428"/>
    </row>
    <row r="614" hidden="1">
      <c r="A614" s="428"/>
      <c r="B614" s="428"/>
      <c r="C614" s="122"/>
      <c r="D614" s="558"/>
      <c r="E614" s="539"/>
      <c r="F614" s="539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2"/>
      <c r="AE614" s="122"/>
      <c r="AF614" s="122"/>
      <c r="AG614" s="122"/>
      <c r="AH614" s="122"/>
      <c r="AI614" s="122"/>
      <c r="AJ614" s="122"/>
      <c r="AK614" s="122"/>
      <c r="AL614" s="122"/>
      <c r="AM614" s="122"/>
      <c r="AN614" s="122"/>
      <c r="AO614" s="122"/>
      <c r="AP614" s="428"/>
    </row>
    <row r="615" hidden="1">
      <c r="A615" s="428"/>
      <c r="B615" s="428"/>
      <c r="C615" s="122"/>
      <c r="D615" s="558"/>
      <c r="E615" s="539"/>
      <c r="F615" s="539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2"/>
      <c r="AE615" s="122"/>
      <c r="AF615" s="122"/>
      <c r="AG615" s="122"/>
      <c r="AH615" s="122"/>
      <c r="AI615" s="122"/>
      <c r="AJ615" s="122"/>
      <c r="AK615" s="122"/>
      <c r="AL615" s="122"/>
      <c r="AM615" s="122"/>
      <c r="AN615" s="122"/>
      <c r="AO615" s="122"/>
      <c r="AP615" s="428"/>
    </row>
    <row r="616" hidden="1">
      <c r="A616" s="428"/>
      <c r="B616" s="428"/>
      <c r="C616" s="122"/>
      <c r="D616" s="558"/>
      <c r="E616" s="539"/>
      <c r="F616" s="539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2"/>
      <c r="AE616" s="122"/>
      <c r="AF616" s="122"/>
      <c r="AG616" s="122"/>
      <c r="AH616" s="122"/>
      <c r="AI616" s="122"/>
      <c r="AJ616" s="122"/>
      <c r="AK616" s="122"/>
      <c r="AL616" s="122"/>
      <c r="AM616" s="122"/>
      <c r="AN616" s="122"/>
      <c r="AO616" s="122"/>
      <c r="AP616" s="428"/>
    </row>
    <row r="617" hidden="1">
      <c r="A617" s="428"/>
      <c r="B617" s="428"/>
      <c r="C617" s="122"/>
      <c r="D617" s="558"/>
      <c r="E617" s="539"/>
      <c r="F617" s="539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2"/>
      <c r="AE617" s="122"/>
      <c r="AF617" s="122"/>
      <c r="AG617" s="122"/>
      <c r="AH617" s="122"/>
      <c r="AI617" s="122"/>
      <c r="AJ617" s="122"/>
      <c r="AK617" s="122"/>
      <c r="AL617" s="122"/>
      <c r="AM617" s="122"/>
      <c r="AN617" s="122"/>
      <c r="AO617" s="122"/>
      <c r="AP617" s="428"/>
    </row>
    <row r="618" hidden="1">
      <c r="A618" s="428"/>
      <c r="B618" s="428"/>
      <c r="C618" s="122"/>
      <c r="D618" s="558"/>
      <c r="E618" s="539"/>
      <c r="F618" s="539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2"/>
      <c r="AE618" s="122"/>
      <c r="AF618" s="122"/>
      <c r="AG618" s="122"/>
      <c r="AH618" s="122"/>
      <c r="AI618" s="122"/>
      <c r="AJ618" s="122"/>
      <c r="AK618" s="122"/>
      <c r="AL618" s="122"/>
      <c r="AM618" s="122"/>
      <c r="AN618" s="122"/>
      <c r="AO618" s="122"/>
      <c r="AP618" s="428"/>
    </row>
    <row r="619" hidden="1">
      <c r="A619" s="428"/>
      <c r="B619" s="428"/>
      <c r="C619" s="122"/>
      <c r="D619" s="558"/>
      <c r="E619" s="539"/>
      <c r="F619" s="539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2"/>
      <c r="AE619" s="122"/>
      <c r="AF619" s="122"/>
      <c r="AG619" s="122"/>
      <c r="AH619" s="122"/>
      <c r="AI619" s="122"/>
      <c r="AJ619" s="122"/>
      <c r="AK619" s="122"/>
      <c r="AL619" s="122"/>
      <c r="AM619" s="122"/>
      <c r="AN619" s="122"/>
      <c r="AO619" s="122"/>
      <c r="AP619" s="428"/>
    </row>
    <row r="620" hidden="1">
      <c r="A620" s="428"/>
      <c r="B620" s="428"/>
      <c r="C620" s="122"/>
      <c r="D620" s="558"/>
      <c r="E620" s="539"/>
      <c r="F620" s="539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2"/>
      <c r="AE620" s="122"/>
      <c r="AF620" s="122"/>
      <c r="AG620" s="122"/>
      <c r="AH620" s="122"/>
      <c r="AI620" s="122"/>
      <c r="AJ620" s="122"/>
      <c r="AK620" s="122"/>
      <c r="AL620" s="122"/>
      <c r="AM620" s="122"/>
      <c r="AN620" s="122"/>
      <c r="AO620" s="122"/>
      <c r="AP620" s="428"/>
    </row>
    <row r="621" hidden="1">
      <c r="A621" s="428"/>
      <c r="B621" s="428"/>
      <c r="C621" s="122"/>
      <c r="D621" s="558"/>
      <c r="E621" s="539"/>
      <c r="F621" s="539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2"/>
      <c r="AE621" s="122"/>
      <c r="AF621" s="122"/>
      <c r="AG621" s="122"/>
      <c r="AH621" s="122"/>
      <c r="AI621" s="122"/>
      <c r="AJ621" s="122"/>
      <c r="AK621" s="122"/>
      <c r="AL621" s="122"/>
      <c r="AM621" s="122"/>
      <c r="AN621" s="122"/>
      <c r="AO621" s="122"/>
      <c r="AP621" s="428"/>
    </row>
    <row r="622" hidden="1">
      <c r="A622" s="428"/>
      <c r="B622" s="428"/>
      <c r="C622" s="122"/>
      <c r="D622" s="558"/>
      <c r="E622" s="539"/>
      <c r="F622" s="539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2"/>
      <c r="AE622" s="122"/>
      <c r="AF622" s="122"/>
      <c r="AG622" s="122"/>
      <c r="AH622" s="122"/>
      <c r="AI622" s="122"/>
      <c r="AJ622" s="122"/>
      <c r="AK622" s="122"/>
      <c r="AL622" s="122"/>
      <c r="AM622" s="122"/>
      <c r="AN622" s="122"/>
      <c r="AO622" s="122"/>
      <c r="AP622" s="428"/>
    </row>
    <row r="623" hidden="1">
      <c r="A623" s="428"/>
      <c r="B623" s="428"/>
      <c r="C623" s="122"/>
      <c r="D623" s="558"/>
      <c r="E623" s="539"/>
      <c r="F623" s="539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2"/>
      <c r="AE623" s="122"/>
      <c r="AF623" s="122"/>
      <c r="AG623" s="122"/>
      <c r="AH623" s="122"/>
      <c r="AI623" s="122"/>
      <c r="AJ623" s="122"/>
      <c r="AK623" s="122"/>
      <c r="AL623" s="122"/>
      <c r="AM623" s="122"/>
      <c r="AN623" s="122"/>
      <c r="AO623" s="122"/>
      <c r="AP623" s="428"/>
    </row>
    <row r="624" hidden="1">
      <c r="A624" s="428"/>
      <c r="B624" s="428"/>
      <c r="C624" s="122"/>
      <c r="D624" s="558"/>
      <c r="E624" s="539"/>
      <c r="F624" s="539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2"/>
      <c r="AE624" s="122"/>
      <c r="AF624" s="122"/>
      <c r="AG624" s="122"/>
      <c r="AH624" s="122"/>
      <c r="AI624" s="122"/>
      <c r="AJ624" s="122"/>
      <c r="AK624" s="122"/>
      <c r="AL624" s="122"/>
      <c r="AM624" s="122"/>
      <c r="AN624" s="122"/>
      <c r="AO624" s="122"/>
      <c r="AP624" s="428"/>
    </row>
    <row r="625" hidden="1">
      <c r="A625" s="428"/>
      <c r="B625" s="428"/>
      <c r="C625" s="122"/>
      <c r="D625" s="558"/>
      <c r="E625" s="539"/>
      <c r="F625" s="539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2"/>
      <c r="AE625" s="122"/>
      <c r="AF625" s="122"/>
      <c r="AG625" s="122"/>
      <c r="AH625" s="122"/>
      <c r="AI625" s="122"/>
      <c r="AJ625" s="122"/>
      <c r="AK625" s="122"/>
      <c r="AL625" s="122"/>
      <c r="AM625" s="122"/>
      <c r="AN625" s="122"/>
      <c r="AO625" s="122"/>
      <c r="AP625" s="428"/>
    </row>
    <row r="626" hidden="1">
      <c r="A626" s="428"/>
      <c r="B626" s="428"/>
      <c r="C626" s="122"/>
      <c r="D626" s="558"/>
      <c r="E626" s="539"/>
      <c r="F626" s="539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2"/>
      <c r="AE626" s="122"/>
      <c r="AF626" s="122"/>
      <c r="AG626" s="122"/>
      <c r="AH626" s="122"/>
      <c r="AI626" s="122"/>
      <c r="AJ626" s="122"/>
      <c r="AK626" s="122"/>
      <c r="AL626" s="122"/>
      <c r="AM626" s="122"/>
      <c r="AN626" s="122"/>
      <c r="AO626" s="122"/>
      <c r="AP626" s="428"/>
    </row>
    <row r="627" hidden="1">
      <c r="A627" s="428"/>
      <c r="B627" s="428"/>
      <c r="C627" s="122"/>
      <c r="D627" s="558"/>
      <c r="E627" s="539"/>
      <c r="F627" s="539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2"/>
      <c r="AE627" s="122"/>
      <c r="AF627" s="122"/>
      <c r="AG627" s="122"/>
      <c r="AH627" s="122"/>
      <c r="AI627" s="122"/>
      <c r="AJ627" s="122"/>
      <c r="AK627" s="122"/>
      <c r="AL627" s="122"/>
      <c r="AM627" s="122"/>
      <c r="AN627" s="122"/>
      <c r="AO627" s="122"/>
      <c r="AP627" s="428"/>
    </row>
    <row r="628" hidden="1">
      <c r="A628" s="428"/>
      <c r="B628" s="428"/>
      <c r="C628" s="122"/>
      <c r="D628" s="558"/>
      <c r="E628" s="539"/>
      <c r="F628" s="539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2"/>
      <c r="AE628" s="122"/>
      <c r="AF628" s="122"/>
      <c r="AG628" s="122"/>
      <c r="AH628" s="122"/>
      <c r="AI628" s="122"/>
      <c r="AJ628" s="122"/>
      <c r="AK628" s="122"/>
      <c r="AL628" s="122"/>
      <c r="AM628" s="122"/>
      <c r="AN628" s="122"/>
      <c r="AO628" s="122"/>
      <c r="AP628" s="428"/>
    </row>
    <row r="629" hidden="1">
      <c r="A629" s="428"/>
      <c r="B629" s="428"/>
      <c r="C629" s="122"/>
      <c r="D629" s="558"/>
      <c r="E629" s="539"/>
      <c r="F629" s="539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2"/>
      <c r="AE629" s="122"/>
      <c r="AF629" s="122"/>
      <c r="AG629" s="122"/>
      <c r="AH629" s="122"/>
      <c r="AI629" s="122"/>
      <c r="AJ629" s="122"/>
      <c r="AK629" s="122"/>
      <c r="AL629" s="122"/>
      <c r="AM629" s="122"/>
      <c r="AN629" s="122"/>
      <c r="AO629" s="122"/>
      <c r="AP629" s="428"/>
    </row>
    <row r="630" hidden="1">
      <c r="A630" s="428"/>
      <c r="B630" s="428"/>
      <c r="C630" s="122"/>
      <c r="D630" s="558"/>
      <c r="E630" s="539"/>
      <c r="F630" s="539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2"/>
      <c r="AE630" s="122"/>
      <c r="AF630" s="122"/>
      <c r="AG630" s="122"/>
      <c r="AH630" s="122"/>
      <c r="AI630" s="122"/>
      <c r="AJ630" s="122"/>
      <c r="AK630" s="122"/>
      <c r="AL630" s="122"/>
      <c r="AM630" s="122"/>
      <c r="AN630" s="122"/>
      <c r="AO630" s="122"/>
      <c r="AP630" s="428"/>
    </row>
    <row r="631" hidden="1">
      <c r="A631" s="428"/>
      <c r="B631" s="428"/>
      <c r="C631" s="122"/>
      <c r="D631" s="558"/>
      <c r="E631" s="539"/>
      <c r="F631" s="539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2"/>
      <c r="AE631" s="122"/>
      <c r="AF631" s="122"/>
      <c r="AG631" s="122"/>
      <c r="AH631" s="122"/>
      <c r="AI631" s="122"/>
      <c r="AJ631" s="122"/>
      <c r="AK631" s="122"/>
      <c r="AL631" s="122"/>
      <c r="AM631" s="122"/>
      <c r="AN631" s="122"/>
      <c r="AO631" s="122"/>
      <c r="AP631" s="428"/>
    </row>
    <row r="632" hidden="1">
      <c r="A632" s="428"/>
      <c r="B632" s="428"/>
      <c r="C632" s="122"/>
      <c r="D632" s="558"/>
      <c r="E632" s="539"/>
      <c r="F632" s="539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2"/>
      <c r="AE632" s="122"/>
      <c r="AF632" s="122"/>
      <c r="AG632" s="122"/>
      <c r="AH632" s="122"/>
      <c r="AI632" s="122"/>
      <c r="AJ632" s="122"/>
      <c r="AK632" s="122"/>
      <c r="AL632" s="122"/>
      <c r="AM632" s="122"/>
      <c r="AN632" s="122"/>
      <c r="AO632" s="122"/>
      <c r="AP632" s="428"/>
    </row>
    <row r="633" hidden="1">
      <c r="A633" s="428"/>
      <c r="B633" s="428"/>
      <c r="C633" s="122"/>
      <c r="D633" s="558"/>
      <c r="E633" s="539"/>
      <c r="F633" s="539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2"/>
      <c r="AE633" s="122"/>
      <c r="AF633" s="122"/>
      <c r="AG633" s="122"/>
      <c r="AH633" s="122"/>
      <c r="AI633" s="122"/>
      <c r="AJ633" s="122"/>
      <c r="AK633" s="122"/>
      <c r="AL633" s="122"/>
      <c r="AM633" s="122"/>
      <c r="AN633" s="122"/>
      <c r="AO633" s="122"/>
      <c r="AP633" s="428"/>
    </row>
    <row r="634" hidden="1">
      <c r="A634" s="428"/>
      <c r="B634" s="428"/>
      <c r="C634" s="122"/>
      <c r="D634" s="558"/>
      <c r="E634" s="539"/>
      <c r="F634" s="539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2"/>
      <c r="AE634" s="122"/>
      <c r="AF634" s="122"/>
      <c r="AG634" s="122"/>
      <c r="AH634" s="122"/>
      <c r="AI634" s="122"/>
      <c r="AJ634" s="122"/>
      <c r="AK634" s="122"/>
      <c r="AL634" s="122"/>
      <c r="AM634" s="122"/>
      <c r="AN634" s="122"/>
      <c r="AO634" s="122"/>
      <c r="AP634" s="428"/>
    </row>
    <row r="635" hidden="1">
      <c r="A635" s="428"/>
      <c r="B635" s="428"/>
      <c r="C635" s="122"/>
      <c r="D635" s="558"/>
      <c r="E635" s="539"/>
      <c r="F635" s="539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2"/>
      <c r="AE635" s="122"/>
      <c r="AF635" s="122"/>
      <c r="AG635" s="122"/>
      <c r="AH635" s="122"/>
      <c r="AI635" s="122"/>
      <c r="AJ635" s="122"/>
      <c r="AK635" s="122"/>
      <c r="AL635" s="122"/>
      <c r="AM635" s="122"/>
      <c r="AN635" s="122"/>
      <c r="AO635" s="122"/>
      <c r="AP635" s="428"/>
    </row>
    <row r="636" hidden="1">
      <c r="A636" s="428"/>
      <c r="B636" s="428"/>
      <c r="C636" s="122"/>
      <c r="D636" s="558"/>
      <c r="E636" s="539"/>
      <c r="F636" s="539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2"/>
      <c r="AE636" s="122"/>
      <c r="AF636" s="122"/>
      <c r="AG636" s="122"/>
      <c r="AH636" s="122"/>
      <c r="AI636" s="122"/>
      <c r="AJ636" s="122"/>
      <c r="AK636" s="122"/>
      <c r="AL636" s="122"/>
      <c r="AM636" s="122"/>
      <c r="AN636" s="122"/>
      <c r="AO636" s="122"/>
      <c r="AP636" s="428"/>
    </row>
    <row r="637" hidden="1">
      <c r="A637" s="428"/>
      <c r="B637" s="428"/>
      <c r="C637" s="122"/>
      <c r="D637" s="558"/>
      <c r="E637" s="539"/>
      <c r="F637" s="539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2"/>
      <c r="AE637" s="122"/>
      <c r="AF637" s="122"/>
      <c r="AG637" s="122"/>
      <c r="AH637" s="122"/>
      <c r="AI637" s="122"/>
      <c r="AJ637" s="122"/>
      <c r="AK637" s="122"/>
      <c r="AL637" s="122"/>
      <c r="AM637" s="122"/>
      <c r="AN637" s="122"/>
      <c r="AO637" s="122"/>
      <c r="AP637" s="428"/>
    </row>
    <row r="638" hidden="1">
      <c r="A638" s="428"/>
      <c r="B638" s="428"/>
      <c r="C638" s="122"/>
      <c r="D638" s="558"/>
      <c r="E638" s="539"/>
      <c r="F638" s="539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2"/>
      <c r="AE638" s="122"/>
      <c r="AF638" s="122"/>
      <c r="AG638" s="122"/>
      <c r="AH638" s="122"/>
      <c r="AI638" s="122"/>
      <c r="AJ638" s="122"/>
      <c r="AK638" s="122"/>
      <c r="AL638" s="122"/>
      <c r="AM638" s="122"/>
      <c r="AN638" s="122"/>
      <c r="AO638" s="122"/>
      <c r="AP638" s="428"/>
    </row>
    <row r="639" hidden="1">
      <c r="A639" s="428"/>
      <c r="B639" s="428"/>
      <c r="C639" s="122"/>
      <c r="D639" s="558"/>
      <c r="E639" s="539"/>
      <c r="F639" s="539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2"/>
      <c r="AE639" s="122"/>
      <c r="AF639" s="122"/>
      <c r="AG639" s="122"/>
      <c r="AH639" s="122"/>
      <c r="AI639" s="122"/>
      <c r="AJ639" s="122"/>
      <c r="AK639" s="122"/>
      <c r="AL639" s="122"/>
      <c r="AM639" s="122"/>
      <c r="AN639" s="122"/>
      <c r="AO639" s="122"/>
      <c r="AP639" s="428"/>
    </row>
    <row r="640" hidden="1">
      <c r="A640" s="428"/>
      <c r="B640" s="428"/>
      <c r="C640" s="122"/>
      <c r="D640" s="558"/>
      <c r="E640" s="539"/>
      <c r="F640" s="539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2"/>
      <c r="AE640" s="122"/>
      <c r="AF640" s="122"/>
      <c r="AG640" s="122"/>
      <c r="AH640" s="122"/>
      <c r="AI640" s="122"/>
      <c r="AJ640" s="122"/>
      <c r="AK640" s="122"/>
      <c r="AL640" s="122"/>
      <c r="AM640" s="122"/>
      <c r="AN640" s="122"/>
      <c r="AO640" s="122"/>
      <c r="AP640" s="428"/>
    </row>
    <row r="641" hidden="1">
      <c r="A641" s="428"/>
      <c r="B641" s="428"/>
      <c r="C641" s="122"/>
      <c r="D641" s="558"/>
      <c r="E641" s="539"/>
      <c r="F641" s="539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2"/>
      <c r="AE641" s="122"/>
      <c r="AF641" s="122"/>
      <c r="AG641" s="122"/>
      <c r="AH641" s="122"/>
      <c r="AI641" s="122"/>
      <c r="AJ641" s="122"/>
      <c r="AK641" s="122"/>
      <c r="AL641" s="122"/>
      <c r="AM641" s="122"/>
      <c r="AN641" s="122"/>
      <c r="AO641" s="122"/>
      <c r="AP641" s="428"/>
    </row>
    <row r="642" hidden="1">
      <c r="A642" s="428"/>
      <c r="B642" s="428"/>
      <c r="C642" s="122"/>
      <c r="D642" s="558"/>
      <c r="E642" s="539"/>
      <c r="F642" s="539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2"/>
      <c r="AE642" s="122"/>
      <c r="AF642" s="122"/>
      <c r="AG642" s="122"/>
      <c r="AH642" s="122"/>
      <c r="AI642" s="122"/>
      <c r="AJ642" s="122"/>
      <c r="AK642" s="122"/>
      <c r="AL642" s="122"/>
      <c r="AM642" s="122"/>
      <c r="AN642" s="122"/>
      <c r="AO642" s="122"/>
      <c r="AP642" s="428"/>
    </row>
    <row r="643" hidden="1">
      <c r="A643" s="428"/>
      <c r="B643" s="428"/>
      <c r="C643" s="122"/>
      <c r="D643" s="558"/>
      <c r="E643" s="539"/>
      <c r="F643" s="539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2"/>
      <c r="AE643" s="122"/>
      <c r="AF643" s="122"/>
      <c r="AG643" s="122"/>
      <c r="AH643" s="122"/>
      <c r="AI643" s="122"/>
      <c r="AJ643" s="122"/>
      <c r="AK643" s="122"/>
      <c r="AL643" s="122"/>
      <c r="AM643" s="122"/>
      <c r="AN643" s="122"/>
      <c r="AO643" s="122"/>
      <c r="AP643" s="428"/>
    </row>
    <row r="644" hidden="1">
      <c r="A644" s="428"/>
      <c r="B644" s="428"/>
      <c r="C644" s="122"/>
      <c r="D644" s="558"/>
      <c r="E644" s="539"/>
      <c r="F644" s="539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2"/>
      <c r="AE644" s="122"/>
      <c r="AF644" s="122"/>
      <c r="AG644" s="122"/>
      <c r="AH644" s="122"/>
      <c r="AI644" s="122"/>
      <c r="AJ644" s="122"/>
      <c r="AK644" s="122"/>
      <c r="AL644" s="122"/>
      <c r="AM644" s="122"/>
      <c r="AN644" s="122"/>
      <c r="AO644" s="122"/>
      <c r="AP644" s="428"/>
    </row>
    <row r="645" hidden="1">
      <c r="A645" s="428"/>
      <c r="B645" s="428"/>
      <c r="C645" s="122"/>
      <c r="D645" s="558"/>
      <c r="E645" s="539"/>
      <c r="F645" s="539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2"/>
      <c r="AE645" s="122"/>
      <c r="AF645" s="122"/>
      <c r="AG645" s="122"/>
      <c r="AH645" s="122"/>
      <c r="AI645" s="122"/>
      <c r="AJ645" s="122"/>
      <c r="AK645" s="122"/>
      <c r="AL645" s="122"/>
      <c r="AM645" s="122"/>
      <c r="AN645" s="122"/>
      <c r="AO645" s="122"/>
      <c r="AP645" s="428"/>
    </row>
    <row r="646" hidden="1">
      <c r="A646" s="428"/>
      <c r="B646" s="428"/>
      <c r="C646" s="122"/>
      <c r="D646" s="558"/>
      <c r="E646" s="539"/>
      <c r="F646" s="539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2"/>
      <c r="AE646" s="122"/>
      <c r="AF646" s="122"/>
      <c r="AG646" s="122"/>
      <c r="AH646" s="122"/>
      <c r="AI646" s="122"/>
      <c r="AJ646" s="122"/>
      <c r="AK646" s="122"/>
      <c r="AL646" s="122"/>
      <c r="AM646" s="122"/>
      <c r="AN646" s="122"/>
      <c r="AO646" s="122"/>
      <c r="AP646" s="428"/>
    </row>
    <row r="647" hidden="1">
      <c r="A647" s="428"/>
      <c r="B647" s="428"/>
      <c r="C647" s="122"/>
      <c r="D647" s="558"/>
      <c r="E647" s="539"/>
      <c r="F647" s="539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2"/>
      <c r="AE647" s="122"/>
      <c r="AF647" s="122"/>
      <c r="AG647" s="122"/>
      <c r="AH647" s="122"/>
      <c r="AI647" s="122"/>
      <c r="AJ647" s="122"/>
      <c r="AK647" s="122"/>
      <c r="AL647" s="122"/>
      <c r="AM647" s="122"/>
      <c r="AN647" s="122"/>
      <c r="AO647" s="122"/>
      <c r="AP647" s="428"/>
    </row>
    <row r="648" hidden="1">
      <c r="A648" s="428"/>
      <c r="B648" s="428"/>
      <c r="C648" s="122"/>
      <c r="D648" s="558"/>
      <c r="E648" s="539"/>
      <c r="F648" s="539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2"/>
      <c r="AE648" s="122"/>
      <c r="AF648" s="122"/>
      <c r="AG648" s="122"/>
      <c r="AH648" s="122"/>
      <c r="AI648" s="122"/>
      <c r="AJ648" s="122"/>
      <c r="AK648" s="122"/>
      <c r="AL648" s="122"/>
      <c r="AM648" s="122"/>
      <c r="AN648" s="122"/>
      <c r="AO648" s="122"/>
      <c r="AP648" s="428"/>
    </row>
    <row r="649" hidden="1">
      <c r="A649" s="428"/>
      <c r="B649" s="428"/>
      <c r="C649" s="122"/>
      <c r="D649" s="558"/>
      <c r="E649" s="539"/>
      <c r="F649" s="539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  <c r="AJ649" s="122"/>
      <c r="AK649" s="122"/>
      <c r="AL649" s="122"/>
      <c r="AM649" s="122"/>
      <c r="AN649" s="122"/>
      <c r="AO649" s="122"/>
      <c r="AP649" s="428"/>
    </row>
    <row r="650" hidden="1">
      <c r="A650" s="428"/>
      <c r="B650" s="428"/>
      <c r="C650" s="122"/>
      <c r="D650" s="558"/>
      <c r="E650" s="539"/>
      <c r="F650" s="539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2"/>
      <c r="AE650" s="122"/>
      <c r="AF650" s="122"/>
      <c r="AG650" s="122"/>
      <c r="AH650" s="122"/>
      <c r="AI650" s="122"/>
      <c r="AJ650" s="122"/>
      <c r="AK650" s="122"/>
      <c r="AL650" s="122"/>
      <c r="AM650" s="122"/>
      <c r="AN650" s="122"/>
      <c r="AO650" s="122"/>
      <c r="AP650" s="428"/>
    </row>
    <row r="651" hidden="1">
      <c r="A651" s="428"/>
      <c r="B651" s="428"/>
      <c r="C651" s="122"/>
      <c r="D651" s="558"/>
      <c r="E651" s="539"/>
      <c r="F651" s="539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2"/>
      <c r="AE651" s="122"/>
      <c r="AF651" s="122"/>
      <c r="AG651" s="122"/>
      <c r="AH651" s="122"/>
      <c r="AI651" s="122"/>
      <c r="AJ651" s="122"/>
      <c r="AK651" s="122"/>
      <c r="AL651" s="122"/>
      <c r="AM651" s="122"/>
      <c r="AN651" s="122"/>
      <c r="AO651" s="122"/>
      <c r="AP651" s="428"/>
    </row>
    <row r="652" hidden="1">
      <c r="A652" s="428"/>
      <c r="B652" s="428"/>
      <c r="C652" s="122"/>
      <c r="D652" s="558"/>
      <c r="E652" s="539"/>
      <c r="F652" s="539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2"/>
      <c r="AE652" s="122"/>
      <c r="AF652" s="122"/>
      <c r="AG652" s="122"/>
      <c r="AH652" s="122"/>
      <c r="AI652" s="122"/>
      <c r="AJ652" s="122"/>
      <c r="AK652" s="122"/>
      <c r="AL652" s="122"/>
      <c r="AM652" s="122"/>
      <c r="AN652" s="122"/>
      <c r="AO652" s="122"/>
      <c r="AP652" s="428"/>
    </row>
    <row r="653" hidden="1">
      <c r="A653" s="428"/>
      <c r="B653" s="428"/>
      <c r="C653" s="122"/>
      <c r="D653" s="558"/>
      <c r="E653" s="539"/>
      <c r="F653" s="539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2"/>
      <c r="AE653" s="122"/>
      <c r="AF653" s="122"/>
      <c r="AG653" s="122"/>
      <c r="AH653" s="122"/>
      <c r="AI653" s="122"/>
      <c r="AJ653" s="122"/>
      <c r="AK653" s="122"/>
      <c r="AL653" s="122"/>
      <c r="AM653" s="122"/>
      <c r="AN653" s="122"/>
      <c r="AO653" s="122"/>
      <c r="AP653" s="428"/>
    </row>
    <row r="654" hidden="1">
      <c r="A654" s="428"/>
      <c r="B654" s="428"/>
      <c r="C654" s="122"/>
      <c r="D654" s="558"/>
      <c r="E654" s="539"/>
      <c r="F654" s="539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2"/>
      <c r="AE654" s="122"/>
      <c r="AF654" s="122"/>
      <c r="AG654" s="122"/>
      <c r="AH654" s="122"/>
      <c r="AI654" s="122"/>
      <c r="AJ654" s="122"/>
      <c r="AK654" s="122"/>
      <c r="AL654" s="122"/>
      <c r="AM654" s="122"/>
      <c r="AN654" s="122"/>
      <c r="AO654" s="122"/>
      <c r="AP654" s="428"/>
    </row>
    <row r="655" hidden="1">
      <c r="A655" s="428"/>
      <c r="B655" s="428"/>
      <c r="C655" s="122"/>
      <c r="D655" s="558"/>
      <c r="E655" s="539"/>
      <c r="F655" s="539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2"/>
      <c r="AE655" s="122"/>
      <c r="AF655" s="122"/>
      <c r="AG655" s="122"/>
      <c r="AH655" s="122"/>
      <c r="AI655" s="122"/>
      <c r="AJ655" s="122"/>
      <c r="AK655" s="122"/>
      <c r="AL655" s="122"/>
      <c r="AM655" s="122"/>
      <c r="AN655" s="122"/>
      <c r="AO655" s="122"/>
      <c r="AP655" s="428"/>
    </row>
    <row r="656" hidden="1">
      <c r="A656" s="428"/>
      <c r="B656" s="428"/>
      <c r="C656" s="122"/>
      <c r="D656" s="558"/>
      <c r="E656" s="539"/>
      <c r="F656" s="539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2"/>
      <c r="AE656" s="122"/>
      <c r="AF656" s="122"/>
      <c r="AG656" s="122"/>
      <c r="AH656" s="122"/>
      <c r="AI656" s="122"/>
      <c r="AJ656" s="122"/>
      <c r="AK656" s="122"/>
      <c r="AL656" s="122"/>
      <c r="AM656" s="122"/>
      <c r="AN656" s="122"/>
      <c r="AO656" s="122"/>
      <c r="AP656" s="428"/>
    </row>
    <row r="657" hidden="1">
      <c r="A657" s="428"/>
      <c r="B657" s="428"/>
      <c r="C657" s="122"/>
      <c r="D657" s="558"/>
      <c r="E657" s="539"/>
      <c r="F657" s="539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2"/>
      <c r="AE657" s="122"/>
      <c r="AF657" s="122"/>
      <c r="AG657" s="122"/>
      <c r="AH657" s="122"/>
      <c r="AI657" s="122"/>
      <c r="AJ657" s="122"/>
      <c r="AK657" s="122"/>
      <c r="AL657" s="122"/>
      <c r="AM657" s="122"/>
      <c r="AN657" s="122"/>
      <c r="AO657" s="122"/>
      <c r="AP657" s="428"/>
    </row>
    <row r="658" hidden="1">
      <c r="A658" s="428"/>
      <c r="B658" s="428"/>
      <c r="C658" s="122"/>
      <c r="D658" s="558"/>
      <c r="E658" s="539"/>
      <c r="F658" s="539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2"/>
      <c r="AE658" s="122"/>
      <c r="AF658" s="122"/>
      <c r="AG658" s="122"/>
      <c r="AH658" s="122"/>
      <c r="AI658" s="122"/>
      <c r="AJ658" s="122"/>
      <c r="AK658" s="122"/>
      <c r="AL658" s="122"/>
      <c r="AM658" s="122"/>
      <c r="AN658" s="122"/>
      <c r="AO658" s="122"/>
      <c r="AP658" s="428"/>
    </row>
    <row r="659" hidden="1">
      <c r="A659" s="428"/>
      <c r="B659" s="428"/>
      <c r="C659" s="122"/>
      <c r="D659" s="558"/>
      <c r="E659" s="539"/>
      <c r="F659" s="539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2"/>
      <c r="AE659" s="122"/>
      <c r="AF659" s="122"/>
      <c r="AG659" s="122"/>
      <c r="AH659" s="122"/>
      <c r="AI659" s="122"/>
      <c r="AJ659" s="122"/>
      <c r="AK659" s="122"/>
      <c r="AL659" s="122"/>
      <c r="AM659" s="122"/>
      <c r="AN659" s="122"/>
      <c r="AO659" s="122"/>
      <c r="AP659" s="428"/>
    </row>
    <row r="660" hidden="1">
      <c r="A660" s="428"/>
      <c r="B660" s="428"/>
      <c r="C660" s="122"/>
      <c r="D660" s="558"/>
      <c r="E660" s="539"/>
      <c r="F660" s="539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2"/>
      <c r="AE660" s="122"/>
      <c r="AF660" s="122"/>
      <c r="AG660" s="122"/>
      <c r="AH660" s="122"/>
      <c r="AI660" s="122"/>
      <c r="AJ660" s="122"/>
      <c r="AK660" s="122"/>
      <c r="AL660" s="122"/>
      <c r="AM660" s="122"/>
      <c r="AN660" s="122"/>
      <c r="AO660" s="122"/>
      <c r="AP660" s="428"/>
    </row>
    <row r="661" hidden="1">
      <c r="A661" s="428"/>
      <c r="B661" s="428"/>
      <c r="C661" s="122"/>
      <c r="D661" s="558"/>
      <c r="E661" s="539"/>
      <c r="F661" s="539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2"/>
      <c r="AE661" s="122"/>
      <c r="AF661" s="122"/>
      <c r="AG661" s="122"/>
      <c r="AH661" s="122"/>
      <c r="AI661" s="122"/>
      <c r="AJ661" s="122"/>
      <c r="AK661" s="122"/>
      <c r="AL661" s="122"/>
      <c r="AM661" s="122"/>
      <c r="AN661" s="122"/>
      <c r="AO661" s="122"/>
      <c r="AP661" s="428"/>
    </row>
    <row r="662" hidden="1">
      <c r="A662" s="428"/>
      <c r="B662" s="428"/>
      <c r="C662" s="122"/>
      <c r="D662" s="558"/>
      <c r="E662" s="539"/>
      <c r="F662" s="539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2"/>
      <c r="AE662" s="122"/>
      <c r="AF662" s="122"/>
      <c r="AG662" s="122"/>
      <c r="AH662" s="122"/>
      <c r="AI662" s="122"/>
      <c r="AJ662" s="122"/>
      <c r="AK662" s="122"/>
      <c r="AL662" s="122"/>
      <c r="AM662" s="122"/>
      <c r="AN662" s="122"/>
      <c r="AO662" s="122"/>
      <c r="AP662" s="428"/>
    </row>
    <row r="663" hidden="1">
      <c r="A663" s="428"/>
      <c r="B663" s="428"/>
      <c r="C663" s="122"/>
      <c r="D663" s="558"/>
      <c r="E663" s="539"/>
      <c r="F663" s="539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2"/>
      <c r="AE663" s="122"/>
      <c r="AF663" s="122"/>
      <c r="AG663" s="122"/>
      <c r="AH663" s="122"/>
      <c r="AI663" s="122"/>
      <c r="AJ663" s="122"/>
      <c r="AK663" s="122"/>
      <c r="AL663" s="122"/>
      <c r="AM663" s="122"/>
      <c r="AN663" s="122"/>
      <c r="AO663" s="122"/>
      <c r="AP663" s="428"/>
    </row>
    <row r="664" hidden="1">
      <c r="A664" s="428"/>
      <c r="B664" s="428"/>
      <c r="C664" s="122"/>
      <c r="D664" s="558"/>
      <c r="E664" s="539"/>
      <c r="F664" s="539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2"/>
      <c r="AE664" s="122"/>
      <c r="AF664" s="122"/>
      <c r="AG664" s="122"/>
      <c r="AH664" s="122"/>
      <c r="AI664" s="122"/>
      <c r="AJ664" s="122"/>
      <c r="AK664" s="122"/>
      <c r="AL664" s="122"/>
      <c r="AM664" s="122"/>
      <c r="AN664" s="122"/>
      <c r="AO664" s="122"/>
      <c r="AP664" s="428"/>
    </row>
    <row r="665" hidden="1">
      <c r="A665" s="428"/>
      <c r="B665" s="428"/>
      <c r="C665" s="122"/>
      <c r="D665" s="558"/>
      <c r="E665" s="539"/>
      <c r="F665" s="539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2"/>
      <c r="AE665" s="122"/>
      <c r="AF665" s="122"/>
      <c r="AG665" s="122"/>
      <c r="AH665" s="122"/>
      <c r="AI665" s="122"/>
      <c r="AJ665" s="122"/>
      <c r="AK665" s="122"/>
      <c r="AL665" s="122"/>
      <c r="AM665" s="122"/>
      <c r="AN665" s="122"/>
      <c r="AO665" s="122"/>
      <c r="AP665" s="428"/>
    </row>
    <row r="666" hidden="1">
      <c r="A666" s="428"/>
      <c r="B666" s="428"/>
      <c r="C666" s="122"/>
      <c r="D666" s="558"/>
      <c r="E666" s="539"/>
      <c r="F666" s="539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2"/>
      <c r="AE666" s="122"/>
      <c r="AF666" s="122"/>
      <c r="AG666" s="122"/>
      <c r="AH666" s="122"/>
      <c r="AI666" s="122"/>
      <c r="AJ666" s="122"/>
      <c r="AK666" s="122"/>
      <c r="AL666" s="122"/>
      <c r="AM666" s="122"/>
      <c r="AN666" s="122"/>
      <c r="AO666" s="122"/>
      <c r="AP666" s="428"/>
    </row>
    <row r="667" hidden="1">
      <c r="A667" s="428"/>
      <c r="B667" s="428"/>
      <c r="C667" s="122"/>
      <c r="D667" s="558"/>
      <c r="E667" s="539"/>
      <c r="F667" s="539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2"/>
      <c r="AE667" s="122"/>
      <c r="AF667" s="122"/>
      <c r="AG667" s="122"/>
      <c r="AH667" s="122"/>
      <c r="AI667" s="122"/>
      <c r="AJ667" s="122"/>
      <c r="AK667" s="122"/>
      <c r="AL667" s="122"/>
      <c r="AM667" s="122"/>
      <c r="AN667" s="122"/>
      <c r="AO667" s="122"/>
      <c r="AP667" s="428"/>
    </row>
    <row r="668" hidden="1">
      <c r="A668" s="428"/>
      <c r="B668" s="428"/>
      <c r="C668" s="122"/>
      <c r="D668" s="558"/>
      <c r="E668" s="539"/>
      <c r="F668" s="539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2"/>
      <c r="AE668" s="122"/>
      <c r="AF668" s="122"/>
      <c r="AG668" s="122"/>
      <c r="AH668" s="122"/>
      <c r="AI668" s="122"/>
      <c r="AJ668" s="122"/>
      <c r="AK668" s="122"/>
      <c r="AL668" s="122"/>
      <c r="AM668" s="122"/>
      <c r="AN668" s="122"/>
      <c r="AO668" s="122"/>
      <c r="AP668" s="428"/>
    </row>
    <row r="669" hidden="1">
      <c r="A669" s="428"/>
      <c r="B669" s="428"/>
      <c r="C669" s="122"/>
      <c r="D669" s="558"/>
      <c r="E669" s="539"/>
      <c r="F669" s="539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2"/>
      <c r="AE669" s="122"/>
      <c r="AF669" s="122"/>
      <c r="AG669" s="122"/>
      <c r="AH669" s="122"/>
      <c r="AI669" s="122"/>
      <c r="AJ669" s="122"/>
      <c r="AK669" s="122"/>
      <c r="AL669" s="122"/>
      <c r="AM669" s="122"/>
      <c r="AN669" s="122"/>
      <c r="AO669" s="122"/>
      <c r="AP669" s="428"/>
    </row>
    <row r="670" hidden="1">
      <c r="A670" s="428"/>
      <c r="B670" s="428"/>
      <c r="C670" s="122"/>
      <c r="D670" s="558"/>
      <c r="E670" s="539"/>
      <c r="F670" s="539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2"/>
      <c r="AE670" s="122"/>
      <c r="AF670" s="122"/>
      <c r="AG670" s="122"/>
      <c r="AH670" s="122"/>
      <c r="AI670" s="122"/>
      <c r="AJ670" s="122"/>
      <c r="AK670" s="122"/>
      <c r="AL670" s="122"/>
      <c r="AM670" s="122"/>
      <c r="AN670" s="122"/>
      <c r="AO670" s="122"/>
      <c r="AP670" s="428"/>
    </row>
    <row r="671" hidden="1">
      <c r="A671" s="428"/>
      <c r="B671" s="428"/>
      <c r="C671" s="122"/>
      <c r="D671" s="558"/>
      <c r="E671" s="539"/>
      <c r="F671" s="539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2"/>
      <c r="AE671" s="122"/>
      <c r="AF671" s="122"/>
      <c r="AG671" s="122"/>
      <c r="AH671" s="122"/>
      <c r="AI671" s="122"/>
      <c r="AJ671" s="122"/>
      <c r="AK671" s="122"/>
      <c r="AL671" s="122"/>
      <c r="AM671" s="122"/>
      <c r="AN671" s="122"/>
      <c r="AO671" s="122"/>
      <c r="AP671" s="428"/>
    </row>
    <row r="672" hidden="1">
      <c r="A672" s="428"/>
      <c r="B672" s="428"/>
      <c r="C672" s="122"/>
      <c r="D672" s="558"/>
      <c r="E672" s="539"/>
      <c r="F672" s="539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2"/>
      <c r="AE672" s="122"/>
      <c r="AF672" s="122"/>
      <c r="AG672" s="122"/>
      <c r="AH672" s="122"/>
      <c r="AI672" s="122"/>
      <c r="AJ672" s="122"/>
      <c r="AK672" s="122"/>
      <c r="AL672" s="122"/>
      <c r="AM672" s="122"/>
      <c r="AN672" s="122"/>
      <c r="AO672" s="122"/>
      <c r="AP672" s="428"/>
    </row>
    <row r="673" hidden="1">
      <c r="A673" s="428"/>
      <c r="B673" s="428"/>
      <c r="C673" s="122"/>
      <c r="D673" s="558"/>
      <c r="E673" s="539"/>
      <c r="F673" s="539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2"/>
      <c r="AE673" s="122"/>
      <c r="AF673" s="122"/>
      <c r="AG673" s="122"/>
      <c r="AH673" s="122"/>
      <c r="AI673" s="122"/>
      <c r="AJ673" s="122"/>
      <c r="AK673" s="122"/>
      <c r="AL673" s="122"/>
      <c r="AM673" s="122"/>
      <c r="AN673" s="122"/>
      <c r="AO673" s="122"/>
      <c r="AP673" s="428"/>
    </row>
    <row r="674" hidden="1">
      <c r="A674" s="428"/>
      <c r="B674" s="428"/>
      <c r="C674" s="122"/>
      <c r="D674" s="558"/>
      <c r="E674" s="539"/>
      <c r="F674" s="539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2"/>
      <c r="AE674" s="122"/>
      <c r="AF674" s="122"/>
      <c r="AG674" s="122"/>
      <c r="AH674" s="122"/>
      <c r="AI674" s="122"/>
      <c r="AJ674" s="122"/>
      <c r="AK674" s="122"/>
      <c r="AL674" s="122"/>
      <c r="AM674" s="122"/>
      <c r="AN674" s="122"/>
      <c r="AO674" s="122"/>
      <c r="AP674" s="428"/>
    </row>
    <row r="675" hidden="1">
      <c r="A675" s="428"/>
      <c r="B675" s="428"/>
      <c r="C675" s="122"/>
      <c r="D675" s="558"/>
      <c r="E675" s="539"/>
      <c r="F675" s="539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2"/>
      <c r="AE675" s="122"/>
      <c r="AF675" s="122"/>
      <c r="AG675" s="122"/>
      <c r="AH675" s="122"/>
      <c r="AI675" s="122"/>
      <c r="AJ675" s="122"/>
      <c r="AK675" s="122"/>
      <c r="AL675" s="122"/>
      <c r="AM675" s="122"/>
      <c r="AN675" s="122"/>
      <c r="AO675" s="122"/>
      <c r="AP675" s="428"/>
    </row>
    <row r="676" hidden="1">
      <c r="A676" s="428"/>
      <c r="B676" s="428"/>
      <c r="C676" s="122"/>
      <c r="D676" s="558"/>
      <c r="E676" s="539"/>
      <c r="F676" s="539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2"/>
      <c r="AE676" s="122"/>
      <c r="AF676" s="122"/>
      <c r="AG676" s="122"/>
      <c r="AH676" s="122"/>
      <c r="AI676" s="122"/>
      <c r="AJ676" s="122"/>
      <c r="AK676" s="122"/>
      <c r="AL676" s="122"/>
      <c r="AM676" s="122"/>
      <c r="AN676" s="122"/>
      <c r="AO676" s="122"/>
      <c r="AP676" s="428"/>
    </row>
    <row r="677" hidden="1">
      <c r="A677" s="428"/>
      <c r="B677" s="428"/>
      <c r="C677" s="122"/>
      <c r="D677" s="558"/>
      <c r="E677" s="539"/>
      <c r="F677" s="539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2"/>
      <c r="AE677" s="122"/>
      <c r="AF677" s="122"/>
      <c r="AG677" s="122"/>
      <c r="AH677" s="122"/>
      <c r="AI677" s="122"/>
      <c r="AJ677" s="122"/>
      <c r="AK677" s="122"/>
      <c r="AL677" s="122"/>
      <c r="AM677" s="122"/>
      <c r="AN677" s="122"/>
      <c r="AO677" s="122"/>
      <c r="AP677" s="428"/>
    </row>
    <row r="678" hidden="1">
      <c r="A678" s="428"/>
      <c r="B678" s="428"/>
      <c r="C678" s="122"/>
      <c r="D678" s="558"/>
      <c r="E678" s="539"/>
      <c r="F678" s="539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2"/>
      <c r="AE678" s="122"/>
      <c r="AF678" s="122"/>
      <c r="AG678" s="122"/>
      <c r="AH678" s="122"/>
      <c r="AI678" s="122"/>
      <c r="AJ678" s="122"/>
      <c r="AK678" s="122"/>
      <c r="AL678" s="122"/>
      <c r="AM678" s="122"/>
      <c r="AN678" s="122"/>
      <c r="AO678" s="122"/>
      <c r="AP678" s="428"/>
    </row>
    <row r="679" hidden="1">
      <c r="A679" s="428"/>
      <c r="B679" s="428"/>
      <c r="C679" s="122"/>
      <c r="D679" s="558"/>
      <c r="E679" s="539"/>
      <c r="F679" s="539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2"/>
      <c r="AE679" s="122"/>
      <c r="AF679" s="122"/>
      <c r="AG679" s="122"/>
      <c r="AH679" s="122"/>
      <c r="AI679" s="122"/>
      <c r="AJ679" s="122"/>
      <c r="AK679" s="122"/>
      <c r="AL679" s="122"/>
      <c r="AM679" s="122"/>
      <c r="AN679" s="122"/>
      <c r="AO679" s="122"/>
      <c r="AP679" s="428"/>
    </row>
    <row r="680" hidden="1">
      <c r="A680" s="428"/>
      <c r="B680" s="428"/>
      <c r="C680" s="122"/>
      <c r="D680" s="558"/>
      <c r="E680" s="539"/>
      <c r="F680" s="539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2"/>
      <c r="AE680" s="122"/>
      <c r="AF680" s="122"/>
      <c r="AG680" s="122"/>
      <c r="AH680" s="122"/>
      <c r="AI680" s="122"/>
      <c r="AJ680" s="122"/>
      <c r="AK680" s="122"/>
      <c r="AL680" s="122"/>
      <c r="AM680" s="122"/>
      <c r="AN680" s="122"/>
      <c r="AO680" s="122"/>
      <c r="AP680" s="428"/>
    </row>
    <row r="681" hidden="1">
      <c r="A681" s="428"/>
      <c r="B681" s="428"/>
      <c r="C681" s="122"/>
      <c r="D681" s="558"/>
      <c r="E681" s="539"/>
      <c r="F681" s="539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2"/>
      <c r="AE681" s="122"/>
      <c r="AF681" s="122"/>
      <c r="AG681" s="122"/>
      <c r="AH681" s="122"/>
      <c r="AI681" s="122"/>
      <c r="AJ681" s="122"/>
      <c r="AK681" s="122"/>
      <c r="AL681" s="122"/>
      <c r="AM681" s="122"/>
      <c r="AN681" s="122"/>
      <c r="AO681" s="122"/>
      <c r="AP681" s="428"/>
    </row>
    <row r="682" hidden="1">
      <c r="A682" s="428"/>
      <c r="B682" s="428"/>
      <c r="C682" s="122"/>
      <c r="D682" s="558"/>
      <c r="E682" s="539"/>
      <c r="F682" s="539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2"/>
      <c r="AE682" s="122"/>
      <c r="AF682" s="122"/>
      <c r="AG682" s="122"/>
      <c r="AH682" s="122"/>
      <c r="AI682" s="122"/>
      <c r="AJ682" s="122"/>
      <c r="AK682" s="122"/>
      <c r="AL682" s="122"/>
      <c r="AM682" s="122"/>
      <c r="AN682" s="122"/>
      <c r="AO682" s="122"/>
      <c r="AP682" s="428"/>
    </row>
    <row r="683" hidden="1">
      <c r="A683" s="428"/>
      <c r="B683" s="428"/>
      <c r="C683" s="122"/>
      <c r="D683" s="558"/>
      <c r="E683" s="539"/>
      <c r="F683" s="539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2"/>
      <c r="AE683" s="122"/>
      <c r="AF683" s="122"/>
      <c r="AG683" s="122"/>
      <c r="AH683" s="122"/>
      <c r="AI683" s="122"/>
      <c r="AJ683" s="122"/>
      <c r="AK683" s="122"/>
      <c r="AL683" s="122"/>
      <c r="AM683" s="122"/>
      <c r="AN683" s="122"/>
      <c r="AO683" s="122"/>
      <c r="AP683" s="428"/>
    </row>
    <row r="684" hidden="1">
      <c r="A684" s="428"/>
      <c r="B684" s="428"/>
      <c r="C684" s="122"/>
      <c r="D684" s="558"/>
      <c r="E684" s="539"/>
      <c r="F684" s="539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2"/>
      <c r="AE684" s="122"/>
      <c r="AF684" s="122"/>
      <c r="AG684" s="122"/>
      <c r="AH684" s="122"/>
      <c r="AI684" s="122"/>
      <c r="AJ684" s="122"/>
      <c r="AK684" s="122"/>
      <c r="AL684" s="122"/>
      <c r="AM684" s="122"/>
      <c r="AN684" s="122"/>
      <c r="AO684" s="122"/>
      <c r="AP684" s="428"/>
    </row>
    <row r="685" hidden="1">
      <c r="A685" s="428"/>
      <c r="B685" s="428"/>
      <c r="C685" s="122"/>
      <c r="D685" s="558"/>
      <c r="E685" s="539"/>
      <c r="F685" s="539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2"/>
      <c r="AE685" s="122"/>
      <c r="AF685" s="122"/>
      <c r="AG685" s="122"/>
      <c r="AH685" s="122"/>
      <c r="AI685" s="122"/>
      <c r="AJ685" s="122"/>
      <c r="AK685" s="122"/>
      <c r="AL685" s="122"/>
      <c r="AM685" s="122"/>
      <c r="AN685" s="122"/>
      <c r="AO685" s="122"/>
      <c r="AP685" s="428"/>
    </row>
    <row r="686" hidden="1">
      <c r="A686" s="428"/>
      <c r="B686" s="428"/>
      <c r="C686" s="122"/>
      <c r="D686" s="558"/>
      <c r="E686" s="539"/>
      <c r="F686" s="539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2"/>
      <c r="AE686" s="122"/>
      <c r="AF686" s="122"/>
      <c r="AG686" s="122"/>
      <c r="AH686" s="122"/>
      <c r="AI686" s="122"/>
      <c r="AJ686" s="122"/>
      <c r="AK686" s="122"/>
      <c r="AL686" s="122"/>
      <c r="AM686" s="122"/>
      <c r="AN686" s="122"/>
      <c r="AO686" s="122"/>
      <c r="AP686" s="428"/>
    </row>
    <row r="687" hidden="1">
      <c r="A687" s="428"/>
      <c r="B687" s="428"/>
      <c r="C687" s="122"/>
      <c r="D687" s="558"/>
      <c r="E687" s="539"/>
      <c r="F687" s="539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2"/>
      <c r="AE687" s="122"/>
      <c r="AF687" s="122"/>
      <c r="AG687" s="122"/>
      <c r="AH687" s="122"/>
      <c r="AI687" s="122"/>
      <c r="AJ687" s="122"/>
      <c r="AK687" s="122"/>
      <c r="AL687" s="122"/>
      <c r="AM687" s="122"/>
      <c r="AN687" s="122"/>
      <c r="AO687" s="122"/>
      <c r="AP687" s="428"/>
    </row>
    <row r="688" hidden="1">
      <c r="A688" s="428"/>
      <c r="B688" s="428"/>
      <c r="C688" s="122"/>
      <c r="D688" s="558"/>
      <c r="E688" s="539"/>
      <c r="F688" s="539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2"/>
      <c r="AE688" s="122"/>
      <c r="AF688" s="122"/>
      <c r="AG688" s="122"/>
      <c r="AH688" s="122"/>
      <c r="AI688" s="122"/>
      <c r="AJ688" s="122"/>
      <c r="AK688" s="122"/>
      <c r="AL688" s="122"/>
      <c r="AM688" s="122"/>
      <c r="AN688" s="122"/>
      <c r="AO688" s="122"/>
      <c r="AP688" s="428"/>
    </row>
    <row r="689" hidden="1">
      <c r="A689" s="428"/>
      <c r="B689" s="428"/>
      <c r="C689" s="122"/>
      <c r="D689" s="558"/>
      <c r="E689" s="539"/>
      <c r="F689" s="539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2"/>
      <c r="AE689" s="122"/>
      <c r="AF689" s="122"/>
      <c r="AG689" s="122"/>
      <c r="AH689" s="122"/>
      <c r="AI689" s="122"/>
      <c r="AJ689" s="122"/>
      <c r="AK689" s="122"/>
      <c r="AL689" s="122"/>
      <c r="AM689" s="122"/>
      <c r="AN689" s="122"/>
      <c r="AO689" s="122"/>
      <c r="AP689" s="428"/>
    </row>
    <row r="690" hidden="1">
      <c r="A690" s="428"/>
      <c r="B690" s="428"/>
      <c r="C690" s="122"/>
      <c r="D690" s="558"/>
      <c r="E690" s="539"/>
      <c r="F690" s="539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2"/>
      <c r="AE690" s="122"/>
      <c r="AF690" s="122"/>
      <c r="AG690" s="122"/>
      <c r="AH690" s="122"/>
      <c r="AI690" s="122"/>
      <c r="AJ690" s="122"/>
      <c r="AK690" s="122"/>
      <c r="AL690" s="122"/>
      <c r="AM690" s="122"/>
      <c r="AN690" s="122"/>
      <c r="AO690" s="122"/>
      <c r="AP690" s="428"/>
    </row>
    <row r="691" hidden="1">
      <c r="A691" s="428"/>
      <c r="B691" s="428"/>
      <c r="C691" s="122"/>
      <c r="D691" s="558"/>
      <c r="E691" s="539"/>
      <c r="F691" s="539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2"/>
      <c r="AE691" s="122"/>
      <c r="AF691" s="122"/>
      <c r="AG691" s="122"/>
      <c r="AH691" s="122"/>
      <c r="AI691" s="122"/>
      <c r="AJ691" s="122"/>
      <c r="AK691" s="122"/>
      <c r="AL691" s="122"/>
      <c r="AM691" s="122"/>
      <c r="AN691" s="122"/>
      <c r="AO691" s="122"/>
      <c r="AP691" s="428"/>
    </row>
    <row r="692" hidden="1">
      <c r="A692" s="428"/>
      <c r="B692" s="428"/>
      <c r="C692" s="122"/>
      <c r="D692" s="558"/>
      <c r="E692" s="539"/>
      <c r="F692" s="539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2"/>
      <c r="AE692" s="122"/>
      <c r="AF692" s="122"/>
      <c r="AG692" s="122"/>
      <c r="AH692" s="122"/>
      <c r="AI692" s="122"/>
      <c r="AJ692" s="122"/>
      <c r="AK692" s="122"/>
      <c r="AL692" s="122"/>
      <c r="AM692" s="122"/>
      <c r="AN692" s="122"/>
      <c r="AO692" s="122"/>
      <c r="AP692" s="428"/>
    </row>
    <row r="693" hidden="1">
      <c r="A693" s="428"/>
      <c r="B693" s="428"/>
      <c r="C693" s="122"/>
      <c r="D693" s="558"/>
      <c r="E693" s="539"/>
      <c r="F693" s="539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2"/>
      <c r="AE693" s="122"/>
      <c r="AF693" s="122"/>
      <c r="AG693" s="122"/>
      <c r="AH693" s="122"/>
      <c r="AI693" s="122"/>
      <c r="AJ693" s="122"/>
      <c r="AK693" s="122"/>
      <c r="AL693" s="122"/>
      <c r="AM693" s="122"/>
      <c r="AN693" s="122"/>
      <c r="AO693" s="122"/>
      <c r="AP693" s="428"/>
    </row>
    <row r="694" hidden="1">
      <c r="A694" s="428"/>
      <c r="B694" s="428"/>
      <c r="C694" s="122"/>
      <c r="D694" s="558"/>
      <c r="E694" s="539"/>
      <c r="F694" s="539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2"/>
      <c r="AE694" s="122"/>
      <c r="AF694" s="122"/>
      <c r="AG694" s="122"/>
      <c r="AH694" s="122"/>
      <c r="AI694" s="122"/>
      <c r="AJ694" s="122"/>
      <c r="AK694" s="122"/>
      <c r="AL694" s="122"/>
      <c r="AM694" s="122"/>
      <c r="AN694" s="122"/>
      <c r="AO694" s="122"/>
      <c r="AP694" s="428"/>
    </row>
    <row r="695" hidden="1">
      <c r="A695" s="428"/>
      <c r="B695" s="428"/>
      <c r="C695" s="122"/>
      <c r="D695" s="558"/>
      <c r="E695" s="539"/>
      <c r="F695" s="539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2"/>
      <c r="AE695" s="122"/>
      <c r="AF695" s="122"/>
      <c r="AG695" s="122"/>
      <c r="AH695" s="122"/>
      <c r="AI695" s="122"/>
      <c r="AJ695" s="122"/>
      <c r="AK695" s="122"/>
      <c r="AL695" s="122"/>
      <c r="AM695" s="122"/>
      <c r="AN695" s="122"/>
      <c r="AO695" s="122"/>
      <c r="AP695" s="428"/>
    </row>
    <row r="696" hidden="1">
      <c r="A696" s="428"/>
      <c r="B696" s="428"/>
      <c r="C696" s="122"/>
      <c r="D696" s="558"/>
      <c r="E696" s="539"/>
      <c r="F696" s="539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2"/>
      <c r="AE696" s="122"/>
      <c r="AF696" s="122"/>
      <c r="AG696" s="122"/>
      <c r="AH696" s="122"/>
      <c r="AI696" s="122"/>
      <c r="AJ696" s="122"/>
      <c r="AK696" s="122"/>
      <c r="AL696" s="122"/>
      <c r="AM696" s="122"/>
      <c r="AN696" s="122"/>
      <c r="AO696" s="122"/>
      <c r="AP696" s="428"/>
    </row>
    <row r="697" hidden="1">
      <c r="A697" s="428"/>
      <c r="B697" s="428"/>
      <c r="C697" s="122"/>
      <c r="D697" s="558"/>
      <c r="E697" s="539"/>
      <c r="F697" s="539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2"/>
      <c r="AE697" s="122"/>
      <c r="AF697" s="122"/>
      <c r="AG697" s="122"/>
      <c r="AH697" s="122"/>
      <c r="AI697" s="122"/>
      <c r="AJ697" s="122"/>
      <c r="AK697" s="122"/>
      <c r="AL697" s="122"/>
      <c r="AM697" s="122"/>
      <c r="AN697" s="122"/>
      <c r="AO697" s="122"/>
      <c r="AP697" s="428"/>
    </row>
    <row r="698" hidden="1">
      <c r="A698" s="428"/>
      <c r="B698" s="428"/>
      <c r="C698" s="122"/>
      <c r="D698" s="558"/>
      <c r="E698" s="539"/>
      <c r="F698" s="539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2"/>
      <c r="AE698" s="122"/>
      <c r="AF698" s="122"/>
      <c r="AG698" s="122"/>
      <c r="AH698" s="122"/>
      <c r="AI698" s="122"/>
      <c r="AJ698" s="122"/>
      <c r="AK698" s="122"/>
      <c r="AL698" s="122"/>
      <c r="AM698" s="122"/>
      <c r="AN698" s="122"/>
      <c r="AO698" s="122"/>
      <c r="AP698" s="428"/>
    </row>
    <row r="699" hidden="1">
      <c r="A699" s="428"/>
      <c r="B699" s="428"/>
      <c r="C699" s="122"/>
      <c r="D699" s="558"/>
      <c r="E699" s="539"/>
      <c r="F699" s="539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2"/>
      <c r="AE699" s="122"/>
      <c r="AF699" s="122"/>
      <c r="AG699" s="122"/>
      <c r="AH699" s="122"/>
      <c r="AI699" s="122"/>
      <c r="AJ699" s="122"/>
      <c r="AK699" s="122"/>
      <c r="AL699" s="122"/>
      <c r="AM699" s="122"/>
      <c r="AN699" s="122"/>
      <c r="AO699" s="122"/>
      <c r="AP699" s="428"/>
    </row>
    <row r="700" hidden="1">
      <c r="A700" s="428"/>
      <c r="B700" s="428"/>
      <c r="C700" s="122"/>
      <c r="D700" s="558"/>
      <c r="E700" s="539"/>
      <c r="F700" s="539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2"/>
      <c r="AE700" s="122"/>
      <c r="AF700" s="122"/>
      <c r="AG700" s="122"/>
      <c r="AH700" s="122"/>
      <c r="AI700" s="122"/>
      <c r="AJ700" s="122"/>
      <c r="AK700" s="122"/>
      <c r="AL700" s="122"/>
      <c r="AM700" s="122"/>
      <c r="AN700" s="122"/>
      <c r="AO700" s="122"/>
      <c r="AP700" s="428"/>
    </row>
    <row r="701" hidden="1">
      <c r="A701" s="428"/>
      <c r="B701" s="428"/>
      <c r="C701" s="122"/>
      <c r="D701" s="558"/>
      <c r="E701" s="539"/>
      <c r="F701" s="539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2"/>
      <c r="AE701" s="122"/>
      <c r="AF701" s="122"/>
      <c r="AG701" s="122"/>
      <c r="AH701" s="122"/>
      <c r="AI701" s="122"/>
      <c r="AJ701" s="122"/>
      <c r="AK701" s="122"/>
      <c r="AL701" s="122"/>
      <c r="AM701" s="122"/>
      <c r="AN701" s="122"/>
      <c r="AO701" s="122"/>
      <c r="AP701" s="428"/>
    </row>
    <row r="702" hidden="1">
      <c r="A702" s="428"/>
      <c r="B702" s="428"/>
      <c r="C702" s="122"/>
      <c r="D702" s="558"/>
      <c r="E702" s="539"/>
      <c r="F702" s="539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2"/>
      <c r="AE702" s="122"/>
      <c r="AF702" s="122"/>
      <c r="AG702" s="122"/>
      <c r="AH702" s="122"/>
      <c r="AI702" s="122"/>
      <c r="AJ702" s="122"/>
      <c r="AK702" s="122"/>
      <c r="AL702" s="122"/>
      <c r="AM702" s="122"/>
      <c r="AN702" s="122"/>
      <c r="AO702" s="122"/>
      <c r="AP702" s="428"/>
    </row>
    <row r="703" hidden="1">
      <c r="A703" s="428"/>
      <c r="B703" s="428"/>
      <c r="C703" s="122"/>
      <c r="D703" s="558"/>
      <c r="E703" s="539"/>
      <c r="F703" s="539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2"/>
      <c r="AE703" s="122"/>
      <c r="AF703" s="122"/>
      <c r="AG703" s="122"/>
      <c r="AH703" s="122"/>
      <c r="AI703" s="122"/>
      <c r="AJ703" s="122"/>
      <c r="AK703" s="122"/>
      <c r="AL703" s="122"/>
      <c r="AM703" s="122"/>
      <c r="AN703" s="122"/>
      <c r="AO703" s="122"/>
      <c r="AP703" s="428"/>
    </row>
    <row r="704" hidden="1">
      <c r="A704" s="428"/>
      <c r="B704" s="428"/>
      <c r="C704" s="122"/>
      <c r="D704" s="558"/>
      <c r="E704" s="539"/>
      <c r="F704" s="539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2"/>
      <c r="AE704" s="122"/>
      <c r="AF704" s="122"/>
      <c r="AG704" s="122"/>
      <c r="AH704" s="122"/>
      <c r="AI704" s="122"/>
      <c r="AJ704" s="122"/>
      <c r="AK704" s="122"/>
      <c r="AL704" s="122"/>
      <c r="AM704" s="122"/>
      <c r="AN704" s="122"/>
      <c r="AO704" s="122"/>
      <c r="AP704" s="428"/>
    </row>
    <row r="705" hidden="1">
      <c r="A705" s="428"/>
      <c r="B705" s="428"/>
      <c r="C705" s="122"/>
      <c r="D705" s="558"/>
      <c r="E705" s="539"/>
      <c r="F705" s="539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2"/>
      <c r="AE705" s="122"/>
      <c r="AF705" s="122"/>
      <c r="AG705" s="122"/>
      <c r="AH705" s="122"/>
      <c r="AI705" s="122"/>
      <c r="AJ705" s="122"/>
      <c r="AK705" s="122"/>
      <c r="AL705" s="122"/>
      <c r="AM705" s="122"/>
      <c r="AN705" s="122"/>
      <c r="AO705" s="122"/>
      <c r="AP705" s="428"/>
    </row>
    <row r="706" hidden="1">
      <c r="A706" s="428"/>
      <c r="B706" s="428"/>
      <c r="C706" s="122"/>
      <c r="D706" s="558"/>
      <c r="E706" s="539"/>
      <c r="F706" s="539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2"/>
      <c r="AE706" s="122"/>
      <c r="AF706" s="122"/>
      <c r="AG706" s="122"/>
      <c r="AH706" s="122"/>
      <c r="AI706" s="122"/>
      <c r="AJ706" s="122"/>
      <c r="AK706" s="122"/>
      <c r="AL706" s="122"/>
      <c r="AM706" s="122"/>
      <c r="AN706" s="122"/>
      <c r="AO706" s="122"/>
      <c r="AP706" s="428"/>
    </row>
    <row r="707" hidden="1">
      <c r="A707" s="428"/>
      <c r="B707" s="428"/>
      <c r="C707" s="122"/>
      <c r="D707" s="558"/>
      <c r="E707" s="539"/>
      <c r="F707" s="539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2"/>
      <c r="AE707" s="122"/>
      <c r="AF707" s="122"/>
      <c r="AG707" s="122"/>
      <c r="AH707" s="122"/>
      <c r="AI707" s="122"/>
      <c r="AJ707" s="122"/>
      <c r="AK707" s="122"/>
      <c r="AL707" s="122"/>
      <c r="AM707" s="122"/>
      <c r="AN707" s="122"/>
      <c r="AO707" s="122"/>
      <c r="AP707" s="428"/>
    </row>
    <row r="708" hidden="1">
      <c r="A708" s="428"/>
      <c r="B708" s="428"/>
      <c r="C708" s="122"/>
      <c r="D708" s="558"/>
      <c r="E708" s="539"/>
      <c r="F708" s="539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2"/>
      <c r="AE708" s="122"/>
      <c r="AF708" s="122"/>
      <c r="AG708" s="122"/>
      <c r="AH708" s="122"/>
      <c r="AI708" s="122"/>
      <c r="AJ708" s="122"/>
      <c r="AK708" s="122"/>
      <c r="AL708" s="122"/>
      <c r="AM708" s="122"/>
      <c r="AN708" s="122"/>
      <c r="AO708" s="122"/>
      <c r="AP708" s="428"/>
    </row>
    <row r="709" hidden="1">
      <c r="A709" s="428"/>
      <c r="B709" s="428"/>
      <c r="C709" s="122"/>
      <c r="D709" s="558"/>
      <c r="E709" s="539"/>
      <c r="F709" s="539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2"/>
      <c r="AE709" s="122"/>
      <c r="AF709" s="122"/>
      <c r="AG709" s="122"/>
      <c r="AH709" s="122"/>
      <c r="AI709" s="122"/>
      <c r="AJ709" s="122"/>
      <c r="AK709" s="122"/>
      <c r="AL709" s="122"/>
      <c r="AM709" s="122"/>
      <c r="AN709" s="122"/>
      <c r="AO709" s="122"/>
      <c r="AP709" s="428"/>
    </row>
    <row r="710" hidden="1">
      <c r="A710" s="428"/>
      <c r="B710" s="428"/>
      <c r="C710" s="122"/>
      <c r="D710" s="558"/>
      <c r="E710" s="539"/>
      <c r="F710" s="539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2"/>
      <c r="AE710" s="122"/>
      <c r="AF710" s="122"/>
      <c r="AG710" s="122"/>
      <c r="AH710" s="122"/>
      <c r="AI710" s="122"/>
      <c r="AJ710" s="122"/>
      <c r="AK710" s="122"/>
      <c r="AL710" s="122"/>
      <c r="AM710" s="122"/>
      <c r="AN710" s="122"/>
      <c r="AO710" s="122"/>
      <c r="AP710" s="428"/>
    </row>
    <row r="711" hidden="1">
      <c r="A711" s="428"/>
      <c r="B711" s="428"/>
      <c r="C711" s="122"/>
      <c r="D711" s="558"/>
      <c r="E711" s="539"/>
      <c r="F711" s="539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2"/>
      <c r="AE711" s="122"/>
      <c r="AF711" s="122"/>
      <c r="AG711" s="122"/>
      <c r="AH711" s="122"/>
      <c r="AI711" s="122"/>
      <c r="AJ711" s="122"/>
      <c r="AK711" s="122"/>
      <c r="AL711" s="122"/>
      <c r="AM711" s="122"/>
      <c r="AN711" s="122"/>
      <c r="AO711" s="122"/>
      <c r="AP711" s="428"/>
    </row>
    <row r="712" hidden="1">
      <c r="A712" s="428"/>
      <c r="B712" s="428"/>
      <c r="C712" s="122"/>
      <c r="D712" s="558"/>
      <c r="E712" s="539"/>
      <c r="F712" s="539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2"/>
      <c r="AE712" s="122"/>
      <c r="AF712" s="122"/>
      <c r="AG712" s="122"/>
      <c r="AH712" s="122"/>
      <c r="AI712" s="122"/>
      <c r="AJ712" s="122"/>
      <c r="AK712" s="122"/>
      <c r="AL712" s="122"/>
      <c r="AM712" s="122"/>
      <c r="AN712" s="122"/>
      <c r="AO712" s="122"/>
      <c r="AP712" s="428"/>
    </row>
    <row r="713" hidden="1">
      <c r="A713" s="428"/>
      <c r="B713" s="428"/>
      <c r="C713" s="122"/>
      <c r="D713" s="558"/>
      <c r="E713" s="539"/>
      <c r="F713" s="539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2"/>
      <c r="AE713" s="122"/>
      <c r="AF713" s="122"/>
      <c r="AG713" s="122"/>
      <c r="AH713" s="122"/>
      <c r="AI713" s="122"/>
      <c r="AJ713" s="122"/>
      <c r="AK713" s="122"/>
      <c r="AL713" s="122"/>
      <c r="AM713" s="122"/>
      <c r="AN713" s="122"/>
      <c r="AO713" s="122"/>
      <c r="AP713" s="428"/>
    </row>
    <row r="714" hidden="1">
      <c r="A714" s="428"/>
      <c r="B714" s="428"/>
      <c r="C714" s="122"/>
      <c r="D714" s="558"/>
      <c r="E714" s="539"/>
      <c r="F714" s="539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2"/>
      <c r="AE714" s="122"/>
      <c r="AF714" s="122"/>
      <c r="AG714" s="122"/>
      <c r="AH714" s="122"/>
      <c r="AI714" s="122"/>
      <c r="AJ714" s="122"/>
      <c r="AK714" s="122"/>
      <c r="AL714" s="122"/>
      <c r="AM714" s="122"/>
      <c r="AN714" s="122"/>
      <c r="AO714" s="122"/>
      <c r="AP714" s="428"/>
    </row>
    <row r="715" hidden="1">
      <c r="A715" s="428"/>
      <c r="B715" s="428"/>
      <c r="C715" s="122"/>
      <c r="D715" s="558"/>
      <c r="E715" s="539"/>
      <c r="F715" s="539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2"/>
      <c r="AE715" s="122"/>
      <c r="AF715" s="122"/>
      <c r="AG715" s="122"/>
      <c r="AH715" s="122"/>
      <c r="AI715" s="122"/>
      <c r="AJ715" s="122"/>
      <c r="AK715" s="122"/>
      <c r="AL715" s="122"/>
      <c r="AM715" s="122"/>
      <c r="AN715" s="122"/>
      <c r="AO715" s="122"/>
      <c r="AP715" s="428"/>
    </row>
    <row r="716" hidden="1">
      <c r="A716" s="428"/>
      <c r="B716" s="428"/>
      <c r="C716" s="122"/>
      <c r="D716" s="558"/>
      <c r="E716" s="539"/>
      <c r="F716" s="539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2"/>
      <c r="AE716" s="122"/>
      <c r="AF716" s="122"/>
      <c r="AG716" s="122"/>
      <c r="AH716" s="122"/>
      <c r="AI716" s="122"/>
      <c r="AJ716" s="122"/>
      <c r="AK716" s="122"/>
      <c r="AL716" s="122"/>
      <c r="AM716" s="122"/>
      <c r="AN716" s="122"/>
      <c r="AO716" s="122"/>
      <c r="AP716" s="428"/>
    </row>
    <row r="717" hidden="1">
      <c r="A717" s="428"/>
      <c r="B717" s="428"/>
      <c r="C717" s="122"/>
      <c r="D717" s="558"/>
      <c r="E717" s="539"/>
      <c r="F717" s="539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2"/>
      <c r="AE717" s="122"/>
      <c r="AF717" s="122"/>
      <c r="AG717" s="122"/>
      <c r="AH717" s="122"/>
      <c r="AI717" s="122"/>
      <c r="AJ717" s="122"/>
      <c r="AK717" s="122"/>
      <c r="AL717" s="122"/>
      <c r="AM717" s="122"/>
      <c r="AN717" s="122"/>
      <c r="AO717" s="122"/>
      <c r="AP717" s="428"/>
    </row>
    <row r="718" hidden="1">
      <c r="A718" s="428"/>
      <c r="B718" s="428"/>
      <c r="C718" s="122"/>
      <c r="D718" s="558"/>
      <c r="E718" s="539"/>
      <c r="F718" s="539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2"/>
      <c r="AE718" s="122"/>
      <c r="AF718" s="122"/>
      <c r="AG718" s="122"/>
      <c r="AH718" s="122"/>
      <c r="AI718" s="122"/>
      <c r="AJ718" s="122"/>
      <c r="AK718" s="122"/>
      <c r="AL718" s="122"/>
      <c r="AM718" s="122"/>
      <c r="AN718" s="122"/>
      <c r="AO718" s="122"/>
      <c r="AP718" s="428"/>
    </row>
    <row r="719" hidden="1">
      <c r="A719" s="428"/>
      <c r="B719" s="428"/>
      <c r="C719" s="122"/>
      <c r="D719" s="558"/>
      <c r="E719" s="539"/>
      <c r="F719" s="539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2"/>
      <c r="AE719" s="122"/>
      <c r="AF719" s="122"/>
      <c r="AG719" s="122"/>
      <c r="AH719" s="122"/>
      <c r="AI719" s="122"/>
      <c r="AJ719" s="122"/>
      <c r="AK719" s="122"/>
      <c r="AL719" s="122"/>
      <c r="AM719" s="122"/>
      <c r="AN719" s="122"/>
      <c r="AO719" s="122"/>
      <c r="AP719" s="428"/>
    </row>
    <row r="720" hidden="1">
      <c r="A720" s="428"/>
      <c r="B720" s="428"/>
      <c r="C720" s="122"/>
      <c r="D720" s="558"/>
      <c r="E720" s="539"/>
      <c r="F720" s="539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2"/>
      <c r="AE720" s="122"/>
      <c r="AF720" s="122"/>
      <c r="AG720" s="122"/>
      <c r="AH720" s="122"/>
      <c r="AI720" s="122"/>
      <c r="AJ720" s="122"/>
      <c r="AK720" s="122"/>
      <c r="AL720" s="122"/>
      <c r="AM720" s="122"/>
      <c r="AN720" s="122"/>
      <c r="AO720" s="122"/>
      <c r="AP720" s="428"/>
    </row>
    <row r="721" hidden="1">
      <c r="A721" s="428"/>
      <c r="B721" s="428"/>
      <c r="C721" s="122"/>
      <c r="D721" s="558"/>
      <c r="E721" s="539"/>
      <c r="F721" s="539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2"/>
      <c r="AE721" s="122"/>
      <c r="AF721" s="122"/>
      <c r="AG721" s="122"/>
      <c r="AH721" s="122"/>
      <c r="AI721" s="122"/>
      <c r="AJ721" s="122"/>
      <c r="AK721" s="122"/>
      <c r="AL721" s="122"/>
      <c r="AM721" s="122"/>
      <c r="AN721" s="122"/>
      <c r="AO721" s="122"/>
      <c r="AP721" s="428"/>
    </row>
    <row r="722" hidden="1">
      <c r="A722" s="428"/>
      <c r="B722" s="428"/>
      <c r="C722" s="122"/>
      <c r="D722" s="558"/>
      <c r="E722" s="539"/>
      <c r="F722" s="539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2"/>
      <c r="AE722" s="122"/>
      <c r="AF722" s="122"/>
      <c r="AG722" s="122"/>
      <c r="AH722" s="122"/>
      <c r="AI722" s="122"/>
      <c r="AJ722" s="122"/>
      <c r="AK722" s="122"/>
      <c r="AL722" s="122"/>
      <c r="AM722" s="122"/>
      <c r="AN722" s="122"/>
      <c r="AO722" s="122"/>
      <c r="AP722" s="428"/>
    </row>
    <row r="723" hidden="1">
      <c r="A723" s="428"/>
      <c r="B723" s="428"/>
      <c r="C723" s="122"/>
      <c r="D723" s="558"/>
      <c r="E723" s="539"/>
      <c r="F723" s="539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2"/>
      <c r="AE723" s="122"/>
      <c r="AF723" s="122"/>
      <c r="AG723" s="122"/>
      <c r="AH723" s="122"/>
      <c r="AI723" s="122"/>
      <c r="AJ723" s="122"/>
      <c r="AK723" s="122"/>
      <c r="AL723" s="122"/>
      <c r="AM723" s="122"/>
      <c r="AN723" s="122"/>
      <c r="AO723" s="122"/>
      <c r="AP723" s="428"/>
    </row>
    <row r="724" hidden="1">
      <c r="A724" s="428"/>
      <c r="B724" s="428"/>
      <c r="C724" s="122"/>
      <c r="D724" s="558"/>
      <c r="E724" s="539"/>
      <c r="F724" s="539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2"/>
      <c r="AE724" s="122"/>
      <c r="AF724" s="122"/>
      <c r="AG724" s="122"/>
      <c r="AH724" s="122"/>
      <c r="AI724" s="122"/>
      <c r="AJ724" s="122"/>
      <c r="AK724" s="122"/>
      <c r="AL724" s="122"/>
      <c r="AM724" s="122"/>
      <c r="AN724" s="122"/>
      <c r="AO724" s="122"/>
      <c r="AP724" s="428"/>
    </row>
    <row r="725" hidden="1">
      <c r="A725" s="428"/>
      <c r="B725" s="428"/>
      <c r="C725" s="122"/>
      <c r="D725" s="558"/>
      <c r="E725" s="539"/>
      <c r="F725" s="539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2"/>
      <c r="AE725" s="122"/>
      <c r="AF725" s="122"/>
      <c r="AG725" s="122"/>
      <c r="AH725" s="122"/>
      <c r="AI725" s="122"/>
      <c r="AJ725" s="122"/>
      <c r="AK725" s="122"/>
      <c r="AL725" s="122"/>
      <c r="AM725" s="122"/>
      <c r="AN725" s="122"/>
      <c r="AO725" s="122"/>
      <c r="AP725" s="428"/>
    </row>
    <row r="726" hidden="1">
      <c r="A726" s="428"/>
      <c r="B726" s="428"/>
      <c r="C726" s="122"/>
      <c r="D726" s="558"/>
      <c r="E726" s="539"/>
      <c r="F726" s="539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2"/>
      <c r="AE726" s="122"/>
      <c r="AF726" s="122"/>
      <c r="AG726" s="122"/>
      <c r="AH726" s="122"/>
      <c r="AI726" s="122"/>
      <c r="AJ726" s="122"/>
      <c r="AK726" s="122"/>
      <c r="AL726" s="122"/>
      <c r="AM726" s="122"/>
      <c r="AN726" s="122"/>
      <c r="AO726" s="122"/>
      <c r="AP726" s="428"/>
    </row>
    <row r="727" hidden="1">
      <c r="A727" s="428"/>
      <c r="B727" s="428"/>
      <c r="C727" s="122"/>
      <c r="D727" s="558"/>
      <c r="E727" s="539"/>
      <c r="F727" s="539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2"/>
      <c r="AE727" s="122"/>
      <c r="AF727" s="122"/>
      <c r="AG727" s="122"/>
      <c r="AH727" s="122"/>
      <c r="AI727" s="122"/>
      <c r="AJ727" s="122"/>
      <c r="AK727" s="122"/>
      <c r="AL727" s="122"/>
      <c r="AM727" s="122"/>
      <c r="AN727" s="122"/>
      <c r="AO727" s="122"/>
      <c r="AP727" s="428"/>
    </row>
    <row r="728" hidden="1">
      <c r="A728" s="428"/>
      <c r="B728" s="428"/>
      <c r="C728" s="122"/>
      <c r="D728" s="558"/>
      <c r="E728" s="539"/>
      <c r="F728" s="539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2"/>
      <c r="AE728" s="122"/>
      <c r="AF728" s="122"/>
      <c r="AG728" s="122"/>
      <c r="AH728" s="122"/>
      <c r="AI728" s="122"/>
      <c r="AJ728" s="122"/>
      <c r="AK728" s="122"/>
      <c r="AL728" s="122"/>
      <c r="AM728" s="122"/>
      <c r="AN728" s="122"/>
      <c r="AO728" s="122"/>
      <c r="AP728" s="428"/>
    </row>
    <row r="729" hidden="1">
      <c r="A729" s="428"/>
      <c r="B729" s="428"/>
      <c r="C729" s="122"/>
      <c r="D729" s="558"/>
      <c r="E729" s="539"/>
      <c r="F729" s="539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2"/>
      <c r="AE729" s="122"/>
      <c r="AF729" s="122"/>
      <c r="AG729" s="122"/>
      <c r="AH729" s="122"/>
      <c r="AI729" s="122"/>
      <c r="AJ729" s="122"/>
      <c r="AK729" s="122"/>
      <c r="AL729" s="122"/>
      <c r="AM729" s="122"/>
      <c r="AN729" s="122"/>
      <c r="AO729" s="122"/>
      <c r="AP729" s="428"/>
    </row>
    <row r="730" hidden="1">
      <c r="A730" s="428"/>
      <c r="B730" s="428"/>
      <c r="C730" s="122"/>
      <c r="D730" s="558"/>
      <c r="E730" s="539"/>
      <c r="F730" s="539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2"/>
      <c r="AE730" s="122"/>
      <c r="AF730" s="122"/>
      <c r="AG730" s="122"/>
      <c r="AH730" s="122"/>
      <c r="AI730" s="122"/>
      <c r="AJ730" s="122"/>
      <c r="AK730" s="122"/>
      <c r="AL730" s="122"/>
      <c r="AM730" s="122"/>
      <c r="AN730" s="122"/>
      <c r="AO730" s="122"/>
      <c r="AP730" s="428"/>
    </row>
    <row r="731" hidden="1">
      <c r="A731" s="428"/>
      <c r="B731" s="428"/>
      <c r="C731" s="122"/>
      <c r="D731" s="558"/>
      <c r="E731" s="539"/>
      <c r="F731" s="539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2"/>
      <c r="AE731" s="122"/>
      <c r="AF731" s="122"/>
      <c r="AG731" s="122"/>
      <c r="AH731" s="122"/>
      <c r="AI731" s="122"/>
      <c r="AJ731" s="122"/>
      <c r="AK731" s="122"/>
      <c r="AL731" s="122"/>
      <c r="AM731" s="122"/>
      <c r="AN731" s="122"/>
      <c r="AO731" s="122"/>
      <c r="AP731" s="428"/>
    </row>
    <row r="732" hidden="1">
      <c r="A732" s="428"/>
      <c r="B732" s="428"/>
      <c r="C732" s="122"/>
      <c r="D732" s="558"/>
      <c r="E732" s="539"/>
      <c r="F732" s="539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2"/>
      <c r="AE732" s="122"/>
      <c r="AF732" s="122"/>
      <c r="AG732" s="122"/>
      <c r="AH732" s="122"/>
      <c r="AI732" s="122"/>
      <c r="AJ732" s="122"/>
      <c r="AK732" s="122"/>
      <c r="AL732" s="122"/>
      <c r="AM732" s="122"/>
      <c r="AN732" s="122"/>
      <c r="AO732" s="122"/>
      <c r="AP732" s="428"/>
    </row>
    <row r="733" hidden="1">
      <c r="A733" s="428"/>
      <c r="B733" s="428"/>
      <c r="C733" s="122"/>
      <c r="D733" s="558"/>
      <c r="E733" s="539"/>
      <c r="F733" s="539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2"/>
      <c r="AE733" s="122"/>
      <c r="AF733" s="122"/>
      <c r="AG733" s="122"/>
      <c r="AH733" s="122"/>
      <c r="AI733" s="122"/>
      <c r="AJ733" s="122"/>
      <c r="AK733" s="122"/>
      <c r="AL733" s="122"/>
      <c r="AM733" s="122"/>
      <c r="AN733" s="122"/>
      <c r="AO733" s="122"/>
      <c r="AP733" s="428"/>
    </row>
    <row r="734" hidden="1">
      <c r="A734" s="428"/>
      <c r="B734" s="428"/>
      <c r="C734" s="122"/>
      <c r="D734" s="558"/>
      <c r="E734" s="539"/>
      <c r="F734" s="539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2"/>
      <c r="AE734" s="122"/>
      <c r="AF734" s="122"/>
      <c r="AG734" s="122"/>
      <c r="AH734" s="122"/>
      <c r="AI734" s="122"/>
      <c r="AJ734" s="122"/>
      <c r="AK734" s="122"/>
      <c r="AL734" s="122"/>
      <c r="AM734" s="122"/>
      <c r="AN734" s="122"/>
      <c r="AO734" s="122"/>
      <c r="AP734" s="428"/>
    </row>
    <row r="735" hidden="1">
      <c r="A735" s="428"/>
      <c r="B735" s="428"/>
      <c r="C735" s="122"/>
      <c r="D735" s="558"/>
      <c r="E735" s="539"/>
      <c r="F735" s="539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2"/>
      <c r="AE735" s="122"/>
      <c r="AF735" s="122"/>
      <c r="AG735" s="122"/>
      <c r="AH735" s="122"/>
      <c r="AI735" s="122"/>
      <c r="AJ735" s="122"/>
      <c r="AK735" s="122"/>
      <c r="AL735" s="122"/>
      <c r="AM735" s="122"/>
      <c r="AN735" s="122"/>
      <c r="AO735" s="122"/>
      <c r="AP735" s="428"/>
    </row>
    <row r="736" hidden="1">
      <c r="A736" s="428"/>
      <c r="B736" s="428"/>
      <c r="C736" s="122"/>
      <c r="D736" s="558"/>
      <c r="E736" s="539"/>
      <c r="F736" s="539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2"/>
      <c r="AE736" s="122"/>
      <c r="AF736" s="122"/>
      <c r="AG736" s="122"/>
      <c r="AH736" s="122"/>
      <c r="AI736" s="122"/>
      <c r="AJ736" s="122"/>
      <c r="AK736" s="122"/>
      <c r="AL736" s="122"/>
      <c r="AM736" s="122"/>
      <c r="AN736" s="122"/>
      <c r="AO736" s="122"/>
      <c r="AP736" s="428"/>
    </row>
    <row r="737" hidden="1">
      <c r="A737" s="428"/>
      <c r="B737" s="428"/>
      <c r="C737" s="122"/>
      <c r="D737" s="558"/>
      <c r="E737" s="539"/>
      <c r="F737" s="539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2"/>
      <c r="AE737" s="122"/>
      <c r="AF737" s="122"/>
      <c r="AG737" s="122"/>
      <c r="AH737" s="122"/>
      <c r="AI737" s="122"/>
      <c r="AJ737" s="122"/>
      <c r="AK737" s="122"/>
      <c r="AL737" s="122"/>
      <c r="AM737" s="122"/>
      <c r="AN737" s="122"/>
      <c r="AO737" s="122"/>
      <c r="AP737" s="428"/>
    </row>
    <row r="738" hidden="1">
      <c r="A738" s="428"/>
      <c r="B738" s="428"/>
      <c r="C738" s="122"/>
      <c r="D738" s="558"/>
      <c r="E738" s="539"/>
      <c r="F738" s="539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2"/>
      <c r="AE738" s="122"/>
      <c r="AF738" s="122"/>
      <c r="AG738" s="122"/>
      <c r="AH738" s="122"/>
      <c r="AI738" s="122"/>
      <c r="AJ738" s="122"/>
      <c r="AK738" s="122"/>
      <c r="AL738" s="122"/>
      <c r="AM738" s="122"/>
      <c r="AN738" s="122"/>
      <c r="AO738" s="122"/>
      <c r="AP738" s="428"/>
    </row>
    <row r="739" hidden="1">
      <c r="A739" s="428"/>
      <c r="B739" s="428"/>
      <c r="C739" s="122"/>
      <c r="D739" s="558"/>
      <c r="E739" s="539"/>
      <c r="F739" s="539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2"/>
      <c r="AE739" s="122"/>
      <c r="AF739" s="122"/>
      <c r="AG739" s="122"/>
      <c r="AH739" s="122"/>
      <c r="AI739" s="122"/>
      <c r="AJ739" s="122"/>
      <c r="AK739" s="122"/>
      <c r="AL739" s="122"/>
      <c r="AM739" s="122"/>
      <c r="AN739" s="122"/>
      <c r="AO739" s="122"/>
      <c r="AP739" s="428"/>
    </row>
    <row r="740" hidden="1">
      <c r="A740" s="428"/>
      <c r="B740" s="428"/>
      <c r="C740" s="122"/>
      <c r="D740" s="558"/>
      <c r="E740" s="539"/>
      <c r="F740" s="539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2"/>
      <c r="AE740" s="122"/>
      <c r="AF740" s="122"/>
      <c r="AG740" s="122"/>
      <c r="AH740" s="122"/>
      <c r="AI740" s="122"/>
      <c r="AJ740" s="122"/>
      <c r="AK740" s="122"/>
      <c r="AL740" s="122"/>
      <c r="AM740" s="122"/>
      <c r="AN740" s="122"/>
      <c r="AO740" s="122"/>
      <c r="AP740" s="428"/>
    </row>
    <row r="741" hidden="1">
      <c r="A741" s="428"/>
      <c r="B741" s="428"/>
      <c r="C741" s="122"/>
      <c r="D741" s="558"/>
      <c r="E741" s="539"/>
      <c r="F741" s="539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2"/>
      <c r="AE741" s="122"/>
      <c r="AF741" s="122"/>
      <c r="AG741" s="122"/>
      <c r="AH741" s="122"/>
      <c r="AI741" s="122"/>
      <c r="AJ741" s="122"/>
      <c r="AK741" s="122"/>
      <c r="AL741" s="122"/>
      <c r="AM741" s="122"/>
      <c r="AN741" s="122"/>
      <c r="AO741" s="122"/>
      <c r="AP741" s="428"/>
    </row>
    <row r="742" hidden="1">
      <c r="A742" s="428"/>
      <c r="B742" s="428"/>
      <c r="C742" s="122"/>
      <c r="D742" s="558"/>
      <c r="E742" s="539"/>
      <c r="F742" s="539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2"/>
      <c r="AE742" s="122"/>
      <c r="AF742" s="122"/>
      <c r="AG742" s="122"/>
      <c r="AH742" s="122"/>
      <c r="AI742" s="122"/>
      <c r="AJ742" s="122"/>
      <c r="AK742" s="122"/>
      <c r="AL742" s="122"/>
      <c r="AM742" s="122"/>
      <c r="AN742" s="122"/>
      <c r="AO742" s="122"/>
      <c r="AP742" s="428"/>
    </row>
    <row r="743" hidden="1">
      <c r="A743" s="428"/>
      <c r="B743" s="428"/>
      <c r="C743" s="122"/>
      <c r="D743" s="558"/>
      <c r="E743" s="539"/>
      <c r="F743" s="539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2"/>
      <c r="AE743" s="122"/>
      <c r="AF743" s="122"/>
      <c r="AG743" s="122"/>
      <c r="AH743" s="122"/>
      <c r="AI743" s="122"/>
      <c r="AJ743" s="122"/>
      <c r="AK743" s="122"/>
      <c r="AL743" s="122"/>
      <c r="AM743" s="122"/>
      <c r="AN743" s="122"/>
      <c r="AO743" s="122"/>
      <c r="AP743" s="428"/>
    </row>
    <row r="744" hidden="1">
      <c r="A744" s="428"/>
      <c r="B744" s="428"/>
      <c r="C744" s="122"/>
      <c r="D744" s="558"/>
      <c r="E744" s="539"/>
      <c r="F744" s="539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2"/>
      <c r="AE744" s="122"/>
      <c r="AF744" s="122"/>
      <c r="AG744" s="122"/>
      <c r="AH744" s="122"/>
      <c r="AI744" s="122"/>
      <c r="AJ744" s="122"/>
      <c r="AK744" s="122"/>
      <c r="AL744" s="122"/>
      <c r="AM744" s="122"/>
      <c r="AN744" s="122"/>
      <c r="AO744" s="122"/>
      <c r="AP744" s="428"/>
    </row>
    <row r="745" hidden="1">
      <c r="A745" s="428"/>
      <c r="B745" s="428"/>
      <c r="C745" s="122"/>
      <c r="D745" s="558"/>
      <c r="E745" s="539"/>
      <c r="F745" s="539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2"/>
      <c r="AE745" s="122"/>
      <c r="AF745" s="122"/>
      <c r="AG745" s="122"/>
      <c r="AH745" s="122"/>
      <c r="AI745" s="122"/>
      <c r="AJ745" s="122"/>
      <c r="AK745" s="122"/>
      <c r="AL745" s="122"/>
      <c r="AM745" s="122"/>
      <c r="AN745" s="122"/>
      <c r="AO745" s="122"/>
      <c r="AP745" s="428"/>
    </row>
    <row r="746" hidden="1">
      <c r="A746" s="428"/>
      <c r="B746" s="428"/>
      <c r="C746" s="122"/>
      <c r="D746" s="558"/>
      <c r="E746" s="539"/>
      <c r="F746" s="539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2"/>
      <c r="AE746" s="122"/>
      <c r="AF746" s="122"/>
      <c r="AG746" s="122"/>
      <c r="AH746" s="122"/>
      <c r="AI746" s="122"/>
      <c r="AJ746" s="122"/>
      <c r="AK746" s="122"/>
      <c r="AL746" s="122"/>
      <c r="AM746" s="122"/>
      <c r="AN746" s="122"/>
      <c r="AO746" s="122"/>
      <c r="AP746" s="428"/>
    </row>
    <row r="747" hidden="1">
      <c r="A747" s="428"/>
      <c r="B747" s="428"/>
      <c r="C747" s="122"/>
      <c r="D747" s="558"/>
      <c r="E747" s="539"/>
      <c r="F747" s="539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2"/>
      <c r="AE747" s="122"/>
      <c r="AF747" s="122"/>
      <c r="AG747" s="122"/>
      <c r="AH747" s="122"/>
      <c r="AI747" s="122"/>
      <c r="AJ747" s="122"/>
      <c r="AK747" s="122"/>
      <c r="AL747" s="122"/>
      <c r="AM747" s="122"/>
      <c r="AN747" s="122"/>
      <c r="AO747" s="122"/>
      <c r="AP747" s="428"/>
    </row>
    <row r="748" hidden="1">
      <c r="A748" s="428"/>
      <c r="B748" s="428"/>
      <c r="C748" s="122"/>
      <c r="D748" s="558"/>
      <c r="E748" s="539"/>
      <c r="F748" s="539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2"/>
      <c r="AE748" s="122"/>
      <c r="AF748" s="122"/>
      <c r="AG748" s="122"/>
      <c r="AH748" s="122"/>
      <c r="AI748" s="122"/>
      <c r="AJ748" s="122"/>
      <c r="AK748" s="122"/>
      <c r="AL748" s="122"/>
      <c r="AM748" s="122"/>
      <c r="AN748" s="122"/>
      <c r="AO748" s="122"/>
      <c r="AP748" s="428"/>
    </row>
    <row r="749" hidden="1">
      <c r="A749" s="428"/>
      <c r="B749" s="428"/>
      <c r="C749" s="122"/>
      <c r="D749" s="558"/>
      <c r="E749" s="539"/>
      <c r="F749" s="539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2"/>
      <c r="AE749" s="122"/>
      <c r="AF749" s="122"/>
      <c r="AG749" s="122"/>
      <c r="AH749" s="122"/>
      <c r="AI749" s="122"/>
      <c r="AJ749" s="122"/>
      <c r="AK749" s="122"/>
      <c r="AL749" s="122"/>
      <c r="AM749" s="122"/>
      <c r="AN749" s="122"/>
      <c r="AO749" s="122"/>
      <c r="AP749" s="428"/>
    </row>
    <row r="750" hidden="1">
      <c r="A750" s="428"/>
      <c r="B750" s="428"/>
      <c r="C750" s="122"/>
      <c r="D750" s="558"/>
      <c r="E750" s="539"/>
      <c r="F750" s="539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2"/>
      <c r="AE750" s="122"/>
      <c r="AF750" s="122"/>
      <c r="AG750" s="122"/>
      <c r="AH750" s="122"/>
      <c r="AI750" s="122"/>
      <c r="AJ750" s="122"/>
      <c r="AK750" s="122"/>
      <c r="AL750" s="122"/>
      <c r="AM750" s="122"/>
      <c r="AN750" s="122"/>
      <c r="AO750" s="122"/>
      <c r="AP750" s="428"/>
    </row>
    <row r="751" hidden="1">
      <c r="A751" s="428"/>
      <c r="B751" s="428"/>
      <c r="C751" s="122"/>
      <c r="D751" s="558"/>
      <c r="E751" s="539"/>
      <c r="F751" s="539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2"/>
      <c r="AE751" s="122"/>
      <c r="AF751" s="122"/>
      <c r="AG751" s="122"/>
      <c r="AH751" s="122"/>
      <c r="AI751" s="122"/>
      <c r="AJ751" s="122"/>
      <c r="AK751" s="122"/>
      <c r="AL751" s="122"/>
      <c r="AM751" s="122"/>
      <c r="AN751" s="122"/>
      <c r="AO751" s="122"/>
      <c r="AP751" s="428"/>
    </row>
    <row r="752" hidden="1">
      <c r="A752" s="428"/>
      <c r="B752" s="428"/>
      <c r="C752" s="122"/>
      <c r="D752" s="558"/>
      <c r="E752" s="539"/>
      <c r="F752" s="539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2"/>
      <c r="AE752" s="122"/>
      <c r="AF752" s="122"/>
      <c r="AG752" s="122"/>
      <c r="AH752" s="122"/>
      <c r="AI752" s="122"/>
      <c r="AJ752" s="122"/>
      <c r="AK752" s="122"/>
      <c r="AL752" s="122"/>
      <c r="AM752" s="122"/>
      <c r="AN752" s="122"/>
      <c r="AO752" s="122"/>
      <c r="AP752" s="428"/>
    </row>
    <row r="753" hidden="1">
      <c r="A753" s="428"/>
      <c r="B753" s="428"/>
      <c r="C753" s="122"/>
      <c r="D753" s="558"/>
      <c r="E753" s="539"/>
      <c r="F753" s="539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2"/>
      <c r="AE753" s="122"/>
      <c r="AF753" s="122"/>
      <c r="AG753" s="122"/>
      <c r="AH753" s="122"/>
      <c r="AI753" s="122"/>
      <c r="AJ753" s="122"/>
      <c r="AK753" s="122"/>
      <c r="AL753" s="122"/>
      <c r="AM753" s="122"/>
      <c r="AN753" s="122"/>
      <c r="AO753" s="122"/>
      <c r="AP753" s="428"/>
    </row>
    <row r="754" hidden="1">
      <c r="A754" s="428"/>
      <c r="B754" s="428"/>
      <c r="C754" s="122"/>
      <c r="D754" s="558"/>
      <c r="E754" s="539"/>
      <c r="F754" s="539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2"/>
      <c r="AE754" s="122"/>
      <c r="AF754" s="122"/>
      <c r="AG754" s="122"/>
      <c r="AH754" s="122"/>
      <c r="AI754" s="122"/>
      <c r="AJ754" s="122"/>
      <c r="AK754" s="122"/>
      <c r="AL754" s="122"/>
      <c r="AM754" s="122"/>
      <c r="AN754" s="122"/>
      <c r="AO754" s="122"/>
      <c r="AP754" s="428"/>
    </row>
    <row r="755" hidden="1">
      <c r="A755" s="428"/>
      <c r="B755" s="428"/>
      <c r="C755" s="122"/>
      <c r="D755" s="558"/>
      <c r="E755" s="539"/>
      <c r="F755" s="539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2"/>
      <c r="AE755" s="122"/>
      <c r="AF755" s="122"/>
      <c r="AG755" s="122"/>
      <c r="AH755" s="122"/>
      <c r="AI755" s="122"/>
      <c r="AJ755" s="122"/>
      <c r="AK755" s="122"/>
      <c r="AL755" s="122"/>
      <c r="AM755" s="122"/>
      <c r="AN755" s="122"/>
      <c r="AO755" s="122"/>
      <c r="AP755" s="428"/>
    </row>
    <row r="756" hidden="1">
      <c r="A756" s="428"/>
      <c r="B756" s="428"/>
      <c r="C756" s="122"/>
      <c r="D756" s="558"/>
      <c r="E756" s="539"/>
      <c r="F756" s="539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2"/>
      <c r="AE756" s="122"/>
      <c r="AF756" s="122"/>
      <c r="AG756" s="122"/>
      <c r="AH756" s="122"/>
      <c r="AI756" s="122"/>
      <c r="AJ756" s="122"/>
      <c r="AK756" s="122"/>
      <c r="AL756" s="122"/>
      <c r="AM756" s="122"/>
      <c r="AN756" s="122"/>
      <c r="AO756" s="122"/>
      <c r="AP756" s="428"/>
    </row>
    <row r="757" hidden="1">
      <c r="A757" s="428"/>
      <c r="B757" s="428"/>
      <c r="C757" s="122"/>
      <c r="D757" s="558"/>
      <c r="E757" s="539"/>
      <c r="F757" s="539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2"/>
      <c r="AE757" s="122"/>
      <c r="AF757" s="122"/>
      <c r="AG757" s="122"/>
      <c r="AH757" s="122"/>
      <c r="AI757" s="122"/>
      <c r="AJ757" s="122"/>
      <c r="AK757" s="122"/>
      <c r="AL757" s="122"/>
      <c r="AM757" s="122"/>
      <c r="AN757" s="122"/>
      <c r="AO757" s="122"/>
      <c r="AP757" s="428"/>
    </row>
    <row r="758" hidden="1">
      <c r="A758" s="428"/>
      <c r="B758" s="428"/>
      <c r="C758" s="122"/>
      <c r="D758" s="558"/>
      <c r="E758" s="539"/>
      <c r="F758" s="539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2"/>
      <c r="AE758" s="122"/>
      <c r="AF758" s="122"/>
      <c r="AG758" s="122"/>
      <c r="AH758" s="122"/>
      <c r="AI758" s="122"/>
      <c r="AJ758" s="122"/>
      <c r="AK758" s="122"/>
      <c r="AL758" s="122"/>
      <c r="AM758" s="122"/>
      <c r="AN758" s="122"/>
      <c r="AO758" s="122"/>
      <c r="AP758" s="428"/>
    </row>
    <row r="759" hidden="1">
      <c r="A759" s="428"/>
      <c r="B759" s="428"/>
      <c r="C759" s="122"/>
      <c r="D759" s="558"/>
      <c r="E759" s="539"/>
      <c r="F759" s="539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2"/>
      <c r="AE759" s="122"/>
      <c r="AF759" s="122"/>
      <c r="AG759" s="122"/>
      <c r="AH759" s="122"/>
      <c r="AI759" s="122"/>
      <c r="AJ759" s="122"/>
      <c r="AK759" s="122"/>
      <c r="AL759" s="122"/>
      <c r="AM759" s="122"/>
      <c r="AN759" s="122"/>
      <c r="AO759" s="122"/>
      <c r="AP759" s="428"/>
    </row>
    <row r="760" hidden="1">
      <c r="A760" s="428"/>
      <c r="B760" s="428"/>
      <c r="C760" s="122"/>
      <c r="D760" s="558"/>
      <c r="E760" s="539"/>
      <c r="F760" s="539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2"/>
      <c r="AE760" s="122"/>
      <c r="AF760" s="122"/>
      <c r="AG760" s="122"/>
      <c r="AH760" s="122"/>
      <c r="AI760" s="122"/>
      <c r="AJ760" s="122"/>
      <c r="AK760" s="122"/>
      <c r="AL760" s="122"/>
      <c r="AM760" s="122"/>
      <c r="AN760" s="122"/>
      <c r="AO760" s="122"/>
      <c r="AP760" s="428"/>
    </row>
    <row r="761" hidden="1">
      <c r="A761" s="428"/>
      <c r="B761" s="428"/>
      <c r="C761" s="122"/>
      <c r="D761" s="558"/>
      <c r="E761" s="539"/>
      <c r="F761" s="539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2"/>
      <c r="AE761" s="122"/>
      <c r="AF761" s="122"/>
      <c r="AG761" s="122"/>
      <c r="AH761" s="122"/>
      <c r="AI761" s="122"/>
      <c r="AJ761" s="122"/>
      <c r="AK761" s="122"/>
      <c r="AL761" s="122"/>
      <c r="AM761" s="122"/>
      <c r="AN761" s="122"/>
      <c r="AO761" s="122"/>
      <c r="AP761" s="428"/>
    </row>
    <row r="762" hidden="1">
      <c r="A762" s="428"/>
      <c r="B762" s="428"/>
      <c r="C762" s="122"/>
      <c r="D762" s="558"/>
      <c r="E762" s="539"/>
      <c r="F762" s="539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2"/>
      <c r="AE762" s="122"/>
      <c r="AF762" s="122"/>
      <c r="AG762" s="122"/>
      <c r="AH762" s="122"/>
      <c r="AI762" s="122"/>
      <c r="AJ762" s="122"/>
      <c r="AK762" s="122"/>
      <c r="AL762" s="122"/>
      <c r="AM762" s="122"/>
      <c r="AN762" s="122"/>
      <c r="AO762" s="122"/>
      <c r="AP762" s="428"/>
    </row>
    <row r="763" hidden="1">
      <c r="A763" s="428"/>
      <c r="B763" s="428"/>
      <c r="C763" s="122"/>
      <c r="D763" s="558"/>
      <c r="E763" s="539"/>
      <c r="F763" s="539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2"/>
      <c r="AE763" s="122"/>
      <c r="AF763" s="122"/>
      <c r="AG763" s="122"/>
      <c r="AH763" s="122"/>
      <c r="AI763" s="122"/>
      <c r="AJ763" s="122"/>
      <c r="AK763" s="122"/>
      <c r="AL763" s="122"/>
      <c r="AM763" s="122"/>
      <c r="AN763" s="122"/>
      <c r="AO763" s="122"/>
      <c r="AP763" s="428"/>
    </row>
    <row r="764" hidden="1">
      <c r="A764" s="428"/>
      <c r="B764" s="428"/>
      <c r="C764" s="122"/>
      <c r="D764" s="558"/>
      <c r="E764" s="539"/>
      <c r="F764" s="539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2"/>
      <c r="AE764" s="122"/>
      <c r="AF764" s="122"/>
      <c r="AG764" s="122"/>
      <c r="AH764" s="122"/>
      <c r="AI764" s="122"/>
      <c r="AJ764" s="122"/>
      <c r="AK764" s="122"/>
      <c r="AL764" s="122"/>
      <c r="AM764" s="122"/>
      <c r="AN764" s="122"/>
      <c r="AO764" s="122"/>
      <c r="AP764" s="428"/>
    </row>
    <row r="765" hidden="1">
      <c r="A765" s="428"/>
      <c r="B765" s="428"/>
      <c r="C765" s="122"/>
      <c r="D765" s="558"/>
      <c r="E765" s="539"/>
      <c r="F765" s="539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2"/>
      <c r="AE765" s="122"/>
      <c r="AF765" s="122"/>
      <c r="AG765" s="122"/>
      <c r="AH765" s="122"/>
      <c r="AI765" s="122"/>
      <c r="AJ765" s="122"/>
      <c r="AK765" s="122"/>
      <c r="AL765" s="122"/>
      <c r="AM765" s="122"/>
      <c r="AN765" s="122"/>
      <c r="AO765" s="122"/>
      <c r="AP765" s="428"/>
    </row>
    <row r="766" hidden="1">
      <c r="A766" s="428"/>
      <c r="B766" s="428"/>
      <c r="C766" s="122"/>
      <c r="D766" s="558"/>
      <c r="E766" s="539"/>
      <c r="F766" s="539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2"/>
      <c r="AE766" s="122"/>
      <c r="AF766" s="122"/>
      <c r="AG766" s="122"/>
      <c r="AH766" s="122"/>
      <c r="AI766" s="122"/>
      <c r="AJ766" s="122"/>
      <c r="AK766" s="122"/>
      <c r="AL766" s="122"/>
      <c r="AM766" s="122"/>
      <c r="AN766" s="122"/>
      <c r="AO766" s="122"/>
      <c r="AP766" s="428"/>
    </row>
    <row r="767" hidden="1">
      <c r="A767" s="428"/>
      <c r="B767" s="428"/>
      <c r="C767" s="122"/>
      <c r="D767" s="558"/>
      <c r="E767" s="539"/>
      <c r="F767" s="539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2"/>
      <c r="AE767" s="122"/>
      <c r="AF767" s="122"/>
      <c r="AG767" s="122"/>
      <c r="AH767" s="122"/>
      <c r="AI767" s="122"/>
      <c r="AJ767" s="122"/>
      <c r="AK767" s="122"/>
      <c r="AL767" s="122"/>
      <c r="AM767" s="122"/>
      <c r="AN767" s="122"/>
      <c r="AO767" s="122"/>
      <c r="AP767" s="428"/>
    </row>
    <row r="768" hidden="1">
      <c r="A768" s="428"/>
      <c r="B768" s="428"/>
      <c r="C768" s="122"/>
      <c r="D768" s="558"/>
      <c r="E768" s="539"/>
      <c r="F768" s="539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2"/>
      <c r="AE768" s="122"/>
      <c r="AF768" s="122"/>
      <c r="AG768" s="122"/>
      <c r="AH768" s="122"/>
      <c r="AI768" s="122"/>
      <c r="AJ768" s="122"/>
      <c r="AK768" s="122"/>
      <c r="AL768" s="122"/>
      <c r="AM768" s="122"/>
      <c r="AN768" s="122"/>
      <c r="AO768" s="122"/>
      <c r="AP768" s="428"/>
    </row>
    <row r="769" hidden="1">
      <c r="A769" s="428"/>
      <c r="B769" s="428"/>
      <c r="C769" s="122"/>
      <c r="D769" s="558"/>
      <c r="E769" s="539"/>
      <c r="F769" s="539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2"/>
      <c r="AE769" s="122"/>
      <c r="AF769" s="122"/>
      <c r="AG769" s="122"/>
      <c r="AH769" s="122"/>
      <c r="AI769" s="122"/>
      <c r="AJ769" s="122"/>
      <c r="AK769" s="122"/>
      <c r="AL769" s="122"/>
      <c r="AM769" s="122"/>
      <c r="AN769" s="122"/>
      <c r="AO769" s="122"/>
      <c r="AP769" s="428"/>
    </row>
    <row r="770" hidden="1">
      <c r="A770" s="428"/>
      <c r="B770" s="428"/>
      <c r="C770" s="122"/>
      <c r="D770" s="558"/>
      <c r="E770" s="539"/>
      <c r="F770" s="539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2"/>
      <c r="AE770" s="122"/>
      <c r="AF770" s="122"/>
      <c r="AG770" s="122"/>
      <c r="AH770" s="122"/>
      <c r="AI770" s="122"/>
      <c r="AJ770" s="122"/>
      <c r="AK770" s="122"/>
      <c r="AL770" s="122"/>
      <c r="AM770" s="122"/>
      <c r="AN770" s="122"/>
      <c r="AO770" s="122"/>
      <c r="AP770" s="428"/>
    </row>
    <row r="771" hidden="1">
      <c r="A771" s="428"/>
      <c r="B771" s="428"/>
      <c r="C771" s="122"/>
      <c r="D771" s="558"/>
      <c r="E771" s="539"/>
      <c r="F771" s="539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2"/>
      <c r="AE771" s="122"/>
      <c r="AF771" s="122"/>
      <c r="AG771" s="122"/>
      <c r="AH771" s="122"/>
      <c r="AI771" s="122"/>
      <c r="AJ771" s="122"/>
      <c r="AK771" s="122"/>
      <c r="AL771" s="122"/>
      <c r="AM771" s="122"/>
      <c r="AN771" s="122"/>
      <c r="AO771" s="122"/>
      <c r="AP771" s="428"/>
    </row>
    <row r="772" hidden="1">
      <c r="A772" s="428"/>
      <c r="B772" s="428"/>
      <c r="C772" s="122"/>
      <c r="D772" s="558"/>
      <c r="E772" s="539"/>
      <c r="F772" s="539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2"/>
      <c r="AE772" s="122"/>
      <c r="AF772" s="122"/>
      <c r="AG772" s="122"/>
      <c r="AH772" s="122"/>
      <c r="AI772" s="122"/>
      <c r="AJ772" s="122"/>
      <c r="AK772" s="122"/>
      <c r="AL772" s="122"/>
      <c r="AM772" s="122"/>
      <c r="AN772" s="122"/>
      <c r="AO772" s="122"/>
      <c r="AP772" s="428"/>
    </row>
    <row r="773" hidden="1">
      <c r="A773" s="428"/>
      <c r="B773" s="428"/>
      <c r="C773" s="122"/>
      <c r="D773" s="558"/>
      <c r="E773" s="539"/>
      <c r="F773" s="539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2"/>
      <c r="AE773" s="122"/>
      <c r="AF773" s="122"/>
      <c r="AG773" s="122"/>
      <c r="AH773" s="122"/>
      <c r="AI773" s="122"/>
      <c r="AJ773" s="122"/>
      <c r="AK773" s="122"/>
      <c r="AL773" s="122"/>
      <c r="AM773" s="122"/>
      <c r="AN773" s="122"/>
      <c r="AO773" s="122"/>
      <c r="AP773" s="428"/>
    </row>
    <row r="774" hidden="1">
      <c r="A774" s="428"/>
      <c r="B774" s="428"/>
      <c r="C774" s="122"/>
      <c r="D774" s="558"/>
      <c r="E774" s="539"/>
      <c r="F774" s="539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2"/>
      <c r="AE774" s="122"/>
      <c r="AF774" s="122"/>
      <c r="AG774" s="122"/>
      <c r="AH774" s="122"/>
      <c r="AI774" s="122"/>
      <c r="AJ774" s="122"/>
      <c r="AK774" s="122"/>
      <c r="AL774" s="122"/>
      <c r="AM774" s="122"/>
      <c r="AN774" s="122"/>
      <c r="AO774" s="122"/>
      <c r="AP774" s="428"/>
    </row>
    <row r="775" hidden="1">
      <c r="A775" s="428"/>
      <c r="B775" s="428"/>
      <c r="C775" s="122"/>
      <c r="D775" s="558"/>
      <c r="E775" s="539"/>
      <c r="F775" s="539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2"/>
      <c r="AE775" s="122"/>
      <c r="AF775" s="122"/>
      <c r="AG775" s="122"/>
      <c r="AH775" s="122"/>
      <c r="AI775" s="122"/>
      <c r="AJ775" s="122"/>
      <c r="AK775" s="122"/>
      <c r="AL775" s="122"/>
      <c r="AM775" s="122"/>
      <c r="AN775" s="122"/>
      <c r="AO775" s="122"/>
      <c r="AP775" s="428"/>
    </row>
    <row r="776" hidden="1">
      <c r="A776" s="428"/>
      <c r="B776" s="428"/>
      <c r="C776" s="122"/>
      <c r="D776" s="558"/>
      <c r="E776" s="539"/>
      <c r="F776" s="539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2"/>
      <c r="AE776" s="122"/>
      <c r="AF776" s="122"/>
      <c r="AG776" s="122"/>
      <c r="AH776" s="122"/>
      <c r="AI776" s="122"/>
      <c r="AJ776" s="122"/>
      <c r="AK776" s="122"/>
      <c r="AL776" s="122"/>
      <c r="AM776" s="122"/>
      <c r="AN776" s="122"/>
      <c r="AO776" s="122"/>
      <c r="AP776" s="428"/>
    </row>
    <row r="777" hidden="1">
      <c r="A777" s="428"/>
      <c r="B777" s="428"/>
      <c r="C777" s="122"/>
      <c r="D777" s="558"/>
      <c r="E777" s="539"/>
      <c r="F777" s="539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2"/>
      <c r="AE777" s="122"/>
      <c r="AF777" s="122"/>
      <c r="AG777" s="122"/>
      <c r="AH777" s="122"/>
      <c r="AI777" s="122"/>
      <c r="AJ777" s="122"/>
      <c r="AK777" s="122"/>
      <c r="AL777" s="122"/>
      <c r="AM777" s="122"/>
      <c r="AN777" s="122"/>
      <c r="AO777" s="122"/>
      <c r="AP777" s="428"/>
    </row>
    <row r="778" hidden="1">
      <c r="A778" s="428"/>
      <c r="B778" s="428"/>
      <c r="C778" s="122"/>
      <c r="D778" s="558"/>
      <c r="E778" s="539"/>
      <c r="F778" s="539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2"/>
      <c r="AE778" s="122"/>
      <c r="AF778" s="122"/>
      <c r="AG778" s="122"/>
      <c r="AH778" s="122"/>
      <c r="AI778" s="122"/>
      <c r="AJ778" s="122"/>
      <c r="AK778" s="122"/>
      <c r="AL778" s="122"/>
      <c r="AM778" s="122"/>
      <c r="AN778" s="122"/>
      <c r="AO778" s="122"/>
      <c r="AP778" s="428"/>
    </row>
    <row r="779" hidden="1">
      <c r="A779" s="428"/>
      <c r="B779" s="428"/>
      <c r="C779" s="122"/>
      <c r="D779" s="558"/>
      <c r="E779" s="539"/>
      <c r="F779" s="539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2"/>
      <c r="AE779" s="122"/>
      <c r="AF779" s="122"/>
      <c r="AG779" s="122"/>
      <c r="AH779" s="122"/>
      <c r="AI779" s="122"/>
      <c r="AJ779" s="122"/>
      <c r="AK779" s="122"/>
      <c r="AL779" s="122"/>
      <c r="AM779" s="122"/>
      <c r="AN779" s="122"/>
      <c r="AO779" s="122"/>
      <c r="AP779" s="428"/>
    </row>
    <row r="780" hidden="1">
      <c r="A780" s="428"/>
      <c r="B780" s="428"/>
      <c r="C780" s="122"/>
      <c r="D780" s="558"/>
      <c r="E780" s="539"/>
      <c r="F780" s="539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2"/>
      <c r="AE780" s="122"/>
      <c r="AF780" s="122"/>
      <c r="AG780" s="122"/>
      <c r="AH780" s="122"/>
      <c r="AI780" s="122"/>
      <c r="AJ780" s="122"/>
      <c r="AK780" s="122"/>
      <c r="AL780" s="122"/>
      <c r="AM780" s="122"/>
      <c r="AN780" s="122"/>
      <c r="AO780" s="122"/>
      <c r="AP780" s="428"/>
    </row>
    <row r="781" hidden="1">
      <c r="A781" s="428"/>
      <c r="B781" s="428"/>
      <c r="C781" s="122"/>
      <c r="D781" s="558"/>
      <c r="E781" s="539"/>
      <c r="F781" s="539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2"/>
      <c r="AE781" s="122"/>
      <c r="AF781" s="122"/>
      <c r="AG781" s="122"/>
      <c r="AH781" s="122"/>
      <c r="AI781" s="122"/>
      <c r="AJ781" s="122"/>
      <c r="AK781" s="122"/>
      <c r="AL781" s="122"/>
      <c r="AM781" s="122"/>
      <c r="AN781" s="122"/>
      <c r="AO781" s="122"/>
      <c r="AP781" s="428"/>
    </row>
    <row r="782" hidden="1">
      <c r="A782" s="428"/>
      <c r="B782" s="428"/>
      <c r="C782" s="122"/>
      <c r="D782" s="558"/>
      <c r="E782" s="539"/>
      <c r="F782" s="539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2"/>
      <c r="AE782" s="122"/>
      <c r="AF782" s="122"/>
      <c r="AG782" s="122"/>
      <c r="AH782" s="122"/>
      <c r="AI782" s="122"/>
      <c r="AJ782" s="122"/>
      <c r="AK782" s="122"/>
      <c r="AL782" s="122"/>
      <c r="AM782" s="122"/>
      <c r="AN782" s="122"/>
      <c r="AO782" s="122"/>
      <c r="AP782" s="428"/>
    </row>
    <row r="783" hidden="1">
      <c r="A783" s="428"/>
      <c r="B783" s="428"/>
      <c r="C783" s="122"/>
      <c r="D783" s="558"/>
      <c r="E783" s="539"/>
      <c r="F783" s="539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2"/>
      <c r="AE783" s="122"/>
      <c r="AF783" s="122"/>
      <c r="AG783" s="122"/>
      <c r="AH783" s="122"/>
      <c r="AI783" s="122"/>
      <c r="AJ783" s="122"/>
      <c r="AK783" s="122"/>
      <c r="AL783" s="122"/>
      <c r="AM783" s="122"/>
      <c r="AN783" s="122"/>
      <c r="AO783" s="122"/>
      <c r="AP783" s="428"/>
    </row>
    <row r="784" hidden="1">
      <c r="A784" s="428"/>
      <c r="B784" s="428"/>
      <c r="C784" s="122"/>
      <c r="D784" s="558"/>
      <c r="E784" s="539"/>
      <c r="F784" s="539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2"/>
      <c r="AE784" s="122"/>
      <c r="AF784" s="122"/>
      <c r="AG784" s="122"/>
      <c r="AH784" s="122"/>
      <c r="AI784" s="122"/>
      <c r="AJ784" s="122"/>
      <c r="AK784" s="122"/>
      <c r="AL784" s="122"/>
      <c r="AM784" s="122"/>
      <c r="AN784" s="122"/>
      <c r="AO784" s="122"/>
      <c r="AP784" s="428"/>
    </row>
    <row r="785" hidden="1">
      <c r="A785" s="428"/>
      <c r="B785" s="428"/>
      <c r="C785" s="122"/>
      <c r="D785" s="558"/>
      <c r="E785" s="539"/>
      <c r="F785" s="539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2"/>
      <c r="AE785" s="122"/>
      <c r="AF785" s="122"/>
      <c r="AG785" s="122"/>
      <c r="AH785" s="122"/>
      <c r="AI785" s="122"/>
      <c r="AJ785" s="122"/>
      <c r="AK785" s="122"/>
      <c r="AL785" s="122"/>
      <c r="AM785" s="122"/>
      <c r="AN785" s="122"/>
      <c r="AO785" s="122"/>
      <c r="AP785" s="428"/>
    </row>
    <row r="786" hidden="1">
      <c r="A786" s="428"/>
      <c r="B786" s="428"/>
      <c r="C786" s="122"/>
      <c r="D786" s="558"/>
      <c r="E786" s="539"/>
      <c r="F786" s="539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2"/>
      <c r="AE786" s="122"/>
      <c r="AF786" s="122"/>
      <c r="AG786" s="122"/>
      <c r="AH786" s="122"/>
      <c r="AI786" s="122"/>
      <c r="AJ786" s="122"/>
      <c r="AK786" s="122"/>
      <c r="AL786" s="122"/>
      <c r="AM786" s="122"/>
      <c r="AN786" s="122"/>
      <c r="AO786" s="122"/>
      <c r="AP786" s="428"/>
    </row>
    <row r="787" hidden="1">
      <c r="A787" s="428"/>
      <c r="B787" s="428"/>
      <c r="C787" s="122"/>
      <c r="D787" s="558"/>
      <c r="E787" s="539"/>
      <c r="F787" s="539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2"/>
      <c r="AE787" s="122"/>
      <c r="AF787" s="122"/>
      <c r="AG787" s="122"/>
      <c r="AH787" s="122"/>
      <c r="AI787" s="122"/>
      <c r="AJ787" s="122"/>
      <c r="AK787" s="122"/>
      <c r="AL787" s="122"/>
      <c r="AM787" s="122"/>
      <c r="AN787" s="122"/>
      <c r="AO787" s="122"/>
      <c r="AP787" s="428"/>
    </row>
    <row r="788" hidden="1">
      <c r="A788" s="428"/>
      <c r="B788" s="428"/>
      <c r="C788" s="122"/>
      <c r="D788" s="558"/>
      <c r="E788" s="539"/>
      <c r="F788" s="539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2"/>
      <c r="AE788" s="122"/>
      <c r="AF788" s="122"/>
      <c r="AG788" s="122"/>
      <c r="AH788" s="122"/>
      <c r="AI788" s="122"/>
      <c r="AJ788" s="122"/>
      <c r="AK788" s="122"/>
      <c r="AL788" s="122"/>
      <c r="AM788" s="122"/>
      <c r="AN788" s="122"/>
      <c r="AO788" s="122"/>
      <c r="AP788" s="428"/>
    </row>
    <row r="789" hidden="1">
      <c r="A789" s="428"/>
      <c r="B789" s="428"/>
      <c r="C789" s="122"/>
      <c r="D789" s="558"/>
      <c r="E789" s="539"/>
      <c r="F789" s="539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2"/>
      <c r="AE789" s="122"/>
      <c r="AF789" s="122"/>
      <c r="AG789" s="122"/>
      <c r="AH789" s="122"/>
      <c r="AI789" s="122"/>
      <c r="AJ789" s="122"/>
      <c r="AK789" s="122"/>
      <c r="AL789" s="122"/>
      <c r="AM789" s="122"/>
      <c r="AN789" s="122"/>
      <c r="AO789" s="122"/>
      <c r="AP789" s="428"/>
    </row>
    <row r="790" hidden="1">
      <c r="A790" s="428"/>
      <c r="B790" s="428"/>
      <c r="C790" s="122"/>
      <c r="D790" s="558"/>
      <c r="E790" s="539"/>
      <c r="F790" s="539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2"/>
      <c r="AE790" s="122"/>
      <c r="AF790" s="122"/>
      <c r="AG790" s="122"/>
      <c r="AH790" s="122"/>
      <c r="AI790" s="122"/>
      <c r="AJ790" s="122"/>
      <c r="AK790" s="122"/>
      <c r="AL790" s="122"/>
      <c r="AM790" s="122"/>
      <c r="AN790" s="122"/>
      <c r="AO790" s="122"/>
      <c r="AP790" s="428"/>
    </row>
    <row r="791" hidden="1">
      <c r="A791" s="428"/>
      <c r="B791" s="428"/>
      <c r="C791" s="122"/>
      <c r="D791" s="558"/>
      <c r="E791" s="539"/>
      <c r="F791" s="539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2"/>
      <c r="AE791" s="122"/>
      <c r="AF791" s="122"/>
      <c r="AG791" s="122"/>
      <c r="AH791" s="122"/>
      <c r="AI791" s="122"/>
      <c r="AJ791" s="122"/>
      <c r="AK791" s="122"/>
      <c r="AL791" s="122"/>
      <c r="AM791" s="122"/>
      <c r="AN791" s="122"/>
      <c r="AO791" s="122"/>
      <c r="AP791" s="428"/>
    </row>
    <row r="792" hidden="1">
      <c r="A792" s="428"/>
      <c r="B792" s="428"/>
      <c r="C792" s="122"/>
      <c r="D792" s="558"/>
      <c r="E792" s="539"/>
      <c r="F792" s="539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2"/>
      <c r="AE792" s="122"/>
      <c r="AF792" s="122"/>
      <c r="AG792" s="122"/>
      <c r="AH792" s="122"/>
      <c r="AI792" s="122"/>
      <c r="AJ792" s="122"/>
      <c r="AK792" s="122"/>
      <c r="AL792" s="122"/>
      <c r="AM792" s="122"/>
      <c r="AN792" s="122"/>
      <c r="AO792" s="122"/>
      <c r="AP792" s="428"/>
    </row>
    <row r="793" hidden="1">
      <c r="A793" s="428"/>
      <c r="B793" s="428"/>
      <c r="C793" s="122"/>
      <c r="D793" s="558"/>
      <c r="E793" s="539"/>
      <c r="F793" s="539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2"/>
      <c r="AE793" s="122"/>
      <c r="AF793" s="122"/>
      <c r="AG793" s="122"/>
      <c r="AH793" s="122"/>
      <c r="AI793" s="122"/>
      <c r="AJ793" s="122"/>
      <c r="AK793" s="122"/>
      <c r="AL793" s="122"/>
      <c r="AM793" s="122"/>
      <c r="AN793" s="122"/>
      <c r="AO793" s="122"/>
      <c r="AP793" s="428"/>
    </row>
    <row r="794" hidden="1">
      <c r="A794" s="428"/>
      <c r="B794" s="428"/>
      <c r="C794" s="122"/>
      <c r="D794" s="558"/>
      <c r="E794" s="539"/>
      <c r="F794" s="539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2"/>
      <c r="AE794" s="122"/>
      <c r="AF794" s="122"/>
      <c r="AG794" s="122"/>
      <c r="AH794" s="122"/>
      <c r="AI794" s="122"/>
      <c r="AJ794" s="122"/>
      <c r="AK794" s="122"/>
      <c r="AL794" s="122"/>
      <c r="AM794" s="122"/>
      <c r="AN794" s="122"/>
      <c r="AO794" s="122"/>
      <c r="AP794" s="428"/>
    </row>
    <row r="795" hidden="1">
      <c r="A795" s="428"/>
      <c r="B795" s="428"/>
      <c r="C795" s="122"/>
      <c r="D795" s="558"/>
      <c r="E795" s="539"/>
      <c r="F795" s="539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2"/>
      <c r="AE795" s="122"/>
      <c r="AF795" s="122"/>
      <c r="AG795" s="122"/>
      <c r="AH795" s="122"/>
      <c r="AI795" s="122"/>
      <c r="AJ795" s="122"/>
      <c r="AK795" s="122"/>
      <c r="AL795" s="122"/>
      <c r="AM795" s="122"/>
      <c r="AN795" s="122"/>
      <c r="AO795" s="122"/>
      <c r="AP795" s="428"/>
    </row>
    <row r="796" hidden="1">
      <c r="A796" s="428"/>
      <c r="B796" s="428"/>
      <c r="C796" s="122"/>
      <c r="D796" s="558"/>
      <c r="E796" s="539"/>
      <c r="F796" s="539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2"/>
      <c r="AE796" s="122"/>
      <c r="AF796" s="122"/>
      <c r="AG796" s="122"/>
      <c r="AH796" s="122"/>
      <c r="AI796" s="122"/>
      <c r="AJ796" s="122"/>
      <c r="AK796" s="122"/>
      <c r="AL796" s="122"/>
      <c r="AM796" s="122"/>
      <c r="AN796" s="122"/>
      <c r="AO796" s="122"/>
      <c r="AP796" s="428"/>
    </row>
    <row r="797" hidden="1">
      <c r="A797" s="428"/>
      <c r="B797" s="428"/>
      <c r="C797" s="122"/>
      <c r="D797" s="558"/>
      <c r="E797" s="539"/>
      <c r="F797" s="539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2"/>
      <c r="AE797" s="122"/>
      <c r="AF797" s="122"/>
      <c r="AG797" s="122"/>
      <c r="AH797" s="122"/>
      <c r="AI797" s="122"/>
      <c r="AJ797" s="122"/>
      <c r="AK797" s="122"/>
      <c r="AL797" s="122"/>
      <c r="AM797" s="122"/>
      <c r="AN797" s="122"/>
      <c r="AO797" s="122"/>
      <c r="AP797" s="428"/>
    </row>
    <row r="798" hidden="1">
      <c r="A798" s="428"/>
      <c r="B798" s="428"/>
      <c r="C798" s="122"/>
      <c r="D798" s="558"/>
      <c r="E798" s="539"/>
      <c r="F798" s="539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2"/>
      <c r="AE798" s="122"/>
      <c r="AF798" s="122"/>
      <c r="AG798" s="122"/>
      <c r="AH798" s="122"/>
      <c r="AI798" s="122"/>
      <c r="AJ798" s="122"/>
      <c r="AK798" s="122"/>
      <c r="AL798" s="122"/>
      <c r="AM798" s="122"/>
      <c r="AN798" s="122"/>
      <c r="AO798" s="122"/>
      <c r="AP798" s="428"/>
    </row>
    <row r="799" hidden="1">
      <c r="A799" s="428"/>
      <c r="B799" s="428"/>
      <c r="C799" s="122"/>
      <c r="D799" s="558"/>
      <c r="E799" s="539"/>
      <c r="F799" s="539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2"/>
      <c r="AE799" s="122"/>
      <c r="AF799" s="122"/>
      <c r="AG799" s="122"/>
      <c r="AH799" s="122"/>
      <c r="AI799" s="122"/>
      <c r="AJ799" s="122"/>
      <c r="AK799" s="122"/>
      <c r="AL799" s="122"/>
      <c r="AM799" s="122"/>
      <c r="AN799" s="122"/>
      <c r="AO799" s="122"/>
      <c r="AP799" s="428"/>
    </row>
    <row r="800" hidden="1">
      <c r="A800" s="428"/>
      <c r="B800" s="428"/>
      <c r="C800" s="122"/>
      <c r="D800" s="558"/>
      <c r="E800" s="539"/>
      <c r="F800" s="539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2"/>
      <c r="AE800" s="122"/>
      <c r="AF800" s="122"/>
      <c r="AG800" s="122"/>
      <c r="AH800" s="122"/>
      <c r="AI800" s="122"/>
      <c r="AJ800" s="122"/>
      <c r="AK800" s="122"/>
      <c r="AL800" s="122"/>
      <c r="AM800" s="122"/>
      <c r="AN800" s="122"/>
      <c r="AO800" s="122"/>
      <c r="AP800" s="428"/>
    </row>
    <row r="801" hidden="1">
      <c r="A801" s="428"/>
      <c r="B801" s="428"/>
      <c r="C801" s="122"/>
      <c r="D801" s="558"/>
      <c r="E801" s="539"/>
      <c r="F801" s="539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2"/>
      <c r="AE801" s="122"/>
      <c r="AF801" s="122"/>
      <c r="AG801" s="122"/>
      <c r="AH801" s="122"/>
      <c r="AI801" s="122"/>
      <c r="AJ801" s="122"/>
      <c r="AK801" s="122"/>
      <c r="AL801" s="122"/>
      <c r="AM801" s="122"/>
      <c r="AN801" s="122"/>
      <c r="AO801" s="122"/>
      <c r="AP801" s="428"/>
    </row>
    <row r="802" hidden="1">
      <c r="A802" s="428"/>
      <c r="B802" s="428"/>
      <c r="C802" s="122"/>
      <c r="D802" s="558"/>
      <c r="E802" s="539"/>
      <c r="F802" s="539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2"/>
      <c r="AE802" s="122"/>
      <c r="AF802" s="122"/>
      <c r="AG802" s="122"/>
      <c r="AH802" s="122"/>
      <c r="AI802" s="122"/>
      <c r="AJ802" s="122"/>
      <c r="AK802" s="122"/>
      <c r="AL802" s="122"/>
      <c r="AM802" s="122"/>
      <c r="AN802" s="122"/>
      <c r="AO802" s="122"/>
      <c r="AP802" s="428"/>
    </row>
    <row r="803" hidden="1">
      <c r="A803" s="428"/>
      <c r="B803" s="428"/>
      <c r="C803" s="122"/>
      <c r="D803" s="558"/>
      <c r="E803" s="539"/>
      <c r="F803" s="539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2"/>
      <c r="AE803" s="122"/>
      <c r="AF803" s="122"/>
      <c r="AG803" s="122"/>
      <c r="AH803" s="122"/>
      <c r="AI803" s="122"/>
      <c r="AJ803" s="122"/>
      <c r="AK803" s="122"/>
      <c r="AL803" s="122"/>
      <c r="AM803" s="122"/>
      <c r="AN803" s="122"/>
      <c r="AO803" s="122"/>
      <c r="AP803" s="428"/>
    </row>
    <row r="804" hidden="1">
      <c r="A804" s="428"/>
      <c r="B804" s="428"/>
      <c r="C804" s="122"/>
      <c r="D804" s="558"/>
      <c r="E804" s="539"/>
      <c r="F804" s="539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2"/>
      <c r="AE804" s="122"/>
      <c r="AF804" s="122"/>
      <c r="AG804" s="122"/>
      <c r="AH804" s="122"/>
      <c r="AI804" s="122"/>
      <c r="AJ804" s="122"/>
      <c r="AK804" s="122"/>
      <c r="AL804" s="122"/>
      <c r="AM804" s="122"/>
      <c r="AN804" s="122"/>
      <c r="AO804" s="122"/>
      <c r="AP804" s="428"/>
    </row>
    <row r="805" hidden="1">
      <c r="A805" s="428"/>
      <c r="B805" s="428"/>
      <c r="C805" s="122"/>
      <c r="D805" s="558"/>
      <c r="E805" s="539"/>
      <c r="F805" s="539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2"/>
      <c r="AE805" s="122"/>
      <c r="AF805" s="122"/>
      <c r="AG805" s="122"/>
      <c r="AH805" s="122"/>
      <c r="AI805" s="122"/>
      <c r="AJ805" s="122"/>
      <c r="AK805" s="122"/>
      <c r="AL805" s="122"/>
      <c r="AM805" s="122"/>
      <c r="AN805" s="122"/>
      <c r="AO805" s="122"/>
      <c r="AP805" s="428"/>
    </row>
    <row r="806" hidden="1">
      <c r="A806" s="428"/>
      <c r="B806" s="428"/>
      <c r="C806" s="122"/>
      <c r="D806" s="558"/>
      <c r="E806" s="539"/>
      <c r="F806" s="539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2"/>
      <c r="AE806" s="122"/>
      <c r="AF806" s="122"/>
      <c r="AG806" s="122"/>
      <c r="AH806" s="122"/>
      <c r="AI806" s="122"/>
      <c r="AJ806" s="122"/>
      <c r="AK806" s="122"/>
      <c r="AL806" s="122"/>
      <c r="AM806" s="122"/>
      <c r="AN806" s="122"/>
      <c r="AO806" s="122"/>
      <c r="AP806" s="428"/>
    </row>
    <row r="807" hidden="1">
      <c r="A807" s="428"/>
      <c r="B807" s="428"/>
      <c r="C807" s="122"/>
      <c r="D807" s="558"/>
      <c r="E807" s="539"/>
      <c r="F807" s="539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2"/>
      <c r="AE807" s="122"/>
      <c r="AF807" s="122"/>
      <c r="AG807" s="122"/>
      <c r="AH807" s="122"/>
      <c r="AI807" s="122"/>
      <c r="AJ807" s="122"/>
      <c r="AK807" s="122"/>
      <c r="AL807" s="122"/>
      <c r="AM807" s="122"/>
      <c r="AN807" s="122"/>
      <c r="AO807" s="122"/>
      <c r="AP807" s="428"/>
    </row>
    <row r="808" hidden="1">
      <c r="A808" s="428"/>
      <c r="B808" s="428"/>
      <c r="C808" s="122"/>
      <c r="D808" s="558"/>
      <c r="E808" s="539"/>
      <c r="F808" s="539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2"/>
      <c r="AE808" s="122"/>
      <c r="AF808" s="122"/>
      <c r="AG808" s="122"/>
      <c r="AH808" s="122"/>
      <c r="AI808" s="122"/>
      <c r="AJ808" s="122"/>
      <c r="AK808" s="122"/>
      <c r="AL808" s="122"/>
      <c r="AM808" s="122"/>
      <c r="AN808" s="122"/>
      <c r="AO808" s="122"/>
      <c r="AP808" s="428"/>
    </row>
    <row r="809" hidden="1">
      <c r="A809" s="428"/>
      <c r="B809" s="428"/>
      <c r="C809" s="122"/>
      <c r="D809" s="558"/>
      <c r="E809" s="539"/>
      <c r="F809" s="539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2"/>
      <c r="AE809" s="122"/>
      <c r="AF809" s="122"/>
      <c r="AG809" s="122"/>
      <c r="AH809" s="122"/>
      <c r="AI809" s="122"/>
      <c r="AJ809" s="122"/>
      <c r="AK809" s="122"/>
      <c r="AL809" s="122"/>
      <c r="AM809" s="122"/>
      <c r="AN809" s="122"/>
      <c r="AO809" s="122"/>
      <c r="AP809" s="428"/>
    </row>
    <row r="810" hidden="1">
      <c r="A810" s="428"/>
      <c r="B810" s="428"/>
      <c r="C810" s="122"/>
      <c r="D810" s="558"/>
      <c r="E810" s="539"/>
      <c r="F810" s="539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2"/>
      <c r="AE810" s="122"/>
      <c r="AF810" s="122"/>
      <c r="AG810" s="122"/>
      <c r="AH810" s="122"/>
      <c r="AI810" s="122"/>
      <c r="AJ810" s="122"/>
      <c r="AK810" s="122"/>
      <c r="AL810" s="122"/>
      <c r="AM810" s="122"/>
      <c r="AN810" s="122"/>
      <c r="AO810" s="122"/>
      <c r="AP810" s="428"/>
    </row>
    <row r="811" hidden="1">
      <c r="A811" s="428"/>
      <c r="B811" s="428"/>
      <c r="C811" s="122"/>
      <c r="D811" s="558"/>
      <c r="E811" s="539"/>
      <c r="F811" s="539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2"/>
      <c r="AE811" s="122"/>
      <c r="AF811" s="122"/>
      <c r="AG811" s="122"/>
      <c r="AH811" s="122"/>
      <c r="AI811" s="122"/>
      <c r="AJ811" s="122"/>
      <c r="AK811" s="122"/>
      <c r="AL811" s="122"/>
      <c r="AM811" s="122"/>
      <c r="AN811" s="122"/>
      <c r="AO811" s="122"/>
      <c r="AP811" s="428"/>
    </row>
    <row r="812" hidden="1">
      <c r="A812" s="428"/>
      <c r="B812" s="428"/>
      <c r="C812" s="122"/>
      <c r="D812" s="558"/>
      <c r="E812" s="539"/>
      <c r="F812" s="539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2"/>
      <c r="AE812" s="122"/>
      <c r="AF812" s="122"/>
      <c r="AG812" s="122"/>
      <c r="AH812" s="122"/>
      <c r="AI812" s="122"/>
      <c r="AJ812" s="122"/>
      <c r="AK812" s="122"/>
      <c r="AL812" s="122"/>
      <c r="AM812" s="122"/>
      <c r="AN812" s="122"/>
      <c r="AO812" s="122"/>
      <c r="AP812" s="428"/>
    </row>
    <row r="813" hidden="1">
      <c r="A813" s="428"/>
      <c r="B813" s="428"/>
      <c r="C813" s="122"/>
      <c r="D813" s="558"/>
      <c r="E813" s="539"/>
      <c r="F813" s="539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2"/>
      <c r="AE813" s="122"/>
      <c r="AF813" s="122"/>
      <c r="AG813" s="122"/>
      <c r="AH813" s="122"/>
      <c r="AI813" s="122"/>
      <c r="AJ813" s="122"/>
      <c r="AK813" s="122"/>
      <c r="AL813" s="122"/>
      <c r="AM813" s="122"/>
      <c r="AN813" s="122"/>
      <c r="AO813" s="122"/>
      <c r="AP813" s="428"/>
    </row>
    <row r="814" hidden="1">
      <c r="A814" s="428"/>
      <c r="B814" s="428"/>
      <c r="C814" s="122"/>
      <c r="D814" s="558"/>
      <c r="E814" s="539"/>
      <c r="F814" s="539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2"/>
      <c r="AE814" s="122"/>
      <c r="AF814" s="122"/>
      <c r="AG814" s="122"/>
      <c r="AH814" s="122"/>
      <c r="AI814" s="122"/>
      <c r="AJ814" s="122"/>
      <c r="AK814" s="122"/>
      <c r="AL814" s="122"/>
      <c r="AM814" s="122"/>
      <c r="AN814" s="122"/>
      <c r="AO814" s="122"/>
      <c r="AP814" s="428"/>
    </row>
    <row r="815" hidden="1">
      <c r="A815" s="428"/>
      <c r="B815" s="428"/>
      <c r="C815" s="122"/>
      <c r="D815" s="558"/>
      <c r="E815" s="539"/>
      <c r="F815" s="539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2"/>
      <c r="AE815" s="122"/>
      <c r="AF815" s="122"/>
      <c r="AG815" s="122"/>
      <c r="AH815" s="122"/>
      <c r="AI815" s="122"/>
      <c r="AJ815" s="122"/>
      <c r="AK815" s="122"/>
      <c r="AL815" s="122"/>
      <c r="AM815" s="122"/>
      <c r="AN815" s="122"/>
      <c r="AO815" s="122"/>
      <c r="AP815" s="428"/>
    </row>
    <row r="816" hidden="1">
      <c r="A816" s="428"/>
      <c r="B816" s="428"/>
      <c r="C816" s="122"/>
      <c r="D816" s="558"/>
      <c r="E816" s="539"/>
      <c r="F816" s="539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2"/>
      <c r="AE816" s="122"/>
      <c r="AF816" s="122"/>
      <c r="AG816" s="122"/>
      <c r="AH816" s="122"/>
      <c r="AI816" s="122"/>
      <c r="AJ816" s="122"/>
      <c r="AK816" s="122"/>
      <c r="AL816" s="122"/>
      <c r="AM816" s="122"/>
      <c r="AN816" s="122"/>
      <c r="AO816" s="122"/>
      <c r="AP816" s="428"/>
    </row>
    <row r="817" hidden="1">
      <c r="A817" s="428"/>
      <c r="B817" s="428"/>
      <c r="C817" s="122"/>
      <c r="D817" s="558"/>
      <c r="E817" s="539"/>
      <c r="F817" s="539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2"/>
      <c r="AE817" s="122"/>
      <c r="AF817" s="122"/>
      <c r="AG817" s="122"/>
      <c r="AH817" s="122"/>
      <c r="AI817" s="122"/>
      <c r="AJ817" s="122"/>
      <c r="AK817" s="122"/>
      <c r="AL817" s="122"/>
      <c r="AM817" s="122"/>
      <c r="AN817" s="122"/>
      <c r="AO817" s="122"/>
      <c r="AP817" s="428"/>
    </row>
    <row r="818" hidden="1">
      <c r="A818" s="428"/>
      <c r="B818" s="428"/>
      <c r="C818" s="122"/>
      <c r="D818" s="558"/>
      <c r="E818" s="539"/>
      <c r="F818" s="539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2"/>
      <c r="AE818" s="122"/>
      <c r="AF818" s="122"/>
      <c r="AG818" s="122"/>
      <c r="AH818" s="122"/>
      <c r="AI818" s="122"/>
      <c r="AJ818" s="122"/>
      <c r="AK818" s="122"/>
      <c r="AL818" s="122"/>
      <c r="AM818" s="122"/>
      <c r="AN818" s="122"/>
      <c r="AO818" s="122"/>
      <c r="AP818" s="428"/>
    </row>
    <row r="819" hidden="1">
      <c r="A819" s="428"/>
      <c r="B819" s="428"/>
      <c r="C819" s="122"/>
      <c r="D819" s="558"/>
      <c r="E819" s="539"/>
      <c r="F819" s="539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2"/>
      <c r="AE819" s="122"/>
      <c r="AF819" s="122"/>
      <c r="AG819" s="122"/>
      <c r="AH819" s="122"/>
      <c r="AI819" s="122"/>
      <c r="AJ819" s="122"/>
      <c r="AK819" s="122"/>
      <c r="AL819" s="122"/>
      <c r="AM819" s="122"/>
      <c r="AN819" s="122"/>
      <c r="AO819" s="122"/>
      <c r="AP819" s="428"/>
    </row>
    <row r="820" hidden="1">
      <c r="A820" s="428"/>
      <c r="B820" s="428"/>
      <c r="C820" s="122"/>
      <c r="D820" s="558"/>
      <c r="E820" s="539"/>
      <c r="F820" s="539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2"/>
      <c r="AE820" s="122"/>
      <c r="AF820" s="122"/>
      <c r="AG820" s="122"/>
      <c r="AH820" s="122"/>
      <c r="AI820" s="122"/>
      <c r="AJ820" s="122"/>
      <c r="AK820" s="122"/>
      <c r="AL820" s="122"/>
      <c r="AM820" s="122"/>
      <c r="AN820" s="122"/>
      <c r="AO820" s="122"/>
      <c r="AP820" s="428"/>
    </row>
    <row r="821" hidden="1">
      <c r="A821" s="428"/>
      <c r="B821" s="428"/>
      <c r="C821" s="122"/>
      <c r="D821" s="558"/>
      <c r="E821" s="539"/>
      <c r="F821" s="539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2"/>
      <c r="AE821" s="122"/>
      <c r="AF821" s="122"/>
      <c r="AG821" s="122"/>
      <c r="AH821" s="122"/>
      <c r="AI821" s="122"/>
      <c r="AJ821" s="122"/>
      <c r="AK821" s="122"/>
      <c r="AL821" s="122"/>
      <c r="AM821" s="122"/>
      <c r="AN821" s="122"/>
      <c r="AO821" s="122"/>
      <c r="AP821" s="428"/>
    </row>
    <row r="822" hidden="1">
      <c r="A822" s="428"/>
      <c r="B822" s="428"/>
      <c r="C822" s="122"/>
      <c r="D822" s="558"/>
      <c r="E822" s="539"/>
      <c r="F822" s="539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2"/>
      <c r="AE822" s="122"/>
      <c r="AF822" s="122"/>
      <c r="AG822" s="122"/>
      <c r="AH822" s="122"/>
      <c r="AI822" s="122"/>
      <c r="AJ822" s="122"/>
      <c r="AK822" s="122"/>
      <c r="AL822" s="122"/>
      <c r="AM822" s="122"/>
      <c r="AN822" s="122"/>
      <c r="AO822" s="122"/>
      <c r="AP822" s="428"/>
    </row>
    <row r="823" hidden="1">
      <c r="A823" s="428"/>
      <c r="B823" s="428"/>
      <c r="C823" s="122"/>
      <c r="D823" s="558"/>
      <c r="E823" s="539"/>
      <c r="F823" s="539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2"/>
      <c r="AE823" s="122"/>
      <c r="AF823" s="122"/>
      <c r="AG823" s="122"/>
      <c r="AH823" s="122"/>
      <c r="AI823" s="122"/>
      <c r="AJ823" s="122"/>
      <c r="AK823" s="122"/>
      <c r="AL823" s="122"/>
      <c r="AM823" s="122"/>
      <c r="AN823" s="122"/>
      <c r="AO823" s="122"/>
      <c r="AP823" s="428"/>
    </row>
    <row r="824" hidden="1">
      <c r="A824" s="428"/>
      <c r="B824" s="428"/>
      <c r="C824" s="122"/>
      <c r="D824" s="558"/>
      <c r="E824" s="539"/>
      <c r="F824" s="539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2"/>
      <c r="AE824" s="122"/>
      <c r="AF824" s="122"/>
      <c r="AG824" s="122"/>
      <c r="AH824" s="122"/>
      <c r="AI824" s="122"/>
      <c r="AJ824" s="122"/>
      <c r="AK824" s="122"/>
      <c r="AL824" s="122"/>
      <c r="AM824" s="122"/>
      <c r="AN824" s="122"/>
      <c r="AO824" s="122"/>
      <c r="AP824" s="428"/>
    </row>
    <row r="825" hidden="1">
      <c r="A825" s="428"/>
      <c r="B825" s="428"/>
      <c r="C825" s="122"/>
      <c r="D825" s="558"/>
      <c r="E825" s="539"/>
      <c r="F825" s="539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2"/>
      <c r="AE825" s="122"/>
      <c r="AF825" s="122"/>
      <c r="AG825" s="122"/>
      <c r="AH825" s="122"/>
      <c r="AI825" s="122"/>
      <c r="AJ825" s="122"/>
      <c r="AK825" s="122"/>
      <c r="AL825" s="122"/>
      <c r="AM825" s="122"/>
      <c r="AN825" s="122"/>
      <c r="AO825" s="122"/>
      <c r="AP825" s="428"/>
    </row>
    <row r="826" hidden="1">
      <c r="A826" s="428"/>
      <c r="B826" s="428"/>
      <c r="C826" s="122"/>
      <c r="D826" s="558"/>
      <c r="E826" s="539"/>
      <c r="F826" s="539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2"/>
      <c r="AE826" s="122"/>
      <c r="AF826" s="122"/>
      <c r="AG826" s="122"/>
      <c r="AH826" s="122"/>
      <c r="AI826" s="122"/>
      <c r="AJ826" s="122"/>
      <c r="AK826" s="122"/>
      <c r="AL826" s="122"/>
      <c r="AM826" s="122"/>
      <c r="AN826" s="122"/>
      <c r="AO826" s="122"/>
      <c r="AP826" s="428"/>
    </row>
    <row r="827" hidden="1">
      <c r="A827" s="428"/>
      <c r="B827" s="428"/>
      <c r="C827" s="122"/>
      <c r="D827" s="558"/>
      <c r="E827" s="539"/>
      <c r="F827" s="539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2"/>
      <c r="AE827" s="122"/>
      <c r="AF827" s="122"/>
      <c r="AG827" s="122"/>
      <c r="AH827" s="122"/>
      <c r="AI827" s="122"/>
      <c r="AJ827" s="122"/>
      <c r="AK827" s="122"/>
      <c r="AL827" s="122"/>
      <c r="AM827" s="122"/>
      <c r="AN827" s="122"/>
      <c r="AO827" s="122"/>
      <c r="AP827" s="428"/>
    </row>
    <row r="828" hidden="1">
      <c r="A828" s="428"/>
      <c r="B828" s="428"/>
      <c r="C828" s="122"/>
      <c r="D828" s="558"/>
      <c r="E828" s="539"/>
      <c r="F828" s="539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2"/>
      <c r="AE828" s="122"/>
      <c r="AF828" s="122"/>
      <c r="AG828" s="122"/>
      <c r="AH828" s="122"/>
      <c r="AI828" s="122"/>
      <c r="AJ828" s="122"/>
      <c r="AK828" s="122"/>
      <c r="AL828" s="122"/>
      <c r="AM828" s="122"/>
      <c r="AN828" s="122"/>
      <c r="AO828" s="122"/>
      <c r="AP828" s="428"/>
    </row>
    <row r="829" hidden="1">
      <c r="A829" s="428"/>
      <c r="B829" s="428"/>
      <c r="C829" s="122"/>
      <c r="D829" s="558"/>
      <c r="E829" s="539"/>
      <c r="F829" s="539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2"/>
      <c r="AE829" s="122"/>
      <c r="AF829" s="122"/>
      <c r="AG829" s="122"/>
      <c r="AH829" s="122"/>
      <c r="AI829" s="122"/>
      <c r="AJ829" s="122"/>
      <c r="AK829" s="122"/>
      <c r="AL829" s="122"/>
      <c r="AM829" s="122"/>
      <c r="AN829" s="122"/>
      <c r="AO829" s="122"/>
      <c r="AP829" s="428"/>
    </row>
    <row r="830" hidden="1">
      <c r="A830" s="428"/>
      <c r="B830" s="428"/>
      <c r="C830" s="122"/>
      <c r="D830" s="558"/>
      <c r="E830" s="539"/>
      <c r="F830" s="539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2"/>
      <c r="AE830" s="122"/>
      <c r="AF830" s="122"/>
      <c r="AG830" s="122"/>
      <c r="AH830" s="122"/>
      <c r="AI830" s="122"/>
      <c r="AJ830" s="122"/>
      <c r="AK830" s="122"/>
      <c r="AL830" s="122"/>
      <c r="AM830" s="122"/>
      <c r="AN830" s="122"/>
      <c r="AO830" s="122"/>
      <c r="AP830" s="428"/>
    </row>
    <row r="831" hidden="1">
      <c r="A831" s="428"/>
      <c r="B831" s="428"/>
      <c r="C831" s="122"/>
      <c r="D831" s="558"/>
      <c r="E831" s="539"/>
      <c r="F831" s="539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2"/>
      <c r="AE831" s="122"/>
      <c r="AF831" s="122"/>
      <c r="AG831" s="122"/>
      <c r="AH831" s="122"/>
      <c r="AI831" s="122"/>
      <c r="AJ831" s="122"/>
      <c r="AK831" s="122"/>
      <c r="AL831" s="122"/>
      <c r="AM831" s="122"/>
      <c r="AN831" s="122"/>
      <c r="AO831" s="122"/>
      <c r="AP831" s="428"/>
    </row>
    <row r="832" hidden="1">
      <c r="A832" s="428"/>
      <c r="B832" s="428"/>
      <c r="C832" s="122"/>
      <c r="D832" s="558"/>
      <c r="E832" s="539"/>
      <c r="F832" s="539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2"/>
      <c r="AE832" s="122"/>
      <c r="AF832" s="122"/>
      <c r="AG832" s="122"/>
      <c r="AH832" s="122"/>
      <c r="AI832" s="122"/>
      <c r="AJ832" s="122"/>
      <c r="AK832" s="122"/>
      <c r="AL832" s="122"/>
      <c r="AM832" s="122"/>
      <c r="AN832" s="122"/>
      <c r="AO832" s="122"/>
      <c r="AP832" s="428"/>
    </row>
    <row r="833" hidden="1">
      <c r="A833" s="428"/>
      <c r="B833" s="428"/>
      <c r="C833" s="122"/>
      <c r="D833" s="558"/>
      <c r="E833" s="539"/>
      <c r="F833" s="539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2"/>
      <c r="AE833" s="122"/>
      <c r="AF833" s="122"/>
      <c r="AG833" s="122"/>
      <c r="AH833" s="122"/>
      <c r="AI833" s="122"/>
      <c r="AJ833" s="122"/>
      <c r="AK833" s="122"/>
      <c r="AL833" s="122"/>
      <c r="AM833" s="122"/>
      <c r="AN833" s="122"/>
      <c r="AO833" s="122"/>
      <c r="AP833" s="428"/>
    </row>
    <row r="834" hidden="1">
      <c r="A834" s="428"/>
      <c r="B834" s="428"/>
      <c r="C834" s="122"/>
      <c r="D834" s="558"/>
      <c r="E834" s="539"/>
      <c r="F834" s="539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2"/>
      <c r="AE834" s="122"/>
      <c r="AF834" s="122"/>
      <c r="AG834" s="122"/>
      <c r="AH834" s="122"/>
      <c r="AI834" s="122"/>
      <c r="AJ834" s="122"/>
      <c r="AK834" s="122"/>
      <c r="AL834" s="122"/>
      <c r="AM834" s="122"/>
      <c r="AN834" s="122"/>
      <c r="AO834" s="122"/>
      <c r="AP834" s="428"/>
    </row>
    <row r="835" hidden="1">
      <c r="A835" s="428"/>
      <c r="B835" s="428"/>
      <c r="C835" s="122"/>
      <c r="D835" s="558"/>
      <c r="E835" s="539"/>
      <c r="F835" s="539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2"/>
      <c r="AE835" s="122"/>
      <c r="AF835" s="122"/>
      <c r="AG835" s="122"/>
      <c r="AH835" s="122"/>
      <c r="AI835" s="122"/>
      <c r="AJ835" s="122"/>
      <c r="AK835" s="122"/>
      <c r="AL835" s="122"/>
      <c r="AM835" s="122"/>
      <c r="AN835" s="122"/>
      <c r="AO835" s="122"/>
      <c r="AP835" s="428"/>
    </row>
    <row r="836" hidden="1">
      <c r="A836" s="428"/>
      <c r="B836" s="428"/>
      <c r="C836" s="122"/>
      <c r="D836" s="558"/>
      <c r="E836" s="539"/>
      <c r="F836" s="539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2"/>
      <c r="AE836" s="122"/>
      <c r="AF836" s="122"/>
      <c r="AG836" s="122"/>
      <c r="AH836" s="122"/>
      <c r="AI836" s="122"/>
      <c r="AJ836" s="122"/>
      <c r="AK836" s="122"/>
      <c r="AL836" s="122"/>
      <c r="AM836" s="122"/>
      <c r="AN836" s="122"/>
      <c r="AO836" s="122"/>
      <c r="AP836" s="428"/>
    </row>
    <row r="837" hidden="1">
      <c r="A837" s="428"/>
      <c r="B837" s="428"/>
      <c r="C837" s="122"/>
      <c r="D837" s="558"/>
      <c r="E837" s="539"/>
      <c r="F837" s="539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2"/>
      <c r="AE837" s="122"/>
      <c r="AF837" s="122"/>
      <c r="AG837" s="122"/>
      <c r="AH837" s="122"/>
      <c r="AI837" s="122"/>
      <c r="AJ837" s="122"/>
      <c r="AK837" s="122"/>
      <c r="AL837" s="122"/>
      <c r="AM837" s="122"/>
      <c r="AN837" s="122"/>
      <c r="AO837" s="122"/>
      <c r="AP837" s="428"/>
    </row>
    <row r="838" hidden="1">
      <c r="A838" s="428"/>
      <c r="B838" s="428"/>
      <c r="C838" s="122"/>
      <c r="D838" s="558"/>
      <c r="E838" s="539"/>
      <c r="F838" s="539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2"/>
      <c r="AE838" s="122"/>
      <c r="AF838" s="122"/>
      <c r="AG838" s="122"/>
      <c r="AH838" s="122"/>
      <c r="AI838" s="122"/>
      <c r="AJ838" s="122"/>
      <c r="AK838" s="122"/>
      <c r="AL838" s="122"/>
      <c r="AM838" s="122"/>
      <c r="AN838" s="122"/>
      <c r="AO838" s="122"/>
      <c r="AP838" s="428"/>
    </row>
    <row r="839" hidden="1">
      <c r="A839" s="428"/>
      <c r="B839" s="428"/>
      <c r="C839" s="122"/>
      <c r="D839" s="558"/>
      <c r="E839" s="539"/>
      <c r="F839" s="539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2"/>
      <c r="AE839" s="122"/>
      <c r="AF839" s="122"/>
      <c r="AG839" s="122"/>
      <c r="AH839" s="122"/>
      <c r="AI839" s="122"/>
      <c r="AJ839" s="122"/>
      <c r="AK839" s="122"/>
      <c r="AL839" s="122"/>
      <c r="AM839" s="122"/>
      <c r="AN839" s="122"/>
      <c r="AO839" s="122"/>
      <c r="AP839" s="428"/>
    </row>
    <row r="840" hidden="1">
      <c r="A840" s="428"/>
      <c r="B840" s="428"/>
      <c r="C840" s="122"/>
      <c r="D840" s="558"/>
      <c r="E840" s="539"/>
      <c r="F840" s="539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2"/>
      <c r="AE840" s="122"/>
      <c r="AF840" s="122"/>
      <c r="AG840" s="122"/>
      <c r="AH840" s="122"/>
      <c r="AI840" s="122"/>
      <c r="AJ840" s="122"/>
      <c r="AK840" s="122"/>
      <c r="AL840" s="122"/>
      <c r="AM840" s="122"/>
      <c r="AN840" s="122"/>
      <c r="AO840" s="122"/>
      <c r="AP840" s="428"/>
    </row>
    <row r="841" hidden="1">
      <c r="A841" s="428"/>
      <c r="B841" s="428"/>
      <c r="C841" s="122"/>
      <c r="D841" s="558"/>
      <c r="E841" s="539"/>
      <c r="F841" s="539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2"/>
      <c r="AE841" s="122"/>
      <c r="AF841" s="122"/>
      <c r="AG841" s="122"/>
      <c r="AH841" s="122"/>
      <c r="AI841" s="122"/>
      <c r="AJ841" s="122"/>
      <c r="AK841" s="122"/>
      <c r="AL841" s="122"/>
      <c r="AM841" s="122"/>
      <c r="AN841" s="122"/>
      <c r="AO841" s="122"/>
      <c r="AP841" s="428"/>
    </row>
    <row r="842" hidden="1">
      <c r="A842" s="428"/>
      <c r="B842" s="428"/>
      <c r="C842" s="122"/>
      <c r="D842" s="558"/>
      <c r="E842" s="539"/>
      <c r="F842" s="539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2"/>
      <c r="AE842" s="122"/>
      <c r="AF842" s="122"/>
      <c r="AG842" s="122"/>
      <c r="AH842" s="122"/>
      <c r="AI842" s="122"/>
      <c r="AJ842" s="122"/>
      <c r="AK842" s="122"/>
      <c r="AL842" s="122"/>
      <c r="AM842" s="122"/>
      <c r="AN842" s="122"/>
      <c r="AO842" s="122"/>
      <c r="AP842" s="428"/>
    </row>
    <row r="843" hidden="1">
      <c r="A843" s="428"/>
      <c r="B843" s="428"/>
      <c r="C843" s="122"/>
      <c r="D843" s="558"/>
      <c r="E843" s="539"/>
      <c r="F843" s="539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2"/>
      <c r="AE843" s="122"/>
      <c r="AF843" s="122"/>
      <c r="AG843" s="122"/>
      <c r="AH843" s="122"/>
      <c r="AI843" s="122"/>
      <c r="AJ843" s="122"/>
      <c r="AK843" s="122"/>
      <c r="AL843" s="122"/>
      <c r="AM843" s="122"/>
      <c r="AN843" s="122"/>
      <c r="AO843" s="122"/>
      <c r="AP843" s="428"/>
    </row>
    <row r="844" hidden="1">
      <c r="A844" s="428"/>
      <c r="B844" s="428"/>
      <c r="C844" s="122"/>
      <c r="D844" s="558"/>
      <c r="E844" s="539"/>
      <c r="F844" s="539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2"/>
      <c r="AE844" s="122"/>
      <c r="AF844" s="122"/>
      <c r="AG844" s="122"/>
      <c r="AH844" s="122"/>
      <c r="AI844" s="122"/>
      <c r="AJ844" s="122"/>
      <c r="AK844" s="122"/>
      <c r="AL844" s="122"/>
      <c r="AM844" s="122"/>
      <c r="AN844" s="122"/>
      <c r="AO844" s="122"/>
      <c r="AP844" s="428"/>
    </row>
    <row r="845" hidden="1">
      <c r="A845" s="428"/>
      <c r="B845" s="428"/>
      <c r="C845" s="122"/>
      <c r="D845" s="558"/>
      <c r="E845" s="539"/>
      <c r="F845" s="539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2"/>
      <c r="AE845" s="122"/>
      <c r="AF845" s="122"/>
      <c r="AG845" s="122"/>
      <c r="AH845" s="122"/>
      <c r="AI845" s="122"/>
      <c r="AJ845" s="122"/>
      <c r="AK845" s="122"/>
      <c r="AL845" s="122"/>
      <c r="AM845" s="122"/>
      <c r="AN845" s="122"/>
      <c r="AO845" s="122"/>
      <c r="AP845" s="428"/>
    </row>
    <row r="846" hidden="1">
      <c r="A846" s="428"/>
      <c r="B846" s="428"/>
      <c r="C846" s="122"/>
      <c r="D846" s="558"/>
      <c r="E846" s="539"/>
      <c r="F846" s="539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2"/>
      <c r="AE846" s="122"/>
      <c r="AF846" s="122"/>
      <c r="AG846" s="122"/>
      <c r="AH846" s="122"/>
      <c r="AI846" s="122"/>
      <c r="AJ846" s="122"/>
      <c r="AK846" s="122"/>
      <c r="AL846" s="122"/>
      <c r="AM846" s="122"/>
      <c r="AN846" s="122"/>
      <c r="AO846" s="122"/>
      <c r="AP846" s="428"/>
    </row>
    <row r="847" hidden="1">
      <c r="A847" s="428"/>
      <c r="B847" s="428"/>
      <c r="C847" s="122"/>
      <c r="D847" s="558"/>
      <c r="E847" s="539"/>
      <c r="F847" s="539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2"/>
      <c r="AE847" s="122"/>
      <c r="AF847" s="122"/>
      <c r="AG847" s="122"/>
      <c r="AH847" s="122"/>
      <c r="AI847" s="122"/>
      <c r="AJ847" s="122"/>
      <c r="AK847" s="122"/>
      <c r="AL847" s="122"/>
      <c r="AM847" s="122"/>
      <c r="AN847" s="122"/>
      <c r="AO847" s="122"/>
      <c r="AP847" s="428"/>
    </row>
    <row r="848" hidden="1">
      <c r="A848" s="428"/>
      <c r="B848" s="428"/>
      <c r="C848" s="122"/>
      <c r="D848" s="558"/>
      <c r="E848" s="539"/>
      <c r="F848" s="539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2"/>
      <c r="AE848" s="122"/>
      <c r="AF848" s="122"/>
      <c r="AG848" s="122"/>
      <c r="AH848" s="122"/>
      <c r="AI848" s="122"/>
      <c r="AJ848" s="122"/>
      <c r="AK848" s="122"/>
      <c r="AL848" s="122"/>
      <c r="AM848" s="122"/>
      <c r="AN848" s="122"/>
      <c r="AO848" s="122"/>
      <c r="AP848" s="428"/>
    </row>
    <row r="849" hidden="1">
      <c r="A849" s="428"/>
      <c r="B849" s="428"/>
      <c r="C849" s="122"/>
      <c r="D849" s="558"/>
      <c r="E849" s="539"/>
      <c r="F849" s="539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2"/>
      <c r="AE849" s="122"/>
      <c r="AF849" s="122"/>
      <c r="AG849" s="122"/>
      <c r="AH849" s="122"/>
      <c r="AI849" s="122"/>
      <c r="AJ849" s="122"/>
      <c r="AK849" s="122"/>
      <c r="AL849" s="122"/>
      <c r="AM849" s="122"/>
      <c r="AN849" s="122"/>
      <c r="AO849" s="122"/>
      <c r="AP849" s="428"/>
    </row>
    <row r="850" hidden="1">
      <c r="A850" s="428"/>
      <c r="B850" s="428"/>
      <c r="C850" s="122"/>
      <c r="D850" s="558"/>
      <c r="E850" s="539"/>
      <c r="F850" s="539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2"/>
      <c r="AE850" s="122"/>
      <c r="AF850" s="122"/>
      <c r="AG850" s="122"/>
      <c r="AH850" s="122"/>
      <c r="AI850" s="122"/>
      <c r="AJ850" s="122"/>
      <c r="AK850" s="122"/>
      <c r="AL850" s="122"/>
      <c r="AM850" s="122"/>
      <c r="AN850" s="122"/>
      <c r="AO850" s="122"/>
      <c r="AP850" s="428"/>
    </row>
    <row r="851" hidden="1">
      <c r="A851" s="428"/>
      <c r="B851" s="428"/>
      <c r="C851" s="122"/>
      <c r="D851" s="558"/>
      <c r="E851" s="539"/>
      <c r="F851" s="539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2"/>
      <c r="AE851" s="122"/>
      <c r="AF851" s="122"/>
      <c r="AG851" s="122"/>
      <c r="AH851" s="122"/>
      <c r="AI851" s="122"/>
      <c r="AJ851" s="122"/>
      <c r="AK851" s="122"/>
      <c r="AL851" s="122"/>
      <c r="AM851" s="122"/>
      <c r="AN851" s="122"/>
      <c r="AO851" s="122"/>
      <c r="AP851" s="428"/>
    </row>
    <row r="852" hidden="1">
      <c r="A852" s="428"/>
      <c r="B852" s="428"/>
      <c r="C852" s="122"/>
      <c r="D852" s="558"/>
      <c r="E852" s="539"/>
      <c r="F852" s="539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2"/>
      <c r="AE852" s="122"/>
      <c r="AF852" s="122"/>
      <c r="AG852" s="122"/>
      <c r="AH852" s="122"/>
      <c r="AI852" s="122"/>
      <c r="AJ852" s="122"/>
      <c r="AK852" s="122"/>
      <c r="AL852" s="122"/>
      <c r="AM852" s="122"/>
      <c r="AN852" s="122"/>
      <c r="AO852" s="122"/>
      <c r="AP852" s="428"/>
    </row>
    <row r="853" hidden="1">
      <c r="A853" s="428"/>
      <c r="B853" s="428"/>
      <c r="C853" s="122"/>
      <c r="D853" s="558"/>
      <c r="E853" s="539"/>
      <c r="F853" s="539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2"/>
      <c r="AE853" s="122"/>
      <c r="AF853" s="122"/>
      <c r="AG853" s="122"/>
      <c r="AH853" s="122"/>
      <c r="AI853" s="122"/>
      <c r="AJ853" s="122"/>
      <c r="AK853" s="122"/>
      <c r="AL853" s="122"/>
      <c r="AM853" s="122"/>
      <c r="AN853" s="122"/>
      <c r="AO853" s="122"/>
      <c r="AP853" s="428"/>
    </row>
    <row r="854" hidden="1">
      <c r="A854" s="428"/>
      <c r="B854" s="428"/>
      <c r="C854" s="122"/>
      <c r="D854" s="558"/>
      <c r="E854" s="539"/>
      <c r="F854" s="539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2"/>
      <c r="AE854" s="122"/>
      <c r="AF854" s="122"/>
      <c r="AG854" s="122"/>
      <c r="AH854" s="122"/>
      <c r="AI854" s="122"/>
      <c r="AJ854" s="122"/>
      <c r="AK854" s="122"/>
      <c r="AL854" s="122"/>
      <c r="AM854" s="122"/>
      <c r="AN854" s="122"/>
      <c r="AO854" s="122"/>
      <c r="AP854" s="428"/>
    </row>
    <row r="855" hidden="1">
      <c r="A855" s="428"/>
      <c r="B855" s="428"/>
      <c r="C855" s="122"/>
      <c r="D855" s="558"/>
      <c r="E855" s="539"/>
      <c r="F855" s="539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2"/>
      <c r="AE855" s="122"/>
      <c r="AF855" s="122"/>
      <c r="AG855" s="122"/>
      <c r="AH855" s="122"/>
      <c r="AI855" s="122"/>
      <c r="AJ855" s="122"/>
      <c r="AK855" s="122"/>
      <c r="AL855" s="122"/>
      <c r="AM855" s="122"/>
      <c r="AN855" s="122"/>
      <c r="AO855" s="122"/>
      <c r="AP855" s="428"/>
    </row>
    <row r="856" hidden="1">
      <c r="A856" s="428"/>
      <c r="B856" s="428"/>
      <c r="C856" s="122"/>
      <c r="D856" s="558"/>
      <c r="E856" s="539"/>
      <c r="F856" s="539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2"/>
      <c r="AE856" s="122"/>
      <c r="AF856" s="122"/>
      <c r="AG856" s="122"/>
      <c r="AH856" s="122"/>
      <c r="AI856" s="122"/>
      <c r="AJ856" s="122"/>
      <c r="AK856" s="122"/>
      <c r="AL856" s="122"/>
      <c r="AM856" s="122"/>
      <c r="AN856" s="122"/>
      <c r="AO856" s="122"/>
      <c r="AP856" s="428"/>
    </row>
    <row r="857" hidden="1">
      <c r="A857" s="428"/>
      <c r="B857" s="428"/>
      <c r="C857" s="122"/>
      <c r="D857" s="558"/>
      <c r="E857" s="539"/>
      <c r="F857" s="539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2"/>
      <c r="AE857" s="122"/>
      <c r="AF857" s="122"/>
      <c r="AG857" s="122"/>
      <c r="AH857" s="122"/>
      <c r="AI857" s="122"/>
      <c r="AJ857" s="122"/>
      <c r="AK857" s="122"/>
      <c r="AL857" s="122"/>
      <c r="AM857" s="122"/>
      <c r="AN857" s="122"/>
      <c r="AO857" s="122"/>
      <c r="AP857" s="428"/>
    </row>
    <row r="858" hidden="1">
      <c r="A858" s="428"/>
      <c r="B858" s="428"/>
      <c r="C858" s="122"/>
      <c r="D858" s="558"/>
      <c r="E858" s="539"/>
      <c r="F858" s="539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2"/>
      <c r="AE858" s="122"/>
      <c r="AF858" s="122"/>
      <c r="AG858" s="122"/>
      <c r="AH858" s="122"/>
      <c r="AI858" s="122"/>
      <c r="AJ858" s="122"/>
      <c r="AK858" s="122"/>
      <c r="AL858" s="122"/>
      <c r="AM858" s="122"/>
      <c r="AN858" s="122"/>
      <c r="AO858" s="122"/>
      <c r="AP858" s="428"/>
    </row>
    <row r="859" hidden="1">
      <c r="A859" s="428"/>
      <c r="B859" s="428"/>
      <c r="C859" s="122"/>
      <c r="D859" s="558"/>
      <c r="E859" s="539"/>
      <c r="F859" s="539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2"/>
      <c r="AE859" s="122"/>
      <c r="AF859" s="122"/>
      <c r="AG859" s="122"/>
      <c r="AH859" s="122"/>
      <c r="AI859" s="122"/>
      <c r="AJ859" s="122"/>
      <c r="AK859" s="122"/>
      <c r="AL859" s="122"/>
      <c r="AM859" s="122"/>
      <c r="AN859" s="122"/>
      <c r="AO859" s="122"/>
      <c r="AP859" s="428"/>
    </row>
    <row r="860" hidden="1">
      <c r="A860" s="428"/>
      <c r="B860" s="428"/>
      <c r="C860" s="122"/>
      <c r="D860" s="558"/>
      <c r="E860" s="539"/>
      <c r="F860" s="539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2"/>
      <c r="AE860" s="122"/>
      <c r="AF860" s="122"/>
      <c r="AG860" s="122"/>
      <c r="AH860" s="122"/>
      <c r="AI860" s="122"/>
      <c r="AJ860" s="122"/>
      <c r="AK860" s="122"/>
      <c r="AL860" s="122"/>
      <c r="AM860" s="122"/>
      <c r="AN860" s="122"/>
      <c r="AO860" s="122"/>
      <c r="AP860" s="428"/>
    </row>
    <row r="861" hidden="1">
      <c r="A861" s="428"/>
      <c r="B861" s="428"/>
      <c r="C861" s="122"/>
      <c r="D861" s="558"/>
      <c r="E861" s="539"/>
      <c r="F861" s="539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2"/>
      <c r="AE861" s="122"/>
      <c r="AF861" s="122"/>
      <c r="AG861" s="122"/>
      <c r="AH861" s="122"/>
      <c r="AI861" s="122"/>
      <c r="AJ861" s="122"/>
      <c r="AK861" s="122"/>
      <c r="AL861" s="122"/>
      <c r="AM861" s="122"/>
      <c r="AN861" s="122"/>
      <c r="AO861" s="122"/>
      <c r="AP861" s="428"/>
    </row>
    <row r="862" hidden="1">
      <c r="A862" s="428"/>
      <c r="B862" s="428"/>
      <c r="C862" s="122"/>
      <c r="D862" s="558"/>
      <c r="E862" s="539"/>
      <c r="F862" s="539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2"/>
      <c r="AE862" s="122"/>
      <c r="AF862" s="122"/>
      <c r="AG862" s="122"/>
      <c r="AH862" s="122"/>
      <c r="AI862" s="122"/>
      <c r="AJ862" s="122"/>
      <c r="AK862" s="122"/>
      <c r="AL862" s="122"/>
      <c r="AM862" s="122"/>
      <c r="AN862" s="122"/>
      <c r="AO862" s="122"/>
      <c r="AP862" s="428"/>
    </row>
    <row r="863" hidden="1">
      <c r="A863" s="428"/>
      <c r="B863" s="428"/>
      <c r="C863" s="122"/>
      <c r="D863" s="558"/>
      <c r="E863" s="539"/>
      <c r="F863" s="539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2"/>
      <c r="AE863" s="122"/>
      <c r="AF863" s="122"/>
      <c r="AG863" s="122"/>
      <c r="AH863" s="122"/>
      <c r="AI863" s="122"/>
      <c r="AJ863" s="122"/>
      <c r="AK863" s="122"/>
      <c r="AL863" s="122"/>
      <c r="AM863" s="122"/>
      <c r="AN863" s="122"/>
      <c r="AO863" s="122"/>
      <c r="AP863" s="428"/>
    </row>
    <row r="864" hidden="1">
      <c r="A864" s="428"/>
      <c r="B864" s="428"/>
      <c r="C864" s="122"/>
      <c r="D864" s="558"/>
      <c r="E864" s="539"/>
      <c r="F864" s="539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2"/>
      <c r="AE864" s="122"/>
      <c r="AF864" s="122"/>
      <c r="AG864" s="122"/>
      <c r="AH864" s="122"/>
      <c r="AI864" s="122"/>
      <c r="AJ864" s="122"/>
      <c r="AK864" s="122"/>
      <c r="AL864" s="122"/>
      <c r="AM864" s="122"/>
      <c r="AN864" s="122"/>
      <c r="AO864" s="122"/>
      <c r="AP864" s="428"/>
    </row>
    <row r="865" hidden="1">
      <c r="A865" s="428"/>
      <c r="B865" s="428"/>
      <c r="C865" s="122"/>
      <c r="D865" s="558"/>
      <c r="E865" s="539"/>
      <c r="F865" s="539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2"/>
      <c r="AE865" s="122"/>
      <c r="AF865" s="122"/>
      <c r="AG865" s="122"/>
      <c r="AH865" s="122"/>
      <c r="AI865" s="122"/>
      <c r="AJ865" s="122"/>
      <c r="AK865" s="122"/>
      <c r="AL865" s="122"/>
      <c r="AM865" s="122"/>
      <c r="AN865" s="122"/>
      <c r="AO865" s="122"/>
      <c r="AP865" s="428"/>
    </row>
    <row r="866" hidden="1">
      <c r="A866" s="428"/>
      <c r="B866" s="428"/>
      <c r="C866" s="122"/>
      <c r="D866" s="558"/>
      <c r="E866" s="539"/>
      <c r="F866" s="539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2"/>
      <c r="AE866" s="122"/>
      <c r="AF866" s="122"/>
      <c r="AG866" s="122"/>
      <c r="AH866" s="122"/>
      <c r="AI866" s="122"/>
      <c r="AJ866" s="122"/>
      <c r="AK866" s="122"/>
      <c r="AL866" s="122"/>
      <c r="AM866" s="122"/>
      <c r="AN866" s="122"/>
      <c r="AO866" s="122"/>
      <c r="AP866" s="428"/>
    </row>
    <row r="867" hidden="1">
      <c r="A867" s="428"/>
      <c r="B867" s="428"/>
      <c r="C867" s="122"/>
      <c r="D867" s="558"/>
      <c r="E867" s="539"/>
      <c r="F867" s="539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2"/>
      <c r="AE867" s="122"/>
      <c r="AF867" s="122"/>
      <c r="AG867" s="122"/>
      <c r="AH867" s="122"/>
      <c r="AI867" s="122"/>
      <c r="AJ867" s="122"/>
      <c r="AK867" s="122"/>
      <c r="AL867" s="122"/>
      <c r="AM867" s="122"/>
      <c r="AN867" s="122"/>
      <c r="AO867" s="122"/>
      <c r="AP867" s="428"/>
    </row>
    <row r="868" hidden="1">
      <c r="A868" s="428"/>
      <c r="B868" s="428"/>
      <c r="C868" s="122"/>
      <c r="D868" s="558"/>
      <c r="E868" s="539"/>
      <c r="F868" s="539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2"/>
      <c r="AE868" s="122"/>
      <c r="AF868" s="122"/>
      <c r="AG868" s="122"/>
      <c r="AH868" s="122"/>
      <c r="AI868" s="122"/>
      <c r="AJ868" s="122"/>
      <c r="AK868" s="122"/>
      <c r="AL868" s="122"/>
      <c r="AM868" s="122"/>
      <c r="AN868" s="122"/>
      <c r="AO868" s="122"/>
      <c r="AP868" s="428"/>
    </row>
    <row r="869" hidden="1">
      <c r="A869" s="428"/>
      <c r="B869" s="428"/>
      <c r="C869" s="122"/>
      <c r="D869" s="558"/>
      <c r="E869" s="539"/>
      <c r="F869" s="539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2"/>
      <c r="AE869" s="122"/>
      <c r="AF869" s="122"/>
      <c r="AG869" s="122"/>
      <c r="AH869" s="122"/>
      <c r="AI869" s="122"/>
      <c r="AJ869" s="122"/>
      <c r="AK869" s="122"/>
      <c r="AL869" s="122"/>
      <c r="AM869" s="122"/>
      <c r="AN869" s="122"/>
      <c r="AO869" s="122"/>
      <c r="AP869" s="428"/>
    </row>
    <row r="870" hidden="1">
      <c r="A870" s="428"/>
      <c r="B870" s="428"/>
      <c r="C870" s="122"/>
      <c r="D870" s="558"/>
      <c r="E870" s="539"/>
      <c r="F870" s="539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2"/>
      <c r="AE870" s="122"/>
      <c r="AF870" s="122"/>
      <c r="AG870" s="122"/>
      <c r="AH870" s="122"/>
      <c r="AI870" s="122"/>
      <c r="AJ870" s="122"/>
      <c r="AK870" s="122"/>
      <c r="AL870" s="122"/>
      <c r="AM870" s="122"/>
      <c r="AN870" s="122"/>
      <c r="AO870" s="122"/>
      <c r="AP870" s="428"/>
    </row>
    <row r="871" hidden="1">
      <c r="A871" s="428"/>
      <c r="B871" s="428"/>
      <c r="C871" s="122"/>
      <c r="D871" s="558"/>
      <c r="E871" s="539"/>
      <c r="F871" s="539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2"/>
      <c r="AE871" s="122"/>
      <c r="AF871" s="122"/>
      <c r="AG871" s="122"/>
      <c r="AH871" s="122"/>
      <c r="AI871" s="122"/>
      <c r="AJ871" s="122"/>
      <c r="AK871" s="122"/>
      <c r="AL871" s="122"/>
      <c r="AM871" s="122"/>
      <c r="AN871" s="122"/>
      <c r="AO871" s="122"/>
      <c r="AP871" s="428"/>
    </row>
    <row r="872" hidden="1">
      <c r="A872" s="428"/>
      <c r="B872" s="428"/>
      <c r="C872" s="122"/>
      <c r="D872" s="558"/>
      <c r="E872" s="539"/>
      <c r="F872" s="539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2"/>
      <c r="AE872" s="122"/>
      <c r="AF872" s="122"/>
      <c r="AG872" s="122"/>
      <c r="AH872" s="122"/>
      <c r="AI872" s="122"/>
      <c r="AJ872" s="122"/>
      <c r="AK872" s="122"/>
      <c r="AL872" s="122"/>
      <c r="AM872" s="122"/>
      <c r="AN872" s="122"/>
      <c r="AO872" s="122"/>
      <c r="AP872" s="428"/>
    </row>
    <row r="873" hidden="1">
      <c r="A873" s="428"/>
      <c r="B873" s="428"/>
      <c r="C873" s="122"/>
      <c r="D873" s="558"/>
      <c r="E873" s="539"/>
      <c r="F873" s="539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2"/>
      <c r="AE873" s="122"/>
      <c r="AF873" s="122"/>
      <c r="AG873" s="122"/>
      <c r="AH873" s="122"/>
      <c r="AI873" s="122"/>
      <c r="AJ873" s="122"/>
      <c r="AK873" s="122"/>
      <c r="AL873" s="122"/>
      <c r="AM873" s="122"/>
      <c r="AN873" s="122"/>
      <c r="AO873" s="122"/>
      <c r="AP873" s="428"/>
    </row>
    <row r="874" hidden="1">
      <c r="A874" s="428"/>
      <c r="B874" s="428"/>
      <c r="C874" s="122"/>
      <c r="D874" s="558"/>
      <c r="E874" s="539"/>
      <c r="F874" s="539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2"/>
      <c r="AE874" s="122"/>
      <c r="AF874" s="122"/>
      <c r="AG874" s="122"/>
      <c r="AH874" s="122"/>
      <c r="AI874" s="122"/>
      <c r="AJ874" s="122"/>
      <c r="AK874" s="122"/>
      <c r="AL874" s="122"/>
      <c r="AM874" s="122"/>
      <c r="AN874" s="122"/>
      <c r="AO874" s="122"/>
      <c r="AP874" s="428"/>
    </row>
    <row r="875" hidden="1">
      <c r="A875" s="428"/>
      <c r="B875" s="428"/>
      <c r="C875" s="122"/>
      <c r="D875" s="558"/>
      <c r="E875" s="539"/>
      <c r="F875" s="539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2"/>
      <c r="AE875" s="122"/>
      <c r="AF875" s="122"/>
      <c r="AG875" s="122"/>
      <c r="AH875" s="122"/>
      <c r="AI875" s="122"/>
      <c r="AJ875" s="122"/>
      <c r="AK875" s="122"/>
      <c r="AL875" s="122"/>
      <c r="AM875" s="122"/>
      <c r="AN875" s="122"/>
      <c r="AO875" s="122"/>
      <c r="AP875" s="428"/>
    </row>
    <row r="876" hidden="1">
      <c r="A876" s="428"/>
      <c r="B876" s="428"/>
      <c r="C876" s="122"/>
      <c r="D876" s="558"/>
      <c r="E876" s="539"/>
      <c r="F876" s="539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2"/>
      <c r="AE876" s="122"/>
      <c r="AF876" s="122"/>
      <c r="AG876" s="122"/>
      <c r="AH876" s="122"/>
      <c r="AI876" s="122"/>
      <c r="AJ876" s="122"/>
      <c r="AK876" s="122"/>
      <c r="AL876" s="122"/>
      <c r="AM876" s="122"/>
      <c r="AN876" s="122"/>
      <c r="AO876" s="122"/>
      <c r="AP876" s="428"/>
    </row>
    <row r="877" hidden="1">
      <c r="A877" s="428"/>
      <c r="B877" s="428"/>
      <c r="C877" s="122"/>
      <c r="D877" s="558"/>
      <c r="E877" s="539"/>
      <c r="F877" s="539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2"/>
      <c r="AE877" s="122"/>
      <c r="AF877" s="122"/>
      <c r="AG877" s="122"/>
      <c r="AH877" s="122"/>
      <c r="AI877" s="122"/>
      <c r="AJ877" s="122"/>
      <c r="AK877" s="122"/>
      <c r="AL877" s="122"/>
      <c r="AM877" s="122"/>
      <c r="AN877" s="122"/>
      <c r="AO877" s="122"/>
      <c r="AP877" s="428"/>
    </row>
    <row r="878" hidden="1">
      <c r="A878" s="428"/>
      <c r="B878" s="428"/>
      <c r="C878" s="122"/>
      <c r="D878" s="558"/>
      <c r="E878" s="539"/>
      <c r="F878" s="539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2"/>
      <c r="AE878" s="122"/>
      <c r="AF878" s="122"/>
      <c r="AG878" s="122"/>
      <c r="AH878" s="122"/>
      <c r="AI878" s="122"/>
      <c r="AJ878" s="122"/>
      <c r="AK878" s="122"/>
      <c r="AL878" s="122"/>
      <c r="AM878" s="122"/>
      <c r="AN878" s="122"/>
      <c r="AO878" s="122"/>
      <c r="AP878" s="428"/>
    </row>
    <row r="879" hidden="1">
      <c r="A879" s="428"/>
      <c r="B879" s="428"/>
      <c r="C879" s="122"/>
      <c r="D879" s="558"/>
      <c r="E879" s="539"/>
      <c r="F879" s="539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2"/>
      <c r="AE879" s="122"/>
      <c r="AF879" s="122"/>
      <c r="AG879" s="122"/>
      <c r="AH879" s="122"/>
      <c r="AI879" s="122"/>
      <c r="AJ879" s="122"/>
      <c r="AK879" s="122"/>
      <c r="AL879" s="122"/>
      <c r="AM879" s="122"/>
      <c r="AN879" s="122"/>
      <c r="AO879" s="122"/>
      <c r="AP879" s="428"/>
    </row>
    <row r="880" hidden="1">
      <c r="A880" s="428"/>
      <c r="B880" s="428"/>
      <c r="C880" s="122"/>
      <c r="D880" s="558"/>
      <c r="E880" s="539"/>
      <c r="F880" s="539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2"/>
      <c r="AE880" s="122"/>
      <c r="AF880" s="122"/>
      <c r="AG880" s="122"/>
      <c r="AH880" s="122"/>
      <c r="AI880" s="122"/>
      <c r="AJ880" s="122"/>
      <c r="AK880" s="122"/>
      <c r="AL880" s="122"/>
      <c r="AM880" s="122"/>
      <c r="AN880" s="122"/>
      <c r="AO880" s="122"/>
      <c r="AP880" s="428"/>
    </row>
    <row r="881" hidden="1">
      <c r="A881" s="428"/>
      <c r="B881" s="428"/>
      <c r="C881" s="122"/>
      <c r="D881" s="558"/>
      <c r="E881" s="539"/>
      <c r="F881" s="539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2"/>
      <c r="AE881" s="122"/>
      <c r="AF881" s="122"/>
      <c r="AG881" s="122"/>
      <c r="AH881" s="122"/>
      <c r="AI881" s="122"/>
      <c r="AJ881" s="122"/>
      <c r="AK881" s="122"/>
      <c r="AL881" s="122"/>
      <c r="AM881" s="122"/>
      <c r="AN881" s="122"/>
      <c r="AO881" s="122"/>
      <c r="AP881" s="428"/>
    </row>
    <row r="882" hidden="1">
      <c r="A882" s="428"/>
      <c r="B882" s="428"/>
      <c r="C882" s="122"/>
      <c r="D882" s="558"/>
      <c r="E882" s="539"/>
      <c r="F882" s="539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2"/>
      <c r="AE882" s="122"/>
      <c r="AF882" s="122"/>
      <c r="AG882" s="122"/>
      <c r="AH882" s="122"/>
      <c r="AI882" s="122"/>
      <c r="AJ882" s="122"/>
      <c r="AK882" s="122"/>
      <c r="AL882" s="122"/>
      <c r="AM882" s="122"/>
      <c r="AN882" s="122"/>
      <c r="AO882" s="122"/>
      <c r="AP882" s="428"/>
    </row>
    <row r="883" hidden="1">
      <c r="A883" s="428"/>
      <c r="B883" s="428"/>
      <c r="C883" s="122"/>
      <c r="D883" s="558"/>
      <c r="E883" s="539"/>
      <c r="F883" s="539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2"/>
      <c r="AE883" s="122"/>
      <c r="AF883" s="122"/>
      <c r="AG883" s="122"/>
      <c r="AH883" s="122"/>
      <c r="AI883" s="122"/>
      <c r="AJ883" s="122"/>
      <c r="AK883" s="122"/>
      <c r="AL883" s="122"/>
      <c r="AM883" s="122"/>
      <c r="AN883" s="122"/>
      <c r="AO883" s="122"/>
      <c r="AP883" s="428"/>
    </row>
    <row r="884" hidden="1">
      <c r="A884" s="428"/>
      <c r="B884" s="428"/>
      <c r="C884" s="122"/>
      <c r="D884" s="558"/>
      <c r="E884" s="539"/>
      <c r="F884" s="539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2"/>
      <c r="AE884" s="122"/>
      <c r="AF884" s="122"/>
      <c r="AG884" s="122"/>
      <c r="AH884" s="122"/>
      <c r="AI884" s="122"/>
      <c r="AJ884" s="122"/>
      <c r="AK884" s="122"/>
      <c r="AL884" s="122"/>
      <c r="AM884" s="122"/>
      <c r="AN884" s="122"/>
      <c r="AO884" s="122"/>
      <c r="AP884" s="428"/>
    </row>
    <row r="885" hidden="1">
      <c r="A885" s="428"/>
      <c r="B885" s="428"/>
      <c r="C885" s="122"/>
      <c r="D885" s="558"/>
      <c r="E885" s="539"/>
      <c r="F885" s="539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2"/>
      <c r="AE885" s="122"/>
      <c r="AF885" s="122"/>
      <c r="AG885" s="122"/>
      <c r="AH885" s="122"/>
      <c r="AI885" s="122"/>
      <c r="AJ885" s="122"/>
      <c r="AK885" s="122"/>
      <c r="AL885" s="122"/>
      <c r="AM885" s="122"/>
      <c r="AN885" s="122"/>
      <c r="AO885" s="122"/>
      <c r="AP885" s="428"/>
    </row>
    <row r="886" hidden="1">
      <c r="A886" s="428"/>
      <c r="B886" s="428"/>
      <c r="C886" s="122"/>
      <c r="D886" s="558"/>
      <c r="E886" s="539"/>
      <c r="F886" s="539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2"/>
      <c r="AE886" s="122"/>
      <c r="AF886" s="122"/>
      <c r="AG886" s="122"/>
      <c r="AH886" s="122"/>
      <c r="AI886" s="122"/>
      <c r="AJ886" s="122"/>
      <c r="AK886" s="122"/>
      <c r="AL886" s="122"/>
      <c r="AM886" s="122"/>
      <c r="AN886" s="122"/>
      <c r="AO886" s="122"/>
      <c r="AP886" s="428"/>
    </row>
    <row r="887" hidden="1">
      <c r="A887" s="428"/>
      <c r="B887" s="428"/>
      <c r="C887" s="122"/>
      <c r="D887" s="558"/>
      <c r="E887" s="539"/>
      <c r="F887" s="539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2"/>
      <c r="AE887" s="122"/>
      <c r="AF887" s="122"/>
      <c r="AG887" s="122"/>
      <c r="AH887" s="122"/>
      <c r="AI887" s="122"/>
      <c r="AJ887" s="122"/>
      <c r="AK887" s="122"/>
      <c r="AL887" s="122"/>
      <c r="AM887" s="122"/>
      <c r="AN887" s="122"/>
      <c r="AO887" s="122"/>
      <c r="AP887" s="428"/>
    </row>
    <row r="888" hidden="1">
      <c r="A888" s="428"/>
      <c r="B888" s="428"/>
      <c r="C888" s="122"/>
      <c r="D888" s="558"/>
      <c r="E888" s="539"/>
      <c r="F888" s="539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2"/>
      <c r="AE888" s="122"/>
      <c r="AF888" s="122"/>
      <c r="AG888" s="122"/>
      <c r="AH888" s="122"/>
      <c r="AI888" s="122"/>
      <c r="AJ888" s="122"/>
      <c r="AK888" s="122"/>
      <c r="AL888" s="122"/>
      <c r="AM888" s="122"/>
      <c r="AN888" s="122"/>
      <c r="AO888" s="122"/>
      <c r="AP888" s="428"/>
    </row>
    <row r="889" hidden="1">
      <c r="A889" s="428"/>
      <c r="B889" s="428"/>
      <c r="C889" s="122"/>
      <c r="D889" s="558"/>
      <c r="E889" s="539"/>
      <c r="F889" s="539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2"/>
      <c r="AE889" s="122"/>
      <c r="AF889" s="122"/>
      <c r="AG889" s="122"/>
      <c r="AH889" s="122"/>
      <c r="AI889" s="122"/>
      <c r="AJ889" s="122"/>
      <c r="AK889" s="122"/>
      <c r="AL889" s="122"/>
      <c r="AM889" s="122"/>
      <c r="AN889" s="122"/>
      <c r="AO889" s="122"/>
      <c r="AP889" s="428"/>
    </row>
    <row r="890" hidden="1">
      <c r="A890" s="428"/>
      <c r="B890" s="428"/>
      <c r="C890" s="122"/>
      <c r="D890" s="558"/>
      <c r="E890" s="539"/>
      <c r="F890" s="539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2"/>
      <c r="AE890" s="122"/>
      <c r="AF890" s="122"/>
      <c r="AG890" s="122"/>
      <c r="AH890" s="122"/>
      <c r="AI890" s="122"/>
      <c r="AJ890" s="122"/>
      <c r="AK890" s="122"/>
      <c r="AL890" s="122"/>
      <c r="AM890" s="122"/>
      <c r="AN890" s="122"/>
      <c r="AO890" s="122"/>
      <c r="AP890" s="428"/>
    </row>
    <row r="891" hidden="1">
      <c r="A891" s="428"/>
      <c r="B891" s="428"/>
      <c r="C891" s="122"/>
      <c r="D891" s="558"/>
      <c r="E891" s="539"/>
      <c r="F891" s="539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2"/>
      <c r="AE891" s="122"/>
      <c r="AF891" s="122"/>
      <c r="AG891" s="122"/>
      <c r="AH891" s="122"/>
      <c r="AI891" s="122"/>
      <c r="AJ891" s="122"/>
      <c r="AK891" s="122"/>
      <c r="AL891" s="122"/>
      <c r="AM891" s="122"/>
      <c r="AN891" s="122"/>
      <c r="AO891" s="122"/>
      <c r="AP891" s="428"/>
    </row>
    <row r="892" hidden="1">
      <c r="A892" s="428"/>
      <c r="B892" s="428"/>
      <c r="C892" s="122"/>
      <c r="D892" s="558"/>
      <c r="E892" s="539"/>
      <c r="F892" s="539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2"/>
      <c r="AE892" s="122"/>
      <c r="AF892" s="122"/>
      <c r="AG892" s="122"/>
      <c r="AH892" s="122"/>
      <c r="AI892" s="122"/>
      <c r="AJ892" s="122"/>
      <c r="AK892" s="122"/>
      <c r="AL892" s="122"/>
      <c r="AM892" s="122"/>
      <c r="AN892" s="122"/>
      <c r="AO892" s="122"/>
      <c r="AP892" s="428"/>
    </row>
    <row r="893" hidden="1">
      <c r="A893" s="428"/>
      <c r="B893" s="428"/>
      <c r="C893" s="122"/>
      <c r="D893" s="558"/>
      <c r="E893" s="539"/>
      <c r="F893" s="539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2"/>
      <c r="AE893" s="122"/>
      <c r="AF893" s="122"/>
      <c r="AG893" s="122"/>
      <c r="AH893" s="122"/>
      <c r="AI893" s="122"/>
      <c r="AJ893" s="122"/>
      <c r="AK893" s="122"/>
      <c r="AL893" s="122"/>
      <c r="AM893" s="122"/>
      <c r="AN893" s="122"/>
      <c r="AO893" s="122"/>
      <c r="AP893" s="428"/>
    </row>
    <row r="894" hidden="1">
      <c r="A894" s="428"/>
      <c r="B894" s="428"/>
      <c r="C894" s="122"/>
      <c r="D894" s="558"/>
      <c r="E894" s="539"/>
      <c r="F894" s="539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2"/>
      <c r="AE894" s="122"/>
      <c r="AF894" s="122"/>
      <c r="AG894" s="122"/>
      <c r="AH894" s="122"/>
      <c r="AI894" s="122"/>
      <c r="AJ894" s="122"/>
      <c r="AK894" s="122"/>
      <c r="AL894" s="122"/>
      <c r="AM894" s="122"/>
      <c r="AN894" s="122"/>
      <c r="AO894" s="122"/>
      <c r="AP894" s="428"/>
    </row>
    <row r="895" hidden="1">
      <c r="A895" s="428"/>
      <c r="B895" s="428"/>
      <c r="C895" s="122"/>
      <c r="D895" s="558"/>
      <c r="E895" s="539"/>
      <c r="F895" s="539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2"/>
      <c r="AE895" s="122"/>
      <c r="AF895" s="122"/>
      <c r="AG895" s="122"/>
      <c r="AH895" s="122"/>
      <c r="AI895" s="122"/>
      <c r="AJ895" s="122"/>
      <c r="AK895" s="122"/>
      <c r="AL895" s="122"/>
      <c r="AM895" s="122"/>
      <c r="AN895" s="122"/>
      <c r="AO895" s="122"/>
      <c r="AP895" s="428"/>
    </row>
    <row r="896" hidden="1">
      <c r="A896" s="428"/>
      <c r="B896" s="428"/>
      <c r="C896" s="122"/>
      <c r="D896" s="558"/>
      <c r="E896" s="539"/>
      <c r="F896" s="539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2"/>
      <c r="AE896" s="122"/>
      <c r="AF896" s="122"/>
      <c r="AG896" s="122"/>
      <c r="AH896" s="122"/>
      <c r="AI896" s="122"/>
      <c r="AJ896" s="122"/>
      <c r="AK896" s="122"/>
      <c r="AL896" s="122"/>
      <c r="AM896" s="122"/>
      <c r="AN896" s="122"/>
      <c r="AO896" s="122"/>
      <c r="AP896" s="428"/>
    </row>
    <row r="897" hidden="1">
      <c r="A897" s="428"/>
      <c r="B897" s="428"/>
      <c r="C897" s="122"/>
      <c r="D897" s="558"/>
      <c r="E897" s="539"/>
      <c r="F897" s="539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2"/>
      <c r="AE897" s="122"/>
      <c r="AF897" s="122"/>
      <c r="AG897" s="122"/>
      <c r="AH897" s="122"/>
      <c r="AI897" s="122"/>
      <c r="AJ897" s="122"/>
      <c r="AK897" s="122"/>
      <c r="AL897" s="122"/>
      <c r="AM897" s="122"/>
      <c r="AN897" s="122"/>
      <c r="AO897" s="122"/>
      <c r="AP897" s="428"/>
    </row>
    <row r="898" hidden="1">
      <c r="A898" s="428"/>
      <c r="B898" s="428"/>
      <c r="C898" s="122"/>
      <c r="D898" s="558"/>
      <c r="E898" s="539"/>
      <c r="F898" s="539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2"/>
      <c r="AE898" s="122"/>
      <c r="AF898" s="122"/>
      <c r="AG898" s="122"/>
      <c r="AH898" s="122"/>
      <c r="AI898" s="122"/>
      <c r="AJ898" s="122"/>
      <c r="AK898" s="122"/>
      <c r="AL898" s="122"/>
      <c r="AM898" s="122"/>
      <c r="AN898" s="122"/>
      <c r="AO898" s="122"/>
      <c r="AP898" s="428"/>
    </row>
    <row r="899" hidden="1">
      <c r="A899" s="428"/>
      <c r="B899" s="428"/>
      <c r="C899" s="122"/>
      <c r="D899" s="558"/>
      <c r="E899" s="539"/>
      <c r="F899" s="539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2"/>
      <c r="AE899" s="122"/>
      <c r="AF899" s="122"/>
      <c r="AG899" s="122"/>
      <c r="AH899" s="122"/>
      <c r="AI899" s="122"/>
      <c r="AJ899" s="122"/>
      <c r="AK899" s="122"/>
      <c r="AL899" s="122"/>
      <c r="AM899" s="122"/>
      <c r="AN899" s="122"/>
      <c r="AO899" s="122"/>
      <c r="AP899" s="428"/>
    </row>
    <row r="900" hidden="1">
      <c r="A900" s="428"/>
      <c r="B900" s="428"/>
      <c r="C900" s="122"/>
      <c r="D900" s="558"/>
      <c r="E900" s="539"/>
      <c r="F900" s="539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2"/>
      <c r="AE900" s="122"/>
      <c r="AF900" s="122"/>
      <c r="AG900" s="122"/>
      <c r="AH900" s="122"/>
      <c r="AI900" s="122"/>
      <c r="AJ900" s="122"/>
      <c r="AK900" s="122"/>
      <c r="AL900" s="122"/>
      <c r="AM900" s="122"/>
      <c r="AN900" s="122"/>
      <c r="AO900" s="122"/>
      <c r="AP900" s="428"/>
    </row>
    <row r="901" hidden="1">
      <c r="A901" s="428"/>
      <c r="B901" s="428"/>
      <c r="C901" s="122"/>
      <c r="D901" s="558"/>
      <c r="E901" s="539"/>
      <c r="F901" s="539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2"/>
      <c r="AE901" s="122"/>
      <c r="AF901" s="122"/>
      <c r="AG901" s="122"/>
      <c r="AH901" s="122"/>
      <c r="AI901" s="122"/>
      <c r="AJ901" s="122"/>
      <c r="AK901" s="122"/>
      <c r="AL901" s="122"/>
      <c r="AM901" s="122"/>
      <c r="AN901" s="122"/>
      <c r="AO901" s="122"/>
      <c r="AP901" s="428"/>
    </row>
    <row r="902" hidden="1">
      <c r="A902" s="428"/>
      <c r="B902" s="428"/>
      <c r="C902" s="122"/>
      <c r="D902" s="558"/>
      <c r="E902" s="539"/>
      <c r="F902" s="539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2"/>
      <c r="AE902" s="122"/>
      <c r="AF902" s="122"/>
      <c r="AG902" s="122"/>
      <c r="AH902" s="122"/>
      <c r="AI902" s="122"/>
      <c r="AJ902" s="122"/>
      <c r="AK902" s="122"/>
      <c r="AL902" s="122"/>
      <c r="AM902" s="122"/>
      <c r="AN902" s="122"/>
      <c r="AO902" s="122"/>
      <c r="AP902" s="428"/>
    </row>
    <row r="903" hidden="1">
      <c r="A903" s="428"/>
      <c r="B903" s="428"/>
      <c r="C903" s="122"/>
      <c r="D903" s="558"/>
      <c r="E903" s="539"/>
      <c r="F903" s="539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2"/>
      <c r="AE903" s="122"/>
      <c r="AF903" s="122"/>
      <c r="AG903" s="122"/>
      <c r="AH903" s="122"/>
      <c r="AI903" s="122"/>
      <c r="AJ903" s="122"/>
      <c r="AK903" s="122"/>
      <c r="AL903" s="122"/>
      <c r="AM903" s="122"/>
      <c r="AN903" s="122"/>
      <c r="AO903" s="122"/>
      <c r="AP903" s="428"/>
    </row>
    <row r="904" hidden="1">
      <c r="A904" s="428"/>
      <c r="B904" s="428"/>
      <c r="C904" s="122"/>
      <c r="D904" s="558"/>
      <c r="E904" s="539"/>
      <c r="F904" s="539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2"/>
      <c r="AE904" s="122"/>
      <c r="AF904" s="122"/>
      <c r="AG904" s="122"/>
      <c r="AH904" s="122"/>
      <c r="AI904" s="122"/>
      <c r="AJ904" s="122"/>
      <c r="AK904" s="122"/>
      <c r="AL904" s="122"/>
      <c r="AM904" s="122"/>
      <c r="AN904" s="122"/>
      <c r="AO904" s="122"/>
      <c r="AP904" s="428"/>
    </row>
    <row r="905" hidden="1">
      <c r="A905" s="428"/>
      <c r="B905" s="428"/>
      <c r="C905" s="122"/>
      <c r="D905" s="558"/>
      <c r="E905" s="539"/>
      <c r="F905" s="539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2"/>
      <c r="AE905" s="122"/>
      <c r="AF905" s="122"/>
      <c r="AG905" s="122"/>
      <c r="AH905" s="122"/>
      <c r="AI905" s="122"/>
      <c r="AJ905" s="122"/>
      <c r="AK905" s="122"/>
      <c r="AL905" s="122"/>
      <c r="AM905" s="122"/>
      <c r="AN905" s="122"/>
      <c r="AO905" s="122"/>
      <c r="AP905" s="428"/>
    </row>
    <row r="906" hidden="1">
      <c r="A906" s="428"/>
      <c r="B906" s="428"/>
      <c r="C906" s="122"/>
      <c r="D906" s="558"/>
      <c r="E906" s="539"/>
      <c r="F906" s="539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2"/>
      <c r="AE906" s="122"/>
      <c r="AF906" s="122"/>
      <c r="AG906" s="122"/>
      <c r="AH906" s="122"/>
      <c r="AI906" s="122"/>
      <c r="AJ906" s="122"/>
      <c r="AK906" s="122"/>
      <c r="AL906" s="122"/>
      <c r="AM906" s="122"/>
      <c r="AN906" s="122"/>
      <c r="AO906" s="122"/>
      <c r="AP906" s="428"/>
    </row>
    <row r="907" hidden="1">
      <c r="A907" s="428"/>
      <c r="B907" s="428"/>
      <c r="C907" s="122"/>
      <c r="D907" s="558"/>
      <c r="E907" s="539"/>
      <c r="F907" s="539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2"/>
      <c r="AE907" s="122"/>
      <c r="AF907" s="122"/>
      <c r="AG907" s="122"/>
      <c r="AH907" s="122"/>
      <c r="AI907" s="122"/>
      <c r="AJ907" s="122"/>
      <c r="AK907" s="122"/>
      <c r="AL907" s="122"/>
      <c r="AM907" s="122"/>
      <c r="AN907" s="122"/>
      <c r="AO907" s="122"/>
      <c r="AP907" s="428"/>
    </row>
    <row r="908" hidden="1">
      <c r="A908" s="428"/>
      <c r="B908" s="428"/>
      <c r="C908" s="122"/>
      <c r="D908" s="558"/>
      <c r="E908" s="539"/>
      <c r="F908" s="539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2"/>
      <c r="AE908" s="122"/>
      <c r="AF908" s="122"/>
      <c r="AG908" s="122"/>
      <c r="AH908" s="122"/>
      <c r="AI908" s="122"/>
      <c r="AJ908" s="122"/>
      <c r="AK908" s="122"/>
      <c r="AL908" s="122"/>
      <c r="AM908" s="122"/>
      <c r="AN908" s="122"/>
      <c r="AO908" s="122"/>
      <c r="AP908" s="428"/>
    </row>
    <row r="909" hidden="1">
      <c r="A909" s="428"/>
      <c r="B909" s="428"/>
      <c r="C909" s="122"/>
      <c r="D909" s="558"/>
      <c r="E909" s="539"/>
      <c r="F909" s="539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2"/>
      <c r="AE909" s="122"/>
      <c r="AF909" s="122"/>
      <c r="AG909" s="122"/>
      <c r="AH909" s="122"/>
      <c r="AI909" s="122"/>
      <c r="AJ909" s="122"/>
      <c r="AK909" s="122"/>
      <c r="AL909" s="122"/>
      <c r="AM909" s="122"/>
      <c r="AN909" s="122"/>
      <c r="AO909" s="122"/>
      <c r="AP909" s="428"/>
    </row>
    <row r="910" hidden="1">
      <c r="A910" s="428"/>
      <c r="B910" s="428"/>
      <c r="C910" s="122"/>
      <c r="D910" s="558"/>
      <c r="E910" s="539"/>
      <c r="F910" s="539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2"/>
      <c r="AE910" s="122"/>
      <c r="AF910" s="122"/>
      <c r="AG910" s="122"/>
      <c r="AH910" s="122"/>
      <c r="AI910" s="122"/>
      <c r="AJ910" s="122"/>
      <c r="AK910" s="122"/>
      <c r="AL910" s="122"/>
      <c r="AM910" s="122"/>
      <c r="AN910" s="122"/>
      <c r="AO910" s="122"/>
      <c r="AP910" s="428"/>
    </row>
    <row r="911" hidden="1">
      <c r="A911" s="428"/>
      <c r="B911" s="428"/>
      <c r="C911" s="122"/>
      <c r="D911" s="558"/>
      <c r="E911" s="539"/>
      <c r="F911" s="539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2"/>
      <c r="AE911" s="122"/>
      <c r="AF911" s="122"/>
      <c r="AG911" s="122"/>
      <c r="AH911" s="122"/>
      <c r="AI911" s="122"/>
      <c r="AJ911" s="122"/>
      <c r="AK911" s="122"/>
      <c r="AL911" s="122"/>
      <c r="AM911" s="122"/>
      <c r="AN911" s="122"/>
      <c r="AO911" s="122"/>
      <c r="AP911" s="428"/>
    </row>
    <row r="912" hidden="1">
      <c r="A912" s="428"/>
      <c r="B912" s="428"/>
      <c r="C912" s="122"/>
      <c r="D912" s="558"/>
      <c r="E912" s="539"/>
      <c r="F912" s="539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2"/>
      <c r="AE912" s="122"/>
      <c r="AF912" s="122"/>
      <c r="AG912" s="122"/>
      <c r="AH912" s="122"/>
      <c r="AI912" s="122"/>
      <c r="AJ912" s="122"/>
      <c r="AK912" s="122"/>
      <c r="AL912" s="122"/>
      <c r="AM912" s="122"/>
      <c r="AN912" s="122"/>
      <c r="AO912" s="122"/>
      <c r="AP912" s="428"/>
    </row>
    <row r="913" hidden="1">
      <c r="A913" s="428"/>
      <c r="B913" s="428"/>
      <c r="C913" s="122"/>
      <c r="D913" s="558"/>
      <c r="E913" s="539"/>
      <c r="F913" s="539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2"/>
      <c r="AE913" s="122"/>
      <c r="AF913" s="122"/>
      <c r="AG913" s="122"/>
      <c r="AH913" s="122"/>
      <c r="AI913" s="122"/>
      <c r="AJ913" s="122"/>
      <c r="AK913" s="122"/>
      <c r="AL913" s="122"/>
      <c r="AM913" s="122"/>
      <c r="AN913" s="122"/>
      <c r="AO913" s="122"/>
      <c r="AP913" s="428"/>
    </row>
    <row r="914" hidden="1">
      <c r="A914" s="428"/>
      <c r="B914" s="428"/>
      <c r="C914" s="122"/>
      <c r="D914" s="558"/>
      <c r="E914" s="539"/>
      <c r="F914" s="539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2"/>
      <c r="AE914" s="122"/>
      <c r="AF914" s="122"/>
      <c r="AG914" s="122"/>
      <c r="AH914" s="122"/>
      <c r="AI914" s="122"/>
      <c r="AJ914" s="122"/>
      <c r="AK914" s="122"/>
      <c r="AL914" s="122"/>
      <c r="AM914" s="122"/>
      <c r="AN914" s="122"/>
      <c r="AO914" s="122"/>
      <c r="AP914" s="428"/>
    </row>
    <row r="915" hidden="1">
      <c r="A915" s="428"/>
      <c r="B915" s="428"/>
      <c r="C915" s="122"/>
      <c r="D915" s="558"/>
      <c r="E915" s="539"/>
      <c r="F915" s="539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2"/>
      <c r="AE915" s="122"/>
      <c r="AF915" s="122"/>
      <c r="AG915" s="122"/>
      <c r="AH915" s="122"/>
      <c r="AI915" s="122"/>
      <c r="AJ915" s="122"/>
      <c r="AK915" s="122"/>
      <c r="AL915" s="122"/>
      <c r="AM915" s="122"/>
      <c r="AN915" s="122"/>
      <c r="AO915" s="122"/>
      <c r="AP915" s="428"/>
    </row>
    <row r="916" hidden="1">
      <c r="A916" s="428"/>
      <c r="B916" s="428"/>
      <c r="C916" s="122"/>
      <c r="D916" s="558"/>
      <c r="E916" s="539"/>
      <c r="F916" s="539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2"/>
      <c r="AE916" s="122"/>
      <c r="AF916" s="122"/>
      <c r="AG916" s="122"/>
      <c r="AH916" s="122"/>
      <c r="AI916" s="122"/>
      <c r="AJ916" s="122"/>
      <c r="AK916" s="122"/>
      <c r="AL916" s="122"/>
      <c r="AM916" s="122"/>
      <c r="AN916" s="122"/>
      <c r="AO916" s="122"/>
      <c r="AP916" s="428"/>
    </row>
    <row r="917" hidden="1">
      <c r="A917" s="428"/>
      <c r="B917" s="428"/>
      <c r="C917" s="122"/>
      <c r="D917" s="558"/>
      <c r="E917" s="539"/>
      <c r="F917" s="539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2"/>
      <c r="AE917" s="122"/>
      <c r="AF917" s="122"/>
      <c r="AG917" s="122"/>
      <c r="AH917" s="122"/>
      <c r="AI917" s="122"/>
      <c r="AJ917" s="122"/>
      <c r="AK917" s="122"/>
      <c r="AL917" s="122"/>
      <c r="AM917" s="122"/>
      <c r="AN917" s="122"/>
      <c r="AO917" s="122"/>
      <c r="AP917" s="428"/>
    </row>
    <row r="918" hidden="1">
      <c r="A918" s="428"/>
      <c r="B918" s="428"/>
      <c r="C918" s="122"/>
      <c r="D918" s="558"/>
      <c r="E918" s="539"/>
      <c r="F918" s="539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2"/>
      <c r="AE918" s="122"/>
      <c r="AF918" s="122"/>
      <c r="AG918" s="122"/>
      <c r="AH918" s="122"/>
      <c r="AI918" s="122"/>
      <c r="AJ918" s="122"/>
      <c r="AK918" s="122"/>
      <c r="AL918" s="122"/>
      <c r="AM918" s="122"/>
      <c r="AN918" s="122"/>
      <c r="AO918" s="122"/>
      <c r="AP918" s="428"/>
    </row>
    <row r="919" hidden="1">
      <c r="A919" s="428"/>
      <c r="B919" s="428"/>
      <c r="C919" s="122"/>
      <c r="D919" s="558"/>
      <c r="E919" s="539"/>
      <c r="F919" s="539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2"/>
      <c r="AE919" s="122"/>
      <c r="AF919" s="122"/>
      <c r="AG919" s="122"/>
      <c r="AH919" s="122"/>
      <c r="AI919" s="122"/>
      <c r="AJ919" s="122"/>
      <c r="AK919" s="122"/>
      <c r="AL919" s="122"/>
      <c r="AM919" s="122"/>
      <c r="AN919" s="122"/>
      <c r="AO919" s="122"/>
      <c r="AP919" s="428"/>
    </row>
    <row r="920" hidden="1">
      <c r="A920" s="428"/>
      <c r="B920" s="428"/>
      <c r="C920" s="122"/>
      <c r="D920" s="558"/>
      <c r="E920" s="539"/>
      <c r="F920" s="539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  <c r="AJ920" s="122"/>
      <c r="AK920" s="122"/>
      <c r="AL920" s="122"/>
      <c r="AM920" s="122"/>
      <c r="AN920" s="122"/>
      <c r="AO920" s="122"/>
      <c r="AP920" s="428"/>
    </row>
    <row r="921" hidden="1">
      <c r="A921" s="428"/>
      <c r="B921" s="428"/>
      <c r="C921" s="122"/>
      <c r="D921" s="558"/>
      <c r="E921" s="539"/>
      <c r="F921" s="539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2"/>
      <c r="AE921" s="122"/>
      <c r="AF921" s="122"/>
      <c r="AG921" s="122"/>
      <c r="AH921" s="122"/>
      <c r="AI921" s="122"/>
      <c r="AJ921" s="122"/>
      <c r="AK921" s="122"/>
      <c r="AL921" s="122"/>
      <c r="AM921" s="122"/>
      <c r="AN921" s="122"/>
      <c r="AO921" s="122"/>
      <c r="AP921" s="428"/>
    </row>
    <row r="922" hidden="1">
      <c r="A922" s="428"/>
      <c r="B922" s="428"/>
      <c r="C922" s="122"/>
      <c r="D922" s="558"/>
      <c r="E922" s="539"/>
      <c r="F922" s="539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2"/>
      <c r="AE922" s="122"/>
      <c r="AF922" s="122"/>
      <c r="AG922" s="122"/>
      <c r="AH922" s="122"/>
      <c r="AI922" s="122"/>
      <c r="AJ922" s="122"/>
      <c r="AK922" s="122"/>
      <c r="AL922" s="122"/>
      <c r="AM922" s="122"/>
      <c r="AN922" s="122"/>
      <c r="AO922" s="122"/>
      <c r="AP922" s="428"/>
    </row>
    <row r="923" hidden="1">
      <c r="A923" s="428"/>
      <c r="B923" s="428"/>
      <c r="C923" s="122"/>
      <c r="D923" s="558"/>
      <c r="E923" s="539"/>
      <c r="F923" s="539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2"/>
      <c r="AE923" s="122"/>
      <c r="AF923" s="122"/>
      <c r="AG923" s="122"/>
      <c r="AH923" s="122"/>
      <c r="AI923" s="122"/>
      <c r="AJ923" s="122"/>
      <c r="AK923" s="122"/>
      <c r="AL923" s="122"/>
      <c r="AM923" s="122"/>
      <c r="AN923" s="122"/>
      <c r="AO923" s="122"/>
      <c r="AP923" s="428"/>
    </row>
    <row r="924" hidden="1">
      <c r="A924" s="428"/>
      <c r="B924" s="428"/>
      <c r="C924" s="122"/>
      <c r="D924" s="558"/>
      <c r="E924" s="539"/>
      <c r="F924" s="539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2"/>
      <c r="AE924" s="122"/>
      <c r="AF924" s="122"/>
      <c r="AG924" s="122"/>
      <c r="AH924" s="122"/>
      <c r="AI924" s="122"/>
      <c r="AJ924" s="122"/>
      <c r="AK924" s="122"/>
      <c r="AL924" s="122"/>
      <c r="AM924" s="122"/>
      <c r="AN924" s="122"/>
      <c r="AO924" s="122"/>
      <c r="AP924" s="428"/>
    </row>
    <row r="925" hidden="1">
      <c r="A925" s="428"/>
      <c r="B925" s="428"/>
      <c r="C925" s="122"/>
      <c r="D925" s="558"/>
      <c r="E925" s="539"/>
      <c r="F925" s="539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2"/>
      <c r="AE925" s="122"/>
      <c r="AF925" s="122"/>
      <c r="AG925" s="122"/>
      <c r="AH925" s="122"/>
      <c r="AI925" s="122"/>
      <c r="AJ925" s="122"/>
      <c r="AK925" s="122"/>
      <c r="AL925" s="122"/>
      <c r="AM925" s="122"/>
      <c r="AN925" s="122"/>
      <c r="AO925" s="122"/>
      <c r="AP925" s="428"/>
    </row>
    <row r="926" hidden="1">
      <c r="A926" s="428"/>
      <c r="B926" s="428"/>
      <c r="C926" s="122"/>
      <c r="D926" s="558"/>
      <c r="E926" s="539"/>
      <c r="F926" s="539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2"/>
      <c r="AE926" s="122"/>
      <c r="AF926" s="122"/>
      <c r="AG926" s="122"/>
      <c r="AH926" s="122"/>
      <c r="AI926" s="122"/>
      <c r="AJ926" s="122"/>
      <c r="AK926" s="122"/>
      <c r="AL926" s="122"/>
      <c r="AM926" s="122"/>
      <c r="AN926" s="122"/>
      <c r="AO926" s="122"/>
      <c r="AP926" s="428"/>
    </row>
    <row r="927" hidden="1">
      <c r="A927" s="428"/>
      <c r="B927" s="428"/>
      <c r="C927" s="122"/>
      <c r="D927" s="558"/>
      <c r="E927" s="539"/>
      <c r="F927" s="539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2"/>
      <c r="AE927" s="122"/>
      <c r="AF927" s="122"/>
      <c r="AG927" s="122"/>
      <c r="AH927" s="122"/>
      <c r="AI927" s="122"/>
      <c r="AJ927" s="122"/>
      <c r="AK927" s="122"/>
      <c r="AL927" s="122"/>
      <c r="AM927" s="122"/>
      <c r="AN927" s="122"/>
      <c r="AO927" s="122"/>
      <c r="AP927" s="428"/>
    </row>
    <row r="928" hidden="1">
      <c r="A928" s="428"/>
      <c r="B928" s="428"/>
      <c r="C928" s="122"/>
      <c r="D928" s="558"/>
      <c r="E928" s="539"/>
      <c r="F928" s="539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2"/>
      <c r="AE928" s="122"/>
      <c r="AF928" s="122"/>
      <c r="AG928" s="122"/>
      <c r="AH928" s="122"/>
      <c r="AI928" s="122"/>
      <c r="AJ928" s="122"/>
      <c r="AK928" s="122"/>
      <c r="AL928" s="122"/>
      <c r="AM928" s="122"/>
      <c r="AN928" s="122"/>
      <c r="AO928" s="122"/>
      <c r="AP928" s="428"/>
    </row>
    <row r="929" hidden="1">
      <c r="A929" s="428"/>
      <c r="B929" s="428"/>
      <c r="C929" s="122"/>
      <c r="D929" s="558"/>
      <c r="E929" s="539"/>
      <c r="F929" s="539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2"/>
      <c r="AE929" s="122"/>
      <c r="AF929" s="122"/>
      <c r="AG929" s="122"/>
      <c r="AH929" s="122"/>
      <c r="AI929" s="122"/>
      <c r="AJ929" s="122"/>
      <c r="AK929" s="122"/>
      <c r="AL929" s="122"/>
      <c r="AM929" s="122"/>
      <c r="AN929" s="122"/>
      <c r="AO929" s="122"/>
      <c r="AP929" s="428"/>
    </row>
    <row r="930" hidden="1">
      <c r="A930" s="428"/>
      <c r="B930" s="428"/>
      <c r="C930" s="122"/>
      <c r="D930" s="558"/>
      <c r="E930" s="539"/>
      <c r="F930" s="539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2"/>
      <c r="AE930" s="122"/>
      <c r="AF930" s="122"/>
      <c r="AG930" s="122"/>
      <c r="AH930" s="122"/>
      <c r="AI930" s="122"/>
      <c r="AJ930" s="122"/>
      <c r="AK930" s="122"/>
      <c r="AL930" s="122"/>
      <c r="AM930" s="122"/>
      <c r="AN930" s="122"/>
      <c r="AO930" s="122"/>
      <c r="AP930" s="428"/>
    </row>
    <row r="931" hidden="1">
      <c r="A931" s="428"/>
      <c r="B931" s="428"/>
      <c r="C931" s="122"/>
      <c r="D931" s="558"/>
      <c r="E931" s="539"/>
      <c r="F931" s="539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2"/>
      <c r="AE931" s="122"/>
      <c r="AF931" s="122"/>
      <c r="AG931" s="122"/>
      <c r="AH931" s="122"/>
      <c r="AI931" s="122"/>
      <c r="AJ931" s="122"/>
      <c r="AK931" s="122"/>
      <c r="AL931" s="122"/>
      <c r="AM931" s="122"/>
      <c r="AN931" s="122"/>
      <c r="AO931" s="122"/>
      <c r="AP931" s="428"/>
    </row>
    <row r="932" hidden="1">
      <c r="A932" s="428"/>
      <c r="B932" s="428"/>
      <c r="C932" s="122"/>
      <c r="D932" s="558"/>
      <c r="E932" s="539"/>
      <c r="F932" s="539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2"/>
      <c r="AE932" s="122"/>
      <c r="AF932" s="122"/>
      <c r="AG932" s="122"/>
      <c r="AH932" s="122"/>
      <c r="AI932" s="122"/>
      <c r="AJ932" s="122"/>
      <c r="AK932" s="122"/>
      <c r="AL932" s="122"/>
      <c r="AM932" s="122"/>
      <c r="AN932" s="122"/>
      <c r="AO932" s="122"/>
      <c r="AP932" s="428"/>
    </row>
    <row r="933" hidden="1">
      <c r="A933" s="428"/>
      <c r="B933" s="428"/>
      <c r="C933" s="122"/>
      <c r="D933" s="558"/>
      <c r="E933" s="539"/>
      <c r="F933" s="539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2"/>
      <c r="AE933" s="122"/>
      <c r="AF933" s="122"/>
      <c r="AG933" s="122"/>
      <c r="AH933" s="122"/>
      <c r="AI933" s="122"/>
      <c r="AJ933" s="122"/>
      <c r="AK933" s="122"/>
      <c r="AL933" s="122"/>
      <c r="AM933" s="122"/>
      <c r="AN933" s="122"/>
      <c r="AO933" s="122"/>
      <c r="AP933" s="428"/>
    </row>
    <row r="934" hidden="1">
      <c r="A934" s="428"/>
      <c r="B934" s="428"/>
      <c r="C934" s="122"/>
      <c r="D934" s="558"/>
      <c r="E934" s="539"/>
      <c r="F934" s="539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2"/>
      <c r="AE934" s="122"/>
      <c r="AF934" s="122"/>
      <c r="AG934" s="122"/>
      <c r="AH934" s="122"/>
      <c r="AI934" s="122"/>
      <c r="AJ934" s="122"/>
      <c r="AK934" s="122"/>
      <c r="AL934" s="122"/>
      <c r="AM934" s="122"/>
      <c r="AN934" s="122"/>
      <c r="AO934" s="122"/>
      <c r="AP934" s="428"/>
    </row>
    <row r="935" hidden="1">
      <c r="A935" s="428"/>
      <c r="B935" s="428"/>
      <c r="C935" s="122"/>
      <c r="D935" s="558"/>
      <c r="E935" s="539"/>
      <c r="F935" s="539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2"/>
      <c r="AE935" s="122"/>
      <c r="AF935" s="122"/>
      <c r="AG935" s="122"/>
      <c r="AH935" s="122"/>
      <c r="AI935" s="122"/>
      <c r="AJ935" s="122"/>
      <c r="AK935" s="122"/>
      <c r="AL935" s="122"/>
      <c r="AM935" s="122"/>
      <c r="AN935" s="122"/>
      <c r="AO935" s="122"/>
      <c r="AP935" s="428"/>
    </row>
    <row r="936" hidden="1">
      <c r="A936" s="428"/>
      <c r="B936" s="428"/>
      <c r="C936" s="122"/>
      <c r="D936" s="558"/>
      <c r="E936" s="539"/>
      <c r="F936" s="539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2"/>
      <c r="AE936" s="122"/>
      <c r="AF936" s="122"/>
      <c r="AG936" s="122"/>
      <c r="AH936" s="122"/>
      <c r="AI936" s="122"/>
      <c r="AJ936" s="122"/>
      <c r="AK936" s="122"/>
      <c r="AL936" s="122"/>
      <c r="AM936" s="122"/>
      <c r="AN936" s="122"/>
      <c r="AO936" s="122"/>
      <c r="AP936" s="428"/>
    </row>
    <row r="937" hidden="1">
      <c r="A937" s="428"/>
      <c r="B937" s="428"/>
      <c r="C937" s="122"/>
      <c r="D937" s="558"/>
      <c r="E937" s="539"/>
      <c r="F937" s="539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2"/>
      <c r="AE937" s="122"/>
      <c r="AF937" s="122"/>
      <c r="AG937" s="122"/>
      <c r="AH937" s="122"/>
      <c r="AI937" s="122"/>
      <c r="AJ937" s="122"/>
      <c r="AK937" s="122"/>
      <c r="AL937" s="122"/>
      <c r="AM937" s="122"/>
      <c r="AN937" s="122"/>
      <c r="AO937" s="122"/>
      <c r="AP937" s="428"/>
    </row>
    <row r="938" hidden="1">
      <c r="A938" s="428"/>
      <c r="B938" s="428"/>
      <c r="C938" s="122"/>
      <c r="D938" s="558"/>
      <c r="E938" s="539"/>
      <c r="F938" s="539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2"/>
      <c r="AE938" s="122"/>
      <c r="AF938" s="122"/>
      <c r="AG938" s="122"/>
      <c r="AH938" s="122"/>
      <c r="AI938" s="122"/>
      <c r="AJ938" s="122"/>
      <c r="AK938" s="122"/>
      <c r="AL938" s="122"/>
      <c r="AM938" s="122"/>
      <c r="AN938" s="122"/>
      <c r="AO938" s="122"/>
      <c r="AP938" s="428"/>
    </row>
    <row r="939" hidden="1">
      <c r="A939" s="428"/>
      <c r="B939" s="428"/>
      <c r="C939" s="122"/>
      <c r="D939" s="558"/>
      <c r="E939" s="539"/>
      <c r="F939" s="539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2"/>
      <c r="AE939" s="122"/>
      <c r="AF939" s="122"/>
      <c r="AG939" s="122"/>
      <c r="AH939" s="122"/>
      <c r="AI939" s="122"/>
      <c r="AJ939" s="122"/>
      <c r="AK939" s="122"/>
      <c r="AL939" s="122"/>
      <c r="AM939" s="122"/>
      <c r="AN939" s="122"/>
      <c r="AO939" s="122"/>
      <c r="AP939" s="428"/>
    </row>
    <row r="940" hidden="1">
      <c r="A940" s="428"/>
      <c r="B940" s="428"/>
      <c r="C940" s="122"/>
      <c r="D940" s="558"/>
      <c r="E940" s="539"/>
      <c r="F940" s="539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2"/>
      <c r="AE940" s="122"/>
      <c r="AF940" s="122"/>
      <c r="AG940" s="122"/>
      <c r="AH940" s="122"/>
      <c r="AI940" s="122"/>
      <c r="AJ940" s="122"/>
      <c r="AK940" s="122"/>
      <c r="AL940" s="122"/>
      <c r="AM940" s="122"/>
      <c r="AN940" s="122"/>
      <c r="AO940" s="122"/>
      <c r="AP940" s="428"/>
    </row>
    <row r="941" hidden="1">
      <c r="A941" s="428"/>
      <c r="B941" s="428"/>
      <c r="C941" s="122"/>
      <c r="D941" s="558"/>
      <c r="E941" s="539"/>
      <c r="F941" s="539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2"/>
      <c r="AE941" s="122"/>
      <c r="AF941" s="122"/>
      <c r="AG941" s="122"/>
      <c r="AH941" s="122"/>
      <c r="AI941" s="122"/>
      <c r="AJ941" s="122"/>
      <c r="AK941" s="122"/>
      <c r="AL941" s="122"/>
      <c r="AM941" s="122"/>
      <c r="AN941" s="122"/>
      <c r="AO941" s="122"/>
      <c r="AP941" s="428"/>
    </row>
    <row r="942" hidden="1">
      <c r="A942" s="428"/>
      <c r="B942" s="428"/>
      <c r="C942" s="122"/>
      <c r="D942" s="558"/>
      <c r="E942" s="539"/>
      <c r="F942" s="539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2"/>
      <c r="AE942" s="122"/>
      <c r="AF942" s="122"/>
      <c r="AG942" s="122"/>
      <c r="AH942" s="122"/>
      <c r="AI942" s="122"/>
      <c r="AJ942" s="122"/>
      <c r="AK942" s="122"/>
      <c r="AL942" s="122"/>
      <c r="AM942" s="122"/>
      <c r="AN942" s="122"/>
      <c r="AO942" s="122"/>
      <c r="AP942" s="428"/>
    </row>
    <row r="943" hidden="1">
      <c r="A943" s="428"/>
      <c r="B943" s="428"/>
      <c r="C943" s="122"/>
      <c r="D943" s="558"/>
      <c r="E943" s="539"/>
      <c r="F943" s="539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2"/>
      <c r="AE943" s="122"/>
      <c r="AF943" s="122"/>
      <c r="AG943" s="122"/>
      <c r="AH943" s="122"/>
      <c r="AI943" s="122"/>
      <c r="AJ943" s="122"/>
      <c r="AK943" s="122"/>
      <c r="AL943" s="122"/>
      <c r="AM943" s="122"/>
      <c r="AN943" s="122"/>
      <c r="AO943" s="122"/>
      <c r="AP943" s="428"/>
    </row>
    <row r="944" hidden="1">
      <c r="A944" s="428"/>
      <c r="B944" s="428"/>
      <c r="C944" s="122"/>
      <c r="D944" s="558"/>
      <c r="E944" s="539"/>
      <c r="F944" s="539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2"/>
      <c r="AE944" s="122"/>
      <c r="AF944" s="122"/>
      <c r="AG944" s="122"/>
      <c r="AH944" s="122"/>
      <c r="AI944" s="122"/>
      <c r="AJ944" s="122"/>
      <c r="AK944" s="122"/>
      <c r="AL944" s="122"/>
      <c r="AM944" s="122"/>
      <c r="AN944" s="122"/>
      <c r="AO944" s="122"/>
      <c r="AP944" s="428"/>
    </row>
    <row r="945" hidden="1">
      <c r="A945" s="428"/>
      <c r="B945" s="428"/>
      <c r="C945" s="122"/>
      <c r="D945" s="558"/>
      <c r="E945" s="539"/>
      <c r="F945" s="539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2"/>
      <c r="AE945" s="122"/>
      <c r="AF945" s="122"/>
      <c r="AG945" s="122"/>
      <c r="AH945" s="122"/>
      <c r="AI945" s="122"/>
      <c r="AJ945" s="122"/>
      <c r="AK945" s="122"/>
      <c r="AL945" s="122"/>
      <c r="AM945" s="122"/>
      <c r="AN945" s="122"/>
      <c r="AO945" s="122"/>
      <c r="AP945" s="428"/>
    </row>
    <row r="946" hidden="1">
      <c r="A946" s="428"/>
      <c r="B946" s="428"/>
      <c r="C946" s="122"/>
      <c r="D946" s="558"/>
      <c r="E946" s="539"/>
      <c r="F946" s="539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2"/>
      <c r="AE946" s="122"/>
      <c r="AF946" s="122"/>
      <c r="AG946" s="122"/>
      <c r="AH946" s="122"/>
      <c r="AI946" s="122"/>
      <c r="AJ946" s="122"/>
      <c r="AK946" s="122"/>
      <c r="AL946" s="122"/>
      <c r="AM946" s="122"/>
      <c r="AN946" s="122"/>
      <c r="AO946" s="122"/>
      <c r="AP946" s="428"/>
    </row>
    <row r="947" hidden="1">
      <c r="A947" s="428"/>
      <c r="B947" s="428"/>
      <c r="C947" s="122"/>
      <c r="D947" s="558"/>
      <c r="E947" s="539"/>
      <c r="F947" s="539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2"/>
      <c r="AE947" s="122"/>
      <c r="AF947" s="122"/>
      <c r="AG947" s="122"/>
      <c r="AH947" s="122"/>
      <c r="AI947" s="122"/>
      <c r="AJ947" s="122"/>
      <c r="AK947" s="122"/>
      <c r="AL947" s="122"/>
      <c r="AM947" s="122"/>
      <c r="AN947" s="122"/>
      <c r="AO947" s="122"/>
      <c r="AP947" s="428"/>
    </row>
    <row r="948" hidden="1">
      <c r="A948" s="428"/>
      <c r="B948" s="428"/>
      <c r="C948" s="122"/>
      <c r="D948" s="558"/>
      <c r="E948" s="539"/>
      <c r="F948" s="539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2"/>
      <c r="AE948" s="122"/>
      <c r="AF948" s="122"/>
      <c r="AG948" s="122"/>
      <c r="AH948" s="122"/>
      <c r="AI948" s="122"/>
      <c r="AJ948" s="122"/>
      <c r="AK948" s="122"/>
      <c r="AL948" s="122"/>
      <c r="AM948" s="122"/>
      <c r="AN948" s="122"/>
      <c r="AO948" s="122"/>
      <c r="AP948" s="428"/>
    </row>
    <row r="949" hidden="1">
      <c r="A949" s="428"/>
      <c r="B949" s="428"/>
      <c r="C949" s="122"/>
      <c r="D949" s="558"/>
      <c r="E949" s="539"/>
      <c r="F949" s="539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2"/>
      <c r="AE949" s="122"/>
      <c r="AF949" s="122"/>
      <c r="AG949" s="122"/>
      <c r="AH949" s="122"/>
      <c r="AI949" s="122"/>
      <c r="AJ949" s="122"/>
      <c r="AK949" s="122"/>
      <c r="AL949" s="122"/>
      <c r="AM949" s="122"/>
      <c r="AN949" s="122"/>
      <c r="AO949" s="122"/>
      <c r="AP949" s="428"/>
    </row>
    <row r="950" hidden="1">
      <c r="A950" s="428"/>
      <c r="B950" s="428"/>
      <c r="C950" s="122"/>
      <c r="D950" s="558"/>
      <c r="E950" s="539"/>
      <c r="F950" s="539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2"/>
      <c r="AE950" s="122"/>
      <c r="AF950" s="122"/>
      <c r="AG950" s="122"/>
      <c r="AH950" s="122"/>
      <c r="AI950" s="122"/>
      <c r="AJ950" s="122"/>
      <c r="AK950" s="122"/>
      <c r="AL950" s="122"/>
      <c r="AM950" s="122"/>
      <c r="AN950" s="122"/>
      <c r="AO950" s="122"/>
      <c r="AP950" s="428"/>
    </row>
    <row r="951" hidden="1">
      <c r="A951" s="428"/>
      <c r="B951" s="428"/>
      <c r="C951" s="122"/>
      <c r="D951" s="558"/>
      <c r="E951" s="539"/>
      <c r="F951" s="539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2"/>
      <c r="AE951" s="122"/>
      <c r="AF951" s="122"/>
      <c r="AG951" s="122"/>
      <c r="AH951" s="122"/>
      <c r="AI951" s="122"/>
      <c r="AJ951" s="122"/>
      <c r="AK951" s="122"/>
      <c r="AL951" s="122"/>
      <c r="AM951" s="122"/>
      <c r="AN951" s="122"/>
      <c r="AO951" s="122"/>
      <c r="AP951" s="428"/>
    </row>
    <row r="952" hidden="1">
      <c r="A952" s="428"/>
      <c r="B952" s="428"/>
      <c r="C952" s="122"/>
      <c r="D952" s="558"/>
      <c r="E952" s="539"/>
      <c r="F952" s="539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2"/>
      <c r="AE952" s="122"/>
      <c r="AF952" s="122"/>
      <c r="AG952" s="122"/>
      <c r="AH952" s="122"/>
      <c r="AI952" s="122"/>
      <c r="AJ952" s="122"/>
      <c r="AK952" s="122"/>
      <c r="AL952" s="122"/>
      <c r="AM952" s="122"/>
      <c r="AN952" s="122"/>
      <c r="AO952" s="122"/>
      <c r="AP952" s="428"/>
    </row>
    <row r="953" hidden="1">
      <c r="A953" s="428"/>
      <c r="B953" s="428"/>
      <c r="C953" s="122"/>
      <c r="D953" s="558"/>
      <c r="E953" s="539"/>
      <c r="F953" s="539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2"/>
      <c r="AE953" s="122"/>
      <c r="AF953" s="122"/>
      <c r="AG953" s="122"/>
      <c r="AH953" s="122"/>
      <c r="AI953" s="122"/>
      <c r="AJ953" s="122"/>
      <c r="AK953" s="122"/>
      <c r="AL953" s="122"/>
      <c r="AM953" s="122"/>
      <c r="AN953" s="122"/>
      <c r="AO953" s="122"/>
      <c r="AP953" s="428"/>
    </row>
    <row r="954" hidden="1">
      <c r="A954" s="428"/>
      <c r="B954" s="428"/>
      <c r="C954" s="122"/>
      <c r="D954" s="558"/>
      <c r="E954" s="539"/>
      <c r="F954" s="539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2"/>
      <c r="AE954" s="122"/>
      <c r="AF954" s="122"/>
      <c r="AG954" s="122"/>
      <c r="AH954" s="122"/>
      <c r="AI954" s="122"/>
      <c r="AJ954" s="122"/>
      <c r="AK954" s="122"/>
      <c r="AL954" s="122"/>
      <c r="AM954" s="122"/>
      <c r="AN954" s="122"/>
      <c r="AO954" s="122"/>
      <c r="AP954" s="428"/>
    </row>
    <row r="955" hidden="1">
      <c r="A955" s="428"/>
      <c r="B955" s="428"/>
      <c r="C955" s="122"/>
      <c r="D955" s="558"/>
      <c r="E955" s="539"/>
      <c r="F955" s="539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2"/>
      <c r="AE955" s="122"/>
      <c r="AF955" s="122"/>
      <c r="AG955" s="122"/>
      <c r="AH955" s="122"/>
      <c r="AI955" s="122"/>
      <c r="AJ955" s="122"/>
      <c r="AK955" s="122"/>
      <c r="AL955" s="122"/>
      <c r="AM955" s="122"/>
      <c r="AN955" s="122"/>
      <c r="AO955" s="122"/>
      <c r="AP955" s="428"/>
    </row>
    <row r="956" hidden="1">
      <c r="A956" s="428"/>
      <c r="B956" s="428"/>
      <c r="C956" s="122"/>
      <c r="D956" s="558"/>
      <c r="E956" s="539"/>
      <c r="F956" s="539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2"/>
      <c r="AE956" s="122"/>
      <c r="AF956" s="122"/>
      <c r="AG956" s="122"/>
      <c r="AH956" s="122"/>
      <c r="AI956" s="122"/>
      <c r="AJ956" s="122"/>
      <c r="AK956" s="122"/>
      <c r="AL956" s="122"/>
      <c r="AM956" s="122"/>
      <c r="AN956" s="122"/>
      <c r="AO956" s="122"/>
      <c r="AP956" s="428"/>
    </row>
    <row r="957" hidden="1">
      <c r="A957" s="428"/>
      <c r="B957" s="428"/>
      <c r="C957" s="122"/>
      <c r="D957" s="558"/>
      <c r="E957" s="539"/>
      <c r="F957" s="539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2"/>
      <c r="AE957" s="122"/>
      <c r="AF957" s="122"/>
      <c r="AG957" s="122"/>
      <c r="AH957" s="122"/>
      <c r="AI957" s="122"/>
      <c r="AJ957" s="122"/>
      <c r="AK957" s="122"/>
      <c r="AL957" s="122"/>
      <c r="AM957" s="122"/>
      <c r="AN957" s="122"/>
      <c r="AO957" s="122"/>
      <c r="AP957" s="428"/>
    </row>
    <row r="958" hidden="1">
      <c r="A958" s="428"/>
      <c r="B958" s="428"/>
      <c r="C958" s="122"/>
      <c r="D958" s="558"/>
      <c r="E958" s="539"/>
      <c r="F958" s="539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2"/>
      <c r="AE958" s="122"/>
      <c r="AF958" s="122"/>
      <c r="AG958" s="122"/>
      <c r="AH958" s="122"/>
      <c r="AI958" s="122"/>
      <c r="AJ958" s="122"/>
      <c r="AK958" s="122"/>
      <c r="AL958" s="122"/>
      <c r="AM958" s="122"/>
      <c r="AN958" s="122"/>
      <c r="AO958" s="122"/>
      <c r="AP958" s="428"/>
    </row>
    <row r="959" hidden="1">
      <c r="A959" s="428"/>
      <c r="B959" s="428"/>
      <c r="C959" s="122"/>
      <c r="D959" s="558"/>
      <c r="E959" s="539"/>
      <c r="F959" s="539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2"/>
      <c r="AE959" s="122"/>
      <c r="AF959" s="122"/>
      <c r="AG959" s="122"/>
      <c r="AH959" s="122"/>
      <c r="AI959" s="122"/>
      <c r="AJ959" s="122"/>
      <c r="AK959" s="122"/>
      <c r="AL959" s="122"/>
      <c r="AM959" s="122"/>
      <c r="AN959" s="122"/>
      <c r="AO959" s="122"/>
      <c r="AP959" s="428"/>
    </row>
    <row r="960" hidden="1">
      <c r="A960" s="428"/>
      <c r="B960" s="428"/>
      <c r="C960" s="122"/>
      <c r="D960" s="558"/>
      <c r="E960" s="539"/>
      <c r="F960" s="539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2"/>
      <c r="AE960" s="122"/>
      <c r="AF960" s="122"/>
      <c r="AG960" s="122"/>
      <c r="AH960" s="122"/>
      <c r="AI960" s="122"/>
      <c r="AJ960" s="122"/>
      <c r="AK960" s="122"/>
      <c r="AL960" s="122"/>
      <c r="AM960" s="122"/>
      <c r="AN960" s="122"/>
      <c r="AO960" s="122"/>
      <c r="AP960" s="428"/>
    </row>
    <row r="961" hidden="1">
      <c r="A961" s="428"/>
      <c r="B961" s="428"/>
      <c r="C961" s="122"/>
      <c r="D961" s="558"/>
      <c r="E961" s="539"/>
      <c r="F961" s="539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2"/>
      <c r="AE961" s="122"/>
      <c r="AF961" s="122"/>
      <c r="AG961" s="122"/>
      <c r="AH961" s="122"/>
      <c r="AI961" s="122"/>
      <c r="AJ961" s="122"/>
      <c r="AK961" s="122"/>
      <c r="AL961" s="122"/>
      <c r="AM961" s="122"/>
      <c r="AN961" s="122"/>
      <c r="AO961" s="122"/>
      <c r="AP961" s="428"/>
    </row>
    <row r="962" hidden="1">
      <c r="A962" s="428"/>
      <c r="B962" s="428"/>
      <c r="C962" s="122"/>
      <c r="D962" s="558"/>
      <c r="E962" s="539"/>
      <c r="F962" s="539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2"/>
      <c r="AE962" s="122"/>
      <c r="AF962" s="122"/>
      <c r="AG962" s="122"/>
      <c r="AH962" s="122"/>
      <c r="AI962" s="122"/>
      <c r="AJ962" s="122"/>
      <c r="AK962" s="122"/>
      <c r="AL962" s="122"/>
      <c r="AM962" s="122"/>
      <c r="AN962" s="122"/>
      <c r="AO962" s="122"/>
      <c r="AP962" s="428"/>
    </row>
    <row r="963" hidden="1">
      <c r="A963" s="428"/>
      <c r="B963" s="428"/>
      <c r="C963" s="122"/>
      <c r="D963" s="558"/>
      <c r="E963" s="539"/>
      <c r="F963" s="539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2"/>
      <c r="AE963" s="122"/>
      <c r="AF963" s="122"/>
      <c r="AG963" s="122"/>
      <c r="AH963" s="122"/>
      <c r="AI963" s="122"/>
      <c r="AJ963" s="122"/>
      <c r="AK963" s="122"/>
      <c r="AL963" s="122"/>
      <c r="AM963" s="122"/>
      <c r="AN963" s="122"/>
      <c r="AO963" s="122"/>
      <c r="AP963" s="428"/>
    </row>
    <row r="964" hidden="1">
      <c r="A964" s="428"/>
      <c r="B964" s="428"/>
      <c r="C964" s="122"/>
      <c r="D964" s="558"/>
      <c r="E964" s="539"/>
      <c r="F964" s="539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2"/>
      <c r="AE964" s="122"/>
      <c r="AF964" s="122"/>
      <c r="AG964" s="122"/>
      <c r="AH964" s="122"/>
      <c r="AI964" s="122"/>
      <c r="AJ964" s="122"/>
      <c r="AK964" s="122"/>
      <c r="AL964" s="122"/>
      <c r="AM964" s="122"/>
      <c r="AN964" s="122"/>
      <c r="AO964" s="122"/>
      <c r="AP964" s="428"/>
    </row>
    <row r="965" hidden="1">
      <c r="A965" s="428"/>
      <c r="B965" s="428"/>
      <c r="C965" s="122"/>
      <c r="D965" s="558"/>
      <c r="E965" s="539"/>
      <c r="F965" s="539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2"/>
      <c r="AE965" s="122"/>
      <c r="AF965" s="122"/>
      <c r="AG965" s="122"/>
      <c r="AH965" s="122"/>
      <c r="AI965" s="122"/>
      <c r="AJ965" s="122"/>
      <c r="AK965" s="122"/>
      <c r="AL965" s="122"/>
      <c r="AM965" s="122"/>
      <c r="AN965" s="122"/>
      <c r="AO965" s="122"/>
      <c r="AP965" s="428"/>
    </row>
    <row r="966" hidden="1">
      <c r="A966" s="428"/>
      <c r="B966" s="428"/>
      <c r="C966" s="122"/>
      <c r="D966" s="558"/>
      <c r="E966" s="539"/>
      <c r="F966" s="539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2"/>
      <c r="AE966" s="122"/>
      <c r="AF966" s="122"/>
      <c r="AG966" s="122"/>
      <c r="AH966" s="122"/>
      <c r="AI966" s="122"/>
      <c r="AJ966" s="122"/>
      <c r="AK966" s="122"/>
      <c r="AL966" s="122"/>
      <c r="AM966" s="122"/>
      <c r="AN966" s="122"/>
      <c r="AO966" s="122"/>
      <c r="AP966" s="428"/>
    </row>
    <row r="967" hidden="1">
      <c r="A967" s="428"/>
      <c r="B967" s="428"/>
      <c r="C967" s="122"/>
      <c r="D967" s="558"/>
      <c r="E967" s="539"/>
      <c r="F967" s="539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2"/>
      <c r="AE967" s="122"/>
      <c r="AF967" s="122"/>
      <c r="AG967" s="122"/>
      <c r="AH967" s="122"/>
      <c r="AI967" s="122"/>
      <c r="AJ967" s="122"/>
      <c r="AK967" s="122"/>
      <c r="AL967" s="122"/>
      <c r="AM967" s="122"/>
      <c r="AN967" s="122"/>
      <c r="AO967" s="122"/>
      <c r="AP967" s="428"/>
    </row>
    <row r="968" hidden="1">
      <c r="A968" s="428"/>
      <c r="B968" s="428"/>
      <c r="C968" s="122"/>
      <c r="D968" s="558"/>
      <c r="E968" s="539"/>
      <c r="F968" s="539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2"/>
      <c r="AE968" s="122"/>
      <c r="AF968" s="122"/>
      <c r="AG968" s="122"/>
      <c r="AH968" s="122"/>
      <c r="AI968" s="122"/>
      <c r="AJ968" s="122"/>
      <c r="AK968" s="122"/>
      <c r="AL968" s="122"/>
      <c r="AM968" s="122"/>
      <c r="AN968" s="122"/>
      <c r="AO968" s="122"/>
      <c r="AP968" s="428"/>
    </row>
    <row r="969" hidden="1">
      <c r="A969" s="428"/>
      <c r="B969" s="428"/>
      <c r="C969" s="122"/>
      <c r="D969" s="558"/>
      <c r="E969" s="539"/>
      <c r="F969" s="539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2"/>
      <c r="AE969" s="122"/>
      <c r="AF969" s="122"/>
      <c r="AG969" s="122"/>
      <c r="AH969" s="122"/>
      <c r="AI969" s="122"/>
      <c r="AJ969" s="122"/>
      <c r="AK969" s="122"/>
      <c r="AL969" s="122"/>
      <c r="AM969" s="122"/>
      <c r="AN969" s="122"/>
      <c r="AO969" s="122"/>
      <c r="AP969" s="428"/>
    </row>
    <row r="970" hidden="1">
      <c r="A970" s="428"/>
      <c r="B970" s="428"/>
      <c r="C970" s="122"/>
      <c r="D970" s="558"/>
      <c r="E970" s="539"/>
      <c r="F970" s="539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2"/>
      <c r="AE970" s="122"/>
      <c r="AF970" s="122"/>
      <c r="AG970" s="122"/>
      <c r="AH970" s="122"/>
      <c r="AI970" s="122"/>
      <c r="AJ970" s="122"/>
      <c r="AK970" s="122"/>
      <c r="AL970" s="122"/>
      <c r="AM970" s="122"/>
      <c r="AN970" s="122"/>
      <c r="AO970" s="122"/>
      <c r="AP970" s="428"/>
    </row>
    <row r="971" hidden="1">
      <c r="A971" s="428"/>
      <c r="B971" s="428"/>
      <c r="C971" s="122"/>
      <c r="D971" s="558"/>
      <c r="E971" s="539"/>
      <c r="F971" s="539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2"/>
      <c r="AE971" s="122"/>
      <c r="AF971" s="122"/>
      <c r="AG971" s="122"/>
      <c r="AH971" s="122"/>
      <c r="AI971" s="122"/>
      <c r="AJ971" s="122"/>
      <c r="AK971" s="122"/>
      <c r="AL971" s="122"/>
      <c r="AM971" s="122"/>
      <c r="AN971" s="122"/>
      <c r="AO971" s="122"/>
      <c r="AP971" s="428"/>
    </row>
    <row r="972" hidden="1">
      <c r="A972" s="428"/>
      <c r="B972" s="428"/>
      <c r="C972" s="122"/>
      <c r="D972" s="558"/>
      <c r="E972" s="539"/>
      <c r="F972" s="539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2"/>
      <c r="AE972" s="122"/>
      <c r="AF972" s="122"/>
      <c r="AG972" s="122"/>
      <c r="AH972" s="122"/>
      <c r="AI972" s="122"/>
      <c r="AJ972" s="122"/>
      <c r="AK972" s="122"/>
      <c r="AL972" s="122"/>
      <c r="AM972" s="122"/>
      <c r="AN972" s="122"/>
      <c r="AO972" s="122"/>
      <c r="AP972" s="428"/>
    </row>
    <row r="973" hidden="1">
      <c r="A973" s="428"/>
      <c r="B973" s="428"/>
      <c r="C973" s="122"/>
      <c r="D973" s="558"/>
      <c r="E973" s="539"/>
      <c r="F973" s="539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2"/>
      <c r="AE973" s="122"/>
      <c r="AF973" s="122"/>
      <c r="AG973" s="122"/>
      <c r="AH973" s="122"/>
      <c r="AI973" s="122"/>
      <c r="AJ973" s="122"/>
      <c r="AK973" s="122"/>
      <c r="AL973" s="122"/>
      <c r="AM973" s="122"/>
      <c r="AN973" s="122"/>
      <c r="AO973" s="122"/>
      <c r="AP973" s="428"/>
    </row>
    <row r="974" hidden="1">
      <c r="A974" s="428"/>
      <c r="B974" s="428"/>
      <c r="C974" s="122"/>
      <c r="D974" s="558"/>
      <c r="E974" s="539"/>
      <c r="F974" s="539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2"/>
      <c r="AE974" s="122"/>
      <c r="AF974" s="122"/>
      <c r="AG974" s="122"/>
      <c r="AH974" s="122"/>
      <c r="AI974" s="122"/>
      <c r="AJ974" s="122"/>
      <c r="AK974" s="122"/>
      <c r="AL974" s="122"/>
      <c r="AM974" s="122"/>
      <c r="AN974" s="122"/>
      <c r="AO974" s="122"/>
      <c r="AP974" s="428"/>
    </row>
    <row r="975" hidden="1">
      <c r="A975" s="428"/>
      <c r="B975" s="428"/>
      <c r="C975" s="122"/>
      <c r="D975" s="558"/>
      <c r="E975" s="539"/>
      <c r="F975" s="539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2"/>
      <c r="AE975" s="122"/>
      <c r="AF975" s="122"/>
      <c r="AG975" s="122"/>
      <c r="AH975" s="122"/>
      <c r="AI975" s="122"/>
      <c r="AJ975" s="122"/>
      <c r="AK975" s="122"/>
      <c r="AL975" s="122"/>
      <c r="AM975" s="122"/>
      <c r="AN975" s="122"/>
      <c r="AO975" s="122"/>
      <c r="AP975" s="428"/>
    </row>
    <row r="976" hidden="1">
      <c r="A976" s="428"/>
      <c r="B976" s="428"/>
      <c r="C976" s="122"/>
      <c r="D976" s="558"/>
      <c r="E976" s="539"/>
      <c r="F976" s="539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2"/>
      <c r="AE976" s="122"/>
      <c r="AF976" s="122"/>
      <c r="AG976" s="122"/>
      <c r="AH976" s="122"/>
      <c r="AI976" s="122"/>
      <c r="AJ976" s="122"/>
      <c r="AK976" s="122"/>
      <c r="AL976" s="122"/>
      <c r="AM976" s="122"/>
      <c r="AN976" s="122"/>
      <c r="AO976" s="122"/>
      <c r="AP976" s="428"/>
    </row>
    <row r="977" hidden="1">
      <c r="A977" s="428"/>
      <c r="B977" s="428"/>
      <c r="C977" s="122"/>
      <c r="D977" s="558"/>
      <c r="E977" s="539"/>
      <c r="F977" s="539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2"/>
      <c r="AE977" s="122"/>
      <c r="AF977" s="122"/>
      <c r="AG977" s="122"/>
      <c r="AH977" s="122"/>
      <c r="AI977" s="122"/>
      <c r="AJ977" s="122"/>
      <c r="AK977" s="122"/>
      <c r="AL977" s="122"/>
      <c r="AM977" s="122"/>
      <c r="AN977" s="122"/>
      <c r="AO977" s="122"/>
      <c r="AP977" s="428"/>
    </row>
    <row r="978" hidden="1">
      <c r="A978" s="428"/>
      <c r="B978" s="428"/>
      <c r="C978" s="122"/>
      <c r="D978" s="558"/>
      <c r="E978" s="539"/>
      <c r="F978" s="539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2"/>
      <c r="AE978" s="122"/>
      <c r="AF978" s="122"/>
      <c r="AG978" s="122"/>
      <c r="AH978" s="122"/>
      <c r="AI978" s="122"/>
      <c r="AJ978" s="122"/>
      <c r="AK978" s="122"/>
      <c r="AL978" s="122"/>
      <c r="AM978" s="122"/>
      <c r="AN978" s="122"/>
      <c r="AO978" s="122"/>
      <c r="AP978" s="428"/>
    </row>
    <row r="979" hidden="1">
      <c r="A979" s="428"/>
      <c r="B979" s="428"/>
      <c r="C979" s="122"/>
      <c r="D979" s="558"/>
      <c r="E979" s="539"/>
      <c r="F979" s="539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2"/>
      <c r="AE979" s="122"/>
      <c r="AF979" s="122"/>
      <c r="AG979" s="122"/>
      <c r="AH979" s="122"/>
      <c r="AI979" s="122"/>
      <c r="AJ979" s="122"/>
      <c r="AK979" s="122"/>
      <c r="AL979" s="122"/>
      <c r="AM979" s="122"/>
      <c r="AN979" s="122"/>
      <c r="AO979" s="122"/>
      <c r="AP979" s="428"/>
    </row>
    <row r="980" hidden="1">
      <c r="A980" s="428"/>
      <c r="B980" s="428"/>
      <c r="C980" s="122"/>
      <c r="D980" s="558"/>
      <c r="E980" s="539"/>
      <c r="F980" s="539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2"/>
      <c r="AE980" s="122"/>
      <c r="AF980" s="122"/>
      <c r="AG980" s="122"/>
      <c r="AH980" s="122"/>
      <c r="AI980" s="122"/>
      <c r="AJ980" s="122"/>
      <c r="AK980" s="122"/>
      <c r="AL980" s="122"/>
      <c r="AM980" s="122"/>
      <c r="AN980" s="122"/>
      <c r="AO980" s="122"/>
      <c r="AP980" s="428"/>
    </row>
    <row r="981" hidden="1">
      <c r="A981" s="428"/>
      <c r="B981" s="428"/>
      <c r="C981" s="122"/>
      <c r="D981" s="558"/>
      <c r="E981" s="539"/>
      <c r="F981" s="539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2"/>
      <c r="AE981" s="122"/>
      <c r="AF981" s="122"/>
      <c r="AG981" s="122"/>
      <c r="AH981" s="122"/>
      <c r="AI981" s="122"/>
      <c r="AJ981" s="122"/>
      <c r="AK981" s="122"/>
      <c r="AL981" s="122"/>
      <c r="AM981" s="122"/>
      <c r="AN981" s="122"/>
      <c r="AO981" s="122"/>
      <c r="AP981" s="428"/>
    </row>
    <row r="982" hidden="1">
      <c r="A982" s="428"/>
      <c r="B982" s="428"/>
      <c r="C982" s="122"/>
      <c r="D982" s="558"/>
      <c r="E982" s="539"/>
      <c r="F982" s="539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2"/>
      <c r="AE982" s="122"/>
      <c r="AF982" s="122"/>
      <c r="AG982" s="122"/>
      <c r="AH982" s="122"/>
      <c r="AI982" s="122"/>
      <c r="AJ982" s="122"/>
      <c r="AK982" s="122"/>
      <c r="AL982" s="122"/>
      <c r="AM982" s="122"/>
      <c r="AN982" s="122"/>
      <c r="AO982" s="122"/>
      <c r="AP982" s="428"/>
    </row>
    <row r="983" hidden="1">
      <c r="A983" s="428"/>
      <c r="B983" s="428"/>
      <c r="C983" s="122"/>
      <c r="D983" s="558"/>
      <c r="E983" s="539"/>
      <c r="F983" s="539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2"/>
      <c r="AE983" s="122"/>
      <c r="AF983" s="122"/>
      <c r="AG983" s="122"/>
      <c r="AH983" s="122"/>
      <c r="AI983" s="122"/>
      <c r="AJ983" s="122"/>
      <c r="AK983" s="122"/>
      <c r="AL983" s="122"/>
      <c r="AM983" s="122"/>
      <c r="AN983" s="122"/>
      <c r="AO983" s="122"/>
      <c r="AP983" s="428"/>
    </row>
    <row r="984" hidden="1">
      <c r="A984" s="428"/>
      <c r="B984" s="428"/>
      <c r="C984" s="122"/>
      <c r="D984" s="558"/>
      <c r="E984" s="539"/>
      <c r="F984" s="539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2"/>
      <c r="AE984" s="122"/>
      <c r="AF984" s="122"/>
      <c r="AG984" s="122"/>
      <c r="AH984" s="122"/>
      <c r="AI984" s="122"/>
      <c r="AJ984" s="122"/>
      <c r="AK984" s="122"/>
      <c r="AL984" s="122"/>
      <c r="AM984" s="122"/>
      <c r="AN984" s="122"/>
      <c r="AO984" s="122"/>
      <c r="AP984" s="428"/>
    </row>
    <row r="985" hidden="1">
      <c r="A985" s="428"/>
      <c r="B985" s="428"/>
      <c r="C985" s="122"/>
      <c r="D985" s="558"/>
      <c r="E985" s="539"/>
      <c r="F985" s="539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2"/>
      <c r="AE985" s="122"/>
      <c r="AF985" s="122"/>
      <c r="AG985" s="122"/>
      <c r="AH985" s="122"/>
      <c r="AI985" s="122"/>
      <c r="AJ985" s="122"/>
      <c r="AK985" s="122"/>
      <c r="AL985" s="122"/>
      <c r="AM985" s="122"/>
      <c r="AN985" s="122"/>
      <c r="AO985" s="122"/>
      <c r="AP985" s="428"/>
    </row>
    <row r="986" hidden="1">
      <c r="A986" s="428"/>
      <c r="B986" s="428"/>
      <c r="C986" s="122"/>
      <c r="D986" s="558"/>
      <c r="E986" s="539"/>
      <c r="F986" s="539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2"/>
      <c r="AE986" s="122"/>
      <c r="AF986" s="122"/>
      <c r="AG986" s="122"/>
      <c r="AH986" s="122"/>
      <c r="AI986" s="122"/>
      <c r="AJ986" s="122"/>
      <c r="AK986" s="122"/>
      <c r="AL986" s="122"/>
      <c r="AM986" s="122"/>
      <c r="AN986" s="122"/>
      <c r="AO986" s="122"/>
      <c r="AP986" s="428"/>
    </row>
    <row r="987" hidden="1">
      <c r="A987" s="428"/>
      <c r="B987" s="428"/>
      <c r="C987" s="122"/>
      <c r="D987" s="558"/>
      <c r="E987" s="539"/>
      <c r="F987" s="539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2"/>
      <c r="AE987" s="122"/>
      <c r="AF987" s="122"/>
      <c r="AG987" s="122"/>
      <c r="AH987" s="122"/>
      <c r="AI987" s="122"/>
      <c r="AJ987" s="122"/>
      <c r="AK987" s="122"/>
      <c r="AL987" s="122"/>
      <c r="AM987" s="122"/>
      <c r="AN987" s="122"/>
      <c r="AO987" s="122"/>
      <c r="AP987" s="428"/>
    </row>
    <row r="988" hidden="1">
      <c r="A988" s="428"/>
      <c r="B988" s="428"/>
      <c r="C988" s="122"/>
      <c r="D988" s="558"/>
      <c r="E988" s="539"/>
      <c r="F988" s="539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2"/>
      <c r="AE988" s="122"/>
      <c r="AF988" s="122"/>
      <c r="AG988" s="122"/>
      <c r="AH988" s="122"/>
      <c r="AI988" s="122"/>
      <c r="AJ988" s="122"/>
      <c r="AK988" s="122"/>
      <c r="AL988" s="122"/>
      <c r="AM988" s="122"/>
      <c r="AN988" s="122"/>
      <c r="AO988" s="122"/>
      <c r="AP988" s="428"/>
    </row>
    <row r="989" hidden="1">
      <c r="A989" s="428"/>
      <c r="B989" s="428"/>
      <c r="C989" s="122"/>
      <c r="D989" s="558"/>
      <c r="E989" s="539"/>
      <c r="F989" s="539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2"/>
      <c r="AE989" s="122"/>
      <c r="AF989" s="122"/>
      <c r="AG989" s="122"/>
      <c r="AH989" s="122"/>
      <c r="AI989" s="122"/>
      <c r="AJ989" s="122"/>
      <c r="AK989" s="122"/>
      <c r="AL989" s="122"/>
      <c r="AM989" s="122"/>
      <c r="AN989" s="122"/>
      <c r="AO989" s="122"/>
      <c r="AP989" s="428"/>
    </row>
    <row r="990" hidden="1">
      <c r="A990" s="428"/>
      <c r="B990" s="428"/>
      <c r="C990" s="122"/>
      <c r="D990" s="558"/>
      <c r="E990" s="539"/>
      <c r="F990" s="539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2"/>
      <c r="AE990" s="122"/>
      <c r="AF990" s="122"/>
      <c r="AG990" s="122"/>
      <c r="AH990" s="122"/>
      <c r="AI990" s="122"/>
      <c r="AJ990" s="122"/>
      <c r="AK990" s="122"/>
      <c r="AL990" s="122"/>
      <c r="AM990" s="122"/>
      <c r="AN990" s="122"/>
      <c r="AO990" s="122"/>
      <c r="AP990" s="428"/>
    </row>
    <row r="991" hidden="1">
      <c r="A991" s="428"/>
      <c r="B991" s="428"/>
      <c r="C991" s="122"/>
      <c r="D991" s="558"/>
      <c r="E991" s="539"/>
      <c r="F991" s="539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2"/>
      <c r="AE991" s="122"/>
      <c r="AF991" s="122"/>
      <c r="AG991" s="122"/>
      <c r="AH991" s="122"/>
      <c r="AI991" s="122"/>
      <c r="AJ991" s="122"/>
      <c r="AK991" s="122"/>
      <c r="AL991" s="122"/>
      <c r="AM991" s="122"/>
      <c r="AN991" s="122"/>
      <c r="AO991" s="122"/>
      <c r="AP991" s="428"/>
    </row>
    <row r="992" hidden="1">
      <c r="A992" s="428"/>
      <c r="B992" s="428"/>
      <c r="C992" s="122"/>
      <c r="D992" s="558"/>
      <c r="E992" s="539"/>
      <c r="F992" s="539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2"/>
      <c r="AE992" s="122"/>
      <c r="AF992" s="122"/>
      <c r="AG992" s="122"/>
      <c r="AH992" s="122"/>
      <c r="AI992" s="122"/>
      <c r="AJ992" s="122"/>
      <c r="AK992" s="122"/>
      <c r="AL992" s="122"/>
      <c r="AM992" s="122"/>
      <c r="AN992" s="122"/>
      <c r="AO992" s="122"/>
      <c r="AP992" s="428"/>
    </row>
    <row r="993" hidden="1">
      <c r="A993" s="428"/>
      <c r="B993" s="428"/>
      <c r="C993" s="122"/>
      <c r="D993" s="558"/>
      <c r="E993" s="539"/>
      <c r="F993" s="539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2"/>
      <c r="AE993" s="122"/>
      <c r="AF993" s="122"/>
      <c r="AG993" s="122"/>
      <c r="AH993" s="122"/>
      <c r="AI993" s="122"/>
      <c r="AJ993" s="122"/>
      <c r="AK993" s="122"/>
      <c r="AL993" s="122"/>
      <c r="AM993" s="122"/>
      <c r="AN993" s="122"/>
      <c r="AO993" s="122"/>
      <c r="AP993" s="428"/>
    </row>
    <row r="994" hidden="1">
      <c r="A994" s="428"/>
      <c r="B994" s="428"/>
      <c r="C994" s="122"/>
      <c r="D994" s="558"/>
      <c r="E994" s="539"/>
      <c r="F994" s="539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2"/>
      <c r="AE994" s="122"/>
      <c r="AF994" s="122"/>
      <c r="AG994" s="122"/>
      <c r="AH994" s="122"/>
      <c r="AI994" s="122"/>
      <c r="AJ994" s="122"/>
      <c r="AK994" s="122"/>
      <c r="AL994" s="122"/>
      <c r="AM994" s="122"/>
      <c r="AN994" s="122"/>
      <c r="AO994" s="122"/>
      <c r="AP994" s="428"/>
    </row>
    <row r="995" hidden="1">
      <c r="A995" s="428"/>
      <c r="B995" s="428"/>
      <c r="C995" s="122"/>
      <c r="D995" s="558"/>
      <c r="E995" s="539"/>
      <c r="F995" s="539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2"/>
      <c r="AE995" s="122"/>
      <c r="AF995" s="122"/>
      <c r="AG995" s="122"/>
      <c r="AH995" s="122"/>
      <c r="AI995" s="122"/>
      <c r="AJ995" s="122"/>
      <c r="AK995" s="122"/>
      <c r="AL995" s="122"/>
      <c r="AM995" s="122"/>
      <c r="AN995" s="122"/>
      <c r="AO995" s="122"/>
      <c r="AP995" s="428"/>
    </row>
    <row r="996" hidden="1">
      <c r="A996" s="428"/>
      <c r="B996" s="428"/>
      <c r="C996" s="122"/>
      <c r="D996" s="558"/>
      <c r="E996" s="539"/>
      <c r="F996" s="539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2"/>
      <c r="AE996" s="122"/>
      <c r="AF996" s="122"/>
      <c r="AG996" s="122"/>
      <c r="AH996" s="122"/>
      <c r="AI996" s="122"/>
      <c r="AJ996" s="122"/>
      <c r="AK996" s="122"/>
      <c r="AL996" s="122"/>
      <c r="AM996" s="122"/>
      <c r="AN996" s="122"/>
      <c r="AO996" s="122"/>
      <c r="AP996" s="428"/>
    </row>
    <row r="997" hidden="1">
      <c r="A997" s="428"/>
      <c r="B997" s="428"/>
      <c r="C997" s="122"/>
      <c r="D997" s="558"/>
      <c r="E997" s="539"/>
      <c r="F997" s="539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2"/>
      <c r="AE997" s="122"/>
      <c r="AF997" s="122"/>
      <c r="AG997" s="122"/>
      <c r="AH997" s="122"/>
      <c r="AI997" s="122"/>
      <c r="AJ997" s="122"/>
      <c r="AK997" s="122"/>
      <c r="AL997" s="122"/>
      <c r="AM997" s="122"/>
      <c r="AN997" s="122"/>
      <c r="AO997" s="122"/>
      <c r="AP997" s="428"/>
    </row>
    <row r="998" hidden="1">
      <c r="A998" s="428"/>
      <c r="B998" s="428"/>
      <c r="C998" s="122"/>
      <c r="D998" s="558"/>
      <c r="E998" s="539"/>
      <c r="F998" s="539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2"/>
      <c r="AE998" s="122"/>
      <c r="AF998" s="122"/>
      <c r="AG998" s="122"/>
      <c r="AH998" s="122"/>
      <c r="AI998" s="122"/>
      <c r="AJ998" s="122"/>
      <c r="AK998" s="122"/>
      <c r="AL998" s="122"/>
      <c r="AM998" s="122"/>
      <c r="AN998" s="122"/>
      <c r="AO998" s="122"/>
      <c r="AP998" s="428"/>
    </row>
    <row r="999" hidden="1">
      <c r="A999" s="428"/>
      <c r="B999" s="428"/>
      <c r="C999" s="122"/>
      <c r="D999" s="558"/>
      <c r="E999" s="539"/>
      <c r="F999" s="539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2"/>
      <c r="AE999" s="122"/>
      <c r="AF999" s="122"/>
      <c r="AG999" s="122"/>
      <c r="AH999" s="122"/>
      <c r="AI999" s="122"/>
      <c r="AJ999" s="122"/>
      <c r="AK999" s="122"/>
      <c r="AL999" s="122"/>
      <c r="AM999" s="122"/>
      <c r="AN999" s="122"/>
      <c r="AO999" s="122"/>
      <c r="AP999" s="428"/>
    </row>
    <row r="1000" hidden="1">
      <c r="A1000" s="428"/>
      <c r="B1000" s="428"/>
      <c r="C1000" s="122"/>
      <c r="D1000" s="558"/>
      <c r="E1000" s="539"/>
      <c r="F1000" s="539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2"/>
      <c r="AE1000" s="122"/>
      <c r="AF1000" s="122"/>
      <c r="AG1000" s="122"/>
      <c r="AH1000" s="122"/>
      <c r="AI1000" s="122"/>
      <c r="AJ1000" s="122"/>
      <c r="AK1000" s="122"/>
      <c r="AL1000" s="122"/>
      <c r="AM1000" s="122"/>
      <c r="AN1000" s="122"/>
      <c r="AO1000" s="122"/>
      <c r="AP1000" s="428"/>
    </row>
    <row r="1001" hidden="1">
      <c r="A1001" s="428"/>
      <c r="B1001" s="428"/>
      <c r="C1001" s="122"/>
      <c r="D1001" s="558"/>
      <c r="E1001" s="539"/>
      <c r="F1001" s="539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2"/>
      <c r="AE1001" s="122"/>
      <c r="AF1001" s="122"/>
      <c r="AG1001" s="122"/>
      <c r="AH1001" s="122"/>
      <c r="AI1001" s="122"/>
      <c r="AJ1001" s="122"/>
      <c r="AK1001" s="122"/>
      <c r="AL1001" s="122"/>
      <c r="AM1001" s="122"/>
      <c r="AN1001" s="122"/>
      <c r="AO1001" s="122"/>
      <c r="AP1001" s="428"/>
    </row>
    <row r="1002" hidden="1">
      <c r="A1002" s="428"/>
      <c r="B1002" s="428"/>
      <c r="C1002" s="122"/>
      <c r="D1002" s="558"/>
      <c r="E1002" s="539"/>
      <c r="F1002" s="539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2"/>
      <c r="AE1002" s="122"/>
      <c r="AF1002" s="122"/>
      <c r="AG1002" s="122"/>
      <c r="AH1002" s="122"/>
      <c r="AI1002" s="122"/>
      <c r="AJ1002" s="122"/>
      <c r="AK1002" s="122"/>
      <c r="AL1002" s="122"/>
      <c r="AM1002" s="122"/>
      <c r="AN1002" s="122"/>
      <c r="AO1002" s="122"/>
      <c r="AP1002" s="428"/>
    </row>
    <row r="1003" hidden="1">
      <c r="A1003" s="428"/>
      <c r="B1003" s="428"/>
      <c r="C1003" s="122"/>
      <c r="D1003" s="558"/>
      <c r="E1003" s="539"/>
      <c r="F1003" s="539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2"/>
      <c r="AE1003" s="122"/>
      <c r="AF1003" s="122"/>
      <c r="AG1003" s="122"/>
      <c r="AH1003" s="122"/>
      <c r="AI1003" s="122"/>
      <c r="AJ1003" s="122"/>
      <c r="AK1003" s="122"/>
      <c r="AL1003" s="122"/>
      <c r="AM1003" s="122"/>
      <c r="AN1003" s="122"/>
      <c r="AO1003" s="122"/>
      <c r="AP1003" s="428"/>
    </row>
    <row r="1004" hidden="1">
      <c r="A1004" s="428"/>
      <c r="B1004" s="428"/>
      <c r="C1004" s="122"/>
      <c r="D1004" s="558"/>
      <c r="E1004" s="539"/>
      <c r="F1004" s="539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2"/>
      <c r="AE1004" s="122"/>
      <c r="AF1004" s="122"/>
      <c r="AG1004" s="122"/>
      <c r="AH1004" s="122"/>
      <c r="AI1004" s="122"/>
      <c r="AJ1004" s="122"/>
      <c r="AK1004" s="122"/>
      <c r="AL1004" s="122"/>
      <c r="AM1004" s="122"/>
      <c r="AN1004" s="122"/>
      <c r="AO1004" s="122"/>
      <c r="AP1004" s="428"/>
    </row>
    <row r="1005" hidden="1">
      <c r="A1005" s="428"/>
      <c r="B1005" s="428"/>
      <c r="C1005" s="122"/>
      <c r="D1005" s="558"/>
      <c r="E1005" s="539"/>
      <c r="F1005" s="539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2"/>
      <c r="AE1005" s="122"/>
      <c r="AF1005" s="122"/>
      <c r="AG1005" s="122"/>
      <c r="AH1005" s="122"/>
      <c r="AI1005" s="122"/>
      <c r="AJ1005" s="122"/>
      <c r="AK1005" s="122"/>
      <c r="AL1005" s="122"/>
      <c r="AM1005" s="122"/>
      <c r="AN1005" s="122"/>
      <c r="AO1005" s="122"/>
      <c r="AP1005" s="428"/>
    </row>
    <row r="1006" hidden="1">
      <c r="A1006" s="428"/>
      <c r="B1006" s="428"/>
      <c r="C1006" s="122"/>
      <c r="D1006" s="558"/>
      <c r="E1006" s="539"/>
      <c r="F1006" s="539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2"/>
      <c r="AE1006" s="122"/>
      <c r="AF1006" s="122"/>
      <c r="AG1006" s="122"/>
      <c r="AH1006" s="122"/>
      <c r="AI1006" s="122"/>
      <c r="AJ1006" s="122"/>
      <c r="AK1006" s="122"/>
      <c r="AL1006" s="122"/>
      <c r="AM1006" s="122"/>
      <c r="AN1006" s="122"/>
      <c r="AO1006" s="122"/>
      <c r="AP1006" s="428"/>
    </row>
    <row r="1007" hidden="1">
      <c r="A1007" s="428"/>
      <c r="B1007" s="428"/>
      <c r="C1007" s="122"/>
      <c r="D1007" s="558"/>
      <c r="E1007" s="539"/>
      <c r="F1007" s="539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2"/>
      <c r="AE1007" s="122"/>
      <c r="AF1007" s="122"/>
      <c r="AG1007" s="122"/>
      <c r="AH1007" s="122"/>
      <c r="AI1007" s="122"/>
      <c r="AJ1007" s="122"/>
      <c r="AK1007" s="122"/>
      <c r="AL1007" s="122"/>
      <c r="AM1007" s="122"/>
      <c r="AN1007" s="122"/>
      <c r="AO1007" s="122"/>
      <c r="AP1007" s="428"/>
    </row>
    <row r="1008" hidden="1">
      <c r="A1008" s="428"/>
      <c r="B1008" s="428"/>
      <c r="C1008" s="122"/>
      <c r="D1008" s="558"/>
      <c r="E1008" s="539"/>
      <c r="F1008" s="539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2"/>
      <c r="AE1008" s="122"/>
      <c r="AF1008" s="122"/>
      <c r="AG1008" s="122"/>
      <c r="AH1008" s="122"/>
      <c r="AI1008" s="122"/>
      <c r="AJ1008" s="122"/>
      <c r="AK1008" s="122"/>
      <c r="AL1008" s="122"/>
      <c r="AM1008" s="122"/>
      <c r="AN1008" s="122"/>
      <c r="AO1008" s="122"/>
      <c r="AP1008" s="428"/>
    </row>
    <row r="1009" hidden="1">
      <c r="A1009" s="428"/>
      <c r="B1009" s="428"/>
      <c r="C1009" s="122"/>
      <c r="D1009" s="558"/>
      <c r="E1009" s="539"/>
      <c r="F1009" s="539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2"/>
      <c r="AE1009" s="122"/>
      <c r="AF1009" s="122"/>
      <c r="AG1009" s="122"/>
      <c r="AH1009" s="122"/>
      <c r="AI1009" s="122"/>
      <c r="AJ1009" s="122"/>
      <c r="AK1009" s="122"/>
      <c r="AL1009" s="122"/>
      <c r="AM1009" s="122"/>
      <c r="AN1009" s="122"/>
      <c r="AO1009" s="122"/>
      <c r="AP1009" s="428"/>
    </row>
    <row r="1010" hidden="1">
      <c r="A1010" s="428"/>
      <c r="B1010" s="428"/>
      <c r="C1010" s="122"/>
      <c r="D1010" s="558"/>
      <c r="E1010" s="539"/>
      <c r="F1010" s="539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  <c r="AD1010" s="122"/>
      <c r="AE1010" s="122"/>
      <c r="AF1010" s="122"/>
      <c r="AG1010" s="122"/>
      <c r="AH1010" s="122"/>
      <c r="AI1010" s="122"/>
      <c r="AJ1010" s="122"/>
      <c r="AK1010" s="122"/>
      <c r="AL1010" s="122"/>
      <c r="AM1010" s="122"/>
      <c r="AN1010" s="122"/>
      <c r="AO1010" s="122"/>
      <c r="AP1010" s="428"/>
    </row>
    <row r="1011" hidden="1">
      <c r="A1011" s="428"/>
      <c r="B1011" s="428"/>
      <c r="C1011" s="122"/>
      <c r="D1011" s="558"/>
      <c r="E1011" s="539"/>
      <c r="F1011" s="539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  <c r="AD1011" s="122"/>
      <c r="AE1011" s="122"/>
      <c r="AF1011" s="122"/>
      <c r="AG1011" s="122"/>
      <c r="AH1011" s="122"/>
      <c r="AI1011" s="122"/>
      <c r="AJ1011" s="122"/>
      <c r="AK1011" s="122"/>
      <c r="AL1011" s="122"/>
      <c r="AM1011" s="122"/>
      <c r="AN1011" s="122"/>
      <c r="AO1011" s="122"/>
      <c r="AP1011" s="428"/>
    </row>
    <row r="1012" hidden="1">
      <c r="A1012" s="428"/>
      <c r="B1012" s="428"/>
      <c r="C1012" s="122"/>
      <c r="D1012" s="558"/>
      <c r="E1012" s="539"/>
      <c r="F1012" s="539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  <c r="AD1012" s="122"/>
      <c r="AE1012" s="122"/>
      <c r="AF1012" s="122"/>
      <c r="AG1012" s="122"/>
      <c r="AH1012" s="122"/>
      <c r="AI1012" s="122"/>
      <c r="AJ1012" s="122"/>
      <c r="AK1012" s="122"/>
      <c r="AL1012" s="122"/>
      <c r="AM1012" s="122"/>
      <c r="AN1012" s="122"/>
      <c r="AO1012" s="122"/>
      <c r="AP1012" s="428"/>
    </row>
    <row r="1013" hidden="1">
      <c r="A1013" s="428"/>
      <c r="B1013" s="428"/>
      <c r="C1013" s="122"/>
      <c r="D1013" s="558"/>
      <c r="E1013" s="539"/>
      <c r="F1013" s="539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  <c r="AD1013" s="122"/>
      <c r="AE1013" s="122"/>
      <c r="AF1013" s="122"/>
      <c r="AG1013" s="122"/>
      <c r="AH1013" s="122"/>
      <c r="AI1013" s="122"/>
      <c r="AJ1013" s="122"/>
      <c r="AK1013" s="122"/>
      <c r="AL1013" s="122"/>
      <c r="AM1013" s="122"/>
      <c r="AN1013" s="122"/>
      <c r="AO1013" s="122"/>
      <c r="AP1013" s="428"/>
    </row>
  </sheetData>
  <mergeCells count="2">
    <mergeCell ref="B33:C33"/>
    <mergeCell ref="B34:C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13"/>
    <col customWidth="1" min="2" max="2" width="42.38"/>
    <col customWidth="1" min="3" max="3" width="9.88"/>
    <col customWidth="1" min="4" max="4" width="8.5"/>
    <col customWidth="1" min="5" max="5" width="45.5"/>
    <col customWidth="1" min="6" max="6" width="19.0"/>
    <col customWidth="1" min="9" max="9" width="19.88"/>
  </cols>
  <sheetData>
    <row r="1">
      <c r="C1" s="482">
        <f>SUM(C3:C258)</f>
        <v>2310913869</v>
      </c>
      <c r="E1" s="265"/>
      <c r="F1" s="574"/>
      <c r="G1" s="574" t="s">
        <v>1130</v>
      </c>
      <c r="H1" s="575">
        <v>12.0</v>
      </c>
      <c r="I1" s="576"/>
    </row>
    <row r="2">
      <c r="A2" s="392" t="s">
        <v>1127</v>
      </c>
      <c r="B2" s="393" t="s">
        <v>1128</v>
      </c>
      <c r="C2" s="393" t="s">
        <v>480</v>
      </c>
      <c r="D2" s="172" t="s">
        <v>1129</v>
      </c>
      <c r="E2" s="171" t="s">
        <v>1130</v>
      </c>
      <c r="F2" s="171" t="s">
        <v>892</v>
      </c>
      <c r="G2" s="172" t="s">
        <v>1131</v>
      </c>
      <c r="H2" s="172" t="s">
        <v>1428</v>
      </c>
      <c r="I2" s="172" t="s">
        <v>1133</v>
      </c>
      <c r="J2" s="172" t="s">
        <v>1013</v>
      </c>
      <c r="K2" s="164" t="str">
        <f t="array" ref="K2:K25">Sort(UNIQUE(F3:F258),1,1)</f>
        <v>ANDHRA PRADESH</v>
      </c>
    </row>
    <row r="3">
      <c r="A3" s="217">
        <f t="array" ref="A3:A258">SEQUENCE(COUNTA(B3:B258),1)</f>
        <v>1</v>
      </c>
      <c r="B3" s="217" t="s">
        <v>1429</v>
      </c>
      <c r="C3" s="217">
        <v>29853.0</v>
      </c>
      <c r="D3" s="217">
        <v>1.0</v>
      </c>
      <c r="E3" s="577" t="s">
        <v>630</v>
      </c>
      <c r="F3" s="578" t="s">
        <v>1058</v>
      </c>
      <c r="G3" s="190">
        <f t="shared" ref="G3:G258" si="1">C3/D3</f>
        <v>29853</v>
      </c>
      <c r="H3" s="190">
        <f t="shared" ref="H3:H258" si="2">G3/$H$1</f>
        <v>2487.75</v>
      </c>
      <c r="I3" s="579">
        <f>IFERROR(__xludf.DUMMYFUNCTION("iferror(ArrayFormula(vlookup($B$3:$B258,importrange(""https://docs.google.com/spreadsheets/d/1ys18yX-bHrr3IvUrPN7k0CBuMZ0rGAWherCYZD95Ihk/edit?gid=1909010492#gid=1909010492"",""Working!T:Z""),{6,7},0)))"),0.0)</f>
        <v>0</v>
      </c>
      <c r="J3" s="124"/>
      <c r="K3" s="164" t="s">
        <v>1088</v>
      </c>
    </row>
    <row r="4">
      <c r="A4" s="75">
        <v>2.0</v>
      </c>
      <c r="B4" s="217" t="s">
        <v>1430</v>
      </c>
      <c r="C4" s="217">
        <v>1.3202741E7</v>
      </c>
      <c r="D4" s="217">
        <v>2.0</v>
      </c>
      <c r="E4" s="577" t="s">
        <v>1431</v>
      </c>
      <c r="F4" s="578" t="s">
        <v>130</v>
      </c>
      <c r="G4" s="190">
        <f t="shared" si="1"/>
        <v>6601370.5</v>
      </c>
      <c r="H4" s="190">
        <f t="shared" si="2"/>
        <v>550114.2083</v>
      </c>
      <c r="I4" s="579">
        <f>IFERROR(__xludf.DUMMYFUNCTION("""COMPUTED_VALUE"""),1.4632903E7)</f>
        <v>14632903</v>
      </c>
      <c r="J4" s="124"/>
      <c r="K4" s="164" t="s">
        <v>1031</v>
      </c>
    </row>
    <row r="5">
      <c r="A5" s="75">
        <v>3.0</v>
      </c>
      <c r="B5" s="217" t="s">
        <v>1432</v>
      </c>
      <c r="C5" s="217">
        <v>134033.0</v>
      </c>
      <c r="D5" s="217">
        <v>1.0</v>
      </c>
      <c r="E5" s="577" t="s">
        <v>394</v>
      </c>
      <c r="F5" s="578" t="s">
        <v>1058</v>
      </c>
      <c r="G5" s="190">
        <f t="shared" si="1"/>
        <v>134033</v>
      </c>
      <c r="H5" s="190">
        <f t="shared" si="2"/>
        <v>11169.41667</v>
      </c>
      <c r="I5" s="579">
        <f>IFERROR(__xludf.DUMMYFUNCTION("""COMPUTED_VALUE"""),0.0)</f>
        <v>0</v>
      </c>
      <c r="J5" s="124"/>
      <c r="K5" s="164" t="s">
        <v>1061</v>
      </c>
    </row>
    <row r="6">
      <c r="A6" s="75">
        <v>4.0</v>
      </c>
      <c r="B6" s="217" t="s">
        <v>1433</v>
      </c>
      <c r="C6" s="217">
        <v>1363370.0</v>
      </c>
      <c r="D6" s="217">
        <v>1.0</v>
      </c>
      <c r="E6" s="577" t="s">
        <v>312</v>
      </c>
      <c r="F6" s="578" t="s">
        <v>1066</v>
      </c>
      <c r="G6" s="190">
        <f t="shared" si="1"/>
        <v>1363370</v>
      </c>
      <c r="H6" s="190">
        <f t="shared" si="2"/>
        <v>113614.1667</v>
      </c>
      <c r="I6" s="579">
        <f>IFERROR(__xludf.DUMMYFUNCTION("""COMPUTED_VALUE"""),3791318.0)</f>
        <v>3791318</v>
      </c>
      <c r="J6" s="124"/>
      <c r="K6" s="164" t="s">
        <v>1073</v>
      </c>
    </row>
    <row r="7">
      <c r="A7" s="75">
        <v>5.0</v>
      </c>
      <c r="B7" s="217" t="s">
        <v>1434</v>
      </c>
      <c r="C7" s="217">
        <v>1227277.0</v>
      </c>
      <c r="D7" s="217">
        <v>2.0</v>
      </c>
      <c r="E7" s="577" t="s">
        <v>1435</v>
      </c>
      <c r="F7" s="578" t="s">
        <v>1066</v>
      </c>
      <c r="G7" s="190">
        <f t="shared" si="1"/>
        <v>613638.5</v>
      </c>
      <c r="H7" s="190">
        <f t="shared" si="2"/>
        <v>51136.54167</v>
      </c>
      <c r="I7" s="579">
        <f>IFERROR(__xludf.DUMMYFUNCTION("""COMPUTED_VALUE"""),2638056.0)</f>
        <v>2638056</v>
      </c>
      <c r="J7" s="124"/>
      <c r="K7" s="164" t="s">
        <v>40</v>
      </c>
    </row>
    <row r="8">
      <c r="A8" s="75">
        <v>6.0</v>
      </c>
      <c r="B8" s="217" t="s">
        <v>1436</v>
      </c>
      <c r="C8" s="217">
        <v>611952.0</v>
      </c>
      <c r="D8" s="217">
        <v>1.0</v>
      </c>
      <c r="E8" s="577" t="s">
        <v>867</v>
      </c>
      <c r="F8" s="578" t="s">
        <v>1094</v>
      </c>
      <c r="G8" s="190">
        <f t="shared" si="1"/>
        <v>611952</v>
      </c>
      <c r="H8" s="190">
        <f t="shared" si="2"/>
        <v>50996</v>
      </c>
      <c r="I8" s="579">
        <f>IFERROR(__xludf.DUMMYFUNCTION("""COMPUTED_VALUE"""),3215982.0)</f>
        <v>3215982</v>
      </c>
      <c r="J8" s="124"/>
      <c r="K8" s="164" t="s">
        <v>130</v>
      </c>
    </row>
    <row r="9">
      <c r="A9" s="75">
        <v>7.0</v>
      </c>
      <c r="B9" s="217" t="s">
        <v>1437</v>
      </c>
      <c r="C9" s="217">
        <v>2662773.0</v>
      </c>
      <c r="D9" s="217">
        <v>1.0</v>
      </c>
      <c r="E9" s="577" t="s">
        <v>51</v>
      </c>
      <c r="F9" s="578" t="s">
        <v>1091</v>
      </c>
      <c r="G9" s="190">
        <f t="shared" si="1"/>
        <v>2662773</v>
      </c>
      <c r="H9" s="190">
        <f t="shared" si="2"/>
        <v>221897.75</v>
      </c>
      <c r="I9" s="579">
        <f>IFERROR(__xludf.DUMMYFUNCTION("""COMPUTED_VALUE"""),3474582.0)</f>
        <v>3474582</v>
      </c>
      <c r="J9" s="124"/>
      <c r="K9" s="164" t="s">
        <v>1049</v>
      </c>
    </row>
    <row r="10">
      <c r="A10" s="75">
        <v>8.0</v>
      </c>
      <c r="B10" s="217" t="s">
        <v>1438</v>
      </c>
      <c r="C10" s="217">
        <v>1.1935496E7</v>
      </c>
      <c r="D10" s="217">
        <v>3.0</v>
      </c>
      <c r="E10" s="577" t="s">
        <v>1439</v>
      </c>
      <c r="F10" s="578" t="s">
        <v>130</v>
      </c>
      <c r="G10" s="190">
        <f t="shared" si="1"/>
        <v>3978498.667</v>
      </c>
      <c r="H10" s="190">
        <f t="shared" si="2"/>
        <v>331541.5556</v>
      </c>
      <c r="I10" s="579">
        <f>IFERROR(__xludf.DUMMYFUNCTION("""COMPUTED_VALUE"""),9511528.0)</f>
        <v>9511528</v>
      </c>
      <c r="J10" s="124"/>
      <c r="K10" s="164" t="s">
        <v>1077</v>
      </c>
    </row>
    <row r="11">
      <c r="A11" s="75">
        <v>9.0</v>
      </c>
      <c r="B11" s="217" t="s">
        <v>1440</v>
      </c>
      <c r="C11" s="217">
        <v>1576832.0</v>
      </c>
      <c r="D11" s="217">
        <v>2.0</v>
      </c>
      <c r="E11" s="577" t="s">
        <v>1441</v>
      </c>
      <c r="F11" s="578" t="s">
        <v>1049</v>
      </c>
      <c r="G11" s="190">
        <f t="shared" si="1"/>
        <v>788416</v>
      </c>
      <c r="H11" s="190">
        <f t="shared" si="2"/>
        <v>65701.33333</v>
      </c>
      <c r="I11" s="579">
        <f>IFERROR(__xludf.DUMMYFUNCTION("""COMPUTED_VALUE"""),2784239.0)</f>
        <v>2784239</v>
      </c>
      <c r="J11" s="124"/>
      <c r="K11" s="164" t="s">
        <v>1094</v>
      </c>
    </row>
    <row r="12">
      <c r="A12" s="75">
        <v>10.0</v>
      </c>
      <c r="B12" s="577" t="s">
        <v>1442</v>
      </c>
      <c r="C12" s="217">
        <v>1146093.0</v>
      </c>
      <c r="D12" s="217">
        <v>1.0</v>
      </c>
      <c r="E12" s="577" t="s">
        <v>223</v>
      </c>
      <c r="F12" s="578" t="s">
        <v>1443</v>
      </c>
      <c r="G12" s="190">
        <f t="shared" si="1"/>
        <v>1146093</v>
      </c>
      <c r="H12" s="190">
        <f t="shared" si="2"/>
        <v>95507.75</v>
      </c>
      <c r="I12" s="579">
        <f>IFERROR(__xludf.DUMMYFUNCTION("""COMPUTED_VALUE"""),1931048.0)</f>
        <v>1931048</v>
      </c>
      <c r="J12" s="124"/>
      <c r="K12" s="164" t="s">
        <v>76</v>
      </c>
    </row>
    <row r="13">
      <c r="A13" s="75">
        <v>11.0</v>
      </c>
      <c r="B13" s="217" t="s">
        <v>1444</v>
      </c>
      <c r="C13" s="217">
        <v>8.3087607E7</v>
      </c>
      <c r="D13" s="217">
        <v>2.0</v>
      </c>
      <c r="E13" s="577" t="s">
        <v>1445</v>
      </c>
      <c r="F13" s="578" t="s">
        <v>1031</v>
      </c>
      <c r="G13" s="190">
        <f t="shared" si="1"/>
        <v>41543803.5</v>
      </c>
      <c r="H13" s="190">
        <f t="shared" si="2"/>
        <v>3461983.625</v>
      </c>
      <c r="I13" s="579">
        <f>IFERROR(__xludf.DUMMYFUNCTION("""COMPUTED_VALUE"""),9.4814985E7)</f>
        <v>94814985</v>
      </c>
      <c r="J13" s="124"/>
      <c r="K13" s="164" t="s">
        <v>1064</v>
      </c>
    </row>
    <row r="14">
      <c r="A14" s="75">
        <v>12.0</v>
      </c>
      <c r="B14" s="217" t="s">
        <v>1446</v>
      </c>
      <c r="C14" s="217">
        <v>4368644.0</v>
      </c>
      <c r="D14" s="217">
        <v>1.0</v>
      </c>
      <c r="E14" s="577" t="s">
        <v>38</v>
      </c>
      <c r="F14" s="578" t="s">
        <v>40</v>
      </c>
      <c r="G14" s="190">
        <f t="shared" si="1"/>
        <v>4368644</v>
      </c>
      <c r="H14" s="190">
        <f t="shared" si="2"/>
        <v>364053.6667</v>
      </c>
      <c r="I14" s="579">
        <f>IFERROR(__xludf.DUMMYFUNCTION("""COMPUTED_VALUE"""),4161737.0)</f>
        <v>4161737</v>
      </c>
      <c r="J14" s="124"/>
      <c r="K14" s="164" t="s">
        <v>1062</v>
      </c>
    </row>
    <row r="15">
      <c r="A15" s="75">
        <v>13.0</v>
      </c>
      <c r="B15" s="217" t="s">
        <v>1447</v>
      </c>
      <c r="C15" s="217">
        <v>281552.0</v>
      </c>
      <c r="D15" s="217">
        <v>1.0</v>
      </c>
      <c r="E15" s="577" t="s">
        <v>190</v>
      </c>
      <c r="F15" s="578" t="s">
        <v>1016</v>
      </c>
      <c r="G15" s="190">
        <f t="shared" si="1"/>
        <v>281552</v>
      </c>
      <c r="H15" s="190">
        <f t="shared" si="2"/>
        <v>23462.66667</v>
      </c>
      <c r="I15" s="579">
        <f>IFERROR(__xludf.DUMMYFUNCTION("""COMPUTED_VALUE"""),165616.0)</f>
        <v>165616</v>
      </c>
      <c r="J15" s="124"/>
      <c r="K15" s="164" t="s">
        <v>1042</v>
      </c>
    </row>
    <row r="16">
      <c r="A16" s="75">
        <v>14.0</v>
      </c>
      <c r="B16" s="217" t="s">
        <v>1448</v>
      </c>
      <c r="C16" s="217">
        <v>197927.0</v>
      </c>
      <c r="D16" s="217">
        <v>1.0</v>
      </c>
      <c r="E16" s="577" t="s">
        <v>867</v>
      </c>
      <c r="F16" s="578" t="s">
        <v>1094</v>
      </c>
      <c r="G16" s="190">
        <f t="shared" si="1"/>
        <v>197927</v>
      </c>
      <c r="H16" s="190">
        <f t="shared" si="2"/>
        <v>16493.91667</v>
      </c>
      <c r="I16" s="579">
        <f>IFERROR(__xludf.DUMMYFUNCTION("""COMPUTED_VALUE"""),888252.0)</f>
        <v>888252</v>
      </c>
      <c r="J16" s="124"/>
      <c r="K16" s="164" t="s">
        <v>1066</v>
      </c>
    </row>
    <row r="17">
      <c r="A17" s="75">
        <v>15.0</v>
      </c>
      <c r="B17" s="217" t="s">
        <v>1449</v>
      </c>
      <c r="C17" s="217">
        <v>2191507.0</v>
      </c>
      <c r="D17" s="217">
        <v>2.0</v>
      </c>
      <c r="E17" s="577" t="s">
        <v>1450</v>
      </c>
      <c r="F17" s="578" t="s">
        <v>130</v>
      </c>
      <c r="G17" s="190">
        <f t="shared" si="1"/>
        <v>1095753.5</v>
      </c>
      <c r="H17" s="190">
        <f t="shared" si="2"/>
        <v>91312.79167</v>
      </c>
      <c r="I17" s="579">
        <f>IFERROR(__xludf.DUMMYFUNCTION("""COMPUTED_VALUE"""),2224050.0)</f>
        <v>2224050</v>
      </c>
      <c r="J17" s="124"/>
      <c r="K17" s="164" t="s">
        <v>1027</v>
      </c>
    </row>
    <row r="18">
      <c r="A18" s="75">
        <v>16.0</v>
      </c>
      <c r="B18" s="217" t="s">
        <v>1451</v>
      </c>
      <c r="C18" s="217">
        <v>2.1533704E8</v>
      </c>
      <c r="D18" s="217">
        <v>12.0</v>
      </c>
      <c r="E18" s="577" t="s">
        <v>1452</v>
      </c>
      <c r="F18" s="578" t="s">
        <v>1016</v>
      </c>
      <c r="G18" s="190">
        <f t="shared" si="1"/>
        <v>17944753.33</v>
      </c>
      <c r="H18" s="190">
        <f t="shared" si="2"/>
        <v>1495396.111</v>
      </c>
      <c r="I18" s="579">
        <f>IFERROR(__xludf.DUMMYFUNCTION("""COMPUTED_VALUE"""),5.3596782E7)</f>
        <v>53596782</v>
      </c>
      <c r="J18" s="124"/>
      <c r="K18" s="164" t="s">
        <v>1091</v>
      </c>
    </row>
    <row r="19">
      <c r="A19" s="75">
        <v>17.0</v>
      </c>
      <c r="B19" s="217" t="s">
        <v>1453</v>
      </c>
      <c r="C19" s="217">
        <v>2796317.0</v>
      </c>
      <c r="D19" s="217">
        <v>7.0</v>
      </c>
      <c r="E19" s="577" t="s">
        <v>1454</v>
      </c>
      <c r="F19" s="578" t="s">
        <v>1016</v>
      </c>
      <c r="G19" s="190">
        <f t="shared" si="1"/>
        <v>399473.8571</v>
      </c>
      <c r="H19" s="190">
        <f t="shared" si="2"/>
        <v>33289.4881</v>
      </c>
      <c r="I19" s="579">
        <f>IFERROR(__xludf.DUMMYFUNCTION("""COMPUTED_VALUE"""),1.0464984E7)</f>
        <v>10464984</v>
      </c>
      <c r="J19" s="124"/>
      <c r="K19" s="164" t="s">
        <v>1092</v>
      </c>
    </row>
    <row r="20">
      <c r="A20" s="75">
        <v>18.0</v>
      </c>
      <c r="B20" s="217" t="s">
        <v>1455</v>
      </c>
      <c r="C20" s="217">
        <v>1037017.0</v>
      </c>
      <c r="D20" s="217">
        <v>1.0</v>
      </c>
      <c r="E20" s="577" t="s">
        <v>35</v>
      </c>
      <c r="F20" s="578" t="s">
        <v>1110</v>
      </c>
      <c r="G20" s="190">
        <f t="shared" si="1"/>
        <v>1037017</v>
      </c>
      <c r="H20" s="190">
        <f t="shared" si="2"/>
        <v>86418.08333</v>
      </c>
      <c r="I20" s="579">
        <f>IFERROR(__xludf.DUMMYFUNCTION("""COMPUTED_VALUE"""),184950.0)</f>
        <v>184950</v>
      </c>
      <c r="J20" s="124"/>
      <c r="K20" s="164" t="s">
        <v>1058</v>
      </c>
    </row>
    <row r="21">
      <c r="A21" s="75">
        <v>19.0</v>
      </c>
      <c r="B21" s="217" t="s">
        <v>1456</v>
      </c>
      <c r="C21" s="217">
        <v>8112650.0</v>
      </c>
      <c r="D21" s="217">
        <v>2.0</v>
      </c>
      <c r="E21" s="577" t="s">
        <v>1457</v>
      </c>
      <c r="F21" s="578" t="s">
        <v>130</v>
      </c>
      <c r="G21" s="190">
        <f t="shared" si="1"/>
        <v>4056325</v>
      </c>
      <c r="H21" s="190">
        <f t="shared" si="2"/>
        <v>338027.0833</v>
      </c>
      <c r="I21" s="579">
        <f>IFERROR(__xludf.DUMMYFUNCTION("""COMPUTED_VALUE"""),4458418.0)</f>
        <v>4458418</v>
      </c>
      <c r="J21" s="124"/>
      <c r="K21" s="164" t="s">
        <v>1051</v>
      </c>
    </row>
    <row r="22">
      <c r="A22" s="75">
        <v>20.0</v>
      </c>
      <c r="B22" s="217" t="s">
        <v>1458</v>
      </c>
      <c r="C22" s="217">
        <v>250417.0</v>
      </c>
      <c r="D22" s="217">
        <v>2.0</v>
      </c>
      <c r="E22" s="577" t="s">
        <v>1459</v>
      </c>
      <c r="F22" s="578" t="s">
        <v>1016</v>
      </c>
      <c r="G22" s="190">
        <f t="shared" si="1"/>
        <v>125208.5</v>
      </c>
      <c r="H22" s="190">
        <f t="shared" si="2"/>
        <v>10434.04167</v>
      </c>
      <c r="I22" s="579">
        <f>IFERROR(__xludf.DUMMYFUNCTION("""COMPUTED_VALUE"""),3.4187182E7)</f>
        <v>34187182</v>
      </c>
      <c r="J22" s="124"/>
      <c r="K22" s="164" t="s">
        <v>1443</v>
      </c>
    </row>
    <row r="23">
      <c r="A23" s="75">
        <v>21.0</v>
      </c>
      <c r="B23" s="217" t="s">
        <v>1460</v>
      </c>
      <c r="C23" s="217">
        <v>234193.0</v>
      </c>
      <c r="D23" s="217">
        <v>2.0</v>
      </c>
      <c r="E23" s="577" t="s">
        <v>1461</v>
      </c>
      <c r="F23" s="578" t="s">
        <v>130</v>
      </c>
      <c r="G23" s="190">
        <f t="shared" si="1"/>
        <v>117096.5</v>
      </c>
      <c r="H23" s="190">
        <f t="shared" si="2"/>
        <v>9758.041667</v>
      </c>
      <c r="I23" s="579">
        <f>IFERROR(__xludf.DUMMYFUNCTION("""COMPUTED_VALUE"""),226632.0)</f>
        <v>226632</v>
      </c>
      <c r="J23" s="124"/>
      <c r="K23" s="164" t="s">
        <v>1110</v>
      </c>
    </row>
    <row r="24">
      <c r="A24" s="75">
        <v>22.0</v>
      </c>
      <c r="B24" s="217" t="s">
        <v>1462</v>
      </c>
      <c r="C24" s="217">
        <v>1.0588063E7</v>
      </c>
      <c r="D24" s="217">
        <v>1.0</v>
      </c>
      <c r="E24" s="577" t="s">
        <v>33</v>
      </c>
      <c r="F24" s="578" t="s">
        <v>30</v>
      </c>
      <c r="G24" s="190">
        <f t="shared" si="1"/>
        <v>10588063</v>
      </c>
      <c r="H24" s="190">
        <f t="shared" si="2"/>
        <v>882338.5833</v>
      </c>
      <c r="I24" s="579">
        <f>IFERROR(__xludf.DUMMYFUNCTION("""COMPUTED_VALUE"""),8994899.0)</f>
        <v>8994899</v>
      </c>
      <c r="J24" s="124"/>
      <c r="K24" s="164" t="s">
        <v>1016</v>
      </c>
    </row>
    <row r="25">
      <c r="A25" s="75">
        <v>23.0</v>
      </c>
      <c r="B25" s="217" t="s">
        <v>1463</v>
      </c>
      <c r="C25" s="217">
        <v>1.67976175E8</v>
      </c>
      <c r="D25" s="217">
        <v>9.0</v>
      </c>
      <c r="E25" s="577" t="s">
        <v>1464</v>
      </c>
      <c r="F25" s="578" t="s">
        <v>1016</v>
      </c>
      <c r="G25" s="190">
        <f t="shared" si="1"/>
        <v>18664019.44</v>
      </c>
      <c r="H25" s="190">
        <f t="shared" si="2"/>
        <v>1555334.954</v>
      </c>
      <c r="I25" s="579">
        <f>IFERROR(__xludf.DUMMYFUNCTION("""COMPUTED_VALUE"""),1.5857802E8)</f>
        <v>158578020</v>
      </c>
      <c r="J25" s="124"/>
      <c r="K25" s="164" t="s">
        <v>30</v>
      </c>
    </row>
    <row r="26">
      <c r="A26" s="75">
        <v>24.0</v>
      </c>
      <c r="B26" s="217" t="s">
        <v>1465</v>
      </c>
      <c r="C26" s="217">
        <v>17561.0</v>
      </c>
      <c r="D26" s="217">
        <v>1.0</v>
      </c>
      <c r="E26" s="577" t="s">
        <v>197</v>
      </c>
      <c r="F26" s="578" t="s">
        <v>1016</v>
      </c>
      <c r="G26" s="190">
        <f t="shared" si="1"/>
        <v>17561</v>
      </c>
      <c r="H26" s="190">
        <f t="shared" si="2"/>
        <v>1463.416667</v>
      </c>
      <c r="I26" s="579">
        <f>IFERROR(__xludf.DUMMYFUNCTION("""COMPUTED_VALUE"""),1560856.0)</f>
        <v>1560856</v>
      </c>
      <c r="J26" s="124"/>
    </row>
    <row r="27">
      <c r="A27" s="75">
        <v>25.0</v>
      </c>
      <c r="B27" s="217" t="s">
        <v>1466</v>
      </c>
      <c r="C27" s="217">
        <v>4892846.0</v>
      </c>
      <c r="D27" s="217">
        <v>1.0</v>
      </c>
      <c r="E27" s="577" t="s">
        <v>128</v>
      </c>
      <c r="F27" s="578" t="s">
        <v>130</v>
      </c>
      <c r="G27" s="190">
        <f t="shared" si="1"/>
        <v>4892846</v>
      </c>
      <c r="H27" s="190">
        <f t="shared" si="2"/>
        <v>407737.1667</v>
      </c>
      <c r="I27" s="579">
        <f>IFERROR(__xludf.DUMMYFUNCTION("""COMPUTED_VALUE"""),4690240.0)</f>
        <v>4690240</v>
      </c>
      <c r="J27" s="124"/>
    </row>
    <row r="28">
      <c r="A28" s="75">
        <v>26.0</v>
      </c>
      <c r="B28" s="217" t="s">
        <v>1467</v>
      </c>
      <c r="C28" s="217">
        <v>6961370.0</v>
      </c>
      <c r="D28" s="217">
        <v>2.0</v>
      </c>
      <c r="E28" s="577" t="s">
        <v>1468</v>
      </c>
      <c r="F28" s="578" t="s">
        <v>1061</v>
      </c>
      <c r="G28" s="190">
        <f t="shared" si="1"/>
        <v>3480685</v>
      </c>
      <c r="H28" s="190">
        <f t="shared" si="2"/>
        <v>290057.0833</v>
      </c>
      <c r="I28" s="579">
        <f>IFERROR(__xludf.DUMMYFUNCTION("""COMPUTED_VALUE"""),7709321.0)</f>
        <v>7709321</v>
      </c>
      <c r="J28" s="124"/>
    </row>
    <row r="29">
      <c r="A29" s="75">
        <v>27.0</v>
      </c>
      <c r="B29" s="217" t="s">
        <v>1469</v>
      </c>
      <c r="C29" s="217">
        <v>1.7398744E7</v>
      </c>
      <c r="D29" s="217">
        <v>1.0</v>
      </c>
      <c r="E29" s="577" t="s">
        <v>213</v>
      </c>
      <c r="F29" s="578" t="s">
        <v>1064</v>
      </c>
      <c r="G29" s="190">
        <f t="shared" si="1"/>
        <v>17398744</v>
      </c>
      <c r="H29" s="190">
        <f t="shared" si="2"/>
        <v>1449895.333</v>
      </c>
      <c r="I29" s="579">
        <f>IFERROR(__xludf.DUMMYFUNCTION("""COMPUTED_VALUE"""),2.9805293E7)</f>
        <v>29805293</v>
      </c>
      <c r="J29" s="124"/>
    </row>
    <row r="30">
      <c r="A30" s="75">
        <v>28.0</v>
      </c>
      <c r="B30" s="217" t="s">
        <v>1470</v>
      </c>
      <c r="C30" s="217">
        <v>1.3733298E7</v>
      </c>
      <c r="D30" s="217">
        <v>2.0</v>
      </c>
      <c r="E30" s="577" t="s">
        <v>1471</v>
      </c>
      <c r="F30" s="578" t="s">
        <v>1051</v>
      </c>
      <c r="G30" s="190">
        <f t="shared" si="1"/>
        <v>6866649</v>
      </c>
      <c r="H30" s="190">
        <f t="shared" si="2"/>
        <v>572220.75</v>
      </c>
      <c r="I30" s="579">
        <f>IFERROR(__xludf.DUMMYFUNCTION("""COMPUTED_VALUE"""),2.0710844E7)</f>
        <v>20710844</v>
      </c>
      <c r="J30" s="124"/>
    </row>
    <row r="31">
      <c r="A31" s="75">
        <v>29.0</v>
      </c>
      <c r="B31" s="217" t="s">
        <v>1472</v>
      </c>
      <c r="C31" s="217">
        <v>249956.0</v>
      </c>
      <c r="D31" s="217">
        <v>1.0</v>
      </c>
      <c r="E31" s="577" t="s">
        <v>62</v>
      </c>
      <c r="F31" s="578" t="s">
        <v>1092</v>
      </c>
      <c r="G31" s="190">
        <f t="shared" si="1"/>
        <v>249956</v>
      </c>
      <c r="H31" s="190">
        <f t="shared" si="2"/>
        <v>20829.66667</v>
      </c>
      <c r="I31" s="579">
        <f>IFERROR(__xludf.DUMMYFUNCTION("""COMPUTED_VALUE"""),1531583.0)</f>
        <v>1531583</v>
      </c>
      <c r="J31" s="124"/>
    </row>
    <row r="32">
      <c r="A32" s="75">
        <v>30.0</v>
      </c>
      <c r="B32" s="217" t="s">
        <v>1473</v>
      </c>
      <c r="C32" s="217">
        <v>3.1816176E7</v>
      </c>
      <c r="D32" s="217">
        <v>1.0</v>
      </c>
      <c r="E32" s="577" t="s">
        <v>267</v>
      </c>
      <c r="F32" s="578" t="s">
        <v>1064</v>
      </c>
      <c r="G32" s="190">
        <f t="shared" si="1"/>
        <v>31816176</v>
      </c>
      <c r="H32" s="190">
        <f t="shared" si="2"/>
        <v>2651348</v>
      </c>
      <c r="I32" s="579">
        <f>IFERROR(__xludf.DUMMYFUNCTION("""COMPUTED_VALUE"""),3.5301275E7)</f>
        <v>35301275</v>
      </c>
      <c r="J32" s="124"/>
    </row>
    <row r="33">
      <c r="A33" s="75">
        <v>31.0</v>
      </c>
      <c r="B33" s="217" t="s">
        <v>1474</v>
      </c>
      <c r="C33" s="217">
        <v>212905.0</v>
      </c>
      <c r="D33" s="217">
        <v>1.0</v>
      </c>
      <c r="E33" s="577" t="s">
        <v>335</v>
      </c>
      <c r="F33" s="578" t="s">
        <v>30</v>
      </c>
      <c r="G33" s="190">
        <f t="shared" si="1"/>
        <v>212905</v>
      </c>
      <c r="H33" s="190">
        <f t="shared" si="2"/>
        <v>17742.08333</v>
      </c>
      <c r="I33" s="579">
        <f>IFERROR(__xludf.DUMMYFUNCTION("""COMPUTED_VALUE"""),0.0)</f>
        <v>0</v>
      </c>
      <c r="J33" s="124" t="str">
        <f>IFERROR(__xludf.DUMMYFUNCTION("""COMPUTED_VALUE"""),"OLD STOCK")</f>
        <v>OLD STOCK</v>
      </c>
    </row>
    <row r="34">
      <c r="A34" s="75">
        <v>32.0</v>
      </c>
      <c r="B34" s="217" t="s">
        <v>1475</v>
      </c>
      <c r="C34" s="217">
        <v>8333.0</v>
      </c>
      <c r="D34" s="217">
        <v>1.0</v>
      </c>
      <c r="E34" s="577" t="s">
        <v>418</v>
      </c>
      <c r="F34" s="578" t="s">
        <v>1016</v>
      </c>
      <c r="G34" s="190">
        <f t="shared" si="1"/>
        <v>8333</v>
      </c>
      <c r="H34" s="190">
        <f t="shared" si="2"/>
        <v>694.4166667</v>
      </c>
      <c r="I34" s="579">
        <f>IFERROR(__xludf.DUMMYFUNCTION("""COMPUTED_VALUE"""),1709375.0)</f>
        <v>1709375</v>
      </c>
      <c r="J34" s="124"/>
    </row>
    <row r="35">
      <c r="A35" s="75">
        <v>33.0</v>
      </c>
      <c r="B35" s="217" t="s">
        <v>1476</v>
      </c>
      <c r="C35" s="217">
        <v>122055.0</v>
      </c>
      <c r="D35" s="217">
        <v>2.0</v>
      </c>
      <c r="E35" s="577" t="s">
        <v>1477</v>
      </c>
      <c r="F35" s="578" t="s">
        <v>1092</v>
      </c>
      <c r="G35" s="190">
        <f t="shared" si="1"/>
        <v>61027.5</v>
      </c>
      <c r="H35" s="190">
        <f t="shared" si="2"/>
        <v>5085.625</v>
      </c>
      <c r="I35" s="579">
        <f>IFERROR(__xludf.DUMMYFUNCTION("""COMPUTED_VALUE"""),0.0)</f>
        <v>0</v>
      </c>
      <c r="J35" s="124"/>
    </row>
    <row r="36">
      <c r="A36" s="75">
        <v>34.0</v>
      </c>
      <c r="B36" s="217" t="s">
        <v>1478</v>
      </c>
      <c r="C36" s="217">
        <v>217852.0</v>
      </c>
      <c r="D36" s="217">
        <v>1.0</v>
      </c>
      <c r="E36" s="577" t="s">
        <v>255</v>
      </c>
      <c r="F36" s="578" t="s">
        <v>1031</v>
      </c>
      <c r="G36" s="190">
        <f t="shared" si="1"/>
        <v>217852</v>
      </c>
      <c r="H36" s="190">
        <f t="shared" si="2"/>
        <v>18154.33333</v>
      </c>
      <c r="I36" s="579">
        <f>IFERROR(__xludf.DUMMYFUNCTION("""COMPUTED_VALUE"""),0.0)</f>
        <v>0</v>
      </c>
      <c r="J36" s="124"/>
    </row>
    <row r="37">
      <c r="A37" s="75">
        <v>35.0</v>
      </c>
      <c r="B37" s="217" t="s">
        <v>1479</v>
      </c>
      <c r="C37" s="217">
        <v>44969.0</v>
      </c>
      <c r="D37" s="217">
        <v>1.0</v>
      </c>
      <c r="E37" s="577" t="s">
        <v>418</v>
      </c>
      <c r="F37" s="578" t="s">
        <v>1016</v>
      </c>
      <c r="G37" s="190">
        <f t="shared" si="1"/>
        <v>44969</v>
      </c>
      <c r="H37" s="190">
        <f t="shared" si="2"/>
        <v>3747.416667</v>
      </c>
      <c r="I37" s="579">
        <f>IFERROR(__xludf.DUMMYFUNCTION("""COMPUTED_VALUE"""),0.0)</f>
        <v>0</v>
      </c>
      <c r="J37" s="124"/>
    </row>
    <row r="38">
      <c r="A38" s="75">
        <v>36.0</v>
      </c>
      <c r="B38" s="217" t="s">
        <v>1480</v>
      </c>
      <c r="C38" s="217">
        <v>1224093.0</v>
      </c>
      <c r="D38" s="217">
        <v>1.0</v>
      </c>
      <c r="E38" s="577" t="s">
        <v>146</v>
      </c>
      <c r="F38" s="578" t="s">
        <v>130</v>
      </c>
      <c r="G38" s="190">
        <f t="shared" si="1"/>
        <v>1224093</v>
      </c>
      <c r="H38" s="190">
        <f t="shared" si="2"/>
        <v>102007.75</v>
      </c>
      <c r="I38" s="579">
        <f>IFERROR(__xludf.DUMMYFUNCTION("""COMPUTED_VALUE"""),6331650.0)</f>
        <v>6331650</v>
      </c>
      <c r="J38" s="124"/>
    </row>
    <row r="39">
      <c r="A39" s="75">
        <v>37.0</v>
      </c>
      <c r="B39" s="217" t="s">
        <v>1481</v>
      </c>
      <c r="C39" s="217">
        <v>59645.0</v>
      </c>
      <c r="D39" s="217">
        <v>1.0</v>
      </c>
      <c r="E39" s="577" t="s">
        <v>311</v>
      </c>
      <c r="F39" s="578" t="s">
        <v>1066</v>
      </c>
      <c r="G39" s="190">
        <f t="shared" si="1"/>
        <v>59645</v>
      </c>
      <c r="H39" s="190">
        <f t="shared" si="2"/>
        <v>4970.416667</v>
      </c>
      <c r="I39" s="579">
        <f>IFERROR(__xludf.DUMMYFUNCTION("""COMPUTED_VALUE"""),0.0)</f>
        <v>0</v>
      </c>
      <c r="J39" s="124"/>
    </row>
    <row r="40">
      <c r="A40" s="75">
        <v>38.0</v>
      </c>
      <c r="B40" s="217" t="s">
        <v>1482</v>
      </c>
      <c r="C40" s="217">
        <v>362791.0</v>
      </c>
      <c r="D40" s="217">
        <v>1.0</v>
      </c>
      <c r="E40" s="577" t="s">
        <v>54</v>
      </c>
      <c r="F40" s="578" t="s">
        <v>1092</v>
      </c>
      <c r="G40" s="190">
        <f t="shared" si="1"/>
        <v>362791</v>
      </c>
      <c r="H40" s="190">
        <f t="shared" si="2"/>
        <v>30232.58333</v>
      </c>
      <c r="I40" s="579">
        <f>IFERROR(__xludf.DUMMYFUNCTION("""COMPUTED_VALUE"""),701767.0)</f>
        <v>701767</v>
      </c>
      <c r="J40" s="124"/>
    </row>
    <row r="41">
      <c r="A41" s="75">
        <v>39.0</v>
      </c>
      <c r="B41" s="217" t="s">
        <v>1483</v>
      </c>
      <c r="C41" s="217">
        <v>1012674.0</v>
      </c>
      <c r="D41" s="217">
        <v>1.0</v>
      </c>
      <c r="E41" s="577" t="s">
        <v>35</v>
      </c>
      <c r="F41" s="578" t="s">
        <v>1110</v>
      </c>
      <c r="G41" s="190">
        <f t="shared" si="1"/>
        <v>1012674</v>
      </c>
      <c r="H41" s="190">
        <f t="shared" si="2"/>
        <v>84389.5</v>
      </c>
      <c r="I41" s="579">
        <f>IFERROR(__xludf.DUMMYFUNCTION("""COMPUTED_VALUE"""),328029.0)</f>
        <v>328029</v>
      </c>
      <c r="J41" s="124"/>
    </row>
    <row r="42">
      <c r="A42" s="75">
        <v>40.0</v>
      </c>
      <c r="B42" s="217" t="s">
        <v>1484</v>
      </c>
      <c r="C42" s="217">
        <v>823091.0</v>
      </c>
      <c r="D42" s="217">
        <v>1.0</v>
      </c>
      <c r="E42" s="577" t="s">
        <v>183</v>
      </c>
      <c r="F42" s="578" t="s">
        <v>1042</v>
      </c>
      <c r="G42" s="190">
        <f t="shared" si="1"/>
        <v>823091</v>
      </c>
      <c r="H42" s="190">
        <f t="shared" si="2"/>
        <v>68590.91667</v>
      </c>
      <c r="I42" s="579">
        <f>IFERROR(__xludf.DUMMYFUNCTION("""COMPUTED_VALUE"""),3562649.0)</f>
        <v>3562649</v>
      </c>
      <c r="J42" s="124"/>
    </row>
    <row r="43">
      <c r="A43" s="75">
        <v>41.0</v>
      </c>
      <c r="B43" s="217" t="s">
        <v>1485</v>
      </c>
      <c r="C43" s="217">
        <v>3797967.0</v>
      </c>
      <c r="D43" s="217">
        <v>1.0</v>
      </c>
      <c r="E43" s="577" t="s">
        <v>223</v>
      </c>
      <c r="F43" s="578" t="s">
        <v>1443</v>
      </c>
      <c r="G43" s="190">
        <f t="shared" si="1"/>
        <v>3797967</v>
      </c>
      <c r="H43" s="190">
        <f t="shared" si="2"/>
        <v>316497.25</v>
      </c>
      <c r="I43" s="579">
        <f>IFERROR(__xludf.DUMMYFUNCTION("""COMPUTED_VALUE"""),1676552.0)</f>
        <v>1676552</v>
      </c>
      <c r="J43" s="124"/>
    </row>
    <row r="44">
      <c r="A44" s="75">
        <v>42.0</v>
      </c>
      <c r="B44" s="217" t="s">
        <v>1486</v>
      </c>
      <c r="C44" s="217">
        <v>4918952.0</v>
      </c>
      <c r="D44" s="217">
        <v>1.0</v>
      </c>
      <c r="E44" s="577" t="s">
        <v>442</v>
      </c>
      <c r="F44" s="578" t="s">
        <v>1061</v>
      </c>
      <c r="G44" s="190">
        <f t="shared" si="1"/>
        <v>4918952</v>
      </c>
      <c r="H44" s="190">
        <f t="shared" si="2"/>
        <v>409912.6667</v>
      </c>
      <c r="I44" s="579">
        <f>IFERROR(__xludf.DUMMYFUNCTION("""COMPUTED_VALUE"""),4095760.0)</f>
        <v>4095760</v>
      </c>
      <c r="J44" s="124"/>
    </row>
    <row r="45">
      <c r="A45" s="75">
        <v>43.0</v>
      </c>
      <c r="B45" s="217" t="s">
        <v>1487</v>
      </c>
      <c r="C45" s="217">
        <v>1.1330364E7</v>
      </c>
      <c r="D45" s="217">
        <v>1.0</v>
      </c>
      <c r="E45" s="577" t="s">
        <v>146</v>
      </c>
      <c r="F45" s="578" t="s">
        <v>130</v>
      </c>
      <c r="G45" s="190">
        <f t="shared" si="1"/>
        <v>11330364</v>
      </c>
      <c r="H45" s="190">
        <f t="shared" si="2"/>
        <v>944197</v>
      </c>
      <c r="I45" s="579">
        <f>IFERROR(__xludf.DUMMYFUNCTION("""COMPUTED_VALUE"""),4886804.0)</f>
        <v>4886804</v>
      </c>
      <c r="J45" s="124"/>
    </row>
    <row r="46">
      <c r="A46" s="75">
        <v>44.0</v>
      </c>
      <c r="B46" s="217" t="s">
        <v>1488</v>
      </c>
      <c r="C46" s="217">
        <v>773635.0</v>
      </c>
      <c r="D46" s="217">
        <v>2.0</v>
      </c>
      <c r="E46" s="577" t="s">
        <v>1489</v>
      </c>
      <c r="F46" s="578" t="s">
        <v>1066</v>
      </c>
      <c r="G46" s="190">
        <f t="shared" si="1"/>
        <v>386817.5</v>
      </c>
      <c r="H46" s="190">
        <f t="shared" si="2"/>
        <v>32234.79167</v>
      </c>
      <c r="I46" s="579">
        <f>IFERROR(__xludf.DUMMYFUNCTION("""COMPUTED_VALUE"""),938197.0)</f>
        <v>938197</v>
      </c>
      <c r="J46" s="124"/>
    </row>
    <row r="47">
      <c r="A47" s="75">
        <v>45.0</v>
      </c>
      <c r="B47" s="217" t="s">
        <v>1490</v>
      </c>
      <c r="C47" s="217">
        <v>494517.0</v>
      </c>
      <c r="D47" s="217">
        <v>1.0</v>
      </c>
      <c r="E47" s="577" t="s">
        <v>35</v>
      </c>
      <c r="F47" s="578" t="s">
        <v>1110</v>
      </c>
      <c r="G47" s="190">
        <f t="shared" si="1"/>
        <v>494517</v>
      </c>
      <c r="H47" s="190">
        <f t="shared" si="2"/>
        <v>41209.75</v>
      </c>
      <c r="I47" s="579">
        <f>IFERROR(__xludf.DUMMYFUNCTION("""COMPUTED_VALUE"""),1550168.0)</f>
        <v>1550168</v>
      </c>
      <c r="J47" s="124"/>
    </row>
    <row r="48">
      <c r="A48" s="75">
        <v>46.0</v>
      </c>
      <c r="B48" s="217" t="s">
        <v>1491</v>
      </c>
      <c r="C48" s="217">
        <v>6.8777079E7</v>
      </c>
      <c r="D48" s="217">
        <v>2.0</v>
      </c>
      <c r="E48" s="577" t="s">
        <v>1492</v>
      </c>
      <c r="F48" s="578" t="s">
        <v>1064</v>
      </c>
      <c r="G48" s="190">
        <f t="shared" si="1"/>
        <v>34388539.5</v>
      </c>
      <c r="H48" s="190">
        <f t="shared" si="2"/>
        <v>2865711.625</v>
      </c>
      <c r="I48" s="579">
        <f>IFERROR(__xludf.DUMMYFUNCTION("""COMPUTED_VALUE"""),1.0041969E8)</f>
        <v>100419690</v>
      </c>
      <c r="J48" s="124"/>
    </row>
    <row r="49">
      <c r="A49" s="75">
        <v>47.0</v>
      </c>
      <c r="B49" s="217" t="s">
        <v>1493</v>
      </c>
      <c r="C49" s="217">
        <v>335900.0</v>
      </c>
      <c r="D49" s="217">
        <v>1.0</v>
      </c>
      <c r="E49" s="577" t="s">
        <v>418</v>
      </c>
      <c r="F49" s="578" t="s">
        <v>1016</v>
      </c>
      <c r="G49" s="190">
        <f t="shared" si="1"/>
        <v>335900</v>
      </c>
      <c r="H49" s="190">
        <f t="shared" si="2"/>
        <v>27991.66667</v>
      </c>
      <c r="I49" s="579">
        <f>IFERROR(__xludf.DUMMYFUNCTION("""COMPUTED_VALUE"""),1065762.0)</f>
        <v>1065762</v>
      </c>
      <c r="J49" s="124"/>
    </row>
    <row r="50">
      <c r="A50" s="75">
        <v>48.0</v>
      </c>
      <c r="B50" s="217" t="s">
        <v>1494</v>
      </c>
      <c r="C50" s="217">
        <v>371000.0</v>
      </c>
      <c r="D50" s="217">
        <v>2.0</v>
      </c>
      <c r="E50" s="577" t="s">
        <v>1477</v>
      </c>
      <c r="F50" s="578" t="s">
        <v>1092</v>
      </c>
      <c r="G50" s="190">
        <f t="shared" si="1"/>
        <v>185500</v>
      </c>
      <c r="H50" s="190">
        <f t="shared" si="2"/>
        <v>15458.33333</v>
      </c>
      <c r="I50" s="579">
        <f>IFERROR(__xludf.DUMMYFUNCTION("""COMPUTED_VALUE"""),286475.0)</f>
        <v>286475</v>
      </c>
      <c r="J50" s="124"/>
    </row>
    <row r="51">
      <c r="A51" s="75">
        <v>49.0</v>
      </c>
      <c r="B51" s="217" t="s">
        <v>1495</v>
      </c>
      <c r="C51" s="217">
        <v>6613036.0</v>
      </c>
      <c r="D51" s="217">
        <v>2.0</v>
      </c>
      <c r="E51" s="577" t="s">
        <v>1457</v>
      </c>
      <c r="F51" s="578" t="s">
        <v>130</v>
      </c>
      <c r="G51" s="190">
        <f t="shared" si="1"/>
        <v>3306518</v>
      </c>
      <c r="H51" s="190">
        <f t="shared" si="2"/>
        <v>275543.1667</v>
      </c>
      <c r="I51" s="579">
        <f>IFERROR(__xludf.DUMMYFUNCTION("""COMPUTED_VALUE"""),5675158.0)</f>
        <v>5675158</v>
      </c>
      <c r="J51" s="124"/>
    </row>
    <row r="52">
      <c r="A52" s="75">
        <v>50.0</v>
      </c>
      <c r="B52" s="217" t="s">
        <v>1496</v>
      </c>
      <c r="C52" s="217">
        <v>4449517.0</v>
      </c>
      <c r="D52" s="217">
        <v>2.0</v>
      </c>
      <c r="E52" s="577" t="s">
        <v>1497</v>
      </c>
      <c r="F52" s="578" t="s">
        <v>1016</v>
      </c>
      <c r="G52" s="190">
        <f t="shared" si="1"/>
        <v>2224758.5</v>
      </c>
      <c r="H52" s="190">
        <f t="shared" si="2"/>
        <v>185396.5417</v>
      </c>
      <c r="I52" s="579">
        <f>IFERROR(__xludf.DUMMYFUNCTION("""COMPUTED_VALUE"""),2.3703489E7)</f>
        <v>23703489</v>
      </c>
      <c r="J52" s="124"/>
    </row>
    <row r="53">
      <c r="A53" s="75">
        <v>51.0</v>
      </c>
      <c r="B53" s="217" t="s">
        <v>1498</v>
      </c>
      <c r="C53" s="217">
        <v>15141.0</v>
      </c>
      <c r="D53" s="217">
        <v>1.0</v>
      </c>
      <c r="E53" s="577" t="s">
        <v>630</v>
      </c>
      <c r="F53" s="578" t="s">
        <v>1058</v>
      </c>
      <c r="G53" s="190">
        <f t="shared" si="1"/>
        <v>15141</v>
      </c>
      <c r="H53" s="190">
        <f t="shared" si="2"/>
        <v>1261.75</v>
      </c>
      <c r="I53" s="579">
        <f>IFERROR(__xludf.DUMMYFUNCTION("""COMPUTED_VALUE"""),0.0)</f>
        <v>0</v>
      </c>
      <c r="J53" s="124"/>
    </row>
    <row r="54">
      <c r="A54" s="75">
        <v>52.0</v>
      </c>
      <c r="B54" s="217" t="s">
        <v>1499</v>
      </c>
      <c r="C54" s="217">
        <v>260406.0</v>
      </c>
      <c r="D54" s="217">
        <v>2.0</v>
      </c>
      <c r="E54" s="577" t="s">
        <v>1500</v>
      </c>
      <c r="F54" s="578" t="s">
        <v>30</v>
      </c>
      <c r="G54" s="190">
        <f t="shared" si="1"/>
        <v>130203</v>
      </c>
      <c r="H54" s="190">
        <f t="shared" si="2"/>
        <v>10850.25</v>
      </c>
      <c r="I54" s="579">
        <f>IFERROR(__xludf.DUMMYFUNCTION("""COMPUTED_VALUE"""),706480.0)</f>
        <v>706480</v>
      </c>
      <c r="J54" s="124"/>
    </row>
    <row r="55">
      <c r="A55" s="75">
        <v>53.0</v>
      </c>
      <c r="B55" s="217" t="s">
        <v>1501</v>
      </c>
      <c r="C55" s="217">
        <v>135424.0</v>
      </c>
      <c r="D55" s="217">
        <v>1.0</v>
      </c>
      <c r="E55" s="577" t="s">
        <v>363</v>
      </c>
      <c r="F55" s="578" t="s">
        <v>1077</v>
      </c>
      <c r="G55" s="190">
        <f t="shared" si="1"/>
        <v>135424</v>
      </c>
      <c r="H55" s="190">
        <f t="shared" si="2"/>
        <v>11285.33333</v>
      </c>
      <c r="I55" s="579">
        <f>IFERROR(__xludf.DUMMYFUNCTION("""COMPUTED_VALUE"""),924444.0)</f>
        <v>924444</v>
      </c>
      <c r="J55" s="124"/>
    </row>
    <row r="56">
      <c r="A56" s="75">
        <v>54.0</v>
      </c>
      <c r="B56" s="217" t="s">
        <v>1502</v>
      </c>
      <c r="C56" s="217">
        <v>281928.0</v>
      </c>
      <c r="D56" s="217">
        <v>1.0</v>
      </c>
      <c r="E56" s="577" t="s">
        <v>689</v>
      </c>
      <c r="F56" s="578" t="s">
        <v>1049</v>
      </c>
      <c r="G56" s="190">
        <f t="shared" si="1"/>
        <v>281928</v>
      </c>
      <c r="H56" s="190">
        <f t="shared" si="2"/>
        <v>23494</v>
      </c>
      <c r="I56" s="579">
        <f>IFERROR(__xludf.DUMMYFUNCTION("""COMPUTED_VALUE"""),0.0)</f>
        <v>0</v>
      </c>
      <c r="J56" s="124"/>
    </row>
    <row r="57">
      <c r="A57" s="75">
        <v>55.0</v>
      </c>
      <c r="B57" s="217" t="s">
        <v>1503</v>
      </c>
      <c r="C57" s="217">
        <v>993727.0</v>
      </c>
      <c r="D57" s="217">
        <v>1.0</v>
      </c>
      <c r="E57" s="577" t="s">
        <v>375</v>
      </c>
      <c r="F57" s="578" t="s">
        <v>1077</v>
      </c>
      <c r="G57" s="190">
        <f t="shared" si="1"/>
        <v>993727</v>
      </c>
      <c r="H57" s="190">
        <f t="shared" si="2"/>
        <v>82810.58333</v>
      </c>
      <c r="I57" s="579">
        <f>IFERROR(__xludf.DUMMYFUNCTION("""COMPUTED_VALUE"""),1543844.0)</f>
        <v>1543844</v>
      </c>
      <c r="J57" s="124"/>
    </row>
    <row r="58">
      <c r="A58" s="75">
        <v>56.0</v>
      </c>
      <c r="B58" s="217" t="s">
        <v>1504</v>
      </c>
      <c r="C58" s="217">
        <v>2.6863056E7</v>
      </c>
      <c r="D58" s="217">
        <v>3.0</v>
      </c>
      <c r="E58" s="577" t="s">
        <v>1505</v>
      </c>
      <c r="F58" s="578" t="s">
        <v>1066</v>
      </c>
      <c r="G58" s="190">
        <f t="shared" si="1"/>
        <v>8954352</v>
      </c>
      <c r="H58" s="190">
        <f t="shared" si="2"/>
        <v>746196</v>
      </c>
      <c r="I58" s="579">
        <f>IFERROR(__xludf.DUMMYFUNCTION("""COMPUTED_VALUE"""),2.3677113E7)</f>
        <v>23677113</v>
      </c>
      <c r="J58" s="124"/>
    </row>
    <row r="59">
      <c r="A59" s="75">
        <v>57.0</v>
      </c>
      <c r="B59" s="217" t="s">
        <v>1506</v>
      </c>
      <c r="C59" s="217">
        <v>522924.0</v>
      </c>
      <c r="D59" s="217">
        <v>2.0</v>
      </c>
      <c r="E59" s="577" t="s">
        <v>1507</v>
      </c>
      <c r="F59" s="578" t="s">
        <v>1066</v>
      </c>
      <c r="G59" s="190">
        <f t="shared" si="1"/>
        <v>261462</v>
      </c>
      <c r="H59" s="190">
        <f t="shared" si="2"/>
        <v>21788.5</v>
      </c>
      <c r="I59" s="579">
        <f>IFERROR(__xludf.DUMMYFUNCTION("""COMPUTED_VALUE"""),0.0)</f>
        <v>0</v>
      </c>
      <c r="J59" s="124"/>
    </row>
    <row r="60">
      <c r="A60" s="75">
        <v>58.0</v>
      </c>
      <c r="B60" s="217" t="s">
        <v>1508</v>
      </c>
      <c r="C60" s="217">
        <v>2349271.0</v>
      </c>
      <c r="D60" s="217">
        <v>2.0</v>
      </c>
      <c r="E60" s="577" t="s">
        <v>1509</v>
      </c>
      <c r="F60" s="578" t="s">
        <v>1042</v>
      </c>
      <c r="G60" s="190">
        <f t="shared" si="1"/>
        <v>1174635.5</v>
      </c>
      <c r="H60" s="190">
        <f t="shared" si="2"/>
        <v>97886.29167</v>
      </c>
      <c r="I60" s="579">
        <f>IFERROR(__xludf.DUMMYFUNCTION("""COMPUTED_VALUE"""),3998197.0)</f>
        <v>3998197</v>
      </c>
      <c r="J60" s="124"/>
    </row>
    <row r="61">
      <c r="A61" s="75">
        <v>59.0</v>
      </c>
      <c r="B61" s="217" t="s">
        <v>1510</v>
      </c>
      <c r="C61" s="217">
        <v>5808691.0</v>
      </c>
      <c r="D61" s="217">
        <v>1.0</v>
      </c>
      <c r="E61" s="577" t="s">
        <v>31</v>
      </c>
      <c r="F61" s="578" t="s">
        <v>1073</v>
      </c>
      <c r="G61" s="190">
        <f t="shared" si="1"/>
        <v>5808691</v>
      </c>
      <c r="H61" s="190">
        <f t="shared" si="2"/>
        <v>484057.5833</v>
      </c>
      <c r="I61" s="579">
        <f>IFERROR(__xludf.DUMMYFUNCTION("""COMPUTED_VALUE"""),4179570.0)</f>
        <v>4179570</v>
      </c>
      <c r="J61" s="124"/>
    </row>
    <row r="62">
      <c r="A62" s="75">
        <v>60.0</v>
      </c>
      <c r="B62" s="217" t="s">
        <v>1511</v>
      </c>
      <c r="C62" s="217">
        <v>1823166.0</v>
      </c>
      <c r="D62" s="217">
        <v>1.0</v>
      </c>
      <c r="E62" s="577" t="s">
        <v>131</v>
      </c>
      <c r="F62" s="578" t="s">
        <v>130</v>
      </c>
      <c r="G62" s="190">
        <f t="shared" si="1"/>
        <v>1823166</v>
      </c>
      <c r="H62" s="190">
        <f t="shared" si="2"/>
        <v>151930.5</v>
      </c>
      <c r="I62" s="579">
        <f>IFERROR(__xludf.DUMMYFUNCTION("""COMPUTED_VALUE"""),1863251.0)</f>
        <v>1863251</v>
      </c>
      <c r="J62" s="124"/>
    </row>
    <row r="63">
      <c r="A63" s="75">
        <v>61.0</v>
      </c>
      <c r="B63" s="217" t="s">
        <v>1512</v>
      </c>
      <c r="C63" s="217">
        <v>75318.0</v>
      </c>
      <c r="D63" s="217">
        <v>1.0</v>
      </c>
      <c r="E63" s="577" t="s">
        <v>363</v>
      </c>
      <c r="F63" s="578" t="s">
        <v>1077</v>
      </c>
      <c r="G63" s="190">
        <f t="shared" si="1"/>
        <v>75318</v>
      </c>
      <c r="H63" s="190">
        <f t="shared" si="2"/>
        <v>6276.5</v>
      </c>
      <c r="I63" s="579">
        <f>IFERROR(__xludf.DUMMYFUNCTION("""COMPUTED_VALUE"""),286709.0)</f>
        <v>286709</v>
      </c>
      <c r="J63" s="124"/>
    </row>
    <row r="64">
      <c r="A64" s="75">
        <v>62.0</v>
      </c>
      <c r="B64" s="217" t="s">
        <v>1513</v>
      </c>
      <c r="C64" s="217">
        <v>812155.0</v>
      </c>
      <c r="D64" s="217">
        <v>1.0</v>
      </c>
      <c r="E64" s="577" t="s">
        <v>430</v>
      </c>
      <c r="F64" s="578" t="s">
        <v>1044</v>
      </c>
      <c r="G64" s="190">
        <f t="shared" si="1"/>
        <v>812155</v>
      </c>
      <c r="H64" s="190">
        <f t="shared" si="2"/>
        <v>67679.58333</v>
      </c>
      <c r="I64" s="579">
        <f>IFERROR(__xludf.DUMMYFUNCTION("""COMPUTED_VALUE"""),2800163.0)</f>
        <v>2800163</v>
      </c>
      <c r="J64" s="124"/>
    </row>
    <row r="65">
      <c r="A65" s="75">
        <v>63.0</v>
      </c>
      <c r="B65" s="217" t="s">
        <v>1514</v>
      </c>
      <c r="C65" s="217">
        <v>1875168.0</v>
      </c>
      <c r="D65" s="217">
        <v>1.0</v>
      </c>
      <c r="E65" s="577" t="s">
        <v>77</v>
      </c>
      <c r="F65" s="578" t="s">
        <v>76</v>
      </c>
      <c r="G65" s="190">
        <f t="shared" si="1"/>
        <v>1875168</v>
      </c>
      <c r="H65" s="190">
        <f t="shared" si="2"/>
        <v>156264</v>
      </c>
      <c r="I65" s="579">
        <f>IFERROR(__xludf.DUMMYFUNCTION("""COMPUTED_VALUE"""),3214047.0)</f>
        <v>3214047</v>
      </c>
      <c r="J65" s="124"/>
    </row>
    <row r="66">
      <c r="A66" s="75">
        <v>64.0</v>
      </c>
      <c r="B66" s="217" t="s">
        <v>1515</v>
      </c>
      <c r="C66" s="217">
        <v>6072.0</v>
      </c>
      <c r="D66" s="217">
        <v>1.0</v>
      </c>
      <c r="E66" s="577" t="s">
        <v>81</v>
      </c>
      <c r="F66" s="578" t="s">
        <v>76</v>
      </c>
      <c r="G66" s="190">
        <f t="shared" si="1"/>
        <v>6072</v>
      </c>
      <c r="H66" s="190">
        <f t="shared" si="2"/>
        <v>506</v>
      </c>
      <c r="I66" s="579">
        <f>IFERROR(__xludf.DUMMYFUNCTION("""COMPUTED_VALUE"""),0.0)</f>
        <v>0</v>
      </c>
      <c r="J66" s="124"/>
    </row>
    <row r="67">
      <c r="A67" s="75">
        <v>65.0</v>
      </c>
      <c r="B67" s="217" t="s">
        <v>1516</v>
      </c>
      <c r="C67" s="217">
        <v>498473.0</v>
      </c>
      <c r="D67" s="217">
        <v>2.0</v>
      </c>
      <c r="E67" s="577" t="s">
        <v>1517</v>
      </c>
      <c r="F67" s="578" t="s">
        <v>76</v>
      </c>
      <c r="G67" s="190">
        <f t="shared" si="1"/>
        <v>249236.5</v>
      </c>
      <c r="H67" s="190">
        <f t="shared" si="2"/>
        <v>20769.70833</v>
      </c>
      <c r="I67" s="579">
        <f>IFERROR(__xludf.DUMMYFUNCTION("""COMPUTED_VALUE"""),650534.0)</f>
        <v>650534</v>
      </c>
      <c r="J67" s="124"/>
    </row>
    <row r="68">
      <c r="A68" s="75">
        <v>66.0</v>
      </c>
      <c r="B68" s="217" t="s">
        <v>1518</v>
      </c>
      <c r="C68" s="217">
        <v>19908.0</v>
      </c>
      <c r="D68" s="217">
        <v>1.0</v>
      </c>
      <c r="E68" s="577" t="s">
        <v>364</v>
      </c>
      <c r="F68" s="578" t="s">
        <v>1092</v>
      </c>
      <c r="G68" s="190">
        <f t="shared" si="1"/>
        <v>19908</v>
      </c>
      <c r="H68" s="190">
        <f t="shared" si="2"/>
        <v>1659</v>
      </c>
      <c r="I68" s="579">
        <f>IFERROR(__xludf.DUMMYFUNCTION("""COMPUTED_VALUE"""),0.0)</f>
        <v>0</v>
      </c>
      <c r="J68" s="124"/>
    </row>
    <row r="69">
      <c r="A69" s="75">
        <v>67.0</v>
      </c>
      <c r="B69" s="217" t="s">
        <v>1519</v>
      </c>
      <c r="C69" s="217">
        <v>4233284.0</v>
      </c>
      <c r="D69" s="217">
        <v>2.0</v>
      </c>
      <c r="E69" s="577" t="s">
        <v>1520</v>
      </c>
      <c r="F69" s="578" t="s">
        <v>1058</v>
      </c>
      <c r="G69" s="190">
        <f t="shared" si="1"/>
        <v>2116642</v>
      </c>
      <c r="H69" s="190">
        <f t="shared" si="2"/>
        <v>176386.8333</v>
      </c>
      <c r="I69" s="579">
        <f>IFERROR(__xludf.DUMMYFUNCTION("""COMPUTED_VALUE"""),0.0)</f>
        <v>0</v>
      </c>
      <c r="J69" s="124"/>
    </row>
    <row r="70">
      <c r="A70" s="75">
        <v>68.0</v>
      </c>
      <c r="B70" s="217" t="s">
        <v>1521</v>
      </c>
      <c r="C70" s="217">
        <v>4666.0</v>
      </c>
      <c r="D70" s="217">
        <v>1.0</v>
      </c>
      <c r="E70" s="577" t="s">
        <v>770</v>
      </c>
      <c r="F70" s="578" t="s">
        <v>130</v>
      </c>
      <c r="G70" s="190">
        <f t="shared" si="1"/>
        <v>4666</v>
      </c>
      <c r="H70" s="190">
        <f t="shared" si="2"/>
        <v>388.8333333</v>
      </c>
      <c r="I70" s="579">
        <f>IFERROR(__xludf.DUMMYFUNCTION("""COMPUTED_VALUE"""),1579409.0)</f>
        <v>1579409</v>
      </c>
      <c r="J70" s="124"/>
    </row>
    <row r="71">
      <c r="A71" s="75">
        <v>69.0</v>
      </c>
      <c r="B71" s="217" t="s">
        <v>1522</v>
      </c>
      <c r="C71" s="217">
        <v>2.2044599E7</v>
      </c>
      <c r="D71" s="217">
        <v>2.0</v>
      </c>
      <c r="E71" s="577" t="s">
        <v>1523</v>
      </c>
      <c r="F71" s="578" t="s">
        <v>130</v>
      </c>
      <c r="G71" s="190">
        <f t="shared" si="1"/>
        <v>11022299.5</v>
      </c>
      <c r="H71" s="190">
        <f t="shared" si="2"/>
        <v>918524.9583</v>
      </c>
      <c r="I71" s="579">
        <f>IFERROR(__xludf.DUMMYFUNCTION("""COMPUTED_VALUE"""),2.0803397E7)</f>
        <v>20803397</v>
      </c>
      <c r="J71" s="124"/>
    </row>
    <row r="72">
      <c r="A72" s="75">
        <v>70.0</v>
      </c>
      <c r="B72" s="217" t="s">
        <v>1524</v>
      </c>
      <c r="C72" s="217">
        <v>1231220.0</v>
      </c>
      <c r="D72" s="217">
        <v>2.0</v>
      </c>
      <c r="E72" s="577" t="s">
        <v>1525</v>
      </c>
      <c r="F72" s="578" t="s">
        <v>130</v>
      </c>
      <c r="G72" s="190">
        <f t="shared" si="1"/>
        <v>615610</v>
      </c>
      <c r="H72" s="190">
        <f t="shared" si="2"/>
        <v>51300.83333</v>
      </c>
      <c r="I72" s="579">
        <f>IFERROR(__xludf.DUMMYFUNCTION("""COMPUTED_VALUE"""),3293298.0)</f>
        <v>3293298</v>
      </c>
      <c r="J72" s="124"/>
    </row>
    <row r="73">
      <c r="A73" s="75">
        <v>71.0</v>
      </c>
      <c r="B73" s="217" t="s">
        <v>1526</v>
      </c>
      <c r="C73" s="217">
        <v>4235901.0</v>
      </c>
      <c r="D73" s="217">
        <v>1.0</v>
      </c>
      <c r="E73" s="577" t="s">
        <v>51</v>
      </c>
      <c r="F73" s="578" t="s">
        <v>1091</v>
      </c>
      <c r="G73" s="190">
        <f t="shared" si="1"/>
        <v>4235901</v>
      </c>
      <c r="H73" s="190">
        <f t="shared" si="2"/>
        <v>352991.75</v>
      </c>
      <c r="I73" s="579">
        <f>IFERROR(__xludf.DUMMYFUNCTION("""COMPUTED_VALUE"""),4758273.0)</f>
        <v>4758273</v>
      </c>
      <c r="J73" s="124"/>
    </row>
    <row r="74">
      <c r="A74" s="75">
        <v>72.0</v>
      </c>
      <c r="B74" s="217" t="s">
        <v>1527</v>
      </c>
      <c r="C74" s="217">
        <v>1.0612589E7</v>
      </c>
      <c r="D74" s="217">
        <v>5.0</v>
      </c>
      <c r="E74" s="577" t="s">
        <v>1528</v>
      </c>
      <c r="F74" s="578" t="s">
        <v>1058</v>
      </c>
      <c r="G74" s="190">
        <f t="shared" si="1"/>
        <v>2122517.8</v>
      </c>
      <c r="H74" s="190">
        <f t="shared" si="2"/>
        <v>176876.4833</v>
      </c>
      <c r="I74" s="579">
        <f>IFERROR(__xludf.DUMMYFUNCTION("""COMPUTED_VALUE"""),9.403148E7)</f>
        <v>94031480</v>
      </c>
      <c r="J74" s="124"/>
    </row>
    <row r="75">
      <c r="A75" s="75">
        <v>73.0</v>
      </c>
      <c r="B75" s="217" t="s">
        <v>1529</v>
      </c>
      <c r="C75" s="217">
        <v>530952.0</v>
      </c>
      <c r="D75" s="217">
        <v>1.0</v>
      </c>
      <c r="E75" s="577" t="s">
        <v>420</v>
      </c>
      <c r="F75" s="578" t="s">
        <v>1094</v>
      </c>
      <c r="G75" s="190">
        <f t="shared" si="1"/>
        <v>530952</v>
      </c>
      <c r="H75" s="190">
        <f t="shared" si="2"/>
        <v>44246</v>
      </c>
      <c r="I75" s="579">
        <f>IFERROR(__xludf.DUMMYFUNCTION("""COMPUTED_VALUE"""),581768.0)</f>
        <v>581768</v>
      </c>
      <c r="J75" s="124"/>
    </row>
    <row r="76">
      <c r="A76" s="75">
        <v>74.0</v>
      </c>
      <c r="B76" s="217" t="s">
        <v>1530</v>
      </c>
      <c r="C76" s="217">
        <v>1214994.0</v>
      </c>
      <c r="D76" s="217">
        <v>1.0</v>
      </c>
      <c r="E76" s="577" t="s">
        <v>225</v>
      </c>
      <c r="F76" s="578" t="s">
        <v>1031</v>
      </c>
      <c r="G76" s="190">
        <f t="shared" si="1"/>
        <v>1214994</v>
      </c>
      <c r="H76" s="190">
        <f t="shared" si="2"/>
        <v>101249.5</v>
      </c>
      <c r="I76" s="579">
        <f>IFERROR(__xludf.DUMMYFUNCTION("""COMPUTED_VALUE"""),3223644.0)</f>
        <v>3223644</v>
      </c>
      <c r="J76" s="124"/>
    </row>
    <row r="77">
      <c r="A77" s="75">
        <v>75.0</v>
      </c>
      <c r="B77" s="217" t="s">
        <v>1531</v>
      </c>
      <c r="C77" s="217">
        <v>91031.0</v>
      </c>
      <c r="D77" s="217">
        <v>1.0</v>
      </c>
      <c r="E77" s="577" t="s">
        <v>363</v>
      </c>
      <c r="F77" s="578" t="s">
        <v>1077</v>
      </c>
      <c r="G77" s="190">
        <f t="shared" si="1"/>
        <v>91031</v>
      </c>
      <c r="H77" s="190">
        <f t="shared" si="2"/>
        <v>7585.916667</v>
      </c>
      <c r="I77" s="579">
        <f>IFERROR(__xludf.DUMMYFUNCTION("""COMPUTED_VALUE"""),0.0)</f>
        <v>0</v>
      </c>
      <c r="J77" s="124" t="str">
        <f>IFERROR(__xludf.DUMMYFUNCTION("""COMPUTED_VALUE"""),"As Discssed With Pawan Sir he informed that team members was updated wrong orders. Team member name Rounak Mehla")</f>
        <v>As Discssed With Pawan Sir he informed that team members was updated wrong orders. Team member name Rounak Mehla</v>
      </c>
    </row>
    <row r="78">
      <c r="A78" s="75">
        <v>76.0</v>
      </c>
      <c r="B78" s="217" t="s">
        <v>1532</v>
      </c>
      <c r="C78" s="217">
        <v>260220.0</v>
      </c>
      <c r="D78" s="217">
        <v>1.0</v>
      </c>
      <c r="E78" s="577" t="s">
        <v>28</v>
      </c>
      <c r="F78" s="578" t="s">
        <v>30</v>
      </c>
      <c r="G78" s="190">
        <f t="shared" si="1"/>
        <v>260220</v>
      </c>
      <c r="H78" s="190">
        <f t="shared" si="2"/>
        <v>21685</v>
      </c>
      <c r="I78" s="579">
        <f>IFERROR(__xludf.DUMMYFUNCTION("""COMPUTED_VALUE"""),742855.0)</f>
        <v>742855</v>
      </c>
      <c r="J78" s="124"/>
    </row>
    <row r="79">
      <c r="A79" s="75">
        <v>77.0</v>
      </c>
      <c r="B79" s="217" t="s">
        <v>1533</v>
      </c>
      <c r="C79" s="217">
        <v>14305.0</v>
      </c>
      <c r="D79" s="217">
        <v>1.0</v>
      </c>
      <c r="E79" s="577" t="s">
        <v>323</v>
      </c>
      <c r="F79" s="578" t="s">
        <v>1049</v>
      </c>
      <c r="G79" s="190">
        <f t="shared" si="1"/>
        <v>14305</v>
      </c>
      <c r="H79" s="190">
        <f t="shared" si="2"/>
        <v>1192.083333</v>
      </c>
      <c r="I79" s="579">
        <f>IFERROR(__xludf.DUMMYFUNCTION("""COMPUTED_VALUE"""),1542587.0)</f>
        <v>1542587</v>
      </c>
      <c r="J79" s="124"/>
    </row>
    <row r="80">
      <c r="A80" s="75">
        <v>78.0</v>
      </c>
      <c r="B80" s="217" t="s">
        <v>1534</v>
      </c>
      <c r="C80" s="217">
        <v>4884663.0</v>
      </c>
      <c r="D80" s="217">
        <v>1.0</v>
      </c>
      <c r="E80" s="577" t="s">
        <v>839</v>
      </c>
      <c r="F80" s="578" t="s">
        <v>1031</v>
      </c>
      <c r="G80" s="190">
        <f t="shared" si="1"/>
        <v>4884663</v>
      </c>
      <c r="H80" s="190">
        <f t="shared" si="2"/>
        <v>407055.25</v>
      </c>
      <c r="I80" s="579">
        <f>IFERROR(__xludf.DUMMYFUNCTION("""COMPUTED_VALUE"""),4318039.0)</f>
        <v>4318039</v>
      </c>
      <c r="J80" s="124"/>
    </row>
    <row r="81">
      <c r="A81" s="75">
        <v>79.0</v>
      </c>
      <c r="B81" s="217" t="s">
        <v>1535</v>
      </c>
      <c r="C81" s="217">
        <v>1.2145243E7</v>
      </c>
      <c r="D81" s="217">
        <v>2.0</v>
      </c>
      <c r="E81" s="577" t="s">
        <v>1536</v>
      </c>
      <c r="F81" s="578" t="s">
        <v>1016</v>
      </c>
      <c r="G81" s="190">
        <f t="shared" si="1"/>
        <v>6072621.5</v>
      </c>
      <c r="H81" s="190">
        <f t="shared" si="2"/>
        <v>506051.7917</v>
      </c>
      <c r="I81" s="579">
        <f>IFERROR(__xludf.DUMMYFUNCTION("""COMPUTED_VALUE"""),3677915.0)</f>
        <v>3677915</v>
      </c>
      <c r="J81" s="124"/>
    </row>
    <row r="82">
      <c r="A82" s="75">
        <v>80.0</v>
      </c>
      <c r="B82" s="217" t="s">
        <v>1537</v>
      </c>
      <c r="C82" s="217">
        <v>281486.0</v>
      </c>
      <c r="D82" s="217">
        <v>1.0</v>
      </c>
      <c r="E82" s="577" t="s">
        <v>878</v>
      </c>
      <c r="F82" s="578" t="s">
        <v>1092</v>
      </c>
      <c r="G82" s="190">
        <f t="shared" si="1"/>
        <v>281486</v>
      </c>
      <c r="H82" s="190">
        <f t="shared" si="2"/>
        <v>23457.16667</v>
      </c>
      <c r="I82" s="579">
        <f>IFERROR(__xludf.DUMMYFUNCTION("""COMPUTED_VALUE"""),1062482.0)</f>
        <v>1062482</v>
      </c>
      <c r="J82" s="124"/>
    </row>
    <row r="83">
      <c r="A83" s="75">
        <v>81.0</v>
      </c>
      <c r="B83" s="217" t="s">
        <v>1538</v>
      </c>
      <c r="C83" s="217">
        <v>6196995.0</v>
      </c>
      <c r="D83" s="217">
        <v>1.0</v>
      </c>
      <c r="E83" s="577" t="s">
        <v>702</v>
      </c>
      <c r="F83" s="578" t="s">
        <v>1073</v>
      </c>
      <c r="G83" s="190">
        <f t="shared" si="1"/>
        <v>6196995</v>
      </c>
      <c r="H83" s="190">
        <f t="shared" si="2"/>
        <v>516416.25</v>
      </c>
      <c r="I83" s="579">
        <f>IFERROR(__xludf.DUMMYFUNCTION("""COMPUTED_VALUE"""),3234997.0)</f>
        <v>3234997</v>
      </c>
      <c r="J83" s="124"/>
    </row>
    <row r="84">
      <c r="A84" s="75">
        <v>82.0</v>
      </c>
      <c r="B84" s="217" t="s">
        <v>1539</v>
      </c>
      <c r="C84" s="217">
        <v>1.4192565E7</v>
      </c>
      <c r="D84" s="217">
        <v>1.0</v>
      </c>
      <c r="E84" s="577" t="s">
        <v>604</v>
      </c>
      <c r="F84" s="578" t="s">
        <v>1061</v>
      </c>
      <c r="G84" s="190">
        <f t="shared" si="1"/>
        <v>14192565</v>
      </c>
      <c r="H84" s="190">
        <f t="shared" si="2"/>
        <v>1182713.75</v>
      </c>
      <c r="I84" s="579">
        <f>IFERROR(__xludf.DUMMYFUNCTION("""COMPUTED_VALUE"""),1.9428874E7)</f>
        <v>19428874</v>
      </c>
      <c r="J84" s="124"/>
    </row>
    <row r="85">
      <c r="A85" s="75">
        <v>83.0</v>
      </c>
      <c r="B85" s="217" t="s">
        <v>1540</v>
      </c>
      <c r="C85" s="217">
        <v>1.2070659E7</v>
      </c>
      <c r="D85" s="217">
        <v>3.0</v>
      </c>
      <c r="E85" s="577" t="s">
        <v>1439</v>
      </c>
      <c r="F85" s="578" t="s">
        <v>130</v>
      </c>
      <c r="G85" s="190">
        <f t="shared" si="1"/>
        <v>4023553</v>
      </c>
      <c r="H85" s="190">
        <f t="shared" si="2"/>
        <v>335296.0833</v>
      </c>
      <c r="I85" s="579">
        <f>IFERROR(__xludf.DUMMYFUNCTION("""COMPUTED_VALUE"""),9304003.0)</f>
        <v>9304003</v>
      </c>
      <c r="J85" s="124"/>
    </row>
    <row r="86">
      <c r="A86" s="75">
        <v>84.0</v>
      </c>
      <c r="B86" s="217" t="s">
        <v>1541</v>
      </c>
      <c r="C86" s="217">
        <v>1081453.0</v>
      </c>
      <c r="D86" s="217">
        <v>2.0</v>
      </c>
      <c r="E86" s="577" t="s">
        <v>1542</v>
      </c>
      <c r="F86" s="578" t="s">
        <v>130</v>
      </c>
      <c r="G86" s="190">
        <f t="shared" si="1"/>
        <v>540726.5</v>
      </c>
      <c r="H86" s="190">
        <f t="shared" si="2"/>
        <v>45060.54167</v>
      </c>
      <c r="I86" s="579">
        <f>IFERROR(__xludf.DUMMYFUNCTION("""COMPUTED_VALUE"""),1090819.0)</f>
        <v>1090819</v>
      </c>
      <c r="J86" s="124"/>
    </row>
    <row r="87">
      <c r="A87" s="75">
        <v>85.0</v>
      </c>
      <c r="B87" s="217" t="s">
        <v>1543</v>
      </c>
      <c r="C87" s="217">
        <v>77738.0</v>
      </c>
      <c r="D87" s="217">
        <v>1.0</v>
      </c>
      <c r="E87" s="577" t="s">
        <v>220</v>
      </c>
      <c r="F87" s="578" t="s">
        <v>1088</v>
      </c>
      <c r="G87" s="190">
        <f t="shared" si="1"/>
        <v>77738</v>
      </c>
      <c r="H87" s="190">
        <f t="shared" si="2"/>
        <v>6478.166667</v>
      </c>
      <c r="I87" s="579">
        <f>IFERROR(__xludf.DUMMYFUNCTION("""COMPUTED_VALUE"""),0.0)</f>
        <v>0</v>
      </c>
      <c r="J87" s="124"/>
    </row>
    <row r="88">
      <c r="A88" s="75">
        <v>86.0</v>
      </c>
      <c r="B88" s="217" t="s">
        <v>1544</v>
      </c>
      <c r="C88" s="217">
        <v>1.2834544E7</v>
      </c>
      <c r="D88" s="217">
        <v>1.0</v>
      </c>
      <c r="E88" s="577" t="s">
        <v>156</v>
      </c>
      <c r="F88" s="578" t="s">
        <v>130</v>
      </c>
      <c r="G88" s="190">
        <f t="shared" si="1"/>
        <v>12834544</v>
      </c>
      <c r="H88" s="190">
        <f t="shared" si="2"/>
        <v>1069545.333</v>
      </c>
      <c r="I88" s="579">
        <f>IFERROR(__xludf.DUMMYFUNCTION("""COMPUTED_VALUE"""),1.6165894E7)</f>
        <v>16165894</v>
      </c>
      <c r="J88" s="124"/>
    </row>
    <row r="89">
      <c r="A89" s="75">
        <v>87.0</v>
      </c>
      <c r="B89" s="217" t="s">
        <v>1545</v>
      </c>
      <c r="C89" s="217">
        <v>3739110.0</v>
      </c>
      <c r="D89" s="217">
        <v>2.0</v>
      </c>
      <c r="E89" s="577" t="s">
        <v>1546</v>
      </c>
      <c r="F89" s="578" t="s">
        <v>1066</v>
      </c>
      <c r="G89" s="190">
        <f t="shared" si="1"/>
        <v>1869555</v>
      </c>
      <c r="H89" s="190">
        <f t="shared" si="2"/>
        <v>155796.25</v>
      </c>
      <c r="I89" s="579">
        <f>IFERROR(__xludf.DUMMYFUNCTION("""COMPUTED_VALUE"""),5268262.0)</f>
        <v>5268262</v>
      </c>
      <c r="J89" s="124"/>
    </row>
    <row r="90">
      <c r="A90" s="75">
        <v>88.0</v>
      </c>
      <c r="B90" s="217" t="s">
        <v>1547</v>
      </c>
      <c r="C90" s="217">
        <v>1382205.0</v>
      </c>
      <c r="D90" s="217">
        <v>1.0</v>
      </c>
      <c r="E90" s="577" t="s">
        <v>77</v>
      </c>
      <c r="F90" s="578" t="s">
        <v>76</v>
      </c>
      <c r="G90" s="190">
        <f t="shared" si="1"/>
        <v>1382205</v>
      </c>
      <c r="H90" s="190">
        <f t="shared" si="2"/>
        <v>115183.75</v>
      </c>
      <c r="I90" s="579">
        <f>IFERROR(__xludf.DUMMYFUNCTION("""COMPUTED_VALUE"""),901105.0)</f>
        <v>901105</v>
      </c>
      <c r="J90" s="124"/>
    </row>
    <row r="91">
      <c r="A91" s="75">
        <v>89.0</v>
      </c>
      <c r="B91" s="217" t="s">
        <v>1548</v>
      </c>
      <c r="C91" s="217">
        <v>2.3418841E7</v>
      </c>
      <c r="D91" s="217">
        <v>4.0</v>
      </c>
      <c r="E91" s="577" t="s">
        <v>1549</v>
      </c>
      <c r="F91" s="578" t="s">
        <v>1051</v>
      </c>
      <c r="G91" s="190">
        <f t="shared" si="1"/>
        <v>5854710.25</v>
      </c>
      <c r="H91" s="190">
        <f t="shared" si="2"/>
        <v>487892.5208</v>
      </c>
      <c r="I91" s="579">
        <f>IFERROR(__xludf.DUMMYFUNCTION("""COMPUTED_VALUE"""),2.0607921E7)</f>
        <v>20607921</v>
      </c>
      <c r="J91" s="124"/>
    </row>
    <row r="92">
      <c r="A92" s="75">
        <v>90.0</v>
      </c>
      <c r="B92" s="217" t="s">
        <v>1550</v>
      </c>
      <c r="C92" s="217">
        <v>117986.0</v>
      </c>
      <c r="D92" s="217">
        <v>1.0</v>
      </c>
      <c r="E92" s="577" t="s">
        <v>418</v>
      </c>
      <c r="F92" s="578" t="s">
        <v>1016</v>
      </c>
      <c r="G92" s="190">
        <f t="shared" si="1"/>
        <v>117986</v>
      </c>
      <c r="H92" s="190">
        <f t="shared" si="2"/>
        <v>9832.166667</v>
      </c>
      <c r="I92" s="579">
        <f>IFERROR(__xludf.DUMMYFUNCTION("""COMPUTED_VALUE"""),687755.0)</f>
        <v>687755</v>
      </c>
      <c r="J92" s="124"/>
    </row>
    <row r="93">
      <c r="A93" s="75">
        <v>91.0</v>
      </c>
      <c r="B93" s="217" t="s">
        <v>1551</v>
      </c>
      <c r="C93" s="217">
        <v>1857778.0</v>
      </c>
      <c r="D93" s="217">
        <v>2.0</v>
      </c>
      <c r="E93" s="577" t="s">
        <v>1517</v>
      </c>
      <c r="F93" s="578" t="s">
        <v>76</v>
      </c>
      <c r="G93" s="190">
        <f t="shared" si="1"/>
        <v>928889</v>
      </c>
      <c r="H93" s="190">
        <f t="shared" si="2"/>
        <v>77407.41667</v>
      </c>
      <c r="I93" s="579">
        <f>IFERROR(__xludf.DUMMYFUNCTION("""COMPUTED_VALUE"""),1347096.0)</f>
        <v>1347096</v>
      </c>
      <c r="J93" s="124"/>
    </row>
    <row r="94">
      <c r="A94" s="75">
        <v>92.0</v>
      </c>
      <c r="B94" s="217" t="s">
        <v>1552</v>
      </c>
      <c r="C94" s="217">
        <v>522491.0</v>
      </c>
      <c r="D94" s="217">
        <v>1.0</v>
      </c>
      <c r="E94" s="577" t="s">
        <v>77</v>
      </c>
      <c r="F94" s="578" t="s">
        <v>76</v>
      </c>
      <c r="G94" s="190">
        <f t="shared" si="1"/>
        <v>522491</v>
      </c>
      <c r="H94" s="190">
        <f t="shared" si="2"/>
        <v>43540.91667</v>
      </c>
      <c r="I94" s="579">
        <f>IFERROR(__xludf.DUMMYFUNCTION("""COMPUTED_VALUE"""),409756.0)</f>
        <v>409756</v>
      </c>
      <c r="J94" s="124"/>
    </row>
    <row r="95">
      <c r="A95" s="75">
        <v>93.0</v>
      </c>
      <c r="B95" s="217" t="s">
        <v>1553</v>
      </c>
      <c r="C95" s="217">
        <v>2838606.0</v>
      </c>
      <c r="D95" s="217">
        <v>1.0</v>
      </c>
      <c r="E95" s="577" t="s">
        <v>879</v>
      </c>
      <c r="F95" s="578" t="s">
        <v>1092</v>
      </c>
      <c r="G95" s="190">
        <f t="shared" si="1"/>
        <v>2838606</v>
      </c>
      <c r="H95" s="190">
        <f t="shared" si="2"/>
        <v>236550.5</v>
      </c>
      <c r="I95" s="579">
        <f>IFERROR(__xludf.DUMMYFUNCTION("""COMPUTED_VALUE"""),4914537.0)</f>
        <v>4914537</v>
      </c>
      <c r="J95" s="124"/>
    </row>
    <row r="96">
      <c r="A96" s="75">
        <v>94.0</v>
      </c>
      <c r="B96" s="217" t="s">
        <v>1554</v>
      </c>
      <c r="C96" s="217">
        <v>2887832.0</v>
      </c>
      <c r="D96" s="217">
        <v>1.0</v>
      </c>
      <c r="E96" s="577" t="s">
        <v>57</v>
      </c>
      <c r="F96" s="578" t="s">
        <v>1092</v>
      </c>
      <c r="G96" s="190">
        <f t="shared" si="1"/>
        <v>2887832</v>
      </c>
      <c r="H96" s="190">
        <f t="shared" si="2"/>
        <v>240652.6667</v>
      </c>
      <c r="I96" s="579">
        <f>IFERROR(__xludf.DUMMYFUNCTION("""COMPUTED_VALUE"""),3236849.0)</f>
        <v>3236849</v>
      </c>
      <c r="J96" s="124"/>
    </row>
    <row r="97">
      <c r="A97" s="75">
        <v>95.0</v>
      </c>
      <c r="B97" s="217" t="s">
        <v>1555</v>
      </c>
      <c r="C97" s="217">
        <v>586248.0</v>
      </c>
      <c r="D97" s="217">
        <v>1.0</v>
      </c>
      <c r="E97" s="577" t="s">
        <v>304</v>
      </c>
      <c r="F97" s="578" t="s">
        <v>1066</v>
      </c>
      <c r="G97" s="190">
        <f t="shared" si="1"/>
        <v>586248</v>
      </c>
      <c r="H97" s="190">
        <f t="shared" si="2"/>
        <v>48854</v>
      </c>
      <c r="I97" s="579">
        <f>IFERROR(__xludf.DUMMYFUNCTION("""COMPUTED_VALUE"""),26916.0)</f>
        <v>26916</v>
      </c>
      <c r="J97" s="124"/>
    </row>
    <row r="98">
      <c r="A98" s="75">
        <v>96.0</v>
      </c>
      <c r="B98" s="217" t="s">
        <v>1556</v>
      </c>
      <c r="C98" s="217">
        <v>52315.0</v>
      </c>
      <c r="D98" s="217">
        <v>1.0</v>
      </c>
      <c r="E98" s="577" t="s">
        <v>323</v>
      </c>
      <c r="F98" s="578" t="s">
        <v>1049</v>
      </c>
      <c r="G98" s="190">
        <f t="shared" si="1"/>
        <v>52315</v>
      </c>
      <c r="H98" s="190">
        <f t="shared" si="2"/>
        <v>4359.583333</v>
      </c>
      <c r="I98" s="579">
        <f>IFERROR(__xludf.DUMMYFUNCTION("""COMPUTED_VALUE"""),188518.0)</f>
        <v>188518</v>
      </c>
      <c r="J98" s="124"/>
    </row>
    <row r="99">
      <c r="A99" s="75">
        <v>97.0</v>
      </c>
      <c r="B99" s="217" t="s">
        <v>1557</v>
      </c>
      <c r="C99" s="217">
        <v>256772.0</v>
      </c>
      <c r="D99" s="217">
        <v>2.0</v>
      </c>
      <c r="E99" s="577" t="s">
        <v>1509</v>
      </c>
      <c r="F99" s="578" t="s">
        <v>1042</v>
      </c>
      <c r="G99" s="190">
        <f t="shared" si="1"/>
        <v>128386</v>
      </c>
      <c r="H99" s="190">
        <f t="shared" si="2"/>
        <v>10698.83333</v>
      </c>
      <c r="I99" s="579">
        <f>IFERROR(__xludf.DUMMYFUNCTION("""COMPUTED_VALUE"""),1005230.0)</f>
        <v>1005230</v>
      </c>
      <c r="J99" s="124"/>
    </row>
    <row r="100">
      <c r="A100" s="75">
        <v>98.0</v>
      </c>
      <c r="B100" s="217" t="s">
        <v>1558</v>
      </c>
      <c r="C100" s="217">
        <v>14359.0</v>
      </c>
      <c r="D100" s="217">
        <v>1.0</v>
      </c>
      <c r="E100" s="577" t="s">
        <v>377</v>
      </c>
      <c r="F100" s="578" t="s">
        <v>1092</v>
      </c>
      <c r="G100" s="190">
        <f t="shared" si="1"/>
        <v>14359</v>
      </c>
      <c r="H100" s="190">
        <f t="shared" si="2"/>
        <v>1196.583333</v>
      </c>
      <c r="I100" s="579">
        <f>IFERROR(__xludf.DUMMYFUNCTION("""COMPUTED_VALUE"""),0.0)</f>
        <v>0</v>
      </c>
      <c r="J100" s="124"/>
    </row>
    <row r="101">
      <c r="A101" s="75">
        <v>99.0</v>
      </c>
      <c r="B101" s="217" t="s">
        <v>1559</v>
      </c>
      <c r="C101" s="217">
        <v>7212473.0</v>
      </c>
      <c r="D101" s="217">
        <v>1.0</v>
      </c>
      <c r="E101" s="577" t="s">
        <v>414</v>
      </c>
      <c r="F101" s="578" t="s">
        <v>1016</v>
      </c>
      <c r="G101" s="190">
        <f t="shared" si="1"/>
        <v>7212473</v>
      </c>
      <c r="H101" s="190">
        <f t="shared" si="2"/>
        <v>601039.4167</v>
      </c>
      <c r="I101" s="579">
        <f>IFERROR(__xludf.DUMMYFUNCTION("""COMPUTED_VALUE"""),1.3231693E7)</f>
        <v>13231693</v>
      </c>
      <c r="J101" s="124"/>
    </row>
    <row r="102">
      <c r="A102" s="75">
        <v>100.0</v>
      </c>
      <c r="B102" s="217" t="s">
        <v>1560</v>
      </c>
      <c r="C102" s="217">
        <v>5.1350587E7</v>
      </c>
      <c r="D102" s="217">
        <v>5.0</v>
      </c>
      <c r="E102" s="577" t="s">
        <v>1561</v>
      </c>
      <c r="F102" s="578" t="s">
        <v>130</v>
      </c>
      <c r="G102" s="190">
        <f t="shared" si="1"/>
        <v>10270117.4</v>
      </c>
      <c r="H102" s="190">
        <f t="shared" si="2"/>
        <v>855843.1167</v>
      </c>
      <c r="I102" s="579">
        <f>IFERROR(__xludf.DUMMYFUNCTION("""COMPUTED_VALUE"""),5.4422822E7)</f>
        <v>54422822</v>
      </c>
      <c r="J102" s="124"/>
    </row>
    <row r="103">
      <c r="A103" s="75">
        <v>101.0</v>
      </c>
      <c r="B103" s="217" t="s">
        <v>1562</v>
      </c>
      <c r="C103" s="217">
        <v>8138869.0</v>
      </c>
      <c r="D103" s="217">
        <v>2.0</v>
      </c>
      <c r="E103" s="577" t="s">
        <v>1563</v>
      </c>
      <c r="F103" s="578" t="s">
        <v>1016</v>
      </c>
      <c r="G103" s="190">
        <f t="shared" si="1"/>
        <v>4069434.5</v>
      </c>
      <c r="H103" s="190">
        <f t="shared" si="2"/>
        <v>339119.5417</v>
      </c>
      <c r="I103" s="579">
        <f>IFERROR(__xludf.DUMMYFUNCTION("""COMPUTED_VALUE"""),1.2952764E7)</f>
        <v>12952764</v>
      </c>
      <c r="J103" s="124"/>
    </row>
    <row r="104">
      <c r="A104" s="75">
        <v>102.0</v>
      </c>
      <c r="B104" s="217" t="s">
        <v>1564</v>
      </c>
      <c r="C104" s="217">
        <v>4882722.0</v>
      </c>
      <c r="D104" s="217">
        <v>1.0</v>
      </c>
      <c r="E104" s="577" t="s">
        <v>41</v>
      </c>
      <c r="F104" s="578" t="s">
        <v>1110</v>
      </c>
      <c r="G104" s="190">
        <f t="shared" si="1"/>
        <v>4882722</v>
      </c>
      <c r="H104" s="190">
        <f t="shared" si="2"/>
        <v>406893.5</v>
      </c>
      <c r="I104" s="579">
        <f>IFERROR(__xludf.DUMMYFUNCTION("""COMPUTED_VALUE"""),4515144.0)</f>
        <v>4515144</v>
      </c>
      <c r="J104" s="124"/>
    </row>
    <row r="105">
      <c r="A105" s="75">
        <v>103.0</v>
      </c>
      <c r="B105" s="217" t="s">
        <v>1565</v>
      </c>
      <c r="C105" s="217">
        <v>2.5572235E7</v>
      </c>
      <c r="D105" s="217">
        <v>3.0</v>
      </c>
      <c r="E105" s="577" t="s">
        <v>1566</v>
      </c>
      <c r="F105" s="578" t="s">
        <v>30</v>
      </c>
      <c r="G105" s="190">
        <f t="shared" si="1"/>
        <v>8524078.333</v>
      </c>
      <c r="H105" s="190">
        <f t="shared" si="2"/>
        <v>710339.8611</v>
      </c>
      <c r="I105" s="579">
        <f>IFERROR(__xludf.DUMMYFUNCTION("""COMPUTED_VALUE"""),2.4771644E7)</f>
        <v>24771644</v>
      </c>
      <c r="J105" s="124"/>
    </row>
    <row r="106">
      <c r="A106" s="75">
        <v>104.0</v>
      </c>
      <c r="B106" s="217" t="s">
        <v>1567</v>
      </c>
      <c r="C106" s="217">
        <v>5577985.0</v>
      </c>
      <c r="D106" s="217">
        <v>1.0</v>
      </c>
      <c r="E106" s="577" t="s">
        <v>128</v>
      </c>
      <c r="F106" s="578" t="s">
        <v>1042</v>
      </c>
      <c r="G106" s="190">
        <f t="shared" si="1"/>
        <v>5577985</v>
      </c>
      <c r="H106" s="190">
        <f t="shared" si="2"/>
        <v>464832.0833</v>
      </c>
      <c r="I106" s="579">
        <f>IFERROR(__xludf.DUMMYFUNCTION("""COMPUTED_VALUE"""),8318384.0)</f>
        <v>8318384</v>
      </c>
      <c r="J106" s="124"/>
    </row>
    <row r="107">
      <c r="A107" s="75">
        <v>105.0</v>
      </c>
      <c r="B107" s="217" t="s">
        <v>1568</v>
      </c>
      <c r="C107" s="217">
        <v>6585390.0</v>
      </c>
      <c r="D107" s="217">
        <v>1.0</v>
      </c>
      <c r="E107" s="577" t="s">
        <v>251</v>
      </c>
      <c r="F107" s="578" t="s">
        <v>1031</v>
      </c>
      <c r="G107" s="190">
        <f t="shared" si="1"/>
        <v>6585390</v>
      </c>
      <c r="H107" s="190">
        <f t="shared" si="2"/>
        <v>548782.5</v>
      </c>
      <c r="I107" s="579">
        <f>IFERROR(__xludf.DUMMYFUNCTION("""COMPUTED_VALUE"""),7016469.0)</f>
        <v>7016469</v>
      </c>
      <c r="J107" s="124"/>
    </row>
    <row r="108">
      <c r="A108" s="75">
        <v>106.0</v>
      </c>
      <c r="B108" s="217" t="s">
        <v>1569</v>
      </c>
      <c r="C108" s="217">
        <v>4047121.0</v>
      </c>
      <c r="D108" s="217">
        <v>2.0</v>
      </c>
      <c r="E108" s="577" t="s">
        <v>1489</v>
      </c>
      <c r="F108" s="578" t="s">
        <v>1066</v>
      </c>
      <c r="G108" s="190">
        <f t="shared" si="1"/>
        <v>2023560.5</v>
      </c>
      <c r="H108" s="190">
        <f t="shared" si="2"/>
        <v>168630.0417</v>
      </c>
      <c r="I108" s="579">
        <f>IFERROR(__xludf.DUMMYFUNCTION("""COMPUTED_VALUE"""),1899990.0)</f>
        <v>1899990</v>
      </c>
      <c r="J108" s="124"/>
    </row>
    <row r="109">
      <c r="A109" s="75">
        <v>107.0</v>
      </c>
      <c r="B109" s="217" t="s">
        <v>1570</v>
      </c>
      <c r="C109" s="217">
        <v>2.6268083E7</v>
      </c>
      <c r="D109" s="217">
        <v>5.0</v>
      </c>
      <c r="E109" s="577" t="s">
        <v>1571</v>
      </c>
      <c r="F109" s="578" t="s">
        <v>1016</v>
      </c>
      <c r="G109" s="190">
        <f t="shared" si="1"/>
        <v>5253616.6</v>
      </c>
      <c r="H109" s="190">
        <f t="shared" si="2"/>
        <v>437801.3833</v>
      </c>
      <c r="I109" s="579">
        <f>IFERROR(__xludf.DUMMYFUNCTION("""COMPUTED_VALUE"""),3.4710851E7)</f>
        <v>34710851</v>
      </c>
      <c r="J109" s="124"/>
    </row>
    <row r="110">
      <c r="A110" s="75">
        <v>108.0</v>
      </c>
      <c r="B110" s="217" t="s">
        <v>1572</v>
      </c>
      <c r="C110" s="217">
        <v>8777500.0</v>
      </c>
      <c r="D110" s="217">
        <v>1.0</v>
      </c>
      <c r="E110" s="577" t="s">
        <v>225</v>
      </c>
      <c r="F110" s="578" t="s">
        <v>1031</v>
      </c>
      <c r="G110" s="190">
        <f t="shared" si="1"/>
        <v>8777500</v>
      </c>
      <c r="H110" s="190">
        <f t="shared" si="2"/>
        <v>731458.3333</v>
      </c>
      <c r="I110" s="579">
        <f>IFERROR(__xludf.DUMMYFUNCTION("""COMPUTED_VALUE"""),1.4295635E7)</f>
        <v>14295635</v>
      </c>
      <c r="J110" s="124"/>
    </row>
    <row r="111">
      <c r="A111" s="75">
        <v>109.0</v>
      </c>
      <c r="B111" s="217" t="s">
        <v>1573</v>
      </c>
      <c r="C111" s="217">
        <v>801558.0</v>
      </c>
      <c r="D111" s="217">
        <v>1.0</v>
      </c>
      <c r="E111" s="577" t="s">
        <v>377</v>
      </c>
      <c r="F111" s="578" t="s">
        <v>1092</v>
      </c>
      <c r="G111" s="190">
        <f t="shared" si="1"/>
        <v>801558</v>
      </c>
      <c r="H111" s="190">
        <f t="shared" si="2"/>
        <v>66796.5</v>
      </c>
      <c r="I111" s="579">
        <f>IFERROR(__xludf.DUMMYFUNCTION("""COMPUTED_VALUE"""),1436911.0)</f>
        <v>1436911</v>
      </c>
      <c r="J111" s="124"/>
    </row>
    <row r="112">
      <c r="A112" s="75">
        <v>110.0</v>
      </c>
      <c r="B112" s="217" t="s">
        <v>1574</v>
      </c>
      <c r="C112" s="217">
        <v>1027714.0</v>
      </c>
      <c r="D112" s="217">
        <v>2.0</v>
      </c>
      <c r="E112" s="577" t="s">
        <v>1500</v>
      </c>
      <c r="F112" s="578" t="s">
        <v>30</v>
      </c>
      <c r="G112" s="190">
        <f t="shared" si="1"/>
        <v>513857</v>
      </c>
      <c r="H112" s="190">
        <f t="shared" si="2"/>
        <v>42821.41667</v>
      </c>
      <c r="I112" s="579">
        <f>IFERROR(__xludf.DUMMYFUNCTION("""COMPUTED_VALUE"""),3017580.0)</f>
        <v>3017580</v>
      </c>
      <c r="J112" s="124"/>
    </row>
    <row r="113">
      <c r="A113" s="75">
        <v>111.0</v>
      </c>
      <c r="B113" s="217" t="s">
        <v>1575</v>
      </c>
      <c r="C113" s="217">
        <v>546971.0</v>
      </c>
      <c r="D113" s="217">
        <v>1.0</v>
      </c>
      <c r="E113" s="577" t="s">
        <v>832</v>
      </c>
      <c r="F113" s="578" t="s">
        <v>1058</v>
      </c>
      <c r="G113" s="190">
        <f t="shared" si="1"/>
        <v>546971</v>
      </c>
      <c r="H113" s="190">
        <f t="shared" si="2"/>
        <v>45580.91667</v>
      </c>
      <c r="I113" s="579">
        <f>IFERROR(__xludf.DUMMYFUNCTION("""COMPUTED_VALUE"""),0.0)</f>
        <v>0</v>
      </c>
      <c r="J113" s="124"/>
    </row>
    <row r="114">
      <c r="A114" s="75">
        <v>112.0</v>
      </c>
      <c r="B114" s="217" t="s">
        <v>1576</v>
      </c>
      <c r="C114" s="217">
        <v>2526864.0</v>
      </c>
      <c r="D114" s="217">
        <v>1.0</v>
      </c>
      <c r="E114" s="577" t="s">
        <v>79</v>
      </c>
      <c r="F114" s="578" t="s">
        <v>76</v>
      </c>
      <c r="G114" s="190">
        <f t="shared" si="1"/>
        <v>2526864</v>
      </c>
      <c r="H114" s="190">
        <f t="shared" si="2"/>
        <v>210572</v>
      </c>
      <c r="I114" s="579">
        <f>IFERROR(__xludf.DUMMYFUNCTION("""COMPUTED_VALUE"""),3236117.0)</f>
        <v>3236117</v>
      </c>
      <c r="J114" s="124"/>
    </row>
    <row r="115">
      <c r="A115" s="75">
        <v>113.0</v>
      </c>
      <c r="B115" s="217" t="s">
        <v>1577</v>
      </c>
      <c r="C115" s="217">
        <v>1.12256025E8</v>
      </c>
      <c r="D115" s="217">
        <v>6.0</v>
      </c>
      <c r="E115" s="577" t="s">
        <v>1578</v>
      </c>
      <c r="F115" s="578" t="s">
        <v>1016</v>
      </c>
      <c r="G115" s="190">
        <f t="shared" si="1"/>
        <v>18709337.5</v>
      </c>
      <c r="H115" s="190">
        <f t="shared" si="2"/>
        <v>1559111.458</v>
      </c>
      <c r="I115" s="579">
        <f>IFERROR(__xludf.DUMMYFUNCTION("""COMPUTED_VALUE"""),1.22640927E8)</f>
        <v>122640927</v>
      </c>
      <c r="J115" s="124"/>
    </row>
    <row r="116">
      <c r="A116" s="75">
        <v>114.0</v>
      </c>
      <c r="B116" s="217" t="s">
        <v>1579</v>
      </c>
      <c r="C116" s="217">
        <v>105439.0</v>
      </c>
      <c r="D116" s="217">
        <v>1.0</v>
      </c>
      <c r="E116" s="577" t="s">
        <v>54</v>
      </c>
      <c r="F116" s="578" t="s">
        <v>1092</v>
      </c>
      <c r="G116" s="190">
        <f t="shared" si="1"/>
        <v>105439</v>
      </c>
      <c r="H116" s="190">
        <f t="shared" si="2"/>
        <v>8786.583333</v>
      </c>
      <c r="I116" s="579">
        <f>IFERROR(__xludf.DUMMYFUNCTION("""COMPUTED_VALUE"""),814919.0)</f>
        <v>814919</v>
      </c>
      <c r="J116" s="124"/>
    </row>
    <row r="117">
      <c r="A117" s="75">
        <v>115.0</v>
      </c>
      <c r="B117" s="217" t="s">
        <v>1580</v>
      </c>
      <c r="C117" s="217">
        <v>3.5852493E7</v>
      </c>
      <c r="D117" s="217">
        <v>4.0</v>
      </c>
      <c r="E117" s="577" t="s">
        <v>1581</v>
      </c>
      <c r="F117" s="578" t="s">
        <v>130</v>
      </c>
      <c r="G117" s="190">
        <f t="shared" si="1"/>
        <v>8963123.25</v>
      </c>
      <c r="H117" s="190">
        <f t="shared" si="2"/>
        <v>746926.9375</v>
      </c>
      <c r="I117" s="579">
        <f>IFERROR(__xludf.DUMMYFUNCTION("""COMPUTED_VALUE"""),3.8014938E7)</f>
        <v>38014938</v>
      </c>
      <c r="J117" s="124"/>
    </row>
    <row r="118">
      <c r="A118" s="75">
        <v>116.0</v>
      </c>
      <c r="B118" s="217" t="s">
        <v>1582</v>
      </c>
      <c r="C118" s="217">
        <v>267354.0</v>
      </c>
      <c r="D118" s="217">
        <v>1.0</v>
      </c>
      <c r="E118" s="577" t="s">
        <v>24</v>
      </c>
      <c r="F118" s="578" t="s">
        <v>30</v>
      </c>
      <c r="G118" s="190">
        <f t="shared" si="1"/>
        <v>267354</v>
      </c>
      <c r="H118" s="190">
        <f t="shared" si="2"/>
        <v>22279.5</v>
      </c>
      <c r="I118" s="579">
        <f>IFERROR(__xludf.DUMMYFUNCTION("""COMPUTED_VALUE"""),676675.0)</f>
        <v>676675</v>
      </c>
      <c r="J118" s="124"/>
    </row>
    <row r="119">
      <c r="A119" s="75">
        <v>117.0</v>
      </c>
      <c r="B119" s="217" t="s">
        <v>1583</v>
      </c>
      <c r="C119" s="217">
        <v>60041.0</v>
      </c>
      <c r="D119" s="217">
        <v>1.0</v>
      </c>
      <c r="E119" s="577" t="s">
        <v>637</v>
      </c>
      <c r="F119" s="578" t="s">
        <v>1066</v>
      </c>
      <c r="G119" s="190">
        <f t="shared" si="1"/>
        <v>60041</v>
      </c>
      <c r="H119" s="190">
        <f t="shared" si="2"/>
        <v>5003.416667</v>
      </c>
      <c r="I119" s="579">
        <f>IFERROR(__xludf.DUMMYFUNCTION("""COMPUTED_VALUE"""),405924.0)</f>
        <v>405924</v>
      </c>
      <c r="J119" s="124"/>
    </row>
    <row r="120">
      <c r="A120" s="75">
        <v>118.0</v>
      </c>
      <c r="B120" s="217" t="s">
        <v>1584</v>
      </c>
      <c r="C120" s="217">
        <v>6885325.0</v>
      </c>
      <c r="D120" s="217">
        <v>2.0</v>
      </c>
      <c r="E120" s="577" t="s">
        <v>1585</v>
      </c>
      <c r="F120" s="578" t="s">
        <v>1027</v>
      </c>
      <c r="G120" s="190">
        <f t="shared" si="1"/>
        <v>3442662.5</v>
      </c>
      <c r="H120" s="190">
        <f t="shared" si="2"/>
        <v>286888.5417</v>
      </c>
      <c r="I120" s="579">
        <f>IFERROR(__xludf.DUMMYFUNCTION("""COMPUTED_VALUE"""),1.3106843E7)</f>
        <v>13106843</v>
      </c>
      <c r="J120" s="124"/>
    </row>
    <row r="121">
      <c r="A121" s="75">
        <v>119.0</v>
      </c>
      <c r="B121" s="217" t="s">
        <v>1586</v>
      </c>
      <c r="C121" s="217">
        <v>962155.0</v>
      </c>
      <c r="D121" s="217">
        <v>1.0</v>
      </c>
      <c r="E121" s="577" t="s">
        <v>637</v>
      </c>
      <c r="F121" s="578" t="s">
        <v>1066</v>
      </c>
      <c r="G121" s="190">
        <f t="shared" si="1"/>
        <v>962155</v>
      </c>
      <c r="H121" s="190">
        <f t="shared" si="2"/>
        <v>80179.58333</v>
      </c>
      <c r="I121" s="579">
        <f>IFERROR(__xludf.DUMMYFUNCTION("""COMPUTED_VALUE"""),1015879.0)</f>
        <v>1015879</v>
      </c>
      <c r="J121" s="124"/>
    </row>
    <row r="122">
      <c r="A122" s="75">
        <v>120.0</v>
      </c>
      <c r="B122" s="217" t="s">
        <v>1587</v>
      </c>
      <c r="C122" s="217">
        <v>7713616.0</v>
      </c>
      <c r="D122" s="217">
        <v>1.0</v>
      </c>
      <c r="E122" s="577" t="s">
        <v>120</v>
      </c>
      <c r="F122" s="578" t="s">
        <v>1044</v>
      </c>
      <c r="G122" s="190">
        <f t="shared" si="1"/>
        <v>7713616</v>
      </c>
      <c r="H122" s="190">
        <f t="shared" si="2"/>
        <v>642801.3333</v>
      </c>
      <c r="I122" s="579">
        <f>IFERROR(__xludf.DUMMYFUNCTION("""COMPUTED_VALUE"""),6204669.0)</f>
        <v>6204669</v>
      </c>
      <c r="J122" s="124"/>
    </row>
    <row r="123">
      <c r="A123" s="75">
        <v>121.0</v>
      </c>
      <c r="B123" s="217" t="s">
        <v>1588</v>
      </c>
      <c r="C123" s="217">
        <v>4.0061292E7</v>
      </c>
      <c r="D123" s="217">
        <v>2.0</v>
      </c>
      <c r="E123" s="577" t="s">
        <v>1589</v>
      </c>
      <c r="F123" s="578" t="s">
        <v>1031</v>
      </c>
      <c r="G123" s="190">
        <f t="shared" si="1"/>
        <v>20030646</v>
      </c>
      <c r="H123" s="190">
        <f t="shared" si="2"/>
        <v>1669220.5</v>
      </c>
      <c r="I123" s="579">
        <f>IFERROR(__xludf.DUMMYFUNCTION("""COMPUTED_VALUE"""),6.83211E7)</f>
        <v>68321100</v>
      </c>
      <c r="J123" s="124"/>
    </row>
    <row r="124">
      <c r="A124" s="75">
        <v>122.0</v>
      </c>
      <c r="B124" s="217" t="s">
        <v>1590</v>
      </c>
      <c r="C124" s="217">
        <v>247176.0</v>
      </c>
      <c r="D124" s="217">
        <v>2.0</v>
      </c>
      <c r="E124" s="577" t="s">
        <v>1591</v>
      </c>
      <c r="F124" s="578" t="s">
        <v>1077</v>
      </c>
      <c r="G124" s="190">
        <f t="shared" si="1"/>
        <v>123588</v>
      </c>
      <c r="H124" s="190">
        <f t="shared" si="2"/>
        <v>10299</v>
      </c>
      <c r="I124" s="579">
        <f>IFERROR(__xludf.DUMMYFUNCTION("""COMPUTED_VALUE"""),0.0)</f>
        <v>0</v>
      </c>
      <c r="J124" s="124" t="str">
        <f>IFERROR(__xludf.DUMMYFUNCTION("""COMPUTED_VALUE"""),"As Discssed With Pawan Sir he informed that team members was updated wrong orders. Team Member name Shanker Singh &amp; Ravi he has updated only 7000 rs orders")</f>
        <v>As Discssed With Pawan Sir he informed that team members was updated wrong orders. Team Member name Shanker Singh &amp; Ravi he has updated only 7000 rs orders</v>
      </c>
    </row>
    <row r="125">
      <c r="A125" s="75">
        <v>123.0</v>
      </c>
      <c r="B125" s="217" t="s">
        <v>1592</v>
      </c>
      <c r="C125" s="217">
        <v>223814.0</v>
      </c>
      <c r="D125" s="217">
        <v>1.0</v>
      </c>
      <c r="E125" s="577" t="s">
        <v>41</v>
      </c>
      <c r="F125" s="578" t="s">
        <v>1110</v>
      </c>
      <c r="G125" s="190">
        <f t="shared" si="1"/>
        <v>223814</v>
      </c>
      <c r="H125" s="190">
        <f t="shared" si="2"/>
        <v>18651.16667</v>
      </c>
      <c r="I125" s="579">
        <f>IFERROR(__xludf.DUMMYFUNCTION("""COMPUTED_VALUE"""),0.0)</f>
        <v>0</v>
      </c>
      <c r="J125" s="124"/>
    </row>
    <row r="126">
      <c r="A126" s="75">
        <v>124.0</v>
      </c>
      <c r="B126" s="217" t="s">
        <v>1593</v>
      </c>
      <c r="C126" s="217">
        <v>67220.0</v>
      </c>
      <c r="D126" s="217">
        <v>1.0</v>
      </c>
      <c r="E126" s="577" t="s">
        <v>79</v>
      </c>
      <c r="F126" s="578" t="s">
        <v>76</v>
      </c>
      <c r="G126" s="190">
        <f t="shared" si="1"/>
        <v>67220</v>
      </c>
      <c r="H126" s="190">
        <f t="shared" si="2"/>
        <v>5601.666667</v>
      </c>
      <c r="I126" s="579">
        <f>IFERROR(__xludf.DUMMYFUNCTION("""COMPUTED_VALUE"""),0.0)</f>
        <v>0</v>
      </c>
      <c r="J126" s="124" t="str">
        <f>IFERROR(__xludf.DUMMYFUNCTION("""COMPUTED_VALUE"""),"OLD STOCK")</f>
        <v>OLD STOCK</v>
      </c>
    </row>
    <row r="127">
      <c r="A127" s="75">
        <v>125.0</v>
      </c>
      <c r="B127" s="217" t="s">
        <v>1594</v>
      </c>
      <c r="C127" s="217">
        <v>2916876.0</v>
      </c>
      <c r="D127" s="217">
        <v>1.0</v>
      </c>
      <c r="E127" s="577" t="s">
        <v>74</v>
      </c>
      <c r="F127" s="578" t="s">
        <v>76</v>
      </c>
      <c r="G127" s="190">
        <f t="shared" si="1"/>
        <v>2916876</v>
      </c>
      <c r="H127" s="190">
        <f t="shared" si="2"/>
        <v>243073</v>
      </c>
      <c r="I127" s="579">
        <f>IFERROR(__xludf.DUMMYFUNCTION("""COMPUTED_VALUE"""),0.0)</f>
        <v>0</v>
      </c>
      <c r="J127" s="124"/>
    </row>
    <row r="128">
      <c r="A128" s="75">
        <v>126.0</v>
      </c>
      <c r="B128" s="217" t="s">
        <v>1595</v>
      </c>
      <c r="C128" s="217">
        <v>50843.0</v>
      </c>
      <c r="D128" s="217">
        <v>1.0</v>
      </c>
      <c r="E128" s="577" t="s">
        <v>83</v>
      </c>
      <c r="F128" s="75" t="s">
        <v>76</v>
      </c>
      <c r="G128" s="190">
        <f t="shared" si="1"/>
        <v>50843</v>
      </c>
      <c r="H128" s="190">
        <f t="shared" si="2"/>
        <v>4236.916667</v>
      </c>
      <c r="I128" s="579">
        <f>IFERROR(__xludf.DUMMYFUNCTION("""COMPUTED_VALUE"""),951105.0)</f>
        <v>951105</v>
      </c>
      <c r="J128" s="124"/>
    </row>
    <row r="129">
      <c r="A129" s="75">
        <v>127.0</v>
      </c>
      <c r="B129" s="217" t="s">
        <v>1596</v>
      </c>
      <c r="C129" s="217">
        <v>5678294.0</v>
      </c>
      <c r="D129" s="217">
        <v>2.0</v>
      </c>
      <c r="E129" s="577" t="s">
        <v>1597</v>
      </c>
      <c r="F129" s="578" t="s">
        <v>76</v>
      </c>
      <c r="G129" s="190">
        <f t="shared" si="1"/>
        <v>2839147</v>
      </c>
      <c r="H129" s="190">
        <f t="shared" si="2"/>
        <v>236595.5833</v>
      </c>
      <c r="I129" s="579">
        <f>IFERROR(__xludf.DUMMYFUNCTION("""COMPUTED_VALUE"""),3528840.0)</f>
        <v>3528840</v>
      </c>
      <c r="J129" s="124"/>
    </row>
    <row r="130">
      <c r="A130" s="75">
        <v>128.0</v>
      </c>
      <c r="B130" s="217" t="s">
        <v>1598</v>
      </c>
      <c r="C130" s="217">
        <v>1.1807578E7</v>
      </c>
      <c r="D130" s="217">
        <v>1.0</v>
      </c>
      <c r="E130" s="577" t="s">
        <v>253</v>
      </c>
      <c r="F130" s="578" t="s">
        <v>1031</v>
      </c>
      <c r="G130" s="190">
        <f t="shared" si="1"/>
        <v>11807578</v>
      </c>
      <c r="H130" s="190">
        <f t="shared" si="2"/>
        <v>983964.8333</v>
      </c>
      <c r="I130" s="579">
        <f>IFERROR(__xludf.DUMMYFUNCTION("""COMPUTED_VALUE"""),1.3757445E7)</f>
        <v>13757445</v>
      </c>
      <c r="J130" s="124"/>
    </row>
    <row r="131">
      <c r="A131" s="75">
        <v>129.0</v>
      </c>
      <c r="B131" s="217" t="s">
        <v>1599</v>
      </c>
      <c r="C131" s="217">
        <v>429985.0</v>
      </c>
      <c r="D131" s="217">
        <v>1.0</v>
      </c>
      <c r="E131" s="577" t="s">
        <v>146</v>
      </c>
      <c r="F131" s="578" t="s">
        <v>130</v>
      </c>
      <c r="G131" s="190">
        <f t="shared" si="1"/>
        <v>429985</v>
      </c>
      <c r="H131" s="190">
        <f t="shared" si="2"/>
        <v>35832.08333</v>
      </c>
      <c r="I131" s="579">
        <f>IFERROR(__xludf.DUMMYFUNCTION("""COMPUTED_VALUE"""),265674.0)</f>
        <v>265674</v>
      </c>
      <c r="J131" s="124"/>
    </row>
    <row r="132">
      <c r="A132" s="75">
        <v>130.0</v>
      </c>
      <c r="B132" s="217" t="s">
        <v>1600</v>
      </c>
      <c r="C132" s="217">
        <v>5.2797514E7</v>
      </c>
      <c r="D132" s="217">
        <v>3.0</v>
      </c>
      <c r="E132" s="577" t="s">
        <v>1601</v>
      </c>
      <c r="F132" s="578" t="s">
        <v>1064</v>
      </c>
      <c r="G132" s="190">
        <f t="shared" si="1"/>
        <v>17599171.33</v>
      </c>
      <c r="H132" s="190">
        <f t="shared" si="2"/>
        <v>1466597.611</v>
      </c>
      <c r="I132" s="579">
        <f>IFERROR(__xludf.DUMMYFUNCTION("""COMPUTED_VALUE"""),6.6499737E7)</f>
        <v>66499737</v>
      </c>
      <c r="J132" s="124"/>
    </row>
    <row r="133">
      <c r="A133" s="75">
        <v>131.0</v>
      </c>
      <c r="B133" s="217" t="s">
        <v>1602</v>
      </c>
      <c r="C133" s="217">
        <v>100021.0</v>
      </c>
      <c r="D133" s="217">
        <v>1.0</v>
      </c>
      <c r="E133" s="577" t="s">
        <v>218</v>
      </c>
      <c r="F133" s="578" t="s">
        <v>1031</v>
      </c>
      <c r="G133" s="190">
        <f t="shared" si="1"/>
        <v>100021</v>
      </c>
      <c r="H133" s="190">
        <f t="shared" si="2"/>
        <v>8335.083333</v>
      </c>
      <c r="I133" s="579">
        <f>IFERROR(__xludf.DUMMYFUNCTION("""COMPUTED_VALUE"""),7162627.0)</f>
        <v>7162627</v>
      </c>
      <c r="J133" s="124"/>
    </row>
    <row r="134">
      <c r="A134" s="75">
        <v>132.0</v>
      </c>
      <c r="B134" s="217" t="s">
        <v>1603</v>
      </c>
      <c r="C134" s="217">
        <v>156525.0</v>
      </c>
      <c r="D134" s="217">
        <v>1.0</v>
      </c>
      <c r="E134" s="577" t="s">
        <v>879</v>
      </c>
      <c r="F134" s="578" t="s">
        <v>1092</v>
      </c>
      <c r="G134" s="190">
        <f t="shared" si="1"/>
        <v>156525</v>
      </c>
      <c r="H134" s="190">
        <f t="shared" si="2"/>
        <v>13043.75</v>
      </c>
      <c r="I134" s="579">
        <f>IFERROR(__xludf.DUMMYFUNCTION("""COMPUTED_VALUE"""),0.0)</f>
        <v>0</v>
      </c>
      <c r="J134" s="124"/>
    </row>
    <row r="135">
      <c r="A135" s="75">
        <v>133.0</v>
      </c>
      <c r="B135" s="217" t="s">
        <v>1604</v>
      </c>
      <c r="C135" s="217">
        <v>81999.0</v>
      </c>
      <c r="D135" s="217">
        <v>1.0</v>
      </c>
      <c r="E135" s="577" t="s">
        <v>146</v>
      </c>
      <c r="F135" s="578" t="s">
        <v>130</v>
      </c>
      <c r="G135" s="190">
        <f t="shared" si="1"/>
        <v>81999</v>
      </c>
      <c r="H135" s="190">
        <f t="shared" si="2"/>
        <v>6833.25</v>
      </c>
      <c r="I135" s="579">
        <f>IFERROR(__xludf.DUMMYFUNCTION("""COMPUTED_VALUE"""),0.0)</f>
        <v>0</v>
      </c>
      <c r="J135" s="124" t="str">
        <f>IFERROR(__xludf.DUMMYFUNCTION("""COMPUTED_VALUE"""),"OLD STOCK")</f>
        <v>OLD STOCK</v>
      </c>
    </row>
    <row r="136">
      <c r="A136" s="75">
        <v>134.0</v>
      </c>
      <c r="B136" s="217" t="s">
        <v>1605</v>
      </c>
      <c r="C136" s="217">
        <v>634223.0</v>
      </c>
      <c r="D136" s="217">
        <v>1.0</v>
      </c>
      <c r="E136" s="577" t="s">
        <v>70</v>
      </c>
      <c r="F136" s="578" t="s">
        <v>1092</v>
      </c>
      <c r="G136" s="190">
        <f t="shared" si="1"/>
        <v>634223</v>
      </c>
      <c r="H136" s="190">
        <f t="shared" si="2"/>
        <v>52851.91667</v>
      </c>
      <c r="I136" s="579">
        <f>IFERROR(__xludf.DUMMYFUNCTION("""COMPUTED_VALUE"""),4556895.0)</f>
        <v>4556895</v>
      </c>
      <c r="J136" s="124"/>
    </row>
    <row r="137">
      <c r="A137" s="75">
        <v>135.0</v>
      </c>
      <c r="B137" s="217" t="s">
        <v>1606</v>
      </c>
      <c r="C137" s="217">
        <v>135738.0</v>
      </c>
      <c r="D137" s="217">
        <v>2.0</v>
      </c>
      <c r="E137" s="577" t="s">
        <v>1441</v>
      </c>
      <c r="F137" s="578" t="s">
        <v>1049</v>
      </c>
      <c r="G137" s="190">
        <f t="shared" si="1"/>
        <v>67869</v>
      </c>
      <c r="H137" s="190">
        <f t="shared" si="2"/>
        <v>5655.75</v>
      </c>
      <c r="I137" s="579">
        <f>IFERROR(__xludf.DUMMYFUNCTION("""COMPUTED_VALUE"""),1022646.0)</f>
        <v>1022646</v>
      </c>
      <c r="J137" s="124"/>
    </row>
    <row r="138">
      <c r="A138" s="75">
        <v>136.0</v>
      </c>
      <c r="B138" s="217" t="s">
        <v>1607</v>
      </c>
      <c r="C138" s="217">
        <v>3292530.0</v>
      </c>
      <c r="D138" s="217">
        <v>2.0</v>
      </c>
      <c r="E138" s="577" t="s">
        <v>1608</v>
      </c>
      <c r="F138" s="578" t="s">
        <v>1062</v>
      </c>
      <c r="G138" s="190">
        <f t="shared" si="1"/>
        <v>1646265</v>
      </c>
      <c r="H138" s="190">
        <f t="shared" si="2"/>
        <v>137188.75</v>
      </c>
      <c r="I138" s="579">
        <f>IFERROR(__xludf.DUMMYFUNCTION("""COMPUTED_VALUE"""),5091021.0)</f>
        <v>5091021</v>
      </c>
      <c r="J138" s="124"/>
    </row>
    <row r="139">
      <c r="A139" s="75">
        <v>137.0</v>
      </c>
      <c r="B139" s="217" t="s">
        <v>1609</v>
      </c>
      <c r="C139" s="217">
        <v>2.4267827E7</v>
      </c>
      <c r="D139" s="217">
        <v>3.0</v>
      </c>
      <c r="E139" s="577" t="s">
        <v>1610</v>
      </c>
      <c r="F139" s="578" t="s">
        <v>1016</v>
      </c>
      <c r="G139" s="190">
        <f t="shared" si="1"/>
        <v>8089275.667</v>
      </c>
      <c r="H139" s="190">
        <f t="shared" si="2"/>
        <v>674106.3056</v>
      </c>
      <c r="I139" s="579">
        <f>IFERROR(__xludf.DUMMYFUNCTION("""COMPUTED_VALUE"""),1.1959312E7)</f>
        <v>11959312</v>
      </c>
      <c r="J139" s="124"/>
    </row>
    <row r="140">
      <c r="A140" s="75">
        <v>138.0</v>
      </c>
      <c r="B140" s="217" t="s">
        <v>1611</v>
      </c>
      <c r="C140" s="217">
        <v>2034320.0</v>
      </c>
      <c r="D140" s="217">
        <v>1.0</v>
      </c>
      <c r="E140" s="577" t="s">
        <v>871</v>
      </c>
      <c r="F140" s="578" t="s">
        <v>1094</v>
      </c>
      <c r="G140" s="190">
        <f t="shared" si="1"/>
        <v>2034320</v>
      </c>
      <c r="H140" s="190">
        <f t="shared" si="2"/>
        <v>169526.6667</v>
      </c>
      <c r="I140" s="579">
        <f>IFERROR(__xludf.DUMMYFUNCTION("""COMPUTED_VALUE"""),1.125621E7)</f>
        <v>11256210</v>
      </c>
      <c r="J140" s="124"/>
    </row>
    <row r="141">
      <c r="A141" s="75">
        <v>139.0</v>
      </c>
      <c r="B141" s="217" t="s">
        <v>1612</v>
      </c>
      <c r="C141" s="217">
        <v>1.1788178E7</v>
      </c>
      <c r="D141" s="217">
        <v>1.0</v>
      </c>
      <c r="E141" s="577" t="s">
        <v>164</v>
      </c>
      <c r="F141" s="578" t="s">
        <v>130</v>
      </c>
      <c r="G141" s="190">
        <f t="shared" si="1"/>
        <v>11788178</v>
      </c>
      <c r="H141" s="190">
        <f t="shared" si="2"/>
        <v>982348.1667</v>
      </c>
      <c r="I141" s="579">
        <f>IFERROR(__xludf.DUMMYFUNCTION("""COMPUTED_VALUE"""),2.0713818E7)</f>
        <v>20713818</v>
      </c>
      <c r="J141" s="124"/>
    </row>
    <row r="142">
      <c r="A142" s="75">
        <v>140.0</v>
      </c>
      <c r="B142" s="217" t="s">
        <v>1613</v>
      </c>
      <c r="C142" s="217">
        <v>4343991.0</v>
      </c>
      <c r="D142" s="217">
        <v>1.0</v>
      </c>
      <c r="E142" s="577" t="s">
        <v>102</v>
      </c>
      <c r="F142" s="578" t="s">
        <v>1062</v>
      </c>
      <c r="G142" s="190">
        <f t="shared" si="1"/>
        <v>4343991</v>
      </c>
      <c r="H142" s="190">
        <f t="shared" si="2"/>
        <v>361999.25</v>
      </c>
      <c r="I142" s="579">
        <f>IFERROR(__xludf.DUMMYFUNCTION("""COMPUTED_VALUE"""),1.2898025E7)</f>
        <v>12898025</v>
      </c>
      <c r="J142" s="124"/>
    </row>
    <row r="143">
      <c r="A143" s="75">
        <v>141.0</v>
      </c>
      <c r="B143" s="217" t="s">
        <v>1614</v>
      </c>
      <c r="C143" s="217">
        <v>1.0572078E7</v>
      </c>
      <c r="D143" s="217">
        <v>1.0</v>
      </c>
      <c r="E143" s="577" t="s">
        <v>28</v>
      </c>
      <c r="F143" s="578" t="s">
        <v>30</v>
      </c>
      <c r="G143" s="190">
        <f t="shared" si="1"/>
        <v>10572078</v>
      </c>
      <c r="H143" s="190">
        <f t="shared" si="2"/>
        <v>881006.5</v>
      </c>
      <c r="I143" s="579">
        <f>IFERROR(__xludf.DUMMYFUNCTION("""COMPUTED_VALUE"""),1.0250536E7)</f>
        <v>10250536</v>
      </c>
      <c r="J143" s="124"/>
    </row>
    <row r="144">
      <c r="A144" s="75">
        <v>142.0</v>
      </c>
      <c r="B144" s="217" t="s">
        <v>1615</v>
      </c>
      <c r="C144" s="217">
        <v>296822.0</v>
      </c>
      <c r="D144" s="217">
        <v>1.0</v>
      </c>
      <c r="E144" s="577" t="s">
        <v>304</v>
      </c>
      <c r="F144" s="578" t="s">
        <v>1066</v>
      </c>
      <c r="G144" s="190">
        <f t="shared" si="1"/>
        <v>296822</v>
      </c>
      <c r="H144" s="190">
        <f t="shared" si="2"/>
        <v>24735.16667</v>
      </c>
      <c r="I144" s="579">
        <f>IFERROR(__xludf.DUMMYFUNCTION("""COMPUTED_VALUE"""),0.0)</f>
        <v>0</v>
      </c>
      <c r="J144" s="124"/>
    </row>
    <row r="145">
      <c r="A145" s="75">
        <v>143.0</v>
      </c>
      <c r="B145" s="217" t="s">
        <v>1616</v>
      </c>
      <c r="C145" s="217">
        <v>503049.0</v>
      </c>
      <c r="D145" s="217">
        <v>2.0</v>
      </c>
      <c r="E145" s="577" t="s">
        <v>1617</v>
      </c>
      <c r="F145" s="578" t="s">
        <v>1044</v>
      </c>
      <c r="G145" s="190">
        <f t="shared" si="1"/>
        <v>251524.5</v>
      </c>
      <c r="H145" s="190">
        <f t="shared" si="2"/>
        <v>20960.375</v>
      </c>
      <c r="I145" s="579">
        <f>IFERROR(__xludf.DUMMYFUNCTION("""COMPUTED_VALUE"""),0.0)</f>
        <v>0</v>
      </c>
      <c r="J145" s="124" t="str">
        <f>IFERROR(__xludf.DUMMYFUNCTION("""COMPUTED_VALUE"""),"OLD STOCK")</f>
        <v>OLD STOCK</v>
      </c>
    </row>
    <row r="146">
      <c r="A146" s="75">
        <v>144.0</v>
      </c>
      <c r="B146" s="217" t="s">
        <v>1618</v>
      </c>
      <c r="C146" s="217">
        <v>244185.0</v>
      </c>
      <c r="D146" s="217">
        <v>1.0</v>
      </c>
      <c r="E146" s="577" t="s">
        <v>326</v>
      </c>
      <c r="F146" s="578" t="s">
        <v>1049</v>
      </c>
      <c r="G146" s="190">
        <f t="shared" si="1"/>
        <v>244185</v>
      </c>
      <c r="H146" s="190">
        <f t="shared" si="2"/>
        <v>20348.75</v>
      </c>
      <c r="I146" s="579">
        <f>IFERROR(__xludf.DUMMYFUNCTION("""COMPUTED_VALUE"""),3315244.0)</f>
        <v>3315244</v>
      </c>
      <c r="J146" s="124"/>
    </row>
    <row r="147">
      <c r="A147" s="75">
        <v>145.0</v>
      </c>
      <c r="B147" s="217" t="s">
        <v>1619</v>
      </c>
      <c r="C147" s="217">
        <v>1.2971351E7</v>
      </c>
      <c r="D147" s="217">
        <v>6.0</v>
      </c>
      <c r="E147" s="577" t="s">
        <v>1620</v>
      </c>
      <c r="F147" s="578" t="s">
        <v>1062</v>
      </c>
      <c r="G147" s="190">
        <f t="shared" si="1"/>
        <v>2161891.833</v>
      </c>
      <c r="H147" s="190">
        <f t="shared" si="2"/>
        <v>180157.6528</v>
      </c>
      <c r="I147" s="579">
        <f>IFERROR(__xludf.DUMMYFUNCTION("""COMPUTED_VALUE"""),7781388.0)</f>
        <v>7781388</v>
      </c>
      <c r="J147" s="124"/>
    </row>
    <row r="148">
      <c r="A148" s="75">
        <v>146.0</v>
      </c>
      <c r="B148" s="217" t="s">
        <v>1621</v>
      </c>
      <c r="C148" s="217">
        <v>1132066.0</v>
      </c>
      <c r="D148" s="217">
        <v>1.0</v>
      </c>
      <c r="E148" s="577" t="s">
        <v>41</v>
      </c>
      <c r="F148" s="578" t="s">
        <v>1110</v>
      </c>
      <c r="G148" s="190">
        <f t="shared" si="1"/>
        <v>1132066</v>
      </c>
      <c r="H148" s="190">
        <f t="shared" si="2"/>
        <v>94338.83333</v>
      </c>
      <c r="I148" s="579">
        <f>IFERROR(__xludf.DUMMYFUNCTION("""COMPUTED_VALUE"""),2346630.0)</f>
        <v>2346630</v>
      </c>
      <c r="J148" s="124"/>
    </row>
    <row r="149">
      <c r="A149" s="75">
        <v>147.0</v>
      </c>
      <c r="B149" s="217" t="s">
        <v>1622</v>
      </c>
      <c r="C149" s="217">
        <v>431142.0</v>
      </c>
      <c r="D149" s="217">
        <v>1.0</v>
      </c>
      <c r="E149" s="577" t="s">
        <v>320</v>
      </c>
      <c r="F149" s="578" t="s">
        <v>1066</v>
      </c>
      <c r="G149" s="190">
        <f t="shared" si="1"/>
        <v>431142</v>
      </c>
      <c r="H149" s="190">
        <f t="shared" si="2"/>
        <v>35928.5</v>
      </c>
      <c r="I149" s="579">
        <f>IFERROR(__xludf.DUMMYFUNCTION("""COMPUTED_VALUE"""),557461.0)</f>
        <v>557461</v>
      </c>
      <c r="J149" s="124"/>
    </row>
    <row r="150">
      <c r="A150" s="75">
        <v>148.0</v>
      </c>
      <c r="B150" s="217" t="s">
        <v>1623</v>
      </c>
      <c r="C150" s="217">
        <v>163363.0</v>
      </c>
      <c r="D150" s="217">
        <v>1.0</v>
      </c>
      <c r="E150" s="577" t="s">
        <v>45</v>
      </c>
      <c r="F150" s="578" t="s">
        <v>30</v>
      </c>
      <c r="G150" s="190">
        <f t="shared" si="1"/>
        <v>163363</v>
      </c>
      <c r="H150" s="190">
        <f t="shared" si="2"/>
        <v>13613.58333</v>
      </c>
      <c r="I150" s="579">
        <f>IFERROR(__xludf.DUMMYFUNCTION("""COMPUTED_VALUE"""),809570.0)</f>
        <v>809570</v>
      </c>
      <c r="J150" s="124"/>
    </row>
    <row r="151">
      <c r="A151" s="75">
        <v>149.0</v>
      </c>
      <c r="B151" s="217" t="s">
        <v>1624</v>
      </c>
      <c r="C151" s="217">
        <v>24003.0</v>
      </c>
      <c r="D151" s="217">
        <v>1.0</v>
      </c>
      <c r="E151" s="577" t="s">
        <v>323</v>
      </c>
      <c r="F151" s="578" t="s">
        <v>1049</v>
      </c>
      <c r="G151" s="190">
        <f t="shared" si="1"/>
        <v>24003</v>
      </c>
      <c r="H151" s="190">
        <f t="shared" si="2"/>
        <v>2000.25</v>
      </c>
      <c r="I151" s="579">
        <f>IFERROR(__xludf.DUMMYFUNCTION("""COMPUTED_VALUE"""),0.0)</f>
        <v>0</v>
      </c>
      <c r="J151" s="124"/>
    </row>
    <row r="152">
      <c r="A152" s="75">
        <v>150.0</v>
      </c>
      <c r="B152" s="217" t="s">
        <v>1625</v>
      </c>
      <c r="C152" s="217">
        <v>30216.0</v>
      </c>
      <c r="D152" s="217">
        <v>1.0</v>
      </c>
      <c r="E152" s="577" t="s">
        <v>62</v>
      </c>
      <c r="F152" s="578" t="s">
        <v>1092</v>
      </c>
      <c r="G152" s="190">
        <f t="shared" si="1"/>
        <v>30216</v>
      </c>
      <c r="H152" s="190">
        <f t="shared" si="2"/>
        <v>2518</v>
      </c>
      <c r="I152" s="579">
        <f>IFERROR(__xludf.DUMMYFUNCTION("""COMPUTED_VALUE"""),0.0)</f>
        <v>0</v>
      </c>
      <c r="J152" s="124"/>
    </row>
    <row r="153">
      <c r="A153" s="75">
        <v>151.0</v>
      </c>
      <c r="B153" s="217" t="s">
        <v>1626</v>
      </c>
      <c r="C153" s="217">
        <v>2939676.0</v>
      </c>
      <c r="D153" s="217">
        <v>1.0</v>
      </c>
      <c r="E153" s="577" t="s">
        <v>328</v>
      </c>
      <c r="F153" s="578" t="s">
        <v>1049</v>
      </c>
      <c r="G153" s="190">
        <f t="shared" si="1"/>
        <v>2939676</v>
      </c>
      <c r="H153" s="190">
        <f t="shared" si="2"/>
        <v>244973</v>
      </c>
      <c r="I153" s="579">
        <f>IFERROR(__xludf.DUMMYFUNCTION("""COMPUTED_VALUE"""),4525430.0)</f>
        <v>4525430</v>
      </c>
      <c r="J153" s="124"/>
    </row>
    <row r="154">
      <c r="A154" s="75">
        <v>152.0</v>
      </c>
      <c r="B154" s="217" t="s">
        <v>1627</v>
      </c>
      <c r="C154" s="217">
        <v>2666823.0</v>
      </c>
      <c r="D154" s="217">
        <v>1.0</v>
      </c>
      <c r="E154" s="577" t="s">
        <v>35</v>
      </c>
      <c r="F154" s="578" t="s">
        <v>1110</v>
      </c>
      <c r="G154" s="190">
        <f t="shared" si="1"/>
        <v>2666823</v>
      </c>
      <c r="H154" s="190">
        <f t="shared" si="2"/>
        <v>222235.25</v>
      </c>
      <c r="I154" s="579">
        <f>IFERROR(__xludf.DUMMYFUNCTION("""COMPUTED_VALUE"""),5906328.0)</f>
        <v>5906328</v>
      </c>
      <c r="J154" s="124"/>
    </row>
    <row r="155">
      <c r="A155" s="75">
        <v>153.0</v>
      </c>
      <c r="B155" s="217" t="s">
        <v>1628</v>
      </c>
      <c r="C155" s="217">
        <v>4697439.0</v>
      </c>
      <c r="D155" s="217">
        <v>1.0</v>
      </c>
      <c r="E155" s="577" t="s">
        <v>150</v>
      </c>
      <c r="F155" s="578" t="s">
        <v>130</v>
      </c>
      <c r="G155" s="190">
        <f t="shared" si="1"/>
        <v>4697439</v>
      </c>
      <c r="H155" s="190">
        <f t="shared" si="2"/>
        <v>391453.25</v>
      </c>
      <c r="I155" s="579">
        <f>IFERROR(__xludf.DUMMYFUNCTION("""COMPUTED_VALUE"""),4473560.0)</f>
        <v>4473560</v>
      </c>
      <c r="J155" s="124"/>
    </row>
    <row r="156">
      <c r="A156" s="75">
        <v>154.0</v>
      </c>
      <c r="B156" s="217" t="s">
        <v>1629</v>
      </c>
      <c r="C156" s="217">
        <v>728279.0</v>
      </c>
      <c r="D156" s="217">
        <v>1.0</v>
      </c>
      <c r="E156" s="577" t="s">
        <v>181</v>
      </c>
      <c r="F156" s="578" t="s">
        <v>1042</v>
      </c>
      <c r="G156" s="190">
        <f t="shared" si="1"/>
        <v>728279</v>
      </c>
      <c r="H156" s="190">
        <f t="shared" si="2"/>
        <v>60689.91667</v>
      </c>
      <c r="I156" s="579">
        <f>IFERROR(__xludf.DUMMYFUNCTION("""COMPUTED_VALUE"""),2422955.0)</f>
        <v>2422955</v>
      </c>
      <c r="J156" s="124"/>
    </row>
    <row r="157">
      <c r="A157" s="75">
        <v>155.0</v>
      </c>
      <c r="B157" s="217" t="s">
        <v>1630</v>
      </c>
      <c r="C157" s="217">
        <v>1.235478E7</v>
      </c>
      <c r="D157" s="217">
        <v>1.0</v>
      </c>
      <c r="E157" s="577" t="s">
        <v>746</v>
      </c>
      <c r="F157" s="578" t="s">
        <v>1077</v>
      </c>
      <c r="G157" s="190">
        <f t="shared" si="1"/>
        <v>12354780</v>
      </c>
      <c r="H157" s="190">
        <f t="shared" si="2"/>
        <v>1029565</v>
      </c>
      <c r="I157" s="579">
        <f>IFERROR(__xludf.DUMMYFUNCTION("""COMPUTED_VALUE"""),3.1508554E7)</f>
        <v>31508554</v>
      </c>
      <c r="J157" s="124"/>
    </row>
    <row r="158">
      <c r="A158" s="75">
        <v>156.0</v>
      </c>
      <c r="B158" s="217" t="s">
        <v>1631</v>
      </c>
      <c r="C158" s="217">
        <v>5501183.0</v>
      </c>
      <c r="D158" s="217">
        <v>1.0</v>
      </c>
      <c r="E158" s="577" t="s">
        <v>346</v>
      </c>
      <c r="F158" s="578" t="s">
        <v>1062</v>
      </c>
      <c r="G158" s="190">
        <f t="shared" si="1"/>
        <v>5501183</v>
      </c>
      <c r="H158" s="190">
        <f t="shared" si="2"/>
        <v>458431.9167</v>
      </c>
      <c r="I158" s="579">
        <f>IFERROR(__xludf.DUMMYFUNCTION("""COMPUTED_VALUE"""),3542903.0)</f>
        <v>3542903</v>
      </c>
      <c r="J158" s="124"/>
    </row>
    <row r="159">
      <c r="A159" s="75">
        <v>157.0</v>
      </c>
      <c r="B159" s="217" t="s">
        <v>1632</v>
      </c>
      <c r="C159" s="217">
        <v>8.7379115E7</v>
      </c>
      <c r="D159" s="217">
        <v>6.0</v>
      </c>
      <c r="E159" s="577" t="s">
        <v>1633</v>
      </c>
      <c r="F159" s="578" t="s">
        <v>1088</v>
      </c>
      <c r="G159" s="190">
        <f t="shared" si="1"/>
        <v>14563185.83</v>
      </c>
      <c r="H159" s="190">
        <f t="shared" si="2"/>
        <v>1213598.819</v>
      </c>
      <c r="I159" s="579">
        <f>IFERROR(__xludf.DUMMYFUNCTION("""COMPUTED_VALUE"""),8.8213972E7)</f>
        <v>88213972</v>
      </c>
      <c r="J159" s="124"/>
    </row>
    <row r="160">
      <c r="A160" s="75">
        <v>158.0</v>
      </c>
      <c r="B160" s="217" t="s">
        <v>1634</v>
      </c>
      <c r="C160" s="217">
        <v>6.2976466E7</v>
      </c>
      <c r="D160" s="217">
        <v>6.0</v>
      </c>
      <c r="E160" s="577" t="s">
        <v>1635</v>
      </c>
      <c r="F160" s="578" t="s">
        <v>1027</v>
      </c>
      <c r="G160" s="190">
        <f t="shared" si="1"/>
        <v>10496077.67</v>
      </c>
      <c r="H160" s="190">
        <f t="shared" si="2"/>
        <v>874673.1389</v>
      </c>
      <c r="I160" s="579">
        <f>IFERROR(__xludf.DUMMYFUNCTION("""COMPUTED_VALUE"""),5.7962412E7)</f>
        <v>57962412</v>
      </c>
      <c r="J160" s="124"/>
    </row>
    <row r="161">
      <c r="A161" s="75">
        <v>159.0</v>
      </c>
      <c r="B161" s="217" t="s">
        <v>1636</v>
      </c>
      <c r="C161" s="217">
        <v>4.704165E7</v>
      </c>
      <c r="D161" s="217">
        <v>7.0</v>
      </c>
      <c r="E161" s="577" t="s">
        <v>1637</v>
      </c>
      <c r="F161" s="578" t="s">
        <v>1062</v>
      </c>
      <c r="G161" s="190">
        <f t="shared" si="1"/>
        <v>6720235.714</v>
      </c>
      <c r="H161" s="190">
        <f t="shared" si="2"/>
        <v>560019.6429</v>
      </c>
      <c r="I161" s="579">
        <f>IFERROR(__xludf.DUMMYFUNCTION("""COMPUTED_VALUE"""),4.6314657E7)</f>
        <v>46314657</v>
      </c>
      <c r="J161" s="124"/>
    </row>
    <row r="162">
      <c r="A162" s="75">
        <v>160.0</v>
      </c>
      <c r="B162" s="217" t="s">
        <v>1638</v>
      </c>
      <c r="C162" s="217">
        <v>6639261.0</v>
      </c>
      <c r="D162" s="217">
        <v>1.0</v>
      </c>
      <c r="E162" s="577" t="s">
        <v>48</v>
      </c>
      <c r="F162" s="578" t="s">
        <v>1091</v>
      </c>
      <c r="G162" s="190">
        <f t="shared" si="1"/>
        <v>6639261</v>
      </c>
      <c r="H162" s="190">
        <f t="shared" si="2"/>
        <v>553271.75</v>
      </c>
      <c r="I162" s="579">
        <f>IFERROR(__xludf.DUMMYFUNCTION("""COMPUTED_VALUE"""),8319260.0)</f>
        <v>8319260</v>
      </c>
      <c r="J162" s="124"/>
    </row>
    <row r="163">
      <c r="A163" s="75">
        <v>161.0</v>
      </c>
      <c r="B163" s="217" t="s">
        <v>1639</v>
      </c>
      <c r="C163" s="217">
        <v>940090.0</v>
      </c>
      <c r="D163" s="217">
        <v>1.0</v>
      </c>
      <c r="E163" s="577" t="s">
        <v>346</v>
      </c>
      <c r="F163" s="578" t="s">
        <v>1062</v>
      </c>
      <c r="G163" s="190">
        <f t="shared" si="1"/>
        <v>940090</v>
      </c>
      <c r="H163" s="190">
        <f t="shared" si="2"/>
        <v>78340.83333</v>
      </c>
      <c r="I163" s="579">
        <f>IFERROR(__xludf.DUMMYFUNCTION("""COMPUTED_VALUE"""),0.0)</f>
        <v>0</v>
      </c>
      <c r="J163" s="124"/>
    </row>
    <row r="164">
      <c r="A164" s="75">
        <v>162.0</v>
      </c>
      <c r="B164" s="217" t="s">
        <v>1640</v>
      </c>
      <c r="C164" s="217">
        <v>7.4779191E7</v>
      </c>
      <c r="D164" s="217">
        <v>5.0</v>
      </c>
      <c r="E164" s="577" t="s">
        <v>1641</v>
      </c>
      <c r="F164" s="578" t="s">
        <v>1042</v>
      </c>
      <c r="G164" s="190">
        <f t="shared" si="1"/>
        <v>14955838.2</v>
      </c>
      <c r="H164" s="190">
        <f t="shared" si="2"/>
        <v>1246319.85</v>
      </c>
      <c r="I164" s="579">
        <f>IFERROR(__xludf.DUMMYFUNCTION("""COMPUTED_VALUE"""),8.2622975E7)</f>
        <v>82622975</v>
      </c>
      <c r="J164" s="124"/>
    </row>
    <row r="165">
      <c r="A165" s="75">
        <v>163.0</v>
      </c>
      <c r="B165" s="217" t="s">
        <v>1642</v>
      </c>
      <c r="C165" s="217">
        <v>454622.0</v>
      </c>
      <c r="D165" s="217">
        <v>1.0</v>
      </c>
      <c r="E165" s="577" t="s">
        <v>847</v>
      </c>
      <c r="F165" s="578" t="s">
        <v>1092</v>
      </c>
      <c r="G165" s="190">
        <f t="shared" si="1"/>
        <v>454622</v>
      </c>
      <c r="H165" s="190">
        <f t="shared" si="2"/>
        <v>37885.16667</v>
      </c>
      <c r="I165" s="579">
        <f>IFERROR(__xludf.DUMMYFUNCTION("""COMPUTED_VALUE"""),0.0)</f>
        <v>0</v>
      </c>
      <c r="J165" s="124"/>
    </row>
    <row r="166">
      <c r="A166" s="75">
        <v>164.0</v>
      </c>
      <c r="B166" s="217" t="s">
        <v>1643</v>
      </c>
      <c r="C166" s="217">
        <v>4.1577206E7</v>
      </c>
      <c r="D166" s="217">
        <v>7.0</v>
      </c>
      <c r="E166" s="577" t="s">
        <v>1644</v>
      </c>
      <c r="F166" s="578" t="s">
        <v>1066</v>
      </c>
      <c r="G166" s="190">
        <f t="shared" si="1"/>
        <v>5939600.857</v>
      </c>
      <c r="H166" s="190">
        <f t="shared" si="2"/>
        <v>494966.7381</v>
      </c>
      <c r="I166" s="579">
        <f>IFERROR(__xludf.DUMMYFUNCTION("""COMPUTED_VALUE"""),3.1594213E7)</f>
        <v>31594213</v>
      </c>
      <c r="J166" s="124"/>
    </row>
    <row r="167">
      <c r="A167" s="75">
        <v>165.0</v>
      </c>
      <c r="B167" s="217" t="s">
        <v>1645</v>
      </c>
      <c r="C167" s="217">
        <v>1227418.0</v>
      </c>
      <c r="D167" s="217">
        <v>1.0</v>
      </c>
      <c r="E167" s="577" t="s">
        <v>177</v>
      </c>
      <c r="F167" s="578" t="s">
        <v>130</v>
      </c>
      <c r="G167" s="190">
        <f t="shared" si="1"/>
        <v>1227418</v>
      </c>
      <c r="H167" s="190">
        <f t="shared" si="2"/>
        <v>102284.8333</v>
      </c>
      <c r="I167" s="579">
        <f>IFERROR(__xludf.DUMMYFUNCTION("""COMPUTED_VALUE"""),3474723.0)</f>
        <v>3474723</v>
      </c>
      <c r="J167" s="124"/>
    </row>
    <row r="168">
      <c r="A168" s="75">
        <v>166.0</v>
      </c>
      <c r="B168" s="217" t="s">
        <v>1646</v>
      </c>
      <c r="C168" s="217">
        <v>168146.0</v>
      </c>
      <c r="D168" s="217">
        <v>2.0</v>
      </c>
      <c r="E168" s="577" t="s">
        <v>1647</v>
      </c>
      <c r="F168" s="578" t="s">
        <v>1042</v>
      </c>
      <c r="G168" s="190">
        <f t="shared" si="1"/>
        <v>84073</v>
      </c>
      <c r="H168" s="190">
        <f t="shared" si="2"/>
        <v>7006.083333</v>
      </c>
      <c r="I168" s="579">
        <f>IFERROR(__xludf.DUMMYFUNCTION("""COMPUTED_VALUE"""),1293981.0)</f>
        <v>1293981</v>
      </c>
      <c r="J168" s="124"/>
    </row>
    <row r="169">
      <c r="A169" s="75">
        <v>167.0</v>
      </c>
      <c r="B169" s="217" t="s">
        <v>1648</v>
      </c>
      <c r="C169" s="217">
        <v>6336642.0</v>
      </c>
      <c r="D169" s="217">
        <v>2.0</v>
      </c>
      <c r="E169" s="577" t="s">
        <v>1457</v>
      </c>
      <c r="F169" s="578" t="s">
        <v>130</v>
      </c>
      <c r="G169" s="190">
        <f t="shared" si="1"/>
        <v>3168321</v>
      </c>
      <c r="H169" s="190">
        <f t="shared" si="2"/>
        <v>264026.75</v>
      </c>
      <c r="I169" s="579">
        <f>IFERROR(__xludf.DUMMYFUNCTION("""COMPUTED_VALUE"""),4900827.0)</f>
        <v>4900827</v>
      </c>
      <c r="J169" s="124"/>
    </row>
    <row r="170">
      <c r="A170" s="75">
        <v>168.0</v>
      </c>
      <c r="B170" s="217" t="s">
        <v>1649</v>
      </c>
      <c r="C170" s="217">
        <v>1921866.0</v>
      </c>
      <c r="D170" s="217">
        <v>1.0</v>
      </c>
      <c r="E170" s="577" t="s">
        <v>141</v>
      </c>
      <c r="F170" s="578" t="s">
        <v>130</v>
      </c>
      <c r="G170" s="190">
        <f t="shared" si="1"/>
        <v>1921866</v>
      </c>
      <c r="H170" s="190">
        <f t="shared" si="2"/>
        <v>160155.5</v>
      </c>
      <c r="I170" s="579">
        <f>IFERROR(__xludf.DUMMYFUNCTION("""COMPUTED_VALUE"""),2168385.0)</f>
        <v>2168385</v>
      </c>
      <c r="J170" s="124"/>
    </row>
    <row r="171">
      <c r="A171" s="75">
        <v>169.0</v>
      </c>
      <c r="B171" s="217" t="s">
        <v>1650</v>
      </c>
      <c r="C171" s="217">
        <v>3702576.0</v>
      </c>
      <c r="D171" s="217">
        <v>2.0</v>
      </c>
      <c r="E171" s="577" t="s">
        <v>1617</v>
      </c>
      <c r="F171" s="578" t="s">
        <v>1044</v>
      </c>
      <c r="G171" s="190">
        <f t="shared" si="1"/>
        <v>1851288</v>
      </c>
      <c r="H171" s="190">
        <f t="shared" si="2"/>
        <v>154274</v>
      </c>
      <c r="I171" s="579">
        <f>IFERROR(__xludf.DUMMYFUNCTION("""COMPUTED_VALUE"""),606232.0)</f>
        <v>606232</v>
      </c>
      <c r="J171" s="124"/>
    </row>
    <row r="172">
      <c r="A172" s="75">
        <v>170.0</v>
      </c>
      <c r="B172" s="217" t="s">
        <v>1651</v>
      </c>
      <c r="C172" s="217">
        <v>1.0900547E7</v>
      </c>
      <c r="D172" s="217">
        <v>2.0</v>
      </c>
      <c r="E172" s="577" t="s">
        <v>1523</v>
      </c>
      <c r="F172" s="578" t="s">
        <v>130</v>
      </c>
      <c r="G172" s="190">
        <f t="shared" si="1"/>
        <v>5450273.5</v>
      </c>
      <c r="H172" s="190">
        <f t="shared" si="2"/>
        <v>454189.4583</v>
      </c>
      <c r="I172" s="579">
        <f>IFERROR(__xludf.DUMMYFUNCTION("""COMPUTED_VALUE"""),1.0431613E7)</f>
        <v>10431613</v>
      </c>
      <c r="J172" s="124"/>
    </row>
    <row r="173">
      <c r="A173" s="75">
        <v>171.0</v>
      </c>
      <c r="B173" s="217" t="s">
        <v>1652</v>
      </c>
      <c r="C173" s="217">
        <v>500076.0</v>
      </c>
      <c r="D173" s="217">
        <v>1.0</v>
      </c>
      <c r="E173" s="577" t="s">
        <v>28</v>
      </c>
      <c r="F173" s="578" t="s">
        <v>30</v>
      </c>
      <c r="G173" s="190">
        <f t="shared" si="1"/>
        <v>500076</v>
      </c>
      <c r="H173" s="190">
        <f t="shared" si="2"/>
        <v>41673</v>
      </c>
      <c r="I173" s="579">
        <f>IFERROR(__xludf.DUMMYFUNCTION("""COMPUTED_VALUE"""),353465.0)</f>
        <v>353465</v>
      </c>
      <c r="J173" s="124"/>
    </row>
    <row r="174">
      <c r="A174" s="75">
        <v>172.0</v>
      </c>
      <c r="B174" s="217" t="s">
        <v>1653</v>
      </c>
      <c r="C174" s="217">
        <v>653609.0</v>
      </c>
      <c r="D174" s="217">
        <v>2.0</v>
      </c>
      <c r="E174" s="577" t="s">
        <v>1654</v>
      </c>
      <c r="F174" s="578" t="s">
        <v>1058</v>
      </c>
      <c r="G174" s="190">
        <f t="shared" si="1"/>
        <v>326804.5</v>
      </c>
      <c r="H174" s="190">
        <f t="shared" si="2"/>
        <v>27233.70833</v>
      </c>
      <c r="I174" s="579">
        <f>IFERROR(__xludf.DUMMYFUNCTION("""COMPUTED_VALUE"""),0.0)</f>
        <v>0</v>
      </c>
      <c r="J174" s="124"/>
    </row>
    <row r="175">
      <c r="A175" s="75">
        <v>173.0</v>
      </c>
      <c r="B175" s="217" t="s">
        <v>1655</v>
      </c>
      <c r="C175" s="217">
        <v>2248680.0</v>
      </c>
      <c r="D175" s="217">
        <v>1.0</v>
      </c>
      <c r="E175" s="577" t="s">
        <v>223</v>
      </c>
      <c r="F175" s="578" t="s">
        <v>1443</v>
      </c>
      <c r="G175" s="190">
        <f t="shared" si="1"/>
        <v>2248680</v>
      </c>
      <c r="H175" s="190">
        <f t="shared" si="2"/>
        <v>187390</v>
      </c>
      <c r="I175" s="579">
        <f>IFERROR(__xludf.DUMMYFUNCTION("""COMPUTED_VALUE"""),0.0)</f>
        <v>0</v>
      </c>
      <c r="J175" s="124"/>
    </row>
    <row r="176">
      <c r="A176" s="75">
        <v>174.0</v>
      </c>
      <c r="B176" s="217" t="s">
        <v>1656</v>
      </c>
      <c r="C176" s="217">
        <v>1729318.0</v>
      </c>
      <c r="D176" s="217">
        <v>1.0</v>
      </c>
      <c r="E176" s="577" t="s">
        <v>418</v>
      </c>
      <c r="F176" s="578" t="s">
        <v>1016</v>
      </c>
      <c r="G176" s="190">
        <f t="shared" si="1"/>
        <v>1729318</v>
      </c>
      <c r="H176" s="190">
        <f t="shared" si="2"/>
        <v>144109.8333</v>
      </c>
      <c r="I176" s="579">
        <f>IFERROR(__xludf.DUMMYFUNCTION("""COMPUTED_VALUE"""),3419711.0)</f>
        <v>3419711</v>
      </c>
      <c r="J176" s="124"/>
    </row>
    <row r="177">
      <c r="A177" s="75">
        <v>175.0</v>
      </c>
      <c r="B177" s="217" t="s">
        <v>1657</v>
      </c>
      <c r="C177" s="217">
        <v>43595.0</v>
      </c>
      <c r="D177" s="217">
        <v>1.0</v>
      </c>
      <c r="E177" s="577" t="s">
        <v>208</v>
      </c>
      <c r="F177" s="578" t="s">
        <v>1027</v>
      </c>
      <c r="G177" s="190">
        <f t="shared" si="1"/>
        <v>43595</v>
      </c>
      <c r="H177" s="190">
        <f t="shared" si="2"/>
        <v>3632.916667</v>
      </c>
      <c r="I177" s="579">
        <f>IFERROR(__xludf.DUMMYFUNCTION("""COMPUTED_VALUE"""),0.0)</f>
        <v>0</v>
      </c>
      <c r="J177" s="124"/>
    </row>
    <row r="178">
      <c r="A178" s="75">
        <v>176.0</v>
      </c>
      <c r="B178" s="217" t="s">
        <v>1658</v>
      </c>
      <c r="C178" s="217">
        <v>540530.0</v>
      </c>
      <c r="D178" s="217">
        <v>2.0</v>
      </c>
      <c r="E178" s="577" t="s">
        <v>1659</v>
      </c>
      <c r="F178" s="578" t="s">
        <v>30</v>
      </c>
      <c r="G178" s="190">
        <f t="shared" si="1"/>
        <v>270265</v>
      </c>
      <c r="H178" s="190">
        <f t="shared" si="2"/>
        <v>22522.08333</v>
      </c>
      <c r="I178" s="579">
        <f>IFERROR(__xludf.DUMMYFUNCTION("""COMPUTED_VALUE"""),2324400.0)</f>
        <v>2324400</v>
      </c>
      <c r="J178" s="124"/>
    </row>
    <row r="179">
      <c r="A179" s="75">
        <v>177.0</v>
      </c>
      <c r="B179" s="217" t="s">
        <v>1660</v>
      </c>
      <c r="C179" s="217">
        <v>1.0192538E7</v>
      </c>
      <c r="D179" s="217">
        <v>2.0</v>
      </c>
      <c r="E179" s="577" t="s">
        <v>1585</v>
      </c>
      <c r="F179" s="578" t="s">
        <v>1027</v>
      </c>
      <c r="G179" s="190">
        <f t="shared" si="1"/>
        <v>5096269</v>
      </c>
      <c r="H179" s="190">
        <f t="shared" si="2"/>
        <v>424689.0833</v>
      </c>
      <c r="I179" s="579">
        <f>IFERROR(__xludf.DUMMYFUNCTION("""COMPUTED_VALUE"""),1.2820376E7)</f>
        <v>12820376</v>
      </c>
      <c r="J179" s="124"/>
    </row>
    <row r="180">
      <c r="A180" s="75">
        <v>178.0</v>
      </c>
      <c r="B180" s="217" t="s">
        <v>1661</v>
      </c>
      <c r="C180" s="217">
        <v>4686681.0</v>
      </c>
      <c r="D180" s="217">
        <v>2.0</v>
      </c>
      <c r="E180" s="577" t="s">
        <v>1662</v>
      </c>
      <c r="F180" s="578" t="s">
        <v>1042</v>
      </c>
      <c r="G180" s="190">
        <f t="shared" si="1"/>
        <v>2343340.5</v>
      </c>
      <c r="H180" s="190">
        <f t="shared" si="2"/>
        <v>195278.375</v>
      </c>
      <c r="I180" s="579">
        <f>IFERROR(__xludf.DUMMYFUNCTION("""COMPUTED_VALUE"""),4461397.0)</f>
        <v>4461397</v>
      </c>
      <c r="J180" s="124"/>
    </row>
    <row r="181">
      <c r="A181" s="75">
        <v>179.0</v>
      </c>
      <c r="B181" s="217" t="s">
        <v>1663</v>
      </c>
      <c r="C181" s="217">
        <v>1074169.0</v>
      </c>
      <c r="D181" s="217">
        <v>1.0</v>
      </c>
      <c r="E181" s="577" t="s">
        <v>637</v>
      </c>
      <c r="F181" s="578" t="s">
        <v>1066</v>
      </c>
      <c r="G181" s="190">
        <f t="shared" si="1"/>
        <v>1074169</v>
      </c>
      <c r="H181" s="190">
        <f t="shared" si="2"/>
        <v>89514.08333</v>
      </c>
      <c r="I181" s="579">
        <f>IFERROR(__xludf.DUMMYFUNCTION("""COMPUTED_VALUE"""),741725.0)</f>
        <v>741725</v>
      </c>
      <c r="J181" s="124"/>
    </row>
    <row r="182">
      <c r="A182" s="75">
        <v>180.0</v>
      </c>
      <c r="B182" s="217" t="s">
        <v>1664</v>
      </c>
      <c r="C182" s="217">
        <v>64592.0</v>
      </c>
      <c r="D182" s="217">
        <v>1.0</v>
      </c>
      <c r="E182" s="577" t="s">
        <v>51</v>
      </c>
      <c r="F182" s="578" t="s">
        <v>1091</v>
      </c>
      <c r="G182" s="190">
        <f t="shared" si="1"/>
        <v>64592</v>
      </c>
      <c r="H182" s="190">
        <f t="shared" si="2"/>
        <v>5382.666667</v>
      </c>
      <c r="I182" s="579">
        <f>IFERROR(__xludf.DUMMYFUNCTION("""COMPUTED_VALUE"""),798985.0)</f>
        <v>798985</v>
      </c>
      <c r="J182" s="124"/>
    </row>
    <row r="183">
      <c r="A183" s="75">
        <v>181.0</v>
      </c>
      <c r="B183" s="217" t="s">
        <v>1665</v>
      </c>
      <c r="C183" s="217">
        <v>193491.0</v>
      </c>
      <c r="D183" s="217">
        <v>1.0</v>
      </c>
      <c r="E183" s="577" t="s">
        <v>35</v>
      </c>
      <c r="F183" s="578" t="s">
        <v>1110</v>
      </c>
      <c r="G183" s="190">
        <f t="shared" si="1"/>
        <v>193491</v>
      </c>
      <c r="H183" s="190">
        <f t="shared" si="2"/>
        <v>16124.25</v>
      </c>
      <c r="I183" s="579">
        <f>IFERROR(__xludf.DUMMYFUNCTION("""COMPUTED_VALUE"""),1161254.0)</f>
        <v>1161254</v>
      </c>
      <c r="J183" s="124"/>
    </row>
    <row r="184">
      <c r="A184" s="75">
        <v>182.0</v>
      </c>
      <c r="B184" s="217" t="s">
        <v>1666</v>
      </c>
      <c r="C184" s="217">
        <v>832900.0</v>
      </c>
      <c r="D184" s="217">
        <v>1.0</v>
      </c>
      <c r="E184" s="577" t="s">
        <v>781</v>
      </c>
      <c r="F184" s="578" t="s">
        <v>130</v>
      </c>
      <c r="G184" s="190">
        <f t="shared" si="1"/>
        <v>832900</v>
      </c>
      <c r="H184" s="190">
        <f t="shared" si="2"/>
        <v>69408.33333</v>
      </c>
      <c r="I184" s="579">
        <f>IFERROR(__xludf.DUMMYFUNCTION("""COMPUTED_VALUE"""),867297.0)</f>
        <v>867297</v>
      </c>
      <c r="J184" s="124"/>
    </row>
    <row r="185">
      <c r="A185" s="75">
        <v>183.0</v>
      </c>
      <c r="B185" s="217" t="s">
        <v>1667</v>
      </c>
      <c r="C185" s="217">
        <v>9904147.0</v>
      </c>
      <c r="D185" s="217">
        <v>2.0</v>
      </c>
      <c r="E185" s="577" t="s">
        <v>1668</v>
      </c>
      <c r="F185" s="578" t="s">
        <v>1016</v>
      </c>
      <c r="G185" s="190">
        <f t="shared" si="1"/>
        <v>4952073.5</v>
      </c>
      <c r="H185" s="190">
        <f t="shared" si="2"/>
        <v>412672.7917</v>
      </c>
      <c r="I185" s="579">
        <f>IFERROR(__xludf.DUMMYFUNCTION("""COMPUTED_VALUE"""),8242167.0)</f>
        <v>8242167</v>
      </c>
      <c r="J185" s="124"/>
    </row>
    <row r="186">
      <c r="A186" s="75">
        <v>184.0</v>
      </c>
      <c r="B186" s="217" t="s">
        <v>1669</v>
      </c>
      <c r="C186" s="217">
        <v>4590.0</v>
      </c>
      <c r="D186" s="217">
        <v>1.0</v>
      </c>
      <c r="E186" s="577" t="s">
        <v>323</v>
      </c>
      <c r="F186" s="578" t="s">
        <v>1049</v>
      </c>
      <c r="G186" s="190">
        <f t="shared" si="1"/>
        <v>4590</v>
      </c>
      <c r="H186" s="190">
        <f t="shared" si="2"/>
        <v>382.5</v>
      </c>
      <c r="I186" s="579">
        <f>IFERROR(__xludf.DUMMYFUNCTION("""COMPUTED_VALUE"""),0.0)</f>
        <v>0</v>
      </c>
      <c r="J186" s="124"/>
    </row>
    <row r="187">
      <c r="A187" s="75">
        <v>185.0</v>
      </c>
      <c r="B187" s="217" t="s">
        <v>1670</v>
      </c>
      <c r="C187" s="217">
        <v>818220.0</v>
      </c>
      <c r="D187" s="217">
        <v>1.0</v>
      </c>
      <c r="E187" s="577" t="s">
        <v>390</v>
      </c>
      <c r="F187" s="578" t="s">
        <v>1058</v>
      </c>
      <c r="G187" s="190">
        <f t="shared" si="1"/>
        <v>818220</v>
      </c>
      <c r="H187" s="190">
        <f t="shared" si="2"/>
        <v>68185</v>
      </c>
      <c r="I187" s="579">
        <f>IFERROR(__xludf.DUMMYFUNCTION("""COMPUTED_VALUE"""),0.0)</f>
        <v>0</v>
      </c>
      <c r="J187" s="124"/>
    </row>
    <row r="188">
      <c r="A188" s="75">
        <v>186.0</v>
      </c>
      <c r="B188" s="217" t="s">
        <v>1671</v>
      </c>
      <c r="C188" s="217">
        <v>5529426.0</v>
      </c>
      <c r="D188" s="217">
        <v>1.0</v>
      </c>
      <c r="E188" s="577" t="s">
        <v>31</v>
      </c>
      <c r="F188" s="578" t="s">
        <v>30</v>
      </c>
      <c r="G188" s="190">
        <f t="shared" si="1"/>
        <v>5529426</v>
      </c>
      <c r="H188" s="190">
        <f t="shared" si="2"/>
        <v>460785.5</v>
      </c>
      <c r="I188" s="579">
        <f>IFERROR(__xludf.DUMMYFUNCTION("""COMPUTED_VALUE"""),5731081.0)</f>
        <v>5731081</v>
      </c>
      <c r="J188" s="124"/>
    </row>
    <row r="189">
      <c r="A189" s="75">
        <v>187.0</v>
      </c>
      <c r="B189" s="217" t="s">
        <v>1672</v>
      </c>
      <c r="C189" s="217">
        <v>669195.0</v>
      </c>
      <c r="D189" s="217">
        <v>2.0</v>
      </c>
      <c r="E189" s="577" t="s">
        <v>1489</v>
      </c>
      <c r="F189" s="578" t="s">
        <v>1066</v>
      </c>
      <c r="G189" s="190">
        <f t="shared" si="1"/>
        <v>334597.5</v>
      </c>
      <c r="H189" s="190">
        <f t="shared" si="2"/>
        <v>27883.125</v>
      </c>
      <c r="I189" s="579">
        <f>IFERROR(__xludf.DUMMYFUNCTION("""COMPUTED_VALUE"""),1043467.0)</f>
        <v>1043467</v>
      </c>
      <c r="J189" s="124"/>
    </row>
    <row r="190">
      <c r="A190" s="75">
        <v>188.0</v>
      </c>
      <c r="B190" s="217" t="s">
        <v>1673</v>
      </c>
      <c r="C190" s="217">
        <v>120868.0</v>
      </c>
      <c r="D190" s="217">
        <v>2.0</v>
      </c>
      <c r="E190" s="577" t="s">
        <v>1674</v>
      </c>
      <c r="F190" s="578" t="s">
        <v>1016</v>
      </c>
      <c r="G190" s="190">
        <f t="shared" si="1"/>
        <v>60434</v>
      </c>
      <c r="H190" s="190">
        <f t="shared" si="2"/>
        <v>5036.166667</v>
      </c>
      <c r="I190" s="579">
        <f>IFERROR(__xludf.DUMMYFUNCTION("""COMPUTED_VALUE"""),50740.0)</f>
        <v>50740</v>
      </c>
      <c r="J190" s="124"/>
    </row>
    <row r="191">
      <c r="A191" s="75">
        <v>189.0</v>
      </c>
      <c r="B191" s="217" t="s">
        <v>1675</v>
      </c>
      <c r="C191" s="217">
        <v>376065.0</v>
      </c>
      <c r="D191" s="217">
        <v>2.0</v>
      </c>
      <c r="E191" s="577" t="s">
        <v>1676</v>
      </c>
      <c r="F191" s="578" t="s">
        <v>1044</v>
      </c>
      <c r="G191" s="190">
        <f t="shared" si="1"/>
        <v>188032.5</v>
      </c>
      <c r="H191" s="190">
        <f t="shared" si="2"/>
        <v>15669.375</v>
      </c>
      <c r="I191" s="579">
        <f>IFERROR(__xludf.DUMMYFUNCTION("""COMPUTED_VALUE"""),178587.0)</f>
        <v>178587</v>
      </c>
      <c r="J191" s="124"/>
    </row>
    <row r="192">
      <c r="A192" s="75">
        <v>190.0</v>
      </c>
      <c r="B192" s="217" t="s">
        <v>1677</v>
      </c>
      <c r="C192" s="217">
        <v>297782.0</v>
      </c>
      <c r="D192" s="217">
        <v>1.0</v>
      </c>
      <c r="E192" s="577" t="s">
        <v>271</v>
      </c>
      <c r="F192" s="578" t="s">
        <v>1016</v>
      </c>
      <c r="G192" s="190">
        <f t="shared" si="1"/>
        <v>297782</v>
      </c>
      <c r="H192" s="190">
        <f t="shared" si="2"/>
        <v>24815.16667</v>
      </c>
      <c r="I192" s="579">
        <f>IFERROR(__xludf.DUMMYFUNCTION("""COMPUTED_VALUE"""),4.0481453E7)</f>
        <v>40481453</v>
      </c>
      <c r="J192" s="124"/>
    </row>
    <row r="193">
      <c r="A193" s="75">
        <v>191.0</v>
      </c>
      <c r="B193" s="217" t="s">
        <v>1678</v>
      </c>
      <c r="C193" s="217">
        <v>729707.0</v>
      </c>
      <c r="D193" s="217">
        <v>2.0</v>
      </c>
      <c r="E193" s="577" t="s">
        <v>1517</v>
      </c>
      <c r="F193" s="578" t="s">
        <v>76</v>
      </c>
      <c r="G193" s="190">
        <f t="shared" si="1"/>
        <v>364853.5</v>
      </c>
      <c r="H193" s="190">
        <f t="shared" si="2"/>
        <v>30404.45833</v>
      </c>
      <c r="I193" s="579">
        <f>IFERROR(__xludf.DUMMYFUNCTION("""COMPUTED_VALUE"""),909549.0)</f>
        <v>909549</v>
      </c>
      <c r="J193" s="124"/>
    </row>
    <row r="194">
      <c r="A194" s="75">
        <v>192.0</v>
      </c>
      <c r="B194" s="217" t="s">
        <v>1679</v>
      </c>
      <c r="C194" s="217">
        <v>2846089.0</v>
      </c>
      <c r="D194" s="217">
        <v>2.0</v>
      </c>
      <c r="E194" s="577" t="s">
        <v>1680</v>
      </c>
      <c r="F194" s="578" t="s">
        <v>1066</v>
      </c>
      <c r="G194" s="190">
        <f t="shared" si="1"/>
        <v>1423044.5</v>
      </c>
      <c r="H194" s="190">
        <f t="shared" si="2"/>
        <v>118587.0417</v>
      </c>
      <c r="I194" s="579">
        <f>IFERROR(__xludf.DUMMYFUNCTION("""COMPUTED_VALUE"""),5357935.0)</f>
        <v>5357935</v>
      </c>
      <c r="J194" s="124"/>
    </row>
    <row r="195">
      <c r="A195" s="75">
        <v>193.0</v>
      </c>
      <c r="B195" s="217" t="s">
        <v>1681</v>
      </c>
      <c r="C195" s="217">
        <v>9588896.0</v>
      </c>
      <c r="D195" s="217">
        <v>4.0</v>
      </c>
      <c r="E195" s="577" t="s">
        <v>1682</v>
      </c>
      <c r="F195" s="578" t="s">
        <v>1058</v>
      </c>
      <c r="G195" s="190">
        <f t="shared" si="1"/>
        <v>2397224</v>
      </c>
      <c r="H195" s="190">
        <f t="shared" si="2"/>
        <v>199768.6667</v>
      </c>
      <c r="I195" s="579">
        <f>IFERROR(__xludf.DUMMYFUNCTION("""COMPUTED_VALUE"""),0.0)</f>
        <v>0</v>
      </c>
      <c r="J195" s="124"/>
    </row>
    <row r="196">
      <c r="A196" s="75">
        <v>194.0</v>
      </c>
      <c r="B196" s="217" t="s">
        <v>1683</v>
      </c>
      <c r="C196" s="217">
        <v>117261.0</v>
      </c>
      <c r="D196" s="217">
        <v>1.0</v>
      </c>
      <c r="E196" s="577" t="s">
        <v>24</v>
      </c>
      <c r="F196" s="578" t="s">
        <v>30</v>
      </c>
      <c r="G196" s="190">
        <f t="shared" si="1"/>
        <v>117261</v>
      </c>
      <c r="H196" s="190">
        <f t="shared" si="2"/>
        <v>9771.75</v>
      </c>
      <c r="I196" s="579">
        <f>IFERROR(__xludf.DUMMYFUNCTION("""COMPUTED_VALUE"""),0.0)</f>
        <v>0</v>
      </c>
      <c r="J196" s="124" t="str">
        <f>IFERROR(__xludf.DUMMYFUNCTION("""COMPUTED_VALUE"""),"OLD STOCK")</f>
        <v>OLD STOCK</v>
      </c>
    </row>
    <row r="197">
      <c r="A197" s="75">
        <v>195.0</v>
      </c>
      <c r="B197" s="217" t="s">
        <v>1684</v>
      </c>
      <c r="C197" s="217">
        <v>671537.0</v>
      </c>
      <c r="D197" s="217">
        <v>1.0</v>
      </c>
      <c r="E197" s="577" t="s">
        <v>24</v>
      </c>
      <c r="F197" s="578" t="s">
        <v>30</v>
      </c>
      <c r="G197" s="190">
        <f t="shared" si="1"/>
        <v>671537</v>
      </c>
      <c r="H197" s="190">
        <f t="shared" si="2"/>
        <v>55961.41667</v>
      </c>
      <c r="I197" s="579">
        <f>IFERROR(__xludf.DUMMYFUNCTION("""COMPUTED_VALUE"""),639380.0)</f>
        <v>639380</v>
      </c>
      <c r="J197" s="124"/>
    </row>
    <row r="198">
      <c r="A198" s="75">
        <v>196.0</v>
      </c>
      <c r="B198" s="217" t="s">
        <v>1685</v>
      </c>
      <c r="C198" s="217">
        <v>1.2693344E7</v>
      </c>
      <c r="D198" s="217">
        <v>1.0</v>
      </c>
      <c r="E198" s="577" t="s">
        <v>770</v>
      </c>
      <c r="F198" s="578" t="s">
        <v>1042</v>
      </c>
      <c r="G198" s="190">
        <f t="shared" si="1"/>
        <v>12693344</v>
      </c>
      <c r="H198" s="190">
        <f t="shared" si="2"/>
        <v>1057778.667</v>
      </c>
      <c r="I198" s="579">
        <f>IFERROR(__xludf.DUMMYFUNCTION("""COMPUTED_VALUE"""),1.6146891E7)</f>
        <v>16146891</v>
      </c>
      <c r="J198" s="124"/>
    </row>
    <row r="199">
      <c r="A199" s="75">
        <v>197.0</v>
      </c>
      <c r="B199" s="217" t="s">
        <v>1686</v>
      </c>
      <c r="C199" s="217">
        <v>5.8622466E7</v>
      </c>
      <c r="D199" s="217">
        <v>2.0</v>
      </c>
      <c r="E199" s="577" t="s">
        <v>1687</v>
      </c>
      <c r="F199" s="578" t="s">
        <v>1027</v>
      </c>
      <c r="G199" s="190">
        <f t="shared" si="1"/>
        <v>29311233</v>
      </c>
      <c r="H199" s="190">
        <f t="shared" si="2"/>
        <v>2442602.75</v>
      </c>
      <c r="I199" s="579">
        <f>IFERROR(__xludf.DUMMYFUNCTION("""COMPUTED_VALUE"""),5.6839866E7)</f>
        <v>56839866</v>
      </c>
      <c r="J199" s="124"/>
    </row>
    <row r="200">
      <c r="A200" s="75">
        <v>198.0</v>
      </c>
      <c r="B200" s="217" t="s">
        <v>1688</v>
      </c>
      <c r="C200" s="217">
        <v>3.3348041E7</v>
      </c>
      <c r="D200" s="217">
        <v>4.0</v>
      </c>
      <c r="E200" s="577" t="s">
        <v>1689</v>
      </c>
      <c r="F200" s="578" t="s">
        <v>1042</v>
      </c>
      <c r="G200" s="190">
        <f t="shared" si="1"/>
        <v>8337010.25</v>
      </c>
      <c r="H200" s="190">
        <f t="shared" si="2"/>
        <v>694750.8542</v>
      </c>
      <c r="I200" s="579">
        <f>IFERROR(__xludf.DUMMYFUNCTION("""COMPUTED_VALUE"""),5.7527745E7)</f>
        <v>57527745</v>
      </c>
      <c r="J200" s="124"/>
    </row>
    <row r="201">
      <c r="A201" s="75">
        <v>199.0</v>
      </c>
      <c r="B201" s="217" t="s">
        <v>1690</v>
      </c>
      <c r="C201" s="217">
        <v>1426019.0</v>
      </c>
      <c r="D201" s="217">
        <v>1.0</v>
      </c>
      <c r="E201" s="577" t="s">
        <v>77</v>
      </c>
      <c r="F201" s="578" t="s">
        <v>76</v>
      </c>
      <c r="G201" s="190">
        <f t="shared" si="1"/>
        <v>1426019</v>
      </c>
      <c r="H201" s="190">
        <f t="shared" si="2"/>
        <v>118834.9167</v>
      </c>
      <c r="I201" s="579">
        <f>IFERROR(__xludf.DUMMYFUNCTION("""COMPUTED_VALUE"""),2036321.0)</f>
        <v>2036321</v>
      </c>
      <c r="J201" s="124"/>
    </row>
    <row r="202">
      <c r="A202" s="75">
        <v>200.0</v>
      </c>
      <c r="B202" s="217" t="s">
        <v>1691</v>
      </c>
      <c r="C202" s="217">
        <v>8389165.0</v>
      </c>
      <c r="D202" s="217">
        <v>1.0</v>
      </c>
      <c r="E202" s="577" t="s">
        <v>227</v>
      </c>
      <c r="F202" s="578" t="s">
        <v>1088</v>
      </c>
      <c r="G202" s="190">
        <f t="shared" si="1"/>
        <v>8389165</v>
      </c>
      <c r="H202" s="190">
        <f t="shared" si="2"/>
        <v>699097.0833</v>
      </c>
      <c r="I202" s="579">
        <f>IFERROR(__xludf.DUMMYFUNCTION("""COMPUTED_VALUE"""),1.071829E7)</f>
        <v>10718290</v>
      </c>
      <c r="J202" s="124"/>
    </row>
    <row r="203">
      <c r="A203" s="75">
        <v>201.0</v>
      </c>
      <c r="B203" s="217" t="s">
        <v>1692</v>
      </c>
      <c r="C203" s="217">
        <v>5318795.0</v>
      </c>
      <c r="D203" s="217">
        <v>1.0</v>
      </c>
      <c r="E203" s="577" t="s">
        <v>54</v>
      </c>
      <c r="F203" s="578" t="s">
        <v>1092</v>
      </c>
      <c r="G203" s="190">
        <f t="shared" si="1"/>
        <v>5318795</v>
      </c>
      <c r="H203" s="190">
        <f t="shared" si="2"/>
        <v>443232.9167</v>
      </c>
      <c r="I203" s="579">
        <f>IFERROR(__xludf.DUMMYFUNCTION("""COMPUTED_VALUE"""),8042875.0)</f>
        <v>8042875</v>
      </c>
      <c r="J203" s="124"/>
    </row>
    <row r="204">
      <c r="A204" s="75">
        <v>202.0</v>
      </c>
      <c r="B204" s="217" t="s">
        <v>1693</v>
      </c>
      <c r="C204" s="217">
        <v>3960404.0</v>
      </c>
      <c r="D204" s="217">
        <v>1.0</v>
      </c>
      <c r="E204" s="577" t="s">
        <v>74</v>
      </c>
      <c r="F204" s="578" t="s">
        <v>76</v>
      </c>
      <c r="G204" s="190">
        <f t="shared" si="1"/>
        <v>3960404</v>
      </c>
      <c r="H204" s="190">
        <f t="shared" si="2"/>
        <v>330033.6667</v>
      </c>
      <c r="I204" s="579">
        <f>IFERROR(__xludf.DUMMYFUNCTION("""COMPUTED_VALUE"""),4270799.0)</f>
        <v>4270799</v>
      </c>
      <c r="J204" s="124"/>
    </row>
    <row r="205">
      <c r="A205" s="75">
        <v>203.0</v>
      </c>
      <c r="B205" s="217" t="s">
        <v>1694</v>
      </c>
      <c r="C205" s="217">
        <v>4927448.0</v>
      </c>
      <c r="D205" s="217">
        <v>2.0</v>
      </c>
      <c r="E205" s="577" t="s">
        <v>1695</v>
      </c>
      <c r="F205" s="578" t="s">
        <v>1066</v>
      </c>
      <c r="G205" s="190">
        <f t="shared" si="1"/>
        <v>2463724</v>
      </c>
      <c r="H205" s="190">
        <f t="shared" si="2"/>
        <v>205310.3333</v>
      </c>
      <c r="I205" s="579">
        <f>IFERROR(__xludf.DUMMYFUNCTION("""COMPUTED_VALUE"""),3751505.0)</f>
        <v>3751505</v>
      </c>
      <c r="J205" s="124"/>
    </row>
    <row r="206">
      <c r="A206" s="75">
        <v>204.0</v>
      </c>
      <c r="B206" s="217" t="s">
        <v>1696</v>
      </c>
      <c r="C206" s="217">
        <v>111210.0</v>
      </c>
      <c r="D206" s="217">
        <v>1.0</v>
      </c>
      <c r="E206" s="577" t="s">
        <v>54</v>
      </c>
      <c r="F206" s="578" t="s">
        <v>1092</v>
      </c>
      <c r="G206" s="190">
        <f t="shared" si="1"/>
        <v>111210</v>
      </c>
      <c r="H206" s="190">
        <f t="shared" si="2"/>
        <v>9267.5</v>
      </c>
      <c r="I206" s="579">
        <f>IFERROR(__xludf.DUMMYFUNCTION("""COMPUTED_VALUE"""),556220.0)</f>
        <v>556220</v>
      </c>
      <c r="J206" s="124"/>
    </row>
    <row r="207">
      <c r="A207" s="75">
        <v>205.0</v>
      </c>
      <c r="B207" s="217" t="s">
        <v>1697</v>
      </c>
      <c r="C207" s="217">
        <v>1102188.0</v>
      </c>
      <c r="D207" s="217">
        <v>1.0</v>
      </c>
      <c r="E207" s="577" t="s">
        <v>323</v>
      </c>
      <c r="F207" s="578" t="s">
        <v>1049</v>
      </c>
      <c r="G207" s="190">
        <f t="shared" si="1"/>
        <v>1102188</v>
      </c>
      <c r="H207" s="190">
        <f t="shared" si="2"/>
        <v>91849</v>
      </c>
      <c r="I207" s="579">
        <f>IFERROR(__xludf.DUMMYFUNCTION("""COMPUTED_VALUE"""),899082.0)</f>
        <v>899082</v>
      </c>
      <c r="J207" s="124"/>
    </row>
    <row r="208">
      <c r="A208" s="75">
        <v>206.0</v>
      </c>
      <c r="B208" s="217" t="s">
        <v>1698</v>
      </c>
      <c r="C208" s="217">
        <v>1959497.0</v>
      </c>
      <c r="D208" s="217">
        <v>1.0</v>
      </c>
      <c r="E208" s="577" t="s">
        <v>255</v>
      </c>
      <c r="F208" s="578" t="s">
        <v>1031</v>
      </c>
      <c r="G208" s="190">
        <f t="shared" si="1"/>
        <v>1959497</v>
      </c>
      <c r="H208" s="190">
        <f t="shared" si="2"/>
        <v>163291.4167</v>
      </c>
      <c r="I208" s="579">
        <f>IFERROR(__xludf.DUMMYFUNCTION("""COMPUTED_VALUE"""),4780340.0)</f>
        <v>4780340</v>
      </c>
      <c r="J208" s="124"/>
    </row>
    <row r="209">
      <c r="A209" s="75">
        <v>207.0</v>
      </c>
      <c r="B209" s="217" t="s">
        <v>1699</v>
      </c>
      <c r="C209" s="217">
        <v>462407.0</v>
      </c>
      <c r="D209" s="217">
        <v>1.0</v>
      </c>
      <c r="E209" s="577" t="s">
        <v>253</v>
      </c>
      <c r="F209" s="578" t="s">
        <v>1031</v>
      </c>
      <c r="G209" s="190">
        <f t="shared" si="1"/>
        <v>462407</v>
      </c>
      <c r="H209" s="190">
        <f t="shared" si="2"/>
        <v>38533.91667</v>
      </c>
      <c r="I209" s="579">
        <f>IFERROR(__xludf.DUMMYFUNCTION("""COMPUTED_VALUE"""),2438784.0)</f>
        <v>2438784</v>
      </c>
      <c r="J209" s="124"/>
    </row>
    <row r="210">
      <c r="A210" s="75">
        <v>208.0</v>
      </c>
      <c r="B210" s="217" t="s">
        <v>1700</v>
      </c>
      <c r="C210" s="217">
        <v>1.6104172E7</v>
      </c>
      <c r="D210" s="217">
        <v>1.0</v>
      </c>
      <c r="E210" s="577" t="s">
        <v>273</v>
      </c>
      <c r="F210" s="578" t="s">
        <v>1031</v>
      </c>
      <c r="G210" s="190">
        <f t="shared" si="1"/>
        <v>16104172</v>
      </c>
      <c r="H210" s="190">
        <f t="shared" si="2"/>
        <v>1342014.333</v>
      </c>
      <c r="I210" s="579">
        <f>IFERROR(__xludf.DUMMYFUNCTION("""COMPUTED_VALUE"""),2.0530007E7)</f>
        <v>20530007</v>
      </c>
      <c r="J210" s="124"/>
    </row>
    <row r="211">
      <c r="A211" s="75">
        <v>209.0</v>
      </c>
      <c r="B211" s="217" t="s">
        <v>1701</v>
      </c>
      <c r="C211" s="217">
        <v>1.6007175E7</v>
      </c>
      <c r="D211" s="217">
        <v>1.0</v>
      </c>
      <c r="E211" s="577" t="s">
        <v>88</v>
      </c>
      <c r="F211" s="578" t="s">
        <v>1058</v>
      </c>
      <c r="G211" s="190">
        <f t="shared" si="1"/>
        <v>16007175</v>
      </c>
      <c r="H211" s="190">
        <f t="shared" si="2"/>
        <v>1333931.25</v>
      </c>
      <c r="I211" s="579">
        <f>IFERROR(__xludf.DUMMYFUNCTION("""COMPUTED_VALUE"""),1135530.0)</f>
        <v>1135530</v>
      </c>
      <c r="J211" s="124"/>
    </row>
    <row r="212">
      <c r="A212" s="75">
        <v>210.0</v>
      </c>
      <c r="B212" s="217" t="s">
        <v>1702</v>
      </c>
      <c r="C212" s="217">
        <v>363210.0</v>
      </c>
      <c r="D212" s="217">
        <v>1.0</v>
      </c>
      <c r="E212" s="577" t="s">
        <v>220</v>
      </c>
      <c r="F212" s="578" t="s">
        <v>1088</v>
      </c>
      <c r="G212" s="190">
        <f t="shared" si="1"/>
        <v>363210</v>
      </c>
      <c r="H212" s="190">
        <f t="shared" si="2"/>
        <v>30267.5</v>
      </c>
      <c r="I212" s="579">
        <f>IFERROR(__xludf.DUMMYFUNCTION("""COMPUTED_VALUE"""),1.4354964E7)</f>
        <v>14354964</v>
      </c>
      <c r="J212" s="124"/>
    </row>
    <row r="213">
      <c r="A213" s="75">
        <v>211.0</v>
      </c>
      <c r="B213" s="217" t="s">
        <v>1703</v>
      </c>
      <c r="C213" s="217">
        <v>1970477.0</v>
      </c>
      <c r="D213" s="217">
        <v>1.0</v>
      </c>
      <c r="E213" s="577" t="s">
        <v>704</v>
      </c>
      <c r="F213" s="578" t="s">
        <v>130</v>
      </c>
      <c r="G213" s="190">
        <f t="shared" si="1"/>
        <v>1970477</v>
      </c>
      <c r="H213" s="190">
        <f t="shared" si="2"/>
        <v>164206.4167</v>
      </c>
      <c r="I213" s="579">
        <f>IFERROR(__xludf.DUMMYFUNCTION("""COMPUTED_VALUE"""),3259808.0)</f>
        <v>3259808</v>
      </c>
      <c r="J213" s="124"/>
    </row>
    <row r="214">
      <c r="A214" s="75">
        <v>212.0</v>
      </c>
      <c r="B214" s="217" t="s">
        <v>1704</v>
      </c>
      <c r="C214" s="217">
        <v>259197.0</v>
      </c>
      <c r="D214" s="217">
        <v>1.0</v>
      </c>
      <c r="E214" s="577" t="s">
        <v>323</v>
      </c>
      <c r="F214" s="578" t="s">
        <v>1049</v>
      </c>
      <c r="G214" s="190">
        <f t="shared" si="1"/>
        <v>259197</v>
      </c>
      <c r="H214" s="190">
        <f t="shared" si="2"/>
        <v>21599.75</v>
      </c>
      <c r="I214" s="579">
        <f>IFERROR(__xludf.DUMMYFUNCTION("""COMPUTED_VALUE"""),225016.0)</f>
        <v>225016</v>
      </c>
      <c r="J214" s="124"/>
    </row>
    <row r="215">
      <c r="A215" s="75">
        <v>213.0</v>
      </c>
      <c r="B215" s="217" t="s">
        <v>1705</v>
      </c>
      <c r="C215" s="217">
        <v>2.3370182E7</v>
      </c>
      <c r="D215" s="217">
        <v>2.0</v>
      </c>
      <c r="E215" s="577" t="s">
        <v>1706</v>
      </c>
      <c r="F215" s="578" t="s">
        <v>1066</v>
      </c>
      <c r="G215" s="190">
        <f t="shared" si="1"/>
        <v>11685091</v>
      </c>
      <c r="H215" s="190">
        <f t="shared" si="2"/>
        <v>973757.5833</v>
      </c>
      <c r="I215" s="579">
        <f>IFERROR(__xludf.DUMMYFUNCTION("""COMPUTED_VALUE"""),1.7408198E7)</f>
        <v>17408198</v>
      </c>
      <c r="J215" s="124"/>
    </row>
    <row r="216">
      <c r="A216" s="75">
        <v>214.0</v>
      </c>
      <c r="B216" s="217" t="s">
        <v>1707</v>
      </c>
      <c r="C216" s="217">
        <v>3174873.0</v>
      </c>
      <c r="D216" s="217">
        <v>1.0</v>
      </c>
      <c r="E216" s="577" t="s">
        <v>152</v>
      </c>
      <c r="F216" s="578" t="s">
        <v>130</v>
      </c>
      <c r="G216" s="190">
        <f t="shared" si="1"/>
        <v>3174873</v>
      </c>
      <c r="H216" s="190">
        <f t="shared" si="2"/>
        <v>264572.75</v>
      </c>
      <c r="I216" s="579">
        <f>IFERROR(__xludf.DUMMYFUNCTION("""COMPUTED_VALUE"""),2723702.0)</f>
        <v>2723702</v>
      </c>
      <c r="J216" s="124"/>
    </row>
    <row r="217">
      <c r="A217" s="75">
        <v>215.0</v>
      </c>
      <c r="B217" s="217" t="s">
        <v>1708</v>
      </c>
      <c r="C217" s="217">
        <v>29117.0</v>
      </c>
      <c r="D217" s="217">
        <v>1.0</v>
      </c>
      <c r="E217" s="577" t="s">
        <v>388</v>
      </c>
      <c r="F217" s="578" t="s">
        <v>1058</v>
      </c>
      <c r="G217" s="190">
        <f t="shared" si="1"/>
        <v>29117</v>
      </c>
      <c r="H217" s="190">
        <f t="shared" si="2"/>
        <v>2426.416667</v>
      </c>
      <c r="I217" s="579">
        <f>IFERROR(__xludf.DUMMYFUNCTION("""COMPUTED_VALUE"""),0.0)</f>
        <v>0</v>
      </c>
      <c r="J217" s="124"/>
    </row>
    <row r="218">
      <c r="A218" s="75">
        <v>216.0</v>
      </c>
      <c r="B218" s="217" t="s">
        <v>1709</v>
      </c>
      <c r="C218" s="217">
        <v>286857.0</v>
      </c>
      <c r="D218" s="217">
        <v>1.0</v>
      </c>
      <c r="E218" s="577" t="s">
        <v>41</v>
      </c>
      <c r="F218" s="578" t="s">
        <v>1110</v>
      </c>
      <c r="G218" s="190">
        <f t="shared" si="1"/>
        <v>286857</v>
      </c>
      <c r="H218" s="190">
        <f t="shared" si="2"/>
        <v>23904.75</v>
      </c>
      <c r="I218" s="579">
        <f>IFERROR(__xludf.DUMMYFUNCTION("""COMPUTED_VALUE"""),3065716.0)</f>
        <v>3065716</v>
      </c>
      <c r="J218" s="124"/>
    </row>
    <row r="219">
      <c r="A219" s="75">
        <v>217.0</v>
      </c>
      <c r="B219" s="217" t="s">
        <v>1710</v>
      </c>
      <c r="C219" s="217">
        <v>158214.0</v>
      </c>
      <c r="D219" s="217">
        <v>2.0</v>
      </c>
      <c r="E219" s="577" t="s">
        <v>1711</v>
      </c>
      <c r="F219" s="578" t="s">
        <v>130</v>
      </c>
      <c r="G219" s="190">
        <f t="shared" si="1"/>
        <v>79107</v>
      </c>
      <c r="H219" s="190">
        <f t="shared" si="2"/>
        <v>6592.25</v>
      </c>
      <c r="I219" s="579">
        <f>IFERROR(__xludf.DUMMYFUNCTION("""COMPUTED_VALUE"""),0.0)</f>
        <v>0</v>
      </c>
      <c r="J219" s="124" t="str">
        <f>IFERROR(__xludf.DUMMYFUNCTION("""COMPUTED_VALUE"""),"OLD STOCK")</f>
        <v>OLD STOCK</v>
      </c>
    </row>
    <row r="220">
      <c r="A220" s="75">
        <v>218.0</v>
      </c>
      <c r="B220" s="217" t="s">
        <v>1712</v>
      </c>
      <c r="C220" s="217">
        <v>52267.0</v>
      </c>
      <c r="D220" s="217">
        <v>1.0</v>
      </c>
      <c r="E220" s="577" t="s">
        <v>35</v>
      </c>
      <c r="F220" s="578" t="s">
        <v>1110</v>
      </c>
      <c r="G220" s="190">
        <f t="shared" si="1"/>
        <v>52267</v>
      </c>
      <c r="H220" s="190">
        <f t="shared" si="2"/>
        <v>4355.583333</v>
      </c>
      <c r="I220" s="579">
        <f>IFERROR(__xludf.DUMMYFUNCTION("""COMPUTED_VALUE"""),255329.0)</f>
        <v>255329</v>
      </c>
      <c r="J220" s="124"/>
    </row>
    <row r="221">
      <c r="A221" s="75">
        <v>219.0</v>
      </c>
      <c r="B221" s="217" t="s">
        <v>1713</v>
      </c>
      <c r="C221" s="217">
        <v>151431.0</v>
      </c>
      <c r="D221" s="217">
        <v>1.0</v>
      </c>
      <c r="E221" s="577" t="s">
        <v>377</v>
      </c>
      <c r="F221" s="578" t="s">
        <v>1092</v>
      </c>
      <c r="G221" s="190">
        <f t="shared" si="1"/>
        <v>151431</v>
      </c>
      <c r="H221" s="190">
        <f t="shared" si="2"/>
        <v>12619.25</v>
      </c>
      <c r="I221" s="579">
        <f>IFERROR(__xludf.DUMMYFUNCTION("""COMPUTED_VALUE"""),197171.0)</f>
        <v>197171</v>
      </c>
      <c r="J221" s="124"/>
    </row>
    <row r="222">
      <c r="A222" s="75">
        <v>220.0</v>
      </c>
      <c r="B222" s="217" t="s">
        <v>1714</v>
      </c>
      <c r="C222" s="217">
        <v>1898288.0</v>
      </c>
      <c r="D222" s="217">
        <v>2.0</v>
      </c>
      <c r="E222" s="577" t="s">
        <v>1715</v>
      </c>
      <c r="F222" s="578" t="s">
        <v>1016</v>
      </c>
      <c r="G222" s="190">
        <f t="shared" si="1"/>
        <v>949144</v>
      </c>
      <c r="H222" s="190">
        <f t="shared" si="2"/>
        <v>79095.33333</v>
      </c>
      <c r="I222" s="579">
        <f>IFERROR(__xludf.DUMMYFUNCTION("""COMPUTED_VALUE"""),1.0229352E7)</f>
        <v>10229352</v>
      </c>
      <c r="J222" s="124"/>
    </row>
    <row r="223">
      <c r="A223" s="75">
        <v>221.0</v>
      </c>
      <c r="B223" s="217" t="s">
        <v>1716</v>
      </c>
      <c r="C223" s="217">
        <v>8025287.0</v>
      </c>
      <c r="D223" s="217">
        <v>1.0</v>
      </c>
      <c r="E223" s="577" t="s">
        <v>62</v>
      </c>
      <c r="F223" s="578" t="s">
        <v>1092</v>
      </c>
      <c r="G223" s="190">
        <f t="shared" si="1"/>
        <v>8025287</v>
      </c>
      <c r="H223" s="190">
        <f t="shared" si="2"/>
        <v>668773.9167</v>
      </c>
      <c r="I223" s="579">
        <f>IFERROR(__xludf.DUMMYFUNCTION("""COMPUTED_VALUE"""),5353126.0)</f>
        <v>5353126</v>
      </c>
      <c r="J223" s="124"/>
    </row>
    <row r="224">
      <c r="A224" s="75">
        <v>222.0</v>
      </c>
      <c r="B224" s="217" t="s">
        <v>1717</v>
      </c>
      <c r="C224" s="217">
        <v>12350.0</v>
      </c>
      <c r="D224" s="217">
        <v>1.0</v>
      </c>
      <c r="E224" s="577" t="s">
        <v>193</v>
      </c>
      <c r="F224" s="578" t="s">
        <v>1016</v>
      </c>
      <c r="G224" s="190">
        <f t="shared" si="1"/>
        <v>12350</v>
      </c>
      <c r="H224" s="190">
        <f t="shared" si="2"/>
        <v>1029.166667</v>
      </c>
      <c r="I224" s="579">
        <f>IFERROR(__xludf.DUMMYFUNCTION("""COMPUTED_VALUE"""),0.0)</f>
        <v>0</v>
      </c>
      <c r="J224" s="124"/>
    </row>
    <row r="225">
      <c r="A225" s="75">
        <v>223.0</v>
      </c>
      <c r="B225" s="217" t="s">
        <v>1718</v>
      </c>
      <c r="C225" s="217">
        <v>807548.0</v>
      </c>
      <c r="D225" s="217">
        <v>1.0</v>
      </c>
      <c r="E225" s="577" t="s">
        <v>524</v>
      </c>
      <c r="F225" s="578" t="s">
        <v>1044</v>
      </c>
      <c r="G225" s="190">
        <f t="shared" si="1"/>
        <v>807548</v>
      </c>
      <c r="H225" s="190">
        <f t="shared" si="2"/>
        <v>67295.66667</v>
      </c>
      <c r="I225" s="579">
        <f>IFERROR(__xludf.DUMMYFUNCTION("""COMPUTED_VALUE"""),2.1178557E7)</f>
        <v>21178557</v>
      </c>
      <c r="J225" s="124"/>
    </row>
    <row r="226">
      <c r="A226" s="75">
        <v>224.0</v>
      </c>
      <c r="B226" s="217" t="s">
        <v>1719</v>
      </c>
      <c r="C226" s="217">
        <v>2.6057263E7</v>
      </c>
      <c r="D226" s="217">
        <v>2.0</v>
      </c>
      <c r="E226" s="577" t="s">
        <v>1720</v>
      </c>
      <c r="F226" s="578" t="s">
        <v>1027</v>
      </c>
      <c r="G226" s="190">
        <f t="shared" si="1"/>
        <v>13028631.5</v>
      </c>
      <c r="H226" s="190">
        <f t="shared" si="2"/>
        <v>1085719.292</v>
      </c>
      <c r="I226" s="579">
        <f>IFERROR(__xludf.DUMMYFUNCTION("""COMPUTED_VALUE"""),2.5318405E7)</f>
        <v>25318405</v>
      </c>
      <c r="J226" s="124"/>
    </row>
    <row r="227">
      <c r="A227" s="75">
        <v>225.0</v>
      </c>
      <c r="B227" s="217" t="s">
        <v>1721</v>
      </c>
      <c r="C227" s="217">
        <v>936872.0</v>
      </c>
      <c r="D227" s="217">
        <v>1.0</v>
      </c>
      <c r="E227" s="577" t="s">
        <v>420</v>
      </c>
      <c r="F227" s="578" t="s">
        <v>1094</v>
      </c>
      <c r="G227" s="190">
        <f t="shared" si="1"/>
        <v>936872</v>
      </c>
      <c r="H227" s="190">
        <f t="shared" si="2"/>
        <v>78072.66667</v>
      </c>
      <c r="I227" s="579">
        <f>IFERROR(__xludf.DUMMYFUNCTION("""COMPUTED_VALUE"""),1299213.0)</f>
        <v>1299213</v>
      </c>
      <c r="J227" s="124"/>
    </row>
    <row r="228">
      <c r="A228" s="75">
        <v>226.0</v>
      </c>
      <c r="B228" s="217" t="s">
        <v>1722</v>
      </c>
      <c r="C228" s="217">
        <v>5.9323714E7</v>
      </c>
      <c r="D228" s="217">
        <v>5.0</v>
      </c>
      <c r="E228" s="577" t="s">
        <v>1723</v>
      </c>
      <c r="F228" s="578" t="s">
        <v>1016</v>
      </c>
      <c r="G228" s="190">
        <f t="shared" si="1"/>
        <v>11864742.8</v>
      </c>
      <c r="H228" s="190">
        <f t="shared" si="2"/>
        <v>988728.5667</v>
      </c>
      <c r="I228" s="579">
        <f>IFERROR(__xludf.DUMMYFUNCTION("""COMPUTED_VALUE"""),8.3209896E7)</f>
        <v>83209896</v>
      </c>
      <c r="J228" s="124"/>
    </row>
    <row r="229">
      <c r="A229" s="75">
        <v>227.0</v>
      </c>
      <c r="B229" s="217" t="s">
        <v>1724</v>
      </c>
      <c r="C229" s="217">
        <v>902393.0</v>
      </c>
      <c r="D229" s="217">
        <v>1.0</v>
      </c>
      <c r="E229" s="577" t="s">
        <v>702</v>
      </c>
      <c r="F229" s="578" t="s">
        <v>1073</v>
      </c>
      <c r="G229" s="190">
        <f t="shared" si="1"/>
        <v>902393</v>
      </c>
      <c r="H229" s="190">
        <f t="shared" si="2"/>
        <v>75199.41667</v>
      </c>
      <c r="I229" s="579">
        <f>IFERROR(__xludf.DUMMYFUNCTION("""COMPUTED_VALUE"""),1956284.0)</f>
        <v>1956284</v>
      </c>
      <c r="J229" s="124"/>
    </row>
    <row r="230">
      <c r="A230" s="75">
        <v>228.0</v>
      </c>
      <c r="B230" s="217" t="s">
        <v>1725</v>
      </c>
      <c r="C230" s="217">
        <v>9112440.0</v>
      </c>
      <c r="D230" s="217">
        <v>3.0</v>
      </c>
      <c r="E230" s="577" t="s">
        <v>1726</v>
      </c>
      <c r="F230" s="578" t="s">
        <v>1058</v>
      </c>
      <c r="G230" s="190">
        <f t="shared" si="1"/>
        <v>3037480</v>
      </c>
      <c r="H230" s="190">
        <f t="shared" si="2"/>
        <v>253123.3333</v>
      </c>
      <c r="I230" s="579">
        <f>IFERROR(__xludf.DUMMYFUNCTION("""COMPUTED_VALUE"""),0.0)</f>
        <v>0</v>
      </c>
      <c r="J230" s="124"/>
    </row>
    <row r="231">
      <c r="A231" s="75">
        <v>229.0</v>
      </c>
      <c r="B231" s="217" t="s">
        <v>1727</v>
      </c>
      <c r="C231" s="217">
        <v>33935.0</v>
      </c>
      <c r="D231" s="217">
        <v>1.0</v>
      </c>
      <c r="E231" s="577" t="s">
        <v>86</v>
      </c>
      <c r="F231" s="578" t="s">
        <v>1058</v>
      </c>
      <c r="G231" s="190">
        <f t="shared" si="1"/>
        <v>33935</v>
      </c>
      <c r="H231" s="190">
        <f t="shared" si="2"/>
        <v>2827.916667</v>
      </c>
      <c r="I231" s="579">
        <f>IFERROR(__xludf.DUMMYFUNCTION("""COMPUTED_VALUE"""),0.0)</f>
        <v>0</v>
      </c>
      <c r="J231" s="124"/>
    </row>
    <row r="232">
      <c r="A232" s="75">
        <v>230.0</v>
      </c>
      <c r="B232" s="217" t="s">
        <v>1728</v>
      </c>
      <c r="C232" s="217">
        <v>280112.0</v>
      </c>
      <c r="D232" s="217">
        <v>2.0</v>
      </c>
      <c r="E232" s="577" t="s">
        <v>1591</v>
      </c>
      <c r="F232" s="578" t="s">
        <v>1077</v>
      </c>
      <c r="G232" s="190">
        <f t="shared" si="1"/>
        <v>140056</v>
      </c>
      <c r="H232" s="190">
        <f t="shared" si="2"/>
        <v>11671.33333</v>
      </c>
      <c r="I232" s="579">
        <f>IFERROR(__xludf.DUMMYFUNCTION("""COMPUTED_VALUE"""),256015.0)</f>
        <v>256015</v>
      </c>
      <c r="J232" s="124"/>
    </row>
    <row r="233">
      <c r="A233" s="75">
        <v>231.0</v>
      </c>
      <c r="B233" s="217" t="s">
        <v>1729</v>
      </c>
      <c r="C233" s="217">
        <v>536141.0</v>
      </c>
      <c r="D233" s="217">
        <v>1.0</v>
      </c>
      <c r="E233" s="577" t="s">
        <v>190</v>
      </c>
      <c r="F233" s="578" t="s">
        <v>1016</v>
      </c>
      <c r="G233" s="190">
        <f t="shared" si="1"/>
        <v>536141</v>
      </c>
      <c r="H233" s="190">
        <f t="shared" si="2"/>
        <v>44678.41667</v>
      </c>
      <c r="I233" s="579">
        <f>IFERROR(__xludf.DUMMYFUNCTION("""COMPUTED_VALUE"""),2958618.0)</f>
        <v>2958618</v>
      </c>
      <c r="J233" s="124"/>
    </row>
    <row r="234">
      <c r="A234" s="75">
        <v>232.0</v>
      </c>
      <c r="B234" s="217" t="s">
        <v>1730</v>
      </c>
      <c r="C234" s="217">
        <v>432708.0</v>
      </c>
      <c r="D234" s="217">
        <v>1.0</v>
      </c>
      <c r="E234" s="577" t="s">
        <v>190</v>
      </c>
      <c r="F234" s="578" t="s">
        <v>1016</v>
      </c>
      <c r="G234" s="190">
        <f t="shared" si="1"/>
        <v>432708</v>
      </c>
      <c r="H234" s="190">
        <f t="shared" si="2"/>
        <v>36059</v>
      </c>
      <c r="I234" s="579">
        <f>IFERROR(__xludf.DUMMYFUNCTION("""COMPUTED_VALUE"""),1473869.0)</f>
        <v>1473869</v>
      </c>
      <c r="J234" s="124"/>
    </row>
    <row r="235">
      <c r="A235" s="75">
        <v>233.0</v>
      </c>
      <c r="B235" s="217" t="s">
        <v>1731</v>
      </c>
      <c r="C235" s="217">
        <v>1.0577133E7</v>
      </c>
      <c r="D235" s="217">
        <v>3.0</v>
      </c>
      <c r="E235" s="577" t="s">
        <v>1732</v>
      </c>
      <c r="F235" s="578" t="s">
        <v>130</v>
      </c>
      <c r="G235" s="190">
        <f t="shared" si="1"/>
        <v>3525711</v>
      </c>
      <c r="H235" s="190">
        <f t="shared" si="2"/>
        <v>293809.25</v>
      </c>
      <c r="I235" s="579">
        <f>IFERROR(__xludf.DUMMYFUNCTION("""COMPUTED_VALUE"""),1.1682112E7)</f>
        <v>11682112</v>
      </c>
      <c r="J235" s="124"/>
    </row>
    <row r="236">
      <c r="A236" s="75">
        <v>234.0</v>
      </c>
      <c r="B236" s="217" t="s">
        <v>1733</v>
      </c>
      <c r="C236" s="217">
        <v>4608.0</v>
      </c>
      <c r="D236" s="217">
        <v>1.0</v>
      </c>
      <c r="E236" s="577" t="s">
        <v>346</v>
      </c>
      <c r="F236" s="578" t="s">
        <v>1062</v>
      </c>
      <c r="G236" s="190">
        <f t="shared" si="1"/>
        <v>4608</v>
      </c>
      <c r="H236" s="190">
        <f t="shared" si="2"/>
        <v>384</v>
      </c>
      <c r="I236" s="579">
        <f>IFERROR(__xludf.DUMMYFUNCTION("""COMPUTED_VALUE"""),0.0)</f>
        <v>0</v>
      </c>
      <c r="J236" s="124"/>
    </row>
    <row r="237">
      <c r="A237" s="75">
        <v>235.0</v>
      </c>
      <c r="B237" s="217" t="s">
        <v>1734</v>
      </c>
      <c r="C237" s="217">
        <v>1.2699304E7</v>
      </c>
      <c r="D237" s="217">
        <v>1.0</v>
      </c>
      <c r="E237" s="577" t="s">
        <v>255</v>
      </c>
      <c r="F237" s="578" t="s">
        <v>1031</v>
      </c>
      <c r="G237" s="190">
        <f t="shared" si="1"/>
        <v>12699304</v>
      </c>
      <c r="H237" s="190">
        <f t="shared" si="2"/>
        <v>1058275.333</v>
      </c>
      <c r="I237" s="579">
        <f>IFERROR(__xludf.DUMMYFUNCTION("""COMPUTED_VALUE"""),2544106.0)</f>
        <v>2544106</v>
      </c>
      <c r="J237" s="124"/>
    </row>
    <row r="238">
      <c r="A238" s="75">
        <v>236.0</v>
      </c>
      <c r="B238" s="217" t="s">
        <v>1735</v>
      </c>
      <c r="C238" s="217">
        <v>2299652.0</v>
      </c>
      <c r="D238" s="217">
        <v>1.0</v>
      </c>
      <c r="E238" s="577" t="s">
        <v>265</v>
      </c>
      <c r="F238" s="578" t="s">
        <v>1016</v>
      </c>
      <c r="G238" s="190">
        <f t="shared" si="1"/>
        <v>2299652</v>
      </c>
      <c r="H238" s="190">
        <f t="shared" si="2"/>
        <v>191637.6667</v>
      </c>
      <c r="I238" s="579">
        <f>IFERROR(__xludf.DUMMYFUNCTION("""COMPUTED_VALUE"""),2569185.0)</f>
        <v>2569185</v>
      </c>
      <c r="J238" s="124"/>
    </row>
    <row r="239">
      <c r="A239" s="75">
        <v>237.0</v>
      </c>
      <c r="B239" s="217" t="s">
        <v>1736</v>
      </c>
      <c r="C239" s="217">
        <v>39836.0</v>
      </c>
      <c r="D239" s="217">
        <v>1.0</v>
      </c>
      <c r="E239" s="577" t="s">
        <v>77</v>
      </c>
      <c r="F239" s="578" t="s">
        <v>76</v>
      </c>
      <c r="G239" s="190">
        <f t="shared" si="1"/>
        <v>39836</v>
      </c>
      <c r="H239" s="190">
        <f t="shared" si="2"/>
        <v>3319.666667</v>
      </c>
      <c r="I239" s="579">
        <f>IFERROR(__xludf.DUMMYFUNCTION("""COMPUTED_VALUE"""),271937.0)</f>
        <v>271937</v>
      </c>
      <c r="J239" s="124"/>
    </row>
    <row r="240">
      <c r="A240" s="75">
        <v>238.0</v>
      </c>
      <c r="B240" s="217" t="s">
        <v>1737</v>
      </c>
      <c r="C240" s="217">
        <v>6389451.0</v>
      </c>
      <c r="D240" s="217">
        <v>2.0</v>
      </c>
      <c r="E240" s="577" t="s">
        <v>1738</v>
      </c>
      <c r="F240" s="578" t="s">
        <v>1016</v>
      </c>
      <c r="G240" s="190">
        <f t="shared" si="1"/>
        <v>3194725.5</v>
      </c>
      <c r="H240" s="190">
        <f t="shared" si="2"/>
        <v>266227.125</v>
      </c>
      <c r="I240" s="579">
        <f>IFERROR(__xludf.DUMMYFUNCTION("""COMPUTED_VALUE"""),4.0946603E7)</f>
        <v>40946603</v>
      </c>
      <c r="J240" s="124"/>
    </row>
    <row r="241">
      <c r="A241" s="75">
        <v>239.0</v>
      </c>
      <c r="B241" s="217" t="s">
        <v>1739</v>
      </c>
      <c r="C241" s="217">
        <v>4.2331872E7</v>
      </c>
      <c r="D241" s="217">
        <v>3.0</v>
      </c>
      <c r="E241" s="577" t="s">
        <v>1740</v>
      </c>
      <c r="F241" s="578" t="s">
        <v>1016</v>
      </c>
      <c r="G241" s="190">
        <f t="shared" si="1"/>
        <v>14110624</v>
      </c>
      <c r="H241" s="190">
        <f t="shared" si="2"/>
        <v>1175885.333</v>
      </c>
      <c r="I241" s="579">
        <f>IFERROR(__xludf.DUMMYFUNCTION("""COMPUTED_VALUE"""),3.0765897E7)</f>
        <v>30765897</v>
      </c>
      <c r="J241" s="124"/>
    </row>
    <row r="242">
      <c r="A242" s="75">
        <v>240.0</v>
      </c>
      <c r="B242" s="217" t="s">
        <v>1741</v>
      </c>
      <c r="C242" s="217">
        <v>4956931.0</v>
      </c>
      <c r="D242" s="217">
        <v>2.0</v>
      </c>
      <c r="E242" s="577" t="s">
        <v>1742</v>
      </c>
      <c r="F242" s="578" t="s">
        <v>1016</v>
      </c>
      <c r="G242" s="190">
        <f t="shared" si="1"/>
        <v>2478465.5</v>
      </c>
      <c r="H242" s="190">
        <f t="shared" si="2"/>
        <v>206538.7917</v>
      </c>
      <c r="I242" s="579">
        <f>IFERROR(__xludf.DUMMYFUNCTION("""COMPUTED_VALUE"""),7135522.0)</f>
        <v>7135522</v>
      </c>
      <c r="J242" s="124"/>
    </row>
    <row r="243">
      <c r="A243" s="75">
        <v>241.0</v>
      </c>
      <c r="B243" s="217" t="s">
        <v>1743</v>
      </c>
      <c r="C243" s="217">
        <v>9914664.0</v>
      </c>
      <c r="D243" s="217">
        <v>2.0</v>
      </c>
      <c r="E243" s="577" t="s">
        <v>1744</v>
      </c>
      <c r="F243" s="578" t="s">
        <v>1049</v>
      </c>
      <c r="G243" s="190">
        <f t="shared" si="1"/>
        <v>4957332</v>
      </c>
      <c r="H243" s="190">
        <f t="shared" si="2"/>
        <v>413111</v>
      </c>
      <c r="I243" s="579">
        <f>IFERROR(__xludf.DUMMYFUNCTION("""COMPUTED_VALUE"""),1.1374597E7)</f>
        <v>11374597</v>
      </c>
      <c r="J243" s="124"/>
    </row>
    <row r="244">
      <c r="A244" s="75">
        <v>242.0</v>
      </c>
      <c r="B244" s="217" t="s">
        <v>1745</v>
      </c>
      <c r="C244" s="217">
        <v>957256.0</v>
      </c>
      <c r="D244" s="217">
        <v>1.0</v>
      </c>
      <c r="E244" s="577" t="s">
        <v>118</v>
      </c>
      <c r="F244" s="578" t="s">
        <v>1044</v>
      </c>
      <c r="G244" s="190">
        <f t="shared" si="1"/>
        <v>957256</v>
      </c>
      <c r="H244" s="190">
        <f t="shared" si="2"/>
        <v>79771.33333</v>
      </c>
      <c r="I244" s="579">
        <f>IFERROR(__xludf.DUMMYFUNCTION("""COMPUTED_VALUE"""),611538.0)</f>
        <v>611538</v>
      </c>
      <c r="J244" s="124"/>
    </row>
    <row r="245">
      <c r="A245" s="75">
        <v>243.0</v>
      </c>
      <c r="B245" s="217" t="s">
        <v>1746</v>
      </c>
      <c r="C245" s="217">
        <v>20130.0</v>
      </c>
      <c r="D245" s="217">
        <v>1.0</v>
      </c>
      <c r="E245" s="577" t="s">
        <v>831</v>
      </c>
      <c r="F245" s="578" t="s">
        <v>1092</v>
      </c>
      <c r="G245" s="190">
        <f t="shared" si="1"/>
        <v>20130</v>
      </c>
      <c r="H245" s="190">
        <f t="shared" si="2"/>
        <v>1677.5</v>
      </c>
      <c r="I245" s="579">
        <f>IFERROR(__xludf.DUMMYFUNCTION("""COMPUTED_VALUE"""),0.0)</f>
        <v>0</v>
      </c>
      <c r="J245" s="124"/>
    </row>
    <row r="246">
      <c r="A246" s="75">
        <v>244.0</v>
      </c>
      <c r="B246" s="217" t="s">
        <v>1747</v>
      </c>
      <c r="C246" s="217">
        <v>1679766.0</v>
      </c>
      <c r="D246" s="217">
        <v>4.0</v>
      </c>
      <c r="E246" s="577" t="s">
        <v>1748</v>
      </c>
      <c r="F246" s="578" t="s">
        <v>1058</v>
      </c>
      <c r="G246" s="190">
        <f t="shared" si="1"/>
        <v>419941.5</v>
      </c>
      <c r="H246" s="190">
        <f t="shared" si="2"/>
        <v>34995.125</v>
      </c>
      <c r="I246" s="579">
        <f>IFERROR(__xludf.DUMMYFUNCTION("""COMPUTED_VALUE"""),0.0)</f>
        <v>0</v>
      </c>
      <c r="J246" s="124"/>
    </row>
    <row r="247">
      <c r="A247" s="75">
        <v>245.0</v>
      </c>
      <c r="B247" s="217" t="s">
        <v>1749</v>
      </c>
      <c r="C247" s="217">
        <v>6092128.0</v>
      </c>
      <c r="D247" s="217">
        <v>2.0</v>
      </c>
      <c r="E247" s="577" t="s">
        <v>1659</v>
      </c>
      <c r="F247" s="578" t="s">
        <v>30</v>
      </c>
      <c r="G247" s="190">
        <f t="shared" si="1"/>
        <v>3046064</v>
      </c>
      <c r="H247" s="190">
        <f t="shared" si="2"/>
        <v>253838.6667</v>
      </c>
      <c r="I247" s="579">
        <f>IFERROR(__xludf.DUMMYFUNCTION("""COMPUTED_VALUE"""),6837376.0)</f>
        <v>6837376</v>
      </c>
      <c r="J247" s="124"/>
    </row>
    <row r="248">
      <c r="A248" s="75">
        <v>246.0</v>
      </c>
      <c r="B248" s="217" t="s">
        <v>1750</v>
      </c>
      <c r="C248" s="217">
        <v>3279593.0</v>
      </c>
      <c r="D248" s="217">
        <v>2.0</v>
      </c>
      <c r="E248" s="577" t="s">
        <v>1751</v>
      </c>
      <c r="F248" s="578" t="s">
        <v>1044</v>
      </c>
      <c r="G248" s="190">
        <f t="shared" si="1"/>
        <v>1639796.5</v>
      </c>
      <c r="H248" s="190">
        <f t="shared" si="2"/>
        <v>136649.7083</v>
      </c>
      <c r="I248" s="579">
        <f>IFERROR(__xludf.DUMMYFUNCTION("""COMPUTED_VALUE"""),4134791.0)</f>
        <v>4134791</v>
      </c>
      <c r="J248" s="124"/>
    </row>
    <row r="249">
      <c r="A249" s="75">
        <v>247.0</v>
      </c>
      <c r="B249" s="217" t="s">
        <v>1752</v>
      </c>
      <c r="C249" s="217">
        <v>3260842.0</v>
      </c>
      <c r="D249" s="217">
        <v>1.0</v>
      </c>
      <c r="E249" s="577" t="s">
        <v>255</v>
      </c>
      <c r="F249" s="578" t="s">
        <v>1031</v>
      </c>
      <c r="G249" s="190">
        <f t="shared" si="1"/>
        <v>3260842</v>
      </c>
      <c r="H249" s="190">
        <f t="shared" si="2"/>
        <v>271736.8333</v>
      </c>
      <c r="I249" s="579">
        <f>IFERROR(__xludf.DUMMYFUNCTION("""COMPUTED_VALUE"""),585487.0)</f>
        <v>585487</v>
      </c>
      <c r="J249" s="124"/>
    </row>
    <row r="250">
      <c r="A250" s="75">
        <v>248.0</v>
      </c>
      <c r="B250" s="217" t="s">
        <v>1753</v>
      </c>
      <c r="C250" s="217">
        <v>829405.0</v>
      </c>
      <c r="D250" s="217">
        <v>2.0</v>
      </c>
      <c r="E250" s="577" t="s">
        <v>1754</v>
      </c>
      <c r="F250" s="578" t="s">
        <v>1077</v>
      </c>
      <c r="G250" s="190">
        <f t="shared" si="1"/>
        <v>414702.5</v>
      </c>
      <c r="H250" s="190">
        <f t="shared" si="2"/>
        <v>34558.54167</v>
      </c>
      <c r="I250" s="579">
        <f>IFERROR(__xludf.DUMMYFUNCTION("""COMPUTED_VALUE"""),4938902.0)</f>
        <v>4938902</v>
      </c>
      <c r="J250" s="124"/>
    </row>
    <row r="251">
      <c r="A251" s="75">
        <v>249.0</v>
      </c>
      <c r="B251" s="217" t="s">
        <v>1755</v>
      </c>
      <c r="C251" s="217">
        <v>1.1790027E7</v>
      </c>
      <c r="D251" s="217">
        <v>2.0</v>
      </c>
      <c r="E251" s="577" t="s">
        <v>1676</v>
      </c>
      <c r="F251" s="578" t="s">
        <v>1044</v>
      </c>
      <c r="G251" s="190">
        <f t="shared" si="1"/>
        <v>5895013.5</v>
      </c>
      <c r="H251" s="190">
        <f t="shared" si="2"/>
        <v>491251.125</v>
      </c>
      <c r="I251" s="579">
        <f>IFERROR(__xludf.DUMMYFUNCTION("""COMPUTED_VALUE"""),1.1637189E7)</f>
        <v>11637189</v>
      </c>
      <c r="J251" s="124"/>
    </row>
    <row r="252">
      <c r="A252" s="75">
        <v>250.0</v>
      </c>
      <c r="B252" s="217" t="s">
        <v>1756</v>
      </c>
      <c r="C252" s="217">
        <v>219412.0</v>
      </c>
      <c r="D252" s="217">
        <v>1.0</v>
      </c>
      <c r="E252" s="577" t="s">
        <v>882</v>
      </c>
      <c r="F252" s="578" t="s">
        <v>30</v>
      </c>
      <c r="G252" s="190">
        <f t="shared" si="1"/>
        <v>219412</v>
      </c>
      <c r="H252" s="190">
        <f t="shared" si="2"/>
        <v>18284.33333</v>
      </c>
      <c r="I252" s="579">
        <f>IFERROR(__xludf.DUMMYFUNCTION("""COMPUTED_VALUE"""),958811.0)</f>
        <v>958811</v>
      </c>
      <c r="J252" s="124"/>
    </row>
    <row r="253">
      <c r="A253" s="75">
        <v>251.0</v>
      </c>
      <c r="B253" s="217" t="s">
        <v>1757</v>
      </c>
      <c r="C253" s="217">
        <v>2344187.0</v>
      </c>
      <c r="D253" s="217">
        <v>2.0</v>
      </c>
      <c r="E253" s="577" t="s">
        <v>1758</v>
      </c>
      <c r="F253" s="578" t="s">
        <v>1088</v>
      </c>
      <c r="G253" s="190">
        <f t="shared" si="1"/>
        <v>1172093.5</v>
      </c>
      <c r="H253" s="190">
        <f t="shared" si="2"/>
        <v>97674.45833</v>
      </c>
      <c r="I253" s="579">
        <f>IFERROR(__xludf.DUMMYFUNCTION("""COMPUTED_VALUE"""),924575.0)</f>
        <v>924575</v>
      </c>
      <c r="J253" s="124"/>
    </row>
    <row r="254">
      <c r="A254" s="75">
        <v>252.0</v>
      </c>
      <c r="B254" s="217" t="s">
        <v>1759</v>
      </c>
      <c r="C254" s="217">
        <v>5923941.0</v>
      </c>
      <c r="D254" s="217">
        <v>1.0</v>
      </c>
      <c r="E254" s="577" t="s">
        <v>312</v>
      </c>
      <c r="F254" s="578" t="s">
        <v>1066</v>
      </c>
      <c r="G254" s="190">
        <f t="shared" si="1"/>
        <v>5923941</v>
      </c>
      <c r="H254" s="190">
        <f t="shared" si="2"/>
        <v>493661.75</v>
      </c>
      <c r="I254" s="579">
        <f>IFERROR(__xludf.DUMMYFUNCTION("""COMPUTED_VALUE"""),4795987.0)</f>
        <v>4795987</v>
      </c>
      <c r="J254" s="124"/>
    </row>
    <row r="255">
      <c r="A255" s="75">
        <v>253.0</v>
      </c>
      <c r="B255" s="217" t="s">
        <v>1760</v>
      </c>
      <c r="C255" s="217">
        <v>2.765761E7</v>
      </c>
      <c r="D255" s="217">
        <v>3.0</v>
      </c>
      <c r="E255" s="577" t="s">
        <v>1761</v>
      </c>
      <c r="F255" s="578" t="s">
        <v>1066</v>
      </c>
      <c r="G255" s="190">
        <f t="shared" si="1"/>
        <v>9219203.333</v>
      </c>
      <c r="H255" s="190">
        <f t="shared" si="2"/>
        <v>768266.9444</v>
      </c>
      <c r="I255" s="579">
        <f>IFERROR(__xludf.DUMMYFUNCTION("""COMPUTED_VALUE"""),4.2661375E7)</f>
        <v>42661375</v>
      </c>
      <c r="J255" s="124"/>
    </row>
    <row r="256">
      <c r="A256" s="75">
        <v>254.0</v>
      </c>
      <c r="B256" s="217" t="s">
        <v>1762</v>
      </c>
      <c r="C256" s="217">
        <v>1.7064796E7</v>
      </c>
      <c r="D256" s="217">
        <v>2.0</v>
      </c>
      <c r="E256" s="577" t="s">
        <v>1763</v>
      </c>
      <c r="F256" s="578" t="s">
        <v>130</v>
      </c>
      <c r="G256" s="190">
        <f t="shared" si="1"/>
        <v>8532398</v>
      </c>
      <c r="H256" s="190">
        <f t="shared" si="2"/>
        <v>711033.1667</v>
      </c>
      <c r="I256" s="579">
        <f>IFERROR(__xludf.DUMMYFUNCTION("""COMPUTED_VALUE"""),2.1616667E7)</f>
        <v>21616667</v>
      </c>
      <c r="J256" s="124"/>
    </row>
    <row r="257">
      <c r="A257" s="75">
        <v>255.0</v>
      </c>
      <c r="B257" s="217" t="s">
        <v>1764</v>
      </c>
      <c r="C257" s="217">
        <v>2318128.0</v>
      </c>
      <c r="D257" s="217">
        <v>1.0</v>
      </c>
      <c r="E257" s="577" t="s">
        <v>102</v>
      </c>
      <c r="F257" s="578" t="s">
        <v>1062</v>
      </c>
      <c r="G257" s="190">
        <f t="shared" si="1"/>
        <v>2318128</v>
      </c>
      <c r="H257" s="190">
        <f t="shared" si="2"/>
        <v>193177.3333</v>
      </c>
      <c r="I257" s="579">
        <f>IFERROR(__xludf.DUMMYFUNCTION("""COMPUTED_VALUE"""),0.0)</f>
        <v>0</v>
      </c>
      <c r="J257" s="124"/>
    </row>
    <row r="258">
      <c r="A258" s="75">
        <v>256.0</v>
      </c>
      <c r="B258" s="217" t="s">
        <v>1765</v>
      </c>
      <c r="C258" s="217">
        <v>1761980.0</v>
      </c>
      <c r="D258" s="217">
        <v>1.0</v>
      </c>
      <c r="E258" s="577" t="s">
        <v>35</v>
      </c>
      <c r="F258" s="578" t="s">
        <v>1110</v>
      </c>
      <c r="G258" s="190">
        <f t="shared" si="1"/>
        <v>1761980</v>
      </c>
      <c r="H258" s="190">
        <f t="shared" si="2"/>
        <v>146831.6667</v>
      </c>
      <c r="I258" s="579">
        <f>IFERROR(__xludf.DUMMYFUNCTION("""COMPUTED_VALUE"""),562190.0)</f>
        <v>562190</v>
      </c>
      <c r="J258" s="12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0.13"/>
    <col customWidth="1" min="2" max="3" width="26.75"/>
    <col customWidth="1" hidden="1" min="4" max="4" width="87.25"/>
    <col customWidth="1" min="5" max="5" width="17.13"/>
    <col customWidth="1" min="6" max="6" width="9.0"/>
    <col customWidth="1" min="7" max="7" width="12.25"/>
    <col customWidth="1" min="8" max="8" width="14.0"/>
    <col customWidth="1" min="9" max="9" width="10.63"/>
    <col customWidth="1" min="10" max="10" width="15.88"/>
    <col customWidth="1" min="11" max="11" width="14.63"/>
    <col customWidth="1" min="12" max="12" width="14.25"/>
    <col customWidth="1" min="13" max="13" width="11.38"/>
    <col customWidth="1" min="14" max="14" width="11.5"/>
    <col customWidth="1" min="15" max="15" width="16.5"/>
    <col customWidth="1" min="16" max="16" width="26.38"/>
    <col customWidth="1" min="17" max="17" width="19.88"/>
    <col customWidth="1" min="18" max="18" width="30.13"/>
    <col customWidth="1" min="19" max="19" width="30.88"/>
    <col customWidth="1" min="20" max="20" width="17.5"/>
    <col customWidth="1" min="21" max="21" width="27.63"/>
    <col customWidth="1" min="22" max="22" width="15.88"/>
    <col customWidth="1" min="23" max="23" width="13.13"/>
    <col customWidth="1" min="24" max="24" width="16.63"/>
    <col customWidth="1" min="25" max="25" width="15.88"/>
    <col customWidth="1" min="26" max="26" width="13.0"/>
    <col customWidth="1" min="27" max="27" width="18.0"/>
    <col customWidth="1" min="28" max="28" width="15.13"/>
    <col customWidth="1" min="29" max="29" width="30.13"/>
    <col customWidth="1" min="30" max="30" width="27.38"/>
    <col customWidth="1" min="31" max="31" width="15.63"/>
    <col customWidth="1" min="32" max="32" width="8.88"/>
    <col customWidth="1" min="33" max="33" width="11.38"/>
    <col customWidth="1" min="34" max="34" width="18.25"/>
    <col customWidth="1" min="35" max="35" width="17.25"/>
    <col customWidth="1" min="36" max="36" width="6.5"/>
    <col customWidth="1" min="37" max="37" width="13.38"/>
    <col customWidth="1" min="38" max="38" width="11.88"/>
    <col customWidth="1" min="39" max="39" width="17.0"/>
    <col customWidth="1" min="40" max="40" width="18.75"/>
    <col customWidth="1" min="41" max="41" width="34.63"/>
    <col customWidth="1" min="42" max="42" width="10.5"/>
    <col customWidth="1" min="43" max="43" width="16.0"/>
    <col customWidth="1" min="44" max="44" width="11.5"/>
    <col customWidth="1" min="45" max="45" width="14.25"/>
    <col customWidth="1" min="46" max="46" width="14.88"/>
    <col customWidth="1" min="47" max="48" width="9.5"/>
  </cols>
  <sheetData>
    <row r="1">
      <c r="A1" s="208" t="s">
        <v>3</v>
      </c>
      <c r="B1" s="208" t="s">
        <v>892</v>
      </c>
      <c r="C1" s="208" t="s">
        <v>458</v>
      </c>
      <c r="D1" s="208" t="s">
        <v>895</v>
      </c>
      <c r="E1" s="208" t="s">
        <v>893</v>
      </c>
      <c r="F1" s="580" t="s">
        <v>894</v>
      </c>
      <c r="G1" s="208" t="s">
        <v>897</v>
      </c>
      <c r="H1" s="208" t="s">
        <v>969</v>
      </c>
      <c r="I1" s="208" t="s">
        <v>981</v>
      </c>
      <c r="J1" s="208" t="s">
        <v>982</v>
      </c>
      <c r="K1" s="208" t="s">
        <v>905</v>
      </c>
      <c r="L1" s="208" t="s">
        <v>983</v>
      </c>
      <c r="M1" s="208" t="s">
        <v>907</v>
      </c>
      <c r="N1" s="208" t="s">
        <v>909</v>
      </c>
      <c r="O1" s="208" t="s">
        <v>910</v>
      </c>
      <c r="P1" s="208" t="s">
        <v>911</v>
      </c>
      <c r="Q1" s="208" t="s">
        <v>912</v>
      </c>
      <c r="R1" s="208" t="s">
        <v>984</v>
      </c>
      <c r="S1" s="208" t="s">
        <v>985</v>
      </c>
      <c r="T1" s="208" t="s">
        <v>915</v>
      </c>
      <c r="U1" s="208" t="s">
        <v>916</v>
      </c>
      <c r="V1" s="208" t="s">
        <v>917</v>
      </c>
      <c r="W1" s="208" t="s">
        <v>918</v>
      </c>
      <c r="X1" s="208" t="s">
        <v>919</v>
      </c>
      <c r="Y1" s="208" t="s">
        <v>1766</v>
      </c>
      <c r="Z1" s="208" t="s">
        <v>921</v>
      </c>
      <c r="AA1" s="208" t="s">
        <v>1767</v>
      </c>
      <c r="AB1" s="208" t="s">
        <v>923</v>
      </c>
      <c r="AC1" s="208" t="s">
        <v>1768</v>
      </c>
      <c r="AD1" s="208" t="s">
        <v>925</v>
      </c>
      <c r="AE1" s="208" t="s">
        <v>926</v>
      </c>
      <c r="AF1" s="208" t="s">
        <v>927</v>
      </c>
      <c r="AG1" s="208" t="s">
        <v>928</v>
      </c>
      <c r="AH1" s="208" t="s">
        <v>986</v>
      </c>
      <c r="AI1" s="208" t="s">
        <v>930</v>
      </c>
      <c r="AJ1" s="208" t="s">
        <v>931</v>
      </c>
      <c r="AK1" s="208" t="s">
        <v>932</v>
      </c>
      <c r="AL1" s="536" t="s">
        <v>933</v>
      </c>
      <c r="AM1" s="208" t="s">
        <v>934</v>
      </c>
      <c r="AN1" s="536" t="s">
        <v>902</v>
      </c>
      <c r="AO1" s="208" t="s">
        <v>903</v>
      </c>
      <c r="AP1" s="208" t="s">
        <v>935</v>
      </c>
      <c r="AQ1" s="208" t="s">
        <v>936</v>
      </c>
      <c r="AR1" s="208" t="s">
        <v>937</v>
      </c>
      <c r="AS1" s="208" t="s">
        <v>987</v>
      </c>
      <c r="AT1" s="208" t="s">
        <v>938</v>
      </c>
      <c r="AU1" s="208" t="s">
        <v>942</v>
      </c>
      <c r="AV1" s="208"/>
    </row>
    <row r="2">
      <c r="A2" s="208" t="s">
        <v>185</v>
      </c>
      <c r="B2" s="208" t="s">
        <v>196</v>
      </c>
      <c r="C2" s="208" t="s">
        <v>413</v>
      </c>
      <c r="D2" s="208" t="s">
        <v>1027</v>
      </c>
      <c r="E2" s="208" t="s">
        <v>1046</v>
      </c>
      <c r="F2" s="580">
        <v>42826.0</v>
      </c>
      <c r="G2" s="208">
        <v>0.0</v>
      </c>
      <c r="H2" s="208">
        <v>2000000.0</v>
      </c>
      <c r="I2" s="208">
        <v>1217060.71</v>
      </c>
      <c r="J2" s="208">
        <v>0.0</v>
      </c>
      <c r="K2" s="208">
        <v>86.0</v>
      </c>
      <c r="L2" s="208">
        <v>68.0</v>
      </c>
      <c r="M2" s="208">
        <v>6.0</v>
      </c>
      <c r="N2" s="208">
        <v>92.0</v>
      </c>
      <c r="O2" s="208">
        <v>24.0</v>
      </c>
      <c r="P2" s="208">
        <v>871850.23</v>
      </c>
      <c r="Q2" s="208">
        <v>345210.48</v>
      </c>
      <c r="R2" s="208">
        <v>30.0</v>
      </c>
      <c r="S2" s="208">
        <v>6.0</v>
      </c>
      <c r="T2" s="208">
        <v>36.0</v>
      </c>
      <c r="U2" s="208">
        <v>0.0</v>
      </c>
      <c r="V2" s="208">
        <v>1.0</v>
      </c>
      <c r="W2" s="208">
        <v>1.0</v>
      </c>
      <c r="X2" s="208">
        <v>9.0</v>
      </c>
      <c r="Y2" s="208">
        <v>1.0</v>
      </c>
      <c r="Z2" s="208">
        <v>21.0</v>
      </c>
      <c r="AA2" s="208">
        <v>0.0</v>
      </c>
      <c r="AB2" s="208">
        <v>0.0</v>
      </c>
      <c r="AC2" s="208">
        <v>0.0</v>
      </c>
      <c r="AD2" s="208">
        <v>0.0</v>
      </c>
      <c r="AE2" s="208">
        <v>132.0</v>
      </c>
      <c r="AF2" s="208">
        <v>154.0</v>
      </c>
      <c r="AG2" s="208">
        <v>27.0</v>
      </c>
      <c r="AH2" s="581">
        <f t="shared" ref="AH2:AH205" si="1">iferror(sum(I2:J2)/AG2,"")</f>
        <v>45076.32259</v>
      </c>
      <c r="AI2" s="581">
        <f t="shared" ref="AI2:AI205" si="2">iferror(AF2/AG2,"")</f>
        <v>5.703703704</v>
      </c>
      <c r="AJ2" s="208">
        <f t="array" ref="AJ2:AJ205">VLOOKUP($C$2:$C$205,Data!$C$1:$AO$210,25,0)</f>
        <v>0</v>
      </c>
      <c r="AK2" s="208">
        <v>0.0</v>
      </c>
      <c r="AL2" s="582">
        <f t="shared" ref="AL2:AL205" si="3">iferror(sum(AJ2:AK2)/Sum(I2:J2),"")</f>
        <v>0</v>
      </c>
      <c r="AM2" s="581">
        <f>I2/T2</f>
        <v>33807.24194</v>
      </c>
      <c r="AN2" s="582">
        <f t="shared" ref="AN2:AN205" si="4">iferror(Sum(I2:J2)/Sum(G2:H2),"")</f>
        <v>0.608530355</v>
      </c>
      <c r="AO2" s="583">
        <v>0.0</v>
      </c>
      <c r="AP2" s="208">
        <v>48.0</v>
      </c>
      <c r="AQ2" s="208">
        <v>261.0</v>
      </c>
      <c r="AR2" s="208">
        <v>1422.3</v>
      </c>
      <c r="AS2" s="208">
        <v>6.0</v>
      </c>
      <c r="AT2" s="208">
        <v>21.0</v>
      </c>
      <c r="AV2" s="124" t="str">
        <f t="shared" ref="AV2:AV205" si="5">if(ISBLANK(AU2),"Active","Left")</f>
        <v>Active</v>
      </c>
    </row>
    <row r="3">
      <c r="A3" s="124" t="s">
        <v>185</v>
      </c>
      <c r="B3" s="208" t="s">
        <v>189</v>
      </c>
      <c r="C3" s="208" t="s">
        <v>197</v>
      </c>
      <c r="D3" s="208" t="s">
        <v>1016</v>
      </c>
      <c r="E3" s="208" t="s">
        <v>1034</v>
      </c>
      <c r="F3" s="580">
        <v>41791.0</v>
      </c>
      <c r="G3" s="208">
        <v>0.0</v>
      </c>
      <c r="H3" s="208">
        <v>1.25E7</v>
      </c>
      <c r="I3" s="208">
        <v>5303457.38</v>
      </c>
      <c r="J3" s="208">
        <v>0.0</v>
      </c>
      <c r="K3" s="208">
        <v>99.0</v>
      </c>
      <c r="L3" s="208">
        <v>63.0</v>
      </c>
      <c r="M3" s="208">
        <v>0.0</v>
      </c>
      <c r="N3" s="208">
        <v>99.0</v>
      </c>
      <c r="O3" s="208">
        <v>36.0</v>
      </c>
      <c r="P3" s="208">
        <v>5303457.38</v>
      </c>
      <c r="Q3" s="208">
        <v>0.0</v>
      </c>
      <c r="R3" s="208">
        <v>45.0</v>
      </c>
      <c r="S3" s="208">
        <v>0.0</v>
      </c>
      <c r="T3" s="208">
        <v>45.0</v>
      </c>
      <c r="U3" s="208">
        <v>0.0</v>
      </c>
      <c r="V3" s="208">
        <v>0.0</v>
      </c>
      <c r="W3" s="208">
        <v>0.0</v>
      </c>
      <c r="X3" s="208">
        <v>33.0</v>
      </c>
      <c r="Y3" s="208">
        <v>3.0</v>
      </c>
      <c r="Z3" s="208">
        <v>17.0</v>
      </c>
      <c r="AA3" s="208">
        <v>0.0</v>
      </c>
      <c r="AB3" s="208">
        <v>0.0</v>
      </c>
      <c r="AC3" s="208">
        <v>0.0</v>
      </c>
      <c r="AD3" s="208">
        <v>0.0</v>
      </c>
      <c r="AE3" s="208">
        <v>91.0</v>
      </c>
      <c r="AF3" s="208">
        <v>108.0</v>
      </c>
      <c r="AG3" s="208">
        <v>25.0</v>
      </c>
      <c r="AH3" s="581">
        <f t="shared" si="1"/>
        <v>212138.2952</v>
      </c>
      <c r="AI3" s="581">
        <f t="shared" si="2"/>
        <v>4.32</v>
      </c>
      <c r="AJ3" s="124">
        <v>0.0</v>
      </c>
      <c r="AK3" s="208">
        <v>0.0</v>
      </c>
      <c r="AL3" s="582">
        <f t="shared" si="3"/>
        <v>0</v>
      </c>
      <c r="AM3" s="208">
        <v>117855.0</v>
      </c>
      <c r="AN3" s="582">
        <f t="shared" si="4"/>
        <v>0.4242765904</v>
      </c>
      <c r="AO3" s="583">
        <v>0.0</v>
      </c>
      <c r="AP3" s="208">
        <v>63.0</v>
      </c>
      <c r="AQ3" s="208">
        <v>290.0</v>
      </c>
      <c r="AR3" s="208">
        <v>3089.12</v>
      </c>
      <c r="AS3" s="208">
        <v>0.0</v>
      </c>
      <c r="AT3" s="208">
        <v>49.0</v>
      </c>
      <c r="AV3" s="124" t="str">
        <f t="shared" si="5"/>
        <v>Active</v>
      </c>
    </row>
    <row r="4">
      <c r="A4" s="124" t="s">
        <v>185</v>
      </c>
      <c r="B4" s="208" t="s">
        <v>196</v>
      </c>
      <c r="C4" s="208" t="s">
        <v>194</v>
      </c>
      <c r="D4" s="208" t="s">
        <v>1027</v>
      </c>
      <c r="E4" s="208" t="s">
        <v>1028</v>
      </c>
      <c r="F4" s="580">
        <v>41563.0</v>
      </c>
      <c r="G4" s="208">
        <v>0.0</v>
      </c>
      <c r="H4" s="208">
        <v>2100000.0</v>
      </c>
      <c r="I4" s="208">
        <v>1867123.59</v>
      </c>
      <c r="J4" s="208">
        <v>0.0</v>
      </c>
      <c r="K4" s="208">
        <v>38.0</v>
      </c>
      <c r="L4" s="208">
        <v>32.0</v>
      </c>
      <c r="M4" s="208">
        <v>1.0</v>
      </c>
      <c r="N4" s="208">
        <v>39.0</v>
      </c>
      <c r="O4" s="208">
        <v>7.0</v>
      </c>
      <c r="P4" s="208">
        <v>1867123.59</v>
      </c>
      <c r="Q4" s="208">
        <v>0.0</v>
      </c>
      <c r="R4" s="208">
        <v>16.0</v>
      </c>
      <c r="S4" s="208">
        <v>0.0</v>
      </c>
      <c r="T4" s="208">
        <v>16.0</v>
      </c>
      <c r="U4" s="208">
        <v>0.0</v>
      </c>
      <c r="V4" s="208">
        <v>0.0</v>
      </c>
      <c r="W4" s="208">
        <v>0.0</v>
      </c>
      <c r="X4" s="208">
        <v>32.0</v>
      </c>
      <c r="Y4" s="208">
        <v>1.0</v>
      </c>
      <c r="Z4" s="208">
        <v>1.0</v>
      </c>
      <c r="AA4" s="208">
        <v>0.0</v>
      </c>
      <c r="AB4" s="208">
        <v>0.0</v>
      </c>
      <c r="AC4" s="208">
        <v>0.0</v>
      </c>
      <c r="AD4" s="208">
        <v>0.0</v>
      </c>
      <c r="AE4" s="208">
        <v>75.0</v>
      </c>
      <c r="AF4" s="208">
        <v>76.0</v>
      </c>
      <c r="AG4" s="208">
        <v>26.0</v>
      </c>
      <c r="AH4" s="581">
        <f t="shared" si="1"/>
        <v>71812.44577</v>
      </c>
      <c r="AI4" s="581">
        <f t="shared" si="2"/>
        <v>2.923076923</v>
      </c>
      <c r="AJ4" s="124">
        <v>0.0</v>
      </c>
      <c r="AK4" s="208">
        <v>0.0</v>
      </c>
      <c r="AL4" s="582">
        <f t="shared" si="3"/>
        <v>0</v>
      </c>
      <c r="AM4" s="208">
        <v>116695.0</v>
      </c>
      <c r="AN4" s="582">
        <f t="shared" si="4"/>
        <v>0.8891064714</v>
      </c>
      <c r="AO4" s="583">
        <v>0.0</v>
      </c>
      <c r="AP4" s="208">
        <v>32.0</v>
      </c>
      <c r="AQ4" s="208">
        <v>306.0</v>
      </c>
      <c r="AR4" s="208">
        <v>2581.41</v>
      </c>
      <c r="AS4" s="208">
        <v>0.0</v>
      </c>
      <c r="AT4" s="208">
        <v>81.0</v>
      </c>
      <c r="AV4" s="124" t="str">
        <f t="shared" si="5"/>
        <v>Active</v>
      </c>
    </row>
    <row r="5">
      <c r="A5" s="124" t="s">
        <v>185</v>
      </c>
      <c r="B5" s="208" t="s">
        <v>189</v>
      </c>
      <c r="C5" s="208" t="s">
        <v>186</v>
      </c>
      <c r="D5" s="208" t="s">
        <v>1016</v>
      </c>
      <c r="E5" s="208" t="s">
        <v>241</v>
      </c>
      <c r="F5" s="580">
        <v>39859.0</v>
      </c>
      <c r="G5" s="208">
        <v>0.0</v>
      </c>
      <c r="H5" s="208">
        <v>0.0</v>
      </c>
      <c r="I5" s="208">
        <v>0.0</v>
      </c>
      <c r="J5" s="208">
        <v>0.0</v>
      </c>
      <c r="K5" s="208">
        <v>150.0</v>
      </c>
      <c r="L5" s="208">
        <v>56.0</v>
      </c>
      <c r="M5" s="208">
        <v>1.0</v>
      </c>
      <c r="N5" s="208">
        <v>151.0</v>
      </c>
      <c r="O5" s="208">
        <v>95.0</v>
      </c>
      <c r="P5" s="208">
        <v>0.0</v>
      </c>
      <c r="Q5" s="208">
        <v>0.0</v>
      </c>
      <c r="R5" s="208">
        <v>0.0</v>
      </c>
      <c r="S5" s="208">
        <v>0.0</v>
      </c>
      <c r="T5" s="208">
        <v>0.0</v>
      </c>
      <c r="U5" s="208">
        <v>0.0</v>
      </c>
      <c r="V5" s="208">
        <v>3.0</v>
      </c>
      <c r="W5" s="208">
        <v>4.0</v>
      </c>
      <c r="X5" s="208">
        <v>82.0</v>
      </c>
      <c r="Y5" s="208">
        <v>5.0</v>
      </c>
      <c r="Z5" s="208">
        <v>20.0</v>
      </c>
      <c r="AA5" s="208">
        <v>1.0</v>
      </c>
      <c r="AB5" s="208">
        <v>3.0</v>
      </c>
      <c r="AC5" s="208">
        <v>1.0</v>
      </c>
      <c r="AD5" s="208">
        <v>2.0</v>
      </c>
      <c r="AE5" s="208">
        <v>75.0</v>
      </c>
      <c r="AF5" s="208">
        <v>104.0</v>
      </c>
      <c r="AG5" s="208">
        <v>27.0</v>
      </c>
      <c r="AH5" s="581">
        <f t="shared" si="1"/>
        <v>0</v>
      </c>
      <c r="AI5" s="581">
        <f t="shared" si="2"/>
        <v>3.851851852</v>
      </c>
      <c r="AJ5" s="124">
        <v>1.0</v>
      </c>
      <c r="AK5" s="208">
        <v>0.0</v>
      </c>
      <c r="AL5" s="582" t="str">
        <f t="shared" si="3"/>
        <v/>
      </c>
      <c r="AM5" s="208">
        <v>0.0</v>
      </c>
      <c r="AN5" s="582" t="str">
        <f t="shared" si="4"/>
        <v/>
      </c>
      <c r="AO5" s="583">
        <v>0.0</v>
      </c>
      <c r="AP5" s="208">
        <v>0.0</v>
      </c>
      <c r="AQ5" s="208">
        <v>321.0</v>
      </c>
      <c r="AR5" s="208">
        <v>2769.58</v>
      </c>
      <c r="AS5" s="208">
        <v>0.0</v>
      </c>
      <c r="AT5" s="208">
        <v>49.0</v>
      </c>
      <c r="AV5" s="124" t="str">
        <f t="shared" si="5"/>
        <v>Active</v>
      </c>
    </row>
    <row r="6">
      <c r="A6" s="124" t="s">
        <v>185</v>
      </c>
      <c r="B6" s="208" t="s">
        <v>196</v>
      </c>
      <c r="C6" s="208" t="s">
        <v>208</v>
      </c>
      <c r="D6" s="208" t="s">
        <v>1027</v>
      </c>
      <c r="E6" s="208" t="s">
        <v>1056</v>
      </c>
      <c r="F6" s="580">
        <v>43710.0</v>
      </c>
      <c r="G6" s="208">
        <v>0.0</v>
      </c>
      <c r="H6" s="208">
        <v>2000000.0</v>
      </c>
      <c r="I6" s="208">
        <v>1645376.63</v>
      </c>
      <c r="J6" s="208">
        <v>0.0</v>
      </c>
      <c r="K6" s="208">
        <v>52.0</v>
      </c>
      <c r="L6" s="208">
        <v>40.0</v>
      </c>
      <c r="M6" s="208">
        <v>1.0</v>
      </c>
      <c r="N6" s="208">
        <v>53.0</v>
      </c>
      <c r="O6" s="208">
        <v>13.0</v>
      </c>
      <c r="P6" s="208">
        <v>1280297.75</v>
      </c>
      <c r="Q6" s="208">
        <v>365078.88</v>
      </c>
      <c r="R6" s="208">
        <v>25.0</v>
      </c>
      <c r="S6" s="208">
        <v>1.0</v>
      </c>
      <c r="T6" s="208">
        <v>26.0</v>
      </c>
      <c r="U6" s="208">
        <v>0.0</v>
      </c>
      <c r="V6" s="208">
        <v>3.0</v>
      </c>
      <c r="W6" s="208">
        <v>3.0</v>
      </c>
      <c r="X6" s="208">
        <v>33.0</v>
      </c>
      <c r="Y6" s="208">
        <v>0.0</v>
      </c>
      <c r="Z6" s="208">
        <v>0.0</v>
      </c>
      <c r="AA6" s="208">
        <v>2.0</v>
      </c>
      <c r="AB6" s="208">
        <v>14.0</v>
      </c>
      <c r="AC6" s="208">
        <v>0.0</v>
      </c>
      <c r="AD6" s="208">
        <v>0.0</v>
      </c>
      <c r="AE6" s="208">
        <v>105.0</v>
      </c>
      <c r="AF6" s="208">
        <v>122.0</v>
      </c>
      <c r="AG6" s="208">
        <v>26.0</v>
      </c>
      <c r="AH6" s="581">
        <f t="shared" si="1"/>
        <v>63283.71654</v>
      </c>
      <c r="AI6" s="581">
        <f t="shared" si="2"/>
        <v>4.692307692</v>
      </c>
      <c r="AJ6" s="124">
        <v>3.0</v>
      </c>
      <c r="AK6" s="208">
        <v>0.0</v>
      </c>
      <c r="AL6" s="582">
        <f t="shared" si="3"/>
        <v>0.000001823290756</v>
      </c>
      <c r="AM6" s="208">
        <v>63284.0</v>
      </c>
      <c r="AN6" s="582">
        <f t="shared" si="4"/>
        <v>0.822688315</v>
      </c>
      <c r="AO6" s="583">
        <v>0.0</v>
      </c>
      <c r="AP6" s="208">
        <v>42.0</v>
      </c>
      <c r="AQ6" s="208">
        <v>293.0</v>
      </c>
      <c r="AR6" s="208">
        <v>2810.46</v>
      </c>
      <c r="AS6" s="208">
        <v>1.0</v>
      </c>
      <c r="AT6" s="208">
        <v>70.0</v>
      </c>
      <c r="AV6" s="124" t="str">
        <f t="shared" si="5"/>
        <v>Active</v>
      </c>
    </row>
    <row r="7">
      <c r="A7" s="124" t="s">
        <v>185</v>
      </c>
      <c r="B7" s="208" t="s">
        <v>196</v>
      </c>
      <c r="C7" s="208" t="s">
        <v>199</v>
      </c>
      <c r="D7" s="208" t="s">
        <v>1027</v>
      </c>
      <c r="E7" s="208" t="s">
        <v>1036</v>
      </c>
      <c r="F7" s="580">
        <v>42125.0</v>
      </c>
      <c r="G7" s="208">
        <v>0.0</v>
      </c>
      <c r="H7" s="208">
        <v>6558000.0</v>
      </c>
      <c r="I7" s="208">
        <v>6191253.83</v>
      </c>
      <c r="J7" s="208">
        <v>0.0</v>
      </c>
      <c r="K7" s="208">
        <v>84.0</v>
      </c>
      <c r="L7" s="208">
        <v>80.0</v>
      </c>
      <c r="M7" s="208">
        <v>0.0</v>
      </c>
      <c r="N7" s="208">
        <v>84.0</v>
      </c>
      <c r="O7" s="208">
        <v>4.0</v>
      </c>
      <c r="P7" s="208">
        <v>6191253.83</v>
      </c>
      <c r="Q7" s="208">
        <v>0.0</v>
      </c>
      <c r="R7" s="208">
        <v>52.0</v>
      </c>
      <c r="S7" s="208">
        <v>0.0</v>
      </c>
      <c r="T7" s="208">
        <v>52.0</v>
      </c>
      <c r="U7" s="208">
        <v>0.0</v>
      </c>
      <c r="V7" s="208">
        <v>0.0</v>
      </c>
      <c r="W7" s="208">
        <v>0.0</v>
      </c>
      <c r="X7" s="208">
        <v>2.0</v>
      </c>
      <c r="Y7" s="208">
        <v>3.0</v>
      </c>
      <c r="Z7" s="208">
        <v>19.0</v>
      </c>
      <c r="AA7" s="208">
        <v>0.0</v>
      </c>
      <c r="AB7" s="208">
        <v>0.0</v>
      </c>
      <c r="AC7" s="208">
        <v>0.0</v>
      </c>
      <c r="AD7" s="208">
        <v>0.0</v>
      </c>
      <c r="AE7" s="208">
        <v>140.0</v>
      </c>
      <c r="AF7" s="208">
        <v>159.0</v>
      </c>
      <c r="AG7" s="208">
        <v>27.0</v>
      </c>
      <c r="AH7" s="581">
        <f t="shared" si="1"/>
        <v>229305.6974</v>
      </c>
      <c r="AI7" s="581">
        <f t="shared" si="2"/>
        <v>5.888888889</v>
      </c>
      <c r="AJ7" s="124">
        <v>0.0</v>
      </c>
      <c r="AK7" s="208">
        <v>0.0</v>
      </c>
      <c r="AL7" s="582">
        <f t="shared" si="3"/>
        <v>0</v>
      </c>
      <c r="AM7" s="208">
        <v>119063.0</v>
      </c>
      <c r="AN7" s="582">
        <f t="shared" si="4"/>
        <v>0.9440765218</v>
      </c>
      <c r="AO7" s="583">
        <v>0.0</v>
      </c>
      <c r="AP7" s="208">
        <v>117.0</v>
      </c>
      <c r="AQ7" s="208">
        <v>352.0</v>
      </c>
      <c r="AR7" s="208">
        <v>2715.22</v>
      </c>
      <c r="AS7" s="208">
        <v>0.0</v>
      </c>
      <c r="AT7" s="208">
        <v>34.0</v>
      </c>
      <c r="AV7" s="124" t="str">
        <f t="shared" si="5"/>
        <v>Active</v>
      </c>
    </row>
    <row r="8">
      <c r="A8" s="124" t="s">
        <v>185</v>
      </c>
      <c r="B8" s="208" t="s">
        <v>189</v>
      </c>
      <c r="C8" s="208" t="s">
        <v>201</v>
      </c>
      <c r="D8" s="208" t="s">
        <v>1016</v>
      </c>
      <c r="E8" s="208" t="s">
        <v>238</v>
      </c>
      <c r="F8" s="580">
        <v>42660.0</v>
      </c>
      <c r="G8" s="208">
        <v>0.0</v>
      </c>
      <c r="H8" s="208">
        <v>3383333.0</v>
      </c>
      <c r="I8" s="208">
        <v>1822378.09</v>
      </c>
      <c r="J8" s="208">
        <v>0.0</v>
      </c>
      <c r="K8" s="208">
        <v>53.0</v>
      </c>
      <c r="L8" s="208">
        <v>42.0</v>
      </c>
      <c r="M8" s="208">
        <v>1.0</v>
      </c>
      <c r="N8" s="208">
        <v>54.0</v>
      </c>
      <c r="O8" s="208">
        <v>12.0</v>
      </c>
      <c r="P8" s="208">
        <v>1782916.05</v>
      </c>
      <c r="Q8" s="208">
        <v>39462.04</v>
      </c>
      <c r="R8" s="208">
        <v>21.0</v>
      </c>
      <c r="S8" s="208">
        <v>1.0</v>
      </c>
      <c r="T8" s="208">
        <v>22.0</v>
      </c>
      <c r="U8" s="208">
        <v>0.0</v>
      </c>
      <c r="V8" s="208">
        <v>0.0</v>
      </c>
      <c r="W8" s="208">
        <v>0.0</v>
      </c>
      <c r="X8" s="208">
        <v>6.0</v>
      </c>
      <c r="Y8" s="208">
        <v>3.0</v>
      </c>
      <c r="Z8" s="208">
        <v>26.0</v>
      </c>
      <c r="AA8" s="208">
        <v>0.0</v>
      </c>
      <c r="AB8" s="208">
        <v>0.0</v>
      </c>
      <c r="AC8" s="208">
        <v>0.0</v>
      </c>
      <c r="AD8" s="208">
        <v>0.0</v>
      </c>
      <c r="AE8" s="208">
        <v>71.0</v>
      </c>
      <c r="AF8" s="208">
        <v>97.0</v>
      </c>
      <c r="AG8" s="208">
        <v>26.0</v>
      </c>
      <c r="AH8" s="581">
        <f t="shared" si="1"/>
        <v>70091.465</v>
      </c>
      <c r="AI8" s="581">
        <f t="shared" si="2"/>
        <v>3.730769231</v>
      </c>
      <c r="AJ8" s="124">
        <v>0.0</v>
      </c>
      <c r="AK8" s="208">
        <v>0.0</v>
      </c>
      <c r="AL8" s="582">
        <f t="shared" si="3"/>
        <v>0</v>
      </c>
      <c r="AM8" s="208">
        <v>82835.0</v>
      </c>
      <c r="AN8" s="582">
        <f t="shared" si="4"/>
        <v>0.5386339713</v>
      </c>
      <c r="AO8" s="583">
        <v>0.0</v>
      </c>
      <c r="AP8" s="208">
        <v>28.0</v>
      </c>
      <c r="AQ8" s="208">
        <v>290.0</v>
      </c>
      <c r="AR8" s="208">
        <v>1753.81</v>
      </c>
      <c r="AS8" s="208">
        <v>1.0</v>
      </c>
      <c r="AT8" s="208">
        <v>42.0</v>
      </c>
      <c r="AV8" s="124" t="str">
        <f t="shared" si="5"/>
        <v>Active</v>
      </c>
    </row>
    <row r="9">
      <c r="A9" s="124" t="s">
        <v>185</v>
      </c>
      <c r="B9" s="208" t="s">
        <v>189</v>
      </c>
      <c r="C9" s="208" t="s">
        <v>202</v>
      </c>
      <c r="D9" s="208" t="s">
        <v>1016</v>
      </c>
      <c r="E9" s="208" t="s">
        <v>243</v>
      </c>
      <c r="F9" s="580">
        <v>42826.0</v>
      </c>
      <c r="G9" s="208">
        <v>0.0</v>
      </c>
      <c r="H9" s="208">
        <v>3800000.0</v>
      </c>
      <c r="I9" s="208">
        <v>4010790.41</v>
      </c>
      <c r="J9" s="208">
        <v>0.0</v>
      </c>
      <c r="K9" s="208">
        <v>127.0</v>
      </c>
      <c r="L9" s="208">
        <v>48.0</v>
      </c>
      <c r="M9" s="208">
        <v>0.0</v>
      </c>
      <c r="N9" s="208">
        <v>127.0</v>
      </c>
      <c r="O9" s="208">
        <v>79.0</v>
      </c>
      <c r="P9" s="208">
        <v>4010790.41</v>
      </c>
      <c r="Q9" s="208">
        <v>0.0</v>
      </c>
      <c r="R9" s="208">
        <v>8.0</v>
      </c>
      <c r="S9" s="208">
        <v>0.0</v>
      </c>
      <c r="T9" s="208">
        <v>8.0</v>
      </c>
      <c r="U9" s="208">
        <v>0.0</v>
      </c>
      <c r="V9" s="208">
        <v>4.0</v>
      </c>
      <c r="W9" s="208">
        <v>4.0</v>
      </c>
      <c r="X9" s="208">
        <v>34.0</v>
      </c>
      <c r="Y9" s="208">
        <v>1.0</v>
      </c>
      <c r="Z9" s="208">
        <v>9.0</v>
      </c>
      <c r="AA9" s="208">
        <v>0.0</v>
      </c>
      <c r="AB9" s="208">
        <v>0.0</v>
      </c>
      <c r="AC9" s="208">
        <v>0.0</v>
      </c>
      <c r="AD9" s="208">
        <v>0.0</v>
      </c>
      <c r="AE9" s="208">
        <v>78.0</v>
      </c>
      <c r="AF9" s="208">
        <v>91.0</v>
      </c>
      <c r="AG9" s="208">
        <v>27.0</v>
      </c>
      <c r="AH9" s="581">
        <f t="shared" si="1"/>
        <v>148547.793</v>
      </c>
      <c r="AI9" s="581">
        <f t="shared" si="2"/>
        <v>3.37037037</v>
      </c>
      <c r="AJ9" s="124">
        <v>0.0</v>
      </c>
      <c r="AK9" s="208">
        <v>0.0</v>
      </c>
      <c r="AL9" s="582">
        <f t="shared" si="3"/>
        <v>0</v>
      </c>
      <c r="AM9" s="208">
        <v>501349.0</v>
      </c>
      <c r="AN9" s="582">
        <f t="shared" si="4"/>
        <v>1.055471161</v>
      </c>
      <c r="AO9" s="583">
        <v>0.0</v>
      </c>
      <c r="AP9" s="208">
        <v>12.0</v>
      </c>
      <c r="AQ9" s="208">
        <v>335.0</v>
      </c>
      <c r="AR9" s="208">
        <v>1469.65</v>
      </c>
      <c r="AS9" s="208">
        <v>0.0</v>
      </c>
      <c r="AT9" s="208">
        <v>31.0</v>
      </c>
      <c r="AV9" s="124" t="str">
        <f t="shared" si="5"/>
        <v>Active</v>
      </c>
    </row>
    <row r="10">
      <c r="A10" s="124" t="s">
        <v>185</v>
      </c>
      <c r="B10" s="208" t="s">
        <v>189</v>
      </c>
      <c r="C10" s="208" t="s">
        <v>203</v>
      </c>
      <c r="D10" s="208" t="s">
        <v>1016</v>
      </c>
      <c r="E10" s="208" t="s">
        <v>230</v>
      </c>
      <c r="F10" s="580">
        <v>43009.0</v>
      </c>
      <c r="G10" s="208">
        <v>0.0</v>
      </c>
      <c r="H10" s="208">
        <v>0.0</v>
      </c>
      <c r="I10" s="208">
        <v>0.0</v>
      </c>
      <c r="J10" s="208">
        <v>0.0</v>
      </c>
      <c r="K10" s="208">
        <v>194.0</v>
      </c>
      <c r="L10" s="208">
        <v>67.0</v>
      </c>
      <c r="M10" s="208">
        <v>2.0</v>
      </c>
      <c r="N10" s="208">
        <v>196.0</v>
      </c>
      <c r="O10" s="208">
        <v>129.0</v>
      </c>
      <c r="P10" s="208">
        <v>0.0</v>
      </c>
      <c r="Q10" s="208">
        <v>0.0</v>
      </c>
      <c r="R10" s="208">
        <v>0.0</v>
      </c>
      <c r="S10" s="208">
        <v>0.0</v>
      </c>
      <c r="T10" s="208">
        <v>0.0</v>
      </c>
      <c r="U10" s="208">
        <v>0.0</v>
      </c>
      <c r="V10" s="208">
        <v>9.0</v>
      </c>
      <c r="W10" s="208">
        <v>9.0</v>
      </c>
      <c r="X10" s="208">
        <v>31.0</v>
      </c>
      <c r="Y10" s="208">
        <v>2.0</v>
      </c>
      <c r="Z10" s="208">
        <v>13.0</v>
      </c>
      <c r="AA10" s="208">
        <v>0.0</v>
      </c>
      <c r="AB10" s="208">
        <v>0.0</v>
      </c>
      <c r="AC10" s="208">
        <v>0.0</v>
      </c>
      <c r="AD10" s="208">
        <v>0.0</v>
      </c>
      <c r="AE10" s="208">
        <v>89.0</v>
      </c>
      <c r="AF10" s="208">
        <v>111.0</v>
      </c>
      <c r="AG10" s="208">
        <v>28.0</v>
      </c>
      <c r="AH10" s="581">
        <f t="shared" si="1"/>
        <v>0</v>
      </c>
      <c r="AI10" s="581">
        <f t="shared" si="2"/>
        <v>3.964285714</v>
      </c>
      <c r="AJ10" s="124">
        <v>0.0</v>
      </c>
      <c r="AK10" s="208">
        <v>0.0</v>
      </c>
      <c r="AL10" s="582" t="str">
        <f t="shared" si="3"/>
        <v/>
      </c>
      <c r="AM10" s="208">
        <v>0.0</v>
      </c>
      <c r="AN10" s="582" t="str">
        <f t="shared" si="4"/>
        <v/>
      </c>
      <c r="AO10" s="583">
        <v>0.0</v>
      </c>
      <c r="AP10" s="208">
        <v>0.0</v>
      </c>
      <c r="AQ10" s="208">
        <v>295.0</v>
      </c>
      <c r="AR10" s="208">
        <v>2288.29</v>
      </c>
      <c r="AS10" s="208">
        <v>0.0</v>
      </c>
      <c r="AT10" s="208">
        <v>34.0</v>
      </c>
      <c r="AV10" s="124" t="str">
        <f t="shared" si="5"/>
        <v>Active</v>
      </c>
    </row>
    <row r="11">
      <c r="A11" s="124" t="s">
        <v>185</v>
      </c>
      <c r="B11" s="208" t="s">
        <v>189</v>
      </c>
      <c r="C11" s="208" t="s">
        <v>205</v>
      </c>
      <c r="D11" s="208" t="s">
        <v>1016</v>
      </c>
      <c r="E11" s="208" t="s">
        <v>243</v>
      </c>
      <c r="F11" s="580">
        <v>43119.0</v>
      </c>
      <c r="G11" s="208">
        <v>0.0</v>
      </c>
      <c r="H11" s="208">
        <v>3833333.0</v>
      </c>
      <c r="I11" s="208">
        <v>1855864.5</v>
      </c>
      <c r="J11" s="208">
        <v>0.0</v>
      </c>
      <c r="K11" s="208">
        <v>57.0</v>
      </c>
      <c r="L11" s="208">
        <v>17.0</v>
      </c>
      <c r="M11" s="208">
        <v>1.0</v>
      </c>
      <c r="N11" s="208">
        <v>58.0</v>
      </c>
      <c r="O11" s="208">
        <v>41.0</v>
      </c>
      <c r="P11" s="208">
        <v>1772704.5</v>
      </c>
      <c r="Q11" s="208">
        <v>83160.0</v>
      </c>
      <c r="R11" s="208">
        <v>2.0</v>
      </c>
      <c r="S11" s="208">
        <v>1.0</v>
      </c>
      <c r="T11" s="208">
        <v>3.0</v>
      </c>
      <c r="U11" s="208">
        <v>0.0</v>
      </c>
      <c r="V11" s="208">
        <v>3.0</v>
      </c>
      <c r="W11" s="208">
        <v>3.0</v>
      </c>
      <c r="X11" s="208">
        <v>73.0</v>
      </c>
      <c r="Y11" s="208">
        <v>1.0</v>
      </c>
      <c r="Z11" s="208">
        <v>1.0</v>
      </c>
      <c r="AA11" s="208">
        <v>0.0</v>
      </c>
      <c r="AB11" s="208">
        <v>0.0</v>
      </c>
      <c r="AC11" s="208">
        <v>0.0</v>
      </c>
      <c r="AD11" s="208">
        <v>0.0</v>
      </c>
      <c r="AE11" s="208">
        <v>38.0</v>
      </c>
      <c r="AF11" s="208">
        <v>42.0</v>
      </c>
      <c r="AG11" s="208">
        <v>23.0</v>
      </c>
      <c r="AH11" s="581">
        <f t="shared" si="1"/>
        <v>80689.76087</v>
      </c>
      <c r="AI11" s="581">
        <f t="shared" si="2"/>
        <v>1.826086957</v>
      </c>
      <c r="AJ11" s="124">
        <v>0.0</v>
      </c>
      <c r="AK11" s="208">
        <v>0.0</v>
      </c>
      <c r="AL11" s="582">
        <f t="shared" si="3"/>
        <v>0</v>
      </c>
      <c r="AM11" s="208">
        <v>618622.0</v>
      </c>
      <c r="AN11" s="582">
        <f t="shared" si="4"/>
        <v>0.4841386073</v>
      </c>
      <c r="AO11" s="583">
        <v>0.0</v>
      </c>
      <c r="AP11" s="208">
        <v>3.0</v>
      </c>
      <c r="AQ11" s="208">
        <v>199.0</v>
      </c>
      <c r="AR11" s="208">
        <v>722.67</v>
      </c>
      <c r="AS11" s="208">
        <v>1.0</v>
      </c>
      <c r="AT11" s="208">
        <v>43.0</v>
      </c>
      <c r="AV11" s="124" t="str">
        <f t="shared" si="5"/>
        <v>Active</v>
      </c>
    </row>
    <row r="12">
      <c r="A12" s="124" t="s">
        <v>185</v>
      </c>
      <c r="B12" s="208" t="s">
        <v>189</v>
      </c>
      <c r="C12" s="208" t="s">
        <v>190</v>
      </c>
      <c r="D12" s="208" t="s">
        <v>1016</v>
      </c>
      <c r="E12" s="208" t="s">
        <v>241</v>
      </c>
      <c r="F12" s="580">
        <v>39859.0</v>
      </c>
      <c r="G12" s="208">
        <v>0.0</v>
      </c>
      <c r="H12" s="208">
        <v>5050000.0</v>
      </c>
      <c r="I12" s="208">
        <v>2700180.72</v>
      </c>
      <c r="J12" s="208">
        <v>0.0</v>
      </c>
      <c r="K12" s="208">
        <v>106.0</v>
      </c>
      <c r="L12" s="208">
        <v>56.0</v>
      </c>
      <c r="M12" s="208">
        <v>2.0</v>
      </c>
      <c r="N12" s="208">
        <v>108.0</v>
      </c>
      <c r="O12" s="208">
        <v>52.0</v>
      </c>
      <c r="P12" s="208">
        <v>2518228.26</v>
      </c>
      <c r="Q12" s="208">
        <v>181952.46</v>
      </c>
      <c r="R12" s="208">
        <v>30.0</v>
      </c>
      <c r="S12" s="208">
        <v>2.0</v>
      </c>
      <c r="T12" s="208">
        <v>32.0</v>
      </c>
      <c r="U12" s="208">
        <v>0.0</v>
      </c>
      <c r="V12" s="208">
        <v>1.0</v>
      </c>
      <c r="W12" s="208">
        <v>1.0</v>
      </c>
      <c r="X12" s="208">
        <v>84.0</v>
      </c>
      <c r="Y12" s="208">
        <v>5.0</v>
      </c>
      <c r="Z12" s="208">
        <v>11.0</v>
      </c>
      <c r="AA12" s="208">
        <v>0.0</v>
      </c>
      <c r="AB12" s="208">
        <v>0.0</v>
      </c>
      <c r="AC12" s="208">
        <v>0.0</v>
      </c>
      <c r="AD12" s="208">
        <v>0.0</v>
      </c>
      <c r="AE12" s="208">
        <v>94.0</v>
      </c>
      <c r="AF12" s="208">
        <v>106.0</v>
      </c>
      <c r="AG12" s="208">
        <v>26.0</v>
      </c>
      <c r="AH12" s="581">
        <f t="shared" si="1"/>
        <v>103853.1046</v>
      </c>
      <c r="AI12" s="581">
        <f t="shared" si="2"/>
        <v>4.076923077</v>
      </c>
      <c r="AJ12" s="124">
        <v>0.0</v>
      </c>
      <c r="AK12" s="208">
        <v>0.0</v>
      </c>
      <c r="AL12" s="582">
        <f t="shared" si="3"/>
        <v>0</v>
      </c>
      <c r="AM12" s="208">
        <v>84381.0</v>
      </c>
      <c r="AN12" s="582">
        <f t="shared" si="4"/>
        <v>0.5346892515</v>
      </c>
      <c r="AO12" s="583">
        <v>0.0</v>
      </c>
      <c r="AP12" s="208">
        <v>45.0</v>
      </c>
      <c r="AQ12" s="208">
        <v>275.0</v>
      </c>
      <c r="AR12" s="208">
        <v>1938.0</v>
      </c>
      <c r="AS12" s="208">
        <v>2.0</v>
      </c>
      <c r="AT12" s="208">
        <v>35.0</v>
      </c>
      <c r="AV12" s="124" t="str">
        <f t="shared" si="5"/>
        <v>Active</v>
      </c>
    </row>
    <row r="13">
      <c r="A13" s="124" t="s">
        <v>185</v>
      </c>
      <c r="B13" s="208" t="s">
        <v>189</v>
      </c>
      <c r="C13" s="208" t="s">
        <v>191</v>
      </c>
      <c r="D13" s="208" t="s">
        <v>1016</v>
      </c>
      <c r="E13" s="208" t="s">
        <v>243</v>
      </c>
      <c r="F13" s="580">
        <v>41159.0</v>
      </c>
      <c r="G13" s="208">
        <v>0.0</v>
      </c>
      <c r="H13" s="208">
        <v>6833333.0</v>
      </c>
      <c r="I13" s="208">
        <v>5235191.94</v>
      </c>
      <c r="J13" s="208">
        <v>0.0</v>
      </c>
      <c r="K13" s="208">
        <v>142.0</v>
      </c>
      <c r="L13" s="208">
        <v>88.0</v>
      </c>
      <c r="M13" s="208">
        <v>2.0</v>
      </c>
      <c r="N13" s="208">
        <v>144.0</v>
      </c>
      <c r="O13" s="208">
        <v>56.0</v>
      </c>
      <c r="P13" s="208">
        <v>4919930.04</v>
      </c>
      <c r="Q13" s="208">
        <v>315261.9</v>
      </c>
      <c r="R13" s="208">
        <v>41.0</v>
      </c>
      <c r="S13" s="208">
        <v>2.0</v>
      </c>
      <c r="T13" s="208">
        <v>43.0</v>
      </c>
      <c r="U13" s="208">
        <v>0.0</v>
      </c>
      <c r="V13" s="208">
        <v>8.0</v>
      </c>
      <c r="W13" s="208">
        <v>12.0</v>
      </c>
      <c r="X13" s="208">
        <v>44.0</v>
      </c>
      <c r="Y13" s="208">
        <v>1.0</v>
      </c>
      <c r="Z13" s="208">
        <v>1.0</v>
      </c>
      <c r="AA13" s="208">
        <v>0.0</v>
      </c>
      <c r="AB13" s="208">
        <v>0.0</v>
      </c>
      <c r="AC13" s="208">
        <v>0.0</v>
      </c>
      <c r="AD13" s="208">
        <v>0.0</v>
      </c>
      <c r="AE13" s="208">
        <v>145.0</v>
      </c>
      <c r="AF13" s="208">
        <v>158.0</v>
      </c>
      <c r="AG13" s="208">
        <v>27.0</v>
      </c>
      <c r="AH13" s="581">
        <f t="shared" si="1"/>
        <v>193895.9978</v>
      </c>
      <c r="AI13" s="581">
        <f t="shared" si="2"/>
        <v>5.851851852</v>
      </c>
      <c r="AJ13" s="124">
        <v>0.0</v>
      </c>
      <c r="AK13" s="208">
        <v>0.0</v>
      </c>
      <c r="AL13" s="582">
        <f t="shared" si="3"/>
        <v>0</v>
      </c>
      <c r="AM13" s="208">
        <v>121749.0</v>
      </c>
      <c r="AN13" s="582">
        <f t="shared" si="4"/>
        <v>0.7661256871</v>
      </c>
      <c r="AO13" s="583">
        <v>0.0</v>
      </c>
      <c r="AP13" s="208">
        <v>57.0</v>
      </c>
      <c r="AQ13" s="208">
        <v>309.0</v>
      </c>
      <c r="AR13" s="208">
        <v>959.47</v>
      </c>
      <c r="AS13" s="208">
        <v>2.0</v>
      </c>
      <c r="AT13" s="208">
        <v>11.0</v>
      </c>
      <c r="AV13" s="124" t="str">
        <f t="shared" si="5"/>
        <v>Active</v>
      </c>
    </row>
    <row r="14">
      <c r="A14" s="124" t="s">
        <v>185</v>
      </c>
      <c r="B14" s="208" t="s">
        <v>189</v>
      </c>
      <c r="C14" s="208" t="s">
        <v>193</v>
      </c>
      <c r="D14" s="208" t="s">
        <v>1016</v>
      </c>
      <c r="E14" s="208" t="s">
        <v>241</v>
      </c>
      <c r="F14" s="580">
        <v>41400.0</v>
      </c>
      <c r="G14" s="208">
        <v>0.0</v>
      </c>
      <c r="H14" s="208">
        <v>8500000.0</v>
      </c>
      <c r="I14" s="208">
        <v>2835823.68</v>
      </c>
      <c r="J14" s="208">
        <v>0.0</v>
      </c>
      <c r="K14" s="208">
        <v>53.0</v>
      </c>
      <c r="L14" s="208">
        <v>34.0</v>
      </c>
      <c r="M14" s="208">
        <v>3.0</v>
      </c>
      <c r="N14" s="208">
        <v>56.0</v>
      </c>
      <c r="O14" s="208">
        <v>22.0</v>
      </c>
      <c r="P14" s="208">
        <v>2831071.68</v>
      </c>
      <c r="Q14" s="208">
        <v>4752.0</v>
      </c>
      <c r="R14" s="208">
        <v>19.0</v>
      </c>
      <c r="S14" s="208">
        <v>1.0</v>
      </c>
      <c r="T14" s="208">
        <v>20.0</v>
      </c>
      <c r="U14" s="208">
        <v>0.0</v>
      </c>
      <c r="V14" s="208">
        <v>0.0</v>
      </c>
      <c r="W14" s="208">
        <v>0.0</v>
      </c>
      <c r="X14" s="208">
        <v>18.0</v>
      </c>
      <c r="Y14" s="208">
        <v>2.0</v>
      </c>
      <c r="Z14" s="208">
        <v>17.0</v>
      </c>
      <c r="AA14" s="208">
        <v>0.0</v>
      </c>
      <c r="AB14" s="208">
        <v>0.0</v>
      </c>
      <c r="AC14" s="208">
        <v>0.0</v>
      </c>
      <c r="AD14" s="208">
        <v>0.0</v>
      </c>
      <c r="AE14" s="208">
        <v>118.0</v>
      </c>
      <c r="AF14" s="208">
        <v>135.0</v>
      </c>
      <c r="AG14" s="208">
        <v>21.0</v>
      </c>
      <c r="AH14" s="581">
        <f t="shared" si="1"/>
        <v>135039.2229</v>
      </c>
      <c r="AI14" s="581">
        <f t="shared" si="2"/>
        <v>6.428571429</v>
      </c>
      <c r="AJ14" s="124">
        <v>0.0</v>
      </c>
      <c r="AK14" s="208">
        <v>0.0</v>
      </c>
      <c r="AL14" s="582">
        <f t="shared" si="3"/>
        <v>0</v>
      </c>
      <c r="AM14" s="208">
        <v>141791.0</v>
      </c>
      <c r="AN14" s="582">
        <f t="shared" si="4"/>
        <v>0.3336263153</v>
      </c>
      <c r="AO14" s="583">
        <v>0.0</v>
      </c>
      <c r="AP14" s="208">
        <v>71.0</v>
      </c>
      <c r="AQ14" s="208">
        <v>206.0</v>
      </c>
      <c r="AR14" s="208">
        <v>441.48</v>
      </c>
      <c r="AS14" s="208">
        <v>1.0</v>
      </c>
      <c r="AT14" s="208">
        <v>13.0</v>
      </c>
      <c r="AV14" s="124" t="str">
        <f t="shared" si="5"/>
        <v>Active</v>
      </c>
    </row>
    <row r="15">
      <c r="A15" s="124" t="s">
        <v>185</v>
      </c>
      <c r="B15" s="208" t="s">
        <v>212</v>
      </c>
      <c r="C15" s="208" t="s">
        <v>489</v>
      </c>
      <c r="D15" s="208" t="s">
        <v>1031</v>
      </c>
      <c r="E15" s="208" t="s">
        <v>1032</v>
      </c>
      <c r="F15" s="580">
        <v>41719.0</v>
      </c>
      <c r="G15" s="208">
        <v>0.0</v>
      </c>
      <c r="H15" s="208">
        <v>0.0</v>
      </c>
      <c r="I15" s="208">
        <v>0.0</v>
      </c>
      <c r="J15" s="208">
        <v>0.0</v>
      </c>
      <c r="K15" s="208">
        <v>161.0</v>
      </c>
      <c r="L15" s="208">
        <v>17.0</v>
      </c>
      <c r="M15" s="208">
        <v>0.0</v>
      </c>
      <c r="N15" s="208">
        <v>161.0</v>
      </c>
      <c r="O15" s="208">
        <v>144.0</v>
      </c>
      <c r="P15" s="208">
        <v>0.0</v>
      </c>
      <c r="Q15" s="208">
        <v>0.0</v>
      </c>
      <c r="R15" s="208">
        <v>0.0</v>
      </c>
      <c r="S15" s="208">
        <v>0.0</v>
      </c>
      <c r="T15" s="208">
        <v>0.0</v>
      </c>
      <c r="U15" s="208">
        <v>0.0</v>
      </c>
      <c r="V15" s="208">
        <v>8.0</v>
      </c>
      <c r="W15" s="208">
        <v>10.0</v>
      </c>
      <c r="X15" s="208">
        <v>269.0</v>
      </c>
      <c r="Y15" s="208">
        <v>10.0</v>
      </c>
      <c r="Z15" s="208">
        <v>25.0</v>
      </c>
      <c r="AA15" s="208">
        <v>4.0</v>
      </c>
      <c r="AB15" s="208">
        <v>5.0</v>
      </c>
      <c r="AC15" s="208">
        <v>1.0</v>
      </c>
      <c r="AD15" s="208">
        <v>1.0</v>
      </c>
      <c r="AE15" s="208">
        <v>20.0</v>
      </c>
      <c r="AF15" s="208">
        <v>61.0</v>
      </c>
      <c r="AG15" s="208">
        <v>26.0</v>
      </c>
      <c r="AH15" s="581">
        <f t="shared" si="1"/>
        <v>0</v>
      </c>
      <c r="AI15" s="581">
        <f t="shared" si="2"/>
        <v>2.346153846</v>
      </c>
      <c r="AJ15" s="124">
        <v>4.0</v>
      </c>
      <c r="AK15" s="208">
        <v>0.0</v>
      </c>
      <c r="AL15" s="582" t="str">
        <f t="shared" si="3"/>
        <v/>
      </c>
      <c r="AM15" s="208">
        <v>0.0</v>
      </c>
      <c r="AN15" s="582" t="str">
        <f t="shared" si="4"/>
        <v/>
      </c>
      <c r="AO15" s="583">
        <v>0.0</v>
      </c>
      <c r="AP15" s="208">
        <v>0.0</v>
      </c>
      <c r="AQ15" s="208">
        <v>271.0</v>
      </c>
      <c r="AR15" s="208">
        <v>1402.93</v>
      </c>
      <c r="AS15" s="208">
        <v>0.0</v>
      </c>
      <c r="AT15" s="208">
        <v>83.0</v>
      </c>
      <c r="AV15" s="124" t="str">
        <f t="shared" si="5"/>
        <v>Active</v>
      </c>
    </row>
    <row r="16">
      <c r="A16" s="124" t="s">
        <v>111</v>
      </c>
      <c r="B16" s="208" t="s">
        <v>117</v>
      </c>
      <c r="C16" s="208" t="s">
        <v>434</v>
      </c>
      <c r="D16" s="208" t="s">
        <v>1044</v>
      </c>
      <c r="E16" s="208" t="s">
        <v>435</v>
      </c>
      <c r="F16" s="580">
        <v>42769.0</v>
      </c>
      <c r="G16" s="208">
        <v>0.0</v>
      </c>
      <c r="H16" s="208">
        <v>1400000.0</v>
      </c>
      <c r="I16" s="208">
        <v>644458.7</v>
      </c>
      <c r="J16" s="208">
        <v>0.0</v>
      </c>
      <c r="K16" s="208">
        <v>45.0</v>
      </c>
      <c r="L16" s="208">
        <v>43.0</v>
      </c>
      <c r="M16" s="208">
        <v>0.0</v>
      </c>
      <c r="N16" s="208">
        <v>45.0</v>
      </c>
      <c r="O16" s="208">
        <v>2.0</v>
      </c>
      <c r="P16" s="208">
        <v>644458.7</v>
      </c>
      <c r="Q16" s="208">
        <v>0.0</v>
      </c>
      <c r="R16" s="208">
        <v>14.0</v>
      </c>
      <c r="S16" s="208">
        <v>0.0</v>
      </c>
      <c r="T16" s="208">
        <v>14.0</v>
      </c>
      <c r="U16" s="208">
        <v>0.0</v>
      </c>
      <c r="V16" s="208">
        <v>5.0</v>
      </c>
      <c r="W16" s="208">
        <v>6.0</v>
      </c>
      <c r="X16" s="208">
        <v>73.0</v>
      </c>
      <c r="Y16" s="208">
        <v>1.0</v>
      </c>
      <c r="Z16" s="208">
        <v>3.0</v>
      </c>
      <c r="AA16" s="208">
        <v>0.0</v>
      </c>
      <c r="AB16" s="208">
        <v>0.0</v>
      </c>
      <c r="AC16" s="208">
        <v>0.0</v>
      </c>
      <c r="AD16" s="208">
        <v>0.0</v>
      </c>
      <c r="AE16" s="208">
        <v>111.0</v>
      </c>
      <c r="AF16" s="208">
        <v>120.0</v>
      </c>
      <c r="AG16" s="208">
        <v>27.0</v>
      </c>
      <c r="AH16" s="581">
        <f t="shared" si="1"/>
        <v>23868.84074</v>
      </c>
      <c r="AI16" s="581">
        <f t="shared" si="2"/>
        <v>4.444444444</v>
      </c>
      <c r="AJ16" s="124">
        <v>0.0</v>
      </c>
      <c r="AK16" s="208">
        <v>0.0</v>
      </c>
      <c r="AL16" s="582">
        <f t="shared" si="3"/>
        <v>0</v>
      </c>
      <c r="AM16" s="208">
        <v>46033.0</v>
      </c>
      <c r="AN16" s="582">
        <f t="shared" si="4"/>
        <v>0.4603276429</v>
      </c>
      <c r="AO16" s="583">
        <v>0.0</v>
      </c>
      <c r="AP16" s="208">
        <v>17.0</v>
      </c>
      <c r="AQ16" s="208">
        <v>303.0</v>
      </c>
      <c r="AR16" s="208">
        <v>2314.69</v>
      </c>
      <c r="AS16" s="208">
        <v>0.0</v>
      </c>
      <c r="AT16" s="208">
        <v>54.0</v>
      </c>
      <c r="AV16" s="124" t="str">
        <f t="shared" si="5"/>
        <v>Active</v>
      </c>
    </row>
    <row r="17">
      <c r="A17" s="124" t="s">
        <v>111</v>
      </c>
      <c r="B17" s="208" t="s">
        <v>1228</v>
      </c>
      <c r="C17" s="208" t="s">
        <v>112</v>
      </c>
      <c r="D17" s="208" t="s">
        <v>1051</v>
      </c>
      <c r="E17" s="208" t="s">
        <v>1052</v>
      </c>
      <c r="F17" s="580">
        <v>43185.0</v>
      </c>
      <c r="G17" s="208">
        <v>416667.0</v>
      </c>
      <c r="H17" s="208">
        <v>1400000.0</v>
      </c>
      <c r="I17" s="208">
        <v>0.0</v>
      </c>
      <c r="J17" s="208">
        <v>0.0</v>
      </c>
      <c r="K17" s="208">
        <v>94.0</v>
      </c>
      <c r="L17" s="208">
        <v>0.0</v>
      </c>
      <c r="M17" s="208">
        <v>1.0</v>
      </c>
      <c r="N17" s="208">
        <v>95.0</v>
      </c>
      <c r="O17" s="208">
        <v>95.0</v>
      </c>
      <c r="P17" s="208">
        <v>0.0</v>
      </c>
      <c r="Q17" s="208">
        <v>0.0</v>
      </c>
      <c r="R17" s="208">
        <v>0.0</v>
      </c>
      <c r="S17" s="208">
        <v>0.0</v>
      </c>
      <c r="T17" s="208">
        <v>0.0</v>
      </c>
      <c r="U17" s="208">
        <v>0.0</v>
      </c>
      <c r="V17" s="208">
        <v>0.0</v>
      </c>
      <c r="W17" s="208">
        <v>0.0</v>
      </c>
      <c r="X17" s="208">
        <v>104.0</v>
      </c>
      <c r="Y17" s="208">
        <v>0.0</v>
      </c>
      <c r="Z17" s="208">
        <v>0.0</v>
      </c>
      <c r="AA17" s="208">
        <v>0.0</v>
      </c>
      <c r="AB17" s="208">
        <v>0.0</v>
      </c>
      <c r="AC17" s="208">
        <v>0.0</v>
      </c>
      <c r="AD17" s="208">
        <v>0.0</v>
      </c>
      <c r="AE17" s="208">
        <v>0.0</v>
      </c>
      <c r="AF17" s="208">
        <v>0.0</v>
      </c>
      <c r="AG17" s="208">
        <v>0.0</v>
      </c>
      <c r="AH17" s="581" t="str">
        <f t="shared" si="1"/>
        <v/>
      </c>
      <c r="AI17" s="581" t="str">
        <f t="shared" si="2"/>
        <v/>
      </c>
      <c r="AJ17" s="124">
        <v>1.0</v>
      </c>
      <c r="AK17" s="208">
        <v>0.0</v>
      </c>
      <c r="AL17" s="582" t="str">
        <f t="shared" si="3"/>
        <v/>
      </c>
      <c r="AM17" s="208">
        <v>0.0</v>
      </c>
      <c r="AN17" s="582">
        <f t="shared" si="4"/>
        <v>0</v>
      </c>
      <c r="AO17" s="583">
        <v>0.0</v>
      </c>
      <c r="AP17" s="208">
        <v>0.0</v>
      </c>
      <c r="AQ17" s="208">
        <v>0.0</v>
      </c>
      <c r="AR17" s="208">
        <v>0.0</v>
      </c>
      <c r="AS17" s="208">
        <v>0.0</v>
      </c>
      <c r="AT17" s="208">
        <v>0.0</v>
      </c>
      <c r="AV17" s="124" t="str">
        <f t="shared" si="5"/>
        <v>Active</v>
      </c>
    </row>
    <row r="18">
      <c r="A18" s="124" t="s">
        <v>111</v>
      </c>
      <c r="B18" s="208" t="s">
        <v>117</v>
      </c>
      <c r="C18" s="208" t="s">
        <v>524</v>
      </c>
      <c r="D18" s="208" t="s">
        <v>1044</v>
      </c>
      <c r="E18" s="208" t="s">
        <v>1054</v>
      </c>
      <c r="F18" s="580">
        <v>43424.0</v>
      </c>
      <c r="G18" s="208">
        <v>833333.0</v>
      </c>
      <c r="H18" s="208">
        <v>2100000.0</v>
      </c>
      <c r="I18" s="208">
        <v>867031.01</v>
      </c>
      <c r="J18" s="208">
        <v>41656.46</v>
      </c>
      <c r="K18" s="208">
        <v>111.0</v>
      </c>
      <c r="L18" s="208">
        <v>26.0</v>
      </c>
      <c r="M18" s="208">
        <v>2.0</v>
      </c>
      <c r="N18" s="208">
        <v>113.0</v>
      </c>
      <c r="O18" s="208">
        <v>87.0</v>
      </c>
      <c r="P18" s="208">
        <v>834639.06</v>
      </c>
      <c r="Q18" s="208">
        <v>32391.95</v>
      </c>
      <c r="R18" s="208">
        <v>32.0</v>
      </c>
      <c r="S18" s="208">
        <v>2.0</v>
      </c>
      <c r="T18" s="208">
        <v>34.0</v>
      </c>
      <c r="U18" s="208">
        <v>1.0</v>
      </c>
      <c r="V18" s="208">
        <v>0.0</v>
      </c>
      <c r="W18" s="208">
        <v>0.0</v>
      </c>
      <c r="X18" s="208">
        <v>16.0</v>
      </c>
      <c r="Y18" s="208">
        <v>4.0</v>
      </c>
      <c r="Z18" s="208">
        <v>5.0</v>
      </c>
      <c r="AA18" s="208">
        <v>1.0</v>
      </c>
      <c r="AB18" s="208">
        <v>2.0</v>
      </c>
      <c r="AC18" s="208">
        <v>0.0</v>
      </c>
      <c r="AD18" s="208">
        <v>0.0</v>
      </c>
      <c r="AE18" s="208">
        <v>42.0</v>
      </c>
      <c r="AF18" s="208">
        <v>49.0</v>
      </c>
      <c r="AG18" s="208">
        <v>10.0</v>
      </c>
      <c r="AH18" s="581">
        <f t="shared" si="1"/>
        <v>90868.747</v>
      </c>
      <c r="AI18" s="581">
        <f t="shared" si="2"/>
        <v>4.9</v>
      </c>
      <c r="AJ18" s="124">
        <v>3.0</v>
      </c>
      <c r="AK18" s="208">
        <v>0.0</v>
      </c>
      <c r="AL18" s="582">
        <f t="shared" si="3"/>
        <v>0.000003301465134</v>
      </c>
      <c r="AM18" s="208">
        <v>25501.0</v>
      </c>
      <c r="AN18" s="582">
        <f t="shared" si="4"/>
        <v>0.3097798545</v>
      </c>
      <c r="AO18" s="583">
        <v>0.0</v>
      </c>
      <c r="AP18" s="208">
        <v>46.0</v>
      </c>
      <c r="AQ18" s="208">
        <v>89.0</v>
      </c>
      <c r="AR18" s="208">
        <v>508.53</v>
      </c>
      <c r="AS18" s="208">
        <v>2.0</v>
      </c>
      <c r="AT18" s="208">
        <v>20.0</v>
      </c>
      <c r="AV18" s="124" t="str">
        <f t="shared" si="5"/>
        <v>Active</v>
      </c>
    </row>
    <row r="19">
      <c r="A19" s="124" t="s">
        <v>298</v>
      </c>
      <c r="B19" s="208" t="s">
        <v>301</v>
      </c>
      <c r="C19" s="208" t="s">
        <v>299</v>
      </c>
      <c r="D19" s="208" t="s">
        <v>1047</v>
      </c>
      <c r="E19" s="208" t="s">
        <v>1048</v>
      </c>
      <c r="F19" s="580">
        <v>42926.0</v>
      </c>
      <c r="G19" s="208">
        <v>0.0</v>
      </c>
      <c r="H19" s="208">
        <v>2000000.0</v>
      </c>
      <c r="I19" s="208">
        <v>1790290.07</v>
      </c>
      <c r="J19" s="208">
        <v>0.0</v>
      </c>
      <c r="K19" s="208">
        <v>143.0</v>
      </c>
      <c r="L19" s="208">
        <v>67.0</v>
      </c>
      <c r="M19" s="208">
        <v>1.0</v>
      </c>
      <c r="N19" s="208">
        <v>144.0</v>
      </c>
      <c r="O19" s="208">
        <v>77.0</v>
      </c>
      <c r="P19" s="208">
        <v>1764345.51</v>
      </c>
      <c r="Q19" s="208">
        <v>25944.56</v>
      </c>
      <c r="R19" s="208">
        <v>43.0</v>
      </c>
      <c r="S19" s="208">
        <v>1.0</v>
      </c>
      <c r="T19" s="208">
        <v>44.0</v>
      </c>
      <c r="U19" s="208">
        <v>0.0</v>
      </c>
      <c r="V19" s="208">
        <v>4.0</v>
      </c>
      <c r="W19" s="208">
        <v>4.0</v>
      </c>
      <c r="X19" s="208">
        <v>51.0</v>
      </c>
      <c r="Y19" s="208">
        <v>1.0</v>
      </c>
      <c r="Z19" s="208">
        <v>10.0</v>
      </c>
      <c r="AA19" s="208">
        <v>0.0</v>
      </c>
      <c r="AB19" s="208">
        <v>0.0</v>
      </c>
      <c r="AC19" s="208">
        <v>0.0</v>
      </c>
      <c r="AD19" s="208">
        <v>0.0</v>
      </c>
      <c r="AE19" s="208">
        <v>87.0</v>
      </c>
      <c r="AF19" s="208">
        <v>101.0</v>
      </c>
      <c r="AG19" s="208">
        <v>26.0</v>
      </c>
      <c r="AH19" s="581">
        <f t="shared" si="1"/>
        <v>68857.31038</v>
      </c>
      <c r="AI19" s="581">
        <f t="shared" si="2"/>
        <v>3.884615385</v>
      </c>
      <c r="AJ19" s="124">
        <v>0.0</v>
      </c>
      <c r="AK19" s="208">
        <v>0.0</v>
      </c>
      <c r="AL19" s="582">
        <f t="shared" si="3"/>
        <v>0</v>
      </c>
      <c r="AM19" s="208">
        <v>40688.0</v>
      </c>
      <c r="AN19" s="582">
        <f t="shared" si="4"/>
        <v>0.895145035</v>
      </c>
      <c r="AO19" s="583">
        <v>0.0</v>
      </c>
      <c r="AP19" s="208">
        <v>72.0</v>
      </c>
      <c r="AQ19" s="208">
        <v>205.0</v>
      </c>
      <c r="AR19" s="208">
        <v>2403.47</v>
      </c>
      <c r="AS19" s="208">
        <v>1.0</v>
      </c>
      <c r="AT19" s="208">
        <v>36.0</v>
      </c>
      <c r="AV19" s="124" t="str">
        <f t="shared" si="5"/>
        <v>Active</v>
      </c>
    </row>
    <row r="20">
      <c r="A20" s="124" t="s">
        <v>322</v>
      </c>
      <c r="B20" s="208" t="s">
        <v>325</v>
      </c>
      <c r="C20" s="208" t="s">
        <v>323</v>
      </c>
      <c r="D20" s="208" t="s">
        <v>1049</v>
      </c>
      <c r="E20" s="208" t="s">
        <v>1050</v>
      </c>
      <c r="F20" s="580">
        <v>42993.0</v>
      </c>
      <c r="G20" s="208">
        <v>0.0</v>
      </c>
      <c r="H20" s="208">
        <v>1250000.0</v>
      </c>
      <c r="I20" s="208">
        <v>1019544.68</v>
      </c>
      <c r="J20" s="208">
        <v>0.0</v>
      </c>
      <c r="K20" s="208">
        <v>132.0</v>
      </c>
      <c r="L20" s="208">
        <v>59.0</v>
      </c>
      <c r="M20" s="208">
        <v>2.0</v>
      </c>
      <c r="N20" s="208">
        <v>134.0</v>
      </c>
      <c r="O20" s="208">
        <v>75.0</v>
      </c>
      <c r="P20" s="208">
        <v>894806.68</v>
      </c>
      <c r="Q20" s="208">
        <v>124738.0</v>
      </c>
      <c r="R20" s="208">
        <v>47.0</v>
      </c>
      <c r="S20" s="208">
        <v>2.0</v>
      </c>
      <c r="T20" s="208">
        <v>49.0</v>
      </c>
      <c r="U20" s="208">
        <v>0.0</v>
      </c>
      <c r="V20" s="208">
        <v>58.0</v>
      </c>
      <c r="W20" s="208">
        <v>58.0</v>
      </c>
      <c r="X20" s="208">
        <v>556.0</v>
      </c>
      <c r="Y20" s="208">
        <v>6.0</v>
      </c>
      <c r="Z20" s="208">
        <v>29.0</v>
      </c>
      <c r="AA20" s="208">
        <v>0.0</v>
      </c>
      <c r="AB20" s="208">
        <v>0.0</v>
      </c>
      <c r="AC20" s="208">
        <v>0.0</v>
      </c>
      <c r="AD20" s="208">
        <v>0.0</v>
      </c>
      <c r="AE20" s="208">
        <v>68.0</v>
      </c>
      <c r="AF20" s="208">
        <v>155.0</v>
      </c>
      <c r="AG20" s="208">
        <v>27.0</v>
      </c>
      <c r="AH20" s="581">
        <f t="shared" si="1"/>
        <v>37760.91407</v>
      </c>
      <c r="AI20" s="581">
        <f t="shared" si="2"/>
        <v>5.740740741</v>
      </c>
      <c r="AJ20" s="124">
        <v>0.0</v>
      </c>
      <c r="AK20" s="208">
        <v>0.0</v>
      </c>
      <c r="AL20" s="582">
        <f t="shared" si="3"/>
        <v>0</v>
      </c>
      <c r="AM20" s="208">
        <v>20807.0</v>
      </c>
      <c r="AN20" s="582">
        <f t="shared" si="4"/>
        <v>0.815635744</v>
      </c>
      <c r="AO20" s="583">
        <v>0.0</v>
      </c>
      <c r="AP20" s="208">
        <v>67.0</v>
      </c>
      <c r="AQ20" s="208">
        <v>245.0</v>
      </c>
      <c r="AR20" s="208">
        <v>2280.75</v>
      </c>
      <c r="AS20" s="208">
        <v>2.0</v>
      </c>
      <c r="AT20" s="208">
        <v>39.0</v>
      </c>
      <c r="AV20" s="124" t="str">
        <f t="shared" si="5"/>
        <v>Active</v>
      </c>
    </row>
    <row r="21">
      <c r="A21" s="124" t="s">
        <v>185</v>
      </c>
      <c r="B21" s="208" t="s">
        <v>189</v>
      </c>
      <c r="C21" s="208" t="s">
        <v>206</v>
      </c>
      <c r="D21" s="208" t="s">
        <v>1016</v>
      </c>
      <c r="E21" s="208" t="s">
        <v>192</v>
      </c>
      <c r="F21" s="580">
        <v>43255.0</v>
      </c>
      <c r="G21" s="208">
        <v>0.0</v>
      </c>
      <c r="H21" s="208">
        <v>5333333.0</v>
      </c>
      <c r="I21" s="208">
        <v>3028496.74</v>
      </c>
      <c r="J21" s="208">
        <v>0.0</v>
      </c>
      <c r="K21" s="208">
        <v>142.0</v>
      </c>
      <c r="L21" s="208">
        <v>97.0</v>
      </c>
      <c r="M21" s="208">
        <v>2.0</v>
      </c>
      <c r="N21" s="208">
        <v>144.0</v>
      </c>
      <c r="O21" s="208">
        <v>47.0</v>
      </c>
      <c r="P21" s="208">
        <v>2632722.4</v>
      </c>
      <c r="Q21" s="208">
        <v>395774.34</v>
      </c>
      <c r="R21" s="208">
        <v>18.0</v>
      </c>
      <c r="S21" s="208">
        <v>2.0</v>
      </c>
      <c r="T21" s="208">
        <v>20.0</v>
      </c>
      <c r="U21" s="208">
        <v>0.0</v>
      </c>
      <c r="V21" s="208">
        <v>7.0</v>
      </c>
      <c r="W21" s="208">
        <v>8.0</v>
      </c>
      <c r="X21" s="208">
        <v>41.0</v>
      </c>
      <c r="Y21" s="208">
        <v>1.0</v>
      </c>
      <c r="Z21" s="208">
        <v>3.0</v>
      </c>
      <c r="AA21" s="208">
        <v>0.0</v>
      </c>
      <c r="AB21" s="208">
        <v>0.0</v>
      </c>
      <c r="AC21" s="208">
        <v>0.0</v>
      </c>
      <c r="AD21" s="208">
        <v>0.0</v>
      </c>
      <c r="AE21" s="208">
        <v>140.0</v>
      </c>
      <c r="AF21" s="208">
        <v>151.0</v>
      </c>
      <c r="AG21" s="208">
        <v>27.0</v>
      </c>
      <c r="AH21" s="581">
        <f t="shared" si="1"/>
        <v>112166.5459</v>
      </c>
      <c r="AI21" s="581">
        <f t="shared" si="2"/>
        <v>5.592592593</v>
      </c>
      <c r="AJ21" s="124">
        <v>0.0</v>
      </c>
      <c r="AK21" s="208">
        <v>0.0</v>
      </c>
      <c r="AL21" s="582">
        <f t="shared" si="3"/>
        <v>0</v>
      </c>
      <c r="AM21" s="208">
        <v>151425.0</v>
      </c>
      <c r="AN21" s="582">
        <f t="shared" si="4"/>
        <v>0.5678431742</v>
      </c>
      <c r="AO21" s="583">
        <v>0.0</v>
      </c>
      <c r="AP21" s="208">
        <v>32.0</v>
      </c>
      <c r="AQ21" s="208">
        <v>287.0</v>
      </c>
      <c r="AR21" s="208">
        <v>1343.79</v>
      </c>
      <c r="AS21" s="208">
        <v>2.0</v>
      </c>
      <c r="AT21" s="208">
        <v>14.0</v>
      </c>
      <c r="AV21" s="124" t="str">
        <f t="shared" si="5"/>
        <v>Active</v>
      </c>
    </row>
    <row r="22">
      <c r="A22" s="124" t="s">
        <v>126</v>
      </c>
      <c r="B22" s="208" t="s">
        <v>130</v>
      </c>
      <c r="C22" s="208" t="s">
        <v>128</v>
      </c>
      <c r="D22" s="208" t="s">
        <v>1022</v>
      </c>
      <c r="E22" s="208" t="s">
        <v>129</v>
      </c>
      <c r="F22" s="580">
        <v>41004.0</v>
      </c>
      <c r="G22" s="208">
        <v>300000.0</v>
      </c>
      <c r="H22" s="208">
        <v>3866667.0</v>
      </c>
      <c r="I22" s="208">
        <v>2451920.87</v>
      </c>
      <c r="J22" s="208">
        <v>132056.27</v>
      </c>
      <c r="K22" s="208">
        <v>56.0</v>
      </c>
      <c r="L22" s="208">
        <v>42.0</v>
      </c>
      <c r="M22" s="208">
        <v>3.0</v>
      </c>
      <c r="N22" s="208">
        <v>59.0</v>
      </c>
      <c r="O22" s="208">
        <v>17.0</v>
      </c>
      <c r="P22" s="208">
        <v>2254534.83</v>
      </c>
      <c r="Q22" s="208">
        <v>197386.04</v>
      </c>
      <c r="R22" s="208">
        <v>20.0</v>
      </c>
      <c r="S22" s="208">
        <v>3.0</v>
      </c>
      <c r="T22" s="208">
        <v>23.0</v>
      </c>
      <c r="U22" s="208">
        <v>1.0</v>
      </c>
      <c r="V22" s="208">
        <v>2.0</v>
      </c>
      <c r="W22" s="208">
        <v>2.0</v>
      </c>
      <c r="X22" s="208">
        <v>24.0</v>
      </c>
      <c r="Y22" s="208">
        <v>11.0</v>
      </c>
      <c r="Z22" s="208">
        <v>42.0</v>
      </c>
      <c r="AA22" s="208">
        <v>4.0</v>
      </c>
      <c r="AB22" s="208">
        <v>6.0</v>
      </c>
      <c r="AC22" s="208">
        <v>1.0</v>
      </c>
      <c r="AD22" s="208">
        <v>1.0</v>
      </c>
      <c r="AE22" s="208">
        <v>59.0</v>
      </c>
      <c r="AF22" s="208">
        <v>110.0</v>
      </c>
      <c r="AG22" s="208">
        <v>23.0</v>
      </c>
      <c r="AH22" s="581">
        <f t="shared" si="1"/>
        <v>112346.8322</v>
      </c>
      <c r="AI22" s="581">
        <f t="shared" si="2"/>
        <v>4.782608696</v>
      </c>
      <c r="AJ22" s="124">
        <v>9.0</v>
      </c>
      <c r="AK22" s="208">
        <v>0.0</v>
      </c>
      <c r="AL22" s="582">
        <f t="shared" si="3"/>
        <v>0.000003483002949</v>
      </c>
      <c r="AM22" s="208">
        <v>106605.0</v>
      </c>
      <c r="AN22" s="582">
        <f t="shared" si="4"/>
        <v>0.620154464</v>
      </c>
      <c r="AO22" s="583">
        <v>0.0</v>
      </c>
      <c r="AP22" s="208">
        <v>37.0</v>
      </c>
      <c r="AQ22" s="208">
        <v>191.0</v>
      </c>
      <c r="AR22" s="208">
        <v>1634.26</v>
      </c>
      <c r="AS22" s="208">
        <v>3.0</v>
      </c>
      <c r="AT22" s="208">
        <v>39.0</v>
      </c>
      <c r="AV22" s="124" t="str">
        <f t="shared" si="5"/>
        <v>Active</v>
      </c>
    </row>
    <row r="23">
      <c r="A23" s="124" t="s">
        <v>126</v>
      </c>
      <c r="B23" s="208" t="s">
        <v>130</v>
      </c>
      <c r="C23" s="208" t="s">
        <v>164</v>
      </c>
      <c r="D23" s="208" t="s">
        <v>130</v>
      </c>
      <c r="E23" s="208" t="s">
        <v>153</v>
      </c>
      <c r="F23" s="580">
        <v>45323.0</v>
      </c>
      <c r="G23" s="208">
        <v>400000.0</v>
      </c>
      <c r="H23" s="208">
        <v>2100000.0</v>
      </c>
      <c r="I23" s="208">
        <v>1734361.13</v>
      </c>
      <c r="J23" s="208">
        <v>0.0</v>
      </c>
      <c r="K23" s="208">
        <v>119.0</v>
      </c>
      <c r="L23" s="208">
        <v>68.0</v>
      </c>
      <c r="M23" s="208">
        <v>2.0</v>
      </c>
      <c r="N23" s="208">
        <v>121.0</v>
      </c>
      <c r="O23" s="208">
        <v>53.0</v>
      </c>
      <c r="P23" s="208">
        <v>1685643.65</v>
      </c>
      <c r="Q23" s="208">
        <v>48717.48</v>
      </c>
      <c r="R23" s="208">
        <v>27.0</v>
      </c>
      <c r="S23" s="208">
        <v>2.0</v>
      </c>
      <c r="T23" s="208">
        <v>29.0</v>
      </c>
      <c r="U23" s="208">
        <v>0.0</v>
      </c>
      <c r="V23" s="208">
        <v>9.0</v>
      </c>
      <c r="W23" s="208">
        <v>9.0</v>
      </c>
      <c r="X23" s="208">
        <v>128.0</v>
      </c>
      <c r="Y23" s="208">
        <v>5.0</v>
      </c>
      <c r="Z23" s="208">
        <v>26.0</v>
      </c>
      <c r="AA23" s="208">
        <v>2.0</v>
      </c>
      <c r="AB23" s="208">
        <v>2.0</v>
      </c>
      <c r="AC23" s="208">
        <v>0.0</v>
      </c>
      <c r="AD23" s="208">
        <v>0.0</v>
      </c>
      <c r="AE23" s="208">
        <v>121.0</v>
      </c>
      <c r="AF23" s="208">
        <v>158.0</v>
      </c>
      <c r="AG23" s="208">
        <v>27.0</v>
      </c>
      <c r="AH23" s="581">
        <f t="shared" si="1"/>
        <v>64235.59741</v>
      </c>
      <c r="AI23" s="581">
        <f t="shared" si="2"/>
        <v>5.851851852</v>
      </c>
      <c r="AJ23" s="124">
        <v>7.0</v>
      </c>
      <c r="AK23" s="208">
        <v>0.0</v>
      </c>
      <c r="AL23" s="582">
        <f t="shared" si="3"/>
        <v>0.000004036068313</v>
      </c>
      <c r="AM23" s="208">
        <v>59806.0</v>
      </c>
      <c r="AN23" s="582">
        <f t="shared" si="4"/>
        <v>0.693744452</v>
      </c>
      <c r="AO23" s="583">
        <v>0.0</v>
      </c>
      <c r="AP23" s="208">
        <v>31.0</v>
      </c>
      <c r="AQ23" s="208">
        <v>233.0</v>
      </c>
      <c r="AR23" s="208">
        <v>1629.49</v>
      </c>
      <c r="AS23" s="208">
        <v>2.0</v>
      </c>
      <c r="AT23" s="208">
        <v>24.0</v>
      </c>
      <c r="AV23" s="124" t="str">
        <f t="shared" si="5"/>
        <v>Active</v>
      </c>
    </row>
    <row r="24">
      <c r="A24" s="124" t="s">
        <v>126</v>
      </c>
      <c r="B24" s="208" t="s">
        <v>130</v>
      </c>
      <c r="C24" s="208" t="s">
        <v>131</v>
      </c>
      <c r="D24" s="208" t="s">
        <v>130</v>
      </c>
      <c r="E24" s="208" t="s">
        <v>1038</v>
      </c>
      <c r="F24" s="580">
        <v>42530.0</v>
      </c>
      <c r="G24" s="208">
        <v>500000.0</v>
      </c>
      <c r="H24" s="208">
        <v>2625000.0</v>
      </c>
      <c r="I24" s="208">
        <v>2721396.23</v>
      </c>
      <c r="J24" s="208">
        <v>0.0</v>
      </c>
      <c r="K24" s="208">
        <v>77.0</v>
      </c>
      <c r="L24" s="208">
        <v>34.0</v>
      </c>
      <c r="M24" s="208">
        <v>3.0</v>
      </c>
      <c r="N24" s="208">
        <v>80.0</v>
      </c>
      <c r="O24" s="208">
        <v>46.0</v>
      </c>
      <c r="P24" s="208">
        <v>2721396.23</v>
      </c>
      <c r="Q24" s="208">
        <v>0.0</v>
      </c>
      <c r="R24" s="208">
        <v>23.0</v>
      </c>
      <c r="S24" s="208">
        <v>0.0</v>
      </c>
      <c r="T24" s="208">
        <v>23.0</v>
      </c>
      <c r="U24" s="208">
        <v>0.0</v>
      </c>
      <c r="V24" s="208">
        <v>15.0</v>
      </c>
      <c r="W24" s="208">
        <v>15.0</v>
      </c>
      <c r="X24" s="208">
        <v>158.0</v>
      </c>
      <c r="Y24" s="208">
        <v>4.0</v>
      </c>
      <c r="Z24" s="208">
        <v>19.0</v>
      </c>
      <c r="AA24" s="208">
        <v>0.0</v>
      </c>
      <c r="AB24" s="208">
        <v>0.0</v>
      </c>
      <c r="AC24" s="208">
        <v>0.0</v>
      </c>
      <c r="AD24" s="208">
        <v>0.0</v>
      </c>
      <c r="AE24" s="208">
        <v>43.0</v>
      </c>
      <c r="AF24" s="208">
        <v>77.0</v>
      </c>
      <c r="AG24" s="208">
        <v>26.0</v>
      </c>
      <c r="AH24" s="581">
        <f t="shared" si="1"/>
        <v>104669.0858</v>
      </c>
      <c r="AI24" s="581">
        <f t="shared" si="2"/>
        <v>2.961538462</v>
      </c>
      <c r="AJ24" s="124">
        <v>0.0</v>
      </c>
      <c r="AK24" s="208">
        <v>0.0</v>
      </c>
      <c r="AL24" s="582">
        <f t="shared" si="3"/>
        <v>0</v>
      </c>
      <c r="AM24" s="208">
        <v>118322.0</v>
      </c>
      <c r="AN24" s="582">
        <f t="shared" si="4"/>
        <v>0.8708467936</v>
      </c>
      <c r="AO24" s="583">
        <v>0.0</v>
      </c>
      <c r="AP24" s="208">
        <v>24.0</v>
      </c>
      <c r="AQ24" s="208">
        <v>199.0</v>
      </c>
      <c r="AR24" s="208">
        <v>1332.5</v>
      </c>
      <c r="AS24" s="208">
        <v>0.0</v>
      </c>
      <c r="AT24" s="208">
        <v>39.0</v>
      </c>
      <c r="AV24" s="124" t="str">
        <f t="shared" si="5"/>
        <v>Active</v>
      </c>
    </row>
    <row r="25">
      <c r="A25" s="124" t="s">
        <v>126</v>
      </c>
      <c r="B25" s="208" t="s">
        <v>135</v>
      </c>
      <c r="C25" s="208" t="s">
        <v>133</v>
      </c>
      <c r="D25" s="208" t="s">
        <v>1042</v>
      </c>
      <c r="E25" s="208" t="s">
        <v>180</v>
      </c>
      <c r="F25" s="580">
        <v>42720.0</v>
      </c>
      <c r="G25" s="208">
        <v>419000.0</v>
      </c>
      <c r="H25" s="208">
        <v>2706000.0</v>
      </c>
      <c r="I25" s="208">
        <v>1939521.42</v>
      </c>
      <c r="J25" s="208">
        <v>153623.28</v>
      </c>
      <c r="K25" s="208">
        <v>65.0</v>
      </c>
      <c r="L25" s="208">
        <v>42.0</v>
      </c>
      <c r="M25" s="208">
        <v>4.0</v>
      </c>
      <c r="N25" s="208">
        <v>69.0</v>
      </c>
      <c r="O25" s="208">
        <v>27.0</v>
      </c>
      <c r="P25" s="208">
        <v>1569069.7</v>
      </c>
      <c r="Q25" s="208">
        <v>370451.72</v>
      </c>
      <c r="R25" s="208">
        <v>17.0</v>
      </c>
      <c r="S25" s="208">
        <v>4.0</v>
      </c>
      <c r="T25" s="208">
        <v>21.0</v>
      </c>
      <c r="U25" s="208">
        <v>2.0</v>
      </c>
      <c r="V25" s="208">
        <v>20.0</v>
      </c>
      <c r="W25" s="208">
        <v>23.0</v>
      </c>
      <c r="X25" s="208">
        <v>172.0</v>
      </c>
      <c r="Y25" s="208">
        <v>3.0</v>
      </c>
      <c r="Z25" s="208">
        <v>9.0</v>
      </c>
      <c r="AA25" s="208">
        <v>3.0</v>
      </c>
      <c r="AB25" s="208">
        <v>4.0</v>
      </c>
      <c r="AC25" s="208">
        <v>1.0</v>
      </c>
      <c r="AD25" s="208">
        <v>4.0</v>
      </c>
      <c r="AE25" s="208">
        <v>73.0</v>
      </c>
      <c r="AF25" s="208">
        <v>113.0</v>
      </c>
      <c r="AG25" s="208">
        <v>27.0</v>
      </c>
      <c r="AH25" s="581">
        <f t="shared" si="1"/>
        <v>77523.87778</v>
      </c>
      <c r="AI25" s="581">
        <f t="shared" si="2"/>
        <v>4.185185185</v>
      </c>
      <c r="AJ25" s="124">
        <v>4.0</v>
      </c>
      <c r="AK25" s="208">
        <v>0.0</v>
      </c>
      <c r="AL25" s="582">
        <f t="shared" si="3"/>
        <v>0.000001911000229</v>
      </c>
      <c r="AM25" s="208">
        <v>92358.0</v>
      </c>
      <c r="AN25" s="582">
        <f t="shared" si="4"/>
        <v>0.669806304</v>
      </c>
      <c r="AO25" s="583">
        <v>0.0</v>
      </c>
      <c r="AP25" s="208">
        <v>34.0</v>
      </c>
      <c r="AQ25" s="208">
        <v>184.0</v>
      </c>
      <c r="AR25" s="208">
        <v>1493.17</v>
      </c>
      <c r="AS25" s="208">
        <v>4.0</v>
      </c>
      <c r="AT25" s="208">
        <v>36.0</v>
      </c>
      <c r="AV25" s="124" t="str">
        <f t="shared" si="5"/>
        <v>Active</v>
      </c>
    </row>
    <row r="26">
      <c r="A26" s="124" t="s">
        <v>126</v>
      </c>
      <c r="B26" s="208" t="s">
        <v>135</v>
      </c>
      <c r="C26" s="208" t="s">
        <v>136</v>
      </c>
      <c r="D26" s="208" t="s">
        <v>1042</v>
      </c>
      <c r="E26" s="208" t="s">
        <v>137</v>
      </c>
      <c r="F26" s="580">
        <v>43315.0</v>
      </c>
      <c r="G26" s="208">
        <v>300000.0</v>
      </c>
      <c r="H26" s="208">
        <v>3866667.0</v>
      </c>
      <c r="I26" s="208">
        <v>2638935.99</v>
      </c>
      <c r="J26" s="208">
        <v>0.0</v>
      </c>
      <c r="K26" s="208">
        <v>97.0</v>
      </c>
      <c r="L26" s="208">
        <v>59.0</v>
      </c>
      <c r="M26" s="208">
        <v>2.0</v>
      </c>
      <c r="N26" s="208">
        <v>99.0</v>
      </c>
      <c r="O26" s="208">
        <v>40.0</v>
      </c>
      <c r="P26" s="208">
        <v>2550023.55</v>
      </c>
      <c r="Q26" s="208">
        <v>88912.44</v>
      </c>
      <c r="R26" s="208">
        <v>52.0</v>
      </c>
      <c r="S26" s="208">
        <v>2.0</v>
      </c>
      <c r="T26" s="208">
        <v>54.0</v>
      </c>
      <c r="U26" s="208">
        <v>0.0</v>
      </c>
      <c r="V26" s="208">
        <v>0.0</v>
      </c>
      <c r="W26" s="208">
        <v>0.0</v>
      </c>
      <c r="X26" s="208">
        <v>14.0</v>
      </c>
      <c r="Y26" s="208">
        <v>3.0</v>
      </c>
      <c r="Z26" s="208">
        <v>6.0</v>
      </c>
      <c r="AA26" s="208">
        <v>0.0</v>
      </c>
      <c r="AB26" s="208">
        <v>0.0</v>
      </c>
      <c r="AC26" s="208">
        <v>0.0</v>
      </c>
      <c r="AD26" s="208">
        <v>0.0</v>
      </c>
      <c r="AE26" s="208">
        <v>107.0</v>
      </c>
      <c r="AF26" s="208">
        <v>113.0</v>
      </c>
      <c r="AG26" s="208">
        <v>26.0</v>
      </c>
      <c r="AH26" s="581">
        <f t="shared" si="1"/>
        <v>101497.5381</v>
      </c>
      <c r="AI26" s="581">
        <f t="shared" si="2"/>
        <v>4.346153846</v>
      </c>
      <c r="AJ26" s="124">
        <v>2.0</v>
      </c>
      <c r="AK26" s="208">
        <v>0.0</v>
      </c>
      <c r="AL26" s="582">
        <f t="shared" si="3"/>
        <v>0.0000007578812095</v>
      </c>
      <c r="AM26" s="208">
        <v>48869.0</v>
      </c>
      <c r="AN26" s="582">
        <f t="shared" si="4"/>
        <v>0.6333445869</v>
      </c>
      <c r="AO26" s="583">
        <v>0.0</v>
      </c>
      <c r="AP26" s="208">
        <v>101.0</v>
      </c>
      <c r="AQ26" s="208">
        <v>234.0</v>
      </c>
      <c r="AR26" s="208">
        <v>1403.46</v>
      </c>
      <c r="AS26" s="208">
        <v>2.0</v>
      </c>
      <c r="AT26" s="208">
        <v>24.0</v>
      </c>
      <c r="AV26" s="124" t="str">
        <f t="shared" si="5"/>
        <v>Active</v>
      </c>
    </row>
    <row r="27">
      <c r="A27" s="124" t="s">
        <v>185</v>
      </c>
      <c r="B27" s="208" t="s">
        <v>85</v>
      </c>
      <c r="C27" s="208" t="s">
        <v>86</v>
      </c>
      <c r="D27" s="208" t="s">
        <v>1055</v>
      </c>
      <c r="E27" s="208" t="s">
        <v>87</v>
      </c>
      <c r="F27" s="580">
        <v>43557.0</v>
      </c>
      <c r="G27" s="208">
        <v>0.0</v>
      </c>
      <c r="H27" s="208">
        <v>1666667.0</v>
      </c>
      <c r="I27" s="208">
        <v>1297270.42</v>
      </c>
      <c r="J27" s="208">
        <v>0.0</v>
      </c>
      <c r="K27" s="208">
        <v>126.0</v>
      </c>
      <c r="L27" s="208">
        <v>94.0</v>
      </c>
      <c r="M27" s="208">
        <v>4.0</v>
      </c>
      <c r="N27" s="208">
        <v>130.0</v>
      </c>
      <c r="O27" s="208">
        <v>36.0</v>
      </c>
      <c r="P27" s="208">
        <v>1244657.42</v>
      </c>
      <c r="Q27" s="208">
        <v>52613.0</v>
      </c>
      <c r="R27" s="208">
        <v>43.0</v>
      </c>
      <c r="S27" s="208">
        <v>3.0</v>
      </c>
      <c r="T27" s="208">
        <v>46.0</v>
      </c>
      <c r="U27" s="208">
        <v>0.0</v>
      </c>
      <c r="V27" s="208">
        <v>11.0</v>
      </c>
      <c r="W27" s="208">
        <v>20.0</v>
      </c>
      <c r="X27" s="208">
        <v>21.0</v>
      </c>
      <c r="Y27" s="208">
        <v>5.0</v>
      </c>
      <c r="Z27" s="208">
        <v>10.0</v>
      </c>
      <c r="AA27" s="208">
        <v>0.0</v>
      </c>
      <c r="AB27" s="208">
        <v>0.0</v>
      </c>
      <c r="AC27" s="208">
        <v>0.0</v>
      </c>
      <c r="AD27" s="208">
        <v>0.0</v>
      </c>
      <c r="AE27" s="208">
        <v>185.0</v>
      </c>
      <c r="AF27" s="208">
        <v>215.0</v>
      </c>
      <c r="AG27" s="208">
        <v>27.0</v>
      </c>
      <c r="AH27" s="581">
        <f t="shared" si="1"/>
        <v>48047.05259</v>
      </c>
      <c r="AI27" s="581">
        <f t="shared" si="2"/>
        <v>7.962962963</v>
      </c>
      <c r="AJ27" s="124">
        <v>0.0</v>
      </c>
      <c r="AK27" s="208">
        <v>0.0</v>
      </c>
      <c r="AL27" s="582">
        <f t="shared" si="3"/>
        <v>0</v>
      </c>
      <c r="AM27" s="208">
        <v>28202.0</v>
      </c>
      <c r="AN27" s="582">
        <f t="shared" si="4"/>
        <v>0.7783620963</v>
      </c>
      <c r="AO27" s="583">
        <v>0.0</v>
      </c>
      <c r="AP27" s="208">
        <v>68.0</v>
      </c>
      <c r="AQ27" s="208">
        <v>269.0</v>
      </c>
      <c r="AR27" s="208">
        <v>2378.19</v>
      </c>
      <c r="AS27" s="208">
        <v>3.0</v>
      </c>
      <c r="AT27" s="208">
        <v>25.0</v>
      </c>
      <c r="AV27" s="124" t="str">
        <f t="shared" si="5"/>
        <v>Active</v>
      </c>
    </row>
    <row r="28">
      <c r="A28" s="124" t="s">
        <v>185</v>
      </c>
      <c r="B28" s="208" t="s">
        <v>196</v>
      </c>
      <c r="C28" s="208" t="s">
        <v>207</v>
      </c>
      <c r="D28" s="208" t="s">
        <v>1027</v>
      </c>
      <c r="E28" s="208" t="s">
        <v>200</v>
      </c>
      <c r="F28" s="580">
        <v>43556.0</v>
      </c>
      <c r="G28" s="208">
        <v>0.0</v>
      </c>
      <c r="H28" s="208">
        <v>2000000.0</v>
      </c>
      <c r="I28" s="208">
        <v>1047728.08</v>
      </c>
      <c r="J28" s="208">
        <v>0.0</v>
      </c>
      <c r="K28" s="208">
        <v>73.0</v>
      </c>
      <c r="L28" s="208">
        <v>54.0</v>
      </c>
      <c r="M28" s="208">
        <v>0.0</v>
      </c>
      <c r="N28" s="208">
        <v>73.0</v>
      </c>
      <c r="O28" s="208">
        <v>19.0</v>
      </c>
      <c r="P28" s="208">
        <v>1047728.08</v>
      </c>
      <c r="Q28" s="208">
        <v>0.0</v>
      </c>
      <c r="R28" s="208">
        <v>19.0</v>
      </c>
      <c r="S28" s="208">
        <v>0.0</v>
      </c>
      <c r="T28" s="208">
        <v>19.0</v>
      </c>
      <c r="U28" s="208">
        <v>0.0</v>
      </c>
      <c r="V28" s="208">
        <v>0.0</v>
      </c>
      <c r="W28" s="208">
        <v>0.0</v>
      </c>
      <c r="X28" s="208">
        <v>0.0</v>
      </c>
      <c r="Y28" s="208">
        <v>2.0</v>
      </c>
      <c r="Z28" s="208">
        <v>22.0</v>
      </c>
      <c r="AA28" s="208">
        <v>0.0</v>
      </c>
      <c r="AB28" s="208">
        <v>0.0</v>
      </c>
      <c r="AC28" s="208">
        <v>0.0</v>
      </c>
      <c r="AD28" s="208">
        <v>0.0</v>
      </c>
      <c r="AE28" s="208">
        <v>91.0</v>
      </c>
      <c r="AF28" s="208">
        <v>113.0</v>
      </c>
      <c r="AG28" s="208">
        <v>27.0</v>
      </c>
      <c r="AH28" s="581">
        <f t="shared" si="1"/>
        <v>38804.7437</v>
      </c>
      <c r="AI28" s="581">
        <f t="shared" si="2"/>
        <v>4.185185185</v>
      </c>
      <c r="AJ28" s="124">
        <v>0.0</v>
      </c>
      <c r="AK28" s="208">
        <v>0.0</v>
      </c>
      <c r="AL28" s="582">
        <f t="shared" si="3"/>
        <v>0</v>
      </c>
      <c r="AM28" s="208">
        <v>55144.0</v>
      </c>
      <c r="AN28" s="582">
        <f t="shared" si="4"/>
        <v>0.52386404</v>
      </c>
      <c r="AO28" s="583">
        <v>0.0</v>
      </c>
      <c r="AP28" s="208">
        <v>21.0</v>
      </c>
      <c r="AQ28" s="208">
        <v>228.0</v>
      </c>
      <c r="AR28" s="208">
        <v>720.62</v>
      </c>
      <c r="AS28" s="208">
        <v>0.0</v>
      </c>
      <c r="AT28" s="208">
        <v>13.0</v>
      </c>
      <c r="AV28" s="124" t="str">
        <f t="shared" si="5"/>
        <v>Active</v>
      </c>
    </row>
    <row r="29">
      <c r="A29" s="124" t="s">
        <v>185</v>
      </c>
      <c r="B29" s="208" t="s">
        <v>212</v>
      </c>
      <c r="C29" s="208" t="s">
        <v>210</v>
      </c>
      <c r="D29" s="208" t="s">
        <v>1031</v>
      </c>
      <c r="E29" s="208" t="s">
        <v>211</v>
      </c>
      <c r="F29" s="580">
        <v>43647.0</v>
      </c>
      <c r="G29" s="208">
        <v>0.0</v>
      </c>
      <c r="H29" s="208">
        <v>6250000.0</v>
      </c>
      <c r="I29" s="208">
        <v>5681439.51</v>
      </c>
      <c r="J29" s="208">
        <v>0.0</v>
      </c>
      <c r="K29" s="208">
        <v>97.0</v>
      </c>
      <c r="L29" s="208">
        <v>76.0</v>
      </c>
      <c r="M29" s="208">
        <v>1.0</v>
      </c>
      <c r="N29" s="208">
        <v>98.0</v>
      </c>
      <c r="O29" s="208">
        <v>22.0</v>
      </c>
      <c r="P29" s="208">
        <v>5628207.75</v>
      </c>
      <c r="Q29" s="208">
        <v>53231.76</v>
      </c>
      <c r="R29" s="208">
        <v>38.0</v>
      </c>
      <c r="S29" s="208">
        <v>1.0</v>
      </c>
      <c r="T29" s="208">
        <v>39.0</v>
      </c>
      <c r="U29" s="208">
        <v>0.0</v>
      </c>
      <c r="V29" s="208">
        <v>6.0</v>
      </c>
      <c r="W29" s="208">
        <v>6.0</v>
      </c>
      <c r="X29" s="208">
        <v>30.0</v>
      </c>
      <c r="Y29" s="208">
        <v>1.0</v>
      </c>
      <c r="Z29" s="208">
        <v>7.0</v>
      </c>
      <c r="AA29" s="208">
        <v>0.0</v>
      </c>
      <c r="AB29" s="208">
        <v>0.0</v>
      </c>
      <c r="AC29" s="208">
        <v>0.0</v>
      </c>
      <c r="AD29" s="208">
        <v>0.0</v>
      </c>
      <c r="AE29" s="208">
        <v>133.0</v>
      </c>
      <c r="AF29" s="208">
        <v>146.0</v>
      </c>
      <c r="AG29" s="208">
        <v>28.0</v>
      </c>
      <c r="AH29" s="581">
        <f t="shared" si="1"/>
        <v>202908.5539</v>
      </c>
      <c r="AI29" s="581">
        <f t="shared" si="2"/>
        <v>5.214285714</v>
      </c>
      <c r="AJ29" s="124">
        <v>0.0</v>
      </c>
      <c r="AK29" s="208">
        <v>0.0</v>
      </c>
      <c r="AL29" s="582">
        <f t="shared" si="3"/>
        <v>0</v>
      </c>
      <c r="AM29" s="208">
        <v>145678.0</v>
      </c>
      <c r="AN29" s="582">
        <f t="shared" si="4"/>
        <v>0.9090303216</v>
      </c>
      <c r="AO29" s="583">
        <v>0.0</v>
      </c>
      <c r="AP29" s="208">
        <v>66.0</v>
      </c>
      <c r="AQ29" s="208">
        <v>294.0</v>
      </c>
      <c r="AR29" s="208">
        <v>2153.6</v>
      </c>
      <c r="AS29" s="208">
        <v>1.0</v>
      </c>
      <c r="AT29" s="208">
        <v>28.0</v>
      </c>
      <c r="AV29" s="124" t="str">
        <f t="shared" si="5"/>
        <v>Active</v>
      </c>
    </row>
    <row r="30">
      <c r="A30" s="124" t="s">
        <v>185</v>
      </c>
      <c r="B30" s="208" t="s">
        <v>222</v>
      </c>
      <c r="C30" s="208" t="s">
        <v>223</v>
      </c>
      <c r="D30" s="208" t="s">
        <v>1057</v>
      </c>
      <c r="E30" s="208" t="s">
        <v>224</v>
      </c>
      <c r="F30" s="580">
        <v>43710.0</v>
      </c>
      <c r="G30" s="208">
        <v>0.0</v>
      </c>
      <c r="H30" s="208">
        <v>1500000.0</v>
      </c>
      <c r="I30" s="208">
        <v>1179292.87</v>
      </c>
      <c r="J30" s="208">
        <v>0.0</v>
      </c>
      <c r="K30" s="208">
        <v>78.0</v>
      </c>
      <c r="L30" s="208">
        <v>50.0</v>
      </c>
      <c r="M30" s="208">
        <v>1.0</v>
      </c>
      <c r="N30" s="208">
        <v>79.0</v>
      </c>
      <c r="O30" s="208">
        <v>29.0</v>
      </c>
      <c r="P30" s="208">
        <v>1048999.59</v>
      </c>
      <c r="Q30" s="208">
        <v>130293.28</v>
      </c>
      <c r="R30" s="208">
        <v>18.0</v>
      </c>
      <c r="S30" s="208">
        <v>1.0</v>
      </c>
      <c r="T30" s="208">
        <v>19.0</v>
      </c>
      <c r="U30" s="208">
        <v>0.0</v>
      </c>
      <c r="V30" s="208">
        <v>2.0</v>
      </c>
      <c r="W30" s="208">
        <v>2.0</v>
      </c>
      <c r="X30" s="208">
        <v>74.0</v>
      </c>
      <c r="Y30" s="208">
        <v>0.0</v>
      </c>
      <c r="Z30" s="208">
        <v>0.0</v>
      </c>
      <c r="AA30" s="208">
        <v>0.0</v>
      </c>
      <c r="AB30" s="208">
        <v>0.0</v>
      </c>
      <c r="AC30" s="208">
        <v>0.0</v>
      </c>
      <c r="AD30" s="208">
        <v>0.0</v>
      </c>
      <c r="AE30" s="208">
        <v>113.0</v>
      </c>
      <c r="AF30" s="208">
        <v>115.0</v>
      </c>
      <c r="AG30" s="208">
        <v>25.0</v>
      </c>
      <c r="AH30" s="581">
        <f t="shared" si="1"/>
        <v>47171.7148</v>
      </c>
      <c r="AI30" s="581">
        <f t="shared" si="2"/>
        <v>4.6</v>
      </c>
      <c r="AJ30" s="124">
        <v>0.0</v>
      </c>
      <c r="AK30" s="208">
        <v>0.0</v>
      </c>
      <c r="AL30" s="582">
        <f t="shared" si="3"/>
        <v>0</v>
      </c>
      <c r="AM30" s="208">
        <v>62068.0</v>
      </c>
      <c r="AN30" s="582">
        <f t="shared" si="4"/>
        <v>0.7861952467</v>
      </c>
      <c r="AO30" s="583">
        <v>0.0</v>
      </c>
      <c r="AP30" s="208">
        <v>20.0</v>
      </c>
      <c r="AQ30" s="208">
        <v>234.0</v>
      </c>
      <c r="AR30" s="208">
        <v>1305.61</v>
      </c>
      <c r="AS30" s="208">
        <v>1.0</v>
      </c>
      <c r="AT30" s="208">
        <v>26.0</v>
      </c>
      <c r="AV30" s="124" t="str">
        <f t="shared" si="5"/>
        <v>Active</v>
      </c>
    </row>
    <row r="31">
      <c r="A31" s="124" t="s">
        <v>185</v>
      </c>
      <c r="B31" s="208" t="s">
        <v>85</v>
      </c>
      <c r="C31" s="208" t="s">
        <v>88</v>
      </c>
      <c r="D31" s="208" t="s">
        <v>1058</v>
      </c>
      <c r="E31" s="208" t="s">
        <v>1059</v>
      </c>
      <c r="F31" s="580">
        <v>44046.0</v>
      </c>
      <c r="G31" s="208">
        <v>0.0</v>
      </c>
      <c r="H31" s="208">
        <v>1958333.0</v>
      </c>
      <c r="I31" s="208">
        <v>1374179.95</v>
      </c>
      <c r="J31" s="208">
        <v>0.0</v>
      </c>
      <c r="K31" s="208">
        <v>103.0</v>
      </c>
      <c r="L31" s="208">
        <v>98.0</v>
      </c>
      <c r="M31" s="208">
        <v>3.0</v>
      </c>
      <c r="N31" s="208">
        <v>106.0</v>
      </c>
      <c r="O31" s="208">
        <v>8.0</v>
      </c>
      <c r="P31" s="208">
        <v>1222708.85</v>
      </c>
      <c r="Q31" s="208">
        <v>151471.1</v>
      </c>
      <c r="R31" s="208">
        <v>40.0</v>
      </c>
      <c r="S31" s="208">
        <v>3.0</v>
      </c>
      <c r="T31" s="208">
        <v>43.0</v>
      </c>
      <c r="U31" s="208">
        <v>0.0</v>
      </c>
      <c r="V31" s="208">
        <v>0.0</v>
      </c>
      <c r="W31" s="208">
        <v>0.0</v>
      </c>
      <c r="X31" s="208">
        <v>2.0</v>
      </c>
      <c r="Y31" s="208">
        <v>1.0</v>
      </c>
      <c r="Z31" s="208">
        <v>2.0</v>
      </c>
      <c r="AA31" s="208">
        <v>0.0</v>
      </c>
      <c r="AB31" s="208">
        <v>0.0</v>
      </c>
      <c r="AC31" s="208">
        <v>0.0</v>
      </c>
      <c r="AD31" s="208">
        <v>0.0</v>
      </c>
      <c r="AE31" s="208">
        <v>172.0</v>
      </c>
      <c r="AF31" s="208">
        <v>174.0</v>
      </c>
      <c r="AG31" s="208">
        <v>26.0</v>
      </c>
      <c r="AH31" s="581">
        <f t="shared" si="1"/>
        <v>52853.075</v>
      </c>
      <c r="AI31" s="581">
        <f t="shared" si="2"/>
        <v>6.692307692</v>
      </c>
      <c r="AJ31" s="124">
        <v>0.0</v>
      </c>
      <c r="AK31" s="208">
        <v>0.0</v>
      </c>
      <c r="AL31" s="582">
        <f t="shared" si="3"/>
        <v>0</v>
      </c>
      <c r="AM31" s="208">
        <v>31958.0</v>
      </c>
      <c r="AN31" s="582">
        <f t="shared" si="4"/>
        <v>0.7017090301</v>
      </c>
      <c r="AO31" s="583">
        <v>0.0</v>
      </c>
      <c r="AP31" s="208">
        <v>55.0</v>
      </c>
      <c r="AQ31" s="208">
        <v>300.0</v>
      </c>
      <c r="AR31" s="208">
        <v>3010.39</v>
      </c>
      <c r="AS31" s="208">
        <v>3.0</v>
      </c>
      <c r="AT31" s="208">
        <v>31.0</v>
      </c>
      <c r="AV31" s="124" t="str">
        <f t="shared" si="5"/>
        <v>Active</v>
      </c>
    </row>
    <row r="32">
      <c r="A32" s="124" t="s">
        <v>185</v>
      </c>
      <c r="B32" s="208" t="s">
        <v>1228</v>
      </c>
      <c r="C32" s="208" t="s">
        <v>111</v>
      </c>
      <c r="D32" s="208" t="s">
        <v>1084</v>
      </c>
      <c r="E32" s="208" t="s">
        <v>125</v>
      </c>
      <c r="F32" s="580">
        <v>45264.0</v>
      </c>
      <c r="G32" s="208">
        <v>0.0</v>
      </c>
      <c r="H32" s="208">
        <v>0.0</v>
      </c>
      <c r="I32" s="208">
        <v>285557.48</v>
      </c>
      <c r="J32" s="208">
        <v>0.0</v>
      </c>
      <c r="K32" s="208">
        <v>283.0</v>
      </c>
      <c r="L32" s="208">
        <v>89.0</v>
      </c>
      <c r="M32" s="208">
        <v>7.0</v>
      </c>
      <c r="N32" s="208">
        <v>290.0</v>
      </c>
      <c r="O32" s="208">
        <v>201.0</v>
      </c>
      <c r="P32" s="208">
        <v>285557.48</v>
      </c>
      <c r="Q32" s="208">
        <v>0.0</v>
      </c>
      <c r="R32" s="208">
        <v>9.0</v>
      </c>
      <c r="S32" s="208">
        <v>0.0</v>
      </c>
      <c r="T32" s="208">
        <v>9.0</v>
      </c>
      <c r="U32" s="208">
        <v>0.0</v>
      </c>
      <c r="V32" s="208">
        <v>24.0</v>
      </c>
      <c r="W32" s="208">
        <v>25.0</v>
      </c>
      <c r="X32" s="208">
        <v>134.0</v>
      </c>
      <c r="Y32" s="208">
        <v>2.0</v>
      </c>
      <c r="Z32" s="208">
        <v>8.0</v>
      </c>
      <c r="AA32" s="208">
        <v>1.0</v>
      </c>
      <c r="AB32" s="208">
        <v>1.0</v>
      </c>
      <c r="AC32" s="208">
        <v>1.0</v>
      </c>
      <c r="AD32" s="208">
        <v>4.0</v>
      </c>
      <c r="AE32" s="208">
        <v>102.0</v>
      </c>
      <c r="AF32" s="208">
        <v>140.0</v>
      </c>
      <c r="AG32" s="208">
        <v>27.0</v>
      </c>
      <c r="AH32" s="581">
        <f t="shared" si="1"/>
        <v>10576.20296</v>
      </c>
      <c r="AI32" s="581">
        <f t="shared" si="2"/>
        <v>5.185185185</v>
      </c>
      <c r="AJ32" s="208">
        <v>2.0</v>
      </c>
      <c r="AK32" s="208">
        <v>0.0</v>
      </c>
      <c r="AL32" s="582">
        <f t="shared" si="3"/>
        <v>0.00000700384385</v>
      </c>
      <c r="AM32" s="208">
        <v>31729.0</v>
      </c>
      <c r="AN32" s="582" t="str">
        <f t="shared" si="4"/>
        <v/>
      </c>
      <c r="AO32" s="583">
        <v>0.0</v>
      </c>
      <c r="AP32" s="208">
        <v>14.0</v>
      </c>
      <c r="AQ32" s="208">
        <v>315.0</v>
      </c>
      <c r="AR32" s="208">
        <v>2104.87</v>
      </c>
      <c r="AS32" s="208">
        <v>0.0</v>
      </c>
      <c r="AT32" s="208">
        <v>24.0</v>
      </c>
      <c r="AV32" s="124" t="str">
        <f t="shared" si="5"/>
        <v>Active</v>
      </c>
    </row>
    <row r="33">
      <c r="A33" s="124" t="s">
        <v>185</v>
      </c>
      <c r="B33" s="208" t="s">
        <v>212</v>
      </c>
      <c r="C33" s="208" t="s">
        <v>225</v>
      </c>
      <c r="D33" s="208" t="s">
        <v>1031</v>
      </c>
      <c r="E33" s="208" t="s">
        <v>226</v>
      </c>
      <c r="F33" s="580">
        <v>44166.0</v>
      </c>
      <c r="G33" s="208">
        <v>0.0</v>
      </c>
      <c r="H33" s="208">
        <v>1500000.0</v>
      </c>
      <c r="I33" s="208">
        <v>1244638.09</v>
      </c>
      <c r="J33" s="208">
        <v>0.0</v>
      </c>
      <c r="K33" s="208">
        <v>42.0</v>
      </c>
      <c r="L33" s="208">
        <v>35.0</v>
      </c>
      <c r="M33" s="208">
        <v>1.0</v>
      </c>
      <c r="N33" s="208">
        <v>43.0</v>
      </c>
      <c r="O33" s="208">
        <v>8.0</v>
      </c>
      <c r="P33" s="208">
        <v>1147239.29</v>
      </c>
      <c r="Q33" s="208">
        <v>97398.8</v>
      </c>
      <c r="R33" s="208">
        <v>6.0</v>
      </c>
      <c r="S33" s="208">
        <v>1.0</v>
      </c>
      <c r="T33" s="208">
        <v>7.0</v>
      </c>
      <c r="U33" s="208">
        <v>0.0</v>
      </c>
      <c r="V33" s="208">
        <v>3.0</v>
      </c>
      <c r="W33" s="208">
        <v>3.0</v>
      </c>
      <c r="X33" s="208">
        <v>29.0</v>
      </c>
      <c r="Y33" s="208">
        <v>2.0</v>
      </c>
      <c r="Z33" s="208">
        <v>12.0</v>
      </c>
      <c r="AA33" s="208">
        <v>0.0</v>
      </c>
      <c r="AB33" s="208">
        <v>0.0</v>
      </c>
      <c r="AC33" s="208">
        <v>0.0</v>
      </c>
      <c r="AD33" s="208">
        <v>0.0</v>
      </c>
      <c r="AE33" s="208">
        <v>64.0</v>
      </c>
      <c r="AF33" s="208">
        <v>79.0</v>
      </c>
      <c r="AG33" s="208">
        <v>24.0</v>
      </c>
      <c r="AH33" s="581">
        <f t="shared" si="1"/>
        <v>51859.92042</v>
      </c>
      <c r="AI33" s="581">
        <f t="shared" si="2"/>
        <v>3.291666667</v>
      </c>
      <c r="AJ33" s="124">
        <v>0.0</v>
      </c>
      <c r="AK33" s="208">
        <v>0.0</v>
      </c>
      <c r="AL33" s="582">
        <f t="shared" si="3"/>
        <v>0</v>
      </c>
      <c r="AM33" s="208">
        <v>177805.0</v>
      </c>
      <c r="AN33" s="582">
        <f t="shared" si="4"/>
        <v>0.8297587267</v>
      </c>
      <c r="AO33" s="583">
        <v>0.0</v>
      </c>
      <c r="AP33" s="208">
        <v>9.0</v>
      </c>
      <c r="AQ33" s="208">
        <v>203.0</v>
      </c>
      <c r="AR33" s="208">
        <v>572.88</v>
      </c>
      <c r="AS33" s="208">
        <v>1.0</v>
      </c>
      <c r="AT33" s="208">
        <v>16.0</v>
      </c>
      <c r="AV33" s="124" t="str">
        <f t="shared" si="5"/>
        <v>Active</v>
      </c>
    </row>
    <row r="34">
      <c r="A34" s="124" t="s">
        <v>126</v>
      </c>
      <c r="B34" s="208" t="s">
        <v>140</v>
      </c>
      <c r="C34" s="208" t="s">
        <v>591</v>
      </c>
      <c r="D34" s="208" t="s">
        <v>1061</v>
      </c>
      <c r="E34" s="208" t="s">
        <v>174</v>
      </c>
      <c r="F34" s="580">
        <v>44207.0</v>
      </c>
      <c r="G34" s="208">
        <v>0.0</v>
      </c>
      <c r="H34" s="208">
        <v>0.0</v>
      </c>
      <c r="I34" s="208">
        <v>0.0</v>
      </c>
      <c r="J34" s="208">
        <v>0.0</v>
      </c>
      <c r="K34" s="208">
        <v>70.0</v>
      </c>
      <c r="L34" s="208">
        <v>0.0</v>
      </c>
      <c r="M34" s="208">
        <v>0.0</v>
      </c>
      <c r="N34" s="208">
        <v>70.0</v>
      </c>
      <c r="O34" s="208">
        <v>70.0</v>
      </c>
      <c r="P34" s="208">
        <v>0.0</v>
      </c>
      <c r="Q34" s="208">
        <v>0.0</v>
      </c>
      <c r="R34" s="208">
        <v>0.0</v>
      </c>
      <c r="S34" s="208">
        <v>0.0</v>
      </c>
      <c r="T34" s="208">
        <v>0.0</v>
      </c>
      <c r="U34" s="208">
        <v>0.0</v>
      </c>
      <c r="V34" s="208">
        <v>0.0</v>
      </c>
      <c r="W34" s="208">
        <v>0.0</v>
      </c>
      <c r="X34" s="208">
        <v>75.0</v>
      </c>
      <c r="Y34" s="208">
        <v>0.0</v>
      </c>
      <c r="Z34" s="208">
        <v>0.0</v>
      </c>
      <c r="AA34" s="208">
        <v>0.0</v>
      </c>
      <c r="AB34" s="208">
        <v>0.0</v>
      </c>
      <c r="AC34" s="208">
        <v>0.0</v>
      </c>
      <c r="AD34" s="208">
        <v>0.0</v>
      </c>
      <c r="AE34" s="208">
        <v>0.0</v>
      </c>
      <c r="AF34" s="208">
        <v>0.0</v>
      </c>
      <c r="AG34" s="208">
        <v>0.0</v>
      </c>
      <c r="AH34" s="581" t="str">
        <f t="shared" si="1"/>
        <v/>
      </c>
      <c r="AI34" s="581" t="str">
        <f t="shared" si="2"/>
        <v/>
      </c>
      <c r="AJ34" s="124">
        <v>0.0</v>
      </c>
      <c r="AK34" s="208">
        <v>0.0</v>
      </c>
      <c r="AL34" s="582" t="str">
        <f t="shared" si="3"/>
        <v/>
      </c>
      <c r="AM34" s="208">
        <v>0.0</v>
      </c>
      <c r="AN34" s="582" t="str">
        <f t="shared" si="4"/>
        <v/>
      </c>
      <c r="AO34" s="583">
        <v>0.0</v>
      </c>
      <c r="AP34" s="208">
        <v>0.0</v>
      </c>
      <c r="AQ34" s="208">
        <v>0.0</v>
      </c>
      <c r="AR34" s="208">
        <v>0.0</v>
      </c>
      <c r="AS34" s="208">
        <v>0.0</v>
      </c>
      <c r="AT34" s="208">
        <v>0.0</v>
      </c>
      <c r="AU34" s="584">
        <v>45777.0</v>
      </c>
      <c r="AV34" s="124" t="str">
        <f t="shared" si="5"/>
        <v>Left</v>
      </c>
    </row>
    <row r="35">
      <c r="A35" s="124" t="s">
        <v>97</v>
      </c>
      <c r="B35" s="208" t="s">
        <v>101</v>
      </c>
      <c r="C35" s="208" t="s">
        <v>346</v>
      </c>
      <c r="D35" s="208" t="s">
        <v>1062</v>
      </c>
      <c r="E35" s="208" t="s">
        <v>347</v>
      </c>
      <c r="F35" s="580">
        <v>45474.0</v>
      </c>
      <c r="G35" s="208">
        <v>0.0</v>
      </c>
      <c r="H35" s="208">
        <v>907500.0</v>
      </c>
      <c r="I35" s="208">
        <v>446298.0</v>
      </c>
      <c r="J35" s="208">
        <v>0.0</v>
      </c>
      <c r="K35" s="208">
        <v>80.0</v>
      </c>
      <c r="L35" s="208">
        <v>50.0</v>
      </c>
      <c r="M35" s="208">
        <v>0.0</v>
      </c>
      <c r="N35" s="208">
        <v>80.0</v>
      </c>
      <c r="O35" s="208">
        <v>30.0</v>
      </c>
      <c r="P35" s="208">
        <v>446298.0</v>
      </c>
      <c r="Q35" s="208">
        <v>0.0</v>
      </c>
      <c r="R35" s="208">
        <v>12.0</v>
      </c>
      <c r="S35" s="208">
        <v>0.0</v>
      </c>
      <c r="T35" s="208">
        <v>12.0</v>
      </c>
      <c r="U35" s="208">
        <v>0.0</v>
      </c>
      <c r="V35" s="208">
        <v>2.0</v>
      </c>
      <c r="W35" s="208">
        <v>2.0</v>
      </c>
      <c r="X35" s="208">
        <v>20.0</v>
      </c>
      <c r="Y35" s="208">
        <v>2.0</v>
      </c>
      <c r="Z35" s="208">
        <v>2.0</v>
      </c>
      <c r="AA35" s="208">
        <v>0.0</v>
      </c>
      <c r="AB35" s="208">
        <v>0.0</v>
      </c>
      <c r="AC35" s="208">
        <v>0.0</v>
      </c>
      <c r="AD35" s="208">
        <v>0.0</v>
      </c>
      <c r="AE35" s="208">
        <v>95.0</v>
      </c>
      <c r="AF35" s="208">
        <v>99.0</v>
      </c>
      <c r="AG35" s="208">
        <v>17.0</v>
      </c>
      <c r="AH35" s="581">
        <f t="shared" si="1"/>
        <v>26252.82353</v>
      </c>
      <c r="AI35" s="581">
        <f t="shared" si="2"/>
        <v>5.823529412</v>
      </c>
      <c r="AJ35" s="124">
        <v>0.0</v>
      </c>
      <c r="AK35" s="208">
        <v>0.0</v>
      </c>
      <c r="AL35" s="582">
        <f t="shared" si="3"/>
        <v>0</v>
      </c>
      <c r="AM35" s="208">
        <v>37192.0</v>
      </c>
      <c r="AN35" s="582">
        <f t="shared" si="4"/>
        <v>0.4917884298</v>
      </c>
      <c r="AO35" s="583">
        <v>0.0</v>
      </c>
      <c r="AP35" s="208">
        <v>14.0</v>
      </c>
      <c r="AQ35" s="208">
        <v>149.0</v>
      </c>
      <c r="AR35" s="208">
        <v>1021.05</v>
      </c>
      <c r="AS35" s="208">
        <v>0.0</v>
      </c>
      <c r="AT35" s="208">
        <v>20.0</v>
      </c>
      <c r="AV35" s="124" t="str">
        <f t="shared" si="5"/>
        <v>Active</v>
      </c>
    </row>
    <row r="36">
      <c r="A36" s="124" t="s">
        <v>97</v>
      </c>
      <c r="B36" s="208" t="s">
        <v>101</v>
      </c>
      <c r="C36" s="208" t="s">
        <v>597</v>
      </c>
      <c r="D36" s="208" t="s">
        <v>1062</v>
      </c>
      <c r="E36" s="208" t="s">
        <v>1063</v>
      </c>
      <c r="F36" s="580">
        <v>44224.0</v>
      </c>
      <c r="G36" s="208">
        <v>0.0</v>
      </c>
      <c r="H36" s="208">
        <v>0.0</v>
      </c>
      <c r="I36" s="208">
        <v>0.0</v>
      </c>
      <c r="J36" s="208">
        <v>0.0</v>
      </c>
      <c r="K36" s="208">
        <v>146.0</v>
      </c>
      <c r="L36" s="208">
        <v>0.0</v>
      </c>
      <c r="M36" s="208">
        <v>0.0</v>
      </c>
      <c r="N36" s="208">
        <v>146.0</v>
      </c>
      <c r="O36" s="208">
        <v>146.0</v>
      </c>
      <c r="P36" s="208">
        <v>0.0</v>
      </c>
      <c r="Q36" s="208">
        <v>0.0</v>
      </c>
      <c r="R36" s="208">
        <v>0.0</v>
      </c>
      <c r="S36" s="208">
        <v>0.0</v>
      </c>
      <c r="T36" s="208">
        <v>0.0</v>
      </c>
      <c r="U36" s="208">
        <v>0.0</v>
      </c>
      <c r="V36" s="208">
        <v>0.0</v>
      </c>
      <c r="W36" s="208">
        <v>0.0</v>
      </c>
      <c r="X36" s="208">
        <v>50.0</v>
      </c>
      <c r="Y36" s="208">
        <v>0.0</v>
      </c>
      <c r="Z36" s="208">
        <v>0.0</v>
      </c>
      <c r="AA36" s="208">
        <v>0.0</v>
      </c>
      <c r="AB36" s="208">
        <v>0.0</v>
      </c>
      <c r="AC36" s="208">
        <v>0.0</v>
      </c>
      <c r="AD36" s="208">
        <v>0.0</v>
      </c>
      <c r="AE36" s="208">
        <v>0.0</v>
      </c>
      <c r="AF36" s="208">
        <v>0.0</v>
      </c>
      <c r="AG36" s="208">
        <v>0.0</v>
      </c>
      <c r="AH36" s="581" t="str">
        <f t="shared" si="1"/>
        <v/>
      </c>
      <c r="AI36" s="581" t="str">
        <f t="shared" si="2"/>
        <v/>
      </c>
      <c r="AJ36" s="124">
        <v>0.0</v>
      </c>
      <c r="AK36" s="208">
        <v>0.0</v>
      </c>
      <c r="AL36" s="582" t="str">
        <f t="shared" si="3"/>
        <v/>
      </c>
      <c r="AM36" s="208">
        <v>0.0</v>
      </c>
      <c r="AN36" s="582" t="str">
        <f t="shared" si="4"/>
        <v/>
      </c>
      <c r="AO36" s="583">
        <v>0.0</v>
      </c>
      <c r="AP36" s="208">
        <v>0.0</v>
      </c>
      <c r="AQ36" s="208">
        <v>0.0</v>
      </c>
      <c r="AR36" s="208">
        <v>0.0</v>
      </c>
      <c r="AS36" s="208">
        <v>0.0</v>
      </c>
      <c r="AT36" s="208">
        <v>0.0</v>
      </c>
      <c r="AU36" s="584">
        <v>45774.0</v>
      </c>
      <c r="AV36" s="124" t="str">
        <f t="shared" si="5"/>
        <v>Left</v>
      </c>
    </row>
    <row r="37">
      <c r="A37" s="124" t="s">
        <v>185</v>
      </c>
      <c r="B37" s="208" t="s">
        <v>215</v>
      </c>
      <c r="C37" s="208" t="s">
        <v>213</v>
      </c>
      <c r="D37" s="208" t="s">
        <v>1064</v>
      </c>
      <c r="E37" s="208" t="s">
        <v>214</v>
      </c>
      <c r="F37" s="580">
        <v>44228.0</v>
      </c>
      <c r="G37" s="208">
        <v>0.0</v>
      </c>
      <c r="H37" s="208">
        <v>3500000.0</v>
      </c>
      <c r="I37" s="208">
        <v>1375951.45</v>
      </c>
      <c r="J37" s="208">
        <v>0.0</v>
      </c>
      <c r="K37" s="208">
        <v>76.0</v>
      </c>
      <c r="L37" s="208">
        <v>28.0</v>
      </c>
      <c r="M37" s="208">
        <v>0.0</v>
      </c>
      <c r="N37" s="208">
        <v>76.0</v>
      </c>
      <c r="O37" s="208">
        <v>48.0</v>
      </c>
      <c r="P37" s="208">
        <v>1375951.45</v>
      </c>
      <c r="Q37" s="208">
        <v>0.0</v>
      </c>
      <c r="R37" s="208">
        <v>17.0</v>
      </c>
      <c r="S37" s="208">
        <v>0.0</v>
      </c>
      <c r="T37" s="208">
        <v>17.0</v>
      </c>
      <c r="U37" s="208">
        <v>0.0</v>
      </c>
      <c r="V37" s="208">
        <v>10.0</v>
      </c>
      <c r="W37" s="208">
        <v>10.0</v>
      </c>
      <c r="X37" s="208">
        <v>127.0</v>
      </c>
      <c r="Y37" s="208">
        <v>1.0</v>
      </c>
      <c r="Z37" s="208">
        <v>21.0</v>
      </c>
      <c r="AA37" s="208">
        <v>0.0</v>
      </c>
      <c r="AB37" s="208">
        <v>0.0</v>
      </c>
      <c r="AC37" s="208">
        <v>0.0</v>
      </c>
      <c r="AD37" s="208">
        <v>0.0</v>
      </c>
      <c r="AE37" s="208">
        <v>33.0</v>
      </c>
      <c r="AF37" s="208">
        <v>64.0</v>
      </c>
      <c r="AG37" s="208">
        <v>25.0</v>
      </c>
      <c r="AH37" s="581">
        <f t="shared" si="1"/>
        <v>55038.058</v>
      </c>
      <c r="AI37" s="581">
        <f t="shared" si="2"/>
        <v>2.56</v>
      </c>
      <c r="AJ37" s="124">
        <v>0.0</v>
      </c>
      <c r="AK37" s="208">
        <v>0.0</v>
      </c>
      <c r="AL37" s="582">
        <f t="shared" si="3"/>
        <v>0</v>
      </c>
      <c r="AM37" s="208">
        <v>80938.0</v>
      </c>
      <c r="AN37" s="582">
        <f t="shared" si="4"/>
        <v>0.3931289857</v>
      </c>
      <c r="AO37" s="583">
        <v>0.0</v>
      </c>
      <c r="AP37" s="208">
        <v>23.0</v>
      </c>
      <c r="AQ37" s="208">
        <v>253.0</v>
      </c>
      <c r="AR37" s="208">
        <v>737.06</v>
      </c>
      <c r="AS37" s="208">
        <v>0.0</v>
      </c>
      <c r="AT37" s="208">
        <v>26.0</v>
      </c>
      <c r="AV37" s="124" t="str">
        <f t="shared" si="5"/>
        <v>Active</v>
      </c>
    </row>
    <row r="38">
      <c r="A38" s="124" t="s">
        <v>185</v>
      </c>
      <c r="B38" s="208" t="s">
        <v>222</v>
      </c>
      <c r="C38" s="208" t="s">
        <v>227</v>
      </c>
      <c r="D38" s="208" t="s">
        <v>1070</v>
      </c>
      <c r="E38" s="208" t="s">
        <v>228</v>
      </c>
      <c r="F38" s="580">
        <v>44868.0</v>
      </c>
      <c r="G38" s="208">
        <v>0.0</v>
      </c>
      <c r="H38" s="208">
        <v>1500000.0</v>
      </c>
      <c r="I38" s="208">
        <v>1120516.05</v>
      </c>
      <c r="J38" s="208">
        <v>0.0</v>
      </c>
      <c r="K38" s="208">
        <v>58.0</v>
      </c>
      <c r="L38" s="208">
        <v>34.0</v>
      </c>
      <c r="M38" s="208">
        <v>0.0</v>
      </c>
      <c r="N38" s="208">
        <v>58.0</v>
      </c>
      <c r="O38" s="208">
        <v>24.0</v>
      </c>
      <c r="P38" s="208">
        <v>1120516.05</v>
      </c>
      <c r="Q38" s="208">
        <v>0.0</v>
      </c>
      <c r="R38" s="208">
        <v>14.0</v>
      </c>
      <c r="S38" s="208">
        <v>0.0</v>
      </c>
      <c r="T38" s="208">
        <v>14.0</v>
      </c>
      <c r="U38" s="208">
        <v>0.0</v>
      </c>
      <c r="V38" s="208">
        <v>0.0</v>
      </c>
      <c r="W38" s="208">
        <v>0.0</v>
      </c>
      <c r="X38" s="208">
        <v>37.0</v>
      </c>
      <c r="Y38" s="208">
        <v>1.0</v>
      </c>
      <c r="Z38" s="208">
        <v>6.0</v>
      </c>
      <c r="AA38" s="208">
        <v>0.0</v>
      </c>
      <c r="AB38" s="208">
        <v>0.0</v>
      </c>
      <c r="AC38" s="208">
        <v>0.0</v>
      </c>
      <c r="AD38" s="208">
        <v>0.0</v>
      </c>
      <c r="AE38" s="208">
        <v>64.0</v>
      </c>
      <c r="AF38" s="208">
        <v>70.0</v>
      </c>
      <c r="AG38" s="208">
        <v>26.0</v>
      </c>
      <c r="AH38" s="581">
        <f t="shared" si="1"/>
        <v>43096.77115</v>
      </c>
      <c r="AI38" s="581">
        <f t="shared" si="2"/>
        <v>2.692307692</v>
      </c>
      <c r="AJ38" s="124">
        <v>0.0</v>
      </c>
      <c r="AK38" s="208">
        <v>0.0</v>
      </c>
      <c r="AL38" s="582">
        <f t="shared" si="3"/>
        <v>0</v>
      </c>
      <c r="AM38" s="208">
        <v>80037.0</v>
      </c>
      <c r="AN38" s="582">
        <f t="shared" si="4"/>
        <v>0.7470107</v>
      </c>
      <c r="AO38" s="583">
        <v>0.0</v>
      </c>
      <c r="AP38" s="208">
        <v>16.0</v>
      </c>
      <c r="AQ38" s="208">
        <v>244.0</v>
      </c>
      <c r="AR38" s="208">
        <v>443.03</v>
      </c>
      <c r="AS38" s="208">
        <v>0.0</v>
      </c>
      <c r="AT38" s="208">
        <v>13.0</v>
      </c>
      <c r="AV38" s="124" t="str">
        <f t="shared" si="5"/>
        <v>Active</v>
      </c>
    </row>
    <row r="39">
      <c r="A39" s="124" t="s">
        <v>126</v>
      </c>
      <c r="B39" s="208" t="s">
        <v>140</v>
      </c>
      <c r="C39" s="208" t="s">
        <v>604</v>
      </c>
      <c r="D39" s="208" t="s">
        <v>1061</v>
      </c>
      <c r="E39" s="208" t="s">
        <v>139</v>
      </c>
      <c r="F39" s="580">
        <v>44245.0</v>
      </c>
      <c r="G39" s="208">
        <v>0.0</v>
      </c>
      <c r="H39" s="208">
        <v>2333333.0</v>
      </c>
      <c r="I39" s="208">
        <v>1045405.42</v>
      </c>
      <c r="J39" s="208">
        <v>0.0</v>
      </c>
      <c r="K39" s="208">
        <v>104.0</v>
      </c>
      <c r="L39" s="208">
        <v>54.0</v>
      </c>
      <c r="M39" s="208">
        <v>1.0</v>
      </c>
      <c r="N39" s="208">
        <v>105.0</v>
      </c>
      <c r="O39" s="208">
        <v>51.0</v>
      </c>
      <c r="P39" s="208">
        <v>1021957.42</v>
      </c>
      <c r="Q39" s="208">
        <v>23448.0</v>
      </c>
      <c r="R39" s="208">
        <v>17.0</v>
      </c>
      <c r="S39" s="208">
        <v>1.0</v>
      </c>
      <c r="T39" s="208">
        <v>18.0</v>
      </c>
      <c r="U39" s="208">
        <v>0.0</v>
      </c>
      <c r="V39" s="208">
        <v>4.0</v>
      </c>
      <c r="W39" s="208">
        <v>4.0</v>
      </c>
      <c r="X39" s="208">
        <v>129.0</v>
      </c>
      <c r="Y39" s="208">
        <v>2.0</v>
      </c>
      <c r="Z39" s="208">
        <v>4.0</v>
      </c>
      <c r="AA39" s="208">
        <v>0.0</v>
      </c>
      <c r="AB39" s="208">
        <v>0.0</v>
      </c>
      <c r="AC39" s="208">
        <v>0.0</v>
      </c>
      <c r="AD39" s="208">
        <v>0.0</v>
      </c>
      <c r="AE39" s="208">
        <v>76.0</v>
      </c>
      <c r="AF39" s="208">
        <v>84.0</v>
      </c>
      <c r="AG39" s="208">
        <v>23.0</v>
      </c>
      <c r="AH39" s="581">
        <f t="shared" si="1"/>
        <v>45452.40957</v>
      </c>
      <c r="AI39" s="581">
        <f t="shared" si="2"/>
        <v>3.652173913</v>
      </c>
      <c r="AJ39" s="124">
        <v>1.0</v>
      </c>
      <c r="AK39" s="208">
        <v>0.0</v>
      </c>
      <c r="AL39" s="582">
        <f t="shared" si="3"/>
        <v>0.0000009565666878</v>
      </c>
      <c r="AM39" s="208">
        <v>58078.0</v>
      </c>
      <c r="AN39" s="582">
        <f t="shared" si="4"/>
        <v>0.4480309583</v>
      </c>
      <c r="AO39" s="583">
        <v>0.0</v>
      </c>
      <c r="AP39" s="208">
        <v>29.0</v>
      </c>
      <c r="AQ39" s="208">
        <v>232.0</v>
      </c>
      <c r="AR39" s="208">
        <v>1566.98</v>
      </c>
      <c r="AS39" s="208">
        <v>1.0</v>
      </c>
      <c r="AT39" s="208">
        <v>29.0</v>
      </c>
      <c r="AV39" s="124" t="str">
        <f t="shared" si="5"/>
        <v>Active</v>
      </c>
    </row>
    <row r="40">
      <c r="A40" s="124" t="s">
        <v>126</v>
      </c>
      <c r="B40" s="208" t="s">
        <v>130</v>
      </c>
      <c r="C40" s="208" t="s">
        <v>141</v>
      </c>
      <c r="D40" s="208" t="s">
        <v>130</v>
      </c>
      <c r="E40" s="208" t="s">
        <v>142</v>
      </c>
      <c r="F40" s="580">
        <v>44247.0</v>
      </c>
      <c r="G40" s="208">
        <v>0.0</v>
      </c>
      <c r="H40" s="208">
        <v>3333333.0</v>
      </c>
      <c r="I40" s="208">
        <v>2681980.39</v>
      </c>
      <c r="J40" s="208">
        <v>0.0</v>
      </c>
      <c r="K40" s="208">
        <v>93.0</v>
      </c>
      <c r="L40" s="208">
        <v>47.0</v>
      </c>
      <c r="M40" s="208">
        <v>8.0</v>
      </c>
      <c r="N40" s="208">
        <v>101.0</v>
      </c>
      <c r="O40" s="208">
        <v>54.0</v>
      </c>
      <c r="P40" s="208">
        <v>2297348.94</v>
      </c>
      <c r="Q40" s="208">
        <v>384631.45</v>
      </c>
      <c r="R40" s="208">
        <v>33.0</v>
      </c>
      <c r="S40" s="208">
        <v>8.0</v>
      </c>
      <c r="T40" s="208">
        <v>41.0</v>
      </c>
      <c r="U40" s="208">
        <v>0.0</v>
      </c>
      <c r="V40" s="208">
        <v>0.0</v>
      </c>
      <c r="W40" s="208">
        <v>0.0</v>
      </c>
      <c r="X40" s="208">
        <v>44.0</v>
      </c>
      <c r="Y40" s="208">
        <v>3.0</v>
      </c>
      <c r="Z40" s="208">
        <v>19.0</v>
      </c>
      <c r="AA40" s="208">
        <v>0.0</v>
      </c>
      <c r="AB40" s="208">
        <v>0.0</v>
      </c>
      <c r="AC40" s="208">
        <v>0.0</v>
      </c>
      <c r="AD40" s="208">
        <v>0.0</v>
      </c>
      <c r="AE40" s="208">
        <v>76.0</v>
      </c>
      <c r="AF40" s="208">
        <v>95.0</v>
      </c>
      <c r="AG40" s="208">
        <v>26.0</v>
      </c>
      <c r="AH40" s="581">
        <f t="shared" si="1"/>
        <v>103153.0919</v>
      </c>
      <c r="AI40" s="581">
        <f t="shared" si="2"/>
        <v>3.653846154</v>
      </c>
      <c r="AJ40" s="124">
        <v>0.0</v>
      </c>
      <c r="AK40" s="208">
        <v>0.0</v>
      </c>
      <c r="AL40" s="582">
        <f t="shared" si="3"/>
        <v>0</v>
      </c>
      <c r="AM40" s="208">
        <v>65414.0</v>
      </c>
      <c r="AN40" s="582">
        <f t="shared" si="4"/>
        <v>0.8045941975</v>
      </c>
      <c r="AO40" s="583">
        <v>0.0</v>
      </c>
      <c r="AP40" s="208">
        <v>82.0</v>
      </c>
      <c r="AQ40" s="208">
        <v>271.0</v>
      </c>
      <c r="AR40" s="208">
        <v>1269.48</v>
      </c>
      <c r="AS40" s="208">
        <v>8.0</v>
      </c>
      <c r="AT40" s="208">
        <v>27.0</v>
      </c>
      <c r="AV40" s="124" t="str">
        <f t="shared" si="5"/>
        <v>Active</v>
      </c>
    </row>
    <row r="41">
      <c r="A41" s="124" t="s">
        <v>185</v>
      </c>
      <c r="B41" s="208" t="s">
        <v>212</v>
      </c>
      <c r="C41" s="208" t="s">
        <v>218</v>
      </c>
      <c r="D41" s="208" t="s">
        <v>1031</v>
      </c>
      <c r="E41" s="208" t="s">
        <v>219</v>
      </c>
      <c r="F41" s="580">
        <v>44396.0</v>
      </c>
      <c r="G41" s="208">
        <v>0.0</v>
      </c>
      <c r="H41" s="208">
        <v>2500000.0</v>
      </c>
      <c r="I41" s="208">
        <v>2641016.92</v>
      </c>
      <c r="J41" s="208">
        <v>0.0</v>
      </c>
      <c r="K41" s="208">
        <v>246.0</v>
      </c>
      <c r="L41" s="208">
        <v>77.0</v>
      </c>
      <c r="M41" s="208">
        <v>4.0</v>
      </c>
      <c r="N41" s="208">
        <v>250.0</v>
      </c>
      <c r="O41" s="208">
        <v>173.0</v>
      </c>
      <c r="P41" s="208">
        <v>2232163.03</v>
      </c>
      <c r="Q41" s="208">
        <v>408853.89</v>
      </c>
      <c r="R41" s="208">
        <v>27.0</v>
      </c>
      <c r="S41" s="208">
        <v>3.0</v>
      </c>
      <c r="T41" s="208">
        <v>30.0</v>
      </c>
      <c r="U41" s="208">
        <v>0.0</v>
      </c>
      <c r="V41" s="208">
        <v>36.0</v>
      </c>
      <c r="W41" s="208">
        <v>37.0</v>
      </c>
      <c r="X41" s="208">
        <v>500.0</v>
      </c>
      <c r="Y41" s="208">
        <v>1.0</v>
      </c>
      <c r="Z41" s="208">
        <v>15.0</v>
      </c>
      <c r="AA41" s="208">
        <v>0.0</v>
      </c>
      <c r="AB41" s="208">
        <v>0.0</v>
      </c>
      <c r="AC41" s="208">
        <v>0.0</v>
      </c>
      <c r="AD41" s="208">
        <v>0.0</v>
      </c>
      <c r="AE41" s="208">
        <v>88.0</v>
      </c>
      <c r="AF41" s="208">
        <v>140.0</v>
      </c>
      <c r="AG41" s="208">
        <v>27.0</v>
      </c>
      <c r="AH41" s="581">
        <f t="shared" si="1"/>
        <v>97815.44148</v>
      </c>
      <c r="AI41" s="581">
        <f t="shared" si="2"/>
        <v>5.185185185</v>
      </c>
      <c r="AJ41" s="124">
        <v>0.0</v>
      </c>
      <c r="AK41" s="208">
        <v>0.0</v>
      </c>
      <c r="AL41" s="582">
        <f t="shared" si="3"/>
        <v>0</v>
      </c>
      <c r="AM41" s="208">
        <v>88034.0</v>
      </c>
      <c r="AN41" s="582">
        <f t="shared" si="4"/>
        <v>1.056406768</v>
      </c>
      <c r="AO41" s="583">
        <v>0.0</v>
      </c>
      <c r="AP41" s="208">
        <v>36.0</v>
      </c>
      <c r="AQ41" s="208">
        <v>272.0</v>
      </c>
      <c r="AR41" s="208">
        <v>1161.67</v>
      </c>
      <c r="AS41" s="208">
        <v>3.0</v>
      </c>
      <c r="AT41" s="208">
        <v>15.0</v>
      </c>
      <c r="AV41" s="124" t="str">
        <f t="shared" si="5"/>
        <v>Active</v>
      </c>
    </row>
    <row r="42">
      <c r="A42" s="124" t="s">
        <v>185</v>
      </c>
      <c r="B42" s="208" t="s">
        <v>215</v>
      </c>
      <c r="C42" s="208" t="s">
        <v>216</v>
      </c>
      <c r="D42" s="208" t="s">
        <v>1065</v>
      </c>
      <c r="E42" s="208" t="s">
        <v>217</v>
      </c>
      <c r="F42" s="580">
        <v>44424.0</v>
      </c>
      <c r="G42" s="208">
        <v>0.0</v>
      </c>
      <c r="H42" s="208">
        <v>7416667.0</v>
      </c>
      <c r="I42" s="208">
        <v>4268407.79</v>
      </c>
      <c r="J42" s="208">
        <v>0.0</v>
      </c>
      <c r="K42" s="208">
        <v>80.0</v>
      </c>
      <c r="L42" s="208">
        <v>66.0</v>
      </c>
      <c r="M42" s="208">
        <v>3.0</v>
      </c>
      <c r="N42" s="208">
        <v>83.0</v>
      </c>
      <c r="O42" s="208">
        <v>17.0</v>
      </c>
      <c r="P42" s="208">
        <v>4014593.74</v>
      </c>
      <c r="Q42" s="208">
        <v>253814.05</v>
      </c>
      <c r="R42" s="208">
        <v>29.0</v>
      </c>
      <c r="S42" s="208">
        <v>3.0</v>
      </c>
      <c r="T42" s="208">
        <v>32.0</v>
      </c>
      <c r="U42" s="208">
        <v>0.0</v>
      </c>
      <c r="V42" s="208">
        <v>4.0</v>
      </c>
      <c r="W42" s="208">
        <v>4.0</v>
      </c>
      <c r="X42" s="208">
        <v>45.0</v>
      </c>
      <c r="Y42" s="208">
        <v>1.0</v>
      </c>
      <c r="Z42" s="208">
        <v>10.0</v>
      </c>
      <c r="AA42" s="208">
        <v>0.0</v>
      </c>
      <c r="AB42" s="208">
        <v>0.0</v>
      </c>
      <c r="AC42" s="208">
        <v>0.0</v>
      </c>
      <c r="AD42" s="208">
        <v>0.0</v>
      </c>
      <c r="AE42" s="208">
        <v>111.0</v>
      </c>
      <c r="AF42" s="208">
        <v>125.0</v>
      </c>
      <c r="AG42" s="208">
        <v>26.0</v>
      </c>
      <c r="AH42" s="581">
        <f t="shared" si="1"/>
        <v>164169.5304</v>
      </c>
      <c r="AI42" s="581">
        <f t="shared" si="2"/>
        <v>4.807692308</v>
      </c>
      <c r="AJ42" s="124">
        <v>0.0</v>
      </c>
      <c r="AK42" s="208">
        <v>0.0</v>
      </c>
      <c r="AL42" s="582">
        <f t="shared" si="3"/>
        <v>0</v>
      </c>
      <c r="AM42" s="208">
        <v>133388.0</v>
      </c>
      <c r="AN42" s="582">
        <f t="shared" si="4"/>
        <v>0.5755156312</v>
      </c>
      <c r="AO42" s="583">
        <v>0.0</v>
      </c>
      <c r="AP42" s="208">
        <v>35.0</v>
      </c>
      <c r="AQ42" s="208">
        <v>257.0</v>
      </c>
      <c r="AR42" s="208">
        <v>1256.43</v>
      </c>
      <c r="AS42" s="208">
        <v>3.0</v>
      </c>
      <c r="AT42" s="208">
        <v>19.0</v>
      </c>
      <c r="AV42" s="124" t="str">
        <f t="shared" si="5"/>
        <v>Active</v>
      </c>
    </row>
    <row r="43">
      <c r="A43" s="124" t="s">
        <v>298</v>
      </c>
      <c r="B43" s="208" t="s">
        <v>301</v>
      </c>
      <c r="C43" s="208" t="s">
        <v>302</v>
      </c>
      <c r="D43" s="208" t="s">
        <v>1066</v>
      </c>
      <c r="E43" s="208" t="s">
        <v>303</v>
      </c>
      <c r="F43" s="580">
        <v>44459.0</v>
      </c>
      <c r="G43" s="208">
        <v>0.0</v>
      </c>
      <c r="H43" s="208">
        <v>2300000.0</v>
      </c>
      <c r="I43" s="208">
        <v>1344342.5</v>
      </c>
      <c r="J43" s="208">
        <v>0.0</v>
      </c>
      <c r="K43" s="208">
        <v>86.0</v>
      </c>
      <c r="L43" s="208">
        <v>21.0</v>
      </c>
      <c r="M43" s="208">
        <v>1.0</v>
      </c>
      <c r="N43" s="208">
        <v>87.0</v>
      </c>
      <c r="O43" s="208">
        <v>66.0</v>
      </c>
      <c r="P43" s="208">
        <v>1344342.5</v>
      </c>
      <c r="Q43" s="208">
        <v>0.0</v>
      </c>
      <c r="R43" s="208">
        <v>16.0</v>
      </c>
      <c r="S43" s="208">
        <v>0.0</v>
      </c>
      <c r="T43" s="208">
        <v>16.0</v>
      </c>
      <c r="U43" s="208">
        <v>0.0</v>
      </c>
      <c r="V43" s="208">
        <v>2.0</v>
      </c>
      <c r="W43" s="208">
        <v>2.0</v>
      </c>
      <c r="X43" s="208">
        <v>65.0</v>
      </c>
      <c r="Y43" s="208">
        <v>6.0</v>
      </c>
      <c r="Z43" s="208">
        <v>21.0</v>
      </c>
      <c r="AA43" s="208">
        <v>0.0</v>
      </c>
      <c r="AB43" s="208">
        <v>0.0</v>
      </c>
      <c r="AC43" s="208">
        <v>1.0</v>
      </c>
      <c r="AD43" s="208">
        <v>1.0</v>
      </c>
      <c r="AE43" s="208">
        <v>29.0</v>
      </c>
      <c r="AF43" s="208">
        <v>53.0</v>
      </c>
      <c r="AG43" s="208">
        <v>27.0</v>
      </c>
      <c r="AH43" s="581">
        <f t="shared" si="1"/>
        <v>49790.46296</v>
      </c>
      <c r="AI43" s="581">
        <f t="shared" si="2"/>
        <v>1.962962963</v>
      </c>
      <c r="AJ43" s="124">
        <v>0.0</v>
      </c>
      <c r="AK43" s="208">
        <v>0.0</v>
      </c>
      <c r="AL43" s="582">
        <f t="shared" si="3"/>
        <v>0</v>
      </c>
      <c r="AM43" s="208">
        <v>84021.0</v>
      </c>
      <c r="AN43" s="582">
        <f t="shared" si="4"/>
        <v>0.5844967391</v>
      </c>
      <c r="AO43" s="583">
        <v>0.0</v>
      </c>
      <c r="AP43" s="208">
        <v>19.0</v>
      </c>
      <c r="AQ43" s="208">
        <v>270.0</v>
      </c>
      <c r="AR43" s="208">
        <v>1149.09</v>
      </c>
      <c r="AS43" s="208">
        <v>0.0</v>
      </c>
      <c r="AT43" s="208">
        <v>55.0</v>
      </c>
      <c r="AV43" s="124" t="str">
        <f t="shared" si="5"/>
        <v>Active</v>
      </c>
    </row>
    <row r="44">
      <c r="A44" s="124" t="s">
        <v>111</v>
      </c>
      <c r="B44" s="208" t="s">
        <v>117</v>
      </c>
      <c r="C44" s="208" t="s">
        <v>432</v>
      </c>
      <c r="D44" s="208" t="s">
        <v>1044</v>
      </c>
      <c r="E44" s="208" t="s">
        <v>433</v>
      </c>
      <c r="F44" s="580">
        <v>45444.0</v>
      </c>
      <c r="G44" s="208">
        <v>0.0</v>
      </c>
      <c r="H44" s="208">
        <v>1000000.0</v>
      </c>
      <c r="I44" s="208">
        <v>0.0</v>
      </c>
      <c r="J44" s="208">
        <v>0.0</v>
      </c>
      <c r="K44" s="208">
        <v>27.0</v>
      </c>
      <c r="L44" s="208">
        <v>12.0</v>
      </c>
      <c r="M44" s="208">
        <v>0.0</v>
      </c>
      <c r="N44" s="208">
        <v>27.0</v>
      </c>
      <c r="O44" s="208">
        <v>15.0</v>
      </c>
      <c r="P44" s="208">
        <v>0.0</v>
      </c>
      <c r="Q44" s="208">
        <v>0.0</v>
      </c>
      <c r="R44" s="208">
        <v>0.0</v>
      </c>
      <c r="S44" s="208">
        <v>0.0</v>
      </c>
      <c r="T44" s="208">
        <v>0.0</v>
      </c>
      <c r="U44" s="208">
        <v>0.0</v>
      </c>
      <c r="V44" s="208">
        <v>38.0</v>
      </c>
      <c r="W44" s="208">
        <v>38.0</v>
      </c>
      <c r="X44" s="208">
        <v>132.0</v>
      </c>
      <c r="Y44" s="208">
        <v>0.0</v>
      </c>
      <c r="Z44" s="208">
        <v>0.0</v>
      </c>
      <c r="AA44" s="208">
        <v>0.0</v>
      </c>
      <c r="AB44" s="208">
        <v>0.0</v>
      </c>
      <c r="AC44" s="208">
        <v>0.0</v>
      </c>
      <c r="AD44" s="208">
        <v>0.0</v>
      </c>
      <c r="AE44" s="208">
        <v>12.0</v>
      </c>
      <c r="AF44" s="208">
        <v>50.0</v>
      </c>
      <c r="AG44" s="208">
        <v>11.0</v>
      </c>
      <c r="AH44" s="581">
        <f t="shared" si="1"/>
        <v>0</v>
      </c>
      <c r="AI44" s="581">
        <f t="shared" si="2"/>
        <v>4.545454545</v>
      </c>
      <c r="AJ44" s="124">
        <v>0.0</v>
      </c>
      <c r="AK44" s="208">
        <v>0.0</v>
      </c>
      <c r="AL44" s="582" t="str">
        <f t="shared" si="3"/>
        <v/>
      </c>
      <c r="AM44" s="208">
        <v>0.0</v>
      </c>
      <c r="AN44" s="582">
        <f t="shared" si="4"/>
        <v>0</v>
      </c>
      <c r="AO44" s="583">
        <v>0.0</v>
      </c>
      <c r="AP44" s="208">
        <v>0.0</v>
      </c>
      <c r="AQ44" s="208">
        <v>104.0</v>
      </c>
      <c r="AR44" s="208">
        <v>510.76</v>
      </c>
      <c r="AS44" s="208">
        <v>0.0</v>
      </c>
      <c r="AT44" s="208">
        <v>43.0</v>
      </c>
      <c r="AU44" s="584">
        <v>45853.0</v>
      </c>
      <c r="AV44" s="124" t="str">
        <f t="shared" si="5"/>
        <v>Left</v>
      </c>
    </row>
    <row r="45">
      <c r="A45" s="124" t="s">
        <v>185</v>
      </c>
      <c r="B45" s="208" t="s">
        <v>222</v>
      </c>
      <c r="C45" s="208" t="s">
        <v>220</v>
      </c>
      <c r="D45" s="208" t="s">
        <v>1057</v>
      </c>
      <c r="E45" s="208" t="s">
        <v>221</v>
      </c>
      <c r="F45" s="580">
        <v>44501.0</v>
      </c>
      <c r="G45" s="208">
        <v>0.0</v>
      </c>
      <c r="H45" s="208">
        <v>4500000.0</v>
      </c>
      <c r="I45" s="208">
        <v>3382509.84</v>
      </c>
      <c r="J45" s="208">
        <v>0.0</v>
      </c>
      <c r="K45" s="208">
        <v>104.0</v>
      </c>
      <c r="L45" s="208">
        <v>69.0</v>
      </c>
      <c r="M45" s="208">
        <v>0.0</v>
      </c>
      <c r="N45" s="208">
        <v>104.0</v>
      </c>
      <c r="O45" s="208">
        <v>35.0</v>
      </c>
      <c r="P45" s="208">
        <v>3382509.84</v>
      </c>
      <c r="Q45" s="208">
        <v>0.0</v>
      </c>
      <c r="R45" s="208">
        <v>23.0</v>
      </c>
      <c r="S45" s="208">
        <v>0.0</v>
      </c>
      <c r="T45" s="208">
        <v>23.0</v>
      </c>
      <c r="U45" s="208">
        <v>0.0</v>
      </c>
      <c r="V45" s="208">
        <v>1.0</v>
      </c>
      <c r="W45" s="208">
        <v>1.0</v>
      </c>
      <c r="X45" s="208">
        <v>128.0</v>
      </c>
      <c r="Y45" s="208">
        <v>1.0</v>
      </c>
      <c r="Z45" s="208">
        <v>1.0</v>
      </c>
      <c r="AA45" s="208">
        <v>0.0</v>
      </c>
      <c r="AB45" s="208">
        <v>0.0</v>
      </c>
      <c r="AC45" s="208">
        <v>0.0</v>
      </c>
      <c r="AD45" s="208">
        <v>0.0</v>
      </c>
      <c r="AE45" s="208">
        <v>192.0</v>
      </c>
      <c r="AF45" s="208">
        <v>194.0</v>
      </c>
      <c r="AG45" s="208">
        <v>25.0</v>
      </c>
      <c r="AH45" s="581">
        <f t="shared" si="1"/>
        <v>135300.3936</v>
      </c>
      <c r="AI45" s="581">
        <f t="shared" si="2"/>
        <v>7.76</v>
      </c>
      <c r="AJ45" s="124">
        <v>0.0</v>
      </c>
      <c r="AK45" s="208">
        <v>0.0</v>
      </c>
      <c r="AL45" s="582">
        <f t="shared" si="3"/>
        <v>0</v>
      </c>
      <c r="AM45" s="208">
        <v>147066.0</v>
      </c>
      <c r="AN45" s="582">
        <f t="shared" si="4"/>
        <v>0.7516688533</v>
      </c>
      <c r="AO45" s="583">
        <v>0.0</v>
      </c>
      <c r="AP45" s="208">
        <v>24.0</v>
      </c>
      <c r="AQ45" s="208">
        <v>224.0</v>
      </c>
      <c r="AR45" s="208">
        <v>859.45</v>
      </c>
      <c r="AS45" s="208">
        <v>0.0</v>
      </c>
      <c r="AT45" s="208">
        <v>12.0</v>
      </c>
      <c r="AV45" s="124" t="str">
        <f t="shared" si="5"/>
        <v>Active</v>
      </c>
    </row>
    <row r="46">
      <c r="A46" s="124" t="s">
        <v>126</v>
      </c>
      <c r="B46" s="208" t="s">
        <v>301</v>
      </c>
      <c r="C46" s="208" t="s">
        <v>143</v>
      </c>
      <c r="D46" s="208" t="s">
        <v>1066</v>
      </c>
      <c r="E46" s="208" t="s">
        <v>1067</v>
      </c>
      <c r="F46" s="580">
        <v>44501.0</v>
      </c>
      <c r="G46" s="208">
        <v>0.0</v>
      </c>
      <c r="H46" s="208">
        <v>1760000.0</v>
      </c>
      <c r="I46" s="208">
        <v>983906.27</v>
      </c>
      <c r="J46" s="208">
        <v>0.0</v>
      </c>
      <c r="K46" s="208">
        <v>75.0</v>
      </c>
      <c r="L46" s="208">
        <v>48.0</v>
      </c>
      <c r="M46" s="208">
        <v>0.0</v>
      </c>
      <c r="N46" s="208">
        <v>75.0</v>
      </c>
      <c r="O46" s="208">
        <v>27.0</v>
      </c>
      <c r="P46" s="208">
        <v>983906.27</v>
      </c>
      <c r="Q46" s="208">
        <v>0.0</v>
      </c>
      <c r="R46" s="208">
        <v>20.0</v>
      </c>
      <c r="S46" s="208">
        <v>0.0</v>
      </c>
      <c r="T46" s="208">
        <v>20.0</v>
      </c>
      <c r="U46" s="208">
        <v>0.0</v>
      </c>
      <c r="V46" s="208">
        <v>15.0</v>
      </c>
      <c r="W46" s="208">
        <v>17.0</v>
      </c>
      <c r="X46" s="208">
        <v>276.0</v>
      </c>
      <c r="Y46" s="208">
        <v>2.0</v>
      </c>
      <c r="Z46" s="208">
        <v>4.0</v>
      </c>
      <c r="AA46" s="208">
        <v>0.0</v>
      </c>
      <c r="AB46" s="208">
        <v>0.0</v>
      </c>
      <c r="AC46" s="208">
        <v>0.0</v>
      </c>
      <c r="AD46" s="208">
        <v>0.0</v>
      </c>
      <c r="AE46" s="208">
        <v>82.0</v>
      </c>
      <c r="AF46" s="208">
        <v>103.0</v>
      </c>
      <c r="AG46" s="208">
        <v>24.0</v>
      </c>
      <c r="AH46" s="581">
        <f t="shared" si="1"/>
        <v>40996.09458</v>
      </c>
      <c r="AI46" s="581">
        <f t="shared" si="2"/>
        <v>4.291666667</v>
      </c>
      <c r="AJ46" s="124">
        <v>0.0</v>
      </c>
      <c r="AK46" s="208">
        <v>0.0</v>
      </c>
      <c r="AL46" s="582">
        <f t="shared" si="3"/>
        <v>0</v>
      </c>
      <c r="AM46" s="208">
        <v>49195.0</v>
      </c>
      <c r="AN46" s="582">
        <f t="shared" si="4"/>
        <v>0.5590376534</v>
      </c>
      <c r="AO46" s="583">
        <v>0.0</v>
      </c>
      <c r="AP46" s="208">
        <v>39.0</v>
      </c>
      <c r="AQ46" s="208">
        <v>319.0</v>
      </c>
      <c r="AR46" s="208">
        <v>2083.43</v>
      </c>
      <c r="AS46" s="208">
        <v>0.0</v>
      </c>
      <c r="AT46" s="208">
        <v>43.0</v>
      </c>
      <c r="AV46" s="124" t="str">
        <f t="shared" si="5"/>
        <v>Active</v>
      </c>
    </row>
    <row r="47">
      <c r="A47" s="124" t="s">
        <v>185</v>
      </c>
      <c r="B47" s="208" t="s">
        <v>85</v>
      </c>
      <c r="C47" s="208" t="s">
        <v>630</v>
      </c>
      <c r="D47" s="208" t="s">
        <v>1058</v>
      </c>
      <c r="E47" s="208" t="s">
        <v>386</v>
      </c>
      <c r="F47" s="580">
        <v>44508.0</v>
      </c>
      <c r="G47" s="208">
        <v>0.0</v>
      </c>
      <c r="H47" s="208">
        <v>0.0</v>
      </c>
      <c r="I47" s="208">
        <v>0.0</v>
      </c>
      <c r="J47" s="208">
        <v>0.0</v>
      </c>
      <c r="K47" s="208">
        <v>95.0</v>
      </c>
      <c r="L47" s="208">
        <v>0.0</v>
      </c>
      <c r="M47" s="208">
        <v>0.0</v>
      </c>
      <c r="N47" s="208">
        <v>95.0</v>
      </c>
      <c r="O47" s="208">
        <v>95.0</v>
      </c>
      <c r="P47" s="208">
        <v>0.0</v>
      </c>
      <c r="Q47" s="208">
        <v>0.0</v>
      </c>
      <c r="R47" s="208">
        <v>0.0</v>
      </c>
      <c r="S47" s="208">
        <v>0.0</v>
      </c>
      <c r="T47" s="208">
        <v>0.0</v>
      </c>
      <c r="U47" s="208">
        <v>0.0</v>
      </c>
      <c r="V47" s="208">
        <v>0.0</v>
      </c>
      <c r="W47" s="208">
        <v>0.0</v>
      </c>
      <c r="X47" s="208">
        <v>96.0</v>
      </c>
      <c r="Y47" s="208">
        <v>0.0</v>
      </c>
      <c r="Z47" s="208">
        <v>0.0</v>
      </c>
      <c r="AA47" s="208">
        <v>0.0</v>
      </c>
      <c r="AB47" s="208">
        <v>0.0</v>
      </c>
      <c r="AC47" s="208">
        <v>0.0</v>
      </c>
      <c r="AD47" s="208">
        <v>0.0</v>
      </c>
      <c r="AE47" s="208">
        <v>0.0</v>
      </c>
      <c r="AF47" s="208">
        <v>0.0</v>
      </c>
      <c r="AG47" s="208">
        <v>0.0</v>
      </c>
      <c r="AH47" s="581" t="str">
        <f t="shared" si="1"/>
        <v/>
      </c>
      <c r="AI47" s="581" t="str">
        <f t="shared" si="2"/>
        <v/>
      </c>
      <c r="AJ47" s="124">
        <v>0.0</v>
      </c>
      <c r="AK47" s="208">
        <v>0.0</v>
      </c>
      <c r="AL47" s="582" t="str">
        <f t="shared" si="3"/>
        <v/>
      </c>
      <c r="AM47" s="208">
        <v>0.0</v>
      </c>
      <c r="AN47" s="582" t="str">
        <f t="shared" si="4"/>
        <v/>
      </c>
      <c r="AO47" s="583">
        <v>0.0</v>
      </c>
      <c r="AP47" s="208">
        <v>0.0</v>
      </c>
      <c r="AQ47" s="208">
        <v>0.0</v>
      </c>
      <c r="AR47" s="208">
        <v>0.0</v>
      </c>
      <c r="AS47" s="208">
        <v>0.0</v>
      </c>
      <c r="AT47" s="208">
        <v>0.0</v>
      </c>
      <c r="AU47" s="584">
        <v>45759.0</v>
      </c>
      <c r="AV47" s="124" t="str">
        <f t="shared" si="5"/>
        <v>Left</v>
      </c>
    </row>
    <row r="48">
      <c r="A48" s="124" t="s">
        <v>126</v>
      </c>
      <c r="B48" s="208" t="s">
        <v>130</v>
      </c>
      <c r="C48" s="208" t="s">
        <v>146</v>
      </c>
      <c r="D48" s="208" t="s">
        <v>130</v>
      </c>
      <c r="E48" s="208" t="s">
        <v>1068</v>
      </c>
      <c r="F48" s="580">
        <v>44511.0</v>
      </c>
      <c r="G48" s="208">
        <v>0.0</v>
      </c>
      <c r="H48" s="208">
        <v>1966667.0</v>
      </c>
      <c r="I48" s="208">
        <v>1237016.99</v>
      </c>
      <c r="J48" s="208">
        <v>0.0</v>
      </c>
      <c r="K48" s="208">
        <v>77.0</v>
      </c>
      <c r="L48" s="208">
        <v>54.0</v>
      </c>
      <c r="M48" s="208">
        <v>1.0</v>
      </c>
      <c r="N48" s="208">
        <v>78.0</v>
      </c>
      <c r="O48" s="208">
        <v>24.0</v>
      </c>
      <c r="P48" s="208">
        <v>1164184.72</v>
      </c>
      <c r="Q48" s="208">
        <v>72832.27</v>
      </c>
      <c r="R48" s="208">
        <v>23.0</v>
      </c>
      <c r="S48" s="208">
        <v>1.0</v>
      </c>
      <c r="T48" s="208">
        <v>24.0</v>
      </c>
      <c r="U48" s="208">
        <v>0.0</v>
      </c>
      <c r="V48" s="208">
        <v>1.0</v>
      </c>
      <c r="W48" s="208">
        <v>1.0</v>
      </c>
      <c r="X48" s="208">
        <v>72.0</v>
      </c>
      <c r="Y48" s="208">
        <v>4.0</v>
      </c>
      <c r="Z48" s="208">
        <v>6.0</v>
      </c>
      <c r="AA48" s="208">
        <v>3.0</v>
      </c>
      <c r="AB48" s="208">
        <v>3.0</v>
      </c>
      <c r="AC48" s="208">
        <v>0.0</v>
      </c>
      <c r="AD48" s="208">
        <v>0.0</v>
      </c>
      <c r="AE48" s="208">
        <v>78.0</v>
      </c>
      <c r="AF48" s="208">
        <v>88.0</v>
      </c>
      <c r="AG48" s="208">
        <v>26.0</v>
      </c>
      <c r="AH48" s="581">
        <f t="shared" si="1"/>
        <v>47577.57654</v>
      </c>
      <c r="AI48" s="581">
        <f t="shared" si="2"/>
        <v>3.384615385</v>
      </c>
      <c r="AJ48" s="124">
        <v>12.0</v>
      </c>
      <c r="AK48" s="208">
        <v>0.0</v>
      </c>
      <c r="AL48" s="582">
        <f t="shared" si="3"/>
        <v>0.00000970075601</v>
      </c>
      <c r="AM48" s="208">
        <v>51542.0</v>
      </c>
      <c r="AN48" s="582">
        <f t="shared" si="4"/>
        <v>0.6289915832</v>
      </c>
      <c r="AO48" s="583">
        <v>0.0</v>
      </c>
      <c r="AP48" s="208">
        <v>27.0</v>
      </c>
      <c r="AQ48" s="208">
        <v>181.0</v>
      </c>
      <c r="AR48" s="208">
        <v>1139.16</v>
      </c>
      <c r="AS48" s="208">
        <v>1.0</v>
      </c>
      <c r="AT48" s="208">
        <v>21.0</v>
      </c>
      <c r="AV48" s="124" t="str">
        <f t="shared" si="5"/>
        <v>Active</v>
      </c>
    </row>
    <row r="49">
      <c r="A49" s="124" t="s">
        <v>298</v>
      </c>
      <c r="B49" s="208" t="s">
        <v>301</v>
      </c>
      <c r="C49" s="208" t="s">
        <v>637</v>
      </c>
      <c r="D49" s="208" t="s">
        <v>1066</v>
      </c>
      <c r="E49" s="208" t="s">
        <v>317</v>
      </c>
      <c r="F49" s="580">
        <v>45778.0</v>
      </c>
      <c r="G49" s="208">
        <v>0.0</v>
      </c>
      <c r="H49" s="208">
        <v>1200000.0</v>
      </c>
      <c r="I49" s="208">
        <v>359170.24</v>
      </c>
      <c r="J49" s="208">
        <v>0.0</v>
      </c>
      <c r="K49" s="208">
        <v>74.0</v>
      </c>
      <c r="L49" s="208">
        <v>44.0</v>
      </c>
      <c r="M49" s="208">
        <v>5.0</v>
      </c>
      <c r="N49" s="208">
        <v>79.0</v>
      </c>
      <c r="O49" s="208">
        <v>35.0</v>
      </c>
      <c r="P49" s="208">
        <v>240936.66</v>
      </c>
      <c r="Q49" s="208">
        <v>118233.58</v>
      </c>
      <c r="R49" s="208">
        <v>10.0</v>
      </c>
      <c r="S49" s="208">
        <v>5.0</v>
      </c>
      <c r="T49" s="208">
        <v>15.0</v>
      </c>
      <c r="U49" s="208">
        <v>0.0</v>
      </c>
      <c r="V49" s="208">
        <v>39.0</v>
      </c>
      <c r="W49" s="208">
        <v>44.0</v>
      </c>
      <c r="X49" s="208">
        <v>84.0</v>
      </c>
      <c r="Y49" s="208">
        <v>4.0</v>
      </c>
      <c r="Z49" s="208">
        <v>7.0</v>
      </c>
      <c r="AA49" s="208">
        <v>1.0</v>
      </c>
      <c r="AB49" s="208">
        <v>3.0</v>
      </c>
      <c r="AC49" s="208">
        <v>0.0</v>
      </c>
      <c r="AD49" s="208">
        <v>0.0</v>
      </c>
      <c r="AE49" s="208">
        <v>62.0</v>
      </c>
      <c r="AF49" s="208">
        <v>116.0</v>
      </c>
      <c r="AG49" s="208">
        <v>25.0</v>
      </c>
      <c r="AH49" s="581">
        <f t="shared" si="1"/>
        <v>14366.8096</v>
      </c>
      <c r="AI49" s="581">
        <f t="shared" si="2"/>
        <v>4.64</v>
      </c>
      <c r="AJ49" s="124">
        <v>2.0</v>
      </c>
      <c r="AK49" s="208">
        <v>0.0</v>
      </c>
      <c r="AL49" s="582">
        <f t="shared" si="3"/>
        <v>0.000005568390076</v>
      </c>
      <c r="AM49" s="208">
        <v>23945.0</v>
      </c>
      <c r="AN49" s="582">
        <f t="shared" si="4"/>
        <v>0.2993085333</v>
      </c>
      <c r="AO49" s="583">
        <v>0.0</v>
      </c>
      <c r="AP49" s="208">
        <v>18.0</v>
      </c>
      <c r="AQ49" s="208">
        <v>196.0</v>
      </c>
      <c r="AR49" s="208">
        <v>903.28</v>
      </c>
      <c r="AS49" s="208">
        <v>5.0</v>
      </c>
      <c r="AT49" s="208">
        <v>21.0</v>
      </c>
      <c r="AV49" s="124" t="str">
        <f t="shared" si="5"/>
        <v>Active</v>
      </c>
    </row>
    <row r="50">
      <c r="A50" s="124" t="s">
        <v>298</v>
      </c>
      <c r="B50" s="208" t="s">
        <v>301</v>
      </c>
      <c r="C50" s="208" t="s">
        <v>355</v>
      </c>
      <c r="D50" s="208" t="s">
        <v>1066</v>
      </c>
      <c r="E50" s="208" t="s">
        <v>319</v>
      </c>
      <c r="F50" s="580">
        <v>44635.0</v>
      </c>
      <c r="G50" s="208">
        <v>0.0</v>
      </c>
      <c r="H50" s="208">
        <v>0.0</v>
      </c>
      <c r="I50" s="208">
        <v>0.0</v>
      </c>
      <c r="J50" s="208">
        <v>0.0</v>
      </c>
      <c r="K50" s="208">
        <v>117.0</v>
      </c>
      <c r="L50" s="208">
        <v>0.0</v>
      </c>
      <c r="M50" s="208">
        <v>0.0</v>
      </c>
      <c r="N50" s="208">
        <v>117.0</v>
      </c>
      <c r="O50" s="208">
        <v>117.0</v>
      </c>
      <c r="P50" s="208">
        <v>0.0</v>
      </c>
      <c r="Q50" s="208">
        <v>0.0</v>
      </c>
      <c r="R50" s="208">
        <v>0.0</v>
      </c>
      <c r="S50" s="208">
        <v>0.0</v>
      </c>
      <c r="T50" s="208">
        <v>0.0</v>
      </c>
      <c r="U50" s="208">
        <v>0.0</v>
      </c>
      <c r="V50" s="208">
        <v>0.0</v>
      </c>
      <c r="W50" s="208">
        <v>0.0</v>
      </c>
      <c r="X50" s="208">
        <v>128.0</v>
      </c>
      <c r="Y50" s="208">
        <v>0.0</v>
      </c>
      <c r="Z50" s="208">
        <v>0.0</v>
      </c>
      <c r="AA50" s="208">
        <v>0.0</v>
      </c>
      <c r="AB50" s="208">
        <v>0.0</v>
      </c>
      <c r="AC50" s="208">
        <v>0.0</v>
      </c>
      <c r="AD50" s="208">
        <v>0.0</v>
      </c>
      <c r="AE50" s="208">
        <v>0.0</v>
      </c>
      <c r="AF50" s="208">
        <v>0.0</v>
      </c>
      <c r="AG50" s="208">
        <v>0.0</v>
      </c>
      <c r="AH50" s="581" t="str">
        <f t="shared" si="1"/>
        <v/>
      </c>
      <c r="AI50" s="581" t="str">
        <f t="shared" si="2"/>
        <v/>
      </c>
      <c r="AJ50" s="124">
        <v>0.0</v>
      </c>
      <c r="AK50" s="208">
        <v>0.0</v>
      </c>
      <c r="AL50" s="582" t="str">
        <f t="shared" si="3"/>
        <v/>
      </c>
      <c r="AM50" s="208">
        <v>0.0</v>
      </c>
      <c r="AN50" s="582" t="str">
        <f t="shared" si="4"/>
        <v/>
      </c>
      <c r="AO50" s="583">
        <v>0.0</v>
      </c>
      <c r="AP50" s="208">
        <v>0.0</v>
      </c>
      <c r="AQ50" s="208">
        <v>0.0</v>
      </c>
      <c r="AR50" s="208">
        <v>0.0</v>
      </c>
      <c r="AS50" s="208">
        <v>0.0</v>
      </c>
      <c r="AT50" s="208">
        <v>0.0</v>
      </c>
      <c r="AU50" s="585">
        <v>45754.0</v>
      </c>
      <c r="AV50" s="124" t="str">
        <f t="shared" si="5"/>
        <v>Left</v>
      </c>
    </row>
    <row r="51">
      <c r="A51" s="124" t="s">
        <v>126</v>
      </c>
      <c r="B51" s="208" t="s">
        <v>135</v>
      </c>
      <c r="C51" s="208" t="s">
        <v>148</v>
      </c>
      <c r="D51" s="208" t="s">
        <v>1042</v>
      </c>
      <c r="E51" s="208" t="s">
        <v>149</v>
      </c>
      <c r="F51" s="580">
        <v>44662.0</v>
      </c>
      <c r="G51" s="208">
        <v>100000.0</v>
      </c>
      <c r="H51" s="208">
        <v>1633333.0</v>
      </c>
      <c r="I51" s="208">
        <v>1638013.03</v>
      </c>
      <c r="J51" s="208">
        <v>0.0</v>
      </c>
      <c r="K51" s="208">
        <v>39.0</v>
      </c>
      <c r="L51" s="208">
        <v>30.0</v>
      </c>
      <c r="M51" s="208">
        <v>1.0</v>
      </c>
      <c r="N51" s="208">
        <v>40.0</v>
      </c>
      <c r="O51" s="208">
        <v>10.0</v>
      </c>
      <c r="P51" s="208">
        <v>1594730.43</v>
      </c>
      <c r="Q51" s="208">
        <v>43282.6</v>
      </c>
      <c r="R51" s="208">
        <v>12.0</v>
      </c>
      <c r="S51" s="208">
        <v>1.0</v>
      </c>
      <c r="T51" s="208">
        <v>13.0</v>
      </c>
      <c r="U51" s="208">
        <v>0.0</v>
      </c>
      <c r="V51" s="208">
        <v>68.0</v>
      </c>
      <c r="W51" s="208">
        <v>74.0</v>
      </c>
      <c r="X51" s="208">
        <v>370.0</v>
      </c>
      <c r="Y51" s="208">
        <v>0.0</v>
      </c>
      <c r="Z51" s="208">
        <v>0.0</v>
      </c>
      <c r="AA51" s="208">
        <v>0.0</v>
      </c>
      <c r="AB51" s="208">
        <v>0.0</v>
      </c>
      <c r="AC51" s="208">
        <v>0.0</v>
      </c>
      <c r="AD51" s="208">
        <v>0.0</v>
      </c>
      <c r="AE51" s="208">
        <v>53.0</v>
      </c>
      <c r="AF51" s="208">
        <v>127.0</v>
      </c>
      <c r="AG51" s="208">
        <v>23.0</v>
      </c>
      <c r="AH51" s="581">
        <f t="shared" si="1"/>
        <v>71217.95783</v>
      </c>
      <c r="AI51" s="581">
        <f t="shared" si="2"/>
        <v>5.52173913</v>
      </c>
      <c r="AJ51" s="124">
        <v>1.0</v>
      </c>
      <c r="AK51" s="208">
        <v>0.0</v>
      </c>
      <c r="AL51" s="582">
        <f t="shared" si="3"/>
        <v>0.0000006104957541</v>
      </c>
      <c r="AM51" s="208">
        <v>126001.0</v>
      </c>
      <c r="AN51" s="582">
        <f t="shared" si="4"/>
        <v>0.945007699</v>
      </c>
      <c r="AO51" s="583">
        <v>0.0</v>
      </c>
      <c r="AP51" s="208">
        <v>16.0</v>
      </c>
      <c r="AQ51" s="208">
        <v>164.0</v>
      </c>
      <c r="AR51" s="208">
        <v>1799.52</v>
      </c>
      <c r="AS51" s="208">
        <v>1.0</v>
      </c>
      <c r="AT51" s="208">
        <v>60.0</v>
      </c>
      <c r="AV51" s="124" t="str">
        <f t="shared" si="5"/>
        <v>Active</v>
      </c>
    </row>
    <row r="52">
      <c r="A52" s="124" t="s">
        <v>53</v>
      </c>
      <c r="B52" s="208" t="s">
        <v>61</v>
      </c>
      <c r="C52" s="208" t="s">
        <v>654</v>
      </c>
      <c r="D52" s="208" t="s">
        <v>1077</v>
      </c>
      <c r="E52" s="208" t="s">
        <v>1114</v>
      </c>
      <c r="F52" s="580">
        <v>45778.0</v>
      </c>
      <c r="G52" s="208">
        <v>0.0</v>
      </c>
      <c r="H52" s="208">
        <v>0.0</v>
      </c>
      <c r="I52" s="208">
        <v>0.0</v>
      </c>
      <c r="J52" s="208">
        <v>0.0</v>
      </c>
      <c r="K52" s="208">
        <v>57.0</v>
      </c>
      <c r="L52" s="208">
        <v>9.0</v>
      </c>
      <c r="M52" s="208">
        <v>0.0</v>
      </c>
      <c r="N52" s="208">
        <v>57.0</v>
      </c>
      <c r="O52" s="208">
        <v>48.0</v>
      </c>
      <c r="P52" s="208">
        <v>0.0</v>
      </c>
      <c r="Q52" s="208">
        <v>0.0</v>
      </c>
      <c r="R52" s="208">
        <v>0.0</v>
      </c>
      <c r="S52" s="208">
        <v>0.0</v>
      </c>
      <c r="T52" s="208">
        <v>0.0</v>
      </c>
      <c r="U52" s="208">
        <v>0.0</v>
      </c>
      <c r="V52" s="208">
        <v>12.0</v>
      </c>
      <c r="W52" s="208">
        <v>13.0</v>
      </c>
      <c r="X52" s="208">
        <v>86.0</v>
      </c>
      <c r="Y52" s="208">
        <v>6.0</v>
      </c>
      <c r="Z52" s="208">
        <v>12.0</v>
      </c>
      <c r="AA52" s="208">
        <v>0.0</v>
      </c>
      <c r="AB52" s="208">
        <v>0.0</v>
      </c>
      <c r="AC52" s="208">
        <v>9.0</v>
      </c>
      <c r="AD52" s="208">
        <v>13.0</v>
      </c>
      <c r="AE52" s="208">
        <v>21.0</v>
      </c>
      <c r="AF52" s="208">
        <v>59.0</v>
      </c>
      <c r="AG52" s="208">
        <v>26.0</v>
      </c>
      <c r="AH52" s="581">
        <f t="shared" si="1"/>
        <v>0</v>
      </c>
      <c r="AI52" s="581">
        <f t="shared" si="2"/>
        <v>2.269230769</v>
      </c>
      <c r="AJ52" s="124">
        <v>0.0</v>
      </c>
      <c r="AK52" s="208">
        <v>0.0</v>
      </c>
      <c r="AL52" s="582" t="str">
        <f t="shared" si="3"/>
        <v/>
      </c>
      <c r="AM52" s="208">
        <v>0.0</v>
      </c>
      <c r="AN52" s="582" t="str">
        <f t="shared" si="4"/>
        <v/>
      </c>
      <c r="AO52" s="583">
        <v>0.0</v>
      </c>
      <c r="AP52" s="208">
        <v>0.0</v>
      </c>
      <c r="AQ52" s="208">
        <v>257.0</v>
      </c>
      <c r="AR52" s="208">
        <v>4325.76</v>
      </c>
      <c r="AS52" s="208">
        <v>0.0</v>
      </c>
      <c r="AT52" s="208">
        <v>481.0</v>
      </c>
      <c r="AV52" s="124" t="str">
        <f t="shared" si="5"/>
        <v>Active</v>
      </c>
    </row>
    <row r="53">
      <c r="A53" s="124" t="s">
        <v>73</v>
      </c>
      <c r="B53" s="208" t="s">
        <v>1229</v>
      </c>
      <c r="C53" s="208" t="s">
        <v>74</v>
      </c>
      <c r="D53" s="208" t="s">
        <v>76</v>
      </c>
      <c r="E53" s="208" t="s">
        <v>1069</v>
      </c>
      <c r="F53" s="580">
        <v>44684.0</v>
      </c>
      <c r="G53" s="208">
        <v>333333.0</v>
      </c>
      <c r="H53" s="208">
        <v>2000000.0</v>
      </c>
      <c r="I53" s="208">
        <v>1403156.58</v>
      </c>
      <c r="J53" s="208">
        <v>0.0</v>
      </c>
      <c r="K53" s="208">
        <v>31.0</v>
      </c>
      <c r="L53" s="208">
        <v>28.0</v>
      </c>
      <c r="M53" s="208">
        <v>0.0</v>
      </c>
      <c r="N53" s="208">
        <v>31.0</v>
      </c>
      <c r="O53" s="208">
        <f>N53-L53</f>
        <v>3</v>
      </c>
      <c r="P53" s="208">
        <v>1403156.58</v>
      </c>
      <c r="Q53" s="208">
        <v>0.0</v>
      </c>
      <c r="R53" s="208">
        <v>10.0</v>
      </c>
      <c r="S53" s="208">
        <v>0.0</v>
      </c>
      <c r="T53" s="208">
        <v>10.0</v>
      </c>
      <c r="U53" s="208">
        <v>0.0</v>
      </c>
      <c r="V53" s="208">
        <v>1.0</v>
      </c>
      <c r="W53" s="208">
        <v>1.0</v>
      </c>
      <c r="X53" s="208">
        <v>106.0</v>
      </c>
      <c r="Y53" s="208">
        <v>0.0</v>
      </c>
      <c r="Z53" s="208">
        <v>15.0</v>
      </c>
      <c r="AA53" s="208">
        <v>0.0</v>
      </c>
      <c r="AB53" s="208">
        <v>0.0</v>
      </c>
      <c r="AC53" s="208">
        <v>0.0</v>
      </c>
      <c r="AD53" s="208">
        <v>0.0</v>
      </c>
      <c r="AE53" s="208">
        <v>107.0</v>
      </c>
      <c r="AF53" s="208">
        <f>AE53+Z53+W53</f>
        <v>123</v>
      </c>
      <c r="AG53" s="208">
        <v>25.0</v>
      </c>
      <c r="AH53" s="581">
        <f t="shared" si="1"/>
        <v>56126.2632</v>
      </c>
      <c r="AI53" s="581">
        <f t="shared" si="2"/>
        <v>4.92</v>
      </c>
      <c r="AJ53" s="124">
        <v>1.0</v>
      </c>
      <c r="AK53" s="208">
        <v>0.0</v>
      </c>
      <c r="AL53" s="582">
        <f t="shared" si="3"/>
        <v>0.0000007126788373</v>
      </c>
      <c r="AM53" s="208">
        <v>140316.0</v>
      </c>
      <c r="AN53" s="582">
        <f t="shared" si="4"/>
        <v>0.6013529059</v>
      </c>
      <c r="AO53" s="583">
        <v>0.0</v>
      </c>
      <c r="AP53" s="208">
        <v>11.0</v>
      </c>
      <c r="AQ53" s="208">
        <v>0.0</v>
      </c>
      <c r="AR53" s="208">
        <v>0.0</v>
      </c>
      <c r="AS53" s="208">
        <v>0.0</v>
      </c>
      <c r="AT53" s="208">
        <v>0.0</v>
      </c>
      <c r="AV53" s="124" t="str">
        <f t="shared" si="5"/>
        <v>Active</v>
      </c>
    </row>
    <row r="54">
      <c r="A54" s="124" t="s">
        <v>298</v>
      </c>
      <c r="B54" s="208" t="s">
        <v>301</v>
      </c>
      <c r="C54" s="208" t="s">
        <v>304</v>
      </c>
      <c r="D54" s="208" t="s">
        <v>1066</v>
      </c>
      <c r="E54" s="208" t="s">
        <v>305</v>
      </c>
      <c r="F54" s="580">
        <v>44697.0</v>
      </c>
      <c r="G54" s="208">
        <v>0.0</v>
      </c>
      <c r="H54" s="208">
        <v>1200000.0</v>
      </c>
      <c r="I54" s="208">
        <v>912087.05</v>
      </c>
      <c r="J54" s="208">
        <v>0.0</v>
      </c>
      <c r="K54" s="208">
        <v>76.0</v>
      </c>
      <c r="L54" s="208">
        <v>40.0</v>
      </c>
      <c r="M54" s="208">
        <v>1.0</v>
      </c>
      <c r="N54" s="208">
        <v>77.0</v>
      </c>
      <c r="O54" s="208">
        <v>37.0</v>
      </c>
      <c r="P54" s="208">
        <v>898926.85</v>
      </c>
      <c r="Q54" s="208">
        <v>13160.2</v>
      </c>
      <c r="R54" s="208">
        <v>14.0</v>
      </c>
      <c r="S54" s="208">
        <v>1.0</v>
      </c>
      <c r="T54" s="208">
        <v>15.0</v>
      </c>
      <c r="U54" s="208">
        <v>0.0</v>
      </c>
      <c r="V54" s="208">
        <v>5.0</v>
      </c>
      <c r="W54" s="208">
        <v>6.0</v>
      </c>
      <c r="X54" s="208">
        <v>293.0</v>
      </c>
      <c r="Y54" s="208">
        <v>0.0</v>
      </c>
      <c r="Z54" s="208">
        <v>0.0</v>
      </c>
      <c r="AA54" s="208">
        <v>0.0</v>
      </c>
      <c r="AB54" s="208">
        <v>0.0</v>
      </c>
      <c r="AC54" s="208">
        <v>0.0</v>
      </c>
      <c r="AD54" s="208">
        <v>0.0</v>
      </c>
      <c r="AE54" s="208">
        <v>96.0</v>
      </c>
      <c r="AF54" s="208">
        <v>102.0</v>
      </c>
      <c r="AG54" s="208">
        <v>25.0</v>
      </c>
      <c r="AH54" s="581">
        <f t="shared" si="1"/>
        <v>36483.482</v>
      </c>
      <c r="AI54" s="581">
        <f t="shared" si="2"/>
        <v>4.08</v>
      </c>
      <c r="AJ54" s="124">
        <v>0.0</v>
      </c>
      <c r="AK54" s="208">
        <v>0.0</v>
      </c>
      <c r="AL54" s="582">
        <f t="shared" si="3"/>
        <v>0</v>
      </c>
      <c r="AM54" s="208">
        <v>60806.0</v>
      </c>
      <c r="AN54" s="582">
        <f t="shared" si="4"/>
        <v>0.7600725417</v>
      </c>
      <c r="AO54" s="583">
        <v>0.0</v>
      </c>
      <c r="AP54" s="208">
        <v>28.0</v>
      </c>
      <c r="AQ54" s="208">
        <v>217.0</v>
      </c>
      <c r="AR54" s="208">
        <v>1947.14</v>
      </c>
      <c r="AS54" s="208">
        <v>1.0</v>
      </c>
      <c r="AT54" s="208">
        <v>49.0</v>
      </c>
      <c r="AV54" s="124" t="str">
        <f t="shared" si="5"/>
        <v>Active</v>
      </c>
    </row>
    <row r="55">
      <c r="A55" s="124" t="s">
        <v>97</v>
      </c>
      <c r="B55" s="208" t="s">
        <v>101</v>
      </c>
      <c r="C55" s="208" t="s">
        <v>99</v>
      </c>
      <c r="D55" s="208" t="s">
        <v>1062</v>
      </c>
      <c r="E55" s="208" t="s">
        <v>100</v>
      </c>
      <c r="F55" s="580">
        <v>44693.0</v>
      </c>
      <c r="G55" s="208">
        <v>0.0</v>
      </c>
      <c r="H55" s="208">
        <v>880000.0</v>
      </c>
      <c r="I55" s="208">
        <v>549078.0</v>
      </c>
      <c r="J55" s="208">
        <v>0.0</v>
      </c>
      <c r="K55" s="208">
        <v>68.0</v>
      </c>
      <c r="L55" s="208">
        <v>42.0</v>
      </c>
      <c r="M55" s="208">
        <v>2.0</v>
      </c>
      <c r="N55" s="208">
        <v>70.0</v>
      </c>
      <c r="O55" s="208">
        <v>28.0</v>
      </c>
      <c r="P55" s="208">
        <v>521280.0</v>
      </c>
      <c r="Q55" s="208">
        <v>27798.0</v>
      </c>
      <c r="R55" s="208">
        <v>14.0</v>
      </c>
      <c r="S55" s="208">
        <v>1.0</v>
      </c>
      <c r="T55" s="208">
        <v>15.0</v>
      </c>
      <c r="U55" s="208">
        <v>0.0</v>
      </c>
      <c r="V55" s="208">
        <v>2.0</v>
      </c>
      <c r="W55" s="208">
        <v>2.0</v>
      </c>
      <c r="X55" s="208">
        <v>41.0</v>
      </c>
      <c r="Y55" s="208">
        <v>1.0</v>
      </c>
      <c r="Z55" s="208">
        <v>1.0</v>
      </c>
      <c r="AA55" s="208">
        <v>0.0</v>
      </c>
      <c r="AB55" s="208">
        <v>0.0</v>
      </c>
      <c r="AC55" s="208">
        <v>0.0</v>
      </c>
      <c r="AD55" s="208">
        <v>0.0</v>
      </c>
      <c r="AE55" s="208">
        <v>110.0</v>
      </c>
      <c r="AF55" s="208">
        <v>113.0</v>
      </c>
      <c r="AG55" s="208">
        <v>24.0</v>
      </c>
      <c r="AH55" s="581">
        <f t="shared" si="1"/>
        <v>22878.25</v>
      </c>
      <c r="AI55" s="581">
        <f t="shared" si="2"/>
        <v>4.708333333</v>
      </c>
      <c r="AJ55" s="124">
        <v>0.0</v>
      </c>
      <c r="AK55" s="208">
        <v>0.0</v>
      </c>
      <c r="AL55" s="582">
        <f t="shared" si="3"/>
        <v>0</v>
      </c>
      <c r="AM55" s="208">
        <v>36605.0</v>
      </c>
      <c r="AN55" s="582">
        <f t="shared" si="4"/>
        <v>0.6239522727</v>
      </c>
      <c r="AO55" s="583">
        <v>0.0</v>
      </c>
      <c r="AP55" s="208">
        <v>15.0</v>
      </c>
      <c r="AQ55" s="208">
        <v>225.0</v>
      </c>
      <c r="AR55" s="208">
        <v>892.42</v>
      </c>
      <c r="AS55" s="208">
        <v>1.0</v>
      </c>
      <c r="AT55" s="208">
        <v>21.0</v>
      </c>
      <c r="AV55" s="124" t="str">
        <f t="shared" si="5"/>
        <v>Active</v>
      </c>
    </row>
    <row r="56">
      <c r="A56" s="124" t="s">
        <v>111</v>
      </c>
      <c r="B56" s="208" t="s">
        <v>117</v>
      </c>
      <c r="C56" s="208" t="s">
        <v>118</v>
      </c>
      <c r="D56" s="208" t="s">
        <v>1044</v>
      </c>
      <c r="E56" s="208" t="s">
        <v>119</v>
      </c>
      <c r="F56" s="580">
        <v>44743.0</v>
      </c>
      <c r="G56" s="208">
        <v>0.0</v>
      </c>
      <c r="H56" s="208">
        <v>1200000.0</v>
      </c>
      <c r="I56" s="208">
        <v>498491.33</v>
      </c>
      <c r="J56" s="208">
        <v>0.0</v>
      </c>
      <c r="K56" s="208">
        <v>75.0</v>
      </c>
      <c r="L56" s="208">
        <v>62.0</v>
      </c>
      <c r="M56" s="208">
        <v>0.0</v>
      </c>
      <c r="N56" s="208">
        <v>75.0</v>
      </c>
      <c r="O56" s="208">
        <v>13.0</v>
      </c>
      <c r="P56" s="208">
        <v>498491.33</v>
      </c>
      <c r="Q56" s="208">
        <v>0.0</v>
      </c>
      <c r="R56" s="208">
        <v>16.0</v>
      </c>
      <c r="S56" s="208">
        <v>0.0</v>
      </c>
      <c r="T56" s="208">
        <v>16.0</v>
      </c>
      <c r="U56" s="208">
        <v>0.0</v>
      </c>
      <c r="V56" s="208">
        <v>6.0</v>
      </c>
      <c r="W56" s="208">
        <v>6.0</v>
      </c>
      <c r="X56" s="208">
        <v>154.0</v>
      </c>
      <c r="Y56" s="208">
        <v>3.0</v>
      </c>
      <c r="Z56" s="208">
        <v>4.0</v>
      </c>
      <c r="AA56" s="208">
        <v>0.0</v>
      </c>
      <c r="AB56" s="208">
        <v>0.0</v>
      </c>
      <c r="AC56" s="208">
        <v>0.0</v>
      </c>
      <c r="AD56" s="208">
        <v>0.0</v>
      </c>
      <c r="AE56" s="208">
        <v>101.0</v>
      </c>
      <c r="AF56" s="208">
        <v>111.0</v>
      </c>
      <c r="AG56" s="208">
        <v>27.0</v>
      </c>
      <c r="AH56" s="581">
        <f t="shared" si="1"/>
        <v>18462.64185</v>
      </c>
      <c r="AI56" s="581">
        <f t="shared" si="2"/>
        <v>4.111111111</v>
      </c>
      <c r="AJ56" s="124">
        <v>0.0</v>
      </c>
      <c r="AK56" s="208">
        <v>0.0</v>
      </c>
      <c r="AL56" s="582">
        <f t="shared" si="3"/>
        <v>0</v>
      </c>
      <c r="AM56" s="208">
        <v>31156.0</v>
      </c>
      <c r="AN56" s="582">
        <f t="shared" si="4"/>
        <v>0.4154094417</v>
      </c>
      <c r="AO56" s="583">
        <v>0.0</v>
      </c>
      <c r="AP56" s="208">
        <v>25.0</v>
      </c>
      <c r="AQ56" s="208">
        <v>324.0</v>
      </c>
      <c r="AR56" s="208">
        <v>2300.0</v>
      </c>
      <c r="AS56" s="208">
        <v>0.0</v>
      </c>
      <c r="AT56" s="208">
        <v>37.0</v>
      </c>
      <c r="AV56" s="124" t="str">
        <f t="shared" si="5"/>
        <v>Active</v>
      </c>
    </row>
    <row r="57">
      <c r="A57" s="124" t="s">
        <v>322</v>
      </c>
      <c r="B57" s="208" t="s">
        <v>325</v>
      </c>
      <c r="C57" s="208" t="s">
        <v>326</v>
      </c>
      <c r="D57" s="208" t="s">
        <v>1049</v>
      </c>
      <c r="E57" s="208" t="s">
        <v>327</v>
      </c>
      <c r="F57" s="580">
        <v>45638.0</v>
      </c>
      <c r="G57" s="208">
        <v>0.0</v>
      </c>
      <c r="H57" s="208">
        <v>1041667.0</v>
      </c>
      <c r="I57" s="208">
        <v>0.0</v>
      </c>
      <c r="J57" s="208">
        <v>0.0</v>
      </c>
      <c r="K57" s="208">
        <v>97.0</v>
      </c>
      <c r="L57" s="208">
        <v>1.0</v>
      </c>
      <c r="M57" s="208">
        <v>0.0</v>
      </c>
      <c r="N57" s="208">
        <v>97.0</v>
      </c>
      <c r="O57" s="208">
        <v>96.0</v>
      </c>
      <c r="P57" s="208">
        <v>0.0</v>
      </c>
      <c r="Q57" s="208">
        <v>0.0</v>
      </c>
      <c r="R57" s="208">
        <v>0.0</v>
      </c>
      <c r="S57" s="208">
        <v>0.0</v>
      </c>
      <c r="T57" s="208">
        <v>0.0</v>
      </c>
      <c r="U57" s="208">
        <v>0.0</v>
      </c>
      <c r="V57" s="208">
        <v>53.0</v>
      </c>
      <c r="W57" s="208">
        <v>75.0</v>
      </c>
      <c r="X57" s="208">
        <v>198.0</v>
      </c>
      <c r="Y57" s="208">
        <v>1.0</v>
      </c>
      <c r="Z57" s="208">
        <v>3.0</v>
      </c>
      <c r="AA57" s="208">
        <v>0.0</v>
      </c>
      <c r="AB57" s="208">
        <v>0.0</v>
      </c>
      <c r="AC57" s="208">
        <v>0.0</v>
      </c>
      <c r="AD57" s="208">
        <v>0.0</v>
      </c>
      <c r="AE57" s="208">
        <v>1.0</v>
      </c>
      <c r="AF57" s="208">
        <v>79.0</v>
      </c>
      <c r="AG57" s="208">
        <v>23.0</v>
      </c>
      <c r="AH57" s="581">
        <f t="shared" si="1"/>
        <v>0</v>
      </c>
      <c r="AI57" s="581">
        <f t="shared" si="2"/>
        <v>3.434782609</v>
      </c>
      <c r="AJ57" s="124">
        <v>0.0</v>
      </c>
      <c r="AK57" s="208">
        <v>0.0</v>
      </c>
      <c r="AL57" s="582" t="str">
        <f t="shared" si="3"/>
        <v/>
      </c>
      <c r="AM57" s="208">
        <v>0.0</v>
      </c>
      <c r="AN57" s="582">
        <f t="shared" si="4"/>
        <v>0</v>
      </c>
      <c r="AO57" s="583">
        <v>0.0</v>
      </c>
      <c r="AP57" s="208">
        <v>0.0</v>
      </c>
      <c r="AQ57" s="208">
        <v>249.0</v>
      </c>
      <c r="AR57" s="208">
        <v>841.07</v>
      </c>
      <c r="AS57" s="208">
        <v>0.0</v>
      </c>
      <c r="AT57" s="208">
        <v>841.0</v>
      </c>
      <c r="AV57" s="124" t="str">
        <f t="shared" si="5"/>
        <v>Active</v>
      </c>
    </row>
    <row r="58">
      <c r="A58" s="124" t="s">
        <v>126</v>
      </c>
      <c r="B58" s="208" t="s">
        <v>135</v>
      </c>
      <c r="C58" s="208" t="s">
        <v>437</v>
      </c>
      <c r="D58" s="208" t="s">
        <v>1042</v>
      </c>
      <c r="E58" s="208" t="s">
        <v>176</v>
      </c>
      <c r="F58" s="580">
        <v>44805.0</v>
      </c>
      <c r="G58" s="208">
        <v>200000.0</v>
      </c>
      <c r="H58" s="208">
        <v>1466667.0</v>
      </c>
      <c r="I58" s="208">
        <v>262048.75</v>
      </c>
      <c r="J58" s="208">
        <v>0.0</v>
      </c>
      <c r="K58" s="208">
        <v>76.0</v>
      </c>
      <c r="L58" s="208">
        <v>49.0</v>
      </c>
      <c r="M58" s="208">
        <v>1.0</v>
      </c>
      <c r="N58" s="208">
        <v>77.0</v>
      </c>
      <c r="O58" s="208">
        <v>28.0</v>
      </c>
      <c r="P58" s="208">
        <v>232410.65</v>
      </c>
      <c r="Q58" s="208">
        <v>29638.1</v>
      </c>
      <c r="R58" s="208">
        <v>15.0</v>
      </c>
      <c r="S58" s="208">
        <v>1.0</v>
      </c>
      <c r="T58" s="208">
        <v>16.0</v>
      </c>
      <c r="U58" s="208">
        <v>0.0</v>
      </c>
      <c r="V58" s="208">
        <v>24.0</v>
      </c>
      <c r="W58" s="208">
        <v>24.0</v>
      </c>
      <c r="X58" s="208">
        <v>356.0</v>
      </c>
      <c r="Y58" s="208">
        <v>1.0</v>
      </c>
      <c r="Z58" s="208">
        <v>7.0</v>
      </c>
      <c r="AA58" s="208">
        <v>3.0</v>
      </c>
      <c r="AB58" s="208">
        <v>5.0</v>
      </c>
      <c r="AC58" s="208">
        <v>1.0</v>
      </c>
      <c r="AD58" s="208">
        <v>1.0</v>
      </c>
      <c r="AE58" s="208">
        <v>74.0</v>
      </c>
      <c r="AF58" s="208">
        <v>111.0</v>
      </c>
      <c r="AG58" s="208">
        <v>25.0</v>
      </c>
      <c r="AH58" s="581">
        <f t="shared" si="1"/>
        <v>10481.95</v>
      </c>
      <c r="AI58" s="581">
        <f t="shared" si="2"/>
        <v>4.44</v>
      </c>
      <c r="AJ58" s="124">
        <v>3.0</v>
      </c>
      <c r="AK58" s="208">
        <v>0.0</v>
      </c>
      <c r="AL58" s="582">
        <f t="shared" si="3"/>
        <v>0.00001144825152</v>
      </c>
      <c r="AM58" s="208">
        <v>16378.0</v>
      </c>
      <c r="AN58" s="582">
        <f t="shared" si="4"/>
        <v>0.1572292186</v>
      </c>
      <c r="AO58" s="583">
        <v>0.0</v>
      </c>
      <c r="AP58" s="208">
        <v>21.0</v>
      </c>
      <c r="AQ58" s="208">
        <v>210.0</v>
      </c>
      <c r="AR58" s="208">
        <v>1117.16</v>
      </c>
      <c r="AS58" s="208">
        <v>1.0</v>
      </c>
      <c r="AT58" s="208">
        <v>23.0</v>
      </c>
      <c r="AV58" s="124" t="str">
        <f t="shared" si="5"/>
        <v>Active</v>
      </c>
    </row>
    <row r="59">
      <c r="A59" s="124" t="s">
        <v>23</v>
      </c>
      <c r="B59" s="208" t="s">
        <v>30</v>
      </c>
      <c r="C59" s="208" t="s">
        <v>24</v>
      </c>
      <c r="D59" s="208" t="s">
        <v>30</v>
      </c>
      <c r="E59" s="208" t="s">
        <v>25</v>
      </c>
      <c r="F59" s="580">
        <v>44809.0</v>
      </c>
      <c r="G59" s="208">
        <v>0.0</v>
      </c>
      <c r="H59" s="208">
        <v>1800000.0</v>
      </c>
      <c r="I59" s="208">
        <v>1278357.04</v>
      </c>
      <c r="J59" s="208">
        <v>0.0</v>
      </c>
      <c r="K59" s="208">
        <v>98.0</v>
      </c>
      <c r="L59" s="208">
        <v>61.0</v>
      </c>
      <c r="M59" s="208">
        <v>2.0</v>
      </c>
      <c r="N59" s="208">
        <v>100.0</v>
      </c>
      <c r="O59" s="208">
        <v>39.0</v>
      </c>
      <c r="P59" s="208">
        <v>1278357.04</v>
      </c>
      <c r="Q59" s="208">
        <v>0.0</v>
      </c>
      <c r="R59" s="208">
        <v>37.0</v>
      </c>
      <c r="S59" s="208">
        <v>0.0</v>
      </c>
      <c r="T59" s="208">
        <v>37.0</v>
      </c>
      <c r="U59" s="208">
        <v>0.0</v>
      </c>
      <c r="V59" s="208">
        <v>4.0</v>
      </c>
      <c r="W59" s="208">
        <v>4.0</v>
      </c>
      <c r="X59" s="208">
        <v>204.0</v>
      </c>
      <c r="Y59" s="208">
        <v>5.0</v>
      </c>
      <c r="Z59" s="208">
        <v>19.0</v>
      </c>
      <c r="AA59" s="208">
        <v>0.0</v>
      </c>
      <c r="AB59" s="208">
        <v>0.0</v>
      </c>
      <c r="AC59" s="208">
        <v>0.0</v>
      </c>
      <c r="AD59" s="208">
        <v>0.0</v>
      </c>
      <c r="AE59" s="208">
        <v>110.0</v>
      </c>
      <c r="AF59" s="208">
        <v>133.0</v>
      </c>
      <c r="AG59" s="208">
        <v>24.0</v>
      </c>
      <c r="AH59" s="581">
        <f t="shared" si="1"/>
        <v>53264.87667</v>
      </c>
      <c r="AI59" s="581">
        <f t="shared" si="2"/>
        <v>5.541666667</v>
      </c>
      <c r="AJ59" s="124">
        <v>0.0</v>
      </c>
      <c r="AK59" s="208">
        <v>0.0</v>
      </c>
      <c r="AL59" s="582">
        <f t="shared" si="3"/>
        <v>0</v>
      </c>
      <c r="AM59" s="208">
        <v>34550.0</v>
      </c>
      <c r="AN59" s="582">
        <f t="shared" si="4"/>
        <v>0.7101983556</v>
      </c>
      <c r="AO59" s="583">
        <v>0.0</v>
      </c>
      <c r="AP59" s="208">
        <v>62.0</v>
      </c>
      <c r="AQ59" s="208">
        <v>240.0</v>
      </c>
      <c r="AR59" s="208">
        <v>894.88</v>
      </c>
      <c r="AS59" s="208">
        <v>0.0</v>
      </c>
      <c r="AT59" s="208">
        <v>15.0</v>
      </c>
      <c r="AV59" s="124" t="str">
        <f t="shared" si="5"/>
        <v>Active</v>
      </c>
    </row>
    <row r="60">
      <c r="A60" s="124" t="s">
        <v>298</v>
      </c>
      <c r="B60" s="208" t="s">
        <v>301</v>
      </c>
      <c r="C60" s="208" t="s">
        <v>306</v>
      </c>
      <c r="D60" s="208" t="s">
        <v>1066</v>
      </c>
      <c r="E60" s="208" t="s">
        <v>226</v>
      </c>
      <c r="F60" s="580">
        <v>44825.0</v>
      </c>
      <c r="G60" s="208">
        <v>0.0</v>
      </c>
      <c r="H60" s="208">
        <v>1800000.0</v>
      </c>
      <c r="I60" s="208">
        <v>923458.8</v>
      </c>
      <c r="J60" s="208">
        <v>0.0</v>
      </c>
      <c r="K60" s="208">
        <v>92.0</v>
      </c>
      <c r="L60" s="208">
        <v>70.0</v>
      </c>
      <c r="M60" s="208">
        <v>1.0</v>
      </c>
      <c r="N60" s="208">
        <v>93.0</v>
      </c>
      <c r="O60" s="208">
        <v>23.0</v>
      </c>
      <c r="P60" s="208">
        <v>904234.8</v>
      </c>
      <c r="Q60" s="208">
        <v>19224.0</v>
      </c>
      <c r="R60" s="208">
        <v>22.0</v>
      </c>
      <c r="S60" s="208">
        <v>1.0</v>
      </c>
      <c r="T60" s="208">
        <v>23.0</v>
      </c>
      <c r="U60" s="208">
        <v>0.0</v>
      </c>
      <c r="V60" s="208">
        <v>7.0</v>
      </c>
      <c r="W60" s="208">
        <v>7.0</v>
      </c>
      <c r="X60" s="208">
        <v>160.0</v>
      </c>
      <c r="Y60" s="208">
        <v>1.0</v>
      </c>
      <c r="Z60" s="208">
        <v>7.0</v>
      </c>
      <c r="AA60" s="208">
        <v>1.0</v>
      </c>
      <c r="AB60" s="208">
        <v>1.0</v>
      </c>
      <c r="AC60" s="208">
        <v>0.0</v>
      </c>
      <c r="AD60" s="208">
        <v>0.0</v>
      </c>
      <c r="AE60" s="208">
        <v>135.0</v>
      </c>
      <c r="AF60" s="208">
        <v>150.0</v>
      </c>
      <c r="AG60" s="208">
        <v>26.0</v>
      </c>
      <c r="AH60" s="581">
        <f t="shared" si="1"/>
        <v>35517.64615</v>
      </c>
      <c r="AI60" s="581">
        <f t="shared" si="2"/>
        <v>5.769230769</v>
      </c>
      <c r="AJ60" s="124">
        <v>1.0</v>
      </c>
      <c r="AK60" s="208">
        <v>0.0</v>
      </c>
      <c r="AL60" s="582">
        <f t="shared" si="3"/>
        <v>0.000001082885344</v>
      </c>
      <c r="AM60" s="208">
        <v>40150.0</v>
      </c>
      <c r="AN60" s="582">
        <f t="shared" si="4"/>
        <v>0.5130326667</v>
      </c>
      <c r="AO60" s="583">
        <v>0.0</v>
      </c>
      <c r="AP60" s="208">
        <v>34.0</v>
      </c>
      <c r="AQ60" s="208">
        <v>284.0</v>
      </c>
      <c r="AR60" s="208">
        <v>1915.75</v>
      </c>
      <c r="AS60" s="208">
        <v>1.0</v>
      </c>
      <c r="AT60" s="208">
        <v>27.0</v>
      </c>
      <c r="AV60" s="124" t="str">
        <f t="shared" si="5"/>
        <v>Active</v>
      </c>
    </row>
    <row r="61">
      <c r="A61" s="124" t="s">
        <v>126</v>
      </c>
      <c r="B61" s="208" t="s">
        <v>130</v>
      </c>
      <c r="C61" s="208" t="s">
        <v>150</v>
      </c>
      <c r="D61" s="208" t="s">
        <v>130</v>
      </c>
      <c r="E61" s="208" t="s">
        <v>151</v>
      </c>
      <c r="F61" s="580">
        <v>44911.0</v>
      </c>
      <c r="G61" s="208">
        <v>0.0</v>
      </c>
      <c r="H61" s="208">
        <v>1666667.0</v>
      </c>
      <c r="I61" s="208">
        <v>1334796.03</v>
      </c>
      <c r="J61" s="208">
        <v>0.0</v>
      </c>
      <c r="K61" s="208">
        <v>208.0</v>
      </c>
      <c r="L61" s="208">
        <v>118.0</v>
      </c>
      <c r="M61" s="208">
        <v>12.0</v>
      </c>
      <c r="N61" s="208">
        <v>220.0</v>
      </c>
      <c r="O61" s="208">
        <v>102.0</v>
      </c>
      <c r="P61" s="208">
        <v>1044364.37</v>
      </c>
      <c r="Q61" s="208">
        <v>290431.66</v>
      </c>
      <c r="R61" s="208">
        <v>59.0</v>
      </c>
      <c r="S61" s="208">
        <v>10.0</v>
      </c>
      <c r="T61" s="208">
        <v>69.0</v>
      </c>
      <c r="U61" s="208">
        <v>0.0</v>
      </c>
      <c r="V61" s="208">
        <v>6.0</v>
      </c>
      <c r="W61" s="208">
        <v>7.0</v>
      </c>
      <c r="X61" s="208">
        <v>152.0</v>
      </c>
      <c r="Y61" s="208">
        <v>2.0</v>
      </c>
      <c r="Z61" s="208">
        <v>16.0</v>
      </c>
      <c r="AA61" s="208">
        <v>0.0</v>
      </c>
      <c r="AB61" s="208">
        <v>0.0</v>
      </c>
      <c r="AC61" s="208">
        <v>0.0</v>
      </c>
      <c r="AD61" s="208">
        <v>0.0</v>
      </c>
      <c r="AE61" s="208">
        <v>160.0</v>
      </c>
      <c r="AF61" s="208">
        <v>183.0</v>
      </c>
      <c r="AG61" s="208">
        <v>25.0</v>
      </c>
      <c r="AH61" s="581">
        <f t="shared" si="1"/>
        <v>53391.8412</v>
      </c>
      <c r="AI61" s="581">
        <f t="shared" si="2"/>
        <v>7.32</v>
      </c>
      <c r="AJ61" s="124">
        <v>1.0</v>
      </c>
      <c r="AK61" s="208">
        <v>0.0</v>
      </c>
      <c r="AL61" s="582">
        <f t="shared" si="3"/>
        <v>0.0000007491781347</v>
      </c>
      <c r="AM61" s="208">
        <v>19345.0</v>
      </c>
      <c r="AN61" s="582">
        <f t="shared" si="4"/>
        <v>0.8008774578</v>
      </c>
      <c r="AO61" s="583">
        <v>0.0</v>
      </c>
      <c r="AP61" s="208">
        <v>90.0</v>
      </c>
      <c r="AQ61" s="208">
        <v>184.0</v>
      </c>
      <c r="AR61" s="208">
        <v>1536.49</v>
      </c>
      <c r="AS61" s="208">
        <v>10.0</v>
      </c>
      <c r="AT61" s="208">
        <v>13.0</v>
      </c>
      <c r="AV61" s="124" t="str">
        <f t="shared" si="5"/>
        <v>Active</v>
      </c>
    </row>
    <row r="62">
      <c r="A62" s="124" t="s">
        <v>322</v>
      </c>
      <c r="B62" s="208" t="s">
        <v>325</v>
      </c>
      <c r="C62" s="208" t="s">
        <v>689</v>
      </c>
      <c r="D62" s="208" t="s">
        <v>1049</v>
      </c>
      <c r="E62" s="208" t="s">
        <v>1071</v>
      </c>
      <c r="F62" s="580">
        <v>44928.0</v>
      </c>
      <c r="G62" s="208">
        <v>0.0</v>
      </c>
      <c r="H62" s="208">
        <v>833333.0</v>
      </c>
      <c r="I62" s="208">
        <v>287291.69</v>
      </c>
      <c r="J62" s="208">
        <v>0.0</v>
      </c>
      <c r="K62" s="208">
        <v>73.0</v>
      </c>
      <c r="L62" s="208">
        <v>55.0</v>
      </c>
      <c r="M62" s="208">
        <v>3.0</v>
      </c>
      <c r="N62" s="208">
        <v>76.0</v>
      </c>
      <c r="O62" s="208">
        <v>21.0</v>
      </c>
      <c r="P62" s="208">
        <v>194533.54</v>
      </c>
      <c r="Q62" s="208">
        <v>92758.15</v>
      </c>
      <c r="R62" s="208">
        <v>14.0</v>
      </c>
      <c r="S62" s="208">
        <v>3.0</v>
      </c>
      <c r="T62" s="208">
        <v>17.0</v>
      </c>
      <c r="U62" s="208">
        <v>0.0</v>
      </c>
      <c r="V62" s="208">
        <v>29.0</v>
      </c>
      <c r="W62" s="208">
        <v>31.0</v>
      </c>
      <c r="X62" s="208">
        <v>191.0</v>
      </c>
      <c r="Y62" s="208">
        <v>3.0</v>
      </c>
      <c r="Z62" s="208">
        <v>11.0</v>
      </c>
      <c r="AA62" s="208">
        <v>0.0</v>
      </c>
      <c r="AB62" s="208">
        <v>0.0</v>
      </c>
      <c r="AC62" s="208">
        <v>0.0</v>
      </c>
      <c r="AD62" s="208">
        <v>0.0</v>
      </c>
      <c r="AE62" s="208">
        <v>66.0</v>
      </c>
      <c r="AF62" s="208">
        <v>108.0</v>
      </c>
      <c r="AG62" s="208">
        <v>26.0</v>
      </c>
      <c r="AH62" s="581">
        <f t="shared" si="1"/>
        <v>11049.68038</v>
      </c>
      <c r="AI62" s="581">
        <f t="shared" si="2"/>
        <v>4.153846154</v>
      </c>
      <c r="AJ62" s="124">
        <v>0.0</v>
      </c>
      <c r="AK62" s="208">
        <v>0.0</v>
      </c>
      <c r="AL62" s="582">
        <f t="shared" si="3"/>
        <v>0</v>
      </c>
      <c r="AM62" s="208">
        <v>16900.0</v>
      </c>
      <c r="AN62" s="582">
        <f t="shared" si="4"/>
        <v>0.3447501659</v>
      </c>
      <c r="AO62" s="583">
        <v>0.0</v>
      </c>
      <c r="AP62" s="208">
        <v>17.0</v>
      </c>
      <c r="AQ62" s="208">
        <v>249.0</v>
      </c>
      <c r="AR62" s="208">
        <v>1951.38</v>
      </c>
      <c r="AS62" s="208">
        <v>3.0</v>
      </c>
      <c r="AT62" s="208">
        <v>35.0</v>
      </c>
      <c r="AV62" s="124" t="str">
        <f t="shared" si="5"/>
        <v>Active</v>
      </c>
    </row>
    <row r="63">
      <c r="A63" s="124" t="s">
        <v>111</v>
      </c>
      <c r="B63" s="208" t="s">
        <v>117</v>
      </c>
      <c r="C63" s="208" t="s">
        <v>120</v>
      </c>
      <c r="D63" s="208" t="s">
        <v>1044</v>
      </c>
      <c r="E63" s="208" t="s">
        <v>121</v>
      </c>
      <c r="F63" s="580">
        <v>44953.0</v>
      </c>
      <c r="G63" s="208">
        <v>0.0</v>
      </c>
      <c r="H63" s="208">
        <v>1400000.0</v>
      </c>
      <c r="I63" s="208">
        <v>931301.93</v>
      </c>
      <c r="J63" s="208">
        <v>0.0</v>
      </c>
      <c r="K63" s="208">
        <v>140.0</v>
      </c>
      <c r="L63" s="208">
        <v>121.0</v>
      </c>
      <c r="M63" s="208">
        <v>1.0</v>
      </c>
      <c r="N63" s="208">
        <v>141.0</v>
      </c>
      <c r="O63" s="208">
        <v>20.0</v>
      </c>
      <c r="P63" s="208">
        <v>877721.39</v>
      </c>
      <c r="Q63" s="208">
        <v>53580.54</v>
      </c>
      <c r="R63" s="208">
        <v>49.0</v>
      </c>
      <c r="S63" s="208">
        <v>1.0</v>
      </c>
      <c r="T63" s="208">
        <v>50.0</v>
      </c>
      <c r="U63" s="208">
        <v>0.0</v>
      </c>
      <c r="V63" s="208">
        <v>1.0</v>
      </c>
      <c r="W63" s="208">
        <v>1.0</v>
      </c>
      <c r="X63" s="208">
        <v>41.0</v>
      </c>
      <c r="Y63" s="208">
        <v>1.0</v>
      </c>
      <c r="Z63" s="208">
        <v>1.0</v>
      </c>
      <c r="AA63" s="208">
        <v>0.0</v>
      </c>
      <c r="AB63" s="208">
        <v>0.0</v>
      </c>
      <c r="AC63" s="208">
        <v>0.0</v>
      </c>
      <c r="AD63" s="208">
        <v>0.0</v>
      </c>
      <c r="AE63" s="208">
        <v>188.0</v>
      </c>
      <c r="AF63" s="208">
        <v>190.0</v>
      </c>
      <c r="AG63" s="208">
        <v>25.0</v>
      </c>
      <c r="AH63" s="581">
        <f t="shared" si="1"/>
        <v>37252.0772</v>
      </c>
      <c r="AI63" s="581">
        <f t="shared" si="2"/>
        <v>7.6</v>
      </c>
      <c r="AJ63" s="124">
        <v>0.0</v>
      </c>
      <c r="AK63" s="208">
        <v>0.0</v>
      </c>
      <c r="AL63" s="582">
        <f t="shared" si="3"/>
        <v>0</v>
      </c>
      <c r="AM63" s="208">
        <v>18626.0</v>
      </c>
      <c r="AN63" s="582">
        <f t="shared" si="4"/>
        <v>0.6652156643</v>
      </c>
      <c r="AO63" s="583">
        <v>0.0</v>
      </c>
      <c r="AP63" s="208">
        <v>67.0</v>
      </c>
      <c r="AQ63" s="208">
        <v>268.0</v>
      </c>
      <c r="AR63" s="208">
        <v>1936.83</v>
      </c>
      <c r="AS63" s="208">
        <v>1.0</v>
      </c>
      <c r="AT63" s="208">
        <v>16.0</v>
      </c>
      <c r="AV63" s="124" t="str">
        <f t="shared" si="5"/>
        <v>Active</v>
      </c>
    </row>
    <row r="64">
      <c r="A64" s="124" t="s">
        <v>185</v>
      </c>
      <c r="B64" s="208" t="s">
        <v>189</v>
      </c>
      <c r="C64" s="208" t="s">
        <v>697</v>
      </c>
      <c r="D64" s="208" t="s">
        <v>1016</v>
      </c>
      <c r="E64" s="208" t="s">
        <v>1072</v>
      </c>
      <c r="F64" s="580">
        <v>44958.0</v>
      </c>
      <c r="G64" s="208">
        <v>0.0</v>
      </c>
      <c r="H64" s="208">
        <v>4000000.0</v>
      </c>
      <c r="I64" s="208">
        <v>3807452.88</v>
      </c>
      <c r="J64" s="208">
        <v>0.0</v>
      </c>
      <c r="K64" s="208">
        <v>66.0</v>
      </c>
      <c r="L64" s="208">
        <v>60.0</v>
      </c>
      <c r="M64" s="208">
        <v>1.0</v>
      </c>
      <c r="N64" s="208">
        <v>67.0</v>
      </c>
      <c r="O64" s="208">
        <v>7.0</v>
      </c>
      <c r="P64" s="208">
        <v>3747521.58</v>
      </c>
      <c r="Q64" s="208">
        <v>59931.3</v>
      </c>
      <c r="R64" s="208">
        <v>36.0</v>
      </c>
      <c r="S64" s="208">
        <v>1.0</v>
      </c>
      <c r="T64" s="208">
        <v>37.0</v>
      </c>
      <c r="U64" s="208">
        <v>0.0</v>
      </c>
      <c r="V64" s="208">
        <v>1.0</v>
      </c>
      <c r="W64" s="208">
        <v>1.0</v>
      </c>
      <c r="X64" s="208">
        <v>63.0</v>
      </c>
      <c r="Y64" s="208">
        <v>1.0</v>
      </c>
      <c r="Z64" s="208">
        <v>2.0</v>
      </c>
      <c r="AA64" s="208">
        <v>0.0</v>
      </c>
      <c r="AB64" s="208">
        <v>0.0</v>
      </c>
      <c r="AC64" s="208">
        <v>0.0</v>
      </c>
      <c r="AD64" s="208">
        <v>0.0</v>
      </c>
      <c r="AE64" s="208">
        <v>131.0</v>
      </c>
      <c r="AF64" s="208">
        <v>134.0</v>
      </c>
      <c r="AG64" s="208">
        <v>26.0</v>
      </c>
      <c r="AH64" s="581">
        <f t="shared" si="1"/>
        <v>146440.4954</v>
      </c>
      <c r="AI64" s="581">
        <f t="shared" si="2"/>
        <v>5.153846154</v>
      </c>
      <c r="AJ64" s="124">
        <v>0.0</v>
      </c>
      <c r="AK64" s="208">
        <v>0.0</v>
      </c>
      <c r="AL64" s="582">
        <f t="shared" si="3"/>
        <v>0</v>
      </c>
      <c r="AM64" s="208">
        <v>102904.0</v>
      </c>
      <c r="AN64" s="582">
        <f t="shared" si="4"/>
        <v>0.95186322</v>
      </c>
      <c r="AO64" s="583">
        <v>0.0</v>
      </c>
      <c r="AP64" s="208">
        <v>44.0</v>
      </c>
      <c r="AQ64" s="208">
        <v>286.0</v>
      </c>
      <c r="AR64" s="208">
        <v>1195.65</v>
      </c>
      <c r="AS64" s="208">
        <v>1.0</v>
      </c>
      <c r="AT64" s="208">
        <v>20.0</v>
      </c>
      <c r="AV64" s="124" t="str">
        <f t="shared" si="5"/>
        <v>Active</v>
      </c>
    </row>
    <row r="65">
      <c r="A65" s="124" t="s">
        <v>53</v>
      </c>
      <c r="B65" s="208" t="s">
        <v>61</v>
      </c>
      <c r="C65" s="208" t="s">
        <v>373</v>
      </c>
      <c r="D65" s="208" t="s">
        <v>1098</v>
      </c>
      <c r="E65" s="208" t="s">
        <v>374</v>
      </c>
      <c r="F65" s="580">
        <v>45488.0</v>
      </c>
      <c r="G65" s="208">
        <v>0.0</v>
      </c>
      <c r="H65" s="208">
        <v>1500000.0</v>
      </c>
      <c r="I65" s="208">
        <v>0.0</v>
      </c>
      <c r="J65" s="208">
        <v>0.0</v>
      </c>
      <c r="K65" s="208">
        <v>39.0</v>
      </c>
      <c r="L65" s="208">
        <v>14.0</v>
      </c>
      <c r="M65" s="208">
        <v>1.0</v>
      </c>
      <c r="N65" s="208">
        <v>40.0</v>
      </c>
      <c r="O65" s="208">
        <v>26.0</v>
      </c>
      <c r="P65" s="208">
        <v>0.0</v>
      </c>
      <c r="Q65" s="208">
        <v>0.0</v>
      </c>
      <c r="R65" s="208">
        <v>0.0</v>
      </c>
      <c r="S65" s="208">
        <v>0.0</v>
      </c>
      <c r="T65" s="208">
        <v>0.0</v>
      </c>
      <c r="U65" s="208">
        <v>0.0</v>
      </c>
      <c r="V65" s="208">
        <v>92.0</v>
      </c>
      <c r="W65" s="208">
        <v>131.0</v>
      </c>
      <c r="X65" s="208">
        <v>562.0</v>
      </c>
      <c r="Y65" s="208">
        <v>1.0</v>
      </c>
      <c r="Z65" s="208">
        <v>5.0</v>
      </c>
      <c r="AA65" s="208">
        <v>0.0</v>
      </c>
      <c r="AB65" s="208">
        <v>0.0</v>
      </c>
      <c r="AC65" s="208">
        <v>5.0</v>
      </c>
      <c r="AD65" s="208">
        <v>20.0</v>
      </c>
      <c r="AE65" s="208">
        <v>20.0</v>
      </c>
      <c r="AF65" s="208">
        <v>176.0</v>
      </c>
      <c r="AG65" s="208">
        <v>26.0</v>
      </c>
      <c r="AH65" s="581">
        <f t="shared" si="1"/>
        <v>0</v>
      </c>
      <c r="AI65" s="581">
        <f t="shared" si="2"/>
        <v>6.769230769</v>
      </c>
      <c r="AJ65" s="124">
        <v>0.0</v>
      </c>
      <c r="AK65" s="208">
        <v>0.0</v>
      </c>
      <c r="AL65" s="582" t="str">
        <f t="shared" si="3"/>
        <v/>
      </c>
      <c r="AM65" s="208">
        <v>0.0</v>
      </c>
      <c r="AN65" s="582">
        <f t="shared" si="4"/>
        <v>0</v>
      </c>
      <c r="AO65" s="583">
        <v>0.0</v>
      </c>
      <c r="AP65" s="208">
        <v>0.0</v>
      </c>
      <c r="AQ65" s="208">
        <v>271.0</v>
      </c>
      <c r="AR65" s="208">
        <v>1689.77</v>
      </c>
      <c r="AS65" s="208">
        <v>0.0</v>
      </c>
      <c r="AT65" s="208">
        <v>121.0</v>
      </c>
      <c r="AV65" s="124" t="str">
        <f t="shared" si="5"/>
        <v>Active</v>
      </c>
    </row>
    <row r="66">
      <c r="A66" s="124" t="s">
        <v>53</v>
      </c>
      <c r="B66" s="208" t="s">
        <v>61</v>
      </c>
      <c r="C66" s="208" t="s">
        <v>375</v>
      </c>
      <c r="D66" s="208" t="s">
        <v>1077</v>
      </c>
      <c r="E66" s="208" t="s">
        <v>376</v>
      </c>
      <c r="F66" s="580">
        <v>45789.0</v>
      </c>
      <c r="G66" s="208">
        <v>0.0</v>
      </c>
      <c r="H66" s="208">
        <v>500000.0</v>
      </c>
      <c r="I66" s="208">
        <v>243807.35</v>
      </c>
      <c r="J66" s="208">
        <v>0.0</v>
      </c>
      <c r="K66" s="208">
        <v>58.0</v>
      </c>
      <c r="L66" s="208">
        <v>41.0</v>
      </c>
      <c r="M66" s="208">
        <v>1.0</v>
      </c>
      <c r="N66" s="208">
        <v>59.0</v>
      </c>
      <c r="O66" s="208">
        <v>18.0</v>
      </c>
      <c r="P66" s="208">
        <v>227534.2</v>
      </c>
      <c r="Q66" s="208">
        <v>16273.15</v>
      </c>
      <c r="R66" s="208">
        <v>7.0</v>
      </c>
      <c r="S66" s="208">
        <v>1.0</v>
      </c>
      <c r="T66" s="208">
        <v>8.0</v>
      </c>
      <c r="U66" s="208">
        <v>0.0</v>
      </c>
      <c r="V66" s="208">
        <v>24.0</v>
      </c>
      <c r="W66" s="208">
        <v>36.0</v>
      </c>
      <c r="X66" s="208">
        <v>275.0</v>
      </c>
      <c r="Y66" s="208">
        <v>2.0</v>
      </c>
      <c r="Z66" s="208">
        <v>9.0</v>
      </c>
      <c r="AA66" s="208">
        <v>0.0</v>
      </c>
      <c r="AB66" s="208">
        <v>0.0</v>
      </c>
      <c r="AC66" s="208">
        <v>2.0</v>
      </c>
      <c r="AD66" s="208">
        <v>3.0</v>
      </c>
      <c r="AE66" s="208">
        <v>86.0</v>
      </c>
      <c r="AF66" s="208">
        <v>134.0</v>
      </c>
      <c r="AG66" s="208">
        <v>25.0</v>
      </c>
      <c r="AH66" s="581">
        <f t="shared" si="1"/>
        <v>9752.294</v>
      </c>
      <c r="AI66" s="581">
        <f t="shared" si="2"/>
        <v>5.36</v>
      </c>
      <c r="AJ66" s="124">
        <v>0.0</v>
      </c>
      <c r="AK66" s="208">
        <v>0.0</v>
      </c>
      <c r="AL66" s="582">
        <f t="shared" si="3"/>
        <v>0</v>
      </c>
      <c r="AM66" s="208">
        <v>30476.0</v>
      </c>
      <c r="AN66" s="582">
        <f t="shared" si="4"/>
        <v>0.4876147</v>
      </c>
      <c r="AO66" s="583">
        <v>0.0</v>
      </c>
      <c r="AP66" s="208">
        <v>10.0</v>
      </c>
      <c r="AQ66" s="208">
        <v>230.0</v>
      </c>
      <c r="AR66" s="208">
        <v>1830.77</v>
      </c>
      <c r="AS66" s="208">
        <v>1.0</v>
      </c>
      <c r="AT66" s="208">
        <v>45.0</v>
      </c>
      <c r="AV66" s="124" t="str">
        <f t="shared" si="5"/>
        <v>Active</v>
      </c>
    </row>
    <row r="67">
      <c r="A67" s="124" t="s">
        <v>23</v>
      </c>
      <c r="B67" s="208" t="s">
        <v>27</v>
      </c>
      <c r="C67" s="208" t="s">
        <v>702</v>
      </c>
      <c r="D67" s="208" t="s">
        <v>1073</v>
      </c>
      <c r="E67" s="208" t="s">
        <v>27</v>
      </c>
      <c r="F67" s="580">
        <v>44994.0</v>
      </c>
      <c r="G67" s="208">
        <v>200000.0</v>
      </c>
      <c r="H67" s="208">
        <v>1500000.0</v>
      </c>
      <c r="I67" s="208">
        <v>662449.15</v>
      </c>
      <c r="J67" s="208">
        <v>193898.51</v>
      </c>
      <c r="K67" s="208">
        <v>85.0</v>
      </c>
      <c r="L67" s="208">
        <v>46.0</v>
      </c>
      <c r="M67" s="208">
        <v>0.0</v>
      </c>
      <c r="N67" s="208">
        <v>85.0</v>
      </c>
      <c r="O67" s="208">
        <v>39.0</v>
      </c>
      <c r="P67" s="208">
        <v>662449.15</v>
      </c>
      <c r="Q67" s="208">
        <v>0.0</v>
      </c>
      <c r="R67" s="208">
        <v>24.0</v>
      </c>
      <c r="S67" s="208">
        <v>0.0</v>
      </c>
      <c r="T67" s="208">
        <v>24.0</v>
      </c>
      <c r="U67" s="208">
        <v>2.0</v>
      </c>
      <c r="V67" s="208">
        <v>0.0</v>
      </c>
      <c r="W67" s="208">
        <v>0.0</v>
      </c>
      <c r="X67" s="208">
        <v>127.0</v>
      </c>
      <c r="Y67" s="208">
        <v>2.0</v>
      </c>
      <c r="Z67" s="208">
        <v>8.0</v>
      </c>
      <c r="AA67" s="208">
        <v>6.0</v>
      </c>
      <c r="AB67" s="208">
        <v>19.0</v>
      </c>
      <c r="AC67" s="208">
        <v>2.0</v>
      </c>
      <c r="AD67" s="208">
        <v>4.0</v>
      </c>
      <c r="AE67" s="208">
        <v>121.0</v>
      </c>
      <c r="AF67" s="208">
        <v>152.0</v>
      </c>
      <c r="AG67" s="208">
        <v>25.0</v>
      </c>
      <c r="AH67" s="581">
        <f t="shared" si="1"/>
        <v>34253.9064</v>
      </c>
      <c r="AI67" s="581">
        <f t="shared" si="2"/>
        <v>6.08</v>
      </c>
      <c r="AJ67" s="124">
        <v>7.0</v>
      </c>
      <c r="AK67" s="208">
        <v>0.0</v>
      </c>
      <c r="AL67" s="582">
        <f t="shared" si="3"/>
        <v>0.000008174250164</v>
      </c>
      <c r="AM67" s="208">
        <v>27602.0</v>
      </c>
      <c r="AN67" s="582">
        <f t="shared" si="4"/>
        <v>0.5037339176</v>
      </c>
      <c r="AO67" s="583">
        <v>0.0</v>
      </c>
      <c r="AP67" s="208">
        <v>24.0</v>
      </c>
      <c r="AQ67" s="208">
        <v>272.0</v>
      </c>
      <c r="AR67" s="208">
        <v>912.85</v>
      </c>
      <c r="AS67" s="208">
        <v>0.0</v>
      </c>
      <c r="AT67" s="208">
        <v>20.0</v>
      </c>
      <c r="AV67" s="124" t="str">
        <f t="shared" si="5"/>
        <v>Active</v>
      </c>
    </row>
    <row r="68">
      <c r="A68" s="124" t="s">
        <v>126</v>
      </c>
      <c r="B68" s="208" t="s">
        <v>130</v>
      </c>
      <c r="C68" s="208" t="s">
        <v>704</v>
      </c>
      <c r="D68" s="208" t="s">
        <v>130</v>
      </c>
      <c r="E68" s="208" t="s">
        <v>439</v>
      </c>
      <c r="F68" s="580">
        <v>45000.0</v>
      </c>
      <c r="G68" s="208">
        <v>0.0</v>
      </c>
      <c r="H68" s="208">
        <v>2083333.0</v>
      </c>
      <c r="I68" s="208">
        <v>190623.2</v>
      </c>
      <c r="J68" s="208">
        <v>0.0</v>
      </c>
      <c r="K68" s="208">
        <v>34.0</v>
      </c>
      <c r="L68" s="208">
        <v>28.0</v>
      </c>
      <c r="M68" s="208">
        <v>0.0</v>
      </c>
      <c r="N68" s="208">
        <v>34.0</v>
      </c>
      <c r="O68" s="208">
        <v>6.0</v>
      </c>
      <c r="P68" s="208">
        <v>190623.2</v>
      </c>
      <c r="Q68" s="208">
        <v>0.0</v>
      </c>
      <c r="R68" s="208">
        <v>5.0</v>
      </c>
      <c r="S68" s="208">
        <v>0.0</v>
      </c>
      <c r="T68" s="208">
        <v>5.0</v>
      </c>
      <c r="U68" s="208">
        <v>0.0</v>
      </c>
      <c r="V68" s="208">
        <v>0.0</v>
      </c>
      <c r="W68" s="208">
        <v>0.0</v>
      </c>
      <c r="X68" s="208">
        <v>108.0</v>
      </c>
      <c r="Y68" s="208">
        <v>1.0</v>
      </c>
      <c r="Z68" s="208">
        <v>8.0</v>
      </c>
      <c r="AA68" s="208">
        <v>0.0</v>
      </c>
      <c r="AB68" s="208">
        <v>0.0</v>
      </c>
      <c r="AC68" s="208">
        <v>0.0</v>
      </c>
      <c r="AD68" s="208">
        <v>0.0</v>
      </c>
      <c r="AE68" s="208">
        <v>113.0</v>
      </c>
      <c r="AF68" s="208">
        <v>121.0</v>
      </c>
      <c r="AG68" s="208">
        <v>24.0</v>
      </c>
      <c r="AH68" s="581">
        <f t="shared" si="1"/>
        <v>7942.633333</v>
      </c>
      <c r="AI68" s="581">
        <f t="shared" si="2"/>
        <v>5.041666667</v>
      </c>
      <c r="AJ68" s="124">
        <v>0.0</v>
      </c>
      <c r="AK68" s="208">
        <v>0.0</v>
      </c>
      <c r="AL68" s="582">
        <f t="shared" si="3"/>
        <v>0</v>
      </c>
      <c r="AM68" s="208">
        <v>38125.0</v>
      </c>
      <c r="AN68" s="582">
        <f t="shared" si="4"/>
        <v>0.09149915064</v>
      </c>
      <c r="AO68" s="583">
        <v>0.0</v>
      </c>
      <c r="AP68" s="208">
        <v>6.0</v>
      </c>
      <c r="AQ68" s="208">
        <v>172.0</v>
      </c>
      <c r="AR68" s="208">
        <v>1090.48</v>
      </c>
      <c r="AS68" s="208">
        <v>0.0</v>
      </c>
      <c r="AT68" s="208">
        <v>39.0</v>
      </c>
      <c r="AV68" s="124" t="str">
        <f t="shared" si="5"/>
        <v>Active</v>
      </c>
    </row>
    <row r="69">
      <c r="A69" s="124" t="s">
        <v>53</v>
      </c>
      <c r="B69" s="208" t="s">
        <v>56</v>
      </c>
      <c r="C69" s="208" t="s">
        <v>364</v>
      </c>
      <c r="D69" s="208" t="s">
        <v>1092</v>
      </c>
      <c r="E69" s="208" t="s">
        <v>365</v>
      </c>
      <c r="F69" s="580">
        <v>45735.0</v>
      </c>
      <c r="G69" s="208">
        <v>0.0</v>
      </c>
      <c r="H69" s="208">
        <v>700000.0</v>
      </c>
      <c r="I69" s="208">
        <v>0.0</v>
      </c>
      <c r="J69" s="208">
        <v>0.0</v>
      </c>
      <c r="K69" s="208">
        <v>32.0</v>
      </c>
      <c r="L69" s="208">
        <v>9.0</v>
      </c>
      <c r="M69" s="208">
        <v>0.0</v>
      </c>
      <c r="N69" s="208">
        <v>32.0</v>
      </c>
      <c r="O69" s="208">
        <v>23.0</v>
      </c>
      <c r="P69" s="208">
        <v>0.0</v>
      </c>
      <c r="Q69" s="208">
        <v>0.0</v>
      </c>
      <c r="R69" s="208">
        <v>0.0</v>
      </c>
      <c r="S69" s="208">
        <v>0.0</v>
      </c>
      <c r="T69" s="208">
        <v>0.0</v>
      </c>
      <c r="U69" s="208">
        <v>0.0</v>
      </c>
      <c r="V69" s="208">
        <v>29.0</v>
      </c>
      <c r="W69" s="208">
        <v>34.0</v>
      </c>
      <c r="X69" s="208">
        <v>229.0</v>
      </c>
      <c r="Y69" s="208">
        <v>1.0</v>
      </c>
      <c r="Z69" s="208">
        <v>1.0</v>
      </c>
      <c r="AA69" s="208">
        <v>0.0</v>
      </c>
      <c r="AB69" s="208">
        <v>0.0</v>
      </c>
      <c r="AC69" s="208">
        <v>0.0</v>
      </c>
      <c r="AD69" s="208">
        <v>0.0</v>
      </c>
      <c r="AE69" s="208">
        <v>18.0</v>
      </c>
      <c r="AF69" s="208">
        <v>53.0</v>
      </c>
      <c r="AG69" s="208">
        <v>10.0</v>
      </c>
      <c r="AH69" s="581">
        <f t="shared" si="1"/>
        <v>0</v>
      </c>
      <c r="AI69" s="581">
        <f t="shared" si="2"/>
        <v>5.3</v>
      </c>
      <c r="AJ69" s="124">
        <v>0.0</v>
      </c>
      <c r="AK69" s="208">
        <v>0.0</v>
      </c>
      <c r="AL69" s="582" t="str">
        <f t="shared" si="3"/>
        <v/>
      </c>
      <c r="AM69" s="208">
        <v>0.0</v>
      </c>
      <c r="AN69" s="582">
        <f t="shared" si="4"/>
        <v>0</v>
      </c>
      <c r="AO69" s="583">
        <v>0.0</v>
      </c>
      <c r="AP69" s="208">
        <v>0.0</v>
      </c>
      <c r="AQ69" s="208">
        <v>81.0</v>
      </c>
      <c r="AR69" s="208">
        <v>474.14</v>
      </c>
      <c r="AS69" s="208">
        <v>0.0</v>
      </c>
      <c r="AT69" s="208">
        <v>53.0</v>
      </c>
      <c r="AU69" s="584">
        <v>45853.0</v>
      </c>
      <c r="AV69" s="124" t="str">
        <f t="shared" si="5"/>
        <v>Left</v>
      </c>
    </row>
    <row r="70">
      <c r="A70" s="124" t="s">
        <v>185</v>
      </c>
      <c r="B70" s="208" t="s">
        <v>215</v>
      </c>
      <c r="C70" s="208" t="s">
        <v>713</v>
      </c>
      <c r="D70" s="208" t="s">
        <v>1064</v>
      </c>
      <c r="E70" s="208" t="s">
        <v>1074</v>
      </c>
      <c r="F70" s="580">
        <v>45040.0</v>
      </c>
      <c r="G70" s="208">
        <v>0.0</v>
      </c>
      <c r="H70" s="208">
        <v>1500000.0</v>
      </c>
      <c r="I70" s="208">
        <v>1227795.25</v>
      </c>
      <c r="J70" s="208">
        <v>0.0</v>
      </c>
      <c r="K70" s="208">
        <v>31.0</v>
      </c>
      <c r="L70" s="208">
        <v>29.0</v>
      </c>
      <c r="M70" s="208">
        <v>1.0</v>
      </c>
      <c r="N70" s="208">
        <v>32.0</v>
      </c>
      <c r="O70" s="208">
        <v>3.0</v>
      </c>
      <c r="P70" s="208">
        <v>1159592.95</v>
      </c>
      <c r="Q70" s="208">
        <v>68202.3</v>
      </c>
      <c r="R70" s="208">
        <v>6.0</v>
      </c>
      <c r="S70" s="208">
        <v>1.0</v>
      </c>
      <c r="T70" s="208">
        <v>7.0</v>
      </c>
      <c r="U70" s="208">
        <v>0.0</v>
      </c>
      <c r="V70" s="208">
        <v>21.0</v>
      </c>
      <c r="W70" s="208">
        <v>21.0</v>
      </c>
      <c r="X70" s="208">
        <v>81.0</v>
      </c>
      <c r="Y70" s="208">
        <v>1.0</v>
      </c>
      <c r="Z70" s="208">
        <v>1.0</v>
      </c>
      <c r="AA70" s="208">
        <v>0.0</v>
      </c>
      <c r="AB70" s="208">
        <v>0.0</v>
      </c>
      <c r="AC70" s="208">
        <v>0.0</v>
      </c>
      <c r="AD70" s="208">
        <v>0.0</v>
      </c>
      <c r="AE70" s="208">
        <v>133.0</v>
      </c>
      <c r="AF70" s="208">
        <v>155.0</v>
      </c>
      <c r="AG70" s="208">
        <v>27.0</v>
      </c>
      <c r="AH70" s="581">
        <f t="shared" si="1"/>
        <v>45473.89815</v>
      </c>
      <c r="AI70" s="581">
        <f t="shared" si="2"/>
        <v>5.740740741</v>
      </c>
      <c r="AJ70" s="124">
        <v>0.0</v>
      </c>
      <c r="AK70" s="208">
        <v>0.0</v>
      </c>
      <c r="AL70" s="582">
        <f t="shared" si="3"/>
        <v>0</v>
      </c>
      <c r="AM70" s="208">
        <v>175399.0</v>
      </c>
      <c r="AN70" s="582">
        <f t="shared" si="4"/>
        <v>0.8185301667</v>
      </c>
      <c r="AO70" s="583">
        <v>0.0</v>
      </c>
      <c r="AP70" s="208">
        <v>10.0</v>
      </c>
      <c r="AQ70" s="208">
        <v>228.0</v>
      </c>
      <c r="AR70" s="208">
        <v>1548.3</v>
      </c>
      <c r="AS70" s="208">
        <v>1.0</v>
      </c>
      <c r="AT70" s="208">
        <v>53.0</v>
      </c>
      <c r="AV70" s="124" t="str">
        <f t="shared" si="5"/>
        <v>Active</v>
      </c>
    </row>
    <row r="71">
      <c r="A71" s="124" t="s">
        <v>185</v>
      </c>
      <c r="B71" s="208" t="s">
        <v>189</v>
      </c>
      <c r="C71" s="208" t="s">
        <v>402</v>
      </c>
      <c r="D71" s="208" t="s">
        <v>1016</v>
      </c>
      <c r="E71" s="208" t="s">
        <v>192</v>
      </c>
      <c r="F71" s="580">
        <v>45040.0</v>
      </c>
      <c r="G71" s="208">
        <v>0.0</v>
      </c>
      <c r="H71" s="208">
        <v>1500000.0</v>
      </c>
      <c r="I71" s="208">
        <v>1052732.0</v>
      </c>
      <c r="J71" s="208">
        <v>0.0</v>
      </c>
      <c r="K71" s="208">
        <v>72.0</v>
      </c>
      <c r="L71" s="208">
        <v>50.0</v>
      </c>
      <c r="M71" s="208">
        <v>0.0</v>
      </c>
      <c r="N71" s="208">
        <v>72.0</v>
      </c>
      <c r="O71" s="208">
        <v>22.0</v>
      </c>
      <c r="P71" s="208">
        <v>1052732.0</v>
      </c>
      <c r="Q71" s="208">
        <v>0.0</v>
      </c>
      <c r="R71" s="208">
        <v>16.0</v>
      </c>
      <c r="S71" s="208">
        <v>0.0</v>
      </c>
      <c r="T71" s="208">
        <v>16.0</v>
      </c>
      <c r="U71" s="208">
        <v>0.0</v>
      </c>
      <c r="V71" s="208">
        <v>4.0</v>
      </c>
      <c r="W71" s="208">
        <v>8.0</v>
      </c>
      <c r="X71" s="208">
        <v>48.0</v>
      </c>
      <c r="Y71" s="208">
        <v>1.0</v>
      </c>
      <c r="Z71" s="208">
        <v>1.0</v>
      </c>
      <c r="AA71" s="208">
        <v>0.0</v>
      </c>
      <c r="AB71" s="208">
        <v>0.0</v>
      </c>
      <c r="AC71" s="208">
        <v>0.0</v>
      </c>
      <c r="AD71" s="208">
        <v>0.0</v>
      </c>
      <c r="AE71" s="208">
        <v>127.0</v>
      </c>
      <c r="AF71" s="208">
        <v>136.0</v>
      </c>
      <c r="AG71" s="208">
        <v>26.0</v>
      </c>
      <c r="AH71" s="581">
        <f t="shared" si="1"/>
        <v>40489.69231</v>
      </c>
      <c r="AI71" s="581">
        <f t="shared" si="2"/>
        <v>5.230769231</v>
      </c>
      <c r="AJ71" s="124">
        <v>0.0</v>
      </c>
      <c r="AK71" s="208">
        <v>0.0</v>
      </c>
      <c r="AL71" s="582">
        <f t="shared" si="3"/>
        <v>0</v>
      </c>
      <c r="AM71" s="208">
        <v>65796.0</v>
      </c>
      <c r="AN71" s="582">
        <f t="shared" si="4"/>
        <v>0.7018213333</v>
      </c>
      <c r="AO71" s="583">
        <v>0.0</v>
      </c>
      <c r="AP71" s="208">
        <v>21.0</v>
      </c>
      <c r="AQ71" s="208">
        <v>226.0</v>
      </c>
      <c r="AR71" s="208">
        <v>1354.06</v>
      </c>
      <c r="AS71" s="208">
        <v>0.0</v>
      </c>
      <c r="AT71" s="208">
        <v>27.0</v>
      </c>
      <c r="AV71" s="124" t="str">
        <f t="shared" si="5"/>
        <v>Active</v>
      </c>
    </row>
    <row r="72">
      <c r="A72" s="124" t="s">
        <v>298</v>
      </c>
      <c r="B72" s="208" t="s">
        <v>301</v>
      </c>
      <c r="C72" s="208" t="s">
        <v>715</v>
      </c>
      <c r="D72" s="208" t="s">
        <v>1066</v>
      </c>
      <c r="E72" s="208" t="s">
        <v>303</v>
      </c>
      <c r="F72" s="580">
        <v>45047.0</v>
      </c>
      <c r="G72" s="208">
        <v>0.0</v>
      </c>
      <c r="H72" s="208">
        <v>1200000.0</v>
      </c>
      <c r="I72" s="208">
        <v>644384.94</v>
      </c>
      <c r="J72" s="208">
        <v>0.0</v>
      </c>
      <c r="K72" s="208">
        <v>109.0</v>
      </c>
      <c r="L72" s="208">
        <v>64.0</v>
      </c>
      <c r="M72" s="208">
        <v>2.0</v>
      </c>
      <c r="N72" s="208">
        <v>111.0</v>
      </c>
      <c r="O72" s="208">
        <v>47.0</v>
      </c>
      <c r="P72" s="208">
        <v>616832.62</v>
      </c>
      <c r="Q72" s="208">
        <v>27552.32</v>
      </c>
      <c r="R72" s="208">
        <v>37.0</v>
      </c>
      <c r="S72" s="208">
        <v>1.0</v>
      </c>
      <c r="T72" s="208">
        <v>38.0</v>
      </c>
      <c r="U72" s="208">
        <v>0.0</v>
      </c>
      <c r="V72" s="208">
        <v>2.0</v>
      </c>
      <c r="W72" s="208">
        <v>2.0</v>
      </c>
      <c r="X72" s="208">
        <v>166.0</v>
      </c>
      <c r="Y72" s="208">
        <v>1.0</v>
      </c>
      <c r="Z72" s="208">
        <v>3.0</v>
      </c>
      <c r="AA72" s="208">
        <v>0.0</v>
      </c>
      <c r="AB72" s="208">
        <v>0.0</v>
      </c>
      <c r="AC72" s="208">
        <v>0.0</v>
      </c>
      <c r="AD72" s="208">
        <v>0.0</v>
      </c>
      <c r="AE72" s="208">
        <v>106.0</v>
      </c>
      <c r="AF72" s="208">
        <v>111.0</v>
      </c>
      <c r="AG72" s="208">
        <v>26.0</v>
      </c>
      <c r="AH72" s="581">
        <f t="shared" si="1"/>
        <v>24784.03615</v>
      </c>
      <c r="AI72" s="581">
        <f t="shared" si="2"/>
        <v>4.269230769</v>
      </c>
      <c r="AJ72" s="124">
        <v>0.0</v>
      </c>
      <c r="AK72" s="208">
        <v>0.0</v>
      </c>
      <c r="AL72" s="582">
        <f t="shared" si="3"/>
        <v>0</v>
      </c>
      <c r="AM72" s="208">
        <v>16957.0</v>
      </c>
      <c r="AN72" s="582">
        <f t="shared" si="4"/>
        <v>0.53698745</v>
      </c>
      <c r="AO72" s="583">
        <v>0.0</v>
      </c>
      <c r="AP72" s="208">
        <v>59.0</v>
      </c>
      <c r="AQ72" s="208">
        <v>288.0</v>
      </c>
      <c r="AR72" s="208">
        <v>1704.47</v>
      </c>
      <c r="AS72" s="208">
        <v>1.0</v>
      </c>
      <c r="AT72" s="208">
        <v>27.0</v>
      </c>
      <c r="AV72" s="124" t="str">
        <f t="shared" si="5"/>
        <v>Active</v>
      </c>
    </row>
    <row r="73">
      <c r="A73" s="124" t="s">
        <v>298</v>
      </c>
      <c r="B73" s="208" t="s">
        <v>301</v>
      </c>
      <c r="C73" s="208" t="s">
        <v>716</v>
      </c>
      <c r="D73" s="208" t="s">
        <v>1066</v>
      </c>
      <c r="E73" s="208" t="s">
        <v>317</v>
      </c>
      <c r="F73" s="580">
        <v>45047.0</v>
      </c>
      <c r="G73" s="208">
        <v>0.0</v>
      </c>
      <c r="H73" s="208">
        <v>0.0</v>
      </c>
      <c r="I73" s="208">
        <v>0.0</v>
      </c>
      <c r="J73" s="208">
        <v>0.0</v>
      </c>
      <c r="K73" s="208">
        <v>35.0</v>
      </c>
      <c r="L73" s="208">
        <v>0.0</v>
      </c>
      <c r="M73" s="208">
        <v>1.0</v>
      </c>
      <c r="N73" s="208">
        <v>36.0</v>
      </c>
      <c r="O73" s="208">
        <v>36.0</v>
      </c>
      <c r="P73" s="208">
        <v>0.0</v>
      </c>
      <c r="Q73" s="208">
        <v>0.0</v>
      </c>
      <c r="R73" s="208">
        <v>0.0</v>
      </c>
      <c r="S73" s="208">
        <v>0.0</v>
      </c>
      <c r="T73" s="208">
        <v>0.0</v>
      </c>
      <c r="U73" s="208">
        <v>0.0</v>
      </c>
      <c r="V73" s="208">
        <v>0.0</v>
      </c>
      <c r="W73" s="208">
        <v>0.0</v>
      </c>
      <c r="X73" s="208">
        <v>123.0</v>
      </c>
      <c r="Y73" s="208">
        <v>0.0</v>
      </c>
      <c r="Z73" s="208">
        <v>0.0</v>
      </c>
      <c r="AA73" s="208">
        <v>0.0</v>
      </c>
      <c r="AB73" s="208">
        <v>0.0</v>
      </c>
      <c r="AC73" s="208">
        <v>0.0</v>
      </c>
      <c r="AD73" s="208">
        <v>0.0</v>
      </c>
      <c r="AE73" s="208">
        <v>0.0</v>
      </c>
      <c r="AF73" s="208">
        <v>0.0</v>
      </c>
      <c r="AG73" s="208">
        <v>0.0</v>
      </c>
      <c r="AH73" s="581" t="str">
        <f t="shared" si="1"/>
        <v/>
      </c>
      <c r="AI73" s="581" t="str">
        <f t="shared" si="2"/>
        <v/>
      </c>
      <c r="AJ73" s="124">
        <v>1.0</v>
      </c>
      <c r="AK73" s="208">
        <v>0.0</v>
      </c>
      <c r="AL73" s="582" t="str">
        <f t="shared" si="3"/>
        <v/>
      </c>
      <c r="AM73" s="208">
        <v>0.0</v>
      </c>
      <c r="AN73" s="582" t="str">
        <f t="shared" si="4"/>
        <v/>
      </c>
      <c r="AO73" s="583">
        <v>0.0</v>
      </c>
      <c r="AP73" s="208">
        <v>0.0</v>
      </c>
      <c r="AQ73" s="208">
        <v>0.0</v>
      </c>
      <c r="AR73" s="208">
        <v>0.0</v>
      </c>
      <c r="AS73" s="208">
        <v>0.0</v>
      </c>
      <c r="AT73" s="208">
        <v>0.0</v>
      </c>
      <c r="AU73" s="586">
        <v>45785.0</v>
      </c>
      <c r="AV73" s="124" t="str">
        <f t="shared" si="5"/>
        <v>Left</v>
      </c>
    </row>
    <row r="74">
      <c r="A74" s="124" t="s">
        <v>185</v>
      </c>
      <c r="B74" s="208" t="s">
        <v>85</v>
      </c>
      <c r="C74" s="208" t="s">
        <v>387</v>
      </c>
      <c r="D74" s="208" t="s">
        <v>1058</v>
      </c>
      <c r="E74" s="208" t="s">
        <v>87</v>
      </c>
      <c r="F74" s="580">
        <v>45054.0</v>
      </c>
      <c r="G74" s="208">
        <v>0.0</v>
      </c>
      <c r="H74" s="208">
        <v>0.0</v>
      </c>
      <c r="I74" s="208">
        <v>0.0</v>
      </c>
      <c r="J74" s="208">
        <v>0.0</v>
      </c>
      <c r="K74" s="208">
        <v>89.0</v>
      </c>
      <c r="L74" s="208">
        <v>0.0</v>
      </c>
      <c r="M74" s="208">
        <v>0.0</v>
      </c>
      <c r="N74" s="208">
        <v>89.0</v>
      </c>
      <c r="O74" s="208">
        <v>89.0</v>
      </c>
      <c r="P74" s="208">
        <v>0.0</v>
      </c>
      <c r="Q74" s="208">
        <v>0.0</v>
      </c>
      <c r="R74" s="208">
        <v>0.0</v>
      </c>
      <c r="S74" s="208">
        <v>0.0</v>
      </c>
      <c r="T74" s="208">
        <v>0.0</v>
      </c>
      <c r="U74" s="208">
        <v>0.0</v>
      </c>
      <c r="V74" s="208">
        <v>0.0</v>
      </c>
      <c r="W74" s="208">
        <v>0.0</v>
      </c>
      <c r="X74" s="208">
        <v>10.0</v>
      </c>
      <c r="Y74" s="208">
        <v>0.0</v>
      </c>
      <c r="Z74" s="208">
        <v>0.0</v>
      </c>
      <c r="AA74" s="208">
        <v>0.0</v>
      </c>
      <c r="AB74" s="208">
        <v>0.0</v>
      </c>
      <c r="AC74" s="208">
        <v>0.0</v>
      </c>
      <c r="AD74" s="208">
        <v>0.0</v>
      </c>
      <c r="AE74" s="208">
        <v>0.0</v>
      </c>
      <c r="AF74" s="208">
        <v>0.0</v>
      </c>
      <c r="AG74" s="208">
        <v>0.0</v>
      </c>
      <c r="AH74" s="581" t="str">
        <f t="shared" si="1"/>
        <v/>
      </c>
      <c r="AI74" s="581" t="str">
        <f t="shared" si="2"/>
        <v/>
      </c>
      <c r="AJ74" s="124">
        <v>0.0</v>
      </c>
      <c r="AK74" s="208">
        <v>0.0</v>
      </c>
      <c r="AL74" s="582" t="str">
        <f t="shared" si="3"/>
        <v/>
      </c>
      <c r="AM74" s="208">
        <v>0.0</v>
      </c>
      <c r="AN74" s="582" t="str">
        <f t="shared" si="4"/>
        <v/>
      </c>
      <c r="AO74" s="583">
        <v>0.0</v>
      </c>
      <c r="AP74" s="208">
        <v>0.0</v>
      </c>
      <c r="AQ74" s="208">
        <v>0.0</v>
      </c>
      <c r="AR74" s="208">
        <v>0.0</v>
      </c>
      <c r="AS74" s="208">
        <v>0.0</v>
      </c>
      <c r="AT74" s="208">
        <v>0.0</v>
      </c>
      <c r="AU74" s="587">
        <v>45801.0</v>
      </c>
      <c r="AV74" s="124" t="str">
        <f t="shared" si="5"/>
        <v>Left</v>
      </c>
    </row>
    <row r="75">
      <c r="A75" s="124" t="s">
        <v>185</v>
      </c>
      <c r="B75" s="208" t="s">
        <v>189</v>
      </c>
      <c r="C75" s="208" t="s">
        <v>726</v>
      </c>
      <c r="D75" s="208" t="s">
        <v>1016</v>
      </c>
      <c r="E75" s="208" t="s">
        <v>1075</v>
      </c>
      <c r="F75" s="580">
        <v>45047.0</v>
      </c>
      <c r="G75" s="208">
        <v>0.0</v>
      </c>
      <c r="H75" s="208">
        <v>1500000.0</v>
      </c>
      <c r="I75" s="208">
        <v>1533868.38</v>
      </c>
      <c r="J75" s="208">
        <v>0.0</v>
      </c>
      <c r="K75" s="208">
        <v>44.0</v>
      </c>
      <c r="L75" s="208">
        <v>39.0</v>
      </c>
      <c r="M75" s="208">
        <v>1.0</v>
      </c>
      <c r="N75" s="208">
        <v>45.0</v>
      </c>
      <c r="O75" s="208">
        <v>6.0</v>
      </c>
      <c r="P75" s="208">
        <v>1473494.58</v>
      </c>
      <c r="Q75" s="208">
        <v>60373.8</v>
      </c>
      <c r="R75" s="208">
        <v>7.0</v>
      </c>
      <c r="S75" s="208">
        <v>1.0</v>
      </c>
      <c r="T75" s="208">
        <v>8.0</v>
      </c>
      <c r="U75" s="208">
        <v>0.0</v>
      </c>
      <c r="V75" s="208">
        <v>13.0</v>
      </c>
      <c r="W75" s="208">
        <v>16.0</v>
      </c>
      <c r="X75" s="208">
        <v>196.0</v>
      </c>
      <c r="Y75" s="208">
        <v>1.0</v>
      </c>
      <c r="Z75" s="208">
        <v>1.0</v>
      </c>
      <c r="AA75" s="208">
        <v>0.0</v>
      </c>
      <c r="AB75" s="208">
        <v>0.0</v>
      </c>
      <c r="AC75" s="208">
        <v>0.0</v>
      </c>
      <c r="AD75" s="208">
        <v>0.0</v>
      </c>
      <c r="AE75" s="208">
        <v>131.0</v>
      </c>
      <c r="AF75" s="208">
        <v>148.0</v>
      </c>
      <c r="AG75" s="208">
        <v>26.0</v>
      </c>
      <c r="AH75" s="581">
        <f t="shared" si="1"/>
        <v>58994.93769</v>
      </c>
      <c r="AI75" s="581">
        <f t="shared" si="2"/>
        <v>5.692307692</v>
      </c>
      <c r="AJ75" s="124">
        <v>0.0</v>
      </c>
      <c r="AK75" s="208">
        <v>0.0</v>
      </c>
      <c r="AL75" s="582">
        <f t="shared" si="3"/>
        <v>0</v>
      </c>
      <c r="AM75" s="208">
        <v>191734.0</v>
      </c>
      <c r="AN75" s="582">
        <f t="shared" si="4"/>
        <v>1.02257892</v>
      </c>
      <c r="AO75" s="583">
        <v>0.0</v>
      </c>
      <c r="AP75" s="208">
        <v>11.0</v>
      </c>
      <c r="AQ75" s="208">
        <v>253.0</v>
      </c>
      <c r="AR75" s="208">
        <v>2406.29</v>
      </c>
      <c r="AS75" s="208">
        <v>1.0</v>
      </c>
      <c r="AT75" s="208">
        <v>62.0</v>
      </c>
      <c r="AV75" s="124" t="str">
        <f t="shared" si="5"/>
        <v>Active</v>
      </c>
    </row>
    <row r="76">
      <c r="A76" s="124" t="s">
        <v>185</v>
      </c>
      <c r="B76" s="208" t="s">
        <v>189</v>
      </c>
      <c r="C76" s="208" t="s">
        <v>728</v>
      </c>
      <c r="D76" s="208" t="s">
        <v>1016</v>
      </c>
      <c r="E76" s="208" t="s">
        <v>1075</v>
      </c>
      <c r="F76" s="580">
        <v>45047.0</v>
      </c>
      <c r="G76" s="208">
        <v>0.0</v>
      </c>
      <c r="H76" s="208">
        <v>1500000.0</v>
      </c>
      <c r="I76" s="208">
        <v>1235482.09</v>
      </c>
      <c r="J76" s="208">
        <v>0.0</v>
      </c>
      <c r="K76" s="208">
        <v>50.0</v>
      </c>
      <c r="L76" s="208">
        <v>28.0</v>
      </c>
      <c r="M76" s="208">
        <v>1.0</v>
      </c>
      <c r="N76" s="208">
        <v>51.0</v>
      </c>
      <c r="O76" s="208">
        <v>23.0</v>
      </c>
      <c r="P76" s="208">
        <v>1235482.09</v>
      </c>
      <c r="Q76" s="208">
        <v>0.0</v>
      </c>
      <c r="R76" s="208">
        <v>4.0</v>
      </c>
      <c r="S76" s="208">
        <v>0.0</v>
      </c>
      <c r="T76" s="208">
        <v>4.0</v>
      </c>
      <c r="U76" s="208">
        <v>0.0</v>
      </c>
      <c r="V76" s="208">
        <v>7.0</v>
      </c>
      <c r="W76" s="208">
        <v>7.0</v>
      </c>
      <c r="X76" s="208">
        <v>266.0</v>
      </c>
      <c r="Y76" s="208">
        <v>1.0</v>
      </c>
      <c r="Z76" s="208">
        <v>1.0</v>
      </c>
      <c r="AA76" s="208">
        <v>0.0</v>
      </c>
      <c r="AB76" s="208">
        <v>0.0</v>
      </c>
      <c r="AC76" s="208">
        <v>0.0</v>
      </c>
      <c r="AD76" s="208">
        <v>0.0</v>
      </c>
      <c r="AE76" s="208">
        <v>103.0</v>
      </c>
      <c r="AF76" s="208">
        <v>111.0</v>
      </c>
      <c r="AG76" s="208">
        <v>27.0</v>
      </c>
      <c r="AH76" s="581">
        <f t="shared" si="1"/>
        <v>45758.59593</v>
      </c>
      <c r="AI76" s="581">
        <f t="shared" si="2"/>
        <v>4.111111111</v>
      </c>
      <c r="AJ76" s="124">
        <v>0.0</v>
      </c>
      <c r="AK76" s="208">
        <v>0.0</v>
      </c>
      <c r="AL76" s="582">
        <f t="shared" si="3"/>
        <v>0</v>
      </c>
      <c r="AM76" s="208">
        <v>308871.0</v>
      </c>
      <c r="AN76" s="582">
        <f t="shared" si="4"/>
        <v>0.8236547267</v>
      </c>
      <c r="AO76" s="583">
        <v>0.0</v>
      </c>
      <c r="AP76" s="208">
        <v>6.0</v>
      </c>
      <c r="AQ76" s="208">
        <v>202.0</v>
      </c>
      <c r="AR76" s="208">
        <v>1309.24</v>
      </c>
      <c r="AS76" s="208">
        <v>0.0</v>
      </c>
      <c r="AT76" s="208">
        <v>47.0</v>
      </c>
      <c r="AV76" s="124" t="str">
        <f t="shared" si="5"/>
        <v>Active</v>
      </c>
    </row>
    <row r="77">
      <c r="A77" s="124" t="s">
        <v>185</v>
      </c>
      <c r="B77" s="208" t="s">
        <v>189</v>
      </c>
      <c r="C77" s="208" t="s">
        <v>237</v>
      </c>
      <c r="D77" s="208" t="s">
        <v>1016</v>
      </c>
      <c r="E77" s="208" t="s">
        <v>1076</v>
      </c>
      <c r="F77" s="580">
        <v>45048.0</v>
      </c>
      <c r="G77" s="208">
        <v>0.0</v>
      </c>
      <c r="H77" s="208">
        <v>1500000.0</v>
      </c>
      <c r="I77" s="208">
        <v>945692.98</v>
      </c>
      <c r="J77" s="208">
        <v>0.0</v>
      </c>
      <c r="K77" s="208">
        <v>51.0</v>
      </c>
      <c r="L77" s="208">
        <v>36.0</v>
      </c>
      <c r="M77" s="208">
        <v>0.0</v>
      </c>
      <c r="N77" s="208">
        <v>51.0</v>
      </c>
      <c r="O77" s="208">
        <v>15.0</v>
      </c>
      <c r="P77" s="208">
        <v>945692.98</v>
      </c>
      <c r="Q77" s="208">
        <v>0.0</v>
      </c>
      <c r="R77" s="208">
        <v>18.0</v>
      </c>
      <c r="S77" s="208">
        <v>0.0</v>
      </c>
      <c r="T77" s="208">
        <v>18.0</v>
      </c>
      <c r="U77" s="208">
        <v>0.0</v>
      </c>
      <c r="V77" s="208">
        <v>1.0</v>
      </c>
      <c r="W77" s="208">
        <v>2.0</v>
      </c>
      <c r="X77" s="208">
        <v>1.0</v>
      </c>
      <c r="Y77" s="208">
        <v>3.0</v>
      </c>
      <c r="Z77" s="208">
        <v>20.0</v>
      </c>
      <c r="AA77" s="208">
        <v>0.0</v>
      </c>
      <c r="AB77" s="208">
        <v>0.0</v>
      </c>
      <c r="AC77" s="208">
        <v>0.0</v>
      </c>
      <c r="AD77" s="208">
        <v>0.0</v>
      </c>
      <c r="AE77" s="208">
        <v>80.0</v>
      </c>
      <c r="AF77" s="208">
        <v>102.0</v>
      </c>
      <c r="AG77" s="208">
        <v>23.0</v>
      </c>
      <c r="AH77" s="581">
        <f t="shared" si="1"/>
        <v>41117.08609</v>
      </c>
      <c r="AI77" s="581">
        <f t="shared" si="2"/>
        <v>4.434782609</v>
      </c>
      <c r="AJ77" s="124">
        <v>0.0</v>
      </c>
      <c r="AK77" s="208">
        <v>0.0</v>
      </c>
      <c r="AL77" s="582">
        <f t="shared" si="3"/>
        <v>0</v>
      </c>
      <c r="AM77" s="208">
        <v>52538.0</v>
      </c>
      <c r="AN77" s="582">
        <f t="shared" si="4"/>
        <v>0.6304619867</v>
      </c>
      <c r="AO77" s="583">
        <v>0.0</v>
      </c>
      <c r="AP77" s="208">
        <v>24.0</v>
      </c>
      <c r="AQ77" s="208">
        <v>236.0</v>
      </c>
      <c r="AR77" s="208">
        <v>1349.98</v>
      </c>
      <c r="AS77" s="208">
        <v>0.0</v>
      </c>
      <c r="AT77" s="208">
        <v>37.0</v>
      </c>
      <c r="AV77" s="124" t="str">
        <f t="shared" si="5"/>
        <v>Active</v>
      </c>
    </row>
    <row r="78">
      <c r="A78" s="124" t="s">
        <v>185</v>
      </c>
      <c r="B78" s="208" t="s">
        <v>189</v>
      </c>
      <c r="C78" s="208" t="s">
        <v>732</v>
      </c>
      <c r="D78" s="208" t="s">
        <v>1016</v>
      </c>
      <c r="E78" s="208" t="s">
        <v>187</v>
      </c>
      <c r="F78" s="580">
        <v>45047.0</v>
      </c>
      <c r="G78" s="208">
        <v>0.0</v>
      </c>
      <c r="H78" s="208">
        <v>3300000.0</v>
      </c>
      <c r="I78" s="208">
        <v>1532092.13</v>
      </c>
      <c r="J78" s="208">
        <v>0.0</v>
      </c>
      <c r="K78" s="208">
        <v>110.0</v>
      </c>
      <c r="L78" s="208">
        <v>87.0</v>
      </c>
      <c r="M78" s="208">
        <v>2.0</v>
      </c>
      <c r="N78" s="208">
        <v>112.0</v>
      </c>
      <c r="O78" s="208">
        <v>25.0</v>
      </c>
      <c r="P78" s="208">
        <v>1507617.22</v>
      </c>
      <c r="Q78" s="208">
        <v>24474.91</v>
      </c>
      <c r="R78" s="208">
        <v>50.0</v>
      </c>
      <c r="S78" s="208">
        <v>1.0</v>
      </c>
      <c r="T78" s="208">
        <v>51.0</v>
      </c>
      <c r="U78" s="208">
        <v>0.0</v>
      </c>
      <c r="V78" s="208">
        <v>2.0</v>
      </c>
      <c r="W78" s="208">
        <v>3.0</v>
      </c>
      <c r="X78" s="208">
        <v>50.0</v>
      </c>
      <c r="Y78" s="208">
        <v>1.0</v>
      </c>
      <c r="Z78" s="208">
        <v>5.0</v>
      </c>
      <c r="AA78" s="208">
        <v>0.0</v>
      </c>
      <c r="AB78" s="208">
        <v>0.0</v>
      </c>
      <c r="AC78" s="208">
        <v>0.0</v>
      </c>
      <c r="AD78" s="208">
        <v>0.0</v>
      </c>
      <c r="AE78" s="208">
        <v>131.0</v>
      </c>
      <c r="AF78" s="208">
        <v>139.0</v>
      </c>
      <c r="AG78" s="208">
        <v>25.0</v>
      </c>
      <c r="AH78" s="581">
        <f t="shared" si="1"/>
        <v>61283.6852</v>
      </c>
      <c r="AI78" s="581">
        <f t="shared" si="2"/>
        <v>5.56</v>
      </c>
      <c r="AJ78" s="124">
        <v>0.0</v>
      </c>
      <c r="AK78" s="208">
        <v>0.0</v>
      </c>
      <c r="AL78" s="582">
        <f t="shared" si="3"/>
        <v>0</v>
      </c>
      <c r="AM78" s="208">
        <v>30041.0</v>
      </c>
      <c r="AN78" s="582">
        <f t="shared" si="4"/>
        <v>0.4642703424</v>
      </c>
      <c r="AO78" s="583">
        <v>0.0</v>
      </c>
      <c r="AP78" s="208">
        <v>71.0</v>
      </c>
      <c r="AQ78" s="208">
        <v>245.0</v>
      </c>
      <c r="AR78" s="208">
        <v>1326.54</v>
      </c>
      <c r="AS78" s="208">
        <v>1.0</v>
      </c>
      <c r="AT78" s="208">
        <v>15.0</v>
      </c>
      <c r="AV78" s="124" t="str">
        <f t="shared" si="5"/>
        <v>Active</v>
      </c>
    </row>
    <row r="79">
      <c r="A79" s="124" t="s">
        <v>53</v>
      </c>
      <c r="B79" s="208" t="s">
        <v>56</v>
      </c>
      <c r="C79" s="208" t="s">
        <v>733</v>
      </c>
      <c r="D79" s="208" t="s">
        <v>1092</v>
      </c>
      <c r="E79" s="208" t="s">
        <v>1095</v>
      </c>
      <c r="F79" s="580">
        <v>45428.0</v>
      </c>
      <c r="G79" s="208">
        <v>0.0</v>
      </c>
      <c r="H79" s="208">
        <v>0.0</v>
      </c>
      <c r="I79" s="208">
        <v>0.0</v>
      </c>
      <c r="J79" s="208">
        <v>0.0</v>
      </c>
      <c r="K79" s="208">
        <v>65.0</v>
      </c>
      <c r="L79" s="208">
        <v>23.0</v>
      </c>
      <c r="M79" s="208">
        <v>0.0</v>
      </c>
      <c r="N79" s="208">
        <v>65.0</v>
      </c>
      <c r="O79" s="208">
        <v>42.0</v>
      </c>
      <c r="P79" s="208">
        <v>0.0</v>
      </c>
      <c r="Q79" s="208">
        <v>0.0</v>
      </c>
      <c r="R79" s="208">
        <v>0.0</v>
      </c>
      <c r="S79" s="208">
        <v>0.0</v>
      </c>
      <c r="T79" s="208">
        <v>0.0</v>
      </c>
      <c r="U79" s="208">
        <v>0.0</v>
      </c>
      <c r="V79" s="208">
        <v>42.0</v>
      </c>
      <c r="W79" s="208">
        <v>46.0</v>
      </c>
      <c r="X79" s="208">
        <v>217.0</v>
      </c>
      <c r="Y79" s="208">
        <v>4.0</v>
      </c>
      <c r="Z79" s="208">
        <v>10.0</v>
      </c>
      <c r="AA79" s="208">
        <v>0.0</v>
      </c>
      <c r="AB79" s="208">
        <v>0.0</v>
      </c>
      <c r="AC79" s="208">
        <v>7.0</v>
      </c>
      <c r="AD79" s="208">
        <v>8.0</v>
      </c>
      <c r="AE79" s="208">
        <v>33.0</v>
      </c>
      <c r="AF79" s="208">
        <v>97.0</v>
      </c>
      <c r="AG79" s="208">
        <v>24.0</v>
      </c>
      <c r="AH79" s="581">
        <f t="shared" si="1"/>
        <v>0</v>
      </c>
      <c r="AI79" s="581">
        <f t="shared" si="2"/>
        <v>4.041666667</v>
      </c>
      <c r="AJ79" s="124">
        <v>0.0</v>
      </c>
      <c r="AK79" s="208">
        <v>0.0</v>
      </c>
      <c r="AL79" s="582" t="str">
        <f t="shared" si="3"/>
        <v/>
      </c>
      <c r="AM79" s="208">
        <v>0.0</v>
      </c>
      <c r="AN79" s="582" t="str">
        <f t="shared" si="4"/>
        <v/>
      </c>
      <c r="AO79" s="583">
        <v>0.0</v>
      </c>
      <c r="AP79" s="208">
        <v>0.0</v>
      </c>
      <c r="AQ79" s="208">
        <v>193.0</v>
      </c>
      <c r="AR79" s="208">
        <v>1349.12</v>
      </c>
      <c r="AS79" s="208">
        <v>0.0</v>
      </c>
      <c r="AT79" s="208">
        <v>59.0</v>
      </c>
      <c r="AV79" s="124" t="str">
        <f t="shared" si="5"/>
        <v>Active</v>
      </c>
    </row>
    <row r="80">
      <c r="A80" s="124" t="s">
        <v>185</v>
      </c>
      <c r="B80" s="208" t="s">
        <v>189</v>
      </c>
      <c r="C80" s="208" t="s">
        <v>738</v>
      </c>
      <c r="D80" s="208" t="s">
        <v>1016</v>
      </c>
      <c r="E80" s="208" t="s">
        <v>1075</v>
      </c>
      <c r="F80" s="580">
        <v>45056.0</v>
      </c>
      <c r="G80" s="208">
        <v>0.0</v>
      </c>
      <c r="H80" s="208">
        <v>1500000.0</v>
      </c>
      <c r="I80" s="208">
        <v>1628065.73</v>
      </c>
      <c r="J80" s="208">
        <v>0.0</v>
      </c>
      <c r="K80" s="208">
        <v>59.0</v>
      </c>
      <c r="L80" s="208">
        <v>37.0</v>
      </c>
      <c r="M80" s="208">
        <v>1.0</v>
      </c>
      <c r="N80" s="208">
        <v>60.0</v>
      </c>
      <c r="O80" s="208">
        <v>23.0</v>
      </c>
      <c r="P80" s="208">
        <v>1596105.23</v>
      </c>
      <c r="Q80" s="208">
        <v>31960.5</v>
      </c>
      <c r="R80" s="208">
        <v>9.0</v>
      </c>
      <c r="S80" s="208">
        <v>1.0</v>
      </c>
      <c r="T80" s="208">
        <v>10.0</v>
      </c>
      <c r="U80" s="208">
        <v>0.0</v>
      </c>
      <c r="V80" s="208">
        <v>37.0</v>
      </c>
      <c r="W80" s="208">
        <v>55.0</v>
      </c>
      <c r="X80" s="208">
        <v>216.0</v>
      </c>
      <c r="Y80" s="208">
        <v>1.0</v>
      </c>
      <c r="Z80" s="208">
        <v>1.0</v>
      </c>
      <c r="AA80" s="208">
        <v>0.0</v>
      </c>
      <c r="AB80" s="208">
        <v>0.0</v>
      </c>
      <c r="AC80" s="208">
        <v>0.0</v>
      </c>
      <c r="AD80" s="208">
        <v>0.0</v>
      </c>
      <c r="AE80" s="208">
        <v>98.0</v>
      </c>
      <c r="AF80" s="208">
        <v>154.0</v>
      </c>
      <c r="AG80" s="208">
        <v>25.0</v>
      </c>
      <c r="AH80" s="581">
        <f t="shared" si="1"/>
        <v>65122.6292</v>
      </c>
      <c r="AI80" s="581">
        <f t="shared" si="2"/>
        <v>6.16</v>
      </c>
      <c r="AJ80" s="124">
        <v>0.0</v>
      </c>
      <c r="AK80" s="208">
        <v>0.0</v>
      </c>
      <c r="AL80" s="582">
        <f t="shared" si="3"/>
        <v>0</v>
      </c>
      <c r="AM80" s="208">
        <v>162807.0</v>
      </c>
      <c r="AN80" s="582">
        <f t="shared" si="4"/>
        <v>1.085377153</v>
      </c>
      <c r="AO80" s="583">
        <v>0.0</v>
      </c>
      <c r="AP80" s="208">
        <v>14.0</v>
      </c>
      <c r="AQ80" s="208">
        <v>269.0</v>
      </c>
      <c r="AR80" s="208">
        <v>1902.52</v>
      </c>
      <c r="AS80" s="208">
        <v>1.0</v>
      </c>
      <c r="AT80" s="208">
        <v>51.0</v>
      </c>
      <c r="AV80" s="124" t="str">
        <f t="shared" si="5"/>
        <v>Active</v>
      </c>
    </row>
    <row r="81">
      <c r="A81" s="124" t="s">
        <v>185</v>
      </c>
      <c r="B81" s="208" t="s">
        <v>212</v>
      </c>
      <c r="C81" s="208" t="s">
        <v>744</v>
      </c>
      <c r="D81" s="208" t="s">
        <v>1031</v>
      </c>
      <c r="E81" s="208" t="s">
        <v>219</v>
      </c>
      <c r="F81" s="580">
        <v>45058.0</v>
      </c>
      <c r="G81" s="208">
        <v>0.0</v>
      </c>
      <c r="H81" s="208">
        <v>2000000.0</v>
      </c>
      <c r="I81" s="208">
        <v>744257.45</v>
      </c>
      <c r="J81" s="208">
        <v>0.0</v>
      </c>
      <c r="K81" s="208">
        <v>115.0</v>
      </c>
      <c r="L81" s="208">
        <v>63.0</v>
      </c>
      <c r="M81" s="208">
        <v>1.0</v>
      </c>
      <c r="N81" s="208">
        <v>116.0</v>
      </c>
      <c r="O81" s="208">
        <v>53.0</v>
      </c>
      <c r="P81" s="208">
        <v>711653.75</v>
      </c>
      <c r="Q81" s="208">
        <v>32603.7</v>
      </c>
      <c r="R81" s="208">
        <v>13.0</v>
      </c>
      <c r="S81" s="208">
        <v>1.0</v>
      </c>
      <c r="T81" s="208">
        <v>14.0</v>
      </c>
      <c r="U81" s="208">
        <v>0.0</v>
      </c>
      <c r="V81" s="208">
        <v>18.0</v>
      </c>
      <c r="W81" s="208">
        <v>18.0</v>
      </c>
      <c r="X81" s="208">
        <v>368.0</v>
      </c>
      <c r="Y81" s="208">
        <v>1.0</v>
      </c>
      <c r="Z81" s="208">
        <v>12.0</v>
      </c>
      <c r="AA81" s="208">
        <v>0.0</v>
      </c>
      <c r="AB81" s="208">
        <v>0.0</v>
      </c>
      <c r="AC81" s="208">
        <v>0.0</v>
      </c>
      <c r="AD81" s="208">
        <v>0.0</v>
      </c>
      <c r="AE81" s="208">
        <v>80.0</v>
      </c>
      <c r="AF81" s="208">
        <v>110.0</v>
      </c>
      <c r="AG81" s="208">
        <v>23.0</v>
      </c>
      <c r="AH81" s="581">
        <f t="shared" si="1"/>
        <v>32359.01957</v>
      </c>
      <c r="AI81" s="581">
        <f t="shared" si="2"/>
        <v>4.782608696</v>
      </c>
      <c r="AJ81" s="124">
        <v>0.0</v>
      </c>
      <c r="AK81" s="208">
        <v>0.0</v>
      </c>
      <c r="AL81" s="582">
        <f t="shared" si="3"/>
        <v>0</v>
      </c>
      <c r="AM81" s="208">
        <v>53161.0</v>
      </c>
      <c r="AN81" s="582">
        <f t="shared" si="4"/>
        <v>0.372128725</v>
      </c>
      <c r="AO81" s="583">
        <v>0.0</v>
      </c>
      <c r="AP81" s="208">
        <v>17.0</v>
      </c>
      <c r="AQ81" s="208">
        <v>237.0</v>
      </c>
      <c r="AR81" s="208">
        <v>672.93</v>
      </c>
      <c r="AS81" s="208">
        <v>1.0</v>
      </c>
      <c r="AT81" s="208">
        <v>11.0</v>
      </c>
      <c r="AV81" s="124" t="str">
        <f t="shared" si="5"/>
        <v>Active</v>
      </c>
    </row>
    <row r="82">
      <c r="A82" s="124" t="s">
        <v>53</v>
      </c>
      <c r="B82" s="208" t="s">
        <v>61</v>
      </c>
      <c r="C82" s="208" t="s">
        <v>746</v>
      </c>
      <c r="D82" s="208" t="s">
        <v>1077</v>
      </c>
      <c r="E82" s="208" t="s">
        <v>60</v>
      </c>
      <c r="F82" s="580">
        <v>45061.0</v>
      </c>
      <c r="G82" s="208">
        <v>0.0</v>
      </c>
      <c r="H82" s="208">
        <v>1500000.0</v>
      </c>
      <c r="I82" s="208">
        <v>1201433.82</v>
      </c>
      <c r="J82" s="208">
        <v>0.0</v>
      </c>
      <c r="K82" s="208">
        <v>122.0</v>
      </c>
      <c r="L82" s="208">
        <v>81.0</v>
      </c>
      <c r="M82" s="208">
        <v>2.0</v>
      </c>
      <c r="N82" s="208">
        <v>124.0</v>
      </c>
      <c r="O82" s="208">
        <v>43.0</v>
      </c>
      <c r="P82" s="208">
        <v>1187701.82</v>
      </c>
      <c r="Q82" s="208">
        <v>13732.0</v>
      </c>
      <c r="R82" s="208">
        <v>24.0</v>
      </c>
      <c r="S82" s="208">
        <v>2.0</v>
      </c>
      <c r="T82" s="208">
        <v>26.0</v>
      </c>
      <c r="U82" s="208">
        <v>0.0</v>
      </c>
      <c r="V82" s="208">
        <v>41.0</v>
      </c>
      <c r="W82" s="208">
        <v>41.0</v>
      </c>
      <c r="X82" s="208">
        <v>443.0</v>
      </c>
      <c r="Y82" s="208">
        <v>2.0</v>
      </c>
      <c r="Z82" s="208">
        <v>6.0</v>
      </c>
      <c r="AA82" s="208">
        <v>0.0</v>
      </c>
      <c r="AB82" s="208">
        <v>0.0</v>
      </c>
      <c r="AC82" s="208">
        <v>1.0</v>
      </c>
      <c r="AD82" s="208">
        <v>1.0</v>
      </c>
      <c r="AE82" s="208">
        <v>142.0</v>
      </c>
      <c r="AF82" s="208">
        <v>190.0</v>
      </c>
      <c r="AG82" s="208">
        <v>25.0</v>
      </c>
      <c r="AH82" s="581">
        <f t="shared" si="1"/>
        <v>48057.3528</v>
      </c>
      <c r="AI82" s="581">
        <f t="shared" si="2"/>
        <v>7.6</v>
      </c>
      <c r="AJ82" s="124">
        <v>0.0</v>
      </c>
      <c r="AK82" s="208">
        <v>0.0</v>
      </c>
      <c r="AL82" s="582">
        <f t="shared" si="3"/>
        <v>0</v>
      </c>
      <c r="AM82" s="208">
        <v>46209.0</v>
      </c>
      <c r="AN82" s="582">
        <f t="shared" si="4"/>
        <v>0.80095588</v>
      </c>
      <c r="AO82" s="583">
        <v>0.0</v>
      </c>
      <c r="AP82" s="208">
        <v>30.0</v>
      </c>
      <c r="AQ82" s="208">
        <v>283.0</v>
      </c>
      <c r="AR82" s="208">
        <v>2559.0</v>
      </c>
      <c r="AS82" s="208">
        <v>2.0</v>
      </c>
      <c r="AT82" s="208">
        <v>32.0</v>
      </c>
      <c r="AV82" s="124" t="str">
        <f t="shared" si="5"/>
        <v>Active</v>
      </c>
    </row>
    <row r="83">
      <c r="A83" s="124" t="s">
        <v>185</v>
      </c>
      <c r="B83" s="208" t="s">
        <v>189</v>
      </c>
      <c r="C83" s="208" t="s">
        <v>747</v>
      </c>
      <c r="D83" s="208" t="s">
        <v>1016</v>
      </c>
      <c r="E83" s="208" t="s">
        <v>1078</v>
      </c>
      <c r="F83" s="580">
        <v>45069.0</v>
      </c>
      <c r="G83" s="208">
        <v>0.0</v>
      </c>
      <c r="H83" s="208">
        <v>1500000.0</v>
      </c>
      <c r="I83" s="208">
        <v>1129294.45</v>
      </c>
      <c r="J83" s="208">
        <v>0.0</v>
      </c>
      <c r="K83" s="208">
        <v>43.0</v>
      </c>
      <c r="L83" s="208">
        <v>33.0</v>
      </c>
      <c r="M83" s="208">
        <v>2.0</v>
      </c>
      <c r="N83" s="208">
        <v>45.0</v>
      </c>
      <c r="O83" s="208">
        <v>12.0</v>
      </c>
      <c r="P83" s="208">
        <v>849225.5</v>
      </c>
      <c r="Q83" s="208">
        <v>280068.95</v>
      </c>
      <c r="R83" s="208">
        <v>8.0</v>
      </c>
      <c r="S83" s="208">
        <v>2.0</v>
      </c>
      <c r="T83" s="208">
        <v>10.0</v>
      </c>
      <c r="U83" s="208">
        <v>0.0</v>
      </c>
      <c r="V83" s="208">
        <v>5.0</v>
      </c>
      <c r="W83" s="208">
        <v>8.0</v>
      </c>
      <c r="X83" s="208">
        <v>89.0</v>
      </c>
      <c r="Y83" s="208">
        <v>1.0</v>
      </c>
      <c r="Z83" s="208">
        <v>3.0</v>
      </c>
      <c r="AA83" s="208">
        <v>0.0</v>
      </c>
      <c r="AB83" s="208">
        <v>0.0</v>
      </c>
      <c r="AC83" s="208">
        <v>0.0</v>
      </c>
      <c r="AD83" s="208">
        <v>0.0</v>
      </c>
      <c r="AE83" s="208">
        <v>121.0</v>
      </c>
      <c r="AF83" s="208">
        <v>132.0</v>
      </c>
      <c r="AG83" s="208">
        <v>27.0</v>
      </c>
      <c r="AH83" s="581">
        <f t="shared" si="1"/>
        <v>41825.72037</v>
      </c>
      <c r="AI83" s="581">
        <f t="shared" si="2"/>
        <v>4.888888889</v>
      </c>
      <c r="AJ83" s="124">
        <v>0.0</v>
      </c>
      <c r="AK83" s="208">
        <v>0.0</v>
      </c>
      <c r="AL83" s="582">
        <f t="shared" si="3"/>
        <v>0</v>
      </c>
      <c r="AM83" s="208">
        <v>112929.0</v>
      </c>
      <c r="AN83" s="582">
        <f t="shared" si="4"/>
        <v>0.7528629667</v>
      </c>
      <c r="AO83" s="583">
        <v>0.0</v>
      </c>
      <c r="AP83" s="208">
        <v>23.0</v>
      </c>
      <c r="AQ83" s="208">
        <v>302.0</v>
      </c>
      <c r="AR83" s="208">
        <v>1591.93</v>
      </c>
      <c r="AS83" s="208">
        <v>2.0</v>
      </c>
      <c r="AT83" s="208">
        <v>48.0</v>
      </c>
      <c r="AV83" s="124" t="str">
        <f t="shared" si="5"/>
        <v>Active</v>
      </c>
    </row>
    <row r="84">
      <c r="A84" s="124" t="s">
        <v>185</v>
      </c>
      <c r="B84" s="208" t="s">
        <v>189</v>
      </c>
      <c r="C84" s="208" t="s">
        <v>240</v>
      </c>
      <c r="D84" s="208" t="s">
        <v>1016</v>
      </c>
      <c r="E84" s="208" t="s">
        <v>187</v>
      </c>
      <c r="F84" s="580">
        <v>45069.0</v>
      </c>
      <c r="G84" s="208">
        <v>0.0</v>
      </c>
      <c r="H84" s="208">
        <v>1500000.0</v>
      </c>
      <c r="I84" s="208">
        <v>1202853.43</v>
      </c>
      <c r="J84" s="208">
        <v>0.0</v>
      </c>
      <c r="K84" s="208">
        <v>123.0</v>
      </c>
      <c r="L84" s="208">
        <v>83.0</v>
      </c>
      <c r="M84" s="208">
        <v>2.0</v>
      </c>
      <c r="N84" s="208">
        <v>125.0</v>
      </c>
      <c r="O84" s="208">
        <v>42.0</v>
      </c>
      <c r="P84" s="208">
        <v>1165785.43</v>
      </c>
      <c r="Q84" s="208">
        <v>37068.0</v>
      </c>
      <c r="R84" s="208">
        <v>41.0</v>
      </c>
      <c r="S84" s="208">
        <v>1.0</v>
      </c>
      <c r="T84" s="208">
        <v>42.0</v>
      </c>
      <c r="U84" s="208">
        <v>0.0</v>
      </c>
      <c r="V84" s="208">
        <v>0.0</v>
      </c>
      <c r="W84" s="208">
        <v>0.0</v>
      </c>
      <c r="X84" s="208">
        <v>75.0</v>
      </c>
      <c r="Y84" s="208">
        <v>1.0</v>
      </c>
      <c r="Z84" s="208">
        <v>5.0</v>
      </c>
      <c r="AA84" s="208">
        <v>0.0</v>
      </c>
      <c r="AB84" s="208">
        <v>0.0</v>
      </c>
      <c r="AC84" s="208">
        <v>0.0</v>
      </c>
      <c r="AD84" s="208">
        <v>0.0</v>
      </c>
      <c r="AE84" s="208">
        <v>148.0</v>
      </c>
      <c r="AF84" s="208">
        <v>153.0</v>
      </c>
      <c r="AG84" s="208">
        <v>27.0</v>
      </c>
      <c r="AH84" s="581">
        <f t="shared" si="1"/>
        <v>44550.12704</v>
      </c>
      <c r="AI84" s="581">
        <f t="shared" si="2"/>
        <v>5.666666667</v>
      </c>
      <c r="AJ84" s="124">
        <v>0.0</v>
      </c>
      <c r="AK84" s="208">
        <v>0.0</v>
      </c>
      <c r="AL84" s="582">
        <f t="shared" si="3"/>
        <v>0</v>
      </c>
      <c r="AM84" s="208">
        <v>28639.0</v>
      </c>
      <c r="AN84" s="582">
        <f t="shared" si="4"/>
        <v>0.8019022867</v>
      </c>
      <c r="AO84" s="583">
        <v>0.0</v>
      </c>
      <c r="AP84" s="208">
        <v>51.0</v>
      </c>
      <c r="AQ84" s="208">
        <v>291.0</v>
      </c>
      <c r="AR84" s="208">
        <v>1504.12</v>
      </c>
      <c r="AS84" s="208">
        <v>1.0</v>
      </c>
      <c r="AT84" s="208">
        <v>18.0</v>
      </c>
      <c r="AV84" s="124" t="str">
        <f t="shared" si="5"/>
        <v>Active</v>
      </c>
    </row>
    <row r="85">
      <c r="A85" s="124" t="s">
        <v>111</v>
      </c>
      <c r="B85" s="208" t="s">
        <v>117</v>
      </c>
      <c r="C85" s="208" t="s">
        <v>428</v>
      </c>
      <c r="D85" s="208" t="s">
        <v>1044</v>
      </c>
      <c r="E85" s="208" t="s">
        <v>429</v>
      </c>
      <c r="F85" s="580">
        <v>45071.0</v>
      </c>
      <c r="G85" s="208">
        <v>0.0</v>
      </c>
      <c r="H85" s="208">
        <v>0.0</v>
      </c>
      <c r="I85" s="208">
        <v>0.0</v>
      </c>
      <c r="J85" s="208">
        <v>0.0</v>
      </c>
      <c r="K85" s="208">
        <v>57.0</v>
      </c>
      <c r="L85" s="208">
        <v>0.0</v>
      </c>
      <c r="M85" s="208">
        <v>0.0</v>
      </c>
      <c r="N85" s="208">
        <v>57.0</v>
      </c>
      <c r="O85" s="208">
        <v>57.0</v>
      </c>
      <c r="P85" s="208">
        <v>0.0</v>
      </c>
      <c r="Q85" s="208">
        <v>0.0</v>
      </c>
      <c r="R85" s="208">
        <v>0.0</v>
      </c>
      <c r="S85" s="208">
        <v>0.0</v>
      </c>
      <c r="T85" s="208">
        <v>0.0</v>
      </c>
      <c r="U85" s="208">
        <v>0.0</v>
      </c>
      <c r="V85" s="208">
        <v>0.0</v>
      </c>
      <c r="W85" s="208">
        <v>0.0</v>
      </c>
      <c r="X85" s="208">
        <v>218.0</v>
      </c>
      <c r="Y85" s="208">
        <v>0.0</v>
      </c>
      <c r="Z85" s="208">
        <v>0.0</v>
      </c>
      <c r="AA85" s="208">
        <v>0.0</v>
      </c>
      <c r="AB85" s="208">
        <v>0.0</v>
      </c>
      <c r="AC85" s="208">
        <v>0.0</v>
      </c>
      <c r="AD85" s="208">
        <v>0.0</v>
      </c>
      <c r="AE85" s="208">
        <v>0.0</v>
      </c>
      <c r="AF85" s="208">
        <v>0.0</v>
      </c>
      <c r="AG85" s="208">
        <v>0.0</v>
      </c>
      <c r="AH85" s="581" t="str">
        <f t="shared" si="1"/>
        <v/>
      </c>
      <c r="AI85" s="581" t="str">
        <f t="shared" si="2"/>
        <v/>
      </c>
      <c r="AJ85" s="124">
        <v>0.0</v>
      </c>
      <c r="AK85" s="208">
        <v>0.0</v>
      </c>
      <c r="AL85" s="582" t="str">
        <f t="shared" si="3"/>
        <v/>
      </c>
      <c r="AM85" s="208">
        <v>0.0</v>
      </c>
      <c r="AN85" s="582" t="str">
        <f t="shared" si="4"/>
        <v/>
      </c>
      <c r="AO85" s="583">
        <v>0.0</v>
      </c>
      <c r="AP85" s="208">
        <v>0.0</v>
      </c>
      <c r="AQ85" s="208">
        <v>0.0</v>
      </c>
      <c r="AR85" s="208">
        <v>0.0</v>
      </c>
      <c r="AS85" s="208">
        <v>0.0</v>
      </c>
      <c r="AT85" s="208">
        <v>0.0</v>
      </c>
      <c r="AU85" s="587">
        <v>45808.0</v>
      </c>
      <c r="AV85" s="124" t="str">
        <f t="shared" si="5"/>
        <v>Left</v>
      </c>
    </row>
    <row r="86">
      <c r="A86" s="124" t="s">
        <v>73</v>
      </c>
      <c r="B86" s="208" t="s">
        <v>1229</v>
      </c>
      <c r="C86" s="208" t="s">
        <v>77</v>
      </c>
      <c r="D86" s="208" t="s">
        <v>76</v>
      </c>
      <c r="E86" s="208" t="s">
        <v>78</v>
      </c>
      <c r="F86" s="580">
        <v>45068.0</v>
      </c>
      <c r="G86" s="208">
        <v>125000.0</v>
      </c>
      <c r="H86" s="208">
        <v>2000000.0</v>
      </c>
      <c r="I86" s="208">
        <v>444761.35</v>
      </c>
      <c r="J86" s="208">
        <v>593098.26</v>
      </c>
      <c r="K86" s="208">
        <v>48.0</v>
      </c>
      <c r="L86" s="208">
        <v>27.0</v>
      </c>
      <c r="M86" s="208">
        <v>0.0</v>
      </c>
      <c r="N86" s="208">
        <v>48.0</v>
      </c>
      <c r="O86" s="208">
        <v>21.0</v>
      </c>
      <c r="P86" s="208">
        <v>444761.35</v>
      </c>
      <c r="Q86" s="208">
        <v>0.0</v>
      </c>
      <c r="R86" s="208">
        <v>11.0</v>
      </c>
      <c r="S86" s="208">
        <v>0.0</v>
      </c>
      <c r="T86" s="208">
        <v>11.0</v>
      </c>
      <c r="U86" s="208">
        <v>3.0</v>
      </c>
      <c r="V86" s="208">
        <v>8.0</v>
      </c>
      <c r="W86" s="208">
        <v>11.0</v>
      </c>
      <c r="X86" s="208">
        <v>143.0</v>
      </c>
      <c r="Y86" s="208">
        <v>5.0</v>
      </c>
      <c r="Z86" s="208">
        <v>9.0</v>
      </c>
      <c r="AA86" s="208">
        <v>6.0</v>
      </c>
      <c r="AB86" s="208">
        <v>20.0</v>
      </c>
      <c r="AC86" s="208">
        <v>2.0</v>
      </c>
      <c r="AD86" s="208">
        <v>2.0</v>
      </c>
      <c r="AE86" s="208">
        <v>46.0</v>
      </c>
      <c r="AF86" s="208">
        <v>88.0</v>
      </c>
      <c r="AG86" s="208">
        <v>27.0</v>
      </c>
      <c r="AH86" s="581">
        <f t="shared" si="1"/>
        <v>38439.24481</v>
      </c>
      <c r="AI86" s="581">
        <f t="shared" si="2"/>
        <v>3.259259259</v>
      </c>
      <c r="AJ86" s="124">
        <v>17.0</v>
      </c>
      <c r="AK86" s="208">
        <v>0.0</v>
      </c>
      <c r="AL86" s="582">
        <f t="shared" si="3"/>
        <v>0.00001637986471</v>
      </c>
      <c r="AM86" s="208">
        <v>40433.0</v>
      </c>
      <c r="AN86" s="582">
        <f t="shared" si="4"/>
        <v>0.4884045224</v>
      </c>
      <c r="AO86" s="583">
        <v>0.0</v>
      </c>
      <c r="AP86" s="208">
        <v>11.0</v>
      </c>
      <c r="AQ86" s="208">
        <v>218.0</v>
      </c>
      <c r="AR86" s="208">
        <v>959.36</v>
      </c>
      <c r="AS86" s="208">
        <v>0.0</v>
      </c>
      <c r="AT86" s="208">
        <v>36.0</v>
      </c>
      <c r="AV86" s="124" t="str">
        <f t="shared" si="5"/>
        <v>Active</v>
      </c>
    </row>
    <row r="87">
      <c r="A87" s="124" t="s">
        <v>53</v>
      </c>
      <c r="B87" s="208" t="s">
        <v>61</v>
      </c>
      <c r="C87" s="208" t="s">
        <v>363</v>
      </c>
      <c r="D87" s="208" t="s">
        <v>1077</v>
      </c>
      <c r="E87" s="208" t="s">
        <v>60</v>
      </c>
      <c r="F87" s="580">
        <v>45079.0</v>
      </c>
      <c r="G87" s="208">
        <v>0.0</v>
      </c>
      <c r="H87" s="208">
        <v>0.0</v>
      </c>
      <c r="I87" s="208">
        <v>0.0</v>
      </c>
      <c r="J87" s="208">
        <v>0.0</v>
      </c>
      <c r="K87" s="208">
        <v>80.0</v>
      </c>
      <c r="L87" s="208">
        <v>0.0</v>
      </c>
      <c r="M87" s="208">
        <v>2.0</v>
      </c>
      <c r="N87" s="208">
        <v>82.0</v>
      </c>
      <c r="O87" s="208">
        <v>82.0</v>
      </c>
      <c r="P87" s="208">
        <v>0.0</v>
      </c>
      <c r="Q87" s="208">
        <v>0.0</v>
      </c>
      <c r="R87" s="208">
        <v>0.0</v>
      </c>
      <c r="S87" s="208">
        <v>0.0</v>
      </c>
      <c r="T87" s="208">
        <v>0.0</v>
      </c>
      <c r="U87" s="208">
        <v>0.0</v>
      </c>
      <c r="V87" s="208">
        <v>0.0</v>
      </c>
      <c r="W87" s="208">
        <v>0.0</v>
      </c>
      <c r="X87" s="208">
        <v>622.0</v>
      </c>
      <c r="Y87" s="208">
        <v>0.0</v>
      </c>
      <c r="Z87" s="208">
        <v>0.0</v>
      </c>
      <c r="AA87" s="208">
        <v>0.0</v>
      </c>
      <c r="AB87" s="208">
        <v>0.0</v>
      </c>
      <c r="AC87" s="208">
        <v>0.0</v>
      </c>
      <c r="AD87" s="208">
        <v>0.0</v>
      </c>
      <c r="AE87" s="208">
        <v>0.0</v>
      </c>
      <c r="AF87" s="208">
        <v>0.0</v>
      </c>
      <c r="AG87" s="208">
        <v>0.0</v>
      </c>
      <c r="AH87" s="581" t="str">
        <f t="shared" si="1"/>
        <v/>
      </c>
      <c r="AI87" s="581" t="str">
        <f t="shared" si="2"/>
        <v/>
      </c>
      <c r="AJ87" s="124">
        <v>0.0</v>
      </c>
      <c r="AK87" s="208">
        <v>0.0</v>
      </c>
      <c r="AL87" s="582" t="str">
        <f t="shared" si="3"/>
        <v/>
      </c>
      <c r="AM87" s="208">
        <v>0.0</v>
      </c>
      <c r="AN87" s="582" t="str">
        <f t="shared" si="4"/>
        <v/>
      </c>
      <c r="AO87" s="583">
        <v>0.0</v>
      </c>
      <c r="AP87" s="208">
        <v>0.0</v>
      </c>
      <c r="AQ87" s="208">
        <v>0.0</v>
      </c>
      <c r="AR87" s="208">
        <v>0.0</v>
      </c>
      <c r="AS87" s="208">
        <v>0.0</v>
      </c>
      <c r="AT87" s="208">
        <v>0.0</v>
      </c>
      <c r="AU87" s="587">
        <v>45794.0</v>
      </c>
      <c r="AV87" s="124" t="str">
        <f t="shared" si="5"/>
        <v>Left</v>
      </c>
    </row>
    <row r="88">
      <c r="A88" s="124" t="s">
        <v>53</v>
      </c>
      <c r="B88" s="208" t="s">
        <v>56</v>
      </c>
      <c r="C88" s="208" t="s">
        <v>54</v>
      </c>
      <c r="D88" s="208" t="s">
        <v>1092</v>
      </c>
      <c r="E88" s="208" t="s">
        <v>55</v>
      </c>
      <c r="F88" s="580">
        <v>45428.0</v>
      </c>
      <c r="G88" s="208">
        <v>0.0</v>
      </c>
      <c r="H88" s="208">
        <v>1000000.0</v>
      </c>
      <c r="I88" s="208">
        <v>374506.54</v>
      </c>
      <c r="J88" s="208">
        <v>0.0</v>
      </c>
      <c r="K88" s="208">
        <v>87.0</v>
      </c>
      <c r="L88" s="208">
        <v>59.0</v>
      </c>
      <c r="M88" s="208">
        <v>0.0</v>
      </c>
      <c r="N88" s="208">
        <v>87.0</v>
      </c>
      <c r="O88" s="208">
        <v>28.0</v>
      </c>
      <c r="P88" s="208">
        <v>374506.54</v>
      </c>
      <c r="Q88" s="208">
        <v>0.0</v>
      </c>
      <c r="R88" s="208">
        <v>14.0</v>
      </c>
      <c r="S88" s="208">
        <v>0.0</v>
      </c>
      <c r="T88" s="208">
        <v>14.0</v>
      </c>
      <c r="U88" s="208">
        <v>0.0</v>
      </c>
      <c r="V88" s="208">
        <v>26.0</v>
      </c>
      <c r="W88" s="208">
        <v>32.0</v>
      </c>
      <c r="X88" s="208">
        <v>469.0</v>
      </c>
      <c r="Y88" s="208">
        <v>2.0</v>
      </c>
      <c r="Z88" s="208">
        <v>12.0</v>
      </c>
      <c r="AA88" s="208">
        <v>0.0</v>
      </c>
      <c r="AB88" s="208">
        <v>0.0</v>
      </c>
      <c r="AC88" s="208">
        <v>0.0</v>
      </c>
      <c r="AD88" s="208">
        <v>0.0</v>
      </c>
      <c r="AE88" s="208">
        <v>111.0</v>
      </c>
      <c r="AF88" s="208">
        <v>155.0</v>
      </c>
      <c r="AG88" s="208">
        <v>25.0</v>
      </c>
      <c r="AH88" s="581">
        <f t="shared" si="1"/>
        <v>14980.2616</v>
      </c>
      <c r="AI88" s="581">
        <f t="shared" si="2"/>
        <v>6.2</v>
      </c>
      <c r="AJ88" s="124">
        <v>0.0</v>
      </c>
      <c r="AK88" s="208">
        <v>0.0</v>
      </c>
      <c r="AL88" s="582">
        <f t="shared" si="3"/>
        <v>0</v>
      </c>
      <c r="AM88" s="208">
        <v>26750.0</v>
      </c>
      <c r="AN88" s="582">
        <f t="shared" si="4"/>
        <v>0.37450654</v>
      </c>
      <c r="AO88" s="583">
        <v>0.0</v>
      </c>
      <c r="AP88" s="208">
        <v>18.0</v>
      </c>
      <c r="AQ88" s="208">
        <v>287.0</v>
      </c>
      <c r="AR88" s="208">
        <v>1999.74</v>
      </c>
      <c r="AS88" s="208">
        <v>0.0</v>
      </c>
      <c r="AT88" s="208">
        <v>34.0</v>
      </c>
      <c r="AV88" s="124" t="str">
        <f t="shared" si="5"/>
        <v>Active</v>
      </c>
    </row>
    <row r="89">
      <c r="A89" s="124" t="s">
        <v>126</v>
      </c>
      <c r="B89" s="208" t="s">
        <v>130</v>
      </c>
      <c r="C89" s="208" t="s">
        <v>152</v>
      </c>
      <c r="D89" s="208" t="s">
        <v>130</v>
      </c>
      <c r="E89" s="208" t="s">
        <v>153</v>
      </c>
      <c r="F89" s="580">
        <v>45080.0</v>
      </c>
      <c r="G89" s="208">
        <v>400000.0</v>
      </c>
      <c r="H89" s="208">
        <v>2100000.0</v>
      </c>
      <c r="I89" s="208">
        <v>1789319.85</v>
      </c>
      <c r="J89" s="208">
        <v>222980.05</v>
      </c>
      <c r="K89" s="208">
        <v>116.0</v>
      </c>
      <c r="L89" s="208">
        <v>57.0</v>
      </c>
      <c r="M89" s="208">
        <v>2.0</v>
      </c>
      <c r="N89" s="208">
        <v>118.0</v>
      </c>
      <c r="O89" s="208">
        <v>61.0</v>
      </c>
      <c r="P89" s="208">
        <v>1755143.65</v>
      </c>
      <c r="Q89" s="208">
        <v>34176.2</v>
      </c>
      <c r="R89" s="208">
        <v>30.0</v>
      </c>
      <c r="S89" s="208">
        <v>2.0</v>
      </c>
      <c r="T89" s="208">
        <v>32.0</v>
      </c>
      <c r="U89" s="208">
        <v>2.0</v>
      </c>
      <c r="V89" s="208">
        <v>37.0</v>
      </c>
      <c r="W89" s="208">
        <v>40.0</v>
      </c>
      <c r="X89" s="208">
        <v>267.0</v>
      </c>
      <c r="Y89" s="208">
        <v>2.0</v>
      </c>
      <c r="Z89" s="208">
        <v>6.0</v>
      </c>
      <c r="AA89" s="208">
        <v>4.0</v>
      </c>
      <c r="AB89" s="208">
        <v>11.0</v>
      </c>
      <c r="AC89" s="208">
        <v>0.0</v>
      </c>
      <c r="AD89" s="208">
        <v>0.0</v>
      </c>
      <c r="AE89" s="208">
        <v>113.0</v>
      </c>
      <c r="AF89" s="208">
        <v>170.0</v>
      </c>
      <c r="AG89" s="208">
        <v>25.0</v>
      </c>
      <c r="AH89" s="581">
        <f t="shared" si="1"/>
        <v>80491.996</v>
      </c>
      <c r="AI89" s="581">
        <f t="shared" si="2"/>
        <v>6.8</v>
      </c>
      <c r="AJ89" s="124">
        <v>10.0</v>
      </c>
      <c r="AK89" s="208">
        <v>0.0</v>
      </c>
      <c r="AL89" s="582">
        <f t="shared" si="3"/>
        <v>0.000004969438204</v>
      </c>
      <c r="AM89" s="208">
        <v>55916.0</v>
      </c>
      <c r="AN89" s="582">
        <f t="shared" si="4"/>
        <v>0.80491996</v>
      </c>
      <c r="AO89" s="583">
        <v>0.0</v>
      </c>
      <c r="AP89" s="208">
        <v>42.0</v>
      </c>
      <c r="AQ89" s="208">
        <v>276.0</v>
      </c>
      <c r="AR89" s="208">
        <v>1845.6</v>
      </c>
      <c r="AS89" s="208">
        <v>2.0</v>
      </c>
      <c r="AT89" s="208">
        <v>32.0</v>
      </c>
      <c r="AV89" s="124" t="str">
        <f t="shared" si="5"/>
        <v>Active</v>
      </c>
    </row>
    <row r="90">
      <c r="A90" s="124" t="s">
        <v>185</v>
      </c>
      <c r="B90" s="208" t="s">
        <v>189</v>
      </c>
      <c r="C90" s="208" t="s">
        <v>755</v>
      </c>
      <c r="D90" s="208" t="s">
        <v>1016</v>
      </c>
      <c r="E90" s="208" t="s">
        <v>1079</v>
      </c>
      <c r="F90" s="580">
        <v>45084.0</v>
      </c>
      <c r="G90" s="208">
        <v>0.0</v>
      </c>
      <c r="H90" s="208">
        <v>2500000.0</v>
      </c>
      <c r="I90" s="208">
        <v>415524.77</v>
      </c>
      <c r="J90" s="208">
        <v>0.0</v>
      </c>
      <c r="K90" s="208">
        <v>86.0</v>
      </c>
      <c r="L90" s="208">
        <v>58.0</v>
      </c>
      <c r="M90" s="208">
        <v>1.0</v>
      </c>
      <c r="N90" s="208">
        <v>87.0</v>
      </c>
      <c r="O90" s="208">
        <v>29.0</v>
      </c>
      <c r="P90" s="208">
        <v>415524.77</v>
      </c>
      <c r="Q90" s="208">
        <v>0.0</v>
      </c>
      <c r="R90" s="208">
        <v>8.0</v>
      </c>
      <c r="S90" s="208">
        <v>0.0</v>
      </c>
      <c r="T90" s="208">
        <v>8.0</v>
      </c>
      <c r="U90" s="208">
        <v>0.0</v>
      </c>
      <c r="V90" s="208">
        <v>20.0</v>
      </c>
      <c r="W90" s="208">
        <v>26.0</v>
      </c>
      <c r="X90" s="208">
        <v>167.0</v>
      </c>
      <c r="Y90" s="208">
        <v>1.0</v>
      </c>
      <c r="Z90" s="208">
        <v>2.0</v>
      </c>
      <c r="AA90" s="208">
        <v>0.0</v>
      </c>
      <c r="AB90" s="208">
        <v>0.0</v>
      </c>
      <c r="AC90" s="208">
        <v>0.0</v>
      </c>
      <c r="AD90" s="208">
        <v>0.0</v>
      </c>
      <c r="AE90" s="208">
        <v>95.0</v>
      </c>
      <c r="AF90" s="208">
        <v>123.0</v>
      </c>
      <c r="AG90" s="208">
        <v>21.0</v>
      </c>
      <c r="AH90" s="581">
        <f t="shared" si="1"/>
        <v>19786.89381</v>
      </c>
      <c r="AI90" s="581">
        <f t="shared" si="2"/>
        <v>5.857142857</v>
      </c>
      <c r="AJ90" s="124">
        <v>0.0</v>
      </c>
      <c r="AK90" s="208">
        <v>0.0</v>
      </c>
      <c r="AL90" s="582">
        <f t="shared" si="3"/>
        <v>0</v>
      </c>
      <c r="AM90" s="208">
        <v>51941.0</v>
      </c>
      <c r="AN90" s="582">
        <f t="shared" si="4"/>
        <v>0.166209908</v>
      </c>
      <c r="AO90" s="583">
        <v>0.0</v>
      </c>
      <c r="AP90" s="208">
        <v>8.0</v>
      </c>
      <c r="AQ90" s="208">
        <v>166.0</v>
      </c>
      <c r="AR90" s="208">
        <v>2138.26</v>
      </c>
      <c r="AS90" s="208">
        <v>0.0</v>
      </c>
      <c r="AT90" s="208">
        <v>37.0</v>
      </c>
      <c r="AV90" s="124" t="str">
        <f t="shared" si="5"/>
        <v>Active</v>
      </c>
    </row>
    <row r="91">
      <c r="A91" s="124" t="s">
        <v>185</v>
      </c>
      <c r="B91" s="208" t="s">
        <v>222</v>
      </c>
      <c r="C91" s="208" t="s">
        <v>244</v>
      </c>
      <c r="D91" s="208" t="s">
        <v>1080</v>
      </c>
      <c r="E91" s="208" t="s">
        <v>245</v>
      </c>
      <c r="F91" s="580">
        <v>45108.0</v>
      </c>
      <c r="G91" s="208">
        <v>0.0</v>
      </c>
      <c r="H91" s="208">
        <v>1500000.0</v>
      </c>
      <c r="I91" s="208">
        <v>828483.34</v>
      </c>
      <c r="J91" s="208">
        <v>0.0</v>
      </c>
      <c r="K91" s="208">
        <v>62.0</v>
      </c>
      <c r="L91" s="208">
        <v>39.0</v>
      </c>
      <c r="M91" s="208">
        <v>0.0</v>
      </c>
      <c r="N91" s="208">
        <v>62.0</v>
      </c>
      <c r="O91" s="208">
        <v>23.0</v>
      </c>
      <c r="P91" s="208">
        <v>828483.34</v>
      </c>
      <c r="Q91" s="208">
        <v>0.0</v>
      </c>
      <c r="R91" s="208">
        <v>12.0</v>
      </c>
      <c r="S91" s="208">
        <v>0.0</v>
      </c>
      <c r="T91" s="208">
        <v>12.0</v>
      </c>
      <c r="U91" s="208">
        <v>0.0</v>
      </c>
      <c r="V91" s="208">
        <v>13.0</v>
      </c>
      <c r="W91" s="208">
        <v>22.0</v>
      </c>
      <c r="X91" s="208">
        <v>276.0</v>
      </c>
      <c r="Y91" s="208">
        <v>0.0</v>
      </c>
      <c r="Z91" s="208">
        <v>0.0</v>
      </c>
      <c r="AA91" s="208">
        <v>0.0</v>
      </c>
      <c r="AB91" s="208">
        <v>0.0</v>
      </c>
      <c r="AC91" s="208">
        <v>0.0</v>
      </c>
      <c r="AD91" s="208">
        <v>0.0</v>
      </c>
      <c r="AE91" s="208">
        <v>134.0</v>
      </c>
      <c r="AF91" s="208">
        <v>156.0</v>
      </c>
      <c r="AG91" s="208">
        <v>26.0</v>
      </c>
      <c r="AH91" s="581">
        <f t="shared" si="1"/>
        <v>31864.74385</v>
      </c>
      <c r="AI91" s="581">
        <f t="shared" si="2"/>
        <v>6</v>
      </c>
      <c r="AJ91" s="124">
        <v>0.0</v>
      </c>
      <c r="AK91" s="208">
        <v>0.0</v>
      </c>
      <c r="AL91" s="582">
        <f t="shared" si="3"/>
        <v>0</v>
      </c>
      <c r="AM91" s="208">
        <v>69040.0</v>
      </c>
      <c r="AN91" s="582">
        <f t="shared" si="4"/>
        <v>0.5523222267</v>
      </c>
      <c r="AO91" s="583">
        <v>0.0</v>
      </c>
      <c r="AP91" s="208">
        <v>12.0</v>
      </c>
      <c r="AQ91" s="208">
        <v>279.0</v>
      </c>
      <c r="AR91" s="208">
        <v>2109.11</v>
      </c>
      <c r="AS91" s="208">
        <v>0.0</v>
      </c>
      <c r="AT91" s="208">
        <v>54.0</v>
      </c>
      <c r="AV91" s="124" t="str">
        <f t="shared" si="5"/>
        <v>Active</v>
      </c>
    </row>
    <row r="92">
      <c r="A92" s="124" t="s">
        <v>185</v>
      </c>
      <c r="B92" s="208" t="s">
        <v>189</v>
      </c>
      <c r="C92" s="208" t="s">
        <v>246</v>
      </c>
      <c r="D92" s="208" t="s">
        <v>1016</v>
      </c>
      <c r="E92" s="208" t="s">
        <v>247</v>
      </c>
      <c r="F92" s="580">
        <v>45108.0</v>
      </c>
      <c r="G92" s="208">
        <v>0.0</v>
      </c>
      <c r="H92" s="208">
        <v>4000000.0</v>
      </c>
      <c r="I92" s="208">
        <v>3734883.04</v>
      </c>
      <c r="J92" s="208">
        <v>0.0</v>
      </c>
      <c r="K92" s="208">
        <v>143.0</v>
      </c>
      <c r="L92" s="208">
        <v>50.0</v>
      </c>
      <c r="M92" s="208">
        <v>1.0</v>
      </c>
      <c r="N92" s="208">
        <v>144.0</v>
      </c>
      <c r="O92" s="208">
        <v>94.0</v>
      </c>
      <c r="P92" s="208">
        <v>3614865.12</v>
      </c>
      <c r="Q92" s="208">
        <v>120017.92</v>
      </c>
      <c r="R92" s="208">
        <v>23.0</v>
      </c>
      <c r="S92" s="208">
        <v>1.0</v>
      </c>
      <c r="T92" s="208">
        <v>24.0</v>
      </c>
      <c r="U92" s="208">
        <v>0.0</v>
      </c>
      <c r="V92" s="208">
        <v>1.0</v>
      </c>
      <c r="W92" s="208">
        <v>1.0</v>
      </c>
      <c r="X92" s="208">
        <v>70.0</v>
      </c>
      <c r="Y92" s="208">
        <v>1.0</v>
      </c>
      <c r="Z92" s="208">
        <v>3.0</v>
      </c>
      <c r="AA92" s="208">
        <v>0.0</v>
      </c>
      <c r="AB92" s="208">
        <v>0.0</v>
      </c>
      <c r="AC92" s="208">
        <v>0.0</v>
      </c>
      <c r="AD92" s="208">
        <v>0.0</v>
      </c>
      <c r="AE92" s="208">
        <v>134.0</v>
      </c>
      <c r="AF92" s="208">
        <v>138.0</v>
      </c>
      <c r="AG92" s="208">
        <v>26.0</v>
      </c>
      <c r="AH92" s="581">
        <f t="shared" si="1"/>
        <v>143649.3477</v>
      </c>
      <c r="AI92" s="581">
        <f t="shared" si="2"/>
        <v>5.307692308</v>
      </c>
      <c r="AJ92" s="124">
        <v>0.0</v>
      </c>
      <c r="AK92" s="208">
        <v>0.0</v>
      </c>
      <c r="AL92" s="582">
        <f t="shared" si="3"/>
        <v>0</v>
      </c>
      <c r="AM92" s="208">
        <v>155620.0</v>
      </c>
      <c r="AN92" s="582">
        <f t="shared" si="4"/>
        <v>0.93372076</v>
      </c>
      <c r="AO92" s="583">
        <v>0.0</v>
      </c>
      <c r="AP92" s="208">
        <v>31.0</v>
      </c>
      <c r="AQ92" s="208">
        <v>260.0</v>
      </c>
      <c r="AR92" s="208">
        <v>883.05</v>
      </c>
      <c r="AS92" s="208">
        <v>1.0</v>
      </c>
      <c r="AT92" s="208">
        <v>18.0</v>
      </c>
      <c r="AV92" s="124" t="str">
        <f t="shared" si="5"/>
        <v>Active</v>
      </c>
    </row>
    <row r="93">
      <c r="A93" s="124" t="s">
        <v>185</v>
      </c>
      <c r="B93" s="208" t="s">
        <v>189</v>
      </c>
      <c r="C93" s="208" t="s">
        <v>248</v>
      </c>
      <c r="D93" s="208" t="s">
        <v>1016</v>
      </c>
      <c r="E93" s="208" t="s">
        <v>192</v>
      </c>
      <c r="F93" s="580">
        <v>45117.0</v>
      </c>
      <c r="G93" s="208">
        <v>0.0</v>
      </c>
      <c r="H93" s="208">
        <v>1500000.0</v>
      </c>
      <c r="I93" s="208">
        <v>1070530.61</v>
      </c>
      <c r="J93" s="208">
        <v>0.0</v>
      </c>
      <c r="K93" s="208">
        <v>62.0</v>
      </c>
      <c r="L93" s="208">
        <v>42.0</v>
      </c>
      <c r="M93" s="208">
        <v>1.0</v>
      </c>
      <c r="N93" s="208">
        <v>63.0</v>
      </c>
      <c r="O93" s="208">
        <v>21.0</v>
      </c>
      <c r="P93" s="208">
        <v>1009370.05</v>
      </c>
      <c r="Q93" s="208">
        <v>61160.56</v>
      </c>
      <c r="R93" s="208">
        <v>19.0</v>
      </c>
      <c r="S93" s="208">
        <v>1.0</v>
      </c>
      <c r="T93" s="208">
        <v>20.0</v>
      </c>
      <c r="U93" s="208">
        <v>0.0</v>
      </c>
      <c r="V93" s="208">
        <v>8.0</v>
      </c>
      <c r="W93" s="208">
        <v>9.0</v>
      </c>
      <c r="X93" s="208">
        <v>65.0</v>
      </c>
      <c r="Y93" s="208">
        <v>1.0</v>
      </c>
      <c r="Z93" s="208">
        <v>4.0</v>
      </c>
      <c r="AA93" s="208">
        <v>0.0</v>
      </c>
      <c r="AB93" s="208">
        <v>0.0</v>
      </c>
      <c r="AC93" s="208">
        <v>0.0</v>
      </c>
      <c r="AD93" s="208">
        <v>0.0</v>
      </c>
      <c r="AE93" s="208">
        <v>124.0</v>
      </c>
      <c r="AF93" s="208">
        <v>137.0</v>
      </c>
      <c r="AG93" s="208">
        <v>24.0</v>
      </c>
      <c r="AH93" s="581">
        <f t="shared" si="1"/>
        <v>44605.44208</v>
      </c>
      <c r="AI93" s="581">
        <f t="shared" si="2"/>
        <v>5.708333333</v>
      </c>
      <c r="AJ93" s="124">
        <v>0.0</v>
      </c>
      <c r="AK93" s="208">
        <v>0.0</v>
      </c>
      <c r="AL93" s="582">
        <f t="shared" si="3"/>
        <v>0</v>
      </c>
      <c r="AM93" s="208">
        <v>53527.0</v>
      </c>
      <c r="AN93" s="582">
        <f t="shared" si="4"/>
        <v>0.7136870733</v>
      </c>
      <c r="AO93" s="583">
        <v>0.0</v>
      </c>
      <c r="AP93" s="208">
        <v>30.0</v>
      </c>
      <c r="AQ93" s="208">
        <v>263.0</v>
      </c>
      <c r="AR93" s="208">
        <v>1424.98</v>
      </c>
      <c r="AS93" s="208">
        <v>1.0</v>
      </c>
      <c r="AT93" s="208">
        <v>34.0</v>
      </c>
      <c r="AV93" s="124" t="str">
        <f t="shared" si="5"/>
        <v>Active</v>
      </c>
    </row>
    <row r="94">
      <c r="A94" s="124" t="s">
        <v>126</v>
      </c>
      <c r="B94" s="208" t="s">
        <v>301</v>
      </c>
      <c r="C94" s="208" t="s">
        <v>158</v>
      </c>
      <c r="D94" s="208" t="s">
        <v>1066</v>
      </c>
      <c r="E94" s="208" t="s">
        <v>159</v>
      </c>
      <c r="F94" s="580">
        <v>45124.0</v>
      </c>
      <c r="G94" s="208">
        <v>0.0</v>
      </c>
      <c r="H94" s="208">
        <v>1650000.0</v>
      </c>
      <c r="I94" s="208">
        <v>964604.3</v>
      </c>
      <c r="J94" s="208">
        <v>0.0</v>
      </c>
      <c r="K94" s="208">
        <v>40.0</v>
      </c>
      <c r="L94" s="208">
        <v>16.0</v>
      </c>
      <c r="M94" s="208">
        <v>0.0</v>
      </c>
      <c r="N94" s="208">
        <v>40.0</v>
      </c>
      <c r="O94" s="208">
        <v>24.0</v>
      </c>
      <c r="P94" s="208">
        <v>964604.3</v>
      </c>
      <c r="Q94" s="208">
        <v>0.0</v>
      </c>
      <c r="R94" s="208">
        <v>19.0</v>
      </c>
      <c r="S94" s="208">
        <v>0.0</v>
      </c>
      <c r="T94" s="208">
        <v>19.0</v>
      </c>
      <c r="U94" s="208">
        <v>0.0</v>
      </c>
      <c r="V94" s="208">
        <v>38.0</v>
      </c>
      <c r="W94" s="208">
        <v>50.0</v>
      </c>
      <c r="X94" s="208">
        <v>221.0</v>
      </c>
      <c r="Y94" s="208">
        <v>2.0</v>
      </c>
      <c r="Z94" s="208">
        <v>4.0</v>
      </c>
      <c r="AA94" s="208">
        <v>0.0</v>
      </c>
      <c r="AB94" s="208">
        <v>0.0</v>
      </c>
      <c r="AC94" s="208">
        <v>0.0</v>
      </c>
      <c r="AD94" s="208">
        <v>0.0</v>
      </c>
      <c r="AE94" s="208">
        <v>24.0</v>
      </c>
      <c r="AF94" s="208">
        <v>78.0</v>
      </c>
      <c r="AG94" s="208">
        <v>22.0</v>
      </c>
      <c r="AH94" s="581">
        <f t="shared" si="1"/>
        <v>43845.65</v>
      </c>
      <c r="AI94" s="581">
        <f t="shared" si="2"/>
        <v>3.545454545</v>
      </c>
      <c r="AJ94" s="124">
        <v>0.0</v>
      </c>
      <c r="AK94" s="208">
        <v>0.0</v>
      </c>
      <c r="AL94" s="582">
        <f t="shared" si="3"/>
        <v>0</v>
      </c>
      <c r="AM94" s="208">
        <v>50769.0</v>
      </c>
      <c r="AN94" s="582">
        <f t="shared" si="4"/>
        <v>0.5846086667</v>
      </c>
      <c r="AO94" s="583">
        <v>0.0</v>
      </c>
      <c r="AP94" s="208">
        <v>32.0</v>
      </c>
      <c r="AQ94" s="208">
        <v>260.0</v>
      </c>
      <c r="AR94" s="208">
        <v>1730.89</v>
      </c>
      <c r="AS94" s="208">
        <v>0.0</v>
      </c>
      <c r="AT94" s="208">
        <v>108.0</v>
      </c>
      <c r="AV94" s="124" t="str">
        <f t="shared" si="5"/>
        <v>Active</v>
      </c>
    </row>
    <row r="95">
      <c r="A95" s="124" t="s">
        <v>126</v>
      </c>
      <c r="B95" s="208" t="s">
        <v>130</v>
      </c>
      <c r="C95" s="208" t="s">
        <v>154</v>
      </c>
      <c r="D95" s="208" t="s">
        <v>130</v>
      </c>
      <c r="E95" s="208" t="s">
        <v>155</v>
      </c>
      <c r="F95" s="580">
        <v>45121.0</v>
      </c>
      <c r="G95" s="208">
        <v>0.0</v>
      </c>
      <c r="H95" s="208">
        <v>2208333.0</v>
      </c>
      <c r="I95" s="208">
        <v>2214153.42</v>
      </c>
      <c r="J95" s="208">
        <v>0.0</v>
      </c>
      <c r="K95" s="208">
        <v>64.0</v>
      </c>
      <c r="L95" s="208">
        <v>35.0</v>
      </c>
      <c r="M95" s="208">
        <v>1.0</v>
      </c>
      <c r="N95" s="208">
        <v>65.0</v>
      </c>
      <c r="O95" s="208">
        <v>30.0</v>
      </c>
      <c r="P95" s="208">
        <v>1859125.17</v>
      </c>
      <c r="Q95" s="208">
        <v>355028.25</v>
      </c>
      <c r="R95" s="208">
        <v>9.0</v>
      </c>
      <c r="S95" s="208">
        <v>1.0</v>
      </c>
      <c r="T95" s="208">
        <v>10.0</v>
      </c>
      <c r="U95" s="208">
        <v>0.0</v>
      </c>
      <c r="V95" s="208">
        <v>7.0</v>
      </c>
      <c r="W95" s="208">
        <v>7.0</v>
      </c>
      <c r="X95" s="208">
        <v>82.0</v>
      </c>
      <c r="Y95" s="208">
        <v>2.0</v>
      </c>
      <c r="Z95" s="208">
        <v>4.0</v>
      </c>
      <c r="AA95" s="208">
        <v>0.0</v>
      </c>
      <c r="AB95" s="208">
        <v>0.0</v>
      </c>
      <c r="AC95" s="208">
        <v>0.0</v>
      </c>
      <c r="AD95" s="208">
        <v>0.0</v>
      </c>
      <c r="AE95" s="208">
        <v>62.0</v>
      </c>
      <c r="AF95" s="208">
        <v>73.0</v>
      </c>
      <c r="AG95" s="208">
        <v>25.0</v>
      </c>
      <c r="AH95" s="581">
        <f t="shared" si="1"/>
        <v>88566.1368</v>
      </c>
      <c r="AI95" s="581">
        <f t="shared" si="2"/>
        <v>2.92</v>
      </c>
      <c r="AJ95" s="124">
        <v>0.0</v>
      </c>
      <c r="AK95" s="208">
        <v>0.0</v>
      </c>
      <c r="AL95" s="582">
        <f t="shared" si="3"/>
        <v>0</v>
      </c>
      <c r="AM95" s="208">
        <v>221415.0</v>
      </c>
      <c r="AN95" s="582">
        <f t="shared" si="4"/>
        <v>1.002635662</v>
      </c>
      <c r="AO95" s="583">
        <v>0.0</v>
      </c>
      <c r="AP95" s="208">
        <v>11.0</v>
      </c>
      <c r="AQ95" s="208">
        <v>216.0</v>
      </c>
      <c r="AR95" s="208">
        <v>635.26</v>
      </c>
      <c r="AS95" s="208">
        <v>1.0</v>
      </c>
      <c r="AT95" s="208">
        <v>18.0</v>
      </c>
      <c r="AV95" s="124" t="str">
        <f t="shared" si="5"/>
        <v>Active</v>
      </c>
    </row>
    <row r="96">
      <c r="A96" s="124" t="s">
        <v>126</v>
      </c>
      <c r="B96" s="208" t="s">
        <v>130</v>
      </c>
      <c r="C96" s="208" t="s">
        <v>156</v>
      </c>
      <c r="D96" s="208" t="s">
        <v>130</v>
      </c>
      <c r="E96" s="208" t="s">
        <v>157</v>
      </c>
      <c r="F96" s="580">
        <v>45122.0</v>
      </c>
      <c r="G96" s="208">
        <v>0.0</v>
      </c>
      <c r="H96" s="208">
        <v>1791667.0</v>
      </c>
      <c r="I96" s="208">
        <v>1032737.59</v>
      </c>
      <c r="J96" s="208">
        <v>0.0</v>
      </c>
      <c r="K96" s="208">
        <v>48.0</v>
      </c>
      <c r="L96" s="208">
        <v>37.0</v>
      </c>
      <c r="M96" s="208">
        <v>5.0</v>
      </c>
      <c r="N96" s="208">
        <v>53.0</v>
      </c>
      <c r="O96" s="208">
        <v>16.0</v>
      </c>
      <c r="P96" s="208">
        <v>831912.24</v>
      </c>
      <c r="Q96" s="208">
        <v>200825.35</v>
      </c>
      <c r="R96" s="208">
        <v>15.0</v>
      </c>
      <c r="S96" s="208">
        <v>5.0</v>
      </c>
      <c r="T96" s="208">
        <v>20.0</v>
      </c>
      <c r="U96" s="208">
        <v>0.0</v>
      </c>
      <c r="V96" s="208">
        <v>19.0</v>
      </c>
      <c r="W96" s="208">
        <v>24.0</v>
      </c>
      <c r="X96" s="208">
        <v>323.0</v>
      </c>
      <c r="Y96" s="208">
        <v>2.0</v>
      </c>
      <c r="Z96" s="208">
        <v>3.0</v>
      </c>
      <c r="AA96" s="208">
        <v>0.0</v>
      </c>
      <c r="AB96" s="208">
        <v>0.0</v>
      </c>
      <c r="AC96" s="208">
        <v>0.0</v>
      </c>
      <c r="AD96" s="208">
        <v>0.0</v>
      </c>
      <c r="AE96" s="208">
        <v>127.0</v>
      </c>
      <c r="AF96" s="208">
        <v>154.0</v>
      </c>
      <c r="AG96" s="208">
        <v>25.0</v>
      </c>
      <c r="AH96" s="581">
        <f t="shared" si="1"/>
        <v>41309.5036</v>
      </c>
      <c r="AI96" s="581">
        <f t="shared" si="2"/>
        <v>6.16</v>
      </c>
      <c r="AJ96" s="124">
        <v>0.0</v>
      </c>
      <c r="AK96" s="208">
        <v>0.0</v>
      </c>
      <c r="AL96" s="582">
        <f t="shared" si="3"/>
        <v>0</v>
      </c>
      <c r="AM96" s="208">
        <v>51637.0</v>
      </c>
      <c r="AN96" s="582">
        <f t="shared" si="4"/>
        <v>0.5764115709</v>
      </c>
      <c r="AO96" s="583">
        <v>0.0</v>
      </c>
      <c r="AP96" s="208">
        <v>23.0</v>
      </c>
      <c r="AQ96" s="208">
        <v>172.0</v>
      </c>
      <c r="AR96" s="208">
        <v>1011.58</v>
      </c>
      <c r="AS96" s="208">
        <v>5.0</v>
      </c>
      <c r="AT96" s="208">
        <v>27.0</v>
      </c>
      <c r="AV96" s="124" t="str">
        <f t="shared" si="5"/>
        <v>Active</v>
      </c>
    </row>
    <row r="97">
      <c r="A97" s="124" t="s">
        <v>126</v>
      </c>
      <c r="B97" s="208" t="s">
        <v>135</v>
      </c>
      <c r="C97" s="208" t="s">
        <v>770</v>
      </c>
      <c r="D97" s="208" t="s">
        <v>1022</v>
      </c>
      <c r="E97" s="208" t="s">
        <v>1081</v>
      </c>
      <c r="F97" s="580">
        <v>45145.0</v>
      </c>
      <c r="G97" s="208">
        <v>0.0</v>
      </c>
      <c r="H97" s="208">
        <v>1833333.0</v>
      </c>
      <c r="I97" s="208">
        <v>1404138.01</v>
      </c>
      <c r="J97" s="208">
        <v>0.0</v>
      </c>
      <c r="K97" s="208">
        <v>64.0</v>
      </c>
      <c r="L97" s="208">
        <v>35.0</v>
      </c>
      <c r="M97" s="208">
        <v>2.0</v>
      </c>
      <c r="N97" s="208">
        <v>66.0</v>
      </c>
      <c r="O97" s="208">
        <v>31.0</v>
      </c>
      <c r="P97" s="208">
        <v>1330995.16</v>
      </c>
      <c r="Q97" s="208">
        <v>73142.85</v>
      </c>
      <c r="R97" s="208">
        <v>30.0</v>
      </c>
      <c r="S97" s="208">
        <v>2.0</v>
      </c>
      <c r="T97" s="208">
        <v>32.0</v>
      </c>
      <c r="U97" s="208">
        <v>0.0</v>
      </c>
      <c r="V97" s="208">
        <v>6.0</v>
      </c>
      <c r="W97" s="208">
        <v>7.0</v>
      </c>
      <c r="X97" s="208">
        <v>185.0</v>
      </c>
      <c r="Y97" s="208">
        <v>2.0</v>
      </c>
      <c r="Z97" s="208">
        <v>12.0</v>
      </c>
      <c r="AA97" s="208">
        <v>0.0</v>
      </c>
      <c r="AB97" s="208">
        <v>0.0</v>
      </c>
      <c r="AC97" s="208">
        <v>0.0</v>
      </c>
      <c r="AD97" s="208">
        <v>0.0</v>
      </c>
      <c r="AE97" s="208">
        <v>62.0</v>
      </c>
      <c r="AF97" s="208">
        <v>81.0</v>
      </c>
      <c r="AG97" s="208">
        <v>26.0</v>
      </c>
      <c r="AH97" s="581">
        <f t="shared" si="1"/>
        <v>54005.30808</v>
      </c>
      <c r="AI97" s="581">
        <f t="shared" si="2"/>
        <v>3.115384615</v>
      </c>
      <c r="AJ97" s="124">
        <v>1.0</v>
      </c>
      <c r="AK97" s="208">
        <v>0.0</v>
      </c>
      <c r="AL97" s="582">
        <f t="shared" si="3"/>
        <v>0.0000007121807065</v>
      </c>
      <c r="AM97" s="208">
        <v>43879.0</v>
      </c>
      <c r="AN97" s="582">
        <f t="shared" si="4"/>
        <v>0.7658935993</v>
      </c>
      <c r="AO97" s="583">
        <v>0.0</v>
      </c>
      <c r="AP97" s="208">
        <v>70.0</v>
      </c>
      <c r="AQ97" s="208">
        <v>240.0</v>
      </c>
      <c r="AR97" s="208">
        <v>1183.5</v>
      </c>
      <c r="AS97" s="208">
        <v>2.0</v>
      </c>
      <c r="AT97" s="208">
        <v>34.0</v>
      </c>
      <c r="AV97" s="124" t="str">
        <f t="shared" si="5"/>
        <v>Active</v>
      </c>
    </row>
    <row r="98">
      <c r="A98" s="124" t="s">
        <v>185</v>
      </c>
      <c r="B98" s="208" t="s">
        <v>189</v>
      </c>
      <c r="C98" s="208" t="s">
        <v>414</v>
      </c>
      <c r="D98" s="208" t="s">
        <v>1016</v>
      </c>
      <c r="E98" s="208" t="s">
        <v>415</v>
      </c>
      <c r="F98" s="580">
        <v>45148.0</v>
      </c>
      <c r="G98" s="208">
        <v>0.0</v>
      </c>
      <c r="H98" s="208">
        <v>1733333.0</v>
      </c>
      <c r="I98" s="208">
        <v>1060032.06</v>
      </c>
      <c r="J98" s="208">
        <v>0.0</v>
      </c>
      <c r="K98" s="208">
        <v>97.0</v>
      </c>
      <c r="L98" s="208">
        <v>80.0</v>
      </c>
      <c r="M98" s="208">
        <v>1.0</v>
      </c>
      <c r="N98" s="208">
        <v>98.0</v>
      </c>
      <c r="O98" s="208">
        <v>18.0</v>
      </c>
      <c r="P98" s="208">
        <v>954244.56</v>
      </c>
      <c r="Q98" s="208">
        <v>105787.5</v>
      </c>
      <c r="R98" s="208">
        <v>12.0</v>
      </c>
      <c r="S98" s="208">
        <v>1.0</v>
      </c>
      <c r="T98" s="208">
        <v>13.0</v>
      </c>
      <c r="U98" s="208">
        <v>0.0</v>
      </c>
      <c r="V98" s="208">
        <v>18.0</v>
      </c>
      <c r="W98" s="208">
        <v>20.0</v>
      </c>
      <c r="X98" s="208">
        <v>229.0</v>
      </c>
      <c r="Y98" s="208">
        <v>2.0</v>
      </c>
      <c r="Z98" s="208">
        <v>7.0</v>
      </c>
      <c r="AA98" s="208">
        <v>0.0</v>
      </c>
      <c r="AB98" s="208">
        <v>0.0</v>
      </c>
      <c r="AC98" s="208">
        <v>0.0</v>
      </c>
      <c r="AD98" s="208">
        <v>0.0</v>
      </c>
      <c r="AE98" s="208">
        <v>117.0</v>
      </c>
      <c r="AF98" s="208">
        <v>144.0</v>
      </c>
      <c r="AG98" s="208">
        <v>25.0</v>
      </c>
      <c r="AH98" s="581">
        <f t="shared" si="1"/>
        <v>42401.2824</v>
      </c>
      <c r="AI98" s="581">
        <f t="shared" si="2"/>
        <v>5.76</v>
      </c>
      <c r="AJ98" s="124">
        <v>0.0</v>
      </c>
      <c r="AK98" s="208">
        <v>0.0</v>
      </c>
      <c r="AL98" s="582">
        <f t="shared" si="3"/>
        <v>0</v>
      </c>
      <c r="AM98" s="208">
        <v>81541.0</v>
      </c>
      <c r="AN98" s="582">
        <f t="shared" si="4"/>
        <v>0.6115570753</v>
      </c>
      <c r="AO98" s="583">
        <v>0.0</v>
      </c>
      <c r="AP98" s="208">
        <v>14.0</v>
      </c>
      <c r="AQ98" s="208">
        <v>273.0</v>
      </c>
      <c r="AR98" s="208">
        <v>1778.27</v>
      </c>
      <c r="AS98" s="208">
        <v>1.0</v>
      </c>
      <c r="AT98" s="208">
        <v>22.0</v>
      </c>
      <c r="AV98" s="124" t="str">
        <f t="shared" si="5"/>
        <v>Active</v>
      </c>
    </row>
    <row r="99">
      <c r="A99" s="124" t="s">
        <v>126</v>
      </c>
      <c r="B99" s="208" t="s">
        <v>135</v>
      </c>
      <c r="C99" s="208" t="s">
        <v>772</v>
      </c>
      <c r="D99" s="208" t="s">
        <v>1042</v>
      </c>
      <c r="E99" s="208" t="s">
        <v>180</v>
      </c>
      <c r="F99" s="580">
        <v>45152.0</v>
      </c>
      <c r="G99" s="208">
        <v>0.0</v>
      </c>
      <c r="H99" s="208">
        <v>2000000.0</v>
      </c>
      <c r="I99" s="208">
        <v>1958940.4</v>
      </c>
      <c r="J99" s="208">
        <v>0.0</v>
      </c>
      <c r="K99" s="208">
        <v>102.0</v>
      </c>
      <c r="L99" s="208">
        <v>50.0</v>
      </c>
      <c r="M99" s="208">
        <v>9.0</v>
      </c>
      <c r="N99" s="208">
        <v>111.0</v>
      </c>
      <c r="O99" s="208">
        <v>61.0</v>
      </c>
      <c r="P99" s="208">
        <v>1550106.42</v>
      </c>
      <c r="Q99" s="208">
        <v>408833.98</v>
      </c>
      <c r="R99" s="208">
        <v>32.0</v>
      </c>
      <c r="S99" s="208">
        <v>7.0</v>
      </c>
      <c r="T99" s="208">
        <v>39.0</v>
      </c>
      <c r="U99" s="208">
        <v>0.0</v>
      </c>
      <c r="V99" s="208">
        <v>12.0</v>
      </c>
      <c r="W99" s="208">
        <v>12.0</v>
      </c>
      <c r="X99" s="208">
        <v>282.0</v>
      </c>
      <c r="Y99" s="208">
        <v>2.0</v>
      </c>
      <c r="Z99" s="208">
        <v>4.0</v>
      </c>
      <c r="AA99" s="208">
        <v>0.0</v>
      </c>
      <c r="AB99" s="208">
        <v>0.0</v>
      </c>
      <c r="AC99" s="208">
        <v>1.0</v>
      </c>
      <c r="AD99" s="208">
        <v>5.0</v>
      </c>
      <c r="AE99" s="208">
        <v>65.0</v>
      </c>
      <c r="AF99" s="208">
        <v>86.0</v>
      </c>
      <c r="AG99" s="208">
        <v>25.0</v>
      </c>
      <c r="AH99" s="581">
        <f t="shared" si="1"/>
        <v>78357.616</v>
      </c>
      <c r="AI99" s="581">
        <f t="shared" si="2"/>
        <v>3.44</v>
      </c>
      <c r="AJ99" s="124">
        <v>0.0</v>
      </c>
      <c r="AK99" s="208">
        <v>0.0</v>
      </c>
      <c r="AL99" s="582">
        <f t="shared" si="3"/>
        <v>0</v>
      </c>
      <c r="AM99" s="208">
        <v>50229.0</v>
      </c>
      <c r="AN99" s="582">
        <f t="shared" si="4"/>
        <v>0.9794702</v>
      </c>
      <c r="AO99" s="583">
        <v>0.0</v>
      </c>
      <c r="AP99" s="208">
        <v>98.0</v>
      </c>
      <c r="AQ99" s="208">
        <v>214.0</v>
      </c>
      <c r="AR99" s="208">
        <v>1352.26</v>
      </c>
      <c r="AS99" s="208">
        <v>7.0</v>
      </c>
      <c r="AT99" s="208">
        <v>27.0</v>
      </c>
      <c r="AV99" s="124" t="str">
        <f t="shared" si="5"/>
        <v>Active</v>
      </c>
    </row>
    <row r="100">
      <c r="A100" s="124" t="s">
        <v>298</v>
      </c>
      <c r="B100" s="208" t="s">
        <v>301</v>
      </c>
      <c r="C100" s="208" t="s">
        <v>773</v>
      </c>
      <c r="D100" s="208" t="s">
        <v>1066</v>
      </c>
      <c r="E100" s="208" t="s">
        <v>310</v>
      </c>
      <c r="F100" s="580">
        <v>45159.0</v>
      </c>
      <c r="G100" s="208">
        <v>0.0</v>
      </c>
      <c r="H100" s="208">
        <v>1500000.0</v>
      </c>
      <c r="I100" s="208">
        <v>1009615.02</v>
      </c>
      <c r="J100" s="208">
        <v>0.0</v>
      </c>
      <c r="K100" s="208">
        <v>69.0</v>
      </c>
      <c r="L100" s="208">
        <v>58.0</v>
      </c>
      <c r="M100" s="208">
        <v>0.0</v>
      </c>
      <c r="N100" s="208">
        <v>69.0</v>
      </c>
      <c r="O100" s="208">
        <v>11.0</v>
      </c>
      <c r="P100" s="208">
        <v>1009615.02</v>
      </c>
      <c r="Q100" s="208">
        <v>0.0</v>
      </c>
      <c r="R100" s="208">
        <v>18.0</v>
      </c>
      <c r="S100" s="208">
        <v>0.0</v>
      </c>
      <c r="T100" s="208">
        <v>18.0</v>
      </c>
      <c r="U100" s="208">
        <v>0.0</v>
      </c>
      <c r="V100" s="208">
        <v>23.0</v>
      </c>
      <c r="W100" s="208">
        <v>25.0</v>
      </c>
      <c r="X100" s="208">
        <v>153.0</v>
      </c>
      <c r="Y100" s="208">
        <v>0.0</v>
      </c>
      <c r="Z100" s="208">
        <v>0.0</v>
      </c>
      <c r="AA100" s="208">
        <v>0.0</v>
      </c>
      <c r="AB100" s="208">
        <v>0.0</v>
      </c>
      <c r="AC100" s="208">
        <v>0.0</v>
      </c>
      <c r="AD100" s="208">
        <v>0.0</v>
      </c>
      <c r="AE100" s="208">
        <v>132.0</v>
      </c>
      <c r="AF100" s="208">
        <v>157.0</v>
      </c>
      <c r="AG100" s="208">
        <v>26.0</v>
      </c>
      <c r="AH100" s="581">
        <f t="shared" si="1"/>
        <v>38831.34692</v>
      </c>
      <c r="AI100" s="581">
        <f t="shared" si="2"/>
        <v>6.038461538</v>
      </c>
      <c r="AJ100" s="124">
        <v>0.0</v>
      </c>
      <c r="AK100" s="208">
        <v>0.0</v>
      </c>
      <c r="AL100" s="582">
        <f t="shared" si="3"/>
        <v>0</v>
      </c>
      <c r="AM100" s="208">
        <v>56090.0</v>
      </c>
      <c r="AN100" s="582">
        <f t="shared" si="4"/>
        <v>0.67307668</v>
      </c>
      <c r="AO100" s="583">
        <v>0.0</v>
      </c>
      <c r="AP100" s="208">
        <v>28.0</v>
      </c>
      <c r="AQ100" s="208">
        <v>277.0</v>
      </c>
      <c r="AR100" s="208">
        <v>2396.59</v>
      </c>
      <c r="AS100" s="208">
        <v>0.0</v>
      </c>
      <c r="AT100" s="208">
        <v>41.0</v>
      </c>
      <c r="AV100" s="124" t="str">
        <f t="shared" si="5"/>
        <v>Active</v>
      </c>
    </row>
    <row r="101">
      <c r="A101" s="124" t="s">
        <v>185</v>
      </c>
      <c r="B101" s="208" t="s">
        <v>215</v>
      </c>
      <c r="C101" s="208" t="s">
        <v>776</v>
      </c>
      <c r="D101" s="208" t="s">
        <v>1065</v>
      </c>
      <c r="E101" s="208" t="s">
        <v>278</v>
      </c>
      <c r="F101" s="580">
        <v>45170.0</v>
      </c>
      <c r="G101" s="208">
        <v>0.0</v>
      </c>
      <c r="H101" s="208">
        <v>0.0</v>
      </c>
      <c r="I101" s="208">
        <v>0.0</v>
      </c>
      <c r="J101" s="208">
        <v>0.0</v>
      </c>
      <c r="K101" s="208">
        <v>172.0</v>
      </c>
      <c r="L101" s="208">
        <v>48.0</v>
      </c>
      <c r="M101" s="208">
        <v>3.0</v>
      </c>
      <c r="N101" s="208">
        <v>175.0</v>
      </c>
      <c r="O101" s="208">
        <v>127.0</v>
      </c>
      <c r="P101" s="208">
        <v>0.0</v>
      </c>
      <c r="Q101" s="208">
        <v>0.0</v>
      </c>
      <c r="R101" s="208">
        <v>0.0</v>
      </c>
      <c r="S101" s="208">
        <v>0.0</v>
      </c>
      <c r="T101" s="208">
        <v>0.0</v>
      </c>
      <c r="U101" s="208">
        <v>0.0</v>
      </c>
      <c r="V101" s="208">
        <v>15.0</v>
      </c>
      <c r="W101" s="208">
        <v>15.0</v>
      </c>
      <c r="X101" s="208">
        <v>44.0</v>
      </c>
      <c r="Y101" s="208">
        <v>4.0</v>
      </c>
      <c r="Z101" s="208">
        <v>16.0</v>
      </c>
      <c r="AA101" s="208">
        <v>0.0</v>
      </c>
      <c r="AB101" s="208">
        <v>0.0</v>
      </c>
      <c r="AC101" s="208">
        <v>0.0</v>
      </c>
      <c r="AD101" s="208">
        <v>0.0</v>
      </c>
      <c r="AE101" s="208">
        <v>56.0</v>
      </c>
      <c r="AF101" s="208">
        <v>87.0</v>
      </c>
      <c r="AG101" s="208">
        <v>26.0</v>
      </c>
      <c r="AH101" s="581">
        <f t="shared" si="1"/>
        <v>0</v>
      </c>
      <c r="AI101" s="581">
        <f t="shared" si="2"/>
        <v>3.346153846</v>
      </c>
      <c r="AJ101" s="124">
        <v>0.0</v>
      </c>
      <c r="AK101" s="208">
        <v>0.0</v>
      </c>
      <c r="AL101" s="582" t="str">
        <f t="shared" si="3"/>
        <v/>
      </c>
      <c r="AM101" s="208">
        <v>0.0</v>
      </c>
      <c r="AN101" s="582" t="str">
        <f t="shared" si="4"/>
        <v/>
      </c>
      <c r="AO101" s="583">
        <v>0.0</v>
      </c>
      <c r="AP101" s="208">
        <v>0.0</v>
      </c>
      <c r="AQ101" s="208">
        <v>257.0</v>
      </c>
      <c r="AR101" s="208">
        <v>1568.97</v>
      </c>
      <c r="AS101" s="208">
        <v>0.0</v>
      </c>
      <c r="AT101" s="208">
        <v>33.0</v>
      </c>
      <c r="AV101" s="124" t="str">
        <f t="shared" si="5"/>
        <v>Active</v>
      </c>
    </row>
    <row r="102">
      <c r="A102" s="124" t="s">
        <v>126</v>
      </c>
      <c r="B102" s="208" t="s">
        <v>130</v>
      </c>
      <c r="C102" s="208" t="s">
        <v>781</v>
      </c>
      <c r="D102" s="208" t="s">
        <v>1082</v>
      </c>
      <c r="E102" s="208" t="s">
        <v>441</v>
      </c>
      <c r="F102" s="580">
        <v>45171.0</v>
      </c>
      <c r="G102" s="208">
        <v>0.0</v>
      </c>
      <c r="H102" s="208">
        <v>1000000.0</v>
      </c>
      <c r="I102" s="208">
        <v>235072.68</v>
      </c>
      <c r="J102" s="208">
        <v>0.0</v>
      </c>
      <c r="K102" s="208">
        <v>24.0</v>
      </c>
      <c r="L102" s="208">
        <v>19.0</v>
      </c>
      <c r="M102" s="208">
        <v>0.0</v>
      </c>
      <c r="N102" s="208">
        <v>24.0</v>
      </c>
      <c r="O102" s="208">
        <v>5.0</v>
      </c>
      <c r="P102" s="208">
        <v>235072.68</v>
      </c>
      <c r="Q102" s="208">
        <v>0.0</v>
      </c>
      <c r="R102" s="208">
        <v>9.0</v>
      </c>
      <c r="S102" s="208">
        <v>0.0</v>
      </c>
      <c r="T102" s="208">
        <v>9.0</v>
      </c>
      <c r="U102" s="208">
        <v>0.0</v>
      </c>
      <c r="V102" s="208">
        <v>21.0</v>
      </c>
      <c r="W102" s="208">
        <v>25.0</v>
      </c>
      <c r="X102" s="208">
        <v>211.0</v>
      </c>
      <c r="Y102" s="208">
        <v>3.0</v>
      </c>
      <c r="Z102" s="208">
        <v>19.0</v>
      </c>
      <c r="AA102" s="208">
        <v>0.0</v>
      </c>
      <c r="AB102" s="208">
        <v>0.0</v>
      </c>
      <c r="AC102" s="208">
        <v>9.0</v>
      </c>
      <c r="AD102" s="208">
        <v>18.0</v>
      </c>
      <c r="AE102" s="208">
        <v>62.0</v>
      </c>
      <c r="AF102" s="208">
        <v>124.0</v>
      </c>
      <c r="AG102" s="208">
        <v>27.0</v>
      </c>
      <c r="AH102" s="581">
        <f t="shared" si="1"/>
        <v>8706.395556</v>
      </c>
      <c r="AI102" s="581">
        <f t="shared" si="2"/>
        <v>4.592592593</v>
      </c>
      <c r="AJ102" s="124">
        <v>1.0</v>
      </c>
      <c r="AK102" s="208">
        <v>0.0</v>
      </c>
      <c r="AL102" s="582">
        <f t="shared" si="3"/>
        <v>0.000004254003485</v>
      </c>
      <c r="AM102" s="208">
        <v>26119.0</v>
      </c>
      <c r="AN102" s="582">
        <f t="shared" si="4"/>
        <v>0.23507268</v>
      </c>
      <c r="AO102" s="583">
        <v>0.0</v>
      </c>
      <c r="AP102" s="208">
        <v>11.0</v>
      </c>
      <c r="AQ102" s="208">
        <v>268.0</v>
      </c>
      <c r="AR102" s="208">
        <v>1367.01</v>
      </c>
      <c r="AS102" s="208">
        <v>0.0</v>
      </c>
      <c r="AT102" s="208">
        <v>72.0</v>
      </c>
      <c r="AV102" s="124" t="str">
        <f t="shared" si="5"/>
        <v>Active</v>
      </c>
    </row>
    <row r="103">
      <c r="A103" s="124" t="s">
        <v>185</v>
      </c>
      <c r="B103" s="208" t="s">
        <v>215</v>
      </c>
      <c r="C103" s="208" t="s">
        <v>783</v>
      </c>
      <c r="D103" s="208" t="s">
        <v>1064</v>
      </c>
      <c r="E103" s="208" t="s">
        <v>250</v>
      </c>
      <c r="F103" s="580">
        <v>45184.0</v>
      </c>
      <c r="G103" s="208">
        <v>0.0</v>
      </c>
      <c r="H103" s="208">
        <v>1858333.0</v>
      </c>
      <c r="I103" s="208">
        <v>1216153.75</v>
      </c>
      <c r="J103" s="208">
        <v>0.0</v>
      </c>
      <c r="K103" s="208">
        <v>47.0</v>
      </c>
      <c r="L103" s="208">
        <v>35.0</v>
      </c>
      <c r="M103" s="208">
        <v>1.0</v>
      </c>
      <c r="N103" s="208">
        <v>48.0</v>
      </c>
      <c r="O103" s="208">
        <v>13.0</v>
      </c>
      <c r="P103" s="208">
        <v>1203226.71</v>
      </c>
      <c r="Q103" s="208">
        <v>12927.04</v>
      </c>
      <c r="R103" s="208">
        <v>15.0</v>
      </c>
      <c r="S103" s="208">
        <v>1.0</v>
      </c>
      <c r="T103" s="208">
        <v>16.0</v>
      </c>
      <c r="U103" s="208">
        <v>0.0</v>
      </c>
      <c r="V103" s="208">
        <v>8.0</v>
      </c>
      <c r="W103" s="208">
        <v>9.0</v>
      </c>
      <c r="X103" s="208">
        <v>109.0</v>
      </c>
      <c r="Y103" s="208">
        <v>1.0</v>
      </c>
      <c r="Z103" s="208">
        <v>1.0</v>
      </c>
      <c r="AA103" s="208">
        <v>0.0</v>
      </c>
      <c r="AB103" s="208">
        <v>0.0</v>
      </c>
      <c r="AC103" s="208">
        <v>0.0</v>
      </c>
      <c r="AD103" s="208">
        <v>0.0</v>
      </c>
      <c r="AE103" s="208">
        <v>96.0</v>
      </c>
      <c r="AF103" s="208">
        <v>106.0</v>
      </c>
      <c r="AG103" s="208">
        <v>27.0</v>
      </c>
      <c r="AH103" s="581">
        <f t="shared" si="1"/>
        <v>45042.73148</v>
      </c>
      <c r="AI103" s="581">
        <f t="shared" si="2"/>
        <v>3.925925926</v>
      </c>
      <c r="AJ103" s="124">
        <v>0.0</v>
      </c>
      <c r="AK103" s="208">
        <v>0.0</v>
      </c>
      <c r="AL103" s="582">
        <f t="shared" si="3"/>
        <v>0</v>
      </c>
      <c r="AM103" s="208">
        <v>76010.0</v>
      </c>
      <c r="AN103" s="582">
        <f t="shared" si="4"/>
        <v>0.6544326286</v>
      </c>
      <c r="AO103" s="583">
        <v>0.0</v>
      </c>
      <c r="AP103" s="208">
        <v>24.0</v>
      </c>
      <c r="AQ103" s="208">
        <v>217.0</v>
      </c>
      <c r="AR103" s="208">
        <v>1465.72</v>
      </c>
      <c r="AS103" s="208">
        <v>1.0</v>
      </c>
      <c r="AT103" s="208">
        <v>42.0</v>
      </c>
      <c r="AV103" s="124" t="str">
        <f t="shared" si="5"/>
        <v>Active</v>
      </c>
    </row>
    <row r="104">
      <c r="A104" s="124" t="s">
        <v>185</v>
      </c>
      <c r="B104" s="208" t="s">
        <v>212</v>
      </c>
      <c r="C104" s="208" t="s">
        <v>784</v>
      </c>
      <c r="D104" s="208" t="s">
        <v>40</v>
      </c>
      <c r="E104" s="208" t="s">
        <v>39</v>
      </c>
      <c r="F104" s="580">
        <v>45182.0</v>
      </c>
      <c r="G104" s="208">
        <v>0.0</v>
      </c>
      <c r="H104" s="208">
        <v>0.0</v>
      </c>
      <c r="I104" s="208">
        <v>0.0</v>
      </c>
      <c r="J104" s="208">
        <v>0.0</v>
      </c>
      <c r="K104" s="208">
        <v>46.0</v>
      </c>
      <c r="L104" s="208">
        <v>0.0</v>
      </c>
      <c r="M104" s="208">
        <v>0.0</v>
      </c>
      <c r="N104" s="208">
        <v>46.0</v>
      </c>
      <c r="O104" s="208">
        <v>46.0</v>
      </c>
      <c r="P104" s="208">
        <v>0.0</v>
      </c>
      <c r="Q104" s="208">
        <v>0.0</v>
      </c>
      <c r="R104" s="208">
        <v>0.0</v>
      </c>
      <c r="S104" s="208">
        <v>0.0</v>
      </c>
      <c r="T104" s="208">
        <v>0.0</v>
      </c>
      <c r="U104" s="208">
        <v>0.0</v>
      </c>
      <c r="V104" s="208">
        <v>0.0</v>
      </c>
      <c r="W104" s="208">
        <v>0.0</v>
      </c>
      <c r="X104" s="208">
        <v>89.0</v>
      </c>
      <c r="Y104" s="208">
        <v>0.0</v>
      </c>
      <c r="Z104" s="208">
        <v>0.0</v>
      </c>
      <c r="AA104" s="208">
        <v>0.0</v>
      </c>
      <c r="AB104" s="208">
        <v>0.0</v>
      </c>
      <c r="AC104" s="208">
        <v>0.0</v>
      </c>
      <c r="AD104" s="208">
        <v>0.0</v>
      </c>
      <c r="AE104" s="208">
        <v>0.0</v>
      </c>
      <c r="AF104" s="208">
        <v>0.0</v>
      </c>
      <c r="AG104" s="208">
        <v>0.0</v>
      </c>
      <c r="AH104" s="581" t="str">
        <f t="shared" si="1"/>
        <v/>
      </c>
      <c r="AI104" s="581" t="str">
        <f t="shared" si="2"/>
        <v/>
      </c>
      <c r="AJ104" s="124" t="e">
        <v>#N/A</v>
      </c>
      <c r="AK104" s="208">
        <v>0.0</v>
      </c>
      <c r="AL104" s="582" t="str">
        <f t="shared" si="3"/>
        <v/>
      </c>
      <c r="AM104" s="208">
        <v>0.0</v>
      </c>
      <c r="AN104" s="582" t="str">
        <f t="shared" si="4"/>
        <v/>
      </c>
      <c r="AO104" s="583">
        <v>0.0</v>
      </c>
      <c r="AP104" s="208">
        <v>0.0</v>
      </c>
      <c r="AQ104" s="208">
        <v>0.0</v>
      </c>
      <c r="AR104" s="208">
        <v>0.0</v>
      </c>
      <c r="AS104" s="208">
        <v>0.0</v>
      </c>
      <c r="AT104" s="208">
        <v>0.0</v>
      </c>
      <c r="AU104" s="586">
        <v>45421.0</v>
      </c>
      <c r="AV104" s="124" t="str">
        <f t="shared" si="5"/>
        <v>Left</v>
      </c>
    </row>
    <row r="105">
      <c r="A105" s="124" t="s">
        <v>126</v>
      </c>
      <c r="B105" s="208" t="s">
        <v>130</v>
      </c>
      <c r="C105" s="208" t="s">
        <v>163</v>
      </c>
      <c r="D105" s="208" t="s">
        <v>130</v>
      </c>
      <c r="E105" s="208" t="s">
        <v>151</v>
      </c>
      <c r="F105" s="580">
        <v>45187.0</v>
      </c>
      <c r="G105" s="208">
        <v>0.0</v>
      </c>
      <c r="H105" s="208">
        <v>1833333.0</v>
      </c>
      <c r="I105" s="208">
        <v>733867.51</v>
      </c>
      <c r="J105" s="208">
        <v>0.0</v>
      </c>
      <c r="K105" s="208">
        <v>105.0</v>
      </c>
      <c r="L105" s="208">
        <v>61.0</v>
      </c>
      <c r="M105" s="208">
        <v>7.0</v>
      </c>
      <c r="N105" s="208">
        <v>112.0</v>
      </c>
      <c r="O105" s="208">
        <v>51.0</v>
      </c>
      <c r="P105" s="208">
        <v>653828.61</v>
      </c>
      <c r="Q105" s="208">
        <v>80038.9</v>
      </c>
      <c r="R105" s="208">
        <v>32.0</v>
      </c>
      <c r="S105" s="208">
        <v>4.0</v>
      </c>
      <c r="T105" s="208">
        <v>36.0</v>
      </c>
      <c r="U105" s="208">
        <v>0.0</v>
      </c>
      <c r="V105" s="208">
        <v>8.0</v>
      </c>
      <c r="W105" s="208">
        <v>9.0</v>
      </c>
      <c r="X105" s="208">
        <v>204.0</v>
      </c>
      <c r="Y105" s="208">
        <v>3.0</v>
      </c>
      <c r="Z105" s="208">
        <v>12.0</v>
      </c>
      <c r="AA105" s="208">
        <v>0.0</v>
      </c>
      <c r="AB105" s="208">
        <v>0.0</v>
      </c>
      <c r="AC105" s="208">
        <v>0.0</v>
      </c>
      <c r="AD105" s="208">
        <v>0.0</v>
      </c>
      <c r="AE105" s="208">
        <v>98.0</v>
      </c>
      <c r="AF105" s="208">
        <v>119.0</v>
      </c>
      <c r="AG105" s="208">
        <v>25.0</v>
      </c>
      <c r="AH105" s="581">
        <f t="shared" si="1"/>
        <v>29354.7004</v>
      </c>
      <c r="AI105" s="581">
        <f t="shared" si="2"/>
        <v>4.76</v>
      </c>
      <c r="AJ105" s="124">
        <v>0.0</v>
      </c>
      <c r="AK105" s="208">
        <v>0.0</v>
      </c>
      <c r="AL105" s="582">
        <f t="shared" si="3"/>
        <v>0</v>
      </c>
      <c r="AM105" s="208">
        <v>20385.0</v>
      </c>
      <c r="AN105" s="582">
        <f t="shared" si="4"/>
        <v>0.4002914419</v>
      </c>
      <c r="AO105" s="583">
        <v>0.0</v>
      </c>
      <c r="AP105" s="208">
        <v>59.0</v>
      </c>
      <c r="AQ105" s="208">
        <v>235.0</v>
      </c>
      <c r="AR105" s="208">
        <v>973.24</v>
      </c>
      <c r="AS105" s="208">
        <v>4.0</v>
      </c>
      <c r="AT105" s="208">
        <v>16.0</v>
      </c>
      <c r="AV105" s="124" t="str">
        <f t="shared" si="5"/>
        <v>Active</v>
      </c>
    </row>
    <row r="106">
      <c r="A106" s="124" t="s">
        <v>185</v>
      </c>
      <c r="B106" s="208" t="s">
        <v>189</v>
      </c>
      <c r="C106" s="208" t="s">
        <v>405</v>
      </c>
      <c r="D106" s="208" t="s">
        <v>1083</v>
      </c>
      <c r="E106" s="208" t="s">
        <v>406</v>
      </c>
      <c r="F106" s="580">
        <v>45202.0</v>
      </c>
      <c r="G106" s="208">
        <v>0.0</v>
      </c>
      <c r="H106" s="208">
        <v>1500000.0</v>
      </c>
      <c r="I106" s="208">
        <v>1095172.43</v>
      </c>
      <c r="J106" s="208">
        <v>0.0</v>
      </c>
      <c r="K106" s="208">
        <v>39.0</v>
      </c>
      <c r="L106" s="208">
        <v>29.0</v>
      </c>
      <c r="M106" s="208">
        <v>0.0</v>
      </c>
      <c r="N106" s="208">
        <v>39.0</v>
      </c>
      <c r="O106" s="208">
        <v>10.0</v>
      </c>
      <c r="P106" s="208">
        <v>1095172.43</v>
      </c>
      <c r="Q106" s="208">
        <v>0.0</v>
      </c>
      <c r="R106" s="208">
        <v>10.0</v>
      </c>
      <c r="S106" s="208">
        <v>0.0</v>
      </c>
      <c r="T106" s="208">
        <v>10.0</v>
      </c>
      <c r="U106" s="208">
        <v>0.0</v>
      </c>
      <c r="V106" s="208">
        <v>1.0</v>
      </c>
      <c r="W106" s="208">
        <v>2.0</v>
      </c>
      <c r="X106" s="208">
        <v>74.0</v>
      </c>
      <c r="Y106" s="208">
        <v>0.0</v>
      </c>
      <c r="Z106" s="208">
        <v>0.0</v>
      </c>
      <c r="AA106" s="208">
        <v>0.0</v>
      </c>
      <c r="AB106" s="208">
        <v>0.0</v>
      </c>
      <c r="AC106" s="208">
        <v>0.0</v>
      </c>
      <c r="AD106" s="208">
        <v>0.0</v>
      </c>
      <c r="AE106" s="208">
        <v>102.0</v>
      </c>
      <c r="AF106" s="208">
        <v>104.0</v>
      </c>
      <c r="AG106" s="208">
        <v>21.0</v>
      </c>
      <c r="AH106" s="581">
        <f t="shared" si="1"/>
        <v>52151.0681</v>
      </c>
      <c r="AI106" s="581">
        <f t="shared" si="2"/>
        <v>4.952380952</v>
      </c>
      <c r="AJ106" s="124">
        <v>0.0</v>
      </c>
      <c r="AK106" s="208">
        <v>0.0</v>
      </c>
      <c r="AL106" s="582">
        <f t="shared" si="3"/>
        <v>0</v>
      </c>
      <c r="AM106" s="208">
        <v>109517.0</v>
      </c>
      <c r="AN106" s="582">
        <f t="shared" si="4"/>
        <v>0.7301149533</v>
      </c>
      <c r="AO106" s="583">
        <v>0.0</v>
      </c>
      <c r="AP106" s="208">
        <v>24.0</v>
      </c>
      <c r="AQ106" s="208">
        <v>233.0</v>
      </c>
      <c r="AR106" s="208">
        <v>601.24</v>
      </c>
      <c r="AS106" s="208">
        <v>0.0</v>
      </c>
      <c r="AT106" s="208">
        <v>21.0</v>
      </c>
      <c r="AV106" s="124" t="str">
        <f t="shared" si="5"/>
        <v>Active</v>
      </c>
    </row>
    <row r="107">
      <c r="A107" s="124" t="s">
        <v>185</v>
      </c>
      <c r="B107" s="208" t="s">
        <v>189</v>
      </c>
      <c r="C107" s="208" t="s">
        <v>787</v>
      </c>
      <c r="D107" s="208" t="s">
        <v>1016</v>
      </c>
      <c r="E107" s="208" t="s">
        <v>187</v>
      </c>
      <c r="F107" s="580">
        <v>45202.0</v>
      </c>
      <c r="G107" s="208">
        <v>0.0</v>
      </c>
      <c r="H107" s="208">
        <v>0.0</v>
      </c>
      <c r="I107" s="208">
        <v>0.0</v>
      </c>
      <c r="J107" s="208">
        <v>0.0</v>
      </c>
      <c r="K107" s="208">
        <v>92.0</v>
      </c>
      <c r="L107" s="208">
        <v>43.0</v>
      </c>
      <c r="M107" s="208">
        <v>0.0</v>
      </c>
      <c r="N107" s="208">
        <v>92.0</v>
      </c>
      <c r="O107" s="208">
        <v>49.0</v>
      </c>
      <c r="P107" s="208">
        <v>0.0</v>
      </c>
      <c r="Q107" s="208">
        <v>0.0</v>
      </c>
      <c r="R107" s="208">
        <v>0.0</v>
      </c>
      <c r="S107" s="208">
        <v>0.0</v>
      </c>
      <c r="T107" s="208">
        <v>0.0</v>
      </c>
      <c r="U107" s="208">
        <v>0.0</v>
      </c>
      <c r="V107" s="208">
        <v>5.0</v>
      </c>
      <c r="W107" s="208">
        <v>6.0</v>
      </c>
      <c r="X107" s="208">
        <v>23.0</v>
      </c>
      <c r="Y107" s="208">
        <v>3.0</v>
      </c>
      <c r="Z107" s="208">
        <v>8.0</v>
      </c>
      <c r="AA107" s="208">
        <v>0.0</v>
      </c>
      <c r="AB107" s="208">
        <v>0.0</v>
      </c>
      <c r="AC107" s="208">
        <v>0.0</v>
      </c>
      <c r="AD107" s="208">
        <v>0.0</v>
      </c>
      <c r="AE107" s="208">
        <v>49.0</v>
      </c>
      <c r="AF107" s="208">
        <v>63.0</v>
      </c>
      <c r="AG107" s="208">
        <v>25.0</v>
      </c>
      <c r="AH107" s="581">
        <f t="shared" si="1"/>
        <v>0</v>
      </c>
      <c r="AI107" s="581">
        <f t="shared" si="2"/>
        <v>2.52</v>
      </c>
      <c r="AJ107" s="124">
        <v>1.0</v>
      </c>
      <c r="AK107" s="208">
        <v>0.0</v>
      </c>
      <c r="AL107" s="582" t="str">
        <f t="shared" si="3"/>
        <v/>
      </c>
      <c r="AM107" s="208">
        <v>0.0</v>
      </c>
      <c r="AN107" s="582" t="str">
        <f t="shared" si="4"/>
        <v/>
      </c>
      <c r="AO107" s="583">
        <v>0.0</v>
      </c>
      <c r="AP107" s="208">
        <v>0.0</v>
      </c>
      <c r="AQ107" s="208">
        <v>251.0</v>
      </c>
      <c r="AR107" s="208">
        <v>1695.33</v>
      </c>
      <c r="AS107" s="208">
        <v>0.0</v>
      </c>
      <c r="AT107" s="208">
        <v>39.0</v>
      </c>
      <c r="AV107" s="124" t="str">
        <f t="shared" si="5"/>
        <v>Active</v>
      </c>
    </row>
    <row r="108">
      <c r="A108" s="124" t="s">
        <v>73</v>
      </c>
      <c r="B108" s="208" t="s">
        <v>1229</v>
      </c>
      <c r="C108" s="208" t="s">
        <v>79</v>
      </c>
      <c r="D108" s="208" t="s">
        <v>76</v>
      </c>
      <c r="E108" s="208" t="s">
        <v>80</v>
      </c>
      <c r="F108" s="580">
        <v>45208.0</v>
      </c>
      <c r="G108" s="208">
        <v>166667.0</v>
      </c>
      <c r="H108" s="208">
        <v>1000000.0</v>
      </c>
      <c r="I108" s="208">
        <v>126287.56</v>
      </c>
      <c r="J108" s="208">
        <v>0.0</v>
      </c>
      <c r="K108" s="208">
        <v>21.0</v>
      </c>
      <c r="L108" s="208">
        <v>19.0</v>
      </c>
      <c r="M108" s="208">
        <v>0.0</v>
      </c>
      <c r="N108" s="208">
        <v>21.0</v>
      </c>
      <c r="O108" s="208">
        <v>2.0</v>
      </c>
      <c r="P108" s="208">
        <v>126287.56</v>
      </c>
      <c r="Q108" s="208">
        <v>0.0</v>
      </c>
      <c r="R108" s="208">
        <v>7.0</v>
      </c>
      <c r="S108" s="208">
        <v>0.0</v>
      </c>
      <c r="T108" s="208">
        <v>7.0</v>
      </c>
      <c r="U108" s="208">
        <v>0.0</v>
      </c>
      <c r="V108" s="208">
        <v>2.0</v>
      </c>
      <c r="W108" s="208">
        <v>2.0</v>
      </c>
      <c r="X108" s="208">
        <v>117.0</v>
      </c>
      <c r="Y108" s="208">
        <v>1.0</v>
      </c>
      <c r="Z108" s="208">
        <v>3.0</v>
      </c>
      <c r="AA108" s="208">
        <v>1.0</v>
      </c>
      <c r="AB108" s="208">
        <v>4.0</v>
      </c>
      <c r="AC108" s="208">
        <v>0.0</v>
      </c>
      <c r="AD108" s="208">
        <v>0.0</v>
      </c>
      <c r="AE108" s="208">
        <v>73.0</v>
      </c>
      <c r="AF108" s="208">
        <v>82.0</v>
      </c>
      <c r="AG108" s="208">
        <v>24.0</v>
      </c>
      <c r="AH108" s="581">
        <f t="shared" si="1"/>
        <v>5261.981667</v>
      </c>
      <c r="AI108" s="581">
        <f t="shared" si="2"/>
        <v>3.416666667</v>
      </c>
      <c r="AJ108" s="124">
        <v>2.0</v>
      </c>
      <c r="AK108" s="208">
        <v>0.0</v>
      </c>
      <c r="AL108" s="582">
        <f t="shared" si="3"/>
        <v>0.00001583687261</v>
      </c>
      <c r="AM108" s="208">
        <v>18041.0</v>
      </c>
      <c r="AN108" s="582">
        <f t="shared" si="4"/>
        <v>0.1082464491</v>
      </c>
      <c r="AO108" s="583">
        <v>0.0</v>
      </c>
      <c r="AP108" s="208">
        <v>9.0</v>
      </c>
      <c r="AQ108" s="208">
        <v>227.0</v>
      </c>
      <c r="AR108" s="208">
        <v>822.88</v>
      </c>
      <c r="AS108" s="208">
        <v>0.0</v>
      </c>
      <c r="AT108" s="208">
        <v>43.0</v>
      </c>
      <c r="AV108" s="124" t="str">
        <f t="shared" si="5"/>
        <v>Active</v>
      </c>
    </row>
    <row r="109">
      <c r="A109" s="124" t="s">
        <v>185</v>
      </c>
      <c r="B109" s="208" t="s">
        <v>212</v>
      </c>
      <c r="C109" s="208" t="s">
        <v>251</v>
      </c>
      <c r="D109" s="208" t="s">
        <v>1065</v>
      </c>
      <c r="E109" s="208" t="s">
        <v>252</v>
      </c>
      <c r="F109" s="580">
        <v>45231.0</v>
      </c>
      <c r="G109" s="208">
        <v>0.0</v>
      </c>
      <c r="H109" s="208">
        <v>1500000.0</v>
      </c>
      <c r="I109" s="208">
        <v>0.0</v>
      </c>
      <c r="J109" s="208">
        <v>0.0</v>
      </c>
      <c r="K109" s="208">
        <v>38.0</v>
      </c>
      <c r="L109" s="208">
        <v>23.0</v>
      </c>
      <c r="M109" s="208">
        <v>0.0</v>
      </c>
      <c r="N109" s="208">
        <v>38.0</v>
      </c>
      <c r="O109" s="208">
        <v>15.0</v>
      </c>
      <c r="P109" s="208">
        <v>0.0</v>
      </c>
      <c r="Q109" s="208">
        <v>0.0</v>
      </c>
      <c r="R109" s="208">
        <v>0.0</v>
      </c>
      <c r="S109" s="208">
        <v>0.0</v>
      </c>
      <c r="T109" s="208">
        <v>0.0</v>
      </c>
      <c r="U109" s="208">
        <v>0.0</v>
      </c>
      <c r="V109" s="208">
        <v>4.0</v>
      </c>
      <c r="W109" s="208">
        <v>4.0</v>
      </c>
      <c r="X109" s="208">
        <v>80.0</v>
      </c>
      <c r="Y109" s="208">
        <v>1.0</v>
      </c>
      <c r="Z109" s="208">
        <v>10.0</v>
      </c>
      <c r="AA109" s="208">
        <v>0.0</v>
      </c>
      <c r="AB109" s="208">
        <v>0.0</v>
      </c>
      <c r="AC109" s="208">
        <v>0.0</v>
      </c>
      <c r="AD109" s="208">
        <v>0.0</v>
      </c>
      <c r="AE109" s="208">
        <v>55.0</v>
      </c>
      <c r="AF109" s="208">
        <v>69.0</v>
      </c>
      <c r="AG109" s="208">
        <v>15.0</v>
      </c>
      <c r="AH109" s="581">
        <f t="shared" si="1"/>
        <v>0</v>
      </c>
      <c r="AI109" s="581">
        <f t="shared" si="2"/>
        <v>4.6</v>
      </c>
      <c r="AJ109" s="124">
        <v>0.0</v>
      </c>
      <c r="AK109" s="208">
        <v>0.0</v>
      </c>
      <c r="AL109" s="582" t="str">
        <f t="shared" si="3"/>
        <v/>
      </c>
      <c r="AM109" s="208">
        <v>0.0</v>
      </c>
      <c r="AN109" s="582">
        <f t="shared" si="4"/>
        <v>0</v>
      </c>
      <c r="AO109" s="583">
        <v>0.0</v>
      </c>
      <c r="AP109" s="208">
        <v>0.0</v>
      </c>
      <c r="AQ109" s="208">
        <v>161.0</v>
      </c>
      <c r="AR109" s="208">
        <v>752.1</v>
      </c>
      <c r="AS109" s="208">
        <v>0.0</v>
      </c>
      <c r="AT109" s="208">
        <v>33.0</v>
      </c>
      <c r="AV109" s="124" t="str">
        <f t="shared" si="5"/>
        <v>Active</v>
      </c>
    </row>
    <row r="110">
      <c r="A110" s="124" t="s">
        <v>185</v>
      </c>
      <c r="B110" s="208" t="s">
        <v>212</v>
      </c>
      <c r="C110" s="208" t="s">
        <v>253</v>
      </c>
      <c r="D110" s="208" t="s">
        <v>1031</v>
      </c>
      <c r="E110" s="208" t="s">
        <v>254</v>
      </c>
      <c r="F110" s="580">
        <v>45233.0</v>
      </c>
      <c r="G110" s="208">
        <v>0.0</v>
      </c>
      <c r="H110" s="208">
        <v>1500000.0</v>
      </c>
      <c r="I110" s="208">
        <v>1274827.85</v>
      </c>
      <c r="J110" s="208">
        <v>0.0</v>
      </c>
      <c r="K110" s="208">
        <v>42.0</v>
      </c>
      <c r="L110" s="208">
        <v>34.0</v>
      </c>
      <c r="M110" s="208">
        <v>2.0</v>
      </c>
      <c r="N110" s="208">
        <v>44.0</v>
      </c>
      <c r="O110" s="208">
        <v>10.0</v>
      </c>
      <c r="P110" s="208">
        <v>1246644.09</v>
      </c>
      <c r="Q110" s="208">
        <v>28183.76</v>
      </c>
      <c r="R110" s="208">
        <v>23.0</v>
      </c>
      <c r="S110" s="208">
        <v>2.0</v>
      </c>
      <c r="T110" s="208">
        <v>25.0</v>
      </c>
      <c r="U110" s="208">
        <v>0.0</v>
      </c>
      <c r="V110" s="208">
        <v>7.0</v>
      </c>
      <c r="W110" s="208">
        <v>8.0</v>
      </c>
      <c r="X110" s="208">
        <v>81.0</v>
      </c>
      <c r="Y110" s="208">
        <v>1.0</v>
      </c>
      <c r="Z110" s="208">
        <v>9.0</v>
      </c>
      <c r="AA110" s="208">
        <v>2.0</v>
      </c>
      <c r="AB110" s="208">
        <v>3.0</v>
      </c>
      <c r="AC110" s="208">
        <v>1.0</v>
      </c>
      <c r="AD110" s="208">
        <v>1.0</v>
      </c>
      <c r="AE110" s="208">
        <v>57.0</v>
      </c>
      <c r="AF110" s="208">
        <v>78.0</v>
      </c>
      <c r="AG110" s="208">
        <v>26.0</v>
      </c>
      <c r="AH110" s="581">
        <f t="shared" si="1"/>
        <v>49031.84038</v>
      </c>
      <c r="AI110" s="581">
        <f t="shared" si="2"/>
        <v>3</v>
      </c>
      <c r="AJ110" s="124">
        <v>2.0</v>
      </c>
      <c r="AK110" s="208">
        <v>0.0</v>
      </c>
      <c r="AL110" s="582">
        <f t="shared" si="3"/>
        <v>0.000001568839275</v>
      </c>
      <c r="AM110" s="208">
        <v>50993.0</v>
      </c>
      <c r="AN110" s="582">
        <f t="shared" si="4"/>
        <v>0.8498852333</v>
      </c>
      <c r="AO110" s="583">
        <v>0.0</v>
      </c>
      <c r="AP110" s="208">
        <v>39.0</v>
      </c>
      <c r="AQ110" s="208">
        <v>260.0</v>
      </c>
      <c r="AR110" s="208">
        <v>1483.33</v>
      </c>
      <c r="AS110" s="208">
        <v>2.0</v>
      </c>
      <c r="AT110" s="208">
        <v>44.0</v>
      </c>
      <c r="AV110" s="124" t="str">
        <f t="shared" si="5"/>
        <v>Active</v>
      </c>
    </row>
    <row r="111">
      <c r="A111" s="124" t="s">
        <v>185</v>
      </c>
      <c r="B111" s="208" t="s">
        <v>212</v>
      </c>
      <c r="C111" s="208" t="s">
        <v>255</v>
      </c>
      <c r="D111" s="208" t="s">
        <v>1031</v>
      </c>
      <c r="E111" s="208" t="s">
        <v>256</v>
      </c>
      <c r="F111" s="580">
        <v>45236.0</v>
      </c>
      <c r="G111" s="208">
        <v>0.0</v>
      </c>
      <c r="H111" s="208">
        <v>1500000.0</v>
      </c>
      <c r="I111" s="208">
        <v>1110395.0</v>
      </c>
      <c r="J111" s="208">
        <v>0.0</v>
      </c>
      <c r="K111" s="208">
        <v>56.0</v>
      </c>
      <c r="L111" s="208">
        <v>37.0</v>
      </c>
      <c r="M111" s="208">
        <v>0.0</v>
      </c>
      <c r="N111" s="208">
        <v>56.0</v>
      </c>
      <c r="O111" s="208">
        <v>19.0</v>
      </c>
      <c r="P111" s="208">
        <v>1110395.0</v>
      </c>
      <c r="Q111" s="208">
        <v>0.0</v>
      </c>
      <c r="R111" s="208">
        <v>25.0</v>
      </c>
      <c r="S111" s="208">
        <v>0.0</v>
      </c>
      <c r="T111" s="208">
        <v>25.0</v>
      </c>
      <c r="U111" s="208">
        <v>0.0</v>
      </c>
      <c r="V111" s="208">
        <v>2.0</v>
      </c>
      <c r="W111" s="208">
        <v>2.0</v>
      </c>
      <c r="X111" s="208">
        <v>165.0</v>
      </c>
      <c r="Y111" s="208">
        <v>0.0</v>
      </c>
      <c r="Z111" s="208">
        <v>0.0</v>
      </c>
      <c r="AA111" s="208">
        <v>0.0</v>
      </c>
      <c r="AB111" s="208">
        <v>0.0</v>
      </c>
      <c r="AC111" s="208">
        <v>0.0</v>
      </c>
      <c r="AD111" s="208">
        <v>0.0</v>
      </c>
      <c r="AE111" s="208">
        <v>127.0</v>
      </c>
      <c r="AF111" s="208">
        <v>129.0</v>
      </c>
      <c r="AG111" s="208">
        <v>25.0</v>
      </c>
      <c r="AH111" s="581">
        <f t="shared" si="1"/>
        <v>44415.8</v>
      </c>
      <c r="AI111" s="581">
        <f t="shared" si="2"/>
        <v>5.16</v>
      </c>
      <c r="AJ111" s="124">
        <v>0.0</v>
      </c>
      <c r="AK111" s="208">
        <v>0.0</v>
      </c>
      <c r="AL111" s="582">
        <f t="shared" si="3"/>
        <v>0</v>
      </c>
      <c r="AM111" s="208">
        <v>44416.0</v>
      </c>
      <c r="AN111" s="582">
        <f t="shared" si="4"/>
        <v>0.7402633333</v>
      </c>
      <c r="AO111" s="583">
        <v>0.0</v>
      </c>
      <c r="AP111" s="208">
        <v>49.0</v>
      </c>
      <c r="AQ111" s="208">
        <v>184.0</v>
      </c>
      <c r="AR111" s="208">
        <v>1468.99</v>
      </c>
      <c r="AS111" s="208">
        <v>0.0</v>
      </c>
      <c r="AT111" s="208">
        <v>40.0</v>
      </c>
      <c r="AV111" s="124" t="str">
        <f t="shared" si="5"/>
        <v>Active</v>
      </c>
    </row>
    <row r="112">
      <c r="A112" s="124" t="s">
        <v>185</v>
      </c>
      <c r="B112" s="208" t="s">
        <v>215</v>
      </c>
      <c r="C112" s="208" t="s">
        <v>257</v>
      </c>
      <c r="D112" s="208" t="s">
        <v>1065</v>
      </c>
      <c r="E112" s="208" t="s">
        <v>258</v>
      </c>
      <c r="F112" s="580">
        <v>45236.0</v>
      </c>
      <c r="G112" s="208">
        <v>0.0</v>
      </c>
      <c r="H112" s="208">
        <v>1950000.0</v>
      </c>
      <c r="I112" s="208">
        <v>1148172.85</v>
      </c>
      <c r="J112" s="208">
        <v>0.0</v>
      </c>
      <c r="K112" s="208">
        <v>29.0</v>
      </c>
      <c r="L112" s="208">
        <v>26.0</v>
      </c>
      <c r="M112" s="208">
        <v>0.0</v>
      </c>
      <c r="N112" s="208">
        <v>29.0</v>
      </c>
      <c r="O112" s="208">
        <v>3.0</v>
      </c>
      <c r="P112" s="208">
        <v>1148172.85</v>
      </c>
      <c r="Q112" s="208">
        <v>0.0</v>
      </c>
      <c r="R112" s="208">
        <v>10.0</v>
      </c>
      <c r="S112" s="208">
        <v>0.0</v>
      </c>
      <c r="T112" s="208">
        <v>10.0</v>
      </c>
      <c r="U112" s="208">
        <v>0.0</v>
      </c>
      <c r="V112" s="208">
        <v>5.0</v>
      </c>
      <c r="W112" s="208">
        <v>5.0</v>
      </c>
      <c r="X112" s="208">
        <v>116.0</v>
      </c>
      <c r="Y112" s="208">
        <v>1.0</v>
      </c>
      <c r="Z112" s="208">
        <v>1.0</v>
      </c>
      <c r="AA112" s="208">
        <v>0.0</v>
      </c>
      <c r="AB112" s="208">
        <v>0.0</v>
      </c>
      <c r="AC112" s="208">
        <v>0.0</v>
      </c>
      <c r="AD112" s="208">
        <v>0.0</v>
      </c>
      <c r="AE112" s="208">
        <v>99.0</v>
      </c>
      <c r="AF112" s="208">
        <v>105.0</v>
      </c>
      <c r="AG112" s="208">
        <v>26.0</v>
      </c>
      <c r="AH112" s="581">
        <f t="shared" si="1"/>
        <v>44160.49423</v>
      </c>
      <c r="AI112" s="581">
        <f t="shared" si="2"/>
        <v>4.038461538</v>
      </c>
      <c r="AJ112" s="124">
        <v>0.0</v>
      </c>
      <c r="AK112" s="208">
        <v>0.0</v>
      </c>
      <c r="AL112" s="582">
        <f t="shared" si="3"/>
        <v>0</v>
      </c>
      <c r="AM112" s="208">
        <v>114817.0</v>
      </c>
      <c r="AN112" s="582">
        <f t="shared" si="4"/>
        <v>0.5888065897</v>
      </c>
      <c r="AO112" s="583">
        <v>0.0</v>
      </c>
      <c r="AP112" s="208">
        <v>11.0</v>
      </c>
      <c r="AQ112" s="208">
        <v>261.0</v>
      </c>
      <c r="AR112" s="208">
        <v>1568.84</v>
      </c>
      <c r="AS112" s="208">
        <v>0.0</v>
      </c>
      <c r="AT112" s="208">
        <v>60.0</v>
      </c>
      <c r="AV112" s="124" t="str">
        <f t="shared" si="5"/>
        <v>Active</v>
      </c>
    </row>
    <row r="113">
      <c r="A113" s="124" t="s">
        <v>23</v>
      </c>
      <c r="B113" s="208" t="s">
        <v>30</v>
      </c>
      <c r="C113" s="208" t="s">
        <v>28</v>
      </c>
      <c r="D113" s="208" t="s">
        <v>30</v>
      </c>
      <c r="E113" s="208" t="s">
        <v>29</v>
      </c>
      <c r="F113" s="580">
        <v>45261.0</v>
      </c>
      <c r="G113" s="208">
        <v>200000.0</v>
      </c>
      <c r="H113" s="208">
        <v>1200000.0</v>
      </c>
      <c r="I113" s="208">
        <v>1210763.82</v>
      </c>
      <c r="J113" s="208">
        <v>0.0</v>
      </c>
      <c r="K113" s="208">
        <v>80.0</v>
      </c>
      <c r="L113" s="208">
        <v>62.0</v>
      </c>
      <c r="M113" s="208">
        <v>4.0</v>
      </c>
      <c r="N113" s="208">
        <v>84.0</v>
      </c>
      <c r="O113" s="208">
        <v>22.0</v>
      </c>
      <c r="P113" s="208">
        <v>1018052.55</v>
      </c>
      <c r="Q113" s="208">
        <v>192711.27</v>
      </c>
      <c r="R113" s="208">
        <v>21.0</v>
      </c>
      <c r="S113" s="208">
        <v>4.0</v>
      </c>
      <c r="T113" s="208">
        <v>25.0</v>
      </c>
      <c r="U113" s="208">
        <v>0.0</v>
      </c>
      <c r="V113" s="208">
        <v>21.0</v>
      </c>
      <c r="W113" s="208">
        <v>26.0</v>
      </c>
      <c r="X113" s="208">
        <v>99.0</v>
      </c>
      <c r="Y113" s="208">
        <v>2.0</v>
      </c>
      <c r="Z113" s="208">
        <v>23.0</v>
      </c>
      <c r="AA113" s="208">
        <v>2.0</v>
      </c>
      <c r="AB113" s="208">
        <v>3.0</v>
      </c>
      <c r="AC113" s="208">
        <v>0.0</v>
      </c>
      <c r="AD113" s="208">
        <v>0.0</v>
      </c>
      <c r="AE113" s="208">
        <v>116.0</v>
      </c>
      <c r="AF113" s="208">
        <v>168.0</v>
      </c>
      <c r="AG113" s="208">
        <v>25.0</v>
      </c>
      <c r="AH113" s="581">
        <f t="shared" si="1"/>
        <v>48430.5528</v>
      </c>
      <c r="AI113" s="581">
        <f t="shared" si="2"/>
        <v>6.72</v>
      </c>
      <c r="AJ113" s="124">
        <v>5.0</v>
      </c>
      <c r="AK113" s="208">
        <v>0.0</v>
      </c>
      <c r="AL113" s="582">
        <f t="shared" si="3"/>
        <v>0.000004129624554</v>
      </c>
      <c r="AM113" s="208">
        <v>48431.0</v>
      </c>
      <c r="AN113" s="582">
        <f t="shared" si="4"/>
        <v>0.8648313</v>
      </c>
      <c r="AO113" s="583">
        <v>0.0</v>
      </c>
      <c r="AP113" s="208">
        <v>28.0</v>
      </c>
      <c r="AQ113" s="208">
        <v>258.0</v>
      </c>
      <c r="AR113" s="208">
        <v>1559.87</v>
      </c>
      <c r="AS113" s="208">
        <v>4.0</v>
      </c>
      <c r="AT113" s="208">
        <v>25.0</v>
      </c>
      <c r="AV113" s="124" t="str">
        <f t="shared" si="5"/>
        <v>Active</v>
      </c>
    </row>
    <row r="114">
      <c r="A114" s="124" t="s">
        <v>47</v>
      </c>
      <c r="B114" s="208" t="s">
        <v>50</v>
      </c>
      <c r="C114" s="208" t="s">
        <v>801</v>
      </c>
      <c r="D114" s="208" t="s">
        <v>1085</v>
      </c>
      <c r="E114" s="208" t="s">
        <v>1086</v>
      </c>
      <c r="F114" s="580">
        <v>45271.0</v>
      </c>
      <c r="G114" s="208">
        <v>0.0</v>
      </c>
      <c r="H114" s="208">
        <v>0.0</v>
      </c>
      <c r="I114" s="208">
        <v>0.0</v>
      </c>
      <c r="J114" s="208">
        <v>0.0</v>
      </c>
      <c r="K114" s="208">
        <v>63.0</v>
      </c>
      <c r="L114" s="208">
        <v>11.0</v>
      </c>
      <c r="M114" s="208">
        <v>0.0</v>
      </c>
      <c r="N114" s="208">
        <v>63.0</v>
      </c>
      <c r="O114" s="208">
        <v>52.0</v>
      </c>
      <c r="P114" s="208">
        <v>0.0</v>
      </c>
      <c r="Q114" s="208">
        <v>0.0</v>
      </c>
      <c r="R114" s="208">
        <v>0.0</v>
      </c>
      <c r="S114" s="208">
        <v>0.0</v>
      </c>
      <c r="T114" s="208">
        <v>0.0</v>
      </c>
      <c r="U114" s="208">
        <v>0.0</v>
      </c>
      <c r="V114" s="208">
        <v>2.0</v>
      </c>
      <c r="W114" s="208">
        <v>2.0</v>
      </c>
      <c r="X114" s="208">
        <v>86.0</v>
      </c>
      <c r="Y114" s="208">
        <v>6.0</v>
      </c>
      <c r="Z114" s="208">
        <v>16.0</v>
      </c>
      <c r="AA114" s="208">
        <v>0.0</v>
      </c>
      <c r="AB114" s="208">
        <v>0.0</v>
      </c>
      <c r="AC114" s="208">
        <v>29.0</v>
      </c>
      <c r="AD114" s="208">
        <v>35.0</v>
      </c>
      <c r="AE114" s="208">
        <v>11.0</v>
      </c>
      <c r="AF114" s="208">
        <v>64.0</v>
      </c>
      <c r="AG114" s="208">
        <v>24.0</v>
      </c>
      <c r="AH114" s="581">
        <f t="shared" si="1"/>
        <v>0</v>
      </c>
      <c r="AI114" s="581">
        <f t="shared" si="2"/>
        <v>2.666666667</v>
      </c>
      <c r="AJ114" s="124">
        <v>0.0</v>
      </c>
      <c r="AK114" s="208">
        <v>0.0</v>
      </c>
      <c r="AL114" s="582" t="str">
        <f t="shared" si="3"/>
        <v/>
      </c>
      <c r="AM114" s="208">
        <v>0.0</v>
      </c>
      <c r="AN114" s="582" t="str">
        <f t="shared" si="4"/>
        <v/>
      </c>
      <c r="AO114" s="583">
        <v>0.0</v>
      </c>
      <c r="AP114" s="208">
        <v>0.0</v>
      </c>
      <c r="AQ114" s="208">
        <v>234.0</v>
      </c>
      <c r="AR114" s="208">
        <v>3809.19</v>
      </c>
      <c r="AS114" s="208">
        <v>0.0</v>
      </c>
      <c r="AT114" s="208">
        <v>346.0</v>
      </c>
      <c r="AV114" s="124" t="str">
        <f t="shared" si="5"/>
        <v>Active</v>
      </c>
    </row>
    <row r="115">
      <c r="A115" s="124" t="s">
        <v>185</v>
      </c>
      <c r="B115" s="208" t="s">
        <v>196</v>
      </c>
      <c r="C115" s="208" t="s">
        <v>259</v>
      </c>
      <c r="D115" s="208" t="s">
        <v>1027</v>
      </c>
      <c r="E115" s="208" t="s">
        <v>260</v>
      </c>
      <c r="F115" s="580">
        <v>45278.0</v>
      </c>
      <c r="G115" s="208">
        <v>0.0</v>
      </c>
      <c r="H115" s="208">
        <v>1700000.0</v>
      </c>
      <c r="I115" s="208">
        <v>1365694.65</v>
      </c>
      <c r="J115" s="208">
        <v>0.0</v>
      </c>
      <c r="K115" s="208">
        <v>64.0</v>
      </c>
      <c r="L115" s="208">
        <v>63.0</v>
      </c>
      <c r="M115" s="208">
        <v>3.0</v>
      </c>
      <c r="N115" s="208">
        <v>67.0</v>
      </c>
      <c r="O115" s="208">
        <v>4.0</v>
      </c>
      <c r="P115" s="208">
        <v>1095159.34</v>
      </c>
      <c r="Q115" s="208">
        <v>270535.31</v>
      </c>
      <c r="R115" s="208">
        <v>14.0</v>
      </c>
      <c r="S115" s="208">
        <v>3.0</v>
      </c>
      <c r="T115" s="208">
        <v>17.0</v>
      </c>
      <c r="U115" s="208">
        <v>0.0</v>
      </c>
      <c r="V115" s="208">
        <v>16.0</v>
      </c>
      <c r="W115" s="208">
        <v>20.0</v>
      </c>
      <c r="X115" s="208">
        <v>106.0</v>
      </c>
      <c r="Y115" s="208">
        <v>1.0</v>
      </c>
      <c r="Z115" s="208">
        <v>2.0</v>
      </c>
      <c r="AA115" s="208">
        <v>0.0</v>
      </c>
      <c r="AB115" s="208">
        <v>0.0</v>
      </c>
      <c r="AC115" s="208">
        <v>0.0</v>
      </c>
      <c r="AD115" s="208">
        <v>0.0</v>
      </c>
      <c r="AE115" s="208">
        <v>126.0</v>
      </c>
      <c r="AF115" s="208">
        <v>148.0</v>
      </c>
      <c r="AG115" s="208">
        <v>26.0</v>
      </c>
      <c r="AH115" s="581">
        <f t="shared" si="1"/>
        <v>52526.71731</v>
      </c>
      <c r="AI115" s="581">
        <f t="shared" si="2"/>
        <v>5.692307692</v>
      </c>
      <c r="AJ115" s="124">
        <v>0.0</v>
      </c>
      <c r="AK115" s="208">
        <v>0.0</v>
      </c>
      <c r="AL115" s="582">
        <f t="shared" si="3"/>
        <v>0</v>
      </c>
      <c r="AM115" s="208">
        <v>80335.0</v>
      </c>
      <c r="AN115" s="582">
        <f t="shared" si="4"/>
        <v>0.8033497941</v>
      </c>
      <c r="AO115" s="583">
        <v>0.0</v>
      </c>
      <c r="AP115" s="208">
        <v>30.0</v>
      </c>
      <c r="AQ115" s="208">
        <v>300.0</v>
      </c>
      <c r="AR115" s="208">
        <v>2393.23</v>
      </c>
      <c r="AS115" s="208">
        <v>3.0</v>
      </c>
      <c r="AT115" s="208">
        <v>38.0</v>
      </c>
      <c r="AV115" s="124" t="str">
        <f t="shared" si="5"/>
        <v>Active</v>
      </c>
    </row>
    <row r="116">
      <c r="A116" s="124" t="s">
        <v>185</v>
      </c>
      <c r="B116" s="208" t="s">
        <v>222</v>
      </c>
      <c r="C116" s="208" t="s">
        <v>261</v>
      </c>
      <c r="D116" s="208" t="s">
        <v>1088</v>
      </c>
      <c r="E116" s="208" t="s">
        <v>262</v>
      </c>
      <c r="F116" s="580">
        <v>45292.0</v>
      </c>
      <c r="G116" s="208">
        <v>0.0</v>
      </c>
      <c r="H116" s="208">
        <v>1500000.0</v>
      </c>
      <c r="I116" s="208">
        <v>1421428.32</v>
      </c>
      <c r="J116" s="208">
        <v>0.0</v>
      </c>
      <c r="K116" s="208">
        <v>42.0</v>
      </c>
      <c r="L116" s="208">
        <v>28.0</v>
      </c>
      <c r="M116" s="208">
        <v>0.0</v>
      </c>
      <c r="N116" s="208">
        <v>42.0</v>
      </c>
      <c r="O116" s="208">
        <v>14.0</v>
      </c>
      <c r="P116" s="208">
        <v>1421428.32</v>
      </c>
      <c r="Q116" s="208">
        <v>0.0</v>
      </c>
      <c r="R116" s="208">
        <v>16.0</v>
      </c>
      <c r="S116" s="208">
        <v>0.0</v>
      </c>
      <c r="T116" s="208">
        <v>16.0</v>
      </c>
      <c r="U116" s="208">
        <v>0.0</v>
      </c>
      <c r="V116" s="208">
        <v>9.0</v>
      </c>
      <c r="W116" s="208">
        <v>14.0</v>
      </c>
      <c r="X116" s="208">
        <v>78.0</v>
      </c>
      <c r="Y116" s="208">
        <v>0.0</v>
      </c>
      <c r="Z116" s="208">
        <v>0.0</v>
      </c>
      <c r="AA116" s="208">
        <v>0.0</v>
      </c>
      <c r="AB116" s="208">
        <v>0.0</v>
      </c>
      <c r="AC116" s="208">
        <v>0.0</v>
      </c>
      <c r="AD116" s="208">
        <v>0.0</v>
      </c>
      <c r="AE116" s="208">
        <v>130.0</v>
      </c>
      <c r="AF116" s="208">
        <v>144.0</v>
      </c>
      <c r="AG116" s="208">
        <v>25.0</v>
      </c>
      <c r="AH116" s="581">
        <f t="shared" si="1"/>
        <v>56857.1328</v>
      </c>
      <c r="AI116" s="581">
        <f t="shared" si="2"/>
        <v>5.76</v>
      </c>
      <c r="AJ116" s="124">
        <v>0.0</v>
      </c>
      <c r="AK116" s="208">
        <v>0.0</v>
      </c>
      <c r="AL116" s="582">
        <f t="shared" si="3"/>
        <v>0</v>
      </c>
      <c r="AM116" s="208">
        <v>88839.0</v>
      </c>
      <c r="AN116" s="582">
        <f t="shared" si="4"/>
        <v>0.94761888</v>
      </c>
      <c r="AO116" s="583">
        <v>0.0</v>
      </c>
      <c r="AP116" s="208">
        <v>17.0</v>
      </c>
      <c r="AQ116" s="208">
        <v>300.0</v>
      </c>
      <c r="AR116" s="208">
        <v>897.19</v>
      </c>
      <c r="AS116" s="208">
        <v>0.0</v>
      </c>
      <c r="AT116" s="208">
        <v>32.0</v>
      </c>
      <c r="AV116" s="124" t="str">
        <f t="shared" si="5"/>
        <v>Active</v>
      </c>
    </row>
    <row r="117">
      <c r="A117" s="124" t="s">
        <v>185</v>
      </c>
      <c r="B117" s="208" t="s">
        <v>85</v>
      </c>
      <c r="C117" s="208" t="s">
        <v>394</v>
      </c>
      <c r="D117" s="208" t="s">
        <v>1058</v>
      </c>
      <c r="E117" s="208" t="s">
        <v>91</v>
      </c>
      <c r="F117" s="580">
        <v>45294.0</v>
      </c>
      <c r="G117" s="208">
        <v>0.0</v>
      </c>
      <c r="H117" s="208">
        <v>1666667.0</v>
      </c>
      <c r="I117" s="208">
        <v>1703610.65</v>
      </c>
      <c r="J117" s="208">
        <v>0.0</v>
      </c>
      <c r="K117" s="208">
        <v>81.0</v>
      </c>
      <c r="L117" s="208">
        <v>37.0</v>
      </c>
      <c r="M117" s="208">
        <v>3.0</v>
      </c>
      <c r="N117" s="208">
        <v>84.0</v>
      </c>
      <c r="O117" s="208">
        <v>47.0</v>
      </c>
      <c r="P117" s="208">
        <v>1674674.65</v>
      </c>
      <c r="Q117" s="208">
        <v>28936.0</v>
      </c>
      <c r="R117" s="208">
        <v>25.0</v>
      </c>
      <c r="S117" s="208">
        <v>3.0</v>
      </c>
      <c r="T117" s="208">
        <v>28.0</v>
      </c>
      <c r="U117" s="208">
        <v>0.0</v>
      </c>
      <c r="V117" s="208">
        <v>2.0</v>
      </c>
      <c r="W117" s="208">
        <v>2.0</v>
      </c>
      <c r="X117" s="208">
        <v>93.0</v>
      </c>
      <c r="Y117" s="208">
        <v>2.0</v>
      </c>
      <c r="Z117" s="208">
        <v>8.0</v>
      </c>
      <c r="AA117" s="208">
        <v>1.0</v>
      </c>
      <c r="AB117" s="208">
        <v>11.0</v>
      </c>
      <c r="AC117" s="208">
        <v>0.0</v>
      </c>
      <c r="AD117" s="208">
        <v>0.0</v>
      </c>
      <c r="AE117" s="208">
        <v>74.0</v>
      </c>
      <c r="AF117" s="208">
        <v>95.0</v>
      </c>
      <c r="AG117" s="208">
        <v>26.0</v>
      </c>
      <c r="AH117" s="581">
        <f t="shared" si="1"/>
        <v>65523.48654</v>
      </c>
      <c r="AI117" s="581">
        <f t="shared" si="2"/>
        <v>3.653846154</v>
      </c>
      <c r="AJ117" s="124">
        <v>2.0</v>
      </c>
      <c r="AK117" s="208">
        <v>0.0</v>
      </c>
      <c r="AL117" s="582">
        <f t="shared" si="3"/>
        <v>0.000001173977164</v>
      </c>
      <c r="AM117" s="208">
        <v>60843.0</v>
      </c>
      <c r="AN117" s="582">
        <f t="shared" si="4"/>
        <v>1.022166186</v>
      </c>
      <c r="AO117" s="583">
        <v>0.0</v>
      </c>
      <c r="AP117" s="208">
        <v>39.0</v>
      </c>
      <c r="AQ117" s="208">
        <v>279.0</v>
      </c>
      <c r="AR117" s="208">
        <v>2103.24</v>
      </c>
      <c r="AS117" s="208">
        <v>3.0</v>
      </c>
      <c r="AT117" s="208">
        <v>57.0</v>
      </c>
      <c r="AV117" s="124" t="str">
        <f t="shared" si="5"/>
        <v>Active</v>
      </c>
    </row>
    <row r="118">
      <c r="A118" s="124" t="s">
        <v>185</v>
      </c>
      <c r="B118" s="208" t="s">
        <v>189</v>
      </c>
      <c r="C118" s="208" t="s">
        <v>804</v>
      </c>
      <c r="D118" s="208" t="s">
        <v>1016</v>
      </c>
      <c r="E118" s="208" t="s">
        <v>187</v>
      </c>
      <c r="F118" s="580">
        <v>45295.0</v>
      </c>
      <c r="G118" s="208">
        <v>0.0</v>
      </c>
      <c r="H118" s="208">
        <v>0.0</v>
      </c>
      <c r="I118" s="208">
        <v>0.0</v>
      </c>
      <c r="J118" s="208">
        <v>0.0</v>
      </c>
      <c r="K118" s="208">
        <v>142.0</v>
      </c>
      <c r="L118" s="208">
        <v>63.0</v>
      </c>
      <c r="M118" s="208">
        <v>2.0</v>
      </c>
      <c r="N118" s="208">
        <v>144.0</v>
      </c>
      <c r="O118" s="208">
        <v>81.0</v>
      </c>
      <c r="P118" s="208">
        <v>0.0</v>
      </c>
      <c r="Q118" s="208">
        <v>0.0</v>
      </c>
      <c r="R118" s="208">
        <v>0.0</v>
      </c>
      <c r="S118" s="208">
        <v>0.0</v>
      </c>
      <c r="T118" s="208">
        <v>0.0</v>
      </c>
      <c r="U118" s="208">
        <v>0.0</v>
      </c>
      <c r="V118" s="208">
        <v>7.0</v>
      </c>
      <c r="W118" s="208">
        <v>8.0</v>
      </c>
      <c r="X118" s="208">
        <v>9.0</v>
      </c>
      <c r="Y118" s="208">
        <v>4.0</v>
      </c>
      <c r="Z118" s="208">
        <v>5.0</v>
      </c>
      <c r="AA118" s="208">
        <v>0.0</v>
      </c>
      <c r="AB118" s="208">
        <v>0.0</v>
      </c>
      <c r="AC118" s="208">
        <v>0.0</v>
      </c>
      <c r="AD118" s="208">
        <v>0.0</v>
      </c>
      <c r="AE118" s="208">
        <v>70.0</v>
      </c>
      <c r="AF118" s="208">
        <v>83.0</v>
      </c>
      <c r="AG118" s="208">
        <v>26.0</v>
      </c>
      <c r="AH118" s="581">
        <f t="shared" si="1"/>
        <v>0</v>
      </c>
      <c r="AI118" s="581">
        <f t="shared" si="2"/>
        <v>3.192307692</v>
      </c>
      <c r="AJ118" s="124">
        <v>0.0</v>
      </c>
      <c r="AK118" s="208">
        <v>0.0</v>
      </c>
      <c r="AL118" s="582" t="str">
        <f t="shared" si="3"/>
        <v/>
      </c>
      <c r="AM118" s="208">
        <v>0.0</v>
      </c>
      <c r="AN118" s="582" t="str">
        <f t="shared" si="4"/>
        <v/>
      </c>
      <c r="AO118" s="583">
        <v>0.0</v>
      </c>
      <c r="AP118" s="208">
        <v>0.0</v>
      </c>
      <c r="AQ118" s="208">
        <v>288.0</v>
      </c>
      <c r="AR118" s="208">
        <v>2417.77</v>
      </c>
      <c r="AS118" s="208">
        <v>0.0</v>
      </c>
      <c r="AT118" s="208">
        <v>38.0</v>
      </c>
      <c r="AV118" s="124" t="str">
        <f t="shared" si="5"/>
        <v>Active</v>
      </c>
    </row>
    <row r="119">
      <c r="A119" s="124" t="s">
        <v>47</v>
      </c>
      <c r="B119" s="208" t="s">
        <v>50</v>
      </c>
      <c r="C119" s="208" t="s">
        <v>48</v>
      </c>
      <c r="D119" s="208" t="s">
        <v>1091</v>
      </c>
      <c r="E119" s="208" t="s">
        <v>49</v>
      </c>
      <c r="F119" s="580">
        <v>45311.0</v>
      </c>
      <c r="G119" s="208">
        <v>0.0</v>
      </c>
      <c r="H119" s="208">
        <v>833333.0</v>
      </c>
      <c r="I119" s="208">
        <v>395739.72</v>
      </c>
      <c r="J119" s="208">
        <v>0.0</v>
      </c>
      <c r="K119" s="208">
        <v>71.0</v>
      </c>
      <c r="L119" s="208">
        <v>63.0</v>
      </c>
      <c r="M119" s="208">
        <v>0.0</v>
      </c>
      <c r="N119" s="208">
        <v>71.0</v>
      </c>
      <c r="O119" s="208">
        <v>8.0</v>
      </c>
      <c r="P119" s="208">
        <v>395739.72</v>
      </c>
      <c r="Q119" s="208">
        <v>0.0</v>
      </c>
      <c r="R119" s="208">
        <v>50.0</v>
      </c>
      <c r="S119" s="208">
        <v>0.0</v>
      </c>
      <c r="T119" s="208">
        <v>50.0</v>
      </c>
      <c r="U119" s="208">
        <v>0.0</v>
      </c>
      <c r="V119" s="208">
        <v>14.0</v>
      </c>
      <c r="W119" s="208">
        <v>15.0</v>
      </c>
      <c r="X119" s="208">
        <v>217.0</v>
      </c>
      <c r="Y119" s="208">
        <v>1.0</v>
      </c>
      <c r="Z119" s="208">
        <v>16.0</v>
      </c>
      <c r="AA119" s="208">
        <v>0.0</v>
      </c>
      <c r="AB119" s="208">
        <v>0.0</v>
      </c>
      <c r="AC119" s="208">
        <v>0.0</v>
      </c>
      <c r="AD119" s="208">
        <v>0.0</v>
      </c>
      <c r="AE119" s="208">
        <v>128.0</v>
      </c>
      <c r="AF119" s="208">
        <v>159.0</v>
      </c>
      <c r="AG119" s="208">
        <v>25.0</v>
      </c>
      <c r="AH119" s="581">
        <f t="shared" si="1"/>
        <v>15829.5888</v>
      </c>
      <c r="AI119" s="581">
        <f t="shared" si="2"/>
        <v>6.36</v>
      </c>
      <c r="AJ119" s="124">
        <v>1.0</v>
      </c>
      <c r="AK119" s="208">
        <v>0.0</v>
      </c>
      <c r="AL119" s="582">
        <f t="shared" si="3"/>
        <v>0.000002526913397</v>
      </c>
      <c r="AM119" s="208">
        <v>7915.0</v>
      </c>
      <c r="AN119" s="582">
        <f t="shared" si="4"/>
        <v>0.474887854</v>
      </c>
      <c r="AO119" s="583">
        <v>0.0</v>
      </c>
      <c r="AP119" s="208">
        <v>75.0</v>
      </c>
      <c r="AQ119" s="208">
        <v>241.0</v>
      </c>
      <c r="AR119" s="208">
        <v>3089.25</v>
      </c>
      <c r="AS119" s="208">
        <v>0.0</v>
      </c>
      <c r="AT119" s="208">
        <v>49.0</v>
      </c>
      <c r="AV119" s="124" t="str">
        <f t="shared" si="5"/>
        <v>Active</v>
      </c>
    </row>
    <row r="120">
      <c r="A120" s="124" t="s">
        <v>185</v>
      </c>
      <c r="B120" s="208" t="s">
        <v>222</v>
      </c>
      <c r="C120" s="208" t="s">
        <v>809</v>
      </c>
      <c r="D120" s="208" t="s">
        <v>1089</v>
      </c>
      <c r="E120" s="208" t="s">
        <v>1090</v>
      </c>
      <c r="F120" s="580">
        <v>45309.0</v>
      </c>
      <c r="G120" s="208">
        <v>0.0</v>
      </c>
      <c r="H120" s="208">
        <v>1500000.0</v>
      </c>
      <c r="I120" s="208">
        <v>1390844.57</v>
      </c>
      <c r="J120" s="208">
        <v>0.0</v>
      </c>
      <c r="K120" s="208">
        <v>105.0</v>
      </c>
      <c r="L120" s="208">
        <v>66.0</v>
      </c>
      <c r="M120" s="208">
        <v>0.0</v>
      </c>
      <c r="N120" s="208">
        <v>105.0</v>
      </c>
      <c r="O120" s="208">
        <v>39.0</v>
      </c>
      <c r="P120" s="208">
        <v>1390844.57</v>
      </c>
      <c r="Q120" s="208">
        <v>0.0</v>
      </c>
      <c r="R120" s="208">
        <v>22.0</v>
      </c>
      <c r="S120" s="208">
        <v>0.0</v>
      </c>
      <c r="T120" s="208">
        <v>22.0</v>
      </c>
      <c r="U120" s="208">
        <v>0.0</v>
      </c>
      <c r="V120" s="208">
        <v>3.0</v>
      </c>
      <c r="W120" s="208">
        <v>5.0</v>
      </c>
      <c r="X120" s="208">
        <v>88.0</v>
      </c>
      <c r="Y120" s="208">
        <v>1.0</v>
      </c>
      <c r="Z120" s="208">
        <v>2.0</v>
      </c>
      <c r="AA120" s="208">
        <v>0.0</v>
      </c>
      <c r="AB120" s="208">
        <v>0.0</v>
      </c>
      <c r="AC120" s="208">
        <v>0.0</v>
      </c>
      <c r="AD120" s="208">
        <v>0.0</v>
      </c>
      <c r="AE120" s="208">
        <v>120.0</v>
      </c>
      <c r="AF120" s="208">
        <v>127.0</v>
      </c>
      <c r="AG120" s="208">
        <v>25.0</v>
      </c>
      <c r="AH120" s="581">
        <f t="shared" si="1"/>
        <v>55633.7828</v>
      </c>
      <c r="AI120" s="581">
        <f t="shared" si="2"/>
        <v>5.08</v>
      </c>
      <c r="AJ120" s="124">
        <v>0.0</v>
      </c>
      <c r="AK120" s="208">
        <v>0.0</v>
      </c>
      <c r="AL120" s="582">
        <f t="shared" si="3"/>
        <v>0</v>
      </c>
      <c r="AM120" s="208">
        <v>63220.0</v>
      </c>
      <c r="AN120" s="582">
        <f t="shared" si="4"/>
        <v>0.9272297133</v>
      </c>
      <c r="AO120" s="583">
        <v>0.0</v>
      </c>
      <c r="AP120" s="208">
        <v>27.0</v>
      </c>
      <c r="AQ120" s="208">
        <v>239.0</v>
      </c>
      <c r="AR120" s="208">
        <v>1071.53</v>
      </c>
      <c r="AS120" s="208">
        <v>0.0</v>
      </c>
      <c r="AT120" s="208">
        <v>16.0</v>
      </c>
      <c r="AV120" s="124" t="str">
        <f t="shared" si="5"/>
        <v>Active</v>
      </c>
    </row>
    <row r="121">
      <c r="A121" s="124" t="s">
        <v>53</v>
      </c>
      <c r="B121" s="208" t="s">
        <v>56</v>
      </c>
      <c r="C121" s="208" t="s">
        <v>361</v>
      </c>
      <c r="D121" s="208" t="s">
        <v>1092</v>
      </c>
      <c r="E121" s="208" t="s">
        <v>1093</v>
      </c>
      <c r="F121" s="580">
        <v>45313.0</v>
      </c>
      <c r="G121" s="208">
        <v>0.0</v>
      </c>
      <c r="H121" s="208">
        <v>0.0</v>
      </c>
      <c r="I121" s="208">
        <v>0.0</v>
      </c>
      <c r="J121" s="208">
        <v>0.0</v>
      </c>
      <c r="K121" s="208">
        <v>41.0</v>
      </c>
      <c r="L121" s="208">
        <v>0.0</v>
      </c>
      <c r="M121" s="208">
        <v>1.0</v>
      </c>
      <c r="N121" s="208">
        <v>42.0</v>
      </c>
      <c r="O121" s="208">
        <v>42.0</v>
      </c>
      <c r="P121" s="208">
        <v>0.0</v>
      </c>
      <c r="Q121" s="208">
        <v>0.0</v>
      </c>
      <c r="R121" s="208">
        <v>0.0</v>
      </c>
      <c r="S121" s="208">
        <v>0.0</v>
      </c>
      <c r="T121" s="208">
        <v>0.0</v>
      </c>
      <c r="U121" s="208">
        <v>0.0</v>
      </c>
      <c r="V121" s="208">
        <v>0.0</v>
      </c>
      <c r="W121" s="208">
        <v>0.0</v>
      </c>
      <c r="X121" s="208">
        <v>366.0</v>
      </c>
      <c r="Y121" s="208">
        <v>0.0</v>
      </c>
      <c r="Z121" s="208">
        <v>0.0</v>
      </c>
      <c r="AA121" s="208">
        <v>0.0</v>
      </c>
      <c r="AB121" s="208">
        <v>0.0</v>
      </c>
      <c r="AC121" s="208">
        <v>0.0</v>
      </c>
      <c r="AD121" s="208">
        <v>0.0</v>
      </c>
      <c r="AE121" s="208">
        <v>0.0</v>
      </c>
      <c r="AF121" s="208">
        <v>0.0</v>
      </c>
      <c r="AG121" s="208">
        <v>0.0</v>
      </c>
      <c r="AH121" s="581" t="str">
        <f t="shared" si="1"/>
        <v/>
      </c>
      <c r="AI121" s="581" t="str">
        <f t="shared" si="2"/>
        <v/>
      </c>
      <c r="AJ121" s="124">
        <v>0.0</v>
      </c>
      <c r="AK121" s="208">
        <v>0.0</v>
      </c>
      <c r="AL121" s="582" t="str">
        <f t="shared" si="3"/>
        <v/>
      </c>
      <c r="AM121" s="208">
        <v>0.0</v>
      </c>
      <c r="AN121" s="582" t="str">
        <f t="shared" si="4"/>
        <v/>
      </c>
      <c r="AO121" s="583">
        <v>0.0</v>
      </c>
      <c r="AP121" s="208">
        <v>0.0</v>
      </c>
      <c r="AQ121" s="208">
        <v>0.0</v>
      </c>
      <c r="AR121" s="208">
        <v>0.0</v>
      </c>
      <c r="AS121" s="208">
        <v>0.0</v>
      </c>
      <c r="AT121" s="208">
        <v>0.0</v>
      </c>
      <c r="AU121" s="584">
        <v>45768.0</v>
      </c>
      <c r="AV121" s="124" t="str">
        <f t="shared" si="5"/>
        <v>Left</v>
      </c>
    </row>
    <row r="122">
      <c r="A122" s="124" t="s">
        <v>185</v>
      </c>
      <c r="B122" s="208" t="s">
        <v>189</v>
      </c>
      <c r="C122" s="208" t="s">
        <v>265</v>
      </c>
      <c r="D122" s="208" t="s">
        <v>1016</v>
      </c>
      <c r="E122" s="208" t="s">
        <v>266</v>
      </c>
      <c r="F122" s="580">
        <v>45323.0</v>
      </c>
      <c r="G122" s="208">
        <v>0.0</v>
      </c>
      <c r="H122" s="208">
        <v>2000000.0</v>
      </c>
      <c r="I122" s="208">
        <v>1494245.31</v>
      </c>
      <c r="J122" s="208">
        <v>0.0</v>
      </c>
      <c r="K122" s="208">
        <v>64.0</v>
      </c>
      <c r="L122" s="208">
        <v>53.0</v>
      </c>
      <c r="M122" s="208">
        <v>1.0</v>
      </c>
      <c r="N122" s="208">
        <v>65.0</v>
      </c>
      <c r="O122" s="208">
        <v>12.0</v>
      </c>
      <c r="P122" s="208">
        <v>1456860.01</v>
      </c>
      <c r="Q122" s="208">
        <v>37385.3</v>
      </c>
      <c r="R122" s="208">
        <v>28.0</v>
      </c>
      <c r="S122" s="208">
        <v>1.0</v>
      </c>
      <c r="T122" s="208">
        <v>29.0</v>
      </c>
      <c r="U122" s="208">
        <v>0.0</v>
      </c>
      <c r="V122" s="208">
        <v>32.0</v>
      </c>
      <c r="W122" s="208">
        <v>34.0</v>
      </c>
      <c r="X122" s="208">
        <v>196.0</v>
      </c>
      <c r="Y122" s="208">
        <v>1.0</v>
      </c>
      <c r="Z122" s="208">
        <v>2.0</v>
      </c>
      <c r="AA122" s="208">
        <v>0.0</v>
      </c>
      <c r="AB122" s="208">
        <v>0.0</v>
      </c>
      <c r="AC122" s="208">
        <v>0.0</v>
      </c>
      <c r="AD122" s="208">
        <v>0.0</v>
      </c>
      <c r="AE122" s="208">
        <v>99.0</v>
      </c>
      <c r="AF122" s="208">
        <v>135.0</v>
      </c>
      <c r="AG122" s="208">
        <v>25.0</v>
      </c>
      <c r="AH122" s="581">
        <f t="shared" si="1"/>
        <v>59769.8124</v>
      </c>
      <c r="AI122" s="581">
        <f t="shared" si="2"/>
        <v>5.4</v>
      </c>
      <c r="AJ122" s="124">
        <v>0.0</v>
      </c>
      <c r="AK122" s="208">
        <v>0.0</v>
      </c>
      <c r="AL122" s="582">
        <f t="shared" si="3"/>
        <v>0</v>
      </c>
      <c r="AM122" s="208">
        <v>51526.0</v>
      </c>
      <c r="AN122" s="582">
        <f t="shared" si="4"/>
        <v>0.747122655</v>
      </c>
      <c r="AO122" s="583">
        <v>0.0</v>
      </c>
      <c r="AP122" s="208">
        <v>35.0</v>
      </c>
      <c r="AQ122" s="208">
        <v>298.0</v>
      </c>
      <c r="AR122" s="208">
        <v>1672.46</v>
      </c>
      <c r="AS122" s="208">
        <v>1.0</v>
      </c>
      <c r="AT122" s="208">
        <v>32.0</v>
      </c>
      <c r="AV122" s="124" t="str">
        <f t="shared" si="5"/>
        <v>Active</v>
      </c>
    </row>
    <row r="123">
      <c r="A123" s="124" t="s">
        <v>126</v>
      </c>
      <c r="B123" s="208" t="s">
        <v>301</v>
      </c>
      <c r="C123" s="208" t="s">
        <v>167</v>
      </c>
      <c r="D123" s="208" t="s">
        <v>1066</v>
      </c>
      <c r="E123" s="208" t="s">
        <v>168</v>
      </c>
      <c r="F123" s="580">
        <v>45331.0</v>
      </c>
      <c r="G123" s="208">
        <v>0.0</v>
      </c>
      <c r="H123" s="208">
        <v>1150000.0</v>
      </c>
      <c r="I123" s="208">
        <v>586579.55</v>
      </c>
      <c r="J123" s="208">
        <v>0.0</v>
      </c>
      <c r="K123" s="208">
        <v>30.0</v>
      </c>
      <c r="L123" s="208">
        <v>24.0</v>
      </c>
      <c r="M123" s="208">
        <v>1.0</v>
      </c>
      <c r="N123" s="208">
        <v>31.0</v>
      </c>
      <c r="O123" s="208">
        <v>7.0</v>
      </c>
      <c r="P123" s="208">
        <v>508987.75</v>
      </c>
      <c r="Q123" s="208">
        <v>77591.8</v>
      </c>
      <c r="R123" s="208">
        <v>13.0</v>
      </c>
      <c r="S123" s="208">
        <v>1.0</v>
      </c>
      <c r="T123" s="208">
        <v>14.0</v>
      </c>
      <c r="U123" s="208">
        <v>0.0</v>
      </c>
      <c r="V123" s="208">
        <v>47.0</v>
      </c>
      <c r="W123" s="208">
        <v>51.0</v>
      </c>
      <c r="X123" s="208">
        <v>165.0</v>
      </c>
      <c r="Y123" s="208">
        <v>2.0</v>
      </c>
      <c r="Z123" s="208">
        <v>4.0</v>
      </c>
      <c r="AA123" s="208">
        <v>0.0</v>
      </c>
      <c r="AB123" s="208">
        <v>0.0</v>
      </c>
      <c r="AC123" s="208">
        <v>0.0</v>
      </c>
      <c r="AD123" s="208">
        <v>0.0</v>
      </c>
      <c r="AE123" s="208">
        <v>65.0</v>
      </c>
      <c r="AF123" s="208">
        <v>120.0</v>
      </c>
      <c r="AG123" s="208">
        <v>25.0</v>
      </c>
      <c r="AH123" s="581">
        <f t="shared" si="1"/>
        <v>23463.182</v>
      </c>
      <c r="AI123" s="581">
        <f t="shared" si="2"/>
        <v>4.8</v>
      </c>
      <c r="AJ123" s="124">
        <v>0.0</v>
      </c>
      <c r="AK123" s="208">
        <v>0.0</v>
      </c>
      <c r="AL123" s="582">
        <f t="shared" si="3"/>
        <v>0</v>
      </c>
      <c r="AM123" s="208">
        <v>41899.0</v>
      </c>
      <c r="AN123" s="582">
        <f t="shared" si="4"/>
        <v>0.5100691739</v>
      </c>
      <c r="AO123" s="583">
        <v>0.0</v>
      </c>
      <c r="AP123" s="208">
        <v>20.0</v>
      </c>
      <c r="AQ123" s="208">
        <v>313.0</v>
      </c>
      <c r="AR123" s="208">
        <v>1890.54</v>
      </c>
      <c r="AS123" s="208">
        <v>1.0</v>
      </c>
      <c r="AT123" s="208">
        <v>79.0</v>
      </c>
      <c r="AV123" s="124" t="str">
        <f t="shared" si="5"/>
        <v>Active</v>
      </c>
    </row>
    <row r="124">
      <c r="A124" s="124" t="s">
        <v>47</v>
      </c>
      <c r="B124" s="208" t="s">
        <v>50</v>
      </c>
      <c r="C124" s="208" t="s">
        <v>51</v>
      </c>
      <c r="D124" s="208" t="s">
        <v>1091</v>
      </c>
      <c r="E124" s="208" t="s">
        <v>52</v>
      </c>
      <c r="F124" s="580">
        <v>45393.0</v>
      </c>
      <c r="G124" s="208">
        <v>0.0</v>
      </c>
      <c r="H124" s="208">
        <v>750000.0</v>
      </c>
      <c r="I124" s="208">
        <v>309427.47</v>
      </c>
      <c r="J124" s="208">
        <v>0.0</v>
      </c>
      <c r="K124" s="208">
        <v>134.0</v>
      </c>
      <c r="L124" s="208">
        <v>82.0</v>
      </c>
      <c r="M124" s="208">
        <v>2.0</v>
      </c>
      <c r="N124" s="208">
        <v>136.0</v>
      </c>
      <c r="O124" s="208">
        <v>54.0</v>
      </c>
      <c r="P124" s="208">
        <v>299757.15</v>
      </c>
      <c r="Q124" s="208">
        <v>9670.32</v>
      </c>
      <c r="R124" s="208">
        <v>26.0</v>
      </c>
      <c r="S124" s="208">
        <v>2.0</v>
      </c>
      <c r="T124" s="208">
        <v>28.0</v>
      </c>
      <c r="U124" s="208">
        <v>0.0</v>
      </c>
      <c r="V124" s="208">
        <v>10.0</v>
      </c>
      <c r="W124" s="208">
        <v>12.0</v>
      </c>
      <c r="X124" s="208">
        <v>418.0</v>
      </c>
      <c r="Y124" s="208">
        <v>1.0</v>
      </c>
      <c r="Z124" s="208">
        <v>5.0</v>
      </c>
      <c r="AA124" s="208">
        <v>0.0</v>
      </c>
      <c r="AB124" s="208">
        <v>0.0</v>
      </c>
      <c r="AC124" s="208">
        <v>0.0</v>
      </c>
      <c r="AD124" s="208">
        <v>0.0</v>
      </c>
      <c r="AE124" s="208">
        <v>135.0</v>
      </c>
      <c r="AF124" s="208">
        <v>152.0</v>
      </c>
      <c r="AG124" s="208">
        <v>24.0</v>
      </c>
      <c r="AH124" s="581">
        <f t="shared" si="1"/>
        <v>12892.81125</v>
      </c>
      <c r="AI124" s="581">
        <f t="shared" si="2"/>
        <v>6.333333333</v>
      </c>
      <c r="AJ124" s="124">
        <v>0.0</v>
      </c>
      <c r="AK124" s="208">
        <v>0.0</v>
      </c>
      <c r="AL124" s="582">
        <f t="shared" si="3"/>
        <v>0</v>
      </c>
      <c r="AM124" s="208">
        <v>11051.0</v>
      </c>
      <c r="AN124" s="582">
        <f t="shared" si="4"/>
        <v>0.41256996</v>
      </c>
      <c r="AO124" s="583">
        <v>0.0</v>
      </c>
      <c r="AP124" s="208">
        <v>33.0</v>
      </c>
      <c r="AQ124" s="208">
        <v>219.0</v>
      </c>
      <c r="AR124" s="208">
        <v>1848.18</v>
      </c>
      <c r="AS124" s="208">
        <v>2.0</v>
      </c>
      <c r="AT124" s="208">
        <v>23.0</v>
      </c>
      <c r="AV124" s="124" t="str">
        <f t="shared" si="5"/>
        <v>Active</v>
      </c>
    </row>
    <row r="125">
      <c r="A125" s="124" t="s">
        <v>23</v>
      </c>
      <c r="B125" s="208" t="s">
        <v>30</v>
      </c>
      <c r="C125" s="208" t="s">
        <v>335</v>
      </c>
      <c r="D125" s="208" t="s">
        <v>30</v>
      </c>
      <c r="E125" s="208" t="s">
        <v>46</v>
      </c>
      <c r="F125" s="580">
        <v>45384.0</v>
      </c>
      <c r="G125" s="208">
        <v>300000.0</v>
      </c>
      <c r="H125" s="208">
        <v>1200000.0</v>
      </c>
      <c r="I125" s="208">
        <v>631174.63</v>
      </c>
      <c r="J125" s="208">
        <v>0.0</v>
      </c>
      <c r="K125" s="208">
        <v>58.0</v>
      </c>
      <c r="L125" s="208">
        <v>30.0</v>
      </c>
      <c r="M125" s="208">
        <v>0.0</v>
      </c>
      <c r="N125" s="208">
        <v>58.0</v>
      </c>
      <c r="O125" s="208">
        <v>28.0</v>
      </c>
      <c r="P125" s="208">
        <v>631174.63</v>
      </c>
      <c r="Q125" s="208">
        <v>0.0</v>
      </c>
      <c r="R125" s="208">
        <v>20.0</v>
      </c>
      <c r="S125" s="208">
        <v>0.0</v>
      </c>
      <c r="T125" s="208">
        <v>20.0</v>
      </c>
      <c r="U125" s="208">
        <v>0.0</v>
      </c>
      <c r="V125" s="208">
        <v>60.0</v>
      </c>
      <c r="W125" s="208">
        <v>65.0</v>
      </c>
      <c r="X125" s="208">
        <v>340.0</v>
      </c>
      <c r="Y125" s="208">
        <v>1.0</v>
      </c>
      <c r="Z125" s="208">
        <v>1.0</v>
      </c>
      <c r="AA125" s="208">
        <v>0.0</v>
      </c>
      <c r="AB125" s="208">
        <v>0.0</v>
      </c>
      <c r="AC125" s="208">
        <v>0.0</v>
      </c>
      <c r="AD125" s="208">
        <v>0.0</v>
      </c>
      <c r="AE125" s="208">
        <v>49.0</v>
      </c>
      <c r="AF125" s="208">
        <v>115.0</v>
      </c>
      <c r="AG125" s="208">
        <v>27.0</v>
      </c>
      <c r="AH125" s="581">
        <f t="shared" si="1"/>
        <v>23376.83815</v>
      </c>
      <c r="AI125" s="581">
        <f t="shared" si="2"/>
        <v>4.259259259</v>
      </c>
      <c r="AJ125" s="124">
        <v>4.0</v>
      </c>
      <c r="AK125" s="208">
        <v>0.0</v>
      </c>
      <c r="AL125" s="582">
        <f t="shared" si="3"/>
        <v>0.000006337390335</v>
      </c>
      <c r="AM125" s="208">
        <v>31559.0</v>
      </c>
      <c r="AN125" s="582">
        <f t="shared" si="4"/>
        <v>0.4207830867</v>
      </c>
      <c r="AO125" s="583">
        <v>0.0</v>
      </c>
      <c r="AP125" s="208">
        <v>22.0</v>
      </c>
      <c r="AQ125" s="208">
        <v>272.0</v>
      </c>
      <c r="AR125" s="208">
        <v>1589.63</v>
      </c>
      <c r="AS125" s="208">
        <v>0.0</v>
      </c>
      <c r="AT125" s="208">
        <v>53.0</v>
      </c>
      <c r="AV125" s="124" t="str">
        <f t="shared" si="5"/>
        <v>Active</v>
      </c>
    </row>
    <row r="126">
      <c r="A126" s="124" t="s">
        <v>47</v>
      </c>
      <c r="B126" s="208" t="s">
        <v>422</v>
      </c>
      <c r="C126" s="208" t="s">
        <v>420</v>
      </c>
      <c r="D126" s="208" t="s">
        <v>1094</v>
      </c>
      <c r="E126" s="208" t="s">
        <v>421</v>
      </c>
      <c r="F126" s="580">
        <v>45411.0</v>
      </c>
      <c r="G126" s="208">
        <v>0.0</v>
      </c>
      <c r="H126" s="208">
        <v>583333.0</v>
      </c>
      <c r="I126" s="208">
        <v>418251.9</v>
      </c>
      <c r="J126" s="208">
        <v>0.0</v>
      </c>
      <c r="K126" s="208">
        <v>88.0</v>
      </c>
      <c r="L126" s="208">
        <v>52.0</v>
      </c>
      <c r="M126" s="208">
        <v>6.0</v>
      </c>
      <c r="N126" s="208">
        <v>94.0</v>
      </c>
      <c r="O126" s="208">
        <v>42.0</v>
      </c>
      <c r="P126" s="208">
        <v>369767.2</v>
      </c>
      <c r="Q126" s="208">
        <v>48484.7</v>
      </c>
      <c r="R126" s="208">
        <v>14.0</v>
      </c>
      <c r="S126" s="208">
        <v>2.0</v>
      </c>
      <c r="T126" s="208">
        <v>16.0</v>
      </c>
      <c r="U126" s="208">
        <v>0.0</v>
      </c>
      <c r="V126" s="208">
        <v>57.0</v>
      </c>
      <c r="W126" s="208">
        <v>73.0</v>
      </c>
      <c r="X126" s="208">
        <v>544.0</v>
      </c>
      <c r="Y126" s="208">
        <v>0.0</v>
      </c>
      <c r="Z126" s="208">
        <v>0.0</v>
      </c>
      <c r="AA126" s="208">
        <v>0.0</v>
      </c>
      <c r="AB126" s="208">
        <v>0.0</v>
      </c>
      <c r="AC126" s="208">
        <v>4.0</v>
      </c>
      <c r="AD126" s="208">
        <v>4.0</v>
      </c>
      <c r="AE126" s="208">
        <v>84.0</v>
      </c>
      <c r="AF126" s="208">
        <v>161.0</v>
      </c>
      <c r="AG126" s="208">
        <v>24.0</v>
      </c>
      <c r="AH126" s="581">
        <f t="shared" si="1"/>
        <v>17427.1625</v>
      </c>
      <c r="AI126" s="581">
        <f t="shared" si="2"/>
        <v>6.708333333</v>
      </c>
      <c r="AJ126" s="124">
        <v>0.0</v>
      </c>
      <c r="AK126" s="208">
        <v>0.0</v>
      </c>
      <c r="AL126" s="582">
        <f t="shared" si="3"/>
        <v>0</v>
      </c>
      <c r="AM126" s="208">
        <v>26141.0</v>
      </c>
      <c r="AN126" s="582">
        <f t="shared" si="4"/>
        <v>0.7170036669</v>
      </c>
      <c r="AO126" s="583">
        <v>0.0</v>
      </c>
      <c r="AP126" s="208">
        <v>17.0</v>
      </c>
      <c r="AQ126" s="208">
        <v>282.0</v>
      </c>
      <c r="AR126" s="208">
        <v>2163.75</v>
      </c>
      <c r="AS126" s="208">
        <v>2.0</v>
      </c>
      <c r="AT126" s="208">
        <v>42.0</v>
      </c>
      <c r="AV126" s="124" t="str">
        <f t="shared" si="5"/>
        <v>Active</v>
      </c>
    </row>
    <row r="127">
      <c r="A127" s="124" t="s">
        <v>185</v>
      </c>
      <c r="B127" s="208" t="s">
        <v>215</v>
      </c>
      <c r="C127" s="208" t="s">
        <v>267</v>
      </c>
      <c r="D127" s="208" t="s">
        <v>1064</v>
      </c>
      <c r="E127" s="208" t="s">
        <v>268</v>
      </c>
      <c r="F127" s="580">
        <v>45432.0</v>
      </c>
      <c r="G127" s="208">
        <v>0.0</v>
      </c>
      <c r="H127" s="208">
        <v>2483333.0</v>
      </c>
      <c r="I127" s="208">
        <v>947621.72</v>
      </c>
      <c r="J127" s="208">
        <v>0.0</v>
      </c>
      <c r="K127" s="208">
        <v>106.0</v>
      </c>
      <c r="L127" s="208">
        <v>71.0</v>
      </c>
      <c r="M127" s="208">
        <v>1.0</v>
      </c>
      <c r="N127" s="208">
        <v>107.0</v>
      </c>
      <c r="O127" s="208">
        <v>36.0</v>
      </c>
      <c r="P127" s="208">
        <v>938457.32</v>
      </c>
      <c r="Q127" s="208">
        <v>9164.4</v>
      </c>
      <c r="R127" s="208">
        <v>30.0</v>
      </c>
      <c r="S127" s="208">
        <v>1.0</v>
      </c>
      <c r="T127" s="208">
        <v>31.0</v>
      </c>
      <c r="U127" s="208">
        <v>0.0</v>
      </c>
      <c r="V127" s="208">
        <v>23.0</v>
      </c>
      <c r="W127" s="208">
        <v>25.0</v>
      </c>
      <c r="X127" s="208">
        <v>151.0</v>
      </c>
      <c r="Y127" s="208">
        <v>1.0</v>
      </c>
      <c r="Z127" s="208">
        <v>11.0</v>
      </c>
      <c r="AA127" s="208">
        <v>0.0</v>
      </c>
      <c r="AB127" s="208">
        <v>0.0</v>
      </c>
      <c r="AC127" s="208">
        <v>0.0</v>
      </c>
      <c r="AD127" s="208">
        <v>0.0</v>
      </c>
      <c r="AE127" s="208">
        <v>124.0</v>
      </c>
      <c r="AF127" s="208">
        <v>160.0</v>
      </c>
      <c r="AG127" s="208">
        <v>26.0</v>
      </c>
      <c r="AH127" s="581">
        <f t="shared" si="1"/>
        <v>36446.98923</v>
      </c>
      <c r="AI127" s="581">
        <f t="shared" si="2"/>
        <v>6.153846154</v>
      </c>
      <c r="AJ127" s="124">
        <v>0.0</v>
      </c>
      <c r="AK127" s="208">
        <v>0.0</v>
      </c>
      <c r="AL127" s="582">
        <f t="shared" si="3"/>
        <v>0</v>
      </c>
      <c r="AM127" s="208">
        <v>30568.0</v>
      </c>
      <c r="AN127" s="582">
        <f t="shared" si="4"/>
        <v>0.3815926901</v>
      </c>
      <c r="AO127" s="583">
        <v>0.0</v>
      </c>
      <c r="AP127" s="208">
        <v>40.0</v>
      </c>
      <c r="AQ127" s="208">
        <v>248.0</v>
      </c>
      <c r="AR127" s="208">
        <v>963.61</v>
      </c>
      <c r="AS127" s="208">
        <v>1.0</v>
      </c>
      <c r="AT127" s="208">
        <v>14.0</v>
      </c>
      <c r="AV127" s="124" t="str">
        <f t="shared" si="5"/>
        <v>Active</v>
      </c>
    </row>
    <row r="128">
      <c r="A128" s="124" t="s">
        <v>185</v>
      </c>
      <c r="B128" s="208" t="s">
        <v>196</v>
      </c>
      <c r="C128" s="208" t="s">
        <v>269</v>
      </c>
      <c r="D128" s="208" t="s">
        <v>1027</v>
      </c>
      <c r="E128" s="208" t="s">
        <v>270</v>
      </c>
      <c r="F128" s="580">
        <v>45434.0</v>
      </c>
      <c r="G128" s="208">
        <v>0.0</v>
      </c>
      <c r="H128" s="208">
        <v>2000000.0</v>
      </c>
      <c r="I128" s="208">
        <v>1586080.21</v>
      </c>
      <c r="J128" s="208">
        <v>0.0</v>
      </c>
      <c r="K128" s="208">
        <v>71.0</v>
      </c>
      <c r="L128" s="208">
        <v>43.0</v>
      </c>
      <c r="M128" s="208">
        <v>1.0</v>
      </c>
      <c r="N128" s="208">
        <v>72.0</v>
      </c>
      <c r="O128" s="208">
        <v>29.0</v>
      </c>
      <c r="P128" s="208">
        <v>1536635.57</v>
      </c>
      <c r="Q128" s="208">
        <v>49444.64</v>
      </c>
      <c r="R128" s="208">
        <v>24.0</v>
      </c>
      <c r="S128" s="208">
        <v>1.0</v>
      </c>
      <c r="T128" s="208">
        <v>25.0</v>
      </c>
      <c r="U128" s="208">
        <v>0.0</v>
      </c>
      <c r="V128" s="208">
        <v>3.0</v>
      </c>
      <c r="W128" s="208">
        <v>4.0</v>
      </c>
      <c r="X128" s="208">
        <v>19.0</v>
      </c>
      <c r="Y128" s="208">
        <v>1.0</v>
      </c>
      <c r="Z128" s="208">
        <v>9.0</v>
      </c>
      <c r="AA128" s="208">
        <v>0.0</v>
      </c>
      <c r="AB128" s="208">
        <v>0.0</v>
      </c>
      <c r="AC128" s="208">
        <v>0.0</v>
      </c>
      <c r="AD128" s="208">
        <v>0.0</v>
      </c>
      <c r="AE128" s="208">
        <v>75.0</v>
      </c>
      <c r="AF128" s="208">
        <v>88.0</v>
      </c>
      <c r="AG128" s="208">
        <v>25.0</v>
      </c>
      <c r="AH128" s="581">
        <f t="shared" si="1"/>
        <v>63443.2084</v>
      </c>
      <c r="AI128" s="581">
        <f t="shared" si="2"/>
        <v>3.52</v>
      </c>
      <c r="AJ128" s="124">
        <v>0.0</v>
      </c>
      <c r="AK128" s="208">
        <v>0.0</v>
      </c>
      <c r="AL128" s="582">
        <f t="shared" si="3"/>
        <v>0</v>
      </c>
      <c r="AM128" s="208">
        <v>63443.0</v>
      </c>
      <c r="AN128" s="582">
        <f t="shared" si="4"/>
        <v>0.793040105</v>
      </c>
      <c r="AO128" s="583">
        <v>0.0</v>
      </c>
      <c r="AP128" s="208">
        <v>65.0</v>
      </c>
      <c r="AQ128" s="208">
        <v>278.0</v>
      </c>
      <c r="AR128" s="208">
        <v>1868.63</v>
      </c>
      <c r="AS128" s="208">
        <v>1.0</v>
      </c>
      <c r="AT128" s="208">
        <v>43.0</v>
      </c>
      <c r="AV128" s="124" t="str">
        <f t="shared" si="5"/>
        <v>Active</v>
      </c>
    </row>
    <row r="129">
      <c r="A129" s="124" t="s">
        <v>298</v>
      </c>
      <c r="B129" s="208" t="s">
        <v>301</v>
      </c>
      <c r="C129" s="208" t="s">
        <v>311</v>
      </c>
      <c r="D129" s="208" t="s">
        <v>1066</v>
      </c>
      <c r="E129" s="208" t="s">
        <v>303</v>
      </c>
      <c r="F129" s="580">
        <v>45446.0</v>
      </c>
      <c r="G129" s="208">
        <v>0.0</v>
      </c>
      <c r="H129" s="208">
        <v>1200000.0</v>
      </c>
      <c r="I129" s="208">
        <v>1800314.17</v>
      </c>
      <c r="J129" s="208">
        <v>0.0</v>
      </c>
      <c r="K129" s="208">
        <v>38.0</v>
      </c>
      <c r="L129" s="208">
        <v>25.0</v>
      </c>
      <c r="M129" s="208">
        <v>3.0</v>
      </c>
      <c r="N129" s="208">
        <v>41.0</v>
      </c>
      <c r="O129" s="208">
        <v>16.0</v>
      </c>
      <c r="P129" s="208">
        <v>1517390.97</v>
      </c>
      <c r="Q129" s="208">
        <v>282923.2</v>
      </c>
      <c r="R129" s="208">
        <v>9.0</v>
      </c>
      <c r="S129" s="208">
        <v>3.0</v>
      </c>
      <c r="T129" s="208">
        <v>12.0</v>
      </c>
      <c r="U129" s="208">
        <v>0.0</v>
      </c>
      <c r="V129" s="208">
        <v>18.0</v>
      </c>
      <c r="W129" s="208">
        <v>23.0</v>
      </c>
      <c r="X129" s="208">
        <v>193.0</v>
      </c>
      <c r="Y129" s="208">
        <v>6.0</v>
      </c>
      <c r="Z129" s="208">
        <v>23.0</v>
      </c>
      <c r="AA129" s="208">
        <v>0.0</v>
      </c>
      <c r="AB129" s="208">
        <v>0.0</v>
      </c>
      <c r="AC129" s="208">
        <v>0.0</v>
      </c>
      <c r="AD129" s="208">
        <v>0.0</v>
      </c>
      <c r="AE129" s="208">
        <v>53.0</v>
      </c>
      <c r="AF129" s="208">
        <v>99.0</v>
      </c>
      <c r="AG129" s="208">
        <v>27.0</v>
      </c>
      <c r="AH129" s="581">
        <f t="shared" si="1"/>
        <v>66678.30259</v>
      </c>
      <c r="AI129" s="581">
        <f t="shared" si="2"/>
        <v>3.666666667</v>
      </c>
      <c r="AJ129" s="124">
        <v>0.0</v>
      </c>
      <c r="AK129" s="208">
        <v>0.0</v>
      </c>
      <c r="AL129" s="582">
        <f t="shared" si="3"/>
        <v>0</v>
      </c>
      <c r="AM129" s="208">
        <v>150026.0</v>
      </c>
      <c r="AN129" s="582">
        <f t="shared" si="4"/>
        <v>1.500261808</v>
      </c>
      <c r="AO129" s="583">
        <v>0.0</v>
      </c>
      <c r="AP129" s="208">
        <v>37.0</v>
      </c>
      <c r="AQ129" s="208">
        <v>276.0</v>
      </c>
      <c r="AR129" s="208">
        <v>1198.52</v>
      </c>
      <c r="AS129" s="208">
        <v>3.0</v>
      </c>
      <c r="AT129" s="208">
        <v>48.0</v>
      </c>
      <c r="AV129" s="124" t="str">
        <f t="shared" si="5"/>
        <v>Active</v>
      </c>
    </row>
    <row r="130">
      <c r="A130" s="124" t="s">
        <v>111</v>
      </c>
      <c r="B130" s="208" t="s">
        <v>1228</v>
      </c>
      <c r="C130" s="208" t="s">
        <v>122</v>
      </c>
      <c r="D130" s="208" t="s">
        <v>1051</v>
      </c>
      <c r="E130" s="208" t="s">
        <v>123</v>
      </c>
      <c r="F130" s="580">
        <v>45453.0</v>
      </c>
      <c r="G130" s="208">
        <v>0.0</v>
      </c>
      <c r="H130" s="208">
        <v>1200000.0</v>
      </c>
      <c r="I130" s="208">
        <v>970621.3</v>
      </c>
      <c r="J130" s="208">
        <v>0.0</v>
      </c>
      <c r="K130" s="208">
        <v>122.0</v>
      </c>
      <c r="L130" s="208">
        <v>112.0</v>
      </c>
      <c r="M130" s="208">
        <v>9.0</v>
      </c>
      <c r="N130" s="208">
        <v>131.0</v>
      </c>
      <c r="O130" s="208">
        <v>19.0</v>
      </c>
      <c r="P130" s="208">
        <v>862511.1</v>
      </c>
      <c r="Q130" s="208">
        <v>108110.2</v>
      </c>
      <c r="R130" s="208">
        <v>30.0</v>
      </c>
      <c r="S130" s="208">
        <v>9.0</v>
      </c>
      <c r="T130" s="208">
        <v>39.0</v>
      </c>
      <c r="U130" s="208">
        <v>0.0</v>
      </c>
      <c r="V130" s="208">
        <v>17.0</v>
      </c>
      <c r="W130" s="208">
        <v>30.0</v>
      </c>
      <c r="X130" s="208">
        <v>186.0</v>
      </c>
      <c r="Y130" s="208">
        <v>0.0</v>
      </c>
      <c r="Z130" s="208">
        <v>0.0</v>
      </c>
      <c r="AA130" s="208">
        <v>0.0</v>
      </c>
      <c r="AB130" s="208">
        <v>0.0</v>
      </c>
      <c r="AC130" s="208">
        <v>0.0</v>
      </c>
      <c r="AD130" s="208">
        <v>0.0</v>
      </c>
      <c r="AE130" s="208">
        <v>165.0</v>
      </c>
      <c r="AF130" s="208">
        <v>195.0</v>
      </c>
      <c r="AG130" s="208">
        <v>26.0</v>
      </c>
      <c r="AH130" s="581">
        <f t="shared" si="1"/>
        <v>37331.58846</v>
      </c>
      <c r="AI130" s="581">
        <f t="shared" si="2"/>
        <v>7.5</v>
      </c>
      <c r="AJ130" s="124">
        <v>0.0</v>
      </c>
      <c r="AK130" s="208">
        <v>0.0</v>
      </c>
      <c r="AL130" s="582">
        <f t="shared" si="3"/>
        <v>0</v>
      </c>
      <c r="AM130" s="208">
        <v>24888.0</v>
      </c>
      <c r="AN130" s="582">
        <f t="shared" si="4"/>
        <v>0.8088510833</v>
      </c>
      <c r="AO130" s="583">
        <v>0.0</v>
      </c>
      <c r="AP130" s="208">
        <v>49.0</v>
      </c>
      <c r="AQ130" s="208">
        <v>333.0</v>
      </c>
      <c r="AR130" s="208">
        <v>1716.4</v>
      </c>
      <c r="AS130" s="208">
        <v>9.0</v>
      </c>
      <c r="AT130" s="208">
        <v>15.0</v>
      </c>
      <c r="AV130" s="124" t="str">
        <f t="shared" si="5"/>
        <v>Active</v>
      </c>
    </row>
    <row r="131">
      <c r="A131" s="124" t="s">
        <v>185</v>
      </c>
      <c r="B131" s="208" t="s">
        <v>189</v>
      </c>
      <c r="C131" s="208" t="s">
        <v>271</v>
      </c>
      <c r="D131" s="208" t="s">
        <v>1016</v>
      </c>
      <c r="E131" s="208" t="s">
        <v>272</v>
      </c>
      <c r="F131" s="580">
        <v>45460.0</v>
      </c>
      <c r="G131" s="208">
        <v>0.0</v>
      </c>
      <c r="H131" s="208">
        <v>1500000.0</v>
      </c>
      <c r="I131" s="208">
        <v>1639052.91</v>
      </c>
      <c r="J131" s="208">
        <v>0.0</v>
      </c>
      <c r="K131" s="208">
        <v>69.0</v>
      </c>
      <c r="L131" s="208">
        <v>44.0</v>
      </c>
      <c r="M131" s="208">
        <v>3.0</v>
      </c>
      <c r="N131" s="208">
        <v>72.0</v>
      </c>
      <c r="O131" s="208">
        <v>28.0</v>
      </c>
      <c r="P131" s="208">
        <v>1341462.23</v>
      </c>
      <c r="Q131" s="208">
        <v>297590.68</v>
      </c>
      <c r="R131" s="208">
        <v>16.0</v>
      </c>
      <c r="S131" s="208">
        <v>3.0</v>
      </c>
      <c r="T131" s="208">
        <v>19.0</v>
      </c>
      <c r="U131" s="208">
        <v>0.0</v>
      </c>
      <c r="V131" s="208">
        <v>6.0</v>
      </c>
      <c r="W131" s="208">
        <v>6.0</v>
      </c>
      <c r="X131" s="208">
        <v>63.0</v>
      </c>
      <c r="Y131" s="208">
        <v>1.0</v>
      </c>
      <c r="Z131" s="208">
        <v>2.0</v>
      </c>
      <c r="AA131" s="208">
        <v>0.0</v>
      </c>
      <c r="AB131" s="208">
        <v>0.0</v>
      </c>
      <c r="AC131" s="208">
        <v>0.0</v>
      </c>
      <c r="AD131" s="208">
        <v>0.0</v>
      </c>
      <c r="AE131" s="208">
        <v>97.0</v>
      </c>
      <c r="AF131" s="208">
        <v>105.0</v>
      </c>
      <c r="AG131" s="208">
        <v>28.0</v>
      </c>
      <c r="AH131" s="581">
        <f t="shared" si="1"/>
        <v>58537.60393</v>
      </c>
      <c r="AI131" s="581">
        <f t="shared" si="2"/>
        <v>3.75</v>
      </c>
      <c r="AJ131" s="124">
        <v>0.0</v>
      </c>
      <c r="AK131" s="208">
        <v>0.0</v>
      </c>
      <c r="AL131" s="582">
        <f t="shared" si="3"/>
        <v>0</v>
      </c>
      <c r="AM131" s="208">
        <v>86266.0</v>
      </c>
      <c r="AN131" s="582">
        <f t="shared" si="4"/>
        <v>1.09270194</v>
      </c>
      <c r="AO131" s="583">
        <v>0.0</v>
      </c>
      <c r="AP131" s="208">
        <v>29.0</v>
      </c>
      <c r="AQ131" s="208">
        <v>315.0</v>
      </c>
      <c r="AR131" s="208">
        <v>1863.58</v>
      </c>
      <c r="AS131" s="208">
        <v>3.0</v>
      </c>
      <c r="AT131" s="208">
        <v>42.0</v>
      </c>
      <c r="AV131" s="124" t="str">
        <f t="shared" si="5"/>
        <v>Active</v>
      </c>
    </row>
    <row r="132">
      <c r="A132" s="124" t="s">
        <v>111</v>
      </c>
      <c r="B132" s="208" t="s">
        <v>117</v>
      </c>
      <c r="C132" s="208" t="s">
        <v>430</v>
      </c>
      <c r="D132" s="208" t="s">
        <v>1044</v>
      </c>
      <c r="E132" s="208" t="s">
        <v>1097</v>
      </c>
      <c r="F132" s="580">
        <v>45462.0</v>
      </c>
      <c r="G132" s="208">
        <v>0.0</v>
      </c>
      <c r="H132" s="208">
        <v>1200000.0</v>
      </c>
      <c r="I132" s="208">
        <v>0.0</v>
      </c>
      <c r="J132" s="208">
        <v>0.0</v>
      </c>
      <c r="K132" s="208">
        <v>48.0</v>
      </c>
      <c r="L132" s="208">
        <v>0.0</v>
      </c>
      <c r="M132" s="208">
        <v>0.0</v>
      </c>
      <c r="N132" s="208">
        <v>48.0</v>
      </c>
      <c r="O132" s="208">
        <v>48.0</v>
      </c>
      <c r="P132" s="208">
        <v>0.0</v>
      </c>
      <c r="Q132" s="208">
        <v>0.0</v>
      </c>
      <c r="R132" s="208">
        <v>0.0</v>
      </c>
      <c r="S132" s="208">
        <v>0.0</v>
      </c>
      <c r="T132" s="208">
        <v>0.0</v>
      </c>
      <c r="U132" s="208">
        <v>0.0</v>
      </c>
      <c r="V132" s="208">
        <v>0.0</v>
      </c>
      <c r="W132" s="208">
        <v>0.0</v>
      </c>
      <c r="X132" s="208">
        <v>70.0</v>
      </c>
      <c r="Y132" s="208">
        <v>0.0</v>
      </c>
      <c r="Z132" s="208">
        <v>0.0</v>
      </c>
      <c r="AA132" s="208">
        <v>0.0</v>
      </c>
      <c r="AB132" s="208">
        <v>0.0</v>
      </c>
      <c r="AC132" s="208">
        <v>0.0</v>
      </c>
      <c r="AD132" s="208">
        <v>0.0</v>
      </c>
      <c r="AE132" s="208">
        <v>0.0</v>
      </c>
      <c r="AF132" s="208">
        <v>0.0</v>
      </c>
      <c r="AG132" s="208">
        <v>0.0</v>
      </c>
      <c r="AH132" s="581" t="str">
        <f t="shared" si="1"/>
        <v/>
      </c>
      <c r="AI132" s="581" t="str">
        <f t="shared" si="2"/>
        <v/>
      </c>
      <c r="AJ132" s="124">
        <v>0.0</v>
      </c>
      <c r="AK132" s="208">
        <v>0.0</v>
      </c>
      <c r="AL132" s="582" t="str">
        <f t="shared" si="3"/>
        <v/>
      </c>
      <c r="AM132" s="208">
        <v>0.0</v>
      </c>
      <c r="AN132" s="582">
        <f t="shared" si="4"/>
        <v>0</v>
      </c>
      <c r="AO132" s="583">
        <v>0.0</v>
      </c>
      <c r="AP132" s="208">
        <v>0.0</v>
      </c>
      <c r="AQ132" s="208">
        <v>0.0</v>
      </c>
      <c r="AR132" s="208">
        <v>0.0</v>
      </c>
      <c r="AS132" s="208">
        <v>0.0</v>
      </c>
      <c r="AT132" s="208">
        <v>0.0</v>
      </c>
      <c r="AU132" s="584">
        <v>45838.0</v>
      </c>
      <c r="AV132" s="124" t="str">
        <f t="shared" si="5"/>
        <v>Left</v>
      </c>
    </row>
    <row r="133">
      <c r="A133" s="124" t="s">
        <v>53</v>
      </c>
      <c r="B133" s="208" t="s">
        <v>56</v>
      </c>
      <c r="C133" s="208" t="s">
        <v>831</v>
      </c>
      <c r="D133" s="208" t="s">
        <v>1092</v>
      </c>
      <c r="E133" s="208" t="s">
        <v>71</v>
      </c>
      <c r="F133" s="580">
        <v>45464.0</v>
      </c>
      <c r="G133" s="208">
        <v>0.0</v>
      </c>
      <c r="H133" s="208">
        <v>1500000.0</v>
      </c>
      <c r="I133" s="208">
        <v>0.0</v>
      </c>
      <c r="J133" s="208">
        <v>0.0</v>
      </c>
      <c r="K133" s="208">
        <v>34.0</v>
      </c>
      <c r="L133" s="208">
        <v>0.0</v>
      </c>
      <c r="M133" s="208">
        <v>0.0</v>
      </c>
      <c r="N133" s="208">
        <v>34.0</v>
      </c>
      <c r="O133" s="208">
        <v>34.0</v>
      </c>
      <c r="P133" s="208">
        <v>0.0</v>
      </c>
      <c r="Q133" s="208">
        <v>0.0</v>
      </c>
      <c r="R133" s="208">
        <v>0.0</v>
      </c>
      <c r="S133" s="208">
        <v>0.0</v>
      </c>
      <c r="T133" s="208">
        <v>0.0</v>
      </c>
      <c r="U133" s="208">
        <v>0.0</v>
      </c>
      <c r="V133" s="208">
        <v>0.0</v>
      </c>
      <c r="W133" s="208">
        <v>0.0</v>
      </c>
      <c r="X133" s="208">
        <v>402.0</v>
      </c>
      <c r="Y133" s="208">
        <v>0.0</v>
      </c>
      <c r="Z133" s="208">
        <v>0.0</v>
      </c>
      <c r="AA133" s="208">
        <v>0.0</v>
      </c>
      <c r="AB133" s="208">
        <v>0.0</v>
      </c>
      <c r="AC133" s="208">
        <v>0.0</v>
      </c>
      <c r="AD133" s="208">
        <v>0.0</v>
      </c>
      <c r="AE133" s="208">
        <v>0.0</v>
      </c>
      <c r="AF133" s="208">
        <v>0.0</v>
      </c>
      <c r="AG133" s="208">
        <v>0.0</v>
      </c>
      <c r="AH133" s="581" t="str">
        <f t="shared" si="1"/>
        <v/>
      </c>
      <c r="AI133" s="581" t="str">
        <f t="shared" si="2"/>
        <v/>
      </c>
      <c r="AJ133" s="124">
        <v>0.0</v>
      </c>
      <c r="AK133" s="208">
        <v>0.0</v>
      </c>
      <c r="AL133" s="582" t="str">
        <f t="shared" si="3"/>
        <v/>
      </c>
      <c r="AM133" s="208">
        <v>0.0</v>
      </c>
      <c r="AN133" s="582">
        <f t="shared" si="4"/>
        <v>0</v>
      </c>
      <c r="AO133" s="583">
        <v>0.0</v>
      </c>
      <c r="AP133" s="208">
        <v>0.0</v>
      </c>
      <c r="AQ133" s="208">
        <v>8.0</v>
      </c>
      <c r="AR133" s="208">
        <v>0.0</v>
      </c>
      <c r="AS133" s="208">
        <v>0.0</v>
      </c>
      <c r="AT133" s="208">
        <v>0.0</v>
      </c>
      <c r="AU133" s="584">
        <v>45838.0</v>
      </c>
      <c r="AV133" s="124" t="str">
        <f t="shared" si="5"/>
        <v>Left</v>
      </c>
    </row>
    <row r="134">
      <c r="A134" s="124" t="s">
        <v>126</v>
      </c>
      <c r="B134" s="208" t="s">
        <v>140</v>
      </c>
      <c r="C134" s="208" t="s">
        <v>442</v>
      </c>
      <c r="D134" s="208" t="s">
        <v>1061</v>
      </c>
      <c r="E134" s="208" t="s">
        <v>443</v>
      </c>
      <c r="F134" s="580">
        <v>45467.0</v>
      </c>
      <c r="G134" s="208">
        <v>0.0</v>
      </c>
      <c r="H134" s="208">
        <v>1666667.0</v>
      </c>
      <c r="I134" s="208">
        <v>380242.82</v>
      </c>
      <c r="J134" s="208">
        <v>0.0</v>
      </c>
      <c r="K134" s="208">
        <v>46.0</v>
      </c>
      <c r="L134" s="208">
        <v>31.0</v>
      </c>
      <c r="M134" s="208">
        <v>0.0</v>
      </c>
      <c r="N134" s="208">
        <v>46.0</v>
      </c>
      <c r="O134" s="208">
        <v>15.0</v>
      </c>
      <c r="P134" s="208">
        <v>380242.82</v>
      </c>
      <c r="Q134" s="208">
        <v>0.0</v>
      </c>
      <c r="R134" s="208">
        <v>7.0</v>
      </c>
      <c r="S134" s="208">
        <v>0.0</v>
      </c>
      <c r="T134" s="208">
        <v>7.0</v>
      </c>
      <c r="U134" s="208">
        <v>0.0</v>
      </c>
      <c r="V134" s="208">
        <v>1.0</v>
      </c>
      <c r="W134" s="208">
        <v>1.0</v>
      </c>
      <c r="X134" s="208">
        <v>16.0</v>
      </c>
      <c r="Y134" s="208">
        <v>2.0</v>
      </c>
      <c r="Z134" s="208">
        <v>4.0</v>
      </c>
      <c r="AA134" s="208">
        <v>0.0</v>
      </c>
      <c r="AB134" s="208">
        <v>0.0</v>
      </c>
      <c r="AC134" s="208">
        <v>0.0</v>
      </c>
      <c r="AD134" s="208">
        <v>0.0</v>
      </c>
      <c r="AE134" s="208">
        <v>72.0</v>
      </c>
      <c r="AF134" s="208">
        <v>77.0</v>
      </c>
      <c r="AG134" s="208">
        <v>24.0</v>
      </c>
      <c r="AH134" s="581">
        <f t="shared" si="1"/>
        <v>15843.45083</v>
      </c>
      <c r="AI134" s="581">
        <f t="shared" si="2"/>
        <v>3.208333333</v>
      </c>
      <c r="AJ134" s="124">
        <v>0.0</v>
      </c>
      <c r="AK134" s="208">
        <v>0.0</v>
      </c>
      <c r="AL134" s="582">
        <f t="shared" si="3"/>
        <v>0</v>
      </c>
      <c r="AM134" s="208">
        <v>54320.0</v>
      </c>
      <c r="AN134" s="582">
        <f t="shared" si="4"/>
        <v>0.2281456464</v>
      </c>
      <c r="AO134" s="583">
        <v>0.0</v>
      </c>
      <c r="AP134" s="208">
        <v>7.0</v>
      </c>
      <c r="AQ134" s="208">
        <v>237.0</v>
      </c>
      <c r="AR134" s="208">
        <v>1039.2</v>
      </c>
      <c r="AS134" s="208">
        <v>0.0</v>
      </c>
      <c r="AT134" s="208">
        <v>34.0</v>
      </c>
      <c r="AV134" s="124" t="str">
        <f t="shared" si="5"/>
        <v>Active</v>
      </c>
    </row>
    <row r="135">
      <c r="A135" s="124" t="s">
        <v>185</v>
      </c>
      <c r="B135" s="208" t="s">
        <v>85</v>
      </c>
      <c r="C135" s="208" t="s">
        <v>832</v>
      </c>
      <c r="D135" s="208" t="s">
        <v>1058</v>
      </c>
      <c r="E135" s="208" t="s">
        <v>393</v>
      </c>
      <c r="F135" s="580">
        <v>45474.0</v>
      </c>
      <c r="G135" s="208">
        <v>0.0</v>
      </c>
      <c r="H135" s="208">
        <v>1250000.0</v>
      </c>
      <c r="I135" s="208">
        <v>0.0</v>
      </c>
      <c r="J135" s="208">
        <v>0.0</v>
      </c>
      <c r="K135" s="208">
        <v>21.0</v>
      </c>
      <c r="L135" s="208">
        <v>5.0</v>
      </c>
      <c r="M135" s="208">
        <v>0.0</v>
      </c>
      <c r="N135" s="208">
        <v>21.0</v>
      </c>
      <c r="O135" s="208">
        <v>16.0</v>
      </c>
      <c r="P135" s="208">
        <v>0.0</v>
      </c>
      <c r="Q135" s="208">
        <v>0.0</v>
      </c>
      <c r="R135" s="208">
        <v>0.0</v>
      </c>
      <c r="S135" s="208">
        <v>0.0</v>
      </c>
      <c r="T135" s="208">
        <v>0.0</v>
      </c>
      <c r="U135" s="208">
        <v>0.0</v>
      </c>
      <c r="V135" s="208">
        <v>108.0</v>
      </c>
      <c r="W135" s="208">
        <v>124.0</v>
      </c>
      <c r="X135" s="208">
        <v>422.0</v>
      </c>
      <c r="Y135" s="208">
        <v>0.0</v>
      </c>
      <c r="Z135" s="208">
        <v>0.0</v>
      </c>
      <c r="AA135" s="208">
        <v>0.0</v>
      </c>
      <c r="AB135" s="208">
        <v>0.0</v>
      </c>
      <c r="AC135" s="208">
        <v>1.0</v>
      </c>
      <c r="AD135" s="208">
        <v>1.0</v>
      </c>
      <c r="AE135" s="208">
        <v>8.0</v>
      </c>
      <c r="AF135" s="208">
        <v>133.0</v>
      </c>
      <c r="AG135" s="208">
        <v>23.0</v>
      </c>
      <c r="AH135" s="581">
        <f t="shared" si="1"/>
        <v>0</v>
      </c>
      <c r="AI135" s="581">
        <f t="shared" si="2"/>
        <v>5.782608696</v>
      </c>
      <c r="AJ135" s="124">
        <v>1.0</v>
      </c>
      <c r="AK135" s="208">
        <v>0.0</v>
      </c>
      <c r="AL135" s="582" t="str">
        <f t="shared" si="3"/>
        <v/>
      </c>
      <c r="AM135" s="208">
        <v>0.0</v>
      </c>
      <c r="AN135" s="582">
        <f t="shared" si="4"/>
        <v>0</v>
      </c>
      <c r="AO135" s="583">
        <v>0.0</v>
      </c>
      <c r="AP135" s="208">
        <v>0.0</v>
      </c>
      <c r="AQ135" s="208">
        <v>237.0</v>
      </c>
      <c r="AR135" s="208">
        <v>1761.16</v>
      </c>
      <c r="AS135" s="208">
        <v>0.0</v>
      </c>
      <c r="AT135" s="208">
        <v>352.0</v>
      </c>
      <c r="AV135" s="124" t="str">
        <f t="shared" si="5"/>
        <v>Active</v>
      </c>
    </row>
    <row r="136">
      <c r="A136" s="124" t="s">
        <v>126</v>
      </c>
      <c r="B136" s="208" t="s">
        <v>130</v>
      </c>
      <c r="C136" s="208" t="s">
        <v>165</v>
      </c>
      <c r="D136" s="208" t="s">
        <v>130</v>
      </c>
      <c r="E136" s="208" t="s">
        <v>166</v>
      </c>
      <c r="F136" s="580">
        <v>45482.0</v>
      </c>
      <c r="G136" s="208">
        <v>0.0</v>
      </c>
      <c r="H136" s="208">
        <v>1583333.0</v>
      </c>
      <c r="I136" s="208">
        <v>765124.53</v>
      </c>
      <c r="J136" s="208">
        <v>0.0</v>
      </c>
      <c r="K136" s="208">
        <v>62.0</v>
      </c>
      <c r="L136" s="208">
        <v>43.0</v>
      </c>
      <c r="M136" s="208">
        <v>1.0</v>
      </c>
      <c r="N136" s="208">
        <v>63.0</v>
      </c>
      <c r="O136" s="208">
        <v>20.0</v>
      </c>
      <c r="P136" s="208">
        <v>765124.53</v>
      </c>
      <c r="Q136" s="208">
        <v>0.0</v>
      </c>
      <c r="R136" s="208">
        <v>15.0</v>
      </c>
      <c r="S136" s="208">
        <v>0.0</v>
      </c>
      <c r="T136" s="208">
        <v>15.0</v>
      </c>
      <c r="U136" s="208">
        <v>0.0</v>
      </c>
      <c r="V136" s="208">
        <v>17.0</v>
      </c>
      <c r="W136" s="208">
        <v>19.0</v>
      </c>
      <c r="X136" s="208">
        <v>238.0</v>
      </c>
      <c r="Y136" s="208">
        <v>1.0</v>
      </c>
      <c r="Z136" s="208">
        <v>7.0</v>
      </c>
      <c r="AA136" s="208">
        <v>0.0</v>
      </c>
      <c r="AB136" s="208">
        <v>0.0</v>
      </c>
      <c r="AC136" s="208">
        <v>0.0</v>
      </c>
      <c r="AD136" s="208">
        <v>0.0</v>
      </c>
      <c r="AE136" s="208">
        <v>104.0</v>
      </c>
      <c r="AF136" s="208">
        <v>130.0</v>
      </c>
      <c r="AG136" s="208">
        <v>25.0</v>
      </c>
      <c r="AH136" s="581">
        <f t="shared" si="1"/>
        <v>30604.9812</v>
      </c>
      <c r="AI136" s="581">
        <f t="shared" si="2"/>
        <v>5.2</v>
      </c>
      <c r="AJ136" s="124">
        <v>0.0</v>
      </c>
      <c r="AK136" s="208">
        <v>0.0</v>
      </c>
      <c r="AL136" s="582">
        <f t="shared" si="3"/>
        <v>0</v>
      </c>
      <c r="AM136" s="208">
        <v>51008.0</v>
      </c>
      <c r="AN136" s="582">
        <f t="shared" si="4"/>
        <v>0.483236647</v>
      </c>
      <c r="AO136" s="583">
        <v>0.0</v>
      </c>
      <c r="AP136" s="208">
        <v>27.0</v>
      </c>
      <c r="AQ136" s="208">
        <v>204.0</v>
      </c>
      <c r="AR136" s="208">
        <v>1441.18</v>
      </c>
      <c r="AS136" s="208">
        <v>0.0</v>
      </c>
      <c r="AT136" s="208">
        <v>34.0</v>
      </c>
      <c r="AV136" s="124" t="str">
        <f t="shared" si="5"/>
        <v>Active</v>
      </c>
    </row>
    <row r="137">
      <c r="A137" s="124" t="s">
        <v>298</v>
      </c>
      <c r="B137" s="208" t="s">
        <v>301</v>
      </c>
      <c r="C137" s="208" t="s">
        <v>312</v>
      </c>
      <c r="D137" s="208" t="s">
        <v>1066</v>
      </c>
      <c r="E137" s="208" t="s">
        <v>313</v>
      </c>
      <c r="F137" s="580">
        <v>45483.0</v>
      </c>
      <c r="G137" s="208">
        <v>0.0</v>
      </c>
      <c r="H137" s="208">
        <v>1000000.0</v>
      </c>
      <c r="I137" s="208">
        <v>522859.56</v>
      </c>
      <c r="J137" s="208">
        <v>0.0</v>
      </c>
      <c r="K137" s="208">
        <v>60.0</v>
      </c>
      <c r="L137" s="208">
        <v>57.0</v>
      </c>
      <c r="M137" s="208">
        <v>3.0</v>
      </c>
      <c r="N137" s="208">
        <v>63.0</v>
      </c>
      <c r="O137" s="208">
        <v>6.0</v>
      </c>
      <c r="P137" s="208">
        <v>510696.96</v>
      </c>
      <c r="Q137" s="208">
        <v>12162.6</v>
      </c>
      <c r="R137" s="208">
        <v>29.0</v>
      </c>
      <c r="S137" s="208">
        <v>3.0</v>
      </c>
      <c r="T137" s="208">
        <v>32.0</v>
      </c>
      <c r="U137" s="208">
        <v>0.0</v>
      </c>
      <c r="V137" s="208">
        <v>38.0</v>
      </c>
      <c r="W137" s="208">
        <v>44.0</v>
      </c>
      <c r="X137" s="208">
        <v>129.0</v>
      </c>
      <c r="Y137" s="208">
        <v>1.0</v>
      </c>
      <c r="Z137" s="208">
        <v>12.0</v>
      </c>
      <c r="AA137" s="208">
        <v>0.0</v>
      </c>
      <c r="AB137" s="208">
        <v>0.0</v>
      </c>
      <c r="AC137" s="208">
        <v>0.0</v>
      </c>
      <c r="AD137" s="208">
        <v>0.0</v>
      </c>
      <c r="AE137" s="208">
        <v>83.0</v>
      </c>
      <c r="AF137" s="208">
        <v>139.0</v>
      </c>
      <c r="AG137" s="208">
        <v>26.0</v>
      </c>
      <c r="AH137" s="581">
        <f t="shared" si="1"/>
        <v>20109.98308</v>
      </c>
      <c r="AI137" s="581">
        <f t="shared" si="2"/>
        <v>5.346153846</v>
      </c>
      <c r="AJ137" s="124">
        <v>0.0</v>
      </c>
      <c r="AK137" s="208">
        <v>0.0</v>
      </c>
      <c r="AL137" s="582">
        <f t="shared" si="3"/>
        <v>0</v>
      </c>
      <c r="AM137" s="208">
        <v>16339.0</v>
      </c>
      <c r="AN137" s="582">
        <f t="shared" si="4"/>
        <v>0.52285956</v>
      </c>
      <c r="AO137" s="583">
        <v>0.0</v>
      </c>
      <c r="AP137" s="208">
        <v>41.0</v>
      </c>
      <c r="AQ137" s="208">
        <v>229.0</v>
      </c>
      <c r="AR137" s="208">
        <v>2687.46</v>
      </c>
      <c r="AS137" s="208">
        <v>3.0</v>
      </c>
      <c r="AT137" s="208">
        <v>47.0</v>
      </c>
      <c r="AV137" s="124" t="str">
        <f t="shared" si="5"/>
        <v>Active</v>
      </c>
    </row>
    <row r="138">
      <c r="A138" s="124" t="s">
        <v>97</v>
      </c>
      <c r="B138" s="208" t="s">
        <v>101</v>
      </c>
      <c r="C138" s="208" t="s">
        <v>348</v>
      </c>
      <c r="D138" s="208" t="s">
        <v>1107</v>
      </c>
      <c r="E138" s="208" t="s">
        <v>349</v>
      </c>
      <c r="F138" s="580">
        <v>45597.0</v>
      </c>
      <c r="G138" s="208">
        <v>0.0</v>
      </c>
      <c r="H138" s="208">
        <v>770000.0</v>
      </c>
      <c r="I138" s="208">
        <v>718098.0</v>
      </c>
      <c r="J138" s="208">
        <v>0.0</v>
      </c>
      <c r="K138" s="208">
        <v>97.0</v>
      </c>
      <c r="L138" s="208">
        <v>69.0</v>
      </c>
      <c r="M138" s="208">
        <v>1.0</v>
      </c>
      <c r="N138" s="208">
        <v>98.0</v>
      </c>
      <c r="O138" s="208">
        <v>29.0</v>
      </c>
      <c r="P138" s="208">
        <v>697839.6</v>
      </c>
      <c r="Q138" s="208">
        <v>20258.4</v>
      </c>
      <c r="R138" s="208">
        <v>21.0</v>
      </c>
      <c r="S138" s="208">
        <v>1.0</v>
      </c>
      <c r="T138" s="208">
        <v>22.0</v>
      </c>
      <c r="U138" s="208">
        <v>0.0</v>
      </c>
      <c r="V138" s="208">
        <v>8.0</v>
      </c>
      <c r="W138" s="208">
        <v>10.0</v>
      </c>
      <c r="X138" s="208">
        <v>62.0</v>
      </c>
      <c r="Y138" s="208">
        <v>1.0</v>
      </c>
      <c r="Z138" s="208">
        <v>11.0</v>
      </c>
      <c r="AA138" s="208">
        <v>0.0</v>
      </c>
      <c r="AB138" s="208">
        <v>0.0</v>
      </c>
      <c r="AC138" s="208">
        <v>0.0</v>
      </c>
      <c r="AD138" s="208">
        <v>0.0</v>
      </c>
      <c r="AE138" s="208">
        <v>132.0</v>
      </c>
      <c r="AF138" s="208">
        <v>153.0</v>
      </c>
      <c r="AG138" s="208">
        <v>21.0</v>
      </c>
      <c r="AH138" s="581">
        <f t="shared" si="1"/>
        <v>34195.14286</v>
      </c>
      <c r="AI138" s="581">
        <f t="shared" si="2"/>
        <v>7.285714286</v>
      </c>
      <c r="AJ138" s="588">
        <v>0.0</v>
      </c>
      <c r="AK138" s="208">
        <v>0.0</v>
      </c>
      <c r="AL138" s="582">
        <f t="shared" si="3"/>
        <v>0</v>
      </c>
      <c r="AM138" s="208">
        <v>32641.0</v>
      </c>
      <c r="AN138" s="582">
        <f t="shared" si="4"/>
        <v>0.9325948052</v>
      </c>
      <c r="AO138" s="583">
        <v>0.0</v>
      </c>
      <c r="AP138" s="208">
        <v>27.0</v>
      </c>
      <c r="AQ138" s="208">
        <v>215.0</v>
      </c>
      <c r="AR138" s="208">
        <v>1262.05</v>
      </c>
      <c r="AS138" s="208">
        <v>1.0</v>
      </c>
      <c r="AT138" s="208">
        <v>18.0</v>
      </c>
      <c r="AV138" s="124" t="str">
        <f t="shared" si="5"/>
        <v>Active</v>
      </c>
    </row>
    <row r="139">
      <c r="A139" s="124" t="s">
        <v>97</v>
      </c>
      <c r="B139" s="208" t="s">
        <v>101</v>
      </c>
      <c r="C139" s="208" t="s">
        <v>102</v>
      </c>
      <c r="D139" s="208" t="s">
        <v>1062</v>
      </c>
      <c r="E139" s="208" t="s">
        <v>103</v>
      </c>
      <c r="F139" s="580">
        <v>45488.0</v>
      </c>
      <c r="G139" s="208">
        <v>0.0</v>
      </c>
      <c r="H139" s="208">
        <v>696575.0</v>
      </c>
      <c r="I139" s="208">
        <v>690333.6</v>
      </c>
      <c r="J139" s="208">
        <v>0.0</v>
      </c>
      <c r="K139" s="208">
        <v>107.0</v>
      </c>
      <c r="L139" s="208">
        <v>84.0</v>
      </c>
      <c r="M139" s="208">
        <v>0.0</v>
      </c>
      <c r="N139" s="208">
        <v>107.0</v>
      </c>
      <c r="O139" s="208">
        <v>23.0</v>
      </c>
      <c r="P139" s="208">
        <v>690333.6</v>
      </c>
      <c r="Q139" s="208">
        <v>0.0</v>
      </c>
      <c r="R139" s="208">
        <v>42.0</v>
      </c>
      <c r="S139" s="208">
        <v>0.0</v>
      </c>
      <c r="T139" s="208">
        <v>42.0</v>
      </c>
      <c r="U139" s="208">
        <v>0.0</v>
      </c>
      <c r="V139" s="208">
        <v>3.0</v>
      </c>
      <c r="W139" s="208">
        <v>3.0</v>
      </c>
      <c r="X139" s="208">
        <v>48.0</v>
      </c>
      <c r="Y139" s="208">
        <v>2.0</v>
      </c>
      <c r="Z139" s="208">
        <v>5.0</v>
      </c>
      <c r="AA139" s="208">
        <v>0.0</v>
      </c>
      <c r="AB139" s="208">
        <v>0.0</v>
      </c>
      <c r="AC139" s="208">
        <v>0.0</v>
      </c>
      <c r="AD139" s="208">
        <v>0.0</v>
      </c>
      <c r="AE139" s="208">
        <v>169.0</v>
      </c>
      <c r="AF139" s="208">
        <v>177.0</v>
      </c>
      <c r="AG139" s="208">
        <v>25.0</v>
      </c>
      <c r="AH139" s="581">
        <f t="shared" si="1"/>
        <v>27613.344</v>
      </c>
      <c r="AI139" s="581">
        <f t="shared" si="2"/>
        <v>7.08</v>
      </c>
      <c r="AJ139" s="124">
        <v>0.0</v>
      </c>
      <c r="AK139" s="208">
        <v>0.0</v>
      </c>
      <c r="AL139" s="582">
        <f t="shared" si="3"/>
        <v>0</v>
      </c>
      <c r="AM139" s="208">
        <v>16437.0</v>
      </c>
      <c r="AN139" s="582">
        <f t="shared" si="4"/>
        <v>0.9910398737</v>
      </c>
      <c r="AO139" s="583">
        <v>0.0</v>
      </c>
      <c r="AP139" s="208">
        <v>65.0</v>
      </c>
      <c r="AQ139" s="208">
        <v>234.0</v>
      </c>
      <c r="AR139" s="208">
        <v>2080.01</v>
      </c>
      <c r="AS139" s="208">
        <v>0.0</v>
      </c>
      <c r="AT139" s="208">
        <v>25.0</v>
      </c>
      <c r="AV139" s="124" t="str">
        <f t="shared" si="5"/>
        <v>Active</v>
      </c>
    </row>
    <row r="140">
      <c r="A140" s="124" t="s">
        <v>185</v>
      </c>
      <c r="B140" s="208" t="s">
        <v>212</v>
      </c>
      <c r="C140" s="208" t="s">
        <v>839</v>
      </c>
      <c r="D140" s="208" t="s">
        <v>1031</v>
      </c>
      <c r="E140" s="208" t="s">
        <v>417</v>
      </c>
      <c r="F140" s="580">
        <v>45488.0</v>
      </c>
      <c r="G140" s="208">
        <v>0.0</v>
      </c>
      <c r="H140" s="208">
        <v>1500000.0</v>
      </c>
      <c r="I140" s="208">
        <v>1232915.88</v>
      </c>
      <c r="J140" s="208">
        <v>0.0</v>
      </c>
      <c r="K140" s="208">
        <v>52.0</v>
      </c>
      <c r="L140" s="208">
        <v>41.0</v>
      </c>
      <c r="M140" s="208">
        <v>5.0</v>
      </c>
      <c r="N140" s="208">
        <v>57.0</v>
      </c>
      <c r="O140" s="208">
        <v>16.0</v>
      </c>
      <c r="P140" s="208">
        <v>644633.17</v>
      </c>
      <c r="Q140" s="208">
        <v>588282.71</v>
      </c>
      <c r="R140" s="208">
        <v>19.0</v>
      </c>
      <c r="S140" s="208">
        <v>5.0</v>
      </c>
      <c r="T140" s="208">
        <v>24.0</v>
      </c>
      <c r="U140" s="208">
        <v>0.0</v>
      </c>
      <c r="V140" s="208">
        <v>18.0</v>
      </c>
      <c r="W140" s="208">
        <v>21.0</v>
      </c>
      <c r="X140" s="208">
        <v>39.0</v>
      </c>
      <c r="Y140" s="208">
        <v>1.0</v>
      </c>
      <c r="Z140" s="208">
        <v>14.0</v>
      </c>
      <c r="AA140" s="208">
        <v>0.0</v>
      </c>
      <c r="AB140" s="208">
        <v>0.0</v>
      </c>
      <c r="AC140" s="208">
        <v>0.0</v>
      </c>
      <c r="AD140" s="208">
        <v>0.0</v>
      </c>
      <c r="AE140" s="208">
        <v>68.0</v>
      </c>
      <c r="AF140" s="208">
        <v>103.0</v>
      </c>
      <c r="AG140" s="208">
        <v>24.0</v>
      </c>
      <c r="AH140" s="581">
        <f t="shared" si="1"/>
        <v>51371.495</v>
      </c>
      <c r="AI140" s="581">
        <f t="shared" si="2"/>
        <v>4.291666667</v>
      </c>
      <c r="AJ140" s="124">
        <v>0.0</v>
      </c>
      <c r="AK140" s="208">
        <v>0.0</v>
      </c>
      <c r="AL140" s="582">
        <f t="shared" si="3"/>
        <v>0</v>
      </c>
      <c r="AM140" s="208">
        <v>51371.0</v>
      </c>
      <c r="AN140" s="582">
        <f t="shared" si="4"/>
        <v>0.82194392</v>
      </c>
      <c r="AO140" s="583">
        <v>0.0</v>
      </c>
      <c r="AP140" s="208">
        <v>35.0</v>
      </c>
      <c r="AQ140" s="208">
        <v>263.0</v>
      </c>
      <c r="AR140" s="208">
        <v>1923.41</v>
      </c>
      <c r="AS140" s="208">
        <v>5.0</v>
      </c>
      <c r="AT140" s="208">
        <v>47.0</v>
      </c>
      <c r="AV140" s="124" t="str">
        <f t="shared" si="5"/>
        <v>Active</v>
      </c>
    </row>
    <row r="141">
      <c r="A141" s="124" t="s">
        <v>126</v>
      </c>
      <c r="B141" s="208" t="s">
        <v>130</v>
      </c>
      <c r="C141" s="208" t="s">
        <v>444</v>
      </c>
      <c r="D141" s="208" t="s">
        <v>130</v>
      </c>
      <c r="E141" s="208" t="s">
        <v>445</v>
      </c>
      <c r="F141" s="580">
        <v>45506.0</v>
      </c>
      <c r="G141" s="208">
        <v>0.0</v>
      </c>
      <c r="H141" s="208">
        <v>1150000.0</v>
      </c>
      <c r="I141" s="208">
        <v>213537.28</v>
      </c>
      <c r="J141" s="208">
        <v>40101.05</v>
      </c>
      <c r="K141" s="208">
        <v>35.0</v>
      </c>
      <c r="L141" s="208">
        <v>17.0</v>
      </c>
      <c r="M141" s="208">
        <v>3.0</v>
      </c>
      <c r="N141" s="208">
        <v>38.0</v>
      </c>
      <c r="O141" s="208">
        <v>21.0</v>
      </c>
      <c r="P141" s="208">
        <v>149776.68</v>
      </c>
      <c r="Q141" s="208">
        <v>63760.6</v>
      </c>
      <c r="R141" s="208">
        <v>6.0</v>
      </c>
      <c r="S141" s="208">
        <v>2.0</v>
      </c>
      <c r="T141" s="208">
        <v>8.0</v>
      </c>
      <c r="U141" s="208">
        <v>1.0</v>
      </c>
      <c r="V141" s="208">
        <v>6.0</v>
      </c>
      <c r="W141" s="208">
        <v>11.0</v>
      </c>
      <c r="X141" s="208">
        <v>80.0</v>
      </c>
      <c r="Y141" s="208">
        <v>2.0</v>
      </c>
      <c r="Z141" s="208">
        <v>6.0</v>
      </c>
      <c r="AA141" s="208">
        <v>1.0</v>
      </c>
      <c r="AB141" s="208">
        <v>22.0</v>
      </c>
      <c r="AC141" s="208">
        <v>0.0</v>
      </c>
      <c r="AD141" s="208">
        <v>0.0</v>
      </c>
      <c r="AE141" s="208">
        <v>45.0</v>
      </c>
      <c r="AF141" s="208">
        <v>84.0</v>
      </c>
      <c r="AG141" s="208">
        <v>26.0</v>
      </c>
      <c r="AH141" s="581">
        <f t="shared" si="1"/>
        <v>9755.320385</v>
      </c>
      <c r="AI141" s="581">
        <f t="shared" si="2"/>
        <v>3.230769231</v>
      </c>
      <c r="AJ141" s="124">
        <v>1.0</v>
      </c>
      <c r="AK141" s="208">
        <v>0.0</v>
      </c>
      <c r="AL141" s="582">
        <f t="shared" si="3"/>
        <v>0.000003942621764</v>
      </c>
      <c r="AM141" s="208">
        <v>26692.0</v>
      </c>
      <c r="AN141" s="582">
        <f t="shared" si="4"/>
        <v>0.2205550696</v>
      </c>
      <c r="AO141" s="583">
        <v>0.0</v>
      </c>
      <c r="AP141" s="208">
        <v>8.0</v>
      </c>
      <c r="AQ141" s="208">
        <v>252.0</v>
      </c>
      <c r="AR141" s="208">
        <v>531.72</v>
      </c>
      <c r="AS141" s="208">
        <v>2.0</v>
      </c>
      <c r="AT141" s="208">
        <v>31.0</v>
      </c>
      <c r="AV141" s="124" t="str">
        <f t="shared" si="5"/>
        <v>Active</v>
      </c>
    </row>
    <row r="142">
      <c r="A142" s="124" t="s">
        <v>53</v>
      </c>
      <c r="B142" s="208" t="s">
        <v>56</v>
      </c>
      <c r="C142" s="208" t="s">
        <v>847</v>
      </c>
      <c r="D142" s="208" t="s">
        <v>1092</v>
      </c>
      <c r="E142" s="208" t="s">
        <v>1099</v>
      </c>
      <c r="F142" s="580">
        <v>45502.0</v>
      </c>
      <c r="G142" s="208">
        <v>0.0</v>
      </c>
      <c r="H142" s="208">
        <v>1500000.0</v>
      </c>
      <c r="I142" s="208">
        <v>138429.12</v>
      </c>
      <c r="J142" s="208">
        <v>0.0</v>
      </c>
      <c r="K142" s="208">
        <v>31.0</v>
      </c>
      <c r="L142" s="208">
        <v>23.0</v>
      </c>
      <c r="M142" s="208">
        <v>0.0</v>
      </c>
      <c r="N142" s="208">
        <v>31.0</v>
      </c>
      <c r="O142" s="208">
        <v>8.0</v>
      </c>
      <c r="P142" s="208">
        <v>138429.12</v>
      </c>
      <c r="Q142" s="208">
        <v>0.0</v>
      </c>
      <c r="R142" s="208">
        <v>1.0</v>
      </c>
      <c r="S142" s="208">
        <v>0.0</v>
      </c>
      <c r="T142" s="208">
        <v>1.0</v>
      </c>
      <c r="U142" s="208">
        <v>0.0</v>
      </c>
      <c r="V142" s="208">
        <v>22.0</v>
      </c>
      <c r="W142" s="208">
        <v>32.0</v>
      </c>
      <c r="X142" s="208">
        <v>107.0</v>
      </c>
      <c r="Y142" s="208">
        <v>1.0</v>
      </c>
      <c r="Z142" s="208">
        <v>14.0</v>
      </c>
      <c r="AA142" s="208">
        <v>0.0</v>
      </c>
      <c r="AB142" s="208">
        <v>0.0</v>
      </c>
      <c r="AC142" s="208">
        <v>0.0</v>
      </c>
      <c r="AD142" s="208">
        <v>0.0</v>
      </c>
      <c r="AE142" s="208">
        <v>82.0</v>
      </c>
      <c r="AF142" s="208">
        <v>128.0</v>
      </c>
      <c r="AG142" s="208">
        <v>26.0</v>
      </c>
      <c r="AH142" s="581">
        <f t="shared" si="1"/>
        <v>5324.196923</v>
      </c>
      <c r="AI142" s="581">
        <f t="shared" si="2"/>
        <v>4.923076923</v>
      </c>
      <c r="AJ142" s="124">
        <v>0.0</v>
      </c>
      <c r="AK142" s="208">
        <v>0.0</v>
      </c>
      <c r="AL142" s="582">
        <f t="shared" si="3"/>
        <v>0</v>
      </c>
      <c r="AM142" s="208">
        <v>138429.0</v>
      </c>
      <c r="AN142" s="582">
        <f t="shared" si="4"/>
        <v>0.09228608</v>
      </c>
      <c r="AO142" s="583">
        <v>0.0</v>
      </c>
      <c r="AP142" s="208">
        <v>1.0</v>
      </c>
      <c r="AQ142" s="208">
        <v>209.0</v>
      </c>
      <c r="AR142" s="208">
        <v>871.96</v>
      </c>
      <c r="AS142" s="208">
        <v>0.0</v>
      </c>
      <c r="AT142" s="208">
        <v>38.0</v>
      </c>
      <c r="AV142" s="124" t="str">
        <f t="shared" si="5"/>
        <v>Active</v>
      </c>
    </row>
    <row r="143">
      <c r="A143" s="124" t="s">
        <v>185</v>
      </c>
      <c r="B143" s="208" t="s">
        <v>212</v>
      </c>
      <c r="C143" s="208" t="s">
        <v>273</v>
      </c>
      <c r="D143" s="208" t="s">
        <v>1031</v>
      </c>
      <c r="E143" s="208" t="s">
        <v>274</v>
      </c>
      <c r="F143" s="580">
        <v>45628.0</v>
      </c>
      <c r="G143" s="208">
        <v>0.0</v>
      </c>
      <c r="H143" s="208">
        <v>1500000.0</v>
      </c>
      <c r="I143" s="208">
        <v>1158075.51</v>
      </c>
      <c r="J143" s="208">
        <v>0.0</v>
      </c>
      <c r="K143" s="208">
        <v>73.0</v>
      </c>
      <c r="L143" s="208">
        <v>52.0</v>
      </c>
      <c r="M143" s="208">
        <v>1.0</v>
      </c>
      <c r="N143" s="208">
        <v>74.0</v>
      </c>
      <c r="O143" s="208">
        <v>22.0</v>
      </c>
      <c r="P143" s="208">
        <v>1130264.41</v>
      </c>
      <c r="Q143" s="208">
        <v>27811.1</v>
      </c>
      <c r="R143" s="208">
        <v>15.0</v>
      </c>
      <c r="S143" s="208">
        <v>1.0</v>
      </c>
      <c r="T143" s="208">
        <v>16.0</v>
      </c>
      <c r="U143" s="208">
        <v>0.0</v>
      </c>
      <c r="V143" s="208">
        <v>31.0</v>
      </c>
      <c r="W143" s="208">
        <v>32.0</v>
      </c>
      <c r="X143" s="208">
        <v>114.0</v>
      </c>
      <c r="Y143" s="208">
        <v>1.0</v>
      </c>
      <c r="Z143" s="208">
        <v>6.0</v>
      </c>
      <c r="AA143" s="208">
        <v>0.0</v>
      </c>
      <c r="AB143" s="208">
        <v>0.0</v>
      </c>
      <c r="AC143" s="208">
        <v>0.0</v>
      </c>
      <c r="AD143" s="208">
        <v>0.0</v>
      </c>
      <c r="AE143" s="208">
        <v>82.0</v>
      </c>
      <c r="AF143" s="208">
        <v>120.0</v>
      </c>
      <c r="AG143" s="208">
        <v>23.0</v>
      </c>
      <c r="AH143" s="581">
        <f t="shared" si="1"/>
        <v>50351.10913</v>
      </c>
      <c r="AI143" s="581">
        <f t="shared" si="2"/>
        <v>5.217391304</v>
      </c>
      <c r="AJ143" s="124">
        <v>0.0</v>
      </c>
      <c r="AK143" s="208">
        <v>0.0</v>
      </c>
      <c r="AL143" s="582">
        <f t="shared" si="3"/>
        <v>0</v>
      </c>
      <c r="AM143" s="208">
        <v>72380.0</v>
      </c>
      <c r="AN143" s="582">
        <f t="shared" si="4"/>
        <v>0.77205034</v>
      </c>
      <c r="AO143" s="583">
        <v>0.0</v>
      </c>
      <c r="AP143" s="208">
        <v>19.0</v>
      </c>
      <c r="AQ143" s="208">
        <v>234.0</v>
      </c>
      <c r="AR143" s="208">
        <v>1203.08</v>
      </c>
      <c r="AS143" s="208">
        <v>1.0</v>
      </c>
      <c r="AT143" s="208">
        <v>23.0</v>
      </c>
      <c r="AV143" s="124" t="str">
        <f t="shared" si="5"/>
        <v>Active</v>
      </c>
    </row>
    <row r="144">
      <c r="A144" s="124" t="s">
        <v>185</v>
      </c>
      <c r="B144" s="208" t="s">
        <v>196</v>
      </c>
      <c r="C144" s="208" t="s">
        <v>412</v>
      </c>
      <c r="D144" s="208" t="s">
        <v>1027</v>
      </c>
      <c r="E144" s="208" t="s">
        <v>209</v>
      </c>
      <c r="F144" s="580">
        <v>45516.0</v>
      </c>
      <c r="G144" s="208">
        <v>0.0</v>
      </c>
      <c r="H144" s="208">
        <v>1500000.0</v>
      </c>
      <c r="I144" s="208">
        <v>0.0</v>
      </c>
      <c r="J144" s="208">
        <v>0.0</v>
      </c>
      <c r="K144" s="208">
        <v>11.0</v>
      </c>
      <c r="L144" s="208">
        <v>8.0</v>
      </c>
      <c r="M144" s="208">
        <v>0.0</v>
      </c>
      <c r="N144" s="208">
        <v>11.0</v>
      </c>
      <c r="O144" s="208">
        <v>3.0</v>
      </c>
      <c r="P144" s="208">
        <v>0.0</v>
      </c>
      <c r="Q144" s="208">
        <v>0.0</v>
      </c>
      <c r="R144" s="208">
        <v>0.0</v>
      </c>
      <c r="S144" s="208">
        <v>0.0</v>
      </c>
      <c r="T144" s="208">
        <v>0.0</v>
      </c>
      <c r="U144" s="208">
        <v>0.0</v>
      </c>
      <c r="V144" s="208">
        <v>7.0</v>
      </c>
      <c r="W144" s="208">
        <v>12.0</v>
      </c>
      <c r="X144" s="208">
        <v>10.0</v>
      </c>
      <c r="Y144" s="208">
        <v>1.0</v>
      </c>
      <c r="Z144" s="208">
        <v>5.0</v>
      </c>
      <c r="AA144" s="208">
        <v>1.0</v>
      </c>
      <c r="AB144" s="208">
        <v>8.0</v>
      </c>
      <c r="AC144" s="208">
        <v>0.0</v>
      </c>
      <c r="AD144" s="208">
        <v>0.0</v>
      </c>
      <c r="AE144" s="208">
        <v>39.0</v>
      </c>
      <c r="AF144" s="208">
        <v>64.0</v>
      </c>
      <c r="AG144" s="208">
        <v>18.0</v>
      </c>
      <c r="AH144" s="581">
        <f t="shared" si="1"/>
        <v>0</v>
      </c>
      <c r="AI144" s="581">
        <f t="shared" si="2"/>
        <v>3.555555556</v>
      </c>
      <c r="AJ144" s="124">
        <v>2.0</v>
      </c>
      <c r="AK144" s="208">
        <v>0.0</v>
      </c>
      <c r="AL144" s="582" t="str">
        <f t="shared" si="3"/>
        <v/>
      </c>
      <c r="AM144" s="208">
        <v>0.0</v>
      </c>
      <c r="AN144" s="582">
        <f t="shared" si="4"/>
        <v>0</v>
      </c>
      <c r="AO144" s="583">
        <v>0.0</v>
      </c>
      <c r="AP144" s="208">
        <v>0.0</v>
      </c>
      <c r="AQ144" s="208">
        <v>147.0</v>
      </c>
      <c r="AR144" s="208">
        <v>448.29</v>
      </c>
      <c r="AS144" s="208">
        <v>0.0</v>
      </c>
      <c r="AT144" s="208">
        <v>56.0</v>
      </c>
      <c r="AV144" s="124" t="str">
        <f t="shared" si="5"/>
        <v>Active</v>
      </c>
    </row>
    <row r="145">
      <c r="A145" s="124" t="s">
        <v>298</v>
      </c>
      <c r="B145" s="208" t="s">
        <v>301</v>
      </c>
      <c r="C145" s="208" t="s">
        <v>314</v>
      </c>
      <c r="D145" s="208" t="s">
        <v>1066</v>
      </c>
      <c r="E145" s="208" t="s">
        <v>1100</v>
      </c>
      <c r="F145" s="580">
        <v>45516.0</v>
      </c>
      <c r="G145" s="208">
        <v>0.0</v>
      </c>
      <c r="H145" s="208">
        <v>1000000.0</v>
      </c>
      <c r="I145" s="208">
        <v>407362.44</v>
      </c>
      <c r="J145" s="208">
        <v>0.0</v>
      </c>
      <c r="K145" s="208">
        <v>132.0</v>
      </c>
      <c r="L145" s="208">
        <v>58.0</v>
      </c>
      <c r="M145" s="208">
        <v>0.0</v>
      </c>
      <c r="N145" s="208">
        <v>132.0</v>
      </c>
      <c r="O145" s="208">
        <v>74.0</v>
      </c>
      <c r="P145" s="208">
        <v>407362.44</v>
      </c>
      <c r="Q145" s="208">
        <v>0.0</v>
      </c>
      <c r="R145" s="208">
        <v>31.0</v>
      </c>
      <c r="S145" s="208">
        <v>0.0</v>
      </c>
      <c r="T145" s="208">
        <v>31.0</v>
      </c>
      <c r="U145" s="208">
        <v>0.0</v>
      </c>
      <c r="V145" s="208">
        <v>53.0</v>
      </c>
      <c r="W145" s="208">
        <v>53.0</v>
      </c>
      <c r="X145" s="208">
        <v>274.0</v>
      </c>
      <c r="Y145" s="208">
        <v>1.0</v>
      </c>
      <c r="Z145" s="208">
        <v>2.0</v>
      </c>
      <c r="AA145" s="208">
        <v>0.0</v>
      </c>
      <c r="AB145" s="208">
        <v>0.0</v>
      </c>
      <c r="AC145" s="208">
        <v>0.0</v>
      </c>
      <c r="AD145" s="208">
        <v>0.0</v>
      </c>
      <c r="AE145" s="208">
        <v>65.0</v>
      </c>
      <c r="AF145" s="208">
        <v>120.0</v>
      </c>
      <c r="AG145" s="208">
        <v>26.0</v>
      </c>
      <c r="AH145" s="581">
        <f t="shared" si="1"/>
        <v>15667.78615</v>
      </c>
      <c r="AI145" s="581">
        <f t="shared" si="2"/>
        <v>4.615384615</v>
      </c>
      <c r="AJ145" s="124">
        <v>0.0</v>
      </c>
      <c r="AK145" s="208">
        <v>0.0</v>
      </c>
      <c r="AL145" s="582">
        <f t="shared" si="3"/>
        <v>0</v>
      </c>
      <c r="AM145" s="208">
        <v>13141.0</v>
      </c>
      <c r="AN145" s="582">
        <f t="shared" si="4"/>
        <v>0.40736244</v>
      </c>
      <c r="AO145" s="583">
        <v>0.0</v>
      </c>
      <c r="AP145" s="208">
        <v>34.0</v>
      </c>
      <c r="AQ145" s="208">
        <v>254.0</v>
      </c>
      <c r="AR145" s="208">
        <v>1744.57</v>
      </c>
      <c r="AS145" s="208">
        <v>0.0</v>
      </c>
      <c r="AT145" s="208">
        <v>30.0</v>
      </c>
      <c r="AV145" s="124" t="str">
        <f t="shared" si="5"/>
        <v>Active</v>
      </c>
    </row>
    <row r="146">
      <c r="A146" s="124" t="s">
        <v>185</v>
      </c>
      <c r="B146" s="208" t="s">
        <v>1101</v>
      </c>
      <c r="C146" s="208" t="s">
        <v>850</v>
      </c>
      <c r="D146" s="208" t="s">
        <v>1101</v>
      </c>
      <c r="E146" s="208" t="s">
        <v>1102</v>
      </c>
      <c r="F146" s="580">
        <v>45523.0</v>
      </c>
      <c r="G146" s="208">
        <v>0.0</v>
      </c>
      <c r="H146" s="208">
        <v>0.0</v>
      </c>
      <c r="I146" s="208">
        <v>0.0</v>
      </c>
      <c r="J146" s="208">
        <v>0.0</v>
      </c>
      <c r="K146" s="208">
        <v>1.0</v>
      </c>
      <c r="L146" s="208">
        <v>0.0</v>
      </c>
      <c r="M146" s="208">
        <v>0.0</v>
      </c>
      <c r="N146" s="208">
        <v>1.0</v>
      </c>
      <c r="O146" s="208">
        <v>1.0</v>
      </c>
      <c r="P146" s="208">
        <v>0.0</v>
      </c>
      <c r="Q146" s="208">
        <v>0.0</v>
      </c>
      <c r="R146" s="208">
        <v>0.0</v>
      </c>
      <c r="S146" s="208">
        <v>0.0</v>
      </c>
      <c r="T146" s="208">
        <v>0.0</v>
      </c>
      <c r="U146" s="208">
        <v>0.0</v>
      </c>
      <c r="V146" s="208">
        <v>5.0</v>
      </c>
      <c r="W146" s="208">
        <v>6.0</v>
      </c>
      <c r="X146" s="208">
        <v>48.0</v>
      </c>
      <c r="Y146" s="208">
        <v>0.0</v>
      </c>
      <c r="Z146" s="208">
        <v>0.0</v>
      </c>
      <c r="AA146" s="208">
        <v>0.0</v>
      </c>
      <c r="AB146" s="208">
        <v>0.0</v>
      </c>
      <c r="AC146" s="208">
        <v>32.0</v>
      </c>
      <c r="AD146" s="208">
        <v>48.0</v>
      </c>
      <c r="AE146" s="208">
        <v>0.0</v>
      </c>
      <c r="AF146" s="208">
        <v>54.0</v>
      </c>
      <c r="AG146" s="208">
        <v>17.0</v>
      </c>
      <c r="AH146" s="581">
        <f t="shared" si="1"/>
        <v>0</v>
      </c>
      <c r="AI146" s="581">
        <f t="shared" si="2"/>
        <v>3.176470588</v>
      </c>
      <c r="AJ146" s="124">
        <v>0.0</v>
      </c>
      <c r="AK146" s="208">
        <v>0.0</v>
      </c>
      <c r="AL146" s="582" t="str">
        <f t="shared" si="3"/>
        <v/>
      </c>
      <c r="AM146" s="208">
        <v>0.0</v>
      </c>
      <c r="AN146" s="582" t="str">
        <f t="shared" si="4"/>
        <v/>
      </c>
      <c r="AO146" s="583">
        <v>0.0</v>
      </c>
      <c r="AP146" s="208">
        <v>0.0</v>
      </c>
      <c r="AQ146" s="208">
        <v>200.0</v>
      </c>
      <c r="AR146" s="208">
        <v>2103.87</v>
      </c>
      <c r="AS146" s="208">
        <v>0.0</v>
      </c>
      <c r="AT146" s="208">
        <v>0.0</v>
      </c>
      <c r="AU146" s="584">
        <v>45869.0</v>
      </c>
      <c r="AV146" s="124" t="str">
        <f t="shared" si="5"/>
        <v>Left</v>
      </c>
    </row>
    <row r="147">
      <c r="A147" s="124" t="s">
        <v>53</v>
      </c>
      <c r="B147" s="208" t="s">
        <v>56</v>
      </c>
      <c r="C147" s="208" t="s">
        <v>57</v>
      </c>
      <c r="D147" s="208" t="s">
        <v>1092</v>
      </c>
      <c r="E147" s="208" t="s">
        <v>58</v>
      </c>
      <c r="F147" s="580">
        <v>45518.0</v>
      </c>
      <c r="G147" s="208">
        <v>0.0</v>
      </c>
      <c r="H147" s="208">
        <v>700000.0</v>
      </c>
      <c r="I147" s="208">
        <v>286803.7</v>
      </c>
      <c r="J147" s="208">
        <v>0.0</v>
      </c>
      <c r="K147" s="208">
        <v>73.0</v>
      </c>
      <c r="L147" s="208">
        <v>60.0</v>
      </c>
      <c r="M147" s="208">
        <v>1.0</v>
      </c>
      <c r="N147" s="208">
        <v>74.0</v>
      </c>
      <c r="O147" s="208">
        <v>14.0</v>
      </c>
      <c r="P147" s="208">
        <v>269197.3</v>
      </c>
      <c r="Q147" s="208">
        <v>17606.4</v>
      </c>
      <c r="R147" s="208">
        <v>18.0</v>
      </c>
      <c r="S147" s="208">
        <v>1.0</v>
      </c>
      <c r="T147" s="208">
        <v>19.0</v>
      </c>
      <c r="U147" s="208">
        <v>0.0</v>
      </c>
      <c r="V147" s="208">
        <v>32.0</v>
      </c>
      <c r="W147" s="208">
        <v>36.0</v>
      </c>
      <c r="X147" s="208">
        <v>174.0</v>
      </c>
      <c r="Y147" s="208">
        <v>1.0</v>
      </c>
      <c r="Z147" s="208">
        <v>23.0</v>
      </c>
      <c r="AA147" s="208">
        <v>0.0</v>
      </c>
      <c r="AB147" s="208">
        <v>0.0</v>
      </c>
      <c r="AC147" s="208">
        <v>0.0</v>
      </c>
      <c r="AD147" s="208">
        <v>0.0</v>
      </c>
      <c r="AE147" s="208">
        <v>149.0</v>
      </c>
      <c r="AF147" s="208">
        <v>208.0</v>
      </c>
      <c r="AG147" s="208">
        <v>26.0</v>
      </c>
      <c r="AH147" s="581">
        <f t="shared" si="1"/>
        <v>11030.91154</v>
      </c>
      <c r="AI147" s="581">
        <f t="shared" si="2"/>
        <v>8</v>
      </c>
      <c r="AJ147" s="124">
        <v>0.0</v>
      </c>
      <c r="AK147" s="208">
        <v>0.0</v>
      </c>
      <c r="AL147" s="582">
        <f t="shared" si="3"/>
        <v>0</v>
      </c>
      <c r="AM147" s="208">
        <v>15095.0</v>
      </c>
      <c r="AN147" s="582">
        <f t="shared" si="4"/>
        <v>0.4097195714</v>
      </c>
      <c r="AO147" s="583">
        <v>0.0</v>
      </c>
      <c r="AP147" s="208">
        <v>19.0</v>
      </c>
      <c r="AQ147" s="208">
        <v>284.0</v>
      </c>
      <c r="AR147" s="208">
        <v>2418.42</v>
      </c>
      <c r="AS147" s="208">
        <v>1.0</v>
      </c>
      <c r="AT147" s="208">
        <v>40.0</v>
      </c>
      <c r="AV147" s="124" t="str">
        <f t="shared" si="5"/>
        <v>Active</v>
      </c>
    </row>
    <row r="148">
      <c r="A148" s="124" t="s">
        <v>23</v>
      </c>
      <c r="B148" s="208" t="s">
        <v>27</v>
      </c>
      <c r="C148" s="208" t="s">
        <v>31</v>
      </c>
      <c r="D148" s="208" t="s">
        <v>1103</v>
      </c>
      <c r="E148" s="208" t="s">
        <v>32</v>
      </c>
      <c r="F148" s="580">
        <v>45551.0</v>
      </c>
      <c r="G148" s="208">
        <v>0.0</v>
      </c>
      <c r="H148" s="208">
        <v>1300000.0</v>
      </c>
      <c r="I148" s="208">
        <v>958979.14</v>
      </c>
      <c r="J148" s="208">
        <v>0.0</v>
      </c>
      <c r="K148" s="208">
        <v>120.0</v>
      </c>
      <c r="L148" s="208">
        <v>76.0</v>
      </c>
      <c r="M148" s="208">
        <v>3.0</v>
      </c>
      <c r="N148" s="208">
        <v>123.0</v>
      </c>
      <c r="O148" s="208">
        <v>47.0</v>
      </c>
      <c r="P148" s="208">
        <v>891295.26</v>
      </c>
      <c r="Q148" s="208">
        <v>67683.88</v>
      </c>
      <c r="R148" s="208">
        <v>38.0</v>
      </c>
      <c r="S148" s="208">
        <v>2.0</v>
      </c>
      <c r="T148" s="208">
        <v>40.0</v>
      </c>
      <c r="U148" s="208">
        <v>0.0</v>
      </c>
      <c r="V148" s="208">
        <v>28.0</v>
      </c>
      <c r="W148" s="208">
        <v>28.0</v>
      </c>
      <c r="X148" s="208">
        <v>141.0</v>
      </c>
      <c r="Y148" s="208">
        <v>1.0</v>
      </c>
      <c r="Z148" s="208">
        <v>13.0</v>
      </c>
      <c r="AA148" s="208">
        <v>0.0</v>
      </c>
      <c r="AB148" s="208">
        <v>0.0</v>
      </c>
      <c r="AC148" s="208">
        <v>1.0</v>
      </c>
      <c r="AD148" s="208">
        <v>1.0</v>
      </c>
      <c r="AE148" s="208">
        <v>130.0</v>
      </c>
      <c r="AF148" s="208">
        <v>172.0</v>
      </c>
      <c r="AG148" s="208">
        <v>25.0</v>
      </c>
      <c r="AH148" s="581">
        <f t="shared" si="1"/>
        <v>38359.1656</v>
      </c>
      <c r="AI148" s="581">
        <f t="shared" si="2"/>
        <v>6.88</v>
      </c>
      <c r="AJ148" s="124">
        <v>0.0</v>
      </c>
      <c r="AK148" s="208">
        <v>0.0</v>
      </c>
      <c r="AL148" s="582">
        <f t="shared" si="3"/>
        <v>0</v>
      </c>
      <c r="AM148" s="208">
        <v>23974.0</v>
      </c>
      <c r="AN148" s="582">
        <f t="shared" si="4"/>
        <v>0.7376762615</v>
      </c>
      <c r="AO148" s="583">
        <v>0.0</v>
      </c>
      <c r="AP148" s="208">
        <v>48.0</v>
      </c>
      <c r="AQ148" s="208">
        <v>255.0</v>
      </c>
      <c r="AR148" s="208">
        <v>621.11</v>
      </c>
      <c r="AS148" s="208">
        <v>2.0</v>
      </c>
      <c r="AT148" s="208">
        <v>8.0</v>
      </c>
      <c r="AV148" s="124" t="str">
        <f t="shared" si="5"/>
        <v>Active</v>
      </c>
    </row>
    <row r="149">
      <c r="A149" s="124" t="s">
        <v>23</v>
      </c>
      <c r="B149" s="208" t="s">
        <v>30</v>
      </c>
      <c r="C149" s="208" t="s">
        <v>33</v>
      </c>
      <c r="D149" s="208" t="s">
        <v>1104</v>
      </c>
      <c r="E149" s="208" t="s">
        <v>34</v>
      </c>
      <c r="F149" s="580">
        <v>45568.0</v>
      </c>
      <c r="G149" s="208">
        <v>200000.0</v>
      </c>
      <c r="H149" s="208">
        <v>1200000.0</v>
      </c>
      <c r="I149" s="208">
        <v>940606.26</v>
      </c>
      <c r="J149" s="208">
        <v>0.0</v>
      </c>
      <c r="K149" s="208">
        <v>24.0</v>
      </c>
      <c r="L149" s="208">
        <v>22.0</v>
      </c>
      <c r="M149" s="208">
        <v>0.0</v>
      </c>
      <c r="N149" s="208">
        <v>24.0</v>
      </c>
      <c r="O149" s="208">
        <v>2.0</v>
      </c>
      <c r="P149" s="208">
        <v>940606.26</v>
      </c>
      <c r="Q149" s="208">
        <v>0.0</v>
      </c>
      <c r="R149" s="208">
        <v>16.0</v>
      </c>
      <c r="S149" s="208">
        <v>0.0</v>
      </c>
      <c r="T149" s="208">
        <v>16.0</v>
      </c>
      <c r="U149" s="208">
        <v>0.0</v>
      </c>
      <c r="V149" s="208">
        <v>22.0</v>
      </c>
      <c r="W149" s="208">
        <v>31.0</v>
      </c>
      <c r="X149" s="208">
        <v>130.0</v>
      </c>
      <c r="Y149" s="208">
        <v>2.0</v>
      </c>
      <c r="Z149" s="208">
        <v>10.0</v>
      </c>
      <c r="AA149" s="208">
        <v>4.0</v>
      </c>
      <c r="AB149" s="208">
        <v>20.0</v>
      </c>
      <c r="AC149" s="208">
        <v>0.0</v>
      </c>
      <c r="AD149" s="208">
        <v>0.0</v>
      </c>
      <c r="AE149" s="208">
        <v>61.0</v>
      </c>
      <c r="AF149" s="208">
        <v>122.0</v>
      </c>
      <c r="AG149" s="208">
        <v>27.0</v>
      </c>
      <c r="AH149" s="581">
        <f t="shared" si="1"/>
        <v>34837.26889</v>
      </c>
      <c r="AI149" s="581">
        <f t="shared" si="2"/>
        <v>4.518518519</v>
      </c>
      <c r="AJ149" s="124">
        <v>4.0</v>
      </c>
      <c r="AK149" s="208">
        <v>0.0</v>
      </c>
      <c r="AL149" s="582">
        <f t="shared" si="3"/>
        <v>0.000004252576418</v>
      </c>
      <c r="AM149" s="208">
        <v>58788.0</v>
      </c>
      <c r="AN149" s="582">
        <f t="shared" si="4"/>
        <v>0.6718616143</v>
      </c>
      <c r="AO149" s="583">
        <v>0.0</v>
      </c>
      <c r="AP149" s="208">
        <v>16.0</v>
      </c>
      <c r="AQ149" s="208">
        <v>222.0</v>
      </c>
      <c r="AR149" s="208">
        <v>1430.1</v>
      </c>
      <c r="AS149" s="208">
        <v>0.0</v>
      </c>
      <c r="AT149" s="208">
        <v>65.0</v>
      </c>
      <c r="AV149" s="124" t="str">
        <f t="shared" si="5"/>
        <v>Active</v>
      </c>
    </row>
    <row r="150">
      <c r="A150" s="124" t="s">
        <v>185</v>
      </c>
      <c r="B150" s="208" t="s">
        <v>1101</v>
      </c>
      <c r="C150" s="208" t="s">
        <v>857</v>
      </c>
      <c r="D150" s="208" t="s">
        <v>1101</v>
      </c>
      <c r="E150" s="208" t="s">
        <v>1105</v>
      </c>
      <c r="F150" s="580">
        <v>45569.0</v>
      </c>
      <c r="G150" s="208">
        <v>0.0</v>
      </c>
      <c r="H150" s="208">
        <v>0.0</v>
      </c>
      <c r="I150" s="208">
        <v>0.0</v>
      </c>
      <c r="J150" s="208">
        <v>0.0</v>
      </c>
      <c r="K150" s="208">
        <v>5.0</v>
      </c>
      <c r="L150" s="208">
        <v>2.0</v>
      </c>
      <c r="M150" s="208">
        <v>0.0</v>
      </c>
      <c r="N150" s="208">
        <v>5.0</v>
      </c>
      <c r="O150" s="208">
        <v>3.0</v>
      </c>
      <c r="P150" s="208">
        <v>0.0</v>
      </c>
      <c r="Q150" s="208">
        <v>0.0</v>
      </c>
      <c r="R150" s="208">
        <v>0.0</v>
      </c>
      <c r="S150" s="208">
        <v>0.0</v>
      </c>
      <c r="T150" s="208">
        <v>0.0</v>
      </c>
      <c r="U150" s="208">
        <v>0.0</v>
      </c>
      <c r="V150" s="208">
        <v>8.0</v>
      </c>
      <c r="W150" s="208">
        <v>9.0</v>
      </c>
      <c r="X150" s="208">
        <v>44.0</v>
      </c>
      <c r="Y150" s="208">
        <v>0.0</v>
      </c>
      <c r="Z150" s="208">
        <v>0.0</v>
      </c>
      <c r="AA150" s="208">
        <v>0.0</v>
      </c>
      <c r="AB150" s="208">
        <v>0.0</v>
      </c>
      <c r="AC150" s="208">
        <v>49.0</v>
      </c>
      <c r="AD150" s="208">
        <v>126.0</v>
      </c>
      <c r="AE150" s="208">
        <v>4.0</v>
      </c>
      <c r="AF150" s="208">
        <v>139.0</v>
      </c>
      <c r="AG150" s="208">
        <v>27.0</v>
      </c>
      <c r="AH150" s="581">
        <f t="shared" si="1"/>
        <v>0</v>
      </c>
      <c r="AI150" s="581">
        <f t="shared" si="2"/>
        <v>5.148148148</v>
      </c>
      <c r="AJ150" s="124">
        <v>0.0</v>
      </c>
      <c r="AK150" s="208">
        <v>0.0</v>
      </c>
      <c r="AL150" s="582" t="str">
        <f t="shared" si="3"/>
        <v/>
      </c>
      <c r="AM150" s="208">
        <v>0.0</v>
      </c>
      <c r="AN150" s="582" t="str">
        <f t="shared" si="4"/>
        <v/>
      </c>
      <c r="AO150" s="583">
        <v>0.0</v>
      </c>
      <c r="AP150" s="208">
        <v>0.0</v>
      </c>
      <c r="AQ150" s="208">
        <v>287.0</v>
      </c>
      <c r="AR150" s="208">
        <v>1994.98</v>
      </c>
      <c r="AS150" s="208">
        <v>0.0</v>
      </c>
      <c r="AT150" s="208">
        <v>997.0</v>
      </c>
      <c r="AV150" s="124" t="str">
        <f t="shared" si="5"/>
        <v>Active</v>
      </c>
    </row>
    <row r="151">
      <c r="A151" s="124" t="s">
        <v>185</v>
      </c>
      <c r="B151" s="208" t="s">
        <v>1101</v>
      </c>
      <c r="C151" s="208" t="s">
        <v>858</v>
      </c>
      <c r="D151" s="208" t="s">
        <v>1101</v>
      </c>
      <c r="E151" s="208" t="s">
        <v>1106</v>
      </c>
      <c r="F151" s="580">
        <v>45569.0</v>
      </c>
      <c r="G151" s="208">
        <v>0.0</v>
      </c>
      <c r="H151" s="208">
        <v>0.0</v>
      </c>
      <c r="I151" s="208">
        <v>0.0</v>
      </c>
      <c r="J151" s="208">
        <v>0.0</v>
      </c>
      <c r="K151" s="208">
        <v>2.0</v>
      </c>
      <c r="L151" s="208">
        <v>0.0</v>
      </c>
      <c r="M151" s="208">
        <v>0.0</v>
      </c>
      <c r="N151" s="208">
        <v>2.0</v>
      </c>
      <c r="O151" s="208">
        <v>2.0</v>
      </c>
      <c r="P151" s="208">
        <v>0.0</v>
      </c>
      <c r="Q151" s="208">
        <v>0.0</v>
      </c>
      <c r="R151" s="208">
        <v>0.0</v>
      </c>
      <c r="S151" s="208">
        <v>0.0</v>
      </c>
      <c r="T151" s="208">
        <v>0.0</v>
      </c>
      <c r="U151" s="208">
        <v>0.0</v>
      </c>
      <c r="V151" s="208">
        <v>0.0</v>
      </c>
      <c r="W151" s="208">
        <v>0.0</v>
      </c>
      <c r="X151" s="208">
        <v>50.0</v>
      </c>
      <c r="Y151" s="208">
        <v>0.0</v>
      </c>
      <c r="Z151" s="208">
        <v>0.0</v>
      </c>
      <c r="AA151" s="208">
        <v>1.0</v>
      </c>
      <c r="AB151" s="208">
        <v>2.0</v>
      </c>
      <c r="AC151" s="208">
        <v>54.0</v>
      </c>
      <c r="AD151" s="208">
        <v>67.0</v>
      </c>
      <c r="AE151" s="208">
        <v>0.0</v>
      </c>
      <c r="AF151" s="208">
        <v>69.0</v>
      </c>
      <c r="AG151" s="208">
        <v>17.0</v>
      </c>
      <c r="AH151" s="581">
        <f t="shared" si="1"/>
        <v>0</v>
      </c>
      <c r="AI151" s="581">
        <f t="shared" si="2"/>
        <v>4.058823529</v>
      </c>
      <c r="AJ151" s="124">
        <v>1.0</v>
      </c>
      <c r="AK151" s="208">
        <v>0.0</v>
      </c>
      <c r="AL151" s="582" t="str">
        <f t="shared" si="3"/>
        <v/>
      </c>
      <c r="AM151" s="208">
        <v>0.0</v>
      </c>
      <c r="AN151" s="582" t="str">
        <f t="shared" si="4"/>
        <v/>
      </c>
      <c r="AO151" s="583">
        <v>0.0</v>
      </c>
      <c r="AP151" s="208">
        <v>0.0</v>
      </c>
      <c r="AQ151" s="208">
        <v>193.0</v>
      </c>
      <c r="AR151" s="208">
        <v>2937.68</v>
      </c>
      <c r="AS151" s="208">
        <v>0.0</v>
      </c>
      <c r="AT151" s="208">
        <v>0.0</v>
      </c>
      <c r="AU151" s="584">
        <v>45856.0</v>
      </c>
      <c r="AV151" s="124" t="str">
        <f t="shared" si="5"/>
        <v>Left</v>
      </c>
    </row>
    <row r="152">
      <c r="A152" s="124" t="s">
        <v>126</v>
      </c>
      <c r="B152" s="208" t="s">
        <v>130</v>
      </c>
      <c r="C152" s="208" t="s">
        <v>169</v>
      </c>
      <c r="D152" s="208" t="s">
        <v>130</v>
      </c>
      <c r="E152" s="208" t="s">
        <v>151</v>
      </c>
      <c r="F152" s="580">
        <v>45600.0</v>
      </c>
      <c r="G152" s="208">
        <v>0.0</v>
      </c>
      <c r="H152" s="208">
        <v>2083333.0</v>
      </c>
      <c r="I152" s="208">
        <v>3957570.92</v>
      </c>
      <c r="J152" s="208">
        <v>0.0</v>
      </c>
      <c r="K152" s="208">
        <v>112.0</v>
      </c>
      <c r="L152" s="208">
        <v>62.0</v>
      </c>
      <c r="M152" s="208">
        <v>4.0</v>
      </c>
      <c r="N152" s="208">
        <v>116.0</v>
      </c>
      <c r="O152" s="208">
        <v>54.0</v>
      </c>
      <c r="P152" s="208">
        <v>3935340.92</v>
      </c>
      <c r="Q152" s="208">
        <v>22230.0</v>
      </c>
      <c r="R152" s="208">
        <v>28.0</v>
      </c>
      <c r="S152" s="208">
        <v>1.0</v>
      </c>
      <c r="T152" s="208">
        <v>29.0</v>
      </c>
      <c r="U152" s="208">
        <v>0.0</v>
      </c>
      <c r="V152" s="208">
        <v>5.0</v>
      </c>
      <c r="W152" s="208">
        <v>5.0</v>
      </c>
      <c r="X152" s="208">
        <v>69.0</v>
      </c>
      <c r="Y152" s="208">
        <v>2.0</v>
      </c>
      <c r="Z152" s="208">
        <v>9.0</v>
      </c>
      <c r="AA152" s="208">
        <v>0.0</v>
      </c>
      <c r="AB152" s="208">
        <v>0.0</v>
      </c>
      <c r="AC152" s="208">
        <v>0.0</v>
      </c>
      <c r="AD152" s="208">
        <v>0.0</v>
      </c>
      <c r="AE152" s="208">
        <v>105.0</v>
      </c>
      <c r="AF152" s="208">
        <v>119.0</v>
      </c>
      <c r="AG152" s="208">
        <v>27.0</v>
      </c>
      <c r="AH152" s="581">
        <f t="shared" si="1"/>
        <v>146576.7007</v>
      </c>
      <c r="AI152" s="581">
        <f t="shared" si="2"/>
        <v>4.407407407</v>
      </c>
      <c r="AJ152" s="588">
        <v>0.0</v>
      </c>
      <c r="AK152" s="208">
        <v>0.0</v>
      </c>
      <c r="AL152" s="582">
        <f t="shared" si="3"/>
        <v>0</v>
      </c>
      <c r="AM152" s="208">
        <v>136468.0</v>
      </c>
      <c r="AN152" s="582">
        <f t="shared" si="4"/>
        <v>1.899634346</v>
      </c>
      <c r="AO152" s="583">
        <v>0.0</v>
      </c>
      <c r="AP152" s="208">
        <v>35.0</v>
      </c>
      <c r="AQ152" s="208">
        <v>227.0</v>
      </c>
      <c r="AR152" s="208">
        <v>1538.97</v>
      </c>
      <c r="AS152" s="208">
        <v>1.0</v>
      </c>
      <c r="AT152" s="208">
        <v>25.0</v>
      </c>
      <c r="AV152" s="124" t="str">
        <f t="shared" si="5"/>
        <v>Active</v>
      </c>
    </row>
    <row r="153">
      <c r="A153" s="124" t="s">
        <v>126</v>
      </c>
      <c r="B153" s="208" t="s">
        <v>130</v>
      </c>
      <c r="C153" s="208" t="s">
        <v>170</v>
      </c>
      <c r="D153" s="208" t="s">
        <v>130</v>
      </c>
      <c r="E153" s="208" t="s">
        <v>151</v>
      </c>
      <c r="F153" s="580">
        <v>45607.0</v>
      </c>
      <c r="G153" s="208">
        <v>0.0</v>
      </c>
      <c r="H153" s="208">
        <v>1833333.0</v>
      </c>
      <c r="I153" s="208">
        <v>649111.86</v>
      </c>
      <c r="J153" s="208">
        <v>0.0</v>
      </c>
      <c r="K153" s="208">
        <v>97.0</v>
      </c>
      <c r="L153" s="208">
        <v>72.0</v>
      </c>
      <c r="M153" s="208">
        <v>7.0</v>
      </c>
      <c r="N153" s="208">
        <v>104.0</v>
      </c>
      <c r="O153" s="208">
        <v>32.0</v>
      </c>
      <c r="P153" s="208">
        <v>496308.78</v>
      </c>
      <c r="Q153" s="208">
        <v>152803.08</v>
      </c>
      <c r="R153" s="208">
        <v>10.0</v>
      </c>
      <c r="S153" s="208">
        <v>5.0</v>
      </c>
      <c r="T153" s="208">
        <v>15.0</v>
      </c>
      <c r="U153" s="208">
        <v>0.0</v>
      </c>
      <c r="V153" s="208">
        <v>22.0</v>
      </c>
      <c r="W153" s="208">
        <v>27.0</v>
      </c>
      <c r="X153" s="208">
        <v>111.0</v>
      </c>
      <c r="Y153" s="208">
        <v>2.0</v>
      </c>
      <c r="Z153" s="208">
        <v>14.0</v>
      </c>
      <c r="AA153" s="208">
        <v>0.0</v>
      </c>
      <c r="AB153" s="208">
        <v>0.0</v>
      </c>
      <c r="AC153" s="208">
        <v>0.0</v>
      </c>
      <c r="AD153" s="208">
        <v>0.0</v>
      </c>
      <c r="AE153" s="208">
        <v>131.0</v>
      </c>
      <c r="AF153" s="208">
        <v>172.0</v>
      </c>
      <c r="AG153" s="208">
        <v>27.0</v>
      </c>
      <c r="AH153" s="581">
        <f t="shared" si="1"/>
        <v>24041.18</v>
      </c>
      <c r="AI153" s="581">
        <f t="shared" si="2"/>
        <v>6.37037037</v>
      </c>
      <c r="AJ153" s="588">
        <v>0.0</v>
      </c>
      <c r="AK153" s="208">
        <v>0.0</v>
      </c>
      <c r="AL153" s="582">
        <f t="shared" si="3"/>
        <v>0</v>
      </c>
      <c r="AM153" s="208">
        <v>43274.0</v>
      </c>
      <c r="AN153" s="582">
        <f t="shared" si="4"/>
        <v>0.3540610789</v>
      </c>
      <c r="AO153" s="583">
        <v>0.0</v>
      </c>
      <c r="AP153" s="208">
        <v>22.0</v>
      </c>
      <c r="AQ153" s="208">
        <v>240.0</v>
      </c>
      <c r="AR153" s="208">
        <v>1135.97</v>
      </c>
      <c r="AS153" s="208">
        <v>5.0</v>
      </c>
      <c r="AT153" s="208">
        <v>16.0</v>
      </c>
      <c r="AV153" s="124" t="str">
        <f t="shared" si="5"/>
        <v>Active</v>
      </c>
    </row>
    <row r="154">
      <c r="A154" s="124" t="s">
        <v>185</v>
      </c>
      <c r="B154" s="208" t="s">
        <v>189</v>
      </c>
      <c r="C154" s="208" t="s">
        <v>418</v>
      </c>
      <c r="D154" s="208" t="s">
        <v>1108</v>
      </c>
      <c r="E154" s="208" t="s">
        <v>419</v>
      </c>
      <c r="F154" s="580">
        <v>45614.0</v>
      </c>
      <c r="G154" s="208">
        <v>0.0</v>
      </c>
      <c r="H154" s="208">
        <v>0.0</v>
      </c>
      <c r="I154" s="208">
        <v>341949.91</v>
      </c>
      <c r="J154" s="208">
        <v>0.0</v>
      </c>
      <c r="K154" s="208">
        <v>65.0</v>
      </c>
      <c r="L154" s="208">
        <v>41.0</v>
      </c>
      <c r="M154" s="208">
        <v>4.0</v>
      </c>
      <c r="N154" s="208">
        <v>69.0</v>
      </c>
      <c r="O154" s="208">
        <v>28.0</v>
      </c>
      <c r="P154" s="208">
        <v>251135.12</v>
      </c>
      <c r="Q154" s="208">
        <v>90814.79</v>
      </c>
      <c r="R154" s="208">
        <v>16.0</v>
      </c>
      <c r="S154" s="208">
        <v>4.0</v>
      </c>
      <c r="T154" s="208">
        <v>20.0</v>
      </c>
      <c r="U154" s="208">
        <v>0.0</v>
      </c>
      <c r="V154" s="208">
        <v>17.0</v>
      </c>
      <c r="W154" s="208">
        <v>18.0</v>
      </c>
      <c r="X154" s="208">
        <v>86.0</v>
      </c>
      <c r="Y154" s="208">
        <v>1.0</v>
      </c>
      <c r="Z154" s="208">
        <v>18.0</v>
      </c>
      <c r="AA154" s="208">
        <v>0.0</v>
      </c>
      <c r="AB154" s="208">
        <v>0.0</v>
      </c>
      <c r="AC154" s="208">
        <v>2.0</v>
      </c>
      <c r="AD154" s="208">
        <v>4.0</v>
      </c>
      <c r="AE154" s="208">
        <v>96.0</v>
      </c>
      <c r="AF154" s="208">
        <v>136.0</v>
      </c>
      <c r="AG154" s="208">
        <v>26.0</v>
      </c>
      <c r="AH154" s="581">
        <f t="shared" si="1"/>
        <v>13151.91962</v>
      </c>
      <c r="AI154" s="581">
        <f t="shared" si="2"/>
        <v>5.230769231</v>
      </c>
      <c r="AJ154" s="124">
        <v>0.0</v>
      </c>
      <c r="AK154" s="208">
        <v>0.0</v>
      </c>
      <c r="AL154" s="582">
        <f t="shared" si="3"/>
        <v>0</v>
      </c>
      <c r="AM154" s="208">
        <v>17097.0</v>
      </c>
      <c r="AN154" s="582" t="str">
        <f t="shared" si="4"/>
        <v/>
      </c>
      <c r="AO154" s="583">
        <v>0.0</v>
      </c>
      <c r="AP154" s="208">
        <v>26.0</v>
      </c>
      <c r="AQ154" s="208">
        <v>259.0</v>
      </c>
      <c r="AR154" s="208">
        <v>1092.38</v>
      </c>
      <c r="AS154" s="208">
        <v>4.0</v>
      </c>
      <c r="AT154" s="208">
        <v>27.0</v>
      </c>
      <c r="AV154" s="124" t="str">
        <f t="shared" si="5"/>
        <v>Active</v>
      </c>
    </row>
    <row r="155">
      <c r="A155" s="124" t="s">
        <v>111</v>
      </c>
      <c r="B155" s="208" t="s">
        <v>1228</v>
      </c>
      <c r="C155" s="208" t="s">
        <v>124</v>
      </c>
      <c r="D155" s="208" t="s">
        <v>1051</v>
      </c>
      <c r="E155" s="208" t="s">
        <v>125</v>
      </c>
      <c r="F155" s="580">
        <v>45636.0</v>
      </c>
      <c r="G155" s="208">
        <v>0.0</v>
      </c>
      <c r="H155" s="208">
        <v>2125000.0</v>
      </c>
      <c r="I155" s="208">
        <v>891662.08</v>
      </c>
      <c r="J155" s="208">
        <v>0.0</v>
      </c>
      <c r="K155" s="208">
        <v>122.0</v>
      </c>
      <c r="L155" s="208">
        <v>66.0</v>
      </c>
      <c r="M155" s="208">
        <v>12.0</v>
      </c>
      <c r="N155" s="208">
        <v>134.0</v>
      </c>
      <c r="O155" s="208">
        <v>68.0</v>
      </c>
      <c r="P155" s="208">
        <v>562999.93</v>
      </c>
      <c r="Q155" s="208">
        <v>328662.15</v>
      </c>
      <c r="R155" s="208">
        <v>15.0</v>
      </c>
      <c r="S155" s="208">
        <v>12.0</v>
      </c>
      <c r="T155" s="208">
        <v>27.0</v>
      </c>
      <c r="U155" s="208">
        <v>0.0</v>
      </c>
      <c r="V155" s="208">
        <v>54.0</v>
      </c>
      <c r="W155" s="208">
        <v>64.0</v>
      </c>
      <c r="X155" s="208">
        <v>231.0</v>
      </c>
      <c r="Y155" s="208">
        <v>1.0</v>
      </c>
      <c r="Z155" s="208">
        <v>2.0</v>
      </c>
      <c r="AA155" s="208">
        <v>1.0</v>
      </c>
      <c r="AB155" s="208">
        <v>1.0</v>
      </c>
      <c r="AC155" s="208">
        <v>0.0</v>
      </c>
      <c r="AD155" s="208">
        <v>0.0</v>
      </c>
      <c r="AE155" s="208">
        <v>84.0</v>
      </c>
      <c r="AF155" s="208">
        <v>151.0</v>
      </c>
      <c r="AG155" s="208">
        <v>15.0</v>
      </c>
      <c r="AH155" s="581">
        <f t="shared" si="1"/>
        <v>59444.13867</v>
      </c>
      <c r="AI155" s="581">
        <f t="shared" si="2"/>
        <v>10.06666667</v>
      </c>
      <c r="AJ155" s="124">
        <v>1.0</v>
      </c>
      <c r="AK155" s="208">
        <v>0.0</v>
      </c>
      <c r="AL155" s="582">
        <f t="shared" si="3"/>
        <v>0.000001121501096</v>
      </c>
      <c r="AM155" s="208">
        <v>33025.0</v>
      </c>
      <c r="AN155" s="582">
        <f t="shared" si="4"/>
        <v>0.4196056847</v>
      </c>
      <c r="AO155" s="583">
        <v>0.0</v>
      </c>
      <c r="AP155" s="208">
        <v>28.0</v>
      </c>
      <c r="AQ155" s="208">
        <v>181.0</v>
      </c>
      <c r="AR155" s="208">
        <v>1677.14</v>
      </c>
      <c r="AS155" s="208">
        <v>12.0</v>
      </c>
      <c r="AT155" s="208">
        <v>25.0</v>
      </c>
      <c r="AV155" s="124" t="str">
        <f t="shared" si="5"/>
        <v>Active</v>
      </c>
    </row>
    <row r="156">
      <c r="A156" s="124" t="s">
        <v>185</v>
      </c>
      <c r="B156" s="208" t="s">
        <v>85</v>
      </c>
      <c r="C156" s="208" t="s">
        <v>90</v>
      </c>
      <c r="D156" s="208" t="s">
        <v>1058</v>
      </c>
      <c r="E156" s="208" t="s">
        <v>91</v>
      </c>
      <c r="F156" s="580">
        <v>45635.0</v>
      </c>
      <c r="G156" s="208">
        <v>0.0</v>
      </c>
      <c r="H156" s="208">
        <v>1250000.0</v>
      </c>
      <c r="I156" s="208">
        <v>1035527.9</v>
      </c>
      <c r="J156" s="208">
        <v>0.0</v>
      </c>
      <c r="K156" s="208">
        <v>86.0</v>
      </c>
      <c r="L156" s="208">
        <v>71.0</v>
      </c>
      <c r="M156" s="208">
        <v>10.0</v>
      </c>
      <c r="N156" s="208">
        <v>96.0</v>
      </c>
      <c r="O156" s="208">
        <v>25.0</v>
      </c>
      <c r="P156" s="208">
        <v>879418.1</v>
      </c>
      <c r="Q156" s="208">
        <v>156109.8</v>
      </c>
      <c r="R156" s="208">
        <v>26.0</v>
      </c>
      <c r="S156" s="208">
        <v>10.0</v>
      </c>
      <c r="T156" s="208">
        <v>36.0</v>
      </c>
      <c r="U156" s="208">
        <v>0.0</v>
      </c>
      <c r="V156" s="208">
        <v>23.0</v>
      </c>
      <c r="W156" s="208">
        <v>27.0</v>
      </c>
      <c r="X156" s="208">
        <v>57.0</v>
      </c>
      <c r="Y156" s="208">
        <v>3.0</v>
      </c>
      <c r="Z156" s="208">
        <v>18.0</v>
      </c>
      <c r="AA156" s="208">
        <v>0.0</v>
      </c>
      <c r="AB156" s="208">
        <v>0.0</v>
      </c>
      <c r="AC156" s="208">
        <v>1.0</v>
      </c>
      <c r="AD156" s="208">
        <v>2.0</v>
      </c>
      <c r="AE156" s="208">
        <v>166.0</v>
      </c>
      <c r="AF156" s="208">
        <v>213.0</v>
      </c>
      <c r="AG156" s="208">
        <v>26.0</v>
      </c>
      <c r="AH156" s="581">
        <f t="shared" si="1"/>
        <v>39827.99615</v>
      </c>
      <c r="AI156" s="581">
        <f t="shared" si="2"/>
        <v>8.192307692</v>
      </c>
      <c r="AJ156" s="124">
        <v>3.0</v>
      </c>
      <c r="AK156" s="208">
        <v>0.0</v>
      </c>
      <c r="AL156" s="582">
        <f t="shared" si="3"/>
        <v>0.000002897073077</v>
      </c>
      <c r="AM156" s="208">
        <v>28765.0</v>
      </c>
      <c r="AN156" s="582">
        <f t="shared" si="4"/>
        <v>0.82842232</v>
      </c>
      <c r="AO156" s="583">
        <v>0.0</v>
      </c>
      <c r="AP156" s="208">
        <v>54.0</v>
      </c>
      <c r="AQ156" s="208">
        <v>303.0</v>
      </c>
      <c r="AR156" s="208">
        <v>2004.68</v>
      </c>
      <c r="AS156" s="208">
        <v>10.0</v>
      </c>
      <c r="AT156" s="208">
        <v>28.0</v>
      </c>
      <c r="AV156" s="124" t="str">
        <f t="shared" si="5"/>
        <v>Active</v>
      </c>
    </row>
    <row r="157">
      <c r="A157" s="124" t="s">
        <v>126</v>
      </c>
      <c r="B157" s="208" t="s">
        <v>130</v>
      </c>
      <c r="C157" s="208" t="s">
        <v>446</v>
      </c>
      <c r="D157" s="208" t="s">
        <v>130</v>
      </c>
      <c r="E157" s="208" t="s">
        <v>129</v>
      </c>
      <c r="F157" s="580">
        <v>45639.0</v>
      </c>
      <c r="G157" s="208">
        <v>0.0</v>
      </c>
      <c r="H157" s="208">
        <v>1791667.0</v>
      </c>
      <c r="I157" s="208">
        <v>1210495.09</v>
      </c>
      <c r="J157" s="208">
        <v>0.0</v>
      </c>
      <c r="K157" s="208">
        <v>51.0</v>
      </c>
      <c r="L157" s="208">
        <v>36.0</v>
      </c>
      <c r="M157" s="208">
        <v>6.0</v>
      </c>
      <c r="N157" s="208">
        <v>57.0</v>
      </c>
      <c r="O157" s="208">
        <v>21.0</v>
      </c>
      <c r="P157" s="208">
        <v>1093199.77</v>
      </c>
      <c r="Q157" s="208">
        <v>117295.32</v>
      </c>
      <c r="R157" s="208">
        <v>15.0</v>
      </c>
      <c r="S157" s="208">
        <v>6.0</v>
      </c>
      <c r="T157" s="208">
        <v>21.0</v>
      </c>
      <c r="U157" s="208">
        <v>0.0</v>
      </c>
      <c r="V157" s="208">
        <v>32.0</v>
      </c>
      <c r="W157" s="208">
        <v>43.0</v>
      </c>
      <c r="X157" s="208">
        <v>86.0</v>
      </c>
      <c r="Y157" s="208">
        <v>4.0</v>
      </c>
      <c r="Z157" s="208">
        <v>24.0</v>
      </c>
      <c r="AA157" s="208">
        <v>0.0</v>
      </c>
      <c r="AB157" s="208">
        <v>0.0</v>
      </c>
      <c r="AC157" s="208">
        <v>0.0</v>
      </c>
      <c r="AD157" s="208">
        <v>0.0</v>
      </c>
      <c r="AE157" s="208">
        <v>73.0</v>
      </c>
      <c r="AF157" s="208">
        <v>140.0</v>
      </c>
      <c r="AG157" s="208">
        <v>25.0</v>
      </c>
      <c r="AH157" s="581">
        <f t="shared" si="1"/>
        <v>48419.8036</v>
      </c>
      <c r="AI157" s="581">
        <f t="shared" si="2"/>
        <v>5.6</v>
      </c>
      <c r="AJ157" s="124">
        <v>0.0</v>
      </c>
      <c r="AK157" s="208">
        <v>0.0</v>
      </c>
      <c r="AL157" s="582">
        <f t="shared" si="3"/>
        <v>0</v>
      </c>
      <c r="AM157" s="208">
        <v>57643.0</v>
      </c>
      <c r="AN157" s="582">
        <f t="shared" si="4"/>
        <v>0.6756250408</v>
      </c>
      <c r="AO157" s="583">
        <v>0.0</v>
      </c>
      <c r="AP157" s="208">
        <v>23.0</v>
      </c>
      <c r="AQ157" s="208">
        <v>206.0</v>
      </c>
      <c r="AR157" s="208">
        <v>1094.23</v>
      </c>
      <c r="AS157" s="208">
        <v>6.0</v>
      </c>
      <c r="AT157" s="208">
        <v>30.0</v>
      </c>
      <c r="AV157" s="124" t="str">
        <f t="shared" si="5"/>
        <v>Active</v>
      </c>
    </row>
    <row r="158">
      <c r="A158" s="124" t="s">
        <v>185</v>
      </c>
      <c r="B158" s="208" t="s">
        <v>189</v>
      </c>
      <c r="C158" s="208" t="s">
        <v>275</v>
      </c>
      <c r="D158" s="208" t="s">
        <v>1016</v>
      </c>
      <c r="E158" s="208" t="s">
        <v>276</v>
      </c>
      <c r="F158" s="580">
        <v>45637.0</v>
      </c>
      <c r="G158" s="208">
        <v>0.0</v>
      </c>
      <c r="H158" s="208">
        <v>4250000.0</v>
      </c>
      <c r="I158" s="208">
        <v>2953566.07</v>
      </c>
      <c r="J158" s="208">
        <v>0.0</v>
      </c>
      <c r="K158" s="208">
        <v>84.0</v>
      </c>
      <c r="L158" s="208">
        <v>71.0</v>
      </c>
      <c r="M158" s="208">
        <v>3.0</v>
      </c>
      <c r="N158" s="208">
        <v>87.0</v>
      </c>
      <c r="O158" s="208">
        <v>16.0</v>
      </c>
      <c r="P158" s="208">
        <v>2683247.78</v>
      </c>
      <c r="Q158" s="208">
        <v>270318.29</v>
      </c>
      <c r="R158" s="208">
        <v>26.0</v>
      </c>
      <c r="S158" s="208">
        <v>3.0</v>
      </c>
      <c r="T158" s="208">
        <v>29.0</v>
      </c>
      <c r="U158" s="208">
        <v>0.0</v>
      </c>
      <c r="V158" s="208">
        <v>2.0</v>
      </c>
      <c r="W158" s="208">
        <v>2.0</v>
      </c>
      <c r="X158" s="208">
        <v>34.0</v>
      </c>
      <c r="Y158" s="208">
        <v>1.0</v>
      </c>
      <c r="Z158" s="208">
        <v>3.0</v>
      </c>
      <c r="AA158" s="208">
        <v>0.0</v>
      </c>
      <c r="AB158" s="208">
        <v>0.0</v>
      </c>
      <c r="AC158" s="208">
        <v>0.0</v>
      </c>
      <c r="AD158" s="208">
        <v>0.0</v>
      </c>
      <c r="AE158" s="208">
        <v>153.0</v>
      </c>
      <c r="AF158" s="208">
        <v>158.0</v>
      </c>
      <c r="AG158" s="208">
        <v>27.0</v>
      </c>
      <c r="AH158" s="581">
        <f t="shared" si="1"/>
        <v>109391.3359</v>
      </c>
      <c r="AI158" s="581">
        <f t="shared" si="2"/>
        <v>5.851851852</v>
      </c>
      <c r="AJ158" s="124">
        <v>0.0</v>
      </c>
      <c r="AK158" s="208">
        <v>0.0</v>
      </c>
      <c r="AL158" s="582">
        <f t="shared" si="3"/>
        <v>0</v>
      </c>
      <c r="AM158" s="208">
        <v>101847.0</v>
      </c>
      <c r="AN158" s="582">
        <f t="shared" si="4"/>
        <v>0.6949567224</v>
      </c>
      <c r="AO158" s="583">
        <v>0.0</v>
      </c>
      <c r="AP158" s="208">
        <v>32.0</v>
      </c>
      <c r="AQ158" s="208">
        <v>289.0</v>
      </c>
      <c r="AR158" s="208">
        <v>2090.67</v>
      </c>
      <c r="AS158" s="208">
        <v>3.0</v>
      </c>
      <c r="AT158" s="208">
        <v>29.0</v>
      </c>
      <c r="AV158" s="124" t="str">
        <f t="shared" si="5"/>
        <v>Active</v>
      </c>
    </row>
    <row r="159">
      <c r="A159" s="124" t="s">
        <v>185</v>
      </c>
      <c r="B159" s="208" t="s">
        <v>215</v>
      </c>
      <c r="C159" s="208" t="s">
        <v>277</v>
      </c>
      <c r="D159" s="208" t="s">
        <v>1064</v>
      </c>
      <c r="E159" s="208" t="s">
        <v>278</v>
      </c>
      <c r="F159" s="580">
        <v>45639.0</v>
      </c>
      <c r="G159" s="208">
        <v>0.0</v>
      </c>
      <c r="H159" s="208">
        <v>2000000.0</v>
      </c>
      <c r="I159" s="208">
        <v>1477211.67</v>
      </c>
      <c r="J159" s="208">
        <v>0.0</v>
      </c>
      <c r="K159" s="208">
        <v>90.0</v>
      </c>
      <c r="L159" s="208">
        <v>54.0</v>
      </c>
      <c r="M159" s="208">
        <v>3.0</v>
      </c>
      <c r="N159" s="208">
        <v>93.0</v>
      </c>
      <c r="O159" s="208">
        <v>39.0</v>
      </c>
      <c r="P159" s="208">
        <v>1405889.47</v>
      </c>
      <c r="Q159" s="208">
        <v>71322.2</v>
      </c>
      <c r="R159" s="208">
        <v>21.0</v>
      </c>
      <c r="S159" s="208">
        <v>2.0</v>
      </c>
      <c r="T159" s="208">
        <v>23.0</v>
      </c>
      <c r="U159" s="208">
        <v>0.0</v>
      </c>
      <c r="V159" s="208">
        <v>30.0</v>
      </c>
      <c r="W159" s="208">
        <v>38.0</v>
      </c>
      <c r="X159" s="208">
        <v>149.0</v>
      </c>
      <c r="Y159" s="208">
        <v>1.0</v>
      </c>
      <c r="Z159" s="208">
        <v>7.0</v>
      </c>
      <c r="AA159" s="208">
        <v>0.0</v>
      </c>
      <c r="AB159" s="208">
        <v>0.0</v>
      </c>
      <c r="AC159" s="208">
        <v>0.0</v>
      </c>
      <c r="AD159" s="208">
        <v>0.0</v>
      </c>
      <c r="AE159" s="208">
        <v>94.0</v>
      </c>
      <c r="AF159" s="208">
        <v>139.0</v>
      </c>
      <c r="AG159" s="208">
        <v>26.0</v>
      </c>
      <c r="AH159" s="581">
        <f t="shared" si="1"/>
        <v>56815.83346</v>
      </c>
      <c r="AI159" s="581">
        <f t="shared" si="2"/>
        <v>5.346153846</v>
      </c>
      <c r="AJ159" s="124">
        <v>0.0</v>
      </c>
      <c r="AK159" s="208">
        <v>0.0</v>
      </c>
      <c r="AL159" s="582">
        <f t="shared" si="3"/>
        <v>0</v>
      </c>
      <c r="AM159" s="208">
        <v>64227.0</v>
      </c>
      <c r="AN159" s="582">
        <f t="shared" si="4"/>
        <v>0.738605835</v>
      </c>
      <c r="AO159" s="583">
        <v>0.0</v>
      </c>
      <c r="AP159" s="208">
        <v>25.0</v>
      </c>
      <c r="AQ159" s="208">
        <v>247.0</v>
      </c>
      <c r="AR159" s="208">
        <v>1512.76</v>
      </c>
      <c r="AS159" s="208">
        <v>2.0</v>
      </c>
      <c r="AT159" s="208">
        <v>28.0</v>
      </c>
      <c r="AV159" s="124" t="str">
        <f t="shared" si="5"/>
        <v>Active</v>
      </c>
    </row>
    <row r="160">
      <c r="A160" s="124" t="s">
        <v>185</v>
      </c>
      <c r="B160" s="208" t="s">
        <v>212</v>
      </c>
      <c r="C160" s="208" t="s">
        <v>279</v>
      </c>
      <c r="D160" s="208" t="s">
        <v>1031</v>
      </c>
      <c r="E160" s="208" t="s">
        <v>280</v>
      </c>
      <c r="F160" s="580">
        <v>45640.0</v>
      </c>
      <c r="G160" s="208">
        <v>0.0</v>
      </c>
      <c r="H160" s="208">
        <v>1500000.0</v>
      </c>
      <c r="I160" s="208">
        <v>1431228.71</v>
      </c>
      <c r="J160" s="208">
        <v>0.0</v>
      </c>
      <c r="K160" s="208">
        <v>20.0</v>
      </c>
      <c r="L160" s="208">
        <v>21.0</v>
      </c>
      <c r="M160" s="208">
        <v>1.0</v>
      </c>
      <c r="N160" s="208">
        <v>21.0</v>
      </c>
      <c r="O160" s="208">
        <v>0.0</v>
      </c>
      <c r="P160" s="208">
        <v>1425978.96</v>
      </c>
      <c r="Q160" s="208">
        <v>5249.75</v>
      </c>
      <c r="R160" s="208">
        <v>10.0</v>
      </c>
      <c r="S160" s="208">
        <v>1.0</v>
      </c>
      <c r="T160" s="208">
        <v>11.0</v>
      </c>
      <c r="U160" s="208">
        <v>0.0</v>
      </c>
      <c r="V160" s="208">
        <v>29.0</v>
      </c>
      <c r="W160" s="208">
        <v>34.0</v>
      </c>
      <c r="X160" s="208">
        <v>71.0</v>
      </c>
      <c r="Y160" s="208">
        <v>1.0</v>
      </c>
      <c r="Z160" s="208">
        <v>4.0</v>
      </c>
      <c r="AA160" s="208">
        <v>0.0</v>
      </c>
      <c r="AB160" s="208">
        <v>0.0</v>
      </c>
      <c r="AC160" s="208">
        <v>0.0</v>
      </c>
      <c r="AD160" s="208">
        <v>0.0</v>
      </c>
      <c r="AE160" s="208">
        <v>48.0</v>
      </c>
      <c r="AF160" s="208">
        <v>86.0</v>
      </c>
      <c r="AG160" s="208">
        <v>23.0</v>
      </c>
      <c r="AH160" s="581">
        <f t="shared" si="1"/>
        <v>62227.33522</v>
      </c>
      <c r="AI160" s="581">
        <f t="shared" si="2"/>
        <v>3.739130435</v>
      </c>
      <c r="AJ160" s="124">
        <v>0.0</v>
      </c>
      <c r="AK160" s="208">
        <v>0.0</v>
      </c>
      <c r="AL160" s="582">
        <f t="shared" si="3"/>
        <v>0</v>
      </c>
      <c r="AM160" s="208">
        <v>130112.0</v>
      </c>
      <c r="AN160" s="582">
        <f t="shared" si="4"/>
        <v>0.9541524733</v>
      </c>
      <c r="AO160" s="583">
        <v>0.0</v>
      </c>
      <c r="AP160" s="208">
        <v>25.0</v>
      </c>
      <c r="AQ160" s="208">
        <v>272.0</v>
      </c>
      <c r="AR160" s="208">
        <v>1351.67</v>
      </c>
      <c r="AS160" s="208">
        <v>1.0</v>
      </c>
      <c r="AT160" s="208">
        <v>64.0</v>
      </c>
      <c r="AV160" s="124" t="str">
        <f t="shared" si="5"/>
        <v>Active</v>
      </c>
    </row>
    <row r="161">
      <c r="A161" s="124" t="s">
        <v>185</v>
      </c>
      <c r="B161" s="208" t="s">
        <v>85</v>
      </c>
      <c r="C161" s="208" t="s">
        <v>388</v>
      </c>
      <c r="D161" s="208" t="s">
        <v>1058</v>
      </c>
      <c r="E161" s="208" t="s">
        <v>389</v>
      </c>
      <c r="F161" s="580">
        <v>45646.0</v>
      </c>
      <c r="G161" s="208">
        <v>0.0</v>
      </c>
      <c r="H161" s="208">
        <v>0.0</v>
      </c>
      <c r="I161" s="208">
        <v>0.0</v>
      </c>
      <c r="J161" s="208">
        <v>0.0</v>
      </c>
      <c r="K161" s="208">
        <v>30.0</v>
      </c>
      <c r="L161" s="208">
        <v>0.0</v>
      </c>
      <c r="M161" s="208">
        <v>1.0</v>
      </c>
      <c r="N161" s="208">
        <v>31.0</v>
      </c>
      <c r="O161" s="208">
        <v>31.0</v>
      </c>
      <c r="P161" s="208">
        <v>0.0</v>
      </c>
      <c r="Q161" s="208">
        <v>0.0</v>
      </c>
      <c r="R161" s="208">
        <v>0.0</v>
      </c>
      <c r="S161" s="208">
        <v>0.0</v>
      </c>
      <c r="T161" s="208">
        <v>0.0</v>
      </c>
      <c r="U161" s="208">
        <v>0.0</v>
      </c>
      <c r="V161" s="208">
        <v>0.0</v>
      </c>
      <c r="W161" s="208">
        <v>0.0</v>
      </c>
      <c r="X161" s="208">
        <v>97.0</v>
      </c>
      <c r="Y161" s="208">
        <v>0.0</v>
      </c>
      <c r="Z161" s="208">
        <v>0.0</v>
      </c>
      <c r="AA161" s="208">
        <v>0.0</v>
      </c>
      <c r="AB161" s="208">
        <v>0.0</v>
      </c>
      <c r="AC161" s="208">
        <v>0.0</v>
      </c>
      <c r="AD161" s="208">
        <v>0.0</v>
      </c>
      <c r="AE161" s="208">
        <v>0.0</v>
      </c>
      <c r="AF161" s="208">
        <v>0.0</v>
      </c>
      <c r="AG161" s="208">
        <v>0.0</v>
      </c>
      <c r="AH161" s="581" t="str">
        <f t="shared" si="1"/>
        <v/>
      </c>
      <c r="AI161" s="581" t="str">
        <f t="shared" si="2"/>
        <v/>
      </c>
      <c r="AJ161" s="124">
        <v>0.0</v>
      </c>
      <c r="AK161" s="208">
        <v>0.0</v>
      </c>
      <c r="AL161" s="582" t="str">
        <f t="shared" si="3"/>
        <v/>
      </c>
      <c r="AM161" s="208">
        <v>0.0</v>
      </c>
      <c r="AN161" s="582" t="str">
        <f t="shared" si="4"/>
        <v/>
      </c>
      <c r="AO161" s="583">
        <v>0.0</v>
      </c>
      <c r="AP161" s="208">
        <v>0.0</v>
      </c>
      <c r="AQ161" s="208">
        <v>0.0</v>
      </c>
      <c r="AR161" s="208">
        <v>0.0</v>
      </c>
      <c r="AS161" s="208">
        <v>0.0</v>
      </c>
      <c r="AT161" s="208">
        <v>0.0</v>
      </c>
      <c r="AU161" s="584">
        <v>45762.0</v>
      </c>
      <c r="AV161" s="124" t="str">
        <f t="shared" si="5"/>
        <v>Left</v>
      </c>
    </row>
    <row r="162">
      <c r="A162" s="124" t="s">
        <v>298</v>
      </c>
      <c r="B162" s="208" t="s">
        <v>301</v>
      </c>
      <c r="C162" s="208" t="s">
        <v>356</v>
      </c>
      <c r="D162" s="208" t="s">
        <v>1066</v>
      </c>
      <c r="E162" s="208" t="s">
        <v>319</v>
      </c>
      <c r="F162" s="580">
        <v>45651.0</v>
      </c>
      <c r="G162" s="208">
        <v>0.0</v>
      </c>
      <c r="H162" s="208">
        <v>1000000.0</v>
      </c>
      <c r="I162" s="208">
        <v>230524.0</v>
      </c>
      <c r="J162" s="208">
        <v>0.0</v>
      </c>
      <c r="K162" s="208">
        <v>77.0</v>
      </c>
      <c r="L162" s="208">
        <v>44.0</v>
      </c>
      <c r="M162" s="208">
        <v>0.0</v>
      </c>
      <c r="N162" s="208">
        <v>77.0</v>
      </c>
      <c r="O162" s="208">
        <v>33.0</v>
      </c>
      <c r="P162" s="208">
        <v>230524.0</v>
      </c>
      <c r="Q162" s="208">
        <v>0.0</v>
      </c>
      <c r="R162" s="208">
        <v>5.0</v>
      </c>
      <c r="S162" s="208">
        <v>0.0</v>
      </c>
      <c r="T162" s="208">
        <v>5.0</v>
      </c>
      <c r="U162" s="208">
        <v>0.0</v>
      </c>
      <c r="V162" s="208">
        <v>20.0</v>
      </c>
      <c r="W162" s="208">
        <v>25.0</v>
      </c>
      <c r="X162" s="208">
        <v>52.0</v>
      </c>
      <c r="Y162" s="208">
        <v>1.0</v>
      </c>
      <c r="Z162" s="208">
        <v>11.0</v>
      </c>
      <c r="AA162" s="208">
        <v>0.0</v>
      </c>
      <c r="AB162" s="208">
        <v>0.0</v>
      </c>
      <c r="AC162" s="208">
        <v>0.0</v>
      </c>
      <c r="AD162" s="208">
        <v>0.0</v>
      </c>
      <c r="AE162" s="208">
        <v>71.0</v>
      </c>
      <c r="AF162" s="208">
        <v>107.0</v>
      </c>
      <c r="AG162" s="208">
        <v>28.0</v>
      </c>
      <c r="AH162" s="581">
        <f t="shared" si="1"/>
        <v>8233</v>
      </c>
      <c r="AI162" s="581">
        <f t="shared" si="2"/>
        <v>3.821428571</v>
      </c>
      <c r="AJ162" s="124">
        <v>0.0</v>
      </c>
      <c r="AK162" s="208">
        <v>0.0</v>
      </c>
      <c r="AL162" s="582">
        <f t="shared" si="3"/>
        <v>0</v>
      </c>
      <c r="AM162" s="208">
        <v>46105.0</v>
      </c>
      <c r="AN162" s="582">
        <f t="shared" si="4"/>
        <v>0.230524</v>
      </c>
      <c r="AO162" s="583">
        <v>0.0</v>
      </c>
      <c r="AP162" s="208">
        <v>7.0</v>
      </c>
      <c r="AQ162" s="208">
        <v>284.0</v>
      </c>
      <c r="AR162" s="208">
        <v>1975.65</v>
      </c>
      <c r="AS162" s="208">
        <v>0.0</v>
      </c>
      <c r="AT162" s="208">
        <v>45.0</v>
      </c>
      <c r="AV162" s="124" t="str">
        <f t="shared" si="5"/>
        <v>Active</v>
      </c>
    </row>
    <row r="163">
      <c r="A163" s="124" t="s">
        <v>23</v>
      </c>
      <c r="B163" s="208" t="s">
        <v>37</v>
      </c>
      <c r="C163" s="208" t="s">
        <v>35</v>
      </c>
      <c r="D163" s="208" t="s">
        <v>1110</v>
      </c>
      <c r="E163" s="208" t="s">
        <v>36</v>
      </c>
      <c r="F163" s="580">
        <v>45658.0</v>
      </c>
      <c r="G163" s="208">
        <v>0.0</v>
      </c>
      <c r="H163" s="208">
        <v>1200000.0</v>
      </c>
      <c r="I163" s="208">
        <v>627452.26</v>
      </c>
      <c r="J163" s="208">
        <v>0.0</v>
      </c>
      <c r="K163" s="208">
        <v>28.0</v>
      </c>
      <c r="L163" s="208">
        <v>23.0</v>
      </c>
      <c r="M163" s="208">
        <v>8.0</v>
      </c>
      <c r="N163" s="208">
        <v>36.0</v>
      </c>
      <c r="O163" s="208">
        <v>13.0</v>
      </c>
      <c r="P163" s="208">
        <v>211762.86</v>
      </c>
      <c r="Q163" s="208">
        <v>415689.4</v>
      </c>
      <c r="R163" s="208">
        <v>11.0</v>
      </c>
      <c r="S163" s="208">
        <v>8.0</v>
      </c>
      <c r="T163" s="208">
        <v>19.0</v>
      </c>
      <c r="U163" s="208">
        <v>0.0</v>
      </c>
      <c r="V163" s="208">
        <v>51.0</v>
      </c>
      <c r="W163" s="208">
        <v>56.0</v>
      </c>
      <c r="X163" s="208">
        <v>175.0</v>
      </c>
      <c r="Y163" s="208">
        <v>2.0</v>
      </c>
      <c r="Z163" s="208">
        <v>5.0</v>
      </c>
      <c r="AA163" s="208">
        <v>1.0</v>
      </c>
      <c r="AB163" s="208">
        <v>3.0</v>
      </c>
      <c r="AC163" s="208">
        <v>34.0</v>
      </c>
      <c r="AD163" s="208">
        <v>61.0</v>
      </c>
      <c r="AE163" s="208">
        <v>34.0</v>
      </c>
      <c r="AF163" s="208">
        <v>159.0</v>
      </c>
      <c r="AG163" s="208">
        <v>26.0</v>
      </c>
      <c r="AH163" s="581">
        <f t="shared" si="1"/>
        <v>24132.77923</v>
      </c>
      <c r="AI163" s="581">
        <f t="shared" si="2"/>
        <v>6.115384615</v>
      </c>
      <c r="AJ163" s="124">
        <v>1.0</v>
      </c>
      <c r="AK163" s="208">
        <v>0.0</v>
      </c>
      <c r="AL163" s="582">
        <f t="shared" si="3"/>
        <v>0.00000159374675</v>
      </c>
      <c r="AM163" s="208">
        <v>33024.0</v>
      </c>
      <c r="AN163" s="582">
        <f t="shared" si="4"/>
        <v>0.5228768833</v>
      </c>
      <c r="AO163" s="583">
        <v>0.0</v>
      </c>
      <c r="AP163" s="208">
        <v>29.0</v>
      </c>
      <c r="AQ163" s="208">
        <v>252.0</v>
      </c>
      <c r="AR163" s="208">
        <v>2253.48</v>
      </c>
      <c r="AS163" s="208">
        <v>8.0</v>
      </c>
      <c r="AT163" s="208">
        <v>98.0</v>
      </c>
      <c r="AV163" s="124" t="str">
        <f t="shared" si="5"/>
        <v>Active</v>
      </c>
    </row>
    <row r="164">
      <c r="A164" s="124" t="s">
        <v>126</v>
      </c>
      <c r="B164" s="208" t="s">
        <v>135</v>
      </c>
      <c r="C164" s="208" t="s">
        <v>171</v>
      </c>
      <c r="D164" s="208" t="s">
        <v>1042</v>
      </c>
      <c r="E164" s="208" t="s">
        <v>137</v>
      </c>
      <c r="F164" s="580">
        <v>45658.0</v>
      </c>
      <c r="G164" s="208">
        <v>0.0</v>
      </c>
      <c r="H164" s="208">
        <v>1166667.0</v>
      </c>
      <c r="I164" s="208">
        <v>406439.32</v>
      </c>
      <c r="J164" s="208">
        <v>0.0</v>
      </c>
      <c r="K164" s="208">
        <v>38.0</v>
      </c>
      <c r="L164" s="208">
        <v>34.0</v>
      </c>
      <c r="M164" s="208">
        <v>3.0</v>
      </c>
      <c r="N164" s="208">
        <v>41.0</v>
      </c>
      <c r="O164" s="208">
        <v>7.0</v>
      </c>
      <c r="P164" s="208">
        <v>301143.4</v>
      </c>
      <c r="Q164" s="208">
        <v>105295.92</v>
      </c>
      <c r="R164" s="208">
        <v>8.0</v>
      </c>
      <c r="S164" s="208">
        <v>3.0</v>
      </c>
      <c r="T164" s="208">
        <v>11.0</v>
      </c>
      <c r="U164" s="208">
        <v>0.0</v>
      </c>
      <c r="V164" s="208">
        <v>53.0</v>
      </c>
      <c r="W164" s="208">
        <v>61.0</v>
      </c>
      <c r="X164" s="208">
        <v>193.0</v>
      </c>
      <c r="Y164" s="208">
        <v>1.0</v>
      </c>
      <c r="Z164" s="208">
        <v>2.0</v>
      </c>
      <c r="AA164" s="208">
        <v>0.0</v>
      </c>
      <c r="AB164" s="208">
        <v>0.0</v>
      </c>
      <c r="AC164" s="208">
        <v>0.0</v>
      </c>
      <c r="AD164" s="208">
        <v>0.0</v>
      </c>
      <c r="AE164" s="208">
        <v>85.0</v>
      </c>
      <c r="AF164" s="208">
        <v>148.0</v>
      </c>
      <c r="AG164" s="208">
        <v>25.0</v>
      </c>
      <c r="AH164" s="581">
        <f t="shared" si="1"/>
        <v>16257.5728</v>
      </c>
      <c r="AI164" s="581">
        <f t="shared" si="2"/>
        <v>5.92</v>
      </c>
      <c r="AJ164" s="124">
        <v>0.0</v>
      </c>
      <c r="AK164" s="208">
        <v>0.0</v>
      </c>
      <c r="AL164" s="582">
        <f t="shared" si="3"/>
        <v>0</v>
      </c>
      <c r="AM164" s="208">
        <v>36949.0</v>
      </c>
      <c r="AN164" s="582">
        <f t="shared" si="4"/>
        <v>0.3483764605</v>
      </c>
      <c r="AO164" s="583">
        <v>0.0</v>
      </c>
      <c r="AP164" s="208">
        <v>11.0</v>
      </c>
      <c r="AQ164" s="208">
        <v>219.0</v>
      </c>
      <c r="AR164" s="208">
        <v>1336.28</v>
      </c>
      <c r="AS164" s="208">
        <v>3.0</v>
      </c>
      <c r="AT164" s="208">
        <v>39.0</v>
      </c>
      <c r="AV164" s="124" t="str">
        <f t="shared" si="5"/>
        <v>Active</v>
      </c>
    </row>
    <row r="165">
      <c r="A165" s="124" t="s">
        <v>185</v>
      </c>
      <c r="B165" s="208" t="s">
        <v>85</v>
      </c>
      <c r="C165" s="208" t="s">
        <v>390</v>
      </c>
      <c r="D165" s="208" t="s">
        <v>1058</v>
      </c>
      <c r="E165" s="208" t="s">
        <v>391</v>
      </c>
      <c r="F165" s="580">
        <v>45660.0</v>
      </c>
      <c r="G165" s="208">
        <v>0.0</v>
      </c>
      <c r="H165" s="208">
        <v>0.0</v>
      </c>
      <c r="I165" s="208">
        <v>0.0</v>
      </c>
      <c r="J165" s="208">
        <v>0.0</v>
      </c>
      <c r="K165" s="208">
        <v>73.0</v>
      </c>
      <c r="L165" s="208">
        <v>0.0</v>
      </c>
      <c r="M165" s="208">
        <v>0.0</v>
      </c>
      <c r="N165" s="208">
        <v>73.0</v>
      </c>
      <c r="O165" s="208">
        <v>73.0</v>
      </c>
      <c r="P165" s="208">
        <v>0.0</v>
      </c>
      <c r="Q165" s="208">
        <v>0.0</v>
      </c>
      <c r="R165" s="208">
        <v>0.0</v>
      </c>
      <c r="S165" s="208">
        <v>0.0</v>
      </c>
      <c r="T165" s="208">
        <v>0.0</v>
      </c>
      <c r="U165" s="208">
        <v>0.0</v>
      </c>
      <c r="V165" s="208">
        <v>0.0</v>
      </c>
      <c r="W165" s="208">
        <v>0.0</v>
      </c>
      <c r="X165" s="208">
        <v>95.0</v>
      </c>
      <c r="Y165" s="208">
        <v>0.0</v>
      </c>
      <c r="Z165" s="208">
        <v>0.0</v>
      </c>
      <c r="AA165" s="208">
        <v>0.0</v>
      </c>
      <c r="AB165" s="208">
        <v>0.0</v>
      </c>
      <c r="AC165" s="208">
        <v>0.0</v>
      </c>
      <c r="AD165" s="208">
        <v>0.0</v>
      </c>
      <c r="AE165" s="208">
        <v>0.0</v>
      </c>
      <c r="AF165" s="208">
        <v>0.0</v>
      </c>
      <c r="AG165" s="208">
        <v>0.0</v>
      </c>
      <c r="AH165" s="581" t="str">
        <f t="shared" si="1"/>
        <v/>
      </c>
      <c r="AI165" s="581" t="str">
        <f t="shared" si="2"/>
        <v/>
      </c>
      <c r="AJ165" s="124">
        <v>0.0</v>
      </c>
      <c r="AK165" s="208">
        <v>0.0</v>
      </c>
      <c r="AL165" s="582" t="str">
        <f t="shared" si="3"/>
        <v/>
      </c>
      <c r="AM165" s="208">
        <v>0.0</v>
      </c>
      <c r="AN165" s="582" t="str">
        <f t="shared" si="4"/>
        <v/>
      </c>
      <c r="AO165" s="583">
        <v>0.0</v>
      </c>
      <c r="AP165" s="208">
        <v>0.0</v>
      </c>
      <c r="AQ165" s="208">
        <v>0.0</v>
      </c>
      <c r="AR165" s="208">
        <v>0.0</v>
      </c>
      <c r="AS165" s="208">
        <v>0.0</v>
      </c>
      <c r="AT165" s="208">
        <v>0.0</v>
      </c>
      <c r="AU165" s="584">
        <v>45819.0</v>
      </c>
      <c r="AV165" s="124" t="str">
        <f t="shared" si="5"/>
        <v>Left</v>
      </c>
    </row>
    <row r="166">
      <c r="A166" s="124" t="s">
        <v>47</v>
      </c>
      <c r="B166" s="208" t="s">
        <v>422</v>
      </c>
      <c r="C166" s="208" t="s">
        <v>866</v>
      </c>
      <c r="D166" s="208" t="s">
        <v>1094</v>
      </c>
      <c r="E166" s="208" t="s">
        <v>1111</v>
      </c>
      <c r="F166" s="580">
        <v>45663.0</v>
      </c>
      <c r="G166" s="208">
        <v>0.0</v>
      </c>
      <c r="H166" s="208">
        <v>0.0</v>
      </c>
      <c r="I166" s="208">
        <v>0.0</v>
      </c>
      <c r="J166" s="208">
        <v>0.0</v>
      </c>
      <c r="K166" s="208">
        <v>22.0</v>
      </c>
      <c r="L166" s="208">
        <v>10.0</v>
      </c>
      <c r="M166" s="208">
        <v>2.0</v>
      </c>
      <c r="N166" s="208">
        <v>24.0</v>
      </c>
      <c r="O166" s="208">
        <v>14.0</v>
      </c>
      <c r="P166" s="208">
        <v>0.0</v>
      </c>
      <c r="Q166" s="208">
        <v>0.0</v>
      </c>
      <c r="R166" s="208">
        <v>0.0</v>
      </c>
      <c r="S166" s="208">
        <v>0.0</v>
      </c>
      <c r="T166" s="208">
        <v>0.0</v>
      </c>
      <c r="U166" s="208">
        <v>0.0</v>
      </c>
      <c r="V166" s="208">
        <v>25.0</v>
      </c>
      <c r="W166" s="208">
        <v>25.0</v>
      </c>
      <c r="X166" s="208">
        <v>81.0</v>
      </c>
      <c r="Y166" s="208">
        <v>2.0</v>
      </c>
      <c r="Z166" s="208">
        <v>12.0</v>
      </c>
      <c r="AA166" s="208">
        <v>0.0</v>
      </c>
      <c r="AB166" s="208">
        <v>0.0</v>
      </c>
      <c r="AC166" s="208">
        <v>39.0</v>
      </c>
      <c r="AD166" s="208">
        <v>66.0</v>
      </c>
      <c r="AE166" s="208">
        <v>11.0</v>
      </c>
      <c r="AF166" s="208">
        <v>114.0</v>
      </c>
      <c r="AG166" s="208">
        <v>25.0</v>
      </c>
      <c r="AH166" s="581">
        <f t="shared" si="1"/>
        <v>0</v>
      </c>
      <c r="AI166" s="581">
        <f t="shared" si="2"/>
        <v>4.56</v>
      </c>
      <c r="AJ166" s="124">
        <v>0.0</v>
      </c>
      <c r="AK166" s="208">
        <v>0.0</v>
      </c>
      <c r="AL166" s="582" t="str">
        <f t="shared" si="3"/>
        <v/>
      </c>
      <c r="AM166" s="208">
        <v>0.0</v>
      </c>
      <c r="AN166" s="582" t="str">
        <f t="shared" si="4"/>
        <v/>
      </c>
      <c r="AO166" s="583">
        <v>0.0</v>
      </c>
      <c r="AP166" s="208">
        <v>0.0</v>
      </c>
      <c r="AQ166" s="208">
        <v>273.0</v>
      </c>
      <c r="AR166" s="208">
        <v>1691.36</v>
      </c>
      <c r="AS166" s="208">
        <v>0.0</v>
      </c>
      <c r="AT166" s="208">
        <v>169.0</v>
      </c>
      <c r="AV166" s="124" t="str">
        <f t="shared" si="5"/>
        <v>Active</v>
      </c>
    </row>
    <row r="167">
      <c r="A167" s="124" t="s">
        <v>47</v>
      </c>
      <c r="B167" s="208" t="s">
        <v>422</v>
      </c>
      <c r="C167" s="208" t="s">
        <v>867</v>
      </c>
      <c r="D167" s="208" t="s">
        <v>1094</v>
      </c>
      <c r="E167" s="208" t="s">
        <v>1112</v>
      </c>
      <c r="F167" s="580">
        <v>45663.0</v>
      </c>
      <c r="G167" s="208">
        <v>0.0</v>
      </c>
      <c r="H167" s="208">
        <v>0.0</v>
      </c>
      <c r="I167" s="208">
        <v>143624.25</v>
      </c>
      <c r="J167" s="208">
        <v>0.0</v>
      </c>
      <c r="K167" s="208">
        <v>4.0</v>
      </c>
      <c r="L167" s="208">
        <v>2.0</v>
      </c>
      <c r="M167" s="208">
        <v>2.0</v>
      </c>
      <c r="N167" s="208">
        <v>6.0</v>
      </c>
      <c r="O167" s="208">
        <v>4.0</v>
      </c>
      <c r="P167" s="208">
        <v>0.0</v>
      </c>
      <c r="Q167" s="208">
        <v>143624.25</v>
      </c>
      <c r="R167" s="208">
        <v>0.0</v>
      </c>
      <c r="S167" s="208">
        <v>2.0</v>
      </c>
      <c r="T167" s="208">
        <v>2.0</v>
      </c>
      <c r="U167" s="208">
        <v>0.0</v>
      </c>
      <c r="V167" s="208">
        <v>25.0</v>
      </c>
      <c r="W167" s="208">
        <v>30.0</v>
      </c>
      <c r="X167" s="208">
        <v>83.0</v>
      </c>
      <c r="Y167" s="208">
        <v>2.0</v>
      </c>
      <c r="Z167" s="208">
        <v>9.0</v>
      </c>
      <c r="AA167" s="208">
        <v>0.0</v>
      </c>
      <c r="AB167" s="208">
        <v>0.0</v>
      </c>
      <c r="AC167" s="208">
        <v>20.0</v>
      </c>
      <c r="AD167" s="208">
        <v>45.0</v>
      </c>
      <c r="AE167" s="208">
        <v>8.0</v>
      </c>
      <c r="AF167" s="208">
        <v>92.0</v>
      </c>
      <c r="AG167" s="208">
        <v>24.0</v>
      </c>
      <c r="AH167" s="581">
        <f t="shared" si="1"/>
        <v>5984.34375</v>
      </c>
      <c r="AI167" s="581">
        <f t="shared" si="2"/>
        <v>3.833333333</v>
      </c>
      <c r="AJ167" s="124">
        <v>0.0</v>
      </c>
      <c r="AK167" s="208">
        <v>0.0</v>
      </c>
      <c r="AL167" s="582">
        <f t="shared" si="3"/>
        <v>0</v>
      </c>
      <c r="AM167" s="208">
        <v>71812.0</v>
      </c>
      <c r="AN167" s="582" t="str">
        <f t="shared" si="4"/>
        <v/>
      </c>
      <c r="AO167" s="583">
        <v>0.0</v>
      </c>
      <c r="AP167" s="208">
        <v>2.0</v>
      </c>
      <c r="AQ167" s="208">
        <v>266.0</v>
      </c>
      <c r="AR167" s="208">
        <v>1148.34</v>
      </c>
      <c r="AS167" s="208">
        <v>2.0</v>
      </c>
      <c r="AT167" s="208">
        <v>574.0</v>
      </c>
      <c r="AV167" s="124" t="str">
        <f t="shared" si="5"/>
        <v>Active</v>
      </c>
    </row>
    <row r="168">
      <c r="A168" s="124" t="s">
        <v>185</v>
      </c>
      <c r="B168" s="208" t="s">
        <v>189</v>
      </c>
      <c r="C168" s="208" t="s">
        <v>281</v>
      </c>
      <c r="D168" s="208" t="s">
        <v>1016</v>
      </c>
      <c r="E168" s="208" t="s">
        <v>282</v>
      </c>
      <c r="F168" s="580">
        <v>45670.0</v>
      </c>
      <c r="G168" s="208">
        <v>0.0</v>
      </c>
      <c r="H168" s="208">
        <v>1500000.0</v>
      </c>
      <c r="I168" s="208">
        <v>1140416.64</v>
      </c>
      <c r="J168" s="208">
        <v>0.0</v>
      </c>
      <c r="K168" s="208">
        <v>29.0</v>
      </c>
      <c r="L168" s="208">
        <v>21.0</v>
      </c>
      <c r="M168" s="208">
        <v>1.0</v>
      </c>
      <c r="N168" s="208">
        <v>30.0</v>
      </c>
      <c r="O168" s="208">
        <v>9.0</v>
      </c>
      <c r="P168" s="208">
        <v>840118.76</v>
      </c>
      <c r="Q168" s="208">
        <v>300297.88</v>
      </c>
      <c r="R168" s="208">
        <v>17.0</v>
      </c>
      <c r="S168" s="208">
        <v>1.0</v>
      </c>
      <c r="T168" s="208">
        <v>18.0</v>
      </c>
      <c r="U168" s="208">
        <v>0.0</v>
      </c>
      <c r="V168" s="208">
        <v>16.0</v>
      </c>
      <c r="W168" s="208">
        <v>20.0</v>
      </c>
      <c r="X168" s="208">
        <v>131.0</v>
      </c>
      <c r="Y168" s="208">
        <v>1.0</v>
      </c>
      <c r="Z168" s="208">
        <v>13.0</v>
      </c>
      <c r="AA168" s="208">
        <v>0.0</v>
      </c>
      <c r="AB168" s="208">
        <v>0.0</v>
      </c>
      <c r="AC168" s="208">
        <v>0.0</v>
      </c>
      <c r="AD168" s="208">
        <v>0.0</v>
      </c>
      <c r="AE168" s="208">
        <v>37.0</v>
      </c>
      <c r="AF168" s="208">
        <v>70.0</v>
      </c>
      <c r="AG168" s="208">
        <v>26.0</v>
      </c>
      <c r="AH168" s="581">
        <f t="shared" si="1"/>
        <v>43862.17846</v>
      </c>
      <c r="AI168" s="581">
        <f t="shared" si="2"/>
        <v>2.692307692</v>
      </c>
      <c r="AJ168" s="124">
        <v>0.0</v>
      </c>
      <c r="AK168" s="208">
        <v>0.0</v>
      </c>
      <c r="AL168" s="582">
        <f t="shared" si="3"/>
        <v>0</v>
      </c>
      <c r="AM168" s="208">
        <v>63356.0</v>
      </c>
      <c r="AN168" s="582">
        <f t="shared" si="4"/>
        <v>0.76027776</v>
      </c>
      <c r="AO168" s="583">
        <v>0.0</v>
      </c>
      <c r="AP168" s="208">
        <v>18.0</v>
      </c>
      <c r="AQ168" s="208">
        <v>294.0</v>
      </c>
      <c r="AR168" s="208">
        <v>668.41</v>
      </c>
      <c r="AS168" s="208">
        <v>1.0</v>
      </c>
      <c r="AT168" s="208">
        <v>32.0</v>
      </c>
      <c r="AV168" s="124" t="str">
        <f t="shared" si="5"/>
        <v>Active</v>
      </c>
    </row>
    <row r="169">
      <c r="A169" s="124" t="s">
        <v>97</v>
      </c>
      <c r="B169" s="208" t="s">
        <v>101</v>
      </c>
      <c r="C169" s="208" t="s">
        <v>341</v>
      </c>
      <c r="D169" s="208" t="s">
        <v>1062</v>
      </c>
      <c r="E169" s="208" t="s">
        <v>105</v>
      </c>
      <c r="F169" s="580">
        <v>45694.0</v>
      </c>
      <c r="G169" s="208">
        <v>0.0</v>
      </c>
      <c r="H169" s="208">
        <v>880000.0</v>
      </c>
      <c r="I169" s="208">
        <v>377134.8</v>
      </c>
      <c r="J169" s="208">
        <v>0.0</v>
      </c>
      <c r="K169" s="208">
        <v>70.0</v>
      </c>
      <c r="L169" s="208">
        <v>52.0</v>
      </c>
      <c r="M169" s="208">
        <v>2.0</v>
      </c>
      <c r="N169" s="208">
        <v>72.0</v>
      </c>
      <c r="O169" s="208">
        <v>20.0</v>
      </c>
      <c r="P169" s="208">
        <v>353650.8</v>
      </c>
      <c r="Q169" s="208">
        <v>23484.0</v>
      </c>
      <c r="R169" s="208">
        <v>25.0</v>
      </c>
      <c r="S169" s="208">
        <v>2.0</v>
      </c>
      <c r="T169" s="208">
        <v>27.0</v>
      </c>
      <c r="U169" s="208">
        <v>0.0</v>
      </c>
      <c r="V169" s="208">
        <v>8.0</v>
      </c>
      <c r="W169" s="208">
        <v>11.0</v>
      </c>
      <c r="X169" s="208">
        <v>11.0</v>
      </c>
      <c r="Y169" s="208">
        <v>1.0</v>
      </c>
      <c r="Z169" s="208">
        <v>12.0</v>
      </c>
      <c r="AA169" s="208">
        <v>0.0</v>
      </c>
      <c r="AB169" s="208">
        <v>0.0</v>
      </c>
      <c r="AC169" s="208">
        <v>0.0</v>
      </c>
      <c r="AD169" s="208">
        <v>0.0</v>
      </c>
      <c r="AE169" s="208">
        <v>150.0</v>
      </c>
      <c r="AF169" s="208">
        <v>173.0</v>
      </c>
      <c r="AG169" s="208">
        <v>23.0</v>
      </c>
      <c r="AH169" s="581">
        <f t="shared" si="1"/>
        <v>16397.16522</v>
      </c>
      <c r="AI169" s="581">
        <f t="shared" si="2"/>
        <v>7.52173913</v>
      </c>
      <c r="AJ169" s="124">
        <v>0.0</v>
      </c>
      <c r="AK169" s="208">
        <v>0.0</v>
      </c>
      <c r="AL169" s="582">
        <f t="shared" si="3"/>
        <v>0</v>
      </c>
      <c r="AM169" s="208">
        <v>13968.0</v>
      </c>
      <c r="AN169" s="582">
        <f t="shared" si="4"/>
        <v>0.4285622727</v>
      </c>
      <c r="AO169" s="583">
        <v>0.0</v>
      </c>
      <c r="AP169" s="208">
        <v>39.0</v>
      </c>
      <c r="AQ169" s="208">
        <v>221.0</v>
      </c>
      <c r="AR169" s="208">
        <v>1550.45</v>
      </c>
      <c r="AS169" s="208">
        <v>2.0</v>
      </c>
      <c r="AT169" s="208">
        <v>30.0</v>
      </c>
      <c r="AV169" s="124" t="str">
        <f t="shared" si="5"/>
        <v>Active</v>
      </c>
    </row>
    <row r="170">
      <c r="A170" s="124" t="s">
        <v>97</v>
      </c>
      <c r="B170" s="208" t="s">
        <v>101</v>
      </c>
      <c r="C170" s="208" t="s">
        <v>104</v>
      </c>
      <c r="D170" s="208" t="s">
        <v>1062</v>
      </c>
      <c r="E170" s="208" t="s">
        <v>105</v>
      </c>
      <c r="F170" s="580">
        <v>45719.0</v>
      </c>
      <c r="G170" s="208">
        <v>0.0</v>
      </c>
      <c r="H170" s="208">
        <v>880000.0</v>
      </c>
      <c r="I170" s="208">
        <v>554759.99</v>
      </c>
      <c r="J170" s="208">
        <v>0.0</v>
      </c>
      <c r="K170" s="208">
        <v>102.0</v>
      </c>
      <c r="L170" s="208">
        <v>48.0</v>
      </c>
      <c r="M170" s="208">
        <v>2.0</v>
      </c>
      <c r="N170" s="208">
        <v>104.0</v>
      </c>
      <c r="O170" s="208">
        <v>56.0</v>
      </c>
      <c r="P170" s="208">
        <v>510499.19</v>
      </c>
      <c r="Q170" s="208">
        <v>44260.8</v>
      </c>
      <c r="R170" s="208">
        <v>14.0</v>
      </c>
      <c r="S170" s="208">
        <v>2.0</v>
      </c>
      <c r="T170" s="208">
        <v>16.0</v>
      </c>
      <c r="U170" s="208">
        <v>0.0</v>
      </c>
      <c r="V170" s="208">
        <v>3.0</v>
      </c>
      <c r="W170" s="208">
        <v>6.0</v>
      </c>
      <c r="X170" s="208">
        <v>4.0</v>
      </c>
      <c r="Y170" s="208">
        <v>1.0</v>
      </c>
      <c r="Z170" s="208">
        <v>2.0</v>
      </c>
      <c r="AA170" s="208">
        <v>0.0</v>
      </c>
      <c r="AB170" s="208">
        <v>0.0</v>
      </c>
      <c r="AC170" s="208">
        <v>0.0</v>
      </c>
      <c r="AD170" s="208">
        <v>0.0</v>
      </c>
      <c r="AE170" s="208">
        <v>127.0</v>
      </c>
      <c r="AF170" s="208">
        <v>135.0</v>
      </c>
      <c r="AG170" s="208">
        <v>23.0</v>
      </c>
      <c r="AH170" s="581">
        <f t="shared" si="1"/>
        <v>24119.99957</v>
      </c>
      <c r="AI170" s="581">
        <f t="shared" si="2"/>
        <v>5.869565217</v>
      </c>
      <c r="AJ170" s="124">
        <v>0.0</v>
      </c>
      <c r="AK170" s="208">
        <v>0.0</v>
      </c>
      <c r="AL170" s="582">
        <f t="shared" si="3"/>
        <v>0</v>
      </c>
      <c r="AM170" s="208">
        <v>34672.0</v>
      </c>
      <c r="AN170" s="582">
        <f t="shared" si="4"/>
        <v>0.6304090795</v>
      </c>
      <c r="AO170" s="583">
        <v>0.0</v>
      </c>
      <c r="AP170" s="208">
        <v>23.0</v>
      </c>
      <c r="AQ170" s="208">
        <v>220.0</v>
      </c>
      <c r="AR170" s="208">
        <v>1422.1</v>
      </c>
      <c r="AS170" s="208">
        <v>2.0</v>
      </c>
      <c r="AT170" s="208">
        <v>30.0</v>
      </c>
      <c r="AV170" s="124" t="str">
        <f t="shared" si="5"/>
        <v>Active</v>
      </c>
    </row>
    <row r="171">
      <c r="A171" s="124" t="s">
        <v>23</v>
      </c>
      <c r="B171" s="208" t="s">
        <v>30</v>
      </c>
      <c r="C171" s="208" t="s">
        <v>336</v>
      </c>
      <c r="D171" s="208" t="s">
        <v>30</v>
      </c>
      <c r="E171" s="208" t="s">
        <v>44</v>
      </c>
      <c r="F171" s="580">
        <v>45722.0</v>
      </c>
      <c r="G171" s="208">
        <v>0.0</v>
      </c>
      <c r="H171" s="208">
        <v>1200000.0</v>
      </c>
      <c r="I171" s="208">
        <v>627120.83</v>
      </c>
      <c r="J171" s="208">
        <v>0.0</v>
      </c>
      <c r="K171" s="208">
        <v>67.0</v>
      </c>
      <c r="L171" s="208">
        <v>50.0</v>
      </c>
      <c r="M171" s="208">
        <v>2.0</v>
      </c>
      <c r="N171" s="208">
        <v>69.0</v>
      </c>
      <c r="O171" s="208">
        <v>19.0</v>
      </c>
      <c r="P171" s="208">
        <v>579232.58</v>
      </c>
      <c r="Q171" s="208">
        <v>47888.25</v>
      </c>
      <c r="R171" s="208">
        <v>15.0</v>
      </c>
      <c r="S171" s="208">
        <v>2.0</v>
      </c>
      <c r="T171" s="208">
        <v>17.0</v>
      </c>
      <c r="U171" s="208">
        <v>0.0</v>
      </c>
      <c r="V171" s="208">
        <v>116.0</v>
      </c>
      <c r="W171" s="208">
        <v>129.0</v>
      </c>
      <c r="X171" s="208">
        <v>135.0</v>
      </c>
      <c r="Y171" s="208">
        <v>4.0</v>
      </c>
      <c r="Z171" s="208">
        <v>9.0</v>
      </c>
      <c r="AA171" s="208">
        <v>2.0</v>
      </c>
      <c r="AB171" s="208">
        <v>2.0</v>
      </c>
      <c r="AC171" s="208">
        <v>5.0</v>
      </c>
      <c r="AD171" s="208">
        <v>5.0</v>
      </c>
      <c r="AE171" s="208">
        <v>79.0</v>
      </c>
      <c r="AF171" s="208">
        <v>224.0</v>
      </c>
      <c r="AG171" s="208">
        <v>25.0</v>
      </c>
      <c r="AH171" s="581">
        <f t="shared" si="1"/>
        <v>25084.8332</v>
      </c>
      <c r="AI171" s="581">
        <f t="shared" si="2"/>
        <v>8.96</v>
      </c>
      <c r="AJ171" s="124">
        <v>2.0</v>
      </c>
      <c r="AK171" s="208">
        <v>0.0</v>
      </c>
      <c r="AL171" s="582">
        <f t="shared" si="3"/>
        <v>0.000003189178073</v>
      </c>
      <c r="AM171" s="208">
        <v>36889.0</v>
      </c>
      <c r="AN171" s="582">
        <f t="shared" si="4"/>
        <v>0.5226006917</v>
      </c>
      <c r="AO171" s="583">
        <v>0.0</v>
      </c>
      <c r="AP171" s="208">
        <v>23.0</v>
      </c>
      <c r="AQ171" s="208">
        <v>263.0</v>
      </c>
      <c r="AR171" s="208">
        <v>2620.59</v>
      </c>
      <c r="AS171" s="208">
        <v>2.0</v>
      </c>
      <c r="AT171" s="208">
        <v>52.0</v>
      </c>
      <c r="AV171" s="124" t="str">
        <f t="shared" si="5"/>
        <v>Active</v>
      </c>
    </row>
    <row r="172">
      <c r="A172" s="124" t="s">
        <v>23</v>
      </c>
      <c r="B172" s="208" t="s">
        <v>40</v>
      </c>
      <c r="C172" s="208" t="s">
        <v>38</v>
      </c>
      <c r="D172" s="208" t="s">
        <v>1356</v>
      </c>
      <c r="E172" s="208" t="s">
        <v>39</v>
      </c>
      <c r="F172" s="580">
        <v>45736.0</v>
      </c>
      <c r="G172" s="208">
        <v>0.0</v>
      </c>
      <c r="H172" s="208">
        <v>1200000.0</v>
      </c>
      <c r="I172" s="208">
        <v>794395.03</v>
      </c>
      <c r="J172" s="208">
        <v>94065.8</v>
      </c>
      <c r="K172" s="208">
        <v>22.0</v>
      </c>
      <c r="L172" s="208">
        <v>22.0</v>
      </c>
      <c r="M172" s="208">
        <v>5.0</v>
      </c>
      <c r="N172" s="208">
        <v>27.0</v>
      </c>
      <c r="O172" s="208">
        <v>5.0</v>
      </c>
      <c r="P172" s="208">
        <v>678350.27</v>
      </c>
      <c r="Q172" s="208">
        <v>116044.76</v>
      </c>
      <c r="R172" s="208">
        <v>7.0</v>
      </c>
      <c r="S172" s="208">
        <v>5.0</v>
      </c>
      <c r="T172" s="208">
        <v>12.0</v>
      </c>
      <c r="U172" s="208">
        <v>1.0</v>
      </c>
      <c r="V172" s="208">
        <v>87.0</v>
      </c>
      <c r="W172" s="208">
        <v>120.0</v>
      </c>
      <c r="X172" s="208">
        <v>97.0</v>
      </c>
      <c r="Y172" s="208">
        <v>1.0</v>
      </c>
      <c r="Z172" s="208">
        <v>4.0</v>
      </c>
      <c r="AA172" s="208">
        <v>3.0</v>
      </c>
      <c r="AB172" s="208">
        <v>6.0</v>
      </c>
      <c r="AC172" s="208">
        <v>1.0</v>
      </c>
      <c r="AD172" s="208">
        <v>4.0</v>
      </c>
      <c r="AE172" s="208">
        <v>47.0</v>
      </c>
      <c r="AF172" s="208">
        <v>181.0</v>
      </c>
      <c r="AG172" s="208">
        <v>27.0</v>
      </c>
      <c r="AH172" s="581">
        <f t="shared" si="1"/>
        <v>32905.95667</v>
      </c>
      <c r="AI172" s="581">
        <f t="shared" si="2"/>
        <v>6.703703704</v>
      </c>
      <c r="AJ172" s="124">
        <v>5.0</v>
      </c>
      <c r="AK172" s="208">
        <v>0.0</v>
      </c>
      <c r="AL172" s="582">
        <f t="shared" si="3"/>
        <v>0.000005627710115</v>
      </c>
      <c r="AM172" s="208">
        <v>66200.0</v>
      </c>
      <c r="AN172" s="582">
        <f t="shared" si="4"/>
        <v>0.740384025</v>
      </c>
      <c r="AO172" s="583">
        <v>0.0</v>
      </c>
      <c r="AP172" s="208">
        <v>17.0</v>
      </c>
      <c r="AQ172" s="208">
        <v>247.0</v>
      </c>
      <c r="AR172" s="208">
        <v>787.98</v>
      </c>
      <c r="AS172" s="208">
        <v>5.0</v>
      </c>
      <c r="AT172" s="208">
        <v>36.0</v>
      </c>
      <c r="AV172" s="124" t="str">
        <f t="shared" si="5"/>
        <v>Active</v>
      </c>
    </row>
    <row r="173">
      <c r="A173" s="124" t="s">
        <v>53</v>
      </c>
      <c r="B173" s="208" t="s">
        <v>56</v>
      </c>
      <c r="C173" s="208" t="s">
        <v>62</v>
      </c>
      <c r="D173" s="208" t="s">
        <v>1092</v>
      </c>
      <c r="E173" s="208" t="s">
        <v>63</v>
      </c>
      <c r="F173" s="580">
        <v>45733.0</v>
      </c>
      <c r="G173" s="208">
        <v>0.0</v>
      </c>
      <c r="H173" s="208">
        <v>1500000.0</v>
      </c>
      <c r="I173" s="208">
        <v>957045.25</v>
      </c>
      <c r="J173" s="208">
        <v>0.0</v>
      </c>
      <c r="K173" s="208">
        <v>70.0</v>
      </c>
      <c r="L173" s="208">
        <v>52.0</v>
      </c>
      <c r="M173" s="208">
        <v>2.0</v>
      </c>
      <c r="N173" s="208">
        <v>72.0</v>
      </c>
      <c r="O173" s="208">
        <v>20.0</v>
      </c>
      <c r="P173" s="208">
        <v>741825.73</v>
      </c>
      <c r="Q173" s="208">
        <v>215219.52</v>
      </c>
      <c r="R173" s="208">
        <v>17.0</v>
      </c>
      <c r="S173" s="208">
        <v>2.0</v>
      </c>
      <c r="T173" s="208">
        <v>19.0</v>
      </c>
      <c r="U173" s="208">
        <v>0.0</v>
      </c>
      <c r="V173" s="208">
        <v>67.0</v>
      </c>
      <c r="W173" s="208">
        <v>74.0</v>
      </c>
      <c r="X173" s="208">
        <v>81.0</v>
      </c>
      <c r="Y173" s="208">
        <v>3.0</v>
      </c>
      <c r="Z173" s="208">
        <v>11.0</v>
      </c>
      <c r="AA173" s="208">
        <v>0.0</v>
      </c>
      <c r="AB173" s="208">
        <v>0.0</v>
      </c>
      <c r="AC173" s="208">
        <v>6.0</v>
      </c>
      <c r="AD173" s="208">
        <v>8.0</v>
      </c>
      <c r="AE173" s="208">
        <v>97.0</v>
      </c>
      <c r="AF173" s="208">
        <v>190.0</v>
      </c>
      <c r="AG173" s="208">
        <v>25.0</v>
      </c>
      <c r="AH173" s="581">
        <f t="shared" si="1"/>
        <v>38281.81</v>
      </c>
      <c r="AI173" s="581">
        <f t="shared" si="2"/>
        <v>7.6</v>
      </c>
      <c r="AJ173" s="124">
        <v>1.0</v>
      </c>
      <c r="AK173" s="208">
        <v>0.0</v>
      </c>
      <c r="AL173" s="582">
        <f t="shared" si="3"/>
        <v>0.000001044882674</v>
      </c>
      <c r="AM173" s="208">
        <v>50371.0</v>
      </c>
      <c r="AN173" s="582">
        <f t="shared" si="4"/>
        <v>0.6380301667</v>
      </c>
      <c r="AO173" s="583">
        <v>0.0</v>
      </c>
      <c r="AP173" s="208">
        <v>22.0</v>
      </c>
      <c r="AQ173" s="208">
        <v>247.0</v>
      </c>
      <c r="AR173" s="208">
        <v>2835.28</v>
      </c>
      <c r="AS173" s="208">
        <v>2.0</v>
      </c>
      <c r="AT173" s="208">
        <v>55.0</v>
      </c>
      <c r="AV173" s="124" t="str">
        <f t="shared" si="5"/>
        <v>Active</v>
      </c>
    </row>
    <row r="174">
      <c r="A174" s="124" t="s">
        <v>53</v>
      </c>
      <c r="B174" s="208" t="s">
        <v>56</v>
      </c>
      <c r="C174" s="208" t="s">
        <v>377</v>
      </c>
      <c r="D174" s="208" t="s">
        <v>1092</v>
      </c>
      <c r="E174" s="208" t="s">
        <v>378</v>
      </c>
      <c r="F174" s="580">
        <v>45735.0</v>
      </c>
      <c r="G174" s="208">
        <v>0.0</v>
      </c>
      <c r="H174" s="208">
        <v>700000.0</v>
      </c>
      <c r="I174" s="208">
        <v>222271.1</v>
      </c>
      <c r="J174" s="208">
        <v>0.0</v>
      </c>
      <c r="K174" s="208">
        <v>61.0</v>
      </c>
      <c r="L174" s="208">
        <v>36.0</v>
      </c>
      <c r="M174" s="208">
        <v>5.0</v>
      </c>
      <c r="N174" s="208">
        <v>66.0</v>
      </c>
      <c r="O174" s="208">
        <v>30.0</v>
      </c>
      <c r="P174" s="208">
        <v>119633.6</v>
      </c>
      <c r="Q174" s="208">
        <v>102637.5</v>
      </c>
      <c r="R174" s="208">
        <v>7.0</v>
      </c>
      <c r="S174" s="208">
        <v>5.0</v>
      </c>
      <c r="T174" s="208">
        <v>12.0</v>
      </c>
      <c r="U174" s="208">
        <v>0.0</v>
      </c>
      <c r="V174" s="208">
        <v>82.0</v>
      </c>
      <c r="W174" s="208">
        <v>115.0</v>
      </c>
      <c r="X174" s="208">
        <v>109.0</v>
      </c>
      <c r="Y174" s="208">
        <v>3.0</v>
      </c>
      <c r="Z174" s="208">
        <v>17.0</v>
      </c>
      <c r="AA174" s="208">
        <v>0.0</v>
      </c>
      <c r="AB174" s="208">
        <v>0.0</v>
      </c>
      <c r="AC174" s="208">
        <v>7.0</v>
      </c>
      <c r="AD174" s="208">
        <v>11.0</v>
      </c>
      <c r="AE174" s="208">
        <v>76.0</v>
      </c>
      <c r="AF174" s="208">
        <v>219.0</v>
      </c>
      <c r="AG174" s="208">
        <v>26.0</v>
      </c>
      <c r="AH174" s="581">
        <f t="shared" si="1"/>
        <v>8548.888462</v>
      </c>
      <c r="AI174" s="581">
        <f t="shared" si="2"/>
        <v>8.423076923</v>
      </c>
      <c r="AJ174" s="124">
        <v>0.0</v>
      </c>
      <c r="AK174" s="208">
        <v>0.0</v>
      </c>
      <c r="AL174" s="582">
        <f t="shared" si="3"/>
        <v>0</v>
      </c>
      <c r="AM174" s="208">
        <v>18523.0</v>
      </c>
      <c r="AN174" s="582">
        <f t="shared" si="4"/>
        <v>0.3175301429</v>
      </c>
      <c r="AO174" s="583">
        <v>0.0</v>
      </c>
      <c r="AP174" s="208">
        <v>16.0</v>
      </c>
      <c r="AQ174" s="208">
        <v>307.0</v>
      </c>
      <c r="AR174" s="208">
        <v>1970.11</v>
      </c>
      <c r="AS174" s="208">
        <v>5.0</v>
      </c>
      <c r="AT174" s="208">
        <v>55.0</v>
      </c>
      <c r="AV174" s="124" t="str">
        <f t="shared" si="5"/>
        <v>Active</v>
      </c>
    </row>
    <row r="175">
      <c r="A175" s="124" t="s">
        <v>53</v>
      </c>
      <c r="B175" s="208" t="s">
        <v>56</v>
      </c>
      <c r="C175" s="208" t="s">
        <v>869</v>
      </c>
      <c r="D175" s="208" t="s">
        <v>1092</v>
      </c>
      <c r="E175" s="208" t="s">
        <v>1093</v>
      </c>
      <c r="F175" s="580">
        <v>45736.0</v>
      </c>
      <c r="G175" s="208">
        <v>0.0</v>
      </c>
      <c r="H175" s="208">
        <v>0.0</v>
      </c>
      <c r="I175" s="208">
        <v>0.0</v>
      </c>
      <c r="J175" s="208">
        <v>0.0</v>
      </c>
      <c r="K175" s="208">
        <v>34.0</v>
      </c>
      <c r="L175" s="208">
        <v>13.0</v>
      </c>
      <c r="M175" s="208">
        <v>1.0</v>
      </c>
      <c r="N175" s="208">
        <v>35.0</v>
      </c>
      <c r="O175" s="208">
        <v>22.0</v>
      </c>
      <c r="P175" s="208">
        <v>0.0</v>
      </c>
      <c r="Q175" s="208">
        <v>0.0</v>
      </c>
      <c r="R175" s="208">
        <v>0.0</v>
      </c>
      <c r="S175" s="208">
        <v>0.0</v>
      </c>
      <c r="T175" s="208">
        <v>0.0</v>
      </c>
      <c r="U175" s="208">
        <v>0.0</v>
      </c>
      <c r="V175" s="208">
        <v>46.0</v>
      </c>
      <c r="W175" s="208">
        <v>66.0</v>
      </c>
      <c r="X175" s="208">
        <v>68.0</v>
      </c>
      <c r="Y175" s="208">
        <v>3.0</v>
      </c>
      <c r="Z175" s="208">
        <v>10.0</v>
      </c>
      <c r="AA175" s="208">
        <v>0.0</v>
      </c>
      <c r="AB175" s="208">
        <v>0.0</v>
      </c>
      <c r="AC175" s="208">
        <v>6.0</v>
      </c>
      <c r="AD175" s="208">
        <v>8.0</v>
      </c>
      <c r="AE175" s="208">
        <v>17.0</v>
      </c>
      <c r="AF175" s="208">
        <v>101.0</v>
      </c>
      <c r="AG175" s="208">
        <v>27.0</v>
      </c>
      <c r="AH175" s="581">
        <f t="shared" si="1"/>
        <v>0</v>
      </c>
      <c r="AI175" s="581">
        <f t="shared" si="2"/>
        <v>3.740740741</v>
      </c>
      <c r="AJ175" s="124">
        <v>0.0</v>
      </c>
      <c r="AK175" s="208">
        <v>0.0</v>
      </c>
      <c r="AL175" s="582" t="str">
        <f t="shared" si="3"/>
        <v/>
      </c>
      <c r="AM175" s="208">
        <v>0.0</v>
      </c>
      <c r="AN175" s="582" t="str">
        <f t="shared" si="4"/>
        <v/>
      </c>
      <c r="AO175" s="583">
        <v>0.0</v>
      </c>
      <c r="AP175" s="208">
        <v>0.0</v>
      </c>
      <c r="AQ175" s="208">
        <v>265.0</v>
      </c>
      <c r="AR175" s="208">
        <v>3740.73</v>
      </c>
      <c r="AS175" s="208">
        <v>0.0</v>
      </c>
      <c r="AT175" s="208">
        <v>288.0</v>
      </c>
      <c r="AV175" s="124" t="str">
        <f t="shared" si="5"/>
        <v>Active</v>
      </c>
    </row>
    <row r="176">
      <c r="A176" s="124" t="s">
        <v>97</v>
      </c>
      <c r="B176" s="208" t="s">
        <v>101</v>
      </c>
      <c r="C176" s="208" t="s">
        <v>342</v>
      </c>
      <c r="D176" s="208" t="s">
        <v>1062</v>
      </c>
      <c r="E176" s="208" t="s">
        <v>343</v>
      </c>
      <c r="F176" s="580">
        <v>45751.0</v>
      </c>
      <c r="G176" s="208">
        <v>0.0</v>
      </c>
      <c r="H176" s="208">
        <v>1241625.0</v>
      </c>
      <c r="I176" s="208">
        <v>489139.7</v>
      </c>
      <c r="J176" s="208">
        <v>0.0</v>
      </c>
      <c r="K176" s="208">
        <v>229.0</v>
      </c>
      <c r="L176" s="208">
        <v>55.0</v>
      </c>
      <c r="M176" s="208">
        <v>2.0</v>
      </c>
      <c r="N176" s="208">
        <v>231.0</v>
      </c>
      <c r="O176" s="208">
        <v>176.0</v>
      </c>
      <c r="P176" s="208">
        <v>427090.9</v>
      </c>
      <c r="Q176" s="208">
        <v>62048.8</v>
      </c>
      <c r="R176" s="208">
        <v>20.0</v>
      </c>
      <c r="S176" s="208">
        <v>2.0</v>
      </c>
      <c r="T176" s="208">
        <v>22.0</v>
      </c>
      <c r="U176" s="208">
        <v>0.0</v>
      </c>
      <c r="V176" s="208">
        <v>35.0</v>
      </c>
      <c r="W176" s="208">
        <v>47.0</v>
      </c>
      <c r="X176" s="208">
        <v>38.0</v>
      </c>
      <c r="Y176" s="208">
        <v>2.0</v>
      </c>
      <c r="Z176" s="208">
        <v>16.0</v>
      </c>
      <c r="AA176" s="208">
        <v>0.0</v>
      </c>
      <c r="AB176" s="208">
        <v>0.0</v>
      </c>
      <c r="AC176" s="208">
        <v>0.0</v>
      </c>
      <c r="AD176" s="208">
        <v>0.0</v>
      </c>
      <c r="AE176" s="208">
        <v>113.0</v>
      </c>
      <c r="AF176" s="208">
        <v>176.0</v>
      </c>
      <c r="AG176" s="208">
        <v>24.0</v>
      </c>
      <c r="AH176" s="581">
        <f t="shared" si="1"/>
        <v>20380.82083</v>
      </c>
      <c r="AI176" s="581">
        <f t="shared" si="2"/>
        <v>7.333333333</v>
      </c>
      <c r="AJ176" s="124">
        <v>0.0</v>
      </c>
      <c r="AK176" s="208">
        <v>0.0</v>
      </c>
      <c r="AL176" s="582">
        <f t="shared" si="3"/>
        <v>0</v>
      </c>
      <c r="AM176" s="208">
        <v>22234.0</v>
      </c>
      <c r="AN176" s="582">
        <f t="shared" si="4"/>
        <v>0.3939512333</v>
      </c>
      <c r="AO176" s="583">
        <v>0.0</v>
      </c>
      <c r="AP176" s="208">
        <v>33.0</v>
      </c>
      <c r="AQ176" s="208">
        <v>229.0</v>
      </c>
      <c r="AR176" s="208">
        <v>1978.48</v>
      </c>
      <c r="AS176" s="208">
        <v>2.0</v>
      </c>
      <c r="AT176" s="208">
        <v>36.0</v>
      </c>
      <c r="AV176" s="124" t="str">
        <f t="shared" si="5"/>
        <v>Active</v>
      </c>
    </row>
    <row r="177">
      <c r="A177" s="124" t="s">
        <v>53</v>
      </c>
      <c r="B177" s="208" t="s">
        <v>56</v>
      </c>
      <c r="C177" s="208" t="s">
        <v>870</v>
      </c>
      <c r="D177" s="208" t="s">
        <v>1092</v>
      </c>
      <c r="E177" s="208" t="s">
        <v>71</v>
      </c>
      <c r="F177" s="580">
        <v>45761.0</v>
      </c>
      <c r="G177" s="208">
        <v>0.0</v>
      </c>
      <c r="H177" s="208">
        <v>0.0</v>
      </c>
      <c r="I177" s="208">
        <v>0.0</v>
      </c>
      <c r="J177" s="208">
        <v>0.0</v>
      </c>
      <c r="K177" s="208">
        <v>8.0</v>
      </c>
      <c r="L177" s="208">
        <v>0.0</v>
      </c>
      <c r="M177" s="208">
        <v>0.0</v>
      </c>
      <c r="N177" s="208">
        <v>8.0</v>
      </c>
      <c r="O177" s="208">
        <v>8.0</v>
      </c>
      <c r="P177" s="208">
        <v>0.0</v>
      </c>
      <c r="Q177" s="208">
        <v>0.0</v>
      </c>
      <c r="R177" s="208">
        <v>0.0</v>
      </c>
      <c r="S177" s="208">
        <v>0.0</v>
      </c>
      <c r="T177" s="208">
        <v>0.0</v>
      </c>
      <c r="U177" s="208">
        <v>0.0</v>
      </c>
      <c r="V177" s="208">
        <v>0.0</v>
      </c>
      <c r="W177" s="208">
        <v>0.0</v>
      </c>
      <c r="X177" s="208">
        <v>9.0</v>
      </c>
      <c r="Y177" s="208">
        <v>0.0</v>
      </c>
      <c r="Z177" s="208">
        <v>0.0</v>
      </c>
      <c r="AA177" s="208">
        <v>0.0</v>
      </c>
      <c r="AB177" s="208">
        <v>0.0</v>
      </c>
      <c r="AC177" s="208">
        <v>0.0</v>
      </c>
      <c r="AD177" s="208">
        <v>0.0</v>
      </c>
      <c r="AE177" s="208">
        <v>0.0</v>
      </c>
      <c r="AF177" s="208">
        <v>0.0</v>
      </c>
      <c r="AG177" s="208">
        <v>0.0</v>
      </c>
      <c r="AH177" s="581" t="str">
        <f t="shared" si="1"/>
        <v/>
      </c>
      <c r="AI177" s="581" t="str">
        <f t="shared" si="2"/>
        <v/>
      </c>
      <c r="AJ177" s="124">
        <v>0.0</v>
      </c>
      <c r="AK177" s="208">
        <v>0.0</v>
      </c>
      <c r="AL177" s="582" t="str">
        <f t="shared" si="3"/>
        <v/>
      </c>
      <c r="AM177" s="208">
        <v>0.0</v>
      </c>
      <c r="AN177" s="582" t="str">
        <f t="shared" si="4"/>
        <v/>
      </c>
      <c r="AO177" s="583">
        <v>0.0</v>
      </c>
      <c r="AP177" s="208">
        <v>0.0</v>
      </c>
      <c r="AQ177" s="208">
        <v>0.0</v>
      </c>
      <c r="AR177" s="208">
        <v>0.0</v>
      </c>
      <c r="AS177" s="208">
        <v>0.0</v>
      </c>
      <c r="AT177" s="208">
        <v>0.0</v>
      </c>
      <c r="AU177" s="584">
        <v>45771.0</v>
      </c>
      <c r="AV177" s="124" t="str">
        <f t="shared" si="5"/>
        <v>Left</v>
      </c>
    </row>
    <row r="178">
      <c r="A178" s="124" t="s">
        <v>866</v>
      </c>
      <c r="B178" s="208" t="s">
        <v>422</v>
      </c>
      <c r="C178" s="208" t="s">
        <v>871</v>
      </c>
      <c r="D178" s="208" t="s">
        <v>1094</v>
      </c>
      <c r="E178" s="208" t="s">
        <v>421</v>
      </c>
      <c r="F178" s="580">
        <v>45761.0</v>
      </c>
      <c r="G178" s="208">
        <v>0.0</v>
      </c>
      <c r="H178" s="208">
        <v>666667.0</v>
      </c>
      <c r="I178" s="208">
        <v>549291.82</v>
      </c>
      <c r="J178" s="208">
        <v>0.0</v>
      </c>
      <c r="K178" s="208">
        <v>28.0</v>
      </c>
      <c r="L178" s="208">
        <v>30.0</v>
      </c>
      <c r="M178" s="208">
        <v>12.0</v>
      </c>
      <c r="N178" s="208">
        <v>40.0</v>
      </c>
      <c r="O178" s="208">
        <v>10.0</v>
      </c>
      <c r="P178" s="208">
        <v>288752.79</v>
      </c>
      <c r="Q178" s="208">
        <v>260539.03</v>
      </c>
      <c r="R178" s="208">
        <v>10.0</v>
      </c>
      <c r="S178" s="208">
        <v>12.0</v>
      </c>
      <c r="T178" s="208">
        <v>22.0</v>
      </c>
      <c r="U178" s="208">
        <v>0.0</v>
      </c>
      <c r="V178" s="208">
        <v>98.0</v>
      </c>
      <c r="W178" s="208">
        <v>112.0</v>
      </c>
      <c r="X178" s="208">
        <v>122.0</v>
      </c>
      <c r="Y178" s="208">
        <v>1.0</v>
      </c>
      <c r="Z178" s="208">
        <v>14.0</v>
      </c>
      <c r="AA178" s="208">
        <v>0.0</v>
      </c>
      <c r="AB178" s="208">
        <v>0.0</v>
      </c>
      <c r="AC178" s="208">
        <v>5.0</v>
      </c>
      <c r="AD178" s="208">
        <v>5.0</v>
      </c>
      <c r="AE178" s="208">
        <v>38.0</v>
      </c>
      <c r="AF178" s="208">
        <v>169.0</v>
      </c>
      <c r="AG178" s="208">
        <v>25.0</v>
      </c>
      <c r="AH178" s="581">
        <f t="shared" si="1"/>
        <v>21971.6728</v>
      </c>
      <c r="AI178" s="581">
        <f t="shared" si="2"/>
        <v>6.76</v>
      </c>
      <c r="AJ178" s="588">
        <v>0.0</v>
      </c>
      <c r="AK178" s="208">
        <v>0.0</v>
      </c>
      <c r="AL178" s="582">
        <f t="shared" si="3"/>
        <v>0</v>
      </c>
      <c r="AM178" s="208">
        <v>24968.0</v>
      </c>
      <c r="AN178" s="582">
        <f t="shared" si="4"/>
        <v>0.823937318</v>
      </c>
      <c r="AO178" s="583">
        <v>0.0</v>
      </c>
      <c r="AP178" s="208">
        <v>24.0</v>
      </c>
      <c r="AQ178" s="208">
        <v>254.0</v>
      </c>
      <c r="AR178" s="208">
        <v>997.58</v>
      </c>
      <c r="AS178" s="208">
        <v>12.0</v>
      </c>
      <c r="AT178" s="208">
        <v>33.0</v>
      </c>
      <c r="AV178" s="124" t="str">
        <f t="shared" si="5"/>
        <v>Active</v>
      </c>
    </row>
    <row r="179">
      <c r="A179" s="124" t="s">
        <v>73</v>
      </c>
      <c r="B179" s="208" t="s">
        <v>1229</v>
      </c>
      <c r="C179" s="208" t="s">
        <v>360</v>
      </c>
      <c r="D179" s="208" t="s">
        <v>76</v>
      </c>
      <c r="E179" s="208" t="s">
        <v>82</v>
      </c>
      <c r="F179" s="580">
        <v>45765.0</v>
      </c>
      <c r="G179" s="208">
        <v>166667.0</v>
      </c>
      <c r="H179" s="208">
        <v>1000000.0</v>
      </c>
      <c r="I179" s="208">
        <v>195470.25</v>
      </c>
      <c r="J179" s="208">
        <v>0.0</v>
      </c>
      <c r="K179" s="208">
        <v>11.0</v>
      </c>
      <c r="L179" s="208">
        <v>10.0</v>
      </c>
      <c r="M179" s="208">
        <v>4.0</v>
      </c>
      <c r="N179" s="208">
        <v>15.0</v>
      </c>
      <c r="O179" s="208">
        <v>5.0</v>
      </c>
      <c r="P179" s="208">
        <v>52525.0</v>
      </c>
      <c r="Q179" s="208">
        <v>142945.25</v>
      </c>
      <c r="R179" s="208">
        <v>3.0</v>
      </c>
      <c r="S179" s="208">
        <v>4.0</v>
      </c>
      <c r="T179" s="208">
        <v>7.0</v>
      </c>
      <c r="U179" s="208">
        <v>0.0</v>
      </c>
      <c r="V179" s="208">
        <v>54.0</v>
      </c>
      <c r="W179" s="208">
        <v>78.0</v>
      </c>
      <c r="X179" s="208">
        <v>50.0</v>
      </c>
      <c r="Y179" s="208">
        <v>3.0</v>
      </c>
      <c r="Z179" s="208">
        <v>23.0</v>
      </c>
      <c r="AA179" s="208">
        <v>1.0</v>
      </c>
      <c r="AB179" s="208">
        <v>4.0</v>
      </c>
      <c r="AC179" s="208">
        <v>0.0</v>
      </c>
      <c r="AD179" s="208">
        <v>0.0</v>
      </c>
      <c r="AE179" s="208">
        <v>19.0</v>
      </c>
      <c r="AF179" s="208">
        <v>124.0</v>
      </c>
      <c r="AG179" s="208">
        <v>27.0</v>
      </c>
      <c r="AH179" s="581">
        <f t="shared" si="1"/>
        <v>7239.638889</v>
      </c>
      <c r="AI179" s="581">
        <f t="shared" si="2"/>
        <v>4.592592593</v>
      </c>
      <c r="AJ179" s="588">
        <v>4.0</v>
      </c>
      <c r="AK179" s="208">
        <v>0.0</v>
      </c>
      <c r="AL179" s="582">
        <f t="shared" si="3"/>
        <v>0.00002046347206</v>
      </c>
      <c r="AM179" s="208">
        <v>27924.0</v>
      </c>
      <c r="AN179" s="582">
        <f t="shared" si="4"/>
        <v>0.1675458807</v>
      </c>
      <c r="AO179" s="583">
        <v>0.0</v>
      </c>
      <c r="AP179" s="208">
        <v>13.0</v>
      </c>
      <c r="AQ179" s="208">
        <v>235.0</v>
      </c>
      <c r="AR179" s="208">
        <v>1543.07</v>
      </c>
      <c r="AS179" s="208">
        <v>4.0</v>
      </c>
      <c r="AT179" s="208">
        <v>154.0</v>
      </c>
      <c r="AV179" s="124" t="str">
        <f t="shared" si="5"/>
        <v>Active</v>
      </c>
    </row>
    <row r="180">
      <c r="A180" s="124" t="s">
        <v>185</v>
      </c>
      <c r="B180" s="208" t="s">
        <v>189</v>
      </c>
      <c r="C180" s="208" t="s">
        <v>283</v>
      </c>
      <c r="D180" s="208" t="s">
        <v>1016</v>
      </c>
      <c r="E180" s="208" t="s">
        <v>1117</v>
      </c>
      <c r="F180" s="580">
        <v>45784.0</v>
      </c>
      <c r="G180" s="208">
        <v>0.0</v>
      </c>
      <c r="H180" s="208">
        <v>2500000.0</v>
      </c>
      <c r="I180" s="208">
        <v>1994961.79</v>
      </c>
      <c r="J180" s="208">
        <v>0.0</v>
      </c>
      <c r="K180" s="208">
        <v>40.0</v>
      </c>
      <c r="L180" s="208">
        <v>39.0</v>
      </c>
      <c r="M180" s="208">
        <v>2.0</v>
      </c>
      <c r="N180" s="208">
        <v>42.0</v>
      </c>
      <c r="O180" s="208">
        <v>3.0</v>
      </c>
      <c r="P180" s="208">
        <v>1940527.23</v>
      </c>
      <c r="Q180" s="208">
        <v>54434.56</v>
      </c>
      <c r="R180" s="208">
        <v>15.0</v>
      </c>
      <c r="S180" s="208">
        <v>2.0</v>
      </c>
      <c r="T180" s="208">
        <v>17.0</v>
      </c>
      <c r="U180" s="208">
        <v>0.0</v>
      </c>
      <c r="V180" s="208">
        <v>11.0</v>
      </c>
      <c r="W180" s="208">
        <v>21.0</v>
      </c>
      <c r="X180" s="208">
        <v>13.0</v>
      </c>
      <c r="Y180" s="208">
        <v>1.0</v>
      </c>
      <c r="Z180" s="208">
        <v>1.0</v>
      </c>
      <c r="AA180" s="208">
        <v>0.0</v>
      </c>
      <c r="AB180" s="208">
        <v>0.0</v>
      </c>
      <c r="AC180" s="208">
        <v>0.0</v>
      </c>
      <c r="AD180" s="208">
        <v>0.0</v>
      </c>
      <c r="AE180" s="208">
        <v>122.0</v>
      </c>
      <c r="AF180" s="208">
        <v>144.0</v>
      </c>
      <c r="AG180" s="208">
        <v>26.0</v>
      </c>
      <c r="AH180" s="581">
        <f t="shared" si="1"/>
        <v>76729.29962</v>
      </c>
      <c r="AI180" s="581">
        <f t="shared" si="2"/>
        <v>5.538461538</v>
      </c>
      <c r="AJ180" s="124">
        <v>0.0</v>
      </c>
      <c r="AK180" s="208">
        <v>0.0</v>
      </c>
      <c r="AL180" s="582">
        <f t="shared" si="3"/>
        <v>0</v>
      </c>
      <c r="AM180" s="208">
        <v>117351.0</v>
      </c>
      <c r="AN180" s="582">
        <f t="shared" si="4"/>
        <v>0.797984716</v>
      </c>
      <c r="AO180" s="583">
        <v>0.0</v>
      </c>
      <c r="AP180" s="208">
        <v>34.0</v>
      </c>
      <c r="AQ180" s="208">
        <v>266.0</v>
      </c>
      <c r="AR180" s="208">
        <v>2195.31</v>
      </c>
      <c r="AS180" s="208">
        <v>2.0</v>
      </c>
      <c r="AT180" s="208">
        <v>56.0</v>
      </c>
      <c r="AV180" s="124" t="str">
        <f t="shared" si="5"/>
        <v>Active</v>
      </c>
    </row>
    <row r="181">
      <c r="A181" s="124" t="s">
        <v>47</v>
      </c>
      <c r="B181" s="208" t="s">
        <v>50</v>
      </c>
      <c r="C181" s="208" t="s">
        <v>872</v>
      </c>
      <c r="D181" s="208" t="s">
        <v>1091</v>
      </c>
      <c r="E181" s="208" t="s">
        <v>1115</v>
      </c>
      <c r="F181" s="580">
        <v>45782.0</v>
      </c>
      <c r="G181" s="208">
        <v>0.0</v>
      </c>
      <c r="H181" s="208">
        <v>0.0</v>
      </c>
      <c r="I181" s="208">
        <v>0.0</v>
      </c>
      <c r="J181" s="208">
        <v>0.0</v>
      </c>
      <c r="K181" s="208">
        <v>0.0</v>
      </c>
      <c r="L181" s="208">
        <v>0.0</v>
      </c>
      <c r="M181" s="208">
        <v>0.0</v>
      </c>
      <c r="N181" s="208">
        <v>0.0</v>
      </c>
      <c r="O181" s="208">
        <v>0.0</v>
      </c>
      <c r="P181" s="208">
        <v>0.0</v>
      </c>
      <c r="Q181" s="208">
        <v>0.0</v>
      </c>
      <c r="R181" s="208">
        <v>0.0</v>
      </c>
      <c r="S181" s="208">
        <v>0.0</v>
      </c>
      <c r="T181" s="208">
        <v>0.0</v>
      </c>
      <c r="U181" s="208">
        <v>0.0</v>
      </c>
      <c r="V181" s="208">
        <v>1.0</v>
      </c>
      <c r="W181" s="208">
        <v>3.0</v>
      </c>
      <c r="X181" s="208">
        <v>9.0</v>
      </c>
      <c r="Y181" s="208">
        <v>2.0</v>
      </c>
      <c r="Z181" s="208">
        <v>8.0</v>
      </c>
      <c r="AA181" s="208">
        <v>0.0</v>
      </c>
      <c r="AB181" s="208">
        <v>0.0</v>
      </c>
      <c r="AC181" s="208">
        <v>61.0</v>
      </c>
      <c r="AD181" s="208">
        <v>124.0</v>
      </c>
      <c r="AE181" s="208">
        <v>0.0</v>
      </c>
      <c r="AF181" s="208">
        <v>135.0</v>
      </c>
      <c r="AG181" s="208">
        <v>23.0</v>
      </c>
      <c r="AH181" s="581">
        <f t="shared" si="1"/>
        <v>0</v>
      </c>
      <c r="AI181" s="581">
        <f t="shared" si="2"/>
        <v>5.869565217</v>
      </c>
      <c r="AJ181" s="124">
        <v>0.0</v>
      </c>
      <c r="AK181" s="208">
        <v>0.0</v>
      </c>
      <c r="AL181" s="582" t="str">
        <f t="shared" si="3"/>
        <v/>
      </c>
      <c r="AM181" s="208">
        <v>0.0</v>
      </c>
      <c r="AN181" s="582" t="str">
        <f t="shared" si="4"/>
        <v/>
      </c>
      <c r="AO181" s="583">
        <v>0.0</v>
      </c>
      <c r="AP181" s="208">
        <v>0.0</v>
      </c>
      <c r="AQ181" s="208">
        <v>283.0</v>
      </c>
      <c r="AR181" s="208">
        <v>3611.27</v>
      </c>
      <c r="AS181" s="208">
        <v>0.0</v>
      </c>
      <c r="AT181" s="208">
        <v>0.0</v>
      </c>
      <c r="AV181" s="124" t="str">
        <f t="shared" si="5"/>
        <v>Active</v>
      </c>
    </row>
    <row r="182">
      <c r="A182" s="124" t="s">
        <v>97</v>
      </c>
      <c r="B182" s="208" t="s">
        <v>101</v>
      </c>
      <c r="C182" s="208" t="s">
        <v>106</v>
      </c>
      <c r="D182" s="208" t="s">
        <v>1062</v>
      </c>
      <c r="E182" s="208" t="s">
        <v>107</v>
      </c>
      <c r="F182" s="580">
        <v>45793.0</v>
      </c>
      <c r="G182" s="208">
        <v>0.0</v>
      </c>
      <c r="H182" s="208">
        <v>880000.0</v>
      </c>
      <c r="I182" s="208">
        <v>467010.6</v>
      </c>
      <c r="J182" s="208">
        <v>0.0</v>
      </c>
      <c r="K182" s="208">
        <v>52.0</v>
      </c>
      <c r="L182" s="208">
        <v>45.0</v>
      </c>
      <c r="M182" s="208">
        <v>9.0</v>
      </c>
      <c r="N182" s="208">
        <v>61.0</v>
      </c>
      <c r="O182" s="208">
        <v>16.0</v>
      </c>
      <c r="P182" s="208">
        <v>268705.8</v>
      </c>
      <c r="Q182" s="208">
        <v>198304.8</v>
      </c>
      <c r="R182" s="208">
        <v>18.0</v>
      </c>
      <c r="S182" s="208">
        <v>9.0</v>
      </c>
      <c r="T182" s="208">
        <v>27.0</v>
      </c>
      <c r="U182" s="208">
        <v>0.0</v>
      </c>
      <c r="V182" s="208">
        <v>3.0</v>
      </c>
      <c r="W182" s="208">
        <v>6.0</v>
      </c>
      <c r="X182" s="208">
        <v>0.0</v>
      </c>
      <c r="Y182" s="208">
        <v>1.0</v>
      </c>
      <c r="Z182" s="208">
        <v>1.0</v>
      </c>
      <c r="AA182" s="208">
        <v>0.0</v>
      </c>
      <c r="AB182" s="208">
        <v>0.0</v>
      </c>
      <c r="AC182" s="208">
        <v>0.0</v>
      </c>
      <c r="AD182" s="208">
        <v>0.0</v>
      </c>
      <c r="AE182" s="208">
        <v>120.0</v>
      </c>
      <c r="AF182" s="208">
        <v>127.0</v>
      </c>
      <c r="AG182" s="208">
        <v>24.0</v>
      </c>
      <c r="AH182" s="581">
        <f t="shared" si="1"/>
        <v>19458.775</v>
      </c>
      <c r="AI182" s="581">
        <f t="shared" si="2"/>
        <v>5.291666667</v>
      </c>
      <c r="AJ182" s="124">
        <v>0.0</v>
      </c>
      <c r="AK182" s="208">
        <v>0.0</v>
      </c>
      <c r="AL182" s="582">
        <f t="shared" si="3"/>
        <v>0</v>
      </c>
      <c r="AM182" s="208">
        <v>17297.0</v>
      </c>
      <c r="AN182" s="582">
        <f t="shared" si="4"/>
        <v>0.5306938636</v>
      </c>
      <c r="AO182" s="583">
        <v>0.0</v>
      </c>
      <c r="AP182" s="208">
        <v>32.0</v>
      </c>
      <c r="AQ182" s="208">
        <v>234.0</v>
      </c>
      <c r="AR182" s="208">
        <v>1236.29</v>
      </c>
      <c r="AS182" s="208">
        <v>9.0</v>
      </c>
      <c r="AT182" s="208">
        <v>27.0</v>
      </c>
      <c r="AV182" s="124" t="str">
        <f t="shared" si="5"/>
        <v>Active</v>
      </c>
    </row>
    <row r="183">
      <c r="A183" s="124" t="s">
        <v>185</v>
      </c>
      <c r="B183" s="208" t="s">
        <v>212</v>
      </c>
      <c r="C183" s="208" t="s">
        <v>784</v>
      </c>
      <c r="D183" s="208" t="s">
        <v>1031</v>
      </c>
      <c r="E183" s="208" t="s">
        <v>219</v>
      </c>
      <c r="F183" s="580">
        <v>45797.0</v>
      </c>
      <c r="G183" s="208">
        <v>0.0</v>
      </c>
      <c r="H183" s="208">
        <v>0.0</v>
      </c>
      <c r="I183" s="208">
        <v>0.0</v>
      </c>
      <c r="J183" s="208">
        <v>0.0</v>
      </c>
      <c r="K183" s="208">
        <v>48.0</v>
      </c>
      <c r="L183" s="208">
        <v>47.0</v>
      </c>
      <c r="M183" s="208">
        <v>1.0</v>
      </c>
      <c r="N183" s="208">
        <v>49.0</v>
      </c>
      <c r="O183" s="208">
        <v>2.0</v>
      </c>
      <c r="P183" s="208">
        <v>0.0</v>
      </c>
      <c r="Q183" s="208">
        <v>0.0</v>
      </c>
      <c r="R183" s="208">
        <v>0.0</v>
      </c>
      <c r="S183" s="208">
        <v>0.0</v>
      </c>
      <c r="T183" s="208">
        <v>0.0</v>
      </c>
      <c r="U183" s="208">
        <v>0.0</v>
      </c>
      <c r="V183" s="208">
        <v>14.0</v>
      </c>
      <c r="W183" s="208">
        <v>22.0</v>
      </c>
      <c r="X183" s="208">
        <v>4.0</v>
      </c>
      <c r="Y183" s="208">
        <v>7.0</v>
      </c>
      <c r="Z183" s="208">
        <v>20.0</v>
      </c>
      <c r="AA183" s="208">
        <v>2.0</v>
      </c>
      <c r="AB183" s="208">
        <v>2.0</v>
      </c>
      <c r="AC183" s="208">
        <v>4.0</v>
      </c>
      <c r="AD183" s="208">
        <v>4.0</v>
      </c>
      <c r="AE183" s="208">
        <v>51.0</v>
      </c>
      <c r="AF183" s="208">
        <v>99.0</v>
      </c>
      <c r="AG183" s="208">
        <v>24.0</v>
      </c>
      <c r="AH183" s="581">
        <f t="shared" si="1"/>
        <v>0</v>
      </c>
      <c r="AI183" s="581">
        <f t="shared" si="2"/>
        <v>4.125</v>
      </c>
      <c r="AJ183" s="124" t="e">
        <v>#N/A</v>
      </c>
      <c r="AK183" s="208">
        <v>0.0</v>
      </c>
      <c r="AL183" s="582" t="str">
        <f t="shared" si="3"/>
        <v/>
      </c>
      <c r="AM183" s="208">
        <v>0.0</v>
      </c>
      <c r="AN183" s="582" t="str">
        <f t="shared" si="4"/>
        <v/>
      </c>
      <c r="AO183" s="583">
        <v>0.0</v>
      </c>
      <c r="AP183" s="208">
        <v>0.0</v>
      </c>
      <c r="AQ183" s="208">
        <v>222.0</v>
      </c>
      <c r="AR183" s="208">
        <v>1726.04</v>
      </c>
      <c r="AS183" s="208">
        <v>0.0</v>
      </c>
      <c r="AT183" s="208">
        <v>37.0</v>
      </c>
      <c r="AV183" s="124" t="str">
        <f t="shared" si="5"/>
        <v>Active</v>
      </c>
    </row>
    <row r="184">
      <c r="A184" s="124" t="s">
        <v>185</v>
      </c>
      <c r="B184" s="208" t="s">
        <v>189</v>
      </c>
      <c r="C184" s="208" t="s">
        <v>874</v>
      </c>
      <c r="D184" s="208" t="s">
        <v>1016</v>
      </c>
      <c r="E184" s="208" t="s">
        <v>1118</v>
      </c>
      <c r="F184" s="580">
        <v>45796.0</v>
      </c>
      <c r="G184" s="208">
        <v>0.0</v>
      </c>
      <c r="H184" s="208">
        <v>0.0</v>
      </c>
      <c r="I184" s="208">
        <v>0.0</v>
      </c>
      <c r="J184" s="208">
        <v>0.0</v>
      </c>
      <c r="K184" s="208">
        <v>0.0</v>
      </c>
      <c r="L184" s="208">
        <v>0.0</v>
      </c>
      <c r="M184" s="208">
        <v>0.0</v>
      </c>
      <c r="N184" s="208">
        <v>0.0</v>
      </c>
      <c r="O184" s="208">
        <v>0.0</v>
      </c>
      <c r="P184" s="208">
        <v>0.0</v>
      </c>
      <c r="Q184" s="208">
        <v>0.0</v>
      </c>
      <c r="R184" s="208">
        <v>0.0</v>
      </c>
      <c r="S184" s="208">
        <v>0.0</v>
      </c>
      <c r="T184" s="208">
        <v>0.0</v>
      </c>
      <c r="U184" s="208">
        <v>0.0</v>
      </c>
      <c r="V184" s="208">
        <v>0.0</v>
      </c>
      <c r="W184" s="208">
        <v>0.0</v>
      </c>
      <c r="X184" s="208">
        <v>0.0</v>
      </c>
      <c r="Y184" s="208">
        <v>0.0</v>
      </c>
      <c r="Z184" s="208">
        <v>0.0</v>
      </c>
      <c r="AA184" s="208">
        <v>0.0</v>
      </c>
      <c r="AB184" s="208">
        <v>0.0</v>
      </c>
      <c r="AC184" s="208">
        <v>0.0</v>
      </c>
      <c r="AD184" s="208">
        <v>0.0</v>
      </c>
      <c r="AE184" s="208">
        <v>0.0</v>
      </c>
      <c r="AF184" s="208">
        <v>0.0</v>
      </c>
      <c r="AG184" s="208">
        <v>0.0</v>
      </c>
      <c r="AH184" s="581" t="str">
        <f t="shared" si="1"/>
        <v/>
      </c>
      <c r="AI184" s="581" t="str">
        <f t="shared" si="2"/>
        <v/>
      </c>
      <c r="AJ184" s="124">
        <v>0.0</v>
      </c>
      <c r="AK184" s="208">
        <v>0.0</v>
      </c>
      <c r="AL184" s="582" t="str">
        <f t="shared" si="3"/>
        <v/>
      </c>
      <c r="AM184" s="208">
        <v>0.0</v>
      </c>
      <c r="AN184" s="582" t="str">
        <f t="shared" si="4"/>
        <v/>
      </c>
      <c r="AO184" s="583">
        <v>0.0</v>
      </c>
      <c r="AP184" s="208">
        <v>0.0</v>
      </c>
      <c r="AQ184" s="208">
        <v>0.0</v>
      </c>
      <c r="AR184" s="208">
        <v>0.0</v>
      </c>
      <c r="AS184" s="208">
        <v>0.0</v>
      </c>
      <c r="AT184" s="208">
        <v>0.0</v>
      </c>
      <c r="AU184" s="587">
        <v>45804.0</v>
      </c>
      <c r="AV184" s="124" t="str">
        <f t="shared" si="5"/>
        <v>Left</v>
      </c>
    </row>
    <row r="185">
      <c r="A185" s="124" t="s">
        <v>126</v>
      </c>
      <c r="B185" s="208" t="s">
        <v>130</v>
      </c>
      <c r="C185" s="208" t="s">
        <v>447</v>
      </c>
      <c r="D185" s="208" t="s">
        <v>130</v>
      </c>
      <c r="E185" s="208" t="s">
        <v>448</v>
      </c>
      <c r="F185" s="580">
        <v>45797.0</v>
      </c>
      <c r="G185" s="208">
        <v>0.0</v>
      </c>
      <c r="H185" s="208">
        <v>1200000.0</v>
      </c>
      <c r="I185" s="208">
        <v>288908.5</v>
      </c>
      <c r="J185" s="208">
        <v>0.0</v>
      </c>
      <c r="K185" s="208">
        <v>26.0</v>
      </c>
      <c r="L185" s="208">
        <v>26.0</v>
      </c>
      <c r="M185" s="208">
        <v>6.0</v>
      </c>
      <c r="N185" s="208">
        <v>32.0</v>
      </c>
      <c r="O185" s="208">
        <v>6.0</v>
      </c>
      <c r="P185" s="208">
        <v>69401.35</v>
      </c>
      <c r="Q185" s="208">
        <v>219507.15</v>
      </c>
      <c r="R185" s="208">
        <v>1.0</v>
      </c>
      <c r="S185" s="208">
        <v>6.0</v>
      </c>
      <c r="T185" s="208">
        <v>7.0</v>
      </c>
      <c r="U185" s="208">
        <v>0.0</v>
      </c>
      <c r="V185" s="208">
        <v>70.0</v>
      </c>
      <c r="W185" s="208">
        <v>107.0</v>
      </c>
      <c r="X185" s="208">
        <v>36.0</v>
      </c>
      <c r="Y185" s="208">
        <v>1.0</v>
      </c>
      <c r="Z185" s="208">
        <v>4.0</v>
      </c>
      <c r="AA185" s="208">
        <v>0.0</v>
      </c>
      <c r="AB185" s="208">
        <v>0.0</v>
      </c>
      <c r="AC185" s="208">
        <v>0.0</v>
      </c>
      <c r="AD185" s="208">
        <v>0.0</v>
      </c>
      <c r="AE185" s="208">
        <v>43.0</v>
      </c>
      <c r="AF185" s="208">
        <v>154.0</v>
      </c>
      <c r="AG185" s="208">
        <v>24.0</v>
      </c>
      <c r="AH185" s="581">
        <f t="shared" si="1"/>
        <v>12037.85417</v>
      </c>
      <c r="AI185" s="581">
        <f t="shared" si="2"/>
        <v>6.416666667</v>
      </c>
      <c r="AJ185" s="124">
        <v>0.0</v>
      </c>
      <c r="AK185" s="208">
        <v>0.0</v>
      </c>
      <c r="AL185" s="582">
        <f t="shared" si="3"/>
        <v>0</v>
      </c>
      <c r="AM185" s="208">
        <v>41273.0</v>
      </c>
      <c r="AN185" s="582">
        <f t="shared" si="4"/>
        <v>0.2407570833</v>
      </c>
      <c r="AO185" s="583">
        <v>0.0</v>
      </c>
      <c r="AP185" s="208">
        <v>9.0</v>
      </c>
      <c r="AQ185" s="208">
        <v>264.0</v>
      </c>
      <c r="AR185" s="208">
        <v>2024.51</v>
      </c>
      <c r="AS185" s="208">
        <v>6.0</v>
      </c>
      <c r="AT185" s="208">
        <v>78.0</v>
      </c>
      <c r="AV185" s="124" t="str">
        <f t="shared" si="5"/>
        <v>Active</v>
      </c>
    </row>
    <row r="186">
      <c r="A186" s="124" t="s">
        <v>185</v>
      </c>
      <c r="B186" s="208" t="s">
        <v>85</v>
      </c>
      <c r="C186" s="208" t="s">
        <v>395</v>
      </c>
      <c r="D186" s="208" t="s">
        <v>1058</v>
      </c>
      <c r="E186" s="208" t="s">
        <v>396</v>
      </c>
      <c r="F186" s="580">
        <v>45817.0</v>
      </c>
      <c r="G186" s="208">
        <v>0.0</v>
      </c>
      <c r="H186" s="208">
        <v>1500000.0</v>
      </c>
      <c r="I186" s="208">
        <v>66055.0</v>
      </c>
      <c r="J186" s="208">
        <v>0.0</v>
      </c>
      <c r="K186" s="208">
        <v>6.0</v>
      </c>
      <c r="L186" s="208">
        <v>7.0</v>
      </c>
      <c r="M186" s="208">
        <v>1.0</v>
      </c>
      <c r="N186" s="208">
        <v>7.0</v>
      </c>
      <c r="O186" s="208">
        <v>0.0</v>
      </c>
      <c r="P186" s="208">
        <v>23980.0</v>
      </c>
      <c r="Q186" s="208">
        <v>42075.0</v>
      </c>
      <c r="R186" s="208">
        <v>1.0</v>
      </c>
      <c r="S186" s="208">
        <v>1.0</v>
      </c>
      <c r="T186" s="208">
        <v>2.0</v>
      </c>
      <c r="U186" s="208">
        <v>0.0</v>
      </c>
      <c r="V186" s="208">
        <v>14.0</v>
      </c>
      <c r="W186" s="208">
        <v>44.0</v>
      </c>
      <c r="X186" s="208">
        <v>2.0</v>
      </c>
      <c r="Y186" s="208">
        <v>1.0</v>
      </c>
      <c r="Z186" s="208">
        <v>2.0</v>
      </c>
      <c r="AA186" s="208">
        <v>0.0</v>
      </c>
      <c r="AB186" s="208">
        <v>0.0</v>
      </c>
      <c r="AC186" s="208">
        <v>0.0</v>
      </c>
      <c r="AD186" s="208">
        <v>0.0</v>
      </c>
      <c r="AE186" s="208">
        <v>21.0</v>
      </c>
      <c r="AF186" s="208">
        <v>67.0</v>
      </c>
      <c r="AG186" s="208">
        <v>24.0</v>
      </c>
      <c r="AH186" s="581">
        <f t="shared" si="1"/>
        <v>2752.291667</v>
      </c>
      <c r="AI186" s="581">
        <f t="shared" si="2"/>
        <v>2.791666667</v>
      </c>
      <c r="AJ186" s="124">
        <v>0.0</v>
      </c>
      <c r="AK186" s="208">
        <v>0.0</v>
      </c>
      <c r="AL186" s="582">
        <f t="shared" si="3"/>
        <v>0</v>
      </c>
      <c r="AM186" s="208">
        <v>33028.0</v>
      </c>
      <c r="AN186" s="582">
        <f t="shared" si="4"/>
        <v>0.04403666667</v>
      </c>
      <c r="AO186" s="583">
        <v>0.0</v>
      </c>
      <c r="AP186" s="208">
        <v>2.0</v>
      </c>
      <c r="AQ186" s="208">
        <v>265.0</v>
      </c>
      <c r="AR186" s="208">
        <v>1744.46</v>
      </c>
      <c r="AS186" s="208">
        <v>1.0</v>
      </c>
      <c r="AT186" s="208">
        <v>249.0</v>
      </c>
      <c r="AV186" s="124" t="str">
        <f t="shared" si="5"/>
        <v>Active</v>
      </c>
    </row>
    <row r="187">
      <c r="A187" s="124" t="s">
        <v>53</v>
      </c>
      <c r="B187" s="208" t="s">
        <v>56</v>
      </c>
      <c r="C187" s="208" t="s">
        <v>366</v>
      </c>
      <c r="D187" s="208" t="s">
        <v>1092</v>
      </c>
      <c r="E187" s="208" t="s">
        <v>71</v>
      </c>
      <c r="F187" s="580">
        <v>45812.0</v>
      </c>
      <c r="G187" s="208">
        <v>0.0</v>
      </c>
      <c r="H187" s="208">
        <v>0.0</v>
      </c>
      <c r="I187" s="208">
        <v>11039.0</v>
      </c>
      <c r="J187" s="208">
        <v>0.0</v>
      </c>
      <c r="K187" s="208">
        <v>12.0</v>
      </c>
      <c r="L187" s="208">
        <v>7.0</v>
      </c>
      <c r="M187" s="208">
        <v>0.0</v>
      </c>
      <c r="N187" s="208">
        <v>12.0</v>
      </c>
      <c r="O187" s="208">
        <v>5.0</v>
      </c>
      <c r="P187" s="208">
        <v>11039.0</v>
      </c>
      <c r="Q187" s="208">
        <v>0.0</v>
      </c>
      <c r="R187" s="208">
        <v>1.0</v>
      </c>
      <c r="S187" s="208">
        <v>0.0</v>
      </c>
      <c r="T187" s="208">
        <v>1.0</v>
      </c>
      <c r="U187" s="208">
        <v>0.0</v>
      </c>
      <c r="V187" s="208">
        <v>0.0</v>
      </c>
      <c r="W187" s="208">
        <v>0.0</v>
      </c>
      <c r="X187" s="208">
        <v>77.0</v>
      </c>
      <c r="Y187" s="208">
        <v>1.0</v>
      </c>
      <c r="Z187" s="208">
        <v>2.0</v>
      </c>
      <c r="AA187" s="208">
        <v>0.0</v>
      </c>
      <c r="AB187" s="208">
        <v>0.0</v>
      </c>
      <c r="AC187" s="208">
        <v>2.0</v>
      </c>
      <c r="AD187" s="208">
        <v>2.0</v>
      </c>
      <c r="AE187" s="208">
        <v>11.0</v>
      </c>
      <c r="AF187" s="208">
        <v>15.0</v>
      </c>
      <c r="AG187" s="208">
        <v>6.0</v>
      </c>
      <c r="AH187" s="581">
        <f t="shared" si="1"/>
        <v>1839.833333</v>
      </c>
      <c r="AI187" s="581">
        <f t="shared" si="2"/>
        <v>2.5</v>
      </c>
      <c r="AJ187" s="124">
        <v>0.0</v>
      </c>
      <c r="AK187" s="208">
        <v>0.0</v>
      </c>
      <c r="AL187" s="582">
        <f t="shared" si="3"/>
        <v>0</v>
      </c>
      <c r="AM187" s="208">
        <v>11039.0</v>
      </c>
      <c r="AN187" s="582" t="str">
        <f t="shared" si="4"/>
        <v/>
      </c>
      <c r="AO187" s="583">
        <v>0.0</v>
      </c>
      <c r="AP187" s="208">
        <v>1.0</v>
      </c>
      <c r="AQ187" s="208">
        <v>61.0</v>
      </c>
      <c r="AR187" s="208">
        <v>377.39</v>
      </c>
      <c r="AS187" s="208">
        <v>0.0</v>
      </c>
      <c r="AT187" s="208">
        <v>54.0</v>
      </c>
      <c r="AU187" s="584">
        <v>45849.0</v>
      </c>
      <c r="AV187" s="124" t="str">
        <f t="shared" si="5"/>
        <v>Left</v>
      </c>
    </row>
    <row r="188">
      <c r="A188" s="124" t="s">
        <v>322</v>
      </c>
      <c r="B188" s="208" t="s">
        <v>325</v>
      </c>
      <c r="C188" s="208" t="s">
        <v>328</v>
      </c>
      <c r="D188" s="208" t="s">
        <v>1049</v>
      </c>
      <c r="E188" s="208" t="s">
        <v>329</v>
      </c>
      <c r="F188" s="580">
        <v>45810.0</v>
      </c>
      <c r="G188" s="208">
        <v>0.0</v>
      </c>
      <c r="H188" s="208">
        <v>800000.0</v>
      </c>
      <c r="I188" s="208">
        <v>219059.16</v>
      </c>
      <c r="J188" s="208">
        <v>0.0</v>
      </c>
      <c r="K188" s="208">
        <v>14.0</v>
      </c>
      <c r="L188" s="208">
        <v>17.0</v>
      </c>
      <c r="M188" s="208">
        <v>4.0</v>
      </c>
      <c r="N188" s="208">
        <v>18.0</v>
      </c>
      <c r="O188" s="208">
        <v>1.0</v>
      </c>
      <c r="P188" s="208">
        <v>138289.64</v>
      </c>
      <c r="Q188" s="208">
        <v>80769.52</v>
      </c>
      <c r="R188" s="208">
        <v>6.0</v>
      </c>
      <c r="S188" s="208">
        <v>4.0</v>
      </c>
      <c r="T188" s="208">
        <v>10.0</v>
      </c>
      <c r="U188" s="208">
        <v>0.0</v>
      </c>
      <c r="V188" s="208">
        <v>74.0</v>
      </c>
      <c r="W188" s="208">
        <v>94.0</v>
      </c>
      <c r="X188" s="208">
        <v>25.0</v>
      </c>
      <c r="Y188" s="208">
        <v>1.0</v>
      </c>
      <c r="Z188" s="208">
        <v>4.0</v>
      </c>
      <c r="AA188" s="208">
        <v>0.0</v>
      </c>
      <c r="AB188" s="208">
        <v>0.0</v>
      </c>
      <c r="AC188" s="208">
        <v>1.0</v>
      </c>
      <c r="AD188" s="208">
        <v>1.0</v>
      </c>
      <c r="AE188" s="208">
        <v>29.0</v>
      </c>
      <c r="AF188" s="208">
        <v>128.0</v>
      </c>
      <c r="AG188" s="208">
        <v>24.0</v>
      </c>
      <c r="AH188" s="581">
        <f t="shared" si="1"/>
        <v>9127.465</v>
      </c>
      <c r="AI188" s="581">
        <f t="shared" si="2"/>
        <v>5.333333333</v>
      </c>
      <c r="AJ188" s="124">
        <v>0.0</v>
      </c>
      <c r="AK188" s="208">
        <v>0.0</v>
      </c>
      <c r="AL188" s="582">
        <f t="shared" si="3"/>
        <v>0</v>
      </c>
      <c r="AM188" s="208">
        <v>21906.0</v>
      </c>
      <c r="AN188" s="582">
        <f t="shared" si="4"/>
        <v>0.27382395</v>
      </c>
      <c r="AO188" s="583">
        <v>0.0</v>
      </c>
      <c r="AP188" s="208">
        <v>19.0</v>
      </c>
      <c r="AQ188" s="208">
        <v>194.0</v>
      </c>
      <c r="AR188" s="208">
        <v>822.23</v>
      </c>
      <c r="AS188" s="208">
        <v>4.0</v>
      </c>
      <c r="AT188" s="208">
        <v>48.0</v>
      </c>
      <c r="AV188" s="124" t="str">
        <f t="shared" si="5"/>
        <v>Active</v>
      </c>
    </row>
    <row r="189">
      <c r="A189" s="124" t="s">
        <v>185</v>
      </c>
      <c r="B189" s="208" t="s">
        <v>189</v>
      </c>
      <c r="C189" s="208" t="s">
        <v>285</v>
      </c>
      <c r="D189" s="208" t="s">
        <v>1016</v>
      </c>
      <c r="E189" s="208" t="s">
        <v>187</v>
      </c>
      <c r="F189" s="580">
        <v>45817.0</v>
      </c>
      <c r="G189" s="208">
        <v>0.0</v>
      </c>
      <c r="H189" s="208">
        <v>1500000.0</v>
      </c>
      <c r="I189" s="208">
        <v>218573.89</v>
      </c>
      <c r="J189" s="208">
        <v>0.0</v>
      </c>
      <c r="K189" s="208">
        <v>39.0</v>
      </c>
      <c r="L189" s="208">
        <v>31.0</v>
      </c>
      <c r="M189" s="208">
        <v>6.0</v>
      </c>
      <c r="N189" s="208">
        <v>45.0</v>
      </c>
      <c r="O189" s="208">
        <v>14.0</v>
      </c>
      <c r="P189" s="208">
        <v>102569.2</v>
      </c>
      <c r="Q189" s="208">
        <v>116004.69</v>
      </c>
      <c r="R189" s="208">
        <v>4.0</v>
      </c>
      <c r="S189" s="208">
        <v>6.0</v>
      </c>
      <c r="T189" s="208">
        <v>10.0</v>
      </c>
      <c r="U189" s="208">
        <v>0.0</v>
      </c>
      <c r="V189" s="208">
        <v>80.0</v>
      </c>
      <c r="W189" s="208">
        <v>102.0</v>
      </c>
      <c r="X189" s="208">
        <v>74.0</v>
      </c>
      <c r="Y189" s="208">
        <v>2.0</v>
      </c>
      <c r="Z189" s="208">
        <v>3.0</v>
      </c>
      <c r="AA189" s="208">
        <v>0.0</v>
      </c>
      <c r="AB189" s="208">
        <v>0.0</v>
      </c>
      <c r="AC189" s="208">
        <v>0.0</v>
      </c>
      <c r="AD189" s="208">
        <v>0.0</v>
      </c>
      <c r="AE189" s="208">
        <v>48.0</v>
      </c>
      <c r="AF189" s="208">
        <v>153.0</v>
      </c>
      <c r="AG189" s="208">
        <v>25.0</v>
      </c>
      <c r="AH189" s="581">
        <f t="shared" si="1"/>
        <v>8742.9556</v>
      </c>
      <c r="AI189" s="581">
        <f t="shared" si="2"/>
        <v>6.12</v>
      </c>
      <c r="AJ189" s="124">
        <v>0.0</v>
      </c>
      <c r="AK189" s="208">
        <v>0.0</v>
      </c>
      <c r="AL189" s="582">
        <f t="shared" si="3"/>
        <v>0</v>
      </c>
      <c r="AM189" s="208">
        <v>21857.0</v>
      </c>
      <c r="AN189" s="582">
        <f t="shared" si="4"/>
        <v>0.1457159267</v>
      </c>
      <c r="AO189" s="583">
        <v>0.0</v>
      </c>
      <c r="AP189" s="208">
        <v>13.0</v>
      </c>
      <c r="AQ189" s="208">
        <v>260.0</v>
      </c>
      <c r="AR189" s="208">
        <v>1403.39</v>
      </c>
      <c r="AS189" s="208">
        <v>6.0</v>
      </c>
      <c r="AT189" s="208">
        <v>45.0</v>
      </c>
      <c r="AV189" s="124" t="str">
        <f t="shared" si="5"/>
        <v>Active</v>
      </c>
    </row>
    <row r="190">
      <c r="A190" s="124" t="s">
        <v>185</v>
      </c>
      <c r="B190" s="208" t="s">
        <v>189</v>
      </c>
      <c r="C190" s="208" t="s">
        <v>408</v>
      </c>
      <c r="D190" s="208" t="s">
        <v>1016</v>
      </c>
      <c r="E190" s="208" t="s">
        <v>409</v>
      </c>
      <c r="F190" s="580">
        <v>45824.0</v>
      </c>
      <c r="G190" s="208">
        <v>0.0</v>
      </c>
      <c r="H190" s="208">
        <v>0.0</v>
      </c>
      <c r="I190" s="208">
        <v>13728.0</v>
      </c>
      <c r="J190" s="208">
        <v>0.0</v>
      </c>
      <c r="K190" s="208">
        <v>12.0</v>
      </c>
      <c r="L190" s="208">
        <v>2.0</v>
      </c>
      <c r="M190" s="208">
        <v>0.0</v>
      </c>
      <c r="N190" s="208">
        <v>12.0</v>
      </c>
      <c r="O190" s="208">
        <v>10.0</v>
      </c>
      <c r="P190" s="208">
        <v>13728.0</v>
      </c>
      <c r="Q190" s="208">
        <v>0.0</v>
      </c>
      <c r="R190" s="208">
        <v>1.0</v>
      </c>
      <c r="S190" s="208">
        <v>0.0</v>
      </c>
      <c r="T190" s="208">
        <v>1.0</v>
      </c>
      <c r="U190" s="208">
        <v>0.0</v>
      </c>
      <c r="V190" s="208">
        <v>0.0</v>
      </c>
      <c r="W190" s="208">
        <v>0.0</v>
      </c>
      <c r="X190" s="208">
        <v>2.0</v>
      </c>
      <c r="Y190" s="208">
        <v>0.0</v>
      </c>
      <c r="Z190" s="208">
        <v>0.0</v>
      </c>
      <c r="AA190" s="208">
        <v>0.0</v>
      </c>
      <c r="AB190" s="208">
        <v>0.0</v>
      </c>
      <c r="AC190" s="208">
        <v>0.0</v>
      </c>
      <c r="AD190" s="208">
        <v>0.0</v>
      </c>
      <c r="AE190" s="208">
        <v>2.0</v>
      </c>
      <c r="AF190" s="208">
        <v>2.0</v>
      </c>
      <c r="AG190" s="208">
        <v>4.0</v>
      </c>
      <c r="AH190" s="581">
        <f t="shared" si="1"/>
        <v>3432</v>
      </c>
      <c r="AI190" s="581">
        <f t="shared" si="2"/>
        <v>0.5</v>
      </c>
      <c r="AJ190" s="588">
        <v>0.0</v>
      </c>
      <c r="AK190" s="208">
        <v>0.0</v>
      </c>
      <c r="AL190" s="582">
        <f t="shared" si="3"/>
        <v>0</v>
      </c>
      <c r="AM190" s="208">
        <v>13728.0</v>
      </c>
      <c r="AN190" s="582" t="str">
        <f t="shared" si="4"/>
        <v/>
      </c>
      <c r="AO190" s="583">
        <v>0.0</v>
      </c>
      <c r="AP190" s="208">
        <v>1.0</v>
      </c>
      <c r="AQ190" s="208">
        <v>44.0</v>
      </c>
      <c r="AR190" s="208">
        <v>119.48</v>
      </c>
      <c r="AS190" s="208">
        <v>0.0</v>
      </c>
      <c r="AT190" s="208">
        <v>60.0</v>
      </c>
      <c r="AU190" s="584">
        <v>45852.0</v>
      </c>
      <c r="AV190" s="124" t="str">
        <f t="shared" si="5"/>
        <v>Left</v>
      </c>
    </row>
    <row r="191">
      <c r="A191" s="124" t="s">
        <v>185</v>
      </c>
      <c r="B191" s="208" t="s">
        <v>85</v>
      </c>
      <c r="C191" s="208" t="s">
        <v>397</v>
      </c>
      <c r="D191" s="208" t="s">
        <v>1058</v>
      </c>
      <c r="E191" s="208" t="s">
        <v>398</v>
      </c>
      <c r="F191" s="580">
        <v>45824.0</v>
      </c>
      <c r="G191" s="208">
        <v>0.0</v>
      </c>
      <c r="H191" s="208">
        <v>1500000.0</v>
      </c>
      <c r="I191" s="208">
        <v>0.0</v>
      </c>
      <c r="J191" s="208">
        <v>0.0</v>
      </c>
      <c r="K191" s="208">
        <v>10.0</v>
      </c>
      <c r="L191" s="208">
        <v>10.0</v>
      </c>
      <c r="M191" s="208">
        <v>0.0</v>
      </c>
      <c r="N191" s="208">
        <v>10.0</v>
      </c>
      <c r="O191" s="208">
        <v>0.0</v>
      </c>
      <c r="P191" s="208">
        <v>0.0</v>
      </c>
      <c r="Q191" s="208">
        <v>0.0</v>
      </c>
      <c r="R191" s="208">
        <v>0.0</v>
      </c>
      <c r="S191" s="208">
        <v>0.0</v>
      </c>
      <c r="T191" s="208">
        <v>0.0</v>
      </c>
      <c r="U191" s="208">
        <v>0.0</v>
      </c>
      <c r="V191" s="208">
        <v>55.0</v>
      </c>
      <c r="W191" s="208">
        <v>69.0</v>
      </c>
      <c r="X191" s="208">
        <v>1.0</v>
      </c>
      <c r="Y191" s="208">
        <v>0.0</v>
      </c>
      <c r="Z191" s="208">
        <v>0.0</v>
      </c>
      <c r="AA191" s="208">
        <v>0.0</v>
      </c>
      <c r="AB191" s="208">
        <v>0.0</v>
      </c>
      <c r="AC191" s="208">
        <v>2.0</v>
      </c>
      <c r="AD191" s="208">
        <v>3.0</v>
      </c>
      <c r="AE191" s="208">
        <v>16.0</v>
      </c>
      <c r="AF191" s="208">
        <v>88.0</v>
      </c>
      <c r="AG191" s="208">
        <v>25.0</v>
      </c>
      <c r="AH191" s="581">
        <f t="shared" si="1"/>
        <v>0</v>
      </c>
      <c r="AI191" s="581">
        <f t="shared" si="2"/>
        <v>3.52</v>
      </c>
      <c r="AJ191" s="588">
        <v>0.0</v>
      </c>
      <c r="AK191" s="208">
        <v>0.0</v>
      </c>
      <c r="AL191" s="582" t="str">
        <f t="shared" si="3"/>
        <v/>
      </c>
      <c r="AM191" s="208">
        <v>0.0</v>
      </c>
      <c r="AN191" s="582">
        <f t="shared" si="4"/>
        <v>0</v>
      </c>
      <c r="AO191" s="583">
        <v>0.0</v>
      </c>
      <c r="AP191" s="208">
        <v>0.0</v>
      </c>
      <c r="AQ191" s="208">
        <v>213.0</v>
      </c>
      <c r="AR191" s="208">
        <v>907.2</v>
      </c>
      <c r="AS191" s="208">
        <v>0.0</v>
      </c>
      <c r="AT191" s="208">
        <v>91.0</v>
      </c>
      <c r="AV191" s="124" t="str">
        <f t="shared" si="5"/>
        <v>Active</v>
      </c>
    </row>
    <row r="192">
      <c r="A192" s="124" t="s">
        <v>23</v>
      </c>
      <c r="B192" s="208" t="s">
        <v>1110</v>
      </c>
      <c r="C192" s="208" t="s">
        <v>875</v>
      </c>
      <c r="D192" s="208" t="s">
        <v>1110</v>
      </c>
      <c r="E192" s="208" t="s">
        <v>42</v>
      </c>
      <c r="F192" s="580">
        <v>45828.0</v>
      </c>
      <c r="G192" s="208">
        <v>0.0</v>
      </c>
      <c r="H192" s="208">
        <v>0.0</v>
      </c>
      <c r="I192" s="208">
        <v>0.0</v>
      </c>
      <c r="J192" s="208">
        <v>0.0</v>
      </c>
      <c r="K192" s="208">
        <v>0.0</v>
      </c>
      <c r="L192" s="208">
        <v>0.0</v>
      </c>
      <c r="M192" s="208">
        <v>0.0</v>
      </c>
      <c r="N192" s="208">
        <v>0.0</v>
      </c>
      <c r="O192" s="208">
        <v>0.0</v>
      </c>
      <c r="P192" s="208">
        <v>0.0</v>
      </c>
      <c r="Q192" s="208">
        <v>0.0</v>
      </c>
      <c r="R192" s="208">
        <v>0.0</v>
      </c>
      <c r="S192" s="208">
        <v>0.0</v>
      </c>
      <c r="T192" s="208">
        <v>0.0</v>
      </c>
      <c r="U192" s="208">
        <v>0.0</v>
      </c>
      <c r="V192" s="208">
        <v>0.0</v>
      </c>
      <c r="W192" s="208">
        <v>0.0</v>
      </c>
      <c r="X192" s="208">
        <v>1.0</v>
      </c>
      <c r="Y192" s="208">
        <v>0.0</v>
      </c>
      <c r="Z192" s="208">
        <v>0.0</v>
      </c>
      <c r="AA192" s="208">
        <v>0.0</v>
      </c>
      <c r="AB192" s="208">
        <v>0.0</v>
      </c>
      <c r="AC192" s="208">
        <v>0.0</v>
      </c>
      <c r="AD192" s="208">
        <v>0.0</v>
      </c>
      <c r="AE192" s="208">
        <v>0.0</v>
      </c>
      <c r="AF192" s="208">
        <v>0.0</v>
      </c>
      <c r="AG192" s="208">
        <v>0.0</v>
      </c>
      <c r="AH192" s="581" t="str">
        <f t="shared" si="1"/>
        <v/>
      </c>
      <c r="AI192" s="581" t="str">
        <f t="shared" si="2"/>
        <v/>
      </c>
      <c r="AJ192" s="124">
        <v>0.0</v>
      </c>
      <c r="AK192" s="208">
        <v>0.0</v>
      </c>
      <c r="AL192" s="582" t="str">
        <f t="shared" si="3"/>
        <v/>
      </c>
      <c r="AM192" s="208">
        <v>0.0</v>
      </c>
      <c r="AN192" s="582" t="str">
        <f t="shared" si="4"/>
        <v/>
      </c>
      <c r="AO192" s="583">
        <v>0.0</v>
      </c>
      <c r="AP192" s="208">
        <v>0.0</v>
      </c>
      <c r="AQ192" s="208">
        <v>0.0</v>
      </c>
      <c r="AR192" s="208">
        <v>0.0</v>
      </c>
      <c r="AS192" s="208">
        <v>0.0</v>
      </c>
      <c r="AT192" s="208">
        <v>0.0</v>
      </c>
      <c r="AU192" s="584">
        <v>45831.0</v>
      </c>
      <c r="AV192" s="124" t="str">
        <f t="shared" si="5"/>
        <v>Left</v>
      </c>
    </row>
    <row r="193">
      <c r="A193" s="124" t="s">
        <v>23</v>
      </c>
      <c r="B193" s="208" t="s">
        <v>27</v>
      </c>
      <c r="C193" s="208" t="s">
        <v>337</v>
      </c>
      <c r="D193" s="208" t="s">
        <v>1073</v>
      </c>
      <c r="E193" s="208" t="s">
        <v>338</v>
      </c>
      <c r="F193" s="580">
        <v>45831.0</v>
      </c>
      <c r="G193" s="208">
        <v>0.0</v>
      </c>
      <c r="H193" s="208">
        <v>1000000.0</v>
      </c>
      <c r="I193" s="208">
        <v>40080.7</v>
      </c>
      <c r="J193" s="208">
        <v>0.0</v>
      </c>
      <c r="K193" s="208">
        <v>12.0</v>
      </c>
      <c r="L193" s="208">
        <v>16.0</v>
      </c>
      <c r="M193" s="208">
        <v>5.0</v>
      </c>
      <c r="N193" s="208">
        <v>17.0</v>
      </c>
      <c r="O193" s="208">
        <v>1.0</v>
      </c>
      <c r="P193" s="208">
        <v>6968.5</v>
      </c>
      <c r="Q193" s="208">
        <v>33112.2</v>
      </c>
      <c r="R193" s="208">
        <v>1.0</v>
      </c>
      <c r="S193" s="208">
        <v>5.0</v>
      </c>
      <c r="T193" s="208">
        <v>6.0</v>
      </c>
      <c r="U193" s="208">
        <v>0.0</v>
      </c>
      <c r="V193" s="208">
        <v>162.0</v>
      </c>
      <c r="W193" s="208">
        <v>188.0</v>
      </c>
      <c r="X193" s="208">
        <v>37.0</v>
      </c>
      <c r="Y193" s="208">
        <v>2.0</v>
      </c>
      <c r="Z193" s="208">
        <v>6.0</v>
      </c>
      <c r="AA193" s="208">
        <v>0.0</v>
      </c>
      <c r="AB193" s="208">
        <v>0.0</v>
      </c>
      <c r="AC193" s="208">
        <v>8.0</v>
      </c>
      <c r="AD193" s="208">
        <v>9.0</v>
      </c>
      <c r="AE193" s="208">
        <v>18.0</v>
      </c>
      <c r="AF193" s="208">
        <v>221.0</v>
      </c>
      <c r="AG193" s="208">
        <v>26.0</v>
      </c>
      <c r="AH193" s="581">
        <f t="shared" si="1"/>
        <v>1541.565385</v>
      </c>
      <c r="AI193" s="581">
        <f t="shared" si="2"/>
        <v>8.5</v>
      </c>
      <c r="AJ193" s="588">
        <v>1.0</v>
      </c>
      <c r="AK193" s="208">
        <v>0.0</v>
      </c>
      <c r="AL193" s="582">
        <f t="shared" si="3"/>
        <v>0.00002494966405</v>
      </c>
      <c r="AM193" s="208">
        <v>6680.0</v>
      </c>
      <c r="AN193" s="582">
        <f t="shared" si="4"/>
        <v>0.0400807</v>
      </c>
      <c r="AO193" s="583">
        <v>0.0</v>
      </c>
      <c r="AP193" s="208">
        <v>6.0</v>
      </c>
      <c r="AQ193" s="208">
        <v>208.0</v>
      </c>
      <c r="AR193" s="208">
        <v>626.79</v>
      </c>
      <c r="AS193" s="208">
        <v>5.0</v>
      </c>
      <c r="AT193" s="208">
        <v>39.0</v>
      </c>
      <c r="AV193" s="124" t="str">
        <f t="shared" si="5"/>
        <v>Active</v>
      </c>
    </row>
    <row r="194">
      <c r="A194" s="124" t="s">
        <v>185</v>
      </c>
      <c r="B194" s="208" t="s">
        <v>85</v>
      </c>
      <c r="C194" s="208" t="s">
        <v>399</v>
      </c>
      <c r="D194" s="208" t="s">
        <v>1058</v>
      </c>
      <c r="E194" s="208" t="s">
        <v>87</v>
      </c>
      <c r="F194" s="580">
        <v>45831.0</v>
      </c>
      <c r="G194" s="208">
        <v>0.0</v>
      </c>
      <c r="H194" s="208">
        <v>1500000.0</v>
      </c>
      <c r="I194" s="208">
        <v>39501.0</v>
      </c>
      <c r="J194" s="208">
        <v>0.0</v>
      </c>
      <c r="K194" s="208">
        <v>35.0</v>
      </c>
      <c r="L194" s="208">
        <v>36.0</v>
      </c>
      <c r="M194" s="208">
        <v>5.0</v>
      </c>
      <c r="N194" s="208">
        <v>40.0</v>
      </c>
      <c r="O194" s="208">
        <v>4.0</v>
      </c>
      <c r="P194" s="208">
        <v>2365.0</v>
      </c>
      <c r="Q194" s="208">
        <v>37136.0</v>
      </c>
      <c r="R194" s="208">
        <v>1.0</v>
      </c>
      <c r="S194" s="208">
        <v>4.0</v>
      </c>
      <c r="T194" s="208">
        <v>5.0</v>
      </c>
      <c r="U194" s="208">
        <v>0.0</v>
      </c>
      <c r="V194" s="208">
        <v>72.0</v>
      </c>
      <c r="W194" s="208">
        <v>127.0</v>
      </c>
      <c r="X194" s="208">
        <v>16.0</v>
      </c>
      <c r="Y194" s="208">
        <v>0.0</v>
      </c>
      <c r="Z194" s="208">
        <v>0.0</v>
      </c>
      <c r="AA194" s="208">
        <v>0.0</v>
      </c>
      <c r="AB194" s="208">
        <v>0.0</v>
      </c>
      <c r="AC194" s="208">
        <v>0.0</v>
      </c>
      <c r="AD194" s="208">
        <v>0.0</v>
      </c>
      <c r="AE194" s="208">
        <v>62.0</v>
      </c>
      <c r="AF194" s="208">
        <v>189.0</v>
      </c>
      <c r="AG194" s="208">
        <v>26.0</v>
      </c>
      <c r="AH194" s="581">
        <f t="shared" si="1"/>
        <v>1519.269231</v>
      </c>
      <c r="AI194" s="581">
        <f t="shared" si="2"/>
        <v>7.269230769</v>
      </c>
      <c r="AJ194" s="588">
        <v>0.0</v>
      </c>
      <c r="AK194" s="208">
        <v>0.0</v>
      </c>
      <c r="AL194" s="582">
        <f t="shared" si="3"/>
        <v>0</v>
      </c>
      <c r="AM194" s="208">
        <v>7900.0</v>
      </c>
      <c r="AN194" s="582">
        <f t="shared" si="4"/>
        <v>0.026334</v>
      </c>
      <c r="AO194" s="583">
        <v>0.0</v>
      </c>
      <c r="AP194" s="208">
        <v>18.0</v>
      </c>
      <c r="AQ194" s="208">
        <v>276.0</v>
      </c>
      <c r="AR194" s="208">
        <v>2862.95</v>
      </c>
      <c r="AS194" s="208">
        <v>4.0</v>
      </c>
      <c r="AT194" s="208">
        <v>80.0</v>
      </c>
      <c r="AV194" s="124" t="str">
        <f t="shared" si="5"/>
        <v>Active</v>
      </c>
    </row>
    <row r="195">
      <c r="A195" s="124" t="s">
        <v>126</v>
      </c>
      <c r="B195" s="208" t="s">
        <v>130</v>
      </c>
      <c r="C195" s="208" t="s">
        <v>449</v>
      </c>
      <c r="D195" s="208" t="s">
        <v>130</v>
      </c>
      <c r="E195" s="208" t="s">
        <v>151</v>
      </c>
      <c r="F195" s="580">
        <v>45839.0</v>
      </c>
      <c r="G195" s="208">
        <v>1500000.0</v>
      </c>
      <c r="H195" s="208">
        <v>2000000.0</v>
      </c>
      <c r="I195" s="208">
        <v>0.0</v>
      </c>
      <c r="J195" s="208">
        <v>0.0</v>
      </c>
      <c r="K195" s="208">
        <v>45.0</v>
      </c>
      <c r="L195" s="208">
        <v>45.0</v>
      </c>
      <c r="M195" s="208">
        <v>1.0</v>
      </c>
      <c r="N195" s="208">
        <v>46.0</v>
      </c>
      <c r="O195" s="208">
        <v>1.0</v>
      </c>
      <c r="P195" s="208">
        <v>0.0</v>
      </c>
      <c r="Q195" s="208">
        <v>0.0</v>
      </c>
      <c r="R195" s="208">
        <v>0.0</v>
      </c>
      <c r="S195" s="208">
        <v>0.0</v>
      </c>
      <c r="T195" s="208">
        <v>0.0</v>
      </c>
      <c r="U195" s="208">
        <v>0.0</v>
      </c>
      <c r="V195" s="208">
        <v>13.0</v>
      </c>
      <c r="W195" s="208">
        <v>15.0</v>
      </c>
      <c r="X195" s="208">
        <v>1.0</v>
      </c>
      <c r="Y195" s="208">
        <v>3.0</v>
      </c>
      <c r="Z195" s="208">
        <v>16.0</v>
      </c>
      <c r="AA195" s="208">
        <v>0.0</v>
      </c>
      <c r="AB195" s="208">
        <v>0.0</v>
      </c>
      <c r="AC195" s="208">
        <v>0.0</v>
      </c>
      <c r="AD195" s="208">
        <v>0.0</v>
      </c>
      <c r="AE195" s="208">
        <v>53.0</v>
      </c>
      <c r="AF195" s="208">
        <v>84.0</v>
      </c>
      <c r="AG195" s="208">
        <v>23.0</v>
      </c>
      <c r="AH195" s="581">
        <f t="shared" si="1"/>
        <v>0</v>
      </c>
      <c r="AI195" s="581">
        <f t="shared" si="2"/>
        <v>3.652173913</v>
      </c>
      <c r="AJ195" s="124">
        <v>0.0</v>
      </c>
      <c r="AK195" s="208">
        <v>0.0</v>
      </c>
      <c r="AL195" s="582" t="str">
        <f t="shared" si="3"/>
        <v/>
      </c>
      <c r="AM195" s="208">
        <v>0.0</v>
      </c>
      <c r="AN195" s="582">
        <f t="shared" si="4"/>
        <v>0</v>
      </c>
      <c r="AO195" s="583">
        <v>0.0</v>
      </c>
      <c r="AP195" s="208">
        <v>0.0</v>
      </c>
      <c r="AQ195" s="208">
        <v>212.0</v>
      </c>
      <c r="AR195" s="208">
        <v>1291.85</v>
      </c>
      <c r="AS195" s="208">
        <v>0.0</v>
      </c>
      <c r="AT195" s="208">
        <v>29.0</v>
      </c>
      <c r="AV195" s="124" t="str">
        <f t="shared" si="5"/>
        <v>Active</v>
      </c>
    </row>
    <row r="196">
      <c r="A196" s="124" t="s">
        <v>126</v>
      </c>
      <c r="B196" s="208" t="s">
        <v>140</v>
      </c>
      <c r="C196" s="208" t="s">
        <v>173</v>
      </c>
      <c r="D196" s="208" t="s">
        <v>1061</v>
      </c>
      <c r="E196" s="208" t="s">
        <v>174</v>
      </c>
      <c r="F196" s="580">
        <v>45839.0</v>
      </c>
      <c r="G196" s="208">
        <v>0.0</v>
      </c>
      <c r="H196" s="208">
        <v>1650000.0</v>
      </c>
      <c r="I196" s="208">
        <v>180806.36</v>
      </c>
      <c r="J196" s="208">
        <v>0.0</v>
      </c>
      <c r="K196" s="208">
        <v>43.0</v>
      </c>
      <c r="L196" s="208">
        <v>41.0</v>
      </c>
      <c r="M196" s="208">
        <v>0.0</v>
      </c>
      <c r="N196" s="208">
        <v>43.0</v>
      </c>
      <c r="O196" s="208">
        <v>2.0</v>
      </c>
      <c r="P196" s="208">
        <v>180806.36</v>
      </c>
      <c r="Q196" s="208">
        <v>0.0</v>
      </c>
      <c r="R196" s="208">
        <v>11.0</v>
      </c>
      <c r="S196" s="208">
        <v>0.0</v>
      </c>
      <c r="T196" s="208">
        <v>11.0</v>
      </c>
      <c r="U196" s="208">
        <v>0.0</v>
      </c>
      <c r="V196" s="208">
        <v>6.0</v>
      </c>
      <c r="W196" s="208">
        <v>9.0</v>
      </c>
      <c r="X196" s="208">
        <v>1.0</v>
      </c>
      <c r="Y196" s="208">
        <v>1.0</v>
      </c>
      <c r="Z196" s="208">
        <v>2.0</v>
      </c>
      <c r="AA196" s="208">
        <v>0.0</v>
      </c>
      <c r="AB196" s="208">
        <v>0.0</v>
      </c>
      <c r="AC196" s="208">
        <v>0.0</v>
      </c>
      <c r="AD196" s="208">
        <v>0.0</v>
      </c>
      <c r="AE196" s="208">
        <v>50.0</v>
      </c>
      <c r="AF196" s="208">
        <v>61.0</v>
      </c>
      <c r="AG196" s="208">
        <v>16.0</v>
      </c>
      <c r="AH196" s="581">
        <f t="shared" si="1"/>
        <v>11300.3975</v>
      </c>
      <c r="AI196" s="581">
        <f t="shared" si="2"/>
        <v>3.8125</v>
      </c>
      <c r="AJ196" s="588">
        <v>0.0</v>
      </c>
      <c r="AK196" s="208">
        <v>0.0</v>
      </c>
      <c r="AL196" s="582">
        <f t="shared" si="3"/>
        <v>0</v>
      </c>
      <c r="AM196" s="208">
        <v>16437.0</v>
      </c>
      <c r="AN196" s="582">
        <f t="shared" si="4"/>
        <v>0.1095796121</v>
      </c>
      <c r="AO196" s="583">
        <v>0.0</v>
      </c>
      <c r="AP196" s="208">
        <v>13.0</v>
      </c>
      <c r="AQ196" s="208">
        <v>151.0</v>
      </c>
      <c r="AR196" s="208">
        <v>780.2</v>
      </c>
      <c r="AS196" s="208">
        <v>0.0</v>
      </c>
      <c r="AT196" s="208">
        <v>19.0</v>
      </c>
      <c r="AV196" s="124" t="str">
        <f t="shared" si="5"/>
        <v>Active</v>
      </c>
    </row>
    <row r="197">
      <c r="A197" s="124" t="s">
        <v>97</v>
      </c>
      <c r="B197" s="208" t="s">
        <v>101</v>
      </c>
      <c r="C197" s="208" t="s">
        <v>344</v>
      </c>
      <c r="D197" s="208" t="s">
        <v>1062</v>
      </c>
      <c r="E197" s="208" t="s">
        <v>345</v>
      </c>
      <c r="F197" s="580">
        <v>45842.0</v>
      </c>
      <c r="G197" s="208">
        <v>0.0</v>
      </c>
      <c r="H197" s="208">
        <v>715000.0</v>
      </c>
      <c r="I197" s="208">
        <v>0.0</v>
      </c>
      <c r="J197" s="208">
        <v>0.0</v>
      </c>
      <c r="K197" s="208">
        <v>15.0</v>
      </c>
      <c r="L197" s="208">
        <v>15.0</v>
      </c>
      <c r="M197" s="208">
        <v>0.0</v>
      </c>
      <c r="N197" s="208">
        <v>15.0</v>
      </c>
      <c r="O197" s="208">
        <v>0.0</v>
      </c>
      <c r="P197" s="208">
        <v>0.0</v>
      </c>
      <c r="Q197" s="208">
        <v>0.0</v>
      </c>
      <c r="R197" s="208">
        <v>0.0</v>
      </c>
      <c r="S197" s="208">
        <v>0.0</v>
      </c>
      <c r="T197" s="208">
        <v>0.0</v>
      </c>
      <c r="U197" s="208">
        <v>0.0</v>
      </c>
      <c r="V197" s="208">
        <v>5.0</v>
      </c>
      <c r="W197" s="208">
        <v>14.0</v>
      </c>
      <c r="X197" s="208">
        <v>0.0</v>
      </c>
      <c r="Y197" s="208">
        <v>1.0</v>
      </c>
      <c r="Z197" s="208">
        <v>1.0</v>
      </c>
      <c r="AA197" s="208">
        <v>0.0</v>
      </c>
      <c r="AB197" s="208">
        <v>0.0</v>
      </c>
      <c r="AC197" s="208">
        <v>0.0</v>
      </c>
      <c r="AD197" s="208">
        <v>0.0</v>
      </c>
      <c r="AE197" s="208">
        <v>33.0</v>
      </c>
      <c r="AF197" s="208">
        <v>48.0</v>
      </c>
      <c r="AG197" s="208">
        <v>17.0</v>
      </c>
      <c r="AH197" s="581">
        <f t="shared" si="1"/>
        <v>0</v>
      </c>
      <c r="AI197" s="581">
        <f t="shared" si="2"/>
        <v>2.823529412</v>
      </c>
      <c r="AJ197" s="588">
        <v>0.0</v>
      </c>
      <c r="AK197" s="208">
        <v>0.0</v>
      </c>
      <c r="AL197" s="582" t="str">
        <f t="shared" si="3"/>
        <v/>
      </c>
      <c r="AM197" s="208">
        <v>0.0</v>
      </c>
      <c r="AN197" s="582">
        <f t="shared" si="4"/>
        <v>0</v>
      </c>
      <c r="AO197" s="583">
        <v>0.0</v>
      </c>
      <c r="AP197" s="208">
        <v>0.0</v>
      </c>
      <c r="AQ197" s="208">
        <v>128.0</v>
      </c>
      <c r="AR197" s="208">
        <v>885.15</v>
      </c>
      <c r="AS197" s="208">
        <v>0.0</v>
      </c>
      <c r="AT197" s="208">
        <v>59.0</v>
      </c>
      <c r="AV197" s="124" t="str">
        <f t="shared" si="5"/>
        <v>Active</v>
      </c>
    </row>
    <row r="198">
      <c r="A198" s="124" t="s">
        <v>97</v>
      </c>
      <c r="B198" s="208" t="s">
        <v>101</v>
      </c>
      <c r="C198" s="208" t="s">
        <v>108</v>
      </c>
      <c r="D198" s="208" t="s">
        <v>1062</v>
      </c>
      <c r="E198" s="208" t="s">
        <v>105</v>
      </c>
      <c r="F198" s="580">
        <v>45842.0</v>
      </c>
      <c r="G198" s="208">
        <v>0.0</v>
      </c>
      <c r="H198" s="208">
        <v>1100000.0</v>
      </c>
      <c r="I198" s="208">
        <v>688270.0</v>
      </c>
      <c r="J198" s="208">
        <v>0.0</v>
      </c>
      <c r="K198" s="208">
        <v>25.0</v>
      </c>
      <c r="L198" s="208">
        <v>23.0</v>
      </c>
      <c r="M198" s="208">
        <v>0.0</v>
      </c>
      <c r="N198" s="208">
        <v>25.0</v>
      </c>
      <c r="O198" s="208">
        <v>2.0</v>
      </c>
      <c r="P198" s="208">
        <v>688270.0</v>
      </c>
      <c r="Q198" s="208">
        <v>0.0</v>
      </c>
      <c r="R198" s="208">
        <v>3.0</v>
      </c>
      <c r="S198" s="208">
        <v>0.0</v>
      </c>
      <c r="T198" s="208">
        <v>3.0</v>
      </c>
      <c r="U198" s="208">
        <v>0.0</v>
      </c>
      <c r="V198" s="208">
        <v>36.0</v>
      </c>
      <c r="W198" s="208">
        <v>54.0</v>
      </c>
      <c r="X198" s="208">
        <v>3.0</v>
      </c>
      <c r="Y198" s="208">
        <v>3.0</v>
      </c>
      <c r="Z198" s="208">
        <v>8.0</v>
      </c>
      <c r="AA198" s="208">
        <v>0.0</v>
      </c>
      <c r="AB198" s="208">
        <v>0.0</v>
      </c>
      <c r="AC198" s="208">
        <v>0.0</v>
      </c>
      <c r="AD198" s="208">
        <v>0.0</v>
      </c>
      <c r="AE198" s="208">
        <v>47.0</v>
      </c>
      <c r="AF198" s="208">
        <v>109.0</v>
      </c>
      <c r="AG198" s="208">
        <v>18.0</v>
      </c>
      <c r="AH198" s="581">
        <f t="shared" si="1"/>
        <v>38237.22222</v>
      </c>
      <c r="AI198" s="581">
        <f t="shared" si="2"/>
        <v>6.055555556</v>
      </c>
      <c r="AJ198" s="124">
        <v>0.0</v>
      </c>
      <c r="AK198" s="208">
        <v>0.0</v>
      </c>
      <c r="AL198" s="582">
        <f t="shared" si="3"/>
        <v>0</v>
      </c>
      <c r="AM198" s="208">
        <v>229423.0</v>
      </c>
      <c r="AN198" s="582">
        <f t="shared" si="4"/>
        <v>0.6257</v>
      </c>
      <c r="AO198" s="583">
        <v>0.0</v>
      </c>
      <c r="AP198" s="208">
        <v>22.0</v>
      </c>
      <c r="AQ198" s="208">
        <v>169.0</v>
      </c>
      <c r="AR198" s="208">
        <v>1480.74</v>
      </c>
      <c r="AS198" s="208">
        <v>0.0</v>
      </c>
      <c r="AT198" s="208">
        <v>64.0</v>
      </c>
      <c r="AV198" s="124" t="str">
        <f t="shared" si="5"/>
        <v>Active</v>
      </c>
    </row>
    <row r="199">
      <c r="A199" s="124" t="s">
        <v>53</v>
      </c>
      <c r="B199" s="208" t="s">
        <v>61</v>
      </c>
      <c r="C199" s="208" t="s">
        <v>367</v>
      </c>
      <c r="D199" s="208" t="s">
        <v>1077</v>
      </c>
      <c r="E199" s="208" t="s">
        <v>368</v>
      </c>
      <c r="F199" s="580">
        <v>45845.0</v>
      </c>
      <c r="G199" s="208">
        <v>0.0</v>
      </c>
      <c r="H199" s="208">
        <v>0.0</v>
      </c>
      <c r="I199" s="208">
        <v>0.0</v>
      </c>
      <c r="J199" s="208">
        <v>0.0</v>
      </c>
      <c r="K199" s="208">
        <v>4.0</v>
      </c>
      <c r="L199" s="208">
        <v>4.0</v>
      </c>
      <c r="M199" s="208">
        <v>0.0</v>
      </c>
      <c r="N199" s="208">
        <v>4.0</v>
      </c>
      <c r="O199" s="208">
        <v>0.0</v>
      </c>
      <c r="P199" s="208">
        <v>0.0</v>
      </c>
      <c r="Q199" s="208">
        <v>0.0</v>
      </c>
      <c r="R199" s="208">
        <v>0.0</v>
      </c>
      <c r="S199" s="208">
        <v>0.0</v>
      </c>
      <c r="T199" s="208">
        <v>0.0</v>
      </c>
      <c r="U199" s="208">
        <v>0.0</v>
      </c>
      <c r="V199" s="208">
        <v>29.0</v>
      </c>
      <c r="W199" s="208">
        <v>85.0</v>
      </c>
      <c r="X199" s="208">
        <v>0.0</v>
      </c>
      <c r="Y199" s="208">
        <v>1.0</v>
      </c>
      <c r="Z199" s="208">
        <v>1.0</v>
      </c>
      <c r="AA199" s="208">
        <v>0.0</v>
      </c>
      <c r="AB199" s="208">
        <v>0.0</v>
      </c>
      <c r="AC199" s="208">
        <v>5.0</v>
      </c>
      <c r="AD199" s="208">
        <v>8.0</v>
      </c>
      <c r="AE199" s="208">
        <v>14.0</v>
      </c>
      <c r="AF199" s="208">
        <v>108.0</v>
      </c>
      <c r="AG199" s="208">
        <v>20.0</v>
      </c>
      <c r="AH199" s="581">
        <f t="shared" si="1"/>
        <v>0</v>
      </c>
      <c r="AI199" s="581">
        <f t="shared" si="2"/>
        <v>5.4</v>
      </c>
      <c r="AJ199" s="124">
        <v>0.0</v>
      </c>
      <c r="AK199" s="208">
        <v>0.0</v>
      </c>
      <c r="AL199" s="582" t="str">
        <f t="shared" si="3"/>
        <v/>
      </c>
      <c r="AM199" s="208">
        <v>0.0</v>
      </c>
      <c r="AN199" s="582" t="str">
        <f t="shared" si="4"/>
        <v/>
      </c>
      <c r="AO199" s="583">
        <v>0.0</v>
      </c>
      <c r="AP199" s="208">
        <v>0.0</v>
      </c>
      <c r="AQ199" s="208">
        <v>170.0</v>
      </c>
      <c r="AR199" s="208">
        <v>1535.72</v>
      </c>
      <c r="AS199" s="208">
        <v>0.0</v>
      </c>
      <c r="AT199" s="208">
        <v>384.0</v>
      </c>
      <c r="AU199" s="584">
        <v>45869.0</v>
      </c>
      <c r="AV199" s="124" t="str">
        <f t="shared" si="5"/>
        <v>Left</v>
      </c>
    </row>
    <row r="200">
      <c r="A200" s="124" t="s">
        <v>203</v>
      </c>
      <c r="B200" s="208" t="s">
        <v>189</v>
      </c>
      <c r="C200" s="208" t="s">
        <v>286</v>
      </c>
      <c r="D200" s="208" t="s">
        <v>1016</v>
      </c>
      <c r="E200" s="208" t="s">
        <v>287</v>
      </c>
      <c r="F200" s="580">
        <v>45845.0</v>
      </c>
      <c r="G200" s="208">
        <v>0.0</v>
      </c>
      <c r="H200" s="208">
        <v>0.0</v>
      </c>
      <c r="I200" s="208">
        <v>261110.42</v>
      </c>
      <c r="J200" s="208">
        <v>0.0</v>
      </c>
      <c r="K200" s="208">
        <v>22.0</v>
      </c>
      <c r="L200" s="208">
        <v>25.0</v>
      </c>
      <c r="M200" s="208">
        <v>3.0</v>
      </c>
      <c r="N200" s="208">
        <v>25.0</v>
      </c>
      <c r="O200" s="208">
        <v>0.0</v>
      </c>
      <c r="P200" s="208">
        <v>155492.0</v>
      </c>
      <c r="Q200" s="208">
        <v>105618.42</v>
      </c>
      <c r="R200" s="208">
        <v>3.0</v>
      </c>
      <c r="S200" s="208">
        <v>3.0</v>
      </c>
      <c r="T200" s="208">
        <v>6.0</v>
      </c>
      <c r="U200" s="208">
        <v>0.0</v>
      </c>
      <c r="V200" s="208">
        <v>36.0</v>
      </c>
      <c r="W200" s="208">
        <v>54.0</v>
      </c>
      <c r="X200" s="208">
        <v>1.0</v>
      </c>
      <c r="Y200" s="208">
        <v>1.0</v>
      </c>
      <c r="Z200" s="208">
        <v>1.0</v>
      </c>
      <c r="AA200" s="208">
        <v>0.0</v>
      </c>
      <c r="AB200" s="208">
        <v>0.0</v>
      </c>
      <c r="AC200" s="208">
        <v>0.0</v>
      </c>
      <c r="AD200" s="208">
        <v>0.0</v>
      </c>
      <c r="AE200" s="208">
        <v>44.0</v>
      </c>
      <c r="AF200" s="208">
        <v>99.0</v>
      </c>
      <c r="AG200" s="208">
        <v>19.0</v>
      </c>
      <c r="AH200" s="581">
        <f t="shared" si="1"/>
        <v>13742.65368</v>
      </c>
      <c r="AI200" s="581">
        <f t="shared" si="2"/>
        <v>5.210526316</v>
      </c>
      <c r="AJ200" s="124">
        <v>0.0</v>
      </c>
      <c r="AK200" s="208">
        <v>0.0</v>
      </c>
      <c r="AL200" s="582">
        <f t="shared" si="3"/>
        <v>0</v>
      </c>
      <c r="AM200" s="208">
        <v>43518.0</v>
      </c>
      <c r="AN200" s="582" t="str">
        <f t="shared" si="4"/>
        <v/>
      </c>
      <c r="AO200" s="583">
        <v>0.0</v>
      </c>
      <c r="AP200" s="208">
        <v>6.0</v>
      </c>
      <c r="AQ200" s="208">
        <v>215.0</v>
      </c>
      <c r="AR200" s="208">
        <v>1628.17</v>
      </c>
      <c r="AS200" s="208">
        <v>3.0</v>
      </c>
      <c r="AT200" s="208">
        <v>65.0</v>
      </c>
      <c r="AV200" s="124" t="str">
        <f t="shared" si="5"/>
        <v>Active</v>
      </c>
    </row>
    <row r="201">
      <c r="A201" s="124" t="s">
        <v>126</v>
      </c>
      <c r="B201" s="208" t="s">
        <v>130</v>
      </c>
      <c r="C201" s="208" t="s">
        <v>172</v>
      </c>
      <c r="D201" s="208" t="s">
        <v>130</v>
      </c>
      <c r="E201" s="208" t="s">
        <v>142</v>
      </c>
      <c r="F201" s="580">
        <v>45843.0</v>
      </c>
      <c r="G201" s="208">
        <v>0.0</v>
      </c>
      <c r="H201" s="208">
        <v>2000000.0</v>
      </c>
      <c r="I201" s="208">
        <v>50008.0</v>
      </c>
      <c r="J201" s="208">
        <v>0.0</v>
      </c>
      <c r="K201" s="208">
        <v>20.0</v>
      </c>
      <c r="L201" s="208">
        <v>21.0</v>
      </c>
      <c r="M201" s="208">
        <v>2.0</v>
      </c>
      <c r="N201" s="208">
        <v>22.0</v>
      </c>
      <c r="O201" s="208">
        <v>1.0</v>
      </c>
      <c r="P201" s="208">
        <v>0.0</v>
      </c>
      <c r="Q201" s="208">
        <v>50008.0</v>
      </c>
      <c r="R201" s="208">
        <v>0.0</v>
      </c>
      <c r="S201" s="208">
        <v>1.0</v>
      </c>
      <c r="T201" s="208">
        <v>1.0</v>
      </c>
      <c r="U201" s="208">
        <v>0.0</v>
      </c>
      <c r="V201" s="208">
        <v>0.0</v>
      </c>
      <c r="W201" s="208">
        <v>0.0</v>
      </c>
      <c r="X201" s="208">
        <v>1.0</v>
      </c>
      <c r="Y201" s="208">
        <v>2.0</v>
      </c>
      <c r="Z201" s="208">
        <v>5.0</v>
      </c>
      <c r="AA201" s="208">
        <v>0.0</v>
      </c>
      <c r="AB201" s="208">
        <v>0.0</v>
      </c>
      <c r="AC201" s="208">
        <v>0.0</v>
      </c>
      <c r="AD201" s="208">
        <v>0.0</v>
      </c>
      <c r="AE201" s="208">
        <v>32.0</v>
      </c>
      <c r="AF201" s="208">
        <v>37.0</v>
      </c>
      <c r="AG201" s="208">
        <v>16.0</v>
      </c>
      <c r="AH201" s="581">
        <f t="shared" si="1"/>
        <v>3125.5</v>
      </c>
      <c r="AI201" s="581">
        <f t="shared" si="2"/>
        <v>2.3125</v>
      </c>
      <c r="AJ201" s="124">
        <v>0.0</v>
      </c>
      <c r="AK201" s="208">
        <v>0.0</v>
      </c>
      <c r="AL201" s="582">
        <f t="shared" si="3"/>
        <v>0</v>
      </c>
      <c r="AM201" s="208">
        <v>50008.0</v>
      </c>
      <c r="AN201" s="582">
        <f t="shared" si="4"/>
        <v>0.025004</v>
      </c>
      <c r="AO201" s="583">
        <v>0.0</v>
      </c>
      <c r="AP201" s="208">
        <v>2.0</v>
      </c>
      <c r="AQ201" s="208">
        <v>155.0</v>
      </c>
      <c r="AR201" s="208">
        <v>1290.18</v>
      </c>
      <c r="AS201" s="208">
        <v>1.0</v>
      </c>
      <c r="AT201" s="208">
        <v>61.0</v>
      </c>
      <c r="AV201" s="124" t="str">
        <f t="shared" si="5"/>
        <v>Active</v>
      </c>
    </row>
    <row r="202">
      <c r="A202" s="124" t="s">
        <v>97</v>
      </c>
      <c r="B202" s="208" t="s">
        <v>101</v>
      </c>
      <c r="C202" s="208" t="s">
        <v>876</v>
      </c>
      <c r="D202" s="208" t="s">
        <v>1062</v>
      </c>
      <c r="E202" s="208" t="s">
        <v>1063</v>
      </c>
      <c r="F202" s="580">
        <v>45859.0</v>
      </c>
      <c r="G202" s="208">
        <v>0.0</v>
      </c>
      <c r="H202" s="208">
        <v>0.0</v>
      </c>
      <c r="I202" s="208">
        <v>0.0</v>
      </c>
      <c r="J202" s="208">
        <v>0.0</v>
      </c>
      <c r="K202" s="208">
        <v>39.0</v>
      </c>
      <c r="L202" s="208">
        <v>37.0</v>
      </c>
      <c r="M202" s="208">
        <v>1.0</v>
      </c>
      <c r="N202" s="208">
        <v>40.0</v>
      </c>
      <c r="O202" s="208">
        <v>3.0</v>
      </c>
      <c r="P202" s="208">
        <v>0.0</v>
      </c>
      <c r="Q202" s="208">
        <v>0.0</v>
      </c>
      <c r="R202" s="208">
        <v>0.0</v>
      </c>
      <c r="S202" s="208">
        <v>0.0</v>
      </c>
      <c r="T202" s="208">
        <v>0.0</v>
      </c>
      <c r="U202" s="208">
        <v>0.0</v>
      </c>
      <c r="V202" s="208">
        <v>2.0</v>
      </c>
      <c r="W202" s="208">
        <v>2.0</v>
      </c>
      <c r="X202" s="208">
        <v>0.0</v>
      </c>
      <c r="Y202" s="208">
        <v>1.0</v>
      </c>
      <c r="Z202" s="208">
        <v>1.0</v>
      </c>
      <c r="AA202" s="208">
        <v>0.0</v>
      </c>
      <c r="AB202" s="208">
        <v>0.0</v>
      </c>
      <c r="AC202" s="208">
        <v>0.0</v>
      </c>
      <c r="AD202" s="208">
        <v>0.0</v>
      </c>
      <c r="AE202" s="208">
        <v>41.0</v>
      </c>
      <c r="AF202" s="208">
        <v>44.0</v>
      </c>
      <c r="AG202" s="208">
        <v>10.0</v>
      </c>
      <c r="AH202" s="581">
        <f t="shared" si="1"/>
        <v>0</v>
      </c>
      <c r="AI202" s="581">
        <f t="shared" si="2"/>
        <v>4.4</v>
      </c>
      <c r="AJ202" s="124">
        <v>0.0</v>
      </c>
      <c r="AK202" s="208">
        <v>0.0</v>
      </c>
      <c r="AL202" s="582" t="str">
        <f t="shared" si="3"/>
        <v/>
      </c>
      <c r="AM202" s="208">
        <v>0.0</v>
      </c>
      <c r="AN202" s="582" t="str">
        <f t="shared" si="4"/>
        <v/>
      </c>
      <c r="AO202" s="583">
        <v>0.0</v>
      </c>
      <c r="AP202" s="208">
        <v>0.0</v>
      </c>
      <c r="AQ202" s="208">
        <v>107.0</v>
      </c>
      <c r="AR202" s="208">
        <v>1090.71</v>
      </c>
      <c r="AS202" s="208">
        <v>0.0</v>
      </c>
      <c r="AT202" s="208">
        <v>29.0</v>
      </c>
      <c r="AV202" s="124" t="str">
        <f t="shared" si="5"/>
        <v>Active</v>
      </c>
    </row>
    <row r="203">
      <c r="A203" s="124" t="s">
        <v>298</v>
      </c>
      <c r="B203" s="208" t="s">
        <v>301</v>
      </c>
      <c r="C203" s="208" t="s">
        <v>877</v>
      </c>
      <c r="D203" s="208" t="s">
        <v>1066</v>
      </c>
      <c r="E203" s="208" t="s">
        <v>358</v>
      </c>
      <c r="F203" s="580">
        <v>45862.0</v>
      </c>
      <c r="G203" s="208">
        <v>0.0</v>
      </c>
      <c r="H203" s="208">
        <v>0.0</v>
      </c>
      <c r="I203" s="208">
        <v>0.0</v>
      </c>
      <c r="J203" s="208">
        <v>0.0</v>
      </c>
      <c r="K203" s="208">
        <v>13.0</v>
      </c>
      <c r="L203" s="208">
        <v>12.0</v>
      </c>
      <c r="M203" s="208">
        <v>0.0</v>
      </c>
      <c r="N203" s="208">
        <v>13.0</v>
      </c>
      <c r="O203" s="208">
        <v>1.0</v>
      </c>
      <c r="P203" s="208">
        <v>0.0</v>
      </c>
      <c r="Q203" s="208">
        <v>0.0</v>
      </c>
      <c r="R203" s="208">
        <v>0.0</v>
      </c>
      <c r="S203" s="208">
        <v>0.0</v>
      </c>
      <c r="T203" s="208">
        <v>0.0</v>
      </c>
      <c r="U203" s="208">
        <v>0.0</v>
      </c>
      <c r="V203" s="208">
        <v>12.0</v>
      </c>
      <c r="W203" s="208">
        <v>12.0</v>
      </c>
      <c r="X203" s="208">
        <v>4.0</v>
      </c>
      <c r="Y203" s="208">
        <v>0.0</v>
      </c>
      <c r="Z203" s="208">
        <v>0.0</v>
      </c>
      <c r="AA203" s="208">
        <v>0.0</v>
      </c>
      <c r="AB203" s="208">
        <v>0.0</v>
      </c>
      <c r="AC203" s="208">
        <v>0.0</v>
      </c>
      <c r="AD203" s="208">
        <v>0.0</v>
      </c>
      <c r="AE203" s="208">
        <v>12.0</v>
      </c>
      <c r="AF203" s="208">
        <v>24.0</v>
      </c>
      <c r="AG203" s="208">
        <v>6.0</v>
      </c>
      <c r="AH203" s="581">
        <f t="shared" si="1"/>
        <v>0</v>
      </c>
      <c r="AI203" s="581">
        <f t="shared" si="2"/>
        <v>4</v>
      </c>
      <c r="AJ203" s="124">
        <v>0.0</v>
      </c>
      <c r="AK203" s="208">
        <v>0.0</v>
      </c>
      <c r="AL203" s="582" t="str">
        <f t="shared" si="3"/>
        <v/>
      </c>
      <c r="AM203" s="208">
        <v>0.0</v>
      </c>
      <c r="AN203" s="582" t="str">
        <f t="shared" si="4"/>
        <v/>
      </c>
      <c r="AO203" s="583">
        <v>0.0</v>
      </c>
      <c r="AP203" s="208">
        <v>0.0</v>
      </c>
      <c r="AQ203" s="208">
        <v>52.0</v>
      </c>
      <c r="AR203" s="208">
        <v>271.29</v>
      </c>
      <c r="AS203" s="208">
        <v>0.0</v>
      </c>
      <c r="AT203" s="208">
        <v>23.0</v>
      </c>
      <c r="AV203" s="124" t="str">
        <f t="shared" si="5"/>
        <v>Active</v>
      </c>
    </row>
    <row r="204">
      <c r="A204" s="124" t="s">
        <v>53</v>
      </c>
      <c r="B204" s="208" t="s">
        <v>56</v>
      </c>
      <c r="C204" s="208" t="s">
        <v>878</v>
      </c>
      <c r="D204" s="208" t="s">
        <v>1092</v>
      </c>
      <c r="E204" s="208" t="s">
        <v>380</v>
      </c>
      <c r="F204" s="580">
        <v>45862.0</v>
      </c>
      <c r="G204" s="208">
        <v>0.0</v>
      </c>
      <c r="H204" s="208">
        <v>0.0</v>
      </c>
      <c r="I204" s="208">
        <v>0.0</v>
      </c>
      <c r="J204" s="208">
        <v>0.0</v>
      </c>
      <c r="K204" s="208">
        <v>0.0</v>
      </c>
      <c r="L204" s="208">
        <v>0.0</v>
      </c>
      <c r="M204" s="208">
        <v>0.0</v>
      </c>
      <c r="N204" s="208">
        <v>0.0</v>
      </c>
      <c r="O204" s="208">
        <v>0.0</v>
      </c>
      <c r="P204" s="208">
        <v>0.0</v>
      </c>
      <c r="Q204" s="208">
        <v>0.0</v>
      </c>
      <c r="R204" s="208">
        <v>0.0</v>
      </c>
      <c r="S204" s="208">
        <v>0.0</v>
      </c>
      <c r="T204" s="208">
        <v>0.0</v>
      </c>
      <c r="U204" s="208">
        <v>0.0</v>
      </c>
      <c r="V204" s="208">
        <v>16.0</v>
      </c>
      <c r="W204" s="208">
        <v>20.0</v>
      </c>
      <c r="X204" s="208">
        <v>3.0</v>
      </c>
      <c r="Y204" s="208">
        <v>0.0</v>
      </c>
      <c r="Z204" s="208">
        <v>0.0</v>
      </c>
      <c r="AA204" s="208">
        <v>0.0</v>
      </c>
      <c r="AB204" s="208">
        <v>0.0</v>
      </c>
      <c r="AC204" s="208">
        <v>2.0</v>
      </c>
      <c r="AD204" s="208">
        <v>3.0</v>
      </c>
      <c r="AE204" s="208">
        <v>0.0</v>
      </c>
      <c r="AF204" s="208">
        <v>23.0</v>
      </c>
      <c r="AG204" s="208">
        <v>6.0</v>
      </c>
      <c r="AH204" s="581">
        <f t="shared" si="1"/>
        <v>0</v>
      </c>
      <c r="AI204" s="581">
        <f t="shared" si="2"/>
        <v>3.833333333</v>
      </c>
      <c r="AJ204" s="124">
        <v>0.0</v>
      </c>
      <c r="AK204" s="208">
        <v>0.0</v>
      </c>
      <c r="AL204" s="582" t="str">
        <f t="shared" si="3"/>
        <v/>
      </c>
      <c r="AM204" s="208">
        <v>0.0</v>
      </c>
      <c r="AN204" s="582" t="str">
        <f t="shared" si="4"/>
        <v/>
      </c>
      <c r="AO204" s="583">
        <v>0.0</v>
      </c>
      <c r="AP204" s="208">
        <v>0.0</v>
      </c>
      <c r="AQ204" s="208">
        <v>53.0</v>
      </c>
      <c r="AR204" s="208">
        <v>153.44</v>
      </c>
      <c r="AS204" s="208">
        <v>0.0</v>
      </c>
      <c r="AT204" s="208">
        <v>0.0</v>
      </c>
      <c r="AV204" s="124" t="str">
        <f t="shared" si="5"/>
        <v>Active</v>
      </c>
    </row>
    <row r="205">
      <c r="A205" s="124" t="s">
        <v>53</v>
      </c>
      <c r="B205" s="208" t="s">
        <v>56</v>
      </c>
      <c r="C205" s="208" t="s">
        <v>879</v>
      </c>
      <c r="D205" s="208" t="s">
        <v>1092</v>
      </c>
      <c r="E205" s="208" t="s">
        <v>65</v>
      </c>
      <c r="F205" s="580">
        <v>45861.0</v>
      </c>
      <c r="G205" s="208">
        <v>0.0</v>
      </c>
      <c r="H205" s="208">
        <v>0.0</v>
      </c>
      <c r="I205" s="208">
        <v>0.0</v>
      </c>
      <c r="J205" s="208">
        <v>0.0</v>
      </c>
      <c r="K205" s="208">
        <v>0.0</v>
      </c>
      <c r="L205" s="208">
        <v>0.0</v>
      </c>
      <c r="M205" s="208">
        <v>0.0</v>
      </c>
      <c r="N205" s="208">
        <v>0.0</v>
      </c>
      <c r="O205" s="208">
        <v>0.0</v>
      </c>
      <c r="P205" s="208">
        <v>0.0</v>
      </c>
      <c r="Q205" s="208">
        <v>0.0</v>
      </c>
      <c r="R205" s="208">
        <v>0.0</v>
      </c>
      <c r="S205" s="208">
        <v>0.0</v>
      </c>
      <c r="T205" s="208">
        <v>0.0</v>
      </c>
      <c r="U205" s="208">
        <v>0.0</v>
      </c>
      <c r="V205" s="208">
        <v>27.0</v>
      </c>
      <c r="W205" s="208">
        <v>27.0</v>
      </c>
      <c r="X205" s="208">
        <v>6.0</v>
      </c>
      <c r="Y205" s="208">
        <v>2.0</v>
      </c>
      <c r="Z205" s="208">
        <v>2.0</v>
      </c>
      <c r="AA205" s="208">
        <v>0.0</v>
      </c>
      <c r="AB205" s="208">
        <v>0.0</v>
      </c>
      <c r="AC205" s="208">
        <v>2.0</v>
      </c>
      <c r="AD205" s="208">
        <v>2.0</v>
      </c>
      <c r="AE205" s="208">
        <v>0.0</v>
      </c>
      <c r="AF205" s="208">
        <v>31.0</v>
      </c>
      <c r="AG205" s="208">
        <v>5.0</v>
      </c>
      <c r="AH205" s="581">
        <f t="shared" si="1"/>
        <v>0</v>
      </c>
      <c r="AI205" s="581">
        <f t="shared" si="2"/>
        <v>6.2</v>
      </c>
      <c r="AJ205" s="124">
        <v>0.0</v>
      </c>
      <c r="AK205" s="208">
        <v>0.0</v>
      </c>
      <c r="AL205" s="582" t="str">
        <f t="shared" si="3"/>
        <v/>
      </c>
      <c r="AM205" s="208">
        <v>0.0</v>
      </c>
      <c r="AN205" s="582" t="str">
        <f t="shared" si="4"/>
        <v/>
      </c>
      <c r="AO205" s="583">
        <v>0.0</v>
      </c>
      <c r="AP205" s="208">
        <v>0.0</v>
      </c>
      <c r="AQ205" s="208">
        <v>44.0</v>
      </c>
      <c r="AR205" s="208">
        <v>232.37</v>
      </c>
      <c r="AS205" s="208">
        <v>0.0</v>
      </c>
      <c r="AT205" s="208">
        <v>0.0</v>
      </c>
      <c r="AV205" s="124" t="str">
        <f t="shared" si="5"/>
        <v>Active</v>
      </c>
    </row>
    <row r="206">
      <c r="F206" s="580"/>
      <c r="AL206" s="167"/>
      <c r="AN206" s="167"/>
    </row>
    <row r="207">
      <c r="F207" s="580"/>
      <c r="AL207" s="167"/>
      <c r="AN207" s="167"/>
    </row>
    <row r="208">
      <c r="F208" s="580"/>
      <c r="AL208" s="167"/>
      <c r="AN208" s="167"/>
    </row>
    <row r="209">
      <c r="F209" s="580"/>
      <c r="AL209" s="167"/>
      <c r="AN209" s="167"/>
    </row>
    <row r="210">
      <c r="F210" s="580"/>
      <c r="AL210" s="167"/>
      <c r="AN210" s="167"/>
    </row>
    <row r="211">
      <c r="F211" s="580"/>
      <c r="AL211" s="167"/>
      <c r="AN211" s="167"/>
    </row>
    <row r="212">
      <c r="F212" s="580"/>
      <c r="AL212" s="167"/>
      <c r="AN212" s="167"/>
    </row>
    <row r="213">
      <c r="F213" s="580"/>
      <c r="AL213" s="167"/>
      <c r="AN213" s="167"/>
    </row>
    <row r="214">
      <c r="F214" s="580"/>
      <c r="AL214" s="167"/>
      <c r="AN214" s="167"/>
    </row>
    <row r="215">
      <c r="F215" s="580"/>
      <c r="AL215" s="167"/>
      <c r="AN215" s="167"/>
    </row>
    <row r="216">
      <c r="F216" s="580"/>
      <c r="AL216" s="167"/>
      <c r="AN216" s="167"/>
    </row>
    <row r="217">
      <c r="F217" s="580"/>
      <c r="AL217" s="167"/>
      <c r="AN217" s="167"/>
    </row>
    <row r="218">
      <c r="F218" s="580"/>
      <c r="AL218" s="167"/>
      <c r="AN218" s="167"/>
    </row>
    <row r="219">
      <c r="F219" s="580"/>
      <c r="AL219" s="167"/>
      <c r="AN219" s="167"/>
    </row>
    <row r="220">
      <c r="F220" s="580"/>
      <c r="AL220" s="167"/>
      <c r="AN220" s="167"/>
    </row>
    <row r="221">
      <c r="F221" s="580"/>
      <c r="AL221" s="167"/>
      <c r="AN221" s="167"/>
    </row>
    <row r="222">
      <c r="F222" s="580"/>
      <c r="AL222" s="167"/>
      <c r="AN222" s="167"/>
    </row>
    <row r="223">
      <c r="F223" s="580"/>
      <c r="AL223" s="167"/>
      <c r="AN223" s="167"/>
    </row>
    <row r="224">
      <c r="F224" s="580"/>
      <c r="AL224" s="167"/>
      <c r="AN224" s="167"/>
    </row>
    <row r="225">
      <c r="F225" s="580"/>
      <c r="AL225" s="167"/>
      <c r="AN225" s="167"/>
    </row>
    <row r="226">
      <c r="F226" s="580"/>
      <c r="AL226" s="167"/>
      <c r="AN226" s="167"/>
    </row>
    <row r="227">
      <c r="F227" s="580"/>
      <c r="AL227" s="167"/>
      <c r="AN227" s="167"/>
    </row>
    <row r="228">
      <c r="F228" s="580"/>
      <c r="AL228" s="167"/>
      <c r="AN228" s="167"/>
    </row>
    <row r="229">
      <c r="F229" s="580"/>
      <c r="AL229" s="167"/>
      <c r="AN229" s="167"/>
    </row>
    <row r="230">
      <c r="F230" s="580"/>
      <c r="AL230" s="167"/>
      <c r="AN230" s="167"/>
    </row>
    <row r="231">
      <c r="F231" s="580"/>
      <c r="AL231" s="167"/>
      <c r="AN231" s="167"/>
    </row>
    <row r="232">
      <c r="F232" s="580"/>
      <c r="AL232" s="167"/>
      <c r="AN232" s="167"/>
    </row>
    <row r="233">
      <c r="F233" s="580"/>
      <c r="AL233" s="167"/>
      <c r="AN233" s="167"/>
    </row>
    <row r="234">
      <c r="F234" s="580"/>
      <c r="AL234" s="167"/>
      <c r="AN234" s="167"/>
    </row>
    <row r="235">
      <c r="F235" s="580"/>
      <c r="AL235" s="167"/>
      <c r="AN235" s="167"/>
    </row>
    <row r="236">
      <c r="F236" s="580"/>
      <c r="AL236" s="167"/>
      <c r="AN236" s="167"/>
    </row>
    <row r="237">
      <c r="F237" s="580"/>
      <c r="AL237" s="167"/>
      <c r="AN237" s="167"/>
    </row>
    <row r="238">
      <c r="F238" s="580"/>
      <c r="AL238" s="167"/>
      <c r="AN238" s="167"/>
    </row>
    <row r="239">
      <c r="F239" s="580"/>
      <c r="AL239" s="167"/>
      <c r="AN239" s="167"/>
    </row>
    <row r="240">
      <c r="F240" s="580"/>
      <c r="AL240" s="167"/>
      <c r="AN240" s="167"/>
    </row>
    <row r="241">
      <c r="F241" s="580"/>
      <c r="AL241" s="167"/>
      <c r="AN241" s="167"/>
    </row>
    <row r="242">
      <c r="F242" s="580"/>
      <c r="AL242" s="167"/>
      <c r="AN242" s="167"/>
    </row>
    <row r="243">
      <c r="F243" s="580"/>
      <c r="AL243" s="167"/>
      <c r="AN243" s="167"/>
    </row>
    <row r="244">
      <c r="F244" s="580"/>
      <c r="AL244" s="167"/>
      <c r="AN244" s="167"/>
    </row>
    <row r="245">
      <c r="F245" s="580"/>
      <c r="AL245" s="167"/>
      <c r="AN245" s="167"/>
    </row>
    <row r="246">
      <c r="F246" s="580"/>
      <c r="AL246" s="167"/>
      <c r="AN246" s="167"/>
    </row>
    <row r="247">
      <c r="F247" s="580"/>
      <c r="AL247" s="167"/>
      <c r="AN247" s="167"/>
    </row>
    <row r="248">
      <c r="F248" s="580"/>
      <c r="AL248" s="167"/>
      <c r="AN248" s="167"/>
    </row>
    <row r="249">
      <c r="F249" s="580"/>
      <c r="AL249" s="167"/>
      <c r="AN249" s="167"/>
    </row>
    <row r="250">
      <c r="F250" s="580"/>
      <c r="AL250" s="167"/>
      <c r="AN250" s="167"/>
    </row>
    <row r="251">
      <c r="F251" s="580"/>
      <c r="AL251" s="167"/>
      <c r="AN251" s="167"/>
    </row>
    <row r="252">
      <c r="F252" s="580"/>
      <c r="AL252" s="167"/>
      <c r="AN252" s="167"/>
    </row>
    <row r="253">
      <c r="F253" s="580"/>
      <c r="AL253" s="167"/>
      <c r="AN253" s="167"/>
    </row>
    <row r="254">
      <c r="F254" s="580"/>
      <c r="AL254" s="167"/>
      <c r="AN254" s="167"/>
    </row>
    <row r="255">
      <c r="F255" s="580"/>
      <c r="AL255" s="167"/>
      <c r="AN255" s="167"/>
    </row>
    <row r="256">
      <c r="F256" s="580"/>
      <c r="AL256" s="167"/>
      <c r="AN256" s="167"/>
    </row>
    <row r="257">
      <c r="F257" s="580"/>
      <c r="AL257" s="167"/>
      <c r="AN257" s="167"/>
    </row>
    <row r="258">
      <c r="F258" s="580"/>
      <c r="AL258" s="167"/>
      <c r="AN258" s="167"/>
    </row>
    <row r="259">
      <c r="F259" s="580"/>
      <c r="AL259" s="167"/>
      <c r="AN259" s="167"/>
    </row>
    <row r="260">
      <c r="F260" s="580"/>
      <c r="AL260" s="167"/>
      <c r="AN260" s="167"/>
    </row>
    <row r="261">
      <c r="F261" s="580"/>
      <c r="AL261" s="167"/>
      <c r="AN261" s="167"/>
    </row>
    <row r="262">
      <c r="F262" s="580"/>
      <c r="AL262" s="167"/>
      <c r="AN262" s="167"/>
    </row>
    <row r="263">
      <c r="F263" s="580"/>
      <c r="AL263" s="167"/>
      <c r="AN263" s="167"/>
    </row>
    <row r="264">
      <c r="F264" s="580"/>
      <c r="AL264" s="167"/>
      <c r="AN264" s="167"/>
    </row>
    <row r="265">
      <c r="F265" s="580"/>
      <c r="AL265" s="167"/>
      <c r="AN265" s="167"/>
    </row>
    <row r="266">
      <c r="F266" s="580"/>
      <c r="AL266" s="167"/>
      <c r="AN266" s="167"/>
    </row>
    <row r="267">
      <c r="F267" s="580"/>
      <c r="AL267" s="167"/>
      <c r="AN267" s="167"/>
    </row>
    <row r="268">
      <c r="F268" s="580"/>
      <c r="AL268" s="167"/>
      <c r="AN268" s="167"/>
    </row>
    <row r="269">
      <c r="F269" s="580"/>
      <c r="AL269" s="167"/>
      <c r="AN269" s="167"/>
    </row>
    <row r="270">
      <c r="F270" s="580"/>
      <c r="AL270" s="167"/>
      <c r="AN270" s="167"/>
    </row>
    <row r="271">
      <c r="F271" s="580"/>
      <c r="AL271" s="167"/>
      <c r="AN271" s="167"/>
    </row>
    <row r="272">
      <c r="F272" s="580"/>
      <c r="AL272" s="167"/>
      <c r="AN272" s="167"/>
    </row>
    <row r="273">
      <c r="F273" s="580"/>
      <c r="AL273" s="167"/>
      <c r="AN273" s="167"/>
    </row>
    <row r="274">
      <c r="F274" s="580"/>
      <c r="AL274" s="167"/>
      <c r="AN274" s="167"/>
    </row>
    <row r="275">
      <c r="F275" s="580"/>
      <c r="AL275" s="167"/>
      <c r="AN275" s="167"/>
    </row>
    <row r="276">
      <c r="F276" s="580"/>
      <c r="AL276" s="167"/>
      <c r="AN276" s="167"/>
    </row>
    <row r="277">
      <c r="F277" s="580"/>
      <c r="AL277" s="167"/>
      <c r="AN277" s="167"/>
    </row>
    <row r="278">
      <c r="F278" s="580"/>
      <c r="AL278" s="167"/>
      <c r="AN278" s="167"/>
    </row>
    <row r="279">
      <c r="F279" s="580"/>
      <c r="AL279" s="167"/>
      <c r="AN279" s="167"/>
    </row>
    <row r="280">
      <c r="F280" s="580"/>
      <c r="AL280" s="167"/>
      <c r="AN280" s="167"/>
    </row>
    <row r="281">
      <c r="F281" s="580"/>
      <c r="AL281" s="167"/>
      <c r="AN281" s="167"/>
    </row>
    <row r="282">
      <c r="F282" s="580"/>
      <c r="AL282" s="167"/>
      <c r="AN282" s="167"/>
    </row>
    <row r="283">
      <c r="F283" s="580"/>
      <c r="AL283" s="167"/>
      <c r="AN283" s="167"/>
    </row>
    <row r="284">
      <c r="F284" s="580"/>
      <c r="AL284" s="167"/>
      <c r="AN284" s="167"/>
    </row>
    <row r="285">
      <c r="F285" s="580"/>
      <c r="AL285" s="167"/>
      <c r="AN285" s="167"/>
    </row>
    <row r="286">
      <c r="F286" s="580"/>
      <c r="AL286" s="167"/>
      <c r="AN286" s="167"/>
    </row>
    <row r="287">
      <c r="F287" s="580"/>
      <c r="AL287" s="167"/>
      <c r="AN287" s="167"/>
    </row>
    <row r="288">
      <c r="F288" s="580"/>
      <c r="AL288" s="167"/>
      <c r="AN288" s="167"/>
    </row>
    <row r="289">
      <c r="F289" s="580"/>
      <c r="AL289" s="167"/>
      <c r="AN289" s="167"/>
    </row>
    <row r="290">
      <c r="F290" s="580"/>
      <c r="AL290" s="167"/>
      <c r="AN290" s="167"/>
    </row>
    <row r="291">
      <c r="F291" s="580"/>
      <c r="AL291" s="167"/>
      <c r="AN291" s="167"/>
    </row>
    <row r="292">
      <c r="F292" s="580"/>
      <c r="AL292" s="167"/>
      <c r="AN292" s="167"/>
    </row>
    <row r="293">
      <c r="F293" s="580"/>
      <c r="AL293" s="167"/>
      <c r="AN293" s="167"/>
    </row>
    <row r="294">
      <c r="F294" s="580"/>
      <c r="AL294" s="167"/>
      <c r="AN294" s="167"/>
    </row>
    <row r="295">
      <c r="F295" s="580"/>
      <c r="AL295" s="167"/>
      <c r="AN295" s="167"/>
    </row>
    <row r="296">
      <c r="F296" s="580"/>
      <c r="AL296" s="167"/>
      <c r="AN296" s="167"/>
    </row>
    <row r="297">
      <c r="F297" s="580"/>
      <c r="AL297" s="167"/>
      <c r="AN297" s="167"/>
    </row>
    <row r="298">
      <c r="F298" s="580"/>
      <c r="AL298" s="167"/>
      <c r="AN298" s="167"/>
    </row>
    <row r="299">
      <c r="F299" s="580"/>
      <c r="AL299" s="167"/>
      <c r="AN299" s="167"/>
    </row>
    <row r="300">
      <c r="F300" s="580"/>
      <c r="AL300" s="167"/>
      <c r="AN300" s="167"/>
    </row>
    <row r="301">
      <c r="F301" s="580"/>
      <c r="AL301" s="167"/>
      <c r="AN301" s="167"/>
    </row>
    <row r="302">
      <c r="F302" s="580"/>
      <c r="AL302" s="167"/>
      <c r="AN302" s="167"/>
    </row>
    <row r="303">
      <c r="F303" s="580"/>
      <c r="AL303" s="167"/>
      <c r="AN303" s="167"/>
    </row>
    <row r="304">
      <c r="F304" s="580"/>
      <c r="AL304" s="167"/>
      <c r="AN304" s="167"/>
    </row>
    <row r="305">
      <c r="F305" s="580"/>
      <c r="AL305" s="167"/>
      <c r="AN305" s="167"/>
    </row>
    <row r="306">
      <c r="F306" s="580"/>
      <c r="AL306" s="167"/>
      <c r="AN306" s="167"/>
    </row>
    <row r="307">
      <c r="F307" s="580"/>
      <c r="AL307" s="167"/>
      <c r="AN307" s="167"/>
    </row>
    <row r="308">
      <c r="F308" s="580"/>
      <c r="AL308" s="167"/>
      <c r="AN308" s="167"/>
    </row>
    <row r="309">
      <c r="F309" s="580"/>
      <c r="AL309" s="167"/>
      <c r="AN309" s="167"/>
    </row>
    <row r="310">
      <c r="F310" s="580"/>
      <c r="AL310" s="167"/>
      <c r="AN310" s="167"/>
    </row>
    <row r="311">
      <c r="F311" s="580"/>
      <c r="AL311" s="167"/>
      <c r="AN311" s="167"/>
    </row>
    <row r="312">
      <c r="F312" s="580"/>
      <c r="AL312" s="167"/>
      <c r="AN312" s="167"/>
    </row>
    <row r="313">
      <c r="F313" s="580"/>
      <c r="AL313" s="167"/>
      <c r="AN313" s="167"/>
    </row>
    <row r="314">
      <c r="F314" s="580"/>
      <c r="AL314" s="167"/>
      <c r="AN314" s="167"/>
    </row>
    <row r="315">
      <c r="F315" s="580"/>
      <c r="AL315" s="167"/>
      <c r="AN315" s="167"/>
    </row>
    <row r="316">
      <c r="F316" s="580"/>
      <c r="AL316" s="167"/>
      <c r="AN316" s="167"/>
    </row>
    <row r="317">
      <c r="F317" s="580"/>
      <c r="AL317" s="167"/>
      <c r="AN317" s="167"/>
    </row>
    <row r="318">
      <c r="F318" s="580"/>
      <c r="AL318" s="167"/>
      <c r="AN318" s="167"/>
    </row>
    <row r="319">
      <c r="F319" s="580"/>
      <c r="AL319" s="167"/>
      <c r="AN319" s="167"/>
    </row>
    <row r="320">
      <c r="F320" s="580"/>
      <c r="AL320" s="167"/>
      <c r="AN320" s="167"/>
    </row>
    <row r="321">
      <c r="F321" s="580"/>
      <c r="AL321" s="167"/>
      <c r="AN321" s="167"/>
    </row>
    <row r="322">
      <c r="F322" s="580"/>
      <c r="AL322" s="167"/>
      <c r="AN322" s="167"/>
    </row>
    <row r="323">
      <c r="F323" s="580"/>
      <c r="AL323" s="167"/>
      <c r="AN323" s="167"/>
    </row>
    <row r="324">
      <c r="F324" s="580"/>
      <c r="AL324" s="167"/>
      <c r="AN324" s="167"/>
    </row>
    <row r="325">
      <c r="F325" s="580"/>
      <c r="AL325" s="167"/>
      <c r="AN325" s="167"/>
    </row>
    <row r="326">
      <c r="F326" s="580"/>
      <c r="AL326" s="167"/>
      <c r="AN326" s="167"/>
    </row>
    <row r="327">
      <c r="F327" s="580"/>
      <c r="AL327" s="167"/>
      <c r="AN327" s="167"/>
    </row>
    <row r="328">
      <c r="F328" s="580"/>
      <c r="AL328" s="167"/>
      <c r="AN328" s="167"/>
    </row>
    <row r="329">
      <c r="F329" s="580"/>
      <c r="AL329" s="167"/>
      <c r="AN329" s="167"/>
    </row>
    <row r="330">
      <c r="F330" s="580"/>
      <c r="AL330" s="167"/>
      <c r="AN330" s="167"/>
    </row>
    <row r="331">
      <c r="F331" s="580"/>
      <c r="AL331" s="167"/>
      <c r="AN331" s="167"/>
    </row>
    <row r="332">
      <c r="F332" s="580"/>
      <c r="AL332" s="167"/>
      <c r="AN332" s="167"/>
    </row>
    <row r="333">
      <c r="F333" s="580"/>
      <c r="AL333" s="167"/>
      <c r="AN333" s="167"/>
    </row>
    <row r="334">
      <c r="F334" s="580"/>
      <c r="AL334" s="167"/>
      <c r="AN334" s="167"/>
    </row>
    <row r="335">
      <c r="F335" s="580"/>
      <c r="AL335" s="167"/>
      <c r="AN335" s="167"/>
    </row>
    <row r="336">
      <c r="F336" s="580"/>
      <c r="AL336" s="167"/>
      <c r="AN336" s="167"/>
    </row>
    <row r="337">
      <c r="F337" s="580"/>
      <c r="AL337" s="167"/>
      <c r="AN337" s="167"/>
    </row>
    <row r="338">
      <c r="F338" s="580"/>
      <c r="AL338" s="167"/>
      <c r="AN338" s="167"/>
    </row>
    <row r="339">
      <c r="F339" s="580"/>
      <c r="AL339" s="167"/>
      <c r="AN339" s="167"/>
    </row>
    <row r="340">
      <c r="F340" s="580"/>
      <c r="AL340" s="167"/>
      <c r="AN340" s="167"/>
    </row>
    <row r="341">
      <c r="F341" s="580"/>
      <c r="AL341" s="167"/>
      <c r="AN341" s="167"/>
    </row>
    <row r="342">
      <c r="F342" s="580"/>
      <c r="AL342" s="167"/>
      <c r="AN342" s="167"/>
    </row>
    <row r="343">
      <c r="F343" s="580"/>
      <c r="AL343" s="167"/>
      <c r="AN343" s="167"/>
    </row>
    <row r="344">
      <c r="F344" s="580"/>
      <c r="AL344" s="167"/>
      <c r="AN344" s="167"/>
    </row>
    <row r="345">
      <c r="F345" s="580"/>
      <c r="AL345" s="167"/>
      <c r="AN345" s="167"/>
    </row>
    <row r="346">
      <c r="F346" s="580"/>
      <c r="AL346" s="167"/>
      <c r="AN346" s="167"/>
    </row>
    <row r="347">
      <c r="F347" s="580"/>
      <c r="AL347" s="167"/>
      <c r="AN347" s="167"/>
    </row>
    <row r="348">
      <c r="F348" s="580"/>
      <c r="AL348" s="167"/>
      <c r="AN348" s="167"/>
    </row>
    <row r="349">
      <c r="F349" s="580"/>
      <c r="AL349" s="167"/>
      <c r="AN349" s="167"/>
    </row>
    <row r="350">
      <c r="F350" s="580"/>
      <c r="AL350" s="167"/>
      <c r="AN350" s="167"/>
    </row>
    <row r="351">
      <c r="F351" s="580"/>
      <c r="AL351" s="167"/>
      <c r="AN351" s="167"/>
    </row>
    <row r="352">
      <c r="F352" s="580"/>
      <c r="AL352" s="167"/>
      <c r="AN352" s="167"/>
    </row>
    <row r="353">
      <c r="F353" s="580"/>
      <c r="AL353" s="167"/>
      <c r="AN353" s="167"/>
    </row>
    <row r="354">
      <c r="F354" s="580"/>
      <c r="AL354" s="167"/>
      <c r="AN354" s="167"/>
    </row>
    <row r="355">
      <c r="F355" s="580"/>
      <c r="AL355" s="167"/>
      <c r="AN355" s="167"/>
    </row>
    <row r="356">
      <c r="F356" s="580"/>
      <c r="AL356" s="167"/>
      <c r="AN356" s="167"/>
    </row>
    <row r="357">
      <c r="F357" s="580"/>
      <c r="AL357" s="167"/>
      <c r="AN357" s="167"/>
    </row>
    <row r="358">
      <c r="F358" s="580"/>
      <c r="AL358" s="167"/>
      <c r="AN358" s="167"/>
    </row>
    <row r="359">
      <c r="F359" s="580"/>
      <c r="AL359" s="167"/>
      <c r="AN359" s="167"/>
    </row>
    <row r="360">
      <c r="F360" s="580"/>
      <c r="AL360" s="167"/>
      <c r="AN360" s="167"/>
    </row>
    <row r="361">
      <c r="F361" s="580"/>
      <c r="AL361" s="167"/>
      <c r="AN361" s="167"/>
    </row>
    <row r="362">
      <c r="F362" s="580"/>
      <c r="AL362" s="167"/>
      <c r="AN362" s="167"/>
    </row>
    <row r="363">
      <c r="F363" s="580"/>
      <c r="AL363" s="167"/>
      <c r="AN363" s="167"/>
    </row>
    <row r="364">
      <c r="F364" s="580"/>
      <c r="AL364" s="167"/>
      <c r="AN364" s="167"/>
    </row>
    <row r="365">
      <c r="F365" s="580"/>
      <c r="AL365" s="167"/>
      <c r="AN365" s="167"/>
    </row>
    <row r="366">
      <c r="F366" s="580"/>
      <c r="AL366" s="167"/>
      <c r="AN366" s="167"/>
    </row>
    <row r="367">
      <c r="F367" s="580"/>
      <c r="AL367" s="167"/>
      <c r="AN367" s="167"/>
    </row>
    <row r="368">
      <c r="F368" s="580"/>
      <c r="AL368" s="167"/>
      <c r="AN368" s="167"/>
    </row>
    <row r="369">
      <c r="F369" s="580"/>
      <c r="AL369" s="167"/>
      <c r="AN369" s="167"/>
    </row>
    <row r="370">
      <c r="F370" s="580"/>
      <c r="AL370" s="167"/>
      <c r="AN370" s="167"/>
    </row>
    <row r="371">
      <c r="F371" s="580"/>
      <c r="AL371" s="167"/>
      <c r="AN371" s="167"/>
    </row>
    <row r="372">
      <c r="F372" s="580"/>
      <c r="AL372" s="167"/>
      <c r="AN372" s="167"/>
    </row>
    <row r="373">
      <c r="F373" s="580"/>
      <c r="AL373" s="167"/>
      <c r="AN373" s="167"/>
    </row>
    <row r="374">
      <c r="F374" s="580"/>
      <c r="AL374" s="167"/>
      <c r="AN374" s="167"/>
    </row>
    <row r="375">
      <c r="F375" s="580"/>
      <c r="AL375" s="167"/>
      <c r="AN375" s="167"/>
    </row>
    <row r="376">
      <c r="F376" s="580"/>
      <c r="AL376" s="167"/>
      <c r="AN376" s="167"/>
    </row>
    <row r="377">
      <c r="F377" s="580"/>
      <c r="AL377" s="167"/>
      <c r="AN377" s="167"/>
    </row>
    <row r="378">
      <c r="F378" s="580"/>
      <c r="AL378" s="167"/>
      <c r="AN378" s="167"/>
    </row>
    <row r="379">
      <c r="F379" s="580"/>
      <c r="AL379" s="167"/>
      <c r="AN379" s="167"/>
    </row>
    <row r="380">
      <c r="F380" s="580"/>
      <c r="AL380" s="167"/>
      <c r="AN380" s="167"/>
    </row>
    <row r="381">
      <c r="F381" s="580"/>
      <c r="AL381" s="167"/>
      <c r="AN381" s="167"/>
    </row>
    <row r="382">
      <c r="F382" s="580"/>
      <c r="AL382" s="167"/>
      <c r="AN382" s="167"/>
    </row>
    <row r="383">
      <c r="F383" s="580"/>
      <c r="AL383" s="167"/>
      <c r="AN383" s="167"/>
    </row>
    <row r="384">
      <c r="F384" s="580"/>
      <c r="AL384" s="167"/>
      <c r="AN384" s="167"/>
    </row>
    <row r="385">
      <c r="F385" s="580"/>
      <c r="AL385" s="167"/>
      <c r="AN385" s="167"/>
    </row>
    <row r="386">
      <c r="F386" s="580"/>
      <c r="AL386" s="167"/>
      <c r="AN386" s="167"/>
    </row>
    <row r="387">
      <c r="F387" s="580"/>
      <c r="AL387" s="167"/>
      <c r="AN387" s="167"/>
    </row>
    <row r="388">
      <c r="F388" s="580"/>
      <c r="AL388" s="167"/>
      <c r="AN388" s="167"/>
    </row>
    <row r="389">
      <c r="F389" s="580"/>
      <c r="AL389" s="167"/>
      <c r="AN389" s="167"/>
    </row>
    <row r="390">
      <c r="F390" s="580"/>
      <c r="AL390" s="167"/>
      <c r="AN390" s="167"/>
    </row>
    <row r="391">
      <c r="F391" s="580"/>
      <c r="AL391" s="167"/>
      <c r="AN391" s="167"/>
    </row>
    <row r="392">
      <c r="F392" s="580"/>
      <c r="AL392" s="167"/>
      <c r="AN392" s="167"/>
    </row>
    <row r="393">
      <c r="F393" s="580"/>
      <c r="AL393" s="167"/>
      <c r="AN393" s="167"/>
    </row>
    <row r="394">
      <c r="F394" s="580"/>
      <c r="AL394" s="167"/>
      <c r="AN394" s="167"/>
    </row>
    <row r="395">
      <c r="F395" s="580"/>
      <c r="AL395" s="167"/>
      <c r="AN395" s="167"/>
    </row>
    <row r="396">
      <c r="F396" s="580"/>
      <c r="AL396" s="167"/>
      <c r="AN396" s="167"/>
    </row>
    <row r="397">
      <c r="F397" s="580"/>
      <c r="AL397" s="167"/>
      <c r="AN397" s="167"/>
    </row>
    <row r="398">
      <c r="F398" s="580"/>
      <c r="AL398" s="167"/>
      <c r="AN398" s="167"/>
    </row>
    <row r="399">
      <c r="F399" s="580"/>
      <c r="AL399" s="167"/>
      <c r="AN399" s="167"/>
    </row>
    <row r="400">
      <c r="F400" s="580"/>
      <c r="AL400" s="167"/>
      <c r="AN400" s="167"/>
    </row>
    <row r="401">
      <c r="F401" s="580"/>
      <c r="AL401" s="167"/>
      <c r="AN401" s="167"/>
    </row>
    <row r="402">
      <c r="F402" s="580"/>
      <c r="AL402" s="167"/>
      <c r="AN402" s="167"/>
    </row>
    <row r="403">
      <c r="F403" s="580"/>
      <c r="AL403" s="167"/>
      <c r="AN403" s="167"/>
    </row>
    <row r="404">
      <c r="F404" s="580"/>
      <c r="AL404" s="167"/>
      <c r="AN404" s="167"/>
    </row>
    <row r="405">
      <c r="F405" s="580"/>
      <c r="AL405" s="167"/>
      <c r="AN405" s="167"/>
    </row>
    <row r="406">
      <c r="F406" s="580"/>
      <c r="AL406" s="167"/>
      <c r="AN406" s="167"/>
    </row>
    <row r="407">
      <c r="F407" s="580"/>
      <c r="AL407" s="167"/>
      <c r="AN407" s="167"/>
    </row>
    <row r="408">
      <c r="F408" s="580"/>
      <c r="AL408" s="167"/>
      <c r="AN408" s="167"/>
    </row>
    <row r="409">
      <c r="F409" s="580"/>
      <c r="AL409" s="167"/>
      <c r="AN409" s="167"/>
    </row>
    <row r="410">
      <c r="F410" s="580"/>
      <c r="AL410" s="167"/>
      <c r="AN410" s="167"/>
    </row>
    <row r="411">
      <c r="F411" s="580"/>
      <c r="AL411" s="167"/>
      <c r="AN411" s="167"/>
    </row>
    <row r="412">
      <c r="F412" s="580"/>
      <c r="AL412" s="167"/>
      <c r="AN412" s="167"/>
    </row>
    <row r="413">
      <c r="F413" s="580"/>
      <c r="AL413" s="167"/>
      <c r="AN413" s="167"/>
    </row>
    <row r="414">
      <c r="F414" s="580"/>
      <c r="AL414" s="167"/>
      <c r="AN414" s="167"/>
    </row>
    <row r="415">
      <c r="F415" s="580"/>
      <c r="AL415" s="167"/>
      <c r="AN415" s="167"/>
    </row>
    <row r="416">
      <c r="F416" s="580"/>
      <c r="AL416" s="167"/>
      <c r="AN416" s="167"/>
    </row>
    <row r="417">
      <c r="F417" s="580"/>
      <c r="AL417" s="167"/>
      <c r="AN417" s="167"/>
    </row>
    <row r="418">
      <c r="F418" s="580"/>
      <c r="AL418" s="167"/>
      <c r="AN418" s="167"/>
    </row>
    <row r="419">
      <c r="F419" s="580"/>
      <c r="AL419" s="167"/>
      <c r="AN419" s="167"/>
    </row>
    <row r="420">
      <c r="F420" s="580"/>
      <c r="AL420" s="167"/>
      <c r="AN420" s="167"/>
    </row>
    <row r="421">
      <c r="F421" s="580"/>
      <c r="AL421" s="167"/>
      <c r="AN421" s="167"/>
    </row>
    <row r="422">
      <c r="F422" s="580"/>
      <c r="AL422" s="167"/>
      <c r="AN422" s="167"/>
    </row>
    <row r="423">
      <c r="F423" s="580"/>
      <c r="AL423" s="167"/>
      <c r="AN423" s="167"/>
    </row>
    <row r="424">
      <c r="F424" s="580"/>
      <c r="AL424" s="167"/>
      <c r="AN424" s="167"/>
    </row>
    <row r="425">
      <c r="F425" s="580"/>
      <c r="AL425" s="167"/>
      <c r="AN425" s="167"/>
    </row>
    <row r="426">
      <c r="F426" s="580"/>
      <c r="AL426" s="167"/>
      <c r="AN426" s="167"/>
    </row>
    <row r="427">
      <c r="F427" s="580"/>
      <c r="AL427" s="167"/>
      <c r="AN427" s="167"/>
    </row>
    <row r="428">
      <c r="F428" s="580"/>
      <c r="AL428" s="167"/>
      <c r="AN428" s="167"/>
    </row>
    <row r="429">
      <c r="F429" s="580"/>
      <c r="AL429" s="167"/>
      <c r="AN429" s="167"/>
    </row>
    <row r="430">
      <c r="F430" s="580"/>
      <c r="AL430" s="167"/>
      <c r="AN430" s="167"/>
    </row>
    <row r="431">
      <c r="F431" s="580"/>
      <c r="AL431" s="167"/>
      <c r="AN431" s="167"/>
    </row>
    <row r="432">
      <c r="F432" s="580"/>
      <c r="AL432" s="167"/>
      <c r="AN432" s="167"/>
    </row>
    <row r="433">
      <c r="F433" s="580"/>
      <c r="AL433" s="167"/>
      <c r="AN433" s="167"/>
    </row>
    <row r="434">
      <c r="F434" s="580"/>
      <c r="AL434" s="167"/>
      <c r="AN434" s="167"/>
    </row>
    <row r="435">
      <c r="F435" s="580"/>
      <c r="AL435" s="167"/>
      <c r="AN435" s="167"/>
    </row>
    <row r="436">
      <c r="F436" s="580"/>
      <c r="AL436" s="167"/>
      <c r="AN436" s="167"/>
    </row>
    <row r="437">
      <c r="F437" s="580"/>
      <c r="AL437" s="167"/>
      <c r="AN437" s="167"/>
    </row>
    <row r="438">
      <c r="F438" s="580"/>
      <c r="AL438" s="167"/>
      <c r="AN438" s="167"/>
    </row>
    <row r="439">
      <c r="F439" s="580"/>
      <c r="AL439" s="167"/>
      <c r="AN439" s="167"/>
    </row>
    <row r="440">
      <c r="F440" s="580"/>
      <c r="AL440" s="167"/>
      <c r="AN440" s="167"/>
    </row>
    <row r="441">
      <c r="F441" s="580"/>
      <c r="AL441" s="167"/>
      <c r="AN441" s="167"/>
    </row>
    <row r="442">
      <c r="F442" s="580"/>
      <c r="AL442" s="167"/>
      <c r="AN442" s="167"/>
    </row>
    <row r="443">
      <c r="F443" s="580"/>
      <c r="AL443" s="167"/>
      <c r="AN443" s="167"/>
    </row>
    <row r="444">
      <c r="F444" s="580"/>
      <c r="AL444" s="167"/>
      <c r="AN444" s="167"/>
    </row>
    <row r="445">
      <c r="F445" s="580"/>
      <c r="AL445" s="167"/>
      <c r="AN445" s="167"/>
    </row>
    <row r="446">
      <c r="F446" s="580"/>
      <c r="AL446" s="167"/>
      <c r="AN446" s="167"/>
    </row>
    <row r="447">
      <c r="F447" s="580"/>
      <c r="AL447" s="167"/>
      <c r="AN447" s="167"/>
    </row>
    <row r="448">
      <c r="F448" s="580"/>
      <c r="AL448" s="167"/>
      <c r="AN448" s="167"/>
    </row>
    <row r="449">
      <c r="F449" s="580"/>
      <c r="AL449" s="167"/>
      <c r="AN449" s="167"/>
    </row>
    <row r="450">
      <c r="F450" s="580"/>
      <c r="AL450" s="167"/>
      <c r="AN450" s="167"/>
    </row>
    <row r="451">
      <c r="F451" s="580"/>
      <c r="AL451" s="167"/>
      <c r="AN451" s="167"/>
    </row>
    <row r="452">
      <c r="F452" s="580"/>
      <c r="AL452" s="167"/>
      <c r="AN452" s="167"/>
    </row>
    <row r="453">
      <c r="F453" s="580"/>
      <c r="AL453" s="167"/>
      <c r="AN453" s="167"/>
    </row>
    <row r="454">
      <c r="F454" s="580"/>
      <c r="AL454" s="167"/>
      <c r="AN454" s="167"/>
    </row>
    <row r="455">
      <c r="F455" s="580"/>
      <c r="AL455" s="167"/>
      <c r="AN455" s="167"/>
    </row>
    <row r="456">
      <c r="F456" s="580"/>
      <c r="AL456" s="167"/>
      <c r="AN456" s="167"/>
    </row>
    <row r="457">
      <c r="F457" s="580"/>
      <c r="AL457" s="167"/>
      <c r="AN457" s="167"/>
    </row>
    <row r="458">
      <c r="F458" s="580"/>
      <c r="AL458" s="167"/>
      <c r="AN458" s="167"/>
    </row>
    <row r="459">
      <c r="F459" s="580"/>
      <c r="AL459" s="167"/>
      <c r="AN459" s="167"/>
    </row>
    <row r="460">
      <c r="F460" s="580"/>
      <c r="AL460" s="167"/>
      <c r="AN460" s="167"/>
    </row>
    <row r="461">
      <c r="F461" s="580"/>
      <c r="AL461" s="167"/>
      <c r="AN461" s="167"/>
    </row>
    <row r="462">
      <c r="F462" s="580"/>
      <c r="AL462" s="167"/>
      <c r="AN462" s="167"/>
    </row>
    <row r="463">
      <c r="F463" s="580"/>
      <c r="AL463" s="167"/>
      <c r="AN463" s="167"/>
    </row>
    <row r="464">
      <c r="F464" s="580"/>
      <c r="AL464" s="167"/>
      <c r="AN464" s="167"/>
    </row>
    <row r="465">
      <c r="F465" s="580"/>
      <c r="AL465" s="167"/>
      <c r="AN465" s="167"/>
    </row>
    <row r="466">
      <c r="F466" s="580"/>
      <c r="AL466" s="167"/>
      <c r="AN466" s="167"/>
    </row>
    <row r="467">
      <c r="F467" s="580"/>
      <c r="AL467" s="167"/>
      <c r="AN467" s="167"/>
    </row>
    <row r="468">
      <c r="F468" s="580"/>
      <c r="AL468" s="167"/>
      <c r="AN468" s="167"/>
    </row>
    <row r="469">
      <c r="F469" s="580"/>
      <c r="AL469" s="167"/>
      <c r="AN469" s="167"/>
    </row>
    <row r="470">
      <c r="F470" s="580"/>
      <c r="AL470" s="167"/>
      <c r="AN470" s="167"/>
    </row>
    <row r="471">
      <c r="F471" s="580"/>
      <c r="AL471" s="167"/>
      <c r="AN471" s="167"/>
    </row>
    <row r="472">
      <c r="F472" s="580"/>
      <c r="AL472" s="167"/>
      <c r="AN472" s="167"/>
    </row>
    <row r="473">
      <c r="F473" s="580"/>
      <c r="AL473" s="167"/>
      <c r="AN473" s="167"/>
    </row>
    <row r="474">
      <c r="F474" s="580"/>
      <c r="AL474" s="167"/>
      <c r="AN474" s="167"/>
    </row>
    <row r="475">
      <c r="F475" s="580"/>
      <c r="AL475" s="167"/>
      <c r="AN475" s="167"/>
    </row>
    <row r="476">
      <c r="F476" s="580"/>
      <c r="AL476" s="167"/>
      <c r="AN476" s="167"/>
    </row>
    <row r="477">
      <c r="F477" s="580"/>
      <c r="AL477" s="167"/>
      <c r="AN477" s="167"/>
    </row>
    <row r="478">
      <c r="F478" s="580"/>
      <c r="AL478" s="167"/>
      <c r="AN478" s="167"/>
    </row>
    <row r="479">
      <c r="F479" s="580"/>
      <c r="AL479" s="167"/>
      <c r="AN479" s="167"/>
    </row>
    <row r="480">
      <c r="F480" s="580"/>
      <c r="AL480" s="167"/>
      <c r="AN480" s="167"/>
    </row>
    <row r="481">
      <c r="F481" s="580"/>
      <c r="AL481" s="167"/>
      <c r="AN481" s="167"/>
    </row>
    <row r="482">
      <c r="F482" s="580"/>
      <c r="AL482" s="167"/>
      <c r="AN482" s="167"/>
    </row>
    <row r="483">
      <c r="F483" s="580"/>
      <c r="AL483" s="167"/>
      <c r="AN483" s="167"/>
    </row>
    <row r="484">
      <c r="F484" s="580"/>
      <c r="AL484" s="167"/>
      <c r="AN484" s="167"/>
    </row>
    <row r="485">
      <c r="F485" s="580"/>
      <c r="AL485" s="167"/>
      <c r="AN485" s="167"/>
    </row>
    <row r="486">
      <c r="F486" s="580"/>
      <c r="AL486" s="167"/>
      <c r="AN486" s="167"/>
    </row>
    <row r="487">
      <c r="F487" s="580"/>
      <c r="AL487" s="167"/>
      <c r="AN487" s="167"/>
    </row>
    <row r="488">
      <c r="F488" s="580"/>
      <c r="AL488" s="167"/>
      <c r="AN488" s="167"/>
    </row>
    <row r="489">
      <c r="F489" s="580"/>
      <c r="AL489" s="167"/>
      <c r="AN489" s="167"/>
    </row>
    <row r="490">
      <c r="F490" s="580"/>
      <c r="AL490" s="167"/>
      <c r="AN490" s="167"/>
    </row>
    <row r="491">
      <c r="F491" s="580"/>
      <c r="AL491" s="167"/>
      <c r="AN491" s="167"/>
    </row>
    <row r="492">
      <c r="F492" s="580"/>
      <c r="AL492" s="167"/>
      <c r="AN492" s="167"/>
    </row>
    <row r="493">
      <c r="F493" s="580"/>
      <c r="AL493" s="167"/>
      <c r="AN493" s="167"/>
    </row>
    <row r="494">
      <c r="F494" s="580"/>
      <c r="AL494" s="167"/>
      <c r="AN494" s="167"/>
    </row>
    <row r="495">
      <c r="F495" s="580"/>
      <c r="AL495" s="167"/>
      <c r="AN495" s="167"/>
    </row>
    <row r="496">
      <c r="F496" s="580"/>
      <c r="AL496" s="167"/>
      <c r="AN496" s="167"/>
    </row>
    <row r="497">
      <c r="F497" s="580"/>
      <c r="AL497" s="167"/>
      <c r="AN497" s="167"/>
    </row>
    <row r="498">
      <c r="F498" s="580"/>
      <c r="AL498" s="167"/>
      <c r="AN498" s="167"/>
    </row>
    <row r="499">
      <c r="F499" s="580"/>
      <c r="AL499" s="167"/>
      <c r="AN499" s="167"/>
    </row>
    <row r="500">
      <c r="F500" s="580"/>
      <c r="AL500" s="167"/>
      <c r="AN500" s="167"/>
    </row>
    <row r="501">
      <c r="F501" s="580"/>
      <c r="AL501" s="167"/>
      <c r="AN501" s="167"/>
    </row>
    <row r="502">
      <c r="F502" s="580"/>
      <c r="AL502" s="167"/>
      <c r="AN502" s="167"/>
    </row>
    <row r="503">
      <c r="F503" s="580"/>
      <c r="AL503" s="167"/>
      <c r="AN503" s="167"/>
    </row>
    <row r="504">
      <c r="F504" s="580"/>
      <c r="AL504" s="167"/>
      <c r="AN504" s="167"/>
    </row>
    <row r="505">
      <c r="F505" s="580"/>
      <c r="AL505" s="167"/>
      <c r="AN505" s="167"/>
    </row>
    <row r="506">
      <c r="F506" s="580"/>
      <c r="AL506" s="167"/>
      <c r="AN506" s="167"/>
    </row>
    <row r="507">
      <c r="F507" s="580"/>
      <c r="AL507" s="167"/>
      <c r="AN507" s="167"/>
    </row>
    <row r="508">
      <c r="F508" s="580"/>
      <c r="AL508" s="167"/>
      <c r="AN508" s="167"/>
    </row>
    <row r="509">
      <c r="F509" s="580"/>
      <c r="AL509" s="167"/>
      <c r="AN509" s="167"/>
    </row>
    <row r="510">
      <c r="F510" s="580"/>
      <c r="AL510" s="167"/>
      <c r="AN510" s="167"/>
    </row>
    <row r="511">
      <c r="F511" s="580"/>
      <c r="AL511" s="167"/>
      <c r="AN511" s="167"/>
    </row>
    <row r="512">
      <c r="F512" s="580"/>
      <c r="AL512" s="167"/>
      <c r="AN512" s="167"/>
    </row>
    <row r="513">
      <c r="F513" s="580"/>
      <c r="AL513" s="167"/>
      <c r="AN513" s="167"/>
    </row>
    <row r="514">
      <c r="F514" s="580"/>
      <c r="AL514" s="167"/>
      <c r="AN514" s="167"/>
    </row>
    <row r="515">
      <c r="F515" s="580"/>
      <c r="AL515" s="167"/>
      <c r="AN515" s="167"/>
    </row>
    <row r="516">
      <c r="F516" s="580"/>
      <c r="AL516" s="167"/>
      <c r="AN516" s="167"/>
    </row>
    <row r="517">
      <c r="F517" s="580"/>
      <c r="AL517" s="167"/>
      <c r="AN517" s="167"/>
    </row>
    <row r="518">
      <c r="F518" s="580"/>
      <c r="AL518" s="167"/>
      <c r="AN518" s="167"/>
    </row>
    <row r="519">
      <c r="F519" s="580"/>
      <c r="AL519" s="167"/>
      <c r="AN519" s="167"/>
    </row>
    <row r="520">
      <c r="F520" s="580"/>
      <c r="AL520" s="167"/>
      <c r="AN520" s="167"/>
    </row>
    <row r="521">
      <c r="F521" s="580"/>
      <c r="AL521" s="167"/>
      <c r="AN521" s="167"/>
    </row>
    <row r="522">
      <c r="F522" s="580"/>
      <c r="AL522" s="167"/>
      <c r="AN522" s="167"/>
    </row>
    <row r="523">
      <c r="F523" s="580"/>
      <c r="AL523" s="167"/>
      <c r="AN523" s="167"/>
    </row>
    <row r="524">
      <c r="F524" s="580"/>
      <c r="AL524" s="167"/>
      <c r="AN524" s="167"/>
    </row>
    <row r="525">
      <c r="F525" s="580"/>
      <c r="AL525" s="167"/>
      <c r="AN525" s="167"/>
    </row>
    <row r="526">
      <c r="F526" s="580"/>
      <c r="AL526" s="167"/>
      <c r="AN526" s="167"/>
    </row>
    <row r="527">
      <c r="F527" s="580"/>
      <c r="AL527" s="167"/>
      <c r="AN527" s="167"/>
    </row>
    <row r="528">
      <c r="F528" s="580"/>
      <c r="AL528" s="167"/>
      <c r="AN528" s="167"/>
    </row>
    <row r="529">
      <c r="F529" s="580"/>
      <c r="AL529" s="167"/>
      <c r="AN529" s="167"/>
    </row>
    <row r="530">
      <c r="F530" s="580"/>
      <c r="AL530" s="167"/>
      <c r="AN530" s="167"/>
    </row>
    <row r="531">
      <c r="F531" s="580"/>
      <c r="AL531" s="167"/>
      <c r="AN531" s="167"/>
    </row>
    <row r="532">
      <c r="F532" s="580"/>
      <c r="AL532" s="167"/>
      <c r="AN532" s="167"/>
    </row>
    <row r="533">
      <c r="F533" s="580"/>
      <c r="AL533" s="167"/>
      <c r="AN533" s="167"/>
    </row>
    <row r="534">
      <c r="F534" s="580"/>
      <c r="AL534" s="167"/>
      <c r="AN534" s="167"/>
    </row>
    <row r="535">
      <c r="F535" s="580"/>
      <c r="AL535" s="167"/>
      <c r="AN535" s="167"/>
    </row>
    <row r="536">
      <c r="F536" s="580"/>
      <c r="AL536" s="167"/>
      <c r="AN536" s="167"/>
    </row>
    <row r="537">
      <c r="F537" s="580"/>
      <c r="AL537" s="167"/>
      <c r="AN537" s="167"/>
    </row>
    <row r="538">
      <c r="F538" s="580"/>
      <c r="AL538" s="167"/>
      <c r="AN538" s="167"/>
    </row>
    <row r="539">
      <c r="F539" s="580"/>
      <c r="AL539" s="167"/>
      <c r="AN539" s="167"/>
    </row>
    <row r="540">
      <c r="F540" s="580"/>
      <c r="AL540" s="167"/>
      <c r="AN540" s="167"/>
    </row>
    <row r="541">
      <c r="F541" s="580"/>
      <c r="AL541" s="167"/>
      <c r="AN541" s="167"/>
    </row>
    <row r="542">
      <c r="F542" s="580"/>
      <c r="AL542" s="167"/>
      <c r="AN542" s="167"/>
    </row>
    <row r="543">
      <c r="F543" s="580"/>
      <c r="AL543" s="167"/>
      <c r="AN543" s="167"/>
    </row>
    <row r="544">
      <c r="F544" s="580"/>
      <c r="AL544" s="167"/>
      <c r="AN544" s="167"/>
    </row>
    <row r="545">
      <c r="F545" s="580"/>
      <c r="AL545" s="167"/>
      <c r="AN545" s="167"/>
    </row>
    <row r="546">
      <c r="F546" s="580"/>
      <c r="AL546" s="167"/>
      <c r="AN546" s="167"/>
    </row>
    <row r="547">
      <c r="F547" s="580"/>
      <c r="AL547" s="167"/>
      <c r="AN547" s="167"/>
    </row>
    <row r="548">
      <c r="F548" s="580"/>
      <c r="AL548" s="167"/>
      <c r="AN548" s="167"/>
    </row>
    <row r="549">
      <c r="F549" s="580"/>
      <c r="AL549" s="167"/>
      <c r="AN549" s="167"/>
    </row>
    <row r="550">
      <c r="F550" s="580"/>
      <c r="AL550" s="167"/>
      <c r="AN550" s="167"/>
    </row>
    <row r="551">
      <c r="F551" s="580"/>
      <c r="AL551" s="167"/>
      <c r="AN551" s="167"/>
    </row>
    <row r="552">
      <c r="F552" s="580"/>
      <c r="AL552" s="167"/>
      <c r="AN552" s="167"/>
    </row>
    <row r="553">
      <c r="F553" s="580"/>
      <c r="AL553" s="167"/>
      <c r="AN553" s="167"/>
    </row>
    <row r="554">
      <c r="F554" s="580"/>
      <c r="AL554" s="167"/>
      <c r="AN554" s="167"/>
    </row>
    <row r="555">
      <c r="F555" s="580"/>
      <c r="AL555" s="167"/>
      <c r="AN555" s="167"/>
    </row>
    <row r="556">
      <c r="F556" s="580"/>
      <c r="AL556" s="167"/>
      <c r="AN556" s="167"/>
    </row>
    <row r="557">
      <c r="F557" s="580"/>
      <c r="AL557" s="167"/>
      <c r="AN557" s="167"/>
    </row>
    <row r="558">
      <c r="F558" s="580"/>
      <c r="AL558" s="167"/>
      <c r="AN558" s="167"/>
    </row>
    <row r="559">
      <c r="F559" s="580"/>
      <c r="AL559" s="167"/>
      <c r="AN559" s="167"/>
    </row>
    <row r="560">
      <c r="F560" s="580"/>
      <c r="AL560" s="167"/>
      <c r="AN560" s="167"/>
    </row>
    <row r="561">
      <c r="F561" s="580"/>
      <c r="AL561" s="167"/>
      <c r="AN561" s="167"/>
    </row>
    <row r="562">
      <c r="F562" s="580"/>
      <c r="AL562" s="167"/>
      <c r="AN562" s="167"/>
    </row>
    <row r="563">
      <c r="F563" s="580"/>
      <c r="AL563" s="167"/>
      <c r="AN563" s="167"/>
    </row>
    <row r="564">
      <c r="F564" s="580"/>
      <c r="AL564" s="167"/>
      <c r="AN564" s="167"/>
    </row>
    <row r="565">
      <c r="F565" s="580"/>
      <c r="AL565" s="167"/>
      <c r="AN565" s="167"/>
    </row>
    <row r="566">
      <c r="F566" s="580"/>
      <c r="AL566" s="167"/>
      <c r="AN566" s="167"/>
    </row>
    <row r="567">
      <c r="F567" s="580"/>
      <c r="AL567" s="167"/>
      <c r="AN567" s="167"/>
    </row>
    <row r="568">
      <c r="F568" s="580"/>
      <c r="AL568" s="167"/>
      <c r="AN568" s="167"/>
    </row>
    <row r="569">
      <c r="F569" s="580"/>
      <c r="AL569" s="167"/>
      <c r="AN569" s="167"/>
    </row>
    <row r="570">
      <c r="F570" s="580"/>
      <c r="AL570" s="167"/>
      <c r="AN570" s="167"/>
    </row>
    <row r="571">
      <c r="F571" s="580"/>
      <c r="AL571" s="167"/>
      <c r="AN571" s="167"/>
    </row>
    <row r="572">
      <c r="F572" s="580"/>
      <c r="AL572" s="167"/>
      <c r="AN572" s="167"/>
    </row>
    <row r="573">
      <c r="F573" s="580"/>
      <c r="AL573" s="167"/>
      <c r="AN573" s="167"/>
    </row>
    <row r="574">
      <c r="F574" s="580"/>
      <c r="AL574" s="167"/>
      <c r="AN574" s="167"/>
    </row>
    <row r="575">
      <c r="F575" s="580"/>
      <c r="AL575" s="167"/>
      <c r="AN575" s="167"/>
    </row>
    <row r="576">
      <c r="F576" s="580"/>
      <c r="AL576" s="167"/>
      <c r="AN576" s="167"/>
    </row>
    <row r="577">
      <c r="F577" s="580"/>
      <c r="AL577" s="167"/>
      <c r="AN577" s="167"/>
    </row>
    <row r="578">
      <c r="F578" s="580"/>
      <c r="AL578" s="167"/>
      <c r="AN578" s="167"/>
    </row>
    <row r="579">
      <c r="F579" s="580"/>
      <c r="AL579" s="167"/>
      <c r="AN579" s="167"/>
    </row>
    <row r="580">
      <c r="F580" s="580"/>
      <c r="AL580" s="167"/>
      <c r="AN580" s="167"/>
    </row>
    <row r="581">
      <c r="F581" s="580"/>
      <c r="AL581" s="167"/>
      <c r="AN581" s="167"/>
    </row>
    <row r="582">
      <c r="F582" s="580"/>
      <c r="AL582" s="167"/>
      <c r="AN582" s="167"/>
    </row>
    <row r="583">
      <c r="F583" s="580"/>
      <c r="AL583" s="167"/>
      <c r="AN583" s="167"/>
    </row>
    <row r="584">
      <c r="F584" s="580"/>
      <c r="AL584" s="167"/>
      <c r="AN584" s="167"/>
    </row>
    <row r="585">
      <c r="F585" s="580"/>
      <c r="AL585" s="167"/>
      <c r="AN585" s="167"/>
    </row>
    <row r="586">
      <c r="F586" s="580"/>
      <c r="AL586" s="167"/>
      <c r="AN586" s="167"/>
    </row>
    <row r="587">
      <c r="F587" s="580"/>
      <c r="AL587" s="167"/>
      <c r="AN587" s="167"/>
    </row>
    <row r="588">
      <c r="F588" s="580"/>
      <c r="AL588" s="167"/>
      <c r="AN588" s="167"/>
    </row>
    <row r="589">
      <c r="F589" s="580"/>
      <c r="AL589" s="167"/>
      <c r="AN589" s="167"/>
    </row>
    <row r="590">
      <c r="F590" s="580"/>
      <c r="AL590" s="167"/>
      <c r="AN590" s="167"/>
    </row>
    <row r="591">
      <c r="F591" s="580"/>
      <c r="AL591" s="167"/>
      <c r="AN591" s="167"/>
    </row>
    <row r="592">
      <c r="F592" s="580"/>
      <c r="AL592" s="167"/>
      <c r="AN592" s="167"/>
    </row>
    <row r="593">
      <c r="F593" s="580"/>
      <c r="AL593" s="167"/>
      <c r="AN593" s="167"/>
    </row>
    <row r="594">
      <c r="F594" s="580"/>
      <c r="AL594" s="167"/>
      <c r="AN594" s="167"/>
    </row>
    <row r="595">
      <c r="F595" s="580"/>
      <c r="AL595" s="167"/>
      <c r="AN595" s="167"/>
    </row>
    <row r="596">
      <c r="F596" s="580"/>
      <c r="AL596" s="167"/>
      <c r="AN596" s="167"/>
    </row>
    <row r="597">
      <c r="F597" s="580"/>
      <c r="AL597" s="167"/>
      <c r="AN597" s="167"/>
    </row>
    <row r="598">
      <c r="F598" s="580"/>
      <c r="AL598" s="167"/>
      <c r="AN598" s="167"/>
    </row>
    <row r="599">
      <c r="F599" s="580"/>
      <c r="AL599" s="167"/>
      <c r="AN599" s="167"/>
    </row>
    <row r="600">
      <c r="F600" s="580"/>
      <c r="AL600" s="167"/>
      <c r="AN600" s="167"/>
    </row>
    <row r="601">
      <c r="F601" s="580"/>
      <c r="AL601" s="167"/>
      <c r="AN601" s="167"/>
    </row>
    <row r="602">
      <c r="F602" s="580"/>
      <c r="AL602" s="167"/>
      <c r="AN602" s="167"/>
    </row>
    <row r="603">
      <c r="F603" s="580"/>
      <c r="AL603" s="167"/>
      <c r="AN603" s="167"/>
    </row>
    <row r="604">
      <c r="F604" s="580"/>
      <c r="AL604" s="167"/>
      <c r="AN604" s="167"/>
    </row>
    <row r="605">
      <c r="F605" s="580"/>
      <c r="AL605" s="167"/>
      <c r="AN605" s="167"/>
    </row>
    <row r="606">
      <c r="F606" s="580"/>
      <c r="AL606" s="167"/>
      <c r="AN606" s="167"/>
    </row>
    <row r="607">
      <c r="F607" s="580"/>
      <c r="AL607" s="167"/>
      <c r="AN607" s="167"/>
    </row>
    <row r="608">
      <c r="F608" s="580"/>
      <c r="AL608" s="167"/>
      <c r="AN608" s="167"/>
    </row>
    <row r="609">
      <c r="F609" s="580"/>
      <c r="AL609" s="167"/>
      <c r="AN609" s="167"/>
    </row>
    <row r="610">
      <c r="F610" s="580"/>
      <c r="AL610" s="167"/>
      <c r="AN610" s="167"/>
    </row>
    <row r="611">
      <c r="F611" s="580"/>
      <c r="AL611" s="167"/>
      <c r="AN611" s="167"/>
    </row>
    <row r="612">
      <c r="F612" s="580"/>
      <c r="AL612" s="167"/>
      <c r="AN612" s="167"/>
    </row>
    <row r="613">
      <c r="F613" s="580"/>
      <c r="AL613" s="167"/>
      <c r="AN613" s="167"/>
    </row>
    <row r="614">
      <c r="F614" s="580"/>
      <c r="AL614" s="167"/>
      <c r="AN614" s="167"/>
    </row>
    <row r="615">
      <c r="F615" s="580"/>
      <c r="AL615" s="167"/>
      <c r="AN615" s="167"/>
    </row>
    <row r="616">
      <c r="F616" s="580"/>
      <c r="AL616" s="167"/>
      <c r="AN616" s="167"/>
    </row>
    <row r="617">
      <c r="F617" s="580"/>
      <c r="AL617" s="167"/>
      <c r="AN617" s="167"/>
    </row>
    <row r="618">
      <c r="F618" s="580"/>
      <c r="AL618" s="167"/>
      <c r="AN618" s="167"/>
    </row>
    <row r="619">
      <c r="F619" s="580"/>
      <c r="AL619" s="167"/>
      <c r="AN619" s="167"/>
    </row>
    <row r="620">
      <c r="F620" s="580"/>
      <c r="AL620" s="167"/>
      <c r="AN620" s="167"/>
    </row>
    <row r="621">
      <c r="F621" s="580"/>
      <c r="AL621" s="167"/>
      <c r="AN621" s="167"/>
    </row>
    <row r="622">
      <c r="F622" s="580"/>
      <c r="AL622" s="167"/>
      <c r="AN622" s="167"/>
    </row>
    <row r="623">
      <c r="F623" s="580"/>
      <c r="AL623" s="167"/>
      <c r="AN623" s="167"/>
    </row>
    <row r="624">
      <c r="F624" s="580"/>
      <c r="AL624" s="167"/>
      <c r="AN624" s="167"/>
    </row>
    <row r="625">
      <c r="F625" s="580"/>
      <c r="AL625" s="167"/>
      <c r="AN625" s="167"/>
    </row>
    <row r="626">
      <c r="F626" s="580"/>
      <c r="AL626" s="167"/>
      <c r="AN626" s="167"/>
    </row>
    <row r="627">
      <c r="F627" s="580"/>
      <c r="AL627" s="167"/>
      <c r="AN627" s="167"/>
    </row>
    <row r="628">
      <c r="F628" s="580"/>
      <c r="AL628" s="167"/>
      <c r="AN628" s="167"/>
    </row>
    <row r="629">
      <c r="F629" s="580"/>
      <c r="AL629" s="167"/>
      <c r="AN629" s="167"/>
    </row>
    <row r="630">
      <c r="F630" s="580"/>
      <c r="AL630" s="167"/>
      <c r="AN630" s="167"/>
    </row>
    <row r="631">
      <c r="F631" s="580"/>
      <c r="AL631" s="167"/>
      <c r="AN631" s="167"/>
    </row>
    <row r="632">
      <c r="F632" s="580"/>
      <c r="AL632" s="167"/>
      <c r="AN632" s="167"/>
    </row>
    <row r="633">
      <c r="F633" s="580"/>
      <c r="AL633" s="167"/>
      <c r="AN633" s="167"/>
    </row>
    <row r="634">
      <c r="F634" s="580"/>
      <c r="AL634" s="167"/>
      <c r="AN634" s="167"/>
    </row>
    <row r="635">
      <c r="F635" s="580"/>
      <c r="AL635" s="167"/>
      <c r="AN635" s="167"/>
    </row>
    <row r="636">
      <c r="F636" s="580"/>
      <c r="AL636" s="167"/>
      <c r="AN636" s="167"/>
    </row>
    <row r="637">
      <c r="F637" s="580"/>
      <c r="AL637" s="167"/>
      <c r="AN637" s="167"/>
    </row>
    <row r="638">
      <c r="F638" s="580"/>
      <c r="AL638" s="167"/>
      <c r="AN638" s="167"/>
    </row>
    <row r="639">
      <c r="F639" s="580"/>
      <c r="AL639" s="167"/>
      <c r="AN639" s="167"/>
    </row>
    <row r="640">
      <c r="F640" s="580"/>
      <c r="AL640" s="167"/>
      <c r="AN640" s="167"/>
    </row>
    <row r="641">
      <c r="F641" s="580"/>
      <c r="AL641" s="167"/>
      <c r="AN641" s="167"/>
    </row>
    <row r="642">
      <c r="F642" s="580"/>
      <c r="AL642" s="167"/>
      <c r="AN642" s="167"/>
    </row>
  </sheetData>
  <conditionalFormatting sqref="B1:C642">
    <cfRule type="expression" dxfId="0" priority="1">
      <formula>countif(B:B,B1)&gt;1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0.13"/>
    <col customWidth="1" min="2" max="2" width="26.75"/>
    <col customWidth="1" min="3" max="3" width="17.13"/>
    <col customWidth="1" min="4" max="4" width="9.0"/>
    <col customWidth="1" min="5" max="33" width="9.88"/>
    <col customWidth="1" hidden="1" min="34" max="34" width="15.13"/>
    <col customWidth="1" hidden="1" min="35" max="35" width="13.0"/>
    <col customWidth="1" min="36" max="90" width="31.63"/>
  </cols>
  <sheetData>
    <row r="1">
      <c r="B1" s="589" t="s">
        <v>3</v>
      </c>
      <c r="C1" s="589" t="s">
        <v>892</v>
      </c>
      <c r="D1" s="589" t="s">
        <v>1769</v>
      </c>
      <c r="E1" s="590"/>
      <c r="F1" s="591"/>
      <c r="G1" s="591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</row>
    <row r="2">
      <c r="B2" s="208" t="s">
        <v>73</v>
      </c>
      <c r="C2" s="124"/>
      <c r="D2" s="208" t="s">
        <v>975</v>
      </c>
      <c r="F2" s="591"/>
      <c r="G2" s="591"/>
      <c r="H2" s="592"/>
      <c r="I2" s="592"/>
      <c r="J2" s="592"/>
      <c r="K2" s="592"/>
      <c r="L2" s="592"/>
      <c r="M2" s="592"/>
      <c r="N2" s="592"/>
      <c r="O2" s="592"/>
      <c r="P2" s="592"/>
      <c r="Q2" s="592"/>
      <c r="R2" s="592"/>
      <c r="S2" s="592"/>
      <c r="T2" s="592"/>
      <c r="U2" s="592"/>
      <c r="V2" s="592"/>
      <c r="W2" s="592"/>
      <c r="X2" s="592"/>
      <c r="Y2" s="592"/>
      <c r="Z2" s="592"/>
      <c r="AA2" s="592"/>
      <c r="AB2" s="592"/>
      <c r="AC2" s="592"/>
      <c r="AD2" s="592"/>
      <c r="AE2" s="592"/>
      <c r="AF2" s="592"/>
      <c r="AG2" s="592"/>
    </row>
    <row r="3">
      <c r="E3" s="592"/>
      <c r="F3" s="591"/>
      <c r="G3" s="591"/>
      <c r="H3" s="592"/>
      <c r="I3" s="592"/>
      <c r="J3" s="592"/>
      <c r="K3" s="592"/>
      <c r="L3" s="592"/>
      <c r="M3" s="592"/>
      <c r="N3" s="592"/>
      <c r="O3" s="592"/>
      <c r="P3" s="592"/>
      <c r="Q3" s="592"/>
      <c r="R3" s="592"/>
      <c r="S3" s="592"/>
      <c r="T3" s="592"/>
      <c r="U3" s="592"/>
      <c r="V3" s="592"/>
      <c r="W3" s="592"/>
      <c r="X3" s="592"/>
      <c r="Y3" s="592"/>
      <c r="Z3" s="592"/>
      <c r="AA3" s="592"/>
      <c r="AB3" s="592"/>
      <c r="AC3" s="592"/>
      <c r="AD3" s="592"/>
      <c r="AE3" s="592"/>
      <c r="AF3" s="592"/>
      <c r="AG3" s="592"/>
    </row>
    <row r="4">
      <c r="D4" s="393" t="s">
        <v>2</v>
      </c>
      <c r="E4" s="593">
        <f t="shared" ref="E4:H4" si="1">SUM(E6:E1001)</f>
        <v>791667</v>
      </c>
      <c r="F4" s="388">
        <f t="shared" si="1"/>
        <v>6000000</v>
      </c>
      <c r="G4" s="388">
        <f t="shared" si="1"/>
        <v>2169675.74</v>
      </c>
      <c r="H4" s="388">
        <f t="shared" si="1"/>
        <v>593098.26</v>
      </c>
      <c r="I4" s="594">
        <f>SUM(G4:H4)/SUM(E4:F4)</f>
        <v>0.4067887899</v>
      </c>
      <c r="J4" s="388">
        <f t="shared" ref="J4:Y4" si="2">SUM(J6:J1001)</f>
        <v>111</v>
      </c>
      <c r="K4" s="388">
        <f t="shared" si="2"/>
        <v>84</v>
      </c>
      <c r="L4" s="388">
        <f t="shared" si="2"/>
        <v>4</v>
      </c>
      <c r="M4" s="388">
        <f t="shared" si="2"/>
        <v>115</v>
      </c>
      <c r="N4" s="388">
        <f t="shared" si="2"/>
        <v>31</v>
      </c>
      <c r="O4" s="388">
        <f t="shared" si="2"/>
        <v>142945.25</v>
      </c>
      <c r="P4" s="388">
        <f t="shared" si="2"/>
        <v>35</v>
      </c>
      <c r="Q4" s="388">
        <f t="shared" si="2"/>
        <v>3</v>
      </c>
      <c r="R4" s="388">
        <f t="shared" si="2"/>
        <v>65</v>
      </c>
      <c r="S4" s="388">
        <f t="shared" si="2"/>
        <v>92</v>
      </c>
      <c r="T4" s="388">
        <f t="shared" si="2"/>
        <v>50</v>
      </c>
      <c r="U4" s="388">
        <f t="shared" si="2"/>
        <v>28</v>
      </c>
      <c r="V4" s="388">
        <f t="shared" si="2"/>
        <v>2</v>
      </c>
      <c r="W4" s="388">
        <f t="shared" si="2"/>
        <v>245</v>
      </c>
      <c r="X4" s="388">
        <f t="shared" si="2"/>
        <v>417</v>
      </c>
      <c r="Y4" s="388">
        <f t="shared" si="2"/>
        <v>103</v>
      </c>
      <c r="Z4" s="388">
        <f>sum(G4:H4)/Y4</f>
        <v>26823.04854</v>
      </c>
      <c r="AA4" s="388">
        <f>X4/Y4</f>
        <v>4.048543689</v>
      </c>
      <c r="AB4" s="388">
        <f t="shared" ref="AB4:AC4" si="3">SUM(AB6:AB1001)</f>
        <v>24</v>
      </c>
      <c r="AC4" s="388">
        <f t="shared" si="3"/>
        <v>0</v>
      </c>
      <c r="AD4" s="594">
        <f>sum(AB4:AC4)/Sum(G4:H4)</f>
        <v>0.000008686921189</v>
      </c>
      <c r="AE4" s="281">
        <f>G4/P4</f>
        <v>61990.73543</v>
      </c>
      <c r="AF4" s="595"/>
      <c r="AG4" s="592"/>
    </row>
    <row r="5">
      <c r="A5" s="393" t="s">
        <v>892</v>
      </c>
      <c r="B5" s="393" t="s">
        <v>458</v>
      </c>
      <c r="C5" s="393" t="s">
        <v>893</v>
      </c>
      <c r="D5" s="596" t="s">
        <v>894</v>
      </c>
      <c r="E5" s="394" t="s">
        <v>897</v>
      </c>
      <c r="F5" s="597" t="s">
        <v>969</v>
      </c>
      <c r="G5" s="597" t="s">
        <v>18</v>
      </c>
      <c r="H5" s="394" t="s">
        <v>982</v>
      </c>
      <c r="I5" s="394" t="s">
        <v>902</v>
      </c>
      <c r="J5" s="394" t="s">
        <v>905</v>
      </c>
      <c r="K5" s="394" t="s">
        <v>983</v>
      </c>
      <c r="L5" s="394" t="s">
        <v>907</v>
      </c>
      <c r="M5" s="394" t="s">
        <v>909</v>
      </c>
      <c r="N5" s="394" t="s">
        <v>910</v>
      </c>
      <c r="O5" s="394" t="s">
        <v>912</v>
      </c>
      <c r="P5" s="394" t="s">
        <v>915</v>
      </c>
      <c r="Q5" s="394" t="s">
        <v>916</v>
      </c>
      <c r="R5" s="394" t="s">
        <v>917</v>
      </c>
      <c r="S5" s="394" t="s">
        <v>918</v>
      </c>
      <c r="T5" s="394" t="s">
        <v>921</v>
      </c>
      <c r="U5" s="394" t="s">
        <v>923</v>
      </c>
      <c r="V5" s="394" t="s">
        <v>925</v>
      </c>
      <c r="W5" s="394" t="s">
        <v>926</v>
      </c>
      <c r="X5" s="394" t="s">
        <v>927</v>
      </c>
      <c r="Y5" s="394" t="s">
        <v>928</v>
      </c>
      <c r="Z5" s="394" t="s">
        <v>986</v>
      </c>
      <c r="AA5" s="394" t="s">
        <v>930</v>
      </c>
      <c r="AB5" s="394" t="s">
        <v>931</v>
      </c>
      <c r="AC5" s="394" t="s">
        <v>932</v>
      </c>
      <c r="AD5" s="394" t="s">
        <v>933</v>
      </c>
      <c r="AE5" s="394" t="s">
        <v>934</v>
      </c>
      <c r="AF5" s="394" t="s">
        <v>942</v>
      </c>
      <c r="AH5" s="124" t="str">
        <f>IFERROR(__xludf.DUMMYFUNCTION("UNIQUE(QUERY('Jul Month'!A2:AV1001,""SELECT A,B WHERE A= '""&amp;B2&amp;""'""))"),"Nasir Hussain Khan")</f>
        <v>Nasir Hussain Khan</v>
      </c>
      <c r="AI5" s="124" t="str">
        <f>IFERROR(__xludf.DUMMYFUNCTION("""COMPUTED_VALUE"""),"Jammu &amp; kashmir")</f>
        <v>Jammu &amp; kashmir</v>
      </c>
    </row>
    <row r="6">
      <c r="A6" s="75" t="str">
        <f>IFERROR(__xludf.DUMMYFUNCTION("Sort(QUERY('Jul Month'!A2:AV1001,""SELECT B,C,E,F,G,H,I,J,AN,K,L,M,N,O,Q,T,U,V,W,Z,AB,AD,AE,AF,AG,AH,AI,AJ,AK,AL,AM,AU WHERE A CONTAINS '""&amp;B2&amp;""' AND B CONTAINS '""&amp;C2&amp;""' AND AV CONTAINS '""&amp;D2&amp;""'""),4,1)"),"Jammu &amp; kashmir")</f>
        <v>Jammu &amp; kashmir</v>
      </c>
      <c r="B6" s="75" t="str">
        <f>IFERROR(__xludf.DUMMYFUNCTION("""COMPUTED_VALUE"""),"PAWAN KUMAR")</f>
        <v>PAWAN KUMAR</v>
      </c>
      <c r="C6" s="75" t="str">
        <f>IFERROR(__xludf.DUMMYFUNCTION("""COMPUTED_VALUE"""),"JAMMU")</f>
        <v>JAMMU</v>
      </c>
      <c r="D6" s="191">
        <f>IFERROR(__xludf.DUMMYFUNCTION("""COMPUTED_VALUE"""),44684.0)</f>
        <v>44684</v>
      </c>
      <c r="E6" s="595">
        <f>IFERROR(__xludf.DUMMYFUNCTION("""COMPUTED_VALUE"""),333333.0)</f>
        <v>333333</v>
      </c>
      <c r="F6" s="281">
        <f>IFERROR(__xludf.DUMMYFUNCTION("""COMPUTED_VALUE"""),2000000.0)</f>
        <v>2000000</v>
      </c>
      <c r="G6" s="281">
        <f>IFERROR(__xludf.DUMMYFUNCTION("""COMPUTED_VALUE"""),1403156.58)</f>
        <v>1403156.58</v>
      </c>
      <c r="H6" s="595">
        <f>IFERROR(__xludf.DUMMYFUNCTION("""COMPUTED_VALUE"""),0.0)</f>
        <v>0</v>
      </c>
      <c r="I6" s="598">
        <f>IFERROR(__xludf.DUMMYFUNCTION("""COMPUTED_VALUE"""),0.601352905907558)</f>
        <v>0.6013529059</v>
      </c>
      <c r="J6" s="595">
        <f>IFERROR(__xludf.DUMMYFUNCTION("""COMPUTED_VALUE"""),31.0)</f>
        <v>31</v>
      </c>
      <c r="K6" s="595">
        <f>IFERROR(__xludf.DUMMYFUNCTION("""COMPUTED_VALUE"""),28.0)</f>
        <v>28</v>
      </c>
      <c r="L6" s="595">
        <f>IFERROR(__xludf.DUMMYFUNCTION("""COMPUTED_VALUE"""),0.0)</f>
        <v>0</v>
      </c>
      <c r="M6" s="595">
        <f>IFERROR(__xludf.DUMMYFUNCTION("""COMPUTED_VALUE"""),31.0)</f>
        <v>31</v>
      </c>
      <c r="N6" s="595">
        <f>IFERROR(__xludf.DUMMYFUNCTION("""COMPUTED_VALUE"""),3.0)</f>
        <v>3</v>
      </c>
      <c r="O6" s="595">
        <f>IFERROR(__xludf.DUMMYFUNCTION("""COMPUTED_VALUE"""),0.0)</f>
        <v>0</v>
      </c>
      <c r="P6" s="595">
        <f>IFERROR(__xludf.DUMMYFUNCTION("""COMPUTED_VALUE"""),10.0)</f>
        <v>10</v>
      </c>
      <c r="Q6" s="595">
        <f>IFERROR(__xludf.DUMMYFUNCTION("""COMPUTED_VALUE"""),0.0)</f>
        <v>0</v>
      </c>
      <c r="R6" s="595">
        <f>IFERROR(__xludf.DUMMYFUNCTION("""COMPUTED_VALUE"""),1.0)</f>
        <v>1</v>
      </c>
      <c r="S6" s="595">
        <f>IFERROR(__xludf.DUMMYFUNCTION("""COMPUTED_VALUE"""),1.0)</f>
        <v>1</v>
      </c>
      <c r="T6" s="595">
        <f>IFERROR(__xludf.DUMMYFUNCTION("""COMPUTED_VALUE"""),15.0)</f>
        <v>15</v>
      </c>
      <c r="U6" s="595">
        <f>IFERROR(__xludf.DUMMYFUNCTION("""COMPUTED_VALUE"""),0.0)</f>
        <v>0</v>
      </c>
      <c r="V6" s="595">
        <f>IFERROR(__xludf.DUMMYFUNCTION("""COMPUTED_VALUE"""),0.0)</f>
        <v>0</v>
      </c>
      <c r="W6" s="595">
        <f>IFERROR(__xludf.DUMMYFUNCTION("""COMPUTED_VALUE"""),107.0)</f>
        <v>107</v>
      </c>
      <c r="X6" s="595">
        <f>IFERROR(__xludf.DUMMYFUNCTION("""COMPUTED_VALUE"""),123.0)</f>
        <v>123</v>
      </c>
      <c r="Y6" s="595">
        <f>IFERROR(__xludf.DUMMYFUNCTION("""COMPUTED_VALUE"""),25.0)</f>
        <v>25</v>
      </c>
      <c r="Z6" s="281">
        <f>IFERROR(__xludf.DUMMYFUNCTION("""COMPUTED_VALUE"""),56126.2632)</f>
        <v>56126.2632</v>
      </c>
      <c r="AA6" s="281">
        <f>IFERROR(__xludf.DUMMYFUNCTION("""COMPUTED_VALUE"""),4.92)</f>
        <v>4.92</v>
      </c>
      <c r="AB6" s="599">
        <f>IFERROR(__xludf.DUMMYFUNCTION("""COMPUTED_VALUE"""),1.0)</f>
        <v>1</v>
      </c>
      <c r="AC6" s="595">
        <f>IFERROR(__xludf.DUMMYFUNCTION("""COMPUTED_VALUE"""),0.0)</f>
        <v>0</v>
      </c>
      <c r="AD6" s="598">
        <f>IFERROR(__xludf.DUMMYFUNCTION("""COMPUTED_VALUE"""),7.126788373112287E-7)</f>
        <v>0.0000007126788373</v>
      </c>
      <c r="AE6" s="281">
        <f>IFERROR(__xludf.DUMMYFUNCTION("""COMPUTED_VALUE"""),140316.0)</f>
        <v>140316</v>
      </c>
      <c r="AF6" s="600"/>
      <c r="AG6" s="591"/>
    </row>
    <row r="7">
      <c r="A7" s="75" t="str">
        <f>IFERROR(__xludf.DUMMYFUNCTION("""COMPUTED_VALUE"""),"Jammu &amp; kashmir")</f>
        <v>Jammu &amp; kashmir</v>
      </c>
      <c r="B7" s="75" t="str">
        <f>IFERROR(__xludf.DUMMYFUNCTION("""COMPUTED_VALUE"""),"Tafazul Nazir")</f>
        <v>Tafazul Nazir</v>
      </c>
      <c r="C7" s="75" t="str">
        <f>IFERROR(__xludf.DUMMYFUNCTION("""COMPUTED_VALUE"""),"Srinagar")</f>
        <v>Srinagar</v>
      </c>
      <c r="D7" s="191">
        <f>IFERROR(__xludf.DUMMYFUNCTION("""COMPUTED_VALUE"""),45068.0)</f>
        <v>45068</v>
      </c>
      <c r="E7" s="595">
        <f>IFERROR(__xludf.DUMMYFUNCTION("""COMPUTED_VALUE"""),125000.0)</f>
        <v>125000</v>
      </c>
      <c r="F7" s="281">
        <f>IFERROR(__xludf.DUMMYFUNCTION("""COMPUTED_VALUE"""),2000000.0)</f>
        <v>2000000</v>
      </c>
      <c r="G7" s="281">
        <f>IFERROR(__xludf.DUMMYFUNCTION("""COMPUTED_VALUE"""),444761.35)</f>
        <v>444761.35</v>
      </c>
      <c r="H7" s="595">
        <f>IFERROR(__xludf.DUMMYFUNCTION("""COMPUTED_VALUE"""),593098.26)</f>
        <v>593098.26</v>
      </c>
      <c r="I7" s="598">
        <f>IFERROR(__xludf.DUMMYFUNCTION("""COMPUTED_VALUE"""),0.4884045223529412)</f>
        <v>0.4884045224</v>
      </c>
      <c r="J7" s="595">
        <f>IFERROR(__xludf.DUMMYFUNCTION("""COMPUTED_VALUE"""),48.0)</f>
        <v>48</v>
      </c>
      <c r="K7" s="595">
        <f>IFERROR(__xludf.DUMMYFUNCTION("""COMPUTED_VALUE"""),27.0)</f>
        <v>27</v>
      </c>
      <c r="L7" s="595">
        <f>IFERROR(__xludf.DUMMYFUNCTION("""COMPUTED_VALUE"""),0.0)</f>
        <v>0</v>
      </c>
      <c r="M7" s="595">
        <f>IFERROR(__xludf.DUMMYFUNCTION("""COMPUTED_VALUE"""),48.0)</f>
        <v>48</v>
      </c>
      <c r="N7" s="595">
        <f>IFERROR(__xludf.DUMMYFUNCTION("""COMPUTED_VALUE"""),21.0)</f>
        <v>21</v>
      </c>
      <c r="O7" s="595">
        <f>IFERROR(__xludf.DUMMYFUNCTION("""COMPUTED_VALUE"""),0.0)</f>
        <v>0</v>
      </c>
      <c r="P7" s="595">
        <f>IFERROR(__xludf.DUMMYFUNCTION("""COMPUTED_VALUE"""),11.0)</f>
        <v>11</v>
      </c>
      <c r="Q7" s="595">
        <f>IFERROR(__xludf.DUMMYFUNCTION("""COMPUTED_VALUE"""),3.0)</f>
        <v>3</v>
      </c>
      <c r="R7" s="595">
        <f>IFERROR(__xludf.DUMMYFUNCTION("""COMPUTED_VALUE"""),8.0)</f>
        <v>8</v>
      </c>
      <c r="S7" s="595">
        <f>IFERROR(__xludf.DUMMYFUNCTION("""COMPUTED_VALUE"""),11.0)</f>
        <v>11</v>
      </c>
      <c r="T7" s="595">
        <f>IFERROR(__xludf.DUMMYFUNCTION("""COMPUTED_VALUE"""),9.0)</f>
        <v>9</v>
      </c>
      <c r="U7" s="595">
        <f>IFERROR(__xludf.DUMMYFUNCTION("""COMPUTED_VALUE"""),20.0)</f>
        <v>20</v>
      </c>
      <c r="V7" s="595">
        <f>IFERROR(__xludf.DUMMYFUNCTION("""COMPUTED_VALUE"""),2.0)</f>
        <v>2</v>
      </c>
      <c r="W7" s="595">
        <f>IFERROR(__xludf.DUMMYFUNCTION("""COMPUTED_VALUE"""),46.0)</f>
        <v>46</v>
      </c>
      <c r="X7" s="595">
        <f>IFERROR(__xludf.DUMMYFUNCTION("""COMPUTED_VALUE"""),88.0)</f>
        <v>88</v>
      </c>
      <c r="Y7" s="595">
        <f>IFERROR(__xludf.DUMMYFUNCTION("""COMPUTED_VALUE"""),27.0)</f>
        <v>27</v>
      </c>
      <c r="Z7" s="281">
        <f>IFERROR(__xludf.DUMMYFUNCTION("""COMPUTED_VALUE"""),38439.24481481482)</f>
        <v>38439.24481</v>
      </c>
      <c r="AA7" s="281">
        <f>IFERROR(__xludf.DUMMYFUNCTION("""COMPUTED_VALUE"""),3.259259259259259)</f>
        <v>3.259259259</v>
      </c>
      <c r="AB7" s="599">
        <f>IFERROR(__xludf.DUMMYFUNCTION("""COMPUTED_VALUE"""),17.0)</f>
        <v>17</v>
      </c>
      <c r="AC7" s="595">
        <f>IFERROR(__xludf.DUMMYFUNCTION("""COMPUTED_VALUE"""),0.0)</f>
        <v>0</v>
      </c>
      <c r="AD7" s="598">
        <f>IFERROR(__xludf.DUMMYFUNCTION("""COMPUTED_VALUE"""),1.637986471021837E-5)</f>
        <v>0.00001637986471</v>
      </c>
      <c r="AE7" s="281">
        <f>IFERROR(__xludf.DUMMYFUNCTION("""COMPUTED_VALUE"""),40433.0)</f>
        <v>40433</v>
      </c>
      <c r="AF7" s="600"/>
      <c r="AG7" s="592"/>
    </row>
    <row r="8">
      <c r="A8" s="75" t="str">
        <f>IFERROR(__xludf.DUMMYFUNCTION("""COMPUTED_VALUE"""),"Jammu &amp; kashmir")</f>
        <v>Jammu &amp; kashmir</v>
      </c>
      <c r="B8" s="75" t="str">
        <f>IFERROR(__xludf.DUMMYFUNCTION("""COMPUTED_VALUE"""),"Vishant Bandhral")</f>
        <v>Vishant Bandhral</v>
      </c>
      <c r="C8" s="75" t="str">
        <f>IFERROR(__xludf.DUMMYFUNCTION("""COMPUTED_VALUE"""),"Udhampur")</f>
        <v>Udhampur</v>
      </c>
      <c r="D8" s="191">
        <f>IFERROR(__xludf.DUMMYFUNCTION("""COMPUTED_VALUE"""),45208.0)</f>
        <v>45208</v>
      </c>
      <c r="E8" s="595">
        <f>IFERROR(__xludf.DUMMYFUNCTION("""COMPUTED_VALUE"""),166667.0)</f>
        <v>166667</v>
      </c>
      <c r="F8" s="281">
        <f>IFERROR(__xludf.DUMMYFUNCTION("""COMPUTED_VALUE"""),1000000.0)</f>
        <v>1000000</v>
      </c>
      <c r="G8" s="281">
        <f>IFERROR(__xludf.DUMMYFUNCTION("""COMPUTED_VALUE"""),126287.56)</f>
        <v>126287.56</v>
      </c>
      <c r="H8" s="595">
        <f>IFERROR(__xludf.DUMMYFUNCTION("""COMPUTED_VALUE"""),0.0)</f>
        <v>0</v>
      </c>
      <c r="I8" s="598">
        <f>IFERROR(__xludf.DUMMYFUNCTION("""COMPUTED_VALUE"""),0.10824644907244312)</f>
        <v>0.1082464491</v>
      </c>
      <c r="J8" s="595">
        <f>IFERROR(__xludf.DUMMYFUNCTION("""COMPUTED_VALUE"""),21.0)</f>
        <v>21</v>
      </c>
      <c r="K8" s="595">
        <f>IFERROR(__xludf.DUMMYFUNCTION("""COMPUTED_VALUE"""),19.0)</f>
        <v>19</v>
      </c>
      <c r="L8" s="595">
        <f>IFERROR(__xludf.DUMMYFUNCTION("""COMPUTED_VALUE"""),0.0)</f>
        <v>0</v>
      </c>
      <c r="M8" s="595">
        <f>IFERROR(__xludf.DUMMYFUNCTION("""COMPUTED_VALUE"""),21.0)</f>
        <v>21</v>
      </c>
      <c r="N8" s="595">
        <f>IFERROR(__xludf.DUMMYFUNCTION("""COMPUTED_VALUE"""),2.0)</f>
        <v>2</v>
      </c>
      <c r="O8" s="595">
        <f>IFERROR(__xludf.DUMMYFUNCTION("""COMPUTED_VALUE"""),0.0)</f>
        <v>0</v>
      </c>
      <c r="P8" s="595">
        <f>IFERROR(__xludf.DUMMYFUNCTION("""COMPUTED_VALUE"""),7.0)</f>
        <v>7</v>
      </c>
      <c r="Q8" s="595">
        <f>IFERROR(__xludf.DUMMYFUNCTION("""COMPUTED_VALUE"""),0.0)</f>
        <v>0</v>
      </c>
      <c r="R8" s="595">
        <f>IFERROR(__xludf.DUMMYFUNCTION("""COMPUTED_VALUE"""),2.0)</f>
        <v>2</v>
      </c>
      <c r="S8" s="595">
        <f>IFERROR(__xludf.DUMMYFUNCTION("""COMPUTED_VALUE"""),2.0)</f>
        <v>2</v>
      </c>
      <c r="T8" s="595">
        <f>IFERROR(__xludf.DUMMYFUNCTION("""COMPUTED_VALUE"""),3.0)</f>
        <v>3</v>
      </c>
      <c r="U8" s="595">
        <f>IFERROR(__xludf.DUMMYFUNCTION("""COMPUTED_VALUE"""),4.0)</f>
        <v>4</v>
      </c>
      <c r="V8" s="595">
        <f>IFERROR(__xludf.DUMMYFUNCTION("""COMPUTED_VALUE"""),0.0)</f>
        <v>0</v>
      </c>
      <c r="W8" s="595">
        <f>IFERROR(__xludf.DUMMYFUNCTION("""COMPUTED_VALUE"""),73.0)</f>
        <v>73</v>
      </c>
      <c r="X8" s="595">
        <f>IFERROR(__xludf.DUMMYFUNCTION("""COMPUTED_VALUE"""),82.0)</f>
        <v>82</v>
      </c>
      <c r="Y8" s="595">
        <f>IFERROR(__xludf.DUMMYFUNCTION("""COMPUTED_VALUE"""),24.0)</f>
        <v>24</v>
      </c>
      <c r="Z8" s="281">
        <f>IFERROR(__xludf.DUMMYFUNCTION("""COMPUTED_VALUE"""),5261.981666666667)</f>
        <v>5261.981667</v>
      </c>
      <c r="AA8" s="281">
        <f>IFERROR(__xludf.DUMMYFUNCTION("""COMPUTED_VALUE"""),3.4166666666666665)</f>
        <v>3.416666667</v>
      </c>
      <c r="AB8" s="599">
        <f>IFERROR(__xludf.DUMMYFUNCTION("""COMPUTED_VALUE"""),2.0)</f>
        <v>2</v>
      </c>
      <c r="AC8" s="595">
        <f>IFERROR(__xludf.DUMMYFUNCTION("""COMPUTED_VALUE"""),0.0)</f>
        <v>0</v>
      </c>
      <c r="AD8" s="598">
        <f>IFERROR(__xludf.DUMMYFUNCTION("""COMPUTED_VALUE"""),1.5836872610413884E-5)</f>
        <v>0.00001583687261</v>
      </c>
      <c r="AE8" s="281">
        <f>IFERROR(__xludf.DUMMYFUNCTION("""COMPUTED_VALUE"""),18041.0)</f>
        <v>18041</v>
      </c>
      <c r="AF8" s="600"/>
      <c r="AG8" s="592"/>
    </row>
    <row r="9">
      <c r="A9" s="75" t="str">
        <f>IFERROR(__xludf.DUMMYFUNCTION("""COMPUTED_VALUE"""),"Jammu &amp; kashmir")</f>
        <v>Jammu &amp; kashmir</v>
      </c>
      <c r="B9" s="75" t="str">
        <f>IFERROR(__xludf.DUMMYFUNCTION("""COMPUTED_VALUE"""),"Irfan Ahmad Wani")</f>
        <v>Irfan Ahmad Wani</v>
      </c>
      <c r="C9" s="75" t="str">
        <f>IFERROR(__xludf.DUMMYFUNCTION("""COMPUTED_VALUE"""),"Anantnag")</f>
        <v>Anantnag</v>
      </c>
      <c r="D9" s="191">
        <f>IFERROR(__xludf.DUMMYFUNCTION("""COMPUTED_VALUE"""),45765.0)</f>
        <v>45765</v>
      </c>
      <c r="E9" s="595">
        <f>IFERROR(__xludf.DUMMYFUNCTION("""COMPUTED_VALUE"""),166667.0)</f>
        <v>166667</v>
      </c>
      <c r="F9" s="281">
        <f>IFERROR(__xludf.DUMMYFUNCTION("""COMPUTED_VALUE"""),1000000.0)</f>
        <v>1000000</v>
      </c>
      <c r="G9" s="281">
        <f>IFERROR(__xludf.DUMMYFUNCTION("""COMPUTED_VALUE"""),195470.25)</f>
        <v>195470.25</v>
      </c>
      <c r="H9" s="595">
        <f>IFERROR(__xludf.DUMMYFUNCTION("""COMPUTED_VALUE"""),0.0)</f>
        <v>0</v>
      </c>
      <c r="I9" s="598">
        <f>IFERROR(__xludf.DUMMYFUNCTION("""COMPUTED_VALUE"""),0.16754588070117693)</f>
        <v>0.1675458807</v>
      </c>
      <c r="J9" s="595">
        <f>IFERROR(__xludf.DUMMYFUNCTION("""COMPUTED_VALUE"""),11.0)</f>
        <v>11</v>
      </c>
      <c r="K9" s="595">
        <f>IFERROR(__xludf.DUMMYFUNCTION("""COMPUTED_VALUE"""),10.0)</f>
        <v>10</v>
      </c>
      <c r="L9" s="595">
        <f>IFERROR(__xludf.DUMMYFUNCTION("""COMPUTED_VALUE"""),4.0)</f>
        <v>4</v>
      </c>
      <c r="M9" s="595">
        <f>IFERROR(__xludf.DUMMYFUNCTION("""COMPUTED_VALUE"""),15.0)</f>
        <v>15</v>
      </c>
      <c r="N9" s="595">
        <f>IFERROR(__xludf.DUMMYFUNCTION("""COMPUTED_VALUE"""),5.0)</f>
        <v>5</v>
      </c>
      <c r="O9" s="595">
        <f>IFERROR(__xludf.DUMMYFUNCTION("""COMPUTED_VALUE"""),142945.25)</f>
        <v>142945.25</v>
      </c>
      <c r="P9" s="595">
        <f>IFERROR(__xludf.DUMMYFUNCTION("""COMPUTED_VALUE"""),7.0)</f>
        <v>7</v>
      </c>
      <c r="Q9" s="595">
        <f>IFERROR(__xludf.DUMMYFUNCTION("""COMPUTED_VALUE"""),0.0)</f>
        <v>0</v>
      </c>
      <c r="R9" s="595">
        <f>IFERROR(__xludf.DUMMYFUNCTION("""COMPUTED_VALUE"""),54.0)</f>
        <v>54</v>
      </c>
      <c r="S9" s="595">
        <f>IFERROR(__xludf.DUMMYFUNCTION("""COMPUTED_VALUE"""),78.0)</f>
        <v>78</v>
      </c>
      <c r="T9" s="595">
        <f>IFERROR(__xludf.DUMMYFUNCTION("""COMPUTED_VALUE"""),23.0)</f>
        <v>23</v>
      </c>
      <c r="U9" s="595">
        <f>IFERROR(__xludf.DUMMYFUNCTION("""COMPUTED_VALUE"""),4.0)</f>
        <v>4</v>
      </c>
      <c r="V9" s="595">
        <f>IFERROR(__xludf.DUMMYFUNCTION("""COMPUTED_VALUE"""),0.0)</f>
        <v>0</v>
      </c>
      <c r="W9" s="595">
        <f>IFERROR(__xludf.DUMMYFUNCTION("""COMPUTED_VALUE"""),19.0)</f>
        <v>19</v>
      </c>
      <c r="X9" s="595">
        <f>IFERROR(__xludf.DUMMYFUNCTION("""COMPUTED_VALUE"""),124.0)</f>
        <v>124</v>
      </c>
      <c r="Y9" s="595">
        <f>IFERROR(__xludf.DUMMYFUNCTION("""COMPUTED_VALUE"""),27.0)</f>
        <v>27</v>
      </c>
      <c r="Z9" s="281">
        <f>IFERROR(__xludf.DUMMYFUNCTION("""COMPUTED_VALUE"""),7239.638888888889)</f>
        <v>7239.638889</v>
      </c>
      <c r="AA9" s="281">
        <f>IFERROR(__xludf.DUMMYFUNCTION("""COMPUTED_VALUE"""),4.592592592592593)</f>
        <v>4.592592593</v>
      </c>
      <c r="AB9" s="599">
        <f>IFERROR(__xludf.DUMMYFUNCTION("""COMPUTED_VALUE"""),4.0)</f>
        <v>4</v>
      </c>
      <c r="AC9" s="595">
        <f>IFERROR(__xludf.DUMMYFUNCTION("""COMPUTED_VALUE"""),0.0)</f>
        <v>0</v>
      </c>
      <c r="AD9" s="598">
        <f>IFERROR(__xludf.DUMMYFUNCTION("""COMPUTED_VALUE"""),2.046347206288425E-5)</f>
        <v>0.00002046347206</v>
      </c>
      <c r="AE9" s="281">
        <f>IFERROR(__xludf.DUMMYFUNCTION("""COMPUTED_VALUE"""),27924.0)</f>
        <v>27924</v>
      </c>
      <c r="AF9" s="600"/>
      <c r="AG9" s="592"/>
    </row>
    <row r="10">
      <c r="A10" s="75"/>
      <c r="B10" s="75"/>
      <c r="C10" s="75"/>
      <c r="D10" s="75"/>
      <c r="E10" s="595"/>
      <c r="F10" s="281"/>
      <c r="G10" s="281"/>
      <c r="H10" s="595"/>
      <c r="I10" s="595"/>
      <c r="J10" s="595"/>
      <c r="K10" s="595"/>
      <c r="L10" s="595"/>
      <c r="M10" s="595"/>
      <c r="N10" s="595"/>
      <c r="O10" s="595"/>
      <c r="P10" s="595"/>
      <c r="Q10" s="595"/>
      <c r="R10" s="595"/>
      <c r="S10" s="595"/>
      <c r="T10" s="595"/>
      <c r="U10" s="595"/>
      <c r="V10" s="595"/>
      <c r="W10" s="595"/>
      <c r="X10" s="595"/>
      <c r="Y10" s="595"/>
      <c r="Z10" s="595"/>
      <c r="AA10" s="595"/>
      <c r="AB10" s="595"/>
      <c r="AC10" s="595"/>
      <c r="AD10" s="595"/>
      <c r="AE10" s="595"/>
      <c r="AF10" s="595"/>
      <c r="AG10" s="592"/>
    </row>
    <row r="11">
      <c r="A11" s="75"/>
      <c r="B11" s="75"/>
      <c r="C11" s="75"/>
      <c r="D11" s="75"/>
      <c r="E11" s="595"/>
      <c r="F11" s="281"/>
      <c r="G11" s="281"/>
      <c r="H11" s="595"/>
      <c r="I11" s="595"/>
      <c r="J11" s="595"/>
      <c r="K11" s="595"/>
      <c r="L11" s="595"/>
      <c r="M11" s="595"/>
      <c r="N11" s="595"/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  <c r="Z11" s="595"/>
      <c r="AA11" s="595"/>
      <c r="AB11" s="595"/>
      <c r="AC11" s="595"/>
      <c r="AD11" s="595"/>
      <c r="AE11" s="595"/>
      <c r="AF11" s="595"/>
      <c r="AG11" s="592"/>
    </row>
    <row r="12">
      <c r="A12" s="75"/>
      <c r="B12" s="75"/>
      <c r="C12" s="75"/>
      <c r="D12" s="75"/>
      <c r="E12" s="595"/>
      <c r="F12" s="281"/>
      <c r="G12" s="281"/>
      <c r="H12" s="595"/>
      <c r="I12" s="595"/>
      <c r="J12" s="595"/>
      <c r="K12" s="595"/>
      <c r="L12" s="595"/>
      <c r="M12" s="595"/>
      <c r="N12" s="595"/>
      <c r="O12" s="595"/>
      <c r="P12" s="595"/>
      <c r="Q12" s="595"/>
      <c r="R12" s="595"/>
      <c r="S12" s="595"/>
      <c r="T12" s="595"/>
      <c r="U12" s="595"/>
      <c r="V12" s="595"/>
      <c r="W12" s="595"/>
      <c r="X12" s="595"/>
      <c r="Y12" s="595"/>
      <c r="Z12" s="595"/>
      <c r="AA12" s="595"/>
      <c r="AB12" s="595"/>
      <c r="AC12" s="595"/>
      <c r="AD12" s="595"/>
      <c r="AE12" s="595"/>
      <c r="AF12" s="595"/>
      <c r="AG12" s="592"/>
    </row>
    <row r="13">
      <c r="A13" s="75"/>
      <c r="B13" s="75"/>
      <c r="C13" s="75"/>
      <c r="D13" s="75"/>
      <c r="E13" s="595"/>
      <c r="F13" s="281"/>
      <c r="G13" s="281"/>
      <c r="H13" s="595"/>
      <c r="I13" s="595"/>
      <c r="J13" s="595"/>
      <c r="K13" s="595"/>
      <c r="L13" s="595"/>
      <c r="M13" s="595"/>
      <c r="N13" s="595"/>
      <c r="O13" s="595"/>
      <c r="P13" s="595"/>
      <c r="Q13" s="595"/>
      <c r="R13" s="595"/>
      <c r="S13" s="595"/>
      <c r="T13" s="595"/>
      <c r="U13" s="595"/>
      <c r="V13" s="595"/>
      <c r="W13" s="595"/>
      <c r="X13" s="595"/>
      <c r="Y13" s="595"/>
      <c r="Z13" s="595"/>
      <c r="AA13" s="595"/>
      <c r="AB13" s="595"/>
      <c r="AC13" s="595"/>
      <c r="AD13" s="595"/>
      <c r="AE13" s="595"/>
      <c r="AF13" s="595"/>
      <c r="AG13" s="592"/>
    </row>
    <row r="14">
      <c r="A14" s="75"/>
      <c r="B14" s="75"/>
      <c r="C14" s="75"/>
      <c r="D14" s="75"/>
      <c r="E14" s="595"/>
      <c r="F14" s="281"/>
      <c r="G14" s="281"/>
      <c r="H14" s="595"/>
      <c r="I14" s="595"/>
      <c r="J14" s="595"/>
      <c r="K14" s="595"/>
      <c r="L14" s="595"/>
      <c r="M14" s="595"/>
      <c r="N14" s="595"/>
      <c r="O14" s="595"/>
      <c r="P14" s="595"/>
      <c r="Q14" s="595"/>
      <c r="R14" s="595"/>
      <c r="S14" s="595"/>
      <c r="T14" s="595"/>
      <c r="U14" s="595"/>
      <c r="V14" s="595"/>
      <c r="W14" s="595"/>
      <c r="X14" s="595"/>
      <c r="Y14" s="595"/>
      <c r="Z14" s="595"/>
      <c r="AA14" s="595"/>
      <c r="AB14" s="595"/>
      <c r="AC14" s="595"/>
      <c r="AD14" s="595"/>
      <c r="AE14" s="595"/>
      <c r="AF14" s="595"/>
      <c r="AG14" s="592"/>
    </row>
    <row r="15">
      <c r="A15" s="75"/>
      <c r="B15" s="75"/>
      <c r="C15" s="75"/>
      <c r="D15" s="75"/>
      <c r="E15" s="595"/>
      <c r="F15" s="281"/>
      <c r="G15" s="281"/>
      <c r="H15" s="595"/>
      <c r="I15" s="595"/>
      <c r="J15" s="595"/>
      <c r="K15" s="595"/>
      <c r="L15" s="595"/>
      <c r="M15" s="595"/>
      <c r="N15" s="595"/>
      <c r="O15" s="595"/>
      <c r="P15" s="595"/>
      <c r="Q15" s="595"/>
      <c r="R15" s="595"/>
      <c r="S15" s="595"/>
      <c r="T15" s="595"/>
      <c r="U15" s="595"/>
      <c r="V15" s="595"/>
      <c r="W15" s="595"/>
      <c r="X15" s="595"/>
      <c r="Y15" s="595"/>
      <c r="Z15" s="595"/>
      <c r="AA15" s="595"/>
      <c r="AB15" s="595"/>
      <c r="AC15" s="595"/>
      <c r="AD15" s="595"/>
      <c r="AE15" s="595"/>
      <c r="AF15" s="595"/>
      <c r="AG15" s="592"/>
    </row>
    <row r="16">
      <c r="A16" s="75"/>
      <c r="B16" s="75"/>
      <c r="C16" s="75"/>
      <c r="D16" s="75"/>
      <c r="E16" s="595"/>
      <c r="F16" s="281"/>
      <c r="G16" s="281"/>
      <c r="H16" s="595"/>
      <c r="I16" s="595"/>
      <c r="J16" s="595"/>
      <c r="K16" s="595"/>
      <c r="L16" s="595"/>
      <c r="M16" s="595"/>
      <c r="N16" s="595"/>
      <c r="O16" s="595"/>
      <c r="P16" s="595"/>
      <c r="Q16" s="595"/>
      <c r="R16" s="595"/>
      <c r="S16" s="595"/>
      <c r="T16" s="595"/>
      <c r="U16" s="595"/>
      <c r="V16" s="595"/>
      <c r="W16" s="595"/>
      <c r="X16" s="595"/>
      <c r="Y16" s="595"/>
      <c r="Z16" s="595"/>
      <c r="AA16" s="595"/>
      <c r="AB16" s="595"/>
      <c r="AC16" s="595"/>
      <c r="AD16" s="595"/>
      <c r="AE16" s="595"/>
      <c r="AF16" s="595"/>
      <c r="AG16" s="592"/>
    </row>
    <row r="17">
      <c r="A17" s="75"/>
      <c r="B17" s="75"/>
      <c r="C17" s="75"/>
      <c r="D17" s="75"/>
      <c r="E17" s="595"/>
      <c r="F17" s="281"/>
      <c r="G17" s="281"/>
      <c r="H17" s="595"/>
      <c r="I17" s="595"/>
      <c r="J17" s="595"/>
      <c r="K17" s="595"/>
      <c r="L17" s="595"/>
      <c r="M17" s="595"/>
      <c r="N17" s="595"/>
      <c r="O17" s="595"/>
      <c r="P17" s="595"/>
      <c r="Q17" s="595"/>
      <c r="R17" s="595"/>
      <c r="S17" s="595"/>
      <c r="T17" s="595"/>
      <c r="U17" s="595"/>
      <c r="V17" s="595"/>
      <c r="W17" s="595"/>
      <c r="X17" s="595"/>
      <c r="Y17" s="595"/>
      <c r="Z17" s="595"/>
      <c r="AA17" s="595"/>
      <c r="AB17" s="595"/>
      <c r="AC17" s="595"/>
      <c r="AD17" s="595"/>
      <c r="AE17" s="595"/>
      <c r="AF17" s="595"/>
      <c r="AG17" s="592"/>
    </row>
    <row r="18">
      <c r="A18" s="75"/>
      <c r="B18" s="75"/>
      <c r="C18" s="75"/>
      <c r="D18" s="75"/>
      <c r="E18" s="595"/>
      <c r="F18" s="281"/>
      <c r="G18" s="281"/>
      <c r="H18" s="595"/>
      <c r="I18" s="595"/>
      <c r="J18" s="595"/>
      <c r="K18" s="595"/>
      <c r="L18" s="595"/>
      <c r="M18" s="595"/>
      <c r="N18" s="595"/>
      <c r="O18" s="595"/>
      <c r="P18" s="595"/>
      <c r="Q18" s="595"/>
      <c r="R18" s="595"/>
      <c r="S18" s="595"/>
      <c r="T18" s="595"/>
      <c r="U18" s="595"/>
      <c r="V18" s="595"/>
      <c r="W18" s="595"/>
      <c r="X18" s="595"/>
      <c r="Y18" s="595"/>
      <c r="Z18" s="595"/>
      <c r="AA18" s="595"/>
      <c r="AB18" s="595"/>
      <c r="AC18" s="595"/>
      <c r="AD18" s="595"/>
      <c r="AE18" s="595"/>
      <c r="AF18" s="595"/>
      <c r="AG18" s="592"/>
    </row>
    <row r="19">
      <c r="A19" s="75"/>
      <c r="B19" s="75"/>
      <c r="C19" s="75"/>
      <c r="D19" s="75"/>
      <c r="E19" s="595"/>
      <c r="F19" s="281"/>
      <c r="G19" s="281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2"/>
    </row>
    <row r="20">
      <c r="A20" s="75"/>
      <c r="B20" s="75"/>
      <c r="C20" s="75"/>
      <c r="D20" s="75"/>
      <c r="E20" s="595"/>
      <c r="F20" s="281"/>
      <c r="G20" s="281"/>
      <c r="H20" s="595"/>
      <c r="I20" s="595"/>
      <c r="J20" s="595"/>
      <c r="K20" s="595"/>
      <c r="L20" s="595"/>
      <c r="M20" s="595"/>
      <c r="N20" s="595"/>
      <c r="O20" s="595"/>
      <c r="P20" s="595"/>
      <c r="Q20" s="595"/>
      <c r="R20" s="595"/>
      <c r="S20" s="595"/>
      <c r="T20" s="595"/>
      <c r="U20" s="595"/>
      <c r="V20" s="595"/>
      <c r="W20" s="595"/>
      <c r="X20" s="595"/>
      <c r="Y20" s="595"/>
      <c r="Z20" s="595"/>
      <c r="AA20" s="595"/>
      <c r="AB20" s="595"/>
      <c r="AC20" s="595"/>
      <c r="AD20" s="595"/>
      <c r="AE20" s="595"/>
      <c r="AF20" s="595"/>
      <c r="AG20" s="592"/>
    </row>
    <row r="21">
      <c r="A21" s="75"/>
      <c r="B21" s="75"/>
      <c r="C21" s="75"/>
      <c r="D21" s="75"/>
      <c r="E21" s="595"/>
      <c r="F21" s="281"/>
      <c r="G21" s="281"/>
      <c r="H21" s="595"/>
      <c r="I21" s="595"/>
      <c r="J21" s="595"/>
      <c r="K21" s="595"/>
      <c r="L21" s="595"/>
      <c r="M21" s="595"/>
      <c r="N21" s="595"/>
      <c r="O21" s="595"/>
      <c r="P21" s="595"/>
      <c r="Q21" s="595"/>
      <c r="R21" s="595"/>
      <c r="S21" s="595"/>
      <c r="T21" s="595"/>
      <c r="U21" s="595"/>
      <c r="V21" s="595"/>
      <c r="W21" s="595"/>
      <c r="X21" s="595"/>
      <c r="Y21" s="595"/>
      <c r="Z21" s="595"/>
      <c r="AA21" s="595"/>
      <c r="AB21" s="595"/>
      <c r="AC21" s="595"/>
      <c r="AD21" s="595"/>
      <c r="AE21" s="595"/>
      <c r="AF21" s="595"/>
      <c r="AG21" s="592"/>
    </row>
    <row r="22">
      <c r="A22" s="75"/>
      <c r="B22" s="75"/>
      <c r="C22" s="75"/>
      <c r="D22" s="75"/>
      <c r="E22" s="595"/>
      <c r="F22" s="281"/>
      <c r="G22" s="281"/>
      <c r="H22" s="595"/>
      <c r="I22" s="595"/>
      <c r="J22" s="595"/>
      <c r="K22" s="595"/>
      <c r="L22" s="595"/>
      <c r="M22" s="595"/>
      <c r="N22" s="595"/>
      <c r="O22" s="595"/>
      <c r="P22" s="595"/>
      <c r="Q22" s="595"/>
      <c r="R22" s="595"/>
      <c r="S22" s="595"/>
      <c r="T22" s="595"/>
      <c r="U22" s="595"/>
      <c r="V22" s="595"/>
      <c r="W22" s="595"/>
      <c r="X22" s="595"/>
      <c r="Y22" s="595"/>
      <c r="Z22" s="595"/>
      <c r="AA22" s="595"/>
      <c r="AB22" s="595"/>
      <c r="AC22" s="595"/>
      <c r="AD22" s="595"/>
      <c r="AE22" s="595"/>
      <c r="AF22" s="595"/>
      <c r="AG22" s="592"/>
    </row>
    <row r="23">
      <c r="A23" s="75"/>
      <c r="B23" s="75"/>
      <c r="C23" s="75"/>
      <c r="D23" s="75"/>
      <c r="E23" s="595"/>
      <c r="F23" s="281"/>
      <c r="G23" s="281"/>
      <c r="H23" s="595"/>
      <c r="I23" s="595"/>
      <c r="J23" s="595"/>
      <c r="K23" s="595"/>
      <c r="L23" s="595"/>
      <c r="M23" s="595"/>
      <c r="N23" s="595"/>
      <c r="O23" s="595"/>
      <c r="P23" s="595"/>
      <c r="Q23" s="595"/>
      <c r="R23" s="595"/>
      <c r="S23" s="595"/>
      <c r="T23" s="595"/>
      <c r="U23" s="595"/>
      <c r="V23" s="595"/>
      <c r="W23" s="595"/>
      <c r="X23" s="595"/>
      <c r="Y23" s="595"/>
      <c r="Z23" s="595"/>
      <c r="AA23" s="595"/>
      <c r="AB23" s="595"/>
      <c r="AC23" s="595"/>
      <c r="AD23" s="595"/>
      <c r="AE23" s="595"/>
      <c r="AF23" s="595"/>
      <c r="AG23" s="592"/>
    </row>
    <row r="24">
      <c r="A24" s="75"/>
      <c r="B24" s="75"/>
      <c r="C24" s="75"/>
      <c r="D24" s="75"/>
      <c r="E24" s="595"/>
      <c r="F24" s="281"/>
      <c r="G24" s="281"/>
      <c r="H24" s="595"/>
      <c r="I24" s="595"/>
      <c r="J24" s="595"/>
      <c r="K24" s="595"/>
      <c r="L24" s="595"/>
      <c r="M24" s="595"/>
      <c r="N24" s="595"/>
      <c r="O24" s="595"/>
      <c r="P24" s="595"/>
      <c r="Q24" s="595"/>
      <c r="R24" s="595"/>
      <c r="S24" s="595"/>
      <c r="T24" s="595"/>
      <c r="U24" s="595"/>
      <c r="V24" s="595"/>
      <c r="W24" s="595"/>
      <c r="X24" s="595"/>
      <c r="Y24" s="595"/>
      <c r="Z24" s="595"/>
      <c r="AA24" s="595"/>
      <c r="AB24" s="595"/>
      <c r="AC24" s="595"/>
      <c r="AD24" s="595"/>
      <c r="AE24" s="595"/>
      <c r="AF24" s="595"/>
      <c r="AG24" s="592"/>
    </row>
    <row r="25">
      <c r="A25" s="75"/>
      <c r="B25" s="75"/>
      <c r="C25" s="75"/>
      <c r="D25" s="75"/>
      <c r="E25" s="595"/>
      <c r="F25" s="281"/>
      <c r="G25" s="281"/>
      <c r="H25" s="595"/>
      <c r="I25" s="595"/>
      <c r="J25" s="595"/>
      <c r="K25" s="595"/>
      <c r="L25" s="595"/>
      <c r="M25" s="595"/>
      <c r="N25" s="595"/>
      <c r="O25" s="595"/>
      <c r="P25" s="595"/>
      <c r="Q25" s="595"/>
      <c r="R25" s="595"/>
      <c r="S25" s="595"/>
      <c r="T25" s="595"/>
      <c r="U25" s="595"/>
      <c r="V25" s="595"/>
      <c r="W25" s="595"/>
      <c r="X25" s="595"/>
      <c r="Y25" s="595"/>
      <c r="Z25" s="595"/>
      <c r="AA25" s="595"/>
      <c r="AB25" s="595"/>
      <c r="AC25" s="595"/>
      <c r="AD25" s="595"/>
      <c r="AE25" s="595"/>
      <c r="AF25" s="595"/>
      <c r="AG25" s="592"/>
    </row>
    <row r="26">
      <c r="A26" s="75"/>
      <c r="B26" s="75"/>
      <c r="C26" s="75"/>
      <c r="D26" s="75"/>
      <c r="E26" s="595"/>
      <c r="F26" s="281"/>
      <c r="G26" s="281"/>
      <c r="H26" s="595"/>
      <c r="I26" s="595"/>
      <c r="J26" s="595"/>
      <c r="K26" s="595"/>
      <c r="L26" s="595"/>
      <c r="M26" s="595"/>
      <c r="N26" s="595"/>
      <c r="O26" s="595"/>
      <c r="P26" s="595"/>
      <c r="Q26" s="595"/>
      <c r="R26" s="595"/>
      <c r="S26" s="595"/>
      <c r="T26" s="595"/>
      <c r="U26" s="595"/>
      <c r="V26" s="595"/>
      <c r="W26" s="595"/>
      <c r="X26" s="595"/>
      <c r="Y26" s="595"/>
      <c r="Z26" s="595"/>
      <c r="AA26" s="595"/>
      <c r="AB26" s="595"/>
      <c r="AC26" s="595"/>
      <c r="AD26" s="595"/>
      <c r="AE26" s="595"/>
      <c r="AF26" s="595"/>
      <c r="AG26" s="592"/>
    </row>
    <row r="27">
      <c r="A27" s="75"/>
      <c r="B27" s="75"/>
      <c r="C27" s="75"/>
      <c r="D27" s="75"/>
      <c r="E27" s="595"/>
      <c r="F27" s="281"/>
      <c r="G27" s="281"/>
      <c r="H27" s="595"/>
      <c r="I27" s="595"/>
      <c r="J27" s="595"/>
      <c r="K27" s="595"/>
      <c r="L27" s="595"/>
      <c r="M27" s="595"/>
      <c r="N27" s="595"/>
      <c r="O27" s="595"/>
      <c r="P27" s="595"/>
      <c r="Q27" s="595"/>
      <c r="R27" s="595"/>
      <c r="S27" s="595"/>
      <c r="T27" s="595"/>
      <c r="U27" s="595"/>
      <c r="V27" s="595"/>
      <c r="W27" s="595"/>
      <c r="X27" s="595"/>
      <c r="Y27" s="595"/>
      <c r="Z27" s="595"/>
      <c r="AA27" s="595"/>
      <c r="AB27" s="595"/>
      <c r="AC27" s="595"/>
      <c r="AD27" s="595"/>
      <c r="AE27" s="595"/>
      <c r="AF27" s="595"/>
      <c r="AG27" s="592"/>
    </row>
    <row r="28">
      <c r="A28" s="75"/>
      <c r="B28" s="75"/>
      <c r="C28" s="75"/>
      <c r="D28" s="75"/>
      <c r="E28" s="595"/>
      <c r="F28" s="281"/>
      <c r="G28" s="281"/>
      <c r="H28" s="595"/>
      <c r="I28" s="595"/>
      <c r="J28" s="595"/>
      <c r="K28" s="595"/>
      <c r="L28" s="595"/>
      <c r="M28" s="595"/>
      <c r="N28" s="595"/>
      <c r="O28" s="595"/>
      <c r="P28" s="595"/>
      <c r="Q28" s="595"/>
      <c r="R28" s="595"/>
      <c r="S28" s="595"/>
      <c r="T28" s="595"/>
      <c r="U28" s="595"/>
      <c r="V28" s="595"/>
      <c r="W28" s="595"/>
      <c r="X28" s="595"/>
      <c r="Y28" s="595"/>
      <c r="Z28" s="595"/>
      <c r="AA28" s="595"/>
      <c r="AB28" s="595"/>
      <c r="AC28" s="595"/>
      <c r="AD28" s="595"/>
      <c r="AE28" s="595"/>
      <c r="AF28" s="595"/>
      <c r="AG28" s="592"/>
    </row>
    <row r="29">
      <c r="A29" s="75"/>
      <c r="B29" s="75"/>
      <c r="C29" s="75"/>
      <c r="D29" s="75"/>
      <c r="E29" s="595"/>
      <c r="F29" s="281"/>
      <c r="G29" s="281"/>
      <c r="H29" s="595"/>
      <c r="I29" s="595"/>
      <c r="J29" s="595"/>
      <c r="K29" s="595"/>
      <c r="L29" s="595"/>
      <c r="M29" s="595"/>
      <c r="N29" s="595"/>
      <c r="O29" s="595"/>
      <c r="P29" s="595"/>
      <c r="Q29" s="595"/>
      <c r="R29" s="595"/>
      <c r="S29" s="595"/>
      <c r="T29" s="595"/>
      <c r="U29" s="595"/>
      <c r="V29" s="595"/>
      <c r="W29" s="595"/>
      <c r="X29" s="595"/>
      <c r="Y29" s="595"/>
      <c r="Z29" s="595"/>
      <c r="AA29" s="595"/>
      <c r="AB29" s="595"/>
      <c r="AC29" s="595"/>
      <c r="AD29" s="595"/>
      <c r="AE29" s="595"/>
      <c r="AF29" s="595"/>
      <c r="AG29" s="592"/>
    </row>
    <row r="30">
      <c r="A30" s="75"/>
      <c r="B30" s="75"/>
      <c r="C30" s="75"/>
      <c r="D30" s="75"/>
      <c r="E30" s="595"/>
      <c r="F30" s="281"/>
      <c r="G30" s="281"/>
      <c r="H30" s="595"/>
      <c r="I30" s="595"/>
      <c r="J30" s="595"/>
      <c r="K30" s="595"/>
      <c r="L30" s="595"/>
      <c r="M30" s="595"/>
      <c r="N30" s="595"/>
      <c r="O30" s="595"/>
      <c r="P30" s="595"/>
      <c r="Q30" s="595"/>
      <c r="R30" s="595"/>
      <c r="S30" s="595"/>
      <c r="T30" s="595"/>
      <c r="U30" s="595"/>
      <c r="V30" s="595"/>
      <c r="W30" s="595"/>
      <c r="X30" s="595"/>
      <c r="Y30" s="595"/>
      <c r="Z30" s="595"/>
      <c r="AA30" s="595"/>
      <c r="AB30" s="595"/>
      <c r="AC30" s="595"/>
      <c r="AD30" s="595"/>
      <c r="AE30" s="595"/>
      <c r="AF30" s="595"/>
      <c r="AG30" s="592"/>
    </row>
    <row r="31">
      <c r="A31" s="75"/>
      <c r="B31" s="75"/>
      <c r="C31" s="75"/>
      <c r="D31" s="75"/>
      <c r="E31" s="595"/>
      <c r="F31" s="281"/>
      <c r="G31" s="281"/>
      <c r="H31" s="595"/>
      <c r="I31" s="595"/>
      <c r="J31" s="595"/>
      <c r="K31" s="595"/>
      <c r="L31" s="595"/>
      <c r="M31" s="595"/>
      <c r="N31" s="595"/>
      <c r="O31" s="595"/>
      <c r="P31" s="595"/>
      <c r="Q31" s="595"/>
      <c r="R31" s="595"/>
      <c r="S31" s="595"/>
      <c r="T31" s="595"/>
      <c r="U31" s="595"/>
      <c r="V31" s="595"/>
      <c r="W31" s="595"/>
      <c r="X31" s="595"/>
      <c r="Y31" s="595"/>
      <c r="Z31" s="595"/>
      <c r="AA31" s="595"/>
      <c r="AB31" s="595"/>
      <c r="AC31" s="595"/>
      <c r="AD31" s="595"/>
      <c r="AE31" s="595"/>
      <c r="AF31" s="595"/>
      <c r="AG31" s="592"/>
    </row>
    <row r="32">
      <c r="A32" s="75"/>
      <c r="B32" s="75"/>
      <c r="C32" s="75"/>
      <c r="D32" s="75"/>
      <c r="E32" s="595"/>
      <c r="F32" s="281"/>
      <c r="G32" s="281"/>
      <c r="H32" s="595"/>
      <c r="I32" s="595"/>
      <c r="J32" s="595"/>
      <c r="K32" s="595"/>
      <c r="L32" s="595"/>
      <c r="M32" s="595"/>
      <c r="N32" s="595"/>
      <c r="O32" s="595"/>
      <c r="P32" s="595"/>
      <c r="Q32" s="595"/>
      <c r="R32" s="595"/>
      <c r="S32" s="595"/>
      <c r="T32" s="595"/>
      <c r="U32" s="595"/>
      <c r="V32" s="595"/>
      <c r="W32" s="595"/>
      <c r="X32" s="595"/>
      <c r="Y32" s="595"/>
      <c r="Z32" s="595"/>
      <c r="AA32" s="595"/>
      <c r="AB32" s="595"/>
      <c r="AC32" s="595"/>
      <c r="AD32" s="595"/>
      <c r="AE32" s="595"/>
      <c r="AF32" s="595"/>
      <c r="AG32" s="592"/>
    </row>
    <row r="33">
      <c r="A33" s="75"/>
      <c r="B33" s="75"/>
      <c r="C33" s="75"/>
      <c r="D33" s="75"/>
      <c r="E33" s="595"/>
      <c r="F33" s="281"/>
      <c r="G33" s="281"/>
      <c r="H33" s="595"/>
      <c r="I33" s="595"/>
      <c r="J33" s="595"/>
      <c r="K33" s="595"/>
      <c r="L33" s="595"/>
      <c r="M33" s="595"/>
      <c r="N33" s="595"/>
      <c r="O33" s="595"/>
      <c r="P33" s="595"/>
      <c r="Q33" s="595"/>
      <c r="R33" s="595"/>
      <c r="S33" s="595"/>
      <c r="T33" s="595"/>
      <c r="U33" s="595"/>
      <c r="V33" s="595"/>
      <c r="W33" s="595"/>
      <c r="X33" s="595"/>
      <c r="Y33" s="595"/>
      <c r="Z33" s="595"/>
      <c r="AA33" s="595"/>
      <c r="AB33" s="595"/>
      <c r="AC33" s="595"/>
      <c r="AD33" s="595"/>
      <c r="AE33" s="595"/>
      <c r="AF33" s="595"/>
      <c r="AG33" s="592"/>
    </row>
    <row r="34">
      <c r="A34" s="75"/>
      <c r="B34" s="75"/>
      <c r="C34" s="75"/>
      <c r="D34" s="75"/>
      <c r="E34" s="595"/>
      <c r="F34" s="281"/>
      <c r="G34" s="281"/>
      <c r="H34" s="595"/>
      <c r="I34" s="595"/>
      <c r="J34" s="595"/>
      <c r="K34" s="595"/>
      <c r="L34" s="595"/>
      <c r="M34" s="595"/>
      <c r="N34" s="595"/>
      <c r="O34" s="595"/>
      <c r="P34" s="595"/>
      <c r="Q34" s="595"/>
      <c r="R34" s="595"/>
      <c r="S34" s="595"/>
      <c r="T34" s="595"/>
      <c r="U34" s="595"/>
      <c r="V34" s="595"/>
      <c r="W34" s="595"/>
      <c r="X34" s="595"/>
      <c r="Y34" s="595"/>
      <c r="Z34" s="595"/>
      <c r="AA34" s="595"/>
      <c r="AB34" s="595"/>
      <c r="AC34" s="595"/>
      <c r="AD34" s="595"/>
      <c r="AE34" s="595"/>
      <c r="AF34" s="601"/>
      <c r="AG34" s="592"/>
    </row>
    <row r="35">
      <c r="A35" s="75"/>
      <c r="B35" s="75"/>
      <c r="C35" s="75"/>
      <c r="D35" s="75"/>
      <c r="E35" s="595"/>
      <c r="F35" s="281"/>
      <c r="G35" s="281"/>
      <c r="H35" s="595"/>
      <c r="I35" s="595"/>
      <c r="J35" s="595"/>
      <c r="K35" s="595"/>
      <c r="L35" s="595"/>
      <c r="M35" s="595"/>
      <c r="N35" s="595"/>
      <c r="O35" s="595"/>
      <c r="P35" s="595"/>
      <c r="Q35" s="595"/>
      <c r="R35" s="595"/>
      <c r="S35" s="595"/>
      <c r="T35" s="595"/>
      <c r="U35" s="595"/>
      <c r="V35" s="595"/>
      <c r="W35" s="595"/>
      <c r="X35" s="595"/>
      <c r="Y35" s="595"/>
      <c r="Z35" s="595"/>
      <c r="AA35" s="595"/>
      <c r="AB35" s="595"/>
      <c r="AC35" s="595"/>
      <c r="AD35" s="595"/>
      <c r="AE35" s="595"/>
      <c r="AF35" s="601"/>
      <c r="AG35" s="592"/>
    </row>
    <row r="36">
      <c r="A36" s="75"/>
      <c r="B36" s="75"/>
      <c r="C36" s="75"/>
      <c r="D36" s="75"/>
      <c r="E36" s="595"/>
      <c r="F36" s="281"/>
      <c r="G36" s="281"/>
      <c r="H36" s="595"/>
      <c r="I36" s="595"/>
      <c r="J36" s="595"/>
      <c r="K36" s="595"/>
      <c r="L36" s="595"/>
      <c r="M36" s="595"/>
      <c r="N36" s="595"/>
      <c r="O36" s="595"/>
      <c r="P36" s="595"/>
      <c r="Q36" s="595"/>
      <c r="R36" s="595"/>
      <c r="S36" s="595"/>
      <c r="T36" s="595"/>
      <c r="U36" s="595"/>
      <c r="V36" s="595"/>
      <c r="W36" s="595"/>
      <c r="X36" s="595"/>
      <c r="Y36" s="595"/>
      <c r="Z36" s="595"/>
      <c r="AA36" s="595"/>
      <c r="AB36" s="595"/>
      <c r="AC36" s="595"/>
      <c r="AD36" s="595"/>
      <c r="AE36" s="595"/>
      <c r="AF36" s="601"/>
      <c r="AG36" s="592"/>
    </row>
    <row r="37">
      <c r="A37" s="75"/>
      <c r="B37" s="75"/>
      <c r="C37" s="75"/>
      <c r="D37" s="75"/>
      <c r="E37" s="595"/>
      <c r="F37" s="281"/>
      <c r="G37" s="281"/>
      <c r="H37" s="595"/>
      <c r="I37" s="595"/>
      <c r="J37" s="595"/>
      <c r="K37" s="595"/>
      <c r="L37" s="595"/>
      <c r="M37" s="595"/>
      <c r="N37" s="595"/>
      <c r="O37" s="595"/>
      <c r="P37" s="595"/>
      <c r="Q37" s="595"/>
      <c r="R37" s="595"/>
      <c r="S37" s="595"/>
      <c r="T37" s="595"/>
      <c r="U37" s="595"/>
      <c r="V37" s="595"/>
      <c r="W37" s="595"/>
      <c r="X37" s="595"/>
      <c r="Y37" s="595"/>
      <c r="Z37" s="595"/>
      <c r="AA37" s="595"/>
      <c r="AB37" s="595"/>
      <c r="AC37" s="595"/>
      <c r="AD37" s="595"/>
      <c r="AE37" s="595"/>
      <c r="AF37" s="601"/>
      <c r="AG37" s="592"/>
    </row>
    <row r="38">
      <c r="A38" s="75"/>
      <c r="B38" s="75"/>
      <c r="C38" s="75"/>
      <c r="D38" s="75"/>
      <c r="E38" s="595"/>
      <c r="F38" s="281"/>
      <c r="G38" s="281"/>
      <c r="H38" s="595"/>
      <c r="I38" s="595"/>
      <c r="J38" s="595"/>
      <c r="K38" s="595"/>
      <c r="L38" s="595"/>
      <c r="M38" s="595"/>
      <c r="N38" s="595"/>
      <c r="O38" s="595"/>
      <c r="P38" s="595"/>
      <c r="Q38" s="595"/>
      <c r="R38" s="595"/>
      <c r="S38" s="595"/>
      <c r="T38" s="595"/>
      <c r="U38" s="595"/>
      <c r="V38" s="595"/>
      <c r="W38" s="595"/>
      <c r="X38" s="595"/>
      <c r="Y38" s="595"/>
      <c r="Z38" s="595"/>
      <c r="AA38" s="595"/>
      <c r="AB38" s="595"/>
      <c r="AC38" s="595"/>
      <c r="AD38" s="595"/>
      <c r="AE38" s="595"/>
      <c r="AF38" s="601"/>
      <c r="AG38" s="592"/>
    </row>
    <row r="39">
      <c r="A39" s="75"/>
      <c r="B39" s="75"/>
      <c r="C39" s="75"/>
      <c r="D39" s="75"/>
      <c r="E39" s="595"/>
      <c r="F39" s="281"/>
      <c r="G39" s="281"/>
      <c r="H39" s="595"/>
      <c r="I39" s="595"/>
      <c r="J39" s="595"/>
      <c r="K39" s="595"/>
      <c r="L39" s="595"/>
      <c r="M39" s="595"/>
      <c r="N39" s="595"/>
      <c r="O39" s="595"/>
      <c r="P39" s="595"/>
      <c r="Q39" s="595"/>
      <c r="R39" s="595"/>
      <c r="S39" s="595"/>
      <c r="T39" s="595"/>
      <c r="U39" s="595"/>
      <c r="V39" s="595"/>
      <c r="W39" s="595"/>
      <c r="X39" s="595"/>
      <c r="Y39" s="595"/>
      <c r="Z39" s="595"/>
      <c r="AA39" s="595"/>
      <c r="AB39" s="595"/>
      <c r="AC39" s="595"/>
      <c r="AD39" s="595"/>
      <c r="AE39" s="595"/>
      <c r="AF39" s="601"/>
      <c r="AG39" s="592"/>
    </row>
    <row r="40">
      <c r="A40" s="75"/>
      <c r="B40" s="75"/>
      <c r="C40" s="75"/>
      <c r="D40" s="75"/>
      <c r="E40" s="595"/>
      <c r="F40" s="281"/>
      <c r="G40" s="281"/>
      <c r="H40" s="595"/>
      <c r="I40" s="595"/>
      <c r="J40" s="595"/>
      <c r="K40" s="595"/>
      <c r="L40" s="595"/>
      <c r="M40" s="595"/>
      <c r="N40" s="595"/>
      <c r="O40" s="595"/>
      <c r="P40" s="595"/>
      <c r="Q40" s="595"/>
      <c r="R40" s="595"/>
      <c r="S40" s="595"/>
      <c r="T40" s="595"/>
      <c r="U40" s="595"/>
      <c r="V40" s="595"/>
      <c r="W40" s="595"/>
      <c r="X40" s="595"/>
      <c r="Y40" s="595"/>
      <c r="Z40" s="595"/>
      <c r="AA40" s="595"/>
      <c r="AB40" s="595"/>
      <c r="AC40" s="595"/>
      <c r="AD40" s="595"/>
      <c r="AE40" s="595"/>
      <c r="AF40" s="601"/>
      <c r="AG40" s="592"/>
    </row>
    <row r="41">
      <c r="A41" s="75"/>
      <c r="B41" s="75"/>
      <c r="C41" s="75"/>
      <c r="D41" s="75"/>
      <c r="E41" s="595"/>
      <c r="F41" s="281"/>
      <c r="G41" s="281"/>
      <c r="H41" s="595"/>
      <c r="I41" s="595"/>
      <c r="J41" s="595"/>
      <c r="K41" s="595"/>
      <c r="L41" s="595"/>
      <c r="M41" s="595"/>
      <c r="N41" s="595"/>
      <c r="O41" s="595"/>
      <c r="P41" s="595"/>
      <c r="Q41" s="595"/>
      <c r="R41" s="595"/>
      <c r="S41" s="595"/>
      <c r="T41" s="595"/>
      <c r="U41" s="595"/>
      <c r="V41" s="595"/>
      <c r="W41" s="595"/>
      <c r="X41" s="595"/>
      <c r="Y41" s="595"/>
      <c r="Z41" s="595"/>
      <c r="AA41" s="595"/>
      <c r="AB41" s="595"/>
      <c r="AC41" s="595"/>
      <c r="AD41" s="595"/>
      <c r="AE41" s="595"/>
      <c r="AF41" s="601"/>
      <c r="AG41" s="592"/>
    </row>
    <row r="42">
      <c r="A42" s="75"/>
      <c r="B42" s="75"/>
      <c r="C42" s="75"/>
      <c r="D42" s="75"/>
      <c r="E42" s="595"/>
      <c r="F42" s="281"/>
      <c r="G42" s="281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595"/>
      <c r="T42" s="595"/>
      <c r="U42" s="595"/>
      <c r="V42" s="595"/>
      <c r="W42" s="595"/>
      <c r="X42" s="595"/>
      <c r="Y42" s="595"/>
      <c r="Z42" s="595"/>
      <c r="AA42" s="595"/>
      <c r="AB42" s="595"/>
      <c r="AC42" s="595"/>
      <c r="AD42" s="595"/>
      <c r="AE42" s="595"/>
      <c r="AF42" s="601"/>
      <c r="AG42" s="592"/>
    </row>
    <row r="43">
      <c r="A43" s="75"/>
      <c r="B43" s="75"/>
      <c r="C43" s="75"/>
      <c r="D43" s="75"/>
      <c r="E43" s="595"/>
      <c r="F43" s="281"/>
      <c r="G43" s="281"/>
      <c r="H43" s="595"/>
      <c r="I43" s="595"/>
      <c r="J43" s="595"/>
      <c r="K43" s="595"/>
      <c r="L43" s="595"/>
      <c r="M43" s="595"/>
      <c r="N43" s="595"/>
      <c r="O43" s="595"/>
      <c r="P43" s="595"/>
      <c r="Q43" s="595"/>
      <c r="R43" s="595"/>
      <c r="S43" s="595"/>
      <c r="T43" s="595"/>
      <c r="U43" s="595"/>
      <c r="V43" s="595"/>
      <c r="W43" s="595"/>
      <c r="X43" s="595"/>
      <c r="Y43" s="595"/>
      <c r="Z43" s="595"/>
      <c r="AA43" s="595"/>
      <c r="AB43" s="595"/>
      <c r="AC43" s="595"/>
      <c r="AD43" s="595"/>
      <c r="AE43" s="595"/>
      <c r="AF43" s="601"/>
      <c r="AG43" s="592"/>
    </row>
    <row r="44">
      <c r="A44" s="75"/>
      <c r="B44" s="75"/>
      <c r="C44" s="75"/>
      <c r="D44" s="75"/>
      <c r="E44" s="595"/>
      <c r="F44" s="281"/>
      <c r="G44" s="281"/>
      <c r="H44" s="595"/>
      <c r="I44" s="595"/>
      <c r="J44" s="595"/>
      <c r="K44" s="595"/>
      <c r="L44" s="595"/>
      <c r="M44" s="595"/>
      <c r="N44" s="595"/>
      <c r="O44" s="595"/>
      <c r="P44" s="595"/>
      <c r="Q44" s="595"/>
      <c r="R44" s="595"/>
      <c r="S44" s="595"/>
      <c r="T44" s="595"/>
      <c r="U44" s="595"/>
      <c r="V44" s="595"/>
      <c r="W44" s="595"/>
      <c r="X44" s="595"/>
      <c r="Y44" s="595"/>
      <c r="Z44" s="595"/>
      <c r="AA44" s="595"/>
      <c r="AB44" s="595"/>
      <c r="AC44" s="595"/>
      <c r="AD44" s="595"/>
      <c r="AE44" s="595"/>
      <c r="AF44" s="601"/>
      <c r="AG44" s="592"/>
    </row>
    <row r="45">
      <c r="A45" s="75"/>
      <c r="B45" s="75"/>
      <c r="C45" s="75"/>
      <c r="D45" s="75"/>
      <c r="E45" s="595"/>
      <c r="F45" s="281"/>
      <c r="G45" s="281"/>
      <c r="H45" s="595"/>
      <c r="I45" s="595"/>
      <c r="J45" s="595"/>
      <c r="K45" s="595"/>
      <c r="L45" s="595"/>
      <c r="M45" s="595"/>
      <c r="N45" s="595"/>
      <c r="O45" s="595"/>
      <c r="P45" s="595"/>
      <c r="Q45" s="595"/>
      <c r="R45" s="595"/>
      <c r="S45" s="595"/>
      <c r="T45" s="595"/>
      <c r="U45" s="595"/>
      <c r="V45" s="595"/>
      <c r="W45" s="595"/>
      <c r="X45" s="595"/>
      <c r="Y45" s="595"/>
      <c r="Z45" s="595"/>
      <c r="AA45" s="595"/>
      <c r="AB45" s="595"/>
      <c r="AC45" s="595"/>
      <c r="AD45" s="595"/>
      <c r="AE45" s="595"/>
      <c r="AF45" s="601"/>
      <c r="AG45" s="592"/>
    </row>
    <row r="46">
      <c r="A46" s="75"/>
      <c r="B46" s="75"/>
      <c r="C46" s="75"/>
      <c r="D46" s="75"/>
      <c r="E46" s="595"/>
      <c r="F46" s="281"/>
      <c r="G46" s="281"/>
      <c r="H46" s="595"/>
      <c r="I46" s="595"/>
      <c r="J46" s="595"/>
      <c r="K46" s="595"/>
      <c r="L46" s="595"/>
      <c r="M46" s="595"/>
      <c r="N46" s="595"/>
      <c r="O46" s="595"/>
      <c r="P46" s="595"/>
      <c r="Q46" s="595"/>
      <c r="R46" s="595"/>
      <c r="S46" s="595"/>
      <c r="T46" s="595"/>
      <c r="U46" s="595"/>
      <c r="V46" s="595"/>
      <c r="W46" s="595"/>
      <c r="X46" s="595"/>
      <c r="Y46" s="595"/>
      <c r="Z46" s="595"/>
      <c r="AA46" s="595"/>
      <c r="AB46" s="595"/>
      <c r="AC46" s="595"/>
      <c r="AD46" s="595"/>
      <c r="AE46" s="595"/>
      <c r="AF46" s="601"/>
      <c r="AG46" s="592"/>
    </row>
    <row r="47">
      <c r="A47" s="75"/>
      <c r="B47" s="75"/>
      <c r="C47" s="75"/>
      <c r="D47" s="75"/>
      <c r="E47" s="595"/>
      <c r="F47" s="281"/>
      <c r="G47" s="281"/>
      <c r="H47" s="595"/>
      <c r="I47" s="595"/>
      <c r="J47" s="595"/>
      <c r="K47" s="595"/>
      <c r="L47" s="595"/>
      <c r="M47" s="595"/>
      <c r="N47" s="595"/>
      <c r="O47" s="595"/>
      <c r="P47" s="595"/>
      <c r="Q47" s="595"/>
      <c r="R47" s="595"/>
      <c r="S47" s="595"/>
      <c r="T47" s="595"/>
      <c r="U47" s="595"/>
      <c r="V47" s="595"/>
      <c r="W47" s="595"/>
      <c r="X47" s="595"/>
      <c r="Y47" s="595"/>
      <c r="Z47" s="595"/>
      <c r="AA47" s="595"/>
      <c r="AB47" s="595"/>
      <c r="AC47" s="595"/>
      <c r="AD47" s="595"/>
      <c r="AE47" s="595"/>
      <c r="AF47" s="601"/>
      <c r="AG47" s="592"/>
    </row>
    <row r="48">
      <c r="A48" s="75"/>
      <c r="B48" s="75"/>
      <c r="C48" s="75"/>
      <c r="D48" s="75"/>
      <c r="E48" s="595"/>
      <c r="F48" s="281"/>
      <c r="G48" s="281"/>
      <c r="H48" s="595"/>
      <c r="I48" s="595"/>
      <c r="J48" s="595"/>
      <c r="K48" s="595"/>
      <c r="L48" s="595"/>
      <c r="M48" s="595"/>
      <c r="N48" s="595"/>
      <c r="O48" s="595"/>
      <c r="P48" s="595"/>
      <c r="Q48" s="595"/>
      <c r="R48" s="595"/>
      <c r="S48" s="595"/>
      <c r="T48" s="595"/>
      <c r="U48" s="595"/>
      <c r="V48" s="595"/>
      <c r="W48" s="595"/>
      <c r="X48" s="595"/>
      <c r="Y48" s="595"/>
      <c r="Z48" s="595"/>
      <c r="AA48" s="595"/>
      <c r="AB48" s="595"/>
      <c r="AC48" s="595"/>
      <c r="AD48" s="595"/>
      <c r="AE48" s="595"/>
      <c r="AF48" s="601"/>
      <c r="AG48" s="592"/>
    </row>
    <row r="49">
      <c r="A49" s="75"/>
      <c r="B49" s="75"/>
      <c r="C49" s="75"/>
      <c r="D49" s="75"/>
      <c r="E49" s="595"/>
      <c r="F49" s="281"/>
      <c r="G49" s="281"/>
      <c r="H49" s="595"/>
      <c r="I49" s="595"/>
      <c r="J49" s="595"/>
      <c r="K49" s="595"/>
      <c r="L49" s="595"/>
      <c r="M49" s="595"/>
      <c r="N49" s="595"/>
      <c r="O49" s="595"/>
      <c r="P49" s="595"/>
      <c r="Q49" s="595"/>
      <c r="R49" s="595"/>
      <c r="S49" s="595"/>
      <c r="T49" s="595"/>
      <c r="U49" s="595"/>
      <c r="V49" s="595"/>
      <c r="W49" s="595"/>
      <c r="X49" s="595"/>
      <c r="Y49" s="595"/>
      <c r="Z49" s="595"/>
      <c r="AA49" s="595"/>
      <c r="AB49" s="595"/>
      <c r="AC49" s="595"/>
      <c r="AD49" s="595"/>
      <c r="AE49" s="595"/>
      <c r="AF49" s="601"/>
      <c r="AG49" s="592"/>
    </row>
    <row r="50">
      <c r="A50" s="75"/>
      <c r="B50" s="75"/>
      <c r="C50" s="75"/>
      <c r="D50" s="75"/>
      <c r="E50" s="595"/>
      <c r="F50" s="281"/>
      <c r="G50" s="281"/>
      <c r="H50" s="595"/>
      <c r="I50" s="595"/>
      <c r="J50" s="595"/>
      <c r="K50" s="595"/>
      <c r="L50" s="595"/>
      <c r="M50" s="595"/>
      <c r="N50" s="595"/>
      <c r="O50" s="595"/>
      <c r="P50" s="595"/>
      <c r="Q50" s="595"/>
      <c r="R50" s="595"/>
      <c r="S50" s="595"/>
      <c r="T50" s="595"/>
      <c r="U50" s="595"/>
      <c r="V50" s="595"/>
      <c r="W50" s="595"/>
      <c r="X50" s="595"/>
      <c r="Y50" s="595"/>
      <c r="Z50" s="595"/>
      <c r="AA50" s="595"/>
      <c r="AB50" s="595"/>
      <c r="AC50" s="595"/>
      <c r="AD50" s="595"/>
      <c r="AE50" s="595"/>
      <c r="AF50" s="601"/>
      <c r="AG50" s="592"/>
    </row>
    <row r="51">
      <c r="A51" s="75"/>
      <c r="B51" s="75"/>
      <c r="C51" s="75"/>
      <c r="D51" s="75"/>
      <c r="E51" s="595"/>
      <c r="F51" s="281"/>
      <c r="G51" s="281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595"/>
      <c r="U51" s="595"/>
      <c r="V51" s="595"/>
      <c r="W51" s="595"/>
      <c r="X51" s="595"/>
      <c r="Y51" s="595"/>
      <c r="Z51" s="595"/>
      <c r="AA51" s="595"/>
      <c r="AB51" s="595"/>
      <c r="AC51" s="595"/>
      <c r="AD51" s="595"/>
      <c r="AE51" s="595"/>
      <c r="AF51" s="601"/>
      <c r="AG51" s="592"/>
    </row>
    <row r="52">
      <c r="A52" s="75"/>
      <c r="B52" s="75"/>
      <c r="C52" s="75"/>
      <c r="D52" s="75"/>
      <c r="E52" s="595"/>
      <c r="F52" s="281"/>
      <c r="G52" s="281"/>
      <c r="H52" s="595"/>
      <c r="I52" s="595"/>
      <c r="J52" s="595"/>
      <c r="K52" s="595"/>
      <c r="L52" s="595"/>
      <c r="M52" s="595"/>
      <c r="N52" s="595"/>
      <c r="O52" s="595"/>
      <c r="P52" s="595"/>
      <c r="Q52" s="595"/>
      <c r="R52" s="595"/>
      <c r="S52" s="595"/>
      <c r="T52" s="595"/>
      <c r="U52" s="595"/>
      <c r="V52" s="595"/>
      <c r="W52" s="595"/>
      <c r="X52" s="595"/>
      <c r="Y52" s="595"/>
      <c r="Z52" s="595"/>
      <c r="AA52" s="595"/>
      <c r="AB52" s="595"/>
      <c r="AC52" s="595"/>
      <c r="AD52" s="595"/>
      <c r="AE52" s="595"/>
      <c r="AF52" s="601"/>
      <c r="AG52" s="592"/>
    </row>
    <row r="53">
      <c r="A53" s="75"/>
      <c r="B53" s="75"/>
      <c r="C53" s="75"/>
      <c r="D53" s="75"/>
      <c r="E53" s="595"/>
      <c r="F53" s="281"/>
      <c r="G53" s="281"/>
      <c r="H53" s="595"/>
      <c r="I53" s="595"/>
      <c r="J53" s="595"/>
      <c r="K53" s="595"/>
      <c r="L53" s="595"/>
      <c r="M53" s="595"/>
      <c r="N53" s="595"/>
      <c r="O53" s="595"/>
      <c r="P53" s="595"/>
      <c r="Q53" s="595"/>
      <c r="R53" s="595"/>
      <c r="S53" s="595"/>
      <c r="T53" s="595"/>
      <c r="U53" s="595"/>
      <c r="V53" s="595"/>
      <c r="W53" s="595"/>
      <c r="X53" s="595"/>
      <c r="Y53" s="595"/>
      <c r="Z53" s="595"/>
      <c r="AA53" s="595"/>
      <c r="AB53" s="595"/>
      <c r="AC53" s="595"/>
      <c r="AD53" s="595"/>
      <c r="AE53" s="595"/>
      <c r="AF53" s="601"/>
      <c r="AG53" s="592"/>
    </row>
    <row r="54">
      <c r="A54" s="75"/>
      <c r="B54" s="75"/>
      <c r="C54" s="75"/>
      <c r="D54" s="75"/>
      <c r="E54" s="595"/>
      <c r="F54" s="281"/>
      <c r="G54" s="281"/>
      <c r="H54" s="595"/>
      <c r="I54" s="595"/>
      <c r="J54" s="595"/>
      <c r="K54" s="595"/>
      <c r="L54" s="595"/>
      <c r="M54" s="595"/>
      <c r="N54" s="595"/>
      <c r="O54" s="595"/>
      <c r="P54" s="595"/>
      <c r="Q54" s="595"/>
      <c r="R54" s="595"/>
      <c r="S54" s="595"/>
      <c r="T54" s="595"/>
      <c r="U54" s="595"/>
      <c r="V54" s="595"/>
      <c r="W54" s="595"/>
      <c r="X54" s="595"/>
      <c r="Y54" s="595"/>
      <c r="Z54" s="595"/>
      <c r="AA54" s="595"/>
      <c r="AB54" s="595"/>
      <c r="AC54" s="595"/>
      <c r="AD54" s="595"/>
      <c r="AE54" s="595"/>
      <c r="AF54" s="601"/>
      <c r="AG54" s="592"/>
    </row>
    <row r="55">
      <c r="A55" s="75"/>
      <c r="B55" s="75"/>
      <c r="C55" s="75"/>
      <c r="D55" s="75"/>
      <c r="E55" s="595"/>
      <c r="F55" s="281"/>
      <c r="G55" s="281"/>
      <c r="H55" s="595"/>
      <c r="I55" s="595"/>
      <c r="J55" s="595"/>
      <c r="K55" s="595"/>
      <c r="L55" s="595"/>
      <c r="M55" s="595"/>
      <c r="N55" s="595"/>
      <c r="O55" s="595"/>
      <c r="P55" s="595"/>
      <c r="Q55" s="595"/>
      <c r="R55" s="595"/>
      <c r="S55" s="595"/>
      <c r="T55" s="595"/>
      <c r="U55" s="595"/>
      <c r="V55" s="595"/>
      <c r="W55" s="595"/>
      <c r="X55" s="595"/>
      <c r="Y55" s="595"/>
      <c r="Z55" s="595"/>
      <c r="AA55" s="595"/>
      <c r="AB55" s="595"/>
      <c r="AC55" s="595"/>
      <c r="AD55" s="595"/>
      <c r="AE55" s="595"/>
      <c r="AF55" s="601"/>
      <c r="AG55" s="592"/>
    </row>
    <row r="56">
      <c r="A56" s="75"/>
      <c r="B56" s="75"/>
      <c r="C56" s="75"/>
      <c r="D56" s="75"/>
      <c r="E56" s="595"/>
      <c r="F56" s="281"/>
      <c r="G56" s="281"/>
      <c r="H56" s="595"/>
      <c r="I56" s="595"/>
      <c r="J56" s="595"/>
      <c r="K56" s="595"/>
      <c r="L56" s="595"/>
      <c r="M56" s="595"/>
      <c r="N56" s="595"/>
      <c r="O56" s="595"/>
      <c r="P56" s="595"/>
      <c r="Q56" s="595"/>
      <c r="R56" s="595"/>
      <c r="S56" s="595"/>
      <c r="T56" s="595"/>
      <c r="U56" s="595"/>
      <c r="V56" s="595"/>
      <c r="W56" s="595"/>
      <c r="X56" s="595"/>
      <c r="Y56" s="595"/>
      <c r="Z56" s="595"/>
      <c r="AA56" s="595"/>
      <c r="AB56" s="595"/>
      <c r="AC56" s="595"/>
      <c r="AD56" s="595"/>
      <c r="AE56" s="595"/>
      <c r="AF56" s="601"/>
      <c r="AG56" s="592"/>
    </row>
    <row r="57">
      <c r="A57" s="75"/>
      <c r="B57" s="75"/>
      <c r="C57" s="75"/>
      <c r="D57" s="75"/>
      <c r="E57" s="595"/>
      <c r="F57" s="281"/>
      <c r="G57" s="281"/>
      <c r="H57" s="595"/>
      <c r="I57" s="595"/>
      <c r="J57" s="595"/>
      <c r="K57" s="595"/>
      <c r="L57" s="595"/>
      <c r="M57" s="595"/>
      <c r="N57" s="595"/>
      <c r="O57" s="595"/>
      <c r="P57" s="595"/>
      <c r="Q57" s="595"/>
      <c r="R57" s="595"/>
      <c r="S57" s="595"/>
      <c r="T57" s="595"/>
      <c r="U57" s="595"/>
      <c r="V57" s="595"/>
      <c r="W57" s="595"/>
      <c r="X57" s="595"/>
      <c r="Y57" s="595"/>
      <c r="Z57" s="595"/>
      <c r="AA57" s="595"/>
      <c r="AB57" s="595"/>
      <c r="AC57" s="595"/>
      <c r="AD57" s="595"/>
      <c r="AE57" s="595"/>
      <c r="AF57" s="601"/>
      <c r="AG57" s="592"/>
    </row>
    <row r="58">
      <c r="A58" s="75"/>
      <c r="B58" s="75"/>
      <c r="C58" s="75"/>
      <c r="D58" s="75"/>
      <c r="E58" s="595"/>
      <c r="F58" s="281"/>
      <c r="G58" s="281"/>
      <c r="H58" s="595"/>
      <c r="I58" s="595"/>
      <c r="J58" s="595"/>
      <c r="K58" s="595"/>
      <c r="L58" s="595"/>
      <c r="M58" s="595"/>
      <c r="N58" s="595"/>
      <c r="O58" s="595"/>
      <c r="P58" s="595"/>
      <c r="Q58" s="595"/>
      <c r="R58" s="595"/>
      <c r="S58" s="595"/>
      <c r="T58" s="595"/>
      <c r="U58" s="595"/>
      <c r="V58" s="595"/>
      <c r="W58" s="595"/>
      <c r="X58" s="595"/>
      <c r="Y58" s="595"/>
      <c r="Z58" s="595"/>
      <c r="AA58" s="595"/>
      <c r="AB58" s="595"/>
      <c r="AC58" s="595"/>
      <c r="AD58" s="595"/>
      <c r="AE58" s="595"/>
      <c r="AF58" s="601"/>
      <c r="AG58" s="592"/>
    </row>
    <row r="59">
      <c r="A59" s="75"/>
      <c r="B59" s="75"/>
      <c r="C59" s="75"/>
      <c r="D59" s="75"/>
      <c r="E59" s="595"/>
      <c r="F59" s="281"/>
      <c r="G59" s="281"/>
      <c r="H59" s="595"/>
      <c r="I59" s="595"/>
      <c r="J59" s="595"/>
      <c r="K59" s="595"/>
      <c r="L59" s="595"/>
      <c r="M59" s="595"/>
      <c r="N59" s="595"/>
      <c r="O59" s="595"/>
      <c r="P59" s="595"/>
      <c r="Q59" s="595"/>
      <c r="R59" s="595"/>
      <c r="S59" s="595"/>
      <c r="T59" s="595"/>
      <c r="U59" s="595"/>
      <c r="V59" s="595"/>
      <c r="W59" s="595"/>
      <c r="X59" s="595"/>
      <c r="Y59" s="595"/>
      <c r="Z59" s="595"/>
      <c r="AA59" s="595"/>
      <c r="AB59" s="595"/>
      <c r="AC59" s="595"/>
      <c r="AD59" s="595"/>
      <c r="AE59" s="595"/>
      <c r="AF59" s="601"/>
      <c r="AG59" s="592"/>
    </row>
    <row r="60">
      <c r="A60" s="75"/>
      <c r="B60" s="75"/>
      <c r="C60" s="75"/>
      <c r="D60" s="75"/>
      <c r="E60" s="595"/>
      <c r="F60" s="281"/>
      <c r="G60" s="281"/>
      <c r="H60" s="595"/>
      <c r="I60" s="595"/>
      <c r="J60" s="595"/>
      <c r="K60" s="595"/>
      <c r="L60" s="595"/>
      <c r="M60" s="595"/>
      <c r="N60" s="595"/>
      <c r="O60" s="595"/>
      <c r="P60" s="595"/>
      <c r="Q60" s="595"/>
      <c r="R60" s="595"/>
      <c r="S60" s="595"/>
      <c r="T60" s="595"/>
      <c r="U60" s="595"/>
      <c r="V60" s="595"/>
      <c r="W60" s="595"/>
      <c r="X60" s="595"/>
      <c r="Y60" s="595"/>
      <c r="Z60" s="595"/>
      <c r="AA60" s="595"/>
      <c r="AB60" s="595"/>
      <c r="AC60" s="595"/>
      <c r="AD60" s="595"/>
      <c r="AE60" s="595"/>
      <c r="AF60" s="601"/>
      <c r="AG60" s="592"/>
    </row>
    <row r="61">
      <c r="A61" s="75"/>
      <c r="B61" s="75"/>
      <c r="C61" s="75"/>
      <c r="D61" s="75"/>
      <c r="E61" s="595"/>
      <c r="F61" s="281"/>
      <c r="G61" s="281"/>
      <c r="H61" s="595"/>
      <c r="I61" s="595"/>
      <c r="J61" s="595"/>
      <c r="K61" s="595"/>
      <c r="L61" s="595"/>
      <c r="M61" s="595"/>
      <c r="N61" s="595"/>
      <c r="O61" s="595"/>
      <c r="P61" s="595"/>
      <c r="Q61" s="595"/>
      <c r="R61" s="595"/>
      <c r="S61" s="595"/>
      <c r="T61" s="595"/>
      <c r="U61" s="595"/>
      <c r="V61" s="595"/>
      <c r="W61" s="595"/>
      <c r="X61" s="595"/>
      <c r="Y61" s="595"/>
      <c r="Z61" s="595"/>
      <c r="AA61" s="595"/>
      <c r="AB61" s="595"/>
      <c r="AC61" s="595"/>
      <c r="AD61" s="595"/>
      <c r="AE61" s="595"/>
      <c r="AF61" s="601"/>
      <c r="AG61" s="592"/>
    </row>
    <row r="62">
      <c r="A62" s="75"/>
      <c r="B62" s="75"/>
      <c r="C62" s="75"/>
      <c r="D62" s="75"/>
      <c r="E62" s="595"/>
      <c r="F62" s="281"/>
      <c r="G62" s="281"/>
      <c r="H62" s="595"/>
      <c r="I62" s="595"/>
      <c r="J62" s="595"/>
      <c r="K62" s="595"/>
      <c r="L62" s="595"/>
      <c r="M62" s="595"/>
      <c r="N62" s="595"/>
      <c r="O62" s="595"/>
      <c r="P62" s="595"/>
      <c r="Q62" s="595"/>
      <c r="R62" s="595"/>
      <c r="S62" s="595"/>
      <c r="T62" s="595"/>
      <c r="U62" s="595"/>
      <c r="V62" s="595"/>
      <c r="W62" s="595"/>
      <c r="X62" s="595"/>
      <c r="Y62" s="595"/>
      <c r="Z62" s="595"/>
      <c r="AA62" s="595"/>
      <c r="AB62" s="595"/>
      <c r="AC62" s="595"/>
      <c r="AD62" s="595"/>
      <c r="AE62" s="595"/>
      <c r="AF62" s="601"/>
      <c r="AG62" s="592"/>
    </row>
    <row r="63">
      <c r="A63" s="75"/>
      <c r="B63" s="75"/>
      <c r="C63" s="75"/>
      <c r="D63" s="75"/>
      <c r="E63" s="595"/>
      <c r="F63" s="281"/>
      <c r="G63" s="281"/>
      <c r="H63" s="595"/>
      <c r="I63" s="595"/>
      <c r="J63" s="595"/>
      <c r="K63" s="595"/>
      <c r="L63" s="595"/>
      <c r="M63" s="595"/>
      <c r="N63" s="595"/>
      <c r="O63" s="595"/>
      <c r="P63" s="595"/>
      <c r="Q63" s="595"/>
      <c r="R63" s="595"/>
      <c r="S63" s="595"/>
      <c r="T63" s="595"/>
      <c r="U63" s="595"/>
      <c r="V63" s="595"/>
      <c r="W63" s="595"/>
      <c r="X63" s="595"/>
      <c r="Y63" s="595"/>
      <c r="Z63" s="595"/>
      <c r="AA63" s="595"/>
      <c r="AB63" s="595"/>
      <c r="AC63" s="595"/>
      <c r="AD63" s="595"/>
      <c r="AE63" s="595"/>
      <c r="AF63" s="601"/>
      <c r="AG63" s="592"/>
    </row>
    <row r="64">
      <c r="A64" s="75"/>
      <c r="B64" s="75"/>
      <c r="C64" s="75"/>
      <c r="D64" s="75"/>
      <c r="E64" s="595"/>
      <c r="F64" s="281"/>
      <c r="G64" s="281"/>
      <c r="H64" s="595"/>
      <c r="I64" s="595"/>
      <c r="J64" s="595"/>
      <c r="K64" s="595"/>
      <c r="L64" s="595"/>
      <c r="M64" s="595"/>
      <c r="N64" s="595"/>
      <c r="O64" s="595"/>
      <c r="P64" s="595"/>
      <c r="Q64" s="595"/>
      <c r="R64" s="595"/>
      <c r="S64" s="595"/>
      <c r="T64" s="595"/>
      <c r="U64" s="595"/>
      <c r="V64" s="595"/>
      <c r="W64" s="595"/>
      <c r="X64" s="595"/>
      <c r="Y64" s="595"/>
      <c r="Z64" s="595"/>
      <c r="AA64" s="595"/>
      <c r="AB64" s="595"/>
      <c r="AC64" s="595"/>
      <c r="AD64" s="595"/>
      <c r="AE64" s="595"/>
      <c r="AF64" s="601"/>
      <c r="AG64" s="592"/>
    </row>
    <row r="65">
      <c r="A65" s="75"/>
      <c r="B65" s="75"/>
      <c r="C65" s="75"/>
      <c r="D65" s="75"/>
      <c r="E65" s="595"/>
      <c r="F65" s="281"/>
      <c r="G65" s="281"/>
      <c r="H65" s="595"/>
      <c r="I65" s="595"/>
      <c r="J65" s="595"/>
      <c r="K65" s="595"/>
      <c r="L65" s="595"/>
      <c r="M65" s="595"/>
      <c r="N65" s="595"/>
      <c r="O65" s="595"/>
      <c r="P65" s="595"/>
      <c r="Q65" s="595"/>
      <c r="R65" s="595"/>
      <c r="S65" s="595"/>
      <c r="T65" s="595"/>
      <c r="U65" s="595"/>
      <c r="V65" s="595"/>
      <c r="W65" s="595"/>
      <c r="X65" s="595"/>
      <c r="Y65" s="595"/>
      <c r="Z65" s="595"/>
      <c r="AA65" s="595"/>
      <c r="AB65" s="595"/>
      <c r="AC65" s="595"/>
      <c r="AD65" s="595"/>
      <c r="AE65" s="595"/>
      <c r="AF65" s="601"/>
      <c r="AG65" s="592"/>
    </row>
    <row r="66">
      <c r="A66" s="75"/>
      <c r="B66" s="75"/>
      <c r="C66" s="75"/>
      <c r="D66" s="75"/>
      <c r="E66" s="595"/>
      <c r="F66" s="281"/>
      <c r="G66" s="281"/>
      <c r="H66" s="595"/>
      <c r="I66" s="595"/>
      <c r="J66" s="595"/>
      <c r="K66" s="595"/>
      <c r="L66" s="595"/>
      <c r="M66" s="595"/>
      <c r="N66" s="595"/>
      <c r="O66" s="595"/>
      <c r="P66" s="595"/>
      <c r="Q66" s="595"/>
      <c r="R66" s="595"/>
      <c r="S66" s="595"/>
      <c r="T66" s="595"/>
      <c r="U66" s="595"/>
      <c r="V66" s="595"/>
      <c r="W66" s="595"/>
      <c r="X66" s="595"/>
      <c r="Y66" s="595"/>
      <c r="Z66" s="595"/>
      <c r="AA66" s="595"/>
      <c r="AB66" s="595"/>
      <c r="AC66" s="595"/>
      <c r="AD66" s="595"/>
      <c r="AE66" s="595"/>
      <c r="AF66" s="601"/>
      <c r="AG66" s="592"/>
    </row>
    <row r="67">
      <c r="A67" s="75"/>
      <c r="B67" s="75"/>
      <c r="C67" s="75"/>
      <c r="D67" s="75"/>
      <c r="E67" s="595"/>
      <c r="F67" s="281"/>
      <c r="G67" s="281"/>
      <c r="H67" s="595"/>
      <c r="I67" s="595"/>
      <c r="J67" s="595"/>
      <c r="K67" s="595"/>
      <c r="L67" s="595"/>
      <c r="M67" s="595"/>
      <c r="N67" s="595"/>
      <c r="O67" s="595"/>
      <c r="P67" s="595"/>
      <c r="Q67" s="595"/>
      <c r="R67" s="595"/>
      <c r="S67" s="595"/>
      <c r="T67" s="595"/>
      <c r="U67" s="595"/>
      <c r="V67" s="595"/>
      <c r="W67" s="595"/>
      <c r="X67" s="595"/>
      <c r="Y67" s="595"/>
      <c r="Z67" s="595"/>
      <c r="AA67" s="595"/>
      <c r="AB67" s="595"/>
      <c r="AC67" s="595"/>
      <c r="AD67" s="595"/>
      <c r="AE67" s="595"/>
      <c r="AF67" s="601"/>
      <c r="AG67" s="592"/>
    </row>
    <row r="68">
      <c r="A68" s="75"/>
      <c r="B68" s="75"/>
      <c r="C68" s="75"/>
      <c r="D68" s="75"/>
      <c r="E68" s="595"/>
      <c r="F68" s="281"/>
      <c r="G68" s="281"/>
      <c r="H68" s="595"/>
      <c r="I68" s="595"/>
      <c r="J68" s="595"/>
      <c r="K68" s="595"/>
      <c r="L68" s="595"/>
      <c r="M68" s="595"/>
      <c r="N68" s="595"/>
      <c r="O68" s="595"/>
      <c r="P68" s="595"/>
      <c r="Q68" s="595"/>
      <c r="R68" s="595"/>
      <c r="S68" s="595"/>
      <c r="T68" s="595"/>
      <c r="U68" s="595"/>
      <c r="V68" s="595"/>
      <c r="W68" s="595"/>
      <c r="X68" s="595"/>
      <c r="Y68" s="595"/>
      <c r="Z68" s="595"/>
      <c r="AA68" s="595"/>
      <c r="AB68" s="595"/>
      <c r="AC68" s="595"/>
      <c r="AD68" s="595"/>
      <c r="AE68" s="595"/>
      <c r="AF68" s="601"/>
      <c r="AG68" s="592"/>
    </row>
    <row r="69">
      <c r="A69" s="75"/>
      <c r="B69" s="75"/>
      <c r="C69" s="75"/>
      <c r="D69" s="75"/>
      <c r="E69" s="595"/>
      <c r="F69" s="281"/>
      <c r="G69" s="281"/>
      <c r="H69" s="595"/>
      <c r="I69" s="595"/>
      <c r="J69" s="595"/>
      <c r="K69" s="595"/>
      <c r="L69" s="595"/>
      <c r="M69" s="595"/>
      <c r="N69" s="595"/>
      <c r="O69" s="595"/>
      <c r="P69" s="595"/>
      <c r="Q69" s="595"/>
      <c r="R69" s="595"/>
      <c r="S69" s="595"/>
      <c r="T69" s="595"/>
      <c r="U69" s="595"/>
      <c r="V69" s="595"/>
      <c r="W69" s="595"/>
      <c r="X69" s="595"/>
      <c r="Y69" s="595"/>
      <c r="Z69" s="595"/>
      <c r="AA69" s="595"/>
      <c r="AB69" s="595"/>
      <c r="AC69" s="595"/>
      <c r="AD69" s="595"/>
      <c r="AE69" s="595"/>
      <c r="AF69" s="601"/>
      <c r="AG69" s="592"/>
    </row>
    <row r="70">
      <c r="A70" s="75"/>
      <c r="B70" s="75"/>
      <c r="C70" s="75"/>
      <c r="D70" s="75"/>
      <c r="E70" s="595"/>
      <c r="F70" s="281"/>
      <c r="G70" s="281"/>
      <c r="H70" s="595"/>
      <c r="I70" s="595"/>
      <c r="J70" s="595"/>
      <c r="K70" s="595"/>
      <c r="L70" s="595"/>
      <c r="M70" s="595"/>
      <c r="N70" s="595"/>
      <c r="O70" s="595"/>
      <c r="P70" s="595"/>
      <c r="Q70" s="595"/>
      <c r="R70" s="595"/>
      <c r="S70" s="595"/>
      <c r="T70" s="595"/>
      <c r="U70" s="595"/>
      <c r="V70" s="595"/>
      <c r="W70" s="595"/>
      <c r="X70" s="595"/>
      <c r="Y70" s="595"/>
      <c r="Z70" s="595"/>
      <c r="AA70" s="595"/>
      <c r="AB70" s="595"/>
      <c r="AC70" s="595"/>
      <c r="AD70" s="595"/>
      <c r="AE70" s="595"/>
      <c r="AF70" s="601"/>
      <c r="AG70" s="592"/>
    </row>
    <row r="71">
      <c r="A71" s="75"/>
      <c r="B71" s="75"/>
      <c r="C71" s="75"/>
      <c r="D71" s="75"/>
      <c r="E71" s="595"/>
      <c r="F71" s="281"/>
      <c r="G71" s="281"/>
      <c r="H71" s="595"/>
      <c r="I71" s="595"/>
      <c r="J71" s="595"/>
      <c r="K71" s="595"/>
      <c r="L71" s="595"/>
      <c r="M71" s="595"/>
      <c r="N71" s="595"/>
      <c r="O71" s="595"/>
      <c r="P71" s="595"/>
      <c r="Q71" s="595"/>
      <c r="R71" s="595"/>
      <c r="S71" s="595"/>
      <c r="T71" s="595"/>
      <c r="U71" s="595"/>
      <c r="V71" s="595"/>
      <c r="W71" s="595"/>
      <c r="X71" s="595"/>
      <c r="Y71" s="595"/>
      <c r="Z71" s="595"/>
      <c r="AA71" s="595"/>
      <c r="AB71" s="595"/>
      <c r="AC71" s="595"/>
      <c r="AD71" s="595"/>
      <c r="AE71" s="595"/>
      <c r="AF71" s="601"/>
      <c r="AG71" s="592"/>
    </row>
    <row r="72">
      <c r="A72" s="75"/>
      <c r="B72" s="75"/>
      <c r="C72" s="75"/>
      <c r="D72" s="75"/>
      <c r="E72" s="595"/>
      <c r="F72" s="281"/>
      <c r="G72" s="281"/>
      <c r="H72" s="595"/>
      <c r="I72" s="595"/>
      <c r="J72" s="595"/>
      <c r="K72" s="595"/>
      <c r="L72" s="595"/>
      <c r="M72" s="595"/>
      <c r="N72" s="595"/>
      <c r="O72" s="595"/>
      <c r="P72" s="595"/>
      <c r="Q72" s="595"/>
      <c r="R72" s="595"/>
      <c r="S72" s="595"/>
      <c r="T72" s="595"/>
      <c r="U72" s="595"/>
      <c r="V72" s="595"/>
      <c r="W72" s="595"/>
      <c r="X72" s="595"/>
      <c r="Y72" s="595"/>
      <c r="Z72" s="595"/>
      <c r="AA72" s="595"/>
      <c r="AB72" s="595"/>
      <c r="AC72" s="595"/>
      <c r="AD72" s="595"/>
      <c r="AE72" s="595"/>
      <c r="AF72" s="601"/>
      <c r="AG72" s="592"/>
    </row>
    <row r="73">
      <c r="A73" s="75"/>
      <c r="B73" s="75"/>
      <c r="C73" s="75"/>
      <c r="D73" s="75"/>
      <c r="E73" s="595"/>
      <c r="F73" s="281"/>
      <c r="G73" s="281"/>
      <c r="H73" s="595"/>
      <c r="I73" s="595"/>
      <c r="J73" s="595"/>
      <c r="K73" s="595"/>
      <c r="L73" s="595"/>
      <c r="M73" s="595"/>
      <c r="N73" s="595"/>
      <c r="O73" s="595"/>
      <c r="P73" s="595"/>
      <c r="Q73" s="595"/>
      <c r="R73" s="595"/>
      <c r="S73" s="595"/>
      <c r="T73" s="595"/>
      <c r="U73" s="595"/>
      <c r="V73" s="595"/>
      <c r="W73" s="595"/>
      <c r="X73" s="595"/>
      <c r="Y73" s="595"/>
      <c r="Z73" s="595"/>
      <c r="AA73" s="595"/>
      <c r="AB73" s="595"/>
      <c r="AC73" s="595"/>
      <c r="AD73" s="595"/>
      <c r="AE73" s="595"/>
      <c r="AF73" s="601"/>
      <c r="AG73" s="592"/>
    </row>
    <row r="74">
      <c r="A74" s="75"/>
      <c r="B74" s="75"/>
      <c r="C74" s="75"/>
      <c r="D74" s="75"/>
      <c r="E74" s="595"/>
      <c r="F74" s="281"/>
      <c r="G74" s="281"/>
      <c r="H74" s="595"/>
      <c r="I74" s="595"/>
      <c r="J74" s="595"/>
      <c r="K74" s="595"/>
      <c r="L74" s="595"/>
      <c r="M74" s="595"/>
      <c r="N74" s="595"/>
      <c r="O74" s="595"/>
      <c r="P74" s="595"/>
      <c r="Q74" s="595"/>
      <c r="R74" s="595"/>
      <c r="S74" s="595"/>
      <c r="T74" s="595"/>
      <c r="U74" s="595"/>
      <c r="V74" s="595"/>
      <c r="W74" s="595"/>
      <c r="X74" s="595"/>
      <c r="Y74" s="595"/>
      <c r="Z74" s="595"/>
      <c r="AA74" s="595"/>
      <c r="AB74" s="595"/>
      <c r="AC74" s="595"/>
      <c r="AD74" s="595"/>
      <c r="AE74" s="595"/>
      <c r="AF74" s="601"/>
      <c r="AG74" s="592"/>
    </row>
    <row r="75">
      <c r="A75" s="75"/>
      <c r="B75" s="75"/>
      <c r="C75" s="75"/>
      <c r="D75" s="75"/>
      <c r="E75" s="595"/>
      <c r="F75" s="281"/>
      <c r="G75" s="281"/>
      <c r="H75" s="595"/>
      <c r="I75" s="595"/>
      <c r="J75" s="595"/>
      <c r="K75" s="595"/>
      <c r="L75" s="595"/>
      <c r="M75" s="595"/>
      <c r="N75" s="595"/>
      <c r="O75" s="595"/>
      <c r="P75" s="595"/>
      <c r="Q75" s="595"/>
      <c r="R75" s="595"/>
      <c r="S75" s="595"/>
      <c r="T75" s="595"/>
      <c r="U75" s="595"/>
      <c r="V75" s="595"/>
      <c r="W75" s="595"/>
      <c r="X75" s="595"/>
      <c r="Y75" s="595"/>
      <c r="Z75" s="595"/>
      <c r="AA75" s="595"/>
      <c r="AB75" s="595"/>
      <c r="AC75" s="595"/>
      <c r="AD75" s="595"/>
      <c r="AE75" s="595"/>
      <c r="AF75" s="601"/>
      <c r="AG75" s="592"/>
    </row>
    <row r="76">
      <c r="A76" s="75"/>
      <c r="B76" s="75"/>
      <c r="C76" s="75"/>
      <c r="D76" s="75"/>
      <c r="E76" s="595"/>
      <c r="F76" s="281"/>
      <c r="G76" s="281"/>
      <c r="H76" s="595"/>
      <c r="I76" s="595"/>
      <c r="J76" s="595"/>
      <c r="K76" s="595"/>
      <c r="L76" s="595"/>
      <c r="M76" s="595"/>
      <c r="N76" s="595"/>
      <c r="O76" s="595"/>
      <c r="P76" s="595"/>
      <c r="Q76" s="595"/>
      <c r="R76" s="595"/>
      <c r="S76" s="595"/>
      <c r="T76" s="595"/>
      <c r="U76" s="595"/>
      <c r="V76" s="595"/>
      <c r="W76" s="595"/>
      <c r="X76" s="595"/>
      <c r="Y76" s="595"/>
      <c r="Z76" s="595"/>
      <c r="AA76" s="595"/>
      <c r="AB76" s="595"/>
      <c r="AC76" s="595"/>
      <c r="AD76" s="595"/>
      <c r="AE76" s="595"/>
      <c r="AF76" s="601"/>
      <c r="AG76" s="592"/>
    </row>
    <row r="77">
      <c r="A77" s="75"/>
      <c r="B77" s="75"/>
      <c r="C77" s="75"/>
      <c r="D77" s="75"/>
      <c r="E77" s="595"/>
      <c r="F77" s="281"/>
      <c r="G77" s="281"/>
      <c r="H77" s="595"/>
      <c r="I77" s="595"/>
      <c r="J77" s="595"/>
      <c r="K77" s="595"/>
      <c r="L77" s="595"/>
      <c r="M77" s="595"/>
      <c r="N77" s="595"/>
      <c r="O77" s="595"/>
      <c r="P77" s="595"/>
      <c r="Q77" s="595"/>
      <c r="R77" s="595"/>
      <c r="S77" s="595"/>
      <c r="T77" s="595"/>
      <c r="U77" s="595"/>
      <c r="V77" s="595"/>
      <c r="W77" s="595"/>
      <c r="X77" s="595"/>
      <c r="Y77" s="595"/>
      <c r="Z77" s="595"/>
      <c r="AA77" s="595"/>
      <c r="AB77" s="595"/>
      <c r="AC77" s="595"/>
      <c r="AD77" s="595"/>
      <c r="AE77" s="595"/>
      <c r="AF77" s="601"/>
      <c r="AG77" s="592"/>
    </row>
    <row r="78">
      <c r="A78" s="75"/>
      <c r="B78" s="75"/>
      <c r="C78" s="75"/>
      <c r="D78" s="75"/>
      <c r="E78" s="595"/>
      <c r="F78" s="281"/>
      <c r="G78" s="281"/>
      <c r="H78" s="595"/>
      <c r="I78" s="595"/>
      <c r="J78" s="595"/>
      <c r="K78" s="595"/>
      <c r="L78" s="595"/>
      <c r="M78" s="595"/>
      <c r="N78" s="595"/>
      <c r="O78" s="595"/>
      <c r="P78" s="595"/>
      <c r="Q78" s="595"/>
      <c r="R78" s="595"/>
      <c r="S78" s="595"/>
      <c r="T78" s="595"/>
      <c r="U78" s="595"/>
      <c r="V78" s="595"/>
      <c r="W78" s="595"/>
      <c r="X78" s="595"/>
      <c r="Y78" s="595"/>
      <c r="Z78" s="595"/>
      <c r="AA78" s="595"/>
      <c r="AB78" s="595"/>
      <c r="AC78" s="595"/>
      <c r="AD78" s="595"/>
      <c r="AE78" s="595"/>
      <c r="AF78" s="601"/>
      <c r="AG78" s="592"/>
    </row>
    <row r="79">
      <c r="A79" s="75"/>
      <c r="B79" s="75"/>
      <c r="C79" s="75"/>
      <c r="D79" s="75"/>
      <c r="E79" s="595"/>
      <c r="F79" s="281"/>
      <c r="G79" s="281"/>
      <c r="H79" s="595"/>
      <c r="I79" s="595"/>
      <c r="J79" s="595"/>
      <c r="K79" s="595"/>
      <c r="L79" s="595"/>
      <c r="M79" s="595"/>
      <c r="N79" s="595"/>
      <c r="O79" s="595"/>
      <c r="P79" s="595"/>
      <c r="Q79" s="595"/>
      <c r="R79" s="595"/>
      <c r="S79" s="595"/>
      <c r="T79" s="595"/>
      <c r="U79" s="595"/>
      <c r="V79" s="595"/>
      <c r="W79" s="595"/>
      <c r="X79" s="595"/>
      <c r="Y79" s="595"/>
      <c r="Z79" s="595"/>
      <c r="AA79" s="595"/>
      <c r="AB79" s="595"/>
      <c r="AC79" s="595"/>
      <c r="AD79" s="595"/>
      <c r="AE79" s="595"/>
      <c r="AF79" s="601"/>
      <c r="AG79" s="592"/>
    </row>
    <row r="80">
      <c r="A80" s="75"/>
      <c r="B80" s="75"/>
      <c r="C80" s="75"/>
      <c r="D80" s="75"/>
      <c r="E80" s="595"/>
      <c r="F80" s="281"/>
      <c r="G80" s="281"/>
      <c r="H80" s="595"/>
      <c r="I80" s="595"/>
      <c r="J80" s="595"/>
      <c r="K80" s="595"/>
      <c r="L80" s="595"/>
      <c r="M80" s="595"/>
      <c r="N80" s="595"/>
      <c r="O80" s="595"/>
      <c r="P80" s="595"/>
      <c r="Q80" s="595"/>
      <c r="R80" s="595"/>
      <c r="S80" s="595"/>
      <c r="T80" s="595"/>
      <c r="U80" s="595"/>
      <c r="V80" s="595"/>
      <c r="W80" s="595"/>
      <c r="X80" s="595"/>
      <c r="Y80" s="595"/>
      <c r="Z80" s="595"/>
      <c r="AA80" s="595"/>
      <c r="AB80" s="595"/>
      <c r="AC80" s="595"/>
      <c r="AD80" s="595"/>
      <c r="AE80" s="595"/>
      <c r="AF80" s="601"/>
      <c r="AG80" s="592"/>
    </row>
    <row r="81">
      <c r="A81" s="75"/>
      <c r="B81" s="75"/>
      <c r="C81" s="75"/>
      <c r="D81" s="75"/>
      <c r="E81" s="595"/>
      <c r="F81" s="281"/>
      <c r="G81" s="281"/>
      <c r="H81" s="595"/>
      <c r="I81" s="595"/>
      <c r="J81" s="595"/>
      <c r="K81" s="595"/>
      <c r="L81" s="595"/>
      <c r="M81" s="595"/>
      <c r="N81" s="595"/>
      <c r="O81" s="595"/>
      <c r="P81" s="595"/>
      <c r="Q81" s="595"/>
      <c r="R81" s="595"/>
      <c r="S81" s="595"/>
      <c r="T81" s="595"/>
      <c r="U81" s="595"/>
      <c r="V81" s="595"/>
      <c r="W81" s="595"/>
      <c r="X81" s="595"/>
      <c r="Y81" s="595"/>
      <c r="Z81" s="595"/>
      <c r="AA81" s="595"/>
      <c r="AB81" s="595"/>
      <c r="AC81" s="595"/>
      <c r="AD81" s="595"/>
      <c r="AE81" s="595"/>
      <c r="AF81" s="601"/>
      <c r="AG81" s="592"/>
    </row>
    <row r="82">
      <c r="A82" s="75"/>
      <c r="B82" s="75"/>
      <c r="C82" s="75"/>
      <c r="D82" s="75"/>
      <c r="E82" s="595"/>
      <c r="F82" s="281"/>
      <c r="G82" s="281"/>
      <c r="H82" s="595"/>
      <c r="I82" s="595"/>
      <c r="J82" s="595"/>
      <c r="K82" s="595"/>
      <c r="L82" s="595"/>
      <c r="M82" s="595"/>
      <c r="N82" s="595"/>
      <c r="O82" s="595"/>
      <c r="P82" s="595"/>
      <c r="Q82" s="595"/>
      <c r="R82" s="595"/>
      <c r="S82" s="595"/>
      <c r="T82" s="595"/>
      <c r="U82" s="595"/>
      <c r="V82" s="595"/>
      <c r="W82" s="595"/>
      <c r="X82" s="595"/>
      <c r="Y82" s="595"/>
      <c r="Z82" s="595"/>
      <c r="AA82" s="595"/>
      <c r="AB82" s="595"/>
      <c r="AC82" s="595"/>
      <c r="AD82" s="595"/>
      <c r="AE82" s="595"/>
      <c r="AF82" s="601"/>
      <c r="AG82" s="592"/>
    </row>
    <row r="83">
      <c r="A83" s="75"/>
      <c r="B83" s="75"/>
      <c r="C83" s="75"/>
      <c r="D83" s="75"/>
      <c r="E83" s="595"/>
      <c r="F83" s="281"/>
      <c r="G83" s="281"/>
      <c r="H83" s="595"/>
      <c r="I83" s="595"/>
      <c r="J83" s="595"/>
      <c r="K83" s="595"/>
      <c r="L83" s="595"/>
      <c r="M83" s="595"/>
      <c r="N83" s="595"/>
      <c r="O83" s="595"/>
      <c r="P83" s="595"/>
      <c r="Q83" s="595"/>
      <c r="R83" s="595"/>
      <c r="S83" s="595"/>
      <c r="T83" s="595"/>
      <c r="U83" s="595"/>
      <c r="V83" s="595"/>
      <c r="W83" s="595"/>
      <c r="X83" s="595"/>
      <c r="Y83" s="595"/>
      <c r="Z83" s="595"/>
      <c r="AA83" s="595"/>
      <c r="AB83" s="595"/>
      <c r="AC83" s="595"/>
      <c r="AD83" s="595"/>
      <c r="AE83" s="595"/>
      <c r="AF83" s="601"/>
      <c r="AG83" s="592"/>
    </row>
    <row r="84">
      <c r="A84" s="75"/>
      <c r="B84" s="75"/>
      <c r="C84" s="75"/>
      <c r="D84" s="75"/>
      <c r="E84" s="595"/>
      <c r="F84" s="281"/>
      <c r="G84" s="281"/>
      <c r="H84" s="595"/>
      <c r="I84" s="595"/>
      <c r="J84" s="595"/>
      <c r="K84" s="595"/>
      <c r="L84" s="595"/>
      <c r="M84" s="595"/>
      <c r="N84" s="595"/>
      <c r="O84" s="595"/>
      <c r="P84" s="595"/>
      <c r="Q84" s="595"/>
      <c r="R84" s="595"/>
      <c r="S84" s="595"/>
      <c r="T84" s="595"/>
      <c r="U84" s="595"/>
      <c r="V84" s="595"/>
      <c r="W84" s="595"/>
      <c r="X84" s="595"/>
      <c r="Y84" s="595"/>
      <c r="Z84" s="595"/>
      <c r="AA84" s="595"/>
      <c r="AB84" s="595"/>
      <c r="AC84" s="595"/>
      <c r="AD84" s="595"/>
      <c r="AE84" s="595"/>
      <c r="AF84" s="601"/>
      <c r="AG84" s="592"/>
    </row>
    <row r="85">
      <c r="A85" s="75"/>
      <c r="B85" s="75"/>
      <c r="C85" s="75"/>
      <c r="D85" s="75"/>
      <c r="E85" s="595"/>
      <c r="F85" s="281"/>
      <c r="G85" s="281"/>
      <c r="H85" s="595"/>
      <c r="I85" s="595"/>
      <c r="J85" s="595"/>
      <c r="K85" s="595"/>
      <c r="L85" s="595"/>
      <c r="M85" s="595"/>
      <c r="N85" s="595"/>
      <c r="O85" s="595"/>
      <c r="P85" s="595"/>
      <c r="Q85" s="595"/>
      <c r="R85" s="595"/>
      <c r="S85" s="595"/>
      <c r="T85" s="595"/>
      <c r="U85" s="595"/>
      <c r="V85" s="595"/>
      <c r="W85" s="595"/>
      <c r="X85" s="595"/>
      <c r="Y85" s="595"/>
      <c r="Z85" s="595"/>
      <c r="AA85" s="595"/>
      <c r="AB85" s="595"/>
      <c r="AC85" s="595"/>
      <c r="AD85" s="595"/>
      <c r="AE85" s="595"/>
      <c r="AF85" s="601"/>
      <c r="AG85" s="592"/>
    </row>
    <row r="86">
      <c r="A86" s="75"/>
      <c r="B86" s="75"/>
      <c r="C86" s="75"/>
      <c r="D86" s="75"/>
      <c r="E86" s="595"/>
      <c r="F86" s="281"/>
      <c r="G86" s="281"/>
      <c r="H86" s="595"/>
      <c r="I86" s="595"/>
      <c r="J86" s="595"/>
      <c r="K86" s="595"/>
      <c r="L86" s="595"/>
      <c r="M86" s="595"/>
      <c r="N86" s="595"/>
      <c r="O86" s="595"/>
      <c r="P86" s="595"/>
      <c r="Q86" s="595"/>
      <c r="R86" s="595"/>
      <c r="S86" s="595"/>
      <c r="T86" s="595"/>
      <c r="U86" s="595"/>
      <c r="V86" s="595"/>
      <c r="W86" s="595"/>
      <c r="X86" s="595"/>
      <c r="Y86" s="595"/>
      <c r="Z86" s="595"/>
      <c r="AA86" s="595"/>
      <c r="AB86" s="595"/>
      <c r="AC86" s="595"/>
      <c r="AD86" s="595"/>
      <c r="AE86" s="595"/>
      <c r="AF86" s="601"/>
      <c r="AG86" s="592"/>
    </row>
    <row r="87">
      <c r="A87" s="75"/>
      <c r="B87" s="75"/>
      <c r="C87" s="75"/>
      <c r="D87" s="75"/>
      <c r="E87" s="595"/>
      <c r="F87" s="281"/>
      <c r="G87" s="281"/>
      <c r="H87" s="595"/>
      <c r="I87" s="595"/>
      <c r="J87" s="595"/>
      <c r="K87" s="595"/>
      <c r="L87" s="595"/>
      <c r="M87" s="595"/>
      <c r="N87" s="595"/>
      <c r="O87" s="595"/>
      <c r="P87" s="595"/>
      <c r="Q87" s="595"/>
      <c r="R87" s="595"/>
      <c r="S87" s="595"/>
      <c r="T87" s="595"/>
      <c r="U87" s="595"/>
      <c r="V87" s="595"/>
      <c r="W87" s="595"/>
      <c r="X87" s="595"/>
      <c r="Y87" s="595"/>
      <c r="Z87" s="595"/>
      <c r="AA87" s="595"/>
      <c r="AB87" s="595"/>
      <c r="AC87" s="595"/>
      <c r="AD87" s="595"/>
      <c r="AE87" s="595"/>
      <c r="AF87" s="601"/>
      <c r="AG87" s="592"/>
    </row>
    <row r="88">
      <c r="A88" s="75"/>
      <c r="B88" s="75"/>
      <c r="C88" s="75"/>
      <c r="D88" s="75"/>
      <c r="E88" s="595"/>
      <c r="F88" s="281"/>
      <c r="G88" s="281"/>
      <c r="H88" s="595"/>
      <c r="I88" s="595"/>
      <c r="J88" s="595"/>
      <c r="K88" s="595"/>
      <c r="L88" s="595"/>
      <c r="M88" s="595"/>
      <c r="N88" s="595"/>
      <c r="O88" s="595"/>
      <c r="P88" s="595"/>
      <c r="Q88" s="595"/>
      <c r="R88" s="595"/>
      <c r="S88" s="595"/>
      <c r="T88" s="595"/>
      <c r="U88" s="595"/>
      <c r="V88" s="595"/>
      <c r="W88" s="595"/>
      <c r="X88" s="595"/>
      <c r="Y88" s="595"/>
      <c r="Z88" s="595"/>
      <c r="AA88" s="595"/>
      <c r="AB88" s="595"/>
      <c r="AC88" s="595"/>
      <c r="AD88" s="595"/>
      <c r="AE88" s="595"/>
      <c r="AF88" s="601"/>
      <c r="AG88" s="592"/>
    </row>
    <row r="89">
      <c r="A89" s="75"/>
      <c r="B89" s="75"/>
      <c r="C89" s="75"/>
      <c r="D89" s="75"/>
      <c r="E89" s="595"/>
      <c r="F89" s="281"/>
      <c r="G89" s="281"/>
      <c r="H89" s="595"/>
      <c r="I89" s="595"/>
      <c r="J89" s="595"/>
      <c r="K89" s="595"/>
      <c r="L89" s="595"/>
      <c r="M89" s="595"/>
      <c r="N89" s="595"/>
      <c r="O89" s="595"/>
      <c r="P89" s="595"/>
      <c r="Q89" s="595"/>
      <c r="R89" s="595"/>
      <c r="S89" s="595"/>
      <c r="T89" s="595"/>
      <c r="U89" s="595"/>
      <c r="V89" s="595"/>
      <c r="W89" s="595"/>
      <c r="X89" s="595"/>
      <c r="Y89" s="595"/>
      <c r="Z89" s="595"/>
      <c r="AA89" s="595"/>
      <c r="AB89" s="595"/>
      <c r="AC89" s="595"/>
      <c r="AD89" s="595"/>
      <c r="AE89" s="595"/>
      <c r="AF89" s="601"/>
      <c r="AG89" s="592"/>
    </row>
    <row r="90">
      <c r="A90" s="75"/>
      <c r="B90" s="75"/>
      <c r="C90" s="75"/>
      <c r="D90" s="75"/>
      <c r="E90" s="595"/>
      <c r="F90" s="281"/>
      <c r="G90" s="281"/>
      <c r="H90" s="595"/>
      <c r="I90" s="595"/>
      <c r="J90" s="595"/>
      <c r="K90" s="595"/>
      <c r="L90" s="595"/>
      <c r="M90" s="595"/>
      <c r="N90" s="595"/>
      <c r="O90" s="595"/>
      <c r="P90" s="595"/>
      <c r="Q90" s="595"/>
      <c r="R90" s="595"/>
      <c r="S90" s="595"/>
      <c r="T90" s="595"/>
      <c r="U90" s="595"/>
      <c r="V90" s="595"/>
      <c r="W90" s="595"/>
      <c r="X90" s="595"/>
      <c r="Y90" s="595"/>
      <c r="Z90" s="595"/>
      <c r="AA90" s="595"/>
      <c r="AB90" s="595"/>
      <c r="AC90" s="595"/>
      <c r="AD90" s="595"/>
      <c r="AE90" s="595"/>
      <c r="AF90" s="601"/>
      <c r="AG90" s="592"/>
    </row>
    <row r="91">
      <c r="A91" s="75"/>
      <c r="B91" s="75"/>
      <c r="C91" s="75"/>
      <c r="D91" s="75"/>
      <c r="E91" s="595"/>
      <c r="F91" s="281"/>
      <c r="G91" s="281"/>
      <c r="H91" s="595"/>
      <c r="I91" s="595"/>
      <c r="J91" s="595"/>
      <c r="K91" s="595"/>
      <c r="L91" s="595"/>
      <c r="M91" s="595"/>
      <c r="N91" s="595"/>
      <c r="O91" s="595"/>
      <c r="P91" s="595"/>
      <c r="Q91" s="595"/>
      <c r="R91" s="595"/>
      <c r="S91" s="595"/>
      <c r="T91" s="595"/>
      <c r="U91" s="595"/>
      <c r="V91" s="595"/>
      <c r="W91" s="595"/>
      <c r="X91" s="595"/>
      <c r="Y91" s="595"/>
      <c r="Z91" s="595"/>
      <c r="AA91" s="595"/>
      <c r="AB91" s="595"/>
      <c r="AC91" s="595"/>
      <c r="AD91" s="595"/>
      <c r="AE91" s="595"/>
      <c r="AF91" s="601"/>
      <c r="AG91" s="592"/>
    </row>
    <row r="92">
      <c r="A92" s="75"/>
      <c r="B92" s="75"/>
      <c r="C92" s="75"/>
      <c r="D92" s="75"/>
      <c r="E92" s="595"/>
      <c r="F92" s="281"/>
      <c r="G92" s="281"/>
      <c r="H92" s="595"/>
      <c r="I92" s="595"/>
      <c r="J92" s="595"/>
      <c r="K92" s="595"/>
      <c r="L92" s="595"/>
      <c r="M92" s="595"/>
      <c r="N92" s="595"/>
      <c r="O92" s="595"/>
      <c r="P92" s="595"/>
      <c r="Q92" s="595"/>
      <c r="R92" s="595"/>
      <c r="S92" s="595"/>
      <c r="T92" s="595"/>
      <c r="U92" s="595"/>
      <c r="V92" s="595"/>
      <c r="W92" s="595"/>
      <c r="X92" s="595"/>
      <c r="Y92" s="595"/>
      <c r="Z92" s="595"/>
      <c r="AA92" s="595"/>
      <c r="AB92" s="595"/>
      <c r="AC92" s="595"/>
      <c r="AD92" s="595"/>
      <c r="AE92" s="595"/>
      <c r="AF92" s="601"/>
      <c r="AG92" s="592"/>
    </row>
    <row r="93">
      <c r="A93" s="75"/>
      <c r="B93" s="75"/>
      <c r="C93" s="75"/>
      <c r="D93" s="75"/>
      <c r="E93" s="595"/>
      <c r="F93" s="281"/>
      <c r="G93" s="281"/>
      <c r="H93" s="595"/>
      <c r="I93" s="595"/>
      <c r="J93" s="595"/>
      <c r="K93" s="595"/>
      <c r="L93" s="595"/>
      <c r="M93" s="595"/>
      <c r="N93" s="595"/>
      <c r="O93" s="595"/>
      <c r="P93" s="595"/>
      <c r="Q93" s="595"/>
      <c r="R93" s="595"/>
      <c r="S93" s="595"/>
      <c r="T93" s="595"/>
      <c r="U93" s="595"/>
      <c r="V93" s="595"/>
      <c r="W93" s="595"/>
      <c r="X93" s="595"/>
      <c r="Y93" s="595"/>
      <c r="Z93" s="595"/>
      <c r="AA93" s="595"/>
      <c r="AB93" s="595"/>
      <c r="AC93" s="595"/>
      <c r="AD93" s="595"/>
      <c r="AE93" s="595"/>
      <c r="AF93" s="601"/>
      <c r="AG93" s="592"/>
    </row>
    <row r="94">
      <c r="A94" s="75"/>
      <c r="B94" s="75"/>
      <c r="C94" s="75"/>
      <c r="D94" s="75"/>
      <c r="E94" s="595"/>
      <c r="F94" s="281"/>
      <c r="G94" s="281"/>
      <c r="H94" s="595"/>
      <c r="I94" s="595"/>
      <c r="J94" s="595"/>
      <c r="K94" s="595"/>
      <c r="L94" s="595"/>
      <c r="M94" s="595"/>
      <c r="N94" s="595"/>
      <c r="O94" s="595"/>
      <c r="P94" s="595"/>
      <c r="Q94" s="595"/>
      <c r="R94" s="595"/>
      <c r="S94" s="595"/>
      <c r="T94" s="595"/>
      <c r="U94" s="595"/>
      <c r="V94" s="595"/>
      <c r="W94" s="595"/>
      <c r="X94" s="595"/>
      <c r="Y94" s="595"/>
      <c r="Z94" s="595"/>
      <c r="AA94" s="595"/>
      <c r="AB94" s="595"/>
      <c r="AC94" s="595"/>
      <c r="AD94" s="595"/>
      <c r="AE94" s="595"/>
      <c r="AF94" s="601"/>
      <c r="AG94" s="592"/>
    </row>
    <row r="95">
      <c r="A95" s="75"/>
      <c r="B95" s="75"/>
      <c r="C95" s="75"/>
      <c r="D95" s="75"/>
      <c r="E95" s="595"/>
      <c r="F95" s="281"/>
      <c r="G95" s="281"/>
      <c r="H95" s="595"/>
      <c r="I95" s="595"/>
      <c r="J95" s="595"/>
      <c r="K95" s="595"/>
      <c r="L95" s="595"/>
      <c r="M95" s="595"/>
      <c r="N95" s="595"/>
      <c r="O95" s="595"/>
      <c r="P95" s="595"/>
      <c r="Q95" s="595"/>
      <c r="R95" s="595"/>
      <c r="S95" s="595"/>
      <c r="T95" s="595"/>
      <c r="U95" s="595"/>
      <c r="V95" s="595"/>
      <c r="W95" s="595"/>
      <c r="X95" s="595"/>
      <c r="Y95" s="595"/>
      <c r="Z95" s="595"/>
      <c r="AA95" s="595"/>
      <c r="AB95" s="595"/>
      <c r="AC95" s="595"/>
      <c r="AD95" s="595"/>
      <c r="AE95" s="595"/>
      <c r="AF95" s="601"/>
      <c r="AG95" s="592"/>
    </row>
    <row r="96">
      <c r="A96" s="75"/>
      <c r="B96" s="75"/>
      <c r="C96" s="75"/>
      <c r="D96" s="75"/>
      <c r="E96" s="595"/>
      <c r="F96" s="281"/>
      <c r="G96" s="281"/>
      <c r="H96" s="595"/>
      <c r="I96" s="595"/>
      <c r="J96" s="595"/>
      <c r="K96" s="595"/>
      <c r="L96" s="595"/>
      <c r="M96" s="595"/>
      <c r="N96" s="595"/>
      <c r="O96" s="595"/>
      <c r="P96" s="595"/>
      <c r="Q96" s="595"/>
      <c r="R96" s="595"/>
      <c r="S96" s="595"/>
      <c r="T96" s="595"/>
      <c r="U96" s="595"/>
      <c r="V96" s="595"/>
      <c r="W96" s="595"/>
      <c r="X96" s="595"/>
      <c r="Y96" s="595"/>
      <c r="Z96" s="595"/>
      <c r="AA96" s="595"/>
      <c r="AB96" s="595"/>
      <c r="AC96" s="595"/>
      <c r="AD96" s="595"/>
      <c r="AE96" s="595"/>
      <c r="AF96" s="601"/>
      <c r="AG96" s="592"/>
    </row>
    <row r="97">
      <c r="A97" s="75"/>
      <c r="B97" s="75"/>
      <c r="C97" s="75"/>
      <c r="D97" s="75"/>
      <c r="E97" s="595"/>
      <c r="F97" s="281"/>
      <c r="G97" s="281"/>
      <c r="H97" s="595"/>
      <c r="I97" s="595"/>
      <c r="J97" s="595"/>
      <c r="K97" s="595"/>
      <c r="L97" s="595"/>
      <c r="M97" s="595"/>
      <c r="N97" s="595"/>
      <c r="O97" s="595"/>
      <c r="P97" s="595"/>
      <c r="Q97" s="595"/>
      <c r="R97" s="595"/>
      <c r="S97" s="595"/>
      <c r="T97" s="595"/>
      <c r="U97" s="595"/>
      <c r="V97" s="595"/>
      <c r="W97" s="595"/>
      <c r="X97" s="595"/>
      <c r="Y97" s="595"/>
      <c r="Z97" s="595"/>
      <c r="AA97" s="595"/>
      <c r="AB97" s="595"/>
      <c r="AC97" s="595"/>
      <c r="AD97" s="595"/>
      <c r="AE97" s="595"/>
      <c r="AF97" s="601"/>
      <c r="AG97" s="592"/>
    </row>
    <row r="98">
      <c r="A98" s="75"/>
      <c r="B98" s="75"/>
      <c r="C98" s="75"/>
      <c r="D98" s="75"/>
      <c r="E98" s="595"/>
      <c r="F98" s="281"/>
      <c r="G98" s="281"/>
      <c r="H98" s="595"/>
      <c r="I98" s="595"/>
      <c r="J98" s="595"/>
      <c r="K98" s="595"/>
      <c r="L98" s="595"/>
      <c r="M98" s="595"/>
      <c r="N98" s="595"/>
      <c r="O98" s="595"/>
      <c r="P98" s="595"/>
      <c r="Q98" s="595"/>
      <c r="R98" s="595"/>
      <c r="S98" s="595"/>
      <c r="T98" s="595"/>
      <c r="U98" s="595"/>
      <c r="V98" s="595"/>
      <c r="W98" s="595"/>
      <c r="X98" s="595"/>
      <c r="Y98" s="595"/>
      <c r="Z98" s="595"/>
      <c r="AA98" s="595"/>
      <c r="AB98" s="595"/>
      <c r="AC98" s="595"/>
      <c r="AD98" s="595"/>
      <c r="AE98" s="595"/>
      <c r="AF98" s="601"/>
      <c r="AG98" s="592"/>
    </row>
    <row r="99">
      <c r="A99" s="75"/>
      <c r="B99" s="75"/>
      <c r="C99" s="75"/>
      <c r="D99" s="75"/>
      <c r="E99" s="595"/>
      <c r="F99" s="281"/>
      <c r="G99" s="281"/>
      <c r="H99" s="595"/>
      <c r="I99" s="595"/>
      <c r="J99" s="595"/>
      <c r="K99" s="595"/>
      <c r="L99" s="595"/>
      <c r="M99" s="595"/>
      <c r="N99" s="595"/>
      <c r="O99" s="595"/>
      <c r="P99" s="595"/>
      <c r="Q99" s="595"/>
      <c r="R99" s="595"/>
      <c r="S99" s="595"/>
      <c r="T99" s="595"/>
      <c r="U99" s="595"/>
      <c r="V99" s="595"/>
      <c r="W99" s="595"/>
      <c r="X99" s="595"/>
      <c r="Y99" s="595"/>
      <c r="Z99" s="595"/>
      <c r="AA99" s="595"/>
      <c r="AB99" s="595"/>
      <c r="AC99" s="595"/>
      <c r="AD99" s="595"/>
      <c r="AE99" s="595"/>
      <c r="AF99" s="601"/>
      <c r="AG99" s="592"/>
    </row>
    <row r="100">
      <c r="A100" s="75"/>
      <c r="B100" s="75"/>
      <c r="C100" s="75"/>
      <c r="D100" s="75"/>
      <c r="E100" s="595"/>
      <c r="F100" s="281"/>
      <c r="G100" s="281"/>
      <c r="H100" s="595"/>
      <c r="I100" s="595"/>
      <c r="J100" s="595"/>
      <c r="K100" s="595"/>
      <c r="L100" s="595"/>
      <c r="M100" s="595"/>
      <c r="N100" s="595"/>
      <c r="O100" s="595"/>
      <c r="P100" s="595"/>
      <c r="Q100" s="595"/>
      <c r="R100" s="595"/>
      <c r="S100" s="595"/>
      <c r="T100" s="595"/>
      <c r="U100" s="595"/>
      <c r="V100" s="595"/>
      <c r="W100" s="595"/>
      <c r="X100" s="595"/>
      <c r="Y100" s="595"/>
      <c r="Z100" s="595"/>
      <c r="AA100" s="595"/>
      <c r="AB100" s="595"/>
      <c r="AC100" s="595"/>
      <c r="AD100" s="595"/>
      <c r="AE100" s="595"/>
      <c r="AF100" s="601"/>
      <c r="AG100" s="592"/>
    </row>
    <row r="101">
      <c r="A101" s="75"/>
      <c r="B101" s="75"/>
      <c r="C101" s="75"/>
      <c r="D101" s="75"/>
      <c r="E101" s="595"/>
      <c r="F101" s="281"/>
      <c r="G101" s="281"/>
      <c r="H101" s="595"/>
      <c r="I101" s="595"/>
      <c r="J101" s="595"/>
      <c r="K101" s="595"/>
      <c r="L101" s="595"/>
      <c r="M101" s="595"/>
      <c r="N101" s="595"/>
      <c r="O101" s="595"/>
      <c r="P101" s="595"/>
      <c r="Q101" s="595"/>
      <c r="R101" s="595"/>
      <c r="S101" s="595"/>
      <c r="T101" s="595"/>
      <c r="U101" s="595"/>
      <c r="V101" s="595"/>
      <c r="W101" s="595"/>
      <c r="X101" s="595"/>
      <c r="Y101" s="595"/>
      <c r="Z101" s="595"/>
      <c r="AA101" s="595"/>
      <c r="AB101" s="595"/>
      <c r="AC101" s="595"/>
      <c r="AD101" s="595"/>
      <c r="AE101" s="595"/>
      <c r="AF101" s="601"/>
      <c r="AG101" s="592"/>
    </row>
    <row r="102">
      <c r="A102" s="75"/>
      <c r="B102" s="75"/>
      <c r="C102" s="75"/>
      <c r="D102" s="75"/>
      <c r="E102" s="595"/>
      <c r="F102" s="281"/>
      <c r="G102" s="281"/>
      <c r="H102" s="595"/>
      <c r="I102" s="595"/>
      <c r="J102" s="595"/>
      <c r="K102" s="595"/>
      <c r="L102" s="595"/>
      <c r="M102" s="595"/>
      <c r="N102" s="595"/>
      <c r="O102" s="595"/>
      <c r="P102" s="595"/>
      <c r="Q102" s="595"/>
      <c r="R102" s="595"/>
      <c r="S102" s="595"/>
      <c r="T102" s="595"/>
      <c r="U102" s="595"/>
      <c r="V102" s="595"/>
      <c r="W102" s="595"/>
      <c r="X102" s="595"/>
      <c r="Y102" s="595"/>
      <c r="Z102" s="595"/>
      <c r="AA102" s="595"/>
      <c r="AB102" s="595"/>
      <c r="AC102" s="595"/>
      <c r="AD102" s="595"/>
      <c r="AE102" s="595"/>
      <c r="AF102" s="601"/>
      <c r="AG102" s="592"/>
    </row>
    <row r="103">
      <c r="A103" s="75"/>
      <c r="B103" s="75"/>
      <c r="C103" s="75"/>
      <c r="D103" s="75"/>
      <c r="E103" s="595"/>
      <c r="F103" s="281"/>
      <c r="G103" s="281"/>
      <c r="H103" s="595"/>
      <c r="I103" s="595"/>
      <c r="J103" s="595"/>
      <c r="K103" s="595"/>
      <c r="L103" s="595"/>
      <c r="M103" s="595"/>
      <c r="N103" s="595"/>
      <c r="O103" s="595"/>
      <c r="P103" s="595"/>
      <c r="Q103" s="595"/>
      <c r="R103" s="595"/>
      <c r="S103" s="595"/>
      <c r="T103" s="595"/>
      <c r="U103" s="595"/>
      <c r="V103" s="595"/>
      <c r="W103" s="595"/>
      <c r="X103" s="595"/>
      <c r="Y103" s="595"/>
      <c r="Z103" s="595"/>
      <c r="AA103" s="595"/>
      <c r="AB103" s="595"/>
      <c r="AC103" s="595"/>
      <c r="AD103" s="595"/>
      <c r="AE103" s="595"/>
      <c r="AF103" s="601"/>
      <c r="AG103" s="592"/>
    </row>
    <row r="104">
      <c r="A104" s="75"/>
      <c r="B104" s="75"/>
      <c r="C104" s="75"/>
      <c r="D104" s="75"/>
      <c r="E104" s="595"/>
      <c r="F104" s="281"/>
      <c r="G104" s="281"/>
      <c r="H104" s="595"/>
      <c r="I104" s="595"/>
      <c r="J104" s="595"/>
      <c r="K104" s="595"/>
      <c r="L104" s="595"/>
      <c r="M104" s="595"/>
      <c r="N104" s="595"/>
      <c r="O104" s="595"/>
      <c r="P104" s="595"/>
      <c r="Q104" s="595"/>
      <c r="R104" s="595"/>
      <c r="S104" s="595"/>
      <c r="T104" s="595"/>
      <c r="U104" s="595"/>
      <c r="V104" s="595"/>
      <c r="W104" s="595"/>
      <c r="X104" s="595"/>
      <c r="Y104" s="595"/>
      <c r="Z104" s="595"/>
      <c r="AA104" s="595"/>
      <c r="AB104" s="595"/>
      <c r="AC104" s="595"/>
      <c r="AD104" s="595"/>
      <c r="AE104" s="595"/>
      <c r="AF104" s="601"/>
      <c r="AG104" s="592"/>
    </row>
    <row r="105">
      <c r="A105" s="75"/>
      <c r="B105" s="75"/>
      <c r="C105" s="75"/>
      <c r="D105" s="75"/>
      <c r="E105" s="595"/>
      <c r="F105" s="281"/>
      <c r="G105" s="281"/>
      <c r="H105" s="595"/>
      <c r="I105" s="595"/>
      <c r="J105" s="595"/>
      <c r="K105" s="595"/>
      <c r="L105" s="595"/>
      <c r="M105" s="595"/>
      <c r="N105" s="595"/>
      <c r="O105" s="595"/>
      <c r="P105" s="595"/>
      <c r="Q105" s="595"/>
      <c r="R105" s="595"/>
      <c r="S105" s="595"/>
      <c r="T105" s="595"/>
      <c r="U105" s="595"/>
      <c r="V105" s="595"/>
      <c r="W105" s="595"/>
      <c r="X105" s="595"/>
      <c r="Y105" s="595"/>
      <c r="Z105" s="595"/>
      <c r="AA105" s="595"/>
      <c r="AB105" s="595"/>
      <c r="AC105" s="595"/>
      <c r="AD105" s="595"/>
      <c r="AE105" s="595"/>
      <c r="AF105" s="601"/>
      <c r="AG105" s="592"/>
    </row>
    <row r="106">
      <c r="A106" s="75"/>
      <c r="B106" s="75"/>
      <c r="C106" s="75"/>
      <c r="D106" s="75"/>
      <c r="E106" s="595"/>
      <c r="F106" s="281"/>
      <c r="G106" s="281"/>
      <c r="H106" s="595"/>
      <c r="I106" s="595"/>
      <c r="J106" s="595"/>
      <c r="K106" s="595"/>
      <c r="L106" s="595"/>
      <c r="M106" s="595"/>
      <c r="N106" s="595"/>
      <c r="O106" s="595"/>
      <c r="P106" s="595"/>
      <c r="Q106" s="595"/>
      <c r="R106" s="595"/>
      <c r="S106" s="595"/>
      <c r="T106" s="595"/>
      <c r="U106" s="595"/>
      <c r="V106" s="595"/>
      <c r="W106" s="595"/>
      <c r="X106" s="595"/>
      <c r="Y106" s="595"/>
      <c r="Z106" s="595"/>
      <c r="AA106" s="595"/>
      <c r="AB106" s="595"/>
      <c r="AC106" s="595"/>
      <c r="AD106" s="595"/>
      <c r="AE106" s="595"/>
      <c r="AF106" s="601"/>
      <c r="AG106" s="592"/>
    </row>
    <row r="107">
      <c r="A107" s="75"/>
      <c r="B107" s="75"/>
      <c r="C107" s="75"/>
      <c r="D107" s="75"/>
      <c r="E107" s="595"/>
      <c r="F107" s="281"/>
      <c r="G107" s="281"/>
      <c r="H107" s="595"/>
      <c r="I107" s="595"/>
      <c r="J107" s="595"/>
      <c r="K107" s="595"/>
      <c r="L107" s="595"/>
      <c r="M107" s="595"/>
      <c r="N107" s="595"/>
      <c r="O107" s="595"/>
      <c r="P107" s="595"/>
      <c r="Q107" s="595"/>
      <c r="R107" s="595"/>
      <c r="S107" s="595"/>
      <c r="T107" s="595"/>
      <c r="U107" s="595"/>
      <c r="V107" s="595"/>
      <c r="W107" s="595"/>
      <c r="X107" s="595"/>
      <c r="Y107" s="595"/>
      <c r="Z107" s="595"/>
      <c r="AA107" s="595"/>
      <c r="AB107" s="595"/>
      <c r="AC107" s="595"/>
      <c r="AD107" s="595"/>
      <c r="AE107" s="595"/>
      <c r="AF107" s="601"/>
      <c r="AG107" s="592"/>
    </row>
    <row r="108">
      <c r="A108" s="75"/>
      <c r="B108" s="75"/>
      <c r="C108" s="75"/>
      <c r="D108" s="75"/>
      <c r="E108" s="595"/>
      <c r="F108" s="281"/>
      <c r="G108" s="281"/>
      <c r="H108" s="595"/>
      <c r="I108" s="595"/>
      <c r="J108" s="595"/>
      <c r="K108" s="595"/>
      <c r="L108" s="595"/>
      <c r="M108" s="595"/>
      <c r="N108" s="595"/>
      <c r="O108" s="595"/>
      <c r="P108" s="595"/>
      <c r="Q108" s="595"/>
      <c r="R108" s="595"/>
      <c r="S108" s="595"/>
      <c r="T108" s="595"/>
      <c r="U108" s="595"/>
      <c r="V108" s="595"/>
      <c r="W108" s="595"/>
      <c r="X108" s="595"/>
      <c r="Y108" s="595"/>
      <c r="Z108" s="595"/>
      <c r="AA108" s="595"/>
      <c r="AB108" s="595"/>
      <c r="AC108" s="595"/>
      <c r="AD108" s="595"/>
      <c r="AE108" s="595"/>
      <c r="AF108" s="601"/>
      <c r="AG108" s="592"/>
    </row>
    <row r="109">
      <c r="A109" s="75"/>
      <c r="B109" s="75"/>
      <c r="C109" s="75"/>
      <c r="D109" s="75"/>
      <c r="E109" s="595"/>
      <c r="F109" s="281"/>
      <c r="G109" s="281"/>
      <c r="H109" s="595"/>
      <c r="I109" s="595"/>
      <c r="J109" s="595"/>
      <c r="K109" s="595"/>
      <c r="L109" s="595"/>
      <c r="M109" s="595"/>
      <c r="N109" s="595"/>
      <c r="O109" s="595"/>
      <c r="P109" s="595"/>
      <c r="Q109" s="595"/>
      <c r="R109" s="595"/>
      <c r="S109" s="595"/>
      <c r="T109" s="595"/>
      <c r="U109" s="595"/>
      <c r="V109" s="595"/>
      <c r="W109" s="595"/>
      <c r="X109" s="595"/>
      <c r="Y109" s="595"/>
      <c r="Z109" s="595"/>
      <c r="AA109" s="595"/>
      <c r="AB109" s="595"/>
      <c r="AC109" s="595"/>
      <c r="AD109" s="595"/>
      <c r="AE109" s="595"/>
      <c r="AF109" s="601"/>
      <c r="AG109" s="592"/>
    </row>
    <row r="110">
      <c r="A110" s="75"/>
      <c r="B110" s="75"/>
      <c r="C110" s="75"/>
      <c r="D110" s="75"/>
      <c r="E110" s="595"/>
      <c r="F110" s="281"/>
      <c r="G110" s="281"/>
      <c r="H110" s="595"/>
      <c r="I110" s="595"/>
      <c r="J110" s="595"/>
      <c r="K110" s="595"/>
      <c r="L110" s="595"/>
      <c r="M110" s="595"/>
      <c r="N110" s="595"/>
      <c r="O110" s="595"/>
      <c r="P110" s="595"/>
      <c r="Q110" s="595"/>
      <c r="R110" s="595"/>
      <c r="S110" s="595"/>
      <c r="T110" s="595"/>
      <c r="U110" s="595"/>
      <c r="V110" s="595"/>
      <c r="W110" s="595"/>
      <c r="X110" s="595"/>
      <c r="Y110" s="595"/>
      <c r="Z110" s="595"/>
      <c r="AA110" s="595"/>
      <c r="AB110" s="595"/>
      <c r="AC110" s="595"/>
      <c r="AD110" s="595"/>
      <c r="AE110" s="595"/>
      <c r="AF110" s="601"/>
      <c r="AG110" s="592"/>
    </row>
    <row r="111">
      <c r="A111" s="75"/>
      <c r="B111" s="75"/>
      <c r="C111" s="75"/>
      <c r="D111" s="75"/>
      <c r="E111" s="595"/>
      <c r="F111" s="281"/>
      <c r="G111" s="281"/>
      <c r="H111" s="595"/>
      <c r="I111" s="595"/>
      <c r="J111" s="595"/>
      <c r="K111" s="595"/>
      <c r="L111" s="595"/>
      <c r="M111" s="595"/>
      <c r="N111" s="595"/>
      <c r="O111" s="595"/>
      <c r="P111" s="595"/>
      <c r="Q111" s="595"/>
      <c r="R111" s="595"/>
      <c r="S111" s="595"/>
      <c r="T111" s="595"/>
      <c r="U111" s="595"/>
      <c r="V111" s="595"/>
      <c r="W111" s="595"/>
      <c r="X111" s="595"/>
      <c r="Y111" s="595"/>
      <c r="Z111" s="595"/>
      <c r="AA111" s="595"/>
      <c r="AB111" s="595"/>
      <c r="AC111" s="595"/>
      <c r="AD111" s="595"/>
      <c r="AE111" s="595"/>
      <c r="AF111" s="601"/>
      <c r="AG111" s="592"/>
    </row>
    <row r="112">
      <c r="A112" s="75"/>
      <c r="B112" s="75"/>
      <c r="C112" s="75"/>
      <c r="D112" s="75"/>
      <c r="E112" s="595"/>
      <c r="F112" s="281"/>
      <c r="G112" s="281"/>
      <c r="H112" s="595"/>
      <c r="I112" s="595"/>
      <c r="J112" s="595"/>
      <c r="K112" s="595"/>
      <c r="L112" s="595"/>
      <c r="M112" s="595"/>
      <c r="N112" s="595"/>
      <c r="O112" s="595"/>
      <c r="P112" s="595"/>
      <c r="Q112" s="595"/>
      <c r="R112" s="595"/>
      <c r="S112" s="595"/>
      <c r="T112" s="595"/>
      <c r="U112" s="595"/>
      <c r="V112" s="595"/>
      <c r="W112" s="595"/>
      <c r="X112" s="595"/>
      <c r="Y112" s="595"/>
      <c r="Z112" s="595"/>
      <c r="AA112" s="595"/>
      <c r="AB112" s="595"/>
      <c r="AC112" s="595"/>
      <c r="AD112" s="595"/>
      <c r="AE112" s="595"/>
      <c r="AF112" s="601"/>
      <c r="AG112" s="592"/>
    </row>
    <row r="113">
      <c r="A113" s="75"/>
      <c r="B113" s="75"/>
      <c r="C113" s="75"/>
      <c r="D113" s="75"/>
      <c r="E113" s="595"/>
      <c r="F113" s="281"/>
      <c r="G113" s="281"/>
      <c r="H113" s="595"/>
      <c r="I113" s="595"/>
      <c r="J113" s="595"/>
      <c r="K113" s="595"/>
      <c r="L113" s="595"/>
      <c r="M113" s="595"/>
      <c r="N113" s="595"/>
      <c r="O113" s="595"/>
      <c r="P113" s="595"/>
      <c r="Q113" s="595"/>
      <c r="R113" s="595"/>
      <c r="S113" s="595"/>
      <c r="T113" s="595"/>
      <c r="U113" s="595"/>
      <c r="V113" s="595"/>
      <c r="W113" s="595"/>
      <c r="X113" s="595"/>
      <c r="Y113" s="595"/>
      <c r="Z113" s="595"/>
      <c r="AA113" s="595"/>
      <c r="AB113" s="595"/>
      <c r="AC113" s="595"/>
      <c r="AD113" s="595"/>
      <c r="AE113" s="595"/>
      <c r="AF113" s="601"/>
      <c r="AG113" s="592"/>
    </row>
    <row r="114">
      <c r="A114" s="75"/>
      <c r="B114" s="75"/>
      <c r="C114" s="75"/>
      <c r="D114" s="75"/>
      <c r="E114" s="595"/>
      <c r="F114" s="281"/>
      <c r="G114" s="281"/>
      <c r="H114" s="595"/>
      <c r="I114" s="595"/>
      <c r="J114" s="595"/>
      <c r="K114" s="595"/>
      <c r="L114" s="595"/>
      <c r="M114" s="595"/>
      <c r="N114" s="595"/>
      <c r="O114" s="595"/>
      <c r="P114" s="595"/>
      <c r="Q114" s="595"/>
      <c r="R114" s="595"/>
      <c r="S114" s="595"/>
      <c r="T114" s="595"/>
      <c r="U114" s="595"/>
      <c r="V114" s="595"/>
      <c r="W114" s="595"/>
      <c r="X114" s="595"/>
      <c r="Y114" s="595"/>
      <c r="Z114" s="595"/>
      <c r="AA114" s="595"/>
      <c r="AB114" s="595"/>
      <c r="AC114" s="595"/>
      <c r="AD114" s="595"/>
      <c r="AE114" s="595"/>
      <c r="AF114" s="601"/>
      <c r="AG114" s="592"/>
    </row>
    <row r="115">
      <c r="A115" s="75"/>
      <c r="B115" s="75"/>
      <c r="C115" s="75"/>
      <c r="D115" s="75"/>
      <c r="E115" s="595"/>
      <c r="F115" s="281"/>
      <c r="G115" s="281"/>
      <c r="H115" s="595"/>
      <c r="I115" s="595"/>
      <c r="J115" s="595"/>
      <c r="K115" s="595"/>
      <c r="L115" s="595"/>
      <c r="M115" s="595"/>
      <c r="N115" s="595"/>
      <c r="O115" s="595"/>
      <c r="P115" s="595"/>
      <c r="Q115" s="595"/>
      <c r="R115" s="595"/>
      <c r="S115" s="595"/>
      <c r="T115" s="595"/>
      <c r="U115" s="595"/>
      <c r="V115" s="595"/>
      <c r="W115" s="595"/>
      <c r="X115" s="595"/>
      <c r="Y115" s="595"/>
      <c r="Z115" s="595"/>
      <c r="AA115" s="595"/>
      <c r="AB115" s="595"/>
      <c r="AC115" s="595"/>
      <c r="AD115" s="595"/>
      <c r="AE115" s="595"/>
      <c r="AF115" s="601"/>
      <c r="AG115" s="592"/>
    </row>
    <row r="116">
      <c r="A116" s="75"/>
      <c r="B116" s="75"/>
      <c r="C116" s="75"/>
      <c r="D116" s="75"/>
      <c r="E116" s="595"/>
      <c r="F116" s="281"/>
      <c r="G116" s="281"/>
      <c r="H116" s="595"/>
      <c r="I116" s="595"/>
      <c r="J116" s="595"/>
      <c r="K116" s="595"/>
      <c r="L116" s="595"/>
      <c r="M116" s="595"/>
      <c r="N116" s="595"/>
      <c r="O116" s="595"/>
      <c r="P116" s="595"/>
      <c r="Q116" s="595"/>
      <c r="R116" s="595"/>
      <c r="S116" s="595"/>
      <c r="T116" s="595"/>
      <c r="U116" s="595"/>
      <c r="V116" s="595"/>
      <c r="W116" s="595"/>
      <c r="X116" s="595"/>
      <c r="Y116" s="595"/>
      <c r="Z116" s="595"/>
      <c r="AA116" s="595"/>
      <c r="AB116" s="595"/>
      <c r="AC116" s="595"/>
      <c r="AD116" s="595"/>
      <c r="AE116" s="595"/>
      <c r="AF116" s="601"/>
      <c r="AG116" s="592"/>
    </row>
    <row r="117">
      <c r="A117" s="75"/>
      <c r="B117" s="75"/>
      <c r="C117" s="75"/>
      <c r="D117" s="75"/>
      <c r="E117" s="595"/>
      <c r="F117" s="281"/>
      <c r="G117" s="281"/>
      <c r="H117" s="595"/>
      <c r="I117" s="595"/>
      <c r="J117" s="595"/>
      <c r="K117" s="595"/>
      <c r="L117" s="595"/>
      <c r="M117" s="595"/>
      <c r="N117" s="595"/>
      <c r="O117" s="595"/>
      <c r="P117" s="595"/>
      <c r="Q117" s="595"/>
      <c r="R117" s="595"/>
      <c r="S117" s="595"/>
      <c r="T117" s="595"/>
      <c r="U117" s="595"/>
      <c r="V117" s="595"/>
      <c r="W117" s="595"/>
      <c r="X117" s="595"/>
      <c r="Y117" s="595"/>
      <c r="Z117" s="595"/>
      <c r="AA117" s="595"/>
      <c r="AB117" s="595"/>
      <c r="AC117" s="595"/>
      <c r="AD117" s="595"/>
      <c r="AE117" s="595"/>
      <c r="AF117" s="601"/>
      <c r="AG117" s="592"/>
    </row>
    <row r="118">
      <c r="A118" s="75"/>
      <c r="B118" s="75"/>
      <c r="C118" s="75"/>
      <c r="D118" s="75"/>
      <c r="E118" s="595"/>
      <c r="F118" s="281"/>
      <c r="G118" s="281"/>
      <c r="H118" s="595"/>
      <c r="I118" s="595"/>
      <c r="J118" s="595"/>
      <c r="K118" s="595"/>
      <c r="L118" s="595"/>
      <c r="M118" s="595"/>
      <c r="N118" s="595"/>
      <c r="O118" s="595"/>
      <c r="P118" s="595"/>
      <c r="Q118" s="595"/>
      <c r="R118" s="595"/>
      <c r="S118" s="595"/>
      <c r="T118" s="595"/>
      <c r="U118" s="595"/>
      <c r="V118" s="595"/>
      <c r="W118" s="595"/>
      <c r="X118" s="595"/>
      <c r="Y118" s="595"/>
      <c r="Z118" s="595"/>
      <c r="AA118" s="595"/>
      <c r="AB118" s="595"/>
      <c r="AC118" s="595"/>
      <c r="AD118" s="595"/>
      <c r="AE118" s="595"/>
      <c r="AF118" s="601"/>
      <c r="AG118" s="592"/>
    </row>
    <row r="119">
      <c r="A119" s="75"/>
      <c r="B119" s="75"/>
      <c r="C119" s="75"/>
      <c r="D119" s="75"/>
      <c r="E119" s="595"/>
      <c r="F119" s="281"/>
      <c r="G119" s="281"/>
      <c r="H119" s="595"/>
      <c r="I119" s="595"/>
      <c r="J119" s="595"/>
      <c r="K119" s="595"/>
      <c r="L119" s="595"/>
      <c r="M119" s="595"/>
      <c r="N119" s="595"/>
      <c r="O119" s="595"/>
      <c r="P119" s="595"/>
      <c r="Q119" s="595"/>
      <c r="R119" s="595"/>
      <c r="S119" s="595"/>
      <c r="T119" s="595"/>
      <c r="U119" s="595"/>
      <c r="V119" s="595"/>
      <c r="W119" s="595"/>
      <c r="X119" s="595"/>
      <c r="Y119" s="595"/>
      <c r="Z119" s="595"/>
      <c r="AA119" s="595"/>
      <c r="AB119" s="595"/>
      <c r="AC119" s="595"/>
      <c r="AD119" s="595"/>
      <c r="AE119" s="595"/>
      <c r="AF119" s="601"/>
      <c r="AG119" s="592"/>
    </row>
    <row r="120">
      <c r="A120" s="75"/>
      <c r="B120" s="75"/>
      <c r="C120" s="75"/>
      <c r="D120" s="75"/>
      <c r="E120" s="595"/>
      <c r="F120" s="281"/>
      <c r="G120" s="281"/>
      <c r="H120" s="595"/>
      <c r="I120" s="595"/>
      <c r="J120" s="595"/>
      <c r="K120" s="595"/>
      <c r="L120" s="595"/>
      <c r="M120" s="595"/>
      <c r="N120" s="595"/>
      <c r="O120" s="595"/>
      <c r="P120" s="595"/>
      <c r="Q120" s="595"/>
      <c r="R120" s="595"/>
      <c r="S120" s="595"/>
      <c r="T120" s="595"/>
      <c r="U120" s="595"/>
      <c r="V120" s="595"/>
      <c r="W120" s="595"/>
      <c r="X120" s="595"/>
      <c r="Y120" s="595"/>
      <c r="Z120" s="595"/>
      <c r="AA120" s="595"/>
      <c r="AB120" s="595"/>
      <c r="AC120" s="595"/>
      <c r="AD120" s="595"/>
      <c r="AE120" s="595"/>
      <c r="AF120" s="601"/>
      <c r="AG120" s="592"/>
    </row>
    <row r="121">
      <c r="A121" s="75"/>
      <c r="B121" s="75"/>
      <c r="C121" s="75"/>
      <c r="D121" s="75"/>
      <c r="E121" s="595"/>
      <c r="F121" s="281"/>
      <c r="G121" s="281"/>
      <c r="H121" s="595"/>
      <c r="I121" s="595"/>
      <c r="J121" s="595"/>
      <c r="K121" s="595"/>
      <c r="L121" s="595"/>
      <c r="M121" s="595"/>
      <c r="N121" s="595"/>
      <c r="O121" s="595"/>
      <c r="P121" s="595"/>
      <c r="Q121" s="595"/>
      <c r="R121" s="595"/>
      <c r="S121" s="595"/>
      <c r="T121" s="595"/>
      <c r="U121" s="595"/>
      <c r="V121" s="595"/>
      <c r="W121" s="595"/>
      <c r="X121" s="595"/>
      <c r="Y121" s="595"/>
      <c r="Z121" s="595"/>
      <c r="AA121" s="595"/>
      <c r="AB121" s="595"/>
      <c r="AC121" s="595"/>
      <c r="AD121" s="595"/>
      <c r="AE121" s="595"/>
      <c r="AF121" s="601"/>
      <c r="AG121" s="592"/>
    </row>
    <row r="122">
      <c r="A122" s="75"/>
      <c r="B122" s="75"/>
      <c r="C122" s="75"/>
      <c r="D122" s="75"/>
      <c r="E122" s="595"/>
      <c r="F122" s="281"/>
      <c r="G122" s="281"/>
      <c r="H122" s="595"/>
      <c r="I122" s="595"/>
      <c r="J122" s="595"/>
      <c r="K122" s="595"/>
      <c r="L122" s="595"/>
      <c r="M122" s="595"/>
      <c r="N122" s="595"/>
      <c r="O122" s="595"/>
      <c r="P122" s="595"/>
      <c r="Q122" s="595"/>
      <c r="R122" s="595"/>
      <c r="S122" s="595"/>
      <c r="T122" s="595"/>
      <c r="U122" s="595"/>
      <c r="V122" s="595"/>
      <c r="W122" s="595"/>
      <c r="X122" s="595"/>
      <c r="Y122" s="595"/>
      <c r="Z122" s="595"/>
      <c r="AA122" s="595"/>
      <c r="AB122" s="595"/>
      <c r="AC122" s="595"/>
      <c r="AD122" s="595"/>
      <c r="AE122" s="595"/>
      <c r="AF122" s="601"/>
      <c r="AG122" s="592"/>
    </row>
    <row r="123">
      <c r="A123" s="75"/>
      <c r="B123" s="75"/>
      <c r="C123" s="75"/>
      <c r="D123" s="75"/>
      <c r="E123" s="595"/>
      <c r="F123" s="281"/>
      <c r="G123" s="281"/>
      <c r="H123" s="595"/>
      <c r="I123" s="595"/>
      <c r="J123" s="595"/>
      <c r="K123" s="595"/>
      <c r="L123" s="595"/>
      <c r="M123" s="595"/>
      <c r="N123" s="595"/>
      <c r="O123" s="595"/>
      <c r="P123" s="595"/>
      <c r="Q123" s="595"/>
      <c r="R123" s="595"/>
      <c r="S123" s="595"/>
      <c r="T123" s="595"/>
      <c r="U123" s="595"/>
      <c r="V123" s="595"/>
      <c r="W123" s="595"/>
      <c r="X123" s="595"/>
      <c r="Y123" s="595"/>
      <c r="Z123" s="595"/>
      <c r="AA123" s="595"/>
      <c r="AB123" s="595"/>
      <c r="AC123" s="595"/>
      <c r="AD123" s="595"/>
      <c r="AE123" s="595"/>
      <c r="AF123" s="601"/>
      <c r="AG123" s="592"/>
    </row>
    <row r="124">
      <c r="A124" s="75"/>
      <c r="B124" s="75"/>
      <c r="C124" s="75"/>
      <c r="D124" s="75"/>
      <c r="E124" s="595"/>
      <c r="F124" s="281"/>
      <c r="G124" s="281"/>
      <c r="H124" s="595"/>
      <c r="I124" s="595"/>
      <c r="J124" s="595"/>
      <c r="K124" s="595"/>
      <c r="L124" s="595"/>
      <c r="M124" s="595"/>
      <c r="N124" s="595"/>
      <c r="O124" s="595"/>
      <c r="P124" s="595"/>
      <c r="Q124" s="595"/>
      <c r="R124" s="595"/>
      <c r="S124" s="595"/>
      <c r="T124" s="595"/>
      <c r="U124" s="595"/>
      <c r="V124" s="595"/>
      <c r="W124" s="595"/>
      <c r="X124" s="595"/>
      <c r="Y124" s="595"/>
      <c r="Z124" s="595"/>
      <c r="AA124" s="595"/>
      <c r="AB124" s="595"/>
      <c r="AC124" s="595"/>
      <c r="AD124" s="595"/>
      <c r="AE124" s="595"/>
      <c r="AF124" s="601"/>
      <c r="AG124" s="592"/>
    </row>
    <row r="125">
      <c r="A125" s="75"/>
      <c r="B125" s="75"/>
      <c r="C125" s="75"/>
      <c r="D125" s="75"/>
      <c r="E125" s="595"/>
      <c r="F125" s="281"/>
      <c r="G125" s="281"/>
      <c r="H125" s="595"/>
      <c r="I125" s="595"/>
      <c r="J125" s="595"/>
      <c r="K125" s="595"/>
      <c r="L125" s="595"/>
      <c r="M125" s="595"/>
      <c r="N125" s="595"/>
      <c r="O125" s="595"/>
      <c r="P125" s="595"/>
      <c r="Q125" s="595"/>
      <c r="R125" s="595"/>
      <c r="S125" s="595"/>
      <c r="T125" s="595"/>
      <c r="U125" s="595"/>
      <c r="V125" s="595"/>
      <c r="W125" s="595"/>
      <c r="X125" s="595"/>
      <c r="Y125" s="595"/>
      <c r="Z125" s="595"/>
      <c r="AA125" s="595"/>
      <c r="AB125" s="595"/>
      <c r="AC125" s="595"/>
      <c r="AD125" s="595"/>
      <c r="AE125" s="595"/>
      <c r="AF125" s="601"/>
      <c r="AG125" s="592"/>
    </row>
    <row r="126">
      <c r="A126" s="75"/>
      <c r="B126" s="75"/>
      <c r="C126" s="75"/>
      <c r="D126" s="75"/>
      <c r="E126" s="595"/>
      <c r="F126" s="281"/>
      <c r="G126" s="281"/>
      <c r="H126" s="595"/>
      <c r="I126" s="595"/>
      <c r="J126" s="595"/>
      <c r="K126" s="595"/>
      <c r="L126" s="595"/>
      <c r="M126" s="595"/>
      <c r="N126" s="595"/>
      <c r="O126" s="595"/>
      <c r="P126" s="595"/>
      <c r="Q126" s="595"/>
      <c r="R126" s="595"/>
      <c r="S126" s="595"/>
      <c r="T126" s="595"/>
      <c r="U126" s="595"/>
      <c r="V126" s="595"/>
      <c r="W126" s="595"/>
      <c r="X126" s="595"/>
      <c r="Y126" s="595"/>
      <c r="Z126" s="595"/>
      <c r="AA126" s="595"/>
      <c r="AB126" s="595"/>
      <c r="AC126" s="595"/>
      <c r="AD126" s="595"/>
      <c r="AE126" s="595"/>
      <c r="AF126" s="601"/>
      <c r="AG126" s="592"/>
    </row>
    <row r="127">
      <c r="A127" s="75"/>
      <c r="B127" s="75"/>
      <c r="C127" s="75"/>
      <c r="D127" s="75"/>
      <c r="E127" s="595"/>
      <c r="F127" s="281"/>
      <c r="G127" s="281"/>
      <c r="H127" s="595"/>
      <c r="I127" s="595"/>
      <c r="J127" s="595"/>
      <c r="K127" s="595"/>
      <c r="L127" s="595"/>
      <c r="M127" s="595"/>
      <c r="N127" s="595"/>
      <c r="O127" s="595"/>
      <c r="P127" s="595"/>
      <c r="Q127" s="595"/>
      <c r="R127" s="595"/>
      <c r="S127" s="595"/>
      <c r="T127" s="595"/>
      <c r="U127" s="595"/>
      <c r="V127" s="595"/>
      <c r="W127" s="595"/>
      <c r="X127" s="595"/>
      <c r="Y127" s="595"/>
      <c r="Z127" s="595"/>
      <c r="AA127" s="595"/>
      <c r="AB127" s="595"/>
      <c r="AC127" s="595"/>
      <c r="AD127" s="595"/>
      <c r="AE127" s="595"/>
      <c r="AF127" s="601"/>
      <c r="AG127" s="592"/>
    </row>
    <row r="128">
      <c r="A128" s="75"/>
      <c r="B128" s="75"/>
      <c r="C128" s="75"/>
      <c r="D128" s="75"/>
      <c r="E128" s="595"/>
      <c r="F128" s="281"/>
      <c r="G128" s="281"/>
      <c r="H128" s="595"/>
      <c r="I128" s="595"/>
      <c r="J128" s="595"/>
      <c r="K128" s="595"/>
      <c r="L128" s="595"/>
      <c r="M128" s="595"/>
      <c r="N128" s="595"/>
      <c r="O128" s="595"/>
      <c r="P128" s="595"/>
      <c r="Q128" s="595"/>
      <c r="R128" s="595"/>
      <c r="S128" s="595"/>
      <c r="T128" s="595"/>
      <c r="U128" s="595"/>
      <c r="V128" s="595"/>
      <c r="W128" s="595"/>
      <c r="X128" s="595"/>
      <c r="Y128" s="595"/>
      <c r="Z128" s="595"/>
      <c r="AA128" s="595"/>
      <c r="AB128" s="595"/>
      <c r="AC128" s="595"/>
      <c r="AD128" s="595"/>
      <c r="AE128" s="595"/>
      <c r="AF128" s="601"/>
      <c r="AG128" s="592"/>
    </row>
    <row r="129">
      <c r="A129" s="75"/>
      <c r="B129" s="75"/>
      <c r="C129" s="75"/>
      <c r="D129" s="75"/>
      <c r="E129" s="595"/>
      <c r="F129" s="281"/>
      <c r="G129" s="281"/>
      <c r="H129" s="595"/>
      <c r="I129" s="595"/>
      <c r="J129" s="595"/>
      <c r="K129" s="595"/>
      <c r="L129" s="595"/>
      <c r="M129" s="595"/>
      <c r="N129" s="595"/>
      <c r="O129" s="595"/>
      <c r="P129" s="595"/>
      <c r="Q129" s="595"/>
      <c r="R129" s="595"/>
      <c r="S129" s="595"/>
      <c r="T129" s="595"/>
      <c r="U129" s="595"/>
      <c r="V129" s="595"/>
      <c r="W129" s="595"/>
      <c r="X129" s="595"/>
      <c r="Y129" s="595"/>
      <c r="Z129" s="595"/>
      <c r="AA129" s="595"/>
      <c r="AB129" s="595"/>
      <c r="AC129" s="595"/>
      <c r="AD129" s="595"/>
      <c r="AE129" s="595"/>
      <c r="AF129" s="601"/>
      <c r="AG129" s="592"/>
    </row>
    <row r="130">
      <c r="A130" s="75"/>
      <c r="B130" s="75"/>
      <c r="C130" s="75"/>
      <c r="D130" s="75"/>
      <c r="E130" s="595"/>
      <c r="F130" s="281"/>
      <c r="G130" s="281"/>
      <c r="H130" s="595"/>
      <c r="I130" s="595"/>
      <c r="J130" s="595"/>
      <c r="K130" s="595"/>
      <c r="L130" s="595"/>
      <c r="M130" s="595"/>
      <c r="N130" s="595"/>
      <c r="O130" s="595"/>
      <c r="P130" s="595"/>
      <c r="Q130" s="595"/>
      <c r="R130" s="595"/>
      <c r="S130" s="595"/>
      <c r="T130" s="595"/>
      <c r="U130" s="595"/>
      <c r="V130" s="595"/>
      <c r="W130" s="595"/>
      <c r="X130" s="595"/>
      <c r="Y130" s="595"/>
      <c r="Z130" s="595"/>
      <c r="AA130" s="595"/>
      <c r="AB130" s="595"/>
      <c r="AC130" s="595"/>
      <c r="AD130" s="595"/>
      <c r="AE130" s="595"/>
      <c r="AF130" s="601"/>
      <c r="AG130" s="592"/>
    </row>
    <row r="131">
      <c r="A131" s="75"/>
      <c r="B131" s="75"/>
      <c r="C131" s="75"/>
      <c r="D131" s="75"/>
      <c r="E131" s="595"/>
      <c r="F131" s="281"/>
      <c r="G131" s="281"/>
      <c r="H131" s="595"/>
      <c r="I131" s="595"/>
      <c r="J131" s="595"/>
      <c r="K131" s="595"/>
      <c r="L131" s="595"/>
      <c r="M131" s="595"/>
      <c r="N131" s="595"/>
      <c r="O131" s="595"/>
      <c r="P131" s="595"/>
      <c r="Q131" s="595"/>
      <c r="R131" s="595"/>
      <c r="S131" s="595"/>
      <c r="T131" s="595"/>
      <c r="U131" s="595"/>
      <c r="V131" s="595"/>
      <c r="W131" s="595"/>
      <c r="X131" s="595"/>
      <c r="Y131" s="595"/>
      <c r="Z131" s="595"/>
      <c r="AA131" s="595"/>
      <c r="AB131" s="595"/>
      <c r="AC131" s="595"/>
      <c r="AD131" s="595"/>
      <c r="AE131" s="595"/>
      <c r="AF131" s="601"/>
      <c r="AG131" s="592"/>
    </row>
    <row r="132">
      <c r="A132" s="75"/>
      <c r="B132" s="75"/>
      <c r="C132" s="75"/>
      <c r="D132" s="75"/>
      <c r="E132" s="595"/>
      <c r="F132" s="281"/>
      <c r="G132" s="281"/>
      <c r="H132" s="595"/>
      <c r="I132" s="595"/>
      <c r="J132" s="595"/>
      <c r="K132" s="595"/>
      <c r="L132" s="595"/>
      <c r="M132" s="595"/>
      <c r="N132" s="595"/>
      <c r="O132" s="595"/>
      <c r="P132" s="595"/>
      <c r="Q132" s="595"/>
      <c r="R132" s="595"/>
      <c r="S132" s="595"/>
      <c r="T132" s="595"/>
      <c r="U132" s="595"/>
      <c r="V132" s="595"/>
      <c r="W132" s="595"/>
      <c r="X132" s="595"/>
      <c r="Y132" s="595"/>
      <c r="Z132" s="595"/>
      <c r="AA132" s="595"/>
      <c r="AB132" s="595"/>
      <c r="AC132" s="595"/>
      <c r="AD132" s="595"/>
      <c r="AE132" s="595"/>
      <c r="AF132" s="601"/>
      <c r="AG132" s="592"/>
    </row>
    <row r="133">
      <c r="A133" s="75"/>
      <c r="B133" s="75"/>
      <c r="C133" s="75"/>
      <c r="D133" s="75"/>
      <c r="E133" s="595"/>
      <c r="F133" s="281"/>
      <c r="G133" s="281"/>
      <c r="H133" s="595"/>
      <c r="I133" s="595"/>
      <c r="J133" s="595"/>
      <c r="K133" s="595"/>
      <c r="L133" s="595"/>
      <c r="M133" s="595"/>
      <c r="N133" s="595"/>
      <c r="O133" s="595"/>
      <c r="P133" s="595"/>
      <c r="Q133" s="595"/>
      <c r="R133" s="595"/>
      <c r="S133" s="595"/>
      <c r="T133" s="595"/>
      <c r="U133" s="595"/>
      <c r="V133" s="595"/>
      <c r="W133" s="595"/>
      <c r="X133" s="595"/>
      <c r="Y133" s="595"/>
      <c r="Z133" s="595"/>
      <c r="AA133" s="595"/>
      <c r="AB133" s="595"/>
      <c r="AC133" s="595"/>
      <c r="AD133" s="595"/>
      <c r="AE133" s="595"/>
      <c r="AF133" s="601"/>
      <c r="AG133" s="592"/>
    </row>
    <row r="134">
      <c r="A134" s="75"/>
      <c r="B134" s="75"/>
      <c r="C134" s="75"/>
      <c r="D134" s="75"/>
      <c r="E134" s="595"/>
      <c r="F134" s="281"/>
      <c r="G134" s="281"/>
      <c r="H134" s="595"/>
      <c r="I134" s="595"/>
      <c r="J134" s="595"/>
      <c r="K134" s="595"/>
      <c r="L134" s="595"/>
      <c r="M134" s="595"/>
      <c r="N134" s="595"/>
      <c r="O134" s="595"/>
      <c r="P134" s="595"/>
      <c r="Q134" s="595"/>
      <c r="R134" s="595"/>
      <c r="S134" s="595"/>
      <c r="T134" s="595"/>
      <c r="U134" s="595"/>
      <c r="V134" s="595"/>
      <c r="W134" s="595"/>
      <c r="X134" s="595"/>
      <c r="Y134" s="595"/>
      <c r="Z134" s="595"/>
      <c r="AA134" s="595"/>
      <c r="AB134" s="595"/>
      <c r="AC134" s="595"/>
      <c r="AD134" s="595"/>
      <c r="AE134" s="595"/>
      <c r="AF134" s="601"/>
      <c r="AG134" s="592"/>
    </row>
    <row r="135">
      <c r="A135" s="75"/>
      <c r="B135" s="75"/>
      <c r="C135" s="75"/>
      <c r="D135" s="75"/>
      <c r="E135" s="595"/>
      <c r="F135" s="281"/>
      <c r="G135" s="281"/>
      <c r="H135" s="595"/>
      <c r="I135" s="595"/>
      <c r="J135" s="595"/>
      <c r="K135" s="595"/>
      <c r="L135" s="595"/>
      <c r="M135" s="595"/>
      <c r="N135" s="595"/>
      <c r="O135" s="595"/>
      <c r="P135" s="595"/>
      <c r="Q135" s="595"/>
      <c r="R135" s="595"/>
      <c r="S135" s="595"/>
      <c r="T135" s="595"/>
      <c r="U135" s="595"/>
      <c r="V135" s="595"/>
      <c r="W135" s="595"/>
      <c r="X135" s="595"/>
      <c r="Y135" s="595"/>
      <c r="Z135" s="595"/>
      <c r="AA135" s="595"/>
      <c r="AB135" s="595"/>
      <c r="AC135" s="595"/>
      <c r="AD135" s="595"/>
      <c r="AE135" s="595"/>
      <c r="AF135" s="601"/>
      <c r="AG135" s="592"/>
    </row>
    <row r="136">
      <c r="A136" s="75"/>
      <c r="B136" s="75"/>
      <c r="C136" s="75"/>
      <c r="D136" s="75"/>
      <c r="E136" s="595"/>
      <c r="F136" s="281"/>
      <c r="G136" s="281"/>
      <c r="H136" s="595"/>
      <c r="I136" s="595"/>
      <c r="J136" s="595"/>
      <c r="K136" s="595"/>
      <c r="L136" s="595"/>
      <c r="M136" s="595"/>
      <c r="N136" s="595"/>
      <c r="O136" s="595"/>
      <c r="P136" s="595"/>
      <c r="Q136" s="595"/>
      <c r="R136" s="595"/>
      <c r="S136" s="595"/>
      <c r="T136" s="595"/>
      <c r="U136" s="595"/>
      <c r="V136" s="595"/>
      <c r="W136" s="595"/>
      <c r="X136" s="595"/>
      <c r="Y136" s="595"/>
      <c r="Z136" s="595"/>
      <c r="AA136" s="595"/>
      <c r="AB136" s="595"/>
      <c r="AC136" s="595"/>
      <c r="AD136" s="595"/>
      <c r="AE136" s="595"/>
      <c r="AF136" s="601"/>
      <c r="AG136" s="592"/>
    </row>
    <row r="137">
      <c r="A137" s="75"/>
      <c r="B137" s="75"/>
      <c r="C137" s="75"/>
      <c r="D137" s="75"/>
      <c r="E137" s="595"/>
      <c r="F137" s="281"/>
      <c r="G137" s="281"/>
      <c r="H137" s="595"/>
      <c r="I137" s="595"/>
      <c r="J137" s="595"/>
      <c r="K137" s="595"/>
      <c r="L137" s="595"/>
      <c r="M137" s="595"/>
      <c r="N137" s="595"/>
      <c r="O137" s="595"/>
      <c r="P137" s="595"/>
      <c r="Q137" s="595"/>
      <c r="R137" s="595"/>
      <c r="S137" s="595"/>
      <c r="T137" s="595"/>
      <c r="U137" s="595"/>
      <c r="V137" s="595"/>
      <c r="W137" s="595"/>
      <c r="X137" s="595"/>
      <c r="Y137" s="595"/>
      <c r="Z137" s="595"/>
      <c r="AA137" s="595"/>
      <c r="AB137" s="595"/>
      <c r="AC137" s="595"/>
      <c r="AD137" s="595"/>
      <c r="AE137" s="595"/>
      <c r="AF137" s="601"/>
      <c r="AG137" s="592"/>
    </row>
    <row r="138">
      <c r="A138" s="75"/>
      <c r="B138" s="75"/>
      <c r="C138" s="75"/>
      <c r="D138" s="75"/>
      <c r="E138" s="595"/>
      <c r="F138" s="281"/>
      <c r="G138" s="281"/>
      <c r="H138" s="595"/>
      <c r="I138" s="595"/>
      <c r="J138" s="595"/>
      <c r="K138" s="595"/>
      <c r="L138" s="595"/>
      <c r="M138" s="595"/>
      <c r="N138" s="595"/>
      <c r="O138" s="595"/>
      <c r="P138" s="595"/>
      <c r="Q138" s="595"/>
      <c r="R138" s="595"/>
      <c r="S138" s="595"/>
      <c r="T138" s="595"/>
      <c r="U138" s="595"/>
      <c r="V138" s="595"/>
      <c r="W138" s="595"/>
      <c r="X138" s="595"/>
      <c r="Y138" s="595"/>
      <c r="Z138" s="595"/>
      <c r="AA138" s="595"/>
      <c r="AB138" s="595"/>
      <c r="AC138" s="595"/>
      <c r="AD138" s="595"/>
      <c r="AE138" s="595"/>
      <c r="AF138" s="601"/>
      <c r="AG138" s="592"/>
    </row>
    <row r="139">
      <c r="A139" s="75"/>
      <c r="B139" s="75"/>
      <c r="C139" s="75"/>
      <c r="D139" s="75"/>
      <c r="E139" s="595"/>
      <c r="F139" s="281"/>
      <c r="G139" s="281"/>
      <c r="H139" s="595"/>
      <c r="I139" s="595"/>
      <c r="J139" s="595"/>
      <c r="K139" s="595"/>
      <c r="L139" s="595"/>
      <c r="M139" s="595"/>
      <c r="N139" s="595"/>
      <c r="O139" s="595"/>
      <c r="P139" s="595"/>
      <c r="Q139" s="595"/>
      <c r="R139" s="595"/>
      <c r="S139" s="595"/>
      <c r="T139" s="595"/>
      <c r="U139" s="595"/>
      <c r="V139" s="595"/>
      <c r="W139" s="595"/>
      <c r="X139" s="595"/>
      <c r="Y139" s="595"/>
      <c r="Z139" s="595"/>
      <c r="AA139" s="595"/>
      <c r="AB139" s="595"/>
      <c r="AC139" s="595"/>
      <c r="AD139" s="595"/>
      <c r="AE139" s="595"/>
      <c r="AF139" s="601"/>
      <c r="AG139" s="592"/>
    </row>
    <row r="140">
      <c r="A140" s="75"/>
      <c r="B140" s="75"/>
      <c r="C140" s="75"/>
      <c r="D140" s="75"/>
      <c r="E140" s="595"/>
      <c r="F140" s="281"/>
      <c r="G140" s="281"/>
      <c r="H140" s="595"/>
      <c r="I140" s="595"/>
      <c r="J140" s="595"/>
      <c r="K140" s="595"/>
      <c r="L140" s="595"/>
      <c r="M140" s="595"/>
      <c r="N140" s="595"/>
      <c r="O140" s="595"/>
      <c r="P140" s="595"/>
      <c r="Q140" s="595"/>
      <c r="R140" s="595"/>
      <c r="S140" s="595"/>
      <c r="T140" s="595"/>
      <c r="U140" s="595"/>
      <c r="V140" s="595"/>
      <c r="W140" s="595"/>
      <c r="X140" s="595"/>
      <c r="Y140" s="595"/>
      <c r="Z140" s="595"/>
      <c r="AA140" s="595"/>
      <c r="AB140" s="595"/>
      <c r="AC140" s="595"/>
      <c r="AD140" s="595"/>
      <c r="AE140" s="595"/>
      <c r="AF140" s="601"/>
      <c r="AG140" s="592"/>
    </row>
    <row r="141">
      <c r="A141" s="75"/>
      <c r="B141" s="75"/>
      <c r="C141" s="75"/>
      <c r="D141" s="75"/>
      <c r="E141" s="595"/>
      <c r="F141" s="281"/>
      <c r="G141" s="281"/>
      <c r="H141" s="595"/>
      <c r="I141" s="595"/>
      <c r="J141" s="595"/>
      <c r="K141" s="595"/>
      <c r="L141" s="595"/>
      <c r="M141" s="595"/>
      <c r="N141" s="595"/>
      <c r="O141" s="595"/>
      <c r="P141" s="595"/>
      <c r="Q141" s="595"/>
      <c r="R141" s="595"/>
      <c r="S141" s="595"/>
      <c r="T141" s="595"/>
      <c r="U141" s="595"/>
      <c r="V141" s="595"/>
      <c r="W141" s="595"/>
      <c r="X141" s="595"/>
      <c r="Y141" s="595"/>
      <c r="Z141" s="595"/>
      <c r="AA141" s="595"/>
      <c r="AB141" s="595"/>
      <c r="AC141" s="595"/>
      <c r="AD141" s="595"/>
      <c r="AE141" s="595"/>
      <c r="AF141" s="601"/>
      <c r="AG141" s="592"/>
    </row>
    <row r="142">
      <c r="A142" s="75"/>
      <c r="B142" s="75"/>
      <c r="C142" s="75"/>
      <c r="D142" s="75"/>
      <c r="E142" s="595"/>
      <c r="F142" s="281"/>
      <c r="G142" s="281"/>
      <c r="H142" s="595"/>
      <c r="I142" s="595"/>
      <c r="J142" s="595"/>
      <c r="K142" s="595"/>
      <c r="L142" s="595"/>
      <c r="M142" s="595"/>
      <c r="N142" s="595"/>
      <c r="O142" s="595"/>
      <c r="P142" s="595"/>
      <c r="Q142" s="595"/>
      <c r="R142" s="595"/>
      <c r="S142" s="595"/>
      <c r="T142" s="595"/>
      <c r="U142" s="595"/>
      <c r="V142" s="595"/>
      <c r="W142" s="595"/>
      <c r="X142" s="595"/>
      <c r="Y142" s="595"/>
      <c r="Z142" s="595"/>
      <c r="AA142" s="595"/>
      <c r="AB142" s="595"/>
      <c r="AC142" s="595"/>
      <c r="AD142" s="595"/>
      <c r="AE142" s="595"/>
      <c r="AF142" s="601"/>
      <c r="AG142" s="592"/>
    </row>
    <row r="143">
      <c r="A143" s="75"/>
      <c r="B143" s="75"/>
      <c r="C143" s="75"/>
      <c r="D143" s="75"/>
      <c r="E143" s="595"/>
      <c r="F143" s="281"/>
      <c r="G143" s="281"/>
      <c r="H143" s="595"/>
      <c r="I143" s="595"/>
      <c r="J143" s="595"/>
      <c r="K143" s="595"/>
      <c r="L143" s="595"/>
      <c r="M143" s="595"/>
      <c r="N143" s="595"/>
      <c r="O143" s="595"/>
      <c r="P143" s="595"/>
      <c r="Q143" s="595"/>
      <c r="R143" s="595"/>
      <c r="S143" s="595"/>
      <c r="T143" s="595"/>
      <c r="U143" s="595"/>
      <c r="V143" s="595"/>
      <c r="W143" s="595"/>
      <c r="X143" s="595"/>
      <c r="Y143" s="595"/>
      <c r="Z143" s="595"/>
      <c r="AA143" s="595"/>
      <c r="AB143" s="595"/>
      <c r="AC143" s="595"/>
      <c r="AD143" s="595"/>
      <c r="AE143" s="595"/>
      <c r="AF143" s="601"/>
      <c r="AG143" s="592"/>
    </row>
    <row r="144">
      <c r="A144" s="75"/>
      <c r="B144" s="75"/>
      <c r="C144" s="75"/>
      <c r="D144" s="75"/>
      <c r="E144" s="595"/>
      <c r="F144" s="281"/>
      <c r="G144" s="281"/>
      <c r="H144" s="595"/>
      <c r="I144" s="595"/>
      <c r="J144" s="595"/>
      <c r="K144" s="595"/>
      <c r="L144" s="595"/>
      <c r="M144" s="595"/>
      <c r="N144" s="595"/>
      <c r="O144" s="595"/>
      <c r="P144" s="595"/>
      <c r="Q144" s="595"/>
      <c r="R144" s="595"/>
      <c r="S144" s="595"/>
      <c r="T144" s="595"/>
      <c r="U144" s="595"/>
      <c r="V144" s="595"/>
      <c r="W144" s="595"/>
      <c r="X144" s="595"/>
      <c r="Y144" s="595"/>
      <c r="Z144" s="595"/>
      <c r="AA144" s="595"/>
      <c r="AB144" s="595"/>
      <c r="AC144" s="595"/>
      <c r="AD144" s="595"/>
      <c r="AE144" s="595"/>
      <c r="AF144" s="601"/>
      <c r="AG144" s="592"/>
    </row>
    <row r="145">
      <c r="A145" s="75"/>
      <c r="B145" s="75"/>
      <c r="C145" s="75"/>
      <c r="D145" s="75"/>
      <c r="E145" s="595"/>
      <c r="F145" s="281"/>
      <c r="G145" s="281"/>
      <c r="H145" s="595"/>
      <c r="I145" s="595"/>
      <c r="J145" s="595"/>
      <c r="K145" s="595"/>
      <c r="L145" s="595"/>
      <c r="M145" s="595"/>
      <c r="N145" s="595"/>
      <c r="O145" s="595"/>
      <c r="P145" s="595"/>
      <c r="Q145" s="595"/>
      <c r="R145" s="595"/>
      <c r="S145" s="595"/>
      <c r="T145" s="595"/>
      <c r="U145" s="595"/>
      <c r="V145" s="595"/>
      <c r="W145" s="595"/>
      <c r="X145" s="595"/>
      <c r="Y145" s="595"/>
      <c r="Z145" s="595"/>
      <c r="AA145" s="595"/>
      <c r="AB145" s="595"/>
      <c r="AC145" s="595"/>
      <c r="AD145" s="595"/>
      <c r="AE145" s="595"/>
      <c r="AF145" s="601"/>
      <c r="AG145" s="592"/>
    </row>
    <row r="146">
      <c r="A146" s="75"/>
      <c r="B146" s="75"/>
      <c r="C146" s="75"/>
      <c r="D146" s="75"/>
      <c r="E146" s="595"/>
      <c r="F146" s="281"/>
      <c r="G146" s="281"/>
      <c r="H146" s="595"/>
      <c r="I146" s="595"/>
      <c r="J146" s="595"/>
      <c r="K146" s="595"/>
      <c r="L146" s="595"/>
      <c r="M146" s="595"/>
      <c r="N146" s="595"/>
      <c r="O146" s="595"/>
      <c r="P146" s="595"/>
      <c r="Q146" s="595"/>
      <c r="R146" s="595"/>
      <c r="S146" s="595"/>
      <c r="T146" s="595"/>
      <c r="U146" s="595"/>
      <c r="V146" s="595"/>
      <c r="W146" s="595"/>
      <c r="X146" s="595"/>
      <c r="Y146" s="595"/>
      <c r="Z146" s="595"/>
      <c r="AA146" s="595"/>
      <c r="AB146" s="595"/>
      <c r="AC146" s="595"/>
      <c r="AD146" s="595"/>
      <c r="AE146" s="595"/>
      <c r="AF146" s="601"/>
      <c r="AG146" s="592"/>
    </row>
    <row r="147">
      <c r="A147" s="75"/>
      <c r="B147" s="75"/>
      <c r="C147" s="75"/>
      <c r="D147" s="75"/>
      <c r="E147" s="595"/>
      <c r="F147" s="281"/>
      <c r="G147" s="281"/>
      <c r="H147" s="595"/>
      <c r="I147" s="595"/>
      <c r="J147" s="595"/>
      <c r="K147" s="595"/>
      <c r="L147" s="595"/>
      <c r="M147" s="595"/>
      <c r="N147" s="595"/>
      <c r="O147" s="595"/>
      <c r="P147" s="595"/>
      <c r="Q147" s="595"/>
      <c r="R147" s="595"/>
      <c r="S147" s="595"/>
      <c r="T147" s="595"/>
      <c r="U147" s="595"/>
      <c r="V147" s="595"/>
      <c r="W147" s="595"/>
      <c r="X147" s="595"/>
      <c r="Y147" s="595"/>
      <c r="Z147" s="595"/>
      <c r="AA147" s="595"/>
      <c r="AB147" s="595"/>
      <c r="AC147" s="595"/>
      <c r="AD147" s="595"/>
      <c r="AE147" s="595"/>
      <c r="AF147" s="601"/>
      <c r="AG147" s="592"/>
    </row>
    <row r="148">
      <c r="A148" s="75"/>
      <c r="B148" s="75"/>
      <c r="C148" s="75"/>
      <c r="D148" s="75"/>
      <c r="E148" s="595"/>
      <c r="F148" s="281"/>
      <c r="G148" s="281"/>
      <c r="H148" s="595"/>
      <c r="I148" s="595"/>
      <c r="J148" s="595"/>
      <c r="K148" s="595"/>
      <c r="L148" s="595"/>
      <c r="M148" s="595"/>
      <c r="N148" s="595"/>
      <c r="O148" s="595"/>
      <c r="P148" s="595"/>
      <c r="Q148" s="595"/>
      <c r="R148" s="595"/>
      <c r="S148" s="595"/>
      <c r="T148" s="595"/>
      <c r="U148" s="595"/>
      <c r="V148" s="595"/>
      <c r="W148" s="595"/>
      <c r="X148" s="595"/>
      <c r="Y148" s="595"/>
      <c r="Z148" s="595"/>
      <c r="AA148" s="595"/>
      <c r="AB148" s="595"/>
      <c r="AC148" s="595"/>
      <c r="AD148" s="595"/>
      <c r="AE148" s="595"/>
      <c r="AF148" s="601"/>
      <c r="AG148" s="592"/>
    </row>
    <row r="149">
      <c r="A149" s="75"/>
      <c r="B149" s="75"/>
      <c r="C149" s="75"/>
      <c r="D149" s="75"/>
      <c r="E149" s="595"/>
      <c r="F149" s="281"/>
      <c r="G149" s="281"/>
      <c r="H149" s="595"/>
      <c r="I149" s="595"/>
      <c r="J149" s="595"/>
      <c r="K149" s="595"/>
      <c r="L149" s="595"/>
      <c r="M149" s="595"/>
      <c r="N149" s="595"/>
      <c r="O149" s="595"/>
      <c r="P149" s="595"/>
      <c r="Q149" s="595"/>
      <c r="R149" s="595"/>
      <c r="S149" s="595"/>
      <c r="T149" s="595"/>
      <c r="U149" s="595"/>
      <c r="V149" s="595"/>
      <c r="W149" s="595"/>
      <c r="X149" s="595"/>
      <c r="Y149" s="595"/>
      <c r="Z149" s="595"/>
      <c r="AA149" s="595"/>
      <c r="AB149" s="595"/>
      <c r="AC149" s="595"/>
      <c r="AD149" s="595"/>
      <c r="AE149" s="595"/>
      <c r="AF149" s="601"/>
      <c r="AG149" s="592"/>
    </row>
    <row r="150">
      <c r="A150" s="75"/>
      <c r="B150" s="75"/>
      <c r="C150" s="75"/>
      <c r="D150" s="75"/>
      <c r="E150" s="595"/>
      <c r="F150" s="281"/>
      <c r="G150" s="281"/>
      <c r="H150" s="595"/>
      <c r="I150" s="595"/>
      <c r="J150" s="595"/>
      <c r="K150" s="595"/>
      <c r="L150" s="595"/>
      <c r="M150" s="595"/>
      <c r="N150" s="595"/>
      <c r="O150" s="595"/>
      <c r="P150" s="595"/>
      <c r="Q150" s="595"/>
      <c r="R150" s="595"/>
      <c r="S150" s="595"/>
      <c r="T150" s="595"/>
      <c r="U150" s="595"/>
      <c r="V150" s="595"/>
      <c r="W150" s="595"/>
      <c r="X150" s="595"/>
      <c r="Y150" s="595"/>
      <c r="Z150" s="595"/>
      <c r="AA150" s="595"/>
      <c r="AB150" s="595"/>
      <c r="AC150" s="595"/>
      <c r="AD150" s="595"/>
      <c r="AE150" s="595"/>
      <c r="AF150" s="601"/>
      <c r="AG150" s="592"/>
    </row>
    <row r="151">
      <c r="A151" s="75"/>
      <c r="B151" s="75"/>
      <c r="C151" s="75"/>
      <c r="D151" s="75"/>
      <c r="E151" s="595"/>
      <c r="F151" s="281"/>
      <c r="G151" s="281"/>
      <c r="H151" s="595"/>
      <c r="I151" s="595"/>
      <c r="J151" s="595"/>
      <c r="K151" s="595"/>
      <c r="L151" s="595"/>
      <c r="M151" s="595"/>
      <c r="N151" s="595"/>
      <c r="O151" s="595"/>
      <c r="P151" s="595"/>
      <c r="Q151" s="595"/>
      <c r="R151" s="595"/>
      <c r="S151" s="595"/>
      <c r="T151" s="595"/>
      <c r="U151" s="595"/>
      <c r="V151" s="595"/>
      <c r="W151" s="595"/>
      <c r="X151" s="595"/>
      <c r="Y151" s="595"/>
      <c r="Z151" s="595"/>
      <c r="AA151" s="595"/>
      <c r="AB151" s="595"/>
      <c r="AC151" s="595"/>
      <c r="AD151" s="595"/>
      <c r="AE151" s="595"/>
      <c r="AF151" s="601"/>
      <c r="AG151" s="592"/>
    </row>
    <row r="152">
      <c r="A152" s="75"/>
      <c r="B152" s="75"/>
      <c r="C152" s="75"/>
      <c r="D152" s="75"/>
      <c r="E152" s="595"/>
      <c r="F152" s="281"/>
      <c r="G152" s="281"/>
      <c r="H152" s="595"/>
      <c r="I152" s="595"/>
      <c r="J152" s="595"/>
      <c r="K152" s="595"/>
      <c r="L152" s="595"/>
      <c r="M152" s="595"/>
      <c r="N152" s="595"/>
      <c r="O152" s="595"/>
      <c r="P152" s="595"/>
      <c r="Q152" s="595"/>
      <c r="R152" s="595"/>
      <c r="S152" s="595"/>
      <c r="T152" s="595"/>
      <c r="U152" s="595"/>
      <c r="V152" s="595"/>
      <c r="W152" s="595"/>
      <c r="X152" s="595"/>
      <c r="Y152" s="595"/>
      <c r="Z152" s="595"/>
      <c r="AA152" s="595"/>
      <c r="AB152" s="595"/>
      <c r="AC152" s="595"/>
      <c r="AD152" s="595"/>
      <c r="AE152" s="595"/>
      <c r="AF152" s="601"/>
      <c r="AG152" s="592"/>
    </row>
    <row r="153">
      <c r="A153" s="75"/>
      <c r="B153" s="75"/>
      <c r="C153" s="75"/>
      <c r="D153" s="75"/>
      <c r="E153" s="595"/>
      <c r="F153" s="281"/>
      <c r="G153" s="281"/>
      <c r="H153" s="595"/>
      <c r="I153" s="595"/>
      <c r="J153" s="595"/>
      <c r="K153" s="595"/>
      <c r="L153" s="595"/>
      <c r="M153" s="595"/>
      <c r="N153" s="595"/>
      <c r="O153" s="595"/>
      <c r="P153" s="595"/>
      <c r="Q153" s="595"/>
      <c r="R153" s="595"/>
      <c r="S153" s="595"/>
      <c r="T153" s="595"/>
      <c r="U153" s="595"/>
      <c r="V153" s="595"/>
      <c r="W153" s="595"/>
      <c r="X153" s="595"/>
      <c r="Y153" s="595"/>
      <c r="Z153" s="595"/>
      <c r="AA153" s="595"/>
      <c r="AB153" s="595"/>
      <c r="AC153" s="595"/>
      <c r="AD153" s="595"/>
      <c r="AE153" s="595"/>
      <c r="AF153" s="601"/>
      <c r="AG153" s="592"/>
    </row>
    <row r="154">
      <c r="A154" s="75"/>
      <c r="B154" s="75"/>
      <c r="C154" s="75"/>
      <c r="D154" s="75"/>
      <c r="E154" s="595"/>
      <c r="F154" s="281"/>
      <c r="G154" s="281"/>
      <c r="H154" s="595"/>
      <c r="I154" s="595"/>
      <c r="J154" s="595"/>
      <c r="K154" s="595"/>
      <c r="L154" s="595"/>
      <c r="M154" s="595"/>
      <c r="N154" s="595"/>
      <c r="O154" s="595"/>
      <c r="P154" s="595"/>
      <c r="Q154" s="595"/>
      <c r="R154" s="595"/>
      <c r="S154" s="595"/>
      <c r="T154" s="595"/>
      <c r="U154" s="595"/>
      <c r="V154" s="595"/>
      <c r="W154" s="595"/>
      <c r="X154" s="595"/>
      <c r="Y154" s="595"/>
      <c r="Z154" s="595"/>
      <c r="AA154" s="595"/>
      <c r="AB154" s="595"/>
      <c r="AC154" s="595"/>
      <c r="AD154" s="595"/>
      <c r="AE154" s="595"/>
      <c r="AF154" s="601"/>
      <c r="AG154" s="592"/>
    </row>
    <row r="155">
      <c r="A155" s="75"/>
      <c r="B155" s="75"/>
      <c r="C155" s="75"/>
      <c r="D155" s="75"/>
      <c r="E155" s="595"/>
      <c r="F155" s="281"/>
      <c r="G155" s="281"/>
      <c r="H155" s="595"/>
      <c r="I155" s="595"/>
      <c r="J155" s="595"/>
      <c r="K155" s="595"/>
      <c r="L155" s="595"/>
      <c r="M155" s="595"/>
      <c r="N155" s="595"/>
      <c r="O155" s="595"/>
      <c r="P155" s="595"/>
      <c r="Q155" s="595"/>
      <c r="R155" s="595"/>
      <c r="S155" s="595"/>
      <c r="T155" s="595"/>
      <c r="U155" s="595"/>
      <c r="V155" s="595"/>
      <c r="W155" s="595"/>
      <c r="X155" s="595"/>
      <c r="Y155" s="595"/>
      <c r="Z155" s="595"/>
      <c r="AA155" s="595"/>
      <c r="AB155" s="595"/>
      <c r="AC155" s="595"/>
      <c r="AD155" s="595"/>
      <c r="AE155" s="595"/>
      <c r="AF155" s="601"/>
      <c r="AG155" s="592"/>
    </row>
    <row r="156">
      <c r="A156" s="75"/>
      <c r="B156" s="75"/>
      <c r="C156" s="75"/>
      <c r="D156" s="75"/>
      <c r="E156" s="595"/>
      <c r="F156" s="281"/>
      <c r="G156" s="281"/>
      <c r="H156" s="595"/>
      <c r="I156" s="595"/>
      <c r="J156" s="595"/>
      <c r="K156" s="595"/>
      <c r="L156" s="595"/>
      <c r="M156" s="595"/>
      <c r="N156" s="595"/>
      <c r="O156" s="595"/>
      <c r="P156" s="595"/>
      <c r="Q156" s="595"/>
      <c r="R156" s="595"/>
      <c r="S156" s="595"/>
      <c r="T156" s="595"/>
      <c r="U156" s="595"/>
      <c r="V156" s="595"/>
      <c r="W156" s="595"/>
      <c r="X156" s="595"/>
      <c r="Y156" s="595"/>
      <c r="Z156" s="595"/>
      <c r="AA156" s="595"/>
      <c r="AB156" s="595"/>
      <c r="AC156" s="595"/>
      <c r="AD156" s="595"/>
      <c r="AE156" s="595"/>
      <c r="AF156" s="601"/>
      <c r="AG156" s="592"/>
    </row>
    <row r="157">
      <c r="A157" s="75"/>
      <c r="B157" s="75"/>
      <c r="C157" s="75"/>
      <c r="D157" s="75"/>
      <c r="E157" s="595"/>
      <c r="F157" s="281"/>
      <c r="G157" s="281"/>
      <c r="H157" s="595"/>
      <c r="I157" s="595"/>
      <c r="J157" s="595"/>
      <c r="K157" s="595"/>
      <c r="L157" s="595"/>
      <c r="M157" s="595"/>
      <c r="N157" s="595"/>
      <c r="O157" s="595"/>
      <c r="P157" s="595"/>
      <c r="Q157" s="595"/>
      <c r="R157" s="595"/>
      <c r="S157" s="595"/>
      <c r="T157" s="595"/>
      <c r="U157" s="595"/>
      <c r="V157" s="595"/>
      <c r="W157" s="595"/>
      <c r="X157" s="595"/>
      <c r="Y157" s="595"/>
      <c r="Z157" s="595"/>
      <c r="AA157" s="595"/>
      <c r="AB157" s="595"/>
      <c r="AC157" s="595"/>
      <c r="AD157" s="595"/>
      <c r="AE157" s="595"/>
      <c r="AF157" s="601"/>
      <c r="AG157" s="592"/>
    </row>
    <row r="158">
      <c r="A158" s="75"/>
      <c r="B158" s="75"/>
      <c r="C158" s="75"/>
      <c r="D158" s="75"/>
      <c r="E158" s="595"/>
      <c r="F158" s="281"/>
      <c r="G158" s="281"/>
      <c r="H158" s="595"/>
      <c r="I158" s="595"/>
      <c r="J158" s="595"/>
      <c r="K158" s="595"/>
      <c r="L158" s="595"/>
      <c r="M158" s="595"/>
      <c r="N158" s="595"/>
      <c r="O158" s="595"/>
      <c r="P158" s="595"/>
      <c r="Q158" s="595"/>
      <c r="R158" s="595"/>
      <c r="S158" s="595"/>
      <c r="T158" s="595"/>
      <c r="U158" s="595"/>
      <c r="V158" s="595"/>
      <c r="W158" s="595"/>
      <c r="X158" s="595"/>
      <c r="Y158" s="595"/>
      <c r="Z158" s="595"/>
      <c r="AA158" s="595"/>
      <c r="AB158" s="595"/>
      <c r="AC158" s="595"/>
      <c r="AD158" s="595"/>
      <c r="AE158" s="595"/>
      <c r="AF158" s="601"/>
      <c r="AG158" s="592"/>
    </row>
    <row r="159">
      <c r="A159" s="75"/>
      <c r="B159" s="75"/>
      <c r="C159" s="75"/>
      <c r="D159" s="75"/>
      <c r="E159" s="595"/>
      <c r="F159" s="281"/>
      <c r="G159" s="281"/>
      <c r="H159" s="595"/>
      <c r="I159" s="595"/>
      <c r="J159" s="595"/>
      <c r="K159" s="595"/>
      <c r="L159" s="595"/>
      <c r="M159" s="595"/>
      <c r="N159" s="595"/>
      <c r="O159" s="595"/>
      <c r="P159" s="595"/>
      <c r="Q159" s="595"/>
      <c r="R159" s="595"/>
      <c r="S159" s="595"/>
      <c r="T159" s="595"/>
      <c r="U159" s="595"/>
      <c r="V159" s="595"/>
      <c r="W159" s="595"/>
      <c r="X159" s="595"/>
      <c r="Y159" s="595"/>
      <c r="Z159" s="595"/>
      <c r="AA159" s="595"/>
      <c r="AB159" s="595"/>
      <c r="AC159" s="595"/>
      <c r="AD159" s="595"/>
      <c r="AE159" s="595"/>
      <c r="AF159" s="601"/>
      <c r="AG159" s="592"/>
    </row>
    <row r="160">
      <c r="A160" s="75"/>
      <c r="B160" s="75"/>
      <c r="C160" s="75"/>
      <c r="D160" s="75"/>
      <c r="E160" s="595"/>
      <c r="F160" s="281"/>
      <c r="G160" s="281"/>
      <c r="H160" s="595"/>
      <c r="I160" s="595"/>
      <c r="J160" s="595"/>
      <c r="K160" s="595"/>
      <c r="L160" s="595"/>
      <c r="M160" s="595"/>
      <c r="N160" s="595"/>
      <c r="O160" s="595"/>
      <c r="P160" s="595"/>
      <c r="Q160" s="595"/>
      <c r="R160" s="595"/>
      <c r="S160" s="595"/>
      <c r="T160" s="595"/>
      <c r="U160" s="595"/>
      <c r="V160" s="595"/>
      <c r="W160" s="595"/>
      <c r="X160" s="595"/>
      <c r="Y160" s="595"/>
      <c r="Z160" s="595"/>
      <c r="AA160" s="595"/>
      <c r="AB160" s="595"/>
      <c r="AC160" s="595"/>
      <c r="AD160" s="595"/>
      <c r="AE160" s="595"/>
      <c r="AF160" s="601"/>
      <c r="AG160" s="592"/>
    </row>
    <row r="161">
      <c r="A161" s="75"/>
      <c r="B161" s="75"/>
      <c r="C161" s="75"/>
      <c r="D161" s="75"/>
      <c r="E161" s="595"/>
      <c r="F161" s="281"/>
      <c r="G161" s="281"/>
      <c r="H161" s="595"/>
      <c r="I161" s="595"/>
      <c r="J161" s="595"/>
      <c r="K161" s="595"/>
      <c r="L161" s="595"/>
      <c r="M161" s="595"/>
      <c r="N161" s="595"/>
      <c r="O161" s="595"/>
      <c r="P161" s="595"/>
      <c r="Q161" s="595"/>
      <c r="R161" s="595"/>
      <c r="S161" s="595"/>
      <c r="T161" s="595"/>
      <c r="U161" s="595"/>
      <c r="V161" s="595"/>
      <c r="W161" s="595"/>
      <c r="X161" s="595"/>
      <c r="Y161" s="595"/>
      <c r="Z161" s="595"/>
      <c r="AA161" s="595"/>
      <c r="AB161" s="595"/>
      <c r="AC161" s="595"/>
      <c r="AD161" s="595"/>
      <c r="AE161" s="595"/>
      <c r="AF161" s="601"/>
      <c r="AG161" s="592"/>
    </row>
    <row r="162">
      <c r="A162" s="75"/>
      <c r="B162" s="75"/>
      <c r="C162" s="75"/>
      <c r="D162" s="75"/>
      <c r="E162" s="595"/>
      <c r="F162" s="281"/>
      <c r="G162" s="281"/>
      <c r="H162" s="595"/>
      <c r="I162" s="595"/>
      <c r="J162" s="595"/>
      <c r="K162" s="595"/>
      <c r="L162" s="595"/>
      <c r="M162" s="595"/>
      <c r="N162" s="595"/>
      <c r="O162" s="595"/>
      <c r="P162" s="595"/>
      <c r="Q162" s="595"/>
      <c r="R162" s="595"/>
      <c r="S162" s="595"/>
      <c r="T162" s="595"/>
      <c r="U162" s="595"/>
      <c r="V162" s="595"/>
      <c r="W162" s="595"/>
      <c r="X162" s="595"/>
      <c r="Y162" s="595"/>
      <c r="Z162" s="595"/>
      <c r="AA162" s="595"/>
      <c r="AB162" s="595"/>
      <c r="AC162" s="595"/>
      <c r="AD162" s="595"/>
      <c r="AE162" s="595"/>
      <c r="AF162" s="601"/>
      <c r="AG162" s="592"/>
    </row>
    <row r="163">
      <c r="A163" s="75"/>
      <c r="B163" s="75"/>
      <c r="C163" s="75"/>
      <c r="D163" s="75"/>
      <c r="E163" s="595"/>
      <c r="F163" s="281"/>
      <c r="G163" s="281"/>
      <c r="H163" s="595"/>
      <c r="I163" s="595"/>
      <c r="J163" s="595"/>
      <c r="K163" s="595"/>
      <c r="L163" s="595"/>
      <c r="M163" s="595"/>
      <c r="N163" s="595"/>
      <c r="O163" s="595"/>
      <c r="P163" s="595"/>
      <c r="Q163" s="595"/>
      <c r="R163" s="595"/>
      <c r="S163" s="595"/>
      <c r="T163" s="595"/>
      <c r="U163" s="595"/>
      <c r="V163" s="595"/>
      <c r="W163" s="595"/>
      <c r="X163" s="595"/>
      <c r="Y163" s="595"/>
      <c r="Z163" s="595"/>
      <c r="AA163" s="595"/>
      <c r="AB163" s="595"/>
      <c r="AC163" s="595"/>
      <c r="AD163" s="595"/>
      <c r="AE163" s="595"/>
      <c r="AF163" s="601"/>
      <c r="AG163" s="592"/>
    </row>
    <row r="164">
      <c r="A164" s="75"/>
      <c r="B164" s="75"/>
      <c r="C164" s="75"/>
      <c r="D164" s="75"/>
      <c r="E164" s="595"/>
      <c r="F164" s="281"/>
      <c r="G164" s="281"/>
      <c r="H164" s="595"/>
      <c r="I164" s="595"/>
      <c r="J164" s="595"/>
      <c r="K164" s="595"/>
      <c r="L164" s="595"/>
      <c r="M164" s="595"/>
      <c r="N164" s="595"/>
      <c r="O164" s="595"/>
      <c r="P164" s="595"/>
      <c r="Q164" s="595"/>
      <c r="R164" s="595"/>
      <c r="S164" s="595"/>
      <c r="T164" s="595"/>
      <c r="U164" s="595"/>
      <c r="V164" s="595"/>
      <c r="W164" s="595"/>
      <c r="X164" s="595"/>
      <c r="Y164" s="595"/>
      <c r="Z164" s="595"/>
      <c r="AA164" s="595"/>
      <c r="AB164" s="595"/>
      <c r="AC164" s="595"/>
      <c r="AD164" s="595"/>
      <c r="AE164" s="595"/>
      <c r="AF164" s="601"/>
      <c r="AG164" s="592"/>
    </row>
    <row r="165">
      <c r="A165" s="75"/>
      <c r="B165" s="75"/>
      <c r="C165" s="75"/>
      <c r="D165" s="75"/>
      <c r="E165" s="595"/>
      <c r="F165" s="281"/>
      <c r="G165" s="281"/>
      <c r="H165" s="595"/>
      <c r="I165" s="595"/>
      <c r="J165" s="595"/>
      <c r="K165" s="595"/>
      <c r="L165" s="595"/>
      <c r="M165" s="595"/>
      <c r="N165" s="595"/>
      <c r="O165" s="595"/>
      <c r="P165" s="595"/>
      <c r="Q165" s="595"/>
      <c r="R165" s="595"/>
      <c r="S165" s="595"/>
      <c r="T165" s="595"/>
      <c r="U165" s="595"/>
      <c r="V165" s="595"/>
      <c r="W165" s="595"/>
      <c r="X165" s="595"/>
      <c r="Y165" s="595"/>
      <c r="Z165" s="595"/>
      <c r="AA165" s="595"/>
      <c r="AB165" s="595"/>
      <c r="AC165" s="595"/>
      <c r="AD165" s="595"/>
      <c r="AE165" s="595"/>
      <c r="AF165" s="601"/>
      <c r="AG165" s="592"/>
    </row>
    <row r="166">
      <c r="A166" s="75"/>
      <c r="B166" s="75"/>
      <c r="C166" s="75"/>
      <c r="D166" s="75"/>
      <c r="E166" s="595"/>
      <c r="F166" s="281"/>
      <c r="G166" s="281"/>
      <c r="H166" s="595"/>
      <c r="I166" s="595"/>
      <c r="J166" s="595"/>
      <c r="K166" s="595"/>
      <c r="L166" s="595"/>
      <c r="M166" s="595"/>
      <c r="N166" s="595"/>
      <c r="O166" s="595"/>
      <c r="P166" s="595"/>
      <c r="Q166" s="595"/>
      <c r="R166" s="595"/>
      <c r="S166" s="595"/>
      <c r="T166" s="595"/>
      <c r="U166" s="595"/>
      <c r="V166" s="595"/>
      <c r="W166" s="595"/>
      <c r="X166" s="595"/>
      <c r="Y166" s="595"/>
      <c r="Z166" s="595"/>
      <c r="AA166" s="595"/>
      <c r="AB166" s="595"/>
      <c r="AC166" s="595"/>
      <c r="AD166" s="595"/>
      <c r="AE166" s="595"/>
      <c r="AF166" s="601"/>
      <c r="AG166" s="592"/>
    </row>
    <row r="167">
      <c r="A167" s="75"/>
      <c r="B167" s="75"/>
      <c r="C167" s="75"/>
      <c r="D167" s="75"/>
      <c r="E167" s="595"/>
      <c r="F167" s="281"/>
      <c r="G167" s="281"/>
      <c r="H167" s="595"/>
      <c r="I167" s="595"/>
      <c r="J167" s="595"/>
      <c r="K167" s="595"/>
      <c r="L167" s="595"/>
      <c r="M167" s="595"/>
      <c r="N167" s="595"/>
      <c r="O167" s="595"/>
      <c r="P167" s="595"/>
      <c r="Q167" s="595"/>
      <c r="R167" s="595"/>
      <c r="S167" s="595"/>
      <c r="T167" s="595"/>
      <c r="U167" s="595"/>
      <c r="V167" s="595"/>
      <c r="W167" s="595"/>
      <c r="X167" s="595"/>
      <c r="Y167" s="595"/>
      <c r="Z167" s="595"/>
      <c r="AA167" s="595"/>
      <c r="AB167" s="595"/>
      <c r="AC167" s="595"/>
      <c r="AD167" s="595"/>
      <c r="AE167" s="595"/>
      <c r="AF167" s="601"/>
      <c r="AG167" s="592"/>
    </row>
    <row r="168">
      <c r="A168" s="75"/>
      <c r="B168" s="75"/>
      <c r="C168" s="75"/>
      <c r="D168" s="75"/>
      <c r="E168" s="595"/>
      <c r="F168" s="281"/>
      <c r="G168" s="281"/>
      <c r="H168" s="595"/>
      <c r="I168" s="595"/>
      <c r="J168" s="595"/>
      <c r="K168" s="595"/>
      <c r="L168" s="595"/>
      <c r="M168" s="595"/>
      <c r="N168" s="595"/>
      <c r="O168" s="595"/>
      <c r="P168" s="595"/>
      <c r="Q168" s="595"/>
      <c r="R168" s="595"/>
      <c r="S168" s="595"/>
      <c r="T168" s="595"/>
      <c r="U168" s="595"/>
      <c r="V168" s="595"/>
      <c r="W168" s="595"/>
      <c r="X168" s="595"/>
      <c r="Y168" s="595"/>
      <c r="Z168" s="595"/>
      <c r="AA168" s="595"/>
      <c r="AB168" s="595"/>
      <c r="AC168" s="595"/>
      <c r="AD168" s="595"/>
      <c r="AE168" s="595"/>
      <c r="AF168" s="601"/>
      <c r="AG168" s="592"/>
    </row>
    <row r="169">
      <c r="A169" s="75"/>
      <c r="B169" s="75"/>
      <c r="C169" s="75"/>
      <c r="D169" s="75"/>
      <c r="E169" s="595"/>
      <c r="F169" s="281"/>
      <c r="G169" s="281"/>
      <c r="H169" s="595"/>
      <c r="I169" s="595"/>
      <c r="J169" s="595"/>
      <c r="K169" s="595"/>
      <c r="L169" s="595"/>
      <c r="M169" s="595"/>
      <c r="N169" s="595"/>
      <c r="O169" s="595"/>
      <c r="P169" s="595"/>
      <c r="Q169" s="595"/>
      <c r="R169" s="595"/>
      <c r="S169" s="595"/>
      <c r="T169" s="595"/>
      <c r="U169" s="595"/>
      <c r="V169" s="595"/>
      <c r="W169" s="595"/>
      <c r="X169" s="595"/>
      <c r="Y169" s="595"/>
      <c r="Z169" s="595"/>
      <c r="AA169" s="595"/>
      <c r="AB169" s="595"/>
      <c r="AC169" s="595"/>
      <c r="AD169" s="595"/>
      <c r="AE169" s="595"/>
      <c r="AF169" s="601"/>
      <c r="AG169" s="592"/>
    </row>
    <row r="170">
      <c r="A170" s="75"/>
      <c r="B170" s="75"/>
      <c r="C170" s="75"/>
      <c r="D170" s="75"/>
      <c r="E170" s="595"/>
      <c r="F170" s="281"/>
      <c r="G170" s="281"/>
      <c r="H170" s="595"/>
      <c r="I170" s="595"/>
      <c r="J170" s="595"/>
      <c r="K170" s="595"/>
      <c r="L170" s="595"/>
      <c r="M170" s="595"/>
      <c r="N170" s="595"/>
      <c r="O170" s="595"/>
      <c r="P170" s="595"/>
      <c r="Q170" s="595"/>
      <c r="R170" s="595"/>
      <c r="S170" s="595"/>
      <c r="T170" s="595"/>
      <c r="U170" s="595"/>
      <c r="V170" s="595"/>
      <c r="W170" s="595"/>
      <c r="X170" s="595"/>
      <c r="Y170" s="595"/>
      <c r="Z170" s="595"/>
      <c r="AA170" s="595"/>
      <c r="AB170" s="595"/>
      <c r="AC170" s="595"/>
      <c r="AD170" s="595"/>
      <c r="AE170" s="595"/>
      <c r="AF170" s="601"/>
      <c r="AG170" s="592"/>
    </row>
    <row r="171">
      <c r="A171" s="75"/>
      <c r="B171" s="75"/>
      <c r="C171" s="75"/>
      <c r="D171" s="75"/>
      <c r="E171" s="595"/>
      <c r="F171" s="281"/>
      <c r="G171" s="281"/>
      <c r="H171" s="595"/>
      <c r="I171" s="595"/>
      <c r="J171" s="595"/>
      <c r="K171" s="595"/>
      <c r="L171" s="595"/>
      <c r="M171" s="595"/>
      <c r="N171" s="595"/>
      <c r="O171" s="595"/>
      <c r="P171" s="595"/>
      <c r="Q171" s="595"/>
      <c r="R171" s="595"/>
      <c r="S171" s="595"/>
      <c r="T171" s="595"/>
      <c r="U171" s="595"/>
      <c r="V171" s="595"/>
      <c r="W171" s="595"/>
      <c r="X171" s="595"/>
      <c r="Y171" s="595"/>
      <c r="Z171" s="595"/>
      <c r="AA171" s="595"/>
      <c r="AB171" s="595"/>
      <c r="AC171" s="595"/>
      <c r="AD171" s="595"/>
      <c r="AE171" s="595"/>
      <c r="AF171" s="601"/>
      <c r="AG171" s="592"/>
    </row>
    <row r="172">
      <c r="A172" s="75"/>
      <c r="B172" s="75"/>
      <c r="C172" s="75"/>
      <c r="D172" s="75"/>
      <c r="E172" s="595"/>
      <c r="F172" s="281"/>
      <c r="G172" s="281"/>
      <c r="H172" s="595"/>
      <c r="I172" s="595"/>
      <c r="J172" s="595"/>
      <c r="K172" s="595"/>
      <c r="L172" s="595"/>
      <c r="M172" s="595"/>
      <c r="N172" s="595"/>
      <c r="O172" s="595"/>
      <c r="P172" s="595"/>
      <c r="Q172" s="595"/>
      <c r="R172" s="595"/>
      <c r="S172" s="595"/>
      <c r="T172" s="595"/>
      <c r="U172" s="595"/>
      <c r="V172" s="595"/>
      <c r="W172" s="595"/>
      <c r="X172" s="595"/>
      <c r="Y172" s="595"/>
      <c r="Z172" s="595"/>
      <c r="AA172" s="595"/>
      <c r="AB172" s="595"/>
      <c r="AC172" s="595"/>
      <c r="AD172" s="595"/>
      <c r="AE172" s="595"/>
      <c r="AF172" s="601"/>
      <c r="AG172" s="592"/>
    </row>
    <row r="173">
      <c r="A173" s="75"/>
      <c r="B173" s="75"/>
      <c r="C173" s="75"/>
      <c r="D173" s="75"/>
      <c r="E173" s="595"/>
      <c r="F173" s="281"/>
      <c r="G173" s="281"/>
      <c r="H173" s="595"/>
      <c r="I173" s="595"/>
      <c r="J173" s="595"/>
      <c r="K173" s="595"/>
      <c r="L173" s="595"/>
      <c r="M173" s="595"/>
      <c r="N173" s="595"/>
      <c r="O173" s="595"/>
      <c r="P173" s="595"/>
      <c r="Q173" s="595"/>
      <c r="R173" s="595"/>
      <c r="S173" s="595"/>
      <c r="T173" s="595"/>
      <c r="U173" s="595"/>
      <c r="V173" s="595"/>
      <c r="W173" s="595"/>
      <c r="X173" s="595"/>
      <c r="Y173" s="595"/>
      <c r="Z173" s="595"/>
      <c r="AA173" s="595"/>
      <c r="AB173" s="595"/>
      <c r="AC173" s="595"/>
      <c r="AD173" s="595"/>
      <c r="AE173" s="595"/>
      <c r="AF173" s="601"/>
      <c r="AG173" s="592"/>
    </row>
    <row r="174">
      <c r="A174" s="75"/>
      <c r="B174" s="75"/>
      <c r="C174" s="75"/>
      <c r="D174" s="75"/>
      <c r="E174" s="595"/>
      <c r="F174" s="281"/>
      <c r="G174" s="281"/>
      <c r="H174" s="595"/>
      <c r="I174" s="595"/>
      <c r="J174" s="595"/>
      <c r="K174" s="595"/>
      <c r="L174" s="595"/>
      <c r="M174" s="595"/>
      <c r="N174" s="595"/>
      <c r="O174" s="595"/>
      <c r="P174" s="595"/>
      <c r="Q174" s="595"/>
      <c r="R174" s="595"/>
      <c r="S174" s="595"/>
      <c r="T174" s="595"/>
      <c r="U174" s="595"/>
      <c r="V174" s="595"/>
      <c r="W174" s="595"/>
      <c r="X174" s="595"/>
      <c r="Y174" s="595"/>
      <c r="Z174" s="595"/>
      <c r="AA174" s="595"/>
      <c r="AB174" s="595"/>
      <c r="AC174" s="595"/>
      <c r="AD174" s="595"/>
      <c r="AE174" s="595"/>
      <c r="AF174" s="601"/>
      <c r="AG174" s="592"/>
    </row>
    <row r="175">
      <c r="A175" s="75"/>
      <c r="B175" s="75"/>
      <c r="C175" s="75"/>
      <c r="D175" s="75"/>
      <c r="E175" s="595"/>
      <c r="F175" s="281"/>
      <c r="G175" s="281"/>
      <c r="H175" s="595"/>
      <c r="I175" s="595"/>
      <c r="J175" s="595"/>
      <c r="K175" s="595"/>
      <c r="L175" s="595"/>
      <c r="M175" s="595"/>
      <c r="N175" s="595"/>
      <c r="O175" s="595"/>
      <c r="P175" s="595"/>
      <c r="Q175" s="595"/>
      <c r="R175" s="595"/>
      <c r="S175" s="595"/>
      <c r="T175" s="595"/>
      <c r="U175" s="595"/>
      <c r="V175" s="595"/>
      <c r="W175" s="595"/>
      <c r="X175" s="595"/>
      <c r="Y175" s="595"/>
      <c r="Z175" s="595"/>
      <c r="AA175" s="595"/>
      <c r="AB175" s="595"/>
      <c r="AC175" s="595"/>
      <c r="AD175" s="595"/>
      <c r="AE175" s="595"/>
      <c r="AF175" s="601"/>
      <c r="AG175" s="592"/>
    </row>
    <row r="176">
      <c r="A176" s="75"/>
      <c r="B176" s="75"/>
      <c r="C176" s="75"/>
      <c r="D176" s="75"/>
      <c r="E176" s="595"/>
      <c r="F176" s="281"/>
      <c r="G176" s="281"/>
      <c r="H176" s="595"/>
      <c r="I176" s="595"/>
      <c r="J176" s="595"/>
      <c r="K176" s="595"/>
      <c r="L176" s="595"/>
      <c r="M176" s="595"/>
      <c r="N176" s="595"/>
      <c r="O176" s="595"/>
      <c r="P176" s="595"/>
      <c r="Q176" s="595"/>
      <c r="R176" s="595"/>
      <c r="S176" s="595"/>
      <c r="T176" s="595"/>
      <c r="U176" s="595"/>
      <c r="V176" s="595"/>
      <c r="W176" s="595"/>
      <c r="X176" s="595"/>
      <c r="Y176" s="595"/>
      <c r="Z176" s="595"/>
      <c r="AA176" s="595"/>
      <c r="AB176" s="595"/>
      <c r="AC176" s="595"/>
      <c r="AD176" s="595"/>
      <c r="AE176" s="595"/>
      <c r="AF176" s="601"/>
      <c r="AG176" s="592"/>
    </row>
    <row r="177">
      <c r="A177" s="75"/>
      <c r="B177" s="75"/>
      <c r="C177" s="75"/>
      <c r="D177" s="75"/>
      <c r="E177" s="595"/>
      <c r="F177" s="281"/>
      <c r="G177" s="281"/>
      <c r="H177" s="595"/>
      <c r="I177" s="595"/>
      <c r="J177" s="595"/>
      <c r="K177" s="595"/>
      <c r="L177" s="595"/>
      <c r="M177" s="595"/>
      <c r="N177" s="595"/>
      <c r="O177" s="595"/>
      <c r="P177" s="595"/>
      <c r="Q177" s="595"/>
      <c r="R177" s="595"/>
      <c r="S177" s="595"/>
      <c r="T177" s="595"/>
      <c r="U177" s="595"/>
      <c r="V177" s="595"/>
      <c r="W177" s="595"/>
      <c r="X177" s="595"/>
      <c r="Y177" s="595"/>
      <c r="Z177" s="595"/>
      <c r="AA177" s="595"/>
      <c r="AB177" s="595"/>
      <c r="AC177" s="595"/>
      <c r="AD177" s="595"/>
      <c r="AE177" s="595"/>
      <c r="AF177" s="601"/>
      <c r="AG177" s="592"/>
    </row>
    <row r="178">
      <c r="A178" s="75"/>
      <c r="B178" s="75"/>
      <c r="C178" s="75"/>
      <c r="D178" s="75"/>
      <c r="E178" s="595"/>
      <c r="F178" s="281"/>
      <c r="G178" s="281"/>
      <c r="H178" s="595"/>
      <c r="I178" s="595"/>
      <c r="J178" s="595"/>
      <c r="K178" s="595"/>
      <c r="L178" s="595"/>
      <c r="M178" s="595"/>
      <c r="N178" s="595"/>
      <c r="O178" s="595"/>
      <c r="P178" s="595"/>
      <c r="Q178" s="595"/>
      <c r="R178" s="595"/>
      <c r="S178" s="595"/>
      <c r="T178" s="595"/>
      <c r="U178" s="595"/>
      <c r="V178" s="595"/>
      <c r="W178" s="595"/>
      <c r="X178" s="595"/>
      <c r="Y178" s="595"/>
      <c r="Z178" s="595"/>
      <c r="AA178" s="595"/>
      <c r="AB178" s="595"/>
      <c r="AC178" s="595"/>
      <c r="AD178" s="595"/>
      <c r="AE178" s="595"/>
      <c r="AF178" s="601"/>
      <c r="AG178" s="592"/>
    </row>
    <row r="179">
      <c r="A179" s="75"/>
      <c r="B179" s="75"/>
      <c r="C179" s="75"/>
      <c r="D179" s="75"/>
      <c r="E179" s="595"/>
      <c r="F179" s="281"/>
      <c r="G179" s="281"/>
      <c r="H179" s="595"/>
      <c r="I179" s="595"/>
      <c r="J179" s="595"/>
      <c r="K179" s="595"/>
      <c r="L179" s="595"/>
      <c r="M179" s="595"/>
      <c r="N179" s="595"/>
      <c r="O179" s="595"/>
      <c r="P179" s="595"/>
      <c r="Q179" s="595"/>
      <c r="R179" s="595"/>
      <c r="S179" s="595"/>
      <c r="T179" s="595"/>
      <c r="U179" s="595"/>
      <c r="V179" s="595"/>
      <c r="W179" s="595"/>
      <c r="X179" s="595"/>
      <c r="Y179" s="595"/>
      <c r="Z179" s="595"/>
      <c r="AA179" s="595"/>
      <c r="AB179" s="595"/>
      <c r="AC179" s="595"/>
      <c r="AD179" s="595"/>
      <c r="AE179" s="595"/>
      <c r="AF179" s="601"/>
      <c r="AG179" s="592"/>
    </row>
    <row r="180">
      <c r="A180" s="75"/>
      <c r="B180" s="75"/>
      <c r="C180" s="75"/>
      <c r="D180" s="75"/>
      <c r="E180" s="595"/>
      <c r="F180" s="281"/>
      <c r="G180" s="281"/>
      <c r="H180" s="595"/>
      <c r="I180" s="595"/>
      <c r="J180" s="595"/>
      <c r="K180" s="595"/>
      <c r="L180" s="595"/>
      <c r="M180" s="595"/>
      <c r="N180" s="595"/>
      <c r="O180" s="595"/>
      <c r="P180" s="595"/>
      <c r="Q180" s="595"/>
      <c r="R180" s="595"/>
      <c r="S180" s="595"/>
      <c r="T180" s="595"/>
      <c r="U180" s="595"/>
      <c r="V180" s="595"/>
      <c r="W180" s="595"/>
      <c r="X180" s="595"/>
      <c r="Y180" s="595"/>
      <c r="Z180" s="595"/>
      <c r="AA180" s="595"/>
      <c r="AB180" s="595"/>
      <c r="AC180" s="595"/>
      <c r="AD180" s="595"/>
      <c r="AE180" s="595"/>
      <c r="AF180" s="601"/>
      <c r="AG180" s="592"/>
    </row>
    <row r="181">
      <c r="A181" s="75"/>
      <c r="B181" s="75"/>
      <c r="C181" s="75"/>
      <c r="D181" s="75"/>
      <c r="E181" s="595"/>
      <c r="F181" s="281"/>
      <c r="G181" s="281"/>
      <c r="H181" s="595"/>
      <c r="I181" s="595"/>
      <c r="J181" s="595"/>
      <c r="K181" s="595"/>
      <c r="L181" s="595"/>
      <c r="M181" s="595"/>
      <c r="N181" s="595"/>
      <c r="O181" s="595"/>
      <c r="P181" s="595"/>
      <c r="Q181" s="595"/>
      <c r="R181" s="595"/>
      <c r="S181" s="595"/>
      <c r="T181" s="595"/>
      <c r="U181" s="595"/>
      <c r="V181" s="595"/>
      <c r="W181" s="595"/>
      <c r="X181" s="595"/>
      <c r="Y181" s="595"/>
      <c r="Z181" s="595"/>
      <c r="AA181" s="595"/>
      <c r="AB181" s="595"/>
      <c r="AC181" s="595"/>
      <c r="AD181" s="595"/>
      <c r="AE181" s="595"/>
      <c r="AF181" s="601"/>
      <c r="AG181" s="592"/>
    </row>
    <row r="182">
      <c r="A182" s="75"/>
      <c r="B182" s="75"/>
      <c r="C182" s="75"/>
      <c r="D182" s="75"/>
      <c r="E182" s="595"/>
      <c r="F182" s="281"/>
      <c r="G182" s="281"/>
      <c r="H182" s="595"/>
      <c r="I182" s="595"/>
      <c r="J182" s="595"/>
      <c r="K182" s="595"/>
      <c r="L182" s="595"/>
      <c r="M182" s="595"/>
      <c r="N182" s="595"/>
      <c r="O182" s="595"/>
      <c r="P182" s="595"/>
      <c r="Q182" s="595"/>
      <c r="R182" s="595"/>
      <c r="S182" s="595"/>
      <c r="T182" s="595"/>
      <c r="U182" s="595"/>
      <c r="V182" s="595"/>
      <c r="W182" s="595"/>
      <c r="X182" s="595"/>
      <c r="Y182" s="595"/>
      <c r="Z182" s="595"/>
      <c r="AA182" s="595"/>
      <c r="AB182" s="595"/>
      <c r="AC182" s="595"/>
      <c r="AD182" s="595"/>
      <c r="AE182" s="595"/>
      <c r="AF182" s="601"/>
      <c r="AG182" s="592"/>
    </row>
    <row r="183">
      <c r="A183" s="75"/>
      <c r="B183" s="75"/>
      <c r="C183" s="75"/>
      <c r="D183" s="75"/>
      <c r="E183" s="595"/>
      <c r="F183" s="281"/>
      <c r="G183" s="281"/>
      <c r="H183" s="595"/>
      <c r="I183" s="595"/>
      <c r="J183" s="595"/>
      <c r="K183" s="595"/>
      <c r="L183" s="595"/>
      <c r="M183" s="595"/>
      <c r="N183" s="595"/>
      <c r="O183" s="595"/>
      <c r="P183" s="595"/>
      <c r="Q183" s="595"/>
      <c r="R183" s="595"/>
      <c r="S183" s="595"/>
      <c r="T183" s="595"/>
      <c r="U183" s="595"/>
      <c r="V183" s="595"/>
      <c r="W183" s="595"/>
      <c r="X183" s="595"/>
      <c r="Y183" s="595"/>
      <c r="Z183" s="595"/>
      <c r="AA183" s="595"/>
      <c r="AB183" s="595"/>
      <c r="AC183" s="595"/>
      <c r="AD183" s="595"/>
      <c r="AE183" s="595"/>
      <c r="AF183" s="601"/>
      <c r="AG183" s="592"/>
    </row>
    <row r="184">
      <c r="A184" s="75"/>
      <c r="B184" s="75"/>
      <c r="C184" s="75"/>
      <c r="D184" s="75"/>
      <c r="E184" s="595"/>
      <c r="F184" s="281"/>
      <c r="G184" s="281"/>
      <c r="H184" s="595"/>
      <c r="I184" s="595"/>
      <c r="J184" s="595"/>
      <c r="K184" s="595"/>
      <c r="L184" s="595"/>
      <c r="M184" s="595"/>
      <c r="N184" s="595"/>
      <c r="O184" s="595"/>
      <c r="P184" s="595"/>
      <c r="Q184" s="595"/>
      <c r="R184" s="595"/>
      <c r="S184" s="595"/>
      <c r="T184" s="595"/>
      <c r="U184" s="595"/>
      <c r="V184" s="595"/>
      <c r="W184" s="595"/>
      <c r="X184" s="595"/>
      <c r="Y184" s="595"/>
      <c r="Z184" s="595"/>
      <c r="AA184" s="595"/>
      <c r="AB184" s="595"/>
      <c r="AC184" s="595"/>
      <c r="AD184" s="595"/>
      <c r="AE184" s="595"/>
      <c r="AF184" s="601"/>
      <c r="AG184" s="592"/>
    </row>
    <row r="185">
      <c r="A185" s="75"/>
      <c r="B185" s="75"/>
      <c r="C185" s="75"/>
      <c r="D185" s="75"/>
      <c r="E185" s="595"/>
      <c r="F185" s="281"/>
      <c r="G185" s="281"/>
      <c r="H185" s="595"/>
      <c r="I185" s="595"/>
      <c r="J185" s="595"/>
      <c r="K185" s="595"/>
      <c r="L185" s="595"/>
      <c r="M185" s="595"/>
      <c r="N185" s="595"/>
      <c r="O185" s="595"/>
      <c r="P185" s="595"/>
      <c r="Q185" s="595"/>
      <c r="R185" s="595"/>
      <c r="S185" s="595"/>
      <c r="T185" s="595"/>
      <c r="U185" s="595"/>
      <c r="V185" s="595"/>
      <c r="W185" s="595"/>
      <c r="X185" s="595"/>
      <c r="Y185" s="595"/>
      <c r="Z185" s="595"/>
      <c r="AA185" s="595"/>
      <c r="AB185" s="595"/>
      <c r="AC185" s="595"/>
      <c r="AD185" s="595"/>
      <c r="AE185" s="595"/>
      <c r="AF185" s="601"/>
      <c r="AG185" s="592"/>
    </row>
    <row r="186">
      <c r="A186" s="75"/>
      <c r="B186" s="75"/>
      <c r="C186" s="75"/>
      <c r="D186" s="75"/>
      <c r="E186" s="595"/>
      <c r="F186" s="281"/>
      <c r="G186" s="281"/>
      <c r="H186" s="595"/>
      <c r="I186" s="595"/>
      <c r="J186" s="595"/>
      <c r="K186" s="595"/>
      <c r="L186" s="595"/>
      <c r="M186" s="595"/>
      <c r="N186" s="595"/>
      <c r="O186" s="595"/>
      <c r="P186" s="595"/>
      <c r="Q186" s="595"/>
      <c r="R186" s="595"/>
      <c r="S186" s="595"/>
      <c r="T186" s="595"/>
      <c r="U186" s="595"/>
      <c r="V186" s="595"/>
      <c r="W186" s="595"/>
      <c r="X186" s="595"/>
      <c r="Y186" s="595"/>
      <c r="Z186" s="595"/>
      <c r="AA186" s="595"/>
      <c r="AB186" s="595"/>
      <c r="AC186" s="595"/>
      <c r="AD186" s="595"/>
      <c r="AE186" s="595"/>
      <c r="AF186" s="601"/>
      <c r="AG186" s="592"/>
    </row>
    <row r="187">
      <c r="A187" s="75"/>
      <c r="B187" s="75"/>
      <c r="C187" s="75"/>
      <c r="D187" s="75"/>
      <c r="E187" s="595"/>
      <c r="F187" s="281"/>
      <c r="G187" s="281"/>
      <c r="H187" s="595"/>
      <c r="I187" s="595"/>
      <c r="J187" s="595"/>
      <c r="K187" s="595"/>
      <c r="L187" s="595"/>
      <c r="M187" s="595"/>
      <c r="N187" s="595"/>
      <c r="O187" s="595"/>
      <c r="P187" s="595"/>
      <c r="Q187" s="595"/>
      <c r="R187" s="595"/>
      <c r="S187" s="595"/>
      <c r="T187" s="595"/>
      <c r="U187" s="595"/>
      <c r="V187" s="595"/>
      <c r="W187" s="595"/>
      <c r="X187" s="595"/>
      <c r="Y187" s="595"/>
      <c r="Z187" s="595"/>
      <c r="AA187" s="595"/>
      <c r="AB187" s="595"/>
      <c r="AC187" s="595"/>
      <c r="AD187" s="595"/>
      <c r="AE187" s="595"/>
      <c r="AF187" s="601"/>
      <c r="AG187" s="592"/>
    </row>
    <row r="188">
      <c r="A188" s="75"/>
      <c r="B188" s="75"/>
      <c r="C188" s="75"/>
      <c r="D188" s="75"/>
      <c r="E188" s="595"/>
      <c r="F188" s="281"/>
      <c r="G188" s="281"/>
      <c r="H188" s="595"/>
      <c r="I188" s="595"/>
      <c r="J188" s="595"/>
      <c r="K188" s="595"/>
      <c r="L188" s="595"/>
      <c r="M188" s="595"/>
      <c r="N188" s="595"/>
      <c r="O188" s="595"/>
      <c r="P188" s="595"/>
      <c r="Q188" s="595"/>
      <c r="R188" s="595"/>
      <c r="S188" s="595"/>
      <c r="T188" s="595"/>
      <c r="U188" s="595"/>
      <c r="V188" s="595"/>
      <c r="W188" s="595"/>
      <c r="X188" s="595"/>
      <c r="Y188" s="595"/>
      <c r="Z188" s="595"/>
      <c r="AA188" s="595"/>
      <c r="AB188" s="595"/>
      <c r="AC188" s="595"/>
      <c r="AD188" s="595"/>
      <c r="AE188" s="595"/>
      <c r="AF188" s="601"/>
      <c r="AG188" s="592"/>
    </row>
    <row r="189">
      <c r="A189" s="75"/>
      <c r="B189" s="75"/>
      <c r="C189" s="75"/>
      <c r="D189" s="75"/>
      <c r="E189" s="595"/>
      <c r="F189" s="281"/>
      <c r="G189" s="281"/>
      <c r="H189" s="595"/>
      <c r="I189" s="595"/>
      <c r="J189" s="595"/>
      <c r="K189" s="595"/>
      <c r="L189" s="595"/>
      <c r="M189" s="595"/>
      <c r="N189" s="595"/>
      <c r="O189" s="595"/>
      <c r="P189" s="595"/>
      <c r="Q189" s="595"/>
      <c r="R189" s="595"/>
      <c r="S189" s="595"/>
      <c r="T189" s="595"/>
      <c r="U189" s="595"/>
      <c r="V189" s="595"/>
      <c r="W189" s="595"/>
      <c r="X189" s="595"/>
      <c r="Y189" s="595"/>
      <c r="Z189" s="595"/>
      <c r="AA189" s="595"/>
      <c r="AB189" s="595"/>
      <c r="AC189" s="595"/>
      <c r="AD189" s="595"/>
      <c r="AE189" s="595"/>
      <c r="AF189" s="601"/>
      <c r="AG189" s="592"/>
    </row>
    <row r="190">
      <c r="A190" s="75"/>
      <c r="B190" s="75"/>
      <c r="C190" s="75"/>
      <c r="D190" s="75"/>
      <c r="E190" s="595"/>
      <c r="F190" s="281"/>
      <c r="G190" s="281"/>
      <c r="H190" s="595"/>
      <c r="I190" s="595"/>
      <c r="J190" s="595"/>
      <c r="K190" s="595"/>
      <c r="L190" s="595"/>
      <c r="M190" s="595"/>
      <c r="N190" s="595"/>
      <c r="O190" s="595"/>
      <c r="P190" s="595"/>
      <c r="Q190" s="595"/>
      <c r="R190" s="595"/>
      <c r="S190" s="595"/>
      <c r="T190" s="595"/>
      <c r="U190" s="595"/>
      <c r="V190" s="595"/>
      <c r="W190" s="595"/>
      <c r="X190" s="595"/>
      <c r="Y190" s="595"/>
      <c r="Z190" s="595"/>
      <c r="AA190" s="595"/>
      <c r="AB190" s="595"/>
      <c r="AC190" s="595"/>
      <c r="AD190" s="595"/>
      <c r="AE190" s="595"/>
      <c r="AF190" s="601"/>
      <c r="AG190" s="592"/>
    </row>
    <row r="191">
      <c r="A191" s="75"/>
      <c r="B191" s="75"/>
      <c r="C191" s="75"/>
      <c r="D191" s="75"/>
      <c r="E191" s="595"/>
      <c r="F191" s="281"/>
      <c r="G191" s="281"/>
      <c r="H191" s="595"/>
      <c r="I191" s="595"/>
      <c r="J191" s="595"/>
      <c r="K191" s="595"/>
      <c r="L191" s="595"/>
      <c r="M191" s="595"/>
      <c r="N191" s="595"/>
      <c r="O191" s="595"/>
      <c r="P191" s="595"/>
      <c r="Q191" s="595"/>
      <c r="R191" s="595"/>
      <c r="S191" s="595"/>
      <c r="T191" s="595"/>
      <c r="U191" s="595"/>
      <c r="V191" s="595"/>
      <c r="W191" s="595"/>
      <c r="X191" s="595"/>
      <c r="Y191" s="595"/>
      <c r="Z191" s="595"/>
      <c r="AA191" s="595"/>
      <c r="AB191" s="595"/>
      <c r="AC191" s="595"/>
      <c r="AD191" s="595"/>
      <c r="AE191" s="595"/>
      <c r="AF191" s="601"/>
      <c r="AG191" s="592"/>
    </row>
    <row r="192">
      <c r="A192" s="75"/>
      <c r="B192" s="75"/>
      <c r="C192" s="75"/>
      <c r="D192" s="75"/>
      <c r="E192" s="595"/>
      <c r="F192" s="281"/>
      <c r="G192" s="281"/>
      <c r="H192" s="595"/>
      <c r="I192" s="595"/>
      <c r="J192" s="595"/>
      <c r="K192" s="595"/>
      <c r="L192" s="595"/>
      <c r="M192" s="595"/>
      <c r="N192" s="595"/>
      <c r="O192" s="595"/>
      <c r="P192" s="595"/>
      <c r="Q192" s="595"/>
      <c r="R192" s="595"/>
      <c r="S192" s="595"/>
      <c r="T192" s="595"/>
      <c r="U192" s="595"/>
      <c r="V192" s="595"/>
      <c r="W192" s="595"/>
      <c r="X192" s="595"/>
      <c r="Y192" s="595"/>
      <c r="Z192" s="595"/>
      <c r="AA192" s="595"/>
      <c r="AB192" s="595"/>
      <c r="AC192" s="595"/>
      <c r="AD192" s="595"/>
      <c r="AE192" s="595"/>
      <c r="AF192" s="601"/>
      <c r="AG192" s="592"/>
    </row>
    <row r="193">
      <c r="A193" s="75"/>
      <c r="B193" s="75"/>
      <c r="C193" s="75"/>
      <c r="D193" s="75"/>
      <c r="E193" s="595"/>
      <c r="F193" s="281"/>
      <c r="G193" s="281"/>
      <c r="H193" s="595"/>
      <c r="I193" s="595"/>
      <c r="J193" s="595"/>
      <c r="K193" s="595"/>
      <c r="L193" s="595"/>
      <c r="M193" s="595"/>
      <c r="N193" s="595"/>
      <c r="O193" s="595"/>
      <c r="P193" s="595"/>
      <c r="Q193" s="595"/>
      <c r="R193" s="595"/>
      <c r="S193" s="595"/>
      <c r="T193" s="595"/>
      <c r="U193" s="595"/>
      <c r="V193" s="595"/>
      <c r="W193" s="595"/>
      <c r="X193" s="595"/>
      <c r="Y193" s="595"/>
      <c r="Z193" s="595"/>
      <c r="AA193" s="595"/>
      <c r="AB193" s="595"/>
      <c r="AC193" s="595"/>
      <c r="AD193" s="595"/>
      <c r="AE193" s="595"/>
      <c r="AF193" s="601"/>
      <c r="AG193" s="592"/>
    </row>
    <row r="194">
      <c r="A194" s="75"/>
      <c r="B194" s="75"/>
      <c r="C194" s="75"/>
      <c r="D194" s="75"/>
      <c r="E194" s="595"/>
      <c r="F194" s="281"/>
      <c r="G194" s="281"/>
      <c r="H194" s="595"/>
      <c r="I194" s="595"/>
      <c r="J194" s="595"/>
      <c r="K194" s="595"/>
      <c r="L194" s="595"/>
      <c r="M194" s="595"/>
      <c r="N194" s="595"/>
      <c r="O194" s="595"/>
      <c r="P194" s="595"/>
      <c r="Q194" s="595"/>
      <c r="R194" s="595"/>
      <c r="S194" s="595"/>
      <c r="T194" s="595"/>
      <c r="U194" s="595"/>
      <c r="V194" s="595"/>
      <c r="W194" s="595"/>
      <c r="X194" s="595"/>
      <c r="Y194" s="595"/>
      <c r="Z194" s="595"/>
      <c r="AA194" s="595"/>
      <c r="AB194" s="595"/>
      <c r="AC194" s="595"/>
      <c r="AD194" s="595"/>
      <c r="AE194" s="595"/>
      <c r="AF194" s="601"/>
      <c r="AG194" s="592"/>
    </row>
    <row r="195">
      <c r="A195" s="75"/>
      <c r="B195" s="75"/>
      <c r="C195" s="75"/>
      <c r="D195" s="75"/>
      <c r="E195" s="595"/>
      <c r="F195" s="281"/>
      <c r="G195" s="281"/>
      <c r="H195" s="595"/>
      <c r="I195" s="595"/>
      <c r="J195" s="595"/>
      <c r="K195" s="595"/>
      <c r="L195" s="595"/>
      <c r="M195" s="595"/>
      <c r="N195" s="595"/>
      <c r="O195" s="595"/>
      <c r="P195" s="595"/>
      <c r="Q195" s="595"/>
      <c r="R195" s="595"/>
      <c r="S195" s="595"/>
      <c r="T195" s="595"/>
      <c r="U195" s="595"/>
      <c r="V195" s="595"/>
      <c r="W195" s="595"/>
      <c r="X195" s="595"/>
      <c r="Y195" s="595"/>
      <c r="Z195" s="595"/>
      <c r="AA195" s="595"/>
      <c r="AB195" s="595"/>
      <c r="AC195" s="595"/>
      <c r="AD195" s="595"/>
      <c r="AE195" s="595"/>
      <c r="AF195" s="601"/>
      <c r="AG195" s="592"/>
    </row>
    <row r="196">
      <c r="A196" s="75"/>
      <c r="B196" s="75"/>
      <c r="C196" s="75"/>
      <c r="D196" s="75"/>
      <c r="E196" s="595"/>
      <c r="F196" s="281"/>
      <c r="G196" s="281"/>
      <c r="H196" s="595"/>
      <c r="I196" s="595"/>
      <c r="J196" s="595"/>
      <c r="K196" s="595"/>
      <c r="L196" s="595"/>
      <c r="M196" s="595"/>
      <c r="N196" s="595"/>
      <c r="O196" s="595"/>
      <c r="P196" s="595"/>
      <c r="Q196" s="595"/>
      <c r="R196" s="595"/>
      <c r="S196" s="595"/>
      <c r="T196" s="595"/>
      <c r="U196" s="595"/>
      <c r="V196" s="595"/>
      <c r="W196" s="595"/>
      <c r="X196" s="595"/>
      <c r="Y196" s="595"/>
      <c r="Z196" s="595"/>
      <c r="AA196" s="595"/>
      <c r="AB196" s="595"/>
      <c r="AC196" s="595"/>
      <c r="AD196" s="595"/>
      <c r="AE196" s="595"/>
      <c r="AF196" s="601"/>
      <c r="AG196" s="592"/>
    </row>
    <row r="197">
      <c r="A197" s="75"/>
      <c r="B197" s="75"/>
      <c r="C197" s="75"/>
      <c r="D197" s="75"/>
      <c r="E197" s="595"/>
      <c r="F197" s="281"/>
      <c r="G197" s="281"/>
      <c r="H197" s="595"/>
      <c r="I197" s="595"/>
      <c r="J197" s="595"/>
      <c r="K197" s="595"/>
      <c r="L197" s="595"/>
      <c r="M197" s="595"/>
      <c r="N197" s="595"/>
      <c r="O197" s="595"/>
      <c r="P197" s="595"/>
      <c r="Q197" s="595"/>
      <c r="R197" s="595"/>
      <c r="S197" s="595"/>
      <c r="T197" s="595"/>
      <c r="U197" s="595"/>
      <c r="V197" s="595"/>
      <c r="W197" s="595"/>
      <c r="X197" s="595"/>
      <c r="Y197" s="595"/>
      <c r="Z197" s="595"/>
      <c r="AA197" s="595"/>
      <c r="AB197" s="595"/>
      <c r="AC197" s="595"/>
      <c r="AD197" s="595"/>
      <c r="AE197" s="595"/>
      <c r="AF197" s="601"/>
      <c r="AG197" s="592"/>
    </row>
    <row r="198">
      <c r="A198" s="75"/>
      <c r="B198" s="75"/>
      <c r="C198" s="75"/>
      <c r="D198" s="75"/>
      <c r="E198" s="595"/>
      <c r="F198" s="281"/>
      <c r="G198" s="281"/>
      <c r="H198" s="595"/>
      <c r="I198" s="595"/>
      <c r="J198" s="595"/>
      <c r="K198" s="595"/>
      <c r="L198" s="595"/>
      <c r="M198" s="595"/>
      <c r="N198" s="595"/>
      <c r="O198" s="595"/>
      <c r="P198" s="595"/>
      <c r="Q198" s="595"/>
      <c r="R198" s="595"/>
      <c r="S198" s="595"/>
      <c r="T198" s="595"/>
      <c r="U198" s="595"/>
      <c r="V198" s="595"/>
      <c r="W198" s="595"/>
      <c r="X198" s="595"/>
      <c r="Y198" s="595"/>
      <c r="Z198" s="595"/>
      <c r="AA198" s="595"/>
      <c r="AB198" s="595"/>
      <c r="AC198" s="595"/>
      <c r="AD198" s="595"/>
      <c r="AE198" s="595"/>
      <c r="AF198" s="601"/>
      <c r="AG198" s="592"/>
    </row>
    <row r="199">
      <c r="A199" s="75"/>
      <c r="B199" s="75"/>
      <c r="C199" s="75"/>
      <c r="D199" s="75"/>
      <c r="E199" s="595"/>
      <c r="F199" s="281"/>
      <c r="G199" s="281"/>
      <c r="H199" s="595"/>
      <c r="I199" s="595"/>
      <c r="J199" s="595"/>
      <c r="K199" s="595"/>
      <c r="L199" s="595"/>
      <c r="M199" s="595"/>
      <c r="N199" s="595"/>
      <c r="O199" s="595"/>
      <c r="P199" s="595"/>
      <c r="Q199" s="595"/>
      <c r="R199" s="595"/>
      <c r="S199" s="595"/>
      <c r="T199" s="595"/>
      <c r="U199" s="595"/>
      <c r="V199" s="595"/>
      <c r="W199" s="595"/>
      <c r="X199" s="595"/>
      <c r="Y199" s="595"/>
      <c r="Z199" s="595"/>
      <c r="AA199" s="595"/>
      <c r="AB199" s="595"/>
      <c r="AC199" s="595"/>
      <c r="AD199" s="595"/>
      <c r="AE199" s="595"/>
      <c r="AF199" s="601"/>
      <c r="AG199" s="592"/>
    </row>
    <row r="200">
      <c r="A200" s="75"/>
      <c r="B200" s="75"/>
      <c r="C200" s="75"/>
      <c r="D200" s="75"/>
      <c r="E200" s="595"/>
      <c r="F200" s="281"/>
      <c r="G200" s="281"/>
      <c r="H200" s="595"/>
      <c r="I200" s="595"/>
      <c r="J200" s="595"/>
      <c r="K200" s="595"/>
      <c r="L200" s="595"/>
      <c r="M200" s="595"/>
      <c r="N200" s="595"/>
      <c r="O200" s="595"/>
      <c r="P200" s="595"/>
      <c r="Q200" s="595"/>
      <c r="R200" s="595"/>
      <c r="S200" s="595"/>
      <c r="T200" s="595"/>
      <c r="U200" s="595"/>
      <c r="V200" s="595"/>
      <c r="W200" s="595"/>
      <c r="X200" s="595"/>
      <c r="Y200" s="595"/>
      <c r="Z200" s="595"/>
      <c r="AA200" s="595"/>
      <c r="AB200" s="595"/>
      <c r="AC200" s="595"/>
      <c r="AD200" s="595"/>
      <c r="AE200" s="595"/>
      <c r="AF200" s="601"/>
      <c r="AG200" s="592"/>
    </row>
    <row r="201">
      <c r="A201" s="75"/>
      <c r="B201" s="75"/>
      <c r="C201" s="75"/>
      <c r="D201" s="75"/>
      <c r="E201" s="595"/>
      <c r="F201" s="281"/>
      <c r="G201" s="281"/>
      <c r="H201" s="595"/>
      <c r="I201" s="595"/>
      <c r="J201" s="595"/>
      <c r="K201" s="595"/>
      <c r="L201" s="595"/>
      <c r="M201" s="595"/>
      <c r="N201" s="595"/>
      <c r="O201" s="595"/>
      <c r="P201" s="595"/>
      <c r="Q201" s="595"/>
      <c r="R201" s="595"/>
      <c r="S201" s="595"/>
      <c r="T201" s="595"/>
      <c r="U201" s="595"/>
      <c r="V201" s="595"/>
      <c r="W201" s="595"/>
      <c r="X201" s="595"/>
      <c r="Y201" s="595"/>
      <c r="Z201" s="595"/>
      <c r="AA201" s="595"/>
      <c r="AB201" s="595"/>
      <c r="AC201" s="595"/>
      <c r="AD201" s="595"/>
      <c r="AE201" s="595"/>
      <c r="AF201" s="601"/>
      <c r="AG201" s="592"/>
    </row>
    <row r="202">
      <c r="A202" s="75"/>
      <c r="B202" s="75"/>
      <c r="C202" s="75"/>
      <c r="D202" s="75"/>
      <c r="E202" s="595"/>
      <c r="F202" s="281"/>
      <c r="G202" s="281"/>
      <c r="H202" s="595"/>
      <c r="I202" s="595"/>
      <c r="J202" s="595"/>
      <c r="K202" s="595"/>
      <c r="L202" s="595"/>
      <c r="M202" s="595"/>
      <c r="N202" s="595"/>
      <c r="O202" s="595"/>
      <c r="P202" s="595"/>
      <c r="Q202" s="595"/>
      <c r="R202" s="595"/>
      <c r="S202" s="595"/>
      <c r="T202" s="595"/>
      <c r="U202" s="595"/>
      <c r="V202" s="595"/>
      <c r="W202" s="595"/>
      <c r="X202" s="595"/>
      <c r="Y202" s="595"/>
      <c r="Z202" s="595"/>
      <c r="AA202" s="595"/>
      <c r="AB202" s="595"/>
      <c r="AC202" s="595"/>
      <c r="AD202" s="595"/>
      <c r="AE202" s="595"/>
      <c r="AF202" s="601"/>
      <c r="AG202" s="592"/>
    </row>
    <row r="203">
      <c r="A203" s="75"/>
      <c r="B203" s="75"/>
      <c r="C203" s="75"/>
      <c r="D203" s="75"/>
      <c r="E203" s="595"/>
      <c r="F203" s="281"/>
      <c r="G203" s="281"/>
      <c r="H203" s="595"/>
      <c r="I203" s="595"/>
      <c r="J203" s="595"/>
      <c r="K203" s="595"/>
      <c r="L203" s="595"/>
      <c r="M203" s="595"/>
      <c r="N203" s="595"/>
      <c r="O203" s="595"/>
      <c r="P203" s="595"/>
      <c r="Q203" s="595"/>
      <c r="R203" s="595"/>
      <c r="S203" s="595"/>
      <c r="T203" s="595"/>
      <c r="U203" s="595"/>
      <c r="V203" s="595"/>
      <c r="W203" s="595"/>
      <c r="X203" s="595"/>
      <c r="Y203" s="595"/>
      <c r="Z203" s="595"/>
      <c r="AA203" s="595"/>
      <c r="AB203" s="595"/>
      <c r="AC203" s="595"/>
      <c r="AD203" s="595"/>
      <c r="AE203" s="595"/>
      <c r="AF203" s="601"/>
      <c r="AG203" s="592"/>
    </row>
    <row r="204">
      <c r="A204" s="75"/>
      <c r="B204" s="75"/>
      <c r="C204" s="75"/>
      <c r="D204" s="75"/>
      <c r="E204" s="595"/>
      <c r="F204" s="281"/>
      <c r="G204" s="281"/>
      <c r="H204" s="595"/>
      <c r="I204" s="595"/>
      <c r="J204" s="595"/>
      <c r="K204" s="595"/>
      <c r="L204" s="595"/>
      <c r="M204" s="595"/>
      <c r="N204" s="595"/>
      <c r="O204" s="595"/>
      <c r="P204" s="595"/>
      <c r="Q204" s="595"/>
      <c r="R204" s="595"/>
      <c r="S204" s="595"/>
      <c r="T204" s="595"/>
      <c r="U204" s="595"/>
      <c r="V204" s="595"/>
      <c r="W204" s="595"/>
      <c r="X204" s="595"/>
      <c r="Y204" s="595"/>
      <c r="Z204" s="595"/>
      <c r="AA204" s="595"/>
      <c r="AB204" s="595"/>
      <c r="AC204" s="595"/>
      <c r="AD204" s="595"/>
      <c r="AE204" s="595"/>
      <c r="AF204" s="601"/>
      <c r="AG204" s="592"/>
    </row>
    <row r="205">
      <c r="A205" s="75"/>
      <c r="B205" s="75"/>
      <c r="C205" s="75"/>
      <c r="D205" s="75"/>
      <c r="E205" s="595"/>
      <c r="F205" s="281"/>
      <c r="G205" s="281"/>
      <c r="H205" s="595"/>
      <c r="I205" s="595"/>
      <c r="J205" s="595"/>
      <c r="K205" s="595"/>
      <c r="L205" s="595"/>
      <c r="M205" s="595"/>
      <c r="N205" s="595"/>
      <c r="O205" s="595"/>
      <c r="P205" s="595"/>
      <c r="Q205" s="595"/>
      <c r="R205" s="595"/>
      <c r="S205" s="595"/>
      <c r="T205" s="595"/>
      <c r="U205" s="595"/>
      <c r="V205" s="595"/>
      <c r="W205" s="595"/>
      <c r="X205" s="595"/>
      <c r="Y205" s="595"/>
      <c r="Z205" s="595"/>
      <c r="AA205" s="595"/>
      <c r="AB205" s="595"/>
      <c r="AC205" s="595"/>
      <c r="AD205" s="595"/>
      <c r="AE205" s="595"/>
      <c r="AF205" s="601"/>
      <c r="AG205" s="592"/>
    </row>
    <row r="206">
      <c r="A206" s="75"/>
      <c r="B206" s="75"/>
      <c r="C206" s="75"/>
      <c r="D206" s="75"/>
      <c r="E206" s="595"/>
      <c r="F206" s="281"/>
      <c r="G206" s="281"/>
      <c r="H206" s="595"/>
      <c r="I206" s="595"/>
      <c r="J206" s="595"/>
      <c r="K206" s="595"/>
      <c r="L206" s="595"/>
      <c r="M206" s="595"/>
      <c r="N206" s="595"/>
      <c r="O206" s="595"/>
      <c r="P206" s="595"/>
      <c r="Q206" s="595"/>
      <c r="R206" s="595"/>
      <c r="S206" s="595"/>
      <c r="T206" s="595"/>
      <c r="U206" s="595"/>
      <c r="V206" s="595"/>
      <c r="W206" s="595"/>
      <c r="X206" s="595"/>
      <c r="Y206" s="595"/>
      <c r="Z206" s="595"/>
      <c r="AA206" s="595"/>
      <c r="AB206" s="595"/>
      <c r="AC206" s="595"/>
      <c r="AD206" s="595"/>
      <c r="AE206" s="595"/>
      <c r="AF206" s="601"/>
      <c r="AG206" s="592"/>
    </row>
    <row r="207">
      <c r="A207" s="75"/>
      <c r="B207" s="75"/>
      <c r="C207" s="75"/>
      <c r="D207" s="75"/>
      <c r="E207" s="595"/>
      <c r="F207" s="281"/>
      <c r="G207" s="281"/>
      <c r="H207" s="595"/>
      <c r="I207" s="595"/>
      <c r="J207" s="595"/>
      <c r="K207" s="595"/>
      <c r="L207" s="595"/>
      <c r="M207" s="595"/>
      <c r="N207" s="595"/>
      <c r="O207" s="595"/>
      <c r="P207" s="595"/>
      <c r="Q207" s="595"/>
      <c r="R207" s="595"/>
      <c r="S207" s="595"/>
      <c r="T207" s="595"/>
      <c r="U207" s="595"/>
      <c r="V207" s="595"/>
      <c r="W207" s="595"/>
      <c r="X207" s="595"/>
      <c r="Y207" s="595"/>
      <c r="Z207" s="595"/>
      <c r="AA207" s="595"/>
      <c r="AB207" s="595"/>
      <c r="AC207" s="595"/>
      <c r="AD207" s="595"/>
      <c r="AE207" s="595"/>
      <c r="AF207" s="601"/>
      <c r="AG207" s="592"/>
    </row>
    <row r="208">
      <c r="A208" s="75"/>
      <c r="B208" s="75"/>
      <c r="C208" s="75"/>
      <c r="D208" s="75"/>
      <c r="E208" s="595"/>
      <c r="F208" s="281"/>
      <c r="G208" s="281"/>
      <c r="H208" s="595"/>
      <c r="I208" s="595"/>
      <c r="J208" s="595"/>
      <c r="K208" s="595"/>
      <c r="L208" s="595"/>
      <c r="M208" s="595"/>
      <c r="N208" s="595"/>
      <c r="O208" s="595"/>
      <c r="P208" s="595"/>
      <c r="Q208" s="595"/>
      <c r="R208" s="595"/>
      <c r="S208" s="595"/>
      <c r="T208" s="595"/>
      <c r="U208" s="595"/>
      <c r="V208" s="595"/>
      <c r="W208" s="595"/>
      <c r="X208" s="595"/>
      <c r="Y208" s="595"/>
      <c r="Z208" s="595"/>
      <c r="AA208" s="595"/>
      <c r="AB208" s="595"/>
      <c r="AC208" s="595"/>
      <c r="AD208" s="595"/>
      <c r="AE208" s="595"/>
      <c r="AF208" s="601"/>
      <c r="AG208" s="592"/>
    </row>
    <row r="209">
      <c r="A209" s="75"/>
      <c r="B209" s="75"/>
      <c r="C209" s="75"/>
      <c r="D209" s="75"/>
      <c r="E209" s="595"/>
      <c r="F209" s="281"/>
      <c r="G209" s="281"/>
      <c r="H209" s="595"/>
      <c r="I209" s="595"/>
      <c r="J209" s="595"/>
      <c r="K209" s="595"/>
      <c r="L209" s="595"/>
      <c r="M209" s="595"/>
      <c r="N209" s="595"/>
      <c r="O209" s="595"/>
      <c r="P209" s="595"/>
      <c r="Q209" s="595"/>
      <c r="R209" s="595"/>
      <c r="S209" s="595"/>
      <c r="T209" s="595"/>
      <c r="U209" s="595"/>
      <c r="V209" s="595"/>
      <c r="W209" s="595"/>
      <c r="X209" s="595"/>
      <c r="Y209" s="595"/>
      <c r="Z209" s="595"/>
      <c r="AA209" s="595"/>
      <c r="AB209" s="595"/>
      <c r="AC209" s="595"/>
      <c r="AD209" s="595"/>
      <c r="AE209" s="595"/>
      <c r="AF209" s="601"/>
      <c r="AG209" s="592"/>
    </row>
    <row r="210">
      <c r="E210" s="592"/>
      <c r="F210" s="591"/>
      <c r="G210" s="591"/>
      <c r="H210" s="592"/>
      <c r="I210" s="592"/>
      <c r="J210" s="592"/>
      <c r="K210" s="592"/>
      <c r="L210" s="592"/>
      <c r="M210" s="592"/>
      <c r="N210" s="592"/>
      <c r="O210" s="592"/>
      <c r="P210" s="592"/>
      <c r="Q210" s="592"/>
      <c r="R210" s="592"/>
      <c r="S210" s="592"/>
      <c r="T210" s="592"/>
      <c r="U210" s="592"/>
      <c r="V210" s="592"/>
      <c r="W210" s="592"/>
      <c r="X210" s="592"/>
      <c r="Y210" s="592"/>
      <c r="Z210" s="592"/>
      <c r="AA210" s="592"/>
      <c r="AB210" s="592"/>
      <c r="AC210" s="592"/>
      <c r="AD210" s="592"/>
      <c r="AE210" s="592"/>
      <c r="AF210" s="592"/>
      <c r="AG210" s="592"/>
    </row>
    <row r="211">
      <c r="E211" s="592"/>
      <c r="F211" s="591"/>
      <c r="G211" s="591"/>
      <c r="H211" s="592"/>
      <c r="I211" s="592"/>
      <c r="J211" s="592"/>
      <c r="K211" s="592"/>
      <c r="L211" s="592"/>
      <c r="M211" s="592"/>
      <c r="N211" s="592"/>
      <c r="O211" s="592"/>
      <c r="P211" s="592"/>
      <c r="Q211" s="592"/>
      <c r="R211" s="592"/>
      <c r="S211" s="592"/>
      <c r="T211" s="592"/>
      <c r="U211" s="592"/>
      <c r="V211" s="592"/>
      <c r="W211" s="592"/>
      <c r="X211" s="592"/>
      <c r="Y211" s="592"/>
      <c r="Z211" s="592"/>
      <c r="AA211" s="592"/>
      <c r="AB211" s="592"/>
      <c r="AC211" s="592"/>
      <c r="AD211" s="592"/>
      <c r="AE211" s="592"/>
      <c r="AF211" s="592"/>
      <c r="AG211" s="592"/>
    </row>
    <row r="212">
      <c r="E212" s="592"/>
      <c r="F212" s="591"/>
      <c r="G212" s="591"/>
      <c r="H212" s="592"/>
      <c r="I212" s="592"/>
      <c r="J212" s="592"/>
      <c r="K212" s="592"/>
      <c r="L212" s="592"/>
      <c r="M212" s="592"/>
      <c r="N212" s="592"/>
      <c r="O212" s="592"/>
      <c r="P212" s="592"/>
      <c r="Q212" s="592"/>
      <c r="R212" s="592"/>
      <c r="S212" s="592"/>
      <c r="T212" s="592"/>
      <c r="U212" s="592"/>
      <c r="V212" s="592"/>
      <c r="W212" s="592"/>
      <c r="X212" s="592"/>
      <c r="Y212" s="592"/>
      <c r="Z212" s="592"/>
      <c r="AA212" s="592"/>
      <c r="AB212" s="592"/>
      <c r="AC212" s="592"/>
      <c r="AD212" s="592"/>
      <c r="AE212" s="592"/>
      <c r="AF212" s="592"/>
      <c r="AG212" s="592"/>
    </row>
    <row r="213">
      <c r="E213" s="592"/>
      <c r="F213" s="591"/>
      <c r="G213" s="591"/>
      <c r="H213" s="592"/>
      <c r="I213" s="592"/>
      <c r="J213" s="592"/>
      <c r="K213" s="592"/>
      <c r="L213" s="592"/>
      <c r="M213" s="592"/>
      <c r="N213" s="592"/>
      <c r="O213" s="592"/>
      <c r="P213" s="592"/>
      <c r="Q213" s="592"/>
      <c r="R213" s="592"/>
      <c r="S213" s="592"/>
      <c r="T213" s="592"/>
      <c r="U213" s="592"/>
      <c r="V213" s="592"/>
      <c r="W213" s="592"/>
      <c r="X213" s="592"/>
      <c r="Y213" s="592"/>
      <c r="Z213" s="592"/>
      <c r="AA213" s="592"/>
      <c r="AB213" s="592"/>
      <c r="AC213" s="592"/>
      <c r="AD213" s="592"/>
      <c r="AE213" s="592"/>
      <c r="AF213" s="592"/>
      <c r="AG213" s="592"/>
    </row>
    <row r="214">
      <c r="E214" s="592"/>
      <c r="F214" s="591"/>
      <c r="G214" s="591"/>
      <c r="H214" s="592"/>
      <c r="I214" s="592"/>
      <c r="J214" s="592"/>
      <c r="K214" s="592"/>
      <c r="L214" s="592"/>
      <c r="M214" s="592"/>
      <c r="N214" s="592"/>
      <c r="O214" s="592"/>
      <c r="P214" s="592"/>
      <c r="Q214" s="592"/>
      <c r="R214" s="592"/>
      <c r="S214" s="592"/>
      <c r="T214" s="592"/>
      <c r="U214" s="592"/>
      <c r="V214" s="592"/>
      <c r="W214" s="592"/>
      <c r="X214" s="592"/>
      <c r="Y214" s="592"/>
      <c r="Z214" s="592"/>
      <c r="AA214" s="592"/>
      <c r="AB214" s="592"/>
      <c r="AC214" s="592"/>
      <c r="AD214" s="592"/>
      <c r="AE214" s="592"/>
      <c r="AF214" s="592"/>
      <c r="AG214" s="592"/>
    </row>
    <row r="215">
      <c r="E215" s="592"/>
      <c r="F215" s="591"/>
      <c r="G215" s="591"/>
      <c r="H215" s="592"/>
      <c r="I215" s="592"/>
      <c r="J215" s="592"/>
      <c r="K215" s="592"/>
      <c r="L215" s="592"/>
      <c r="M215" s="592"/>
      <c r="N215" s="592"/>
      <c r="O215" s="592"/>
      <c r="P215" s="592"/>
      <c r="Q215" s="592"/>
      <c r="R215" s="592"/>
      <c r="S215" s="592"/>
      <c r="T215" s="592"/>
      <c r="U215" s="592"/>
      <c r="V215" s="592"/>
      <c r="W215" s="592"/>
      <c r="X215" s="592"/>
      <c r="Y215" s="592"/>
      <c r="Z215" s="592"/>
      <c r="AA215" s="592"/>
      <c r="AB215" s="592"/>
      <c r="AC215" s="592"/>
      <c r="AD215" s="592"/>
      <c r="AE215" s="592"/>
      <c r="AF215" s="592"/>
      <c r="AG215" s="592"/>
    </row>
    <row r="216">
      <c r="E216" s="592"/>
      <c r="F216" s="591"/>
      <c r="G216" s="591"/>
      <c r="H216" s="592"/>
      <c r="I216" s="592"/>
      <c r="J216" s="592"/>
      <c r="K216" s="592"/>
      <c r="L216" s="592"/>
      <c r="M216" s="592"/>
      <c r="N216" s="592"/>
      <c r="O216" s="592"/>
      <c r="P216" s="592"/>
      <c r="Q216" s="592"/>
      <c r="R216" s="592"/>
      <c r="S216" s="592"/>
      <c r="T216" s="592"/>
      <c r="U216" s="592"/>
      <c r="V216" s="592"/>
      <c r="W216" s="592"/>
      <c r="X216" s="592"/>
      <c r="Y216" s="592"/>
      <c r="Z216" s="592"/>
      <c r="AA216" s="592"/>
      <c r="AB216" s="592"/>
      <c r="AC216" s="592"/>
      <c r="AD216" s="592"/>
      <c r="AE216" s="592"/>
      <c r="AF216" s="592"/>
      <c r="AG216" s="592"/>
    </row>
    <row r="217">
      <c r="E217" s="592"/>
      <c r="F217" s="591"/>
      <c r="G217" s="591"/>
      <c r="H217" s="592"/>
      <c r="I217" s="592"/>
      <c r="J217" s="592"/>
      <c r="K217" s="592"/>
      <c r="L217" s="592"/>
      <c r="M217" s="592"/>
      <c r="N217" s="592"/>
      <c r="O217" s="592"/>
      <c r="P217" s="592"/>
      <c r="Q217" s="592"/>
      <c r="R217" s="592"/>
      <c r="S217" s="592"/>
      <c r="T217" s="592"/>
      <c r="U217" s="592"/>
      <c r="V217" s="592"/>
      <c r="W217" s="592"/>
      <c r="X217" s="592"/>
      <c r="Y217" s="592"/>
      <c r="Z217" s="592"/>
      <c r="AA217" s="592"/>
      <c r="AB217" s="592"/>
      <c r="AC217" s="592"/>
      <c r="AD217" s="592"/>
      <c r="AE217" s="592"/>
      <c r="AF217" s="592"/>
      <c r="AG217" s="592"/>
    </row>
    <row r="218">
      <c r="E218" s="592"/>
      <c r="F218" s="591"/>
      <c r="G218" s="591"/>
      <c r="H218" s="592"/>
      <c r="I218" s="592"/>
      <c r="J218" s="592"/>
      <c r="K218" s="592"/>
      <c r="L218" s="592"/>
      <c r="M218" s="592"/>
      <c r="N218" s="592"/>
      <c r="O218" s="592"/>
      <c r="P218" s="592"/>
      <c r="Q218" s="592"/>
      <c r="R218" s="592"/>
      <c r="S218" s="592"/>
      <c r="T218" s="592"/>
      <c r="U218" s="592"/>
      <c r="V218" s="592"/>
      <c r="W218" s="592"/>
      <c r="X218" s="592"/>
      <c r="Y218" s="592"/>
      <c r="Z218" s="592"/>
      <c r="AA218" s="592"/>
      <c r="AB218" s="592"/>
      <c r="AC218" s="592"/>
      <c r="AD218" s="592"/>
      <c r="AE218" s="592"/>
      <c r="AF218" s="592"/>
      <c r="AG218" s="592"/>
    </row>
    <row r="219">
      <c r="E219" s="592"/>
      <c r="F219" s="591"/>
      <c r="G219" s="591"/>
      <c r="H219" s="592"/>
      <c r="I219" s="592"/>
      <c r="J219" s="592"/>
      <c r="K219" s="592"/>
      <c r="L219" s="592"/>
      <c r="M219" s="592"/>
      <c r="N219" s="592"/>
      <c r="O219" s="592"/>
      <c r="P219" s="592"/>
      <c r="Q219" s="592"/>
      <c r="R219" s="592"/>
      <c r="S219" s="592"/>
      <c r="T219" s="592"/>
      <c r="U219" s="592"/>
      <c r="V219" s="592"/>
      <c r="W219" s="592"/>
      <c r="X219" s="592"/>
      <c r="Y219" s="592"/>
      <c r="Z219" s="592"/>
      <c r="AA219" s="592"/>
      <c r="AB219" s="592"/>
      <c r="AC219" s="592"/>
      <c r="AD219" s="592"/>
      <c r="AE219" s="592"/>
      <c r="AF219" s="592"/>
      <c r="AG219" s="592"/>
    </row>
    <row r="220">
      <c r="E220" s="592"/>
      <c r="F220" s="591"/>
      <c r="G220" s="591"/>
      <c r="H220" s="592"/>
      <c r="I220" s="592"/>
      <c r="J220" s="592"/>
      <c r="K220" s="592"/>
      <c r="L220" s="592"/>
      <c r="M220" s="592"/>
      <c r="N220" s="592"/>
      <c r="O220" s="592"/>
      <c r="P220" s="592"/>
      <c r="Q220" s="592"/>
      <c r="R220" s="592"/>
      <c r="S220" s="592"/>
      <c r="T220" s="592"/>
      <c r="U220" s="592"/>
      <c r="V220" s="592"/>
      <c r="W220" s="592"/>
      <c r="X220" s="592"/>
      <c r="Y220" s="592"/>
      <c r="Z220" s="592"/>
      <c r="AA220" s="592"/>
      <c r="AB220" s="592"/>
      <c r="AC220" s="592"/>
      <c r="AD220" s="592"/>
      <c r="AE220" s="592"/>
      <c r="AF220" s="592"/>
      <c r="AG220" s="592"/>
    </row>
    <row r="221">
      <c r="E221" s="592"/>
      <c r="F221" s="591"/>
      <c r="G221" s="591"/>
      <c r="H221" s="592"/>
      <c r="I221" s="592"/>
      <c r="J221" s="592"/>
      <c r="K221" s="592"/>
      <c r="L221" s="592"/>
      <c r="M221" s="592"/>
      <c r="N221" s="592"/>
      <c r="O221" s="592"/>
      <c r="P221" s="592"/>
      <c r="Q221" s="592"/>
      <c r="R221" s="592"/>
      <c r="S221" s="592"/>
      <c r="T221" s="592"/>
      <c r="U221" s="592"/>
      <c r="V221" s="592"/>
      <c r="W221" s="592"/>
      <c r="X221" s="592"/>
      <c r="Y221" s="592"/>
      <c r="Z221" s="592"/>
      <c r="AA221" s="592"/>
      <c r="AB221" s="592"/>
      <c r="AC221" s="592"/>
      <c r="AD221" s="592"/>
      <c r="AE221" s="592"/>
      <c r="AF221" s="592"/>
      <c r="AG221" s="592"/>
    </row>
    <row r="222">
      <c r="E222" s="592"/>
      <c r="F222" s="591"/>
      <c r="G222" s="591"/>
      <c r="H222" s="592"/>
      <c r="I222" s="592"/>
      <c r="J222" s="592"/>
      <c r="K222" s="592"/>
      <c r="L222" s="592"/>
      <c r="M222" s="592"/>
      <c r="N222" s="592"/>
      <c r="O222" s="592"/>
      <c r="P222" s="592"/>
      <c r="Q222" s="592"/>
      <c r="R222" s="592"/>
      <c r="S222" s="592"/>
      <c r="T222" s="592"/>
      <c r="U222" s="592"/>
      <c r="V222" s="592"/>
      <c r="W222" s="592"/>
      <c r="X222" s="592"/>
      <c r="Y222" s="592"/>
      <c r="Z222" s="592"/>
      <c r="AA222" s="592"/>
      <c r="AB222" s="592"/>
      <c r="AC222" s="592"/>
      <c r="AD222" s="592"/>
      <c r="AE222" s="592"/>
      <c r="AF222" s="592"/>
      <c r="AG222" s="592"/>
    </row>
    <row r="223">
      <c r="E223" s="592"/>
      <c r="F223" s="591"/>
      <c r="G223" s="591"/>
      <c r="H223" s="592"/>
      <c r="I223" s="592"/>
      <c r="J223" s="592"/>
      <c r="K223" s="592"/>
      <c r="L223" s="592"/>
      <c r="M223" s="592"/>
      <c r="N223" s="592"/>
      <c r="O223" s="592"/>
      <c r="P223" s="592"/>
      <c r="Q223" s="592"/>
      <c r="R223" s="592"/>
      <c r="S223" s="592"/>
      <c r="T223" s="592"/>
      <c r="U223" s="592"/>
      <c r="V223" s="592"/>
      <c r="W223" s="592"/>
      <c r="X223" s="592"/>
      <c r="Y223" s="592"/>
      <c r="Z223" s="592"/>
      <c r="AA223" s="592"/>
      <c r="AB223" s="592"/>
      <c r="AC223" s="592"/>
      <c r="AD223" s="592"/>
      <c r="AE223" s="592"/>
      <c r="AF223" s="592"/>
      <c r="AG223" s="592"/>
    </row>
    <row r="224">
      <c r="E224" s="592"/>
      <c r="F224" s="591"/>
      <c r="G224" s="591"/>
      <c r="H224" s="592"/>
      <c r="I224" s="592"/>
      <c r="J224" s="592"/>
      <c r="K224" s="592"/>
      <c r="L224" s="592"/>
      <c r="M224" s="592"/>
      <c r="N224" s="592"/>
      <c r="O224" s="592"/>
      <c r="P224" s="592"/>
      <c r="Q224" s="592"/>
      <c r="R224" s="592"/>
      <c r="S224" s="592"/>
      <c r="T224" s="592"/>
      <c r="U224" s="592"/>
      <c r="V224" s="592"/>
      <c r="W224" s="592"/>
      <c r="X224" s="592"/>
      <c r="Y224" s="592"/>
      <c r="Z224" s="592"/>
      <c r="AA224" s="592"/>
      <c r="AB224" s="592"/>
      <c r="AC224" s="592"/>
      <c r="AD224" s="592"/>
      <c r="AE224" s="592"/>
      <c r="AF224" s="592"/>
      <c r="AG224" s="592"/>
    </row>
    <row r="225">
      <c r="E225" s="592"/>
      <c r="F225" s="591"/>
      <c r="G225" s="591"/>
      <c r="H225" s="592"/>
      <c r="I225" s="592"/>
      <c r="J225" s="592"/>
      <c r="K225" s="592"/>
      <c r="L225" s="592"/>
      <c r="M225" s="592"/>
      <c r="N225" s="592"/>
      <c r="O225" s="592"/>
      <c r="P225" s="592"/>
      <c r="Q225" s="592"/>
      <c r="R225" s="592"/>
      <c r="S225" s="592"/>
      <c r="T225" s="592"/>
      <c r="U225" s="592"/>
      <c r="V225" s="592"/>
      <c r="W225" s="592"/>
      <c r="X225" s="592"/>
      <c r="Y225" s="592"/>
      <c r="Z225" s="592"/>
      <c r="AA225" s="592"/>
      <c r="AB225" s="592"/>
      <c r="AC225" s="592"/>
      <c r="AD225" s="592"/>
      <c r="AE225" s="592"/>
      <c r="AF225" s="592"/>
      <c r="AG225" s="592"/>
    </row>
    <row r="226">
      <c r="E226" s="592"/>
      <c r="F226" s="591"/>
      <c r="G226" s="591"/>
      <c r="H226" s="592"/>
      <c r="I226" s="592"/>
      <c r="J226" s="592"/>
      <c r="K226" s="592"/>
      <c r="L226" s="592"/>
      <c r="M226" s="592"/>
      <c r="N226" s="592"/>
      <c r="O226" s="592"/>
      <c r="P226" s="592"/>
      <c r="Q226" s="592"/>
      <c r="R226" s="592"/>
      <c r="S226" s="592"/>
      <c r="T226" s="592"/>
      <c r="U226" s="592"/>
      <c r="V226" s="592"/>
      <c r="W226" s="592"/>
      <c r="X226" s="592"/>
      <c r="Y226" s="592"/>
      <c r="Z226" s="592"/>
      <c r="AA226" s="592"/>
      <c r="AB226" s="592"/>
      <c r="AC226" s="592"/>
      <c r="AD226" s="592"/>
      <c r="AE226" s="592"/>
      <c r="AF226" s="592"/>
      <c r="AG226" s="592"/>
    </row>
    <row r="227">
      <c r="E227" s="592"/>
      <c r="F227" s="591"/>
      <c r="G227" s="591"/>
      <c r="H227" s="592"/>
      <c r="I227" s="592"/>
      <c r="J227" s="592"/>
      <c r="K227" s="592"/>
      <c r="L227" s="592"/>
      <c r="M227" s="592"/>
      <c r="N227" s="592"/>
      <c r="O227" s="592"/>
      <c r="P227" s="592"/>
      <c r="Q227" s="592"/>
      <c r="R227" s="592"/>
      <c r="S227" s="592"/>
      <c r="T227" s="592"/>
      <c r="U227" s="592"/>
      <c r="V227" s="592"/>
      <c r="W227" s="592"/>
      <c r="X227" s="592"/>
      <c r="Y227" s="592"/>
      <c r="Z227" s="592"/>
      <c r="AA227" s="592"/>
      <c r="AB227" s="592"/>
      <c r="AC227" s="592"/>
      <c r="AD227" s="592"/>
      <c r="AE227" s="592"/>
      <c r="AF227" s="592"/>
      <c r="AG227" s="592"/>
    </row>
    <row r="228">
      <c r="E228" s="592"/>
      <c r="F228" s="591"/>
      <c r="G228" s="591"/>
      <c r="H228" s="592"/>
      <c r="I228" s="592"/>
      <c r="J228" s="592"/>
      <c r="K228" s="592"/>
      <c r="L228" s="592"/>
      <c r="M228" s="592"/>
      <c r="N228" s="592"/>
      <c r="O228" s="592"/>
      <c r="P228" s="592"/>
      <c r="Q228" s="592"/>
      <c r="R228" s="592"/>
      <c r="S228" s="592"/>
      <c r="T228" s="592"/>
      <c r="U228" s="592"/>
      <c r="V228" s="592"/>
      <c r="W228" s="592"/>
      <c r="X228" s="592"/>
      <c r="Y228" s="592"/>
      <c r="Z228" s="592"/>
      <c r="AA228" s="592"/>
      <c r="AB228" s="592"/>
      <c r="AC228" s="592"/>
      <c r="AD228" s="592"/>
      <c r="AE228" s="592"/>
      <c r="AF228" s="592"/>
      <c r="AG228" s="592"/>
    </row>
    <row r="229">
      <c r="E229" s="592"/>
      <c r="F229" s="591"/>
      <c r="G229" s="591"/>
      <c r="H229" s="592"/>
      <c r="I229" s="592"/>
      <c r="J229" s="592"/>
      <c r="K229" s="592"/>
      <c r="L229" s="592"/>
      <c r="M229" s="592"/>
      <c r="N229" s="592"/>
      <c r="O229" s="592"/>
      <c r="P229" s="592"/>
      <c r="Q229" s="592"/>
      <c r="R229" s="592"/>
      <c r="S229" s="592"/>
      <c r="T229" s="592"/>
      <c r="U229" s="592"/>
      <c r="V229" s="592"/>
      <c r="W229" s="592"/>
      <c r="X229" s="592"/>
      <c r="Y229" s="592"/>
      <c r="Z229" s="592"/>
      <c r="AA229" s="592"/>
      <c r="AB229" s="592"/>
      <c r="AC229" s="592"/>
      <c r="AD229" s="592"/>
      <c r="AE229" s="592"/>
      <c r="AF229" s="592"/>
      <c r="AG229" s="592"/>
    </row>
    <row r="230">
      <c r="E230" s="592"/>
      <c r="F230" s="591"/>
      <c r="G230" s="591"/>
      <c r="H230" s="592"/>
      <c r="I230" s="592"/>
      <c r="J230" s="592"/>
      <c r="K230" s="592"/>
      <c r="L230" s="592"/>
      <c r="M230" s="592"/>
      <c r="N230" s="592"/>
      <c r="O230" s="592"/>
      <c r="P230" s="592"/>
      <c r="Q230" s="592"/>
      <c r="R230" s="592"/>
      <c r="S230" s="592"/>
      <c r="T230" s="592"/>
      <c r="U230" s="592"/>
      <c r="V230" s="592"/>
      <c r="W230" s="592"/>
      <c r="X230" s="592"/>
      <c r="Y230" s="592"/>
      <c r="Z230" s="592"/>
      <c r="AA230" s="592"/>
      <c r="AB230" s="592"/>
      <c r="AC230" s="592"/>
      <c r="AD230" s="592"/>
      <c r="AE230" s="592"/>
      <c r="AF230" s="592"/>
      <c r="AG230" s="592"/>
    </row>
    <row r="231">
      <c r="E231" s="592"/>
      <c r="F231" s="591"/>
      <c r="G231" s="591"/>
      <c r="H231" s="592"/>
      <c r="I231" s="592"/>
      <c r="J231" s="592"/>
      <c r="K231" s="592"/>
      <c r="L231" s="592"/>
      <c r="M231" s="592"/>
      <c r="N231" s="592"/>
      <c r="O231" s="592"/>
      <c r="P231" s="592"/>
      <c r="Q231" s="592"/>
      <c r="R231" s="592"/>
      <c r="S231" s="592"/>
      <c r="T231" s="592"/>
      <c r="U231" s="592"/>
      <c r="V231" s="592"/>
      <c r="W231" s="592"/>
      <c r="X231" s="592"/>
      <c r="Y231" s="592"/>
      <c r="Z231" s="592"/>
      <c r="AA231" s="592"/>
      <c r="AB231" s="592"/>
      <c r="AC231" s="592"/>
      <c r="AD231" s="592"/>
      <c r="AE231" s="592"/>
      <c r="AF231" s="592"/>
      <c r="AG231" s="592"/>
    </row>
    <row r="232">
      <c r="E232" s="592"/>
      <c r="F232" s="591"/>
      <c r="G232" s="591"/>
      <c r="H232" s="592"/>
      <c r="I232" s="592"/>
      <c r="J232" s="592"/>
      <c r="K232" s="592"/>
      <c r="L232" s="592"/>
      <c r="M232" s="592"/>
      <c r="N232" s="592"/>
      <c r="O232" s="592"/>
      <c r="P232" s="592"/>
      <c r="Q232" s="592"/>
      <c r="R232" s="592"/>
      <c r="S232" s="592"/>
      <c r="T232" s="592"/>
      <c r="U232" s="592"/>
      <c r="V232" s="592"/>
      <c r="W232" s="592"/>
      <c r="X232" s="592"/>
      <c r="Y232" s="592"/>
      <c r="Z232" s="592"/>
      <c r="AA232" s="592"/>
      <c r="AB232" s="592"/>
      <c r="AC232" s="592"/>
      <c r="AD232" s="592"/>
      <c r="AE232" s="592"/>
      <c r="AF232" s="592"/>
      <c r="AG232" s="592"/>
    </row>
    <row r="233">
      <c r="E233" s="592"/>
      <c r="F233" s="591"/>
      <c r="G233" s="591"/>
      <c r="H233" s="592"/>
      <c r="I233" s="592"/>
      <c r="J233" s="592"/>
      <c r="K233" s="592"/>
      <c r="L233" s="592"/>
      <c r="M233" s="592"/>
      <c r="N233" s="592"/>
      <c r="O233" s="592"/>
      <c r="P233" s="592"/>
      <c r="Q233" s="592"/>
      <c r="R233" s="592"/>
      <c r="S233" s="592"/>
      <c r="T233" s="592"/>
      <c r="U233" s="592"/>
      <c r="V233" s="592"/>
      <c r="W233" s="592"/>
      <c r="X233" s="592"/>
      <c r="Y233" s="592"/>
      <c r="Z233" s="592"/>
      <c r="AA233" s="592"/>
      <c r="AB233" s="592"/>
      <c r="AC233" s="592"/>
      <c r="AD233" s="592"/>
      <c r="AE233" s="592"/>
      <c r="AF233" s="592"/>
      <c r="AG233" s="592"/>
    </row>
    <row r="234">
      <c r="E234" s="592"/>
      <c r="F234" s="591"/>
      <c r="G234" s="591"/>
      <c r="H234" s="592"/>
      <c r="I234" s="592"/>
      <c r="J234" s="592"/>
      <c r="K234" s="592"/>
      <c r="L234" s="592"/>
      <c r="M234" s="592"/>
      <c r="N234" s="592"/>
      <c r="O234" s="592"/>
      <c r="P234" s="592"/>
      <c r="Q234" s="592"/>
      <c r="R234" s="592"/>
      <c r="S234" s="592"/>
      <c r="T234" s="592"/>
      <c r="U234" s="592"/>
      <c r="V234" s="592"/>
      <c r="W234" s="592"/>
      <c r="X234" s="592"/>
      <c r="Y234" s="592"/>
      <c r="Z234" s="592"/>
      <c r="AA234" s="592"/>
      <c r="AB234" s="592"/>
      <c r="AC234" s="592"/>
      <c r="AD234" s="592"/>
      <c r="AE234" s="592"/>
      <c r="AF234" s="592"/>
      <c r="AG234" s="592"/>
    </row>
    <row r="235">
      <c r="E235" s="592"/>
      <c r="F235" s="591"/>
      <c r="G235" s="591"/>
      <c r="H235" s="592"/>
      <c r="I235" s="592"/>
      <c r="J235" s="592"/>
      <c r="K235" s="592"/>
      <c r="L235" s="592"/>
      <c r="M235" s="592"/>
      <c r="N235" s="592"/>
      <c r="O235" s="592"/>
      <c r="P235" s="592"/>
      <c r="Q235" s="592"/>
      <c r="R235" s="592"/>
      <c r="S235" s="592"/>
      <c r="T235" s="592"/>
      <c r="U235" s="592"/>
      <c r="V235" s="592"/>
      <c r="W235" s="592"/>
      <c r="X235" s="592"/>
      <c r="Y235" s="592"/>
      <c r="Z235" s="592"/>
      <c r="AA235" s="592"/>
      <c r="AB235" s="592"/>
      <c r="AC235" s="592"/>
      <c r="AD235" s="592"/>
      <c r="AE235" s="592"/>
      <c r="AF235" s="592"/>
      <c r="AG235" s="592"/>
    </row>
    <row r="236">
      <c r="E236" s="592"/>
      <c r="F236" s="591"/>
      <c r="G236" s="591"/>
      <c r="H236" s="592"/>
      <c r="I236" s="592"/>
      <c r="J236" s="592"/>
      <c r="K236" s="592"/>
      <c r="L236" s="592"/>
      <c r="M236" s="592"/>
      <c r="N236" s="592"/>
      <c r="O236" s="592"/>
      <c r="P236" s="592"/>
      <c r="Q236" s="592"/>
      <c r="R236" s="592"/>
      <c r="S236" s="592"/>
      <c r="T236" s="592"/>
      <c r="U236" s="592"/>
      <c r="V236" s="592"/>
      <c r="W236" s="592"/>
      <c r="X236" s="592"/>
      <c r="Y236" s="592"/>
      <c r="Z236" s="592"/>
      <c r="AA236" s="592"/>
      <c r="AB236" s="592"/>
      <c r="AC236" s="592"/>
      <c r="AD236" s="592"/>
      <c r="AE236" s="592"/>
      <c r="AF236" s="592"/>
      <c r="AG236" s="592"/>
    </row>
    <row r="237">
      <c r="E237" s="592"/>
      <c r="F237" s="591"/>
      <c r="G237" s="591"/>
      <c r="H237" s="592"/>
      <c r="I237" s="592"/>
      <c r="J237" s="592"/>
      <c r="K237" s="592"/>
      <c r="L237" s="592"/>
      <c r="M237" s="592"/>
      <c r="N237" s="592"/>
      <c r="O237" s="592"/>
      <c r="P237" s="592"/>
      <c r="Q237" s="592"/>
      <c r="R237" s="592"/>
      <c r="S237" s="592"/>
      <c r="T237" s="592"/>
      <c r="U237" s="592"/>
      <c r="V237" s="592"/>
      <c r="W237" s="592"/>
      <c r="X237" s="592"/>
      <c r="Y237" s="592"/>
      <c r="Z237" s="592"/>
      <c r="AA237" s="592"/>
      <c r="AB237" s="592"/>
      <c r="AC237" s="592"/>
      <c r="AD237" s="592"/>
      <c r="AE237" s="592"/>
      <c r="AF237" s="592"/>
      <c r="AG237" s="592"/>
    </row>
    <row r="238">
      <c r="E238" s="592"/>
      <c r="F238" s="591"/>
      <c r="G238" s="591"/>
      <c r="H238" s="592"/>
      <c r="I238" s="592"/>
      <c r="J238" s="592"/>
      <c r="K238" s="592"/>
      <c r="L238" s="592"/>
      <c r="M238" s="592"/>
      <c r="N238" s="592"/>
      <c r="O238" s="592"/>
      <c r="P238" s="592"/>
      <c r="Q238" s="592"/>
      <c r="R238" s="592"/>
      <c r="S238" s="592"/>
      <c r="T238" s="592"/>
      <c r="U238" s="592"/>
      <c r="V238" s="592"/>
      <c r="W238" s="592"/>
      <c r="X238" s="592"/>
      <c r="Y238" s="592"/>
      <c r="Z238" s="592"/>
      <c r="AA238" s="592"/>
      <c r="AB238" s="592"/>
      <c r="AC238" s="592"/>
      <c r="AD238" s="592"/>
      <c r="AE238" s="592"/>
      <c r="AF238" s="592"/>
      <c r="AG238" s="592"/>
    </row>
    <row r="239">
      <c r="E239" s="592"/>
      <c r="F239" s="591"/>
      <c r="G239" s="591"/>
      <c r="H239" s="592"/>
      <c r="I239" s="592"/>
      <c r="J239" s="592"/>
      <c r="K239" s="592"/>
      <c r="L239" s="592"/>
      <c r="M239" s="592"/>
      <c r="N239" s="592"/>
      <c r="O239" s="592"/>
      <c r="P239" s="592"/>
      <c r="Q239" s="592"/>
      <c r="R239" s="592"/>
      <c r="S239" s="592"/>
      <c r="T239" s="592"/>
      <c r="U239" s="592"/>
      <c r="V239" s="592"/>
      <c r="W239" s="592"/>
      <c r="X239" s="592"/>
      <c r="Y239" s="592"/>
      <c r="Z239" s="592"/>
      <c r="AA239" s="592"/>
      <c r="AB239" s="592"/>
      <c r="AC239" s="592"/>
      <c r="AD239" s="592"/>
      <c r="AE239" s="592"/>
      <c r="AF239" s="592"/>
      <c r="AG239" s="592"/>
    </row>
    <row r="240">
      <c r="E240" s="592"/>
      <c r="F240" s="591"/>
      <c r="G240" s="591"/>
      <c r="H240" s="592"/>
      <c r="I240" s="592"/>
      <c r="J240" s="592"/>
      <c r="K240" s="592"/>
      <c r="L240" s="592"/>
      <c r="M240" s="592"/>
      <c r="N240" s="592"/>
      <c r="O240" s="592"/>
      <c r="P240" s="592"/>
      <c r="Q240" s="592"/>
      <c r="R240" s="592"/>
      <c r="S240" s="592"/>
      <c r="T240" s="592"/>
      <c r="U240" s="592"/>
      <c r="V240" s="592"/>
      <c r="W240" s="592"/>
      <c r="X240" s="592"/>
      <c r="Y240" s="592"/>
      <c r="Z240" s="592"/>
      <c r="AA240" s="592"/>
      <c r="AB240" s="592"/>
      <c r="AC240" s="592"/>
      <c r="AD240" s="592"/>
      <c r="AE240" s="592"/>
      <c r="AF240" s="592"/>
      <c r="AG240" s="592"/>
    </row>
    <row r="241">
      <c r="E241" s="592"/>
      <c r="F241" s="591"/>
      <c r="G241" s="591"/>
      <c r="H241" s="592"/>
      <c r="I241" s="592"/>
      <c r="J241" s="592"/>
      <c r="K241" s="592"/>
      <c r="L241" s="592"/>
      <c r="M241" s="592"/>
      <c r="N241" s="592"/>
      <c r="O241" s="592"/>
      <c r="P241" s="592"/>
      <c r="Q241" s="592"/>
      <c r="R241" s="592"/>
      <c r="S241" s="592"/>
      <c r="T241" s="592"/>
      <c r="U241" s="592"/>
      <c r="V241" s="592"/>
      <c r="W241" s="592"/>
      <c r="X241" s="592"/>
      <c r="Y241" s="592"/>
      <c r="Z241" s="592"/>
      <c r="AA241" s="592"/>
      <c r="AB241" s="592"/>
      <c r="AC241" s="592"/>
      <c r="AD241" s="592"/>
      <c r="AE241" s="592"/>
      <c r="AF241" s="592"/>
      <c r="AG241" s="592"/>
    </row>
    <row r="242">
      <c r="E242" s="592"/>
      <c r="F242" s="591"/>
      <c r="G242" s="591"/>
      <c r="H242" s="592"/>
      <c r="I242" s="592"/>
      <c r="J242" s="592"/>
      <c r="K242" s="592"/>
      <c r="L242" s="592"/>
      <c r="M242" s="592"/>
      <c r="N242" s="592"/>
      <c r="O242" s="592"/>
      <c r="P242" s="592"/>
      <c r="Q242" s="592"/>
      <c r="R242" s="592"/>
      <c r="S242" s="592"/>
      <c r="T242" s="592"/>
      <c r="U242" s="592"/>
      <c r="V242" s="592"/>
      <c r="W242" s="592"/>
      <c r="X242" s="592"/>
      <c r="Y242" s="592"/>
      <c r="Z242" s="592"/>
      <c r="AA242" s="592"/>
      <c r="AB242" s="592"/>
      <c r="AC242" s="592"/>
      <c r="AD242" s="592"/>
      <c r="AE242" s="592"/>
      <c r="AF242" s="592"/>
      <c r="AG242" s="592"/>
    </row>
    <row r="243">
      <c r="E243" s="592"/>
      <c r="F243" s="591"/>
      <c r="G243" s="591"/>
      <c r="H243" s="592"/>
      <c r="I243" s="592"/>
      <c r="J243" s="592"/>
      <c r="K243" s="592"/>
      <c r="L243" s="592"/>
      <c r="M243" s="592"/>
      <c r="N243" s="592"/>
      <c r="O243" s="592"/>
      <c r="P243" s="592"/>
      <c r="Q243" s="592"/>
      <c r="R243" s="592"/>
      <c r="S243" s="592"/>
      <c r="T243" s="592"/>
      <c r="U243" s="592"/>
      <c r="V243" s="592"/>
      <c r="W243" s="592"/>
      <c r="X243" s="592"/>
      <c r="Y243" s="592"/>
      <c r="Z243" s="592"/>
      <c r="AA243" s="592"/>
      <c r="AB243" s="592"/>
      <c r="AC243" s="592"/>
      <c r="AD243" s="592"/>
      <c r="AE243" s="592"/>
      <c r="AF243" s="592"/>
      <c r="AG243" s="592"/>
    </row>
    <row r="244">
      <c r="E244" s="592"/>
      <c r="F244" s="591"/>
      <c r="G244" s="591"/>
      <c r="H244" s="592"/>
      <c r="I244" s="592"/>
      <c r="J244" s="592"/>
      <c r="K244" s="592"/>
      <c r="L244" s="592"/>
      <c r="M244" s="592"/>
      <c r="N244" s="592"/>
      <c r="O244" s="592"/>
      <c r="P244" s="592"/>
      <c r="Q244" s="592"/>
      <c r="R244" s="592"/>
      <c r="S244" s="592"/>
      <c r="T244" s="592"/>
      <c r="U244" s="592"/>
      <c r="V244" s="592"/>
      <c r="W244" s="592"/>
      <c r="X244" s="592"/>
      <c r="Y244" s="592"/>
      <c r="Z244" s="592"/>
      <c r="AA244" s="592"/>
      <c r="AB244" s="592"/>
      <c r="AC244" s="592"/>
      <c r="AD244" s="592"/>
      <c r="AE244" s="592"/>
      <c r="AF244" s="592"/>
      <c r="AG244" s="592"/>
    </row>
    <row r="245">
      <c r="E245" s="592"/>
      <c r="F245" s="591"/>
      <c r="G245" s="591"/>
      <c r="H245" s="592"/>
      <c r="I245" s="592"/>
      <c r="J245" s="592"/>
      <c r="K245" s="592"/>
      <c r="L245" s="592"/>
      <c r="M245" s="592"/>
      <c r="N245" s="592"/>
      <c r="O245" s="592"/>
      <c r="P245" s="592"/>
      <c r="Q245" s="592"/>
      <c r="R245" s="592"/>
      <c r="S245" s="592"/>
      <c r="T245" s="592"/>
      <c r="U245" s="592"/>
      <c r="V245" s="592"/>
      <c r="W245" s="592"/>
      <c r="X245" s="592"/>
      <c r="Y245" s="592"/>
      <c r="Z245" s="592"/>
      <c r="AA245" s="592"/>
      <c r="AB245" s="592"/>
      <c r="AC245" s="592"/>
      <c r="AD245" s="592"/>
      <c r="AE245" s="592"/>
      <c r="AF245" s="592"/>
      <c r="AG245" s="592"/>
    </row>
    <row r="246">
      <c r="E246" s="592"/>
      <c r="F246" s="591"/>
      <c r="G246" s="591"/>
      <c r="H246" s="592"/>
      <c r="I246" s="592"/>
      <c r="J246" s="592"/>
      <c r="K246" s="592"/>
      <c r="L246" s="592"/>
      <c r="M246" s="592"/>
      <c r="N246" s="592"/>
      <c r="O246" s="592"/>
      <c r="P246" s="592"/>
      <c r="Q246" s="592"/>
      <c r="R246" s="592"/>
      <c r="S246" s="592"/>
      <c r="T246" s="592"/>
      <c r="U246" s="592"/>
      <c r="V246" s="592"/>
      <c r="W246" s="592"/>
      <c r="X246" s="592"/>
      <c r="Y246" s="592"/>
      <c r="Z246" s="592"/>
      <c r="AA246" s="592"/>
      <c r="AB246" s="592"/>
      <c r="AC246" s="592"/>
      <c r="AD246" s="592"/>
      <c r="AE246" s="592"/>
      <c r="AF246" s="592"/>
      <c r="AG246" s="592"/>
    </row>
    <row r="247">
      <c r="E247" s="592"/>
      <c r="F247" s="591"/>
      <c r="G247" s="591"/>
      <c r="H247" s="592"/>
      <c r="I247" s="592"/>
      <c r="J247" s="592"/>
      <c r="K247" s="592"/>
      <c r="L247" s="592"/>
      <c r="M247" s="592"/>
      <c r="N247" s="592"/>
      <c r="O247" s="592"/>
      <c r="P247" s="592"/>
      <c r="Q247" s="592"/>
      <c r="R247" s="592"/>
      <c r="S247" s="592"/>
      <c r="T247" s="592"/>
      <c r="U247" s="592"/>
      <c r="V247" s="592"/>
      <c r="W247" s="592"/>
      <c r="X247" s="592"/>
      <c r="Y247" s="592"/>
      <c r="Z247" s="592"/>
      <c r="AA247" s="592"/>
      <c r="AB247" s="592"/>
      <c r="AC247" s="592"/>
      <c r="AD247" s="592"/>
      <c r="AE247" s="592"/>
      <c r="AF247" s="592"/>
      <c r="AG247" s="592"/>
    </row>
    <row r="248">
      <c r="E248" s="592"/>
      <c r="F248" s="591"/>
      <c r="G248" s="591"/>
      <c r="H248" s="592"/>
      <c r="I248" s="592"/>
      <c r="J248" s="592"/>
      <c r="K248" s="592"/>
      <c r="L248" s="592"/>
      <c r="M248" s="592"/>
      <c r="N248" s="592"/>
      <c r="O248" s="592"/>
      <c r="P248" s="592"/>
      <c r="Q248" s="592"/>
      <c r="R248" s="592"/>
      <c r="S248" s="592"/>
      <c r="T248" s="592"/>
      <c r="U248" s="592"/>
      <c r="V248" s="592"/>
      <c r="W248" s="592"/>
      <c r="X248" s="592"/>
      <c r="Y248" s="592"/>
      <c r="Z248" s="592"/>
      <c r="AA248" s="592"/>
      <c r="AB248" s="592"/>
      <c r="AC248" s="592"/>
      <c r="AD248" s="592"/>
      <c r="AE248" s="592"/>
      <c r="AF248" s="592"/>
      <c r="AG248" s="592"/>
    </row>
    <row r="249">
      <c r="E249" s="592"/>
      <c r="F249" s="591"/>
      <c r="G249" s="591"/>
      <c r="H249" s="592"/>
      <c r="I249" s="592"/>
      <c r="J249" s="592"/>
      <c r="K249" s="592"/>
      <c r="L249" s="592"/>
      <c r="M249" s="592"/>
      <c r="N249" s="592"/>
      <c r="O249" s="592"/>
      <c r="P249" s="592"/>
      <c r="Q249" s="592"/>
      <c r="R249" s="592"/>
      <c r="S249" s="592"/>
      <c r="T249" s="592"/>
      <c r="U249" s="592"/>
      <c r="V249" s="592"/>
      <c r="W249" s="592"/>
      <c r="X249" s="592"/>
      <c r="Y249" s="592"/>
      <c r="Z249" s="592"/>
      <c r="AA249" s="592"/>
      <c r="AB249" s="592"/>
      <c r="AC249" s="592"/>
      <c r="AD249" s="592"/>
      <c r="AE249" s="592"/>
      <c r="AF249" s="592"/>
      <c r="AG249" s="592"/>
    </row>
    <row r="250">
      <c r="E250" s="592"/>
      <c r="F250" s="591"/>
      <c r="G250" s="591"/>
      <c r="H250" s="592"/>
      <c r="I250" s="592"/>
      <c r="J250" s="592"/>
      <c r="K250" s="592"/>
      <c r="L250" s="592"/>
      <c r="M250" s="592"/>
      <c r="N250" s="592"/>
      <c r="O250" s="592"/>
      <c r="P250" s="592"/>
      <c r="Q250" s="592"/>
      <c r="R250" s="592"/>
      <c r="S250" s="592"/>
      <c r="T250" s="592"/>
      <c r="U250" s="592"/>
      <c r="V250" s="592"/>
      <c r="W250" s="592"/>
      <c r="X250" s="592"/>
      <c r="Y250" s="592"/>
      <c r="Z250" s="592"/>
      <c r="AA250" s="592"/>
      <c r="AB250" s="592"/>
      <c r="AC250" s="592"/>
      <c r="AD250" s="592"/>
      <c r="AE250" s="592"/>
      <c r="AF250" s="592"/>
      <c r="AG250" s="592"/>
    </row>
    <row r="251">
      <c r="E251" s="592"/>
      <c r="F251" s="591"/>
      <c r="G251" s="591"/>
      <c r="H251" s="592"/>
      <c r="I251" s="592"/>
      <c r="J251" s="592"/>
      <c r="K251" s="592"/>
      <c r="L251" s="592"/>
      <c r="M251" s="592"/>
      <c r="N251" s="592"/>
      <c r="O251" s="592"/>
      <c r="P251" s="592"/>
      <c r="Q251" s="592"/>
      <c r="R251" s="592"/>
      <c r="S251" s="592"/>
      <c r="T251" s="592"/>
      <c r="U251" s="592"/>
      <c r="V251" s="592"/>
      <c r="W251" s="592"/>
      <c r="X251" s="592"/>
      <c r="Y251" s="592"/>
      <c r="Z251" s="592"/>
      <c r="AA251" s="592"/>
      <c r="AB251" s="592"/>
      <c r="AC251" s="592"/>
      <c r="AD251" s="592"/>
      <c r="AE251" s="592"/>
      <c r="AF251" s="592"/>
      <c r="AG251" s="592"/>
    </row>
    <row r="252">
      <c r="E252" s="592"/>
      <c r="F252" s="591"/>
      <c r="G252" s="591"/>
      <c r="H252" s="592"/>
      <c r="I252" s="592"/>
      <c r="J252" s="592"/>
      <c r="K252" s="592"/>
      <c r="L252" s="592"/>
      <c r="M252" s="592"/>
      <c r="N252" s="592"/>
      <c r="O252" s="592"/>
      <c r="P252" s="592"/>
      <c r="Q252" s="592"/>
      <c r="R252" s="592"/>
      <c r="S252" s="592"/>
      <c r="T252" s="592"/>
      <c r="U252" s="592"/>
      <c r="V252" s="592"/>
      <c r="W252" s="592"/>
      <c r="X252" s="592"/>
      <c r="Y252" s="592"/>
      <c r="Z252" s="592"/>
      <c r="AA252" s="592"/>
      <c r="AB252" s="592"/>
      <c r="AC252" s="592"/>
      <c r="AD252" s="592"/>
      <c r="AE252" s="592"/>
      <c r="AF252" s="592"/>
      <c r="AG252" s="592"/>
    </row>
    <row r="253">
      <c r="E253" s="592"/>
      <c r="F253" s="591"/>
      <c r="G253" s="591"/>
      <c r="H253" s="592"/>
      <c r="I253" s="592"/>
      <c r="J253" s="592"/>
      <c r="K253" s="592"/>
      <c r="L253" s="592"/>
      <c r="M253" s="592"/>
      <c r="N253" s="592"/>
      <c r="O253" s="592"/>
      <c r="P253" s="592"/>
      <c r="Q253" s="592"/>
      <c r="R253" s="592"/>
      <c r="S253" s="592"/>
      <c r="T253" s="592"/>
      <c r="U253" s="592"/>
      <c r="V253" s="592"/>
      <c r="W253" s="592"/>
      <c r="X253" s="592"/>
      <c r="Y253" s="592"/>
      <c r="Z253" s="592"/>
      <c r="AA253" s="592"/>
      <c r="AB253" s="592"/>
      <c r="AC253" s="592"/>
      <c r="AD253" s="592"/>
      <c r="AE253" s="592"/>
      <c r="AF253" s="592"/>
      <c r="AG253" s="592"/>
    </row>
    <row r="254">
      <c r="E254" s="592"/>
      <c r="F254" s="591"/>
      <c r="G254" s="591"/>
      <c r="H254" s="592"/>
      <c r="I254" s="592"/>
      <c r="J254" s="592"/>
      <c r="K254" s="592"/>
      <c r="L254" s="592"/>
      <c r="M254" s="592"/>
      <c r="N254" s="592"/>
      <c r="O254" s="592"/>
      <c r="P254" s="592"/>
      <c r="Q254" s="592"/>
      <c r="R254" s="592"/>
      <c r="S254" s="592"/>
      <c r="T254" s="592"/>
      <c r="U254" s="592"/>
      <c r="V254" s="592"/>
      <c r="W254" s="592"/>
      <c r="X254" s="592"/>
      <c r="Y254" s="592"/>
      <c r="Z254" s="592"/>
      <c r="AA254" s="592"/>
      <c r="AB254" s="592"/>
      <c r="AC254" s="592"/>
      <c r="AD254" s="592"/>
      <c r="AE254" s="592"/>
      <c r="AF254" s="592"/>
      <c r="AG254" s="592"/>
    </row>
    <row r="255">
      <c r="E255" s="592"/>
      <c r="F255" s="591"/>
      <c r="G255" s="591"/>
      <c r="H255" s="592"/>
      <c r="I255" s="592"/>
      <c r="J255" s="592"/>
      <c r="K255" s="592"/>
      <c r="L255" s="592"/>
      <c r="M255" s="592"/>
      <c r="N255" s="592"/>
      <c r="O255" s="592"/>
      <c r="P255" s="592"/>
      <c r="Q255" s="592"/>
      <c r="R255" s="592"/>
      <c r="S255" s="592"/>
      <c r="T255" s="592"/>
      <c r="U255" s="592"/>
      <c r="V255" s="592"/>
      <c r="W255" s="592"/>
      <c r="X255" s="592"/>
      <c r="Y255" s="592"/>
      <c r="Z255" s="592"/>
      <c r="AA255" s="592"/>
      <c r="AB255" s="592"/>
      <c r="AC255" s="592"/>
      <c r="AD255" s="592"/>
      <c r="AE255" s="592"/>
      <c r="AF255" s="592"/>
      <c r="AG255" s="592"/>
    </row>
    <row r="256">
      <c r="E256" s="592"/>
      <c r="F256" s="591"/>
      <c r="G256" s="591"/>
      <c r="H256" s="592"/>
      <c r="I256" s="592"/>
      <c r="J256" s="592"/>
      <c r="K256" s="592"/>
      <c r="L256" s="592"/>
      <c r="M256" s="592"/>
      <c r="N256" s="592"/>
      <c r="O256" s="592"/>
      <c r="P256" s="592"/>
      <c r="Q256" s="592"/>
      <c r="R256" s="592"/>
      <c r="S256" s="592"/>
      <c r="T256" s="592"/>
      <c r="U256" s="592"/>
      <c r="V256" s="592"/>
      <c r="W256" s="592"/>
      <c r="X256" s="592"/>
      <c r="Y256" s="592"/>
      <c r="Z256" s="592"/>
      <c r="AA256" s="592"/>
      <c r="AB256" s="592"/>
      <c r="AC256" s="592"/>
      <c r="AD256" s="592"/>
      <c r="AE256" s="592"/>
      <c r="AF256" s="592"/>
      <c r="AG256" s="592"/>
    </row>
    <row r="257">
      <c r="E257" s="592"/>
      <c r="F257" s="591"/>
      <c r="G257" s="591"/>
      <c r="H257" s="592"/>
      <c r="I257" s="592"/>
      <c r="J257" s="592"/>
      <c r="K257" s="592"/>
      <c r="L257" s="592"/>
      <c r="M257" s="592"/>
      <c r="N257" s="592"/>
      <c r="O257" s="592"/>
      <c r="P257" s="592"/>
      <c r="Q257" s="592"/>
      <c r="R257" s="592"/>
      <c r="S257" s="592"/>
      <c r="T257" s="592"/>
      <c r="U257" s="592"/>
      <c r="V257" s="592"/>
      <c r="W257" s="592"/>
      <c r="X257" s="592"/>
      <c r="Y257" s="592"/>
      <c r="Z257" s="592"/>
      <c r="AA257" s="592"/>
      <c r="AB257" s="592"/>
      <c r="AC257" s="592"/>
      <c r="AD257" s="592"/>
      <c r="AE257" s="592"/>
      <c r="AF257" s="592"/>
      <c r="AG257" s="592"/>
    </row>
    <row r="258">
      <c r="E258" s="592"/>
      <c r="F258" s="591"/>
      <c r="G258" s="591"/>
      <c r="H258" s="592"/>
      <c r="I258" s="592"/>
      <c r="J258" s="592"/>
      <c r="K258" s="592"/>
      <c r="L258" s="592"/>
      <c r="M258" s="592"/>
      <c r="N258" s="592"/>
      <c r="O258" s="592"/>
      <c r="P258" s="592"/>
      <c r="Q258" s="592"/>
      <c r="R258" s="592"/>
      <c r="S258" s="592"/>
      <c r="T258" s="592"/>
      <c r="U258" s="592"/>
      <c r="V258" s="592"/>
      <c r="W258" s="592"/>
      <c r="X258" s="592"/>
      <c r="Y258" s="592"/>
      <c r="Z258" s="592"/>
      <c r="AA258" s="592"/>
      <c r="AB258" s="592"/>
      <c r="AC258" s="592"/>
      <c r="AD258" s="592"/>
      <c r="AE258" s="592"/>
      <c r="AF258" s="592"/>
      <c r="AG258" s="592"/>
    </row>
    <row r="259">
      <c r="E259" s="592"/>
      <c r="F259" s="591"/>
      <c r="G259" s="591"/>
      <c r="H259" s="592"/>
      <c r="I259" s="592"/>
      <c r="J259" s="592"/>
      <c r="K259" s="592"/>
      <c r="L259" s="592"/>
      <c r="M259" s="592"/>
      <c r="N259" s="592"/>
      <c r="O259" s="592"/>
      <c r="P259" s="592"/>
      <c r="Q259" s="592"/>
      <c r="R259" s="592"/>
      <c r="S259" s="592"/>
      <c r="T259" s="592"/>
      <c r="U259" s="592"/>
      <c r="V259" s="592"/>
      <c r="W259" s="592"/>
      <c r="X259" s="592"/>
      <c r="Y259" s="592"/>
      <c r="Z259" s="592"/>
      <c r="AA259" s="592"/>
      <c r="AB259" s="592"/>
      <c r="AC259" s="592"/>
      <c r="AD259" s="592"/>
      <c r="AE259" s="592"/>
      <c r="AF259" s="592"/>
      <c r="AG259" s="592"/>
    </row>
    <row r="260">
      <c r="E260" s="592"/>
      <c r="F260" s="591"/>
      <c r="G260" s="591"/>
      <c r="H260" s="592"/>
      <c r="I260" s="592"/>
      <c r="J260" s="592"/>
      <c r="K260" s="592"/>
      <c r="L260" s="592"/>
      <c r="M260" s="592"/>
      <c r="N260" s="592"/>
      <c r="O260" s="592"/>
      <c r="P260" s="592"/>
      <c r="Q260" s="592"/>
      <c r="R260" s="592"/>
      <c r="S260" s="592"/>
      <c r="T260" s="592"/>
      <c r="U260" s="592"/>
      <c r="V260" s="592"/>
      <c r="W260" s="592"/>
      <c r="X260" s="592"/>
      <c r="Y260" s="592"/>
      <c r="Z260" s="592"/>
      <c r="AA260" s="592"/>
      <c r="AB260" s="592"/>
      <c r="AC260" s="592"/>
      <c r="AD260" s="592"/>
      <c r="AE260" s="592"/>
      <c r="AF260" s="592"/>
      <c r="AG260" s="592"/>
    </row>
    <row r="261">
      <c r="E261" s="592"/>
      <c r="F261" s="591"/>
      <c r="G261" s="591"/>
      <c r="H261" s="592"/>
      <c r="I261" s="592"/>
      <c r="J261" s="592"/>
      <c r="K261" s="592"/>
      <c r="L261" s="592"/>
      <c r="M261" s="592"/>
      <c r="N261" s="592"/>
      <c r="O261" s="592"/>
      <c r="P261" s="592"/>
      <c r="Q261" s="592"/>
      <c r="R261" s="592"/>
      <c r="S261" s="592"/>
      <c r="T261" s="592"/>
      <c r="U261" s="592"/>
      <c r="V261" s="592"/>
      <c r="W261" s="592"/>
      <c r="X261" s="592"/>
      <c r="Y261" s="592"/>
      <c r="Z261" s="592"/>
      <c r="AA261" s="592"/>
      <c r="AB261" s="592"/>
      <c r="AC261" s="592"/>
      <c r="AD261" s="592"/>
      <c r="AE261" s="592"/>
      <c r="AF261" s="592"/>
      <c r="AG261" s="592"/>
    </row>
    <row r="262">
      <c r="E262" s="592"/>
      <c r="F262" s="591"/>
      <c r="G262" s="591"/>
      <c r="H262" s="592"/>
      <c r="I262" s="592"/>
      <c r="J262" s="592"/>
      <c r="K262" s="592"/>
      <c r="L262" s="592"/>
      <c r="M262" s="592"/>
      <c r="N262" s="592"/>
      <c r="O262" s="592"/>
      <c r="P262" s="592"/>
      <c r="Q262" s="592"/>
      <c r="R262" s="592"/>
      <c r="S262" s="592"/>
      <c r="T262" s="592"/>
      <c r="U262" s="592"/>
      <c r="V262" s="592"/>
      <c r="W262" s="592"/>
      <c r="X262" s="592"/>
      <c r="Y262" s="592"/>
      <c r="Z262" s="592"/>
      <c r="AA262" s="592"/>
      <c r="AB262" s="592"/>
      <c r="AC262" s="592"/>
      <c r="AD262" s="592"/>
      <c r="AE262" s="592"/>
      <c r="AF262" s="592"/>
      <c r="AG262" s="592"/>
    </row>
    <row r="263">
      <c r="E263" s="592"/>
      <c r="F263" s="591"/>
      <c r="G263" s="591"/>
      <c r="H263" s="592"/>
      <c r="I263" s="592"/>
      <c r="J263" s="592"/>
      <c r="K263" s="592"/>
      <c r="L263" s="592"/>
      <c r="M263" s="592"/>
      <c r="N263" s="592"/>
      <c r="O263" s="592"/>
      <c r="P263" s="592"/>
      <c r="Q263" s="592"/>
      <c r="R263" s="592"/>
      <c r="S263" s="592"/>
      <c r="T263" s="592"/>
      <c r="U263" s="592"/>
      <c r="V263" s="592"/>
      <c r="W263" s="592"/>
      <c r="X263" s="592"/>
      <c r="Y263" s="592"/>
      <c r="Z263" s="592"/>
      <c r="AA263" s="592"/>
      <c r="AB263" s="592"/>
      <c r="AC263" s="592"/>
      <c r="AD263" s="592"/>
      <c r="AE263" s="592"/>
      <c r="AF263" s="592"/>
      <c r="AG263" s="592"/>
    </row>
    <row r="264">
      <c r="E264" s="592"/>
      <c r="F264" s="591"/>
      <c r="G264" s="591"/>
      <c r="H264" s="592"/>
      <c r="I264" s="592"/>
      <c r="J264" s="592"/>
      <c r="K264" s="592"/>
      <c r="L264" s="592"/>
      <c r="M264" s="592"/>
      <c r="N264" s="592"/>
      <c r="O264" s="592"/>
      <c r="P264" s="592"/>
      <c r="Q264" s="592"/>
      <c r="R264" s="592"/>
      <c r="S264" s="592"/>
      <c r="T264" s="592"/>
      <c r="U264" s="592"/>
      <c r="V264" s="592"/>
      <c r="W264" s="592"/>
      <c r="X264" s="592"/>
      <c r="Y264" s="592"/>
      <c r="Z264" s="592"/>
      <c r="AA264" s="592"/>
      <c r="AB264" s="592"/>
      <c r="AC264" s="592"/>
      <c r="AD264" s="592"/>
      <c r="AE264" s="592"/>
      <c r="AF264" s="592"/>
      <c r="AG264" s="592"/>
    </row>
    <row r="265">
      <c r="E265" s="592"/>
      <c r="F265" s="591"/>
      <c r="G265" s="591"/>
      <c r="H265" s="592"/>
      <c r="I265" s="592"/>
      <c r="J265" s="592"/>
      <c r="K265" s="592"/>
      <c r="L265" s="592"/>
      <c r="M265" s="592"/>
      <c r="N265" s="592"/>
      <c r="O265" s="592"/>
      <c r="P265" s="592"/>
      <c r="Q265" s="592"/>
      <c r="R265" s="592"/>
      <c r="S265" s="592"/>
      <c r="T265" s="592"/>
      <c r="U265" s="592"/>
      <c r="V265" s="592"/>
      <c r="W265" s="592"/>
      <c r="X265" s="592"/>
      <c r="Y265" s="592"/>
      <c r="Z265" s="592"/>
      <c r="AA265" s="592"/>
      <c r="AB265" s="592"/>
      <c r="AC265" s="592"/>
      <c r="AD265" s="592"/>
      <c r="AE265" s="592"/>
      <c r="AF265" s="592"/>
      <c r="AG265" s="592"/>
    </row>
    <row r="266">
      <c r="E266" s="592"/>
      <c r="F266" s="591"/>
      <c r="G266" s="591"/>
      <c r="H266" s="592"/>
      <c r="I266" s="592"/>
      <c r="J266" s="592"/>
      <c r="K266" s="592"/>
      <c r="L266" s="592"/>
      <c r="M266" s="592"/>
      <c r="N266" s="592"/>
      <c r="O266" s="592"/>
      <c r="P266" s="592"/>
      <c r="Q266" s="592"/>
      <c r="R266" s="592"/>
      <c r="S266" s="592"/>
      <c r="T266" s="592"/>
      <c r="U266" s="592"/>
      <c r="V266" s="592"/>
      <c r="W266" s="592"/>
      <c r="X266" s="592"/>
      <c r="Y266" s="592"/>
      <c r="Z266" s="592"/>
      <c r="AA266" s="592"/>
      <c r="AB266" s="592"/>
      <c r="AC266" s="592"/>
      <c r="AD266" s="592"/>
      <c r="AE266" s="592"/>
      <c r="AF266" s="592"/>
      <c r="AG266" s="592"/>
    </row>
    <row r="267">
      <c r="E267" s="592"/>
      <c r="F267" s="591"/>
      <c r="G267" s="591"/>
      <c r="H267" s="592"/>
      <c r="I267" s="592"/>
      <c r="J267" s="592"/>
      <c r="K267" s="592"/>
      <c r="L267" s="592"/>
      <c r="M267" s="592"/>
      <c r="N267" s="592"/>
      <c r="O267" s="592"/>
      <c r="P267" s="592"/>
      <c r="Q267" s="592"/>
      <c r="R267" s="592"/>
      <c r="S267" s="592"/>
      <c r="T267" s="592"/>
      <c r="U267" s="592"/>
      <c r="V267" s="592"/>
      <c r="W267" s="592"/>
      <c r="X267" s="592"/>
      <c r="Y267" s="592"/>
      <c r="Z267" s="592"/>
      <c r="AA267" s="592"/>
      <c r="AB267" s="592"/>
      <c r="AC267" s="592"/>
      <c r="AD267" s="592"/>
      <c r="AE267" s="592"/>
      <c r="AF267" s="592"/>
      <c r="AG267" s="592"/>
    </row>
    <row r="268">
      <c r="E268" s="592"/>
      <c r="F268" s="591"/>
      <c r="G268" s="591"/>
      <c r="H268" s="592"/>
      <c r="I268" s="592"/>
      <c r="J268" s="592"/>
      <c r="K268" s="592"/>
      <c r="L268" s="592"/>
      <c r="M268" s="592"/>
      <c r="N268" s="592"/>
      <c r="O268" s="592"/>
      <c r="P268" s="592"/>
      <c r="Q268" s="592"/>
      <c r="R268" s="592"/>
      <c r="S268" s="592"/>
      <c r="T268" s="592"/>
      <c r="U268" s="592"/>
      <c r="V268" s="592"/>
      <c r="W268" s="592"/>
      <c r="X268" s="592"/>
      <c r="Y268" s="592"/>
      <c r="Z268" s="592"/>
      <c r="AA268" s="592"/>
      <c r="AB268" s="592"/>
      <c r="AC268" s="592"/>
      <c r="AD268" s="592"/>
      <c r="AE268" s="592"/>
      <c r="AF268" s="592"/>
      <c r="AG268" s="592"/>
    </row>
    <row r="269">
      <c r="E269" s="592"/>
      <c r="F269" s="591"/>
      <c r="G269" s="591"/>
      <c r="H269" s="592"/>
      <c r="I269" s="592"/>
      <c r="J269" s="592"/>
      <c r="K269" s="592"/>
      <c r="L269" s="592"/>
      <c r="M269" s="592"/>
      <c r="N269" s="592"/>
      <c r="O269" s="592"/>
      <c r="P269" s="592"/>
      <c r="Q269" s="592"/>
      <c r="R269" s="592"/>
      <c r="S269" s="592"/>
      <c r="T269" s="592"/>
      <c r="U269" s="592"/>
      <c r="V269" s="592"/>
      <c r="W269" s="592"/>
      <c r="X269" s="592"/>
      <c r="Y269" s="592"/>
      <c r="Z269" s="592"/>
      <c r="AA269" s="592"/>
      <c r="AB269" s="592"/>
      <c r="AC269" s="592"/>
      <c r="AD269" s="592"/>
      <c r="AE269" s="592"/>
      <c r="AF269" s="592"/>
      <c r="AG269" s="592"/>
    </row>
    <row r="270">
      <c r="E270" s="592"/>
      <c r="F270" s="591"/>
      <c r="G270" s="591"/>
      <c r="H270" s="592"/>
      <c r="I270" s="592"/>
      <c r="J270" s="592"/>
      <c r="K270" s="592"/>
      <c r="L270" s="592"/>
      <c r="M270" s="592"/>
      <c r="N270" s="592"/>
      <c r="O270" s="592"/>
      <c r="P270" s="592"/>
      <c r="Q270" s="592"/>
      <c r="R270" s="592"/>
      <c r="S270" s="592"/>
      <c r="T270" s="592"/>
      <c r="U270" s="592"/>
      <c r="V270" s="592"/>
      <c r="W270" s="592"/>
      <c r="X270" s="592"/>
      <c r="Y270" s="592"/>
      <c r="Z270" s="592"/>
      <c r="AA270" s="592"/>
      <c r="AB270" s="592"/>
      <c r="AC270" s="592"/>
      <c r="AD270" s="592"/>
      <c r="AE270" s="592"/>
      <c r="AF270" s="592"/>
      <c r="AG270" s="592"/>
    </row>
    <row r="271">
      <c r="E271" s="592"/>
      <c r="F271" s="591"/>
      <c r="G271" s="591"/>
      <c r="H271" s="592"/>
      <c r="I271" s="592"/>
      <c r="J271" s="592"/>
      <c r="K271" s="592"/>
      <c r="L271" s="592"/>
      <c r="M271" s="592"/>
      <c r="N271" s="592"/>
      <c r="O271" s="592"/>
      <c r="P271" s="592"/>
      <c r="Q271" s="592"/>
      <c r="R271" s="592"/>
      <c r="S271" s="592"/>
      <c r="T271" s="592"/>
      <c r="U271" s="592"/>
      <c r="V271" s="592"/>
      <c r="W271" s="592"/>
      <c r="X271" s="592"/>
      <c r="Y271" s="592"/>
      <c r="Z271" s="592"/>
      <c r="AA271" s="592"/>
      <c r="AB271" s="592"/>
      <c r="AC271" s="592"/>
      <c r="AD271" s="592"/>
      <c r="AE271" s="592"/>
      <c r="AF271" s="592"/>
      <c r="AG271" s="592"/>
    </row>
    <row r="272">
      <c r="E272" s="592"/>
      <c r="F272" s="591"/>
      <c r="G272" s="591"/>
      <c r="H272" s="592"/>
      <c r="I272" s="592"/>
      <c r="J272" s="592"/>
      <c r="K272" s="592"/>
      <c r="L272" s="592"/>
      <c r="M272" s="592"/>
      <c r="N272" s="592"/>
      <c r="O272" s="592"/>
      <c r="P272" s="592"/>
      <c r="Q272" s="592"/>
      <c r="R272" s="592"/>
      <c r="S272" s="592"/>
      <c r="T272" s="592"/>
      <c r="U272" s="592"/>
      <c r="V272" s="592"/>
      <c r="W272" s="592"/>
      <c r="X272" s="592"/>
      <c r="Y272" s="592"/>
      <c r="Z272" s="592"/>
      <c r="AA272" s="592"/>
      <c r="AB272" s="592"/>
      <c r="AC272" s="592"/>
      <c r="AD272" s="592"/>
      <c r="AE272" s="592"/>
      <c r="AF272" s="592"/>
      <c r="AG272" s="592"/>
    </row>
    <row r="273">
      <c r="E273" s="592"/>
      <c r="F273" s="591"/>
      <c r="G273" s="591"/>
      <c r="H273" s="592"/>
      <c r="I273" s="592"/>
      <c r="J273" s="592"/>
      <c r="K273" s="592"/>
      <c r="L273" s="592"/>
      <c r="M273" s="592"/>
      <c r="N273" s="592"/>
      <c r="O273" s="592"/>
      <c r="P273" s="592"/>
      <c r="Q273" s="592"/>
      <c r="R273" s="592"/>
      <c r="S273" s="592"/>
      <c r="T273" s="592"/>
      <c r="U273" s="592"/>
      <c r="V273" s="592"/>
      <c r="W273" s="592"/>
      <c r="X273" s="592"/>
      <c r="Y273" s="592"/>
      <c r="Z273" s="592"/>
      <c r="AA273" s="592"/>
      <c r="AB273" s="592"/>
      <c r="AC273" s="592"/>
      <c r="AD273" s="592"/>
      <c r="AE273" s="592"/>
      <c r="AF273" s="592"/>
      <c r="AG273" s="592"/>
    </row>
    <row r="274">
      <c r="E274" s="592"/>
      <c r="F274" s="591"/>
      <c r="G274" s="591"/>
      <c r="H274" s="592"/>
      <c r="I274" s="592"/>
      <c r="J274" s="592"/>
      <c r="K274" s="592"/>
      <c r="L274" s="592"/>
      <c r="M274" s="592"/>
      <c r="N274" s="592"/>
      <c r="O274" s="592"/>
      <c r="P274" s="592"/>
      <c r="Q274" s="592"/>
      <c r="R274" s="592"/>
      <c r="S274" s="592"/>
      <c r="T274" s="592"/>
      <c r="U274" s="592"/>
      <c r="V274" s="592"/>
      <c r="W274" s="592"/>
      <c r="X274" s="592"/>
      <c r="Y274" s="592"/>
      <c r="Z274" s="592"/>
      <c r="AA274" s="592"/>
      <c r="AB274" s="592"/>
      <c r="AC274" s="592"/>
      <c r="AD274" s="592"/>
      <c r="AE274" s="592"/>
      <c r="AF274" s="592"/>
      <c r="AG274" s="592"/>
    </row>
    <row r="275">
      <c r="E275" s="592"/>
      <c r="F275" s="591"/>
      <c r="G275" s="591"/>
      <c r="H275" s="592"/>
      <c r="I275" s="592"/>
      <c r="J275" s="592"/>
      <c r="K275" s="592"/>
      <c r="L275" s="592"/>
      <c r="M275" s="592"/>
      <c r="N275" s="592"/>
      <c r="O275" s="592"/>
      <c r="P275" s="592"/>
      <c r="Q275" s="592"/>
      <c r="R275" s="592"/>
      <c r="S275" s="592"/>
      <c r="T275" s="592"/>
      <c r="U275" s="592"/>
      <c r="V275" s="592"/>
      <c r="W275" s="592"/>
      <c r="X275" s="592"/>
      <c r="Y275" s="592"/>
      <c r="Z275" s="592"/>
      <c r="AA275" s="592"/>
      <c r="AB275" s="592"/>
      <c r="AC275" s="592"/>
      <c r="AD275" s="592"/>
      <c r="AE275" s="592"/>
      <c r="AF275" s="592"/>
      <c r="AG275" s="592"/>
    </row>
    <row r="276">
      <c r="E276" s="592"/>
      <c r="F276" s="591"/>
      <c r="G276" s="591"/>
      <c r="H276" s="592"/>
      <c r="I276" s="592"/>
      <c r="J276" s="592"/>
      <c r="K276" s="592"/>
      <c r="L276" s="592"/>
      <c r="M276" s="592"/>
      <c r="N276" s="592"/>
      <c r="O276" s="592"/>
      <c r="P276" s="592"/>
      <c r="Q276" s="592"/>
      <c r="R276" s="592"/>
      <c r="S276" s="592"/>
      <c r="T276" s="592"/>
      <c r="U276" s="592"/>
      <c r="V276" s="592"/>
      <c r="W276" s="592"/>
      <c r="X276" s="592"/>
      <c r="Y276" s="592"/>
      <c r="Z276" s="592"/>
      <c r="AA276" s="592"/>
      <c r="AB276" s="592"/>
      <c r="AC276" s="592"/>
      <c r="AD276" s="592"/>
      <c r="AE276" s="592"/>
      <c r="AF276" s="592"/>
      <c r="AG276" s="592"/>
    </row>
    <row r="277">
      <c r="E277" s="592"/>
      <c r="F277" s="591"/>
      <c r="G277" s="591"/>
      <c r="H277" s="592"/>
      <c r="I277" s="592"/>
      <c r="J277" s="592"/>
      <c r="K277" s="592"/>
      <c r="L277" s="592"/>
      <c r="M277" s="592"/>
      <c r="N277" s="592"/>
      <c r="O277" s="592"/>
      <c r="P277" s="592"/>
      <c r="Q277" s="592"/>
      <c r="R277" s="592"/>
      <c r="S277" s="592"/>
      <c r="T277" s="592"/>
      <c r="U277" s="592"/>
      <c r="V277" s="592"/>
      <c r="W277" s="592"/>
      <c r="X277" s="592"/>
      <c r="Y277" s="592"/>
      <c r="Z277" s="592"/>
      <c r="AA277" s="592"/>
      <c r="AB277" s="592"/>
      <c r="AC277" s="592"/>
      <c r="AD277" s="592"/>
      <c r="AE277" s="592"/>
      <c r="AF277" s="592"/>
      <c r="AG277" s="592"/>
    </row>
    <row r="278">
      <c r="E278" s="592"/>
      <c r="F278" s="591"/>
      <c r="G278" s="591"/>
      <c r="H278" s="592"/>
      <c r="I278" s="592"/>
      <c r="J278" s="592"/>
      <c r="K278" s="592"/>
      <c r="L278" s="592"/>
      <c r="M278" s="592"/>
      <c r="N278" s="592"/>
      <c r="O278" s="592"/>
      <c r="P278" s="592"/>
      <c r="Q278" s="592"/>
      <c r="R278" s="592"/>
      <c r="S278" s="592"/>
      <c r="T278" s="592"/>
      <c r="U278" s="592"/>
      <c r="V278" s="592"/>
      <c r="W278" s="592"/>
      <c r="X278" s="592"/>
      <c r="Y278" s="592"/>
      <c r="Z278" s="592"/>
      <c r="AA278" s="592"/>
      <c r="AB278" s="592"/>
      <c r="AC278" s="592"/>
      <c r="AD278" s="592"/>
      <c r="AE278" s="592"/>
      <c r="AF278" s="592"/>
      <c r="AG278" s="592"/>
    </row>
    <row r="279">
      <c r="E279" s="592"/>
      <c r="F279" s="591"/>
      <c r="G279" s="591"/>
      <c r="H279" s="592"/>
      <c r="I279" s="592"/>
      <c r="J279" s="592"/>
      <c r="K279" s="592"/>
      <c r="L279" s="592"/>
      <c r="M279" s="592"/>
      <c r="N279" s="592"/>
      <c r="O279" s="592"/>
      <c r="P279" s="592"/>
      <c r="Q279" s="592"/>
      <c r="R279" s="592"/>
      <c r="S279" s="592"/>
      <c r="T279" s="592"/>
      <c r="U279" s="592"/>
      <c r="V279" s="592"/>
      <c r="W279" s="592"/>
      <c r="X279" s="592"/>
      <c r="Y279" s="592"/>
      <c r="Z279" s="592"/>
      <c r="AA279" s="592"/>
      <c r="AB279" s="592"/>
      <c r="AC279" s="592"/>
      <c r="AD279" s="592"/>
      <c r="AE279" s="592"/>
      <c r="AF279" s="592"/>
      <c r="AG279" s="592"/>
    </row>
    <row r="280">
      <c r="E280" s="592"/>
      <c r="F280" s="591"/>
      <c r="G280" s="591"/>
      <c r="H280" s="592"/>
      <c r="I280" s="592"/>
      <c r="J280" s="592"/>
      <c r="K280" s="592"/>
      <c r="L280" s="592"/>
      <c r="M280" s="592"/>
      <c r="N280" s="592"/>
      <c r="O280" s="592"/>
      <c r="P280" s="592"/>
      <c r="Q280" s="592"/>
      <c r="R280" s="592"/>
      <c r="S280" s="592"/>
      <c r="T280" s="592"/>
      <c r="U280" s="592"/>
      <c r="V280" s="592"/>
      <c r="W280" s="592"/>
      <c r="X280" s="592"/>
      <c r="Y280" s="592"/>
      <c r="Z280" s="592"/>
      <c r="AA280" s="592"/>
      <c r="AB280" s="592"/>
      <c r="AC280" s="592"/>
      <c r="AD280" s="592"/>
      <c r="AE280" s="592"/>
      <c r="AF280" s="592"/>
      <c r="AG280" s="592"/>
    </row>
    <row r="281">
      <c r="E281" s="592"/>
      <c r="F281" s="591"/>
      <c r="G281" s="591"/>
      <c r="H281" s="592"/>
      <c r="I281" s="592"/>
      <c r="J281" s="592"/>
      <c r="K281" s="592"/>
      <c r="L281" s="592"/>
      <c r="M281" s="592"/>
      <c r="N281" s="592"/>
      <c r="O281" s="592"/>
      <c r="P281" s="592"/>
      <c r="Q281" s="592"/>
      <c r="R281" s="592"/>
      <c r="S281" s="592"/>
      <c r="T281" s="592"/>
      <c r="U281" s="592"/>
      <c r="V281" s="592"/>
      <c r="W281" s="592"/>
      <c r="X281" s="592"/>
      <c r="Y281" s="592"/>
      <c r="Z281" s="592"/>
      <c r="AA281" s="592"/>
      <c r="AB281" s="592"/>
      <c r="AC281" s="592"/>
      <c r="AD281" s="592"/>
      <c r="AE281" s="592"/>
      <c r="AF281" s="592"/>
      <c r="AG281" s="592"/>
    </row>
    <row r="282">
      <c r="E282" s="592"/>
      <c r="F282" s="591"/>
      <c r="G282" s="591"/>
      <c r="H282" s="592"/>
      <c r="I282" s="592"/>
      <c r="J282" s="592"/>
      <c r="K282" s="592"/>
      <c r="L282" s="592"/>
      <c r="M282" s="592"/>
      <c r="N282" s="592"/>
      <c r="O282" s="592"/>
      <c r="P282" s="592"/>
      <c r="Q282" s="592"/>
      <c r="R282" s="592"/>
      <c r="S282" s="592"/>
      <c r="T282" s="592"/>
      <c r="U282" s="592"/>
      <c r="V282" s="592"/>
      <c r="W282" s="592"/>
      <c r="X282" s="592"/>
      <c r="Y282" s="592"/>
      <c r="Z282" s="592"/>
      <c r="AA282" s="592"/>
      <c r="AB282" s="592"/>
      <c r="AC282" s="592"/>
      <c r="AD282" s="592"/>
      <c r="AE282" s="592"/>
      <c r="AF282" s="592"/>
      <c r="AG282" s="592"/>
    </row>
    <row r="283">
      <c r="E283" s="592"/>
      <c r="F283" s="591"/>
      <c r="G283" s="591"/>
      <c r="H283" s="592"/>
      <c r="I283" s="592"/>
      <c r="J283" s="592"/>
      <c r="K283" s="592"/>
      <c r="L283" s="592"/>
      <c r="M283" s="592"/>
      <c r="N283" s="592"/>
      <c r="O283" s="592"/>
      <c r="P283" s="592"/>
      <c r="Q283" s="592"/>
      <c r="R283" s="592"/>
      <c r="S283" s="592"/>
      <c r="T283" s="592"/>
      <c r="U283" s="592"/>
      <c r="V283" s="592"/>
      <c r="W283" s="592"/>
      <c r="X283" s="592"/>
      <c r="Y283" s="592"/>
      <c r="Z283" s="592"/>
      <c r="AA283" s="592"/>
      <c r="AB283" s="592"/>
      <c r="AC283" s="592"/>
      <c r="AD283" s="592"/>
      <c r="AE283" s="592"/>
      <c r="AF283" s="592"/>
      <c r="AG283" s="592"/>
    </row>
    <row r="284">
      <c r="E284" s="592"/>
      <c r="F284" s="591"/>
      <c r="G284" s="591"/>
      <c r="H284" s="592"/>
      <c r="I284" s="592"/>
      <c r="J284" s="592"/>
      <c r="K284" s="592"/>
      <c r="L284" s="592"/>
      <c r="M284" s="592"/>
      <c r="N284" s="592"/>
      <c r="O284" s="592"/>
      <c r="P284" s="592"/>
      <c r="Q284" s="592"/>
      <c r="R284" s="592"/>
      <c r="S284" s="592"/>
      <c r="T284" s="592"/>
      <c r="U284" s="592"/>
      <c r="V284" s="592"/>
      <c r="W284" s="592"/>
      <c r="X284" s="592"/>
      <c r="Y284" s="592"/>
      <c r="Z284" s="592"/>
      <c r="AA284" s="592"/>
      <c r="AB284" s="592"/>
      <c r="AC284" s="592"/>
      <c r="AD284" s="592"/>
      <c r="AE284" s="592"/>
      <c r="AF284" s="592"/>
      <c r="AG284" s="592"/>
    </row>
    <row r="285">
      <c r="E285" s="592"/>
      <c r="F285" s="591"/>
      <c r="G285" s="591"/>
      <c r="H285" s="592"/>
      <c r="I285" s="592"/>
      <c r="J285" s="592"/>
      <c r="K285" s="592"/>
      <c r="L285" s="592"/>
      <c r="M285" s="592"/>
      <c r="N285" s="592"/>
      <c r="O285" s="592"/>
      <c r="P285" s="592"/>
      <c r="Q285" s="592"/>
      <c r="R285" s="592"/>
      <c r="S285" s="592"/>
      <c r="T285" s="592"/>
      <c r="U285" s="592"/>
      <c r="V285" s="592"/>
      <c r="W285" s="592"/>
      <c r="X285" s="592"/>
      <c r="Y285" s="592"/>
      <c r="Z285" s="592"/>
      <c r="AA285" s="592"/>
      <c r="AB285" s="592"/>
      <c r="AC285" s="592"/>
      <c r="AD285" s="592"/>
      <c r="AE285" s="592"/>
      <c r="AF285" s="592"/>
      <c r="AG285" s="592"/>
    </row>
    <row r="286">
      <c r="E286" s="592"/>
      <c r="F286" s="591"/>
      <c r="G286" s="591"/>
      <c r="H286" s="592"/>
      <c r="I286" s="592"/>
      <c r="J286" s="592"/>
      <c r="K286" s="592"/>
      <c r="L286" s="592"/>
      <c r="M286" s="592"/>
      <c r="N286" s="592"/>
      <c r="O286" s="592"/>
      <c r="P286" s="592"/>
      <c r="Q286" s="592"/>
      <c r="R286" s="592"/>
      <c r="S286" s="592"/>
      <c r="T286" s="592"/>
      <c r="U286" s="592"/>
      <c r="V286" s="592"/>
      <c r="W286" s="592"/>
      <c r="X286" s="592"/>
      <c r="Y286" s="592"/>
      <c r="Z286" s="592"/>
      <c r="AA286" s="592"/>
      <c r="AB286" s="592"/>
      <c r="AC286" s="592"/>
      <c r="AD286" s="592"/>
      <c r="AE286" s="592"/>
      <c r="AF286" s="592"/>
      <c r="AG286" s="592"/>
    </row>
    <row r="287">
      <c r="E287" s="592"/>
      <c r="F287" s="591"/>
      <c r="G287" s="591"/>
      <c r="H287" s="592"/>
      <c r="I287" s="592"/>
      <c r="J287" s="592"/>
      <c r="K287" s="592"/>
      <c r="L287" s="592"/>
      <c r="M287" s="592"/>
      <c r="N287" s="592"/>
      <c r="O287" s="592"/>
      <c r="P287" s="592"/>
      <c r="Q287" s="592"/>
      <c r="R287" s="592"/>
      <c r="S287" s="592"/>
      <c r="T287" s="592"/>
      <c r="U287" s="592"/>
      <c r="V287" s="592"/>
      <c r="W287" s="592"/>
      <c r="X287" s="592"/>
      <c r="Y287" s="592"/>
      <c r="Z287" s="592"/>
      <c r="AA287" s="592"/>
      <c r="AB287" s="592"/>
      <c r="AC287" s="592"/>
      <c r="AD287" s="592"/>
      <c r="AE287" s="592"/>
      <c r="AF287" s="592"/>
      <c r="AG287" s="592"/>
    </row>
    <row r="288">
      <c r="E288" s="592"/>
      <c r="F288" s="591"/>
      <c r="G288" s="591"/>
      <c r="H288" s="592"/>
      <c r="I288" s="592"/>
      <c r="J288" s="592"/>
      <c r="K288" s="592"/>
      <c r="L288" s="592"/>
      <c r="M288" s="592"/>
      <c r="N288" s="592"/>
      <c r="O288" s="592"/>
      <c r="P288" s="592"/>
      <c r="Q288" s="592"/>
      <c r="R288" s="592"/>
      <c r="S288" s="592"/>
      <c r="T288" s="592"/>
      <c r="U288" s="592"/>
      <c r="V288" s="592"/>
      <c r="W288" s="592"/>
      <c r="X288" s="592"/>
      <c r="Y288" s="592"/>
      <c r="Z288" s="592"/>
      <c r="AA288" s="592"/>
      <c r="AB288" s="592"/>
      <c r="AC288" s="592"/>
      <c r="AD288" s="592"/>
      <c r="AE288" s="592"/>
      <c r="AF288" s="592"/>
      <c r="AG288" s="592"/>
    </row>
    <row r="289">
      <c r="E289" s="592"/>
      <c r="F289" s="591"/>
      <c r="G289" s="591"/>
      <c r="H289" s="592"/>
      <c r="I289" s="592"/>
      <c r="J289" s="592"/>
      <c r="K289" s="592"/>
      <c r="L289" s="592"/>
      <c r="M289" s="592"/>
      <c r="N289" s="592"/>
      <c r="O289" s="592"/>
      <c r="P289" s="592"/>
      <c r="Q289" s="592"/>
      <c r="R289" s="592"/>
      <c r="S289" s="592"/>
      <c r="T289" s="592"/>
      <c r="U289" s="592"/>
      <c r="V289" s="592"/>
      <c r="W289" s="592"/>
      <c r="X289" s="592"/>
      <c r="Y289" s="592"/>
      <c r="Z289" s="592"/>
      <c r="AA289" s="592"/>
      <c r="AB289" s="592"/>
      <c r="AC289" s="592"/>
      <c r="AD289" s="592"/>
      <c r="AE289" s="592"/>
      <c r="AF289" s="592"/>
      <c r="AG289" s="592"/>
    </row>
    <row r="290">
      <c r="E290" s="592"/>
      <c r="F290" s="591"/>
      <c r="G290" s="591"/>
      <c r="H290" s="592"/>
      <c r="I290" s="592"/>
      <c r="J290" s="592"/>
      <c r="K290" s="592"/>
      <c r="L290" s="592"/>
      <c r="M290" s="592"/>
      <c r="N290" s="592"/>
      <c r="O290" s="592"/>
      <c r="P290" s="592"/>
      <c r="Q290" s="592"/>
      <c r="R290" s="592"/>
      <c r="S290" s="592"/>
      <c r="T290" s="592"/>
      <c r="U290" s="592"/>
      <c r="V290" s="592"/>
      <c r="W290" s="592"/>
      <c r="X290" s="592"/>
      <c r="Y290" s="592"/>
      <c r="Z290" s="592"/>
      <c r="AA290" s="592"/>
      <c r="AB290" s="592"/>
      <c r="AC290" s="592"/>
      <c r="AD290" s="592"/>
      <c r="AE290" s="592"/>
      <c r="AF290" s="592"/>
      <c r="AG290" s="592"/>
    </row>
    <row r="291">
      <c r="E291" s="592"/>
      <c r="F291" s="591"/>
      <c r="G291" s="591"/>
      <c r="H291" s="592"/>
      <c r="I291" s="592"/>
      <c r="J291" s="592"/>
      <c r="K291" s="592"/>
      <c r="L291" s="592"/>
      <c r="M291" s="592"/>
      <c r="N291" s="592"/>
      <c r="O291" s="592"/>
      <c r="P291" s="592"/>
      <c r="Q291" s="592"/>
      <c r="R291" s="592"/>
      <c r="S291" s="592"/>
      <c r="T291" s="592"/>
      <c r="U291" s="592"/>
      <c r="V291" s="592"/>
      <c r="W291" s="592"/>
      <c r="X291" s="592"/>
      <c r="Y291" s="592"/>
      <c r="Z291" s="592"/>
      <c r="AA291" s="592"/>
      <c r="AB291" s="592"/>
      <c r="AC291" s="592"/>
      <c r="AD291" s="592"/>
      <c r="AE291" s="592"/>
      <c r="AF291" s="592"/>
      <c r="AG291" s="592"/>
    </row>
    <row r="292">
      <c r="E292" s="592"/>
      <c r="F292" s="591"/>
      <c r="G292" s="591"/>
      <c r="H292" s="592"/>
      <c r="I292" s="592"/>
      <c r="J292" s="592"/>
      <c r="K292" s="592"/>
      <c r="L292" s="592"/>
      <c r="M292" s="592"/>
      <c r="N292" s="592"/>
      <c r="O292" s="592"/>
      <c r="P292" s="592"/>
      <c r="Q292" s="592"/>
      <c r="R292" s="592"/>
      <c r="S292" s="592"/>
      <c r="T292" s="592"/>
      <c r="U292" s="592"/>
      <c r="V292" s="592"/>
      <c r="W292" s="592"/>
      <c r="X292" s="592"/>
      <c r="Y292" s="592"/>
      <c r="Z292" s="592"/>
      <c r="AA292" s="592"/>
      <c r="AB292" s="592"/>
      <c r="AC292" s="592"/>
      <c r="AD292" s="592"/>
      <c r="AE292" s="592"/>
      <c r="AF292" s="592"/>
      <c r="AG292" s="592"/>
    </row>
    <row r="293">
      <c r="E293" s="592"/>
      <c r="F293" s="591"/>
      <c r="G293" s="591"/>
      <c r="H293" s="592"/>
      <c r="I293" s="592"/>
      <c r="J293" s="592"/>
      <c r="K293" s="592"/>
      <c r="L293" s="592"/>
      <c r="M293" s="592"/>
      <c r="N293" s="592"/>
      <c r="O293" s="592"/>
      <c r="P293" s="592"/>
      <c r="Q293" s="592"/>
      <c r="R293" s="592"/>
      <c r="S293" s="592"/>
      <c r="T293" s="592"/>
      <c r="U293" s="592"/>
      <c r="V293" s="592"/>
      <c r="W293" s="592"/>
      <c r="X293" s="592"/>
      <c r="Y293" s="592"/>
      <c r="Z293" s="592"/>
      <c r="AA293" s="592"/>
      <c r="AB293" s="592"/>
      <c r="AC293" s="592"/>
      <c r="AD293" s="592"/>
      <c r="AE293" s="592"/>
      <c r="AF293" s="592"/>
      <c r="AG293" s="592"/>
    </row>
    <row r="294">
      <c r="E294" s="592"/>
      <c r="F294" s="591"/>
      <c r="G294" s="591"/>
      <c r="H294" s="592"/>
      <c r="I294" s="592"/>
      <c r="J294" s="592"/>
      <c r="K294" s="592"/>
      <c r="L294" s="592"/>
      <c r="M294" s="592"/>
      <c r="N294" s="592"/>
      <c r="O294" s="592"/>
      <c r="P294" s="592"/>
      <c r="Q294" s="592"/>
      <c r="R294" s="592"/>
      <c r="S294" s="592"/>
      <c r="T294" s="592"/>
      <c r="U294" s="592"/>
      <c r="V294" s="592"/>
      <c r="W294" s="592"/>
      <c r="X294" s="592"/>
      <c r="Y294" s="592"/>
      <c r="Z294" s="592"/>
      <c r="AA294" s="592"/>
      <c r="AB294" s="592"/>
      <c r="AC294" s="592"/>
      <c r="AD294" s="592"/>
      <c r="AE294" s="592"/>
      <c r="AF294" s="592"/>
      <c r="AG294" s="592"/>
    </row>
    <row r="295">
      <c r="E295" s="592"/>
      <c r="F295" s="591"/>
      <c r="G295" s="591"/>
      <c r="H295" s="592"/>
      <c r="I295" s="592"/>
      <c r="J295" s="592"/>
      <c r="K295" s="592"/>
      <c r="L295" s="592"/>
      <c r="M295" s="592"/>
      <c r="N295" s="592"/>
      <c r="O295" s="592"/>
      <c r="P295" s="592"/>
      <c r="Q295" s="592"/>
      <c r="R295" s="592"/>
      <c r="S295" s="592"/>
      <c r="T295" s="592"/>
      <c r="U295" s="592"/>
      <c r="V295" s="592"/>
      <c r="W295" s="592"/>
      <c r="X295" s="592"/>
      <c r="Y295" s="592"/>
      <c r="Z295" s="592"/>
      <c r="AA295" s="592"/>
      <c r="AB295" s="592"/>
      <c r="AC295" s="592"/>
      <c r="AD295" s="592"/>
      <c r="AE295" s="592"/>
      <c r="AF295" s="592"/>
      <c r="AG295" s="592"/>
    </row>
    <row r="296">
      <c r="E296" s="592"/>
      <c r="F296" s="591"/>
      <c r="G296" s="591"/>
      <c r="H296" s="592"/>
      <c r="I296" s="592"/>
      <c r="J296" s="592"/>
      <c r="K296" s="592"/>
      <c r="L296" s="592"/>
      <c r="M296" s="592"/>
      <c r="N296" s="592"/>
      <c r="O296" s="592"/>
      <c r="P296" s="592"/>
      <c r="Q296" s="592"/>
      <c r="R296" s="592"/>
      <c r="S296" s="592"/>
      <c r="T296" s="592"/>
      <c r="U296" s="592"/>
      <c r="V296" s="592"/>
      <c r="W296" s="592"/>
      <c r="X296" s="592"/>
      <c r="Y296" s="592"/>
      <c r="Z296" s="592"/>
      <c r="AA296" s="592"/>
      <c r="AB296" s="592"/>
      <c r="AC296" s="592"/>
      <c r="AD296" s="592"/>
      <c r="AE296" s="592"/>
      <c r="AF296" s="592"/>
      <c r="AG296" s="592"/>
    </row>
    <row r="297">
      <c r="E297" s="592"/>
      <c r="F297" s="591"/>
      <c r="G297" s="591"/>
      <c r="H297" s="592"/>
      <c r="I297" s="592"/>
      <c r="J297" s="592"/>
      <c r="K297" s="592"/>
      <c r="L297" s="592"/>
      <c r="M297" s="592"/>
      <c r="N297" s="592"/>
      <c r="O297" s="592"/>
      <c r="P297" s="592"/>
      <c r="Q297" s="592"/>
      <c r="R297" s="592"/>
      <c r="S297" s="592"/>
      <c r="T297" s="592"/>
      <c r="U297" s="592"/>
      <c r="V297" s="592"/>
      <c r="W297" s="592"/>
      <c r="X297" s="592"/>
      <c r="Y297" s="592"/>
      <c r="Z297" s="592"/>
      <c r="AA297" s="592"/>
      <c r="AB297" s="592"/>
      <c r="AC297" s="592"/>
      <c r="AD297" s="592"/>
      <c r="AE297" s="592"/>
      <c r="AF297" s="592"/>
      <c r="AG297" s="592"/>
    </row>
    <row r="298">
      <c r="E298" s="592"/>
      <c r="F298" s="591"/>
      <c r="G298" s="591"/>
      <c r="H298" s="592"/>
      <c r="I298" s="592"/>
      <c r="J298" s="592"/>
      <c r="K298" s="592"/>
      <c r="L298" s="592"/>
      <c r="M298" s="592"/>
      <c r="N298" s="592"/>
      <c r="O298" s="592"/>
      <c r="P298" s="592"/>
      <c r="Q298" s="592"/>
      <c r="R298" s="592"/>
      <c r="S298" s="592"/>
      <c r="T298" s="592"/>
      <c r="U298" s="592"/>
      <c r="V298" s="592"/>
      <c r="W298" s="592"/>
      <c r="X298" s="592"/>
      <c r="Y298" s="592"/>
      <c r="Z298" s="592"/>
      <c r="AA298" s="592"/>
      <c r="AB298" s="592"/>
      <c r="AC298" s="592"/>
      <c r="AD298" s="592"/>
      <c r="AE298" s="592"/>
      <c r="AF298" s="592"/>
      <c r="AG298" s="592"/>
    </row>
    <row r="299">
      <c r="E299" s="592"/>
      <c r="F299" s="591"/>
      <c r="G299" s="591"/>
      <c r="H299" s="592"/>
      <c r="I299" s="592"/>
      <c r="J299" s="592"/>
      <c r="K299" s="592"/>
      <c r="L299" s="592"/>
      <c r="M299" s="592"/>
      <c r="N299" s="592"/>
      <c r="O299" s="592"/>
      <c r="P299" s="592"/>
      <c r="Q299" s="592"/>
      <c r="R299" s="592"/>
      <c r="S299" s="592"/>
      <c r="T299" s="592"/>
      <c r="U299" s="592"/>
      <c r="V299" s="592"/>
      <c r="W299" s="592"/>
      <c r="X299" s="592"/>
      <c r="Y299" s="592"/>
      <c r="Z299" s="592"/>
      <c r="AA299" s="592"/>
      <c r="AB299" s="592"/>
      <c r="AC299" s="592"/>
      <c r="AD299" s="592"/>
      <c r="AE299" s="592"/>
      <c r="AF299" s="592"/>
      <c r="AG299" s="592"/>
    </row>
    <row r="300">
      <c r="E300" s="592"/>
      <c r="F300" s="591"/>
      <c r="G300" s="591"/>
      <c r="H300" s="592"/>
      <c r="I300" s="592"/>
      <c r="J300" s="592"/>
      <c r="K300" s="592"/>
      <c r="L300" s="592"/>
      <c r="M300" s="592"/>
      <c r="N300" s="592"/>
      <c r="O300" s="592"/>
      <c r="P300" s="592"/>
      <c r="Q300" s="592"/>
      <c r="R300" s="592"/>
      <c r="S300" s="592"/>
      <c r="T300" s="592"/>
      <c r="U300" s="592"/>
      <c r="V300" s="592"/>
      <c r="W300" s="592"/>
      <c r="X300" s="592"/>
      <c r="Y300" s="592"/>
      <c r="Z300" s="592"/>
      <c r="AA300" s="592"/>
      <c r="AB300" s="592"/>
      <c r="AC300" s="592"/>
      <c r="AD300" s="592"/>
      <c r="AE300" s="592"/>
      <c r="AF300" s="592"/>
      <c r="AG300" s="592"/>
    </row>
    <row r="301">
      <c r="E301" s="592"/>
      <c r="F301" s="591"/>
      <c r="G301" s="591"/>
      <c r="H301" s="592"/>
      <c r="I301" s="592"/>
      <c r="J301" s="592"/>
      <c r="K301" s="592"/>
      <c r="L301" s="592"/>
      <c r="M301" s="592"/>
      <c r="N301" s="592"/>
      <c r="O301" s="592"/>
      <c r="P301" s="592"/>
      <c r="Q301" s="592"/>
      <c r="R301" s="592"/>
      <c r="S301" s="592"/>
      <c r="T301" s="592"/>
      <c r="U301" s="592"/>
      <c r="V301" s="592"/>
      <c r="W301" s="592"/>
      <c r="X301" s="592"/>
      <c r="Y301" s="592"/>
      <c r="Z301" s="592"/>
      <c r="AA301" s="592"/>
      <c r="AB301" s="592"/>
      <c r="AC301" s="592"/>
      <c r="AD301" s="592"/>
      <c r="AE301" s="592"/>
      <c r="AF301" s="592"/>
      <c r="AG301" s="592"/>
    </row>
    <row r="302">
      <c r="E302" s="592"/>
      <c r="F302" s="591"/>
      <c r="G302" s="591"/>
      <c r="H302" s="592"/>
      <c r="I302" s="592"/>
      <c r="J302" s="592"/>
      <c r="K302" s="592"/>
      <c r="L302" s="592"/>
      <c r="M302" s="592"/>
      <c r="N302" s="592"/>
      <c r="O302" s="592"/>
      <c r="P302" s="592"/>
      <c r="Q302" s="592"/>
      <c r="R302" s="592"/>
      <c r="S302" s="592"/>
      <c r="T302" s="592"/>
      <c r="U302" s="592"/>
      <c r="V302" s="592"/>
      <c r="W302" s="592"/>
      <c r="X302" s="592"/>
      <c r="Y302" s="592"/>
      <c r="Z302" s="592"/>
      <c r="AA302" s="592"/>
      <c r="AB302" s="592"/>
      <c r="AC302" s="592"/>
      <c r="AD302" s="592"/>
      <c r="AE302" s="592"/>
      <c r="AF302" s="592"/>
      <c r="AG302" s="592"/>
    </row>
    <row r="303">
      <c r="E303" s="592"/>
      <c r="F303" s="591"/>
      <c r="G303" s="591"/>
      <c r="H303" s="592"/>
      <c r="I303" s="592"/>
      <c r="J303" s="592"/>
      <c r="K303" s="592"/>
      <c r="L303" s="592"/>
      <c r="M303" s="592"/>
      <c r="N303" s="592"/>
      <c r="O303" s="592"/>
      <c r="P303" s="592"/>
      <c r="Q303" s="592"/>
      <c r="R303" s="592"/>
      <c r="S303" s="592"/>
      <c r="T303" s="592"/>
      <c r="U303" s="592"/>
      <c r="V303" s="592"/>
      <c r="W303" s="592"/>
      <c r="X303" s="592"/>
      <c r="Y303" s="592"/>
      <c r="Z303" s="592"/>
      <c r="AA303" s="592"/>
      <c r="AB303" s="592"/>
      <c r="AC303" s="592"/>
      <c r="AD303" s="592"/>
      <c r="AE303" s="592"/>
      <c r="AF303" s="592"/>
      <c r="AG303" s="592"/>
    </row>
    <row r="304">
      <c r="E304" s="592"/>
      <c r="F304" s="591"/>
      <c r="G304" s="591"/>
      <c r="H304" s="592"/>
      <c r="I304" s="592"/>
      <c r="J304" s="592"/>
      <c r="K304" s="592"/>
      <c r="L304" s="592"/>
      <c r="M304" s="592"/>
      <c r="N304" s="592"/>
      <c r="O304" s="592"/>
      <c r="P304" s="592"/>
      <c r="Q304" s="592"/>
      <c r="R304" s="592"/>
      <c r="S304" s="592"/>
      <c r="T304" s="592"/>
      <c r="U304" s="592"/>
      <c r="V304" s="592"/>
      <c r="W304" s="592"/>
      <c r="X304" s="592"/>
      <c r="Y304" s="592"/>
      <c r="Z304" s="592"/>
      <c r="AA304" s="592"/>
      <c r="AB304" s="592"/>
      <c r="AC304" s="592"/>
      <c r="AD304" s="592"/>
      <c r="AE304" s="592"/>
      <c r="AF304" s="592"/>
      <c r="AG304" s="592"/>
    </row>
    <row r="305">
      <c r="E305" s="592"/>
      <c r="F305" s="591"/>
      <c r="G305" s="591"/>
      <c r="H305" s="592"/>
      <c r="I305" s="592"/>
      <c r="J305" s="592"/>
      <c r="K305" s="592"/>
      <c r="L305" s="592"/>
      <c r="M305" s="592"/>
      <c r="N305" s="592"/>
      <c r="O305" s="592"/>
      <c r="P305" s="592"/>
      <c r="Q305" s="592"/>
      <c r="R305" s="592"/>
      <c r="S305" s="592"/>
      <c r="T305" s="592"/>
      <c r="U305" s="592"/>
      <c r="V305" s="592"/>
      <c r="W305" s="592"/>
      <c r="X305" s="592"/>
      <c r="Y305" s="592"/>
      <c r="Z305" s="592"/>
      <c r="AA305" s="592"/>
      <c r="AB305" s="592"/>
      <c r="AC305" s="592"/>
      <c r="AD305" s="592"/>
      <c r="AE305" s="592"/>
      <c r="AF305" s="592"/>
      <c r="AG305" s="592"/>
    </row>
    <row r="306">
      <c r="E306" s="592"/>
      <c r="F306" s="591"/>
      <c r="G306" s="591"/>
      <c r="H306" s="592"/>
      <c r="I306" s="592"/>
      <c r="J306" s="592"/>
      <c r="K306" s="592"/>
      <c r="L306" s="592"/>
      <c r="M306" s="592"/>
      <c r="N306" s="592"/>
      <c r="O306" s="592"/>
      <c r="P306" s="592"/>
      <c r="Q306" s="592"/>
      <c r="R306" s="592"/>
      <c r="S306" s="592"/>
      <c r="T306" s="592"/>
      <c r="U306" s="592"/>
      <c r="V306" s="592"/>
      <c r="W306" s="592"/>
      <c r="X306" s="592"/>
      <c r="Y306" s="592"/>
      <c r="Z306" s="592"/>
      <c r="AA306" s="592"/>
      <c r="AB306" s="592"/>
      <c r="AC306" s="592"/>
      <c r="AD306" s="592"/>
      <c r="AE306" s="592"/>
      <c r="AF306" s="592"/>
      <c r="AG306" s="592"/>
    </row>
    <row r="307">
      <c r="E307" s="592"/>
      <c r="F307" s="591"/>
      <c r="G307" s="591"/>
      <c r="H307" s="592"/>
      <c r="I307" s="592"/>
      <c r="J307" s="592"/>
      <c r="K307" s="592"/>
      <c r="L307" s="592"/>
      <c r="M307" s="592"/>
      <c r="N307" s="592"/>
      <c r="O307" s="592"/>
      <c r="P307" s="592"/>
      <c r="Q307" s="592"/>
      <c r="R307" s="592"/>
      <c r="S307" s="592"/>
      <c r="T307" s="592"/>
      <c r="U307" s="592"/>
      <c r="V307" s="592"/>
      <c r="W307" s="592"/>
      <c r="X307" s="592"/>
      <c r="Y307" s="592"/>
      <c r="Z307" s="592"/>
      <c r="AA307" s="592"/>
      <c r="AB307" s="592"/>
      <c r="AC307" s="592"/>
      <c r="AD307" s="592"/>
      <c r="AE307" s="592"/>
      <c r="AF307" s="592"/>
      <c r="AG307" s="592"/>
    </row>
    <row r="308">
      <c r="E308" s="592"/>
      <c r="F308" s="591"/>
      <c r="G308" s="591"/>
      <c r="H308" s="592"/>
      <c r="I308" s="592"/>
      <c r="J308" s="592"/>
      <c r="K308" s="592"/>
      <c r="L308" s="592"/>
      <c r="M308" s="592"/>
      <c r="N308" s="592"/>
      <c r="O308" s="592"/>
      <c r="P308" s="592"/>
      <c r="Q308" s="592"/>
      <c r="R308" s="592"/>
      <c r="S308" s="592"/>
      <c r="T308" s="592"/>
      <c r="U308" s="592"/>
      <c r="V308" s="592"/>
      <c r="W308" s="592"/>
      <c r="X308" s="592"/>
      <c r="Y308" s="592"/>
      <c r="Z308" s="592"/>
      <c r="AA308" s="592"/>
      <c r="AB308" s="592"/>
      <c r="AC308" s="592"/>
      <c r="AD308" s="592"/>
      <c r="AE308" s="592"/>
      <c r="AF308" s="592"/>
      <c r="AG308" s="592"/>
    </row>
    <row r="309">
      <c r="E309" s="592"/>
      <c r="F309" s="591"/>
      <c r="G309" s="591"/>
      <c r="H309" s="592"/>
      <c r="I309" s="592"/>
      <c r="J309" s="592"/>
      <c r="K309" s="592"/>
      <c r="L309" s="592"/>
      <c r="M309" s="592"/>
      <c r="N309" s="592"/>
      <c r="O309" s="592"/>
      <c r="P309" s="592"/>
      <c r="Q309" s="592"/>
      <c r="R309" s="592"/>
      <c r="S309" s="592"/>
      <c r="T309" s="592"/>
      <c r="U309" s="592"/>
      <c r="V309" s="592"/>
      <c r="W309" s="592"/>
      <c r="X309" s="592"/>
      <c r="Y309" s="592"/>
      <c r="Z309" s="592"/>
      <c r="AA309" s="592"/>
      <c r="AB309" s="592"/>
      <c r="AC309" s="592"/>
      <c r="AD309" s="592"/>
      <c r="AE309" s="592"/>
      <c r="AF309" s="592"/>
      <c r="AG309" s="592"/>
    </row>
    <row r="310">
      <c r="E310" s="592"/>
      <c r="F310" s="591"/>
      <c r="G310" s="591"/>
      <c r="H310" s="592"/>
      <c r="I310" s="592"/>
      <c r="J310" s="592"/>
      <c r="K310" s="592"/>
      <c r="L310" s="592"/>
      <c r="M310" s="592"/>
      <c r="N310" s="592"/>
      <c r="O310" s="592"/>
      <c r="P310" s="592"/>
      <c r="Q310" s="592"/>
      <c r="R310" s="592"/>
      <c r="S310" s="592"/>
      <c r="T310" s="592"/>
      <c r="U310" s="592"/>
      <c r="V310" s="592"/>
      <c r="W310" s="592"/>
      <c r="X310" s="592"/>
      <c r="Y310" s="592"/>
      <c r="Z310" s="592"/>
      <c r="AA310" s="592"/>
      <c r="AB310" s="592"/>
      <c r="AC310" s="592"/>
      <c r="AD310" s="592"/>
      <c r="AE310" s="592"/>
      <c r="AF310" s="592"/>
      <c r="AG310" s="592"/>
    </row>
    <row r="311">
      <c r="E311" s="592"/>
      <c r="F311" s="591"/>
      <c r="G311" s="591"/>
      <c r="H311" s="592"/>
      <c r="I311" s="592"/>
      <c r="J311" s="592"/>
      <c r="K311" s="592"/>
      <c r="L311" s="592"/>
      <c r="M311" s="592"/>
      <c r="N311" s="592"/>
      <c r="O311" s="592"/>
      <c r="P311" s="592"/>
      <c r="Q311" s="592"/>
      <c r="R311" s="592"/>
      <c r="S311" s="592"/>
      <c r="T311" s="592"/>
      <c r="U311" s="592"/>
      <c r="V311" s="592"/>
      <c r="W311" s="592"/>
      <c r="X311" s="592"/>
      <c r="Y311" s="592"/>
      <c r="Z311" s="592"/>
      <c r="AA311" s="592"/>
      <c r="AB311" s="592"/>
      <c r="AC311" s="592"/>
      <c r="AD311" s="592"/>
      <c r="AE311" s="592"/>
      <c r="AF311" s="592"/>
      <c r="AG311" s="592"/>
    </row>
    <row r="312">
      <c r="E312" s="592"/>
      <c r="F312" s="591"/>
      <c r="G312" s="591"/>
      <c r="H312" s="592"/>
      <c r="I312" s="592"/>
      <c r="J312" s="592"/>
      <c r="K312" s="592"/>
      <c r="L312" s="592"/>
      <c r="M312" s="592"/>
      <c r="N312" s="592"/>
      <c r="O312" s="592"/>
      <c r="P312" s="592"/>
      <c r="Q312" s="592"/>
      <c r="R312" s="592"/>
      <c r="S312" s="592"/>
      <c r="T312" s="592"/>
      <c r="U312" s="592"/>
      <c r="V312" s="592"/>
      <c r="W312" s="592"/>
      <c r="X312" s="592"/>
      <c r="Y312" s="592"/>
      <c r="Z312" s="592"/>
      <c r="AA312" s="592"/>
      <c r="AB312" s="592"/>
      <c r="AC312" s="592"/>
      <c r="AD312" s="592"/>
      <c r="AE312" s="592"/>
      <c r="AF312" s="592"/>
      <c r="AG312" s="592"/>
    </row>
    <row r="313">
      <c r="E313" s="592"/>
      <c r="F313" s="591"/>
      <c r="G313" s="591"/>
      <c r="H313" s="592"/>
      <c r="I313" s="592"/>
      <c r="J313" s="592"/>
      <c r="K313" s="592"/>
      <c r="L313" s="592"/>
      <c r="M313" s="592"/>
      <c r="N313" s="592"/>
      <c r="O313" s="592"/>
      <c r="P313" s="592"/>
      <c r="Q313" s="592"/>
      <c r="R313" s="592"/>
      <c r="S313" s="592"/>
      <c r="T313" s="592"/>
      <c r="U313" s="592"/>
      <c r="V313" s="592"/>
      <c r="W313" s="592"/>
      <c r="X313" s="592"/>
      <c r="Y313" s="592"/>
      <c r="Z313" s="592"/>
      <c r="AA313" s="592"/>
      <c r="AB313" s="592"/>
      <c r="AC313" s="592"/>
      <c r="AD313" s="592"/>
      <c r="AE313" s="592"/>
      <c r="AF313" s="592"/>
      <c r="AG313" s="592"/>
    </row>
    <row r="314">
      <c r="E314" s="592"/>
      <c r="F314" s="591"/>
      <c r="G314" s="591"/>
      <c r="H314" s="592"/>
      <c r="I314" s="592"/>
      <c r="J314" s="592"/>
      <c r="K314" s="592"/>
      <c r="L314" s="592"/>
      <c r="M314" s="592"/>
      <c r="N314" s="592"/>
      <c r="O314" s="592"/>
      <c r="P314" s="592"/>
      <c r="Q314" s="592"/>
      <c r="R314" s="592"/>
      <c r="S314" s="592"/>
      <c r="T314" s="592"/>
      <c r="U314" s="592"/>
      <c r="V314" s="592"/>
      <c r="W314" s="592"/>
      <c r="X314" s="592"/>
      <c r="Y314" s="592"/>
      <c r="Z314" s="592"/>
      <c r="AA314" s="592"/>
      <c r="AB314" s="592"/>
      <c r="AC314" s="592"/>
      <c r="AD314" s="592"/>
      <c r="AE314" s="592"/>
      <c r="AF314" s="592"/>
      <c r="AG314" s="592"/>
    </row>
    <row r="315">
      <c r="E315" s="592"/>
      <c r="F315" s="591"/>
      <c r="G315" s="591"/>
      <c r="H315" s="592"/>
      <c r="I315" s="592"/>
      <c r="J315" s="592"/>
      <c r="K315" s="592"/>
      <c r="L315" s="592"/>
      <c r="M315" s="592"/>
      <c r="N315" s="592"/>
      <c r="O315" s="592"/>
      <c r="P315" s="592"/>
      <c r="Q315" s="592"/>
      <c r="R315" s="592"/>
      <c r="S315" s="592"/>
      <c r="T315" s="592"/>
      <c r="U315" s="592"/>
      <c r="V315" s="592"/>
      <c r="W315" s="592"/>
      <c r="X315" s="592"/>
      <c r="Y315" s="592"/>
      <c r="Z315" s="592"/>
      <c r="AA315" s="592"/>
      <c r="AB315" s="592"/>
      <c r="AC315" s="592"/>
      <c r="AD315" s="592"/>
      <c r="AE315" s="592"/>
      <c r="AF315" s="592"/>
      <c r="AG315" s="592"/>
    </row>
    <row r="316">
      <c r="E316" s="592"/>
      <c r="F316" s="591"/>
      <c r="G316" s="591"/>
      <c r="H316" s="592"/>
      <c r="I316" s="592"/>
      <c r="J316" s="592"/>
      <c r="K316" s="592"/>
      <c r="L316" s="592"/>
      <c r="M316" s="592"/>
      <c r="N316" s="592"/>
      <c r="O316" s="592"/>
      <c r="P316" s="592"/>
      <c r="Q316" s="592"/>
      <c r="R316" s="592"/>
      <c r="S316" s="592"/>
      <c r="T316" s="592"/>
      <c r="U316" s="592"/>
      <c r="V316" s="592"/>
      <c r="W316" s="592"/>
      <c r="X316" s="592"/>
      <c r="Y316" s="592"/>
      <c r="Z316" s="592"/>
      <c r="AA316" s="592"/>
      <c r="AB316" s="592"/>
      <c r="AC316" s="592"/>
      <c r="AD316" s="592"/>
      <c r="AE316" s="592"/>
      <c r="AF316" s="592"/>
      <c r="AG316" s="592"/>
    </row>
    <row r="317">
      <c r="E317" s="592"/>
      <c r="F317" s="591"/>
      <c r="G317" s="591"/>
      <c r="H317" s="592"/>
      <c r="I317" s="592"/>
      <c r="J317" s="592"/>
      <c r="K317" s="592"/>
      <c r="L317" s="592"/>
      <c r="M317" s="592"/>
      <c r="N317" s="592"/>
      <c r="O317" s="592"/>
      <c r="P317" s="592"/>
      <c r="Q317" s="592"/>
      <c r="R317" s="592"/>
      <c r="S317" s="592"/>
      <c r="T317" s="592"/>
      <c r="U317" s="592"/>
      <c r="V317" s="592"/>
      <c r="W317" s="592"/>
      <c r="X317" s="592"/>
      <c r="Y317" s="592"/>
      <c r="Z317" s="592"/>
      <c r="AA317" s="592"/>
      <c r="AB317" s="592"/>
      <c r="AC317" s="592"/>
      <c r="AD317" s="592"/>
      <c r="AE317" s="592"/>
      <c r="AF317" s="592"/>
      <c r="AG317" s="592"/>
    </row>
    <row r="318">
      <c r="E318" s="592"/>
      <c r="F318" s="591"/>
      <c r="G318" s="591"/>
      <c r="H318" s="592"/>
      <c r="I318" s="592"/>
      <c r="J318" s="592"/>
      <c r="K318" s="592"/>
      <c r="L318" s="592"/>
      <c r="M318" s="592"/>
      <c r="N318" s="592"/>
      <c r="O318" s="592"/>
      <c r="P318" s="592"/>
      <c r="Q318" s="592"/>
      <c r="R318" s="592"/>
      <c r="S318" s="592"/>
      <c r="T318" s="592"/>
      <c r="U318" s="592"/>
      <c r="V318" s="592"/>
      <c r="W318" s="592"/>
      <c r="X318" s="592"/>
      <c r="Y318" s="592"/>
      <c r="Z318" s="592"/>
      <c r="AA318" s="592"/>
      <c r="AB318" s="592"/>
      <c r="AC318" s="592"/>
      <c r="AD318" s="592"/>
      <c r="AE318" s="592"/>
      <c r="AF318" s="592"/>
      <c r="AG318" s="592"/>
    </row>
    <row r="319">
      <c r="E319" s="592"/>
      <c r="F319" s="591"/>
      <c r="G319" s="591"/>
      <c r="H319" s="592"/>
      <c r="I319" s="592"/>
      <c r="J319" s="592"/>
      <c r="K319" s="592"/>
      <c r="L319" s="592"/>
      <c r="M319" s="592"/>
      <c r="N319" s="592"/>
      <c r="O319" s="592"/>
      <c r="P319" s="592"/>
      <c r="Q319" s="592"/>
      <c r="R319" s="592"/>
      <c r="S319" s="592"/>
      <c r="T319" s="592"/>
      <c r="U319" s="592"/>
      <c r="V319" s="592"/>
      <c r="W319" s="592"/>
      <c r="X319" s="592"/>
      <c r="Y319" s="592"/>
      <c r="Z319" s="592"/>
      <c r="AA319" s="592"/>
      <c r="AB319" s="592"/>
      <c r="AC319" s="592"/>
      <c r="AD319" s="592"/>
      <c r="AE319" s="592"/>
      <c r="AF319" s="592"/>
      <c r="AG319" s="592"/>
    </row>
    <row r="320">
      <c r="E320" s="592"/>
      <c r="F320" s="591"/>
      <c r="G320" s="591"/>
      <c r="H320" s="592"/>
      <c r="I320" s="592"/>
      <c r="J320" s="592"/>
      <c r="K320" s="592"/>
      <c r="L320" s="592"/>
      <c r="M320" s="592"/>
      <c r="N320" s="592"/>
      <c r="O320" s="592"/>
      <c r="P320" s="592"/>
      <c r="Q320" s="592"/>
      <c r="R320" s="592"/>
      <c r="S320" s="592"/>
      <c r="T320" s="592"/>
      <c r="U320" s="592"/>
      <c r="V320" s="592"/>
      <c r="W320" s="592"/>
      <c r="X320" s="592"/>
      <c r="Y320" s="592"/>
      <c r="Z320" s="592"/>
      <c r="AA320" s="592"/>
      <c r="AB320" s="592"/>
      <c r="AC320" s="592"/>
      <c r="AD320" s="592"/>
      <c r="AE320" s="592"/>
      <c r="AF320" s="592"/>
      <c r="AG320" s="592"/>
    </row>
    <row r="321">
      <c r="E321" s="592"/>
      <c r="F321" s="591"/>
      <c r="G321" s="591"/>
      <c r="H321" s="592"/>
      <c r="I321" s="592"/>
      <c r="J321" s="592"/>
      <c r="K321" s="592"/>
      <c r="L321" s="592"/>
      <c r="M321" s="592"/>
      <c r="N321" s="592"/>
      <c r="O321" s="592"/>
      <c r="P321" s="592"/>
      <c r="Q321" s="592"/>
      <c r="R321" s="592"/>
      <c r="S321" s="592"/>
      <c r="T321" s="592"/>
      <c r="U321" s="592"/>
      <c r="V321" s="592"/>
      <c r="W321" s="592"/>
      <c r="X321" s="592"/>
      <c r="Y321" s="592"/>
      <c r="Z321" s="592"/>
      <c r="AA321" s="592"/>
      <c r="AB321" s="592"/>
      <c r="AC321" s="592"/>
      <c r="AD321" s="592"/>
      <c r="AE321" s="592"/>
      <c r="AF321" s="592"/>
      <c r="AG321" s="592"/>
    </row>
    <row r="322">
      <c r="E322" s="592"/>
      <c r="F322" s="591"/>
      <c r="G322" s="591"/>
      <c r="H322" s="592"/>
      <c r="I322" s="592"/>
      <c r="J322" s="592"/>
      <c r="K322" s="592"/>
      <c r="L322" s="592"/>
      <c r="M322" s="592"/>
      <c r="N322" s="592"/>
      <c r="O322" s="592"/>
      <c r="P322" s="592"/>
      <c r="Q322" s="592"/>
      <c r="R322" s="592"/>
      <c r="S322" s="592"/>
      <c r="T322" s="592"/>
      <c r="U322" s="592"/>
      <c r="V322" s="592"/>
      <c r="W322" s="592"/>
      <c r="X322" s="592"/>
      <c r="Y322" s="592"/>
      <c r="Z322" s="592"/>
      <c r="AA322" s="592"/>
      <c r="AB322" s="592"/>
      <c r="AC322" s="592"/>
      <c r="AD322" s="592"/>
      <c r="AE322" s="592"/>
      <c r="AF322" s="592"/>
      <c r="AG322" s="592"/>
    </row>
    <row r="323">
      <c r="E323" s="592"/>
      <c r="F323" s="591"/>
      <c r="G323" s="591"/>
      <c r="H323" s="592"/>
      <c r="I323" s="592"/>
      <c r="J323" s="592"/>
      <c r="K323" s="592"/>
      <c r="L323" s="592"/>
      <c r="M323" s="592"/>
      <c r="N323" s="592"/>
      <c r="O323" s="592"/>
      <c r="P323" s="592"/>
      <c r="Q323" s="592"/>
      <c r="R323" s="592"/>
      <c r="S323" s="592"/>
      <c r="T323" s="592"/>
      <c r="U323" s="592"/>
      <c r="V323" s="592"/>
      <c r="W323" s="592"/>
      <c r="X323" s="592"/>
      <c r="Y323" s="592"/>
      <c r="Z323" s="592"/>
      <c r="AA323" s="592"/>
      <c r="AB323" s="592"/>
      <c r="AC323" s="592"/>
      <c r="AD323" s="592"/>
      <c r="AE323" s="592"/>
      <c r="AF323" s="592"/>
      <c r="AG323" s="592"/>
    </row>
    <row r="324">
      <c r="E324" s="592"/>
      <c r="F324" s="591"/>
      <c r="G324" s="591"/>
      <c r="H324" s="592"/>
      <c r="I324" s="592"/>
      <c r="J324" s="592"/>
      <c r="K324" s="592"/>
      <c r="L324" s="592"/>
      <c r="M324" s="592"/>
      <c r="N324" s="592"/>
      <c r="O324" s="592"/>
      <c r="P324" s="592"/>
      <c r="Q324" s="592"/>
      <c r="R324" s="592"/>
      <c r="S324" s="592"/>
      <c r="T324" s="592"/>
      <c r="U324" s="592"/>
      <c r="V324" s="592"/>
      <c r="W324" s="592"/>
      <c r="X324" s="592"/>
      <c r="Y324" s="592"/>
      <c r="Z324" s="592"/>
      <c r="AA324" s="592"/>
      <c r="AB324" s="592"/>
      <c r="AC324" s="592"/>
      <c r="AD324" s="592"/>
      <c r="AE324" s="592"/>
      <c r="AF324" s="592"/>
      <c r="AG324" s="592"/>
    </row>
    <row r="325">
      <c r="E325" s="592"/>
      <c r="F325" s="591"/>
      <c r="G325" s="591"/>
      <c r="H325" s="592"/>
      <c r="I325" s="592"/>
      <c r="J325" s="592"/>
      <c r="K325" s="592"/>
      <c r="L325" s="592"/>
      <c r="M325" s="592"/>
      <c r="N325" s="592"/>
      <c r="O325" s="592"/>
      <c r="P325" s="592"/>
      <c r="Q325" s="592"/>
      <c r="R325" s="592"/>
      <c r="S325" s="592"/>
      <c r="T325" s="592"/>
      <c r="U325" s="592"/>
      <c r="V325" s="592"/>
      <c r="W325" s="592"/>
      <c r="X325" s="592"/>
      <c r="Y325" s="592"/>
      <c r="Z325" s="592"/>
      <c r="AA325" s="592"/>
      <c r="AB325" s="592"/>
      <c r="AC325" s="592"/>
      <c r="AD325" s="592"/>
      <c r="AE325" s="592"/>
      <c r="AF325" s="592"/>
      <c r="AG325" s="592"/>
    </row>
    <row r="326">
      <c r="E326" s="592"/>
      <c r="F326" s="591"/>
      <c r="G326" s="591"/>
      <c r="H326" s="592"/>
      <c r="I326" s="592"/>
      <c r="J326" s="592"/>
      <c r="K326" s="592"/>
      <c r="L326" s="592"/>
      <c r="M326" s="592"/>
      <c r="N326" s="592"/>
      <c r="O326" s="592"/>
      <c r="P326" s="592"/>
      <c r="Q326" s="592"/>
      <c r="R326" s="592"/>
      <c r="S326" s="592"/>
      <c r="T326" s="592"/>
      <c r="U326" s="592"/>
      <c r="V326" s="592"/>
      <c r="W326" s="592"/>
      <c r="X326" s="592"/>
      <c r="Y326" s="592"/>
      <c r="Z326" s="592"/>
      <c r="AA326" s="592"/>
      <c r="AB326" s="592"/>
      <c r="AC326" s="592"/>
      <c r="AD326" s="592"/>
      <c r="AE326" s="592"/>
      <c r="AF326" s="592"/>
      <c r="AG326" s="592"/>
    </row>
    <row r="327">
      <c r="E327" s="592"/>
      <c r="F327" s="591"/>
      <c r="G327" s="591"/>
      <c r="H327" s="592"/>
      <c r="I327" s="592"/>
      <c r="J327" s="592"/>
      <c r="K327" s="592"/>
      <c r="L327" s="592"/>
      <c r="M327" s="592"/>
      <c r="N327" s="592"/>
      <c r="O327" s="592"/>
      <c r="P327" s="592"/>
      <c r="Q327" s="592"/>
      <c r="R327" s="592"/>
      <c r="S327" s="592"/>
      <c r="T327" s="592"/>
      <c r="U327" s="592"/>
      <c r="V327" s="592"/>
      <c r="W327" s="592"/>
      <c r="X327" s="592"/>
      <c r="Y327" s="592"/>
      <c r="Z327" s="592"/>
      <c r="AA327" s="592"/>
      <c r="AB327" s="592"/>
      <c r="AC327" s="592"/>
      <c r="AD327" s="592"/>
      <c r="AE327" s="592"/>
      <c r="AF327" s="592"/>
      <c r="AG327" s="592"/>
    </row>
    <row r="328">
      <c r="E328" s="592"/>
      <c r="F328" s="591"/>
      <c r="G328" s="591"/>
      <c r="H328" s="592"/>
      <c r="I328" s="592"/>
      <c r="J328" s="592"/>
      <c r="K328" s="592"/>
      <c r="L328" s="592"/>
      <c r="M328" s="592"/>
      <c r="N328" s="592"/>
      <c r="O328" s="592"/>
      <c r="P328" s="592"/>
      <c r="Q328" s="592"/>
      <c r="R328" s="592"/>
      <c r="S328" s="592"/>
      <c r="T328" s="592"/>
      <c r="U328" s="592"/>
      <c r="V328" s="592"/>
      <c r="W328" s="592"/>
      <c r="X328" s="592"/>
      <c r="Y328" s="592"/>
      <c r="Z328" s="592"/>
      <c r="AA328" s="592"/>
      <c r="AB328" s="592"/>
      <c r="AC328" s="592"/>
      <c r="AD328" s="592"/>
      <c r="AE328" s="592"/>
      <c r="AF328" s="592"/>
      <c r="AG328" s="592"/>
    </row>
    <row r="329">
      <c r="E329" s="592"/>
      <c r="F329" s="591"/>
      <c r="G329" s="591"/>
      <c r="H329" s="592"/>
      <c r="I329" s="592"/>
      <c r="J329" s="592"/>
      <c r="K329" s="592"/>
      <c r="L329" s="592"/>
      <c r="M329" s="592"/>
      <c r="N329" s="592"/>
      <c r="O329" s="592"/>
      <c r="P329" s="592"/>
      <c r="Q329" s="592"/>
      <c r="R329" s="592"/>
      <c r="S329" s="592"/>
      <c r="T329" s="592"/>
      <c r="U329" s="592"/>
      <c r="V329" s="592"/>
      <c r="W329" s="592"/>
      <c r="X329" s="592"/>
      <c r="Y329" s="592"/>
      <c r="Z329" s="592"/>
      <c r="AA329" s="592"/>
      <c r="AB329" s="592"/>
      <c r="AC329" s="592"/>
      <c r="AD329" s="592"/>
      <c r="AE329" s="592"/>
      <c r="AF329" s="592"/>
      <c r="AG329" s="592"/>
    </row>
    <row r="330">
      <c r="E330" s="592"/>
      <c r="F330" s="591"/>
      <c r="G330" s="591"/>
      <c r="H330" s="592"/>
      <c r="I330" s="592"/>
      <c r="J330" s="592"/>
      <c r="K330" s="592"/>
      <c r="L330" s="592"/>
      <c r="M330" s="592"/>
      <c r="N330" s="592"/>
      <c r="O330" s="592"/>
      <c r="P330" s="592"/>
      <c r="Q330" s="592"/>
      <c r="R330" s="592"/>
      <c r="S330" s="592"/>
      <c r="T330" s="592"/>
      <c r="U330" s="592"/>
      <c r="V330" s="592"/>
      <c r="W330" s="592"/>
      <c r="X330" s="592"/>
      <c r="Y330" s="592"/>
      <c r="Z330" s="592"/>
      <c r="AA330" s="592"/>
      <c r="AB330" s="592"/>
      <c r="AC330" s="592"/>
      <c r="AD330" s="592"/>
      <c r="AE330" s="592"/>
      <c r="AF330" s="592"/>
      <c r="AG330" s="592"/>
    </row>
    <row r="331">
      <c r="E331" s="592"/>
      <c r="F331" s="591"/>
      <c r="G331" s="591"/>
      <c r="H331" s="592"/>
      <c r="I331" s="592"/>
      <c r="J331" s="592"/>
      <c r="K331" s="592"/>
      <c r="L331" s="592"/>
      <c r="M331" s="592"/>
      <c r="N331" s="592"/>
      <c r="O331" s="592"/>
      <c r="P331" s="592"/>
      <c r="Q331" s="592"/>
      <c r="R331" s="592"/>
      <c r="S331" s="592"/>
      <c r="T331" s="592"/>
      <c r="U331" s="592"/>
      <c r="V331" s="592"/>
      <c r="W331" s="592"/>
      <c r="X331" s="592"/>
      <c r="Y331" s="592"/>
      <c r="Z331" s="592"/>
      <c r="AA331" s="592"/>
      <c r="AB331" s="592"/>
      <c r="AC331" s="592"/>
      <c r="AD331" s="592"/>
      <c r="AE331" s="592"/>
      <c r="AF331" s="592"/>
      <c r="AG331" s="592"/>
    </row>
    <row r="332">
      <c r="E332" s="592"/>
      <c r="F332" s="591"/>
      <c r="G332" s="591"/>
      <c r="H332" s="592"/>
      <c r="I332" s="592"/>
      <c r="J332" s="592"/>
      <c r="K332" s="592"/>
      <c r="L332" s="592"/>
      <c r="M332" s="592"/>
      <c r="N332" s="592"/>
      <c r="O332" s="592"/>
      <c r="P332" s="592"/>
      <c r="Q332" s="592"/>
      <c r="R332" s="592"/>
      <c r="S332" s="592"/>
      <c r="T332" s="592"/>
      <c r="U332" s="592"/>
      <c r="V332" s="592"/>
      <c r="W332" s="592"/>
      <c r="X332" s="592"/>
      <c r="Y332" s="592"/>
      <c r="Z332" s="592"/>
      <c r="AA332" s="592"/>
      <c r="AB332" s="592"/>
      <c r="AC332" s="592"/>
      <c r="AD332" s="592"/>
      <c r="AE332" s="592"/>
      <c r="AF332" s="592"/>
      <c r="AG332" s="592"/>
    </row>
    <row r="333">
      <c r="E333" s="592"/>
      <c r="F333" s="591"/>
      <c r="G333" s="591"/>
      <c r="H333" s="592"/>
      <c r="I333" s="592"/>
      <c r="J333" s="592"/>
      <c r="K333" s="592"/>
      <c r="L333" s="592"/>
      <c r="M333" s="592"/>
      <c r="N333" s="592"/>
      <c r="O333" s="592"/>
      <c r="P333" s="592"/>
      <c r="Q333" s="592"/>
      <c r="R333" s="592"/>
      <c r="S333" s="592"/>
      <c r="T333" s="592"/>
      <c r="U333" s="592"/>
      <c r="V333" s="592"/>
      <c r="W333" s="592"/>
      <c r="X333" s="592"/>
      <c r="Y333" s="592"/>
      <c r="Z333" s="592"/>
      <c r="AA333" s="592"/>
      <c r="AB333" s="592"/>
      <c r="AC333" s="592"/>
      <c r="AD333" s="592"/>
      <c r="AE333" s="592"/>
      <c r="AF333" s="592"/>
      <c r="AG333" s="592"/>
    </row>
    <row r="334">
      <c r="E334" s="592"/>
      <c r="F334" s="591"/>
      <c r="G334" s="591"/>
      <c r="H334" s="592"/>
      <c r="I334" s="592"/>
      <c r="J334" s="592"/>
      <c r="K334" s="592"/>
      <c r="L334" s="592"/>
      <c r="M334" s="592"/>
      <c r="N334" s="592"/>
      <c r="O334" s="592"/>
      <c r="P334" s="592"/>
      <c r="Q334" s="592"/>
      <c r="R334" s="592"/>
      <c r="S334" s="592"/>
      <c r="T334" s="592"/>
      <c r="U334" s="592"/>
      <c r="V334" s="592"/>
      <c r="W334" s="592"/>
      <c r="X334" s="592"/>
      <c r="Y334" s="592"/>
      <c r="Z334" s="592"/>
      <c r="AA334" s="592"/>
      <c r="AB334" s="592"/>
      <c r="AC334" s="592"/>
      <c r="AD334" s="592"/>
      <c r="AE334" s="592"/>
      <c r="AF334" s="592"/>
      <c r="AG334" s="592"/>
    </row>
    <row r="335">
      <c r="E335" s="592"/>
      <c r="F335" s="591"/>
      <c r="G335" s="591"/>
      <c r="H335" s="592"/>
      <c r="I335" s="592"/>
      <c r="J335" s="592"/>
      <c r="K335" s="592"/>
      <c r="L335" s="592"/>
      <c r="M335" s="592"/>
      <c r="N335" s="592"/>
      <c r="O335" s="592"/>
      <c r="P335" s="592"/>
      <c r="Q335" s="592"/>
      <c r="R335" s="592"/>
      <c r="S335" s="592"/>
      <c r="T335" s="592"/>
      <c r="U335" s="592"/>
      <c r="V335" s="592"/>
      <c r="W335" s="592"/>
      <c r="X335" s="592"/>
      <c r="Y335" s="592"/>
      <c r="Z335" s="592"/>
      <c r="AA335" s="592"/>
      <c r="AB335" s="592"/>
      <c r="AC335" s="592"/>
      <c r="AD335" s="592"/>
      <c r="AE335" s="592"/>
      <c r="AF335" s="592"/>
      <c r="AG335" s="592"/>
    </row>
    <row r="336">
      <c r="E336" s="592"/>
      <c r="F336" s="591"/>
      <c r="G336" s="591"/>
      <c r="H336" s="592"/>
      <c r="I336" s="592"/>
      <c r="J336" s="592"/>
      <c r="K336" s="592"/>
      <c r="L336" s="592"/>
      <c r="M336" s="592"/>
      <c r="N336" s="592"/>
      <c r="O336" s="592"/>
      <c r="P336" s="592"/>
      <c r="Q336" s="592"/>
      <c r="R336" s="592"/>
      <c r="S336" s="592"/>
      <c r="T336" s="592"/>
      <c r="U336" s="592"/>
      <c r="V336" s="592"/>
      <c r="W336" s="592"/>
      <c r="X336" s="592"/>
      <c r="Y336" s="592"/>
      <c r="Z336" s="592"/>
      <c r="AA336" s="592"/>
      <c r="AB336" s="592"/>
      <c r="AC336" s="592"/>
      <c r="AD336" s="592"/>
      <c r="AE336" s="592"/>
      <c r="AF336" s="592"/>
      <c r="AG336" s="592"/>
    </row>
    <row r="337">
      <c r="E337" s="592"/>
      <c r="F337" s="591"/>
      <c r="G337" s="591"/>
      <c r="H337" s="592"/>
      <c r="I337" s="592"/>
      <c r="J337" s="592"/>
      <c r="K337" s="592"/>
      <c r="L337" s="592"/>
      <c r="M337" s="592"/>
      <c r="N337" s="592"/>
      <c r="O337" s="592"/>
      <c r="P337" s="592"/>
      <c r="Q337" s="592"/>
      <c r="R337" s="592"/>
      <c r="S337" s="592"/>
      <c r="T337" s="592"/>
      <c r="U337" s="592"/>
      <c r="V337" s="592"/>
      <c r="W337" s="592"/>
      <c r="X337" s="592"/>
      <c r="Y337" s="592"/>
      <c r="Z337" s="592"/>
      <c r="AA337" s="592"/>
      <c r="AB337" s="592"/>
      <c r="AC337" s="592"/>
      <c r="AD337" s="592"/>
      <c r="AE337" s="592"/>
      <c r="AF337" s="592"/>
      <c r="AG337" s="592"/>
    </row>
    <row r="338">
      <c r="E338" s="592"/>
      <c r="F338" s="591"/>
      <c r="G338" s="591"/>
      <c r="H338" s="592"/>
      <c r="I338" s="592"/>
      <c r="J338" s="592"/>
      <c r="K338" s="592"/>
      <c r="L338" s="592"/>
      <c r="M338" s="592"/>
      <c r="N338" s="592"/>
      <c r="O338" s="592"/>
      <c r="P338" s="592"/>
      <c r="Q338" s="592"/>
      <c r="R338" s="592"/>
      <c r="S338" s="592"/>
      <c r="T338" s="592"/>
      <c r="U338" s="592"/>
      <c r="V338" s="592"/>
      <c r="W338" s="592"/>
      <c r="X338" s="592"/>
      <c r="Y338" s="592"/>
      <c r="Z338" s="592"/>
      <c r="AA338" s="592"/>
      <c r="AB338" s="592"/>
      <c r="AC338" s="592"/>
      <c r="AD338" s="592"/>
      <c r="AE338" s="592"/>
      <c r="AF338" s="592"/>
      <c r="AG338" s="592"/>
    </row>
    <row r="339">
      <c r="E339" s="592"/>
      <c r="F339" s="591"/>
      <c r="G339" s="591"/>
      <c r="H339" s="592"/>
      <c r="I339" s="592"/>
      <c r="J339" s="592"/>
      <c r="K339" s="592"/>
      <c r="L339" s="592"/>
      <c r="M339" s="592"/>
      <c r="N339" s="592"/>
      <c r="O339" s="592"/>
      <c r="P339" s="592"/>
      <c r="Q339" s="592"/>
      <c r="R339" s="592"/>
      <c r="S339" s="592"/>
      <c r="T339" s="592"/>
      <c r="U339" s="592"/>
      <c r="V339" s="592"/>
      <c r="W339" s="592"/>
      <c r="X339" s="592"/>
      <c r="Y339" s="592"/>
      <c r="Z339" s="592"/>
      <c r="AA339" s="592"/>
      <c r="AB339" s="592"/>
      <c r="AC339" s="592"/>
      <c r="AD339" s="592"/>
      <c r="AE339" s="592"/>
      <c r="AF339" s="592"/>
      <c r="AG339" s="592"/>
    </row>
    <row r="340">
      <c r="E340" s="592"/>
      <c r="F340" s="591"/>
      <c r="G340" s="591"/>
      <c r="H340" s="592"/>
      <c r="I340" s="592"/>
      <c r="J340" s="592"/>
      <c r="K340" s="592"/>
      <c r="L340" s="592"/>
      <c r="M340" s="592"/>
      <c r="N340" s="592"/>
      <c r="O340" s="592"/>
      <c r="P340" s="592"/>
      <c r="Q340" s="592"/>
      <c r="R340" s="592"/>
      <c r="S340" s="592"/>
      <c r="T340" s="592"/>
      <c r="U340" s="592"/>
      <c r="V340" s="592"/>
      <c r="W340" s="592"/>
      <c r="X340" s="592"/>
      <c r="Y340" s="592"/>
      <c r="Z340" s="592"/>
      <c r="AA340" s="592"/>
      <c r="AB340" s="592"/>
      <c r="AC340" s="592"/>
      <c r="AD340" s="592"/>
      <c r="AE340" s="592"/>
      <c r="AF340" s="592"/>
      <c r="AG340" s="592"/>
    </row>
    <row r="341">
      <c r="E341" s="592"/>
      <c r="F341" s="591"/>
      <c r="G341" s="591"/>
      <c r="H341" s="592"/>
      <c r="I341" s="592"/>
      <c r="J341" s="592"/>
      <c r="K341" s="592"/>
      <c r="L341" s="592"/>
      <c r="M341" s="592"/>
      <c r="N341" s="592"/>
      <c r="O341" s="592"/>
      <c r="P341" s="592"/>
      <c r="Q341" s="592"/>
      <c r="R341" s="592"/>
      <c r="S341" s="592"/>
      <c r="T341" s="592"/>
      <c r="U341" s="592"/>
      <c r="V341" s="592"/>
      <c r="W341" s="592"/>
      <c r="X341" s="592"/>
      <c r="Y341" s="592"/>
      <c r="Z341" s="592"/>
      <c r="AA341" s="592"/>
      <c r="AB341" s="592"/>
      <c r="AC341" s="592"/>
      <c r="AD341" s="592"/>
      <c r="AE341" s="592"/>
      <c r="AF341" s="592"/>
      <c r="AG341" s="592"/>
    </row>
    <row r="342">
      <c r="E342" s="592"/>
      <c r="F342" s="591"/>
      <c r="G342" s="591"/>
      <c r="H342" s="592"/>
      <c r="I342" s="592"/>
      <c r="J342" s="592"/>
      <c r="K342" s="592"/>
      <c r="L342" s="592"/>
      <c r="M342" s="592"/>
      <c r="N342" s="592"/>
      <c r="O342" s="592"/>
      <c r="P342" s="592"/>
      <c r="Q342" s="592"/>
      <c r="R342" s="592"/>
      <c r="S342" s="592"/>
      <c r="T342" s="592"/>
      <c r="U342" s="592"/>
      <c r="V342" s="592"/>
      <c r="W342" s="592"/>
      <c r="X342" s="592"/>
      <c r="Y342" s="592"/>
      <c r="Z342" s="592"/>
      <c r="AA342" s="592"/>
      <c r="AB342" s="592"/>
      <c r="AC342" s="592"/>
      <c r="AD342" s="592"/>
      <c r="AE342" s="592"/>
      <c r="AF342" s="592"/>
      <c r="AG342" s="592"/>
    </row>
    <row r="343">
      <c r="E343" s="592"/>
      <c r="F343" s="591"/>
      <c r="G343" s="591"/>
      <c r="H343" s="592"/>
      <c r="I343" s="592"/>
      <c r="J343" s="592"/>
      <c r="K343" s="592"/>
      <c r="L343" s="592"/>
      <c r="M343" s="592"/>
      <c r="N343" s="592"/>
      <c r="O343" s="592"/>
      <c r="P343" s="592"/>
      <c r="Q343" s="592"/>
      <c r="R343" s="592"/>
      <c r="S343" s="592"/>
      <c r="T343" s="592"/>
      <c r="U343" s="592"/>
      <c r="V343" s="592"/>
      <c r="W343" s="592"/>
      <c r="X343" s="592"/>
      <c r="Y343" s="592"/>
      <c r="Z343" s="592"/>
      <c r="AA343" s="592"/>
      <c r="AB343" s="592"/>
      <c r="AC343" s="592"/>
      <c r="AD343" s="592"/>
      <c r="AE343" s="592"/>
      <c r="AF343" s="592"/>
      <c r="AG343" s="592"/>
    </row>
    <row r="344">
      <c r="E344" s="592"/>
      <c r="F344" s="591"/>
      <c r="G344" s="591"/>
      <c r="H344" s="592"/>
      <c r="I344" s="592"/>
      <c r="J344" s="592"/>
      <c r="K344" s="592"/>
      <c r="L344" s="592"/>
      <c r="M344" s="592"/>
      <c r="N344" s="592"/>
      <c r="O344" s="592"/>
      <c r="P344" s="592"/>
      <c r="Q344" s="592"/>
      <c r="R344" s="592"/>
      <c r="S344" s="592"/>
      <c r="T344" s="592"/>
      <c r="U344" s="592"/>
      <c r="V344" s="592"/>
      <c r="W344" s="592"/>
      <c r="X344" s="592"/>
      <c r="Y344" s="592"/>
      <c r="Z344" s="592"/>
      <c r="AA344" s="592"/>
      <c r="AB344" s="592"/>
      <c r="AC344" s="592"/>
      <c r="AD344" s="592"/>
      <c r="AE344" s="592"/>
      <c r="AF344" s="592"/>
      <c r="AG344" s="592"/>
    </row>
    <row r="345">
      <c r="E345" s="592"/>
      <c r="F345" s="591"/>
      <c r="G345" s="591"/>
      <c r="H345" s="592"/>
      <c r="I345" s="592"/>
      <c r="J345" s="592"/>
      <c r="K345" s="592"/>
      <c r="L345" s="592"/>
      <c r="M345" s="592"/>
      <c r="N345" s="592"/>
      <c r="O345" s="592"/>
      <c r="P345" s="592"/>
      <c r="Q345" s="592"/>
      <c r="R345" s="592"/>
      <c r="S345" s="592"/>
      <c r="T345" s="592"/>
      <c r="U345" s="592"/>
      <c r="V345" s="592"/>
      <c r="W345" s="592"/>
      <c r="X345" s="592"/>
      <c r="Y345" s="592"/>
      <c r="Z345" s="592"/>
      <c r="AA345" s="592"/>
      <c r="AB345" s="592"/>
      <c r="AC345" s="592"/>
      <c r="AD345" s="592"/>
      <c r="AE345" s="592"/>
      <c r="AF345" s="592"/>
      <c r="AG345" s="592"/>
    </row>
    <row r="346">
      <c r="E346" s="592"/>
      <c r="F346" s="591"/>
      <c r="G346" s="591"/>
      <c r="H346" s="592"/>
      <c r="I346" s="592"/>
      <c r="J346" s="592"/>
      <c r="K346" s="592"/>
      <c r="L346" s="592"/>
      <c r="M346" s="592"/>
      <c r="N346" s="592"/>
      <c r="O346" s="592"/>
      <c r="P346" s="592"/>
      <c r="Q346" s="592"/>
      <c r="R346" s="592"/>
      <c r="S346" s="592"/>
      <c r="T346" s="592"/>
      <c r="U346" s="592"/>
      <c r="V346" s="592"/>
      <c r="W346" s="592"/>
      <c r="X346" s="592"/>
      <c r="Y346" s="592"/>
      <c r="Z346" s="592"/>
      <c r="AA346" s="592"/>
      <c r="AB346" s="592"/>
      <c r="AC346" s="592"/>
      <c r="AD346" s="592"/>
      <c r="AE346" s="592"/>
      <c r="AF346" s="592"/>
      <c r="AG346" s="592"/>
    </row>
    <row r="347">
      <c r="E347" s="592"/>
      <c r="F347" s="591"/>
      <c r="G347" s="591"/>
      <c r="H347" s="592"/>
      <c r="I347" s="592"/>
      <c r="J347" s="592"/>
      <c r="K347" s="592"/>
      <c r="L347" s="592"/>
      <c r="M347" s="592"/>
      <c r="N347" s="592"/>
      <c r="O347" s="592"/>
      <c r="P347" s="592"/>
      <c r="Q347" s="592"/>
      <c r="R347" s="592"/>
      <c r="S347" s="592"/>
      <c r="T347" s="592"/>
      <c r="U347" s="592"/>
      <c r="V347" s="592"/>
      <c r="W347" s="592"/>
      <c r="X347" s="592"/>
      <c r="Y347" s="592"/>
      <c r="Z347" s="592"/>
      <c r="AA347" s="592"/>
      <c r="AB347" s="592"/>
      <c r="AC347" s="592"/>
      <c r="AD347" s="592"/>
      <c r="AE347" s="592"/>
      <c r="AF347" s="592"/>
      <c r="AG347" s="592"/>
    </row>
    <row r="348">
      <c r="E348" s="592"/>
      <c r="F348" s="591"/>
      <c r="G348" s="591"/>
      <c r="H348" s="592"/>
      <c r="I348" s="592"/>
      <c r="J348" s="592"/>
      <c r="K348" s="592"/>
      <c r="L348" s="592"/>
      <c r="M348" s="592"/>
      <c r="N348" s="592"/>
      <c r="O348" s="592"/>
      <c r="P348" s="592"/>
      <c r="Q348" s="592"/>
      <c r="R348" s="592"/>
      <c r="S348" s="592"/>
      <c r="T348" s="592"/>
      <c r="U348" s="592"/>
      <c r="V348" s="592"/>
      <c r="W348" s="592"/>
      <c r="X348" s="592"/>
      <c r="Y348" s="592"/>
      <c r="Z348" s="592"/>
      <c r="AA348" s="592"/>
      <c r="AB348" s="592"/>
      <c r="AC348" s="592"/>
      <c r="AD348" s="592"/>
      <c r="AE348" s="592"/>
      <c r="AF348" s="592"/>
      <c r="AG348" s="592"/>
    </row>
    <row r="349">
      <c r="E349" s="592"/>
      <c r="F349" s="591"/>
      <c r="G349" s="591"/>
      <c r="H349" s="592"/>
      <c r="I349" s="592"/>
      <c r="J349" s="592"/>
      <c r="K349" s="592"/>
      <c r="L349" s="592"/>
      <c r="M349" s="592"/>
      <c r="N349" s="592"/>
      <c r="O349" s="592"/>
      <c r="P349" s="592"/>
      <c r="Q349" s="592"/>
      <c r="R349" s="592"/>
      <c r="S349" s="592"/>
      <c r="T349" s="592"/>
      <c r="U349" s="592"/>
      <c r="V349" s="592"/>
      <c r="W349" s="592"/>
      <c r="X349" s="592"/>
      <c r="Y349" s="592"/>
      <c r="Z349" s="592"/>
      <c r="AA349" s="592"/>
      <c r="AB349" s="592"/>
      <c r="AC349" s="592"/>
      <c r="AD349" s="592"/>
      <c r="AE349" s="592"/>
      <c r="AF349" s="592"/>
      <c r="AG349" s="592"/>
    </row>
    <row r="350">
      <c r="E350" s="592"/>
      <c r="F350" s="591"/>
      <c r="G350" s="591"/>
      <c r="H350" s="592"/>
      <c r="I350" s="592"/>
      <c r="J350" s="592"/>
      <c r="K350" s="592"/>
      <c r="L350" s="592"/>
      <c r="M350" s="592"/>
      <c r="N350" s="592"/>
      <c r="O350" s="592"/>
      <c r="P350" s="592"/>
      <c r="Q350" s="592"/>
      <c r="R350" s="592"/>
      <c r="S350" s="592"/>
      <c r="T350" s="592"/>
      <c r="U350" s="592"/>
      <c r="V350" s="592"/>
      <c r="W350" s="592"/>
      <c r="X350" s="592"/>
      <c r="Y350" s="592"/>
      <c r="Z350" s="592"/>
      <c r="AA350" s="592"/>
      <c r="AB350" s="592"/>
      <c r="AC350" s="592"/>
      <c r="AD350" s="592"/>
      <c r="AE350" s="592"/>
      <c r="AF350" s="592"/>
      <c r="AG350" s="592"/>
    </row>
    <row r="351">
      <c r="E351" s="592"/>
      <c r="F351" s="591"/>
      <c r="G351" s="591"/>
      <c r="H351" s="592"/>
      <c r="I351" s="592"/>
      <c r="J351" s="592"/>
      <c r="K351" s="592"/>
      <c r="L351" s="592"/>
      <c r="M351" s="592"/>
      <c r="N351" s="592"/>
      <c r="O351" s="592"/>
      <c r="P351" s="592"/>
      <c r="Q351" s="592"/>
      <c r="R351" s="592"/>
      <c r="S351" s="592"/>
      <c r="T351" s="592"/>
      <c r="U351" s="592"/>
      <c r="V351" s="592"/>
      <c r="W351" s="592"/>
      <c r="X351" s="592"/>
      <c r="Y351" s="592"/>
      <c r="Z351" s="592"/>
      <c r="AA351" s="592"/>
      <c r="AB351" s="592"/>
      <c r="AC351" s="592"/>
      <c r="AD351" s="592"/>
      <c r="AE351" s="592"/>
      <c r="AF351" s="592"/>
      <c r="AG351" s="592"/>
    </row>
    <row r="352">
      <c r="E352" s="592"/>
      <c r="F352" s="591"/>
      <c r="G352" s="591"/>
      <c r="H352" s="592"/>
      <c r="I352" s="592"/>
      <c r="J352" s="592"/>
      <c r="K352" s="592"/>
      <c r="L352" s="592"/>
      <c r="M352" s="592"/>
      <c r="N352" s="592"/>
      <c r="O352" s="592"/>
      <c r="P352" s="592"/>
      <c r="Q352" s="592"/>
      <c r="R352" s="592"/>
      <c r="S352" s="592"/>
      <c r="T352" s="592"/>
      <c r="U352" s="592"/>
      <c r="V352" s="592"/>
      <c r="W352" s="592"/>
      <c r="X352" s="592"/>
      <c r="Y352" s="592"/>
      <c r="Z352" s="592"/>
      <c r="AA352" s="592"/>
      <c r="AB352" s="592"/>
      <c r="AC352" s="592"/>
      <c r="AD352" s="592"/>
      <c r="AE352" s="592"/>
      <c r="AF352" s="592"/>
      <c r="AG352" s="592"/>
    </row>
    <row r="353">
      <c r="E353" s="592"/>
      <c r="F353" s="591"/>
      <c r="G353" s="591"/>
      <c r="H353" s="592"/>
      <c r="I353" s="592"/>
      <c r="J353" s="592"/>
      <c r="K353" s="592"/>
      <c r="L353" s="592"/>
      <c r="M353" s="592"/>
      <c r="N353" s="592"/>
      <c r="O353" s="592"/>
      <c r="P353" s="592"/>
      <c r="Q353" s="592"/>
      <c r="R353" s="592"/>
      <c r="S353" s="592"/>
      <c r="T353" s="592"/>
      <c r="U353" s="592"/>
      <c r="V353" s="592"/>
      <c r="W353" s="592"/>
      <c r="X353" s="592"/>
      <c r="Y353" s="592"/>
      <c r="Z353" s="592"/>
      <c r="AA353" s="592"/>
      <c r="AB353" s="592"/>
      <c r="AC353" s="592"/>
      <c r="AD353" s="592"/>
      <c r="AE353" s="592"/>
      <c r="AF353" s="592"/>
      <c r="AG353" s="592"/>
    </row>
    <row r="354">
      <c r="E354" s="592"/>
      <c r="F354" s="591"/>
      <c r="G354" s="591"/>
      <c r="H354" s="592"/>
      <c r="I354" s="592"/>
      <c r="J354" s="592"/>
      <c r="K354" s="592"/>
      <c r="L354" s="592"/>
      <c r="M354" s="592"/>
      <c r="N354" s="592"/>
      <c r="O354" s="592"/>
      <c r="P354" s="592"/>
      <c r="Q354" s="592"/>
      <c r="R354" s="592"/>
      <c r="S354" s="592"/>
      <c r="T354" s="592"/>
      <c r="U354" s="592"/>
      <c r="V354" s="592"/>
      <c r="W354" s="592"/>
      <c r="X354" s="592"/>
      <c r="Y354" s="592"/>
      <c r="Z354" s="592"/>
      <c r="AA354" s="592"/>
      <c r="AB354" s="592"/>
      <c r="AC354" s="592"/>
      <c r="AD354" s="592"/>
      <c r="AE354" s="592"/>
      <c r="AF354" s="592"/>
      <c r="AG354" s="592"/>
    </row>
    <row r="355">
      <c r="E355" s="592"/>
      <c r="F355" s="591"/>
      <c r="G355" s="591"/>
      <c r="H355" s="592"/>
      <c r="I355" s="592"/>
      <c r="J355" s="592"/>
      <c r="K355" s="592"/>
      <c r="L355" s="592"/>
      <c r="M355" s="592"/>
      <c r="N355" s="592"/>
      <c r="O355" s="592"/>
      <c r="P355" s="592"/>
      <c r="Q355" s="592"/>
      <c r="R355" s="592"/>
      <c r="S355" s="592"/>
      <c r="T355" s="592"/>
      <c r="U355" s="592"/>
      <c r="V355" s="592"/>
      <c r="W355" s="592"/>
      <c r="X355" s="592"/>
      <c r="Y355" s="592"/>
      <c r="Z355" s="592"/>
      <c r="AA355" s="592"/>
      <c r="AB355" s="592"/>
      <c r="AC355" s="592"/>
      <c r="AD355" s="592"/>
      <c r="AE355" s="592"/>
      <c r="AF355" s="592"/>
      <c r="AG355" s="592"/>
    </row>
    <row r="356">
      <c r="E356" s="592"/>
      <c r="F356" s="591"/>
      <c r="G356" s="591"/>
      <c r="H356" s="592"/>
      <c r="I356" s="592"/>
      <c r="J356" s="592"/>
      <c r="K356" s="592"/>
      <c r="L356" s="592"/>
      <c r="M356" s="592"/>
      <c r="N356" s="592"/>
      <c r="O356" s="592"/>
      <c r="P356" s="592"/>
      <c r="Q356" s="592"/>
      <c r="R356" s="592"/>
      <c r="S356" s="592"/>
      <c r="T356" s="592"/>
      <c r="U356" s="592"/>
      <c r="V356" s="592"/>
      <c r="W356" s="592"/>
      <c r="X356" s="592"/>
      <c r="Y356" s="592"/>
      <c r="Z356" s="592"/>
      <c r="AA356" s="592"/>
      <c r="AB356" s="592"/>
      <c r="AC356" s="592"/>
      <c r="AD356" s="592"/>
      <c r="AE356" s="592"/>
      <c r="AF356" s="592"/>
      <c r="AG356" s="592"/>
    </row>
    <row r="357">
      <c r="E357" s="592"/>
      <c r="F357" s="591"/>
      <c r="G357" s="591"/>
      <c r="H357" s="592"/>
      <c r="I357" s="592"/>
      <c r="J357" s="592"/>
      <c r="K357" s="592"/>
      <c r="L357" s="592"/>
      <c r="M357" s="592"/>
      <c r="N357" s="592"/>
      <c r="O357" s="592"/>
      <c r="P357" s="592"/>
      <c r="Q357" s="592"/>
      <c r="R357" s="592"/>
      <c r="S357" s="592"/>
      <c r="T357" s="592"/>
      <c r="U357" s="592"/>
      <c r="V357" s="592"/>
      <c r="W357" s="592"/>
      <c r="X357" s="592"/>
      <c r="Y357" s="592"/>
      <c r="Z357" s="592"/>
      <c r="AA357" s="592"/>
      <c r="AB357" s="592"/>
      <c r="AC357" s="592"/>
      <c r="AD357" s="592"/>
      <c r="AE357" s="592"/>
      <c r="AF357" s="592"/>
      <c r="AG357" s="592"/>
    </row>
    <row r="358">
      <c r="E358" s="592"/>
      <c r="F358" s="591"/>
      <c r="G358" s="591"/>
      <c r="H358" s="592"/>
      <c r="I358" s="592"/>
      <c r="J358" s="592"/>
      <c r="K358" s="592"/>
      <c r="L358" s="592"/>
      <c r="M358" s="592"/>
      <c r="N358" s="592"/>
      <c r="O358" s="592"/>
      <c r="P358" s="592"/>
      <c r="Q358" s="592"/>
      <c r="R358" s="592"/>
      <c r="S358" s="592"/>
      <c r="T358" s="592"/>
      <c r="U358" s="592"/>
      <c r="V358" s="592"/>
      <c r="W358" s="592"/>
      <c r="X358" s="592"/>
      <c r="Y358" s="592"/>
      <c r="Z358" s="592"/>
      <c r="AA358" s="592"/>
      <c r="AB358" s="592"/>
      <c r="AC358" s="592"/>
      <c r="AD358" s="592"/>
      <c r="AE358" s="592"/>
      <c r="AF358" s="592"/>
      <c r="AG358" s="592"/>
    </row>
    <row r="359">
      <c r="E359" s="592"/>
      <c r="F359" s="591"/>
      <c r="G359" s="591"/>
      <c r="H359" s="592"/>
      <c r="I359" s="592"/>
      <c r="J359" s="592"/>
      <c r="K359" s="592"/>
      <c r="L359" s="592"/>
      <c r="M359" s="592"/>
      <c r="N359" s="592"/>
      <c r="O359" s="592"/>
      <c r="P359" s="592"/>
      <c r="Q359" s="592"/>
      <c r="R359" s="592"/>
      <c r="S359" s="592"/>
      <c r="T359" s="592"/>
      <c r="U359" s="592"/>
      <c r="V359" s="592"/>
      <c r="W359" s="592"/>
      <c r="X359" s="592"/>
      <c r="Y359" s="592"/>
      <c r="Z359" s="592"/>
      <c r="AA359" s="592"/>
      <c r="AB359" s="592"/>
      <c r="AC359" s="592"/>
      <c r="AD359" s="592"/>
      <c r="AE359" s="592"/>
      <c r="AF359" s="592"/>
      <c r="AG359" s="592"/>
    </row>
    <row r="360">
      <c r="E360" s="592"/>
      <c r="F360" s="591"/>
      <c r="G360" s="591"/>
      <c r="H360" s="592"/>
      <c r="I360" s="592"/>
      <c r="J360" s="592"/>
      <c r="K360" s="592"/>
      <c r="L360" s="592"/>
      <c r="M360" s="592"/>
      <c r="N360" s="592"/>
      <c r="O360" s="592"/>
      <c r="P360" s="592"/>
      <c r="Q360" s="592"/>
      <c r="R360" s="592"/>
      <c r="S360" s="592"/>
      <c r="T360" s="592"/>
      <c r="U360" s="592"/>
      <c r="V360" s="592"/>
      <c r="W360" s="592"/>
      <c r="X360" s="592"/>
      <c r="Y360" s="592"/>
      <c r="Z360" s="592"/>
      <c r="AA360" s="592"/>
      <c r="AB360" s="592"/>
      <c r="AC360" s="592"/>
      <c r="AD360" s="592"/>
      <c r="AE360" s="592"/>
      <c r="AF360" s="592"/>
      <c r="AG360" s="592"/>
    </row>
    <row r="361">
      <c r="E361" s="592"/>
      <c r="F361" s="591"/>
      <c r="G361" s="591"/>
      <c r="H361" s="592"/>
      <c r="I361" s="592"/>
      <c r="J361" s="592"/>
      <c r="K361" s="592"/>
      <c r="L361" s="592"/>
      <c r="M361" s="592"/>
      <c r="N361" s="592"/>
      <c r="O361" s="592"/>
      <c r="P361" s="592"/>
      <c r="Q361" s="592"/>
      <c r="R361" s="592"/>
      <c r="S361" s="592"/>
      <c r="T361" s="592"/>
      <c r="U361" s="592"/>
      <c r="V361" s="592"/>
      <c r="W361" s="592"/>
      <c r="X361" s="592"/>
      <c r="Y361" s="592"/>
      <c r="Z361" s="592"/>
      <c r="AA361" s="592"/>
      <c r="AB361" s="592"/>
      <c r="AC361" s="592"/>
      <c r="AD361" s="592"/>
      <c r="AE361" s="592"/>
      <c r="AF361" s="592"/>
      <c r="AG361" s="592"/>
    </row>
    <row r="362">
      <c r="E362" s="592"/>
      <c r="F362" s="591"/>
      <c r="G362" s="591"/>
      <c r="H362" s="592"/>
      <c r="I362" s="592"/>
      <c r="J362" s="592"/>
      <c r="K362" s="592"/>
      <c r="L362" s="592"/>
      <c r="M362" s="592"/>
      <c r="N362" s="592"/>
      <c r="O362" s="592"/>
      <c r="P362" s="592"/>
      <c r="Q362" s="592"/>
      <c r="R362" s="592"/>
      <c r="S362" s="592"/>
      <c r="T362" s="592"/>
      <c r="U362" s="592"/>
      <c r="V362" s="592"/>
      <c r="W362" s="592"/>
      <c r="X362" s="592"/>
      <c r="Y362" s="592"/>
      <c r="Z362" s="592"/>
      <c r="AA362" s="592"/>
      <c r="AB362" s="592"/>
      <c r="AC362" s="592"/>
      <c r="AD362" s="592"/>
      <c r="AE362" s="592"/>
      <c r="AF362" s="592"/>
      <c r="AG362" s="592"/>
    </row>
    <row r="363">
      <c r="E363" s="592"/>
      <c r="F363" s="591"/>
      <c r="G363" s="591"/>
      <c r="H363" s="592"/>
      <c r="I363" s="592"/>
      <c r="J363" s="592"/>
      <c r="K363" s="592"/>
      <c r="L363" s="592"/>
      <c r="M363" s="592"/>
      <c r="N363" s="592"/>
      <c r="O363" s="592"/>
      <c r="P363" s="592"/>
      <c r="Q363" s="592"/>
      <c r="R363" s="592"/>
      <c r="S363" s="592"/>
      <c r="T363" s="592"/>
      <c r="U363" s="592"/>
      <c r="V363" s="592"/>
      <c r="W363" s="592"/>
      <c r="X363" s="592"/>
      <c r="Y363" s="592"/>
      <c r="Z363" s="592"/>
      <c r="AA363" s="592"/>
      <c r="AB363" s="592"/>
      <c r="AC363" s="592"/>
      <c r="AD363" s="592"/>
      <c r="AE363" s="592"/>
      <c r="AF363" s="592"/>
      <c r="AG363" s="592"/>
    </row>
    <row r="364">
      <c r="E364" s="592"/>
      <c r="F364" s="591"/>
      <c r="G364" s="591"/>
      <c r="H364" s="592"/>
      <c r="I364" s="592"/>
      <c r="J364" s="592"/>
      <c r="K364" s="592"/>
      <c r="L364" s="592"/>
      <c r="M364" s="592"/>
      <c r="N364" s="592"/>
      <c r="O364" s="592"/>
      <c r="P364" s="592"/>
      <c r="Q364" s="592"/>
      <c r="R364" s="592"/>
      <c r="S364" s="592"/>
      <c r="T364" s="592"/>
      <c r="U364" s="592"/>
      <c r="V364" s="592"/>
      <c r="W364" s="592"/>
      <c r="X364" s="592"/>
      <c r="Y364" s="592"/>
      <c r="Z364" s="592"/>
      <c r="AA364" s="592"/>
      <c r="AB364" s="592"/>
      <c r="AC364" s="592"/>
      <c r="AD364" s="592"/>
      <c r="AE364" s="592"/>
      <c r="AF364" s="592"/>
      <c r="AG364" s="592"/>
    </row>
    <row r="365">
      <c r="E365" s="592"/>
      <c r="F365" s="591"/>
      <c r="G365" s="591"/>
      <c r="H365" s="592"/>
      <c r="I365" s="592"/>
      <c r="J365" s="592"/>
      <c r="K365" s="592"/>
      <c r="L365" s="592"/>
      <c r="M365" s="592"/>
      <c r="N365" s="592"/>
      <c r="O365" s="592"/>
      <c r="P365" s="592"/>
      <c r="Q365" s="592"/>
      <c r="R365" s="592"/>
      <c r="S365" s="592"/>
      <c r="T365" s="592"/>
      <c r="U365" s="592"/>
      <c r="V365" s="592"/>
      <c r="W365" s="592"/>
      <c r="X365" s="592"/>
      <c r="Y365" s="592"/>
      <c r="Z365" s="592"/>
      <c r="AA365" s="592"/>
      <c r="AB365" s="592"/>
      <c r="AC365" s="592"/>
      <c r="AD365" s="592"/>
      <c r="AE365" s="592"/>
      <c r="AF365" s="592"/>
      <c r="AG365" s="592"/>
    </row>
    <row r="366">
      <c r="E366" s="592"/>
      <c r="F366" s="591"/>
      <c r="G366" s="591"/>
      <c r="H366" s="592"/>
      <c r="I366" s="592"/>
      <c r="J366" s="592"/>
      <c r="K366" s="592"/>
      <c r="L366" s="592"/>
      <c r="M366" s="592"/>
      <c r="N366" s="592"/>
      <c r="O366" s="592"/>
      <c r="P366" s="592"/>
      <c r="Q366" s="592"/>
      <c r="R366" s="592"/>
      <c r="S366" s="592"/>
      <c r="T366" s="592"/>
      <c r="U366" s="592"/>
      <c r="V366" s="592"/>
      <c r="W366" s="592"/>
      <c r="X366" s="592"/>
      <c r="Y366" s="592"/>
      <c r="Z366" s="592"/>
      <c r="AA366" s="592"/>
      <c r="AB366" s="592"/>
      <c r="AC366" s="592"/>
      <c r="AD366" s="592"/>
      <c r="AE366" s="592"/>
      <c r="AF366" s="592"/>
      <c r="AG366" s="592"/>
    </row>
    <row r="367">
      <c r="E367" s="592"/>
      <c r="F367" s="591"/>
      <c r="G367" s="591"/>
      <c r="H367" s="592"/>
      <c r="I367" s="592"/>
      <c r="J367" s="592"/>
      <c r="K367" s="592"/>
      <c r="L367" s="592"/>
      <c r="M367" s="592"/>
      <c r="N367" s="592"/>
      <c r="O367" s="592"/>
      <c r="P367" s="592"/>
      <c r="Q367" s="592"/>
      <c r="R367" s="592"/>
      <c r="S367" s="592"/>
      <c r="T367" s="592"/>
      <c r="U367" s="592"/>
      <c r="V367" s="592"/>
      <c r="W367" s="592"/>
      <c r="X367" s="592"/>
      <c r="Y367" s="592"/>
      <c r="Z367" s="592"/>
      <c r="AA367" s="592"/>
      <c r="AB367" s="592"/>
      <c r="AC367" s="592"/>
      <c r="AD367" s="592"/>
      <c r="AE367" s="592"/>
      <c r="AF367" s="592"/>
      <c r="AG367" s="592"/>
    </row>
    <row r="368">
      <c r="E368" s="592"/>
      <c r="F368" s="591"/>
      <c r="G368" s="591"/>
      <c r="H368" s="592"/>
      <c r="I368" s="592"/>
      <c r="J368" s="592"/>
      <c r="K368" s="592"/>
      <c r="L368" s="592"/>
      <c r="M368" s="592"/>
      <c r="N368" s="592"/>
      <c r="O368" s="592"/>
      <c r="P368" s="592"/>
      <c r="Q368" s="592"/>
      <c r="R368" s="592"/>
      <c r="S368" s="592"/>
      <c r="T368" s="592"/>
      <c r="U368" s="592"/>
      <c r="V368" s="592"/>
      <c r="W368" s="592"/>
      <c r="X368" s="592"/>
      <c r="Y368" s="592"/>
      <c r="Z368" s="592"/>
      <c r="AA368" s="592"/>
      <c r="AB368" s="592"/>
      <c r="AC368" s="592"/>
      <c r="AD368" s="592"/>
      <c r="AE368" s="592"/>
      <c r="AF368" s="592"/>
      <c r="AG368" s="592"/>
    </row>
    <row r="369">
      <c r="E369" s="592"/>
      <c r="F369" s="591"/>
      <c r="G369" s="591"/>
      <c r="H369" s="592"/>
      <c r="I369" s="592"/>
      <c r="J369" s="592"/>
      <c r="K369" s="592"/>
      <c r="L369" s="592"/>
      <c r="M369" s="592"/>
      <c r="N369" s="592"/>
      <c r="O369" s="592"/>
      <c r="P369" s="592"/>
      <c r="Q369" s="592"/>
      <c r="R369" s="592"/>
      <c r="S369" s="592"/>
      <c r="T369" s="592"/>
      <c r="U369" s="592"/>
      <c r="V369" s="592"/>
      <c r="W369" s="592"/>
      <c r="X369" s="592"/>
      <c r="Y369" s="592"/>
      <c r="Z369" s="592"/>
      <c r="AA369" s="592"/>
      <c r="AB369" s="592"/>
      <c r="AC369" s="592"/>
      <c r="AD369" s="592"/>
      <c r="AE369" s="592"/>
      <c r="AF369" s="592"/>
      <c r="AG369" s="592"/>
    </row>
    <row r="370">
      <c r="E370" s="592"/>
      <c r="F370" s="591"/>
      <c r="G370" s="591"/>
      <c r="H370" s="592"/>
      <c r="I370" s="592"/>
      <c r="J370" s="592"/>
      <c r="K370" s="592"/>
      <c r="L370" s="592"/>
      <c r="M370" s="592"/>
      <c r="N370" s="592"/>
      <c r="O370" s="592"/>
      <c r="P370" s="592"/>
      <c r="Q370" s="592"/>
      <c r="R370" s="592"/>
      <c r="S370" s="592"/>
      <c r="T370" s="592"/>
      <c r="U370" s="592"/>
      <c r="V370" s="592"/>
      <c r="W370" s="592"/>
      <c r="X370" s="592"/>
      <c r="Y370" s="592"/>
      <c r="Z370" s="592"/>
      <c r="AA370" s="592"/>
      <c r="AB370" s="592"/>
      <c r="AC370" s="592"/>
      <c r="AD370" s="592"/>
      <c r="AE370" s="592"/>
      <c r="AF370" s="592"/>
      <c r="AG370" s="592"/>
    </row>
    <row r="371">
      <c r="E371" s="592"/>
      <c r="F371" s="591"/>
      <c r="G371" s="591"/>
      <c r="H371" s="592"/>
      <c r="I371" s="592"/>
      <c r="J371" s="592"/>
      <c r="K371" s="592"/>
      <c r="L371" s="592"/>
      <c r="M371" s="592"/>
      <c r="N371" s="592"/>
      <c r="O371" s="592"/>
      <c r="P371" s="592"/>
      <c r="Q371" s="592"/>
      <c r="R371" s="592"/>
      <c r="S371" s="592"/>
      <c r="T371" s="592"/>
      <c r="U371" s="592"/>
      <c r="V371" s="592"/>
      <c r="W371" s="592"/>
      <c r="X371" s="592"/>
      <c r="Y371" s="592"/>
      <c r="Z371" s="592"/>
      <c r="AA371" s="592"/>
      <c r="AB371" s="592"/>
      <c r="AC371" s="592"/>
      <c r="AD371" s="592"/>
      <c r="AE371" s="592"/>
      <c r="AF371" s="592"/>
      <c r="AG371" s="592"/>
    </row>
    <row r="372">
      <c r="E372" s="592"/>
      <c r="F372" s="591"/>
      <c r="G372" s="591"/>
      <c r="H372" s="592"/>
      <c r="I372" s="592"/>
      <c r="J372" s="592"/>
      <c r="K372" s="592"/>
      <c r="L372" s="592"/>
      <c r="M372" s="592"/>
      <c r="N372" s="592"/>
      <c r="O372" s="592"/>
      <c r="P372" s="592"/>
      <c r="Q372" s="592"/>
      <c r="R372" s="592"/>
      <c r="S372" s="592"/>
      <c r="T372" s="592"/>
      <c r="U372" s="592"/>
      <c r="V372" s="592"/>
      <c r="W372" s="592"/>
      <c r="X372" s="592"/>
      <c r="Y372" s="592"/>
      <c r="Z372" s="592"/>
      <c r="AA372" s="592"/>
      <c r="AB372" s="592"/>
      <c r="AC372" s="592"/>
      <c r="AD372" s="592"/>
      <c r="AE372" s="592"/>
      <c r="AF372" s="592"/>
      <c r="AG372" s="592"/>
    </row>
    <row r="373">
      <c r="E373" s="592"/>
      <c r="F373" s="591"/>
      <c r="G373" s="591"/>
      <c r="H373" s="592"/>
      <c r="I373" s="592"/>
      <c r="J373" s="592"/>
      <c r="K373" s="592"/>
      <c r="L373" s="592"/>
      <c r="M373" s="592"/>
      <c r="N373" s="592"/>
      <c r="O373" s="592"/>
      <c r="P373" s="592"/>
      <c r="Q373" s="592"/>
      <c r="R373" s="592"/>
      <c r="S373" s="592"/>
      <c r="T373" s="592"/>
      <c r="U373" s="592"/>
      <c r="V373" s="592"/>
      <c r="W373" s="592"/>
      <c r="X373" s="592"/>
      <c r="Y373" s="592"/>
      <c r="Z373" s="592"/>
      <c r="AA373" s="592"/>
      <c r="AB373" s="592"/>
      <c r="AC373" s="592"/>
      <c r="AD373" s="592"/>
      <c r="AE373" s="592"/>
      <c r="AF373" s="592"/>
      <c r="AG373" s="592"/>
    </row>
    <row r="374">
      <c r="E374" s="592"/>
      <c r="F374" s="591"/>
      <c r="G374" s="591"/>
      <c r="H374" s="592"/>
      <c r="I374" s="592"/>
      <c r="J374" s="592"/>
      <c r="K374" s="592"/>
      <c r="L374" s="592"/>
      <c r="M374" s="592"/>
      <c r="N374" s="592"/>
      <c r="O374" s="592"/>
      <c r="P374" s="592"/>
      <c r="Q374" s="592"/>
      <c r="R374" s="592"/>
      <c r="S374" s="592"/>
      <c r="T374" s="592"/>
      <c r="U374" s="592"/>
      <c r="V374" s="592"/>
      <c r="W374" s="592"/>
      <c r="X374" s="592"/>
      <c r="Y374" s="592"/>
      <c r="Z374" s="592"/>
      <c r="AA374" s="592"/>
      <c r="AB374" s="592"/>
      <c r="AC374" s="592"/>
      <c r="AD374" s="592"/>
      <c r="AE374" s="592"/>
      <c r="AF374" s="592"/>
      <c r="AG374" s="592"/>
    </row>
    <row r="375">
      <c r="E375" s="592"/>
      <c r="F375" s="591"/>
      <c r="G375" s="591"/>
      <c r="H375" s="592"/>
      <c r="I375" s="592"/>
      <c r="J375" s="592"/>
      <c r="K375" s="592"/>
      <c r="L375" s="592"/>
      <c r="M375" s="592"/>
      <c r="N375" s="592"/>
      <c r="O375" s="592"/>
      <c r="P375" s="592"/>
      <c r="Q375" s="592"/>
      <c r="R375" s="592"/>
      <c r="S375" s="592"/>
      <c r="T375" s="592"/>
      <c r="U375" s="592"/>
      <c r="V375" s="592"/>
      <c r="W375" s="592"/>
      <c r="X375" s="592"/>
      <c r="Y375" s="592"/>
      <c r="Z375" s="592"/>
      <c r="AA375" s="592"/>
      <c r="AB375" s="592"/>
      <c r="AC375" s="592"/>
      <c r="AD375" s="592"/>
      <c r="AE375" s="592"/>
      <c r="AF375" s="592"/>
      <c r="AG375" s="592"/>
    </row>
    <row r="376">
      <c r="E376" s="592"/>
      <c r="F376" s="591"/>
      <c r="G376" s="591"/>
      <c r="H376" s="592"/>
      <c r="I376" s="592"/>
      <c r="J376" s="592"/>
      <c r="K376" s="592"/>
      <c r="L376" s="592"/>
      <c r="M376" s="592"/>
      <c r="N376" s="592"/>
      <c r="O376" s="592"/>
      <c r="P376" s="592"/>
      <c r="Q376" s="592"/>
      <c r="R376" s="592"/>
      <c r="S376" s="592"/>
      <c r="T376" s="592"/>
      <c r="U376" s="592"/>
      <c r="V376" s="592"/>
      <c r="W376" s="592"/>
      <c r="X376" s="592"/>
      <c r="Y376" s="592"/>
      <c r="Z376" s="592"/>
      <c r="AA376" s="592"/>
      <c r="AB376" s="592"/>
      <c r="AC376" s="592"/>
      <c r="AD376" s="592"/>
      <c r="AE376" s="592"/>
      <c r="AF376" s="592"/>
      <c r="AG376" s="592"/>
    </row>
    <row r="377">
      <c r="E377" s="592"/>
      <c r="F377" s="591"/>
      <c r="G377" s="591"/>
      <c r="H377" s="592"/>
      <c r="I377" s="592"/>
      <c r="J377" s="592"/>
      <c r="K377" s="592"/>
      <c r="L377" s="592"/>
      <c r="M377" s="592"/>
      <c r="N377" s="592"/>
      <c r="O377" s="592"/>
      <c r="P377" s="592"/>
      <c r="Q377" s="592"/>
      <c r="R377" s="592"/>
      <c r="S377" s="592"/>
      <c r="T377" s="592"/>
      <c r="U377" s="592"/>
      <c r="V377" s="592"/>
      <c r="W377" s="592"/>
      <c r="X377" s="592"/>
      <c r="Y377" s="592"/>
      <c r="Z377" s="592"/>
      <c r="AA377" s="592"/>
      <c r="AB377" s="592"/>
      <c r="AC377" s="592"/>
      <c r="AD377" s="592"/>
      <c r="AE377" s="592"/>
      <c r="AF377" s="592"/>
      <c r="AG377" s="592"/>
    </row>
    <row r="378">
      <c r="E378" s="592"/>
      <c r="F378" s="591"/>
      <c r="G378" s="591"/>
      <c r="H378" s="592"/>
      <c r="I378" s="592"/>
      <c r="J378" s="592"/>
      <c r="K378" s="592"/>
      <c r="L378" s="592"/>
      <c r="M378" s="592"/>
      <c r="N378" s="592"/>
      <c r="O378" s="592"/>
      <c r="P378" s="592"/>
      <c r="Q378" s="592"/>
      <c r="R378" s="592"/>
      <c r="S378" s="592"/>
      <c r="T378" s="592"/>
      <c r="U378" s="592"/>
      <c r="V378" s="592"/>
      <c r="W378" s="592"/>
      <c r="X378" s="592"/>
      <c r="Y378" s="592"/>
      <c r="Z378" s="592"/>
      <c r="AA378" s="592"/>
      <c r="AB378" s="592"/>
      <c r="AC378" s="592"/>
      <c r="AD378" s="592"/>
      <c r="AE378" s="592"/>
      <c r="AF378" s="592"/>
      <c r="AG378" s="592"/>
    </row>
    <row r="379">
      <c r="E379" s="592"/>
      <c r="F379" s="591"/>
      <c r="G379" s="591"/>
      <c r="H379" s="592"/>
      <c r="I379" s="592"/>
      <c r="J379" s="592"/>
      <c r="K379" s="592"/>
      <c r="L379" s="592"/>
      <c r="M379" s="592"/>
      <c r="N379" s="592"/>
      <c r="O379" s="592"/>
      <c r="P379" s="592"/>
      <c r="Q379" s="592"/>
      <c r="R379" s="592"/>
      <c r="S379" s="592"/>
      <c r="T379" s="592"/>
      <c r="U379" s="592"/>
      <c r="V379" s="592"/>
      <c r="W379" s="592"/>
      <c r="X379" s="592"/>
      <c r="Y379" s="592"/>
      <c r="Z379" s="592"/>
      <c r="AA379" s="592"/>
      <c r="AB379" s="592"/>
      <c r="AC379" s="592"/>
      <c r="AD379" s="592"/>
      <c r="AE379" s="592"/>
      <c r="AF379" s="592"/>
      <c r="AG379" s="592"/>
    </row>
    <row r="380">
      <c r="E380" s="592"/>
      <c r="F380" s="591"/>
      <c r="G380" s="591"/>
      <c r="H380" s="592"/>
      <c r="I380" s="592"/>
      <c r="J380" s="592"/>
      <c r="K380" s="592"/>
      <c r="L380" s="592"/>
      <c r="M380" s="592"/>
      <c r="N380" s="592"/>
      <c r="O380" s="592"/>
      <c r="P380" s="592"/>
      <c r="Q380" s="592"/>
      <c r="R380" s="592"/>
      <c r="S380" s="592"/>
      <c r="T380" s="592"/>
      <c r="U380" s="592"/>
      <c r="V380" s="592"/>
      <c r="W380" s="592"/>
      <c r="X380" s="592"/>
      <c r="Y380" s="592"/>
      <c r="Z380" s="592"/>
      <c r="AA380" s="592"/>
      <c r="AB380" s="592"/>
      <c r="AC380" s="592"/>
      <c r="AD380" s="592"/>
      <c r="AE380" s="592"/>
      <c r="AF380" s="592"/>
      <c r="AG380" s="592"/>
    </row>
    <row r="381">
      <c r="E381" s="592"/>
      <c r="F381" s="591"/>
      <c r="G381" s="591"/>
      <c r="H381" s="592"/>
      <c r="I381" s="592"/>
      <c r="J381" s="592"/>
      <c r="K381" s="592"/>
      <c r="L381" s="592"/>
      <c r="M381" s="592"/>
      <c r="N381" s="592"/>
      <c r="O381" s="592"/>
      <c r="P381" s="592"/>
      <c r="Q381" s="592"/>
      <c r="R381" s="592"/>
      <c r="S381" s="592"/>
      <c r="T381" s="592"/>
      <c r="U381" s="592"/>
      <c r="V381" s="592"/>
      <c r="W381" s="592"/>
      <c r="X381" s="592"/>
      <c r="Y381" s="592"/>
      <c r="Z381" s="592"/>
      <c r="AA381" s="592"/>
      <c r="AB381" s="592"/>
      <c r="AC381" s="592"/>
      <c r="AD381" s="592"/>
      <c r="AE381" s="592"/>
      <c r="AF381" s="592"/>
      <c r="AG381" s="592"/>
    </row>
    <row r="382">
      <c r="E382" s="592"/>
      <c r="F382" s="591"/>
      <c r="G382" s="591"/>
      <c r="H382" s="592"/>
      <c r="I382" s="592"/>
      <c r="J382" s="592"/>
      <c r="K382" s="592"/>
      <c r="L382" s="592"/>
      <c r="M382" s="592"/>
      <c r="N382" s="592"/>
      <c r="O382" s="592"/>
      <c r="P382" s="592"/>
      <c r="Q382" s="592"/>
      <c r="R382" s="592"/>
      <c r="S382" s="592"/>
      <c r="T382" s="592"/>
      <c r="U382" s="592"/>
      <c r="V382" s="592"/>
      <c r="W382" s="592"/>
      <c r="X382" s="592"/>
      <c r="Y382" s="592"/>
      <c r="Z382" s="592"/>
      <c r="AA382" s="592"/>
      <c r="AB382" s="592"/>
      <c r="AC382" s="592"/>
      <c r="AD382" s="592"/>
      <c r="AE382" s="592"/>
      <c r="AF382" s="592"/>
      <c r="AG382" s="592"/>
    </row>
    <row r="383">
      <c r="E383" s="592"/>
      <c r="F383" s="591"/>
      <c r="G383" s="591"/>
      <c r="H383" s="592"/>
      <c r="I383" s="592"/>
      <c r="J383" s="592"/>
      <c r="K383" s="592"/>
      <c r="L383" s="592"/>
      <c r="M383" s="592"/>
      <c r="N383" s="592"/>
      <c r="O383" s="592"/>
      <c r="P383" s="592"/>
      <c r="Q383" s="592"/>
      <c r="R383" s="592"/>
      <c r="S383" s="592"/>
      <c r="T383" s="592"/>
      <c r="U383" s="592"/>
      <c r="V383" s="592"/>
      <c r="W383" s="592"/>
      <c r="X383" s="592"/>
      <c r="Y383" s="592"/>
      <c r="Z383" s="592"/>
      <c r="AA383" s="592"/>
      <c r="AB383" s="592"/>
      <c r="AC383" s="592"/>
      <c r="AD383" s="592"/>
      <c r="AE383" s="592"/>
      <c r="AF383" s="592"/>
      <c r="AG383" s="592"/>
    </row>
    <row r="384">
      <c r="E384" s="592"/>
      <c r="F384" s="591"/>
      <c r="G384" s="591"/>
      <c r="H384" s="592"/>
      <c r="I384" s="592"/>
      <c r="J384" s="592"/>
      <c r="K384" s="592"/>
      <c r="L384" s="592"/>
      <c r="M384" s="592"/>
      <c r="N384" s="592"/>
      <c r="O384" s="592"/>
      <c r="P384" s="592"/>
      <c r="Q384" s="592"/>
      <c r="R384" s="592"/>
      <c r="S384" s="592"/>
      <c r="T384" s="592"/>
      <c r="U384" s="592"/>
      <c r="V384" s="592"/>
      <c r="W384" s="592"/>
      <c r="X384" s="592"/>
      <c r="Y384" s="592"/>
      <c r="Z384" s="592"/>
      <c r="AA384" s="592"/>
      <c r="AB384" s="592"/>
      <c r="AC384" s="592"/>
      <c r="AD384" s="592"/>
      <c r="AE384" s="592"/>
      <c r="AF384" s="592"/>
      <c r="AG384" s="592"/>
    </row>
    <row r="385">
      <c r="E385" s="592"/>
      <c r="F385" s="591"/>
      <c r="G385" s="591"/>
      <c r="H385" s="592"/>
      <c r="I385" s="592"/>
      <c r="J385" s="592"/>
      <c r="K385" s="592"/>
      <c r="L385" s="592"/>
      <c r="M385" s="592"/>
      <c r="N385" s="592"/>
      <c r="O385" s="592"/>
      <c r="P385" s="592"/>
      <c r="Q385" s="592"/>
      <c r="R385" s="592"/>
      <c r="S385" s="592"/>
      <c r="T385" s="592"/>
      <c r="U385" s="592"/>
      <c r="V385" s="592"/>
      <c r="W385" s="592"/>
      <c r="X385" s="592"/>
      <c r="Y385" s="592"/>
      <c r="Z385" s="592"/>
      <c r="AA385" s="592"/>
      <c r="AB385" s="592"/>
      <c r="AC385" s="592"/>
      <c r="AD385" s="592"/>
      <c r="AE385" s="592"/>
      <c r="AF385" s="592"/>
      <c r="AG385" s="592"/>
    </row>
    <row r="386">
      <c r="E386" s="592"/>
      <c r="F386" s="591"/>
      <c r="G386" s="591"/>
      <c r="H386" s="592"/>
      <c r="I386" s="592"/>
      <c r="J386" s="592"/>
      <c r="K386" s="592"/>
      <c r="L386" s="592"/>
      <c r="M386" s="592"/>
      <c r="N386" s="592"/>
      <c r="O386" s="592"/>
      <c r="P386" s="592"/>
      <c r="Q386" s="592"/>
      <c r="R386" s="592"/>
      <c r="S386" s="592"/>
      <c r="T386" s="592"/>
      <c r="U386" s="592"/>
      <c r="V386" s="592"/>
      <c r="W386" s="592"/>
      <c r="X386" s="592"/>
      <c r="Y386" s="592"/>
      <c r="Z386" s="592"/>
      <c r="AA386" s="592"/>
      <c r="AB386" s="592"/>
      <c r="AC386" s="592"/>
      <c r="AD386" s="592"/>
      <c r="AE386" s="592"/>
      <c r="AF386" s="592"/>
      <c r="AG386" s="592"/>
    </row>
    <row r="387">
      <c r="E387" s="592"/>
      <c r="F387" s="591"/>
      <c r="G387" s="591"/>
      <c r="H387" s="592"/>
      <c r="I387" s="592"/>
      <c r="J387" s="592"/>
      <c r="K387" s="592"/>
      <c r="L387" s="592"/>
      <c r="M387" s="592"/>
      <c r="N387" s="592"/>
      <c r="O387" s="592"/>
      <c r="P387" s="592"/>
      <c r="Q387" s="592"/>
      <c r="R387" s="592"/>
      <c r="S387" s="592"/>
      <c r="T387" s="592"/>
      <c r="U387" s="592"/>
      <c r="V387" s="592"/>
      <c r="W387" s="592"/>
      <c r="X387" s="592"/>
      <c r="Y387" s="592"/>
      <c r="Z387" s="592"/>
      <c r="AA387" s="592"/>
      <c r="AB387" s="592"/>
      <c r="AC387" s="592"/>
      <c r="AD387" s="592"/>
      <c r="AE387" s="592"/>
      <c r="AF387" s="592"/>
      <c r="AG387" s="592"/>
    </row>
    <row r="388">
      <c r="E388" s="592"/>
      <c r="F388" s="591"/>
      <c r="G388" s="591"/>
      <c r="H388" s="592"/>
      <c r="I388" s="592"/>
      <c r="J388" s="592"/>
      <c r="K388" s="592"/>
      <c r="L388" s="592"/>
      <c r="M388" s="592"/>
      <c r="N388" s="592"/>
      <c r="O388" s="592"/>
      <c r="P388" s="592"/>
      <c r="Q388" s="592"/>
      <c r="R388" s="592"/>
      <c r="S388" s="592"/>
      <c r="T388" s="592"/>
      <c r="U388" s="592"/>
      <c r="V388" s="592"/>
      <c r="W388" s="592"/>
      <c r="X388" s="592"/>
      <c r="Y388" s="592"/>
      <c r="Z388" s="592"/>
      <c r="AA388" s="592"/>
      <c r="AB388" s="592"/>
      <c r="AC388" s="592"/>
      <c r="AD388" s="592"/>
      <c r="AE388" s="592"/>
      <c r="AF388" s="592"/>
      <c r="AG388" s="592"/>
    </row>
    <row r="389">
      <c r="E389" s="592"/>
      <c r="F389" s="591"/>
      <c r="G389" s="591"/>
      <c r="H389" s="592"/>
      <c r="I389" s="592"/>
      <c r="J389" s="592"/>
      <c r="K389" s="592"/>
      <c r="L389" s="592"/>
      <c r="M389" s="592"/>
      <c r="N389" s="592"/>
      <c r="O389" s="592"/>
      <c r="P389" s="592"/>
      <c r="Q389" s="592"/>
      <c r="R389" s="592"/>
      <c r="S389" s="592"/>
      <c r="T389" s="592"/>
      <c r="U389" s="592"/>
      <c r="V389" s="592"/>
      <c r="W389" s="592"/>
      <c r="X389" s="592"/>
      <c r="Y389" s="592"/>
      <c r="Z389" s="592"/>
      <c r="AA389" s="592"/>
      <c r="AB389" s="592"/>
      <c r="AC389" s="592"/>
      <c r="AD389" s="592"/>
      <c r="AE389" s="592"/>
      <c r="AF389" s="592"/>
      <c r="AG389" s="592"/>
    </row>
    <row r="390">
      <c r="E390" s="592"/>
      <c r="F390" s="591"/>
      <c r="G390" s="591"/>
      <c r="H390" s="592"/>
      <c r="I390" s="592"/>
      <c r="J390" s="592"/>
      <c r="K390" s="592"/>
      <c r="L390" s="592"/>
      <c r="M390" s="592"/>
      <c r="N390" s="592"/>
      <c r="O390" s="592"/>
      <c r="P390" s="592"/>
      <c r="Q390" s="592"/>
      <c r="R390" s="592"/>
      <c r="S390" s="592"/>
      <c r="T390" s="592"/>
      <c r="U390" s="592"/>
      <c r="V390" s="592"/>
      <c r="W390" s="592"/>
      <c r="X390" s="592"/>
      <c r="Y390" s="592"/>
      <c r="Z390" s="592"/>
      <c r="AA390" s="592"/>
      <c r="AB390" s="592"/>
      <c r="AC390" s="592"/>
      <c r="AD390" s="592"/>
      <c r="AE390" s="592"/>
      <c r="AF390" s="592"/>
      <c r="AG390" s="592"/>
    </row>
    <row r="391">
      <c r="E391" s="592"/>
      <c r="F391" s="591"/>
      <c r="G391" s="591"/>
      <c r="H391" s="592"/>
      <c r="I391" s="592"/>
      <c r="J391" s="592"/>
      <c r="K391" s="592"/>
      <c r="L391" s="592"/>
      <c r="M391" s="592"/>
      <c r="N391" s="592"/>
      <c r="O391" s="592"/>
      <c r="P391" s="592"/>
      <c r="Q391" s="592"/>
      <c r="R391" s="592"/>
      <c r="S391" s="592"/>
      <c r="T391" s="592"/>
      <c r="U391" s="592"/>
      <c r="V391" s="592"/>
      <c r="W391" s="592"/>
      <c r="X391" s="592"/>
      <c r="Y391" s="592"/>
      <c r="Z391" s="592"/>
      <c r="AA391" s="592"/>
      <c r="AB391" s="592"/>
      <c r="AC391" s="592"/>
      <c r="AD391" s="592"/>
      <c r="AE391" s="592"/>
      <c r="AF391" s="592"/>
      <c r="AG391" s="592"/>
    </row>
    <row r="392">
      <c r="E392" s="592"/>
      <c r="F392" s="591"/>
      <c r="G392" s="591"/>
      <c r="H392" s="592"/>
      <c r="I392" s="592"/>
      <c r="J392" s="592"/>
      <c r="K392" s="592"/>
      <c r="L392" s="592"/>
      <c r="M392" s="592"/>
      <c r="N392" s="592"/>
      <c r="O392" s="592"/>
      <c r="P392" s="592"/>
      <c r="Q392" s="592"/>
      <c r="R392" s="592"/>
      <c r="S392" s="592"/>
      <c r="T392" s="592"/>
      <c r="U392" s="592"/>
      <c r="V392" s="592"/>
      <c r="W392" s="592"/>
      <c r="X392" s="592"/>
      <c r="Y392" s="592"/>
      <c r="Z392" s="592"/>
      <c r="AA392" s="592"/>
      <c r="AB392" s="592"/>
      <c r="AC392" s="592"/>
      <c r="AD392" s="592"/>
      <c r="AE392" s="592"/>
      <c r="AF392" s="592"/>
      <c r="AG392" s="592"/>
    </row>
    <row r="393">
      <c r="E393" s="592"/>
      <c r="F393" s="591"/>
      <c r="G393" s="591"/>
      <c r="H393" s="592"/>
      <c r="I393" s="592"/>
      <c r="J393" s="592"/>
      <c r="K393" s="592"/>
      <c r="L393" s="592"/>
      <c r="M393" s="592"/>
      <c r="N393" s="592"/>
      <c r="O393" s="592"/>
      <c r="P393" s="592"/>
      <c r="Q393" s="592"/>
      <c r="R393" s="592"/>
      <c r="S393" s="592"/>
      <c r="T393" s="592"/>
      <c r="U393" s="592"/>
      <c r="V393" s="592"/>
      <c r="W393" s="592"/>
      <c r="X393" s="592"/>
      <c r="Y393" s="592"/>
      <c r="Z393" s="592"/>
      <c r="AA393" s="592"/>
      <c r="AB393" s="592"/>
      <c r="AC393" s="592"/>
      <c r="AD393" s="592"/>
      <c r="AE393" s="592"/>
      <c r="AF393" s="592"/>
      <c r="AG393" s="592"/>
    </row>
    <row r="394">
      <c r="E394" s="592"/>
      <c r="F394" s="591"/>
      <c r="G394" s="591"/>
      <c r="H394" s="592"/>
      <c r="I394" s="592"/>
      <c r="J394" s="592"/>
      <c r="K394" s="592"/>
      <c r="L394" s="592"/>
      <c r="M394" s="592"/>
      <c r="N394" s="592"/>
      <c r="O394" s="592"/>
      <c r="P394" s="592"/>
      <c r="Q394" s="592"/>
      <c r="R394" s="592"/>
      <c r="S394" s="592"/>
      <c r="T394" s="592"/>
      <c r="U394" s="592"/>
      <c r="V394" s="592"/>
      <c r="W394" s="592"/>
      <c r="X394" s="592"/>
      <c r="Y394" s="592"/>
      <c r="Z394" s="592"/>
      <c r="AA394" s="592"/>
      <c r="AB394" s="592"/>
      <c r="AC394" s="592"/>
      <c r="AD394" s="592"/>
      <c r="AE394" s="592"/>
      <c r="AF394" s="592"/>
      <c r="AG394" s="592"/>
    </row>
    <row r="395">
      <c r="E395" s="592"/>
      <c r="F395" s="591"/>
      <c r="G395" s="591"/>
      <c r="H395" s="592"/>
      <c r="I395" s="592"/>
      <c r="J395" s="592"/>
      <c r="K395" s="592"/>
      <c r="L395" s="592"/>
      <c r="M395" s="592"/>
      <c r="N395" s="592"/>
      <c r="O395" s="592"/>
      <c r="P395" s="592"/>
      <c r="Q395" s="592"/>
      <c r="R395" s="592"/>
      <c r="S395" s="592"/>
      <c r="T395" s="592"/>
      <c r="U395" s="592"/>
      <c r="V395" s="592"/>
      <c r="W395" s="592"/>
      <c r="X395" s="592"/>
      <c r="Y395" s="592"/>
      <c r="Z395" s="592"/>
      <c r="AA395" s="592"/>
      <c r="AB395" s="592"/>
      <c r="AC395" s="592"/>
      <c r="AD395" s="592"/>
      <c r="AE395" s="592"/>
      <c r="AF395" s="592"/>
      <c r="AG395" s="592"/>
    </row>
    <row r="396">
      <c r="E396" s="592"/>
      <c r="F396" s="591"/>
      <c r="G396" s="591"/>
      <c r="H396" s="592"/>
      <c r="I396" s="592"/>
      <c r="J396" s="592"/>
      <c r="K396" s="592"/>
      <c r="L396" s="592"/>
      <c r="M396" s="592"/>
      <c r="N396" s="592"/>
      <c r="O396" s="592"/>
      <c r="P396" s="592"/>
      <c r="Q396" s="592"/>
      <c r="R396" s="592"/>
      <c r="S396" s="592"/>
      <c r="T396" s="592"/>
      <c r="U396" s="592"/>
      <c r="V396" s="592"/>
      <c r="W396" s="592"/>
      <c r="X396" s="592"/>
      <c r="Y396" s="592"/>
      <c r="Z396" s="592"/>
      <c r="AA396" s="592"/>
      <c r="AB396" s="592"/>
      <c r="AC396" s="592"/>
      <c r="AD396" s="592"/>
      <c r="AE396" s="592"/>
      <c r="AF396" s="592"/>
      <c r="AG396" s="592"/>
    </row>
    <row r="397">
      <c r="E397" s="592"/>
      <c r="F397" s="591"/>
      <c r="G397" s="591"/>
      <c r="H397" s="592"/>
      <c r="I397" s="592"/>
      <c r="J397" s="592"/>
      <c r="K397" s="592"/>
      <c r="L397" s="592"/>
      <c r="M397" s="592"/>
      <c r="N397" s="592"/>
      <c r="O397" s="592"/>
      <c r="P397" s="592"/>
      <c r="Q397" s="592"/>
      <c r="R397" s="592"/>
      <c r="S397" s="592"/>
      <c r="T397" s="592"/>
      <c r="U397" s="592"/>
      <c r="V397" s="592"/>
      <c r="W397" s="592"/>
      <c r="X397" s="592"/>
      <c r="Y397" s="592"/>
      <c r="Z397" s="592"/>
      <c r="AA397" s="592"/>
      <c r="AB397" s="592"/>
      <c r="AC397" s="592"/>
      <c r="AD397" s="592"/>
      <c r="AE397" s="592"/>
      <c r="AF397" s="592"/>
      <c r="AG397" s="592"/>
    </row>
    <row r="398">
      <c r="E398" s="592"/>
      <c r="F398" s="591"/>
      <c r="G398" s="591"/>
      <c r="H398" s="592"/>
      <c r="I398" s="592"/>
      <c r="J398" s="592"/>
      <c r="K398" s="592"/>
      <c r="L398" s="592"/>
      <c r="M398" s="592"/>
      <c r="N398" s="592"/>
      <c r="O398" s="592"/>
      <c r="P398" s="592"/>
      <c r="Q398" s="592"/>
      <c r="R398" s="592"/>
      <c r="S398" s="592"/>
      <c r="T398" s="592"/>
      <c r="U398" s="592"/>
      <c r="V398" s="592"/>
      <c r="W398" s="592"/>
      <c r="X398" s="592"/>
      <c r="Y398" s="592"/>
      <c r="Z398" s="592"/>
      <c r="AA398" s="592"/>
      <c r="AB398" s="592"/>
      <c r="AC398" s="592"/>
      <c r="AD398" s="592"/>
      <c r="AE398" s="592"/>
      <c r="AF398" s="592"/>
      <c r="AG398" s="592"/>
    </row>
    <row r="399">
      <c r="E399" s="592"/>
      <c r="F399" s="591"/>
      <c r="G399" s="591"/>
      <c r="H399" s="592"/>
      <c r="I399" s="592"/>
      <c r="J399" s="592"/>
      <c r="K399" s="592"/>
      <c r="L399" s="592"/>
      <c r="M399" s="592"/>
      <c r="N399" s="592"/>
      <c r="O399" s="592"/>
      <c r="P399" s="592"/>
      <c r="Q399" s="592"/>
      <c r="R399" s="592"/>
      <c r="S399" s="592"/>
      <c r="T399" s="592"/>
      <c r="U399" s="592"/>
      <c r="V399" s="592"/>
      <c r="W399" s="592"/>
      <c r="X399" s="592"/>
      <c r="Y399" s="592"/>
      <c r="Z399" s="592"/>
      <c r="AA399" s="592"/>
      <c r="AB399" s="592"/>
      <c r="AC399" s="592"/>
      <c r="AD399" s="592"/>
      <c r="AE399" s="592"/>
      <c r="AF399" s="592"/>
      <c r="AG399" s="592"/>
    </row>
    <row r="400">
      <c r="E400" s="592"/>
      <c r="F400" s="591"/>
      <c r="G400" s="591"/>
      <c r="H400" s="592"/>
      <c r="I400" s="592"/>
      <c r="J400" s="592"/>
      <c r="K400" s="592"/>
      <c r="L400" s="592"/>
      <c r="M400" s="592"/>
      <c r="N400" s="592"/>
      <c r="O400" s="592"/>
      <c r="P400" s="592"/>
      <c r="Q400" s="592"/>
      <c r="R400" s="592"/>
      <c r="S400" s="592"/>
      <c r="T400" s="592"/>
      <c r="U400" s="592"/>
      <c r="V400" s="592"/>
      <c r="W400" s="592"/>
      <c r="X400" s="592"/>
      <c r="Y400" s="592"/>
      <c r="Z400" s="592"/>
      <c r="AA400" s="592"/>
      <c r="AB400" s="592"/>
      <c r="AC400" s="592"/>
      <c r="AD400" s="592"/>
      <c r="AE400" s="592"/>
      <c r="AF400" s="592"/>
      <c r="AG400" s="592"/>
    </row>
    <row r="401">
      <c r="E401" s="592"/>
      <c r="F401" s="591"/>
      <c r="G401" s="591"/>
      <c r="H401" s="592"/>
      <c r="I401" s="592"/>
      <c r="J401" s="592"/>
      <c r="K401" s="592"/>
      <c r="L401" s="592"/>
      <c r="M401" s="592"/>
      <c r="N401" s="592"/>
      <c r="O401" s="592"/>
      <c r="P401" s="592"/>
      <c r="Q401" s="592"/>
      <c r="R401" s="592"/>
      <c r="S401" s="592"/>
      <c r="T401" s="592"/>
      <c r="U401" s="592"/>
      <c r="V401" s="592"/>
      <c r="W401" s="592"/>
      <c r="X401" s="592"/>
      <c r="Y401" s="592"/>
      <c r="Z401" s="592"/>
      <c r="AA401" s="592"/>
      <c r="AB401" s="592"/>
      <c r="AC401" s="592"/>
      <c r="AD401" s="592"/>
      <c r="AE401" s="592"/>
      <c r="AF401" s="592"/>
      <c r="AG401" s="592"/>
    </row>
    <row r="402">
      <c r="E402" s="592"/>
      <c r="F402" s="591"/>
      <c r="G402" s="591"/>
      <c r="H402" s="592"/>
      <c r="I402" s="592"/>
      <c r="J402" s="592"/>
      <c r="K402" s="592"/>
      <c r="L402" s="592"/>
      <c r="M402" s="592"/>
      <c r="N402" s="592"/>
      <c r="O402" s="592"/>
      <c r="P402" s="592"/>
      <c r="Q402" s="592"/>
      <c r="R402" s="592"/>
      <c r="S402" s="592"/>
      <c r="T402" s="592"/>
      <c r="U402" s="592"/>
      <c r="V402" s="592"/>
      <c r="W402" s="592"/>
      <c r="X402" s="592"/>
      <c r="Y402" s="592"/>
      <c r="Z402" s="592"/>
      <c r="AA402" s="592"/>
      <c r="AB402" s="592"/>
      <c r="AC402" s="592"/>
      <c r="AD402" s="592"/>
      <c r="AE402" s="592"/>
      <c r="AF402" s="592"/>
      <c r="AG402" s="592"/>
    </row>
    <row r="403">
      <c r="E403" s="592"/>
      <c r="F403" s="591"/>
      <c r="G403" s="591"/>
      <c r="H403" s="592"/>
      <c r="I403" s="592"/>
      <c r="J403" s="592"/>
      <c r="K403" s="592"/>
      <c r="L403" s="592"/>
      <c r="M403" s="592"/>
      <c r="N403" s="592"/>
      <c r="O403" s="592"/>
      <c r="P403" s="592"/>
      <c r="Q403" s="592"/>
      <c r="R403" s="592"/>
      <c r="S403" s="592"/>
      <c r="T403" s="592"/>
      <c r="U403" s="592"/>
      <c r="V403" s="592"/>
      <c r="W403" s="592"/>
      <c r="X403" s="592"/>
      <c r="Y403" s="592"/>
      <c r="Z403" s="592"/>
      <c r="AA403" s="592"/>
      <c r="AB403" s="592"/>
      <c r="AC403" s="592"/>
      <c r="AD403" s="592"/>
      <c r="AE403" s="592"/>
      <c r="AF403" s="592"/>
      <c r="AG403" s="592"/>
    </row>
    <row r="404">
      <c r="E404" s="592"/>
      <c r="F404" s="591"/>
      <c r="G404" s="591"/>
      <c r="H404" s="592"/>
      <c r="I404" s="592"/>
      <c r="J404" s="592"/>
      <c r="K404" s="592"/>
      <c r="L404" s="592"/>
      <c r="M404" s="592"/>
      <c r="N404" s="592"/>
      <c r="O404" s="592"/>
      <c r="P404" s="592"/>
      <c r="Q404" s="592"/>
      <c r="R404" s="592"/>
      <c r="S404" s="592"/>
      <c r="T404" s="592"/>
      <c r="U404" s="592"/>
      <c r="V404" s="592"/>
      <c r="W404" s="592"/>
      <c r="X404" s="592"/>
      <c r="Y404" s="592"/>
      <c r="Z404" s="592"/>
      <c r="AA404" s="592"/>
      <c r="AB404" s="592"/>
      <c r="AC404" s="592"/>
      <c r="AD404" s="592"/>
      <c r="AE404" s="592"/>
      <c r="AF404" s="592"/>
      <c r="AG404" s="592"/>
    </row>
    <row r="405">
      <c r="E405" s="592"/>
      <c r="F405" s="591"/>
      <c r="G405" s="591"/>
      <c r="H405" s="592"/>
      <c r="I405" s="592"/>
      <c r="J405" s="592"/>
      <c r="K405" s="592"/>
      <c r="L405" s="592"/>
      <c r="M405" s="592"/>
      <c r="N405" s="592"/>
      <c r="O405" s="592"/>
      <c r="P405" s="592"/>
      <c r="Q405" s="592"/>
      <c r="R405" s="592"/>
      <c r="S405" s="592"/>
      <c r="T405" s="592"/>
      <c r="U405" s="592"/>
      <c r="V405" s="592"/>
      <c r="W405" s="592"/>
      <c r="X405" s="592"/>
      <c r="Y405" s="592"/>
      <c r="Z405" s="592"/>
      <c r="AA405" s="592"/>
      <c r="AB405" s="592"/>
      <c r="AC405" s="592"/>
      <c r="AD405" s="592"/>
      <c r="AE405" s="592"/>
      <c r="AF405" s="592"/>
      <c r="AG405" s="592"/>
    </row>
    <row r="406">
      <c r="E406" s="592"/>
      <c r="F406" s="591"/>
      <c r="G406" s="591"/>
      <c r="H406" s="592"/>
      <c r="I406" s="592"/>
      <c r="J406" s="592"/>
      <c r="K406" s="592"/>
      <c r="L406" s="592"/>
      <c r="M406" s="592"/>
      <c r="N406" s="592"/>
      <c r="O406" s="592"/>
      <c r="P406" s="592"/>
      <c r="Q406" s="592"/>
      <c r="R406" s="592"/>
      <c r="S406" s="592"/>
      <c r="T406" s="592"/>
      <c r="U406" s="592"/>
      <c r="V406" s="592"/>
      <c r="W406" s="592"/>
      <c r="X406" s="592"/>
      <c r="Y406" s="592"/>
      <c r="Z406" s="592"/>
      <c r="AA406" s="592"/>
      <c r="AB406" s="592"/>
      <c r="AC406" s="592"/>
      <c r="AD406" s="592"/>
      <c r="AE406" s="592"/>
      <c r="AF406" s="592"/>
      <c r="AG406" s="592"/>
    </row>
    <row r="407">
      <c r="E407" s="592"/>
      <c r="F407" s="591"/>
      <c r="G407" s="591"/>
      <c r="H407" s="592"/>
      <c r="I407" s="592"/>
      <c r="J407" s="592"/>
      <c r="K407" s="592"/>
      <c r="L407" s="592"/>
      <c r="M407" s="592"/>
      <c r="N407" s="592"/>
      <c r="O407" s="592"/>
      <c r="P407" s="592"/>
      <c r="Q407" s="592"/>
      <c r="R407" s="592"/>
      <c r="S407" s="592"/>
      <c r="T407" s="592"/>
      <c r="U407" s="592"/>
      <c r="V407" s="592"/>
      <c r="W407" s="592"/>
      <c r="X407" s="592"/>
      <c r="Y407" s="592"/>
      <c r="Z407" s="592"/>
      <c r="AA407" s="592"/>
      <c r="AB407" s="592"/>
      <c r="AC407" s="592"/>
      <c r="AD407" s="592"/>
      <c r="AE407" s="592"/>
      <c r="AF407" s="592"/>
      <c r="AG407" s="592"/>
    </row>
    <row r="408">
      <c r="E408" s="592"/>
      <c r="F408" s="591"/>
      <c r="G408" s="591"/>
      <c r="H408" s="592"/>
      <c r="I408" s="592"/>
      <c r="J408" s="592"/>
      <c r="K408" s="592"/>
      <c r="L408" s="592"/>
      <c r="M408" s="592"/>
      <c r="N408" s="592"/>
      <c r="O408" s="592"/>
      <c r="P408" s="592"/>
      <c r="Q408" s="592"/>
      <c r="R408" s="592"/>
      <c r="S408" s="592"/>
      <c r="T408" s="592"/>
      <c r="U408" s="592"/>
      <c r="V408" s="592"/>
      <c r="W408" s="592"/>
      <c r="X408" s="592"/>
      <c r="Y408" s="592"/>
      <c r="Z408" s="592"/>
      <c r="AA408" s="592"/>
      <c r="AB408" s="592"/>
      <c r="AC408" s="592"/>
      <c r="AD408" s="592"/>
      <c r="AE408" s="592"/>
      <c r="AF408" s="592"/>
      <c r="AG408" s="592"/>
    </row>
    <row r="409">
      <c r="E409" s="592"/>
      <c r="F409" s="591"/>
      <c r="G409" s="591"/>
      <c r="H409" s="592"/>
      <c r="I409" s="592"/>
      <c r="J409" s="592"/>
      <c r="K409" s="592"/>
      <c r="L409" s="592"/>
      <c r="M409" s="592"/>
      <c r="N409" s="592"/>
      <c r="O409" s="592"/>
      <c r="P409" s="592"/>
      <c r="Q409" s="592"/>
      <c r="R409" s="592"/>
      <c r="S409" s="592"/>
      <c r="T409" s="592"/>
      <c r="U409" s="592"/>
      <c r="V409" s="592"/>
      <c r="W409" s="592"/>
      <c r="X409" s="592"/>
      <c r="Y409" s="592"/>
      <c r="Z409" s="592"/>
      <c r="AA409" s="592"/>
      <c r="AB409" s="592"/>
      <c r="AC409" s="592"/>
      <c r="AD409" s="592"/>
      <c r="AE409" s="592"/>
      <c r="AF409" s="592"/>
      <c r="AG409" s="592"/>
    </row>
    <row r="410">
      <c r="E410" s="592"/>
      <c r="F410" s="591"/>
      <c r="G410" s="591"/>
      <c r="H410" s="592"/>
      <c r="I410" s="592"/>
      <c r="J410" s="592"/>
      <c r="K410" s="592"/>
      <c r="L410" s="592"/>
      <c r="M410" s="592"/>
      <c r="N410" s="592"/>
      <c r="O410" s="592"/>
      <c r="P410" s="592"/>
      <c r="Q410" s="592"/>
      <c r="R410" s="592"/>
      <c r="S410" s="592"/>
      <c r="T410" s="592"/>
      <c r="U410" s="592"/>
      <c r="V410" s="592"/>
      <c r="W410" s="592"/>
      <c r="X410" s="592"/>
      <c r="Y410" s="592"/>
      <c r="Z410" s="592"/>
      <c r="AA410" s="592"/>
      <c r="AB410" s="592"/>
      <c r="AC410" s="592"/>
      <c r="AD410" s="592"/>
      <c r="AE410" s="592"/>
      <c r="AF410" s="592"/>
      <c r="AG410" s="592"/>
    </row>
    <row r="411">
      <c r="E411" s="592"/>
      <c r="F411" s="591"/>
      <c r="G411" s="591"/>
      <c r="H411" s="592"/>
      <c r="I411" s="592"/>
      <c r="J411" s="592"/>
      <c r="K411" s="592"/>
      <c r="L411" s="592"/>
      <c r="M411" s="592"/>
      <c r="N411" s="592"/>
      <c r="O411" s="592"/>
      <c r="P411" s="592"/>
      <c r="Q411" s="592"/>
      <c r="R411" s="592"/>
      <c r="S411" s="592"/>
      <c r="T411" s="592"/>
      <c r="U411" s="592"/>
      <c r="V411" s="592"/>
      <c r="W411" s="592"/>
      <c r="X411" s="592"/>
      <c r="Y411" s="592"/>
      <c r="Z411" s="592"/>
      <c r="AA411" s="592"/>
      <c r="AB411" s="592"/>
      <c r="AC411" s="592"/>
      <c r="AD411" s="592"/>
      <c r="AE411" s="592"/>
      <c r="AF411" s="592"/>
      <c r="AG411" s="592"/>
    </row>
    <row r="412">
      <c r="E412" s="592"/>
      <c r="F412" s="591"/>
      <c r="G412" s="591"/>
      <c r="H412" s="592"/>
      <c r="I412" s="592"/>
      <c r="J412" s="592"/>
      <c r="K412" s="592"/>
      <c r="L412" s="592"/>
      <c r="M412" s="592"/>
      <c r="N412" s="592"/>
      <c r="O412" s="592"/>
      <c r="P412" s="592"/>
      <c r="Q412" s="592"/>
      <c r="R412" s="592"/>
      <c r="S412" s="592"/>
      <c r="T412" s="592"/>
      <c r="U412" s="592"/>
      <c r="V412" s="592"/>
      <c r="W412" s="592"/>
      <c r="X412" s="592"/>
      <c r="Y412" s="592"/>
      <c r="Z412" s="592"/>
      <c r="AA412" s="592"/>
      <c r="AB412" s="592"/>
      <c r="AC412" s="592"/>
      <c r="AD412" s="592"/>
      <c r="AE412" s="592"/>
      <c r="AF412" s="592"/>
      <c r="AG412" s="592"/>
    </row>
    <row r="413">
      <c r="E413" s="592"/>
      <c r="F413" s="591"/>
      <c r="G413" s="591"/>
      <c r="H413" s="592"/>
      <c r="I413" s="592"/>
      <c r="J413" s="592"/>
      <c r="K413" s="592"/>
      <c r="L413" s="592"/>
      <c r="M413" s="592"/>
      <c r="N413" s="592"/>
      <c r="O413" s="592"/>
      <c r="P413" s="592"/>
      <c r="Q413" s="592"/>
      <c r="R413" s="592"/>
      <c r="S413" s="592"/>
      <c r="T413" s="592"/>
      <c r="U413" s="592"/>
      <c r="V413" s="592"/>
      <c r="W413" s="592"/>
      <c r="X413" s="592"/>
      <c r="Y413" s="592"/>
      <c r="Z413" s="592"/>
      <c r="AA413" s="592"/>
      <c r="AB413" s="592"/>
      <c r="AC413" s="592"/>
      <c r="AD413" s="592"/>
      <c r="AE413" s="592"/>
      <c r="AF413" s="592"/>
      <c r="AG413" s="592"/>
    </row>
    <row r="414">
      <c r="E414" s="592"/>
      <c r="F414" s="591"/>
      <c r="G414" s="591"/>
      <c r="H414" s="592"/>
      <c r="I414" s="592"/>
      <c r="J414" s="592"/>
      <c r="K414" s="592"/>
      <c r="L414" s="592"/>
      <c r="M414" s="592"/>
      <c r="N414" s="592"/>
      <c r="O414" s="592"/>
      <c r="P414" s="592"/>
      <c r="Q414" s="592"/>
      <c r="R414" s="592"/>
      <c r="S414" s="592"/>
      <c r="T414" s="592"/>
      <c r="U414" s="592"/>
      <c r="V414" s="592"/>
      <c r="W414" s="592"/>
      <c r="X414" s="592"/>
      <c r="Y414" s="592"/>
      <c r="Z414" s="592"/>
      <c r="AA414" s="592"/>
      <c r="AB414" s="592"/>
      <c r="AC414" s="592"/>
      <c r="AD414" s="592"/>
      <c r="AE414" s="592"/>
      <c r="AF414" s="592"/>
      <c r="AG414" s="592"/>
    </row>
    <row r="415">
      <c r="E415" s="592"/>
      <c r="F415" s="591"/>
      <c r="G415" s="591"/>
      <c r="H415" s="592"/>
      <c r="I415" s="592"/>
      <c r="J415" s="592"/>
      <c r="K415" s="592"/>
      <c r="L415" s="592"/>
      <c r="M415" s="592"/>
      <c r="N415" s="592"/>
      <c r="O415" s="592"/>
      <c r="P415" s="592"/>
      <c r="Q415" s="592"/>
      <c r="R415" s="592"/>
      <c r="S415" s="592"/>
      <c r="T415" s="592"/>
      <c r="U415" s="592"/>
      <c r="V415" s="592"/>
      <c r="W415" s="592"/>
      <c r="X415" s="592"/>
      <c r="Y415" s="592"/>
      <c r="Z415" s="592"/>
      <c r="AA415" s="592"/>
      <c r="AB415" s="592"/>
      <c r="AC415" s="592"/>
      <c r="AD415" s="592"/>
      <c r="AE415" s="592"/>
      <c r="AF415" s="592"/>
      <c r="AG415" s="592"/>
    </row>
    <row r="416">
      <c r="E416" s="592"/>
      <c r="F416" s="591"/>
      <c r="G416" s="591"/>
      <c r="H416" s="592"/>
      <c r="I416" s="592"/>
      <c r="J416" s="592"/>
      <c r="K416" s="592"/>
      <c r="L416" s="592"/>
      <c r="M416" s="592"/>
      <c r="N416" s="592"/>
      <c r="O416" s="592"/>
      <c r="P416" s="592"/>
      <c r="Q416" s="592"/>
      <c r="R416" s="592"/>
      <c r="S416" s="592"/>
      <c r="T416" s="592"/>
      <c r="U416" s="592"/>
      <c r="V416" s="592"/>
      <c r="W416" s="592"/>
      <c r="X416" s="592"/>
      <c r="Y416" s="592"/>
      <c r="Z416" s="592"/>
      <c r="AA416" s="592"/>
      <c r="AB416" s="592"/>
      <c r="AC416" s="592"/>
      <c r="AD416" s="592"/>
      <c r="AE416" s="592"/>
      <c r="AF416" s="592"/>
      <c r="AG416" s="592"/>
    </row>
    <row r="417">
      <c r="E417" s="592"/>
      <c r="F417" s="591"/>
      <c r="G417" s="591"/>
      <c r="H417" s="592"/>
      <c r="I417" s="592"/>
      <c r="J417" s="592"/>
      <c r="K417" s="592"/>
      <c r="L417" s="592"/>
      <c r="M417" s="592"/>
      <c r="N417" s="592"/>
      <c r="O417" s="592"/>
      <c r="P417" s="592"/>
      <c r="Q417" s="592"/>
      <c r="R417" s="592"/>
      <c r="S417" s="592"/>
      <c r="T417" s="592"/>
      <c r="U417" s="592"/>
      <c r="V417" s="592"/>
      <c r="W417" s="592"/>
      <c r="X417" s="592"/>
      <c r="Y417" s="592"/>
      <c r="Z417" s="592"/>
      <c r="AA417" s="592"/>
      <c r="AB417" s="592"/>
      <c r="AC417" s="592"/>
      <c r="AD417" s="592"/>
      <c r="AE417" s="592"/>
      <c r="AF417" s="592"/>
      <c r="AG417" s="592"/>
    </row>
    <row r="418">
      <c r="E418" s="592"/>
      <c r="F418" s="591"/>
      <c r="G418" s="591"/>
      <c r="H418" s="592"/>
      <c r="I418" s="592"/>
      <c r="J418" s="592"/>
      <c r="K418" s="592"/>
      <c r="L418" s="592"/>
      <c r="M418" s="592"/>
      <c r="N418" s="592"/>
      <c r="O418" s="592"/>
      <c r="P418" s="592"/>
      <c r="Q418" s="592"/>
      <c r="R418" s="592"/>
      <c r="S418" s="592"/>
      <c r="T418" s="592"/>
      <c r="U418" s="592"/>
      <c r="V418" s="592"/>
      <c r="W418" s="592"/>
      <c r="X418" s="592"/>
      <c r="Y418" s="592"/>
      <c r="Z418" s="592"/>
      <c r="AA418" s="592"/>
      <c r="AB418" s="592"/>
      <c r="AC418" s="592"/>
      <c r="AD418" s="592"/>
      <c r="AE418" s="592"/>
      <c r="AF418" s="592"/>
      <c r="AG418" s="592"/>
    </row>
    <row r="419">
      <c r="E419" s="592"/>
      <c r="F419" s="591"/>
      <c r="G419" s="591"/>
      <c r="H419" s="592"/>
      <c r="I419" s="592"/>
      <c r="J419" s="592"/>
      <c r="K419" s="592"/>
      <c r="L419" s="592"/>
      <c r="M419" s="592"/>
      <c r="N419" s="592"/>
      <c r="O419" s="592"/>
      <c r="P419" s="592"/>
      <c r="Q419" s="592"/>
      <c r="R419" s="592"/>
      <c r="S419" s="592"/>
      <c r="T419" s="592"/>
      <c r="U419" s="592"/>
      <c r="V419" s="592"/>
      <c r="W419" s="592"/>
      <c r="X419" s="592"/>
      <c r="Y419" s="592"/>
      <c r="Z419" s="592"/>
      <c r="AA419" s="592"/>
      <c r="AB419" s="592"/>
      <c r="AC419" s="592"/>
      <c r="AD419" s="592"/>
      <c r="AE419" s="592"/>
      <c r="AF419" s="592"/>
      <c r="AG419" s="592"/>
    </row>
    <row r="420">
      <c r="E420" s="592"/>
      <c r="F420" s="591"/>
      <c r="G420" s="591"/>
      <c r="H420" s="592"/>
      <c r="I420" s="592"/>
      <c r="J420" s="592"/>
      <c r="K420" s="592"/>
      <c r="L420" s="592"/>
      <c r="M420" s="592"/>
      <c r="N420" s="592"/>
      <c r="O420" s="592"/>
      <c r="P420" s="592"/>
      <c r="Q420" s="592"/>
      <c r="R420" s="592"/>
      <c r="S420" s="592"/>
      <c r="T420" s="592"/>
      <c r="U420" s="592"/>
      <c r="V420" s="592"/>
      <c r="W420" s="592"/>
      <c r="X420" s="592"/>
      <c r="Y420" s="592"/>
      <c r="Z420" s="592"/>
      <c r="AA420" s="592"/>
      <c r="AB420" s="592"/>
      <c r="AC420" s="592"/>
      <c r="AD420" s="592"/>
      <c r="AE420" s="592"/>
      <c r="AF420" s="592"/>
      <c r="AG420" s="592"/>
    </row>
    <row r="421">
      <c r="E421" s="592"/>
      <c r="F421" s="591"/>
      <c r="G421" s="591"/>
      <c r="H421" s="592"/>
      <c r="I421" s="592"/>
      <c r="J421" s="592"/>
      <c r="K421" s="592"/>
      <c r="L421" s="592"/>
      <c r="M421" s="592"/>
      <c r="N421" s="592"/>
      <c r="O421" s="592"/>
      <c r="P421" s="592"/>
      <c r="Q421" s="592"/>
      <c r="R421" s="592"/>
      <c r="S421" s="592"/>
      <c r="T421" s="592"/>
      <c r="U421" s="592"/>
      <c r="V421" s="592"/>
      <c r="W421" s="592"/>
      <c r="X421" s="592"/>
      <c r="Y421" s="592"/>
      <c r="Z421" s="592"/>
      <c r="AA421" s="592"/>
      <c r="AB421" s="592"/>
      <c r="AC421" s="592"/>
      <c r="AD421" s="592"/>
      <c r="AE421" s="592"/>
      <c r="AF421" s="592"/>
      <c r="AG421" s="592"/>
    </row>
    <row r="422">
      <c r="E422" s="592"/>
      <c r="F422" s="591"/>
      <c r="G422" s="591"/>
      <c r="H422" s="592"/>
      <c r="I422" s="592"/>
      <c r="J422" s="592"/>
      <c r="K422" s="592"/>
      <c r="L422" s="592"/>
      <c r="M422" s="592"/>
      <c r="N422" s="592"/>
      <c r="O422" s="592"/>
      <c r="P422" s="592"/>
      <c r="Q422" s="592"/>
      <c r="R422" s="592"/>
      <c r="S422" s="592"/>
      <c r="T422" s="592"/>
      <c r="U422" s="592"/>
      <c r="V422" s="592"/>
      <c r="W422" s="592"/>
      <c r="X422" s="592"/>
      <c r="Y422" s="592"/>
      <c r="Z422" s="592"/>
      <c r="AA422" s="592"/>
      <c r="AB422" s="592"/>
      <c r="AC422" s="592"/>
      <c r="AD422" s="592"/>
      <c r="AE422" s="592"/>
      <c r="AF422" s="592"/>
      <c r="AG422" s="592"/>
    </row>
    <row r="423">
      <c r="E423" s="592"/>
      <c r="F423" s="591"/>
      <c r="G423" s="591"/>
      <c r="H423" s="592"/>
      <c r="I423" s="592"/>
      <c r="J423" s="592"/>
      <c r="K423" s="592"/>
      <c r="L423" s="592"/>
      <c r="M423" s="592"/>
      <c r="N423" s="592"/>
      <c r="O423" s="592"/>
      <c r="P423" s="592"/>
      <c r="Q423" s="592"/>
      <c r="R423" s="592"/>
      <c r="S423" s="592"/>
      <c r="T423" s="592"/>
      <c r="U423" s="592"/>
      <c r="V423" s="592"/>
      <c r="W423" s="592"/>
      <c r="X423" s="592"/>
      <c r="Y423" s="592"/>
      <c r="Z423" s="592"/>
      <c r="AA423" s="592"/>
      <c r="AB423" s="592"/>
      <c r="AC423" s="592"/>
      <c r="AD423" s="592"/>
      <c r="AE423" s="592"/>
      <c r="AF423" s="592"/>
      <c r="AG423" s="592"/>
    </row>
    <row r="424">
      <c r="E424" s="592"/>
      <c r="F424" s="591"/>
      <c r="G424" s="591"/>
      <c r="H424" s="592"/>
      <c r="I424" s="592"/>
      <c r="J424" s="592"/>
      <c r="K424" s="592"/>
      <c r="L424" s="592"/>
      <c r="M424" s="592"/>
      <c r="N424" s="592"/>
      <c r="O424" s="592"/>
      <c r="P424" s="592"/>
      <c r="Q424" s="592"/>
      <c r="R424" s="592"/>
      <c r="S424" s="592"/>
      <c r="T424" s="592"/>
      <c r="U424" s="592"/>
      <c r="V424" s="592"/>
      <c r="W424" s="592"/>
      <c r="X424" s="592"/>
      <c r="Y424" s="592"/>
      <c r="Z424" s="592"/>
      <c r="AA424" s="592"/>
      <c r="AB424" s="592"/>
      <c r="AC424" s="592"/>
      <c r="AD424" s="592"/>
      <c r="AE424" s="592"/>
      <c r="AF424" s="592"/>
      <c r="AG424" s="592"/>
    </row>
    <row r="425">
      <c r="E425" s="592"/>
      <c r="F425" s="591"/>
      <c r="G425" s="591"/>
      <c r="H425" s="592"/>
      <c r="I425" s="592"/>
      <c r="J425" s="592"/>
      <c r="K425" s="592"/>
      <c r="L425" s="592"/>
      <c r="M425" s="592"/>
      <c r="N425" s="592"/>
      <c r="O425" s="592"/>
      <c r="P425" s="592"/>
      <c r="Q425" s="592"/>
      <c r="R425" s="592"/>
      <c r="S425" s="592"/>
      <c r="T425" s="592"/>
      <c r="U425" s="592"/>
      <c r="V425" s="592"/>
      <c r="W425" s="592"/>
      <c r="X425" s="592"/>
      <c r="Y425" s="592"/>
      <c r="Z425" s="592"/>
      <c r="AA425" s="592"/>
      <c r="AB425" s="592"/>
      <c r="AC425" s="592"/>
      <c r="AD425" s="592"/>
      <c r="AE425" s="592"/>
      <c r="AF425" s="592"/>
      <c r="AG425" s="592"/>
    </row>
    <row r="426">
      <c r="E426" s="592"/>
      <c r="F426" s="591"/>
      <c r="G426" s="591"/>
      <c r="H426" s="592"/>
      <c r="I426" s="592"/>
      <c r="J426" s="592"/>
      <c r="K426" s="592"/>
      <c r="L426" s="592"/>
      <c r="M426" s="592"/>
      <c r="N426" s="592"/>
      <c r="O426" s="592"/>
      <c r="P426" s="592"/>
      <c r="Q426" s="592"/>
      <c r="R426" s="592"/>
      <c r="S426" s="592"/>
      <c r="T426" s="592"/>
      <c r="U426" s="592"/>
      <c r="V426" s="592"/>
      <c r="W426" s="592"/>
      <c r="X426" s="592"/>
      <c r="Y426" s="592"/>
      <c r="Z426" s="592"/>
      <c r="AA426" s="592"/>
      <c r="AB426" s="592"/>
      <c r="AC426" s="592"/>
      <c r="AD426" s="592"/>
      <c r="AE426" s="592"/>
      <c r="AF426" s="592"/>
      <c r="AG426" s="592"/>
    </row>
    <row r="427">
      <c r="E427" s="592"/>
      <c r="F427" s="591"/>
      <c r="G427" s="591"/>
      <c r="H427" s="592"/>
      <c r="I427" s="592"/>
      <c r="J427" s="592"/>
      <c r="K427" s="592"/>
      <c r="L427" s="592"/>
      <c r="M427" s="592"/>
      <c r="N427" s="592"/>
      <c r="O427" s="592"/>
      <c r="P427" s="592"/>
      <c r="Q427" s="592"/>
      <c r="R427" s="592"/>
      <c r="S427" s="592"/>
      <c r="T427" s="592"/>
      <c r="U427" s="592"/>
      <c r="V427" s="592"/>
      <c r="W427" s="592"/>
      <c r="X427" s="592"/>
      <c r="Y427" s="592"/>
      <c r="Z427" s="592"/>
      <c r="AA427" s="592"/>
      <c r="AB427" s="592"/>
      <c r="AC427" s="592"/>
      <c r="AD427" s="592"/>
      <c r="AE427" s="592"/>
      <c r="AF427" s="592"/>
      <c r="AG427" s="592"/>
    </row>
    <row r="428">
      <c r="E428" s="592"/>
      <c r="F428" s="591"/>
      <c r="G428" s="591"/>
      <c r="H428" s="592"/>
      <c r="I428" s="592"/>
      <c r="J428" s="592"/>
      <c r="K428" s="592"/>
      <c r="L428" s="592"/>
      <c r="M428" s="592"/>
      <c r="N428" s="592"/>
      <c r="O428" s="592"/>
      <c r="P428" s="592"/>
      <c r="Q428" s="592"/>
      <c r="R428" s="592"/>
      <c r="S428" s="592"/>
      <c r="T428" s="592"/>
      <c r="U428" s="592"/>
      <c r="V428" s="592"/>
      <c r="W428" s="592"/>
      <c r="X428" s="592"/>
      <c r="Y428" s="592"/>
      <c r="Z428" s="592"/>
      <c r="AA428" s="592"/>
      <c r="AB428" s="592"/>
      <c r="AC428" s="592"/>
      <c r="AD428" s="592"/>
      <c r="AE428" s="592"/>
      <c r="AF428" s="592"/>
      <c r="AG428" s="592"/>
    </row>
    <row r="429">
      <c r="E429" s="592"/>
      <c r="F429" s="591"/>
      <c r="G429" s="591"/>
      <c r="H429" s="592"/>
      <c r="I429" s="592"/>
      <c r="J429" s="592"/>
      <c r="K429" s="592"/>
      <c r="L429" s="592"/>
      <c r="M429" s="592"/>
      <c r="N429" s="592"/>
      <c r="O429" s="592"/>
      <c r="P429" s="592"/>
      <c r="Q429" s="592"/>
      <c r="R429" s="592"/>
      <c r="S429" s="592"/>
      <c r="T429" s="592"/>
      <c r="U429" s="592"/>
      <c r="V429" s="592"/>
      <c r="W429" s="592"/>
      <c r="X429" s="592"/>
      <c r="Y429" s="592"/>
      <c r="Z429" s="592"/>
      <c r="AA429" s="592"/>
      <c r="AB429" s="592"/>
      <c r="AC429" s="592"/>
      <c r="AD429" s="592"/>
      <c r="AE429" s="592"/>
      <c r="AF429" s="592"/>
      <c r="AG429" s="592"/>
    </row>
    <row r="430">
      <c r="E430" s="592"/>
      <c r="F430" s="591"/>
      <c r="G430" s="591"/>
      <c r="H430" s="592"/>
      <c r="I430" s="592"/>
      <c r="J430" s="592"/>
      <c r="K430" s="592"/>
      <c r="L430" s="592"/>
      <c r="M430" s="592"/>
      <c r="N430" s="592"/>
      <c r="O430" s="592"/>
      <c r="P430" s="592"/>
      <c r="Q430" s="592"/>
      <c r="R430" s="592"/>
      <c r="S430" s="592"/>
      <c r="T430" s="592"/>
      <c r="U430" s="592"/>
      <c r="V430" s="592"/>
      <c r="W430" s="592"/>
      <c r="X430" s="592"/>
      <c r="Y430" s="592"/>
      <c r="Z430" s="592"/>
      <c r="AA430" s="592"/>
      <c r="AB430" s="592"/>
      <c r="AC430" s="592"/>
      <c r="AD430" s="592"/>
      <c r="AE430" s="592"/>
      <c r="AF430" s="592"/>
      <c r="AG430" s="592"/>
    </row>
    <row r="431">
      <c r="E431" s="592"/>
      <c r="F431" s="591"/>
      <c r="G431" s="591"/>
      <c r="H431" s="592"/>
      <c r="I431" s="592"/>
      <c r="J431" s="592"/>
      <c r="K431" s="592"/>
      <c r="L431" s="592"/>
      <c r="M431" s="592"/>
      <c r="N431" s="592"/>
      <c r="O431" s="592"/>
      <c r="P431" s="592"/>
      <c r="Q431" s="592"/>
      <c r="R431" s="592"/>
      <c r="S431" s="592"/>
      <c r="T431" s="592"/>
      <c r="U431" s="592"/>
      <c r="V431" s="592"/>
      <c r="W431" s="592"/>
      <c r="X431" s="592"/>
      <c r="Y431" s="592"/>
      <c r="Z431" s="592"/>
      <c r="AA431" s="592"/>
      <c r="AB431" s="592"/>
      <c r="AC431" s="592"/>
      <c r="AD431" s="592"/>
      <c r="AE431" s="592"/>
      <c r="AF431" s="592"/>
      <c r="AG431" s="592"/>
    </row>
    <row r="432">
      <c r="E432" s="592"/>
      <c r="F432" s="591"/>
      <c r="G432" s="591"/>
      <c r="H432" s="592"/>
      <c r="I432" s="592"/>
      <c r="J432" s="592"/>
      <c r="K432" s="592"/>
      <c r="L432" s="592"/>
      <c r="M432" s="592"/>
      <c r="N432" s="592"/>
      <c r="O432" s="592"/>
      <c r="P432" s="592"/>
      <c r="Q432" s="592"/>
      <c r="R432" s="592"/>
      <c r="S432" s="592"/>
      <c r="T432" s="592"/>
      <c r="U432" s="592"/>
      <c r="V432" s="592"/>
      <c r="W432" s="592"/>
      <c r="X432" s="592"/>
      <c r="Y432" s="592"/>
      <c r="Z432" s="592"/>
      <c r="AA432" s="592"/>
      <c r="AB432" s="592"/>
      <c r="AC432" s="592"/>
      <c r="AD432" s="592"/>
      <c r="AE432" s="592"/>
      <c r="AF432" s="592"/>
      <c r="AG432" s="592"/>
    </row>
    <row r="433">
      <c r="E433" s="592"/>
      <c r="F433" s="591"/>
      <c r="G433" s="591"/>
      <c r="H433" s="592"/>
      <c r="I433" s="592"/>
      <c r="J433" s="592"/>
      <c r="K433" s="592"/>
      <c r="L433" s="592"/>
      <c r="M433" s="592"/>
      <c r="N433" s="592"/>
      <c r="O433" s="592"/>
      <c r="P433" s="592"/>
      <c r="Q433" s="592"/>
      <c r="R433" s="592"/>
      <c r="S433" s="592"/>
      <c r="T433" s="592"/>
      <c r="U433" s="592"/>
      <c r="V433" s="592"/>
      <c r="W433" s="592"/>
      <c r="X433" s="592"/>
      <c r="Y433" s="592"/>
      <c r="Z433" s="592"/>
      <c r="AA433" s="592"/>
      <c r="AB433" s="592"/>
      <c r="AC433" s="592"/>
      <c r="AD433" s="592"/>
      <c r="AE433" s="592"/>
      <c r="AF433" s="592"/>
      <c r="AG433" s="592"/>
    </row>
    <row r="434">
      <c r="E434" s="592"/>
      <c r="F434" s="591"/>
      <c r="G434" s="591"/>
      <c r="H434" s="592"/>
      <c r="I434" s="592"/>
      <c r="J434" s="592"/>
      <c r="K434" s="592"/>
      <c r="L434" s="592"/>
      <c r="M434" s="592"/>
      <c r="N434" s="592"/>
      <c r="O434" s="592"/>
      <c r="P434" s="592"/>
      <c r="Q434" s="592"/>
      <c r="R434" s="592"/>
      <c r="S434" s="592"/>
      <c r="T434" s="592"/>
      <c r="U434" s="592"/>
      <c r="V434" s="592"/>
      <c r="W434" s="592"/>
      <c r="X434" s="592"/>
      <c r="Y434" s="592"/>
      <c r="Z434" s="592"/>
      <c r="AA434" s="592"/>
      <c r="AB434" s="592"/>
      <c r="AC434" s="592"/>
      <c r="AD434" s="592"/>
      <c r="AE434" s="592"/>
      <c r="AF434" s="592"/>
      <c r="AG434" s="592"/>
    </row>
    <row r="435">
      <c r="E435" s="592"/>
      <c r="F435" s="591"/>
      <c r="G435" s="591"/>
      <c r="H435" s="592"/>
      <c r="I435" s="592"/>
      <c r="J435" s="592"/>
      <c r="K435" s="592"/>
      <c r="L435" s="592"/>
      <c r="M435" s="592"/>
      <c r="N435" s="592"/>
      <c r="O435" s="592"/>
      <c r="P435" s="592"/>
      <c r="Q435" s="592"/>
      <c r="R435" s="592"/>
      <c r="S435" s="592"/>
      <c r="T435" s="592"/>
      <c r="U435" s="592"/>
      <c r="V435" s="592"/>
      <c r="W435" s="592"/>
      <c r="X435" s="592"/>
      <c r="Y435" s="592"/>
      <c r="Z435" s="592"/>
      <c r="AA435" s="592"/>
      <c r="AB435" s="592"/>
      <c r="AC435" s="592"/>
      <c r="AD435" s="592"/>
      <c r="AE435" s="592"/>
      <c r="AF435" s="592"/>
      <c r="AG435" s="592"/>
    </row>
    <row r="436">
      <c r="E436" s="592"/>
      <c r="F436" s="591"/>
      <c r="G436" s="591"/>
      <c r="H436" s="592"/>
      <c r="I436" s="592"/>
      <c r="J436" s="592"/>
      <c r="K436" s="592"/>
      <c r="L436" s="592"/>
      <c r="M436" s="592"/>
      <c r="N436" s="592"/>
      <c r="O436" s="592"/>
      <c r="P436" s="592"/>
      <c r="Q436" s="592"/>
      <c r="R436" s="592"/>
      <c r="S436" s="592"/>
      <c r="T436" s="592"/>
      <c r="U436" s="592"/>
      <c r="V436" s="592"/>
      <c r="W436" s="592"/>
      <c r="X436" s="592"/>
      <c r="Y436" s="592"/>
      <c r="Z436" s="592"/>
      <c r="AA436" s="592"/>
      <c r="AB436" s="592"/>
      <c r="AC436" s="592"/>
      <c r="AD436" s="592"/>
      <c r="AE436" s="592"/>
      <c r="AF436" s="592"/>
      <c r="AG436" s="592"/>
    </row>
    <row r="437">
      <c r="E437" s="592"/>
      <c r="F437" s="591"/>
      <c r="G437" s="591"/>
      <c r="H437" s="592"/>
      <c r="I437" s="592"/>
      <c r="J437" s="592"/>
      <c r="K437" s="592"/>
      <c r="L437" s="592"/>
      <c r="M437" s="592"/>
      <c r="N437" s="592"/>
      <c r="O437" s="592"/>
      <c r="P437" s="592"/>
      <c r="Q437" s="592"/>
      <c r="R437" s="592"/>
      <c r="S437" s="592"/>
      <c r="T437" s="592"/>
      <c r="U437" s="592"/>
      <c r="V437" s="592"/>
      <c r="W437" s="592"/>
      <c r="X437" s="592"/>
      <c r="Y437" s="592"/>
      <c r="Z437" s="592"/>
      <c r="AA437" s="592"/>
      <c r="AB437" s="592"/>
      <c r="AC437" s="592"/>
      <c r="AD437" s="592"/>
      <c r="AE437" s="592"/>
      <c r="AF437" s="592"/>
      <c r="AG437" s="592"/>
    </row>
    <row r="438">
      <c r="E438" s="592"/>
      <c r="F438" s="591"/>
      <c r="G438" s="591"/>
      <c r="H438" s="592"/>
      <c r="I438" s="592"/>
      <c r="J438" s="592"/>
      <c r="K438" s="592"/>
      <c r="L438" s="592"/>
      <c r="M438" s="592"/>
      <c r="N438" s="592"/>
      <c r="O438" s="592"/>
      <c r="P438" s="592"/>
      <c r="Q438" s="592"/>
      <c r="R438" s="592"/>
      <c r="S438" s="592"/>
      <c r="T438" s="592"/>
      <c r="U438" s="592"/>
      <c r="V438" s="592"/>
      <c r="W438" s="592"/>
      <c r="X438" s="592"/>
      <c r="Y438" s="592"/>
      <c r="Z438" s="592"/>
      <c r="AA438" s="592"/>
      <c r="AB438" s="592"/>
      <c r="AC438" s="592"/>
      <c r="AD438" s="592"/>
      <c r="AE438" s="592"/>
      <c r="AF438" s="592"/>
      <c r="AG438" s="592"/>
    </row>
    <row r="439">
      <c r="E439" s="592"/>
      <c r="F439" s="591"/>
      <c r="G439" s="591"/>
      <c r="H439" s="592"/>
      <c r="I439" s="592"/>
      <c r="J439" s="592"/>
      <c r="K439" s="592"/>
      <c r="L439" s="592"/>
      <c r="M439" s="592"/>
      <c r="N439" s="592"/>
      <c r="O439" s="592"/>
      <c r="P439" s="592"/>
      <c r="Q439" s="592"/>
      <c r="R439" s="592"/>
      <c r="S439" s="592"/>
      <c r="T439" s="592"/>
      <c r="U439" s="592"/>
      <c r="V439" s="592"/>
      <c r="W439" s="592"/>
      <c r="X439" s="592"/>
      <c r="Y439" s="592"/>
      <c r="Z439" s="592"/>
      <c r="AA439" s="592"/>
      <c r="AB439" s="592"/>
      <c r="AC439" s="592"/>
      <c r="AD439" s="592"/>
      <c r="AE439" s="592"/>
      <c r="AF439" s="592"/>
      <c r="AG439" s="592"/>
    </row>
    <row r="440">
      <c r="E440" s="592"/>
      <c r="F440" s="591"/>
      <c r="G440" s="591"/>
      <c r="H440" s="592"/>
      <c r="I440" s="592"/>
      <c r="J440" s="592"/>
      <c r="K440" s="592"/>
      <c r="L440" s="592"/>
      <c r="M440" s="592"/>
      <c r="N440" s="592"/>
      <c r="O440" s="592"/>
      <c r="P440" s="592"/>
      <c r="Q440" s="592"/>
      <c r="R440" s="592"/>
      <c r="S440" s="592"/>
      <c r="T440" s="592"/>
      <c r="U440" s="592"/>
      <c r="V440" s="592"/>
      <c r="W440" s="592"/>
      <c r="X440" s="592"/>
      <c r="Y440" s="592"/>
      <c r="Z440" s="592"/>
      <c r="AA440" s="592"/>
      <c r="AB440" s="592"/>
      <c r="AC440" s="592"/>
      <c r="AD440" s="592"/>
      <c r="AE440" s="592"/>
      <c r="AF440" s="592"/>
      <c r="AG440" s="592"/>
    </row>
    <row r="441">
      <c r="E441" s="592"/>
      <c r="F441" s="591"/>
      <c r="G441" s="591"/>
      <c r="H441" s="592"/>
      <c r="I441" s="592"/>
      <c r="J441" s="592"/>
      <c r="K441" s="592"/>
      <c r="L441" s="592"/>
      <c r="M441" s="592"/>
      <c r="N441" s="592"/>
      <c r="O441" s="592"/>
      <c r="P441" s="592"/>
      <c r="Q441" s="592"/>
      <c r="R441" s="592"/>
      <c r="S441" s="592"/>
      <c r="T441" s="592"/>
      <c r="U441" s="592"/>
      <c r="V441" s="592"/>
      <c r="W441" s="592"/>
      <c r="X441" s="592"/>
      <c r="Y441" s="592"/>
      <c r="Z441" s="592"/>
      <c r="AA441" s="592"/>
      <c r="AB441" s="592"/>
      <c r="AC441" s="592"/>
      <c r="AD441" s="592"/>
      <c r="AE441" s="592"/>
      <c r="AF441" s="592"/>
      <c r="AG441" s="592"/>
    </row>
    <row r="442">
      <c r="E442" s="592"/>
      <c r="F442" s="591"/>
      <c r="G442" s="591"/>
      <c r="H442" s="592"/>
      <c r="I442" s="592"/>
      <c r="J442" s="592"/>
      <c r="K442" s="592"/>
      <c r="L442" s="592"/>
      <c r="M442" s="592"/>
      <c r="N442" s="592"/>
      <c r="O442" s="592"/>
      <c r="P442" s="592"/>
      <c r="Q442" s="592"/>
      <c r="R442" s="592"/>
      <c r="S442" s="592"/>
      <c r="T442" s="592"/>
      <c r="U442" s="592"/>
      <c r="V442" s="592"/>
      <c r="W442" s="592"/>
      <c r="X442" s="592"/>
      <c r="Y442" s="592"/>
      <c r="Z442" s="592"/>
      <c r="AA442" s="592"/>
      <c r="AB442" s="592"/>
      <c r="AC442" s="592"/>
      <c r="AD442" s="592"/>
      <c r="AE442" s="592"/>
      <c r="AF442" s="592"/>
      <c r="AG442" s="592"/>
    </row>
    <row r="443">
      <c r="E443" s="592"/>
      <c r="F443" s="591"/>
      <c r="G443" s="591"/>
      <c r="H443" s="592"/>
      <c r="I443" s="592"/>
      <c r="J443" s="592"/>
      <c r="K443" s="592"/>
      <c r="L443" s="592"/>
      <c r="M443" s="592"/>
      <c r="N443" s="592"/>
      <c r="O443" s="592"/>
      <c r="P443" s="592"/>
      <c r="Q443" s="592"/>
      <c r="R443" s="592"/>
      <c r="S443" s="592"/>
      <c r="T443" s="592"/>
      <c r="U443" s="592"/>
      <c r="V443" s="592"/>
      <c r="W443" s="592"/>
      <c r="X443" s="592"/>
      <c r="Y443" s="592"/>
      <c r="Z443" s="592"/>
      <c r="AA443" s="592"/>
      <c r="AB443" s="592"/>
      <c r="AC443" s="592"/>
      <c r="AD443" s="592"/>
      <c r="AE443" s="592"/>
      <c r="AF443" s="592"/>
      <c r="AG443" s="592"/>
    </row>
    <row r="444">
      <c r="E444" s="592"/>
      <c r="F444" s="591"/>
      <c r="G444" s="591"/>
      <c r="H444" s="592"/>
      <c r="I444" s="592"/>
      <c r="J444" s="592"/>
      <c r="K444" s="592"/>
      <c r="L444" s="592"/>
      <c r="M444" s="592"/>
      <c r="N444" s="592"/>
      <c r="O444" s="592"/>
      <c r="P444" s="592"/>
      <c r="Q444" s="592"/>
      <c r="R444" s="592"/>
      <c r="S444" s="592"/>
      <c r="T444" s="592"/>
      <c r="U444" s="592"/>
      <c r="V444" s="592"/>
      <c r="W444" s="592"/>
      <c r="X444" s="592"/>
      <c r="Y444" s="592"/>
      <c r="Z444" s="592"/>
      <c r="AA444" s="592"/>
      <c r="AB444" s="592"/>
      <c r="AC444" s="592"/>
      <c r="AD444" s="592"/>
      <c r="AE444" s="592"/>
      <c r="AF444" s="592"/>
      <c r="AG444" s="592"/>
    </row>
    <row r="445">
      <c r="E445" s="592"/>
      <c r="F445" s="591"/>
      <c r="G445" s="591"/>
      <c r="H445" s="592"/>
      <c r="I445" s="592"/>
      <c r="J445" s="592"/>
      <c r="K445" s="592"/>
      <c r="L445" s="592"/>
      <c r="M445" s="592"/>
      <c r="N445" s="592"/>
      <c r="O445" s="592"/>
      <c r="P445" s="592"/>
      <c r="Q445" s="592"/>
      <c r="R445" s="592"/>
      <c r="S445" s="592"/>
      <c r="T445" s="592"/>
      <c r="U445" s="592"/>
      <c r="V445" s="592"/>
      <c r="W445" s="592"/>
      <c r="X445" s="592"/>
      <c r="Y445" s="592"/>
      <c r="Z445" s="592"/>
      <c r="AA445" s="592"/>
      <c r="AB445" s="592"/>
      <c r="AC445" s="592"/>
      <c r="AD445" s="592"/>
      <c r="AE445" s="592"/>
      <c r="AF445" s="592"/>
      <c r="AG445" s="592"/>
    </row>
    <row r="446">
      <c r="E446" s="592"/>
      <c r="F446" s="591"/>
      <c r="G446" s="591"/>
      <c r="H446" s="592"/>
      <c r="I446" s="592"/>
      <c r="J446" s="592"/>
      <c r="K446" s="592"/>
      <c r="L446" s="592"/>
      <c r="M446" s="592"/>
      <c r="N446" s="592"/>
      <c r="O446" s="592"/>
      <c r="P446" s="592"/>
      <c r="Q446" s="592"/>
      <c r="R446" s="592"/>
      <c r="S446" s="592"/>
      <c r="T446" s="592"/>
      <c r="U446" s="592"/>
      <c r="V446" s="592"/>
      <c r="W446" s="592"/>
      <c r="X446" s="592"/>
      <c r="Y446" s="592"/>
      <c r="Z446" s="592"/>
      <c r="AA446" s="592"/>
      <c r="AB446" s="592"/>
      <c r="AC446" s="592"/>
      <c r="AD446" s="592"/>
      <c r="AE446" s="592"/>
      <c r="AF446" s="592"/>
      <c r="AG446" s="592"/>
    </row>
    <row r="447">
      <c r="E447" s="592"/>
      <c r="F447" s="591"/>
      <c r="G447" s="591"/>
      <c r="H447" s="592"/>
      <c r="I447" s="592"/>
      <c r="J447" s="592"/>
      <c r="K447" s="592"/>
      <c r="L447" s="592"/>
      <c r="M447" s="592"/>
      <c r="N447" s="592"/>
      <c r="O447" s="592"/>
      <c r="P447" s="592"/>
      <c r="Q447" s="592"/>
      <c r="R447" s="592"/>
      <c r="S447" s="592"/>
      <c r="T447" s="592"/>
      <c r="U447" s="592"/>
      <c r="V447" s="592"/>
      <c r="W447" s="592"/>
      <c r="X447" s="592"/>
      <c r="Y447" s="592"/>
      <c r="Z447" s="592"/>
      <c r="AA447" s="592"/>
      <c r="AB447" s="592"/>
      <c r="AC447" s="592"/>
      <c r="AD447" s="592"/>
      <c r="AE447" s="592"/>
      <c r="AF447" s="592"/>
      <c r="AG447" s="592"/>
    </row>
    <row r="448">
      <c r="E448" s="592"/>
      <c r="F448" s="591"/>
      <c r="G448" s="591"/>
      <c r="H448" s="592"/>
      <c r="I448" s="592"/>
      <c r="J448" s="592"/>
      <c r="K448" s="592"/>
      <c r="L448" s="592"/>
      <c r="M448" s="592"/>
      <c r="N448" s="592"/>
      <c r="O448" s="592"/>
      <c r="P448" s="592"/>
      <c r="Q448" s="592"/>
      <c r="R448" s="592"/>
      <c r="S448" s="592"/>
      <c r="T448" s="592"/>
      <c r="U448" s="592"/>
      <c r="V448" s="592"/>
      <c r="W448" s="592"/>
      <c r="X448" s="592"/>
      <c r="Y448" s="592"/>
      <c r="Z448" s="592"/>
      <c r="AA448" s="592"/>
      <c r="AB448" s="592"/>
      <c r="AC448" s="592"/>
      <c r="AD448" s="592"/>
      <c r="AE448" s="592"/>
      <c r="AF448" s="592"/>
      <c r="AG448" s="592"/>
    </row>
    <row r="449">
      <c r="E449" s="592"/>
      <c r="F449" s="591"/>
      <c r="G449" s="591"/>
      <c r="H449" s="592"/>
      <c r="I449" s="592"/>
      <c r="J449" s="592"/>
      <c r="K449" s="592"/>
      <c r="L449" s="592"/>
      <c r="M449" s="592"/>
      <c r="N449" s="592"/>
      <c r="O449" s="592"/>
      <c r="P449" s="592"/>
      <c r="Q449" s="592"/>
      <c r="R449" s="592"/>
      <c r="S449" s="592"/>
      <c r="T449" s="592"/>
      <c r="U449" s="592"/>
      <c r="V449" s="592"/>
      <c r="W449" s="592"/>
      <c r="X449" s="592"/>
      <c r="Y449" s="592"/>
      <c r="Z449" s="592"/>
      <c r="AA449" s="592"/>
      <c r="AB449" s="592"/>
      <c r="AC449" s="592"/>
      <c r="AD449" s="592"/>
      <c r="AE449" s="592"/>
      <c r="AF449" s="592"/>
      <c r="AG449" s="592"/>
    </row>
    <row r="450">
      <c r="E450" s="592"/>
      <c r="F450" s="591"/>
      <c r="G450" s="591"/>
      <c r="H450" s="592"/>
      <c r="I450" s="592"/>
      <c r="J450" s="592"/>
      <c r="K450" s="592"/>
      <c r="L450" s="592"/>
      <c r="M450" s="592"/>
      <c r="N450" s="592"/>
      <c r="O450" s="592"/>
      <c r="P450" s="592"/>
      <c r="Q450" s="592"/>
      <c r="R450" s="592"/>
      <c r="S450" s="592"/>
      <c r="T450" s="592"/>
      <c r="U450" s="592"/>
      <c r="V450" s="592"/>
      <c r="W450" s="592"/>
      <c r="X450" s="592"/>
      <c r="Y450" s="592"/>
      <c r="Z450" s="592"/>
      <c r="AA450" s="592"/>
      <c r="AB450" s="592"/>
      <c r="AC450" s="592"/>
      <c r="AD450" s="592"/>
      <c r="AE450" s="592"/>
      <c r="AF450" s="592"/>
      <c r="AG450" s="592"/>
    </row>
    <row r="451">
      <c r="E451" s="592"/>
      <c r="F451" s="591"/>
      <c r="G451" s="591"/>
      <c r="H451" s="592"/>
      <c r="I451" s="592"/>
      <c r="J451" s="592"/>
      <c r="K451" s="592"/>
      <c r="L451" s="592"/>
      <c r="M451" s="592"/>
      <c r="N451" s="592"/>
      <c r="O451" s="592"/>
      <c r="P451" s="592"/>
      <c r="Q451" s="592"/>
      <c r="R451" s="592"/>
      <c r="S451" s="592"/>
      <c r="T451" s="592"/>
      <c r="U451" s="592"/>
      <c r="V451" s="592"/>
      <c r="W451" s="592"/>
      <c r="X451" s="592"/>
      <c r="Y451" s="592"/>
      <c r="Z451" s="592"/>
      <c r="AA451" s="592"/>
      <c r="AB451" s="592"/>
      <c r="AC451" s="592"/>
      <c r="AD451" s="592"/>
      <c r="AE451" s="592"/>
      <c r="AF451" s="592"/>
      <c r="AG451" s="592"/>
    </row>
    <row r="452">
      <c r="E452" s="592"/>
      <c r="F452" s="591"/>
      <c r="G452" s="591"/>
      <c r="H452" s="592"/>
      <c r="I452" s="592"/>
      <c r="J452" s="592"/>
      <c r="K452" s="592"/>
      <c r="L452" s="592"/>
      <c r="M452" s="592"/>
      <c r="N452" s="592"/>
      <c r="O452" s="592"/>
      <c r="P452" s="592"/>
      <c r="Q452" s="592"/>
      <c r="R452" s="592"/>
      <c r="S452" s="592"/>
      <c r="T452" s="592"/>
      <c r="U452" s="592"/>
      <c r="V452" s="592"/>
      <c r="W452" s="592"/>
      <c r="X452" s="592"/>
      <c r="Y452" s="592"/>
      <c r="Z452" s="592"/>
      <c r="AA452" s="592"/>
      <c r="AB452" s="592"/>
      <c r="AC452" s="592"/>
      <c r="AD452" s="592"/>
      <c r="AE452" s="592"/>
      <c r="AF452" s="592"/>
      <c r="AG452" s="592"/>
    </row>
    <row r="453">
      <c r="E453" s="592"/>
      <c r="F453" s="591"/>
      <c r="G453" s="591"/>
      <c r="H453" s="592"/>
      <c r="I453" s="592"/>
      <c r="J453" s="592"/>
      <c r="K453" s="592"/>
      <c r="L453" s="592"/>
      <c r="M453" s="592"/>
      <c r="N453" s="592"/>
      <c r="O453" s="592"/>
      <c r="P453" s="592"/>
      <c r="Q453" s="592"/>
      <c r="R453" s="592"/>
      <c r="S453" s="592"/>
      <c r="T453" s="592"/>
      <c r="U453" s="592"/>
      <c r="V453" s="592"/>
      <c r="W453" s="592"/>
      <c r="X453" s="592"/>
      <c r="Y453" s="592"/>
      <c r="Z453" s="592"/>
      <c r="AA453" s="592"/>
      <c r="AB453" s="592"/>
      <c r="AC453" s="592"/>
      <c r="AD453" s="592"/>
      <c r="AE453" s="592"/>
      <c r="AF453" s="592"/>
      <c r="AG453" s="592"/>
    </row>
    <row r="454">
      <c r="E454" s="592"/>
      <c r="F454" s="591"/>
      <c r="G454" s="591"/>
      <c r="H454" s="592"/>
      <c r="I454" s="592"/>
      <c r="J454" s="592"/>
      <c r="K454" s="592"/>
      <c r="L454" s="592"/>
      <c r="M454" s="592"/>
      <c r="N454" s="592"/>
      <c r="O454" s="592"/>
      <c r="P454" s="592"/>
      <c r="Q454" s="592"/>
      <c r="R454" s="592"/>
      <c r="S454" s="592"/>
      <c r="T454" s="592"/>
      <c r="U454" s="592"/>
      <c r="V454" s="592"/>
      <c r="W454" s="592"/>
      <c r="X454" s="592"/>
      <c r="Y454" s="592"/>
      <c r="Z454" s="592"/>
      <c r="AA454" s="592"/>
      <c r="AB454" s="592"/>
      <c r="AC454" s="592"/>
      <c r="AD454" s="592"/>
      <c r="AE454" s="592"/>
      <c r="AF454" s="592"/>
      <c r="AG454" s="592"/>
    </row>
    <row r="455">
      <c r="E455" s="592"/>
      <c r="F455" s="591"/>
      <c r="G455" s="591"/>
      <c r="H455" s="592"/>
      <c r="I455" s="592"/>
      <c r="J455" s="592"/>
      <c r="K455" s="592"/>
      <c r="L455" s="592"/>
      <c r="M455" s="592"/>
      <c r="N455" s="592"/>
      <c r="O455" s="592"/>
      <c r="P455" s="592"/>
      <c r="Q455" s="592"/>
      <c r="R455" s="592"/>
      <c r="S455" s="592"/>
      <c r="T455" s="592"/>
      <c r="U455" s="592"/>
      <c r="V455" s="592"/>
      <c r="W455" s="592"/>
      <c r="X455" s="592"/>
      <c r="Y455" s="592"/>
      <c r="Z455" s="592"/>
      <c r="AA455" s="592"/>
      <c r="AB455" s="592"/>
      <c r="AC455" s="592"/>
      <c r="AD455" s="592"/>
      <c r="AE455" s="592"/>
      <c r="AF455" s="592"/>
      <c r="AG455" s="592"/>
    </row>
    <row r="456">
      <c r="E456" s="592"/>
      <c r="F456" s="591"/>
      <c r="G456" s="591"/>
      <c r="H456" s="592"/>
      <c r="I456" s="592"/>
      <c r="J456" s="592"/>
      <c r="K456" s="592"/>
      <c r="L456" s="592"/>
      <c r="M456" s="592"/>
      <c r="N456" s="592"/>
      <c r="O456" s="592"/>
      <c r="P456" s="592"/>
      <c r="Q456" s="592"/>
      <c r="R456" s="592"/>
      <c r="S456" s="592"/>
      <c r="T456" s="592"/>
      <c r="U456" s="592"/>
      <c r="V456" s="592"/>
      <c r="W456" s="592"/>
      <c r="X456" s="592"/>
      <c r="Y456" s="592"/>
      <c r="Z456" s="592"/>
      <c r="AA456" s="592"/>
      <c r="AB456" s="592"/>
      <c r="AC456" s="592"/>
      <c r="AD456" s="592"/>
      <c r="AE456" s="592"/>
      <c r="AF456" s="592"/>
      <c r="AG456" s="592"/>
    </row>
    <row r="457">
      <c r="E457" s="592"/>
      <c r="F457" s="591"/>
      <c r="G457" s="591"/>
      <c r="H457" s="592"/>
      <c r="I457" s="592"/>
      <c r="J457" s="592"/>
      <c r="K457" s="592"/>
      <c r="L457" s="592"/>
      <c r="M457" s="592"/>
      <c r="N457" s="592"/>
      <c r="O457" s="592"/>
      <c r="P457" s="592"/>
      <c r="Q457" s="592"/>
      <c r="R457" s="592"/>
      <c r="S457" s="592"/>
      <c r="T457" s="592"/>
      <c r="U457" s="592"/>
      <c r="V457" s="592"/>
      <c r="W457" s="592"/>
      <c r="X457" s="592"/>
      <c r="Y457" s="592"/>
      <c r="Z457" s="592"/>
      <c r="AA457" s="592"/>
      <c r="AB457" s="592"/>
      <c r="AC457" s="592"/>
      <c r="AD457" s="592"/>
      <c r="AE457" s="592"/>
      <c r="AF457" s="592"/>
      <c r="AG457" s="592"/>
    </row>
    <row r="458">
      <c r="E458" s="592"/>
      <c r="F458" s="591"/>
      <c r="G458" s="591"/>
      <c r="H458" s="592"/>
      <c r="I458" s="592"/>
      <c r="J458" s="592"/>
      <c r="K458" s="592"/>
      <c r="L458" s="592"/>
      <c r="M458" s="592"/>
      <c r="N458" s="592"/>
      <c r="O458" s="592"/>
      <c r="P458" s="592"/>
      <c r="Q458" s="592"/>
      <c r="R458" s="592"/>
      <c r="S458" s="592"/>
      <c r="T458" s="592"/>
      <c r="U458" s="592"/>
      <c r="V458" s="592"/>
      <c r="W458" s="592"/>
      <c r="X458" s="592"/>
      <c r="Y458" s="592"/>
      <c r="Z458" s="592"/>
      <c r="AA458" s="592"/>
      <c r="AB458" s="592"/>
      <c r="AC458" s="592"/>
      <c r="AD458" s="592"/>
      <c r="AE458" s="592"/>
      <c r="AF458" s="592"/>
      <c r="AG458" s="592"/>
    </row>
    <row r="459">
      <c r="E459" s="592"/>
      <c r="F459" s="591"/>
      <c r="G459" s="591"/>
      <c r="H459" s="592"/>
      <c r="I459" s="592"/>
      <c r="J459" s="592"/>
      <c r="K459" s="592"/>
      <c r="L459" s="592"/>
      <c r="M459" s="592"/>
      <c r="N459" s="592"/>
      <c r="O459" s="592"/>
      <c r="P459" s="592"/>
      <c r="Q459" s="592"/>
      <c r="R459" s="592"/>
      <c r="S459" s="592"/>
      <c r="T459" s="592"/>
      <c r="U459" s="592"/>
      <c r="V459" s="592"/>
      <c r="W459" s="592"/>
      <c r="X459" s="592"/>
      <c r="Y459" s="592"/>
      <c r="Z459" s="592"/>
      <c r="AA459" s="592"/>
      <c r="AB459" s="592"/>
      <c r="AC459" s="592"/>
      <c r="AD459" s="592"/>
      <c r="AE459" s="592"/>
      <c r="AF459" s="592"/>
      <c r="AG459" s="592"/>
    </row>
    <row r="460">
      <c r="E460" s="592"/>
      <c r="F460" s="591"/>
      <c r="G460" s="591"/>
      <c r="H460" s="592"/>
      <c r="I460" s="592"/>
      <c r="J460" s="592"/>
      <c r="K460" s="592"/>
      <c r="L460" s="592"/>
      <c r="M460" s="592"/>
      <c r="N460" s="592"/>
      <c r="O460" s="592"/>
      <c r="P460" s="592"/>
      <c r="Q460" s="592"/>
      <c r="R460" s="592"/>
      <c r="S460" s="592"/>
      <c r="T460" s="592"/>
      <c r="U460" s="592"/>
      <c r="V460" s="592"/>
      <c r="W460" s="592"/>
      <c r="X460" s="592"/>
      <c r="Y460" s="592"/>
      <c r="Z460" s="592"/>
      <c r="AA460" s="592"/>
      <c r="AB460" s="592"/>
      <c r="AC460" s="592"/>
      <c r="AD460" s="592"/>
      <c r="AE460" s="592"/>
      <c r="AF460" s="592"/>
      <c r="AG460" s="592"/>
    </row>
    <row r="461">
      <c r="E461" s="592"/>
      <c r="F461" s="591"/>
      <c r="G461" s="591"/>
      <c r="H461" s="592"/>
      <c r="I461" s="592"/>
      <c r="J461" s="592"/>
      <c r="K461" s="592"/>
      <c r="L461" s="592"/>
      <c r="M461" s="592"/>
      <c r="N461" s="592"/>
      <c r="O461" s="592"/>
      <c r="P461" s="592"/>
      <c r="Q461" s="592"/>
      <c r="R461" s="592"/>
      <c r="S461" s="592"/>
      <c r="T461" s="592"/>
      <c r="U461" s="592"/>
      <c r="V461" s="592"/>
      <c r="W461" s="592"/>
      <c r="X461" s="592"/>
      <c r="Y461" s="592"/>
      <c r="Z461" s="592"/>
      <c r="AA461" s="592"/>
      <c r="AB461" s="592"/>
      <c r="AC461" s="592"/>
      <c r="AD461" s="592"/>
      <c r="AE461" s="592"/>
      <c r="AF461" s="592"/>
      <c r="AG461" s="592"/>
    </row>
    <row r="462">
      <c r="E462" s="592"/>
      <c r="F462" s="591"/>
      <c r="G462" s="591"/>
      <c r="H462" s="592"/>
      <c r="I462" s="592"/>
      <c r="J462" s="592"/>
      <c r="K462" s="592"/>
      <c r="L462" s="592"/>
      <c r="M462" s="592"/>
      <c r="N462" s="592"/>
      <c r="O462" s="592"/>
      <c r="P462" s="592"/>
      <c r="Q462" s="592"/>
      <c r="R462" s="592"/>
      <c r="S462" s="592"/>
      <c r="T462" s="592"/>
      <c r="U462" s="592"/>
      <c r="V462" s="592"/>
      <c r="W462" s="592"/>
      <c r="X462" s="592"/>
      <c r="Y462" s="592"/>
      <c r="Z462" s="592"/>
      <c r="AA462" s="592"/>
      <c r="AB462" s="592"/>
      <c r="AC462" s="592"/>
      <c r="AD462" s="592"/>
      <c r="AE462" s="592"/>
      <c r="AF462" s="592"/>
      <c r="AG462" s="592"/>
    </row>
    <row r="463">
      <c r="E463" s="592"/>
      <c r="F463" s="591"/>
      <c r="G463" s="591"/>
      <c r="H463" s="592"/>
      <c r="I463" s="592"/>
      <c r="J463" s="592"/>
      <c r="K463" s="592"/>
      <c r="L463" s="592"/>
      <c r="M463" s="592"/>
      <c r="N463" s="592"/>
      <c r="O463" s="592"/>
      <c r="P463" s="592"/>
      <c r="Q463" s="592"/>
      <c r="R463" s="592"/>
      <c r="S463" s="592"/>
      <c r="T463" s="592"/>
      <c r="U463" s="592"/>
      <c r="V463" s="592"/>
      <c r="W463" s="592"/>
      <c r="X463" s="592"/>
      <c r="Y463" s="592"/>
      <c r="Z463" s="592"/>
      <c r="AA463" s="592"/>
      <c r="AB463" s="592"/>
      <c r="AC463" s="592"/>
      <c r="AD463" s="592"/>
      <c r="AE463" s="592"/>
      <c r="AF463" s="592"/>
      <c r="AG463" s="592"/>
    </row>
    <row r="464">
      <c r="E464" s="592"/>
      <c r="F464" s="591"/>
      <c r="G464" s="591"/>
      <c r="H464" s="592"/>
      <c r="I464" s="592"/>
      <c r="J464" s="592"/>
      <c r="K464" s="592"/>
      <c r="L464" s="592"/>
      <c r="M464" s="592"/>
      <c r="N464" s="592"/>
      <c r="O464" s="592"/>
      <c r="P464" s="592"/>
      <c r="Q464" s="592"/>
      <c r="R464" s="592"/>
      <c r="S464" s="592"/>
      <c r="T464" s="592"/>
      <c r="U464" s="592"/>
      <c r="V464" s="592"/>
      <c r="W464" s="592"/>
      <c r="X464" s="592"/>
      <c r="Y464" s="592"/>
      <c r="Z464" s="592"/>
      <c r="AA464" s="592"/>
      <c r="AB464" s="592"/>
      <c r="AC464" s="592"/>
      <c r="AD464" s="592"/>
      <c r="AE464" s="592"/>
      <c r="AF464" s="592"/>
      <c r="AG464" s="592"/>
    </row>
    <row r="465">
      <c r="E465" s="592"/>
      <c r="F465" s="591"/>
      <c r="G465" s="591"/>
      <c r="H465" s="592"/>
      <c r="I465" s="592"/>
      <c r="J465" s="592"/>
      <c r="K465" s="592"/>
      <c r="L465" s="592"/>
      <c r="M465" s="592"/>
      <c r="N465" s="592"/>
      <c r="O465" s="592"/>
      <c r="P465" s="592"/>
      <c r="Q465" s="592"/>
      <c r="R465" s="592"/>
      <c r="S465" s="592"/>
      <c r="T465" s="592"/>
      <c r="U465" s="592"/>
      <c r="V465" s="592"/>
      <c r="W465" s="592"/>
      <c r="X465" s="592"/>
      <c r="Y465" s="592"/>
      <c r="Z465" s="592"/>
      <c r="AA465" s="592"/>
      <c r="AB465" s="592"/>
      <c r="AC465" s="592"/>
      <c r="AD465" s="592"/>
      <c r="AE465" s="592"/>
      <c r="AF465" s="592"/>
      <c r="AG465" s="592"/>
    </row>
    <row r="466">
      <c r="E466" s="592"/>
      <c r="F466" s="591"/>
      <c r="G466" s="591"/>
      <c r="H466" s="592"/>
      <c r="I466" s="592"/>
      <c r="J466" s="592"/>
      <c r="K466" s="592"/>
      <c r="L466" s="592"/>
      <c r="M466" s="592"/>
      <c r="N466" s="592"/>
      <c r="O466" s="592"/>
      <c r="P466" s="592"/>
      <c r="Q466" s="592"/>
      <c r="R466" s="592"/>
      <c r="S466" s="592"/>
      <c r="T466" s="592"/>
      <c r="U466" s="592"/>
      <c r="V466" s="592"/>
      <c r="W466" s="592"/>
      <c r="X466" s="592"/>
      <c r="Y466" s="592"/>
      <c r="Z466" s="592"/>
      <c r="AA466" s="592"/>
      <c r="AB466" s="592"/>
      <c r="AC466" s="592"/>
      <c r="AD466" s="592"/>
      <c r="AE466" s="592"/>
      <c r="AF466" s="592"/>
      <c r="AG466" s="592"/>
    </row>
    <row r="467">
      <c r="E467" s="592"/>
      <c r="F467" s="591"/>
      <c r="G467" s="591"/>
      <c r="H467" s="592"/>
      <c r="I467" s="592"/>
      <c r="J467" s="592"/>
      <c r="K467" s="592"/>
      <c r="L467" s="592"/>
      <c r="M467" s="592"/>
      <c r="N467" s="592"/>
      <c r="O467" s="592"/>
      <c r="P467" s="592"/>
      <c r="Q467" s="592"/>
      <c r="R467" s="592"/>
      <c r="S467" s="592"/>
      <c r="T467" s="592"/>
      <c r="U467" s="592"/>
      <c r="V467" s="592"/>
      <c r="W467" s="592"/>
      <c r="X467" s="592"/>
      <c r="Y467" s="592"/>
      <c r="Z467" s="592"/>
      <c r="AA467" s="592"/>
      <c r="AB467" s="592"/>
      <c r="AC467" s="592"/>
      <c r="AD467" s="592"/>
      <c r="AE467" s="592"/>
      <c r="AF467" s="592"/>
      <c r="AG467" s="592"/>
    </row>
    <row r="468">
      <c r="E468" s="592"/>
      <c r="F468" s="591"/>
      <c r="G468" s="591"/>
      <c r="H468" s="592"/>
      <c r="I468" s="592"/>
      <c r="J468" s="592"/>
      <c r="K468" s="592"/>
      <c r="L468" s="592"/>
      <c r="M468" s="592"/>
      <c r="N468" s="592"/>
      <c r="O468" s="592"/>
      <c r="P468" s="592"/>
      <c r="Q468" s="592"/>
      <c r="R468" s="592"/>
      <c r="S468" s="592"/>
      <c r="T468" s="592"/>
      <c r="U468" s="592"/>
      <c r="V468" s="592"/>
      <c r="W468" s="592"/>
      <c r="X468" s="592"/>
      <c r="Y468" s="592"/>
      <c r="Z468" s="592"/>
      <c r="AA468" s="592"/>
      <c r="AB468" s="592"/>
      <c r="AC468" s="592"/>
      <c r="AD468" s="592"/>
      <c r="AE468" s="592"/>
      <c r="AF468" s="592"/>
      <c r="AG468" s="592"/>
    </row>
    <row r="469">
      <c r="E469" s="592"/>
      <c r="F469" s="591"/>
      <c r="G469" s="591"/>
      <c r="H469" s="592"/>
      <c r="I469" s="592"/>
      <c r="J469" s="592"/>
      <c r="K469" s="592"/>
      <c r="L469" s="592"/>
      <c r="M469" s="592"/>
      <c r="N469" s="592"/>
      <c r="O469" s="592"/>
      <c r="P469" s="592"/>
      <c r="Q469" s="592"/>
      <c r="R469" s="592"/>
      <c r="S469" s="592"/>
      <c r="T469" s="592"/>
      <c r="U469" s="592"/>
      <c r="V469" s="592"/>
      <c r="W469" s="592"/>
      <c r="X469" s="592"/>
      <c r="Y469" s="592"/>
      <c r="Z469" s="592"/>
      <c r="AA469" s="592"/>
      <c r="AB469" s="592"/>
      <c r="AC469" s="592"/>
      <c r="AD469" s="592"/>
      <c r="AE469" s="592"/>
      <c r="AF469" s="592"/>
      <c r="AG469" s="592"/>
    </row>
    <row r="470">
      <c r="E470" s="592"/>
      <c r="F470" s="591"/>
      <c r="G470" s="591"/>
      <c r="H470" s="592"/>
      <c r="I470" s="592"/>
      <c r="J470" s="592"/>
      <c r="K470" s="592"/>
      <c r="L470" s="592"/>
      <c r="M470" s="592"/>
      <c r="N470" s="592"/>
      <c r="O470" s="592"/>
      <c r="P470" s="592"/>
      <c r="Q470" s="592"/>
      <c r="R470" s="592"/>
      <c r="S470" s="592"/>
      <c r="T470" s="592"/>
      <c r="U470" s="592"/>
      <c r="V470" s="592"/>
      <c r="W470" s="592"/>
      <c r="X470" s="592"/>
      <c r="Y470" s="592"/>
      <c r="Z470" s="592"/>
      <c r="AA470" s="592"/>
      <c r="AB470" s="592"/>
      <c r="AC470" s="592"/>
      <c r="AD470" s="592"/>
      <c r="AE470" s="592"/>
      <c r="AF470" s="592"/>
      <c r="AG470" s="592"/>
    </row>
    <row r="471">
      <c r="E471" s="592"/>
      <c r="F471" s="591"/>
      <c r="G471" s="591"/>
      <c r="H471" s="592"/>
      <c r="I471" s="592"/>
      <c r="J471" s="592"/>
      <c r="K471" s="592"/>
      <c r="L471" s="592"/>
      <c r="M471" s="592"/>
      <c r="N471" s="592"/>
      <c r="O471" s="592"/>
      <c r="P471" s="592"/>
      <c r="Q471" s="592"/>
      <c r="R471" s="592"/>
      <c r="S471" s="592"/>
      <c r="T471" s="592"/>
      <c r="U471" s="592"/>
      <c r="V471" s="592"/>
      <c r="W471" s="592"/>
      <c r="X471" s="592"/>
      <c r="Y471" s="592"/>
      <c r="Z471" s="592"/>
      <c r="AA471" s="592"/>
      <c r="AB471" s="592"/>
      <c r="AC471" s="592"/>
      <c r="AD471" s="592"/>
      <c r="AE471" s="592"/>
      <c r="AF471" s="592"/>
      <c r="AG471" s="592"/>
    </row>
    <row r="472">
      <c r="E472" s="592"/>
      <c r="F472" s="591"/>
      <c r="G472" s="591"/>
      <c r="H472" s="592"/>
      <c r="I472" s="592"/>
      <c r="J472" s="592"/>
      <c r="K472" s="592"/>
      <c r="L472" s="592"/>
      <c r="M472" s="592"/>
      <c r="N472" s="592"/>
      <c r="O472" s="592"/>
      <c r="P472" s="592"/>
      <c r="Q472" s="592"/>
      <c r="R472" s="592"/>
      <c r="S472" s="592"/>
      <c r="T472" s="592"/>
      <c r="U472" s="592"/>
      <c r="V472" s="592"/>
      <c r="W472" s="592"/>
      <c r="X472" s="592"/>
      <c r="Y472" s="592"/>
      <c r="Z472" s="592"/>
      <c r="AA472" s="592"/>
      <c r="AB472" s="592"/>
      <c r="AC472" s="592"/>
      <c r="AD472" s="592"/>
      <c r="AE472" s="592"/>
      <c r="AF472" s="592"/>
      <c r="AG472" s="592"/>
    </row>
    <row r="473">
      <c r="E473" s="592"/>
      <c r="F473" s="591"/>
      <c r="G473" s="591"/>
      <c r="H473" s="592"/>
      <c r="I473" s="592"/>
      <c r="J473" s="592"/>
      <c r="K473" s="592"/>
      <c r="L473" s="592"/>
      <c r="M473" s="592"/>
      <c r="N473" s="592"/>
      <c r="O473" s="592"/>
      <c r="P473" s="592"/>
      <c r="Q473" s="592"/>
      <c r="R473" s="592"/>
      <c r="S473" s="592"/>
      <c r="T473" s="592"/>
      <c r="U473" s="592"/>
      <c r="V473" s="592"/>
      <c r="W473" s="592"/>
      <c r="X473" s="592"/>
      <c r="Y473" s="592"/>
      <c r="Z473" s="592"/>
      <c r="AA473" s="592"/>
      <c r="AB473" s="592"/>
      <c r="AC473" s="592"/>
      <c r="AD473" s="592"/>
      <c r="AE473" s="592"/>
      <c r="AF473" s="592"/>
      <c r="AG473" s="592"/>
    </row>
    <row r="474">
      <c r="E474" s="592"/>
      <c r="F474" s="591"/>
      <c r="G474" s="591"/>
      <c r="H474" s="592"/>
      <c r="I474" s="592"/>
      <c r="J474" s="592"/>
      <c r="K474" s="592"/>
      <c r="L474" s="592"/>
      <c r="M474" s="592"/>
      <c r="N474" s="592"/>
      <c r="O474" s="592"/>
      <c r="P474" s="592"/>
      <c r="Q474" s="592"/>
      <c r="R474" s="592"/>
      <c r="S474" s="592"/>
      <c r="T474" s="592"/>
      <c r="U474" s="592"/>
      <c r="V474" s="592"/>
      <c r="W474" s="592"/>
      <c r="X474" s="592"/>
      <c r="Y474" s="592"/>
      <c r="Z474" s="592"/>
      <c r="AA474" s="592"/>
      <c r="AB474" s="592"/>
      <c r="AC474" s="592"/>
      <c r="AD474" s="592"/>
      <c r="AE474" s="592"/>
      <c r="AF474" s="592"/>
      <c r="AG474" s="592"/>
    </row>
    <row r="475">
      <c r="E475" s="592"/>
      <c r="F475" s="591"/>
      <c r="G475" s="591"/>
      <c r="H475" s="592"/>
      <c r="I475" s="592"/>
      <c r="J475" s="592"/>
      <c r="K475" s="592"/>
      <c r="L475" s="592"/>
      <c r="M475" s="592"/>
      <c r="N475" s="592"/>
      <c r="O475" s="592"/>
      <c r="P475" s="592"/>
      <c r="Q475" s="592"/>
      <c r="R475" s="592"/>
      <c r="S475" s="592"/>
      <c r="T475" s="592"/>
      <c r="U475" s="592"/>
      <c r="V475" s="592"/>
      <c r="W475" s="592"/>
      <c r="X475" s="592"/>
      <c r="Y475" s="592"/>
      <c r="Z475" s="592"/>
      <c r="AA475" s="592"/>
      <c r="AB475" s="592"/>
      <c r="AC475" s="592"/>
      <c r="AD475" s="592"/>
      <c r="AE475" s="592"/>
      <c r="AF475" s="592"/>
      <c r="AG475" s="592"/>
    </row>
    <row r="476">
      <c r="E476" s="592"/>
      <c r="F476" s="591"/>
      <c r="G476" s="591"/>
      <c r="H476" s="592"/>
      <c r="I476" s="592"/>
      <c r="J476" s="592"/>
      <c r="K476" s="592"/>
      <c r="L476" s="592"/>
      <c r="M476" s="592"/>
      <c r="N476" s="592"/>
      <c r="O476" s="592"/>
      <c r="P476" s="592"/>
      <c r="Q476" s="592"/>
      <c r="R476" s="592"/>
      <c r="S476" s="592"/>
      <c r="T476" s="592"/>
      <c r="U476" s="592"/>
      <c r="V476" s="592"/>
      <c r="W476" s="592"/>
      <c r="X476" s="592"/>
      <c r="Y476" s="592"/>
      <c r="Z476" s="592"/>
      <c r="AA476" s="592"/>
      <c r="AB476" s="592"/>
      <c r="AC476" s="592"/>
      <c r="AD476" s="592"/>
      <c r="AE476" s="592"/>
      <c r="AF476" s="592"/>
      <c r="AG476" s="592"/>
    </row>
    <row r="477">
      <c r="E477" s="592"/>
      <c r="F477" s="591"/>
      <c r="G477" s="591"/>
      <c r="H477" s="592"/>
      <c r="I477" s="592"/>
      <c r="J477" s="592"/>
      <c r="K477" s="592"/>
      <c r="L477" s="592"/>
      <c r="M477" s="592"/>
      <c r="N477" s="592"/>
      <c r="O477" s="592"/>
      <c r="P477" s="592"/>
      <c r="Q477" s="592"/>
      <c r="R477" s="592"/>
      <c r="S477" s="592"/>
      <c r="T477" s="592"/>
      <c r="U477" s="592"/>
      <c r="V477" s="592"/>
      <c r="W477" s="592"/>
      <c r="X477" s="592"/>
      <c r="Y477" s="592"/>
      <c r="Z477" s="592"/>
      <c r="AA477" s="592"/>
      <c r="AB477" s="592"/>
      <c r="AC477" s="592"/>
      <c r="AD477" s="592"/>
      <c r="AE477" s="592"/>
      <c r="AF477" s="592"/>
      <c r="AG477" s="592"/>
    </row>
    <row r="478">
      <c r="E478" s="592"/>
      <c r="F478" s="591"/>
      <c r="G478" s="591"/>
      <c r="H478" s="592"/>
      <c r="I478" s="592"/>
      <c r="J478" s="592"/>
      <c r="K478" s="592"/>
      <c r="L478" s="592"/>
      <c r="M478" s="592"/>
      <c r="N478" s="592"/>
      <c r="O478" s="592"/>
      <c r="P478" s="592"/>
      <c r="Q478" s="592"/>
      <c r="R478" s="592"/>
      <c r="S478" s="592"/>
      <c r="T478" s="592"/>
      <c r="U478" s="592"/>
      <c r="V478" s="592"/>
      <c r="W478" s="592"/>
      <c r="X478" s="592"/>
      <c r="Y478" s="592"/>
      <c r="Z478" s="592"/>
      <c r="AA478" s="592"/>
      <c r="AB478" s="592"/>
      <c r="AC478" s="592"/>
      <c r="AD478" s="592"/>
      <c r="AE478" s="592"/>
      <c r="AF478" s="592"/>
      <c r="AG478" s="592"/>
    </row>
    <row r="479">
      <c r="E479" s="592"/>
      <c r="F479" s="591"/>
      <c r="G479" s="591"/>
      <c r="H479" s="592"/>
      <c r="I479" s="592"/>
      <c r="J479" s="592"/>
      <c r="K479" s="592"/>
      <c r="L479" s="592"/>
      <c r="M479" s="592"/>
      <c r="N479" s="592"/>
      <c r="O479" s="592"/>
      <c r="P479" s="592"/>
      <c r="Q479" s="592"/>
      <c r="R479" s="592"/>
      <c r="S479" s="592"/>
      <c r="T479" s="592"/>
      <c r="U479" s="592"/>
      <c r="V479" s="592"/>
      <c r="W479" s="592"/>
      <c r="X479" s="592"/>
      <c r="Y479" s="592"/>
      <c r="Z479" s="592"/>
      <c r="AA479" s="592"/>
      <c r="AB479" s="592"/>
      <c r="AC479" s="592"/>
      <c r="AD479" s="592"/>
      <c r="AE479" s="592"/>
      <c r="AF479" s="592"/>
      <c r="AG479" s="592"/>
    </row>
    <row r="480">
      <c r="E480" s="592"/>
      <c r="F480" s="591"/>
      <c r="G480" s="591"/>
      <c r="H480" s="592"/>
      <c r="I480" s="592"/>
      <c r="J480" s="592"/>
      <c r="K480" s="592"/>
      <c r="L480" s="592"/>
      <c r="M480" s="592"/>
      <c r="N480" s="592"/>
      <c r="O480" s="592"/>
      <c r="P480" s="592"/>
      <c r="Q480" s="592"/>
      <c r="R480" s="592"/>
      <c r="S480" s="592"/>
      <c r="T480" s="592"/>
      <c r="U480" s="592"/>
      <c r="V480" s="592"/>
      <c r="W480" s="592"/>
      <c r="X480" s="592"/>
      <c r="Y480" s="592"/>
      <c r="Z480" s="592"/>
      <c r="AA480" s="592"/>
      <c r="AB480" s="592"/>
      <c r="AC480" s="592"/>
      <c r="AD480" s="592"/>
      <c r="AE480" s="592"/>
      <c r="AF480" s="592"/>
      <c r="AG480" s="592"/>
    </row>
    <row r="481">
      <c r="E481" s="592"/>
      <c r="F481" s="591"/>
      <c r="G481" s="591"/>
      <c r="H481" s="592"/>
      <c r="I481" s="592"/>
      <c r="J481" s="592"/>
      <c r="K481" s="592"/>
      <c r="L481" s="592"/>
      <c r="M481" s="592"/>
      <c r="N481" s="592"/>
      <c r="O481" s="592"/>
      <c r="P481" s="592"/>
      <c r="Q481" s="592"/>
      <c r="R481" s="592"/>
      <c r="S481" s="592"/>
      <c r="T481" s="592"/>
      <c r="U481" s="592"/>
      <c r="V481" s="592"/>
      <c r="W481" s="592"/>
      <c r="X481" s="592"/>
      <c r="Y481" s="592"/>
      <c r="Z481" s="592"/>
      <c r="AA481" s="592"/>
      <c r="AB481" s="592"/>
      <c r="AC481" s="592"/>
      <c r="AD481" s="592"/>
      <c r="AE481" s="592"/>
      <c r="AF481" s="592"/>
      <c r="AG481" s="592"/>
    </row>
    <row r="482">
      <c r="E482" s="592"/>
      <c r="F482" s="591"/>
      <c r="G482" s="591"/>
      <c r="H482" s="592"/>
      <c r="I482" s="592"/>
      <c r="J482" s="592"/>
      <c r="K482" s="592"/>
      <c r="L482" s="592"/>
      <c r="M482" s="592"/>
      <c r="N482" s="592"/>
      <c r="O482" s="592"/>
      <c r="P482" s="592"/>
      <c r="Q482" s="592"/>
      <c r="R482" s="592"/>
      <c r="S482" s="592"/>
      <c r="T482" s="592"/>
      <c r="U482" s="592"/>
      <c r="V482" s="592"/>
      <c r="W482" s="592"/>
      <c r="X482" s="592"/>
      <c r="Y482" s="592"/>
      <c r="Z482" s="592"/>
      <c r="AA482" s="592"/>
      <c r="AB482" s="592"/>
      <c r="AC482" s="592"/>
      <c r="AD482" s="592"/>
      <c r="AE482" s="592"/>
      <c r="AF482" s="592"/>
      <c r="AG482" s="592"/>
    </row>
    <row r="483">
      <c r="E483" s="592"/>
      <c r="F483" s="591"/>
      <c r="G483" s="591"/>
      <c r="H483" s="592"/>
      <c r="I483" s="592"/>
      <c r="J483" s="592"/>
      <c r="K483" s="592"/>
      <c r="L483" s="592"/>
      <c r="M483" s="592"/>
      <c r="N483" s="592"/>
      <c r="O483" s="592"/>
      <c r="P483" s="592"/>
      <c r="Q483" s="592"/>
      <c r="R483" s="592"/>
      <c r="S483" s="592"/>
      <c r="T483" s="592"/>
      <c r="U483" s="592"/>
      <c r="V483" s="592"/>
      <c r="W483" s="592"/>
      <c r="X483" s="592"/>
      <c r="Y483" s="592"/>
      <c r="Z483" s="592"/>
      <c r="AA483" s="592"/>
      <c r="AB483" s="592"/>
      <c r="AC483" s="592"/>
      <c r="AD483" s="592"/>
      <c r="AE483" s="592"/>
      <c r="AF483" s="592"/>
      <c r="AG483" s="592"/>
    </row>
    <row r="484">
      <c r="E484" s="592"/>
      <c r="F484" s="591"/>
      <c r="G484" s="591"/>
      <c r="H484" s="592"/>
      <c r="I484" s="592"/>
      <c r="J484" s="592"/>
      <c r="K484" s="592"/>
      <c r="L484" s="592"/>
      <c r="M484" s="592"/>
      <c r="N484" s="592"/>
      <c r="O484" s="592"/>
      <c r="P484" s="592"/>
      <c r="Q484" s="592"/>
      <c r="R484" s="592"/>
      <c r="S484" s="592"/>
      <c r="T484" s="592"/>
      <c r="U484" s="592"/>
      <c r="V484" s="592"/>
      <c r="W484" s="592"/>
      <c r="X484" s="592"/>
      <c r="Y484" s="592"/>
      <c r="Z484" s="592"/>
      <c r="AA484" s="592"/>
      <c r="AB484" s="592"/>
      <c r="AC484" s="592"/>
      <c r="AD484" s="592"/>
      <c r="AE484" s="592"/>
      <c r="AF484" s="592"/>
      <c r="AG484" s="592"/>
    </row>
    <row r="485">
      <c r="E485" s="592"/>
      <c r="F485" s="591"/>
      <c r="G485" s="591"/>
      <c r="H485" s="592"/>
      <c r="I485" s="592"/>
      <c r="J485" s="592"/>
      <c r="K485" s="592"/>
      <c r="L485" s="592"/>
      <c r="M485" s="592"/>
      <c r="N485" s="592"/>
      <c r="O485" s="592"/>
      <c r="P485" s="592"/>
      <c r="Q485" s="592"/>
      <c r="R485" s="592"/>
      <c r="S485" s="592"/>
      <c r="T485" s="592"/>
      <c r="U485" s="592"/>
      <c r="V485" s="592"/>
      <c r="W485" s="592"/>
      <c r="X485" s="592"/>
      <c r="Y485" s="592"/>
      <c r="Z485" s="592"/>
      <c r="AA485" s="592"/>
      <c r="AB485" s="592"/>
      <c r="AC485" s="592"/>
      <c r="AD485" s="592"/>
      <c r="AE485" s="592"/>
      <c r="AF485" s="592"/>
      <c r="AG485" s="592"/>
    </row>
    <row r="486">
      <c r="E486" s="592"/>
      <c r="F486" s="591"/>
      <c r="G486" s="591"/>
      <c r="H486" s="592"/>
      <c r="I486" s="592"/>
      <c r="J486" s="592"/>
      <c r="K486" s="592"/>
      <c r="L486" s="592"/>
      <c r="M486" s="592"/>
      <c r="N486" s="592"/>
      <c r="O486" s="592"/>
      <c r="P486" s="592"/>
      <c r="Q486" s="592"/>
      <c r="R486" s="592"/>
      <c r="S486" s="592"/>
      <c r="T486" s="592"/>
      <c r="U486" s="592"/>
      <c r="V486" s="592"/>
      <c r="W486" s="592"/>
      <c r="X486" s="592"/>
      <c r="Y486" s="592"/>
      <c r="Z486" s="592"/>
      <c r="AA486" s="592"/>
      <c r="AB486" s="592"/>
      <c r="AC486" s="592"/>
      <c r="AD486" s="592"/>
      <c r="AE486" s="592"/>
      <c r="AF486" s="592"/>
      <c r="AG486" s="592"/>
    </row>
    <row r="487">
      <c r="E487" s="592"/>
      <c r="F487" s="591"/>
      <c r="G487" s="591"/>
      <c r="H487" s="592"/>
      <c r="I487" s="592"/>
      <c r="J487" s="592"/>
      <c r="K487" s="592"/>
      <c r="L487" s="592"/>
      <c r="M487" s="592"/>
      <c r="N487" s="592"/>
      <c r="O487" s="592"/>
      <c r="P487" s="592"/>
      <c r="Q487" s="592"/>
      <c r="R487" s="592"/>
      <c r="S487" s="592"/>
      <c r="T487" s="592"/>
      <c r="U487" s="592"/>
      <c r="V487" s="592"/>
      <c r="W487" s="592"/>
      <c r="X487" s="592"/>
      <c r="Y487" s="592"/>
      <c r="Z487" s="592"/>
      <c r="AA487" s="592"/>
      <c r="AB487" s="592"/>
      <c r="AC487" s="592"/>
      <c r="AD487" s="592"/>
      <c r="AE487" s="592"/>
      <c r="AF487" s="592"/>
      <c r="AG487" s="592"/>
    </row>
    <row r="488">
      <c r="E488" s="592"/>
      <c r="F488" s="591"/>
      <c r="G488" s="591"/>
      <c r="H488" s="592"/>
      <c r="I488" s="592"/>
      <c r="J488" s="592"/>
      <c r="K488" s="592"/>
      <c r="L488" s="592"/>
      <c r="M488" s="592"/>
      <c r="N488" s="592"/>
      <c r="O488" s="592"/>
      <c r="P488" s="592"/>
      <c r="Q488" s="592"/>
      <c r="R488" s="592"/>
      <c r="S488" s="592"/>
      <c r="T488" s="592"/>
      <c r="U488" s="592"/>
      <c r="V488" s="592"/>
      <c r="W488" s="592"/>
      <c r="X488" s="592"/>
      <c r="Y488" s="592"/>
      <c r="Z488" s="592"/>
      <c r="AA488" s="592"/>
      <c r="AB488" s="592"/>
      <c r="AC488" s="592"/>
      <c r="AD488" s="592"/>
      <c r="AE488" s="592"/>
      <c r="AF488" s="592"/>
      <c r="AG488" s="592"/>
    </row>
    <row r="489">
      <c r="E489" s="592"/>
      <c r="F489" s="591"/>
      <c r="G489" s="591"/>
      <c r="H489" s="592"/>
      <c r="I489" s="592"/>
      <c r="J489" s="592"/>
      <c r="K489" s="592"/>
      <c r="L489" s="592"/>
      <c r="M489" s="592"/>
      <c r="N489" s="592"/>
      <c r="O489" s="592"/>
      <c r="P489" s="592"/>
      <c r="Q489" s="592"/>
      <c r="R489" s="592"/>
      <c r="S489" s="592"/>
      <c r="T489" s="592"/>
      <c r="U489" s="592"/>
      <c r="V489" s="592"/>
      <c r="W489" s="592"/>
      <c r="X489" s="592"/>
      <c r="Y489" s="592"/>
      <c r="Z489" s="592"/>
      <c r="AA489" s="592"/>
      <c r="AB489" s="592"/>
      <c r="AC489" s="592"/>
      <c r="AD489" s="592"/>
      <c r="AE489" s="592"/>
      <c r="AF489" s="592"/>
      <c r="AG489" s="592"/>
    </row>
    <row r="490">
      <c r="E490" s="592"/>
      <c r="F490" s="591"/>
      <c r="G490" s="591"/>
      <c r="H490" s="592"/>
      <c r="I490" s="592"/>
      <c r="J490" s="592"/>
      <c r="K490" s="592"/>
      <c r="L490" s="592"/>
      <c r="M490" s="592"/>
      <c r="N490" s="592"/>
      <c r="O490" s="592"/>
      <c r="P490" s="592"/>
      <c r="Q490" s="592"/>
      <c r="R490" s="592"/>
      <c r="S490" s="592"/>
      <c r="T490" s="592"/>
      <c r="U490" s="592"/>
      <c r="V490" s="592"/>
      <c r="W490" s="592"/>
      <c r="X490" s="592"/>
      <c r="Y490" s="592"/>
      <c r="Z490" s="592"/>
      <c r="AA490" s="592"/>
      <c r="AB490" s="592"/>
      <c r="AC490" s="592"/>
      <c r="AD490" s="592"/>
      <c r="AE490" s="592"/>
      <c r="AF490" s="592"/>
      <c r="AG490" s="592"/>
    </row>
    <row r="491">
      <c r="E491" s="592"/>
      <c r="F491" s="591"/>
      <c r="G491" s="591"/>
      <c r="H491" s="592"/>
      <c r="I491" s="592"/>
      <c r="J491" s="592"/>
      <c r="K491" s="592"/>
      <c r="L491" s="592"/>
      <c r="M491" s="592"/>
      <c r="N491" s="592"/>
      <c r="O491" s="592"/>
      <c r="P491" s="592"/>
      <c r="Q491" s="592"/>
      <c r="R491" s="592"/>
      <c r="S491" s="592"/>
      <c r="T491" s="592"/>
      <c r="U491" s="592"/>
      <c r="V491" s="592"/>
      <c r="W491" s="592"/>
      <c r="X491" s="592"/>
      <c r="Y491" s="592"/>
      <c r="Z491" s="592"/>
      <c r="AA491" s="592"/>
      <c r="AB491" s="592"/>
      <c r="AC491" s="592"/>
      <c r="AD491" s="592"/>
      <c r="AE491" s="592"/>
      <c r="AF491" s="592"/>
      <c r="AG491" s="592"/>
    </row>
    <row r="492">
      <c r="E492" s="592"/>
      <c r="F492" s="591"/>
      <c r="G492" s="591"/>
      <c r="H492" s="592"/>
      <c r="I492" s="592"/>
      <c r="J492" s="592"/>
      <c r="K492" s="592"/>
      <c r="L492" s="592"/>
      <c r="M492" s="592"/>
      <c r="N492" s="592"/>
      <c r="O492" s="592"/>
      <c r="P492" s="592"/>
      <c r="Q492" s="592"/>
      <c r="R492" s="592"/>
      <c r="S492" s="592"/>
      <c r="T492" s="592"/>
      <c r="U492" s="592"/>
      <c r="V492" s="592"/>
      <c r="W492" s="592"/>
      <c r="X492" s="592"/>
      <c r="Y492" s="592"/>
      <c r="Z492" s="592"/>
      <c r="AA492" s="592"/>
      <c r="AB492" s="592"/>
      <c r="AC492" s="592"/>
      <c r="AD492" s="592"/>
      <c r="AE492" s="592"/>
      <c r="AF492" s="592"/>
      <c r="AG492" s="592"/>
    </row>
    <row r="493">
      <c r="E493" s="592"/>
      <c r="F493" s="591"/>
      <c r="G493" s="591"/>
      <c r="H493" s="592"/>
      <c r="I493" s="592"/>
      <c r="J493" s="592"/>
      <c r="K493" s="592"/>
      <c r="L493" s="592"/>
      <c r="M493" s="592"/>
      <c r="N493" s="592"/>
      <c r="O493" s="592"/>
      <c r="P493" s="592"/>
      <c r="Q493" s="592"/>
      <c r="R493" s="592"/>
      <c r="S493" s="592"/>
      <c r="T493" s="592"/>
      <c r="U493" s="592"/>
      <c r="V493" s="592"/>
      <c r="W493" s="592"/>
      <c r="X493" s="592"/>
      <c r="Y493" s="592"/>
      <c r="Z493" s="592"/>
      <c r="AA493" s="592"/>
      <c r="AB493" s="592"/>
      <c r="AC493" s="592"/>
      <c r="AD493" s="592"/>
      <c r="AE493" s="592"/>
      <c r="AF493" s="592"/>
      <c r="AG493" s="592"/>
    </row>
    <row r="494">
      <c r="E494" s="592"/>
      <c r="F494" s="591"/>
      <c r="G494" s="591"/>
      <c r="H494" s="592"/>
      <c r="I494" s="592"/>
      <c r="J494" s="592"/>
      <c r="K494" s="592"/>
      <c r="L494" s="592"/>
      <c r="M494" s="592"/>
      <c r="N494" s="592"/>
      <c r="O494" s="592"/>
      <c r="P494" s="592"/>
      <c r="Q494" s="592"/>
      <c r="R494" s="592"/>
      <c r="S494" s="592"/>
      <c r="T494" s="592"/>
      <c r="U494" s="592"/>
      <c r="V494" s="592"/>
      <c r="W494" s="592"/>
      <c r="X494" s="592"/>
      <c r="Y494" s="592"/>
      <c r="Z494" s="592"/>
      <c r="AA494" s="592"/>
      <c r="AB494" s="592"/>
      <c r="AC494" s="592"/>
      <c r="AD494" s="592"/>
      <c r="AE494" s="592"/>
      <c r="AF494" s="592"/>
      <c r="AG494" s="592"/>
    </row>
    <row r="495">
      <c r="E495" s="592"/>
      <c r="F495" s="591"/>
      <c r="G495" s="591"/>
      <c r="H495" s="592"/>
      <c r="I495" s="592"/>
      <c r="J495" s="592"/>
      <c r="K495" s="592"/>
      <c r="L495" s="592"/>
      <c r="M495" s="592"/>
      <c r="N495" s="592"/>
      <c r="O495" s="592"/>
      <c r="P495" s="592"/>
      <c r="Q495" s="592"/>
      <c r="R495" s="592"/>
      <c r="S495" s="592"/>
      <c r="T495" s="592"/>
      <c r="U495" s="592"/>
      <c r="V495" s="592"/>
      <c r="W495" s="592"/>
      <c r="X495" s="592"/>
      <c r="Y495" s="592"/>
      <c r="Z495" s="592"/>
      <c r="AA495" s="592"/>
      <c r="AB495" s="592"/>
      <c r="AC495" s="592"/>
      <c r="AD495" s="592"/>
      <c r="AE495" s="592"/>
      <c r="AF495" s="592"/>
      <c r="AG495" s="592"/>
    </row>
    <row r="496">
      <c r="E496" s="592"/>
      <c r="F496" s="591"/>
      <c r="G496" s="591"/>
      <c r="H496" s="592"/>
      <c r="I496" s="592"/>
      <c r="J496" s="592"/>
      <c r="K496" s="592"/>
      <c r="L496" s="592"/>
      <c r="M496" s="592"/>
      <c r="N496" s="592"/>
      <c r="O496" s="592"/>
      <c r="P496" s="592"/>
      <c r="Q496" s="592"/>
      <c r="R496" s="592"/>
      <c r="S496" s="592"/>
      <c r="T496" s="592"/>
      <c r="U496" s="592"/>
      <c r="V496" s="592"/>
      <c r="W496" s="592"/>
      <c r="X496" s="592"/>
      <c r="Y496" s="592"/>
      <c r="Z496" s="592"/>
      <c r="AA496" s="592"/>
      <c r="AB496" s="592"/>
      <c r="AC496" s="592"/>
      <c r="AD496" s="592"/>
      <c r="AE496" s="592"/>
      <c r="AF496" s="592"/>
      <c r="AG496" s="592"/>
    </row>
    <row r="497">
      <c r="E497" s="592"/>
      <c r="F497" s="591"/>
      <c r="G497" s="591"/>
      <c r="H497" s="592"/>
      <c r="I497" s="592"/>
      <c r="J497" s="592"/>
      <c r="K497" s="592"/>
      <c r="L497" s="592"/>
      <c r="M497" s="592"/>
      <c r="N497" s="592"/>
      <c r="O497" s="592"/>
      <c r="P497" s="592"/>
      <c r="Q497" s="592"/>
      <c r="R497" s="592"/>
      <c r="S497" s="592"/>
      <c r="T497" s="592"/>
      <c r="U497" s="592"/>
      <c r="V497" s="592"/>
      <c r="W497" s="592"/>
      <c r="X497" s="592"/>
      <c r="Y497" s="592"/>
      <c r="Z497" s="592"/>
      <c r="AA497" s="592"/>
      <c r="AB497" s="592"/>
      <c r="AC497" s="592"/>
      <c r="AD497" s="592"/>
      <c r="AE497" s="592"/>
      <c r="AF497" s="592"/>
      <c r="AG497" s="592"/>
    </row>
    <row r="498">
      <c r="E498" s="592"/>
      <c r="F498" s="591"/>
      <c r="G498" s="591"/>
      <c r="H498" s="592"/>
      <c r="I498" s="592"/>
      <c r="J498" s="592"/>
      <c r="K498" s="592"/>
      <c r="L498" s="592"/>
      <c r="M498" s="592"/>
      <c r="N498" s="592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A498" s="592"/>
      <c r="AB498" s="592"/>
      <c r="AC498" s="592"/>
      <c r="AD498" s="592"/>
      <c r="AE498" s="592"/>
      <c r="AF498" s="592"/>
      <c r="AG498" s="592"/>
    </row>
    <row r="499">
      <c r="E499" s="592"/>
      <c r="F499" s="591"/>
      <c r="G499" s="591"/>
      <c r="H499" s="592"/>
      <c r="I499" s="592"/>
      <c r="J499" s="592"/>
      <c r="K499" s="592"/>
      <c r="L499" s="592"/>
      <c r="M499" s="592"/>
      <c r="N499" s="592"/>
      <c r="O499" s="592"/>
      <c r="P499" s="592"/>
      <c r="Q499" s="592"/>
      <c r="R499" s="592"/>
      <c r="S499" s="592"/>
      <c r="T499" s="592"/>
      <c r="U499" s="592"/>
      <c r="V499" s="592"/>
      <c r="W499" s="592"/>
      <c r="X499" s="592"/>
      <c r="Y499" s="592"/>
      <c r="Z499" s="592"/>
      <c r="AA499" s="592"/>
      <c r="AB499" s="592"/>
      <c r="AC499" s="592"/>
      <c r="AD499" s="592"/>
      <c r="AE499" s="592"/>
      <c r="AF499" s="592"/>
      <c r="AG499" s="592"/>
    </row>
    <row r="500">
      <c r="E500" s="592"/>
      <c r="F500" s="591"/>
      <c r="G500" s="591"/>
      <c r="H500" s="592"/>
      <c r="I500" s="592"/>
      <c r="J500" s="592"/>
      <c r="K500" s="592"/>
      <c r="L500" s="592"/>
      <c r="M500" s="592"/>
      <c r="N500" s="592"/>
      <c r="O500" s="592"/>
      <c r="P500" s="592"/>
      <c r="Q500" s="592"/>
      <c r="R500" s="592"/>
      <c r="S500" s="592"/>
      <c r="T500" s="592"/>
      <c r="U500" s="592"/>
      <c r="V500" s="592"/>
      <c r="W500" s="592"/>
      <c r="X500" s="592"/>
      <c r="Y500" s="592"/>
      <c r="Z500" s="592"/>
      <c r="AA500" s="592"/>
      <c r="AB500" s="592"/>
      <c r="AC500" s="592"/>
      <c r="AD500" s="592"/>
      <c r="AE500" s="592"/>
      <c r="AF500" s="592"/>
      <c r="AG500" s="592"/>
    </row>
    <row r="501">
      <c r="E501" s="592"/>
      <c r="F501" s="591"/>
      <c r="G501" s="591"/>
      <c r="H501" s="592"/>
      <c r="I501" s="592"/>
      <c r="J501" s="592"/>
      <c r="K501" s="592"/>
      <c r="L501" s="592"/>
      <c r="M501" s="592"/>
      <c r="N501" s="592"/>
      <c r="O501" s="592"/>
      <c r="P501" s="592"/>
      <c r="Q501" s="592"/>
      <c r="R501" s="592"/>
      <c r="S501" s="592"/>
      <c r="T501" s="592"/>
      <c r="U501" s="592"/>
      <c r="V501" s="592"/>
      <c r="W501" s="592"/>
      <c r="X501" s="592"/>
      <c r="Y501" s="592"/>
      <c r="Z501" s="592"/>
      <c r="AA501" s="592"/>
      <c r="AB501" s="592"/>
      <c r="AC501" s="592"/>
      <c r="AD501" s="592"/>
      <c r="AE501" s="592"/>
      <c r="AF501" s="592"/>
      <c r="AG501" s="592"/>
    </row>
    <row r="502">
      <c r="E502" s="592"/>
      <c r="F502" s="591"/>
      <c r="G502" s="591"/>
      <c r="H502" s="592"/>
      <c r="I502" s="592"/>
      <c r="J502" s="592"/>
      <c r="K502" s="592"/>
      <c r="L502" s="592"/>
      <c r="M502" s="592"/>
      <c r="N502" s="592"/>
      <c r="O502" s="592"/>
      <c r="P502" s="592"/>
      <c r="Q502" s="592"/>
      <c r="R502" s="592"/>
      <c r="S502" s="592"/>
      <c r="T502" s="592"/>
      <c r="U502" s="592"/>
      <c r="V502" s="592"/>
      <c r="W502" s="592"/>
      <c r="X502" s="592"/>
      <c r="Y502" s="592"/>
      <c r="Z502" s="592"/>
      <c r="AA502" s="592"/>
      <c r="AB502" s="592"/>
      <c r="AC502" s="592"/>
      <c r="AD502" s="592"/>
      <c r="AE502" s="592"/>
      <c r="AF502" s="592"/>
      <c r="AG502" s="592"/>
    </row>
    <row r="503">
      <c r="E503" s="592"/>
      <c r="F503" s="591"/>
      <c r="G503" s="591"/>
      <c r="H503" s="592"/>
      <c r="I503" s="592"/>
      <c r="J503" s="592"/>
      <c r="K503" s="592"/>
      <c r="L503" s="592"/>
      <c r="M503" s="592"/>
      <c r="N503" s="592"/>
      <c r="O503" s="592"/>
      <c r="P503" s="592"/>
      <c r="Q503" s="592"/>
      <c r="R503" s="592"/>
      <c r="S503" s="592"/>
      <c r="T503" s="592"/>
      <c r="U503" s="592"/>
      <c r="V503" s="592"/>
      <c r="W503" s="592"/>
      <c r="X503" s="592"/>
      <c r="Y503" s="592"/>
      <c r="Z503" s="592"/>
      <c r="AA503" s="592"/>
      <c r="AB503" s="592"/>
      <c r="AC503" s="592"/>
      <c r="AD503" s="592"/>
      <c r="AE503" s="592"/>
      <c r="AF503" s="592"/>
      <c r="AG503" s="592"/>
    </row>
    <row r="504">
      <c r="E504" s="592"/>
      <c r="F504" s="591"/>
      <c r="G504" s="591"/>
      <c r="H504" s="592"/>
      <c r="I504" s="592"/>
      <c r="J504" s="592"/>
      <c r="K504" s="592"/>
      <c r="L504" s="592"/>
      <c r="M504" s="592"/>
      <c r="N504" s="592"/>
      <c r="O504" s="592"/>
      <c r="P504" s="592"/>
      <c r="Q504" s="592"/>
      <c r="R504" s="592"/>
      <c r="S504" s="592"/>
      <c r="T504" s="592"/>
      <c r="U504" s="592"/>
      <c r="V504" s="592"/>
      <c r="W504" s="592"/>
      <c r="X504" s="592"/>
      <c r="Y504" s="592"/>
      <c r="Z504" s="592"/>
      <c r="AA504" s="592"/>
      <c r="AB504" s="592"/>
      <c r="AC504" s="592"/>
      <c r="AD504" s="592"/>
      <c r="AE504" s="592"/>
      <c r="AF504" s="592"/>
      <c r="AG504" s="592"/>
    </row>
    <row r="505">
      <c r="E505" s="592"/>
      <c r="F505" s="591"/>
      <c r="G505" s="591"/>
      <c r="H505" s="592"/>
      <c r="I505" s="592"/>
      <c r="J505" s="592"/>
      <c r="K505" s="592"/>
      <c r="L505" s="592"/>
      <c r="M505" s="592"/>
      <c r="N505" s="592"/>
      <c r="O505" s="592"/>
      <c r="P505" s="592"/>
      <c r="Q505" s="592"/>
      <c r="R505" s="592"/>
      <c r="S505" s="592"/>
      <c r="T505" s="592"/>
      <c r="U505" s="592"/>
      <c r="V505" s="592"/>
      <c r="W505" s="592"/>
      <c r="X505" s="592"/>
      <c r="Y505" s="592"/>
      <c r="Z505" s="592"/>
      <c r="AA505" s="592"/>
      <c r="AB505" s="592"/>
      <c r="AC505" s="592"/>
      <c r="AD505" s="592"/>
      <c r="AE505" s="592"/>
      <c r="AF505" s="592"/>
      <c r="AG505" s="592"/>
    </row>
    <row r="506">
      <c r="E506" s="592"/>
      <c r="F506" s="591"/>
      <c r="G506" s="591"/>
      <c r="H506" s="592"/>
      <c r="I506" s="592"/>
      <c r="J506" s="592"/>
      <c r="K506" s="592"/>
      <c r="L506" s="592"/>
      <c r="M506" s="592"/>
      <c r="N506" s="592"/>
      <c r="O506" s="592"/>
      <c r="P506" s="592"/>
      <c r="Q506" s="592"/>
      <c r="R506" s="592"/>
      <c r="S506" s="592"/>
      <c r="T506" s="592"/>
      <c r="U506" s="592"/>
      <c r="V506" s="592"/>
      <c r="W506" s="592"/>
      <c r="X506" s="592"/>
      <c r="Y506" s="592"/>
      <c r="Z506" s="592"/>
      <c r="AA506" s="592"/>
      <c r="AB506" s="592"/>
      <c r="AC506" s="592"/>
      <c r="AD506" s="592"/>
      <c r="AE506" s="592"/>
      <c r="AF506" s="592"/>
      <c r="AG506" s="592"/>
    </row>
    <row r="507">
      <c r="E507" s="592"/>
      <c r="F507" s="591"/>
      <c r="G507" s="591"/>
      <c r="H507" s="592"/>
      <c r="I507" s="592"/>
      <c r="J507" s="592"/>
      <c r="K507" s="592"/>
      <c r="L507" s="592"/>
      <c r="M507" s="592"/>
      <c r="N507" s="592"/>
      <c r="O507" s="592"/>
      <c r="P507" s="592"/>
      <c r="Q507" s="592"/>
      <c r="R507" s="592"/>
      <c r="S507" s="592"/>
      <c r="T507" s="592"/>
      <c r="U507" s="592"/>
      <c r="V507" s="592"/>
      <c r="W507" s="592"/>
      <c r="X507" s="592"/>
      <c r="Y507" s="592"/>
      <c r="Z507" s="592"/>
      <c r="AA507" s="592"/>
      <c r="AB507" s="592"/>
      <c r="AC507" s="592"/>
      <c r="AD507" s="592"/>
      <c r="AE507" s="592"/>
      <c r="AF507" s="592"/>
      <c r="AG507" s="592"/>
    </row>
    <row r="508">
      <c r="E508" s="592"/>
      <c r="F508" s="591"/>
      <c r="G508" s="591"/>
      <c r="H508" s="592"/>
      <c r="I508" s="592"/>
      <c r="J508" s="592"/>
      <c r="K508" s="592"/>
      <c r="L508" s="592"/>
      <c r="M508" s="592"/>
      <c r="N508" s="592"/>
      <c r="O508" s="592"/>
      <c r="P508" s="592"/>
      <c r="Q508" s="592"/>
      <c r="R508" s="592"/>
      <c r="S508" s="592"/>
      <c r="T508" s="592"/>
      <c r="U508" s="592"/>
      <c r="V508" s="592"/>
      <c r="W508" s="592"/>
      <c r="X508" s="592"/>
      <c r="Y508" s="592"/>
      <c r="Z508" s="592"/>
      <c r="AA508" s="592"/>
      <c r="AB508" s="592"/>
      <c r="AC508" s="592"/>
      <c r="AD508" s="592"/>
      <c r="AE508" s="592"/>
      <c r="AF508" s="592"/>
      <c r="AG508" s="592"/>
    </row>
    <row r="509">
      <c r="E509" s="592"/>
      <c r="F509" s="591"/>
      <c r="G509" s="591"/>
      <c r="H509" s="592"/>
      <c r="I509" s="592"/>
      <c r="J509" s="592"/>
      <c r="K509" s="592"/>
      <c r="L509" s="592"/>
      <c r="M509" s="592"/>
      <c r="N509" s="592"/>
      <c r="O509" s="592"/>
      <c r="P509" s="592"/>
      <c r="Q509" s="592"/>
      <c r="R509" s="592"/>
      <c r="S509" s="592"/>
      <c r="T509" s="592"/>
      <c r="U509" s="592"/>
      <c r="V509" s="592"/>
      <c r="W509" s="592"/>
      <c r="X509" s="592"/>
      <c r="Y509" s="592"/>
      <c r="Z509" s="592"/>
      <c r="AA509" s="592"/>
      <c r="AB509" s="592"/>
      <c r="AC509" s="592"/>
      <c r="AD509" s="592"/>
      <c r="AE509" s="592"/>
      <c r="AF509" s="592"/>
      <c r="AG509" s="592"/>
    </row>
    <row r="510">
      <c r="E510" s="592"/>
      <c r="F510" s="591"/>
      <c r="G510" s="591"/>
      <c r="H510" s="592"/>
      <c r="I510" s="592"/>
      <c r="J510" s="592"/>
      <c r="K510" s="592"/>
      <c r="L510" s="592"/>
      <c r="M510" s="592"/>
      <c r="N510" s="592"/>
      <c r="O510" s="592"/>
      <c r="P510" s="592"/>
      <c r="Q510" s="592"/>
      <c r="R510" s="592"/>
      <c r="S510" s="592"/>
      <c r="T510" s="592"/>
      <c r="U510" s="592"/>
      <c r="V510" s="592"/>
      <c r="W510" s="592"/>
      <c r="X510" s="592"/>
      <c r="Y510" s="592"/>
      <c r="Z510" s="592"/>
      <c r="AA510" s="592"/>
      <c r="AB510" s="592"/>
      <c r="AC510" s="592"/>
      <c r="AD510" s="592"/>
      <c r="AE510" s="592"/>
      <c r="AF510" s="592"/>
      <c r="AG510" s="592"/>
    </row>
    <row r="511">
      <c r="E511" s="592"/>
      <c r="F511" s="591"/>
      <c r="G511" s="591"/>
      <c r="H511" s="592"/>
      <c r="I511" s="592"/>
      <c r="J511" s="592"/>
      <c r="K511" s="592"/>
      <c r="L511" s="592"/>
      <c r="M511" s="592"/>
      <c r="N511" s="592"/>
      <c r="O511" s="592"/>
      <c r="P511" s="592"/>
      <c r="Q511" s="592"/>
      <c r="R511" s="592"/>
      <c r="S511" s="592"/>
      <c r="T511" s="592"/>
      <c r="U511" s="592"/>
      <c r="V511" s="592"/>
      <c r="W511" s="592"/>
      <c r="X511" s="592"/>
      <c r="Y511" s="592"/>
      <c r="Z511" s="592"/>
      <c r="AA511" s="592"/>
      <c r="AB511" s="592"/>
      <c r="AC511" s="592"/>
      <c r="AD511" s="592"/>
      <c r="AE511" s="592"/>
      <c r="AF511" s="592"/>
      <c r="AG511" s="592"/>
    </row>
    <row r="512">
      <c r="E512" s="592"/>
      <c r="F512" s="591"/>
      <c r="G512" s="591"/>
      <c r="H512" s="592"/>
      <c r="I512" s="592"/>
      <c r="J512" s="592"/>
      <c r="K512" s="592"/>
      <c r="L512" s="592"/>
      <c r="M512" s="592"/>
      <c r="N512" s="592"/>
      <c r="O512" s="592"/>
      <c r="P512" s="592"/>
      <c r="Q512" s="592"/>
      <c r="R512" s="592"/>
      <c r="S512" s="592"/>
      <c r="T512" s="592"/>
      <c r="U512" s="592"/>
      <c r="V512" s="592"/>
      <c r="W512" s="592"/>
      <c r="X512" s="592"/>
      <c r="Y512" s="592"/>
      <c r="Z512" s="592"/>
      <c r="AA512" s="592"/>
      <c r="AB512" s="592"/>
      <c r="AC512" s="592"/>
      <c r="AD512" s="592"/>
      <c r="AE512" s="592"/>
      <c r="AF512" s="592"/>
      <c r="AG512" s="592"/>
    </row>
    <row r="513">
      <c r="E513" s="592"/>
      <c r="F513" s="591"/>
      <c r="G513" s="591"/>
      <c r="H513" s="592"/>
      <c r="I513" s="592"/>
      <c r="J513" s="592"/>
      <c r="K513" s="592"/>
      <c r="L513" s="592"/>
      <c r="M513" s="592"/>
      <c r="N513" s="592"/>
      <c r="O513" s="592"/>
      <c r="P513" s="592"/>
      <c r="Q513" s="592"/>
      <c r="R513" s="592"/>
      <c r="S513" s="592"/>
      <c r="T513" s="592"/>
      <c r="U513" s="592"/>
      <c r="V513" s="592"/>
      <c r="W513" s="592"/>
      <c r="X513" s="592"/>
      <c r="Y513" s="592"/>
      <c r="Z513" s="592"/>
      <c r="AA513" s="592"/>
      <c r="AB513" s="592"/>
      <c r="AC513" s="592"/>
      <c r="AD513" s="592"/>
      <c r="AE513" s="592"/>
      <c r="AF513" s="592"/>
      <c r="AG513" s="592"/>
    </row>
    <row r="514">
      <c r="E514" s="592"/>
      <c r="F514" s="591"/>
      <c r="G514" s="591"/>
      <c r="H514" s="592"/>
      <c r="I514" s="592"/>
      <c r="J514" s="592"/>
      <c r="K514" s="592"/>
      <c r="L514" s="592"/>
      <c r="M514" s="592"/>
      <c r="N514" s="592"/>
      <c r="O514" s="592"/>
      <c r="P514" s="592"/>
      <c r="Q514" s="592"/>
      <c r="R514" s="592"/>
      <c r="S514" s="592"/>
      <c r="T514" s="592"/>
      <c r="U514" s="592"/>
      <c r="V514" s="592"/>
      <c r="W514" s="592"/>
      <c r="X514" s="592"/>
      <c r="Y514" s="592"/>
      <c r="Z514" s="592"/>
      <c r="AA514" s="592"/>
      <c r="AB514" s="592"/>
      <c r="AC514" s="592"/>
      <c r="AD514" s="592"/>
      <c r="AE514" s="592"/>
      <c r="AF514" s="592"/>
      <c r="AG514" s="592"/>
    </row>
    <row r="515">
      <c r="E515" s="592"/>
      <c r="F515" s="591"/>
      <c r="G515" s="591"/>
      <c r="H515" s="592"/>
      <c r="I515" s="592"/>
      <c r="J515" s="592"/>
      <c r="K515" s="592"/>
      <c r="L515" s="592"/>
      <c r="M515" s="592"/>
      <c r="N515" s="592"/>
      <c r="O515" s="592"/>
      <c r="P515" s="592"/>
      <c r="Q515" s="592"/>
      <c r="R515" s="592"/>
      <c r="S515" s="592"/>
      <c r="T515" s="592"/>
      <c r="U515" s="592"/>
      <c r="V515" s="592"/>
      <c r="W515" s="592"/>
      <c r="X515" s="592"/>
      <c r="Y515" s="592"/>
      <c r="Z515" s="592"/>
      <c r="AA515" s="592"/>
      <c r="AB515" s="592"/>
      <c r="AC515" s="592"/>
      <c r="AD515" s="592"/>
      <c r="AE515" s="592"/>
      <c r="AF515" s="592"/>
      <c r="AG515" s="592"/>
    </row>
    <row r="516">
      <c r="E516" s="592"/>
      <c r="F516" s="591"/>
      <c r="G516" s="591"/>
      <c r="H516" s="592"/>
      <c r="I516" s="592"/>
      <c r="J516" s="592"/>
      <c r="K516" s="592"/>
      <c r="L516" s="592"/>
      <c r="M516" s="592"/>
      <c r="N516" s="592"/>
      <c r="O516" s="592"/>
      <c r="P516" s="592"/>
      <c r="Q516" s="592"/>
      <c r="R516" s="592"/>
      <c r="S516" s="592"/>
      <c r="T516" s="592"/>
      <c r="U516" s="592"/>
      <c r="V516" s="592"/>
      <c r="W516" s="592"/>
      <c r="X516" s="592"/>
      <c r="Y516" s="592"/>
      <c r="Z516" s="592"/>
      <c r="AA516" s="592"/>
      <c r="AB516" s="592"/>
      <c r="AC516" s="592"/>
      <c r="AD516" s="592"/>
      <c r="AE516" s="592"/>
      <c r="AF516" s="592"/>
      <c r="AG516" s="592"/>
    </row>
    <row r="517">
      <c r="E517" s="592"/>
      <c r="F517" s="591"/>
      <c r="G517" s="591"/>
      <c r="H517" s="592"/>
      <c r="I517" s="592"/>
      <c r="J517" s="592"/>
      <c r="K517" s="592"/>
      <c r="L517" s="592"/>
      <c r="M517" s="592"/>
      <c r="N517" s="592"/>
      <c r="O517" s="592"/>
      <c r="P517" s="592"/>
      <c r="Q517" s="592"/>
      <c r="R517" s="592"/>
      <c r="S517" s="592"/>
      <c r="T517" s="592"/>
      <c r="U517" s="592"/>
      <c r="V517" s="592"/>
      <c r="W517" s="592"/>
      <c r="X517" s="592"/>
      <c r="Y517" s="592"/>
      <c r="Z517" s="592"/>
      <c r="AA517" s="592"/>
      <c r="AB517" s="592"/>
      <c r="AC517" s="592"/>
      <c r="AD517" s="592"/>
      <c r="AE517" s="592"/>
      <c r="AF517" s="592"/>
      <c r="AG517" s="592"/>
    </row>
    <row r="518">
      <c r="E518" s="592"/>
      <c r="F518" s="591"/>
      <c r="G518" s="591"/>
      <c r="H518" s="592"/>
      <c r="I518" s="592"/>
      <c r="J518" s="592"/>
      <c r="K518" s="592"/>
      <c r="L518" s="592"/>
      <c r="M518" s="592"/>
      <c r="N518" s="592"/>
      <c r="O518" s="592"/>
      <c r="P518" s="592"/>
      <c r="Q518" s="592"/>
      <c r="R518" s="592"/>
      <c r="S518" s="592"/>
      <c r="T518" s="592"/>
      <c r="U518" s="592"/>
      <c r="V518" s="592"/>
      <c r="W518" s="592"/>
      <c r="X518" s="592"/>
      <c r="Y518" s="592"/>
      <c r="Z518" s="592"/>
      <c r="AA518" s="592"/>
      <c r="AB518" s="592"/>
      <c r="AC518" s="592"/>
      <c r="AD518" s="592"/>
      <c r="AE518" s="592"/>
      <c r="AF518" s="592"/>
      <c r="AG518" s="592"/>
    </row>
    <row r="519">
      <c r="E519" s="592"/>
      <c r="F519" s="591"/>
      <c r="G519" s="591"/>
      <c r="H519" s="592"/>
      <c r="I519" s="592"/>
      <c r="J519" s="592"/>
      <c r="K519" s="592"/>
      <c r="L519" s="592"/>
      <c r="M519" s="592"/>
      <c r="N519" s="592"/>
      <c r="O519" s="592"/>
      <c r="P519" s="592"/>
      <c r="Q519" s="592"/>
      <c r="R519" s="592"/>
      <c r="S519" s="592"/>
      <c r="T519" s="592"/>
      <c r="U519" s="592"/>
      <c r="V519" s="592"/>
      <c r="W519" s="592"/>
      <c r="X519" s="592"/>
      <c r="Y519" s="592"/>
      <c r="Z519" s="592"/>
      <c r="AA519" s="592"/>
      <c r="AB519" s="592"/>
      <c r="AC519" s="592"/>
      <c r="AD519" s="592"/>
      <c r="AE519" s="592"/>
      <c r="AF519" s="592"/>
      <c r="AG519" s="592"/>
    </row>
    <row r="520">
      <c r="E520" s="592"/>
      <c r="F520" s="591"/>
      <c r="G520" s="591"/>
      <c r="H520" s="592"/>
      <c r="I520" s="592"/>
      <c r="J520" s="592"/>
      <c r="K520" s="592"/>
      <c r="L520" s="592"/>
      <c r="M520" s="592"/>
      <c r="N520" s="592"/>
      <c r="O520" s="592"/>
      <c r="P520" s="592"/>
      <c r="Q520" s="592"/>
      <c r="R520" s="592"/>
      <c r="S520" s="592"/>
      <c r="T520" s="592"/>
      <c r="U520" s="592"/>
      <c r="V520" s="592"/>
      <c r="W520" s="592"/>
      <c r="X520" s="592"/>
      <c r="Y520" s="592"/>
      <c r="Z520" s="592"/>
      <c r="AA520" s="592"/>
      <c r="AB520" s="592"/>
      <c r="AC520" s="592"/>
      <c r="AD520" s="592"/>
      <c r="AE520" s="592"/>
      <c r="AF520" s="592"/>
      <c r="AG520" s="592"/>
    </row>
    <row r="521">
      <c r="E521" s="592"/>
      <c r="F521" s="591"/>
      <c r="G521" s="591"/>
      <c r="H521" s="592"/>
      <c r="I521" s="592"/>
      <c r="J521" s="592"/>
      <c r="K521" s="592"/>
      <c r="L521" s="592"/>
      <c r="M521" s="592"/>
      <c r="N521" s="592"/>
      <c r="O521" s="592"/>
      <c r="P521" s="592"/>
      <c r="Q521" s="592"/>
      <c r="R521" s="592"/>
      <c r="S521" s="592"/>
      <c r="T521" s="592"/>
      <c r="U521" s="592"/>
      <c r="V521" s="592"/>
      <c r="W521" s="592"/>
      <c r="X521" s="592"/>
      <c r="Y521" s="592"/>
      <c r="Z521" s="592"/>
      <c r="AA521" s="592"/>
      <c r="AB521" s="592"/>
      <c r="AC521" s="592"/>
      <c r="AD521" s="592"/>
      <c r="AE521" s="592"/>
      <c r="AF521" s="592"/>
      <c r="AG521" s="592"/>
    </row>
    <row r="522">
      <c r="E522" s="592"/>
      <c r="F522" s="591"/>
      <c r="G522" s="591"/>
      <c r="H522" s="592"/>
      <c r="I522" s="592"/>
      <c r="J522" s="592"/>
      <c r="K522" s="592"/>
      <c r="L522" s="592"/>
      <c r="M522" s="592"/>
      <c r="N522" s="592"/>
      <c r="O522" s="592"/>
      <c r="P522" s="592"/>
      <c r="Q522" s="592"/>
      <c r="R522" s="592"/>
      <c r="S522" s="592"/>
      <c r="T522" s="592"/>
      <c r="U522" s="592"/>
      <c r="V522" s="592"/>
      <c r="W522" s="592"/>
      <c r="X522" s="592"/>
      <c r="Y522" s="592"/>
      <c r="Z522" s="592"/>
      <c r="AA522" s="592"/>
      <c r="AB522" s="592"/>
      <c r="AC522" s="592"/>
      <c r="AD522" s="592"/>
      <c r="AE522" s="592"/>
      <c r="AF522" s="592"/>
      <c r="AG522" s="592"/>
    </row>
    <row r="523">
      <c r="E523" s="592"/>
      <c r="F523" s="591"/>
      <c r="G523" s="591"/>
      <c r="H523" s="592"/>
      <c r="I523" s="592"/>
      <c r="J523" s="592"/>
      <c r="K523" s="592"/>
      <c r="L523" s="592"/>
      <c r="M523" s="592"/>
      <c r="N523" s="592"/>
      <c r="O523" s="592"/>
      <c r="P523" s="592"/>
      <c r="Q523" s="592"/>
      <c r="R523" s="592"/>
      <c r="S523" s="592"/>
      <c r="T523" s="592"/>
      <c r="U523" s="592"/>
      <c r="V523" s="592"/>
      <c r="W523" s="592"/>
      <c r="X523" s="592"/>
      <c r="Y523" s="592"/>
      <c r="Z523" s="592"/>
      <c r="AA523" s="592"/>
      <c r="AB523" s="592"/>
      <c r="AC523" s="592"/>
      <c r="AD523" s="592"/>
      <c r="AE523" s="592"/>
      <c r="AF523" s="592"/>
      <c r="AG523" s="592"/>
    </row>
    <row r="524">
      <c r="E524" s="592"/>
      <c r="F524" s="591"/>
      <c r="G524" s="591"/>
      <c r="H524" s="592"/>
      <c r="I524" s="592"/>
      <c r="J524" s="592"/>
      <c r="K524" s="592"/>
      <c r="L524" s="592"/>
      <c r="M524" s="592"/>
      <c r="N524" s="592"/>
      <c r="O524" s="592"/>
      <c r="P524" s="592"/>
      <c r="Q524" s="592"/>
      <c r="R524" s="592"/>
      <c r="S524" s="592"/>
      <c r="T524" s="592"/>
      <c r="U524" s="592"/>
      <c r="V524" s="592"/>
      <c r="W524" s="592"/>
      <c r="X524" s="592"/>
      <c r="Y524" s="592"/>
      <c r="Z524" s="592"/>
      <c r="AA524" s="592"/>
      <c r="AB524" s="592"/>
      <c r="AC524" s="592"/>
      <c r="AD524" s="592"/>
      <c r="AE524" s="592"/>
      <c r="AF524" s="592"/>
      <c r="AG524" s="592"/>
    </row>
    <row r="525">
      <c r="E525" s="592"/>
      <c r="F525" s="591"/>
      <c r="G525" s="591"/>
      <c r="H525" s="592"/>
      <c r="I525" s="592"/>
      <c r="J525" s="592"/>
      <c r="K525" s="592"/>
      <c r="L525" s="592"/>
      <c r="M525" s="592"/>
      <c r="N525" s="592"/>
      <c r="O525" s="592"/>
      <c r="P525" s="592"/>
      <c r="Q525" s="592"/>
      <c r="R525" s="592"/>
      <c r="S525" s="592"/>
      <c r="T525" s="592"/>
      <c r="U525" s="592"/>
      <c r="V525" s="592"/>
      <c r="W525" s="592"/>
      <c r="X525" s="592"/>
      <c r="Y525" s="592"/>
      <c r="Z525" s="592"/>
      <c r="AA525" s="592"/>
      <c r="AB525" s="592"/>
      <c r="AC525" s="592"/>
      <c r="AD525" s="592"/>
      <c r="AE525" s="592"/>
      <c r="AF525" s="592"/>
      <c r="AG525" s="592"/>
    </row>
    <row r="526">
      <c r="E526" s="592"/>
      <c r="F526" s="591"/>
      <c r="G526" s="591"/>
      <c r="H526" s="592"/>
      <c r="I526" s="592"/>
      <c r="J526" s="592"/>
      <c r="K526" s="592"/>
      <c r="L526" s="592"/>
      <c r="M526" s="592"/>
      <c r="N526" s="592"/>
      <c r="O526" s="592"/>
      <c r="P526" s="592"/>
      <c r="Q526" s="592"/>
      <c r="R526" s="592"/>
      <c r="S526" s="592"/>
      <c r="T526" s="592"/>
      <c r="U526" s="592"/>
      <c r="V526" s="592"/>
      <c r="W526" s="592"/>
      <c r="X526" s="592"/>
      <c r="Y526" s="592"/>
      <c r="Z526" s="592"/>
      <c r="AA526" s="592"/>
      <c r="AB526" s="592"/>
      <c r="AC526" s="592"/>
      <c r="AD526" s="592"/>
      <c r="AE526" s="592"/>
      <c r="AF526" s="592"/>
      <c r="AG526" s="592"/>
    </row>
    <row r="527">
      <c r="E527" s="592"/>
      <c r="F527" s="591"/>
      <c r="G527" s="591"/>
      <c r="H527" s="592"/>
      <c r="I527" s="592"/>
      <c r="J527" s="592"/>
      <c r="K527" s="592"/>
      <c r="L527" s="592"/>
      <c r="M527" s="592"/>
      <c r="N527" s="592"/>
      <c r="O527" s="592"/>
      <c r="P527" s="592"/>
      <c r="Q527" s="592"/>
      <c r="R527" s="592"/>
      <c r="S527" s="592"/>
      <c r="T527" s="592"/>
      <c r="U527" s="592"/>
      <c r="V527" s="592"/>
      <c r="W527" s="592"/>
      <c r="X527" s="592"/>
      <c r="Y527" s="592"/>
      <c r="Z527" s="592"/>
      <c r="AA527" s="592"/>
      <c r="AB527" s="592"/>
      <c r="AC527" s="592"/>
      <c r="AD527" s="592"/>
      <c r="AE527" s="592"/>
      <c r="AF527" s="592"/>
      <c r="AG527" s="592"/>
    </row>
    <row r="528">
      <c r="E528" s="592"/>
      <c r="F528" s="591"/>
      <c r="G528" s="591"/>
      <c r="H528" s="592"/>
      <c r="I528" s="592"/>
      <c r="J528" s="592"/>
      <c r="K528" s="592"/>
      <c r="L528" s="592"/>
      <c r="M528" s="592"/>
      <c r="N528" s="592"/>
      <c r="O528" s="592"/>
      <c r="P528" s="592"/>
      <c r="Q528" s="592"/>
      <c r="R528" s="592"/>
      <c r="S528" s="592"/>
      <c r="T528" s="592"/>
      <c r="U528" s="592"/>
      <c r="V528" s="592"/>
      <c r="W528" s="592"/>
      <c r="X528" s="592"/>
      <c r="Y528" s="592"/>
      <c r="Z528" s="592"/>
      <c r="AA528" s="592"/>
      <c r="AB528" s="592"/>
      <c r="AC528" s="592"/>
      <c r="AD528" s="592"/>
      <c r="AE528" s="592"/>
      <c r="AF528" s="592"/>
      <c r="AG528" s="592"/>
    </row>
    <row r="529">
      <c r="E529" s="592"/>
      <c r="F529" s="591"/>
      <c r="G529" s="591"/>
      <c r="H529" s="592"/>
      <c r="I529" s="592"/>
      <c r="J529" s="592"/>
      <c r="K529" s="592"/>
      <c r="L529" s="592"/>
      <c r="M529" s="592"/>
      <c r="N529" s="592"/>
      <c r="O529" s="592"/>
      <c r="P529" s="592"/>
      <c r="Q529" s="592"/>
      <c r="R529" s="592"/>
      <c r="S529" s="592"/>
      <c r="T529" s="592"/>
      <c r="U529" s="592"/>
      <c r="V529" s="592"/>
      <c r="W529" s="592"/>
      <c r="X529" s="592"/>
      <c r="Y529" s="592"/>
      <c r="Z529" s="592"/>
      <c r="AA529" s="592"/>
      <c r="AB529" s="592"/>
      <c r="AC529" s="592"/>
      <c r="AD529" s="592"/>
      <c r="AE529" s="592"/>
      <c r="AF529" s="592"/>
      <c r="AG529" s="592"/>
    </row>
    <row r="530">
      <c r="E530" s="592"/>
      <c r="F530" s="591"/>
      <c r="G530" s="591"/>
      <c r="H530" s="592"/>
      <c r="I530" s="592"/>
      <c r="J530" s="592"/>
      <c r="K530" s="592"/>
      <c r="L530" s="592"/>
      <c r="M530" s="592"/>
      <c r="N530" s="592"/>
      <c r="O530" s="592"/>
      <c r="P530" s="592"/>
      <c r="Q530" s="592"/>
      <c r="R530" s="592"/>
      <c r="S530" s="592"/>
      <c r="T530" s="592"/>
      <c r="U530" s="592"/>
      <c r="V530" s="592"/>
      <c r="W530" s="592"/>
      <c r="X530" s="592"/>
      <c r="Y530" s="592"/>
      <c r="Z530" s="592"/>
      <c r="AA530" s="592"/>
      <c r="AB530" s="592"/>
      <c r="AC530" s="592"/>
      <c r="AD530" s="592"/>
      <c r="AE530" s="592"/>
      <c r="AF530" s="592"/>
      <c r="AG530" s="592"/>
    </row>
    <row r="531">
      <c r="E531" s="592"/>
      <c r="F531" s="591"/>
      <c r="G531" s="591"/>
      <c r="H531" s="592"/>
      <c r="I531" s="592"/>
      <c r="J531" s="592"/>
      <c r="K531" s="592"/>
      <c r="L531" s="592"/>
      <c r="M531" s="592"/>
      <c r="N531" s="592"/>
      <c r="O531" s="592"/>
      <c r="P531" s="592"/>
      <c r="Q531" s="592"/>
      <c r="R531" s="592"/>
      <c r="S531" s="592"/>
      <c r="T531" s="592"/>
      <c r="U531" s="592"/>
      <c r="V531" s="592"/>
      <c r="W531" s="592"/>
      <c r="X531" s="592"/>
      <c r="Y531" s="592"/>
      <c r="Z531" s="592"/>
      <c r="AA531" s="592"/>
      <c r="AB531" s="592"/>
      <c r="AC531" s="592"/>
      <c r="AD531" s="592"/>
      <c r="AE531" s="592"/>
      <c r="AF531" s="592"/>
      <c r="AG531" s="592"/>
    </row>
    <row r="532">
      <c r="E532" s="592"/>
      <c r="F532" s="591"/>
      <c r="G532" s="591"/>
      <c r="H532" s="592"/>
      <c r="I532" s="592"/>
      <c r="J532" s="592"/>
      <c r="K532" s="592"/>
      <c r="L532" s="592"/>
      <c r="M532" s="592"/>
      <c r="N532" s="592"/>
      <c r="O532" s="592"/>
      <c r="P532" s="592"/>
      <c r="Q532" s="592"/>
      <c r="R532" s="592"/>
      <c r="S532" s="592"/>
      <c r="T532" s="592"/>
      <c r="U532" s="592"/>
      <c r="V532" s="592"/>
      <c r="W532" s="592"/>
      <c r="X532" s="592"/>
      <c r="Y532" s="592"/>
      <c r="Z532" s="592"/>
      <c r="AA532" s="592"/>
      <c r="AB532" s="592"/>
      <c r="AC532" s="592"/>
      <c r="AD532" s="592"/>
      <c r="AE532" s="592"/>
      <c r="AF532" s="592"/>
      <c r="AG532" s="592"/>
    </row>
    <row r="533">
      <c r="E533" s="592"/>
      <c r="F533" s="591"/>
      <c r="G533" s="591"/>
      <c r="H533" s="592"/>
      <c r="I533" s="592"/>
      <c r="J533" s="592"/>
      <c r="K533" s="592"/>
      <c r="L533" s="592"/>
      <c r="M533" s="592"/>
      <c r="N533" s="592"/>
      <c r="O533" s="592"/>
      <c r="P533" s="592"/>
      <c r="Q533" s="592"/>
      <c r="R533" s="592"/>
      <c r="S533" s="592"/>
      <c r="T533" s="592"/>
      <c r="U533" s="592"/>
      <c r="V533" s="592"/>
      <c r="W533" s="592"/>
      <c r="X533" s="592"/>
      <c r="Y533" s="592"/>
      <c r="Z533" s="592"/>
      <c r="AA533" s="592"/>
      <c r="AB533" s="592"/>
      <c r="AC533" s="592"/>
      <c r="AD533" s="592"/>
      <c r="AE533" s="592"/>
      <c r="AF533" s="592"/>
      <c r="AG533" s="592"/>
    </row>
    <row r="534">
      <c r="E534" s="592"/>
      <c r="F534" s="591"/>
      <c r="G534" s="591"/>
      <c r="H534" s="592"/>
      <c r="I534" s="592"/>
      <c r="J534" s="592"/>
      <c r="K534" s="592"/>
      <c r="L534" s="592"/>
      <c r="M534" s="592"/>
      <c r="N534" s="592"/>
      <c r="O534" s="592"/>
      <c r="P534" s="592"/>
      <c r="Q534" s="592"/>
      <c r="R534" s="592"/>
      <c r="S534" s="592"/>
      <c r="T534" s="592"/>
      <c r="U534" s="592"/>
      <c r="V534" s="592"/>
      <c r="W534" s="592"/>
      <c r="X534" s="592"/>
      <c r="Y534" s="592"/>
      <c r="Z534" s="592"/>
      <c r="AA534" s="592"/>
      <c r="AB534" s="592"/>
      <c r="AC534" s="592"/>
      <c r="AD534" s="592"/>
      <c r="AE534" s="592"/>
      <c r="AF534" s="592"/>
      <c r="AG534" s="592"/>
    </row>
    <row r="535">
      <c r="E535" s="592"/>
      <c r="F535" s="591"/>
      <c r="G535" s="591"/>
      <c r="H535" s="592"/>
      <c r="I535" s="592"/>
      <c r="J535" s="592"/>
      <c r="K535" s="592"/>
      <c r="L535" s="592"/>
      <c r="M535" s="592"/>
      <c r="N535" s="592"/>
      <c r="O535" s="592"/>
      <c r="P535" s="592"/>
      <c r="Q535" s="592"/>
      <c r="R535" s="592"/>
      <c r="S535" s="592"/>
      <c r="T535" s="592"/>
      <c r="U535" s="592"/>
      <c r="V535" s="592"/>
      <c r="W535" s="592"/>
      <c r="X535" s="592"/>
      <c r="Y535" s="592"/>
      <c r="Z535" s="592"/>
      <c r="AA535" s="592"/>
      <c r="AB535" s="592"/>
      <c r="AC535" s="592"/>
      <c r="AD535" s="592"/>
      <c r="AE535" s="592"/>
      <c r="AF535" s="592"/>
      <c r="AG535" s="592"/>
    </row>
    <row r="536">
      <c r="E536" s="592"/>
      <c r="F536" s="591"/>
      <c r="G536" s="591"/>
      <c r="H536" s="592"/>
      <c r="I536" s="592"/>
      <c r="J536" s="592"/>
      <c r="K536" s="592"/>
      <c r="L536" s="592"/>
      <c r="M536" s="592"/>
      <c r="N536" s="592"/>
      <c r="O536" s="592"/>
      <c r="P536" s="592"/>
      <c r="Q536" s="592"/>
      <c r="R536" s="592"/>
      <c r="S536" s="592"/>
      <c r="T536" s="592"/>
      <c r="U536" s="592"/>
      <c r="V536" s="592"/>
      <c r="W536" s="592"/>
      <c r="X536" s="592"/>
      <c r="Y536" s="592"/>
      <c r="Z536" s="592"/>
      <c r="AA536" s="592"/>
      <c r="AB536" s="592"/>
      <c r="AC536" s="592"/>
      <c r="AD536" s="592"/>
      <c r="AE536" s="592"/>
      <c r="AF536" s="592"/>
      <c r="AG536" s="592"/>
    </row>
    <row r="537">
      <c r="E537" s="592"/>
      <c r="F537" s="591"/>
      <c r="G537" s="591"/>
      <c r="H537" s="592"/>
      <c r="I537" s="592"/>
      <c r="J537" s="592"/>
      <c r="K537" s="592"/>
      <c r="L537" s="592"/>
      <c r="M537" s="592"/>
      <c r="N537" s="592"/>
      <c r="O537" s="592"/>
      <c r="P537" s="592"/>
      <c r="Q537" s="592"/>
      <c r="R537" s="592"/>
      <c r="S537" s="592"/>
      <c r="T537" s="592"/>
      <c r="U537" s="592"/>
      <c r="V537" s="592"/>
      <c r="W537" s="592"/>
      <c r="X537" s="592"/>
      <c r="Y537" s="592"/>
      <c r="Z537" s="592"/>
      <c r="AA537" s="592"/>
      <c r="AB537" s="592"/>
      <c r="AC537" s="592"/>
      <c r="AD537" s="592"/>
      <c r="AE537" s="592"/>
      <c r="AF537" s="592"/>
      <c r="AG537" s="592"/>
    </row>
    <row r="538">
      <c r="E538" s="592"/>
      <c r="F538" s="591"/>
      <c r="G538" s="591"/>
      <c r="H538" s="592"/>
      <c r="I538" s="592"/>
      <c r="J538" s="592"/>
      <c r="K538" s="592"/>
      <c r="L538" s="592"/>
      <c r="M538" s="592"/>
      <c r="N538" s="592"/>
      <c r="O538" s="592"/>
      <c r="P538" s="592"/>
      <c r="Q538" s="592"/>
      <c r="R538" s="592"/>
      <c r="S538" s="592"/>
      <c r="T538" s="592"/>
      <c r="U538" s="592"/>
      <c r="V538" s="592"/>
      <c r="W538" s="592"/>
      <c r="X538" s="592"/>
      <c r="Y538" s="592"/>
      <c r="Z538" s="592"/>
      <c r="AA538" s="592"/>
      <c r="AB538" s="592"/>
      <c r="AC538" s="592"/>
      <c r="AD538" s="592"/>
      <c r="AE538" s="592"/>
      <c r="AF538" s="592"/>
      <c r="AG538" s="592"/>
    </row>
    <row r="539">
      <c r="E539" s="592"/>
      <c r="F539" s="591"/>
      <c r="G539" s="591"/>
      <c r="H539" s="592"/>
      <c r="I539" s="592"/>
      <c r="J539" s="592"/>
      <c r="K539" s="592"/>
      <c r="L539" s="592"/>
      <c r="M539" s="592"/>
      <c r="N539" s="592"/>
      <c r="O539" s="592"/>
      <c r="P539" s="592"/>
      <c r="Q539" s="592"/>
      <c r="R539" s="592"/>
      <c r="S539" s="592"/>
      <c r="T539" s="592"/>
      <c r="U539" s="592"/>
      <c r="V539" s="592"/>
      <c r="W539" s="592"/>
      <c r="X539" s="592"/>
      <c r="Y539" s="592"/>
      <c r="Z539" s="592"/>
      <c r="AA539" s="592"/>
      <c r="AB539" s="592"/>
      <c r="AC539" s="592"/>
      <c r="AD539" s="592"/>
      <c r="AE539" s="592"/>
      <c r="AF539" s="592"/>
      <c r="AG539" s="592"/>
    </row>
    <row r="540">
      <c r="E540" s="592"/>
      <c r="F540" s="591"/>
      <c r="G540" s="591"/>
      <c r="H540" s="592"/>
      <c r="I540" s="592"/>
      <c r="J540" s="592"/>
      <c r="K540" s="592"/>
      <c r="L540" s="592"/>
      <c r="M540" s="592"/>
      <c r="N540" s="592"/>
      <c r="O540" s="592"/>
      <c r="P540" s="592"/>
      <c r="Q540" s="592"/>
      <c r="R540" s="592"/>
      <c r="S540" s="592"/>
      <c r="T540" s="592"/>
      <c r="U540" s="592"/>
      <c r="V540" s="592"/>
      <c r="W540" s="592"/>
      <c r="X540" s="592"/>
      <c r="Y540" s="592"/>
      <c r="Z540" s="592"/>
      <c r="AA540" s="592"/>
      <c r="AB540" s="592"/>
      <c r="AC540" s="592"/>
      <c r="AD540" s="592"/>
      <c r="AE540" s="592"/>
      <c r="AF540" s="592"/>
      <c r="AG540" s="592"/>
    </row>
    <row r="541">
      <c r="E541" s="592"/>
      <c r="F541" s="591"/>
      <c r="G541" s="591"/>
      <c r="H541" s="592"/>
      <c r="I541" s="592"/>
      <c r="J541" s="592"/>
      <c r="K541" s="592"/>
      <c r="L541" s="592"/>
      <c r="M541" s="592"/>
      <c r="N541" s="592"/>
      <c r="O541" s="592"/>
      <c r="P541" s="592"/>
      <c r="Q541" s="592"/>
      <c r="R541" s="592"/>
      <c r="S541" s="592"/>
      <c r="T541" s="592"/>
      <c r="U541" s="592"/>
      <c r="V541" s="592"/>
      <c r="W541" s="592"/>
      <c r="X541" s="592"/>
      <c r="Y541" s="592"/>
      <c r="Z541" s="592"/>
      <c r="AA541" s="592"/>
      <c r="AB541" s="592"/>
      <c r="AC541" s="592"/>
      <c r="AD541" s="592"/>
      <c r="AE541" s="592"/>
      <c r="AF541" s="592"/>
      <c r="AG541" s="592"/>
    </row>
    <row r="542">
      <c r="E542" s="592"/>
      <c r="F542" s="591"/>
      <c r="G542" s="591"/>
      <c r="H542" s="592"/>
      <c r="I542" s="592"/>
      <c r="J542" s="592"/>
      <c r="K542" s="592"/>
      <c r="L542" s="592"/>
      <c r="M542" s="592"/>
      <c r="N542" s="592"/>
      <c r="O542" s="592"/>
      <c r="P542" s="592"/>
      <c r="Q542" s="592"/>
      <c r="R542" s="592"/>
      <c r="S542" s="592"/>
      <c r="T542" s="592"/>
      <c r="U542" s="592"/>
      <c r="V542" s="592"/>
      <c r="W542" s="592"/>
      <c r="X542" s="592"/>
      <c r="Y542" s="592"/>
      <c r="Z542" s="592"/>
      <c r="AA542" s="592"/>
      <c r="AB542" s="592"/>
      <c r="AC542" s="592"/>
      <c r="AD542" s="592"/>
      <c r="AE542" s="592"/>
      <c r="AF542" s="592"/>
      <c r="AG542" s="592"/>
    </row>
    <row r="543">
      <c r="E543" s="592"/>
      <c r="F543" s="591"/>
      <c r="G543" s="591"/>
      <c r="H543" s="592"/>
      <c r="I543" s="592"/>
      <c r="J543" s="592"/>
      <c r="K543" s="592"/>
      <c r="L543" s="592"/>
      <c r="M543" s="592"/>
      <c r="N543" s="592"/>
      <c r="O543" s="592"/>
      <c r="P543" s="592"/>
      <c r="Q543" s="592"/>
      <c r="R543" s="592"/>
      <c r="S543" s="592"/>
      <c r="T543" s="592"/>
      <c r="U543" s="592"/>
      <c r="V543" s="592"/>
      <c r="W543" s="592"/>
      <c r="X543" s="592"/>
      <c r="Y543" s="592"/>
      <c r="Z543" s="592"/>
      <c r="AA543" s="592"/>
      <c r="AB543" s="592"/>
      <c r="AC543" s="592"/>
      <c r="AD543" s="592"/>
      <c r="AE543" s="592"/>
      <c r="AF543" s="592"/>
      <c r="AG543" s="592"/>
    </row>
    <row r="544">
      <c r="E544" s="592"/>
      <c r="F544" s="591"/>
      <c r="G544" s="591"/>
      <c r="H544" s="592"/>
      <c r="I544" s="592"/>
      <c r="J544" s="592"/>
      <c r="K544" s="592"/>
      <c r="L544" s="592"/>
      <c r="M544" s="592"/>
      <c r="N544" s="592"/>
      <c r="O544" s="592"/>
      <c r="P544" s="592"/>
      <c r="Q544" s="592"/>
      <c r="R544" s="592"/>
      <c r="S544" s="592"/>
      <c r="T544" s="592"/>
      <c r="U544" s="592"/>
      <c r="V544" s="592"/>
      <c r="W544" s="592"/>
      <c r="X544" s="592"/>
      <c r="Y544" s="592"/>
      <c r="Z544" s="592"/>
      <c r="AA544" s="592"/>
      <c r="AB544" s="592"/>
      <c r="AC544" s="592"/>
      <c r="AD544" s="592"/>
      <c r="AE544" s="592"/>
      <c r="AF544" s="592"/>
      <c r="AG544" s="592"/>
    </row>
    <row r="545">
      <c r="E545" s="592"/>
      <c r="F545" s="591"/>
      <c r="G545" s="591"/>
      <c r="H545" s="592"/>
      <c r="I545" s="592"/>
      <c r="J545" s="592"/>
      <c r="K545" s="592"/>
      <c r="L545" s="592"/>
      <c r="M545" s="592"/>
      <c r="N545" s="592"/>
      <c r="O545" s="592"/>
      <c r="P545" s="592"/>
      <c r="Q545" s="592"/>
      <c r="R545" s="592"/>
      <c r="S545" s="592"/>
      <c r="T545" s="592"/>
      <c r="U545" s="592"/>
      <c r="V545" s="592"/>
      <c r="W545" s="592"/>
      <c r="X545" s="592"/>
      <c r="Y545" s="592"/>
      <c r="Z545" s="592"/>
      <c r="AA545" s="592"/>
      <c r="AB545" s="592"/>
      <c r="AC545" s="592"/>
      <c r="AD545" s="592"/>
      <c r="AE545" s="592"/>
      <c r="AF545" s="592"/>
      <c r="AG545" s="592"/>
    </row>
    <row r="546">
      <c r="E546" s="592"/>
      <c r="F546" s="591"/>
      <c r="G546" s="591"/>
      <c r="H546" s="592"/>
      <c r="I546" s="592"/>
      <c r="J546" s="592"/>
      <c r="K546" s="592"/>
      <c r="L546" s="592"/>
      <c r="M546" s="592"/>
      <c r="N546" s="592"/>
      <c r="O546" s="592"/>
      <c r="P546" s="592"/>
      <c r="Q546" s="592"/>
      <c r="R546" s="592"/>
      <c r="S546" s="592"/>
      <c r="T546" s="592"/>
      <c r="U546" s="592"/>
      <c r="V546" s="592"/>
      <c r="W546" s="592"/>
      <c r="X546" s="592"/>
      <c r="Y546" s="592"/>
      <c r="Z546" s="592"/>
      <c r="AA546" s="592"/>
      <c r="AB546" s="592"/>
      <c r="AC546" s="592"/>
      <c r="AD546" s="592"/>
      <c r="AE546" s="592"/>
      <c r="AF546" s="592"/>
      <c r="AG546" s="592"/>
    </row>
    <row r="547">
      <c r="E547" s="592"/>
      <c r="F547" s="591"/>
      <c r="G547" s="591"/>
      <c r="H547" s="592"/>
      <c r="I547" s="592"/>
      <c r="J547" s="592"/>
      <c r="K547" s="592"/>
      <c r="L547" s="592"/>
      <c r="M547" s="592"/>
      <c r="N547" s="592"/>
      <c r="O547" s="592"/>
      <c r="P547" s="592"/>
      <c r="Q547" s="592"/>
      <c r="R547" s="592"/>
      <c r="S547" s="592"/>
      <c r="T547" s="592"/>
      <c r="U547" s="592"/>
      <c r="V547" s="592"/>
      <c r="W547" s="592"/>
      <c r="X547" s="592"/>
      <c r="Y547" s="592"/>
      <c r="Z547" s="592"/>
      <c r="AA547" s="592"/>
      <c r="AB547" s="592"/>
      <c r="AC547" s="592"/>
      <c r="AD547" s="592"/>
      <c r="AE547" s="592"/>
      <c r="AF547" s="592"/>
      <c r="AG547" s="592"/>
    </row>
    <row r="548">
      <c r="E548" s="592"/>
      <c r="F548" s="591"/>
      <c r="G548" s="591"/>
      <c r="H548" s="592"/>
      <c r="I548" s="592"/>
      <c r="J548" s="592"/>
      <c r="K548" s="592"/>
      <c r="L548" s="592"/>
      <c r="M548" s="592"/>
      <c r="N548" s="592"/>
      <c r="O548" s="592"/>
      <c r="P548" s="592"/>
      <c r="Q548" s="592"/>
      <c r="R548" s="592"/>
      <c r="S548" s="592"/>
      <c r="T548" s="592"/>
      <c r="U548" s="592"/>
      <c r="V548" s="592"/>
      <c r="W548" s="592"/>
      <c r="X548" s="592"/>
      <c r="Y548" s="592"/>
      <c r="Z548" s="592"/>
      <c r="AA548" s="592"/>
      <c r="AB548" s="592"/>
      <c r="AC548" s="592"/>
      <c r="AD548" s="592"/>
      <c r="AE548" s="592"/>
      <c r="AF548" s="592"/>
      <c r="AG548" s="592"/>
    </row>
    <row r="549">
      <c r="E549" s="592"/>
      <c r="F549" s="591"/>
      <c r="G549" s="591"/>
      <c r="H549" s="592"/>
      <c r="I549" s="592"/>
      <c r="J549" s="592"/>
      <c r="K549" s="592"/>
      <c r="L549" s="592"/>
      <c r="M549" s="592"/>
      <c r="N549" s="592"/>
      <c r="O549" s="592"/>
      <c r="P549" s="592"/>
      <c r="Q549" s="592"/>
      <c r="R549" s="592"/>
      <c r="S549" s="592"/>
      <c r="T549" s="592"/>
      <c r="U549" s="592"/>
      <c r="V549" s="592"/>
      <c r="W549" s="592"/>
      <c r="X549" s="592"/>
      <c r="Y549" s="592"/>
      <c r="Z549" s="592"/>
      <c r="AA549" s="592"/>
      <c r="AB549" s="592"/>
      <c r="AC549" s="592"/>
      <c r="AD549" s="592"/>
      <c r="AE549" s="592"/>
      <c r="AF549" s="592"/>
      <c r="AG549" s="592"/>
    </row>
    <row r="550">
      <c r="E550" s="592"/>
      <c r="F550" s="591"/>
      <c r="G550" s="591"/>
      <c r="H550" s="592"/>
      <c r="I550" s="592"/>
      <c r="J550" s="592"/>
      <c r="K550" s="592"/>
      <c r="L550" s="592"/>
      <c r="M550" s="592"/>
      <c r="N550" s="592"/>
      <c r="O550" s="592"/>
      <c r="P550" s="592"/>
      <c r="Q550" s="592"/>
      <c r="R550" s="592"/>
      <c r="S550" s="592"/>
      <c r="T550" s="592"/>
      <c r="U550" s="592"/>
      <c r="V550" s="592"/>
      <c r="W550" s="592"/>
      <c r="X550" s="592"/>
      <c r="Y550" s="592"/>
      <c r="Z550" s="592"/>
      <c r="AA550" s="592"/>
      <c r="AB550" s="592"/>
      <c r="AC550" s="592"/>
      <c r="AD550" s="592"/>
      <c r="AE550" s="592"/>
      <c r="AF550" s="592"/>
      <c r="AG550" s="592"/>
    </row>
    <row r="551">
      <c r="E551" s="592"/>
      <c r="F551" s="591"/>
      <c r="G551" s="591"/>
      <c r="H551" s="592"/>
      <c r="I551" s="592"/>
      <c r="J551" s="592"/>
      <c r="K551" s="592"/>
      <c r="L551" s="592"/>
      <c r="M551" s="592"/>
      <c r="N551" s="592"/>
      <c r="O551" s="592"/>
      <c r="P551" s="592"/>
      <c r="Q551" s="592"/>
      <c r="R551" s="592"/>
      <c r="S551" s="592"/>
      <c r="T551" s="592"/>
      <c r="U551" s="592"/>
      <c r="V551" s="592"/>
      <c r="W551" s="592"/>
      <c r="X551" s="592"/>
      <c r="Y551" s="592"/>
      <c r="Z551" s="592"/>
      <c r="AA551" s="592"/>
      <c r="AB551" s="592"/>
      <c r="AC551" s="592"/>
      <c r="AD551" s="592"/>
      <c r="AE551" s="592"/>
      <c r="AF551" s="592"/>
      <c r="AG551" s="592"/>
    </row>
    <row r="552">
      <c r="E552" s="592"/>
      <c r="F552" s="591"/>
      <c r="G552" s="591"/>
      <c r="H552" s="592"/>
      <c r="I552" s="592"/>
      <c r="J552" s="592"/>
      <c r="K552" s="592"/>
      <c r="L552" s="592"/>
      <c r="M552" s="592"/>
      <c r="N552" s="592"/>
      <c r="O552" s="592"/>
      <c r="P552" s="592"/>
      <c r="Q552" s="592"/>
      <c r="R552" s="592"/>
      <c r="S552" s="592"/>
      <c r="T552" s="592"/>
      <c r="U552" s="592"/>
      <c r="V552" s="592"/>
      <c r="W552" s="592"/>
      <c r="X552" s="592"/>
      <c r="Y552" s="592"/>
      <c r="Z552" s="592"/>
      <c r="AA552" s="592"/>
      <c r="AB552" s="592"/>
      <c r="AC552" s="592"/>
      <c r="AD552" s="592"/>
      <c r="AE552" s="592"/>
      <c r="AF552" s="592"/>
      <c r="AG552" s="592"/>
    </row>
    <row r="553">
      <c r="E553" s="592"/>
      <c r="F553" s="591"/>
      <c r="G553" s="591"/>
      <c r="H553" s="592"/>
      <c r="I553" s="592"/>
      <c r="J553" s="592"/>
      <c r="K553" s="592"/>
      <c r="L553" s="592"/>
      <c r="M553" s="592"/>
      <c r="N553" s="592"/>
      <c r="O553" s="592"/>
      <c r="P553" s="592"/>
      <c r="Q553" s="592"/>
      <c r="R553" s="592"/>
      <c r="S553" s="592"/>
      <c r="T553" s="592"/>
      <c r="U553" s="592"/>
      <c r="V553" s="592"/>
      <c r="W553" s="592"/>
      <c r="X553" s="592"/>
      <c r="Y553" s="592"/>
      <c r="Z553" s="592"/>
      <c r="AA553" s="592"/>
      <c r="AB553" s="592"/>
      <c r="AC553" s="592"/>
      <c r="AD553" s="592"/>
      <c r="AE553" s="592"/>
      <c r="AF553" s="592"/>
      <c r="AG553" s="592"/>
    </row>
    <row r="554">
      <c r="E554" s="592"/>
      <c r="F554" s="591"/>
      <c r="G554" s="591"/>
      <c r="H554" s="592"/>
      <c r="I554" s="592"/>
      <c r="J554" s="592"/>
      <c r="K554" s="592"/>
      <c r="L554" s="592"/>
      <c r="M554" s="592"/>
      <c r="N554" s="592"/>
      <c r="O554" s="592"/>
      <c r="P554" s="592"/>
      <c r="Q554" s="592"/>
      <c r="R554" s="592"/>
      <c r="S554" s="592"/>
      <c r="T554" s="592"/>
      <c r="U554" s="592"/>
      <c r="V554" s="592"/>
      <c r="W554" s="592"/>
      <c r="X554" s="592"/>
      <c r="Y554" s="592"/>
      <c r="Z554" s="592"/>
      <c r="AA554" s="592"/>
      <c r="AB554" s="592"/>
      <c r="AC554" s="592"/>
      <c r="AD554" s="592"/>
      <c r="AE554" s="592"/>
      <c r="AF554" s="592"/>
      <c r="AG554" s="592"/>
    </row>
    <row r="555">
      <c r="E555" s="592"/>
      <c r="F555" s="591"/>
      <c r="G555" s="591"/>
      <c r="H555" s="592"/>
      <c r="I555" s="592"/>
      <c r="J555" s="592"/>
      <c r="K555" s="592"/>
      <c r="L555" s="592"/>
      <c r="M555" s="592"/>
      <c r="N555" s="592"/>
      <c r="O555" s="592"/>
      <c r="P555" s="592"/>
      <c r="Q555" s="592"/>
      <c r="R555" s="592"/>
      <c r="S555" s="592"/>
      <c r="T555" s="592"/>
      <c r="U555" s="592"/>
      <c r="V555" s="592"/>
      <c r="W555" s="592"/>
      <c r="X555" s="592"/>
      <c r="Y555" s="592"/>
      <c r="Z555" s="592"/>
      <c r="AA555" s="592"/>
      <c r="AB555" s="592"/>
      <c r="AC555" s="592"/>
      <c r="AD555" s="592"/>
      <c r="AE555" s="592"/>
      <c r="AF555" s="592"/>
      <c r="AG555" s="592"/>
    </row>
    <row r="556">
      <c r="E556" s="592"/>
      <c r="F556" s="591"/>
      <c r="G556" s="591"/>
      <c r="H556" s="592"/>
      <c r="I556" s="592"/>
      <c r="J556" s="592"/>
      <c r="K556" s="592"/>
      <c r="L556" s="592"/>
      <c r="M556" s="592"/>
      <c r="N556" s="592"/>
      <c r="O556" s="592"/>
      <c r="P556" s="592"/>
      <c r="Q556" s="592"/>
      <c r="R556" s="592"/>
      <c r="S556" s="592"/>
      <c r="T556" s="592"/>
      <c r="U556" s="592"/>
      <c r="V556" s="592"/>
      <c r="W556" s="592"/>
      <c r="X556" s="592"/>
      <c r="Y556" s="592"/>
      <c r="Z556" s="592"/>
      <c r="AA556" s="592"/>
      <c r="AB556" s="592"/>
      <c r="AC556" s="592"/>
      <c r="AD556" s="592"/>
      <c r="AE556" s="592"/>
      <c r="AF556" s="592"/>
      <c r="AG556" s="592"/>
    </row>
    <row r="557">
      <c r="E557" s="592"/>
      <c r="F557" s="591"/>
      <c r="G557" s="591"/>
      <c r="H557" s="592"/>
      <c r="I557" s="592"/>
      <c r="J557" s="592"/>
      <c r="K557" s="592"/>
      <c r="L557" s="592"/>
      <c r="M557" s="592"/>
      <c r="N557" s="592"/>
      <c r="O557" s="592"/>
      <c r="P557" s="592"/>
      <c r="Q557" s="592"/>
      <c r="R557" s="592"/>
      <c r="S557" s="592"/>
      <c r="T557" s="592"/>
      <c r="U557" s="592"/>
      <c r="V557" s="592"/>
      <c r="W557" s="592"/>
      <c r="X557" s="592"/>
      <c r="Y557" s="592"/>
      <c r="Z557" s="592"/>
      <c r="AA557" s="592"/>
      <c r="AB557" s="592"/>
      <c r="AC557" s="592"/>
      <c r="AD557" s="592"/>
      <c r="AE557" s="592"/>
      <c r="AF557" s="592"/>
      <c r="AG557" s="592"/>
    </row>
    <row r="558">
      <c r="E558" s="592"/>
      <c r="F558" s="591"/>
      <c r="G558" s="591"/>
      <c r="H558" s="592"/>
      <c r="I558" s="592"/>
      <c r="J558" s="592"/>
      <c r="K558" s="592"/>
      <c r="L558" s="592"/>
      <c r="M558" s="592"/>
      <c r="N558" s="592"/>
      <c r="O558" s="592"/>
      <c r="P558" s="592"/>
      <c r="Q558" s="592"/>
      <c r="R558" s="592"/>
      <c r="S558" s="592"/>
      <c r="T558" s="592"/>
      <c r="U558" s="592"/>
      <c r="V558" s="592"/>
      <c r="W558" s="592"/>
      <c r="X558" s="592"/>
      <c r="Y558" s="592"/>
      <c r="Z558" s="592"/>
      <c r="AA558" s="592"/>
      <c r="AB558" s="592"/>
      <c r="AC558" s="592"/>
      <c r="AD558" s="592"/>
      <c r="AE558" s="592"/>
      <c r="AF558" s="592"/>
      <c r="AG558" s="592"/>
    </row>
    <row r="559">
      <c r="E559" s="592"/>
      <c r="F559" s="591"/>
      <c r="G559" s="591"/>
      <c r="H559" s="592"/>
      <c r="I559" s="592"/>
      <c r="J559" s="592"/>
      <c r="K559" s="592"/>
      <c r="L559" s="592"/>
      <c r="M559" s="592"/>
      <c r="N559" s="592"/>
      <c r="O559" s="592"/>
      <c r="P559" s="592"/>
      <c r="Q559" s="592"/>
      <c r="R559" s="592"/>
      <c r="S559" s="592"/>
      <c r="T559" s="592"/>
      <c r="U559" s="592"/>
      <c r="V559" s="592"/>
      <c r="W559" s="592"/>
      <c r="X559" s="592"/>
      <c r="Y559" s="592"/>
      <c r="Z559" s="592"/>
      <c r="AA559" s="592"/>
      <c r="AB559" s="592"/>
      <c r="AC559" s="592"/>
      <c r="AD559" s="592"/>
      <c r="AE559" s="592"/>
      <c r="AF559" s="592"/>
      <c r="AG559" s="592"/>
    </row>
    <row r="560">
      <c r="E560" s="592"/>
      <c r="F560" s="591"/>
      <c r="G560" s="591"/>
      <c r="H560" s="592"/>
      <c r="I560" s="592"/>
      <c r="J560" s="592"/>
      <c r="K560" s="592"/>
      <c r="L560" s="592"/>
      <c r="M560" s="592"/>
      <c r="N560" s="592"/>
      <c r="O560" s="592"/>
      <c r="P560" s="592"/>
      <c r="Q560" s="592"/>
      <c r="R560" s="592"/>
      <c r="S560" s="592"/>
      <c r="T560" s="592"/>
      <c r="U560" s="592"/>
      <c r="V560" s="592"/>
      <c r="W560" s="592"/>
      <c r="X560" s="592"/>
      <c r="Y560" s="592"/>
      <c r="Z560" s="592"/>
      <c r="AA560" s="592"/>
      <c r="AB560" s="592"/>
      <c r="AC560" s="592"/>
      <c r="AD560" s="592"/>
      <c r="AE560" s="592"/>
      <c r="AF560" s="592"/>
      <c r="AG560" s="592"/>
    </row>
    <row r="561">
      <c r="E561" s="592"/>
      <c r="F561" s="591"/>
      <c r="G561" s="591"/>
      <c r="H561" s="592"/>
      <c r="I561" s="592"/>
      <c r="J561" s="592"/>
      <c r="K561" s="592"/>
      <c r="L561" s="592"/>
      <c r="M561" s="592"/>
      <c r="N561" s="592"/>
      <c r="O561" s="592"/>
      <c r="P561" s="592"/>
      <c r="Q561" s="592"/>
      <c r="R561" s="592"/>
      <c r="S561" s="592"/>
      <c r="T561" s="592"/>
      <c r="U561" s="592"/>
      <c r="V561" s="592"/>
      <c r="W561" s="592"/>
      <c r="X561" s="592"/>
      <c r="Y561" s="592"/>
      <c r="Z561" s="592"/>
      <c r="AA561" s="592"/>
      <c r="AB561" s="592"/>
      <c r="AC561" s="592"/>
      <c r="AD561" s="592"/>
      <c r="AE561" s="592"/>
      <c r="AF561" s="592"/>
      <c r="AG561" s="592"/>
    </row>
    <row r="562">
      <c r="E562" s="592"/>
      <c r="F562" s="591"/>
      <c r="G562" s="591"/>
      <c r="H562" s="592"/>
      <c r="I562" s="592"/>
      <c r="J562" s="592"/>
      <c r="K562" s="592"/>
      <c r="L562" s="592"/>
      <c r="M562" s="592"/>
      <c r="N562" s="592"/>
      <c r="O562" s="592"/>
      <c r="P562" s="592"/>
      <c r="Q562" s="592"/>
      <c r="R562" s="592"/>
      <c r="S562" s="592"/>
      <c r="T562" s="592"/>
      <c r="U562" s="592"/>
      <c r="V562" s="592"/>
      <c r="W562" s="592"/>
      <c r="X562" s="592"/>
      <c r="Y562" s="592"/>
      <c r="Z562" s="592"/>
      <c r="AA562" s="592"/>
      <c r="AB562" s="592"/>
      <c r="AC562" s="592"/>
      <c r="AD562" s="592"/>
      <c r="AE562" s="592"/>
      <c r="AF562" s="592"/>
      <c r="AG562" s="592"/>
    </row>
    <row r="563">
      <c r="E563" s="592"/>
      <c r="F563" s="591"/>
      <c r="G563" s="591"/>
      <c r="H563" s="592"/>
      <c r="I563" s="592"/>
      <c r="J563" s="592"/>
      <c r="K563" s="592"/>
      <c r="L563" s="592"/>
      <c r="M563" s="592"/>
      <c r="N563" s="592"/>
      <c r="O563" s="592"/>
      <c r="P563" s="592"/>
      <c r="Q563" s="592"/>
      <c r="R563" s="592"/>
      <c r="S563" s="592"/>
      <c r="T563" s="592"/>
      <c r="U563" s="592"/>
      <c r="V563" s="592"/>
      <c r="W563" s="592"/>
      <c r="X563" s="592"/>
      <c r="Y563" s="592"/>
      <c r="Z563" s="592"/>
      <c r="AA563" s="592"/>
      <c r="AB563" s="592"/>
      <c r="AC563" s="592"/>
      <c r="AD563" s="592"/>
      <c r="AE563" s="592"/>
      <c r="AF563" s="592"/>
      <c r="AG563" s="592"/>
    </row>
    <row r="564">
      <c r="E564" s="592"/>
      <c r="F564" s="591"/>
      <c r="G564" s="591"/>
      <c r="H564" s="592"/>
      <c r="I564" s="592"/>
      <c r="J564" s="592"/>
      <c r="K564" s="592"/>
      <c r="L564" s="592"/>
      <c r="M564" s="592"/>
      <c r="N564" s="592"/>
      <c r="O564" s="592"/>
      <c r="P564" s="592"/>
      <c r="Q564" s="592"/>
      <c r="R564" s="592"/>
      <c r="S564" s="592"/>
      <c r="T564" s="592"/>
      <c r="U564" s="592"/>
      <c r="V564" s="592"/>
      <c r="W564" s="592"/>
      <c r="X564" s="592"/>
      <c r="Y564" s="592"/>
      <c r="Z564" s="592"/>
      <c r="AA564" s="592"/>
      <c r="AB564" s="592"/>
      <c r="AC564" s="592"/>
      <c r="AD564" s="592"/>
      <c r="AE564" s="592"/>
      <c r="AF564" s="592"/>
      <c r="AG564" s="592"/>
    </row>
    <row r="565">
      <c r="E565" s="592"/>
      <c r="F565" s="591"/>
      <c r="G565" s="591"/>
      <c r="H565" s="592"/>
      <c r="I565" s="592"/>
      <c r="J565" s="592"/>
      <c r="K565" s="592"/>
      <c r="L565" s="592"/>
      <c r="M565" s="592"/>
      <c r="N565" s="592"/>
      <c r="O565" s="592"/>
      <c r="P565" s="592"/>
      <c r="Q565" s="592"/>
      <c r="R565" s="592"/>
      <c r="S565" s="592"/>
      <c r="T565" s="592"/>
      <c r="U565" s="592"/>
      <c r="V565" s="592"/>
      <c r="W565" s="592"/>
      <c r="X565" s="592"/>
      <c r="Y565" s="592"/>
      <c r="Z565" s="592"/>
      <c r="AA565" s="592"/>
      <c r="AB565" s="592"/>
      <c r="AC565" s="592"/>
      <c r="AD565" s="592"/>
      <c r="AE565" s="592"/>
      <c r="AF565" s="592"/>
      <c r="AG565" s="592"/>
    </row>
    <row r="566">
      <c r="E566" s="592"/>
      <c r="F566" s="591"/>
      <c r="G566" s="591"/>
      <c r="H566" s="592"/>
      <c r="I566" s="592"/>
      <c r="J566" s="592"/>
      <c r="K566" s="592"/>
      <c r="L566" s="592"/>
      <c r="M566" s="592"/>
      <c r="N566" s="592"/>
      <c r="O566" s="592"/>
      <c r="P566" s="592"/>
      <c r="Q566" s="592"/>
      <c r="R566" s="592"/>
      <c r="S566" s="592"/>
      <c r="T566" s="592"/>
      <c r="U566" s="592"/>
      <c r="V566" s="592"/>
      <c r="W566" s="592"/>
      <c r="X566" s="592"/>
      <c r="Y566" s="592"/>
      <c r="Z566" s="592"/>
      <c r="AA566" s="592"/>
      <c r="AB566" s="592"/>
      <c r="AC566" s="592"/>
      <c r="AD566" s="592"/>
      <c r="AE566" s="592"/>
      <c r="AF566" s="592"/>
      <c r="AG566" s="592"/>
    </row>
    <row r="567">
      <c r="E567" s="592"/>
      <c r="F567" s="591"/>
      <c r="G567" s="591"/>
      <c r="H567" s="592"/>
      <c r="I567" s="592"/>
      <c r="J567" s="592"/>
      <c r="K567" s="592"/>
      <c r="L567" s="592"/>
      <c r="M567" s="592"/>
      <c r="N567" s="592"/>
      <c r="O567" s="592"/>
      <c r="P567" s="592"/>
      <c r="Q567" s="592"/>
      <c r="R567" s="592"/>
      <c r="S567" s="592"/>
      <c r="T567" s="592"/>
      <c r="U567" s="592"/>
      <c r="V567" s="592"/>
      <c r="W567" s="592"/>
      <c r="X567" s="592"/>
      <c r="Y567" s="592"/>
      <c r="Z567" s="592"/>
      <c r="AA567" s="592"/>
      <c r="AB567" s="592"/>
      <c r="AC567" s="592"/>
      <c r="AD567" s="592"/>
      <c r="AE567" s="592"/>
      <c r="AF567" s="592"/>
      <c r="AG567" s="592"/>
    </row>
    <row r="568">
      <c r="E568" s="592"/>
      <c r="F568" s="591"/>
      <c r="G568" s="591"/>
      <c r="H568" s="592"/>
      <c r="I568" s="592"/>
      <c r="J568" s="592"/>
      <c r="K568" s="592"/>
      <c r="L568" s="592"/>
      <c r="M568" s="592"/>
      <c r="N568" s="592"/>
      <c r="O568" s="592"/>
      <c r="P568" s="592"/>
      <c r="Q568" s="592"/>
      <c r="R568" s="592"/>
      <c r="S568" s="592"/>
      <c r="T568" s="592"/>
      <c r="U568" s="592"/>
      <c r="V568" s="592"/>
      <c r="W568" s="592"/>
      <c r="X568" s="592"/>
      <c r="Y568" s="592"/>
      <c r="Z568" s="592"/>
      <c r="AA568" s="592"/>
      <c r="AB568" s="592"/>
      <c r="AC568" s="592"/>
      <c r="AD568" s="592"/>
      <c r="AE568" s="592"/>
      <c r="AF568" s="592"/>
      <c r="AG568" s="592"/>
    </row>
    <row r="569">
      <c r="E569" s="592"/>
      <c r="F569" s="591"/>
      <c r="G569" s="591"/>
      <c r="H569" s="592"/>
      <c r="I569" s="592"/>
      <c r="J569" s="592"/>
      <c r="K569" s="592"/>
      <c r="L569" s="592"/>
      <c r="M569" s="592"/>
      <c r="N569" s="592"/>
      <c r="O569" s="592"/>
      <c r="P569" s="592"/>
      <c r="Q569" s="592"/>
      <c r="R569" s="592"/>
      <c r="S569" s="592"/>
      <c r="T569" s="592"/>
      <c r="U569" s="592"/>
      <c r="V569" s="592"/>
      <c r="W569" s="592"/>
      <c r="X569" s="592"/>
      <c r="Y569" s="592"/>
      <c r="Z569" s="592"/>
      <c r="AA569" s="592"/>
      <c r="AB569" s="592"/>
      <c r="AC569" s="592"/>
      <c r="AD569" s="592"/>
      <c r="AE569" s="592"/>
      <c r="AF569" s="592"/>
      <c r="AG569" s="592"/>
    </row>
    <row r="570">
      <c r="E570" s="592"/>
      <c r="F570" s="591"/>
      <c r="G570" s="591"/>
      <c r="H570" s="592"/>
      <c r="I570" s="592"/>
      <c r="J570" s="592"/>
      <c r="K570" s="592"/>
      <c r="L570" s="592"/>
      <c r="M570" s="592"/>
      <c r="N570" s="592"/>
      <c r="O570" s="592"/>
      <c r="P570" s="592"/>
      <c r="Q570" s="592"/>
      <c r="R570" s="592"/>
      <c r="S570" s="592"/>
      <c r="T570" s="592"/>
      <c r="U570" s="592"/>
      <c r="V570" s="592"/>
      <c r="W570" s="592"/>
      <c r="X570" s="592"/>
      <c r="Y570" s="592"/>
      <c r="Z570" s="592"/>
      <c r="AA570" s="592"/>
      <c r="AB570" s="592"/>
      <c r="AC570" s="592"/>
      <c r="AD570" s="592"/>
      <c r="AE570" s="592"/>
      <c r="AF570" s="592"/>
      <c r="AG570" s="592"/>
    </row>
    <row r="571">
      <c r="E571" s="592"/>
      <c r="F571" s="591"/>
      <c r="G571" s="591"/>
      <c r="H571" s="592"/>
      <c r="I571" s="592"/>
      <c r="J571" s="592"/>
      <c r="K571" s="592"/>
      <c r="L571" s="592"/>
      <c r="M571" s="592"/>
      <c r="N571" s="592"/>
      <c r="O571" s="592"/>
      <c r="P571" s="592"/>
      <c r="Q571" s="592"/>
      <c r="R571" s="592"/>
      <c r="S571" s="592"/>
      <c r="T571" s="592"/>
      <c r="U571" s="592"/>
      <c r="V571" s="592"/>
      <c r="W571" s="592"/>
      <c r="X571" s="592"/>
      <c r="Y571" s="592"/>
      <c r="Z571" s="592"/>
      <c r="AA571" s="592"/>
      <c r="AB571" s="592"/>
      <c r="AC571" s="592"/>
      <c r="AD571" s="592"/>
      <c r="AE571" s="592"/>
      <c r="AF571" s="592"/>
      <c r="AG571" s="592"/>
    </row>
    <row r="572">
      <c r="E572" s="592"/>
      <c r="F572" s="591"/>
      <c r="G572" s="591"/>
      <c r="H572" s="592"/>
      <c r="I572" s="592"/>
      <c r="J572" s="592"/>
      <c r="K572" s="592"/>
      <c r="L572" s="592"/>
      <c r="M572" s="592"/>
      <c r="N572" s="592"/>
      <c r="O572" s="592"/>
      <c r="P572" s="592"/>
      <c r="Q572" s="592"/>
      <c r="R572" s="592"/>
      <c r="S572" s="592"/>
      <c r="T572" s="592"/>
      <c r="U572" s="592"/>
      <c r="V572" s="592"/>
      <c r="W572" s="592"/>
      <c r="X572" s="592"/>
      <c r="Y572" s="592"/>
      <c r="Z572" s="592"/>
      <c r="AA572" s="592"/>
      <c r="AB572" s="592"/>
      <c r="AC572" s="592"/>
      <c r="AD572" s="592"/>
      <c r="AE572" s="592"/>
      <c r="AF572" s="592"/>
      <c r="AG572" s="592"/>
    </row>
    <row r="573">
      <c r="E573" s="592"/>
      <c r="F573" s="591"/>
      <c r="G573" s="591"/>
      <c r="H573" s="592"/>
      <c r="I573" s="592"/>
      <c r="J573" s="592"/>
      <c r="K573" s="592"/>
      <c r="L573" s="592"/>
      <c r="M573" s="592"/>
      <c r="N573" s="592"/>
      <c r="O573" s="592"/>
      <c r="P573" s="592"/>
      <c r="Q573" s="592"/>
      <c r="R573" s="592"/>
      <c r="S573" s="592"/>
      <c r="T573" s="592"/>
      <c r="U573" s="592"/>
      <c r="V573" s="592"/>
      <c r="W573" s="592"/>
      <c r="X573" s="592"/>
      <c r="Y573" s="592"/>
      <c r="Z573" s="592"/>
      <c r="AA573" s="592"/>
      <c r="AB573" s="592"/>
      <c r="AC573" s="592"/>
      <c r="AD573" s="592"/>
      <c r="AE573" s="592"/>
      <c r="AF573" s="592"/>
      <c r="AG573" s="592"/>
    </row>
    <row r="574">
      <c r="E574" s="592"/>
      <c r="F574" s="591"/>
      <c r="G574" s="591"/>
      <c r="H574" s="592"/>
      <c r="I574" s="592"/>
      <c r="J574" s="592"/>
      <c r="K574" s="592"/>
      <c r="L574" s="592"/>
      <c r="M574" s="592"/>
      <c r="N574" s="592"/>
      <c r="O574" s="592"/>
      <c r="P574" s="592"/>
      <c r="Q574" s="592"/>
      <c r="R574" s="592"/>
      <c r="S574" s="592"/>
      <c r="T574" s="592"/>
      <c r="U574" s="592"/>
      <c r="V574" s="592"/>
      <c r="W574" s="592"/>
      <c r="X574" s="592"/>
      <c r="Y574" s="592"/>
      <c r="Z574" s="592"/>
      <c r="AA574" s="592"/>
      <c r="AB574" s="592"/>
      <c r="AC574" s="592"/>
      <c r="AD574" s="592"/>
      <c r="AE574" s="592"/>
      <c r="AF574" s="592"/>
      <c r="AG574" s="592"/>
    </row>
    <row r="575">
      <c r="E575" s="592"/>
      <c r="F575" s="591"/>
      <c r="G575" s="591"/>
      <c r="H575" s="592"/>
      <c r="I575" s="592"/>
      <c r="J575" s="592"/>
      <c r="K575" s="592"/>
      <c r="L575" s="592"/>
      <c r="M575" s="592"/>
      <c r="N575" s="592"/>
      <c r="O575" s="592"/>
      <c r="P575" s="592"/>
      <c r="Q575" s="592"/>
      <c r="R575" s="592"/>
      <c r="S575" s="592"/>
      <c r="T575" s="592"/>
      <c r="U575" s="592"/>
      <c r="V575" s="592"/>
      <c r="W575" s="592"/>
      <c r="X575" s="592"/>
      <c r="Y575" s="592"/>
      <c r="Z575" s="592"/>
      <c r="AA575" s="592"/>
      <c r="AB575" s="592"/>
      <c r="AC575" s="592"/>
      <c r="AD575" s="592"/>
      <c r="AE575" s="592"/>
      <c r="AF575" s="592"/>
      <c r="AG575" s="592"/>
    </row>
    <row r="576">
      <c r="E576" s="592"/>
      <c r="F576" s="591"/>
      <c r="G576" s="591"/>
      <c r="H576" s="592"/>
      <c r="I576" s="592"/>
      <c r="J576" s="592"/>
      <c r="K576" s="592"/>
      <c r="L576" s="592"/>
      <c r="M576" s="592"/>
      <c r="N576" s="592"/>
      <c r="O576" s="592"/>
      <c r="P576" s="592"/>
      <c r="Q576" s="592"/>
      <c r="R576" s="592"/>
      <c r="S576" s="592"/>
      <c r="T576" s="592"/>
      <c r="U576" s="592"/>
      <c r="V576" s="592"/>
      <c r="W576" s="592"/>
      <c r="X576" s="592"/>
      <c r="Y576" s="592"/>
      <c r="Z576" s="592"/>
      <c r="AA576" s="592"/>
      <c r="AB576" s="592"/>
      <c r="AC576" s="592"/>
      <c r="AD576" s="592"/>
      <c r="AE576" s="592"/>
      <c r="AF576" s="592"/>
      <c r="AG576" s="592"/>
    </row>
    <row r="577">
      <c r="E577" s="592"/>
      <c r="F577" s="591"/>
      <c r="G577" s="591"/>
      <c r="H577" s="592"/>
      <c r="I577" s="592"/>
      <c r="J577" s="592"/>
      <c r="K577" s="592"/>
      <c r="L577" s="592"/>
      <c r="M577" s="592"/>
      <c r="N577" s="592"/>
      <c r="O577" s="592"/>
      <c r="P577" s="592"/>
      <c r="Q577" s="592"/>
      <c r="R577" s="592"/>
      <c r="S577" s="592"/>
      <c r="T577" s="592"/>
      <c r="U577" s="592"/>
      <c r="V577" s="592"/>
      <c r="W577" s="592"/>
      <c r="X577" s="592"/>
      <c r="Y577" s="592"/>
      <c r="Z577" s="592"/>
      <c r="AA577" s="592"/>
      <c r="AB577" s="592"/>
      <c r="AC577" s="592"/>
      <c r="AD577" s="592"/>
      <c r="AE577" s="592"/>
      <c r="AF577" s="592"/>
      <c r="AG577" s="592"/>
    </row>
    <row r="578">
      <c r="E578" s="592"/>
      <c r="F578" s="591"/>
      <c r="G578" s="591"/>
      <c r="H578" s="592"/>
      <c r="I578" s="592"/>
      <c r="J578" s="592"/>
      <c r="K578" s="592"/>
      <c r="L578" s="592"/>
      <c r="M578" s="592"/>
      <c r="N578" s="592"/>
      <c r="O578" s="592"/>
      <c r="P578" s="592"/>
      <c r="Q578" s="592"/>
      <c r="R578" s="592"/>
      <c r="S578" s="592"/>
      <c r="T578" s="592"/>
      <c r="U578" s="592"/>
      <c r="V578" s="592"/>
      <c r="W578" s="592"/>
      <c r="X578" s="592"/>
      <c r="Y578" s="592"/>
      <c r="Z578" s="592"/>
      <c r="AA578" s="592"/>
      <c r="AB578" s="592"/>
      <c r="AC578" s="592"/>
      <c r="AD578" s="592"/>
      <c r="AE578" s="592"/>
      <c r="AF578" s="592"/>
      <c r="AG578" s="592"/>
    </row>
    <row r="579">
      <c r="E579" s="592"/>
      <c r="F579" s="591"/>
      <c r="G579" s="591"/>
      <c r="H579" s="592"/>
      <c r="I579" s="592"/>
      <c r="J579" s="592"/>
      <c r="K579" s="592"/>
      <c r="L579" s="592"/>
      <c r="M579" s="592"/>
      <c r="N579" s="592"/>
      <c r="O579" s="592"/>
      <c r="P579" s="592"/>
      <c r="Q579" s="592"/>
      <c r="R579" s="592"/>
      <c r="S579" s="592"/>
      <c r="T579" s="592"/>
      <c r="U579" s="592"/>
      <c r="V579" s="592"/>
      <c r="W579" s="592"/>
      <c r="X579" s="592"/>
      <c r="Y579" s="592"/>
      <c r="Z579" s="592"/>
      <c r="AA579" s="592"/>
      <c r="AB579" s="592"/>
      <c r="AC579" s="592"/>
      <c r="AD579" s="592"/>
      <c r="AE579" s="592"/>
      <c r="AF579" s="592"/>
      <c r="AG579" s="592"/>
    </row>
    <row r="580">
      <c r="E580" s="592"/>
      <c r="F580" s="591"/>
      <c r="G580" s="591"/>
      <c r="H580" s="592"/>
      <c r="I580" s="592"/>
      <c r="J580" s="592"/>
      <c r="K580" s="592"/>
      <c r="L580" s="592"/>
      <c r="M580" s="592"/>
      <c r="N580" s="592"/>
      <c r="O580" s="592"/>
      <c r="P580" s="592"/>
      <c r="Q580" s="592"/>
      <c r="R580" s="592"/>
      <c r="S580" s="592"/>
      <c r="T580" s="592"/>
      <c r="U580" s="592"/>
      <c r="V580" s="592"/>
      <c r="W580" s="592"/>
      <c r="X580" s="592"/>
      <c r="Y580" s="592"/>
      <c r="Z580" s="592"/>
      <c r="AA580" s="592"/>
      <c r="AB580" s="592"/>
      <c r="AC580" s="592"/>
      <c r="AD580" s="592"/>
      <c r="AE580" s="592"/>
      <c r="AF580" s="592"/>
      <c r="AG580" s="592"/>
    </row>
    <row r="581">
      <c r="E581" s="592"/>
      <c r="F581" s="591"/>
      <c r="G581" s="591"/>
      <c r="H581" s="592"/>
      <c r="I581" s="592"/>
      <c r="J581" s="592"/>
      <c r="K581" s="592"/>
      <c r="L581" s="592"/>
      <c r="M581" s="592"/>
      <c r="N581" s="592"/>
      <c r="O581" s="592"/>
      <c r="P581" s="592"/>
      <c r="Q581" s="592"/>
      <c r="R581" s="592"/>
      <c r="S581" s="592"/>
      <c r="T581" s="592"/>
      <c r="U581" s="592"/>
      <c r="V581" s="592"/>
      <c r="W581" s="592"/>
      <c r="X581" s="592"/>
      <c r="Y581" s="592"/>
      <c r="Z581" s="592"/>
      <c r="AA581" s="592"/>
      <c r="AB581" s="592"/>
      <c r="AC581" s="592"/>
      <c r="AD581" s="592"/>
      <c r="AE581" s="592"/>
      <c r="AF581" s="592"/>
      <c r="AG581" s="592"/>
    </row>
    <row r="582">
      <c r="E582" s="592"/>
      <c r="F582" s="591"/>
      <c r="G582" s="591"/>
      <c r="H582" s="592"/>
      <c r="I582" s="592"/>
      <c r="J582" s="592"/>
      <c r="K582" s="592"/>
      <c r="L582" s="592"/>
      <c r="M582" s="592"/>
      <c r="N582" s="592"/>
      <c r="O582" s="592"/>
      <c r="P582" s="592"/>
      <c r="Q582" s="592"/>
      <c r="R582" s="592"/>
      <c r="S582" s="592"/>
      <c r="T582" s="592"/>
      <c r="U582" s="592"/>
      <c r="V582" s="592"/>
      <c r="W582" s="592"/>
      <c r="X582" s="592"/>
      <c r="Y582" s="592"/>
      <c r="Z582" s="592"/>
      <c r="AA582" s="592"/>
      <c r="AB582" s="592"/>
      <c r="AC582" s="592"/>
      <c r="AD582" s="592"/>
      <c r="AE582" s="592"/>
      <c r="AF582" s="592"/>
      <c r="AG582" s="592"/>
    </row>
    <row r="583">
      <c r="E583" s="592"/>
      <c r="F583" s="591"/>
      <c r="G583" s="591"/>
      <c r="H583" s="592"/>
      <c r="I583" s="592"/>
      <c r="J583" s="592"/>
      <c r="K583" s="592"/>
      <c r="L583" s="592"/>
      <c r="M583" s="592"/>
      <c r="N583" s="592"/>
      <c r="O583" s="592"/>
      <c r="P583" s="592"/>
      <c r="Q583" s="592"/>
      <c r="R583" s="592"/>
      <c r="S583" s="592"/>
      <c r="T583" s="592"/>
      <c r="U583" s="592"/>
      <c r="V583" s="592"/>
      <c r="W583" s="592"/>
      <c r="X583" s="592"/>
      <c r="Y583" s="592"/>
      <c r="Z583" s="592"/>
      <c r="AA583" s="592"/>
      <c r="AB583" s="592"/>
      <c r="AC583" s="592"/>
      <c r="AD583" s="592"/>
      <c r="AE583" s="592"/>
      <c r="AF583" s="592"/>
      <c r="AG583" s="592"/>
    </row>
    <row r="584">
      <c r="E584" s="592"/>
      <c r="F584" s="591"/>
      <c r="G584" s="591"/>
      <c r="H584" s="592"/>
      <c r="I584" s="592"/>
      <c r="J584" s="592"/>
      <c r="K584" s="592"/>
      <c r="L584" s="592"/>
      <c r="M584" s="592"/>
      <c r="N584" s="592"/>
      <c r="O584" s="592"/>
      <c r="P584" s="592"/>
      <c r="Q584" s="592"/>
      <c r="R584" s="592"/>
      <c r="S584" s="592"/>
      <c r="T584" s="592"/>
      <c r="U584" s="592"/>
      <c r="V584" s="592"/>
      <c r="W584" s="592"/>
      <c r="X584" s="592"/>
      <c r="Y584" s="592"/>
      <c r="Z584" s="592"/>
      <c r="AA584" s="592"/>
      <c r="AB584" s="592"/>
      <c r="AC584" s="592"/>
      <c r="AD584" s="592"/>
      <c r="AE584" s="592"/>
      <c r="AF584" s="592"/>
      <c r="AG584" s="592"/>
    </row>
    <row r="585">
      <c r="E585" s="592"/>
      <c r="F585" s="591"/>
      <c r="G585" s="591"/>
      <c r="H585" s="592"/>
      <c r="I585" s="592"/>
      <c r="J585" s="592"/>
      <c r="K585" s="592"/>
      <c r="L585" s="592"/>
      <c r="M585" s="592"/>
      <c r="N585" s="592"/>
      <c r="O585" s="592"/>
      <c r="P585" s="592"/>
      <c r="Q585" s="592"/>
      <c r="R585" s="592"/>
      <c r="S585" s="592"/>
      <c r="T585" s="592"/>
      <c r="U585" s="592"/>
      <c r="V585" s="592"/>
      <c r="W585" s="592"/>
      <c r="X585" s="592"/>
      <c r="Y585" s="592"/>
      <c r="Z585" s="592"/>
      <c r="AA585" s="592"/>
      <c r="AB585" s="592"/>
      <c r="AC585" s="592"/>
      <c r="AD585" s="592"/>
      <c r="AE585" s="592"/>
      <c r="AF585" s="592"/>
      <c r="AG585" s="592"/>
    </row>
    <row r="586">
      <c r="E586" s="592"/>
      <c r="F586" s="591"/>
      <c r="G586" s="591"/>
      <c r="H586" s="592"/>
      <c r="I586" s="592"/>
      <c r="J586" s="592"/>
      <c r="K586" s="592"/>
      <c r="L586" s="592"/>
      <c r="M586" s="592"/>
      <c r="N586" s="592"/>
      <c r="O586" s="592"/>
      <c r="P586" s="592"/>
      <c r="Q586" s="592"/>
      <c r="R586" s="592"/>
      <c r="S586" s="592"/>
      <c r="T586" s="592"/>
      <c r="U586" s="592"/>
      <c r="V586" s="592"/>
      <c r="W586" s="592"/>
      <c r="X586" s="592"/>
      <c r="Y586" s="592"/>
      <c r="Z586" s="592"/>
      <c r="AA586" s="592"/>
      <c r="AB586" s="592"/>
      <c r="AC586" s="592"/>
      <c r="AD586" s="592"/>
      <c r="AE586" s="592"/>
      <c r="AF586" s="592"/>
      <c r="AG586" s="592"/>
    </row>
    <row r="587">
      <c r="E587" s="592"/>
      <c r="F587" s="591"/>
      <c r="G587" s="591"/>
      <c r="H587" s="592"/>
      <c r="I587" s="592"/>
      <c r="J587" s="592"/>
      <c r="K587" s="592"/>
      <c r="L587" s="592"/>
      <c r="M587" s="592"/>
      <c r="N587" s="592"/>
      <c r="O587" s="592"/>
      <c r="P587" s="592"/>
      <c r="Q587" s="592"/>
      <c r="R587" s="592"/>
      <c r="S587" s="592"/>
      <c r="T587" s="592"/>
      <c r="U587" s="592"/>
      <c r="V587" s="592"/>
      <c r="W587" s="592"/>
      <c r="X587" s="592"/>
      <c r="Y587" s="592"/>
      <c r="Z587" s="592"/>
      <c r="AA587" s="592"/>
      <c r="AB587" s="592"/>
      <c r="AC587" s="592"/>
      <c r="AD587" s="592"/>
      <c r="AE587" s="592"/>
      <c r="AF587" s="592"/>
      <c r="AG587" s="592"/>
    </row>
    <row r="588">
      <c r="E588" s="592"/>
      <c r="F588" s="591"/>
      <c r="G588" s="591"/>
      <c r="H588" s="592"/>
      <c r="I588" s="592"/>
      <c r="J588" s="592"/>
      <c r="K588" s="592"/>
      <c r="L588" s="592"/>
      <c r="M588" s="592"/>
      <c r="N588" s="592"/>
      <c r="O588" s="592"/>
      <c r="P588" s="592"/>
      <c r="Q588" s="592"/>
      <c r="R588" s="592"/>
      <c r="S588" s="592"/>
      <c r="T588" s="592"/>
      <c r="U588" s="592"/>
      <c r="V588" s="592"/>
      <c r="W588" s="592"/>
      <c r="X588" s="592"/>
      <c r="Y588" s="592"/>
      <c r="Z588" s="592"/>
      <c r="AA588" s="592"/>
      <c r="AB588" s="592"/>
      <c r="AC588" s="592"/>
      <c r="AD588" s="592"/>
      <c r="AE588" s="592"/>
      <c r="AF588" s="592"/>
      <c r="AG588" s="592"/>
    </row>
    <row r="589">
      <c r="E589" s="592"/>
      <c r="F589" s="591"/>
      <c r="G589" s="591"/>
      <c r="H589" s="592"/>
      <c r="I589" s="592"/>
      <c r="J589" s="592"/>
      <c r="K589" s="592"/>
      <c r="L589" s="592"/>
      <c r="M589" s="592"/>
      <c r="N589" s="592"/>
      <c r="O589" s="592"/>
      <c r="P589" s="592"/>
      <c r="Q589" s="592"/>
      <c r="R589" s="592"/>
      <c r="S589" s="592"/>
      <c r="T589" s="592"/>
      <c r="U589" s="592"/>
      <c r="V589" s="592"/>
      <c r="W589" s="592"/>
      <c r="X589" s="592"/>
      <c r="Y589" s="592"/>
      <c r="Z589" s="592"/>
      <c r="AA589" s="592"/>
      <c r="AB589" s="592"/>
      <c r="AC589" s="592"/>
      <c r="AD589" s="592"/>
      <c r="AE589" s="592"/>
      <c r="AF589" s="592"/>
      <c r="AG589" s="592"/>
    </row>
    <row r="590">
      <c r="E590" s="592"/>
      <c r="F590" s="591"/>
      <c r="G590" s="591"/>
      <c r="H590" s="592"/>
      <c r="I590" s="592"/>
      <c r="J590" s="592"/>
      <c r="K590" s="592"/>
      <c r="L590" s="592"/>
      <c r="M590" s="592"/>
      <c r="N590" s="592"/>
      <c r="O590" s="592"/>
      <c r="P590" s="592"/>
      <c r="Q590" s="592"/>
      <c r="R590" s="592"/>
      <c r="S590" s="592"/>
      <c r="T590" s="592"/>
      <c r="U590" s="592"/>
      <c r="V590" s="592"/>
      <c r="W590" s="592"/>
      <c r="X590" s="592"/>
      <c r="Y590" s="592"/>
      <c r="Z590" s="592"/>
      <c r="AA590" s="592"/>
      <c r="AB590" s="592"/>
      <c r="AC590" s="592"/>
      <c r="AD590" s="592"/>
      <c r="AE590" s="592"/>
      <c r="AF590" s="592"/>
      <c r="AG590" s="592"/>
    </row>
    <row r="591">
      <c r="E591" s="592"/>
      <c r="F591" s="591"/>
      <c r="G591" s="591"/>
      <c r="H591" s="592"/>
      <c r="I591" s="592"/>
      <c r="J591" s="592"/>
      <c r="K591" s="592"/>
      <c r="L591" s="592"/>
      <c r="M591" s="592"/>
      <c r="N591" s="592"/>
      <c r="O591" s="592"/>
      <c r="P591" s="592"/>
      <c r="Q591" s="592"/>
      <c r="R591" s="592"/>
      <c r="S591" s="592"/>
      <c r="T591" s="592"/>
      <c r="U591" s="592"/>
      <c r="V591" s="592"/>
      <c r="W591" s="592"/>
      <c r="X591" s="592"/>
      <c r="Y591" s="592"/>
      <c r="Z591" s="592"/>
      <c r="AA591" s="592"/>
      <c r="AB591" s="592"/>
      <c r="AC591" s="592"/>
      <c r="AD591" s="592"/>
      <c r="AE591" s="592"/>
      <c r="AF591" s="592"/>
      <c r="AG591" s="592"/>
    </row>
    <row r="592">
      <c r="E592" s="592"/>
      <c r="F592" s="591"/>
      <c r="G592" s="591"/>
      <c r="H592" s="592"/>
      <c r="I592" s="592"/>
      <c r="J592" s="592"/>
      <c r="K592" s="592"/>
      <c r="L592" s="592"/>
      <c r="M592" s="592"/>
      <c r="N592" s="592"/>
      <c r="O592" s="592"/>
      <c r="P592" s="592"/>
      <c r="Q592" s="592"/>
      <c r="R592" s="592"/>
      <c r="S592" s="592"/>
      <c r="T592" s="592"/>
      <c r="U592" s="592"/>
      <c r="V592" s="592"/>
      <c r="W592" s="592"/>
      <c r="X592" s="592"/>
      <c r="Y592" s="592"/>
      <c r="Z592" s="592"/>
      <c r="AA592" s="592"/>
      <c r="AB592" s="592"/>
      <c r="AC592" s="592"/>
      <c r="AD592" s="592"/>
      <c r="AE592" s="592"/>
      <c r="AF592" s="592"/>
      <c r="AG592" s="592"/>
    </row>
    <row r="593">
      <c r="E593" s="592"/>
      <c r="F593" s="591"/>
      <c r="G593" s="591"/>
      <c r="H593" s="592"/>
      <c r="I593" s="592"/>
      <c r="J593" s="592"/>
      <c r="K593" s="592"/>
      <c r="L593" s="592"/>
      <c r="M593" s="592"/>
      <c r="N593" s="592"/>
      <c r="O593" s="592"/>
      <c r="P593" s="592"/>
      <c r="Q593" s="592"/>
      <c r="R593" s="592"/>
      <c r="S593" s="592"/>
      <c r="T593" s="592"/>
      <c r="U593" s="592"/>
      <c r="V593" s="592"/>
      <c r="W593" s="592"/>
      <c r="X593" s="592"/>
      <c r="Y593" s="592"/>
      <c r="Z593" s="592"/>
      <c r="AA593" s="592"/>
      <c r="AB593" s="592"/>
      <c r="AC593" s="592"/>
      <c r="AD593" s="592"/>
      <c r="AE593" s="592"/>
      <c r="AF593" s="592"/>
      <c r="AG593" s="592"/>
    </row>
    <row r="594">
      <c r="E594" s="592"/>
      <c r="F594" s="591"/>
      <c r="G594" s="591"/>
      <c r="H594" s="592"/>
      <c r="I594" s="592"/>
      <c r="J594" s="592"/>
      <c r="K594" s="592"/>
      <c r="L594" s="592"/>
      <c r="M594" s="592"/>
      <c r="N594" s="592"/>
      <c r="O594" s="592"/>
      <c r="P594" s="592"/>
      <c r="Q594" s="592"/>
      <c r="R594" s="592"/>
      <c r="S594" s="592"/>
      <c r="T594" s="592"/>
      <c r="U594" s="592"/>
      <c r="V594" s="592"/>
      <c r="W594" s="592"/>
      <c r="X594" s="592"/>
      <c r="Y594" s="592"/>
      <c r="Z594" s="592"/>
      <c r="AA594" s="592"/>
      <c r="AB594" s="592"/>
      <c r="AC594" s="592"/>
      <c r="AD594" s="592"/>
      <c r="AE594" s="592"/>
      <c r="AF594" s="592"/>
      <c r="AG594" s="592"/>
    </row>
    <row r="595">
      <c r="E595" s="592"/>
      <c r="F595" s="591"/>
      <c r="G595" s="591"/>
      <c r="H595" s="592"/>
      <c r="I595" s="592"/>
      <c r="J595" s="592"/>
      <c r="K595" s="592"/>
      <c r="L595" s="592"/>
      <c r="M595" s="592"/>
      <c r="N595" s="592"/>
      <c r="O595" s="592"/>
      <c r="P595" s="592"/>
      <c r="Q595" s="592"/>
      <c r="R595" s="592"/>
      <c r="S595" s="592"/>
      <c r="T595" s="592"/>
      <c r="U595" s="592"/>
      <c r="V595" s="592"/>
      <c r="W595" s="592"/>
      <c r="X595" s="592"/>
      <c r="Y595" s="592"/>
      <c r="Z595" s="592"/>
      <c r="AA595" s="592"/>
      <c r="AB595" s="592"/>
      <c r="AC595" s="592"/>
      <c r="AD595" s="592"/>
      <c r="AE595" s="592"/>
      <c r="AF595" s="592"/>
      <c r="AG595" s="592"/>
    </row>
    <row r="596">
      <c r="E596" s="592"/>
      <c r="F596" s="591"/>
      <c r="G596" s="591"/>
      <c r="H596" s="592"/>
      <c r="I596" s="592"/>
      <c r="J596" s="592"/>
      <c r="K596" s="592"/>
      <c r="L596" s="592"/>
      <c r="M596" s="592"/>
      <c r="N596" s="592"/>
      <c r="O596" s="592"/>
      <c r="P596" s="592"/>
      <c r="Q596" s="592"/>
      <c r="R596" s="592"/>
      <c r="S596" s="592"/>
      <c r="T596" s="592"/>
      <c r="U596" s="592"/>
      <c r="V596" s="592"/>
      <c r="W596" s="592"/>
      <c r="X596" s="592"/>
      <c r="Y596" s="592"/>
      <c r="Z596" s="592"/>
      <c r="AA596" s="592"/>
      <c r="AB596" s="592"/>
      <c r="AC596" s="592"/>
      <c r="AD596" s="592"/>
      <c r="AE596" s="592"/>
      <c r="AF596" s="592"/>
      <c r="AG596" s="592"/>
    </row>
    <row r="597">
      <c r="E597" s="592"/>
      <c r="F597" s="591"/>
      <c r="G597" s="591"/>
      <c r="H597" s="592"/>
      <c r="I597" s="592"/>
      <c r="J597" s="592"/>
      <c r="K597" s="592"/>
      <c r="L597" s="592"/>
      <c r="M597" s="592"/>
      <c r="N597" s="592"/>
      <c r="O597" s="592"/>
      <c r="P597" s="592"/>
      <c r="Q597" s="592"/>
      <c r="R597" s="592"/>
      <c r="S597" s="592"/>
      <c r="T597" s="592"/>
      <c r="U597" s="592"/>
      <c r="V597" s="592"/>
      <c r="W597" s="592"/>
      <c r="X597" s="592"/>
      <c r="Y597" s="592"/>
      <c r="Z597" s="592"/>
      <c r="AA597" s="592"/>
      <c r="AB597" s="592"/>
      <c r="AC597" s="592"/>
      <c r="AD597" s="592"/>
      <c r="AE597" s="592"/>
      <c r="AF597" s="592"/>
      <c r="AG597" s="592"/>
    </row>
    <row r="598">
      <c r="E598" s="592"/>
      <c r="F598" s="591"/>
      <c r="G598" s="591"/>
      <c r="H598" s="592"/>
      <c r="I598" s="592"/>
      <c r="J598" s="592"/>
      <c r="K598" s="592"/>
      <c r="L598" s="592"/>
      <c r="M598" s="592"/>
      <c r="N598" s="592"/>
      <c r="O598" s="592"/>
      <c r="P598" s="592"/>
      <c r="Q598" s="592"/>
      <c r="R598" s="592"/>
      <c r="S598" s="592"/>
      <c r="T598" s="592"/>
      <c r="U598" s="592"/>
      <c r="V598" s="592"/>
      <c r="W598" s="592"/>
      <c r="X598" s="592"/>
      <c r="Y598" s="592"/>
      <c r="Z598" s="592"/>
      <c r="AA598" s="592"/>
      <c r="AB598" s="592"/>
      <c r="AC598" s="592"/>
      <c r="AD598" s="592"/>
      <c r="AE598" s="592"/>
      <c r="AF598" s="592"/>
      <c r="AG598" s="592"/>
    </row>
    <row r="599">
      <c r="E599" s="592"/>
      <c r="F599" s="591"/>
      <c r="G599" s="591"/>
      <c r="H599" s="592"/>
      <c r="I599" s="592"/>
      <c r="J599" s="592"/>
      <c r="K599" s="592"/>
      <c r="L599" s="592"/>
      <c r="M599" s="592"/>
      <c r="N599" s="592"/>
      <c r="O599" s="592"/>
      <c r="P599" s="592"/>
      <c r="Q599" s="592"/>
      <c r="R599" s="592"/>
      <c r="S599" s="592"/>
      <c r="T599" s="592"/>
      <c r="U599" s="592"/>
      <c r="V599" s="592"/>
      <c r="W599" s="592"/>
      <c r="X599" s="592"/>
      <c r="Y599" s="592"/>
      <c r="Z599" s="592"/>
      <c r="AA599" s="592"/>
      <c r="AB599" s="592"/>
      <c r="AC599" s="592"/>
      <c r="AD599" s="592"/>
      <c r="AE599" s="592"/>
      <c r="AF599" s="592"/>
      <c r="AG599" s="592"/>
    </row>
    <row r="600">
      <c r="E600" s="592"/>
      <c r="F600" s="591"/>
      <c r="G600" s="591"/>
      <c r="H600" s="592"/>
      <c r="I600" s="592"/>
      <c r="J600" s="592"/>
      <c r="K600" s="592"/>
      <c r="L600" s="592"/>
      <c r="M600" s="592"/>
      <c r="N600" s="592"/>
      <c r="O600" s="592"/>
      <c r="P600" s="592"/>
      <c r="Q600" s="592"/>
      <c r="R600" s="592"/>
      <c r="S600" s="592"/>
      <c r="T600" s="592"/>
      <c r="U600" s="592"/>
      <c r="V600" s="592"/>
      <c r="W600" s="592"/>
      <c r="X600" s="592"/>
      <c r="Y600" s="592"/>
      <c r="Z600" s="592"/>
      <c r="AA600" s="592"/>
      <c r="AB600" s="592"/>
      <c r="AC600" s="592"/>
      <c r="AD600" s="592"/>
      <c r="AE600" s="592"/>
      <c r="AF600" s="592"/>
      <c r="AG600" s="592"/>
    </row>
    <row r="601">
      <c r="E601" s="592"/>
      <c r="F601" s="591"/>
      <c r="G601" s="591"/>
      <c r="H601" s="592"/>
      <c r="I601" s="592"/>
      <c r="J601" s="592"/>
      <c r="K601" s="592"/>
      <c r="L601" s="592"/>
      <c r="M601" s="592"/>
      <c r="N601" s="592"/>
      <c r="O601" s="592"/>
      <c r="P601" s="592"/>
      <c r="Q601" s="592"/>
      <c r="R601" s="592"/>
      <c r="S601" s="592"/>
      <c r="T601" s="592"/>
      <c r="U601" s="592"/>
      <c r="V601" s="592"/>
      <c r="W601" s="592"/>
      <c r="X601" s="592"/>
      <c r="Y601" s="592"/>
      <c r="Z601" s="592"/>
      <c r="AA601" s="592"/>
      <c r="AB601" s="592"/>
      <c r="AC601" s="592"/>
      <c r="AD601" s="592"/>
      <c r="AE601" s="592"/>
      <c r="AF601" s="592"/>
      <c r="AG601" s="592"/>
    </row>
    <row r="602">
      <c r="E602" s="592"/>
      <c r="F602" s="591"/>
      <c r="G602" s="591"/>
      <c r="H602" s="592"/>
      <c r="I602" s="592"/>
      <c r="J602" s="592"/>
      <c r="K602" s="592"/>
      <c r="L602" s="592"/>
      <c r="M602" s="592"/>
      <c r="N602" s="592"/>
      <c r="O602" s="592"/>
      <c r="P602" s="592"/>
      <c r="Q602" s="592"/>
      <c r="R602" s="592"/>
      <c r="S602" s="592"/>
      <c r="T602" s="592"/>
      <c r="U602" s="592"/>
      <c r="V602" s="592"/>
      <c r="W602" s="592"/>
      <c r="X602" s="592"/>
      <c r="Y602" s="592"/>
      <c r="Z602" s="592"/>
      <c r="AA602" s="592"/>
      <c r="AB602" s="592"/>
      <c r="AC602" s="592"/>
      <c r="AD602" s="592"/>
      <c r="AE602" s="592"/>
      <c r="AF602" s="592"/>
      <c r="AG602" s="592"/>
    </row>
    <row r="603">
      <c r="E603" s="592"/>
      <c r="F603" s="591"/>
      <c r="G603" s="591"/>
      <c r="H603" s="592"/>
      <c r="I603" s="592"/>
      <c r="J603" s="592"/>
      <c r="K603" s="592"/>
      <c r="L603" s="592"/>
      <c r="M603" s="592"/>
      <c r="N603" s="592"/>
      <c r="O603" s="592"/>
      <c r="P603" s="592"/>
      <c r="Q603" s="592"/>
      <c r="R603" s="592"/>
      <c r="S603" s="592"/>
      <c r="T603" s="592"/>
      <c r="U603" s="592"/>
      <c r="V603" s="592"/>
      <c r="W603" s="592"/>
      <c r="X603" s="592"/>
      <c r="Y603" s="592"/>
      <c r="Z603" s="592"/>
      <c r="AA603" s="592"/>
      <c r="AB603" s="592"/>
      <c r="AC603" s="592"/>
      <c r="AD603" s="592"/>
      <c r="AE603" s="592"/>
      <c r="AF603" s="592"/>
      <c r="AG603" s="592"/>
    </row>
    <row r="604">
      <c r="E604" s="592"/>
      <c r="F604" s="591"/>
      <c r="G604" s="591"/>
      <c r="H604" s="592"/>
      <c r="I604" s="592"/>
      <c r="J604" s="592"/>
      <c r="K604" s="592"/>
      <c r="L604" s="592"/>
      <c r="M604" s="592"/>
      <c r="N604" s="592"/>
      <c r="O604" s="592"/>
      <c r="P604" s="592"/>
      <c r="Q604" s="592"/>
      <c r="R604" s="592"/>
      <c r="S604" s="592"/>
      <c r="T604" s="592"/>
      <c r="U604" s="592"/>
      <c r="V604" s="592"/>
      <c r="W604" s="592"/>
      <c r="X604" s="592"/>
      <c r="Y604" s="592"/>
      <c r="Z604" s="592"/>
      <c r="AA604" s="592"/>
      <c r="AB604" s="592"/>
      <c r="AC604" s="592"/>
      <c r="AD604" s="592"/>
      <c r="AE604" s="592"/>
      <c r="AF604" s="592"/>
      <c r="AG604" s="592"/>
    </row>
    <row r="605">
      <c r="E605" s="592"/>
      <c r="F605" s="591"/>
      <c r="G605" s="591"/>
      <c r="H605" s="592"/>
      <c r="I605" s="592"/>
      <c r="J605" s="592"/>
      <c r="K605" s="592"/>
      <c r="L605" s="592"/>
      <c r="M605" s="592"/>
      <c r="N605" s="592"/>
      <c r="O605" s="592"/>
      <c r="P605" s="592"/>
      <c r="Q605" s="592"/>
      <c r="R605" s="592"/>
      <c r="S605" s="592"/>
      <c r="T605" s="592"/>
      <c r="U605" s="592"/>
      <c r="V605" s="592"/>
      <c r="W605" s="592"/>
      <c r="X605" s="592"/>
      <c r="Y605" s="592"/>
      <c r="Z605" s="592"/>
      <c r="AA605" s="592"/>
      <c r="AB605" s="592"/>
      <c r="AC605" s="592"/>
      <c r="AD605" s="592"/>
      <c r="AE605" s="592"/>
      <c r="AF605" s="592"/>
      <c r="AG605" s="592"/>
    </row>
    <row r="606">
      <c r="E606" s="592"/>
      <c r="F606" s="591"/>
      <c r="G606" s="591"/>
      <c r="H606" s="592"/>
      <c r="I606" s="592"/>
      <c r="J606" s="592"/>
      <c r="K606" s="592"/>
      <c r="L606" s="592"/>
      <c r="M606" s="592"/>
      <c r="N606" s="592"/>
      <c r="O606" s="592"/>
      <c r="P606" s="592"/>
      <c r="Q606" s="592"/>
      <c r="R606" s="592"/>
      <c r="S606" s="592"/>
      <c r="T606" s="592"/>
      <c r="U606" s="592"/>
      <c r="V606" s="592"/>
      <c r="W606" s="592"/>
      <c r="X606" s="592"/>
      <c r="Y606" s="592"/>
      <c r="Z606" s="592"/>
      <c r="AA606" s="592"/>
      <c r="AB606" s="592"/>
      <c r="AC606" s="592"/>
      <c r="AD606" s="592"/>
      <c r="AE606" s="592"/>
      <c r="AF606" s="592"/>
      <c r="AG606" s="592"/>
    </row>
    <row r="607">
      <c r="E607" s="592"/>
      <c r="F607" s="591"/>
      <c r="G607" s="591"/>
      <c r="H607" s="592"/>
      <c r="I607" s="592"/>
      <c r="J607" s="592"/>
      <c r="K607" s="592"/>
      <c r="L607" s="592"/>
      <c r="M607" s="592"/>
      <c r="N607" s="592"/>
      <c r="O607" s="592"/>
      <c r="P607" s="592"/>
      <c r="Q607" s="592"/>
      <c r="R607" s="592"/>
      <c r="S607" s="592"/>
      <c r="T607" s="592"/>
      <c r="U607" s="592"/>
      <c r="V607" s="592"/>
      <c r="W607" s="592"/>
      <c r="X607" s="592"/>
      <c r="Y607" s="592"/>
      <c r="Z607" s="592"/>
      <c r="AA607" s="592"/>
      <c r="AB607" s="592"/>
      <c r="AC607" s="592"/>
      <c r="AD607" s="592"/>
      <c r="AE607" s="592"/>
      <c r="AF607" s="592"/>
      <c r="AG607" s="592"/>
    </row>
    <row r="608">
      <c r="E608" s="592"/>
      <c r="F608" s="591"/>
      <c r="G608" s="591"/>
      <c r="H608" s="592"/>
      <c r="I608" s="592"/>
      <c r="J608" s="592"/>
      <c r="K608" s="592"/>
      <c r="L608" s="592"/>
      <c r="M608" s="592"/>
      <c r="N608" s="592"/>
      <c r="O608" s="592"/>
      <c r="P608" s="592"/>
      <c r="Q608" s="592"/>
      <c r="R608" s="592"/>
      <c r="S608" s="592"/>
      <c r="T608" s="592"/>
      <c r="U608" s="592"/>
      <c r="V608" s="592"/>
      <c r="W608" s="592"/>
      <c r="X608" s="592"/>
      <c r="Y608" s="592"/>
      <c r="Z608" s="592"/>
      <c r="AA608" s="592"/>
      <c r="AB608" s="592"/>
      <c r="AC608" s="592"/>
      <c r="AD608" s="592"/>
      <c r="AE608" s="592"/>
      <c r="AF608" s="592"/>
      <c r="AG608" s="592"/>
    </row>
    <row r="609">
      <c r="E609" s="592"/>
      <c r="F609" s="591"/>
      <c r="G609" s="591"/>
      <c r="H609" s="592"/>
      <c r="I609" s="592"/>
      <c r="J609" s="592"/>
      <c r="K609" s="592"/>
      <c r="L609" s="592"/>
      <c r="M609" s="592"/>
      <c r="N609" s="592"/>
      <c r="O609" s="592"/>
      <c r="P609" s="592"/>
      <c r="Q609" s="592"/>
      <c r="R609" s="592"/>
      <c r="S609" s="592"/>
      <c r="T609" s="592"/>
      <c r="U609" s="592"/>
      <c r="V609" s="592"/>
      <c r="W609" s="592"/>
      <c r="X609" s="592"/>
      <c r="Y609" s="592"/>
      <c r="Z609" s="592"/>
      <c r="AA609" s="592"/>
      <c r="AB609" s="592"/>
      <c r="AC609" s="592"/>
      <c r="AD609" s="592"/>
      <c r="AE609" s="592"/>
      <c r="AF609" s="592"/>
      <c r="AG609" s="592"/>
    </row>
    <row r="610">
      <c r="E610" s="592"/>
      <c r="F610" s="591"/>
      <c r="G610" s="591"/>
      <c r="H610" s="592"/>
      <c r="I610" s="592"/>
      <c r="J610" s="592"/>
      <c r="K610" s="592"/>
      <c r="L610" s="592"/>
      <c r="M610" s="592"/>
      <c r="N610" s="592"/>
      <c r="O610" s="592"/>
      <c r="P610" s="592"/>
      <c r="Q610" s="592"/>
      <c r="R610" s="592"/>
      <c r="S610" s="592"/>
      <c r="T610" s="592"/>
      <c r="U610" s="592"/>
      <c r="V610" s="592"/>
      <c r="W610" s="592"/>
      <c r="X610" s="592"/>
      <c r="Y610" s="592"/>
      <c r="Z610" s="592"/>
      <c r="AA610" s="592"/>
      <c r="AB610" s="592"/>
      <c r="AC610" s="592"/>
      <c r="AD610" s="592"/>
      <c r="AE610" s="592"/>
      <c r="AF610" s="592"/>
      <c r="AG610" s="592"/>
    </row>
    <row r="611">
      <c r="E611" s="592"/>
      <c r="F611" s="591"/>
      <c r="G611" s="591"/>
      <c r="H611" s="592"/>
      <c r="I611" s="592"/>
      <c r="J611" s="592"/>
      <c r="K611" s="592"/>
      <c r="L611" s="592"/>
      <c r="M611" s="592"/>
      <c r="N611" s="592"/>
      <c r="O611" s="592"/>
      <c r="P611" s="592"/>
      <c r="Q611" s="592"/>
      <c r="R611" s="592"/>
      <c r="S611" s="592"/>
      <c r="T611" s="592"/>
      <c r="U611" s="592"/>
      <c r="V611" s="592"/>
      <c r="W611" s="592"/>
      <c r="X611" s="592"/>
      <c r="Y611" s="592"/>
      <c r="Z611" s="592"/>
      <c r="AA611" s="592"/>
      <c r="AB611" s="592"/>
      <c r="AC611" s="592"/>
      <c r="AD611" s="592"/>
      <c r="AE611" s="592"/>
      <c r="AF611" s="592"/>
      <c r="AG611" s="592"/>
    </row>
    <row r="612">
      <c r="E612" s="592"/>
      <c r="F612" s="591"/>
      <c r="G612" s="591"/>
      <c r="H612" s="592"/>
      <c r="I612" s="592"/>
      <c r="J612" s="592"/>
      <c r="K612" s="592"/>
      <c r="L612" s="592"/>
      <c r="M612" s="592"/>
      <c r="N612" s="592"/>
      <c r="O612" s="592"/>
      <c r="P612" s="592"/>
      <c r="Q612" s="592"/>
      <c r="R612" s="592"/>
      <c r="S612" s="592"/>
      <c r="T612" s="592"/>
      <c r="U612" s="592"/>
      <c r="V612" s="592"/>
      <c r="W612" s="592"/>
      <c r="X612" s="592"/>
      <c r="Y612" s="592"/>
      <c r="Z612" s="592"/>
      <c r="AA612" s="592"/>
      <c r="AB612" s="592"/>
      <c r="AC612" s="592"/>
      <c r="AD612" s="592"/>
      <c r="AE612" s="592"/>
      <c r="AF612" s="592"/>
      <c r="AG612" s="592"/>
    </row>
    <row r="613">
      <c r="E613" s="592"/>
      <c r="F613" s="591"/>
      <c r="G613" s="591"/>
      <c r="H613" s="592"/>
      <c r="I613" s="592"/>
      <c r="J613" s="592"/>
      <c r="K613" s="592"/>
      <c r="L613" s="592"/>
      <c r="M613" s="592"/>
      <c r="N613" s="592"/>
      <c r="O613" s="592"/>
      <c r="P613" s="592"/>
      <c r="Q613" s="592"/>
      <c r="R613" s="592"/>
      <c r="S613" s="592"/>
      <c r="T613" s="592"/>
      <c r="U613" s="592"/>
      <c r="V613" s="592"/>
      <c r="W613" s="592"/>
      <c r="X613" s="592"/>
      <c r="Y613" s="592"/>
      <c r="Z613" s="592"/>
      <c r="AA613" s="592"/>
      <c r="AB613" s="592"/>
      <c r="AC613" s="592"/>
      <c r="AD613" s="592"/>
      <c r="AE613" s="592"/>
      <c r="AF613" s="592"/>
      <c r="AG613" s="592"/>
    </row>
    <row r="614">
      <c r="E614" s="592"/>
      <c r="F614" s="591"/>
      <c r="G614" s="591"/>
      <c r="H614" s="592"/>
      <c r="I614" s="592"/>
      <c r="J614" s="592"/>
      <c r="K614" s="592"/>
      <c r="L614" s="592"/>
      <c r="M614" s="592"/>
      <c r="N614" s="592"/>
      <c r="O614" s="592"/>
      <c r="P614" s="592"/>
      <c r="Q614" s="592"/>
      <c r="R614" s="592"/>
      <c r="S614" s="592"/>
      <c r="T614" s="592"/>
      <c r="U614" s="592"/>
      <c r="V614" s="592"/>
      <c r="W614" s="592"/>
      <c r="X614" s="592"/>
      <c r="Y614" s="592"/>
      <c r="Z614" s="592"/>
      <c r="AA614" s="592"/>
      <c r="AB614" s="592"/>
      <c r="AC614" s="592"/>
      <c r="AD614" s="592"/>
      <c r="AE614" s="592"/>
      <c r="AF614" s="592"/>
      <c r="AG614" s="592"/>
    </row>
    <row r="615">
      <c r="E615" s="592"/>
      <c r="F615" s="591"/>
      <c r="G615" s="591"/>
      <c r="H615" s="592"/>
      <c r="I615" s="592"/>
      <c r="J615" s="592"/>
      <c r="K615" s="592"/>
      <c r="L615" s="592"/>
      <c r="M615" s="592"/>
      <c r="N615" s="592"/>
      <c r="O615" s="592"/>
      <c r="P615" s="592"/>
      <c r="Q615" s="592"/>
      <c r="R615" s="592"/>
      <c r="S615" s="592"/>
      <c r="T615" s="592"/>
      <c r="U615" s="592"/>
      <c r="V615" s="592"/>
      <c r="W615" s="592"/>
      <c r="X615" s="592"/>
      <c r="Y615" s="592"/>
      <c r="Z615" s="592"/>
      <c r="AA615" s="592"/>
      <c r="AB615" s="592"/>
      <c r="AC615" s="592"/>
      <c r="AD615" s="592"/>
      <c r="AE615" s="592"/>
      <c r="AF615" s="592"/>
      <c r="AG615" s="592"/>
    </row>
    <row r="616">
      <c r="E616" s="592"/>
      <c r="F616" s="591"/>
      <c r="G616" s="591"/>
      <c r="H616" s="592"/>
      <c r="I616" s="592"/>
      <c r="J616" s="592"/>
      <c r="K616" s="592"/>
      <c r="L616" s="592"/>
      <c r="M616" s="592"/>
      <c r="N616" s="592"/>
      <c r="O616" s="592"/>
      <c r="P616" s="592"/>
      <c r="Q616" s="592"/>
      <c r="R616" s="592"/>
      <c r="S616" s="592"/>
      <c r="T616" s="592"/>
      <c r="U616" s="592"/>
      <c r="V616" s="592"/>
      <c r="W616" s="592"/>
      <c r="X616" s="592"/>
      <c r="Y616" s="592"/>
      <c r="Z616" s="592"/>
      <c r="AA616" s="592"/>
      <c r="AB616" s="592"/>
      <c r="AC616" s="592"/>
      <c r="AD616" s="592"/>
      <c r="AE616" s="592"/>
      <c r="AF616" s="592"/>
      <c r="AG616" s="592"/>
    </row>
    <row r="617">
      <c r="E617" s="592"/>
      <c r="F617" s="591"/>
      <c r="G617" s="591"/>
      <c r="H617" s="592"/>
      <c r="I617" s="592"/>
      <c r="J617" s="592"/>
      <c r="K617" s="592"/>
      <c r="L617" s="592"/>
      <c r="M617" s="592"/>
      <c r="N617" s="592"/>
      <c r="O617" s="592"/>
      <c r="P617" s="592"/>
      <c r="Q617" s="592"/>
      <c r="R617" s="592"/>
      <c r="S617" s="592"/>
      <c r="T617" s="592"/>
      <c r="U617" s="592"/>
      <c r="V617" s="592"/>
      <c r="W617" s="592"/>
      <c r="X617" s="592"/>
      <c r="Y617" s="592"/>
      <c r="Z617" s="592"/>
      <c r="AA617" s="592"/>
      <c r="AB617" s="592"/>
      <c r="AC617" s="592"/>
      <c r="AD617" s="592"/>
      <c r="AE617" s="592"/>
      <c r="AF617" s="592"/>
      <c r="AG617" s="592"/>
    </row>
    <row r="618">
      <c r="E618" s="592"/>
      <c r="F618" s="591"/>
      <c r="G618" s="591"/>
      <c r="H618" s="592"/>
      <c r="I618" s="592"/>
      <c r="J618" s="592"/>
      <c r="K618" s="592"/>
      <c r="L618" s="592"/>
      <c r="M618" s="592"/>
      <c r="N618" s="592"/>
      <c r="O618" s="592"/>
      <c r="P618" s="592"/>
      <c r="Q618" s="592"/>
      <c r="R618" s="592"/>
      <c r="S618" s="592"/>
      <c r="T618" s="592"/>
      <c r="U618" s="592"/>
      <c r="V618" s="592"/>
      <c r="W618" s="592"/>
      <c r="X618" s="592"/>
      <c r="Y618" s="592"/>
      <c r="Z618" s="592"/>
      <c r="AA618" s="592"/>
      <c r="AB618" s="592"/>
      <c r="AC618" s="592"/>
      <c r="AD618" s="592"/>
      <c r="AE618" s="592"/>
      <c r="AF618" s="592"/>
      <c r="AG618" s="592"/>
    </row>
    <row r="619">
      <c r="E619" s="592"/>
      <c r="F619" s="591"/>
      <c r="G619" s="591"/>
      <c r="H619" s="592"/>
      <c r="I619" s="592"/>
      <c r="J619" s="592"/>
      <c r="K619" s="592"/>
      <c r="L619" s="592"/>
      <c r="M619" s="592"/>
      <c r="N619" s="592"/>
      <c r="O619" s="592"/>
      <c r="P619" s="592"/>
      <c r="Q619" s="592"/>
      <c r="R619" s="592"/>
      <c r="S619" s="592"/>
      <c r="T619" s="592"/>
      <c r="U619" s="592"/>
      <c r="V619" s="592"/>
      <c r="W619" s="592"/>
      <c r="X619" s="592"/>
      <c r="Y619" s="592"/>
      <c r="Z619" s="592"/>
      <c r="AA619" s="592"/>
      <c r="AB619" s="592"/>
      <c r="AC619" s="592"/>
      <c r="AD619" s="592"/>
      <c r="AE619" s="592"/>
      <c r="AF619" s="592"/>
      <c r="AG619" s="592"/>
    </row>
    <row r="620">
      <c r="E620" s="592"/>
      <c r="F620" s="591"/>
      <c r="G620" s="591"/>
      <c r="H620" s="592"/>
      <c r="I620" s="592"/>
      <c r="J620" s="592"/>
      <c r="K620" s="592"/>
      <c r="L620" s="592"/>
      <c r="M620" s="592"/>
      <c r="N620" s="592"/>
      <c r="O620" s="592"/>
      <c r="P620" s="592"/>
      <c r="Q620" s="592"/>
      <c r="R620" s="592"/>
      <c r="S620" s="592"/>
      <c r="T620" s="592"/>
      <c r="U620" s="592"/>
      <c r="V620" s="592"/>
      <c r="W620" s="592"/>
      <c r="X620" s="592"/>
      <c r="Y620" s="592"/>
      <c r="Z620" s="592"/>
      <c r="AA620" s="592"/>
      <c r="AB620" s="592"/>
      <c r="AC620" s="592"/>
      <c r="AD620" s="592"/>
      <c r="AE620" s="592"/>
      <c r="AF620" s="592"/>
      <c r="AG620" s="592"/>
    </row>
    <row r="621">
      <c r="E621" s="592"/>
      <c r="F621" s="591"/>
      <c r="G621" s="591"/>
      <c r="H621" s="592"/>
      <c r="I621" s="592"/>
      <c r="J621" s="592"/>
      <c r="K621" s="592"/>
      <c r="L621" s="592"/>
      <c r="M621" s="592"/>
      <c r="N621" s="592"/>
      <c r="O621" s="592"/>
      <c r="P621" s="592"/>
      <c r="Q621" s="592"/>
      <c r="R621" s="592"/>
      <c r="S621" s="592"/>
      <c r="T621" s="592"/>
      <c r="U621" s="592"/>
      <c r="V621" s="592"/>
      <c r="W621" s="592"/>
      <c r="X621" s="592"/>
      <c r="Y621" s="592"/>
      <c r="Z621" s="592"/>
      <c r="AA621" s="592"/>
      <c r="AB621" s="592"/>
      <c r="AC621" s="592"/>
      <c r="AD621" s="592"/>
      <c r="AE621" s="592"/>
      <c r="AF621" s="592"/>
      <c r="AG621" s="592"/>
    </row>
    <row r="622">
      <c r="E622" s="592"/>
      <c r="F622" s="591"/>
      <c r="G622" s="591"/>
      <c r="H622" s="592"/>
      <c r="I622" s="592"/>
      <c r="J622" s="592"/>
      <c r="K622" s="592"/>
      <c r="L622" s="592"/>
      <c r="M622" s="592"/>
      <c r="N622" s="592"/>
      <c r="O622" s="592"/>
      <c r="P622" s="592"/>
      <c r="Q622" s="592"/>
      <c r="R622" s="592"/>
      <c r="S622" s="592"/>
      <c r="T622" s="592"/>
      <c r="U622" s="592"/>
      <c r="V622" s="592"/>
      <c r="W622" s="592"/>
      <c r="X622" s="592"/>
      <c r="Y622" s="592"/>
      <c r="Z622" s="592"/>
      <c r="AA622" s="592"/>
      <c r="AB622" s="592"/>
      <c r="AC622" s="592"/>
      <c r="AD622" s="592"/>
      <c r="AE622" s="592"/>
      <c r="AF622" s="592"/>
      <c r="AG622" s="592"/>
    </row>
    <row r="623">
      <c r="E623" s="592"/>
      <c r="F623" s="591"/>
      <c r="G623" s="591"/>
      <c r="H623" s="592"/>
      <c r="I623" s="592"/>
      <c r="J623" s="592"/>
      <c r="K623" s="592"/>
      <c r="L623" s="592"/>
      <c r="M623" s="592"/>
      <c r="N623" s="592"/>
      <c r="O623" s="592"/>
      <c r="P623" s="592"/>
      <c r="Q623" s="592"/>
      <c r="R623" s="592"/>
      <c r="S623" s="592"/>
      <c r="T623" s="592"/>
      <c r="U623" s="592"/>
      <c r="V623" s="592"/>
      <c r="W623" s="592"/>
      <c r="X623" s="592"/>
      <c r="Y623" s="592"/>
      <c r="Z623" s="592"/>
      <c r="AA623" s="592"/>
      <c r="AB623" s="592"/>
      <c r="AC623" s="592"/>
      <c r="AD623" s="592"/>
      <c r="AE623" s="592"/>
      <c r="AF623" s="592"/>
      <c r="AG623" s="592"/>
    </row>
    <row r="624">
      <c r="E624" s="592"/>
      <c r="F624" s="591"/>
      <c r="G624" s="591"/>
      <c r="H624" s="592"/>
      <c r="I624" s="592"/>
      <c r="J624" s="592"/>
      <c r="K624" s="592"/>
      <c r="L624" s="592"/>
      <c r="M624" s="592"/>
      <c r="N624" s="592"/>
      <c r="O624" s="592"/>
      <c r="P624" s="592"/>
      <c r="Q624" s="592"/>
      <c r="R624" s="592"/>
      <c r="S624" s="592"/>
      <c r="T624" s="592"/>
      <c r="U624" s="592"/>
      <c r="V624" s="592"/>
      <c r="W624" s="592"/>
      <c r="X624" s="592"/>
      <c r="Y624" s="592"/>
      <c r="Z624" s="592"/>
      <c r="AA624" s="592"/>
      <c r="AB624" s="592"/>
      <c r="AC624" s="592"/>
      <c r="AD624" s="592"/>
      <c r="AE624" s="592"/>
      <c r="AF624" s="592"/>
      <c r="AG624" s="592"/>
    </row>
    <row r="625">
      <c r="E625" s="592"/>
      <c r="F625" s="591"/>
      <c r="G625" s="591"/>
      <c r="H625" s="592"/>
      <c r="I625" s="592"/>
      <c r="J625" s="592"/>
      <c r="K625" s="592"/>
      <c r="L625" s="592"/>
      <c r="M625" s="592"/>
      <c r="N625" s="592"/>
      <c r="O625" s="592"/>
      <c r="P625" s="592"/>
      <c r="Q625" s="592"/>
      <c r="R625" s="592"/>
      <c r="S625" s="592"/>
      <c r="T625" s="592"/>
      <c r="U625" s="592"/>
      <c r="V625" s="592"/>
      <c r="W625" s="592"/>
      <c r="X625" s="592"/>
      <c r="Y625" s="592"/>
      <c r="Z625" s="592"/>
      <c r="AA625" s="592"/>
      <c r="AB625" s="592"/>
      <c r="AC625" s="592"/>
      <c r="AD625" s="592"/>
      <c r="AE625" s="592"/>
      <c r="AF625" s="592"/>
      <c r="AG625" s="592"/>
    </row>
    <row r="626">
      <c r="E626" s="592"/>
      <c r="F626" s="591"/>
      <c r="G626" s="591"/>
      <c r="H626" s="592"/>
      <c r="I626" s="592"/>
      <c r="J626" s="592"/>
      <c r="K626" s="592"/>
      <c r="L626" s="592"/>
      <c r="M626" s="592"/>
      <c r="N626" s="592"/>
      <c r="O626" s="592"/>
      <c r="P626" s="592"/>
      <c r="Q626" s="592"/>
      <c r="R626" s="592"/>
      <c r="S626" s="592"/>
      <c r="T626" s="592"/>
      <c r="U626" s="592"/>
      <c r="V626" s="592"/>
      <c r="W626" s="592"/>
      <c r="X626" s="592"/>
      <c r="Y626" s="592"/>
      <c r="Z626" s="592"/>
      <c r="AA626" s="592"/>
      <c r="AB626" s="592"/>
      <c r="AC626" s="592"/>
      <c r="AD626" s="592"/>
      <c r="AE626" s="592"/>
      <c r="AF626" s="592"/>
      <c r="AG626" s="592"/>
    </row>
    <row r="627">
      <c r="E627" s="592"/>
      <c r="F627" s="591"/>
      <c r="G627" s="591"/>
      <c r="H627" s="592"/>
      <c r="I627" s="592"/>
      <c r="J627" s="592"/>
      <c r="K627" s="592"/>
      <c r="L627" s="592"/>
      <c r="M627" s="592"/>
      <c r="N627" s="592"/>
      <c r="O627" s="592"/>
      <c r="P627" s="592"/>
      <c r="Q627" s="592"/>
      <c r="R627" s="592"/>
      <c r="S627" s="592"/>
      <c r="T627" s="592"/>
      <c r="U627" s="592"/>
      <c r="V627" s="592"/>
      <c r="W627" s="592"/>
      <c r="X627" s="592"/>
      <c r="Y627" s="592"/>
      <c r="Z627" s="592"/>
      <c r="AA627" s="592"/>
      <c r="AB627" s="592"/>
      <c r="AC627" s="592"/>
      <c r="AD627" s="592"/>
      <c r="AE627" s="592"/>
      <c r="AF627" s="592"/>
      <c r="AG627" s="592"/>
    </row>
    <row r="628">
      <c r="E628" s="592"/>
      <c r="F628" s="591"/>
      <c r="G628" s="591"/>
      <c r="H628" s="592"/>
      <c r="I628" s="592"/>
      <c r="J628" s="592"/>
      <c r="K628" s="592"/>
      <c r="L628" s="592"/>
      <c r="M628" s="592"/>
      <c r="N628" s="592"/>
      <c r="O628" s="592"/>
      <c r="P628" s="592"/>
      <c r="Q628" s="592"/>
      <c r="R628" s="592"/>
      <c r="S628" s="592"/>
      <c r="T628" s="592"/>
      <c r="U628" s="592"/>
      <c r="V628" s="592"/>
      <c r="W628" s="592"/>
      <c r="X628" s="592"/>
      <c r="Y628" s="592"/>
      <c r="Z628" s="592"/>
      <c r="AA628" s="592"/>
      <c r="AB628" s="592"/>
      <c r="AC628" s="592"/>
      <c r="AD628" s="592"/>
      <c r="AE628" s="592"/>
      <c r="AF628" s="592"/>
      <c r="AG628" s="592"/>
    </row>
    <row r="629">
      <c r="E629" s="592"/>
      <c r="F629" s="591"/>
      <c r="G629" s="591"/>
      <c r="H629" s="592"/>
      <c r="I629" s="592"/>
      <c r="J629" s="592"/>
      <c r="K629" s="592"/>
      <c r="L629" s="592"/>
      <c r="M629" s="592"/>
      <c r="N629" s="592"/>
      <c r="O629" s="592"/>
      <c r="P629" s="592"/>
      <c r="Q629" s="592"/>
      <c r="R629" s="592"/>
      <c r="S629" s="592"/>
      <c r="T629" s="592"/>
      <c r="U629" s="592"/>
      <c r="V629" s="592"/>
      <c r="W629" s="592"/>
      <c r="X629" s="592"/>
      <c r="Y629" s="592"/>
      <c r="Z629" s="592"/>
      <c r="AA629" s="592"/>
      <c r="AB629" s="592"/>
      <c r="AC629" s="592"/>
      <c r="AD629" s="592"/>
      <c r="AE629" s="592"/>
      <c r="AF629" s="592"/>
      <c r="AG629" s="592"/>
    </row>
    <row r="630">
      <c r="E630" s="592"/>
      <c r="F630" s="591"/>
      <c r="G630" s="591"/>
      <c r="H630" s="592"/>
      <c r="I630" s="592"/>
      <c r="J630" s="592"/>
      <c r="K630" s="592"/>
      <c r="L630" s="592"/>
      <c r="M630" s="592"/>
      <c r="N630" s="592"/>
      <c r="O630" s="592"/>
      <c r="P630" s="592"/>
      <c r="Q630" s="592"/>
      <c r="R630" s="592"/>
      <c r="S630" s="592"/>
      <c r="T630" s="592"/>
      <c r="U630" s="592"/>
      <c r="V630" s="592"/>
      <c r="W630" s="592"/>
      <c r="X630" s="592"/>
      <c r="Y630" s="592"/>
      <c r="Z630" s="592"/>
      <c r="AA630" s="592"/>
      <c r="AB630" s="592"/>
      <c r="AC630" s="592"/>
      <c r="AD630" s="592"/>
      <c r="AE630" s="592"/>
      <c r="AF630" s="592"/>
      <c r="AG630" s="592"/>
    </row>
    <row r="631">
      <c r="E631" s="592"/>
      <c r="F631" s="591"/>
      <c r="G631" s="591"/>
      <c r="H631" s="592"/>
      <c r="I631" s="592"/>
      <c r="J631" s="592"/>
      <c r="K631" s="592"/>
      <c r="L631" s="592"/>
      <c r="M631" s="592"/>
      <c r="N631" s="592"/>
      <c r="O631" s="592"/>
      <c r="P631" s="592"/>
      <c r="Q631" s="592"/>
      <c r="R631" s="592"/>
      <c r="S631" s="592"/>
      <c r="T631" s="592"/>
      <c r="U631" s="592"/>
      <c r="V631" s="592"/>
      <c r="W631" s="592"/>
      <c r="X631" s="592"/>
      <c r="Y631" s="592"/>
      <c r="Z631" s="592"/>
      <c r="AA631" s="592"/>
      <c r="AB631" s="592"/>
      <c r="AC631" s="592"/>
      <c r="AD631" s="592"/>
      <c r="AE631" s="592"/>
      <c r="AF631" s="592"/>
      <c r="AG631" s="592"/>
    </row>
    <row r="632">
      <c r="E632" s="592"/>
      <c r="F632" s="591"/>
      <c r="G632" s="591"/>
      <c r="H632" s="592"/>
      <c r="I632" s="592"/>
      <c r="J632" s="592"/>
      <c r="K632" s="592"/>
      <c r="L632" s="592"/>
      <c r="M632" s="592"/>
      <c r="N632" s="592"/>
      <c r="O632" s="592"/>
      <c r="P632" s="592"/>
      <c r="Q632" s="592"/>
      <c r="R632" s="592"/>
      <c r="S632" s="592"/>
      <c r="T632" s="592"/>
      <c r="U632" s="592"/>
      <c r="V632" s="592"/>
      <c r="W632" s="592"/>
      <c r="X632" s="592"/>
      <c r="Y632" s="592"/>
      <c r="Z632" s="592"/>
      <c r="AA632" s="592"/>
      <c r="AB632" s="592"/>
      <c r="AC632" s="592"/>
      <c r="AD632" s="592"/>
      <c r="AE632" s="592"/>
      <c r="AF632" s="592"/>
      <c r="AG632" s="592"/>
    </row>
    <row r="633">
      <c r="E633" s="592"/>
      <c r="F633" s="591"/>
      <c r="G633" s="591"/>
      <c r="H633" s="592"/>
      <c r="I633" s="592"/>
      <c r="J633" s="592"/>
      <c r="K633" s="592"/>
      <c r="L633" s="592"/>
      <c r="M633" s="592"/>
      <c r="N633" s="592"/>
      <c r="O633" s="592"/>
      <c r="P633" s="592"/>
      <c r="Q633" s="592"/>
      <c r="R633" s="592"/>
      <c r="S633" s="592"/>
      <c r="T633" s="592"/>
      <c r="U633" s="592"/>
      <c r="V633" s="592"/>
      <c r="W633" s="592"/>
      <c r="X633" s="592"/>
      <c r="Y633" s="592"/>
      <c r="Z633" s="592"/>
      <c r="AA633" s="592"/>
      <c r="AB633" s="592"/>
      <c r="AC633" s="592"/>
      <c r="AD633" s="592"/>
      <c r="AE633" s="592"/>
      <c r="AF633" s="592"/>
      <c r="AG633" s="592"/>
    </row>
    <row r="634">
      <c r="E634" s="592"/>
      <c r="F634" s="591"/>
      <c r="G634" s="591"/>
      <c r="H634" s="592"/>
      <c r="I634" s="592"/>
      <c r="J634" s="592"/>
      <c r="K634" s="592"/>
      <c r="L634" s="592"/>
      <c r="M634" s="592"/>
      <c r="N634" s="592"/>
      <c r="O634" s="592"/>
      <c r="P634" s="592"/>
      <c r="Q634" s="592"/>
      <c r="R634" s="592"/>
      <c r="S634" s="592"/>
      <c r="T634" s="592"/>
      <c r="U634" s="592"/>
      <c r="V634" s="592"/>
      <c r="W634" s="592"/>
      <c r="X634" s="592"/>
      <c r="Y634" s="592"/>
      <c r="Z634" s="592"/>
      <c r="AA634" s="592"/>
      <c r="AB634" s="592"/>
      <c r="AC634" s="592"/>
      <c r="AD634" s="592"/>
      <c r="AE634" s="592"/>
      <c r="AF634" s="592"/>
      <c r="AG634" s="592"/>
    </row>
    <row r="635">
      <c r="E635" s="592"/>
      <c r="F635" s="591"/>
      <c r="G635" s="591"/>
      <c r="H635" s="592"/>
      <c r="I635" s="592"/>
      <c r="J635" s="592"/>
      <c r="K635" s="592"/>
      <c r="L635" s="592"/>
      <c r="M635" s="592"/>
      <c r="N635" s="592"/>
      <c r="O635" s="592"/>
      <c r="P635" s="592"/>
      <c r="Q635" s="592"/>
      <c r="R635" s="592"/>
      <c r="S635" s="592"/>
      <c r="T635" s="592"/>
      <c r="U635" s="592"/>
      <c r="V635" s="592"/>
      <c r="W635" s="592"/>
      <c r="X635" s="592"/>
      <c r="Y635" s="592"/>
      <c r="Z635" s="592"/>
      <c r="AA635" s="592"/>
      <c r="AB635" s="592"/>
      <c r="AC635" s="592"/>
      <c r="AD635" s="592"/>
      <c r="AE635" s="592"/>
      <c r="AF635" s="592"/>
      <c r="AG635" s="592"/>
    </row>
    <row r="636">
      <c r="E636" s="592"/>
      <c r="F636" s="591"/>
      <c r="G636" s="591"/>
      <c r="H636" s="592"/>
      <c r="I636" s="592"/>
      <c r="J636" s="592"/>
      <c r="K636" s="592"/>
      <c r="L636" s="592"/>
      <c r="M636" s="592"/>
      <c r="N636" s="592"/>
      <c r="O636" s="592"/>
      <c r="P636" s="592"/>
      <c r="Q636" s="592"/>
      <c r="R636" s="592"/>
      <c r="S636" s="592"/>
      <c r="T636" s="592"/>
      <c r="U636" s="592"/>
      <c r="V636" s="592"/>
      <c r="W636" s="592"/>
      <c r="X636" s="592"/>
      <c r="Y636" s="592"/>
      <c r="Z636" s="592"/>
      <c r="AA636" s="592"/>
      <c r="AB636" s="592"/>
      <c r="AC636" s="592"/>
      <c r="AD636" s="592"/>
      <c r="AE636" s="592"/>
      <c r="AF636" s="592"/>
      <c r="AG636" s="592"/>
    </row>
    <row r="637">
      <c r="E637" s="592"/>
      <c r="F637" s="591"/>
      <c r="G637" s="591"/>
      <c r="H637" s="592"/>
      <c r="I637" s="592"/>
      <c r="J637" s="592"/>
      <c r="K637" s="592"/>
      <c r="L637" s="592"/>
      <c r="M637" s="592"/>
      <c r="N637" s="592"/>
      <c r="O637" s="592"/>
      <c r="P637" s="592"/>
      <c r="Q637" s="592"/>
      <c r="R637" s="592"/>
      <c r="S637" s="592"/>
      <c r="T637" s="592"/>
      <c r="U637" s="592"/>
      <c r="V637" s="592"/>
      <c r="W637" s="592"/>
      <c r="X637" s="592"/>
      <c r="Y637" s="592"/>
      <c r="Z637" s="592"/>
      <c r="AA637" s="592"/>
      <c r="AB637" s="592"/>
      <c r="AC637" s="592"/>
      <c r="AD637" s="592"/>
      <c r="AE637" s="592"/>
      <c r="AF637" s="592"/>
      <c r="AG637" s="592"/>
    </row>
    <row r="638">
      <c r="E638" s="592"/>
      <c r="F638" s="591"/>
      <c r="G638" s="591"/>
      <c r="H638" s="592"/>
      <c r="I638" s="592"/>
      <c r="J638" s="592"/>
      <c r="K638" s="592"/>
      <c r="L638" s="592"/>
      <c r="M638" s="592"/>
      <c r="N638" s="592"/>
      <c r="O638" s="592"/>
      <c r="P638" s="592"/>
      <c r="Q638" s="592"/>
      <c r="R638" s="592"/>
      <c r="S638" s="592"/>
      <c r="T638" s="592"/>
      <c r="U638" s="592"/>
      <c r="V638" s="592"/>
      <c r="W638" s="592"/>
      <c r="X638" s="592"/>
      <c r="Y638" s="592"/>
      <c r="Z638" s="592"/>
      <c r="AA638" s="592"/>
      <c r="AB638" s="592"/>
      <c r="AC638" s="592"/>
      <c r="AD638" s="592"/>
      <c r="AE638" s="592"/>
      <c r="AF638" s="592"/>
      <c r="AG638" s="592"/>
    </row>
    <row r="639">
      <c r="E639" s="592"/>
      <c r="F639" s="591"/>
      <c r="G639" s="591"/>
      <c r="H639" s="592"/>
      <c r="I639" s="592"/>
      <c r="J639" s="592"/>
      <c r="K639" s="592"/>
      <c r="L639" s="592"/>
      <c r="M639" s="592"/>
      <c r="N639" s="592"/>
      <c r="O639" s="592"/>
      <c r="P639" s="592"/>
      <c r="Q639" s="592"/>
      <c r="R639" s="592"/>
      <c r="S639" s="592"/>
      <c r="T639" s="592"/>
      <c r="U639" s="592"/>
      <c r="V639" s="592"/>
      <c r="W639" s="592"/>
      <c r="X639" s="592"/>
      <c r="Y639" s="592"/>
      <c r="Z639" s="592"/>
      <c r="AA639" s="592"/>
      <c r="AB639" s="592"/>
      <c r="AC639" s="592"/>
      <c r="AD639" s="592"/>
      <c r="AE639" s="592"/>
      <c r="AF639" s="592"/>
      <c r="AG639" s="592"/>
    </row>
    <row r="640">
      <c r="E640" s="592"/>
      <c r="F640" s="591"/>
      <c r="G640" s="591"/>
      <c r="H640" s="592"/>
      <c r="I640" s="592"/>
      <c r="J640" s="592"/>
      <c r="K640" s="592"/>
      <c r="L640" s="592"/>
      <c r="M640" s="592"/>
      <c r="N640" s="592"/>
      <c r="O640" s="592"/>
      <c r="P640" s="592"/>
      <c r="Q640" s="592"/>
      <c r="R640" s="592"/>
      <c r="S640" s="592"/>
      <c r="T640" s="592"/>
      <c r="U640" s="592"/>
      <c r="V640" s="592"/>
      <c r="W640" s="592"/>
      <c r="X640" s="592"/>
      <c r="Y640" s="592"/>
      <c r="Z640" s="592"/>
      <c r="AA640" s="592"/>
      <c r="AB640" s="592"/>
      <c r="AC640" s="592"/>
      <c r="AD640" s="592"/>
      <c r="AE640" s="592"/>
      <c r="AF640" s="592"/>
      <c r="AG640" s="592"/>
    </row>
    <row r="641">
      <c r="E641" s="592"/>
      <c r="F641" s="591"/>
      <c r="G641" s="591"/>
      <c r="H641" s="592"/>
      <c r="I641" s="592"/>
      <c r="J641" s="592"/>
      <c r="K641" s="592"/>
      <c r="L641" s="592"/>
      <c r="M641" s="592"/>
      <c r="N641" s="592"/>
      <c r="O641" s="592"/>
      <c r="P641" s="592"/>
      <c r="Q641" s="592"/>
      <c r="R641" s="592"/>
      <c r="S641" s="592"/>
      <c r="T641" s="592"/>
      <c r="U641" s="592"/>
      <c r="V641" s="592"/>
      <c r="W641" s="592"/>
      <c r="X641" s="592"/>
      <c r="Y641" s="592"/>
      <c r="Z641" s="592"/>
      <c r="AA641" s="592"/>
      <c r="AB641" s="592"/>
      <c r="AC641" s="592"/>
      <c r="AD641" s="592"/>
      <c r="AE641" s="592"/>
      <c r="AF641" s="592"/>
      <c r="AG641" s="592"/>
    </row>
    <row r="642">
      <c r="E642" s="592"/>
      <c r="F642" s="591"/>
      <c r="G642" s="591"/>
      <c r="H642" s="592"/>
      <c r="I642" s="592"/>
      <c r="J642" s="592"/>
      <c r="K642" s="592"/>
      <c r="L642" s="592"/>
      <c r="M642" s="592"/>
      <c r="N642" s="592"/>
      <c r="O642" s="592"/>
      <c r="P642" s="592"/>
      <c r="Q642" s="592"/>
      <c r="R642" s="592"/>
      <c r="S642" s="592"/>
      <c r="T642" s="592"/>
      <c r="U642" s="592"/>
      <c r="V642" s="592"/>
      <c r="W642" s="592"/>
      <c r="X642" s="592"/>
      <c r="Y642" s="592"/>
      <c r="Z642" s="592"/>
      <c r="AA642" s="592"/>
      <c r="AB642" s="592"/>
      <c r="AC642" s="592"/>
      <c r="AD642" s="592"/>
      <c r="AE642" s="592"/>
      <c r="AF642" s="592"/>
      <c r="AG642" s="592"/>
    </row>
    <row r="643">
      <c r="E643" s="592"/>
      <c r="F643" s="591"/>
      <c r="G643" s="591"/>
      <c r="H643" s="592"/>
      <c r="I643" s="592"/>
      <c r="J643" s="592"/>
      <c r="K643" s="592"/>
      <c r="L643" s="592"/>
      <c r="M643" s="592"/>
      <c r="N643" s="592"/>
      <c r="O643" s="592"/>
      <c r="P643" s="592"/>
      <c r="Q643" s="592"/>
      <c r="R643" s="592"/>
      <c r="S643" s="592"/>
      <c r="T643" s="592"/>
      <c r="U643" s="592"/>
      <c r="V643" s="592"/>
      <c r="W643" s="592"/>
      <c r="X643" s="592"/>
      <c r="Y643" s="592"/>
      <c r="Z643" s="592"/>
      <c r="AA643" s="592"/>
      <c r="AB643" s="592"/>
      <c r="AC643" s="592"/>
      <c r="AD643" s="592"/>
      <c r="AE643" s="592"/>
      <c r="AF643" s="592"/>
      <c r="AG643" s="592"/>
    </row>
    <row r="644">
      <c r="E644" s="592"/>
      <c r="F644" s="591"/>
      <c r="G644" s="591"/>
      <c r="H644" s="592"/>
      <c r="I644" s="592"/>
      <c r="J644" s="592"/>
      <c r="K644" s="592"/>
      <c r="L644" s="592"/>
      <c r="M644" s="592"/>
      <c r="N644" s="592"/>
      <c r="O644" s="592"/>
      <c r="P644" s="592"/>
      <c r="Q644" s="592"/>
      <c r="R644" s="592"/>
      <c r="S644" s="592"/>
      <c r="T644" s="592"/>
      <c r="U644" s="592"/>
      <c r="V644" s="592"/>
      <c r="W644" s="592"/>
      <c r="X644" s="592"/>
      <c r="Y644" s="592"/>
      <c r="Z644" s="592"/>
      <c r="AA644" s="592"/>
      <c r="AB644" s="592"/>
      <c r="AC644" s="592"/>
      <c r="AD644" s="592"/>
      <c r="AE644" s="592"/>
      <c r="AF644" s="592"/>
      <c r="AG644" s="592"/>
    </row>
    <row r="645">
      <c r="E645" s="592"/>
      <c r="F645" s="591"/>
      <c r="G645" s="591"/>
      <c r="H645" s="592"/>
      <c r="I645" s="592"/>
      <c r="J645" s="592"/>
      <c r="K645" s="592"/>
      <c r="L645" s="592"/>
      <c r="M645" s="592"/>
      <c r="N645" s="592"/>
      <c r="O645" s="592"/>
      <c r="P645" s="592"/>
      <c r="Q645" s="592"/>
      <c r="R645" s="592"/>
      <c r="S645" s="592"/>
      <c r="T645" s="592"/>
      <c r="U645" s="592"/>
      <c r="V645" s="592"/>
      <c r="W645" s="592"/>
      <c r="X645" s="592"/>
      <c r="Y645" s="592"/>
      <c r="Z645" s="592"/>
      <c r="AA645" s="592"/>
      <c r="AB645" s="592"/>
      <c r="AC645" s="592"/>
      <c r="AD645" s="592"/>
      <c r="AE645" s="592"/>
      <c r="AF645" s="592"/>
      <c r="AG645" s="592"/>
    </row>
    <row r="646">
      <c r="E646" s="592"/>
      <c r="F646" s="591"/>
      <c r="G646" s="591"/>
      <c r="H646" s="592"/>
      <c r="I646" s="592"/>
      <c r="J646" s="592"/>
      <c r="K646" s="592"/>
      <c r="L646" s="592"/>
      <c r="M646" s="592"/>
      <c r="N646" s="592"/>
      <c r="O646" s="592"/>
      <c r="P646" s="592"/>
      <c r="Q646" s="592"/>
      <c r="R646" s="592"/>
      <c r="S646" s="592"/>
      <c r="T646" s="592"/>
      <c r="U646" s="592"/>
      <c r="V646" s="592"/>
      <c r="W646" s="592"/>
      <c r="X646" s="592"/>
      <c r="Y646" s="592"/>
      <c r="Z646" s="592"/>
      <c r="AA646" s="592"/>
      <c r="AB646" s="592"/>
      <c r="AC646" s="592"/>
      <c r="AD646" s="592"/>
      <c r="AE646" s="592"/>
      <c r="AF646" s="592"/>
      <c r="AG646" s="592"/>
    </row>
    <row r="647">
      <c r="E647" s="592"/>
      <c r="F647" s="591"/>
      <c r="G647" s="591"/>
      <c r="H647" s="592"/>
      <c r="I647" s="592"/>
      <c r="J647" s="592"/>
      <c r="K647" s="592"/>
      <c r="L647" s="592"/>
      <c r="M647" s="592"/>
      <c r="N647" s="592"/>
      <c r="O647" s="592"/>
      <c r="P647" s="592"/>
      <c r="Q647" s="592"/>
      <c r="R647" s="592"/>
      <c r="S647" s="592"/>
      <c r="T647" s="592"/>
      <c r="U647" s="592"/>
      <c r="V647" s="592"/>
      <c r="W647" s="592"/>
      <c r="X647" s="592"/>
      <c r="Y647" s="592"/>
      <c r="Z647" s="592"/>
      <c r="AA647" s="592"/>
      <c r="AB647" s="592"/>
      <c r="AC647" s="592"/>
      <c r="AD647" s="592"/>
      <c r="AE647" s="592"/>
      <c r="AF647" s="592"/>
      <c r="AG647" s="592"/>
    </row>
    <row r="648">
      <c r="E648" s="592"/>
      <c r="F648" s="591"/>
      <c r="G648" s="591"/>
      <c r="H648" s="592"/>
      <c r="I648" s="592"/>
      <c r="J648" s="592"/>
      <c r="K648" s="592"/>
      <c r="L648" s="592"/>
      <c r="M648" s="592"/>
      <c r="N648" s="592"/>
      <c r="O648" s="592"/>
      <c r="P648" s="592"/>
      <c r="Q648" s="592"/>
      <c r="R648" s="592"/>
      <c r="S648" s="592"/>
      <c r="T648" s="592"/>
      <c r="U648" s="592"/>
      <c r="V648" s="592"/>
      <c r="W648" s="592"/>
      <c r="X648" s="592"/>
      <c r="Y648" s="592"/>
      <c r="Z648" s="592"/>
      <c r="AA648" s="592"/>
      <c r="AB648" s="592"/>
      <c r="AC648" s="592"/>
      <c r="AD648" s="592"/>
      <c r="AE648" s="592"/>
      <c r="AF648" s="592"/>
      <c r="AG648" s="592"/>
    </row>
    <row r="649">
      <c r="E649" s="592"/>
      <c r="F649" s="591"/>
      <c r="G649" s="591"/>
      <c r="H649" s="592"/>
      <c r="I649" s="592"/>
      <c r="J649" s="592"/>
      <c r="K649" s="592"/>
      <c r="L649" s="592"/>
      <c r="M649" s="592"/>
      <c r="N649" s="592"/>
      <c r="O649" s="592"/>
      <c r="P649" s="592"/>
      <c r="Q649" s="592"/>
      <c r="R649" s="592"/>
      <c r="S649" s="592"/>
      <c r="T649" s="592"/>
      <c r="U649" s="592"/>
      <c r="V649" s="592"/>
      <c r="W649" s="592"/>
      <c r="X649" s="592"/>
      <c r="Y649" s="592"/>
      <c r="Z649" s="592"/>
      <c r="AA649" s="592"/>
      <c r="AB649" s="592"/>
      <c r="AC649" s="592"/>
      <c r="AD649" s="592"/>
      <c r="AE649" s="592"/>
      <c r="AF649" s="592"/>
      <c r="AG649" s="592"/>
    </row>
    <row r="650">
      <c r="E650" s="592"/>
      <c r="F650" s="591"/>
      <c r="G650" s="591"/>
      <c r="H650" s="592"/>
      <c r="I650" s="592"/>
      <c r="J650" s="592"/>
      <c r="K650" s="592"/>
      <c r="L650" s="592"/>
      <c r="M650" s="592"/>
      <c r="N650" s="592"/>
      <c r="O650" s="592"/>
      <c r="P650" s="592"/>
      <c r="Q650" s="592"/>
      <c r="R650" s="592"/>
      <c r="S650" s="592"/>
      <c r="T650" s="592"/>
      <c r="U650" s="592"/>
      <c r="V650" s="592"/>
      <c r="W650" s="592"/>
      <c r="X650" s="592"/>
      <c r="Y650" s="592"/>
      <c r="Z650" s="592"/>
      <c r="AA650" s="592"/>
      <c r="AB650" s="592"/>
      <c r="AC650" s="592"/>
      <c r="AD650" s="592"/>
      <c r="AE650" s="592"/>
      <c r="AF650" s="592"/>
      <c r="AG650" s="592"/>
    </row>
    <row r="651">
      <c r="E651" s="592"/>
      <c r="F651" s="591"/>
      <c r="G651" s="591"/>
      <c r="H651" s="592"/>
      <c r="I651" s="592"/>
      <c r="J651" s="592"/>
      <c r="K651" s="592"/>
      <c r="L651" s="592"/>
      <c r="M651" s="592"/>
      <c r="N651" s="592"/>
      <c r="O651" s="592"/>
      <c r="P651" s="592"/>
      <c r="Q651" s="592"/>
      <c r="R651" s="592"/>
      <c r="S651" s="592"/>
      <c r="T651" s="592"/>
      <c r="U651" s="592"/>
      <c r="V651" s="592"/>
      <c r="W651" s="592"/>
      <c r="X651" s="592"/>
      <c r="Y651" s="592"/>
      <c r="Z651" s="592"/>
      <c r="AA651" s="592"/>
      <c r="AB651" s="592"/>
      <c r="AC651" s="592"/>
      <c r="AD651" s="592"/>
      <c r="AE651" s="592"/>
      <c r="AF651" s="592"/>
      <c r="AG651" s="592"/>
    </row>
    <row r="652">
      <c r="E652" s="592"/>
      <c r="F652" s="591"/>
      <c r="G652" s="591"/>
      <c r="H652" s="592"/>
      <c r="I652" s="592"/>
      <c r="J652" s="592"/>
      <c r="K652" s="592"/>
      <c r="L652" s="592"/>
      <c r="M652" s="592"/>
      <c r="N652" s="592"/>
      <c r="O652" s="592"/>
      <c r="P652" s="592"/>
      <c r="Q652" s="592"/>
      <c r="R652" s="592"/>
      <c r="S652" s="592"/>
      <c r="T652" s="592"/>
      <c r="U652" s="592"/>
      <c r="V652" s="592"/>
      <c r="W652" s="592"/>
      <c r="X652" s="592"/>
      <c r="Y652" s="592"/>
      <c r="Z652" s="592"/>
      <c r="AA652" s="592"/>
      <c r="AB652" s="592"/>
      <c r="AC652" s="592"/>
      <c r="AD652" s="592"/>
      <c r="AE652" s="592"/>
      <c r="AF652" s="592"/>
      <c r="AG652" s="592"/>
    </row>
    <row r="653">
      <c r="E653" s="592"/>
      <c r="F653" s="591"/>
      <c r="G653" s="591"/>
      <c r="H653" s="592"/>
      <c r="I653" s="592"/>
      <c r="J653" s="592"/>
      <c r="K653" s="592"/>
      <c r="L653" s="592"/>
      <c r="M653" s="592"/>
      <c r="N653" s="592"/>
      <c r="O653" s="592"/>
      <c r="P653" s="592"/>
      <c r="Q653" s="592"/>
      <c r="R653" s="592"/>
      <c r="S653" s="592"/>
      <c r="T653" s="592"/>
      <c r="U653" s="592"/>
      <c r="V653" s="592"/>
      <c r="W653" s="592"/>
      <c r="X653" s="592"/>
      <c r="Y653" s="592"/>
      <c r="Z653" s="592"/>
      <c r="AA653" s="592"/>
      <c r="AB653" s="592"/>
      <c r="AC653" s="592"/>
      <c r="AD653" s="592"/>
      <c r="AE653" s="592"/>
      <c r="AF653" s="592"/>
      <c r="AG653" s="592"/>
    </row>
    <row r="654">
      <c r="E654" s="592"/>
      <c r="F654" s="591"/>
      <c r="G654" s="591"/>
      <c r="H654" s="592"/>
      <c r="I654" s="592"/>
      <c r="J654" s="592"/>
      <c r="K654" s="592"/>
      <c r="L654" s="592"/>
      <c r="M654" s="592"/>
      <c r="N654" s="592"/>
      <c r="O654" s="592"/>
      <c r="P654" s="592"/>
      <c r="Q654" s="592"/>
      <c r="R654" s="592"/>
      <c r="S654" s="592"/>
      <c r="T654" s="592"/>
      <c r="U654" s="592"/>
      <c r="V654" s="592"/>
      <c r="W654" s="592"/>
      <c r="X654" s="592"/>
      <c r="Y654" s="592"/>
      <c r="Z654" s="592"/>
      <c r="AA654" s="592"/>
      <c r="AB654" s="592"/>
      <c r="AC654" s="592"/>
      <c r="AD654" s="592"/>
      <c r="AE654" s="592"/>
      <c r="AF654" s="592"/>
      <c r="AG654" s="592"/>
    </row>
    <row r="655">
      <c r="E655" s="592"/>
      <c r="F655" s="591"/>
      <c r="G655" s="591"/>
      <c r="H655" s="592"/>
      <c r="I655" s="592"/>
      <c r="J655" s="592"/>
      <c r="K655" s="592"/>
      <c r="L655" s="592"/>
      <c r="M655" s="592"/>
      <c r="N655" s="592"/>
      <c r="O655" s="592"/>
      <c r="P655" s="592"/>
      <c r="Q655" s="592"/>
      <c r="R655" s="592"/>
      <c r="S655" s="592"/>
      <c r="T655" s="592"/>
      <c r="U655" s="592"/>
      <c r="V655" s="592"/>
      <c r="W655" s="592"/>
      <c r="X655" s="592"/>
      <c r="Y655" s="592"/>
      <c r="Z655" s="592"/>
      <c r="AA655" s="592"/>
      <c r="AB655" s="592"/>
      <c r="AC655" s="592"/>
      <c r="AD655" s="592"/>
      <c r="AE655" s="592"/>
      <c r="AF655" s="592"/>
      <c r="AG655" s="592"/>
    </row>
    <row r="656">
      <c r="E656" s="592"/>
      <c r="F656" s="591"/>
      <c r="G656" s="591"/>
      <c r="H656" s="592"/>
      <c r="I656" s="592"/>
      <c r="J656" s="592"/>
      <c r="K656" s="592"/>
      <c r="L656" s="592"/>
      <c r="M656" s="592"/>
      <c r="N656" s="592"/>
      <c r="O656" s="592"/>
      <c r="P656" s="592"/>
      <c r="Q656" s="592"/>
      <c r="R656" s="592"/>
      <c r="S656" s="592"/>
      <c r="T656" s="592"/>
      <c r="U656" s="592"/>
      <c r="V656" s="592"/>
      <c r="W656" s="592"/>
      <c r="X656" s="592"/>
      <c r="Y656" s="592"/>
      <c r="Z656" s="592"/>
      <c r="AA656" s="592"/>
      <c r="AB656" s="592"/>
      <c r="AC656" s="592"/>
      <c r="AD656" s="592"/>
      <c r="AE656" s="592"/>
      <c r="AF656" s="592"/>
      <c r="AG656" s="592"/>
    </row>
    <row r="657">
      <c r="E657" s="592"/>
      <c r="F657" s="591"/>
      <c r="G657" s="591"/>
      <c r="H657" s="592"/>
      <c r="I657" s="592"/>
      <c r="J657" s="592"/>
      <c r="K657" s="592"/>
      <c r="L657" s="592"/>
      <c r="M657" s="592"/>
      <c r="N657" s="592"/>
      <c r="O657" s="592"/>
      <c r="P657" s="592"/>
      <c r="Q657" s="592"/>
      <c r="R657" s="592"/>
      <c r="S657" s="592"/>
      <c r="T657" s="592"/>
      <c r="U657" s="592"/>
      <c r="V657" s="592"/>
      <c r="W657" s="592"/>
      <c r="X657" s="592"/>
      <c r="Y657" s="592"/>
      <c r="Z657" s="592"/>
      <c r="AA657" s="592"/>
      <c r="AB657" s="592"/>
      <c r="AC657" s="592"/>
      <c r="AD657" s="592"/>
      <c r="AE657" s="592"/>
      <c r="AF657" s="592"/>
      <c r="AG657" s="592"/>
    </row>
    <row r="658">
      <c r="E658" s="592"/>
      <c r="F658" s="591"/>
      <c r="G658" s="591"/>
      <c r="H658" s="592"/>
      <c r="I658" s="592"/>
      <c r="J658" s="592"/>
      <c r="K658" s="592"/>
      <c r="L658" s="592"/>
      <c r="M658" s="592"/>
      <c r="N658" s="592"/>
      <c r="O658" s="592"/>
      <c r="P658" s="592"/>
      <c r="Q658" s="592"/>
      <c r="R658" s="592"/>
      <c r="S658" s="592"/>
      <c r="T658" s="592"/>
      <c r="U658" s="592"/>
      <c r="V658" s="592"/>
      <c r="W658" s="592"/>
      <c r="X658" s="592"/>
      <c r="Y658" s="592"/>
      <c r="Z658" s="592"/>
      <c r="AA658" s="592"/>
      <c r="AB658" s="592"/>
      <c r="AC658" s="592"/>
      <c r="AD658" s="592"/>
      <c r="AE658" s="592"/>
      <c r="AF658" s="592"/>
      <c r="AG658" s="592"/>
    </row>
    <row r="659">
      <c r="E659" s="592"/>
      <c r="F659" s="591"/>
      <c r="G659" s="591"/>
      <c r="H659" s="592"/>
      <c r="I659" s="592"/>
      <c r="J659" s="592"/>
      <c r="K659" s="592"/>
      <c r="L659" s="592"/>
      <c r="M659" s="592"/>
      <c r="N659" s="592"/>
      <c r="O659" s="592"/>
      <c r="P659" s="592"/>
      <c r="Q659" s="592"/>
      <c r="R659" s="592"/>
      <c r="S659" s="592"/>
      <c r="T659" s="592"/>
      <c r="U659" s="592"/>
      <c r="V659" s="592"/>
      <c r="W659" s="592"/>
      <c r="X659" s="592"/>
      <c r="Y659" s="592"/>
      <c r="Z659" s="592"/>
      <c r="AA659" s="592"/>
      <c r="AB659" s="592"/>
      <c r="AC659" s="592"/>
      <c r="AD659" s="592"/>
      <c r="AE659" s="592"/>
      <c r="AF659" s="592"/>
      <c r="AG659" s="592"/>
    </row>
    <row r="660">
      <c r="E660" s="592"/>
      <c r="F660" s="591"/>
      <c r="G660" s="591"/>
      <c r="H660" s="592"/>
      <c r="I660" s="592"/>
      <c r="J660" s="592"/>
      <c r="K660" s="592"/>
      <c r="L660" s="592"/>
      <c r="M660" s="592"/>
      <c r="N660" s="592"/>
      <c r="O660" s="592"/>
      <c r="P660" s="592"/>
      <c r="Q660" s="592"/>
      <c r="R660" s="592"/>
      <c r="S660" s="592"/>
      <c r="T660" s="592"/>
      <c r="U660" s="592"/>
      <c r="V660" s="592"/>
      <c r="W660" s="592"/>
      <c r="X660" s="592"/>
      <c r="Y660" s="592"/>
      <c r="Z660" s="592"/>
      <c r="AA660" s="592"/>
      <c r="AB660" s="592"/>
      <c r="AC660" s="592"/>
      <c r="AD660" s="592"/>
      <c r="AE660" s="592"/>
      <c r="AF660" s="592"/>
      <c r="AG660" s="592"/>
    </row>
    <row r="661">
      <c r="E661" s="592"/>
      <c r="F661" s="591"/>
      <c r="G661" s="591"/>
      <c r="H661" s="592"/>
      <c r="I661" s="592"/>
      <c r="J661" s="592"/>
      <c r="K661" s="592"/>
      <c r="L661" s="592"/>
      <c r="M661" s="592"/>
      <c r="N661" s="592"/>
      <c r="O661" s="592"/>
      <c r="P661" s="592"/>
      <c r="Q661" s="592"/>
      <c r="R661" s="592"/>
      <c r="S661" s="592"/>
      <c r="T661" s="592"/>
      <c r="U661" s="592"/>
      <c r="V661" s="592"/>
      <c r="W661" s="592"/>
      <c r="X661" s="592"/>
      <c r="Y661" s="592"/>
      <c r="Z661" s="592"/>
      <c r="AA661" s="592"/>
      <c r="AB661" s="592"/>
      <c r="AC661" s="592"/>
      <c r="AD661" s="592"/>
      <c r="AE661" s="592"/>
      <c r="AF661" s="592"/>
      <c r="AG661" s="592"/>
    </row>
    <row r="662">
      <c r="E662" s="592"/>
      <c r="F662" s="591"/>
      <c r="G662" s="591"/>
      <c r="H662" s="592"/>
      <c r="I662" s="592"/>
      <c r="J662" s="592"/>
      <c r="K662" s="592"/>
      <c r="L662" s="592"/>
      <c r="M662" s="592"/>
      <c r="N662" s="592"/>
      <c r="O662" s="592"/>
      <c r="P662" s="592"/>
      <c r="Q662" s="592"/>
      <c r="R662" s="592"/>
      <c r="S662" s="592"/>
      <c r="T662" s="592"/>
      <c r="U662" s="592"/>
      <c r="V662" s="592"/>
      <c r="W662" s="592"/>
      <c r="X662" s="592"/>
      <c r="Y662" s="592"/>
      <c r="Z662" s="592"/>
      <c r="AA662" s="592"/>
      <c r="AB662" s="592"/>
      <c r="AC662" s="592"/>
      <c r="AD662" s="592"/>
      <c r="AE662" s="592"/>
      <c r="AF662" s="592"/>
      <c r="AG662" s="592"/>
    </row>
    <row r="663">
      <c r="E663" s="592"/>
      <c r="F663" s="591"/>
      <c r="G663" s="591"/>
      <c r="H663" s="592"/>
      <c r="I663" s="592"/>
      <c r="J663" s="592"/>
      <c r="K663" s="592"/>
      <c r="L663" s="592"/>
      <c r="M663" s="592"/>
      <c r="N663" s="592"/>
      <c r="O663" s="592"/>
      <c r="P663" s="592"/>
      <c r="Q663" s="592"/>
      <c r="R663" s="592"/>
      <c r="S663" s="592"/>
      <c r="T663" s="592"/>
      <c r="U663" s="592"/>
      <c r="V663" s="592"/>
      <c r="W663" s="592"/>
      <c r="X663" s="592"/>
      <c r="Y663" s="592"/>
      <c r="Z663" s="592"/>
      <c r="AA663" s="592"/>
      <c r="AB663" s="592"/>
      <c r="AC663" s="592"/>
      <c r="AD663" s="592"/>
      <c r="AE663" s="592"/>
      <c r="AF663" s="592"/>
      <c r="AG663" s="592"/>
    </row>
    <row r="664">
      <c r="E664" s="592"/>
      <c r="F664" s="591"/>
      <c r="G664" s="591"/>
      <c r="H664" s="592"/>
      <c r="I664" s="592"/>
      <c r="J664" s="592"/>
      <c r="K664" s="592"/>
      <c r="L664" s="592"/>
      <c r="M664" s="592"/>
      <c r="N664" s="592"/>
      <c r="O664" s="592"/>
      <c r="P664" s="592"/>
      <c r="Q664" s="592"/>
      <c r="R664" s="592"/>
      <c r="S664" s="592"/>
      <c r="T664" s="592"/>
      <c r="U664" s="592"/>
      <c r="V664" s="592"/>
      <c r="W664" s="592"/>
      <c r="X664" s="592"/>
      <c r="Y664" s="592"/>
      <c r="Z664" s="592"/>
      <c r="AA664" s="592"/>
      <c r="AB664" s="592"/>
      <c r="AC664" s="592"/>
      <c r="AD664" s="592"/>
      <c r="AE664" s="592"/>
      <c r="AF664" s="592"/>
      <c r="AG664" s="592"/>
    </row>
    <row r="665">
      <c r="E665" s="592"/>
      <c r="F665" s="591"/>
      <c r="G665" s="591"/>
      <c r="H665" s="592"/>
      <c r="I665" s="592"/>
      <c r="J665" s="592"/>
      <c r="K665" s="592"/>
      <c r="L665" s="592"/>
      <c r="M665" s="592"/>
      <c r="N665" s="592"/>
      <c r="O665" s="592"/>
      <c r="P665" s="592"/>
      <c r="Q665" s="592"/>
      <c r="R665" s="592"/>
      <c r="S665" s="592"/>
      <c r="T665" s="592"/>
      <c r="U665" s="592"/>
      <c r="V665" s="592"/>
      <c r="W665" s="592"/>
      <c r="X665" s="592"/>
      <c r="Y665" s="592"/>
      <c r="Z665" s="592"/>
      <c r="AA665" s="592"/>
      <c r="AB665" s="592"/>
      <c r="AC665" s="592"/>
      <c r="AD665" s="592"/>
      <c r="AE665" s="592"/>
      <c r="AF665" s="592"/>
      <c r="AG665" s="592"/>
    </row>
    <row r="666">
      <c r="E666" s="592"/>
      <c r="F666" s="591"/>
      <c r="G666" s="591"/>
      <c r="H666" s="592"/>
      <c r="I666" s="592"/>
      <c r="J666" s="592"/>
      <c r="K666" s="592"/>
      <c r="L666" s="592"/>
      <c r="M666" s="592"/>
      <c r="N666" s="592"/>
      <c r="O666" s="592"/>
      <c r="P666" s="592"/>
      <c r="Q666" s="592"/>
      <c r="R666" s="592"/>
      <c r="S666" s="592"/>
      <c r="T666" s="592"/>
      <c r="U666" s="592"/>
      <c r="V666" s="592"/>
      <c r="W666" s="592"/>
      <c r="X666" s="592"/>
      <c r="Y666" s="592"/>
      <c r="Z666" s="592"/>
      <c r="AA666" s="592"/>
      <c r="AB666" s="592"/>
      <c r="AC666" s="592"/>
      <c r="AD666" s="592"/>
      <c r="AE666" s="592"/>
      <c r="AF666" s="592"/>
      <c r="AG666" s="592"/>
    </row>
    <row r="667">
      <c r="E667" s="592"/>
      <c r="F667" s="591"/>
      <c r="G667" s="591"/>
      <c r="H667" s="592"/>
      <c r="I667" s="592"/>
      <c r="J667" s="592"/>
      <c r="K667" s="592"/>
      <c r="L667" s="592"/>
      <c r="M667" s="592"/>
      <c r="N667" s="592"/>
      <c r="O667" s="592"/>
      <c r="P667" s="592"/>
      <c r="Q667" s="592"/>
      <c r="R667" s="592"/>
      <c r="S667" s="592"/>
      <c r="T667" s="592"/>
      <c r="U667" s="592"/>
      <c r="V667" s="592"/>
      <c r="W667" s="592"/>
      <c r="X667" s="592"/>
      <c r="Y667" s="592"/>
      <c r="Z667" s="592"/>
      <c r="AA667" s="592"/>
      <c r="AB667" s="592"/>
      <c r="AC667" s="592"/>
      <c r="AD667" s="592"/>
      <c r="AE667" s="592"/>
      <c r="AF667" s="592"/>
      <c r="AG667" s="592"/>
    </row>
    <row r="668">
      <c r="E668" s="592"/>
      <c r="F668" s="591"/>
      <c r="G668" s="591"/>
      <c r="H668" s="592"/>
      <c r="I668" s="592"/>
      <c r="J668" s="592"/>
      <c r="K668" s="592"/>
      <c r="L668" s="592"/>
      <c r="M668" s="592"/>
      <c r="N668" s="592"/>
      <c r="O668" s="592"/>
      <c r="P668" s="592"/>
      <c r="Q668" s="592"/>
      <c r="R668" s="592"/>
      <c r="S668" s="592"/>
      <c r="T668" s="592"/>
      <c r="U668" s="592"/>
      <c r="V668" s="592"/>
      <c r="W668" s="592"/>
      <c r="X668" s="592"/>
      <c r="Y668" s="592"/>
      <c r="Z668" s="592"/>
      <c r="AA668" s="592"/>
      <c r="AB668" s="592"/>
      <c r="AC668" s="592"/>
      <c r="AD668" s="592"/>
      <c r="AE668" s="592"/>
      <c r="AF668" s="592"/>
      <c r="AG668" s="592"/>
    </row>
    <row r="669">
      <c r="E669" s="592"/>
      <c r="F669" s="591"/>
      <c r="G669" s="591"/>
      <c r="H669" s="592"/>
      <c r="I669" s="592"/>
      <c r="J669" s="592"/>
      <c r="K669" s="592"/>
      <c r="L669" s="592"/>
      <c r="M669" s="592"/>
      <c r="N669" s="592"/>
      <c r="O669" s="592"/>
      <c r="P669" s="592"/>
      <c r="Q669" s="592"/>
      <c r="R669" s="592"/>
      <c r="S669" s="592"/>
      <c r="T669" s="592"/>
      <c r="U669" s="592"/>
      <c r="V669" s="592"/>
      <c r="W669" s="592"/>
      <c r="X669" s="592"/>
      <c r="Y669" s="592"/>
      <c r="Z669" s="592"/>
      <c r="AA669" s="592"/>
      <c r="AB669" s="592"/>
      <c r="AC669" s="592"/>
      <c r="AD669" s="592"/>
      <c r="AE669" s="592"/>
      <c r="AF669" s="592"/>
      <c r="AG669" s="592"/>
    </row>
    <row r="670">
      <c r="E670" s="592"/>
      <c r="F670" s="591"/>
      <c r="G670" s="591"/>
      <c r="H670" s="592"/>
      <c r="I670" s="592"/>
      <c r="J670" s="592"/>
      <c r="K670" s="592"/>
      <c r="L670" s="592"/>
      <c r="M670" s="592"/>
      <c r="N670" s="592"/>
      <c r="O670" s="592"/>
      <c r="P670" s="592"/>
      <c r="Q670" s="592"/>
      <c r="R670" s="592"/>
      <c r="S670" s="592"/>
      <c r="T670" s="592"/>
      <c r="U670" s="592"/>
      <c r="V670" s="592"/>
      <c r="W670" s="592"/>
      <c r="X670" s="592"/>
      <c r="Y670" s="592"/>
      <c r="Z670" s="592"/>
      <c r="AA670" s="592"/>
      <c r="AB670" s="592"/>
      <c r="AC670" s="592"/>
      <c r="AD670" s="592"/>
      <c r="AE670" s="592"/>
      <c r="AF670" s="592"/>
      <c r="AG670" s="592"/>
    </row>
    <row r="671">
      <c r="E671" s="592"/>
      <c r="F671" s="591"/>
      <c r="G671" s="591"/>
      <c r="H671" s="592"/>
      <c r="I671" s="592"/>
      <c r="J671" s="592"/>
      <c r="K671" s="592"/>
      <c r="L671" s="592"/>
      <c r="M671" s="592"/>
      <c r="N671" s="592"/>
      <c r="O671" s="592"/>
      <c r="P671" s="592"/>
      <c r="Q671" s="592"/>
      <c r="R671" s="592"/>
      <c r="S671" s="592"/>
      <c r="T671" s="592"/>
      <c r="U671" s="592"/>
      <c r="V671" s="592"/>
      <c r="W671" s="592"/>
      <c r="X671" s="592"/>
      <c r="Y671" s="592"/>
      <c r="Z671" s="592"/>
      <c r="AA671" s="592"/>
      <c r="AB671" s="592"/>
      <c r="AC671" s="592"/>
      <c r="AD671" s="592"/>
      <c r="AE671" s="592"/>
      <c r="AF671" s="592"/>
      <c r="AG671" s="592"/>
    </row>
    <row r="672">
      <c r="E672" s="592"/>
      <c r="F672" s="591"/>
      <c r="G672" s="591"/>
      <c r="H672" s="592"/>
      <c r="I672" s="592"/>
      <c r="J672" s="592"/>
      <c r="K672" s="592"/>
      <c r="L672" s="592"/>
      <c r="M672" s="592"/>
      <c r="N672" s="592"/>
      <c r="O672" s="592"/>
      <c r="P672" s="592"/>
      <c r="Q672" s="592"/>
      <c r="R672" s="592"/>
      <c r="S672" s="592"/>
      <c r="T672" s="592"/>
      <c r="U672" s="592"/>
      <c r="V672" s="592"/>
      <c r="W672" s="592"/>
      <c r="X672" s="592"/>
      <c r="Y672" s="592"/>
      <c r="Z672" s="592"/>
      <c r="AA672" s="592"/>
      <c r="AB672" s="592"/>
      <c r="AC672" s="592"/>
      <c r="AD672" s="592"/>
      <c r="AE672" s="592"/>
      <c r="AF672" s="592"/>
      <c r="AG672" s="592"/>
    </row>
    <row r="673">
      <c r="E673" s="592"/>
      <c r="F673" s="591"/>
      <c r="G673" s="591"/>
      <c r="H673" s="592"/>
      <c r="I673" s="592"/>
      <c r="J673" s="592"/>
      <c r="K673" s="592"/>
      <c r="L673" s="592"/>
      <c r="M673" s="592"/>
      <c r="N673" s="592"/>
      <c r="O673" s="592"/>
      <c r="P673" s="592"/>
      <c r="Q673" s="592"/>
      <c r="R673" s="592"/>
      <c r="S673" s="592"/>
      <c r="T673" s="592"/>
      <c r="U673" s="592"/>
      <c r="V673" s="592"/>
      <c r="W673" s="592"/>
      <c r="X673" s="592"/>
      <c r="Y673" s="592"/>
      <c r="Z673" s="592"/>
      <c r="AA673" s="592"/>
      <c r="AB673" s="592"/>
      <c r="AC673" s="592"/>
      <c r="AD673" s="592"/>
      <c r="AE673" s="592"/>
      <c r="AF673" s="592"/>
      <c r="AG673" s="592"/>
    </row>
    <row r="674">
      <c r="E674" s="592"/>
      <c r="F674" s="591"/>
      <c r="G674" s="591"/>
      <c r="H674" s="592"/>
      <c r="I674" s="592"/>
      <c r="J674" s="592"/>
      <c r="K674" s="592"/>
      <c r="L674" s="592"/>
      <c r="M674" s="592"/>
      <c r="N674" s="592"/>
      <c r="O674" s="592"/>
      <c r="P674" s="592"/>
      <c r="Q674" s="592"/>
      <c r="R674" s="592"/>
      <c r="S674" s="592"/>
      <c r="T674" s="592"/>
      <c r="U674" s="592"/>
      <c r="V674" s="592"/>
      <c r="W674" s="592"/>
      <c r="X674" s="592"/>
      <c r="Y674" s="592"/>
      <c r="Z674" s="592"/>
      <c r="AA674" s="592"/>
      <c r="AB674" s="592"/>
      <c r="AC674" s="592"/>
      <c r="AD674" s="592"/>
      <c r="AE674" s="592"/>
      <c r="AF674" s="592"/>
      <c r="AG674" s="592"/>
    </row>
    <row r="675">
      <c r="E675" s="592"/>
      <c r="F675" s="591"/>
      <c r="G675" s="591"/>
      <c r="H675" s="592"/>
      <c r="I675" s="592"/>
      <c r="J675" s="592"/>
      <c r="K675" s="592"/>
      <c r="L675" s="592"/>
      <c r="M675" s="592"/>
      <c r="N675" s="592"/>
      <c r="O675" s="592"/>
      <c r="P675" s="592"/>
      <c r="Q675" s="592"/>
      <c r="R675" s="592"/>
      <c r="S675" s="592"/>
      <c r="T675" s="592"/>
      <c r="U675" s="592"/>
      <c r="V675" s="592"/>
      <c r="W675" s="592"/>
      <c r="X675" s="592"/>
      <c r="Y675" s="592"/>
      <c r="Z675" s="592"/>
      <c r="AA675" s="592"/>
      <c r="AB675" s="592"/>
      <c r="AC675" s="592"/>
      <c r="AD675" s="592"/>
      <c r="AE675" s="592"/>
      <c r="AF675" s="592"/>
      <c r="AG675" s="592"/>
    </row>
    <row r="676">
      <c r="E676" s="592"/>
      <c r="F676" s="591"/>
      <c r="G676" s="591"/>
      <c r="H676" s="592"/>
      <c r="I676" s="592"/>
      <c r="J676" s="592"/>
      <c r="K676" s="592"/>
      <c r="L676" s="592"/>
      <c r="M676" s="592"/>
      <c r="N676" s="592"/>
      <c r="O676" s="592"/>
      <c r="P676" s="592"/>
      <c r="Q676" s="592"/>
      <c r="R676" s="592"/>
      <c r="S676" s="592"/>
      <c r="T676" s="592"/>
      <c r="U676" s="592"/>
      <c r="V676" s="592"/>
      <c r="W676" s="592"/>
      <c r="X676" s="592"/>
      <c r="Y676" s="592"/>
      <c r="Z676" s="592"/>
      <c r="AA676" s="592"/>
      <c r="AB676" s="592"/>
      <c r="AC676" s="592"/>
      <c r="AD676" s="592"/>
      <c r="AE676" s="592"/>
      <c r="AF676" s="592"/>
      <c r="AG676" s="592"/>
    </row>
    <row r="677">
      <c r="E677" s="592"/>
      <c r="F677" s="591"/>
      <c r="G677" s="591"/>
      <c r="H677" s="592"/>
      <c r="I677" s="592"/>
      <c r="J677" s="592"/>
      <c r="K677" s="592"/>
      <c r="L677" s="592"/>
      <c r="M677" s="592"/>
      <c r="N677" s="592"/>
      <c r="O677" s="592"/>
      <c r="P677" s="592"/>
      <c r="Q677" s="592"/>
      <c r="R677" s="592"/>
      <c r="S677" s="592"/>
      <c r="T677" s="592"/>
      <c r="U677" s="592"/>
      <c r="V677" s="592"/>
      <c r="W677" s="592"/>
      <c r="X677" s="592"/>
      <c r="Y677" s="592"/>
      <c r="Z677" s="592"/>
      <c r="AA677" s="592"/>
      <c r="AB677" s="592"/>
      <c r="AC677" s="592"/>
      <c r="AD677" s="592"/>
      <c r="AE677" s="592"/>
      <c r="AF677" s="592"/>
      <c r="AG677" s="592"/>
    </row>
    <row r="678">
      <c r="E678" s="592"/>
      <c r="F678" s="591"/>
      <c r="G678" s="591"/>
      <c r="H678" s="592"/>
      <c r="I678" s="592"/>
      <c r="J678" s="592"/>
      <c r="K678" s="592"/>
      <c r="L678" s="592"/>
      <c r="M678" s="592"/>
      <c r="N678" s="592"/>
      <c r="O678" s="592"/>
      <c r="P678" s="592"/>
      <c r="Q678" s="592"/>
      <c r="R678" s="592"/>
      <c r="S678" s="592"/>
      <c r="T678" s="592"/>
      <c r="U678" s="592"/>
      <c r="V678" s="592"/>
      <c r="W678" s="592"/>
      <c r="X678" s="592"/>
      <c r="Y678" s="592"/>
      <c r="Z678" s="592"/>
      <c r="AA678" s="592"/>
      <c r="AB678" s="592"/>
      <c r="AC678" s="592"/>
      <c r="AD678" s="592"/>
      <c r="AE678" s="592"/>
      <c r="AF678" s="592"/>
      <c r="AG678" s="592"/>
    </row>
    <row r="679">
      <c r="E679" s="592"/>
      <c r="F679" s="591"/>
      <c r="G679" s="591"/>
      <c r="H679" s="592"/>
      <c r="I679" s="592"/>
      <c r="J679" s="592"/>
      <c r="K679" s="592"/>
      <c r="L679" s="592"/>
      <c r="M679" s="592"/>
      <c r="N679" s="592"/>
      <c r="O679" s="592"/>
      <c r="P679" s="592"/>
      <c r="Q679" s="592"/>
      <c r="R679" s="592"/>
      <c r="S679" s="592"/>
      <c r="T679" s="592"/>
      <c r="U679" s="592"/>
      <c r="V679" s="592"/>
      <c r="W679" s="592"/>
      <c r="X679" s="592"/>
      <c r="Y679" s="592"/>
      <c r="Z679" s="592"/>
      <c r="AA679" s="592"/>
      <c r="AB679" s="592"/>
      <c r="AC679" s="592"/>
      <c r="AD679" s="592"/>
      <c r="AE679" s="592"/>
      <c r="AF679" s="592"/>
      <c r="AG679" s="592"/>
    </row>
    <row r="680">
      <c r="E680" s="592"/>
      <c r="F680" s="591"/>
      <c r="G680" s="591"/>
      <c r="H680" s="592"/>
      <c r="I680" s="592"/>
      <c r="J680" s="592"/>
      <c r="K680" s="592"/>
      <c r="L680" s="592"/>
      <c r="M680" s="592"/>
      <c r="N680" s="592"/>
      <c r="O680" s="592"/>
      <c r="P680" s="592"/>
      <c r="Q680" s="592"/>
      <c r="R680" s="592"/>
      <c r="S680" s="592"/>
      <c r="T680" s="592"/>
      <c r="U680" s="592"/>
      <c r="V680" s="592"/>
      <c r="W680" s="592"/>
      <c r="X680" s="592"/>
      <c r="Y680" s="592"/>
      <c r="Z680" s="592"/>
      <c r="AA680" s="592"/>
      <c r="AB680" s="592"/>
      <c r="AC680" s="592"/>
      <c r="AD680" s="592"/>
      <c r="AE680" s="592"/>
      <c r="AF680" s="592"/>
      <c r="AG680" s="592"/>
    </row>
    <row r="681">
      <c r="E681" s="592"/>
      <c r="F681" s="591"/>
      <c r="G681" s="591"/>
      <c r="H681" s="592"/>
      <c r="I681" s="592"/>
      <c r="J681" s="592"/>
      <c r="K681" s="592"/>
      <c r="L681" s="592"/>
      <c r="M681" s="592"/>
      <c r="N681" s="592"/>
      <c r="O681" s="592"/>
      <c r="P681" s="592"/>
      <c r="Q681" s="592"/>
      <c r="R681" s="592"/>
      <c r="S681" s="592"/>
      <c r="T681" s="592"/>
      <c r="U681" s="592"/>
      <c r="V681" s="592"/>
      <c r="W681" s="592"/>
      <c r="X681" s="592"/>
      <c r="Y681" s="592"/>
      <c r="Z681" s="592"/>
      <c r="AA681" s="592"/>
      <c r="AB681" s="592"/>
      <c r="AC681" s="592"/>
      <c r="AD681" s="592"/>
      <c r="AE681" s="592"/>
      <c r="AF681" s="592"/>
      <c r="AG681" s="592"/>
    </row>
    <row r="682">
      <c r="E682" s="592"/>
      <c r="F682" s="591"/>
      <c r="G682" s="591"/>
      <c r="H682" s="592"/>
      <c r="I682" s="592"/>
      <c r="J682" s="592"/>
      <c r="K682" s="592"/>
      <c r="L682" s="592"/>
      <c r="M682" s="592"/>
      <c r="N682" s="592"/>
      <c r="O682" s="592"/>
      <c r="P682" s="592"/>
      <c r="Q682" s="592"/>
      <c r="R682" s="592"/>
      <c r="S682" s="592"/>
      <c r="T682" s="592"/>
      <c r="U682" s="592"/>
      <c r="V682" s="592"/>
      <c r="W682" s="592"/>
      <c r="X682" s="592"/>
      <c r="Y682" s="592"/>
      <c r="Z682" s="592"/>
      <c r="AA682" s="592"/>
      <c r="AB682" s="592"/>
      <c r="AC682" s="592"/>
      <c r="AD682" s="592"/>
      <c r="AE682" s="592"/>
      <c r="AF682" s="592"/>
      <c r="AG682" s="592"/>
    </row>
    <row r="683">
      <c r="E683" s="592"/>
      <c r="F683" s="591"/>
      <c r="G683" s="591"/>
      <c r="H683" s="592"/>
      <c r="I683" s="592"/>
      <c r="J683" s="592"/>
      <c r="K683" s="592"/>
      <c r="L683" s="592"/>
      <c r="M683" s="592"/>
      <c r="N683" s="592"/>
      <c r="O683" s="592"/>
      <c r="P683" s="592"/>
      <c r="Q683" s="592"/>
      <c r="R683" s="592"/>
      <c r="S683" s="592"/>
      <c r="T683" s="592"/>
      <c r="U683" s="592"/>
      <c r="V683" s="592"/>
      <c r="W683" s="592"/>
      <c r="X683" s="592"/>
      <c r="Y683" s="592"/>
      <c r="Z683" s="592"/>
      <c r="AA683" s="592"/>
      <c r="AB683" s="592"/>
      <c r="AC683" s="592"/>
      <c r="AD683" s="592"/>
      <c r="AE683" s="592"/>
      <c r="AF683" s="592"/>
      <c r="AG683" s="592"/>
    </row>
    <row r="684">
      <c r="E684" s="592"/>
      <c r="F684" s="591"/>
      <c r="G684" s="591"/>
      <c r="H684" s="592"/>
      <c r="I684" s="592"/>
      <c r="J684" s="592"/>
      <c r="K684" s="592"/>
      <c r="L684" s="592"/>
      <c r="M684" s="592"/>
      <c r="N684" s="592"/>
      <c r="O684" s="592"/>
      <c r="P684" s="592"/>
      <c r="Q684" s="592"/>
      <c r="R684" s="592"/>
      <c r="S684" s="592"/>
      <c r="T684" s="592"/>
      <c r="U684" s="592"/>
      <c r="V684" s="592"/>
      <c r="W684" s="592"/>
      <c r="X684" s="592"/>
      <c r="Y684" s="592"/>
      <c r="Z684" s="592"/>
      <c r="AA684" s="592"/>
      <c r="AB684" s="592"/>
      <c r="AC684" s="592"/>
      <c r="AD684" s="592"/>
      <c r="AE684" s="592"/>
      <c r="AF684" s="592"/>
      <c r="AG684" s="592"/>
    </row>
    <row r="685">
      <c r="E685" s="592"/>
      <c r="F685" s="591"/>
      <c r="G685" s="591"/>
      <c r="H685" s="592"/>
      <c r="I685" s="592"/>
      <c r="J685" s="592"/>
      <c r="K685" s="592"/>
      <c r="L685" s="592"/>
      <c r="M685" s="592"/>
      <c r="N685" s="592"/>
      <c r="O685" s="592"/>
      <c r="P685" s="592"/>
      <c r="Q685" s="592"/>
      <c r="R685" s="592"/>
      <c r="S685" s="592"/>
      <c r="T685" s="592"/>
      <c r="U685" s="592"/>
      <c r="V685" s="592"/>
      <c r="W685" s="592"/>
      <c r="X685" s="592"/>
      <c r="Y685" s="592"/>
      <c r="Z685" s="592"/>
      <c r="AA685" s="592"/>
      <c r="AB685" s="592"/>
      <c r="AC685" s="592"/>
      <c r="AD685" s="592"/>
      <c r="AE685" s="592"/>
      <c r="AF685" s="592"/>
      <c r="AG685" s="592"/>
    </row>
    <row r="686">
      <c r="E686" s="592"/>
      <c r="F686" s="591"/>
      <c r="G686" s="591"/>
      <c r="H686" s="592"/>
      <c r="I686" s="592"/>
      <c r="J686" s="592"/>
      <c r="K686" s="592"/>
      <c r="L686" s="592"/>
      <c r="M686" s="592"/>
      <c r="N686" s="592"/>
      <c r="O686" s="592"/>
      <c r="P686" s="592"/>
      <c r="Q686" s="592"/>
      <c r="R686" s="592"/>
      <c r="S686" s="592"/>
      <c r="T686" s="592"/>
      <c r="U686" s="592"/>
      <c r="V686" s="592"/>
      <c r="W686" s="592"/>
      <c r="X686" s="592"/>
      <c r="Y686" s="592"/>
      <c r="Z686" s="592"/>
      <c r="AA686" s="592"/>
      <c r="AB686" s="592"/>
      <c r="AC686" s="592"/>
      <c r="AD686" s="592"/>
      <c r="AE686" s="592"/>
      <c r="AF686" s="592"/>
      <c r="AG686" s="592"/>
    </row>
    <row r="687">
      <c r="E687" s="592"/>
      <c r="F687" s="591"/>
      <c r="G687" s="591"/>
      <c r="H687" s="592"/>
      <c r="I687" s="592"/>
      <c r="J687" s="592"/>
      <c r="K687" s="592"/>
      <c r="L687" s="592"/>
      <c r="M687" s="592"/>
      <c r="N687" s="592"/>
      <c r="O687" s="592"/>
      <c r="P687" s="592"/>
      <c r="Q687" s="592"/>
      <c r="R687" s="592"/>
      <c r="S687" s="592"/>
      <c r="T687" s="592"/>
      <c r="U687" s="592"/>
      <c r="V687" s="592"/>
      <c r="W687" s="592"/>
      <c r="X687" s="592"/>
      <c r="Y687" s="592"/>
      <c r="Z687" s="592"/>
      <c r="AA687" s="592"/>
      <c r="AB687" s="592"/>
      <c r="AC687" s="592"/>
      <c r="AD687" s="592"/>
      <c r="AE687" s="592"/>
      <c r="AF687" s="592"/>
      <c r="AG687" s="592"/>
    </row>
    <row r="688">
      <c r="E688" s="592"/>
      <c r="F688" s="591"/>
      <c r="G688" s="591"/>
      <c r="H688" s="592"/>
      <c r="I688" s="592"/>
      <c r="J688" s="592"/>
      <c r="K688" s="592"/>
      <c r="L688" s="592"/>
      <c r="M688" s="592"/>
      <c r="N688" s="592"/>
      <c r="O688" s="592"/>
      <c r="P688" s="592"/>
      <c r="Q688" s="592"/>
      <c r="R688" s="592"/>
      <c r="S688" s="592"/>
      <c r="T688" s="592"/>
      <c r="U688" s="592"/>
      <c r="V688" s="592"/>
      <c r="W688" s="592"/>
      <c r="X688" s="592"/>
      <c r="Y688" s="592"/>
      <c r="Z688" s="592"/>
      <c r="AA688" s="592"/>
      <c r="AB688" s="592"/>
      <c r="AC688" s="592"/>
      <c r="AD688" s="592"/>
      <c r="AE688" s="592"/>
      <c r="AF688" s="592"/>
      <c r="AG688" s="592"/>
    </row>
    <row r="689">
      <c r="E689" s="592"/>
      <c r="F689" s="591"/>
      <c r="G689" s="591"/>
      <c r="H689" s="592"/>
      <c r="I689" s="592"/>
      <c r="J689" s="592"/>
      <c r="K689" s="592"/>
      <c r="L689" s="592"/>
      <c r="M689" s="592"/>
      <c r="N689" s="592"/>
      <c r="O689" s="592"/>
      <c r="P689" s="592"/>
      <c r="Q689" s="592"/>
      <c r="R689" s="592"/>
      <c r="S689" s="592"/>
      <c r="T689" s="592"/>
      <c r="U689" s="592"/>
      <c r="V689" s="592"/>
      <c r="W689" s="592"/>
      <c r="X689" s="592"/>
      <c r="Y689" s="592"/>
      <c r="Z689" s="592"/>
      <c r="AA689" s="592"/>
      <c r="AB689" s="592"/>
      <c r="AC689" s="592"/>
      <c r="AD689" s="592"/>
      <c r="AE689" s="592"/>
      <c r="AF689" s="592"/>
      <c r="AG689" s="592"/>
    </row>
    <row r="690">
      <c r="E690" s="592"/>
      <c r="F690" s="591"/>
      <c r="G690" s="591"/>
      <c r="H690" s="592"/>
      <c r="I690" s="592"/>
      <c r="J690" s="592"/>
      <c r="K690" s="592"/>
      <c r="L690" s="592"/>
      <c r="M690" s="592"/>
      <c r="N690" s="592"/>
      <c r="O690" s="592"/>
      <c r="P690" s="592"/>
      <c r="Q690" s="592"/>
      <c r="R690" s="592"/>
      <c r="S690" s="592"/>
      <c r="T690" s="592"/>
      <c r="U690" s="592"/>
      <c r="V690" s="592"/>
      <c r="W690" s="592"/>
      <c r="X690" s="592"/>
      <c r="Y690" s="592"/>
      <c r="Z690" s="592"/>
      <c r="AA690" s="592"/>
      <c r="AB690" s="592"/>
      <c r="AC690" s="592"/>
      <c r="AD690" s="592"/>
      <c r="AE690" s="592"/>
      <c r="AF690" s="592"/>
      <c r="AG690" s="592"/>
    </row>
    <row r="691">
      <c r="E691" s="592"/>
      <c r="F691" s="591"/>
      <c r="G691" s="591"/>
      <c r="H691" s="592"/>
      <c r="I691" s="592"/>
      <c r="J691" s="592"/>
      <c r="K691" s="592"/>
      <c r="L691" s="592"/>
      <c r="M691" s="592"/>
      <c r="N691" s="592"/>
      <c r="O691" s="592"/>
      <c r="P691" s="592"/>
      <c r="Q691" s="592"/>
      <c r="R691" s="592"/>
      <c r="S691" s="592"/>
      <c r="T691" s="592"/>
      <c r="U691" s="592"/>
      <c r="V691" s="592"/>
      <c r="W691" s="592"/>
      <c r="X691" s="592"/>
      <c r="Y691" s="592"/>
      <c r="Z691" s="592"/>
      <c r="AA691" s="592"/>
      <c r="AB691" s="592"/>
      <c r="AC691" s="592"/>
      <c r="AD691" s="592"/>
      <c r="AE691" s="592"/>
      <c r="AF691" s="592"/>
      <c r="AG691" s="592"/>
    </row>
    <row r="692">
      <c r="E692" s="592"/>
      <c r="F692" s="591"/>
      <c r="G692" s="591"/>
      <c r="H692" s="592"/>
      <c r="I692" s="592"/>
      <c r="J692" s="592"/>
      <c r="K692" s="592"/>
      <c r="L692" s="592"/>
      <c r="M692" s="592"/>
      <c r="N692" s="592"/>
      <c r="O692" s="592"/>
      <c r="P692" s="592"/>
      <c r="Q692" s="592"/>
      <c r="R692" s="592"/>
      <c r="S692" s="592"/>
      <c r="T692" s="592"/>
      <c r="U692" s="592"/>
      <c r="V692" s="592"/>
      <c r="W692" s="592"/>
      <c r="X692" s="592"/>
      <c r="Y692" s="592"/>
      <c r="Z692" s="592"/>
      <c r="AA692" s="592"/>
      <c r="AB692" s="592"/>
      <c r="AC692" s="592"/>
      <c r="AD692" s="592"/>
      <c r="AE692" s="592"/>
      <c r="AF692" s="592"/>
      <c r="AG692" s="592"/>
    </row>
    <row r="693">
      <c r="E693" s="592"/>
      <c r="F693" s="591"/>
      <c r="G693" s="591"/>
      <c r="H693" s="592"/>
      <c r="I693" s="592"/>
      <c r="J693" s="592"/>
      <c r="K693" s="592"/>
      <c r="L693" s="592"/>
      <c r="M693" s="592"/>
      <c r="N693" s="592"/>
      <c r="O693" s="592"/>
      <c r="P693" s="592"/>
      <c r="Q693" s="592"/>
      <c r="R693" s="592"/>
      <c r="S693" s="592"/>
      <c r="T693" s="592"/>
      <c r="U693" s="592"/>
      <c r="V693" s="592"/>
      <c r="W693" s="592"/>
      <c r="X693" s="592"/>
      <c r="Y693" s="592"/>
      <c r="Z693" s="592"/>
      <c r="AA693" s="592"/>
      <c r="AB693" s="592"/>
      <c r="AC693" s="592"/>
      <c r="AD693" s="592"/>
      <c r="AE693" s="592"/>
      <c r="AF693" s="592"/>
      <c r="AG693" s="592"/>
    </row>
    <row r="694">
      <c r="E694" s="592"/>
      <c r="F694" s="591"/>
      <c r="G694" s="591"/>
      <c r="H694" s="592"/>
      <c r="I694" s="592"/>
      <c r="J694" s="592"/>
      <c r="K694" s="592"/>
      <c r="L694" s="592"/>
      <c r="M694" s="592"/>
      <c r="N694" s="592"/>
      <c r="O694" s="592"/>
      <c r="P694" s="592"/>
      <c r="Q694" s="592"/>
      <c r="R694" s="592"/>
      <c r="S694" s="592"/>
      <c r="T694" s="592"/>
      <c r="U694" s="592"/>
      <c r="V694" s="592"/>
      <c r="W694" s="592"/>
      <c r="X694" s="592"/>
      <c r="Y694" s="592"/>
      <c r="Z694" s="592"/>
      <c r="AA694" s="592"/>
      <c r="AB694" s="592"/>
      <c r="AC694" s="592"/>
      <c r="AD694" s="592"/>
      <c r="AE694" s="592"/>
      <c r="AF694" s="592"/>
      <c r="AG694" s="592"/>
    </row>
    <row r="695">
      <c r="E695" s="592"/>
      <c r="F695" s="591"/>
      <c r="G695" s="591"/>
      <c r="H695" s="592"/>
      <c r="I695" s="592"/>
      <c r="J695" s="592"/>
      <c r="K695" s="592"/>
      <c r="L695" s="592"/>
      <c r="M695" s="592"/>
      <c r="N695" s="592"/>
      <c r="O695" s="592"/>
      <c r="P695" s="592"/>
      <c r="Q695" s="592"/>
      <c r="R695" s="592"/>
      <c r="S695" s="592"/>
      <c r="T695" s="592"/>
      <c r="U695" s="592"/>
      <c r="V695" s="592"/>
      <c r="W695" s="592"/>
      <c r="X695" s="592"/>
      <c r="Y695" s="592"/>
      <c r="Z695" s="592"/>
      <c r="AA695" s="592"/>
      <c r="AB695" s="592"/>
      <c r="AC695" s="592"/>
      <c r="AD695" s="592"/>
      <c r="AE695" s="592"/>
      <c r="AF695" s="592"/>
      <c r="AG695" s="592"/>
    </row>
    <row r="696">
      <c r="E696" s="592"/>
      <c r="F696" s="591"/>
      <c r="G696" s="591"/>
      <c r="H696" s="592"/>
      <c r="I696" s="592"/>
      <c r="J696" s="592"/>
      <c r="K696" s="592"/>
      <c r="L696" s="592"/>
      <c r="M696" s="592"/>
      <c r="N696" s="592"/>
      <c r="O696" s="592"/>
      <c r="P696" s="592"/>
      <c r="Q696" s="592"/>
      <c r="R696" s="592"/>
      <c r="S696" s="592"/>
      <c r="T696" s="592"/>
      <c r="U696" s="592"/>
      <c r="V696" s="592"/>
      <c r="W696" s="592"/>
      <c r="X696" s="592"/>
      <c r="Y696" s="592"/>
      <c r="Z696" s="592"/>
      <c r="AA696" s="592"/>
      <c r="AB696" s="592"/>
      <c r="AC696" s="592"/>
      <c r="AD696" s="592"/>
      <c r="AE696" s="592"/>
      <c r="AF696" s="592"/>
      <c r="AG696" s="592"/>
    </row>
    <row r="697">
      <c r="E697" s="592"/>
      <c r="F697" s="591"/>
      <c r="G697" s="591"/>
      <c r="H697" s="592"/>
      <c r="I697" s="592"/>
      <c r="J697" s="592"/>
      <c r="K697" s="592"/>
      <c r="L697" s="592"/>
      <c r="M697" s="592"/>
      <c r="N697" s="592"/>
      <c r="O697" s="592"/>
      <c r="P697" s="592"/>
      <c r="Q697" s="592"/>
      <c r="R697" s="592"/>
      <c r="S697" s="592"/>
      <c r="T697" s="592"/>
      <c r="U697" s="592"/>
      <c r="V697" s="592"/>
      <c r="W697" s="592"/>
      <c r="X697" s="592"/>
      <c r="Y697" s="592"/>
      <c r="Z697" s="592"/>
      <c r="AA697" s="592"/>
      <c r="AB697" s="592"/>
      <c r="AC697" s="592"/>
      <c r="AD697" s="592"/>
      <c r="AE697" s="592"/>
      <c r="AF697" s="592"/>
      <c r="AG697" s="592"/>
    </row>
    <row r="698">
      <c r="E698" s="592"/>
      <c r="F698" s="591"/>
      <c r="G698" s="591"/>
      <c r="H698" s="592"/>
      <c r="I698" s="592"/>
      <c r="J698" s="592"/>
      <c r="K698" s="592"/>
      <c r="L698" s="592"/>
      <c r="M698" s="592"/>
      <c r="N698" s="592"/>
      <c r="O698" s="592"/>
      <c r="P698" s="592"/>
      <c r="Q698" s="592"/>
      <c r="R698" s="592"/>
      <c r="S698" s="592"/>
      <c r="T698" s="592"/>
      <c r="U698" s="592"/>
      <c r="V698" s="592"/>
      <c r="W698" s="592"/>
      <c r="X698" s="592"/>
      <c r="Y698" s="592"/>
      <c r="Z698" s="592"/>
      <c r="AA698" s="592"/>
      <c r="AB698" s="592"/>
      <c r="AC698" s="592"/>
      <c r="AD698" s="592"/>
      <c r="AE698" s="592"/>
      <c r="AF698" s="592"/>
      <c r="AG698" s="592"/>
    </row>
    <row r="699">
      <c r="E699" s="592"/>
      <c r="F699" s="591"/>
      <c r="G699" s="591"/>
      <c r="H699" s="592"/>
      <c r="I699" s="592"/>
      <c r="J699" s="592"/>
      <c r="K699" s="592"/>
      <c r="L699" s="592"/>
      <c r="M699" s="592"/>
      <c r="N699" s="592"/>
      <c r="O699" s="592"/>
      <c r="P699" s="592"/>
      <c r="Q699" s="592"/>
      <c r="R699" s="592"/>
      <c r="S699" s="592"/>
      <c r="T699" s="592"/>
      <c r="U699" s="592"/>
      <c r="V699" s="592"/>
      <c r="W699" s="592"/>
      <c r="X699" s="592"/>
      <c r="Y699" s="592"/>
      <c r="Z699" s="592"/>
      <c r="AA699" s="592"/>
      <c r="AB699" s="592"/>
      <c r="AC699" s="592"/>
      <c r="AD699" s="592"/>
      <c r="AE699" s="592"/>
      <c r="AF699" s="592"/>
      <c r="AG699" s="592"/>
    </row>
    <row r="700">
      <c r="E700" s="592"/>
      <c r="F700" s="591"/>
      <c r="G700" s="591"/>
      <c r="H700" s="592"/>
      <c r="I700" s="592"/>
      <c r="J700" s="592"/>
      <c r="K700" s="592"/>
      <c r="L700" s="592"/>
      <c r="M700" s="592"/>
      <c r="N700" s="592"/>
      <c r="O700" s="592"/>
      <c r="P700" s="592"/>
      <c r="Q700" s="592"/>
      <c r="R700" s="592"/>
      <c r="S700" s="592"/>
      <c r="T700" s="592"/>
      <c r="U700" s="592"/>
      <c r="V700" s="592"/>
      <c r="W700" s="592"/>
      <c r="X700" s="592"/>
      <c r="Y700" s="592"/>
      <c r="Z700" s="592"/>
      <c r="AA700" s="592"/>
      <c r="AB700" s="592"/>
      <c r="AC700" s="592"/>
      <c r="AD700" s="592"/>
      <c r="AE700" s="592"/>
      <c r="AF700" s="592"/>
      <c r="AG700" s="592"/>
    </row>
    <row r="701">
      <c r="E701" s="592"/>
      <c r="F701" s="591"/>
      <c r="G701" s="591"/>
      <c r="H701" s="592"/>
      <c r="I701" s="592"/>
      <c r="J701" s="592"/>
      <c r="K701" s="592"/>
      <c r="L701" s="592"/>
      <c r="M701" s="592"/>
      <c r="N701" s="592"/>
      <c r="O701" s="592"/>
      <c r="P701" s="592"/>
      <c r="Q701" s="592"/>
      <c r="R701" s="592"/>
      <c r="S701" s="592"/>
      <c r="T701" s="592"/>
      <c r="U701" s="592"/>
      <c r="V701" s="592"/>
      <c r="W701" s="592"/>
      <c r="X701" s="592"/>
      <c r="Y701" s="592"/>
      <c r="Z701" s="592"/>
      <c r="AA701" s="592"/>
      <c r="AB701" s="592"/>
      <c r="AC701" s="592"/>
      <c r="AD701" s="592"/>
      <c r="AE701" s="592"/>
      <c r="AF701" s="592"/>
      <c r="AG701" s="592"/>
    </row>
    <row r="702">
      <c r="E702" s="592"/>
      <c r="F702" s="591"/>
      <c r="G702" s="591"/>
      <c r="H702" s="592"/>
      <c r="I702" s="592"/>
      <c r="J702" s="592"/>
      <c r="K702" s="592"/>
      <c r="L702" s="592"/>
      <c r="M702" s="592"/>
      <c r="N702" s="592"/>
      <c r="O702" s="592"/>
      <c r="P702" s="592"/>
      <c r="Q702" s="592"/>
      <c r="R702" s="592"/>
      <c r="S702" s="592"/>
      <c r="T702" s="592"/>
      <c r="U702" s="592"/>
      <c r="V702" s="592"/>
      <c r="W702" s="592"/>
      <c r="X702" s="592"/>
      <c r="Y702" s="592"/>
      <c r="Z702" s="592"/>
      <c r="AA702" s="592"/>
      <c r="AB702" s="592"/>
      <c r="AC702" s="592"/>
      <c r="AD702" s="592"/>
      <c r="AE702" s="592"/>
      <c r="AF702" s="592"/>
      <c r="AG702" s="592"/>
    </row>
    <row r="703">
      <c r="E703" s="592"/>
      <c r="F703" s="591"/>
      <c r="G703" s="591"/>
      <c r="H703" s="592"/>
      <c r="I703" s="592"/>
      <c r="J703" s="592"/>
      <c r="K703" s="592"/>
      <c r="L703" s="592"/>
      <c r="M703" s="592"/>
      <c r="N703" s="592"/>
      <c r="O703" s="592"/>
      <c r="P703" s="592"/>
      <c r="Q703" s="592"/>
      <c r="R703" s="592"/>
      <c r="S703" s="592"/>
      <c r="T703" s="592"/>
      <c r="U703" s="592"/>
      <c r="V703" s="592"/>
      <c r="W703" s="592"/>
      <c r="X703" s="592"/>
      <c r="Y703" s="592"/>
      <c r="Z703" s="592"/>
      <c r="AA703" s="592"/>
      <c r="AB703" s="592"/>
      <c r="AC703" s="592"/>
      <c r="AD703" s="592"/>
      <c r="AE703" s="592"/>
      <c r="AF703" s="592"/>
      <c r="AG703" s="592"/>
    </row>
    <row r="704">
      <c r="E704" s="592"/>
      <c r="F704" s="591"/>
      <c r="G704" s="591"/>
      <c r="H704" s="592"/>
      <c r="I704" s="592"/>
      <c r="J704" s="592"/>
      <c r="K704" s="592"/>
      <c r="L704" s="592"/>
      <c r="M704" s="592"/>
      <c r="N704" s="592"/>
      <c r="O704" s="592"/>
      <c r="P704" s="592"/>
      <c r="Q704" s="592"/>
      <c r="R704" s="592"/>
      <c r="S704" s="592"/>
      <c r="T704" s="592"/>
      <c r="U704" s="592"/>
      <c r="V704" s="592"/>
      <c r="W704" s="592"/>
      <c r="X704" s="592"/>
      <c r="Y704" s="592"/>
      <c r="Z704" s="592"/>
      <c r="AA704" s="592"/>
      <c r="AB704" s="592"/>
      <c r="AC704" s="592"/>
      <c r="AD704" s="592"/>
      <c r="AE704" s="592"/>
      <c r="AF704" s="592"/>
      <c r="AG704" s="592"/>
    </row>
    <row r="705">
      <c r="E705" s="592"/>
      <c r="F705" s="591"/>
      <c r="G705" s="591"/>
      <c r="H705" s="592"/>
      <c r="I705" s="592"/>
      <c r="J705" s="592"/>
      <c r="K705" s="592"/>
      <c r="L705" s="592"/>
      <c r="M705" s="592"/>
      <c r="N705" s="592"/>
      <c r="O705" s="592"/>
      <c r="P705" s="592"/>
      <c r="Q705" s="592"/>
      <c r="R705" s="592"/>
      <c r="S705" s="592"/>
      <c r="T705" s="592"/>
      <c r="U705" s="592"/>
      <c r="V705" s="592"/>
      <c r="W705" s="592"/>
      <c r="X705" s="592"/>
      <c r="Y705" s="592"/>
      <c r="Z705" s="592"/>
      <c r="AA705" s="592"/>
      <c r="AB705" s="592"/>
      <c r="AC705" s="592"/>
      <c r="AD705" s="592"/>
      <c r="AE705" s="592"/>
      <c r="AF705" s="592"/>
      <c r="AG705" s="592"/>
    </row>
    <row r="706">
      <c r="E706" s="592"/>
      <c r="F706" s="591"/>
      <c r="G706" s="591"/>
      <c r="H706" s="592"/>
      <c r="I706" s="592"/>
      <c r="J706" s="592"/>
      <c r="K706" s="592"/>
      <c r="L706" s="592"/>
      <c r="M706" s="592"/>
      <c r="N706" s="592"/>
      <c r="O706" s="592"/>
      <c r="P706" s="592"/>
      <c r="Q706" s="592"/>
      <c r="R706" s="592"/>
      <c r="S706" s="592"/>
      <c r="T706" s="592"/>
      <c r="U706" s="592"/>
      <c r="V706" s="592"/>
      <c r="W706" s="592"/>
      <c r="X706" s="592"/>
      <c r="Y706" s="592"/>
      <c r="Z706" s="592"/>
      <c r="AA706" s="592"/>
      <c r="AB706" s="592"/>
      <c r="AC706" s="592"/>
      <c r="AD706" s="592"/>
      <c r="AE706" s="592"/>
      <c r="AF706" s="592"/>
      <c r="AG706" s="592"/>
    </row>
    <row r="707">
      <c r="E707" s="592"/>
      <c r="F707" s="591"/>
      <c r="G707" s="591"/>
      <c r="H707" s="592"/>
      <c r="I707" s="592"/>
      <c r="J707" s="592"/>
      <c r="K707" s="592"/>
      <c r="L707" s="592"/>
      <c r="M707" s="592"/>
      <c r="N707" s="592"/>
      <c r="O707" s="592"/>
      <c r="P707" s="592"/>
      <c r="Q707" s="592"/>
      <c r="R707" s="592"/>
      <c r="S707" s="592"/>
      <c r="T707" s="592"/>
      <c r="U707" s="592"/>
      <c r="V707" s="592"/>
      <c r="W707" s="592"/>
      <c r="X707" s="592"/>
      <c r="Y707" s="592"/>
      <c r="Z707" s="592"/>
      <c r="AA707" s="592"/>
      <c r="AB707" s="592"/>
      <c r="AC707" s="592"/>
      <c r="AD707" s="592"/>
      <c r="AE707" s="592"/>
      <c r="AF707" s="592"/>
      <c r="AG707" s="592"/>
    </row>
    <row r="708">
      <c r="E708" s="592"/>
      <c r="F708" s="591"/>
      <c r="G708" s="591"/>
      <c r="H708" s="592"/>
      <c r="I708" s="592"/>
      <c r="J708" s="592"/>
      <c r="K708" s="592"/>
      <c r="L708" s="592"/>
      <c r="M708" s="592"/>
      <c r="N708" s="592"/>
      <c r="O708" s="592"/>
      <c r="P708" s="592"/>
      <c r="Q708" s="592"/>
      <c r="R708" s="592"/>
      <c r="S708" s="592"/>
      <c r="T708" s="592"/>
      <c r="U708" s="592"/>
      <c r="V708" s="592"/>
      <c r="W708" s="592"/>
      <c r="X708" s="592"/>
      <c r="Y708" s="592"/>
      <c r="Z708" s="592"/>
      <c r="AA708" s="592"/>
      <c r="AB708" s="592"/>
      <c r="AC708" s="592"/>
      <c r="AD708" s="592"/>
      <c r="AE708" s="592"/>
      <c r="AF708" s="592"/>
      <c r="AG708" s="592"/>
    </row>
    <row r="709">
      <c r="E709" s="592"/>
      <c r="F709" s="591"/>
      <c r="G709" s="591"/>
      <c r="H709" s="592"/>
      <c r="I709" s="592"/>
      <c r="J709" s="592"/>
      <c r="K709" s="592"/>
      <c r="L709" s="592"/>
      <c r="M709" s="592"/>
      <c r="N709" s="592"/>
      <c r="O709" s="592"/>
      <c r="P709" s="592"/>
      <c r="Q709" s="592"/>
      <c r="R709" s="592"/>
      <c r="S709" s="592"/>
      <c r="T709" s="592"/>
      <c r="U709" s="592"/>
      <c r="V709" s="592"/>
      <c r="W709" s="592"/>
      <c r="X709" s="592"/>
      <c r="Y709" s="592"/>
      <c r="Z709" s="592"/>
      <c r="AA709" s="592"/>
      <c r="AB709" s="592"/>
      <c r="AC709" s="592"/>
      <c r="AD709" s="592"/>
      <c r="AE709" s="592"/>
      <c r="AF709" s="592"/>
      <c r="AG709" s="592"/>
    </row>
    <row r="710">
      <c r="E710" s="592"/>
      <c r="F710" s="591"/>
      <c r="G710" s="591"/>
      <c r="H710" s="592"/>
      <c r="I710" s="592"/>
      <c r="J710" s="592"/>
      <c r="K710" s="592"/>
      <c r="L710" s="592"/>
      <c r="M710" s="592"/>
      <c r="N710" s="592"/>
      <c r="O710" s="592"/>
      <c r="P710" s="592"/>
      <c r="Q710" s="592"/>
      <c r="R710" s="592"/>
      <c r="S710" s="592"/>
      <c r="T710" s="592"/>
      <c r="U710" s="592"/>
      <c r="V710" s="592"/>
      <c r="W710" s="592"/>
      <c r="X710" s="592"/>
      <c r="Y710" s="592"/>
      <c r="Z710" s="592"/>
      <c r="AA710" s="592"/>
      <c r="AB710" s="592"/>
      <c r="AC710" s="592"/>
      <c r="AD710" s="592"/>
      <c r="AE710" s="592"/>
      <c r="AF710" s="592"/>
      <c r="AG710" s="592"/>
    </row>
    <row r="711">
      <c r="E711" s="592"/>
      <c r="F711" s="591"/>
      <c r="G711" s="591"/>
      <c r="H711" s="592"/>
      <c r="I711" s="592"/>
      <c r="J711" s="592"/>
      <c r="K711" s="592"/>
      <c r="L711" s="592"/>
      <c r="M711" s="592"/>
      <c r="N711" s="592"/>
      <c r="O711" s="592"/>
      <c r="P711" s="592"/>
      <c r="Q711" s="592"/>
      <c r="R711" s="592"/>
      <c r="S711" s="592"/>
      <c r="T711" s="592"/>
      <c r="U711" s="592"/>
      <c r="V711" s="592"/>
      <c r="W711" s="592"/>
      <c r="X711" s="592"/>
      <c r="Y711" s="592"/>
      <c r="Z711" s="592"/>
      <c r="AA711" s="592"/>
      <c r="AB711" s="592"/>
      <c r="AC711" s="592"/>
      <c r="AD711" s="592"/>
      <c r="AE711" s="592"/>
      <c r="AF711" s="592"/>
      <c r="AG711" s="592"/>
    </row>
    <row r="712">
      <c r="E712" s="592"/>
      <c r="F712" s="591"/>
      <c r="G712" s="591"/>
      <c r="H712" s="592"/>
      <c r="I712" s="592"/>
      <c r="J712" s="592"/>
      <c r="K712" s="592"/>
      <c r="L712" s="592"/>
      <c r="M712" s="592"/>
      <c r="N712" s="592"/>
      <c r="O712" s="592"/>
      <c r="P712" s="592"/>
      <c r="Q712" s="592"/>
      <c r="R712" s="592"/>
      <c r="S712" s="592"/>
      <c r="T712" s="592"/>
      <c r="U712" s="592"/>
      <c r="V712" s="592"/>
      <c r="W712" s="592"/>
      <c r="X712" s="592"/>
      <c r="Y712" s="592"/>
      <c r="Z712" s="592"/>
      <c r="AA712" s="592"/>
      <c r="AB712" s="592"/>
      <c r="AC712" s="592"/>
      <c r="AD712" s="592"/>
      <c r="AE712" s="592"/>
      <c r="AF712" s="592"/>
      <c r="AG712" s="592"/>
    </row>
    <row r="713">
      <c r="E713" s="592"/>
      <c r="F713" s="591"/>
      <c r="G713" s="591"/>
      <c r="H713" s="592"/>
      <c r="I713" s="592"/>
      <c r="J713" s="592"/>
      <c r="K713" s="592"/>
      <c r="L713" s="592"/>
      <c r="M713" s="592"/>
      <c r="N713" s="592"/>
      <c r="O713" s="592"/>
      <c r="P713" s="592"/>
      <c r="Q713" s="592"/>
      <c r="R713" s="592"/>
      <c r="S713" s="592"/>
      <c r="T713" s="592"/>
      <c r="U713" s="592"/>
      <c r="V713" s="592"/>
      <c r="W713" s="592"/>
      <c r="X713" s="592"/>
      <c r="Y713" s="592"/>
      <c r="Z713" s="592"/>
      <c r="AA713" s="592"/>
      <c r="AB713" s="592"/>
      <c r="AC713" s="592"/>
      <c r="AD713" s="592"/>
      <c r="AE713" s="592"/>
      <c r="AF713" s="592"/>
      <c r="AG713" s="592"/>
    </row>
    <row r="714">
      <c r="E714" s="592"/>
      <c r="F714" s="591"/>
      <c r="G714" s="591"/>
      <c r="H714" s="592"/>
      <c r="I714" s="592"/>
      <c r="J714" s="592"/>
      <c r="K714" s="592"/>
      <c r="L714" s="592"/>
      <c r="M714" s="592"/>
      <c r="N714" s="592"/>
      <c r="O714" s="592"/>
      <c r="P714" s="592"/>
      <c r="Q714" s="592"/>
      <c r="R714" s="592"/>
      <c r="S714" s="592"/>
      <c r="T714" s="592"/>
      <c r="U714" s="592"/>
      <c r="V714" s="592"/>
      <c r="W714" s="592"/>
      <c r="X714" s="592"/>
      <c r="Y714" s="592"/>
      <c r="Z714" s="592"/>
      <c r="AA714" s="592"/>
      <c r="AB714" s="592"/>
      <c r="AC714" s="592"/>
      <c r="AD714" s="592"/>
      <c r="AE714" s="592"/>
      <c r="AF714" s="592"/>
      <c r="AG714" s="592"/>
    </row>
    <row r="715">
      <c r="E715" s="592"/>
      <c r="F715" s="591"/>
      <c r="G715" s="591"/>
      <c r="H715" s="592"/>
      <c r="I715" s="592"/>
      <c r="J715" s="592"/>
      <c r="K715" s="592"/>
      <c r="L715" s="592"/>
      <c r="M715" s="592"/>
      <c r="N715" s="592"/>
      <c r="O715" s="592"/>
      <c r="P715" s="592"/>
      <c r="Q715" s="592"/>
      <c r="R715" s="592"/>
      <c r="S715" s="592"/>
      <c r="T715" s="592"/>
      <c r="U715" s="592"/>
      <c r="V715" s="592"/>
      <c r="W715" s="592"/>
      <c r="X715" s="592"/>
      <c r="Y715" s="592"/>
      <c r="Z715" s="592"/>
      <c r="AA715" s="592"/>
      <c r="AB715" s="592"/>
      <c r="AC715" s="592"/>
      <c r="AD715" s="592"/>
      <c r="AE715" s="592"/>
      <c r="AF715" s="592"/>
      <c r="AG715" s="592"/>
    </row>
    <row r="716">
      <c r="E716" s="592"/>
      <c r="F716" s="591"/>
      <c r="G716" s="591"/>
      <c r="H716" s="592"/>
      <c r="I716" s="592"/>
      <c r="J716" s="592"/>
      <c r="K716" s="592"/>
      <c r="L716" s="592"/>
      <c r="M716" s="592"/>
      <c r="N716" s="592"/>
      <c r="O716" s="592"/>
      <c r="P716" s="592"/>
      <c r="Q716" s="592"/>
      <c r="R716" s="592"/>
      <c r="S716" s="592"/>
      <c r="T716" s="592"/>
      <c r="U716" s="592"/>
      <c r="V716" s="592"/>
      <c r="W716" s="592"/>
      <c r="X716" s="592"/>
      <c r="Y716" s="592"/>
      <c r="Z716" s="592"/>
      <c r="AA716" s="592"/>
      <c r="AB716" s="592"/>
      <c r="AC716" s="592"/>
      <c r="AD716" s="592"/>
      <c r="AE716" s="592"/>
      <c r="AF716" s="592"/>
      <c r="AG716" s="592"/>
    </row>
    <row r="717">
      <c r="E717" s="592"/>
      <c r="F717" s="591"/>
      <c r="G717" s="591"/>
      <c r="H717" s="592"/>
      <c r="I717" s="592"/>
      <c r="J717" s="592"/>
      <c r="K717" s="592"/>
      <c r="L717" s="592"/>
      <c r="M717" s="592"/>
      <c r="N717" s="592"/>
      <c r="O717" s="592"/>
      <c r="P717" s="592"/>
      <c r="Q717" s="592"/>
      <c r="R717" s="592"/>
      <c r="S717" s="592"/>
      <c r="T717" s="592"/>
      <c r="U717" s="592"/>
      <c r="V717" s="592"/>
      <c r="W717" s="592"/>
      <c r="X717" s="592"/>
      <c r="Y717" s="592"/>
      <c r="Z717" s="592"/>
      <c r="AA717" s="592"/>
      <c r="AB717" s="592"/>
      <c r="AC717" s="592"/>
      <c r="AD717" s="592"/>
      <c r="AE717" s="592"/>
      <c r="AF717" s="592"/>
      <c r="AG717" s="592"/>
    </row>
    <row r="718">
      <c r="E718" s="592"/>
      <c r="F718" s="591"/>
      <c r="G718" s="591"/>
      <c r="H718" s="592"/>
      <c r="I718" s="592"/>
      <c r="J718" s="592"/>
      <c r="K718" s="592"/>
      <c r="L718" s="592"/>
      <c r="M718" s="592"/>
      <c r="N718" s="592"/>
      <c r="O718" s="592"/>
      <c r="P718" s="592"/>
      <c r="Q718" s="592"/>
      <c r="R718" s="592"/>
      <c r="S718" s="592"/>
      <c r="T718" s="592"/>
      <c r="U718" s="592"/>
      <c r="V718" s="592"/>
      <c r="W718" s="592"/>
      <c r="X718" s="592"/>
      <c r="Y718" s="592"/>
      <c r="Z718" s="592"/>
      <c r="AA718" s="592"/>
      <c r="AB718" s="592"/>
      <c r="AC718" s="592"/>
      <c r="AD718" s="592"/>
      <c r="AE718" s="592"/>
      <c r="AF718" s="592"/>
      <c r="AG718" s="592"/>
    </row>
    <row r="719">
      <c r="E719" s="592"/>
      <c r="F719" s="591"/>
      <c r="G719" s="591"/>
      <c r="H719" s="592"/>
      <c r="I719" s="592"/>
      <c r="J719" s="592"/>
      <c r="K719" s="592"/>
      <c r="L719" s="592"/>
      <c r="M719" s="592"/>
      <c r="N719" s="592"/>
      <c r="O719" s="592"/>
      <c r="P719" s="592"/>
      <c r="Q719" s="592"/>
      <c r="R719" s="592"/>
      <c r="S719" s="592"/>
      <c r="T719" s="592"/>
      <c r="U719" s="592"/>
      <c r="V719" s="592"/>
      <c r="W719" s="592"/>
      <c r="X719" s="592"/>
      <c r="Y719" s="592"/>
      <c r="Z719" s="592"/>
      <c r="AA719" s="592"/>
      <c r="AB719" s="592"/>
      <c r="AC719" s="592"/>
      <c r="AD719" s="592"/>
      <c r="AE719" s="592"/>
      <c r="AF719" s="592"/>
      <c r="AG719" s="592"/>
    </row>
    <row r="720">
      <c r="E720" s="592"/>
      <c r="F720" s="591"/>
      <c r="G720" s="591"/>
      <c r="H720" s="592"/>
      <c r="I720" s="592"/>
      <c r="J720" s="592"/>
      <c r="K720" s="592"/>
      <c r="L720" s="592"/>
      <c r="M720" s="592"/>
      <c r="N720" s="592"/>
      <c r="O720" s="592"/>
      <c r="P720" s="592"/>
      <c r="Q720" s="592"/>
      <c r="R720" s="592"/>
      <c r="S720" s="592"/>
      <c r="T720" s="592"/>
      <c r="U720" s="592"/>
      <c r="V720" s="592"/>
      <c r="W720" s="592"/>
      <c r="X720" s="592"/>
      <c r="Y720" s="592"/>
      <c r="Z720" s="592"/>
      <c r="AA720" s="592"/>
      <c r="AB720" s="592"/>
      <c r="AC720" s="592"/>
      <c r="AD720" s="592"/>
      <c r="AE720" s="592"/>
      <c r="AF720" s="592"/>
      <c r="AG720" s="592"/>
    </row>
    <row r="721">
      <c r="E721" s="592"/>
      <c r="F721" s="591"/>
      <c r="G721" s="591"/>
      <c r="H721" s="592"/>
      <c r="I721" s="592"/>
      <c r="J721" s="592"/>
      <c r="K721" s="592"/>
      <c r="L721" s="592"/>
      <c r="M721" s="592"/>
      <c r="N721" s="592"/>
      <c r="O721" s="592"/>
      <c r="P721" s="592"/>
      <c r="Q721" s="592"/>
      <c r="R721" s="592"/>
      <c r="S721" s="592"/>
      <c r="T721" s="592"/>
      <c r="U721" s="592"/>
      <c r="V721" s="592"/>
      <c r="W721" s="592"/>
      <c r="X721" s="592"/>
      <c r="Y721" s="592"/>
      <c r="Z721" s="592"/>
      <c r="AA721" s="592"/>
      <c r="AB721" s="592"/>
      <c r="AC721" s="592"/>
      <c r="AD721" s="592"/>
      <c r="AE721" s="592"/>
      <c r="AF721" s="592"/>
      <c r="AG721" s="592"/>
    </row>
    <row r="722">
      <c r="E722" s="592"/>
      <c r="F722" s="591"/>
      <c r="G722" s="591"/>
      <c r="H722" s="592"/>
      <c r="I722" s="592"/>
      <c r="J722" s="592"/>
      <c r="K722" s="592"/>
      <c r="L722" s="592"/>
      <c r="M722" s="592"/>
      <c r="N722" s="592"/>
      <c r="O722" s="592"/>
      <c r="P722" s="592"/>
      <c r="Q722" s="592"/>
      <c r="R722" s="592"/>
      <c r="S722" s="592"/>
      <c r="T722" s="592"/>
      <c r="U722" s="592"/>
      <c r="V722" s="592"/>
      <c r="W722" s="592"/>
      <c r="X722" s="592"/>
      <c r="Y722" s="592"/>
      <c r="Z722" s="592"/>
      <c r="AA722" s="592"/>
      <c r="AB722" s="592"/>
      <c r="AC722" s="592"/>
      <c r="AD722" s="592"/>
      <c r="AE722" s="592"/>
      <c r="AF722" s="592"/>
      <c r="AG722" s="592"/>
    </row>
    <row r="723">
      <c r="E723" s="592"/>
      <c r="F723" s="591"/>
      <c r="G723" s="591"/>
      <c r="H723" s="592"/>
      <c r="I723" s="592"/>
      <c r="J723" s="592"/>
      <c r="K723" s="592"/>
      <c r="L723" s="592"/>
      <c r="M723" s="592"/>
      <c r="N723" s="592"/>
      <c r="O723" s="592"/>
      <c r="P723" s="592"/>
      <c r="Q723" s="592"/>
      <c r="R723" s="592"/>
      <c r="S723" s="592"/>
      <c r="T723" s="592"/>
      <c r="U723" s="592"/>
      <c r="V723" s="592"/>
      <c r="W723" s="592"/>
      <c r="X723" s="592"/>
      <c r="Y723" s="592"/>
      <c r="Z723" s="592"/>
      <c r="AA723" s="592"/>
      <c r="AB723" s="592"/>
      <c r="AC723" s="592"/>
      <c r="AD723" s="592"/>
      <c r="AE723" s="592"/>
      <c r="AF723" s="592"/>
      <c r="AG723" s="592"/>
    </row>
    <row r="724">
      <c r="E724" s="592"/>
      <c r="F724" s="591"/>
      <c r="G724" s="591"/>
      <c r="H724" s="592"/>
      <c r="I724" s="592"/>
      <c r="J724" s="592"/>
      <c r="K724" s="592"/>
      <c r="L724" s="592"/>
      <c r="M724" s="592"/>
      <c r="N724" s="592"/>
      <c r="O724" s="592"/>
      <c r="P724" s="592"/>
      <c r="Q724" s="592"/>
      <c r="R724" s="592"/>
      <c r="S724" s="592"/>
      <c r="T724" s="592"/>
      <c r="U724" s="592"/>
      <c r="V724" s="592"/>
      <c r="W724" s="592"/>
      <c r="X724" s="592"/>
      <c r="Y724" s="592"/>
      <c r="Z724" s="592"/>
      <c r="AA724" s="592"/>
      <c r="AB724" s="592"/>
      <c r="AC724" s="592"/>
      <c r="AD724" s="592"/>
      <c r="AE724" s="592"/>
      <c r="AF724" s="592"/>
      <c r="AG724" s="592"/>
    </row>
    <row r="725">
      <c r="E725" s="592"/>
      <c r="F725" s="591"/>
      <c r="G725" s="591"/>
      <c r="H725" s="592"/>
      <c r="I725" s="592"/>
      <c r="J725" s="592"/>
      <c r="K725" s="592"/>
      <c r="L725" s="592"/>
      <c r="M725" s="592"/>
      <c r="N725" s="592"/>
      <c r="O725" s="592"/>
      <c r="P725" s="592"/>
      <c r="Q725" s="592"/>
      <c r="R725" s="592"/>
      <c r="S725" s="592"/>
      <c r="T725" s="592"/>
      <c r="U725" s="592"/>
      <c r="V725" s="592"/>
      <c r="W725" s="592"/>
      <c r="X725" s="592"/>
      <c r="Y725" s="592"/>
      <c r="Z725" s="592"/>
      <c r="AA725" s="592"/>
      <c r="AB725" s="592"/>
      <c r="AC725" s="592"/>
      <c r="AD725" s="592"/>
      <c r="AE725" s="592"/>
      <c r="AF725" s="592"/>
      <c r="AG725" s="592"/>
    </row>
    <row r="726">
      <c r="E726" s="592"/>
      <c r="F726" s="591"/>
      <c r="G726" s="591"/>
      <c r="H726" s="592"/>
      <c r="I726" s="592"/>
      <c r="J726" s="592"/>
      <c r="K726" s="592"/>
      <c r="L726" s="592"/>
      <c r="M726" s="592"/>
      <c r="N726" s="592"/>
      <c r="O726" s="592"/>
      <c r="P726" s="592"/>
      <c r="Q726" s="592"/>
      <c r="R726" s="592"/>
      <c r="S726" s="592"/>
      <c r="T726" s="592"/>
      <c r="U726" s="592"/>
      <c r="V726" s="592"/>
      <c r="W726" s="592"/>
      <c r="X726" s="592"/>
      <c r="Y726" s="592"/>
      <c r="Z726" s="592"/>
      <c r="AA726" s="592"/>
      <c r="AB726" s="592"/>
      <c r="AC726" s="592"/>
      <c r="AD726" s="592"/>
      <c r="AE726" s="592"/>
      <c r="AF726" s="592"/>
      <c r="AG726" s="592"/>
    </row>
    <row r="727">
      <c r="E727" s="592"/>
      <c r="F727" s="591"/>
      <c r="G727" s="591"/>
      <c r="H727" s="592"/>
      <c r="I727" s="592"/>
      <c r="J727" s="592"/>
      <c r="K727" s="592"/>
      <c r="L727" s="592"/>
      <c r="M727" s="592"/>
      <c r="N727" s="592"/>
      <c r="O727" s="592"/>
      <c r="P727" s="592"/>
      <c r="Q727" s="592"/>
      <c r="R727" s="592"/>
      <c r="S727" s="592"/>
      <c r="T727" s="592"/>
      <c r="U727" s="592"/>
      <c r="V727" s="592"/>
      <c r="W727" s="592"/>
      <c r="X727" s="592"/>
      <c r="Y727" s="592"/>
      <c r="Z727" s="592"/>
      <c r="AA727" s="592"/>
      <c r="AB727" s="592"/>
      <c r="AC727" s="592"/>
      <c r="AD727" s="592"/>
      <c r="AE727" s="592"/>
      <c r="AF727" s="592"/>
      <c r="AG727" s="592"/>
    </row>
    <row r="728">
      <c r="E728" s="592"/>
      <c r="F728" s="591"/>
      <c r="G728" s="591"/>
      <c r="H728" s="592"/>
      <c r="I728" s="592"/>
      <c r="J728" s="592"/>
      <c r="K728" s="592"/>
      <c r="L728" s="592"/>
      <c r="M728" s="592"/>
      <c r="N728" s="592"/>
      <c r="O728" s="592"/>
      <c r="P728" s="592"/>
      <c r="Q728" s="592"/>
      <c r="R728" s="592"/>
      <c r="S728" s="592"/>
      <c r="T728" s="592"/>
      <c r="U728" s="592"/>
      <c r="V728" s="592"/>
      <c r="W728" s="592"/>
      <c r="X728" s="592"/>
      <c r="Y728" s="592"/>
      <c r="Z728" s="592"/>
      <c r="AA728" s="592"/>
      <c r="AB728" s="592"/>
      <c r="AC728" s="592"/>
      <c r="AD728" s="592"/>
      <c r="AE728" s="592"/>
      <c r="AF728" s="592"/>
      <c r="AG728" s="592"/>
    </row>
    <row r="729">
      <c r="E729" s="592"/>
      <c r="F729" s="591"/>
      <c r="G729" s="591"/>
      <c r="H729" s="592"/>
      <c r="I729" s="592"/>
      <c r="J729" s="592"/>
      <c r="K729" s="592"/>
      <c r="L729" s="592"/>
      <c r="M729" s="592"/>
      <c r="N729" s="592"/>
      <c r="O729" s="592"/>
      <c r="P729" s="592"/>
      <c r="Q729" s="592"/>
      <c r="R729" s="592"/>
      <c r="S729" s="592"/>
      <c r="T729" s="592"/>
      <c r="U729" s="592"/>
      <c r="V729" s="592"/>
      <c r="W729" s="592"/>
      <c r="X729" s="592"/>
      <c r="Y729" s="592"/>
      <c r="Z729" s="592"/>
      <c r="AA729" s="592"/>
      <c r="AB729" s="592"/>
      <c r="AC729" s="592"/>
      <c r="AD729" s="592"/>
      <c r="AE729" s="592"/>
      <c r="AF729" s="592"/>
      <c r="AG729" s="592"/>
    </row>
    <row r="730">
      <c r="E730" s="592"/>
      <c r="F730" s="591"/>
      <c r="G730" s="591"/>
      <c r="H730" s="592"/>
      <c r="I730" s="592"/>
      <c r="J730" s="592"/>
      <c r="K730" s="592"/>
      <c r="L730" s="592"/>
      <c r="M730" s="592"/>
      <c r="N730" s="592"/>
      <c r="O730" s="592"/>
      <c r="P730" s="592"/>
      <c r="Q730" s="592"/>
      <c r="R730" s="592"/>
      <c r="S730" s="592"/>
      <c r="T730" s="592"/>
      <c r="U730" s="592"/>
      <c r="V730" s="592"/>
      <c r="W730" s="592"/>
      <c r="X730" s="592"/>
      <c r="Y730" s="592"/>
      <c r="Z730" s="592"/>
      <c r="AA730" s="592"/>
      <c r="AB730" s="592"/>
      <c r="AC730" s="592"/>
      <c r="AD730" s="592"/>
      <c r="AE730" s="592"/>
      <c r="AF730" s="592"/>
      <c r="AG730" s="592"/>
    </row>
    <row r="731">
      <c r="E731" s="592"/>
      <c r="F731" s="591"/>
      <c r="G731" s="591"/>
      <c r="H731" s="592"/>
      <c r="I731" s="592"/>
      <c r="J731" s="592"/>
      <c r="K731" s="592"/>
      <c r="L731" s="592"/>
      <c r="M731" s="592"/>
      <c r="N731" s="592"/>
      <c r="O731" s="592"/>
      <c r="P731" s="592"/>
      <c r="Q731" s="592"/>
      <c r="R731" s="592"/>
      <c r="S731" s="592"/>
      <c r="T731" s="592"/>
      <c r="U731" s="592"/>
      <c r="V731" s="592"/>
      <c r="W731" s="592"/>
      <c r="X731" s="592"/>
      <c r="Y731" s="592"/>
      <c r="Z731" s="592"/>
      <c r="AA731" s="592"/>
      <c r="AB731" s="592"/>
      <c r="AC731" s="592"/>
      <c r="AD731" s="592"/>
      <c r="AE731" s="592"/>
      <c r="AF731" s="592"/>
      <c r="AG731" s="592"/>
    </row>
    <row r="732">
      <c r="E732" s="592"/>
      <c r="F732" s="591"/>
      <c r="G732" s="591"/>
      <c r="H732" s="592"/>
      <c r="I732" s="592"/>
      <c r="J732" s="592"/>
      <c r="K732" s="592"/>
      <c r="L732" s="592"/>
      <c r="M732" s="592"/>
      <c r="N732" s="592"/>
      <c r="O732" s="592"/>
      <c r="P732" s="592"/>
      <c r="Q732" s="592"/>
      <c r="R732" s="592"/>
      <c r="S732" s="592"/>
      <c r="T732" s="592"/>
      <c r="U732" s="592"/>
      <c r="V732" s="592"/>
      <c r="W732" s="592"/>
      <c r="X732" s="592"/>
      <c r="Y732" s="592"/>
      <c r="Z732" s="592"/>
      <c r="AA732" s="592"/>
      <c r="AB732" s="592"/>
      <c r="AC732" s="592"/>
      <c r="AD732" s="592"/>
      <c r="AE732" s="592"/>
      <c r="AF732" s="592"/>
      <c r="AG732" s="592"/>
    </row>
    <row r="733">
      <c r="E733" s="592"/>
      <c r="F733" s="591"/>
      <c r="G733" s="591"/>
      <c r="H733" s="592"/>
      <c r="I733" s="592"/>
      <c r="J733" s="592"/>
      <c r="K733" s="592"/>
      <c r="L733" s="592"/>
      <c r="M733" s="592"/>
      <c r="N733" s="592"/>
      <c r="O733" s="592"/>
      <c r="P733" s="592"/>
      <c r="Q733" s="592"/>
      <c r="R733" s="592"/>
      <c r="S733" s="592"/>
      <c r="T733" s="592"/>
      <c r="U733" s="592"/>
      <c r="V733" s="592"/>
      <c r="W733" s="592"/>
      <c r="X733" s="592"/>
      <c r="Y733" s="592"/>
      <c r="Z733" s="592"/>
      <c r="AA733" s="592"/>
      <c r="AB733" s="592"/>
      <c r="AC733" s="592"/>
      <c r="AD733" s="592"/>
      <c r="AE733" s="592"/>
      <c r="AF733" s="592"/>
      <c r="AG733" s="592"/>
    </row>
    <row r="734">
      <c r="E734" s="592"/>
      <c r="F734" s="591"/>
      <c r="G734" s="591"/>
      <c r="H734" s="592"/>
      <c r="I734" s="592"/>
      <c r="J734" s="592"/>
      <c r="K734" s="592"/>
      <c r="L734" s="592"/>
      <c r="M734" s="592"/>
      <c r="N734" s="592"/>
      <c r="O734" s="592"/>
      <c r="P734" s="592"/>
      <c r="Q734" s="592"/>
      <c r="R734" s="592"/>
      <c r="S734" s="592"/>
      <c r="T734" s="592"/>
      <c r="U734" s="592"/>
      <c r="V734" s="592"/>
      <c r="W734" s="592"/>
      <c r="X734" s="592"/>
      <c r="Y734" s="592"/>
      <c r="Z734" s="592"/>
      <c r="AA734" s="592"/>
      <c r="AB734" s="592"/>
      <c r="AC734" s="592"/>
      <c r="AD734" s="592"/>
      <c r="AE734" s="592"/>
      <c r="AF734" s="592"/>
      <c r="AG734" s="592"/>
    </row>
    <row r="735">
      <c r="E735" s="592"/>
      <c r="F735" s="591"/>
      <c r="G735" s="591"/>
      <c r="H735" s="592"/>
      <c r="I735" s="592"/>
      <c r="J735" s="592"/>
      <c r="K735" s="592"/>
      <c r="L735" s="592"/>
      <c r="M735" s="592"/>
      <c r="N735" s="592"/>
      <c r="O735" s="592"/>
      <c r="P735" s="592"/>
      <c r="Q735" s="592"/>
      <c r="R735" s="592"/>
      <c r="S735" s="592"/>
      <c r="T735" s="592"/>
      <c r="U735" s="592"/>
      <c r="V735" s="592"/>
      <c r="W735" s="592"/>
      <c r="X735" s="592"/>
      <c r="Y735" s="592"/>
      <c r="Z735" s="592"/>
      <c r="AA735" s="592"/>
      <c r="AB735" s="592"/>
      <c r="AC735" s="592"/>
      <c r="AD735" s="592"/>
      <c r="AE735" s="592"/>
      <c r="AF735" s="592"/>
      <c r="AG735" s="592"/>
    </row>
    <row r="736">
      <c r="E736" s="592"/>
      <c r="F736" s="591"/>
      <c r="G736" s="591"/>
      <c r="H736" s="592"/>
      <c r="I736" s="592"/>
      <c r="J736" s="592"/>
      <c r="K736" s="592"/>
      <c r="L736" s="592"/>
      <c r="M736" s="592"/>
      <c r="N736" s="592"/>
      <c r="O736" s="592"/>
      <c r="P736" s="592"/>
      <c r="Q736" s="592"/>
      <c r="R736" s="592"/>
      <c r="S736" s="592"/>
      <c r="T736" s="592"/>
      <c r="U736" s="592"/>
      <c r="V736" s="592"/>
      <c r="W736" s="592"/>
      <c r="X736" s="592"/>
      <c r="Y736" s="592"/>
      <c r="Z736" s="592"/>
      <c r="AA736" s="592"/>
      <c r="AB736" s="592"/>
      <c r="AC736" s="592"/>
      <c r="AD736" s="592"/>
      <c r="AE736" s="592"/>
      <c r="AF736" s="592"/>
      <c r="AG736" s="592"/>
    </row>
    <row r="737">
      <c r="E737" s="592"/>
      <c r="F737" s="591"/>
      <c r="G737" s="591"/>
      <c r="H737" s="592"/>
      <c r="I737" s="592"/>
      <c r="J737" s="592"/>
      <c r="K737" s="592"/>
      <c r="L737" s="592"/>
      <c r="M737" s="592"/>
      <c r="N737" s="592"/>
      <c r="O737" s="592"/>
      <c r="P737" s="592"/>
      <c r="Q737" s="592"/>
      <c r="R737" s="592"/>
      <c r="S737" s="592"/>
      <c r="T737" s="592"/>
      <c r="U737" s="592"/>
      <c r="V737" s="592"/>
      <c r="W737" s="592"/>
      <c r="X737" s="592"/>
      <c r="Y737" s="592"/>
      <c r="Z737" s="592"/>
      <c r="AA737" s="592"/>
      <c r="AB737" s="592"/>
      <c r="AC737" s="592"/>
      <c r="AD737" s="592"/>
      <c r="AE737" s="592"/>
      <c r="AF737" s="592"/>
      <c r="AG737" s="592"/>
    </row>
    <row r="738">
      <c r="E738" s="592"/>
      <c r="F738" s="591"/>
      <c r="G738" s="591"/>
      <c r="H738" s="592"/>
      <c r="I738" s="592"/>
      <c r="J738" s="592"/>
      <c r="K738" s="592"/>
      <c r="L738" s="592"/>
      <c r="M738" s="592"/>
      <c r="N738" s="592"/>
      <c r="O738" s="592"/>
      <c r="P738" s="592"/>
      <c r="Q738" s="592"/>
      <c r="R738" s="592"/>
      <c r="S738" s="592"/>
      <c r="T738" s="592"/>
      <c r="U738" s="592"/>
      <c r="V738" s="592"/>
      <c r="W738" s="592"/>
      <c r="X738" s="592"/>
      <c r="Y738" s="592"/>
      <c r="Z738" s="592"/>
      <c r="AA738" s="592"/>
      <c r="AB738" s="592"/>
      <c r="AC738" s="592"/>
      <c r="AD738" s="592"/>
      <c r="AE738" s="592"/>
      <c r="AF738" s="592"/>
      <c r="AG738" s="592"/>
    </row>
    <row r="739">
      <c r="E739" s="592"/>
      <c r="F739" s="591"/>
      <c r="G739" s="591"/>
      <c r="H739" s="592"/>
      <c r="I739" s="592"/>
      <c r="J739" s="592"/>
      <c r="K739" s="592"/>
      <c r="L739" s="592"/>
      <c r="M739" s="592"/>
      <c r="N739" s="592"/>
      <c r="O739" s="592"/>
      <c r="P739" s="592"/>
      <c r="Q739" s="592"/>
      <c r="R739" s="592"/>
      <c r="S739" s="592"/>
      <c r="T739" s="592"/>
      <c r="U739" s="592"/>
      <c r="V739" s="592"/>
      <c r="W739" s="592"/>
      <c r="X739" s="592"/>
      <c r="Y739" s="592"/>
      <c r="Z739" s="592"/>
      <c r="AA739" s="592"/>
      <c r="AB739" s="592"/>
      <c r="AC739" s="592"/>
      <c r="AD739" s="592"/>
      <c r="AE739" s="592"/>
      <c r="AF739" s="592"/>
      <c r="AG739" s="592"/>
    </row>
    <row r="740">
      <c r="E740" s="592"/>
      <c r="F740" s="591"/>
      <c r="G740" s="591"/>
      <c r="H740" s="592"/>
      <c r="I740" s="592"/>
      <c r="J740" s="592"/>
      <c r="K740" s="592"/>
      <c r="L740" s="592"/>
      <c r="M740" s="592"/>
      <c r="N740" s="592"/>
      <c r="O740" s="592"/>
      <c r="P740" s="592"/>
      <c r="Q740" s="592"/>
      <c r="R740" s="592"/>
      <c r="S740" s="592"/>
      <c r="T740" s="592"/>
      <c r="U740" s="592"/>
      <c r="V740" s="592"/>
      <c r="W740" s="592"/>
      <c r="X740" s="592"/>
      <c r="Y740" s="592"/>
      <c r="Z740" s="592"/>
      <c r="AA740" s="592"/>
      <c r="AB740" s="592"/>
      <c r="AC740" s="592"/>
      <c r="AD740" s="592"/>
      <c r="AE740" s="592"/>
      <c r="AF740" s="592"/>
      <c r="AG740" s="592"/>
    </row>
    <row r="741">
      <c r="E741" s="592"/>
      <c r="F741" s="591"/>
      <c r="G741" s="591"/>
      <c r="H741" s="592"/>
      <c r="I741" s="592"/>
      <c r="J741" s="592"/>
      <c r="K741" s="592"/>
      <c r="L741" s="592"/>
      <c r="M741" s="592"/>
      <c r="N741" s="592"/>
      <c r="O741" s="592"/>
      <c r="P741" s="592"/>
      <c r="Q741" s="592"/>
      <c r="R741" s="592"/>
      <c r="S741" s="592"/>
      <c r="T741" s="592"/>
      <c r="U741" s="592"/>
      <c r="V741" s="592"/>
      <c r="W741" s="592"/>
      <c r="X741" s="592"/>
      <c r="Y741" s="592"/>
      <c r="Z741" s="592"/>
      <c r="AA741" s="592"/>
      <c r="AB741" s="592"/>
      <c r="AC741" s="592"/>
      <c r="AD741" s="592"/>
      <c r="AE741" s="592"/>
      <c r="AF741" s="592"/>
      <c r="AG741" s="592"/>
    </row>
    <row r="742">
      <c r="E742" s="592"/>
      <c r="F742" s="591"/>
      <c r="G742" s="591"/>
      <c r="H742" s="592"/>
      <c r="I742" s="592"/>
      <c r="J742" s="592"/>
      <c r="K742" s="592"/>
      <c r="L742" s="592"/>
      <c r="M742" s="592"/>
      <c r="N742" s="592"/>
      <c r="O742" s="592"/>
      <c r="P742" s="592"/>
      <c r="Q742" s="592"/>
      <c r="R742" s="592"/>
      <c r="S742" s="592"/>
      <c r="T742" s="592"/>
      <c r="U742" s="592"/>
      <c r="V742" s="592"/>
      <c r="W742" s="592"/>
      <c r="X742" s="592"/>
      <c r="Y742" s="592"/>
      <c r="Z742" s="592"/>
      <c r="AA742" s="592"/>
      <c r="AB742" s="592"/>
      <c r="AC742" s="592"/>
      <c r="AD742" s="592"/>
      <c r="AE742" s="592"/>
      <c r="AF742" s="592"/>
      <c r="AG742" s="592"/>
    </row>
    <row r="743">
      <c r="E743" s="592"/>
      <c r="F743" s="591"/>
      <c r="G743" s="591"/>
      <c r="H743" s="592"/>
      <c r="I743" s="592"/>
      <c r="J743" s="592"/>
      <c r="K743" s="592"/>
      <c r="L743" s="592"/>
      <c r="M743" s="592"/>
      <c r="N743" s="592"/>
      <c r="O743" s="592"/>
      <c r="P743" s="592"/>
      <c r="Q743" s="592"/>
      <c r="R743" s="592"/>
      <c r="S743" s="592"/>
      <c r="T743" s="592"/>
      <c r="U743" s="592"/>
      <c r="V743" s="592"/>
      <c r="W743" s="592"/>
      <c r="X743" s="592"/>
      <c r="Y743" s="592"/>
      <c r="Z743" s="592"/>
      <c r="AA743" s="592"/>
      <c r="AB743" s="592"/>
      <c r="AC743" s="592"/>
      <c r="AD743" s="592"/>
      <c r="AE743" s="592"/>
      <c r="AF743" s="592"/>
      <c r="AG743" s="592"/>
    </row>
    <row r="744">
      <c r="E744" s="592"/>
      <c r="F744" s="591"/>
      <c r="G744" s="591"/>
      <c r="H744" s="592"/>
      <c r="I744" s="592"/>
      <c r="J744" s="592"/>
      <c r="K744" s="592"/>
      <c r="L744" s="592"/>
      <c r="M744" s="592"/>
      <c r="N744" s="592"/>
      <c r="O744" s="592"/>
      <c r="P744" s="592"/>
      <c r="Q744" s="592"/>
      <c r="R744" s="592"/>
      <c r="S744" s="592"/>
      <c r="T744" s="592"/>
      <c r="U744" s="592"/>
      <c r="V744" s="592"/>
      <c r="W744" s="592"/>
      <c r="X744" s="592"/>
      <c r="Y744" s="592"/>
      <c r="Z744" s="592"/>
      <c r="AA744" s="592"/>
      <c r="AB744" s="592"/>
      <c r="AC744" s="592"/>
      <c r="AD744" s="592"/>
      <c r="AE744" s="592"/>
      <c r="AF744" s="592"/>
      <c r="AG744" s="592"/>
    </row>
    <row r="745">
      <c r="E745" s="592"/>
      <c r="F745" s="591"/>
      <c r="G745" s="591"/>
      <c r="H745" s="592"/>
      <c r="I745" s="592"/>
      <c r="J745" s="592"/>
      <c r="K745" s="592"/>
      <c r="L745" s="592"/>
      <c r="M745" s="592"/>
      <c r="N745" s="592"/>
      <c r="O745" s="592"/>
      <c r="P745" s="592"/>
      <c r="Q745" s="592"/>
      <c r="R745" s="592"/>
      <c r="S745" s="592"/>
      <c r="T745" s="592"/>
      <c r="U745" s="592"/>
      <c r="V745" s="592"/>
      <c r="W745" s="592"/>
      <c r="X745" s="592"/>
      <c r="Y745" s="592"/>
      <c r="Z745" s="592"/>
      <c r="AA745" s="592"/>
      <c r="AB745" s="592"/>
      <c r="AC745" s="592"/>
      <c r="AD745" s="592"/>
      <c r="AE745" s="592"/>
      <c r="AF745" s="592"/>
      <c r="AG745" s="592"/>
    </row>
    <row r="746">
      <c r="E746" s="592"/>
      <c r="F746" s="591"/>
      <c r="G746" s="591"/>
      <c r="H746" s="592"/>
      <c r="I746" s="592"/>
      <c r="J746" s="592"/>
      <c r="K746" s="592"/>
      <c r="L746" s="592"/>
      <c r="M746" s="592"/>
      <c r="N746" s="592"/>
      <c r="O746" s="592"/>
      <c r="P746" s="592"/>
      <c r="Q746" s="592"/>
      <c r="R746" s="592"/>
      <c r="S746" s="592"/>
      <c r="T746" s="592"/>
      <c r="U746" s="592"/>
      <c r="V746" s="592"/>
      <c r="W746" s="592"/>
      <c r="X746" s="592"/>
      <c r="Y746" s="592"/>
      <c r="Z746" s="592"/>
      <c r="AA746" s="592"/>
      <c r="AB746" s="592"/>
      <c r="AC746" s="592"/>
      <c r="AD746" s="592"/>
      <c r="AE746" s="592"/>
      <c r="AF746" s="592"/>
      <c r="AG746" s="592"/>
    </row>
    <row r="747">
      <c r="E747" s="592"/>
      <c r="F747" s="591"/>
      <c r="G747" s="591"/>
      <c r="H747" s="592"/>
      <c r="I747" s="592"/>
      <c r="J747" s="592"/>
      <c r="K747" s="592"/>
      <c r="L747" s="592"/>
      <c r="M747" s="592"/>
      <c r="N747" s="592"/>
      <c r="O747" s="592"/>
      <c r="P747" s="592"/>
      <c r="Q747" s="592"/>
      <c r="R747" s="592"/>
      <c r="S747" s="592"/>
      <c r="T747" s="592"/>
      <c r="U747" s="592"/>
      <c r="V747" s="592"/>
      <c r="W747" s="592"/>
      <c r="X747" s="592"/>
      <c r="Y747" s="592"/>
      <c r="Z747" s="592"/>
      <c r="AA747" s="592"/>
      <c r="AB747" s="592"/>
      <c r="AC747" s="592"/>
      <c r="AD747" s="592"/>
      <c r="AE747" s="592"/>
      <c r="AF747" s="592"/>
      <c r="AG747" s="592"/>
    </row>
    <row r="748">
      <c r="E748" s="592"/>
      <c r="F748" s="591"/>
      <c r="G748" s="591"/>
      <c r="H748" s="592"/>
      <c r="I748" s="592"/>
      <c r="J748" s="592"/>
      <c r="K748" s="592"/>
      <c r="L748" s="592"/>
      <c r="M748" s="592"/>
      <c r="N748" s="592"/>
      <c r="O748" s="592"/>
      <c r="P748" s="592"/>
      <c r="Q748" s="592"/>
      <c r="R748" s="592"/>
      <c r="S748" s="592"/>
      <c r="T748" s="592"/>
      <c r="U748" s="592"/>
      <c r="V748" s="592"/>
      <c r="W748" s="592"/>
      <c r="X748" s="592"/>
      <c r="Y748" s="592"/>
      <c r="Z748" s="592"/>
      <c r="AA748" s="592"/>
      <c r="AB748" s="592"/>
      <c r="AC748" s="592"/>
      <c r="AD748" s="592"/>
      <c r="AE748" s="592"/>
      <c r="AF748" s="592"/>
      <c r="AG748" s="592"/>
    </row>
    <row r="749">
      <c r="E749" s="592"/>
      <c r="F749" s="591"/>
      <c r="G749" s="591"/>
      <c r="H749" s="592"/>
      <c r="I749" s="592"/>
      <c r="J749" s="592"/>
      <c r="K749" s="592"/>
      <c r="L749" s="592"/>
      <c r="M749" s="592"/>
      <c r="N749" s="592"/>
      <c r="O749" s="592"/>
      <c r="P749" s="592"/>
      <c r="Q749" s="592"/>
      <c r="R749" s="592"/>
      <c r="S749" s="592"/>
      <c r="T749" s="592"/>
      <c r="U749" s="592"/>
      <c r="V749" s="592"/>
      <c r="W749" s="592"/>
      <c r="X749" s="592"/>
      <c r="Y749" s="592"/>
      <c r="Z749" s="592"/>
      <c r="AA749" s="592"/>
      <c r="AB749" s="592"/>
      <c r="AC749" s="592"/>
      <c r="AD749" s="592"/>
      <c r="AE749" s="592"/>
      <c r="AF749" s="592"/>
      <c r="AG749" s="592"/>
    </row>
    <row r="750">
      <c r="E750" s="592"/>
      <c r="F750" s="591"/>
      <c r="G750" s="591"/>
      <c r="H750" s="592"/>
      <c r="I750" s="592"/>
      <c r="J750" s="592"/>
      <c r="K750" s="592"/>
      <c r="L750" s="592"/>
      <c r="M750" s="592"/>
      <c r="N750" s="592"/>
      <c r="O750" s="592"/>
      <c r="P750" s="592"/>
      <c r="Q750" s="592"/>
      <c r="R750" s="592"/>
      <c r="S750" s="592"/>
      <c r="T750" s="592"/>
      <c r="U750" s="592"/>
      <c r="V750" s="592"/>
      <c r="W750" s="592"/>
      <c r="X750" s="592"/>
      <c r="Y750" s="592"/>
      <c r="Z750" s="592"/>
      <c r="AA750" s="592"/>
      <c r="AB750" s="592"/>
      <c r="AC750" s="592"/>
      <c r="AD750" s="592"/>
      <c r="AE750" s="592"/>
      <c r="AF750" s="592"/>
      <c r="AG750" s="592"/>
    </row>
    <row r="751">
      <c r="E751" s="592"/>
      <c r="F751" s="591"/>
      <c r="G751" s="591"/>
      <c r="H751" s="592"/>
      <c r="I751" s="592"/>
      <c r="J751" s="592"/>
      <c r="K751" s="592"/>
      <c r="L751" s="592"/>
      <c r="M751" s="592"/>
      <c r="N751" s="592"/>
      <c r="O751" s="592"/>
      <c r="P751" s="592"/>
      <c r="Q751" s="592"/>
      <c r="R751" s="592"/>
      <c r="S751" s="592"/>
      <c r="T751" s="592"/>
      <c r="U751" s="592"/>
      <c r="V751" s="592"/>
      <c r="W751" s="592"/>
      <c r="X751" s="592"/>
      <c r="Y751" s="592"/>
      <c r="Z751" s="592"/>
      <c r="AA751" s="592"/>
      <c r="AB751" s="592"/>
      <c r="AC751" s="592"/>
      <c r="AD751" s="592"/>
      <c r="AE751" s="592"/>
      <c r="AF751" s="592"/>
      <c r="AG751" s="592"/>
    </row>
    <row r="752">
      <c r="E752" s="592"/>
      <c r="F752" s="591"/>
      <c r="G752" s="591"/>
      <c r="H752" s="592"/>
      <c r="I752" s="592"/>
      <c r="J752" s="592"/>
      <c r="K752" s="592"/>
      <c r="L752" s="592"/>
      <c r="M752" s="592"/>
      <c r="N752" s="592"/>
      <c r="O752" s="592"/>
      <c r="P752" s="592"/>
      <c r="Q752" s="592"/>
      <c r="R752" s="592"/>
      <c r="S752" s="592"/>
      <c r="T752" s="592"/>
      <c r="U752" s="592"/>
      <c r="V752" s="592"/>
      <c r="W752" s="592"/>
      <c r="X752" s="592"/>
      <c r="Y752" s="592"/>
      <c r="Z752" s="592"/>
      <c r="AA752" s="592"/>
      <c r="AB752" s="592"/>
      <c r="AC752" s="592"/>
      <c r="AD752" s="592"/>
      <c r="AE752" s="592"/>
      <c r="AF752" s="592"/>
      <c r="AG752" s="592"/>
    </row>
    <row r="753">
      <c r="E753" s="592"/>
      <c r="F753" s="591"/>
      <c r="G753" s="591"/>
      <c r="H753" s="592"/>
      <c r="I753" s="592"/>
      <c r="J753" s="592"/>
      <c r="K753" s="592"/>
      <c r="L753" s="592"/>
      <c r="M753" s="592"/>
      <c r="N753" s="592"/>
      <c r="O753" s="592"/>
      <c r="P753" s="592"/>
      <c r="Q753" s="592"/>
      <c r="R753" s="592"/>
      <c r="S753" s="592"/>
      <c r="T753" s="592"/>
      <c r="U753" s="592"/>
      <c r="V753" s="592"/>
      <c r="W753" s="592"/>
      <c r="X753" s="592"/>
      <c r="Y753" s="592"/>
      <c r="Z753" s="592"/>
      <c r="AA753" s="592"/>
      <c r="AB753" s="592"/>
      <c r="AC753" s="592"/>
      <c r="AD753" s="592"/>
      <c r="AE753" s="592"/>
      <c r="AF753" s="592"/>
      <c r="AG753" s="592"/>
    </row>
    <row r="754">
      <c r="E754" s="592"/>
      <c r="F754" s="591"/>
      <c r="G754" s="591"/>
      <c r="H754" s="592"/>
      <c r="I754" s="592"/>
      <c r="J754" s="592"/>
      <c r="K754" s="592"/>
      <c r="L754" s="592"/>
      <c r="M754" s="592"/>
      <c r="N754" s="592"/>
      <c r="O754" s="592"/>
      <c r="P754" s="592"/>
      <c r="Q754" s="592"/>
      <c r="R754" s="592"/>
      <c r="S754" s="592"/>
      <c r="T754" s="592"/>
      <c r="U754" s="592"/>
      <c r="V754" s="592"/>
      <c r="W754" s="592"/>
      <c r="X754" s="592"/>
      <c r="Y754" s="592"/>
      <c r="Z754" s="592"/>
      <c r="AA754" s="592"/>
      <c r="AB754" s="592"/>
      <c r="AC754" s="592"/>
      <c r="AD754" s="592"/>
      <c r="AE754" s="592"/>
      <c r="AF754" s="592"/>
      <c r="AG754" s="592"/>
    </row>
    <row r="755">
      <c r="E755" s="592"/>
      <c r="F755" s="591"/>
      <c r="G755" s="591"/>
      <c r="H755" s="592"/>
      <c r="I755" s="592"/>
      <c r="J755" s="592"/>
      <c r="K755" s="592"/>
      <c r="L755" s="592"/>
      <c r="M755" s="592"/>
      <c r="N755" s="592"/>
      <c r="O755" s="592"/>
      <c r="P755" s="592"/>
      <c r="Q755" s="592"/>
      <c r="R755" s="592"/>
      <c r="S755" s="592"/>
      <c r="T755" s="592"/>
      <c r="U755" s="592"/>
      <c r="V755" s="592"/>
      <c r="W755" s="592"/>
      <c r="X755" s="592"/>
      <c r="Y755" s="592"/>
      <c r="Z755" s="592"/>
      <c r="AA755" s="592"/>
      <c r="AB755" s="592"/>
      <c r="AC755" s="592"/>
      <c r="AD755" s="592"/>
      <c r="AE755" s="592"/>
      <c r="AF755" s="592"/>
      <c r="AG755" s="592"/>
    </row>
    <row r="756">
      <c r="E756" s="592"/>
      <c r="F756" s="591"/>
      <c r="G756" s="591"/>
      <c r="H756" s="592"/>
      <c r="I756" s="592"/>
      <c r="J756" s="592"/>
      <c r="K756" s="592"/>
      <c r="L756" s="592"/>
      <c r="M756" s="592"/>
      <c r="N756" s="592"/>
      <c r="O756" s="592"/>
      <c r="P756" s="592"/>
      <c r="Q756" s="592"/>
      <c r="R756" s="592"/>
      <c r="S756" s="592"/>
      <c r="T756" s="592"/>
      <c r="U756" s="592"/>
      <c r="V756" s="592"/>
      <c r="W756" s="592"/>
      <c r="X756" s="592"/>
      <c r="Y756" s="592"/>
      <c r="Z756" s="592"/>
      <c r="AA756" s="592"/>
      <c r="AB756" s="592"/>
      <c r="AC756" s="592"/>
      <c r="AD756" s="592"/>
      <c r="AE756" s="592"/>
      <c r="AF756" s="592"/>
      <c r="AG756" s="592"/>
    </row>
    <row r="757">
      <c r="E757" s="592"/>
      <c r="F757" s="591"/>
      <c r="G757" s="591"/>
      <c r="H757" s="592"/>
      <c r="I757" s="592"/>
      <c r="J757" s="592"/>
      <c r="K757" s="592"/>
      <c r="L757" s="592"/>
      <c r="M757" s="592"/>
      <c r="N757" s="592"/>
      <c r="O757" s="592"/>
      <c r="P757" s="592"/>
      <c r="Q757" s="592"/>
      <c r="R757" s="592"/>
      <c r="S757" s="592"/>
      <c r="T757" s="592"/>
      <c r="U757" s="592"/>
      <c r="V757" s="592"/>
      <c r="W757" s="592"/>
      <c r="X757" s="592"/>
      <c r="Y757" s="592"/>
      <c r="Z757" s="592"/>
      <c r="AA757" s="592"/>
      <c r="AB757" s="592"/>
      <c r="AC757" s="592"/>
      <c r="AD757" s="592"/>
      <c r="AE757" s="592"/>
      <c r="AF757" s="592"/>
      <c r="AG757" s="592"/>
    </row>
    <row r="758">
      <c r="E758" s="592"/>
      <c r="F758" s="591"/>
      <c r="G758" s="591"/>
      <c r="H758" s="592"/>
      <c r="I758" s="592"/>
      <c r="J758" s="592"/>
      <c r="K758" s="592"/>
      <c r="L758" s="592"/>
      <c r="M758" s="592"/>
      <c r="N758" s="592"/>
      <c r="O758" s="592"/>
      <c r="P758" s="592"/>
      <c r="Q758" s="592"/>
      <c r="R758" s="592"/>
      <c r="S758" s="592"/>
      <c r="T758" s="592"/>
      <c r="U758" s="592"/>
      <c r="V758" s="592"/>
      <c r="W758" s="592"/>
      <c r="X758" s="592"/>
      <c r="Y758" s="592"/>
      <c r="Z758" s="592"/>
      <c r="AA758" s="592"/>
      <c r="AB758" s="592"/>
      <c r="AC758" s="592"/>
      <c r="AD758" s="592"/>
      <c r="AE758" s="592"/>
      <c r="AF758" s="592"/>
      <c r="AG758" s="592"/>
    </row>
    <row r="759">
      <c r="E759" s="592"/>
      <c r="F759" s="591"/>
      <c r="G759" s="591"/>
      <c r="H759" s="592"/>
      <c r="I759" s="592"/>
      <c r="J759" s="592"/>
      <c r="K759" s="592"/>
      <c r="L759" s="592"/>
      <c r="M759" s="592"/>
      <c r="N759" s="592"/>
      <c r="O759" s="592"/>
      <c r="P759" s="592"/>
      <c r="Q759" s="592"/>
      <c r="R759" s="592"/>
      <c r="S759" s="592"/>
      <c r="T759" s="592"/>
      <c r="U759" s="592"/>
      <c r="V759" s="592"/>
      <c r="W759" s="592"/>
      <c r="X759" s="592"/>
      <c r="Y759" s="592"/>
      <c r="Z759" s="592"/>
      <c r="AA759" s="592"/>
      <c r="AB759" s="592"/>
      <c r="AC759" s="592"/>
      <c r="AD759" s="592"/>
      <c r="AE759" s="592"/>
      <c r="AF759" s="592"/>
      <c r="AG759" s="592"/>
    </row>
    <row r="760">
      <c r="E760" s="592"/>
      <c r="F760" s="591"/>
      <c r="G760" s="591"/>
      <c r="H760" s="592"/>
      <c r="I760" s="592"/>
      <c r="J760" s="592"/>
      <c r="K760" s="592"/>
      <c r="L760" s="592"/>
      <c r="M760" s="592"/>
      <c r="N760" s="592"/>
      <c r="O760" s="592"/>
      <c r="P760" s="592"/>
      <c r="Q760" s="592"/>
      <c r="R760" s="592"/>
      <c r="S760" s="592"/>
      <c r="T760" s="592"/>
      <c r="U760" s="592"/>
      <c r="V760" s="592"/>
      <c r="W760" s="592"/>
      <c r="X760" s="592"/>
      <c r="Y760" s="592"/>
      <c r="Z760" s="592"/>
      <c r="AA760" s="592"/>
      <c r="AB760" s="592"/>
      <c r="AC760" s="592"/>
      <c r="AD760" s="592"/>
      <c r="AE760" s="592"/>
      <c r="AF760" s="592"/>
      <c r="AG760" s="592"/>
    </row>
    <row r="761">
      <c r="E761" s="592"/>
      <c r="F761" s="591"/>
      <c r="G761" s="591"/>
      <c r="H761" s="592"/>
      <c r="I761" s="592"/>
      <c r="J761" s="592"/>
      <c r="K761" s="592"/>
      <c r="L761" s="592"/>
      <c r="M761" s="592"/>
      <c r="N761" s="592"/>
      <c r="O761" s="592"/>
      <c r="P761" s="592"/>
      <c r="Q761" s="592"/>
      <c r="R761" s="592"/>
      <c r="S761" s="592"/>
      <c r="T761" s="592"/>
      <c r="U761" s="592"/>
      <c r="V761" s="592"/>
      <c r="W761" s="592"/>
      <c r="X761" s="592"/>
      <c r="Y761" s="592"/>
      <c r="Z761" s="592"/>
      <c r="AA761" s="592"/>
      <c r="AB761" s="592"/>
      <c r="AC761" s="592"/>
      <c r="AD761" s="592"/>
      <c r="AE761" s="592"/>
      <c r="AF761" s="592"/>
      <c r="AG761" s="592"/>
    </row>
    <row r="762">
      <c r="E762" s="592"/>
      <c r="F762" s="591"/>
      <c r="G762" s="591"/>
      <c r="H762" s="592"/>
      <c r="I762" s="592"/>
      <c r="J762" s="592"/>
      <c r="K762" s="592"/>
      <c r="L762" s="592"/>
      <c r="M762" s="592"/>
      <c r="N762" s="592"/>
      <c r="O762" s="592"/>
      <c r="P762" s="592"/>
      <c r="Q762" s="592"/>
      <c r="R762" s="592"/>
      <c r="S762" s="592"/>
      <c r="T762" s="592"/>
      <c r="U762" s="592"/>
      <c r="V762" s="592"/>
      <c r="W762" s="592"/>
      <c r="X762" s="592"/>
      <c r="Y762" s="592"/>
      <c r="Z762" s="592"/>
      <c r="AA762" s="592"/>
      <c r="AB762" s="592"/>
      <c r="AC762" s="592"/>
      <c r="AD762" s="592"/>
      <c r="AE762" s="592"/>
      <c r="AF762" s="592"/>
      <c r="AG762" s="592"/>
    </row>
    <row r="763">
      <c r="E763" s="592"/>
      <c r="F763" s="591"/>
      <c r="G763" s="591"/>
      <c r="H763" s="592"/>
      <c r="I763" s="592"/>
      <c r="J763" s="592"/>
      <c r="K763" s="592"/>
      <c r="L763" s="592"/>
      <c r="M763" s="592"/>
      <c r="N763" s="592"/>
      <c r="O763" s="592"/>
      <c r="P763" s="592"/>
      <c r="Q763" s="592"/>
      <c r="R763" s="592"/>
      <c r="S763" s="592"/>
      <c r="T763" s="592"/>
      <c r="U763" s="592"/>
      <c r="V763" s="592"/>
      <c r="W763" s="592"/>
      <c r="X763" s="592"/>
      <c r="Y763" s="592"/>
      <c r="Z763" s="592"/>
      <c r="AA763" s="592"/>
      <c r="AB763" s="592"/>
      <c r="AC763" s="592"/>
      <c r="AD763" s="592"/>
      <c r="AE763" s="592"/>
      <c r="AF763" s="592"/>
      <c r="AG763" s="592"/>
    </row>
    <row r="764">
      <c r="E764" s="592"/>
      <c r="F764" s="591"/>
      <c r="G764" s="591"/>
      <c r="H764" s="592"/>
      <c r="I764" s="592"/>
      <c r="J764" s="592"/>
      <c r="K764" s="592"/>
      <c r="L764" s="592"/>
      <c r="M764" s="592"/>
      <c r="N764" s="592"/>
      <c r="O764" s="592"/>
      <c r="P764" s="592"/>
      <c r="Q764" s="592"/>
      <c r="R764" s="592"/>
      <c r="S764" s="592"/>
      <c r="T764" s="592"/>
      <c r="U764" s="592"/>
      <c r="V764" s="592"/>
      <c r="W764" s="592"/>
      <c r="X764" s="592"/>
      <c r="Y764" s="592"/>
      <c r="Z764" s="592"/>
      <c r="AA764" s="592"/>
      <c r="AB764" s="592"/>
      <c r="AC764" s="592"/>
      <c r="AD764" s="592"/>
      <c r="AE764" s="592"/>
      <c r="AF764" s="592"/>
      <c r="AG764" s="592"/>
    </row>
    <row r="765">
      <c r="E765" s="592"/>
      <c r="F765" s="591"/>
      <c r="G765" s="591"/>
      <c r="H765" s="592"/>
      <c r="I765" s="592"/>
      <c r="J765" s="592"/>
      <c r="K765" s="592"/>
      <c r="L765" s="592"/>
      <c r="M765" s="592"/>
      <c r="N765" s="592"/>
      <c r="O765" s="592"/>
      <c r="P765" s="592"/>
      <c r="Q765" s="592"/>
      <c r="R765" s="592"/>
      <c r="S765" s="592"/>
      <c r="T765" s="592"/>
      <c r="U765" s="592"/>
      <c r="V765" s="592"/>
      <c r="W765" s="592"/>
      <c r="X765" s="592"/>
      <c r="Y765" s="592"/>
      <c r="Z765" s="592"/>
      <c r="AA765" s="592"/>
      <c r="AB765" s="592"/>
      <c r="AC765" s="592"/>
      <c r="AD765" s="592"/>
      <c r="AE765" s="592"/>
      <c r="AF765" s="592"/>
      <c r="AG765" s="592"/>
    </row>
    <row r="766">
      <c r="E766" s="592"/>
      <c r="F766" s="591"/>
      <c r="G766" s="591"/>
      <c r="H766" s="592"/>
      <c r="I766" s="592"/>
      <c r="J766" s="592"/>
      <c r="K766" s="592"/>
      <c r="L766" s="592"/>
      <c r="M766" s="592"/>
      <c r="N766" s="592"/>
      <c r="O766" s="592"/>
      <c r="P766" s="592"/>
      <c r="Q766" s="592"/>
      <c r="R766" s="592"/>
      <c r="S766" s="592"/>
      <c r="T766" s="592"/>
      <c r="U766" s="592"/>
      <c r="V766" s="592"/>
      <c r="W766" s="592"/>
      <c r="X766" s="592"/>
      <c r="Y766" s="592"/>
      <c r="Z766" s="592"/>
      <c r="AA766" s="592"/>
      <c r="AB766" s="592"/>
      <c r="AC766" s="592"/>
      <c r="AD766" s="592"/>
      <c r="AE766" s="592"/>
      <c r="AF766" s="592"/>
      <c r="AG766" s="592"/>
    </row>
    <row r="767">
      <c r="E767" s="592"/>
      <c r="F767" s="591"/>
      <c r="G767" s="591"/>
      <c r="H767" s="592"/>
      <c r="I767" s="592"/>
      <c r="J767" s="592"/>
      <c r="K767" s="592"/>
      <c r="L767" s="592"/>
      <c r="M767" s="592"/>
      <c r="N767" s="592"/>
      <c r="O767" s="592"/>
      <c r="P767" s="592"/>
      <c r="Q767" s="592"/>
      <c r="R767" s="592"/>
      <c r="S767" s="592"/>
      <c r="T767" s="592"/>
      <c r="U767" s="592"/>
      <c r="V767" s="592"/>
      <c r="W767" s="592"/>
      <c r="X767" s="592"/>
      <c r="Y767" s="592"/>
      <c r="Z767" s="592"/>
      <c r="AA767" s="592"/>
      <c r="AB767" s="592"/>
      <c r="AC767" s="592"/>
      <c r="AD767" s="592"/>
      <c r="AE767" s="592"/>
      <c r="AF767" s="592"/>
      <c r="AG767" s="592"/>
    </row>
    <row r="768">
      <c r="E768" s="592"/>
      <c r="F768" s="591"/>
      <c r="G768" s="591"/>
      <c r="H768" s="592"/>
      <c r="I768" s="592"/>
      <c r="J768" s="592"/>
      <c r="K768" s="592"/>
      <c r="L768" s="592"/>
      <c r="M768" s="592"/>
      <c r="N768" s="592"/>
      <c r="O768" s="592"/>
      <c r="P768" s="592"/>
      <c r="Q768" s="592"/>
      <c r="R768" s="592"/>
      <c r="S768" s="592"/>
      <c r="T768" s="592"/>
      <c r="U768" s="592"/>
      <c r="V768" s="592"/>
      <c r="W768" s="592"/>
      <c r="X768" s="592"/>
      <c r="Y768" s="592"/>
      <c r="Z768" s="592"/>
      <c r="AA768" s="592"/>
      <c r="AB768" s="592"/>
      <c r="AC768" s="592"/>
      <c r="AD768" s="592"/>
      <c r="AE768" s="592"/>
      <c r="AF768" s="592"/>
      <c r="AG768" s="592"/>
    </row>
    <row r="769">
      <c r="E769" s="592"/>
      <c r="F769" s="591"/>
      <c r="G769" s="591"/>
      <c r="H769" s="592"/>
      <c r="I769" s="592"/>
      <c r="J769" s="592"/>
      <c r="K769" s="592"/>
      <c r="L769" s="592"/>
      <c r="M769" s="592"/>
      <c r="N769" s="592"/>
      <c r="O769" s="592"/>
      <c r="P769" s="592"/>
      <c r="Q769" s="592"/>
      <c r="R769" s="592"/>
      <c r="S769" s="592"/>
      <c r="T769" s="592"/>
      <c r="U769" s="592"/>
      <c r="V769" s="592"/>
      <c r="W769" s="592"/>
      <c r="X769" s="592"/>
      <c r="Y769" s="592"/>
      <c r="Z769" s="592"/>
      <c r="AA769" s="592"/>
      <c r="AB769" s="592"/>
      <c r="AC769" s="592"/>
      <c r="AD769" s="592"/>
      <c r="AE769" s="592"/>
      <c r="AF769" s="592"/>
      <c r="AG769" s="592"/>
    </row>
    <row r="770">
      <c r="E770" s="592"/>
      <c r="F770" s="591"/>
      <c r="G770" s="591"/>
      <c r="H770" s="592"/>
      <c r="I770" s="592"/>
      <c r="J770" s="592"/>
      <c r="K770" s="592"/>
      <c r="L770" s="592"/>
      <c r="M770" s="592"/>
      <c r="N770" s="592"/>
      <c r="O770" s="592"/>
      <c r="P770" s="592"/>
      <c r="Q770" s="592"/>
      <c r="R770" s="592"/>
      <c r="S770" s="592"/>
      <c r="T770" s="592"/>
      <c r="U770" s="592"/>
      <c r="V770" s="592"/>
      <c r="W770" s="592"/>
      <c r="X770" s="592"/>
      <c r="Y770" s="592"/>
      <c r="Z770" s="592"/>
      <c r="AA770" s="592"/>
      <c r="AB770" s="592"/>
      <c r="AC770" s="592"/>
      <c r="AD770" s="592"/>
      <c r="AE770" s="592"/>
      <c r="AF770" s="592"/>
      <c r="AG770" s="592"/>
    </row>
    <row r="771">
      <c r="E771" s="592"/>
      <c r="F771" s="591"/>
      <c r="G771" s="591"/>
      <c r="H771" s="592"/>
      <c r="I771" s="592"/>
      <c r="J771" s="592"/>
      <c r="K771" s="592"/>
      <c r="L771" s="592"/>
      <c r="M771" s="592"/>
      <c r="N771" s="592"/>
      <c r="O771" s="592"/>
      <c r="P771" s="592"/>
      <c r="Q771" s="592"/>
      <c r="R771" s="592"/>
      <c r="S771" s="592"/>
      <c r="T771" s="592"/>
      <c r="U771" s="592"/>
      <c r="V771" s="592"/>
      <c r="W771" s="592"/>
      <c r="X771" s="592"/>
      <c r="Y771" s="592"/>
      <c r="Z771" s="592"/>
      <c r="AA771" s="592"/>
      <c r="AB771" s="592"/>
      <c r="AC771" s="592"/>
      <c r="AD771" s="592"/>
      <c r="AE771" s="592"/>
      <c r="AF771" s="592"/>
      <c r="AG771" s="592"/>
    </row>
    <row r="772">
      <c r="E772" s="592"/>
      <c r="F772" s="591"/>
      <c r="G772" s="591"/>
      <c r="H772" s="592"/>
      <c r="I772" s="592"/>
      <c r="J772" s="592"/>
      <c r="K772" s="592"/>
      <c r="L772" s="592"/>
      <c r="M772" s="592"/>
      <c r="N772" s="592"/>
      <c r="O772" s="592"/>
      <c r="P772" s="592"/>
      <c r="Q772" s="592"/>
      <c r="R772" s="592"/>
      <c r="S772" s="592"/>
      <c r="T772" s="592"/>
      <c r="U772" s="592"/>
      <c r="V772" s="592"/>
      <c r="W772" s="592"/>
      <c r="X772" s="592"/>
      <c r="Y772" s="592"/>
      <c r="Z772" s="592"/>
      <c r="AA772" s="592"/>
      <c r="AB772" s="592"/>
      <c r="AC772" s="592"/>
      <c r="AD772" s="592"/>
      <c r="AE772" s="592"/>
      <c r="AF772" s="592"/>
      <c r="AG772" s="592"/>
    </row>
    <row r="773">
      <c r="E773" s="592"/>
      <c r="F773" s="591"/>
      <c r="G773" s="591"/>
      <c r="H773" s="592"/>
      <c r="I773" s="592"/>
      <c r="J773" s="592"/>
      <c r="K773" s="592"/>
      <c r="L773" s="592"/>
      <c r="M773" s="592"/>
      <c r="N773" s="592"/>
      <c r="O773" s="592"/>
      <c r="P773" s="592"/>
      <c r="Q773" s="592"/>
      <c r="R773" s="592"/>
      <c r="S773" s="592"/>
      <c r="T773" s="592"/>
      <c r="U773" s="592"/>
      <c r="V773" s="592"/>
      <c r="W773" s="592"/>
      <c r="X773" s="592"/>
      <c r="Y773" s="592"/>
      <c r="Z773" s="592"/>
      <c r="AA773" s="592"/>
      <c r="AB773" s="592"/>
      <c r="AC773" s="592"/>
      <c r="AD773" s="592"/>
      <c r="AE773" s="592"/>
      <c r="AF773" s="592"/>
      <c r="AG773" s="592"/>
    </row>
    <row r="774">
      <c r="E774" s="592"/>
      <c r="F774" s="591"/>
      <c r="G774" s="591"/>
      <c r="H774" s="592"/>
      <c r="I774" s="592"/>
      <c r="J774" s="592"/>
      <c r="K774" s="592"/>
      <c r="L774" s="592"/>
      <c r="M774" s="592"/>
      <c r="N774" s="592"/>
      <c r="O774" s="592"/>
      <c r="P774" s="592"/>
      <c r="Q774" s="592"/>
      <c r="R774" s="592"/>
      <c r="S774" s="592"/>
      <c r="T774" s="592"/>
      <c r="U774" s="592"/>
      <c r="V774" s="592"/>
      <c r="W774" s="592"/>
      <c r="X774" s="592"/>
      <c r="Y774" s="592"/>
      <c r="Z774" s="592"/>
      <c r="AA774" s="592"/>
      <c r="AB774" s="592"/>
      <c r="AC774" s="592"/>
      <c r="AD774" s="592"/>
      <c r="AE774" s="592"/>
      <c r="AF774" s="592"/>
      <c r="AG774" s="592"/>
    </row>
    <row r="775">
      <c r="E775" s="592"/>
      <c r="F775" s="591"/>
      <c r="G775" s="591"/>
      <c r="H775" s="592"/>
      <c r="I775" s="592"/>
      <c r="J775" s="592"/>
      <c r="K775" s="592"/>
      <c r="L775" s="592"/>
      <c r="M775" s="592"/>
      <c r="N775" s="592"/>
      <c r="O775" s="592"/>
      <c r="P775" s="592"/>
      <c r="Q775" s="592"/>
      <c r="R775" s="592"/>
      <c r="S775" s="592"/>
      <c r="T775" s="592"/>
      <c r="U775" s="592"/>
      <c r="V775" s="592"/>
      <c r="W775" s="592"/>
      <c r="X775" s="592"/>
      <c r="Y775" s="592"/>
      <c r="Z775" s="592"/>
      <c r="AA775" s="592"/>
      <c r="AB775" s="592"/>
      <c r="AC775" s="592"/>
      <c r="AD775" s="592"/>
      <c r="AE775" s="592"/>
      <c r="AF775" s="592"/>
      <c r="AG775" s="592"/>
    </row>
    <row r="776">
      <c r="E776" s="592"/>
      <c r="F776" s="591"/>
      <c r="G776" s="591"/>
      <c r="H776" s="592"/>
      <c r="I776" s="592"/>
      <c r="J776" s="592"/>
      <c r="K776" s="592"/>
      <c r="L776" s="592"/>
      <c r="M776" s="592"/>
      <c r="N776" s="592"/>
      <c r="O776" s="592"/>
      <c r="P776" s="592"/>
      <c r="Q776" s="592"/>
      <c r="R776" s="592"/>
      <c r="S776" s="592"/>
      <c r="T776" s="592"/>
      <c r="U776" s="592"/>
      <c r="V776" s="592"/>
      <c r="W776" s="592"/>
      <c r="X776" s="592"/>
      <c r="Y776" s="592"/>
      <c r="Z776" s="592"/>
      <c r="AA776" s="592"/>
      <c r="AB776" s="592"/>
      <c r="AC776" s="592"/>
      <c r="AD776" s="592"/>
      <c r="AE776" s="592"/>
      <c r="AF776" s="592"/>
      <c r="AG776" s="592"/>
    </row>
    <row r="777">
      <c r="E777" s="592"/>
      <c r="F777" s="591"/>
      <c r="G777" s="591"/>
      <c r="H777" s="592"/>
      <c r="I777" s="592"/>
      <c r="J777" s="592"/>
      <c r="K777" s="592"/>
      <c r="L777" s="592"/>
      <c r="M777" s="592"/>
      <c r="N777" s="592"/>
      <c r="O777" s="592"/>
      <c r="P777" s="592"/>
      <c r="Q777" s="592"/>
      <c r="R777" s="592"/>
      <c r="S777" s="592"/>
      <c r="T777" s="592"/>
      <c r="U777" s="592"/>
      <c r="V777" s="592"/>
      <c r="W777" s="592"/>
      <c r="X777" s="592"/>
      <c r="Y777" s="592"/>
      <c r="Z777" s="592"/>
      <c r="AA777" s="592"/>
      <c r="AB777" s="592"/>
      <c r="AC777" s="592"/>
      <c r="AD777" s="592"/>
      <c r="AE777" s="592"/>
      <c r="AF777" s="592"/>
      <c r="AG777" s="592"/>
    </row>
    <row r="778">
      <c r="E778" s="592"/>
      <c r="F778" s="591"/>
      <c r="G778" s="591"/>
      <c r="H778" s="592"/>
      <c r="I778" s="592"/>
      <c r="J778" s="592"/>
      <c r="K778" s="592"/>
      <c r="L778" s="592"/>
      <c r="M778" s="592"/>
      <c r="N778" s="592"/>
      <c r="O778" s="592"/>
      <c r="P778" s="592"/>
      <c r="Q778" s="592"/>
      <c r="R778" s="592"/>
      <c r="S778" s="592"/>
      <c r="T778" s="592"/>
      <c r="U778" s="592"/>
      <c r="V778" s="592"/>
      <c r="W778" s="592"/>
      <c r="X778" s="592"/>
      <c r="Y778" s="592"/>
      <c r="Z778" s="592"/>
      <c r="AA778" s="592"/>
      <c r="AB778" s="592"/>
      <c r="AC778" s="592"/>
      <c r="AD778" s="592"/>
      <c r="AE778" s="592"/>
      <c r="AF778" s="592"/>
      <c r="AG778" s="592"/>
    </row>
    <row r="779">
      <c r="E779" s="592"/>
      <c r="F779" s="591"/>
      <c r="G779" s="591"/>
      <c r="H779" s="592"/>
      <c r="I779" s="592"/>
      <c r="J779" s="592"/>
      <c r="K779" s="592"/>
      <c r="L779" s="592"/>
      <c r="M779" s="592"/>
      <c r="N779" s="592"/>
      <c r="O779" s="592"/>
      <c r="P779" s="592"/>
      <c r="Q779" s="592"/>
      <c r="R779" s="592"/>
      <c r="S779" s="592"/>
      <c r="T779" s="592"/>
      <c r="U779" s="592"/>
      <c r="V779" s="592"/>
      <c r="W779" s="592"/>
      <c r="X779" s="592"/>
      <c r="Y779" s="592"/>
      <c r="Z779" s="592"/>
      <c r="AA779" s="592"/>
      <c r="AB779" s="592"/>
      <c r="AC779" s="592"/>
      <c r="AD779" s="592"/>
      <c r="AE779" s="592"/>
      <c r="AF779" s="592"/>
      <c r="AG779" s="592"/>
    </row>
    <row r="780">
      <c r="E780" s="592"/>
      <c r="F780" s="591"/>
      <c r="G780" s="591"/>
      <c r="H780" s="592"/>
      <c r="I780" s="592"/>
      <c r="J780" s="592"/>
      <c r="K780" s="592"/>
      <c r="L780" s="592"/>
      <c r="M780" s="592"/>
      <c r="N780" s="592"/>
      <c r="O780" s="592"/>
      <c r="P780" s="592"/>
      <c r="Q780" s="592"/>
      <c r="R780" s="592"/>
      <c r="S780" s="592"/>
      <c r="T780" s="592"/>
      <c r="U780" s="592"/>
      <c r="V780" s="592"/>
      <c r="W780" s="592"/>
      <c r="X780" s="592"/>
      <c r="Y780" s="592"/>
      <c r="Z780" s="592"/>
      <c r="AA780" s="592"/>
      <c r="AB780" s="592"/>
      <c r="AC780" s="592"/>
      <c r="AD780" s="592"/>
      <c r="AE780" s="592"/>
      <c r="AF780" s="592"/>
      <c r="AG780" s="592"/>
    </row>
    <row r="781">
      <c r="E781" s="592"/>
      <c r="F781" s="591"/>
      <c r="G781" s="591"/>
      <c r="H781" s="592"/>
      <c r="I781" s="592"/>
      <c r="J781" s="592"/>
      <c r="K781" s="592"/>
      <c r="L781" s="592"/>
      <c r="M781" s="592"/>
      <c r="N781" s="592"/>
      <c r="O781" s="592"/>
      <c r="P781" s="592"/>
      <c r="Q781" s="592"/>
      <c r="R781" s="592"/>
      <c r="S781" s="592"/>
      <c r="T781" s="592"/>
      <c r="U781" s="592"/>
      <c r="V781" s="592"/>
      <c r="W781" s="592"/>
      <c r="X781" s="592"/>
      <c r="Y781" s="592"/>
      <c r="Z781" s="592"/>
      <c r="AA781" s="592"/>
      <c r="AB781" s="592"/>
      <c r="AC781" s="592"/>
      <c r="AD781" s="592"/>
      <c r="AE781" s="592"/>
      <c r="AF781" s="592"/>
      <c r="AG781" s="592"/>
    </row>
    <row r="782">
      <c r="E782" s="592"/>
      <c r="F782" s="591"/>
      <c r="G782" s="591"/>
      <c r="H782" s="592"/>
      <c r="I782" s="592"/>
      <c r="J782" s="592"/>
      <c r="K782" s="592"/>
      <c r="L782" s="592"/>
      <c r="M782" s="592"/>
      <c r="N782" s="592"/>
      <c r="O782" s="592"/>
      <c r="P782" s="592"/>
      <c r="Q782" s="592"/>
      <c r="R782" s="592"/>
      <c r="S782" s="592"/>
      <c r="T782" s="592"/>
      <c r="U782" s="592"/>
      <c r="V782" s="592"/>
      <c r="W782" s="592"/>
      <c r="X782" s="592"/>
      <c r="Y782" s="592"/>
      <c r="Z782" s="592"/>
      <c r="AA782" s="592"/>
      <c r="AB782" s="592"/>
      <c r="AC782" s="592"/>
      <c r="AD782" s="592"/>
      <c r="AE782" s="592"/>
      <c r="AF782" s="592"/>
      <c r="AG782" s="592"/>
    </row>
    <row r="783">
      <c r="E783" s="592"/>
      <c r="F783" s="591"/>
      <c r="G783" s="591"/>
      <c r="H783" s="592"/>
      <c r="I783" s="592"/>
      <c r="J783" s="592"/>
      <c r="K783" s="592"/>
      <c r="L783" s="592"/>
      <c r="M783" s="592"/>
      <c r="N783" s="592"/>
      <c r="O783" s="592"/>
      <c r="P783" s="592"/>
      <c r="Q783" s="592"/>
      <c r="R783" s="592"/>
      <c r="S783" s="592"/>
      <c r="T783" s="592"/>
      <c r="U783" s="592"/>
      <c r="V783" s="592"/>
      <c r="W783" s="592"/>
      <c r="X783" s="592"/>
      <c r="Y783" s="592"/>
      <c r="Z783" s="592"/>
      <c r="AA783" s="592"/>
      <c r="AB783" s="592"/>
      <c r="AC783" s="592"/>
      <c r="AD783" s="592"/>
      <c r="AE783" s="592"/>
      <c r="AF783" s="592"/>
      <c r="AG783" s="592"/>
    </row>
    <row r="784">
      <c r="E784" s="592"/>
      <c r="F784" s="591"/>
      <c r="G784" s="591"/>
      <c r="H784" s="592"/>
      <c r="I784" s="592"/>
      <c r="J784" s="592"/>
      <c r="K784" s="592"/>
      <c r="L784" s="592"/>
      <c r="M784" s="592"/>
      <c r="N784" s="592"/>
      <c r="O784" s="592"/>
      <c r="P784" s="592"/>
      <c r="Q784" s="592"/>
      <c r="R784" s="592"/>
      <c r="S784" s="592"/>
      <c r="T784" s="592"/>
      <c r="U784" s="592"/>
      <c r="V784" s="592"/>
      <c r="W784" s="592"/>
      <c r="X784" s="592"/>
      <c r="Y784" s="592"/>
      <c r="Z784" s="592"/>
      <c r="AA784" s="592"/>
      <c r="AB784" s="592"/>
      <c r="AC784" s="592"/>
      <c r="AD784" s="592"/>
      <c r="AE784" s="592"/>
      <c r="AF784" s="592"/>
      <c r="AG784" s="592"/>
    </row>
    <row r="785">
      <c r="E785" s="592"/>
      <c r="F785" s="591"/>
      <c r="G785" s="591"/>
      <c r="H785" s="592"/>
      <c r="I785" s="592"/>
      <c r="J785" s="592"/>
      <c r="K785" s="592"/>
      <c r="L785" s="592"/>
      <c r="M785" s="592"/>
      <c r="N785" s="592"/>
      <c r="O785" s="592"/>
      <c r="P785" s="592"/>
      <c r="Q785" s="592"/>
      <c r="R785" s="592"/>
      <c r="S785" s="592"/>
      <c r="T785" s="592"/>
      <c r="U785" s="592"/>
      <c r="V785" s="592"/>
      <c r="W785" s="592"/>
      <c r="X785" s="592"/>
      <c r="Y785" s="592"/>
      <c r="Z785" s="592"/>
      <c r="AA785" s="592"/>
      <c r="AB785" s="592"/>
      <c r="AC785" s="592"/>
      <c r="AD785" s="592"/>
      <c r="AE785" s="592"/>
      <c r="AF785" s="592"/>
      <c r="AG785" s="592"/>
    </row>
    <row r="786">
      <c r="E786" s="592"/>
      <c r="F786" s="591"/>
      <c r="G786" s="591"/>
      <c r="H786" s="592"/>
      <c r="I786" s="592"/>
      <c r="J786" s="592"/>
      <c r="K786" s="592"/>
      <c r="L786" s="592"/>
      <c r="M786" s="592"/>
      <c r="N786" s="592"/>
      <c r="O786" s="592"/>
      <c r="P786" s="592"/>
      <c r="Q786" s="592"/>
      <c r="R786" s="592"/>
      <c r="S786" s="592"/>
      <c r="T786" s="592"/>
      <c r="U786" s="592"/>
      <c r="V786" s="592"/>
      <c r="W786" s="592"/>
      <c r="X786" s="592"/>
      <c r="Y786" s="592"/>
      <c r="Z786" s="592"/>
      <c r="AA786" s="592"/>
      <c r="AB786" s="592"/>
      <c r="AC786" s="592"/>
      <c r="AD786" s="592"/>
      <c r="AE786" s="592"/>
      <c r="AF786" s="592"/>
      <c r="AG786" s="592"/>
    </row>
    <row r="787">
      <c r="E787" s="592"/>
      <c r="F787" s="591"/>
      <c r="G787" s="591"/>
      <c r="H787" s="592"/>
      <c r="I787" s="592"/>
      <c r="J787" s="592"/>
      <c r="K787" s="592"/>
      <c r="L787" s="592"/>
      <c r="M787" s="592"/>
      <c r="N787" s="592"/>
      <c r="O787" s="592"/>
      <c r="P787" s="592"/>
      <c r="Q787" s="592"/>
      <c r="R787" s="592"/>
      <c r="S787" s="592"/>
      <c r="T787" s="592"/>
      <c r="U787" s="592"/>
      <c r="V787" s="592"/>
      <c r="W787" s="592"/>
      <c r="X787" s="592"/>
      <c r="Y787" s="592"/>
      <c r="Z787" s="592"/>
      <c r="AA787" s="592"/>
      <c r="AB787" s="592"/>
      <c r="AC787" s="592"/>
      <c r="AD787" s="592"/>
      <c r="AE787" s="592"/>
      <c r="AF787" s="592"/>
      <c r="AG787" s="592"/>
    </row>
    <row r="788">
      <c r="E788" s="592"/>
      <c r="F788" s="591"/>
      <c r="G788" s="591"/>
      <c r="H788" s="592"/>
      <c r="I788" s="592"/>
      <c r="J788" s="592"/>
      <c r="K788" s="592"/>
      <c r="L788" s="592"/>
      <c r="M788" s="592"/>
      <c r="N788" s="592"/>
      <c r="O788" s="592"/>
      <c r="P788" s="592"/>
      <c r="Q788" s="592"/>
      <c r="R788" s="592"/>
      <c r="S788" s="592"/>
      <c r="T788" s="592"/>
      <c r="U788" s="592"/>
      <c r="V788" s="592"/>
      <c r="W788" s="592"/>
      <c r="X788" s="592"/>
      <c r="Y788" s="592"/>
      <c r="Z788" s="592"/>
      <c r="AA788" s="592"/>
      <c r="AB788" s="592"/>
      <c r="AC788" s="592"/>
      <c r="AD788" s="592"/>
      <c r="AE788" s="592"/>
      <c r="AF788" s="592"/>
      <c r="AG788" s="592"/>
    </row>
    <row r="789">
      <c r="E789" s="592"/>
      <c r="F789" s="591"/>
      <c r="G789" s="591"/>
      <c r="H789" s="592"/>
      <c r="I789" s="592"/>
      <c r="J789" s="592"/>
      <c r="K789" s="592"/>
      <c r="L789" s="592"/>
      <c r="M789" s="592"/>
      <c r="N789" s="592"/>
      <c r="O789" s="592"/>
      <c r="P789" s="592"/>
      <c r="Q789" s="592"/>
      <c r="R789" s="592"/>
      <c r="S789" s="592"/>
      <c r="T789" s="592"/>
      <c r="U789" s="592"/>
      <c r="V789" s="592"/>
      <c r="W789" s="592"/>
      <c r="X789" s="592"/>
      <c r="Y789" s="592"/>
      <c r="Z789" s="592"/>
      <c r="AA789" s="592"/>
      <c r="AB789" s="592"/>
      <c r="AC789" s="592"/>
      <c r="AD789" s="592"/>
      <c r="AE789" s="592"/>
      <c r="AF789" s="592"/>
      <c r="AG789" s="592"/>
    </row>
    <row r="790">
      <c r="E790" s="592"/>
      <c r="F790" s="591"/>
      <c r="G790" s="591"/>
      <c r="H790" s="592"/>
      <c r="I790" s="592"/>
      <c r="J790" s="592"/>
      <c r="K790" s="592"/>
      <c r="L790" s="592"/>
      <c r="M790" s="592"/>
      <c r="N790" s="592"/>
      <c r="O790" s="592"/>
      <c r="P790" s="592"/>
      <c r="Q790" s="592"/>
      <c r="R790" s="592"/>
      <c r="S790" s="592"/>
      <c r="T790" s="592"/>
      <c r="U790" s="592"/>
      <c r="V790" s="592"/>
      <c r="W790" s="592"/>
      <c r="X790" s="592"/>
      <c r="Y790" s="592"/>
      <c r="Z790" s="592"/>
      <c r="AA790" s="592"/>
      <c r="AB790" s="592"/>
      <c r="AC790" s="592"/>
      <c r="AD790" s="592"/>
      <c r="AE790" s="592"/>
      <c r="AF790" s="592"/>
      <c r="AG790" s="592"/>
    </row>
    <row r="791">
      <c r="E791" s="592"/>
      <c r="F791" s="591"/>
      <c r="G791" s="591"/>
      <c r="H791" s="592"/>
      <c r="I791" s="592"/>
      <c r="J791" s="592"/>
      <c r="K791" s="592"/>
      <c r="L791" s="592"/>
      <c r="M791" s="592"/>
      <c r="N791" s="592"/>
      <c r="O791" s="592"/>
      <c r="P791" s="592"/>
      <c r="Q791" s="592"/>
      <c r="R791" s="592"/>
      <c r="S791" s="592"/>
      <c r="T791" s="592"/>
      <c r="U791" s="592"/>
      <c r="V791" s="592"/>
      <c r="W791" s="592"/>
      <c r="X791" s="592"/>
      <c r="Y791" s="592"/>
      <c r="Z791" s="592"/>
      <c r="AA791" s="592"/>
      <c r="AB791" s="592"/>
      <c r="AC791" s="592"/>
      <c r="AD791" s="592"/>
      <c r="AE791" s="592"/>
      <c r="AF791" s="592"/>
      <c r="AG791" s="592"/>
    </row>
    <row r="792">
      <c r="E792" s="592"/>
      <c r="F792" s="591"/>
      <c r="G792" s="591"/>
      <c r="H792" s="592"/>
      <c r="I792" s="592"/>
      <c r="J792" s="592"/>
      <c r="K792" s="592"/>
      <c r="L792" s="592"/>
      <c r="M792" s="592"/>
      <c r="N792" s="592"/>
      <c r="O792" s="592"/>
      <c r="P792" s="592"/>
      <c r="Q792" s="592"/>
      <c r="R792" s="592"/>
      <c r="S792" s="592"/>
      <c r="T792" s="592"/>
      <c r="U792" s="592"/>
      <c r="V792" s="592"/>
      <c r="W792" s="592"/>
      <c r="X792" s="592"/>
      <c r="Y792" s="592"/>
      <c r="Z792" s="592"/>
      <c r="AA792" s="592"/>
      <c r="AB792" s="592"/>
      <c r="AC792" s="592"/>
      <c r="AD792" s="592"/>
      <c r="AE792" s="592"/>
      <c r="AF792" s="592"/>
      <c r="AG792" s="592"/>
    </row>
    <row r="793">
      <c r="E793" s="592"/>
      <c r="F793" s="591"/>
      <c r="G793" s="591"/>
      <c r="H793" s="592"/>
      <c r="I793" s="592"/>
      <c r="J793" s="592"/>
      <c r="K793" s="592"/>
      <c r="L793" s="592"/>
      <c r="M793" s="592"/>
      <c r="N793" s="592"/>
      <c r="O793" s="592"/>
      <c r="P793" s="592"/>
      <c r="Q793" s="592"/>
      <c r="R793" s="592"/>
      <c r="S793" s="592"/>
      <c r="T793" s="592"/>
      <c r="U793" s="592"/>
      <c r="V793" s="592"/>
      <c r="W793" s="592"/>
      <c r="X793" s="592"/>
      <c r="Y793" s="592"/>
      <c r="Z793" s="592"/>
      <c r="AA793" s="592"/>
      <c r="AB793" s="592"/>
      <c r="AC793" s="592"/>
      <c r="AD793" s="592"/>
      <c r="AE793" s="592"/>
      <c r="AF793" s="592"/>
      <c r="AG793" s="592"/>
    </row>
    <row r="794">
      <c r="E794" s="592"/>
      <c r="F794" s="591"/>
      <c r="G794" s="591"/>
      <c r="H794" s="592"/>
      <c r="I794" s="592"/>
      <c r="J794" s="592"/>
      <c r="K794" s="592"/>
      <c r="L794" s="592"/>
      <c r="M794" s="592"/>
      <c r="N794" s="592"/>
      <c r="O794" s="592"/>
      <c r="P794" s="592"/>
      <c r="Q794" s="592"/>
      <c r="R794" s="592"/>
      <c r="S794" s="592"/>
      <c r="T794" s="592"/>
      <c r="U794" s="592"/>
      <c r="V794" s="592"/>
      <c r="W794" s="592"/>
      <c r="X794" s="592"/>
      <c r="Y794" s="592"/>
      <c r="Z794" s="592"/>
      <c r="AA794" s="592"/>
      <c r="AB794" s="592"/>
      <c r="AC794" s="592"/>
      <c r="AD794" s="592"/>
      <c r="AE794" s="592"/>
      <c r="AF794" s="592"/>
      <c r="AG794" s="592"/>
    </row>
    <row r="795">
      <c r="E795" s="592"/>
      <c r="F795" s="591"/>
      <c r="G795" s="591"/>
      <c r="H795" s="592"/>
      <c r="I795" s="592"/>
      <c r="J795" s="592"/>
      <c r="K795" s="592"/>
      <c r="L795" s="592"/>
      <c r="M795" s="592"/>
      <c r="N795" s="592"/>
      <c r="O795" s="592"/>
      <c r="P795" s="592"/>
      <c r="Q795" s="592"/>
      <c r="R795" s="592"/>
      <c r="S795" s="592"/>
      <c r="T795" s="592"/>
      <c r="U795" s="592"/>
      <c r="V795" s="592"/>
      <c r="W795" s="592"/>
      <c r="X795" s="592"/>
      <c r="Y795" s="592"/>
      <c r="Z795" s="592"/>
      <c r="AA795" s="592"/>
      <c r="AB795" s="592"/>
      <c r="AC795" s="592"/>
      <c r="AD795" s="592"/>
      <c r="AE795" s="592"/>
      <c r="AF795" s="592"/>
      <c r="AG795" s="592"/>
    </row>
    <row r="796">
      <c r="E796" s="592"/>
      <c r="F796" s="591"/>
      <c r="G796" s="591"/>
      <c r="H796" s="592"/>
      <c r="I796" s="592"/>
      <c r="J796" s="592"/>
      <c r="K796" s="592"/>
      <c r="L796" s="592"/>
      <c r="M796" s="592"/>
      <c r="N796" s="592"/>
      <c r="O796" s="592"/>
      <c r="P796" s="592"/>
      <c r="Q796" s="592"/>
      <c r="R796" s="592"/>
      <c r="S796" s="592"/>
      <c r="T796" s="592"/>
      <c r="U796" s="592"/>
      <c r="V796" s="592"/>
      <c r="W796" s="592"/>
      <c r="X796" s="592"/>
      <c r="Y796" s="592"/>
      <c r="Z796" s="592"/>
      <c r="AA796" s="592"/>
      <c r="AB796" s="592"/>
      <c r="AC796" s="592"/>
      <c r="AD796" s="592"/>
      <c r="AE796" s="592"/>
      <c r="AF796" s="592"/>
      <c r="AG796" s="592"/>
    </row>
    <row r="797">
      <c r="E797" s="592"/>
      <c r="F797" s="591"/>
      <c r="G797" s="591"/>
      <c r="H797" s="592"/>
      <c r="I797" s="592"/>
      <c r="J797" s="592"/>
      <c r="K797" s="592"/>
      <c r="L797" s="592"/>
      <c r="M797" s="592"/>
      <c r="N797" s="592"/>
      <c r="O797" s="592"/>
      <c r="P797" s="592"/>
      <c r="Q797" s="592"/>
      <c r="R797" s="592"/>
      <c r="S797" s="592"/>
      <c r="T797" s="592"/>
      <c r="U797" s="592"/>
      <c r="V797" s="592"/>
      <c r="W797" s="592"/>
      <c r="X797" s="592"/>
      <c r="Y797" s="592"/>
      <c r="Z797" s="592"/>
      <c r="AA797" s="592"/>
      <c r="AB797" s="592"/>
      <c r="AC797" s="592"/>
      <c r="AD797" s="592"/>
      <c r="AE797" s="592"/>
      <c r="AF797" s="592"/>
      <c r="AG797" s="592"/>
    </row>
    <row r="798">
      <c r="E798" s="592"/>
      <c r="F798" s="591"/>
      <c r="G798" s="591"/>
      <c r="H798" s="592"/>
      <c r="I798" s="592"/>
      <c r="J798" s="592"/>
      <c r="K798" s="592"/>
      <c r="L798" s="592"/>
      <c r="M798" s="592"/>
      <c r="N798" s="592"/>
      <c r="O798" s="592"/>
      <c r="P798" s="592"/>
      <c r="Q798" s="592"/>
      <c r="R798" s="592"/>
      <c r="S798" s="592"/>
      <c r="T798" s="592"/>
      <c r="U798" s="592"/>
      <c r="V798" s="592"/>
      <c r="W798" s="592"/>
      <c r="X798" s="592"/>
      <c r="Y798" s="592"/>
      <c r="Z798" s="592"/>
      <c r="AA798" s="592"/>
      <c r="AB798" s="592"/>
      <c r="AC798" s="592"/>
      <c r="AD798" s="592"/>
      <c r="AE798" s="592"/>
      <c r="AF798" s="592"/>
      <c r="AG798" s="592"/>
    </row>
    <row r="799">
      <c r="E799" s="592"/>
      <c r="F799" s="591"/>
      <c r="G799" s="591"/>
      <c r="H799" s="592"/>
      <c r="I799" s="592"/>
      <c r="J799" s="592"/>
      <c r="K799" s="592"/>
      <c r="L799" s="592"/>
      <c r="M799" s="592"/>
      <c r="N799" s="592"/>
      <c r="O799" s="592"/>
      <c r="P799" s="592"/>
      <c r="Q799" s="592"/>
      <c r="R799" s="592"/>
      <c r="S799" s="592"/>
      <c r="T799" s="592"/>
      <c r="U799" s="592"/>
      <c r="V799" s="592"/>
      <c r="W799" s="592"/>
      <c r="X799" s="592"/>
      <c r="Y799" s="592"/>
      <c r="Z799" s="592"/>
      <c r="AA799" s="592"/>
      <c r="AB799" s="592"/>
      <c r="AC799" s="592"/>
      <c r="AD799" s="592"/>
      <c r="AE799" s="592"/>
      <c r="AF799" s="592"/>
      <c r="AG799" s="592"/>
    </row>
    <row r="800">
      <c r="E800" s="592"/>
      <c r="F800" s="591"/>
      <c r="G800" s="591"/>
      <c r="H800" s="592"/>
      <c r="I800" s="592"/>
      <c r="J800" s="592"/>
      <c r="K800" s="592"/>
      <c r="L800" s="592"/>
      <c r="M800" s="592"/>
      <c r="N800" s="592"/>
      <c r="O800" s="592"/>
      <c r="P800" s="592"/>
      <c r="Q800" s="592"/>
      <c r="R800" s="592"/>
      <c r="S800" s="592"/>
      <c r="T800" s="592"/>
      <c r="U800" s="592"/>
      <c r="V800" s="592"/>
      <c r="W800" s="592"/>
      <c r="X800" s="592"/>
      <c r="Y800" s="592"/>
      <c r="Z800" s="592"/>
      <c r="AA800" s="592"/>
      <c r="AB800" s="592"/>
      <c r="AC800" s="592"/>
      <c r="AD800" s="592"/>
      <c r="AE800" s="592"/>
      <c r="AF800" s="592"/>
      <c r="AG800" s="592"/>
    </row>
    <row r="801">
      <c r="E801" s="592"/>
      <c r="F801" s="591"/>
      <c r="G801" s="591"/>
      <c r="H801" s="592"/>
      <c r="I801" s="592"/>
      <c r="J801" s="592"/>
      <c r="K801" s="592"/>
      <c r="L801" s="592"/>
      <c r="M801" s="592"/>
      <c r="N801" s="592"/>
      <c r="O801" s="592"/>
      <c r="P801" s="592"/>
      <c r="Q801" s="592"/>
      <c r="R801" s="592"/>
      <c r="S801" s="592"/>
      <c r="T801" s="592"/>
      <c r="U801" s="592"/>
      <c r="V801" s="592"/>
      <c r="W801" s="592"/>
      <c r="X801" s="592"/>
      <c r="Y801" s="592"/>
      <c r="Z801" s="592"/>
      <c r="AA801" s="592"/>
      <c r="AB801" s="592"/>
      <c r="AC801" s="592"/>
      <c r="AD801" s="592"/>
      <c r="AE801" s="592"/>
      <c r="AF801" s="592"/>
      <c r="AG801" s="592"/>
    </row>
    <row r="802">
      <c r="E802" s="592"/>
      <c r="F802" s="591"/>
      <c r="G802" s="591"/>
      <c r="H802" s="592"/>
      <c r="I802" s="592"/>
      <c r="J802" s="592"/>
      <c r="K802" s="592"/>
      <c r="L802" s="592"/>
      <c r="M802" s="592"/>
      <c r="N802" s="592"/>
      <c r="O802" s="592"/>
      <c r="P802" s="592"/>
      <c r="Q802" s="592"/>
      <c r="R802" s="592"/>
      <c r="S802" s="592"/>
      <c r="T802" s="592"/>
      <c r="U802" s="592"/>
      <c r="V802" s="592"/>
      <c r="W802" s="592"/>
      <c r="X802" s="592"/>
      <c r="Y802" s="592"/>
      <c r="Z802" s="592"/>
      <c r="AA802" s="592"/>
      <c r="AB802" s="592"/>
      <c r="AC802" s="592"/>
      <c r="AD802" s="592"/>
      <c r="AE802" s="592"/>
      <c r="AF802" s="592"/>
      <c r="AG802" s="592"/>
    </row>
    <row r="803">
      <c r="E803" s="592"/>
      <c r="F803" s="591"/>
      <c r="G803" s="591"/>
      <c r="H803" s="592"/>
      <c r="I803" s="592"/>
      <c r="J803" s="592"/>
      <c r="K803" s="592"/>
      <c r="L803" s="592"/>
      <c r="M803" s="592"/>
      <c r="N803" s="592"/>
      <c r="O803" s="592"/>
      <c r="P803" s="592"/>
      <c r="Q803" s="592"/>
      <c r="R803" s="592"/>
      <c r="S803" s="592"/>
      <c r="T803" s="592"/>
      <c r="U803" s="592"/>
      <c r="V803" s="592"/>
      <c r="W803" s="592"/>
      <c r="X803" s="592"/>
      <c r="Y803" s="592"/>
      <c r="Z803" s="592"/>
      <c r="AA803" s="592"/>
      <c r="AB803" s="592"/>
      <c r="AC803" s="592"/>
      <c r="AD803" s="592"/>
      <c r="AE803" s="592"/>
      <c r="AF803" s="592"/>
      <c r="AG803" s="592"/>
    </row>
    <row r="804">
      <c r="E804" s="592"/>
      <c r="F804" s="591"/>
      <c r="G804" s="591"/>
      <c r="H804" s="592"/>
      <c r="I804" s="592"/>
      <c r="J804" s="592"/>
      <c r="K804" s="592"/>
      <c r="L804" s="592"/>
      <c r="M804" s="592"/>
      <c r="N804" s="592"/>
      <c r="O804" s="592"/>
      <c r="P804" s="592"/>
      <c r="Q804" s="592"/>
      <c r="R804" s="592"/>
      <c r="S804" s="592"/>
      <c r="T804" s="592"/>
      <c r="U804" s="592"/>
      <c r="V804" s="592"/>
      <c r="W804" s="592"/>
      <c r="X804" s="592"/>
      <c r="Y804" s="592"/>
      <c r="Z804" s="592"/>
      <c r="AA804" s="592"/>
      <c r="AB804" s="592"/>
      <c r="AC804" s="592"/>
      <c r="AD804" s="592"/>
      <c r="AE804" s="592"/>
      <c r="AF804" s="592"/>
      <c r="AG804" s="592"/>
    </row>
    <row r="805">
      <c r="E805" s="592"/>
      <c r="F805" s="591"/>
      <c r="G805" s="591"/>
      <c r="H805" s="592"/>
      <c r="I805" s="592"/>
      <c r="J805" s="592"/>
      <c r="K805" s="592"/>
      <c r="L805" s="592"/>
      <c r="M805" s="592"/>
      <c r="N805" s="592"/>
      <c r="O805" s="592"/>
      <c r="P805" s="592"/>
      <c r="Q805" s="592"/>
      <c r="R805" s="592"/>
      <c r="S805" s="592"/>
      <c r="T805" s="592"/>
      <c r="U805" s="592"/>
      <c r="V805" s="592"/>
      <c r="W805" s="592"/>
      <c r="X805" s="592"/>
      <c r="Y805" s="592"/>
      <c r="Z805" s="592"/>
      <c r="AA805" s="592"/>
      <c r="AB805" s="592"/>
      <c r="AC805" s="592"/>
      <c r="AD805" s="592"/>
      <c r="AE805" s="592"/>
      <c r="AF805" s="592"/>
      <c r="AG805" s="592"/>
    </row>
    <row r="806">
      <c r="E806" s="592"/>
      <c r="F806" s="591"/>
      <c r="G806" s="591"/>
      <c r="H806" s="592"/>
      <c r="I806" s="592"/>
      <c r="J806" s="592"/>
      <c r="K806" s="592"/>
      <c r="L806" s="592"/>
      <c r="M806" s="592"/>
      <c r="N806" s="592"/>
      <c r="O806" s="592"/>
      <c r="P806" s="592"/>
      <c r="Q806" s="592"/>
      <c r="R806" s="592"/>
      <c r="S806" s="592"/>
      <c r="T806" s="592"/>
      <c r="U806" s="592"/>
      <c r="V806" s="592"/>
      <c r="W806" s="592"/>
      <c r="X806" s="592"/>
      <c r="Y806" s="592"/>
      <c r="Z806" s="592"/>
      <c r="AA806" s="592"/>
      <c r="AB806" s="592"/>
      <c r="AC806" s="592"/>
      <c r="AD806" s="592"/>
      <c r="AE806" s="592"/>
      <c r="AF806" s="592"/>
      <c r="AG806" s="592"/>
    </row>
    <row r="807">
      <c r="E807" s="592"/>
      <c r="F807" s="591"/>
      <c r="G807" s="591"/>
      <c r="H807" s="592"/>
      <c r="I807" s="592"/>
      <c r="J807" s="592"/>
      <c r="K807" s="592"/>
      <c r="L807" s="592"/>
      <c r="M807" s="592"/>
      <c r="N807" s="592"/>
      <c r="O807" s="592"/>
      <c r="P807" s="592"/>
      <c r="Q807" s="592"/>
      <c r="R807" s="592"/>
      <c r="S807" s="592"/>
      <c r="T807" s="592"/>
      <c r="U807" s="592"/>
      <c r="V807" s="592"/>
      <c r="W807" s="592"/>
      <c r="X807" s="592"/>
      <c r="Y807" s="592"/>
      <c r="Z807" s="592"/>
      <c r="AA807" s="592"/>
      <c r="AB807" s="592"/>
      <c r="AC807" s="592"/>
      <c r="AD807" s="592"/>
      <c r="AE807" s="592"/>
      <c r="AF807" s="592"/>
      <c r="AG807" s="592"/>
    </row>
    <row r="808">
      <c r="E808" s="592"/>
      <c r="F808" s="591"/>
      <c r="G808" s="591"/>
      <c r="H808" s="592"/>
      <c r="I808" s="592"/>
      <c r="J808" s="592"/>
      <c r="K808" s="592"/>
      <c r="L808" s="592"/>
      <c r="M808" s="592"/>
      <c r="N808" s="592"/>
      <c r="O808" s="592"/>
      <c r="P808" s="592"/>
      <c r="Q808" s="592"/>
      <c r="R808" s="592"/>
      <c r="S808" s="592"/>
      <c r="T808" s="592"/>
      <c r="U808" s="592"/>
      <c r="V808" s="592"/>
      <c r="W808" s="592"/>
      <c r="X808" s="592"/>
      <c r="Y808" s="592"/>
      <c r="Z808" s="592"/>
      <c r="AA808" s="592"/>
      <c r="AB808" s="592"/>
      <c r="AC808" s="592"/>
      <c r="AD808" s="592"/>
      <c r="AE808" s="592"/>
      <c r="AF808" s="592"/>
      <c r="AG808" s="592"/>
    </row>
    <row r="809">
      <c r="E809" s="592"/>
      <c r="F809" s="591"/>
      <c r="G809" s="591"/>
      <c r="H809" s="592"/>
      <c r="I809" s="592"/>
      <c r="J809" s="592"/>
      <c r="K809" s="592"/>
      <c r="L809" s="592"/>
      <c r="M809" s="592"/>
      <c r="N809" s="592"/>
      <c r="O809" s="592"/>
      <c r="P809" s="592"/>
      <c r="Q809" s="592"/>
      <c r="R809" s="592"/>
      <c r="S809" s="592"/>
      <c r="T809" s="592"/>
      <c r="U809" s="592"/>
      <c r="V809" s="592"/>
      <c r="W809" s="592"/>
      <c r="X809" s="592"/>
      <c r="Y809" s="592"/>
      <c r="Z809" s="592"/>
      <c r="AA809" s="592"/>
      <c r="AB809" s="592"/>
      <c r="AC809" s="592"/>
      <c r="AD809" s="592"/>
      <c r="AE809" s="592"/>
      <c r="AF809" s="592"/>
      <c r="AG809" s="592"/>
    </row>
    <row r="810">
      <c r="E810" s="592"/>
      <c r="F810" s="591"/>
      <c r="G810" s="591"/>
      <c r="H810" s="592"/>
      <c r="I810" s="592"/>
      <c r="J810" s="592"/>
      <c r="K810" s="592"/>
      <c r="L810" s="592"/>
      <c r="M810" s="592"/>
      <c r="N810" s="592"/>
      <c r="O810" s="592"/>
      <c r="P810" s="592"/>
      <c r="Q810" s="592"/>
      <c r="R810" s="592"/>
      <c r="S810" s="592"/>
      <c r="T810" s="592"/>
      <c r="U810" s="592"/>
      <c r="V810" s="592"/>
      <c r="W810" s="592"/>
      <c r="X810" s="592"/>
      <c r="Y810" s="592"/>
      <c r="Z810" s="592"/>
      <c r="AA810" s="592"/>
      <c r="AB810" s="592"/>
      <c r="AC810" s="592"/>
      <c r="AD810" s="592"/>
      <c r="AE810" s="592"/>
      <c r="AF810" s="592"/>
      <c r="AG810" s="592"/>
    </row>
    <row r="811">
      <c r="E811" s="592"/>
      <c r="F811" s="591"/>
      <c r="G811" s="591"/>
      <c r="H811" s="592"/>
      <c r="I811" s="592"/>
      <c r="J811" s="592"/>
      <c r="K811" s="592"/>
      <c r="L811" s="592"/>
      <c r="M811" s="592"/>
      <c r="N811" s="592"/>
      <c r="O811" s="592"/>
      <c r="P811" s="592"/>
      <c r="Q811" s="592"/>
      <c r="R811" s="592"/>
      <c r="S811" s="592"/>
      <c r="T811" s="592"/>
      <c r="U811" s="592"/>
      <c r="V811" s="592"/>
      <c r="W811" s="592"/>
      <c r="X811" s="592"/>
      <c r="Y811" s="592"/>
      <c r="Z811" s="592"/>
      <c r="AA811" s="592"/>
      <c r="AB811" s="592"/>
      <c r="AC811" s="592"/>
      <c r="AD811" s="592"/>
      <c r="AE811" s="592"/>
      <c r="AF811" s="592"/>
      <c r="AG811" s="592"/>
    </row>
    <row r="812">
      <c r="E812" s="592"/>
      <c r="F812" s="591"/>
      <c r="G812" s="591"/>
      <c r="H812" s="592"/>
      <c r="I812" s="592"/>
      <c r="J812" s="592"/>
      <c r="K812" s="592"/>
      <c r="L812" s="592"/>
      <c r="M812" s="592"/>
      <c r="N812" s="592"/>
      <c r="O812" s="592"/>
      <c r="P812" s="592"/>
      <c r="Q812" s="592"/>
      <c r="R812" s="592"/>
      <c r="S812" s="592"/>
      <c r="T812" s="592"/>
      <c r="U812" s="592"/>
      <c r="V812" s="592"/>
      <c r="W812" s="592"/>
      <c r="X812" s="592"/>
      <c r="Y812" s="592"/>
      <c r="Z812" s="592"/>
      <c r="AA812" s="592"/>
      <c r="AB812" s="592"/>
      <c r="AC812" s="592"/>
      <c r="AD812" s="592"/>
      <c r="AE812" s="592"/>
      <c r="AF812" s="592"/>
      <c r="AG812" s="592"/>
    </row>
    <row r="813">
      <c r="E813" s="592"/>
      <c r="F813" s="591"/>
      <c r="G813" s="591"/>
      <c r="H813" s="592"/>
      <c r="I813" s="592"/>
      <c r="J813" s="592"/>
      <c r="K813" s="592"/>
      <c r="L813" s="592"/>
      <c r="M813" s="592"/>
      <c r="N813" s="592"/>
      <c r="O813" s="592"/>
      <c r="P813" s="592"/>
      <c r="Q813" s="592"/>
      <c r="R813" s="592"/>
      <c r="S813" s="592"/>
      <c r="T813" s="592"/>
      <c r="U813" s="592"/>
      <c r="V813" s="592"/>
      <c r="W813" s="592"/>
      <c r="X813" s="592"/>
      <c r="Y813" s="592"/>
      <c r="Z813" s="592"/>
      <c r="AA813" s="592"/>
      <c r="AB813" s="592"/>
      <c r="AC813" s="592"/>
      <c r="AD813" s="592"/>
      <c r="AE813" s="592"/>
      <c r="AF813" s="592"/>
      <c r="AG813" s="592"/>
    </row>
    <row r="814">
      <c r="E814" s="592"/>
      <c r="F814" s="591"/>
      <c r="G814" s="591"/>
      <c r="H814" s="592"/>
      <c r="I814" s="592"/>
      <c r="J814" s="592"/>
      <c r="K814" s="592"/>
      <c r="L814" s="592"/>
      <c r="M814" s="592"/>
      <c r="N814" s="592"/>
      <c r="O814" s="592"/>
      <c r="P814" s="592"/>
      <c r="Q814" s="592"/>
      <c r="R814" s="592"/>
      <c r="S814" s="592"/>
      <c r="T814" s="592"/>
      <c r="U814" s="592"/>
      <c r="V814" s="592"/>
      <c r="W814" s="592"/>
      <c r="X814" s="592"/>
      <c r="Y814" s="592"/>
      <c r="Z814" s="592"/>
      <c r="AA814" s="592"/>
      <c r="AB814" s="592"/>
      <c r="AC814" s="592"/>
      <c r="AD814" s="592"/>
      <c r="AE814" s="592"/>
      <c r="AF814" s="592"/>
      <c r="AG814" s="592"/>
    </row>
    <row r="815">
      <c r="E815" s="592"/>
      <c r="F815" s="591"/>
      <c r="G815" s="591"/>
      <c r="H815" s="592"/>
      <c r="I815" s="592"/>
      <c r="J815" s="592"/>
      <c r="K815" s="592"/>
      <c r="L815" s="592"/>
      <c r="M815" s="592"/>
      <c r="N815" s="592"/>
      <c r="O815" s="592"/>
      <c r="P815" s="592"/>
      <c r="Q815" s="592"/>
      <c r="R815" s="592"/>
      <c r="S815" s="592"/>
      <c r="T815" s="592"/>
      <c r="U815" s="592"/>
      <c r="V815" s="592"/>
      <c r="W815" s="592"/>
      <c r="X815" s="592"/>
      <c r="Y815" s="592"/>
      <c r="Z815" s="592"/>
      <c r="AA815" s="592"/>
      <c r="AB815" s="592"/>
      <c r="AC815" s="592"/>
      <c r="AD815" s="592"/>
      <c r="AE815" s="592"/>
      <c r="AF815" s="592"/>
      <c r="AG815" s="592"/>
    </row>
    <row r="816">
      <c r="E816" s="592"/>
      <c r="F816" s="591"/>
      <c r="G816" s="591"/>
      <c r="H816" s="592"/>
      <c r="I816" s="592"/>
      <c r="J816" s="592"/>
      <c r="K816" s="592"/>
      <c r="L816" s="592"/>
      <c r="M816" s="592"/>
      <c r="N816" s="592"/>
      <c r="O816" s="592"/>
      <c r="P816" s="592"/>
      <c r="Q816" s="592"/>
      <c r="R816" s="592"/>
      <c r="S816" s="592"/>
      <c r="T816" s="592"/>
      <c r="U816" s="592"/>
      <c r="V816" s="592"/>
      <c r="W816" s="592"/>
      <c r="X816" s="592"/>
      <c r="Y816" s="592"/>
      <c r="Z816" s="592"/>
      <c r="AA816" s="592"/>
      <c r="AB816" s="592"/>
      <c r="AC816" s="592"/>
      <c r="AD816" s="592"/>
      <c r="AE816" s="592"/>
      <c r="AF816" s="592"/>
      <c r="AG816" s="592"/>
    </row>
    <row r="817">
      <c r="E817" s="592"/>
      <c r="F817" s="591"/>
      <c r="G817" s="591"/>
      <c r="H817" s="592"/>
      <c r="I817" s="592"/>
      <c r="J817" s="592"/>
      <c r="K817" s="592"/>
      <c r="L817" s="592"/>
      <c r="M817" s="592"/>
      <c r="N817" s="592"/>
      <c r="O817" s="592"/>
      <c r="P817" s="592"/>
      <c r="Q817" s="592"/>
      <c r="R817" s="592"/>
      <c r="S817" s="592"/>
      <c r="T817" s="592"/>
      <c r="U817" s="592"/>
      <c r="V817" s="592"/>
      <c r="W817" s="592"/>
      <c r="X817" s="592"/>
      <c r="Y817" s="592"/>
      <c r="Z817" s="592"/>
      <c r="AA817" s="592"/>
      <c r="AB817" s="592"/>
      <c r="AC817" s="592"/>
      <c r="AD817" s="592"/>
      <c r="AE817" s="592"/>
      <c r="AF817" s="592"/>
      <c r="AG817" s="592"/>
    </row>
    <row r="818">
      <c r="E818" s="592"/>
      <c r="F818" s="591"/>
      <c r="G818" s="591"/>
      <c r="H818" s="592"/>
      <c r="I818" s="592"/>
      <c r="J818" s="592"/>
      <c r="K818" s="592"/>
      <c r="L818" s="592"/>
      <c r="M818" s="592"/>
      <c r="N818" s="592"/>
      <c r="O818" s="592"/>
      <c r="P818" s="592"/>
      <c r="Q818" s="592"/>
      <c r="R818" s="592"/>
      <c r="S818" s="592"/>
      <c r="T818" s="592"/>
      <c r="U818" s="592"/>
      <c r="V818" s="592"/>
      <c r="W818" s="592"/>
      <c r="X818" s="592"/>
      <c r="Y818" s="592"/>
      <c r="Z818" s="592"/>
      <c r="AA818" s="592"/>
      <c r="AB818" s="592"/>
      <c r="AC818" s="592"/>
      <c r="AD818" s="592"/>
      <c r="AE818" s="592"/>
      <c r="AF818" s="592"/>
      <c r="AG818" s="592"/>
    </row>
    <row r="819">
      <c r="E819" s="592"/>
      <c r="F819" s="591"/>
      <c r="G819" s="591"/>
      <c r="H819" s="592"/>
      <c r="I819" s="592"/>
      <c r="J819" s="592"/>
      <c r="K819" s="592"/>
      <c r="L819" s="592"/>
      <c r="M819" s="592"/>
      <c r="N819" s="592"/>
      <c r="O819" s="592"/>
      <c r="P819" s="592"/>
      <c r="Q819" s="592"/>
      <c r="R819" s="592"/>
      <c r="S819" s="592"/>
      <c r="T819" s="592"/>
      <c r="U819" s="592"/>
      <c r="V819" s="592"/>
      <c r="W819" s="592"/>
      <c r="X819" s="592"/>
      <c r="Y819" s="592"/>
      <c r="Z819" s="592"/>
      <c r="AA819" s="592"/>
      <c r="AB819" s="592"/>
      <c r="AC819" s="592"/>
      <c r="AD819" s="592"/>
      <c r="AE819" s="592"/>
      <c r="AF819" s="592"/>
      <c r="AG819" s="592"/>
    </row>
    <row r="820">
      <c r="E820" s="592"/>
      <c r="F820" s="591"/>
      <c r="G820" s="591"/>
      <c r="H820" s="592"/>
      <c r="I820" s="592"/>
      <c r="J820" s="592"/>
      <c r="K820" s="592"/>
      <c r="L820" s="592"/>
      <c r="M820" s="592"/>
      <c r="N820" s="592"/>
      <c r="O820" s="592"/>
      <c r="P820" s="592"/>
      <c r="Q820" s="592"/>
      <c r="R820" s="592"/>
      <c r="S820" s="592"/>
      <c r="T820" s="592"/>
      <c r="U820" s="592"/>
      <c r="V820" s="592"/>
      <c r="W820" s="592"/>
      <c r="X820" s="592"/>
      <c r="Y820" s="592"/>
      <c r="Z820" s="592"/>
      <c r="AA820" s="592"/>
      <c r="AB820" s="592"/>
      <c r="AC820" s="592"/>
      <c r="AD820" s="592"/>
      <c r="AE820" s="592"/>
      <c r="AF820" s="592"/>
      <c r="AG820" s="592"/>
    </row>
    <row r="821">
      <c r="E821" s="592"/>
      <c r="F821" s="591"/>
      <c r="G821" s="591"/>
      <c r="H821" s="592"/>
      <c r="I821" s="592"/>
      <c r="J821" s="592"/>
      <c r="K821" s="592"/>
      <c r="L821" s="592"/>
      <c r="M821" s="592"/>
      <c r="N821" s="592"/>
      <c r="O821" s="592"/>
      <c r="P821" s="592"/>
      <c r="Q821" s="592"/>
      <c r="R821" s="592"/>
      <c r="S821" s="592"/>
      <c r="T821" s="592"/>
      <c r="U821" s="592"/>
      <c r="V821" s="592"/>
      <c r="W821" s="592"/>
      <c r="X821" s="592"/>
      <c r="Y821" s="592"/>
      <c r="Z821" s="592"/>
      <c r="AA821" s="592"/>
      <c r="AB821" s="592"/>
      <c r="AC821" s="592"/>
      <c r="AD821" s="592"/>
      <c r="AE821" s="592"/>
      <c r="AF821" s="592"/>
      <c r="AG821" s="592"/>
    </row>
    <row r="822">
      <c r="E822" s="592"/>
      <c r="F822" s="591"/>
      <c r="G822" s="591"/>
      <c r="H822" s="592"/>
      <c r="I822" s="592"/>
      <c r="J822" s="592"/>
      <c r="K822" s="592"/>
      <c r="L822" s="592"/>
      <c r="M822" s="592"/>
      <c r="N822" s="592"/>
      <c r="O822" s="592"/>
      <c r="P822" s="592"/>
      <c r="Q822" s="592"/>
      <c r="R822" s="592"/>
      <c r="S822" s="592"/>
      <c r="T822" s="592"/>
      <c r="U822" s="592"/>
      <c r="V822" s="592"/>
      <c r="W822" s="592"/>
      <c r="X822" s="592"/>
      <c r="Y822" s="592"/>
      <c r="Z822" s="592"/>
      <c r="AA822" s="592"/>
      <c r="AB822" s="592"/>
      <c r="AC822" s="592"/>
      <c r="AD822" s="592"/>
      <c r="AE822" s="592"/>
      <c r="AF822" s="592"/>
      <c r="AG822" s="592"/>
    </row>
    <row r="823">
      <c r="E823" s="592"/>
      <c r="F823" s="591"/>
      <c r="G823" s="591"/>
      <c r="H823" s="592"/>
      <c r="I823" s="592"/>
      <c r="J823" s="592"/>
      <c r="K823" s="592"/>
      <c r="L823" s="592"/>
      <c r="M823" s="592"/>
      <c r="N823" s="592"/>
      <c r="O823" s="592"/>
      <c r="P823" s="592"/>
      <c r="Q823" s="592"/>
      <c r="R823" s="592"/>
      <c r="S823" s="592"/>
      <c r="T823" s="592"/>
      <c r="U823" s="592"/>
      <c r="V823" s="592"/>
      <c r="W823" s="592"/>
      <c r="X823" s="592"/>
      <c r="Y823" s="592"/>
      <c r="Z823" s="592"/>
      <c r="AA823" s="592"/>
      <c r="AB823" s="592"/>
      <c r="AC823" s="592"/>
      <c r="AD823" s="592"/>
      <c r="AE823" s="592"/>
      <c r="AF823" s="592"/>
      <c r="AG823" s="592"/>
    </row>
    <row r="824">
      <c r="E824" s="592"/>
      <c r="F824" s="591"/>
      <c r="G824" s="591"/>
      <c r="H824" s="592"/>
      <c r="I824" s="592"/>
      <c r="J824" s="592"/>
      <c r="K824" s="592"/>
      <c r="L824" s="592"/>
      <c r="M824" s="592"/>
      <c r="N824" s="592"/>
      <c r="O824" s="592"/>
      <c r="P824" s="592"/>
      <c r="Q824" s="592"/>
      <c r="R824" s="592"/>
      <c r="S824" s="592"/>
      <c r="T824" s="592"/>
      <c r="U824" s="592"/>
      <c r="V824" s="592"/>
      <c r="W824" s="592"/>
      <c r="X824" s="592"/>
      <c r="Y824" s="592"/>
      <c r="Z824" s="592"/>
      <c r="AA824" s="592"/>
      <c r="AB824" s="592"/>
      <c r="AC824" s="592"/>
      <c r="AD824" s="592"/>
      <c r="AE824" s="592"/>
      <c r="AF824" s="592"/>
      <c r="AG824" s="592"/>
    </row>
    <row r="825">
      <c r="E825" s="592"/>
      <c r="F825" s="591"/>
      <c r="G825" s="591"/>
      <c r="H825" s="592"/>
      <c r="I825" s="592"/>
      <c r="J825" s="592"/>
      <c r="K825" s="592"/>
      <c r="L825" s="592"/>
      <c r="M825" s="592"/>
      <c r="N825" s="592"/>
      <c r="O825" s="592"/>
      <c r="P825" s="592"/>
      <c r="Q825" s="592"/>
      <c r="R825" s="592"/>
      <c r="S825" s="592"/>
      <c r="T825" s="592"/>
      <c r="U825" s="592"/>
      <c r="V825" s="592"/>
      <c r="W825" s="592"/>
      <c r="X825" s="592"/>
      <c r="Y825" s="592"/>
      <c r="Z825" s="592"/>
      <c r="AA825" s="592"/>
      <c r="AB825" s="592"/>
      <c r="AC825" s="592"/>
      <c r="AD825" s="592"/>
      <c r="AE825" s="592"/>
      <c r="AF825" s="592"/>
      <c r="AG825" s="592"/>
    </row>
    <row r="826">
      <c r="E826" s="592"/>
      <c r="F826" s="591"/>
      <c r="G826" s="591"/>
      <c r="H826" s="592"/>
      <c r="I826" s="592"/>
      <c r="J826" s="592"/>
      <c r="K826" s="592"/>
      <c r="L826" s="592"/>
      <c r="M826" s="592"/>
      <c r="N826" s="592"/>
      <c r="O826" s="592"/>
      <c r="P826" s="592"/>
      <c r="Q826" s="592"/>
      <c r="R826" s="592"/>
      <c r="S826" s="592"/>
      <c r="T826" s="592"/>
      <c r="U826" s="592"/>
      <c r="V826" s="592"/>
      <c r="W826" s="592"/>
      <c r="X826" s="592"/>
      <c r="Y826" s="592"/>
      <c r="Z826" s="592"/>
      <c r="AA826" s="592"/>
      <c r="AB826" s="592"/>
      <c r="AC826" s="592"/>
      <c r="AD826" s="592"/>
      <c r="AE826" s="592"/>
      <c r="AF826" s="592"/>
      <c r="AG826" s="592"/>
    </row>
    <row r="827">
      <c r="E827" s="592"/>
      <c r="F827" s="591"/>
      <c r="G827" s="591"/>
      <c r="H827" s="592"/>
      <c r="I827" s="592"/>
      <c r="J827" s="592"/>
      <c r="K827" s="592"/>
      <c r="L827" s="592"/>
      <c r="M827" s="592"/>
      <c r="N827" s="592"/>
      <c r="O827" s="592"/>
      <c r="P827" s="592"/>
      <c r="Q827" s="592"/>
      <c r="R827" s="592"/>
      <c r="S827" s="592"/>
      <c r="T827" s="592"/>
      <c r="U827" s="592"/>
      <c r="V827" s="592"/>
      <c r="W827" s="592"/>
      <c r="X827" s="592"/>
      <c r="Y827" s="592"/>
      <c r="Z827" s="592"/>
      <c r="AA827" s="592"/>
      <c r="AB827" s="592"/>
      <c r="AC827" s="592"/>
      <c r="AD827" s="592"/>
      <c r="AE827" s="592"/>
      <c r="AF827" s="592"/>
      <c r="AG827" s="592"/>
    </row>
    <row r="828">
      <c r="E828" s="592"/>
      <c r="F828" s="591"/>
      <c r="G828" s="591"/>
      <c r="H828" s="592"/>
      <c r="I828" s="592"/>
      <c r="J828" s="592"/>
      <c r="K828" s="592"/>
      <c r="L828" s="592"/>
      <c r="M828" s="592"/>
      <c r="N828" s="592"/>
      <c r="O828" s="592"/>
      <c r="P828" s="592"/>
      <c r="Q828" s="592"/>
      <c r="R828" s="592"/>
      <c r="S828" s="592"/>
      <c r="T828" s="592"/>
      <c r="U828" s="592"/>
      <c r="V828" s="592"/>
      <c r="W828" s="592"/>
      <c r="X828" s="592"/>
      <c r="Y828" s="592"/>
      <c r="Z828" s="592"/>
      <c r="AA828" s="592"/>
      <c r="AB828" s="592"/>
      <c r="AC828" s="592"/>
      <c r="AD828" s="592"/>
      <c r="AE828" s="592"/>
      <c r="AF828" s="592"/>
      <c r="AG828" s="592"/>
    </row>
    <row r="829">
      <c r="E829" s="592"/>
      <c r="F829" s="591"/>
      <c r="G829" s="591"/>
      <c r="H829" s="592"/>
      <c r="I829" s="592"/>
      <c r="J829" s="592"/>
      <c r="K829" s="592"/>
      <c r="L829" s="592"/>
      <c r="M829" s="592"/>
      <c r="N829" s="592"/>
      <c r="O829" s="592"/>
      <c r="P829" s="592"/>
      <c r="Q829" s="592"/>
      <c r="R829" s="592"/>
      <c r="S829" s="592"/>
      <c r="T829" s="592"/>
      <c r="U829" s="592"/>
      <c r="V829" s="592"/>
      <c r="W829" s="592"/>
      <c r="X829" s="592"/>
      <c r="Y829" s="592"/>
      <c r="Z829" s="592"/>
      <c r="AA829" s="592"/>
      <c r="AB829" s="592"/>
      <c r="AC829" s="592"/>
      <c r="AD829" s="592"/>
      <c r="AE829" s="592"/>
      <c r="AF829" s="592"/>
      <c r="AG829" s="592"/>
    </row>
    <row r="830">
      <c r="E830" s="592"/>
      <c r="F830" s="591"/>
      <c r="G830" s="591"/>
      <c r="H830" s="592"/>
      <c r="I830" s="592"/>
      <c r="J830" s="592"/>
      <c r="K830" s="592"/>
      <c r="L830" s="592"/>
      <c r="M830" s="592"/>
      <c r="N830" s="592"/>
      <c r="O830" s="592"/>
      <c r="P830" s="592"/>
      <c r="Q830" s="592"/>
      <c r="R830" s="592"/>
      <c r="S830" s="592"/>
      <c r="T830" s="592"/>
      <c r="U830" s="592"/>
      <c r="V830" s="592"/>
      <c r="W830" s="592"/>
      <c r="X830" s="592"/>
      <c r="Y830" s="592"/>
      <c r="Z830" s="592"/>
      <c r="AA830" s="592"/>
      <c r="AB830" s="592"/>
      <c r="AC830" s="592"/>
      <c r="AD830" s="592"/>
      <c r="AE830" s="592"/>
      <c r="AF830" s="592"/>
      <c r="AG830" s="592"/>
    </row>
    <row r="831">
      <c r="E831" s="592"/>
      <c r="F831" s="591"/>
      <c r="G831" s="591"/>
      <c r="H831" s="592"/>
      <c r="I831" s="592"/>
      <c r="J831" s="592"/>
      <c r="K831" s="592"/>
      <c r="L831" s="592"/>
      <c r="M831" s="592"/>
      <c r="N831" s="592"/>
      <c r="O831" s="592"/>
      <c r="P831" s="592"/>
      <c r="Q831" s="592"/>
      <c r="R831" s="592"/>
      <c r="S831" s="592"/>
      <c r="T831" s="592"/>
      <c r="U831" s="592"/>
      <c r="V831" s="592"/>
      <c r="W831" s="592"/>
      <c r="X831" s="592"/>
      <c r="Y831" s="592"/>
      <c r="Z831" s="592"/>
      <c r="AA831" s="592"/>
      <c r="AB831" s="592"/>
      <c r="AC831" s="592"/>
      <c r="AD831" s="592"/>
      <c r="AE831" s="592"/>
      <c r="AF831" s="592"/>
      <c r="AG831" s="592"/>
    </row>
    <row r="832">
      <c r="E832" s="592"/>
      <c r="F832" s="591"/>
      <c r="G832" s="591"/>
      <c r="H832" s="592"/>
      <c r="I832" s="592"/>
      <c r="J832" s="592"/>
      <c r="K832" s="592"/>
      <c r="L832" s="592"/>
      <c r="M832" s="592"/>
      <c r="N832" s="592"/>
      <c r="O832" s="592"/>
      <c r="P832" s="592"/>
      <c r="Q832" s="592"/>
      <c r="R832" s="592"/>
      <c r="S832" s="592"/>
      <c r="T832" s="592"/>
      <c r="U832" s="592"/>
      <c r="V832" s="592"/>
      <c r="W832" s="592"/>
      <c r="X832" s="592"/>
      <c r="Y832" s="592"/>
      <c r="Z832" s="592"/>
      <c r="AA832" s="592"/>
      <c r="AB832" s="592"/>
      <c r="AC832" s="592"/>
      <c r="AD832" s="592"/>
      <c r="AE832" s="592"/>
      <c r="AF832" s="592"/>
      <c r="AG832" s="592"/>
    </row>
    <row r="833">
      <c r="E833" s="592"/>
      <c r="F833" s="591"/>
      <c r="G833" s="591"/>
      <c r="H833" s="592"/>
      <c r="I833" s="592"/>
      <c r="J833" s="592"/>
      <c r="K833" s="592"/>
      <c r="L833" s="592"/>
      <c r="M833" s="592"/>
      <c r="N833" s="592"/>
      <c r="O833" s="592"/>
      <c r="P833" s="592"/>
      <c r="Q833" s="592"/>
      <c r="R833" s="592"/>
      <c r="S833" s="592"/>
      <c r="T833" s="592"/>
      <c r="U833" s="592"/>
      <c r="V833" s="592"/>
      <c r="W833" s="592"/>
      <c r="X833" s="592"/>
      <c r="Y833" s="592"/>
      <c r="Z833" s="592"/>
      <c r="AA833" s="592"/>
      <c r="AB833" s="592"/>
      <c r="AC833" s="592"/>
      <c r="AD833" s="592"/>
      <c r="AE833" s="592"/>
      <c r="AF833" s="592"/>
      <c r="AG833" s="592"/>
    </row>
    <row r="834">
      <c r="E834" s="592"/>
      <c r="F834" s="591"/>
      <c r="G834" s="591"/>
      <c r="H834" s="592"/>
      <c r="I834" s="592"/>
      <c r="J834" s="592"/>
      <c r="K834" s="592"/>
      <c r="L834" s="592"/>
      <c r="M834" s="592"/>
      <c r="N834" s="592"/>
      <c r="O834" s="592"/>
      <c r="P834" s="592"/>
      <c r="Q834" s="592"/>
      <c r="R834" s="592"/>
      <c r="S834" s="592"/>
      <c r="T834" s="592"/>
      <c r="U834" s="592"/>
      <c r="V834" s="592"/>
      <c r="W834" s="592"/>
      <c r="X834" s="592"/>
      <c r="Y834" s="592"/>
      <c r="Z834" s="592"/>
      <c r="AA834" s="592"/>
      <c r="AB834" s="592"/>
      <c r="AC834" s="592"/>
      <c r="AD834" s="592"/>
      <c r="AE834" s="592"/>
      <c r="AF834" s="592"/>
      <c r="AG834" s="592"/>
    </row>
    <row r="835">
      <c r="E835" s="592"/>
      <c r="F835" s="591"/>
      <c r="G835" s="591"/>
      <c r="H835" s="592"/>
      <c r="I835" s="592"/>
      <c r="J835" s="592"/>
      <c r="K835" s="592"/>
      <c r="L835" s="592"/>
      <c r="M835" s="592"/>
      <c r="N835" s="592"/>
      <c r="O835" s="592"/>
      <c r="P835" s="592"/>
      <c r="Q835" s="592"/>
      <c r="R835" s="592"/>
      <c r="S835" s="592"/>
      <c r="T835" s="592"/>
      <c r="U835" s="592"/>
      <c r="V835" s="592"/>
      <c r="W835" s="592"/>
      <c r="X835" s="592"/>
      <c r="Y835" s="592"/>
      <c r="Z835" s="592"/>
      <c r="AA835" s="592"/>
      <c r="AB835" s="592"/>
      <c r="AC835" s="592"/>
      <c r="AD835" s="592"/>
      <c r="AE835" s="592"/>
      <c r="AF835" s="592"/>
      <c r="AG835" s="592"/>
    </row>
    <row r="836">
      <c r="E836" s="592"/>
      <c r="F836" s="591"/>
      <c r="G836" s="591"/>
      <c r="H836" s="592"/>
      <c r="I836" s="592"/>
      <c r="J836" s="592"/>
      <c r="K836" s="592"/>
      <c r="L836" s="592"/>
      <c r="M836" s="592"/>
      <c r="N836" s="592"/>
      <c r="O836" s="592"/>
      <c r="P836" s="592"/>
      <c r="Q836" s="592"/>
      <c r="R836" s="592"/>
      <c r="S836" s="592"/>
      <c r="T836" s="592"/>
      <c r="U836" s="592"/>
      <c r="V836" s="592"/>
      <c r="W836" s="592"/>
      <c r="X836" s="592"/>
      <c r="Y836" s="592"/>
      <c r="Z836" s="592"/>
      <c r="AA836" s="592"/>
      <c r="AB836" s="592"/>
      <c r="AC836" s="592"/>
      <c r="AD836" s="592"/>
      <c r="AE836" s="592"/>
      <c r="AF836" s="592"/>
      <c r="AG836" s="592"/>
    </row>
    <row r="837">
      <c r="E837" s="592"/>
      <c r="F837" s="591"/>
      <c r="G837" s="591"/>
      <c r="H837" s="592"/>
      <c r="I837" s="592"/>
      <c r="J837" s="592"/>
      <c r="K837" s="592"/>
      <c r="L837" s="592"/>
      <c r="M837" s="592"/>
      <c r="N837" s="592"/>
      <c r="O837" s="592"/>
      <c r="P837" s="592"/>
      <c r="Q837" s="592"/>
      <c r="R837" s="592"/>
      <c r="S837" s="592"/>
      <c r="T837" s="592"/>
      <c r="U837" s="592"/>
      <c r="V837" s="592"/>
      <c r="W837" s="592"/>
      <c r="X837" s="592"/>
      <c r="Y837" s="592"/>
      <c r="Z837" s="592"/>
      <c r="AA837" s="592"/>
      <c r="AB837" s="592"/>
      <c r="AC837" s="592"/>
      <c r="AD837" s="592"/>
      <c r="AE837" s="592"/>
      <c r="AF837" s="592"/>
      <c r="AG837" s="592"/>
    </row>
    <row r="838">
      <c r="E838" s="592"/>
      <c r="F838" s="591"/>
      <c r="G838" s="591"/>
      <c r="H838" s="592"/>
      <c r="I838" s="592"/>
      <c r="J838" s="592"/>
      <c r="K838" s="592"/>
      <c r="L838" s="592"/>
      <c r="M838" s="592"/>
      <c r="N838" s="592"/>
      <c r="O838" s="592"/>
      <c r="P838" s="592"/>
      <c r="Q838" s="592"/>
      <c r="R838" s="592"/>
      <c r="S838" s="592"/>
      <c r="T838" s="592"/>
      <c r="U838" s="592"/>
      <c r="V838" s="592"/>
      <c r="W838" s="592"/>
      <c r="X838" s="592"/>
      <c r="Y838" s="592"/>
      <c r="Z838" s="592"/>
      <c r="AA838" s="592"/>
      <c r="AB838" s="592"/>
      <c r="AC838" s="592"/>
      <c r="AD838" s="592"/>
      <c r="AE838" s="592"/>
      <c r="AF838" s="592"/>
      <c r="AG838" s="592"/>
    </row>
    <row r="839">
      <c r="E839" s="592"/>
      <c r="F839" s="591"/>
      <c r="G839" s="591"/>
      <c r="H839" s="592"/>
      <c r="I839" s="592"/>
      <c r="J839" s="592"/>
      <c r="K839" s="592"/>
      <c r="L839" s="592"/>
      <c r="M839" s="592"/>
      <c r="N839" s="592"/>
      <c r="O839" s="592"/>
      <c r="P839" s="592"/>
      <c r="Q839" s="592"/>
      <c r="R839" s="592"/>
      <c r="S839" s="592"/>
      <c r="T839" s="592"/>
      <c r="U839" s="592"/>
      <c r="V839" s="592"/>
      <c r="W839" s="592"/>
      <c r="X839" s="592"/>
      <c r="Y839" s="592"/>
      <c r="Z839" s="592"/>
      <c r="AA839" s="592"/>
      <c r="AB839" s="592"/>
      <c r="AC839" s="592"/>
      <c r="AD839" s="592"/>
      <c r="AE839" s="592"/>
      <c r="AF839" s="592"/>
      <c r="AG839" s="592"/>
    </row>
    <row r="840">
      <c r="E840" s="592"/>
      <c r="F840" s="591"/>
      <c r="G840" s="591"/>
      <c r="H840" s="592"/>
      <c r="I840" s="592"/>
      <c r="J840" s="592"/>
      <c r="K840" s="592"/>
      <c r="L840" s="592"/>
      <c r="M840" s="592"/>
      <c r="N840" s="592"/>
      <c r="O840" s="592"/>
      <c r="P840" s="592"/>
      <c r="Q840" s="592"/>
      <c r="R840" s="592"/>
      <c r="S840" s="592"/>
      <c r="T840" s="592"/>
      <c r="U840" s="592"/>
      <c r="V840" s="592"/>
      <c r="W840" s="592"/>
      <c r="X840" s="592"/>
      <c r="Y840" s="592"/>
      <c r="Z840" s="592"/>
      <c r="AA840" s="592"/>
      <c r="AB840" s="592"/>
      <c r="AC840" s="592"/>
      <c r="AD840" s="592"/>
      <c r="AE840" s="592"/>
      <c r="AF840" s="592"/>
      <c r="AG840" s="592"/>
    </row>
    <row r="841">
      <c r="E841" s="592"/>
      <c r="F841" s="591"/>
      <c r="G841" s="591"/>
      <c r="H841" s="592"/>
      <c r="I841" s="592"/>
      <c r="J841" s="592"/>
      <c r="K841" s="592"/>
      <c r="L841" s="592"/>
      <c r="M841" s="592"/>
      <c r="N841" s="592"/>
      <c r="O841" s="592"/>
      <c r="P841" s="592"/>
      <c r="Q841" s="592"/>
      <c r="R841" s="592"/>
      <c r="S841" s="592"/>
      <c r="T841" s="592"/>
      <c r="U841" s="592"/>
      <c r="V841" s="592"/>
      <c r="W841" s="592"/>
      <c r="X841" s="592"/>
      <c r="Y841" s="592"/>
      <c r="Z841" s="592"/>
      <c r="AA841" s="592"/>
      <c r="AB841" s="592"/>
      <c r="AC841" s="592"/>
      <c r="AD841" s="592"/>
      <c r="AE841" s="592"/>
      <c r="AF841" s="592"/>
      <c r="AG841" s="592"/>
    </row>
    <row r="842">
      <c r="E842" s="592"/>
      <c r="F842" s="591"/>
      <c r="G842" s="591"/>
      <c r="H842" s="592"/>
      <c r="I842" s="592"/>
      <c r="J842" s="592"/>
      <c r="K842" s="592"/>
      <c r="L842" s="592"/>
      <c r="M842" s="592"/>
      <c r="N842" s="592"/>
      <c r="O842" s="592"/>
      <c r="P842" s="592"/>
      <c r="Q842" s="592"/>
      <c r="R842" s="592"/>
      <c r="S842" s="592"/>
      <c r="T842" s="592"/>
      <c r="U842" s="592"/>
      <c r="V842" s="592"/>
      <c r="W842" s="592"/>
      <c r="X842" s="592"/>
      <c r="Y842" s="592"/>
      <c r="Z842" s="592"/>
      <c r="AA842" s="592"/>
      <c r="AB842" s="592"/>
      <c r="AC842" s="592"/>
      <c r="AD842" s="592"/>
      <c r="AE842" s="592"/>
      <c r="AF842" s="592"/>
      <c r="AG842" s="592"/>
    </row>
    <row r="843">
      <c r="E843" s="592"/>
      <c r="F843" s="591"/>
      <c r="G843" s="591"/>
      <c r="H843" s="592"/>
      <c r="I843" s="592"/>
      <c r="J843" s="592"/>
      <c r="K843" s="592"/>
      <c r="L843" s="592"/>
      <c r="M843" s="592"/>
      <c r="N843" s="592"/>
      <c r="O843" s="592"/>
      <c r="P843" s="592"/>
      <c r="Q843" s="592"/>
      <c r="R843" s="592"/>
      <c r="S843" s="592"/>
      <c r="T843" s="592"/>
      <c r="U843" s="592"/>
      <c r="V843" s="592"/>
      <c r="W843" s="592"/>
      <c r="X843" s="592"/>
      <c r="Y843" s="592"/>
      <c r="Z843" s="592"/>
      <c r="AA843" s="592"/>
      <c r="AB843" s="592"/>
      <c r="AC843" s="592"/>
      <c r="AD843" s="592"/>
      <c r="AE843" s="592"/>
      <c r="AF843" s="592"/>
      <c r="AG843" s="592"/>
    </row>
    <row r="844">
      <c r="E844" s="592"/>
      <c r="F844" s="591"/>
      <c r="G844" s="591"/>
      <c r="H844" s="592"/>
      <c r="I844" s="592"/>
      <c r="J844" s="592"/>
      <c r="K844" s="592"/>
      <c r="L844" s="592"/>
      <c r="M844" s="592"/>
      <c r="N844" s="592"/>
      <c r="O844" s="592"/>
      <c r="P844" s="592"/>
      <c r="Q844" s="592"/>
      <c r="R844" s="592"/>
      <c r="S844" s="592"/>
      <c r="T844" s="592"/>
      <c r="U844" s="592"/>
      <c r="V844" s="592"/>
      <c r="W844" s="592"/>
      <c r="X844" s="592"/>
      <c r="Y844" s="592"/>
      <c r="Z844" s="592"/>
      <c r="AA844" s="592"/>
      <c r="AB844" s="592"/>
      <c r="AC844" s="592"/>
      <c r="AD844" s="592"/>
      <c r="AE844" s="592"/>
      <c r="AF844" s="592"/>
      <c r="AG844" s="592"/>
    </row>
    <row r="845">
      <c r="E845" s="592"/>
      <c r="F845" s="591"/>
      <c r="G845" s="591"/>
      <c r="H845" s="592"/>
      <c r="I845" s="592"/>
      <c r="J845" s="592"/>
      <c r="K845" s="592"/>
      <c r="L845" s="592"/>
      <c r="M845" s="592"/>
      <c r="N845" s="592"/>
      <c r="O845" s="592"/>
      <c r="P845" s="592"/>
      <c r="Q845" s="592"/>
      <c r="R845" s="592"/>
      <c r="S845" s="592"/>
      <c r="T845" s="592"/>
      <c r="U845" s="592"/>
      <c r="V845" s="592"/>
      <c r="W845" s="592"/>
      <c r="X845" s="592"/>
      <c r="Y845" s="592"/>
      <c r="Z845" s="592"/>
      <c r="AA845" s="592"/>
      <c r="AB845" s="592"/>
      <c r="AC845" s="592"/>
      <c r="AD845" s="592"/>
      <c r="AE845" s="592"/>
      <c r="AF845" s="592"/>
      <c r="AG845" s="592"/>
    </row>
    <row r="846">
      <c r="E846" s="592"/>
      <c r="F846" s="591"/>
      <c r="G846" s="591"/>
      <c r="H846" s="592"/>
      <c r="I846" s="592"/>
      <c r="J846" s="592"/>
      <c r="K846" s="592"/>
      <c r="L846" s="592"/>
      <c r="M846" s="592"/>
      <c r="N846" s="592"/>
      <c r="O846" s="592"/>
      <c r="P846" s="592"/>
      <c r="Q846" s="592"/>
      <c r="R846" s="592"/>
      <c r="S846" s="592"/>
      <c r="T846" s="592"/>
      <c r="U846" s="592"/>
      <c r="V846" s="592"/>
      <c r="W846" s="592"/>
      <c r="X846" s="592"/>
      <c r="Y846" s="592"/>
      <c r="Z846" s="592"/>
      <c r="AA846" s="592"/>
      <c r="AB846" s="592"/>
      <c r="AC846" s="592"/>
      <c r="AD846" s="592"/>
      <c r="AE846" s="592"/>
      <c r="AF846" s="592"/>
      <c r="AG846" s="592"/>
    </row>
    <row r="847">
      <c r="E847" s="592"/>
      <c r="F847" s="591"/>
      <c r="G847" s="591"/>
      <c r="H847" s="592"/>
      <c r="I847" s="592"/>
      <c r="J847" s="592"/>
      <c r="K847" s="592"/>
      <c r="L847" s="592"/>
      <c r="M847" s="592"/>
      <c r="N847" s="592"/>
      <c r="O847" s="592"/>
      <c r="P847" s="592"/>
      <c r="Q847" s="592"/>
      <c r="R847" s="592"/>
      <c r="S847" s="592"/>
      <c r="T847" s="592"/>
      <c r="U847" s="592"/>
      <c r="V847" s="592"/>
      <c r="W847" s="592"/>
      <c r="X847" s="592"/>
      <c r="Y847" s="592"/>
      <c r="Z847" s="592"/>
      <c r="AA847" s="592"/>
      <c r="AB847" s="592"/>
      <c r="AC847" s="592"/>
      <c r="AD847" s="592"/>
      <c r="AE847" s="592"/>
      <c r="AF847" s="592"/>
      <c r="AG847" s="592"/>
    </row>
    <row r="848">
      <c r="E848" s="592"/>
      <c r="F848" s="591"/>
      <c r="G848" s="591"/>
      <c r="H848" s="592"/>
      <c r="I848" s="592"/>
      <c r="J848" s="592"/>
      <c r="K848" s="592"/>
      <c r="L848" s="592"/>
      <c r="M848" s="592"/>
      <c r="N848" s="592"/>
      <c r="O848" s="592"/>
      <c r="P848" s="592"/>
      <c r="Q848" s="592"/>
      <c r="R848" s="592"/>
      <c r="S848" s="592"/>
      <c r="T848" s="592"/>
      <c r="U848" s="592"/>
      <c r="V848" s="592"/>
      <c r="W848" s="592"/>
      <c r="X848" s="592"/>
      <c r="Y848" s="592"/>
      <c r="Z848" s="592"/>
      <c r="AA848" s="592"/>
      <c r="AB848" s="592"/>
      <c r="AC848" s="592"/>
      <c r="AD848" s="592"/>
      <c r="AE848" s="592"/>
      <c r="AF848" s="592"/>
      <c r="AG848" s="592"/>
    </row>
    <row r="849">
      <c r="E849" s="592"/>
      <c r="F849" s="591"/>
      <c r="G849" s="591"/>
      <c r="H849" s="592"/>
      <c r="I849" s="592"/>
      <c r="J849" s="592"/>
      <c r="K849" s="592"/>
      <c r="L849" s="592"/>
      <c r="M849" s="592"/>
      <c r="N849" s="592"/>
      <c r="O849" s="592"/>
      <c r="P849" s="592"/>
      <c r="Q849" s="592"/>
      <c r="R849" s="592"/>
      <c r="S849" s="592"/>
      <c r="T849" s="592"/>
      <c r="U849" s="592"/>
      <c r="V849" s="592"/>
      <c r="W849" s="592"/>
      <c r="X849" s="592"/>
      <c r="Y849" s="592"/>
      <c r="Z849" s="592"/>
      <c r="AA849" s="592"/>
      <c r="AB849" s="592"/>
      <c r="AC849" s="592"/>
      <c r="AD849" s="592"/>
      <c r="AE849" s="592"/>
      <c r="AF849" s="592"/>
      <c r="AG849" s="592"/>
    </row>
    <row r="850">
      <c r="E850" s="592"/>
      <c r="F850" s="591"/>
      <c r="G850" s="591"/>
      <c r="H850" s="592"/>
      <c r="I850" s="592"/>
      <c r="J850" s="592"/>
      <c r="K850" s="592"/>
      <c r="L850" s="592"/>
      <c r="M850" s="592"/>
      <c r="N850" s="592"/>
      <c r="O850" s="592"/>
      <c r="P850" s="592"/>
      <c r="Q850" s="592"/>
      <c r="R850" s="592"/>
      <c r="S850" s="592"/>
      <c r="T850" s="592"/>
      <c r="U850" s="592"/>
      <c r="V850" s="592"/>
      <c r="W850" s="592"/>
      <c r="X850" s="592"/>
      <c r="Y850" s="592"/>
      <c r="Z850" s="592"/>
      <c r="AA850" s="592"/>
      <c r="AB850" s="592"/>
      <c r="AC850" s="592"/>
      <c r="AD850" s="592"/>
      <c r="AE850" s="592"/>
      <c r="AF850" s="592"/>
      <c r="AG850" s="592"/>
    </row>
    <row r="851">
      <c r="E851" s="592"/>
      <c r="F851" s="591"/>
      <c r="G851" s="591"/>
      <c r="H851" s="592"/>
      <c r="I851" s="592"/>
      <c r="J851" s="592"/>
      <c r="K851" s="592"/>
      <c r="L851" s="592"/>
      <c r="M851" s="592"/>
      <c r="N851" s="592"/>
      <c r="O851" s="592"/>
      <c r="P851" s="592"/>
      <c r="Q851" s="592"/>
      <c r="R851" s="592"/>
      <c r="S851" s="592"/>
      <c r="T851" s="592"/>
      <c r="U851" s="592"/>
      <c r="V851" s="592"/>
      <c r="W851" s="592"/>
      <c r="X851" s="592"/>
      <c r="Y851" s="592"/>
      <c r="Z851" s="592"/>
      <c r="AA851" s="592"/>
      <c r="AB851" s="592"/>
      <c r="AC851" s="592"/>
      <c r="AD851" s="592"/>
      <c r="AE851" s="592"/>
      <c r="AF851" s="592"/>
      <c r="AG851" s="592"/>
    </row>
    <row r="852">
      <c r="E852" s="592"/>
      <c r="F852" s="591"/>
      <c r="G852" s="591"/>
      <c r="H852" s="592"/>
      <c r="I852" s="592"/>
      <c r="J852" s="592"/>
      <c r="K852" s="592"/>
      <c r="L852" s="592"/>
      <c r="M852" s="592"/>
      <c r="N852" s="592"/>
      <c r="O852" s="592"/>
      <c r="P852" s="592"/>
      <c r="Q852" s="592"/>
      <c r="R852" s="592"/>
      <c r="S852" s="592"/>
      <c r="T852" s="592"/>
      <c r="U852" s="592"/>
      <c r="V852" s="592"/>
      <c r="W852" s="592"/>
      <c r="X852" s="592"/>
      <c r="Y852" s="592"/>
      <c r="Z852" s="592"/>
      <c r="AA852" s="592"/>
      <c r="AB852" s="592"/>
      <c r="AC852" s="592"/>
      <c r="AD852" s="592"/>
      <c r="AE852" s="592"/>
      <c r="AF852" s="592"/>
      <c r="AG852" s="592"/>
    </row>
    <row r="853">
      <c r="E853" s="592"/>
      <c r="F853" s="591"/>
      <c r="G853" s="591"/>
      <c r="H853" s="592"/>
      <c r="I853" s="592"/>
      <c r="J853" s="592"/>
      <c r="K853" s="592"/>
      <c r="L853" s="592"/>
      <c r="M853" s="592"/>
      <c r="N853" s="592"/>
      <c r="O853" s="592"/>
      <c r="P853" s="592"/>
      <c r="Q853" s="592"/>
      <c r="R853" s="592"/>
      <c r="S853" s="592"/>
      <c r="T853" s="592"/>
      <c r="U853" s="592"/>
      <c r="V853" s="592"/>
      <c r="W853" s="592"/>
      <c r="X853" s="592"/>
      <c r="Y853" s="592"/>
      <c r="Z853" s="592"/>
      <c r="AA853" s="592"/>
      <c r="AB853" s="592"/>
      <c r="AC853" s="592"/>
      <c r="AD853" s="592"/>
      <c r="AE853" s="592"/>
      <c r="AF853" s="592"/>
      <c r="AG853" s="592"/>
    </row>
    <row r="854">
      <c r="E854" s="592"/>
      <c r="F854" s="591"/>
      <c r="G854" s="591"/>
      <c r="H854" s="592"/>
      <c r="I854" s="592"/>
      <c r="J854" s="592"/>
      <c r="K854" s="592"/>
      <c r="L854" s="592"/>
      <c r="M854" s="592"/>
      <c r="N854" s="592"/>
      <c r="O854" s="592"/>
      <c r="P854" s="592"/>
      <c r="Q854" s="592"/>
      <c r="R854" s="592"/>
      <c r="S854" s="592"/>
      <c r="T854" s="592"/>
      <c r="U854" s="592"/>
      <c r="V854" s="592"/>
      <c r="W854" s="592"/>
      <c r="X854" s="592"/>
      <c r="Y854" s="592"/>
      <c r="Z854" s="592"/>
      <c r="AA854" s="592"/>
      <c r="AB854" s="592"/>
      <c r="AC854" s="592"/>
      <c r="AD854" s="592"/>
      <c r="AE854" s="592"/>
      <c r="AF854" s="592"/>
      <c r="AG854" s="592"/>
    </row>
    <row r="855">
      <c r="E855" s="592"/>
      <c r="F855" s="591"/>
      <c r="G855" s="591"/>
      <c r="H855" s="592"/>
      <c r="I855" s="592"/>
      <c r="J855" s="592"/>
      <c r="K855" s="592"/>
      <c r="L855" s="592"/>
      <c r="M855" s="592"/>
      <c r="N855" s="592"/>
      <c r="O855" s="592"/>
      <c r="P855" s="592"/>
      <c r="Q855" s="592"/>
      <c r="R855" s="592"/>
      <c r="S855" s="592"/>
      <c r="T855" s="592"/>
      <c r="U855" s="592"/>
      <c r="V855" s="592"/>
      <c r="W855" s="592"/>
      <c r="X855" s="592"/>
      <c r="Y855" s="592"/>
      <c r="Z855" s="592"/>
      <c r="AA855" s="592"/>
      <c r="AB855" s="592"/>
      <c r="AC855" s="592"/>
      <c r="AD855" s="592"/>
      <c r="AE855" s="592"/>
      <c r="AF855" s="592"/>
      <c r="AG855" s="592"/>
    </row>
    <row r="856">
      <c r="E856" s="592"/>
      <c r="F856" s="591"/>
      <c r="G856" s="591"/>
      <c r="H856" s="592"/>
      <c r="I856" s="592"/>
      <c r="J856" s="592"/>
      <c r="K856" s="592"/>
      <c r="L856" s="592"/>
      <c r="M856" s="592"/>
      <c r="N856" s="592"/>
      <c r="O856" s="592"/>
      <c r="P856" s="592"/>
      <c r="Q856" s="592"/>
      <c r="R856" s="592"/>
      <c r="S856" s="592"/>
      <c r="T856" s="592"/>
      <c r="U856" s="592"/>
      <c r="V856" s="592"/>
      <c r="W856" s="592"/>
      <c r="X856" s="592"/>
      <c r="Y856" s="592"/>
      <c r="Z856" s="592"/>
      <c r="AA856" s="592"/>
      <c r="AB856" s="592"/>
      <c r="AC856" s="592"/>
      <c r="AD856" s="592"/>
      <c r="AE856" s="592"/>
      <c r="AF856" s="592"/>
      <c r="AG856" s="592"/>
    </row>
    <row r="857">
      <c r="E857" s="592"/>
      <c r="F857" s="591"/>
      <c r="G857" s="591"/>
      <c r="H857" s="592"/>
      <c r="I857" s="592"/>
      <c r="J857" s="592"/>
      <c r="K857" s="592"/>
      <c r="L857" s="592"/>
      <c r="M857" s="592"/>
      <c r="N857" s="592"/>
      <c r="O857" s="592"/>
      <c r="P857" s="592"/>
      <c r="Q857" s="592"/>
      <c r="R857" s="592"/>
      <c r="S857" s="592"/>
      <c r="T857" s="592"/>
      <c r="U857" s="592"/>
      <c r="V857" s="592"/>
      <c r="W857" s="592"/>
      <c r="X857" s="592"/>
      <c r="Y857" s="592"/>
      <c r="Z857" s="592"/>
      <c r="AA857" s="592"/>
      <c r="AB857" s="592"/>
      <c r="AC857" s="592"/>
      <c r="AD857" s="592"/>
      <c r="AE857" s="592"/>
      <c r="AF857" s="592"/>
      <c r="AG857" s="592"/>
    </row>
    <row r="858">
      <c r="E858" s="592"/>
      <c r="F858" s="591"/>
      <c r="G858" s="591"/>
      <c r="H858" s="592"/>
      <c r="I858" s="592"/>
      <c r="J858" s="592"/>
      <c r="K858" s="592"/>
      <c r="L858" s="592"/>
      <c r="M858" s="592"/>
      <c r="N858" s="592"/>
      <c r="O858" s="592"/>
      <c r="P858" s="592"/>
      <c r="Q858" s="592"/>
      <c r="R858" s="592"/>
      <c r="S858" s="592"/>
      <c r="T858" s="592"/>
      <c r="U858" s="592"/>
      <c r="V858" s="592"/>
      <c r="W858" s="592"/>
      <c r="X858" s="592"/>
      <c r="Y858" s="592"/>
      <c r="Z858" s="592"/>
      <c r="AA858" s="592"/>
      <c r="AB858" s="592"/>
      <c r="AC858" s="592"/>
      <c r="AD858" s="592"/>
      <c r="AE858" s="592"/>
      <c r="AF858" s="592"/>
      <c r="AG858" s="592"/>
    </row>
    <row r="859">
      <c r="E859" s="592"/>
      <c r="F859" s="591"/>
      <c r="G859" s="591"/>
      <c r="H859" s="592"/>
      <c r="I859" s="592"/>
      <c r="J859" s="592"/>
      <c r="K859" s="592"/>
      <c r="L859" s="592"/>
      <c r="M859" s="592"/>
      <c r="N859" s="592"/>
      <c r="O859" s="592"/>
      <c r="P859" s="592"/>
      <c r="Q859" s="592"/>
      <c r="R859" s="592"/>
      <c r="S859" s="592"/>
      <c r="T859" s="592"/>
      <c r="U859" s="592"/>
      <c r="V859" s="592"/>
      <c r="W859" s="592"/>
      <c r="X859" s="592"/>
      <c r="Y859" s="592"/>
      <c r="Z859" s="592"/>
      <c r="AA859" s="592"/>
      <c r="AB859" s="592"/>
      <c r="AC859" s="592"/>
      <c r="AD859" s="592"/>
      <c r="AE859" s="592"/>
      <c r="AF859" s="592"/>
      <c r="AG859" s="592"/>
    </row>
    <row r="860">
      <c r="E860" s="592"/>
      <c r="F860" s="591"/>
      <c r="G860" s="591"/>
      <c r="H860" s="592"/>
      <c r="I860" s="592"/>
      <c r="J860" s="592"/>
      <c r="K860" s="592"/>
      <c r="L860" s="592"/>
      <c r="M860" s="592"/>
      <c r="N860" s="592"/>
      <c r="O860" s="592"/>
      <c r="P860" s="592"/>
      <c r="Q860" s="592"/>
      <c r="R860" s="592"/>
      <c r="S860" s="592"/>
      <c r="T860" s="592"/>
      <c r="U860" s="592"/>
      <c r="V860" s="592"/>
      <c r="W860" s="592"/>
      <c r="X860" s="592"/>
      <c r="Y860" s="592"/>
      <c r="Z860" s="592"/>
      <c r="AA860" s="592"/>
      <c r="AB860" s="592"/>
      <c r="AC860" s="592"/>
      <c r="AD860" s="592"/>
      <c r="AE860" s="592"/>
      <c r="AF860" s="592"/>
      <c r="AG860" s="592"/>
    </row>
    <row r="861">
      <c r="E861" s="592"/>
      <c r="F861" s="591"/>
      <c r="G861" s="591"/>
      <c r="H861" s="592"/>
      <c r="I861" s="592"/>
      <c r="J861" s="592"/>
      <c r="K861" s="592"/>
      <c r="L861" s="592"/>
      <c r="M861" s="592"/>
      <c r="N861" s="592"/>
      <c r="O861" s="592"/>
      <c r="P861" s="592"/>
      <c r="Q861" s="592"/>
      <c r="R861" s="592"/>
      <c r="S861" s="592"/>
      <c r="T861" s="592"/>
      <c r="U861" s="592"/>
      <c r="V861" s="592"/>
      <c r="W861" s="592"/>
      <c r="X861" s="592"/>
      <c r="Y861" s="592"/>
      <c r="Z861" s="592"/>
      <c r="AA861" s="592"/>
      <c r="AB861" s="592"/>
      <c r="AC861" s="592"/>
      <c r="AD861" s="592"/>
      <c r="AE861" s="592"/>
      <c r="AF861" s="592"/>
      <c r="AG861" s="592"/>
    </row>
    <row r="862">
      <c r="E862" s="592"/>
      <c r="F862" s="591"/>
      <c r="G862" s="591"/>
      <c r="H862" s="592"/>
      <c r="I862" s="592"/>
      <c r="J862" s="592"/>
      <c r="K862" s="592"/>
      <c r="L862" s="592"/>
      <c r="M862" s="592"/>
      <c r="N862" s="592"/>
      <c r="O862" s="592"/>
      <c r="P862" s="592"/>
      <c r="Q862" s="592"/>
      <c r="R862" s="592"/>
      <c r="S862" s="592"/>
      <c r="T862" s="592"/>
      <c r="U862" s="592"/>
      <c r="V862" s="592"/>
      <c r="W862" s="592"/>
      <c r="X862" s="592"/>
      <c r="Y862" s="592"/>
      <c r="Z862" s="592"/>
      <c r="AA862" s="592"/>
      <c r="AB862" s="592"/>
      <c r="AC862" s="592"/>
      <c r="AD862" s="592"/>
      <c r="AE862" s="592"/>
      <c r="AF862" s="592"/>
      <c r="AG862" s="592"/>
    </row>
    <row r="863">
      <c r="E863" s="592"/>
      <c r="F863" s="591"/>
      <c r="G863" s="591"/>
      <c r="H863" s="592"/>
      <c r="I863" s="592"/>
      <c r="J863" s="592"/>
      <c r="K863" s="592"/>
      <c r="L863" s="592"/>
      <c r="M863" s="592"/>
      <c r="N863" s="592"/>
      <c r="O863" s="592"/>
      <c r="P863" s="592"/>
      <c r="Q863" s="592"/>
      <c r="R863" s="592"/>
      <c r="S863" s="592"/>
      <c r="T863" s="592"/>
      <c r="U863" s="592"/>
      <c r="V863" s="592"/>
      <c r="W863" s="592"/>
      <c r="X863" s="592"/>
      <c r="Y863" s="592"/>
      <c r="Z863" s="592"/>
      <c r="AA863" s="592"/>
      <c r="AB863" s="592"/>
      <c r="AC863" s="592"/>
      <c r="AD863" s="592"/>
      <c r="AE863" s="592"/>
      <c r="AF863" s="592"/>
      <c r="AG863" s="592"/>
    </row>
    <row r="864">
      <c r="E864" s="592"/>
      <c r="F864" s="591"/>
      <c r="G864" s="591"/>
      <c r="H864" s="592"/>
      <c r="I864" s="592"/>
      <c r="J864" s="592"/>
      <c r="K864" s="592"/>
      <c r="L864" s="592"/>
      <c r="M864" s="592"/>
      <c r="N864" s="592"/>
      <c r="O864" s="592"/>
      <c r="P864" s="592"/>
      <c r="Q864" s="592"/>
      <c r="R864" s="592"/>
      <c r="S864" s="592"/>
      <c r="T864" s="592"/>
      <c r="U864" s="592"/>
      <c r="V864" s="592"/>
      <c r="W864" s="592"/>
      <c r="X864" s="592"/>
      <c r="Y864" s="592"/>
      <c r="Z864" s="592"/>
      <c r="AA864" s="592"/>
      <c r="AB864" s="592"/>
      <c r="AC864" s="592"/>
      <c r="AD864" s="592"/>
      <c r="AE864" s="592"/>
      <c r="AF864" s="592"/>
      <c r="AG864" s="592"/>
    </row>
    <row r="865">
      <c r="E865" s="592"/>
      <c r="F865" s="591"/>
      <c r="G865" s="591"/>
      <c r="H865" s="592"/>
      <c r="I865" s="592"/>
      <c r="J865" s="592"/>
      <c r="K865" s="592"/>
      <c r="L865" s="592"/>
      <c r="M865" s="592"/>
      <c r="N865" s="592"/>
      <c r="O865" s="592"/>
      <c r="P865" s="592"/>
      <c r="Q865" s="592"/>
      <c r="R865" s="592"/>
      <c r="S865" s="592"/>
      <c r="T865" s="592"/>
      <c r="U865" s="592"/>
      <c r="V865" s="592"/>
      <c r="W865" s="592"/>
      <c r="X865" s="592"/>
      <c r="Y865" s="592"/>
      <c r="Z865" s="592"/>
      <c r="AA865" s="592"/>
      <c r="AB865" s="592"/>
      <c r="AC865" s="592"/>
      <c r="AD865" s="592"/>
      <c r="AE865" s="592"/>
      <c r="AF865" s="592"/>
      <c r="AG865" s="592"/>
    </row>
    <row r="866">
      <c r="E866" s="592"/>
      <c r="F866" s="591"/>
      <c r="G866" s="591"/>
      <c r="H866" s="592"/>
      <c r="I866" s="592"/>
      <c r="J866" s="592"/>
      <c r="K866" s="592"/>
      <c r="L866" s="592"/>
      <c r="M866" s="592"/>
      <c r="N866" s="592"/>
      <c r="O866" s="592"/>
      <c r="P866" s="592"/>
      <c r="Q866" s="592"/>
      <c r="R866" s="592"/>
      <c r="S866" s="592"/>
      <c r="T866" s="592"/>
      <c r="U866" s="592"/>
      <c r="V866" s="592"/>
      <c r="W866" s="592"/>
      <c r="X866" s="592"/>
      <c r="Y866" s="592"/>
      <c r="Z866" s="592"/>
      <c r="AA866" s="592"/>
      <c r="AB866" s="592"/>
      <c r="AC866" s="592"/>
      <c r="AD866" s="592"/>
      <c r="AE866" s="592"/>
      <c r="AF866" s="592"/>
      <c r="AG866" s="592"/>
    </row>
    <row r="867">
      <c r="E867" s="592"/>
      <c r="F867" s="591"/>
      <c r="G867" s="591"/>
      <c r="H867" s="592"/>
      <c r="I867" s="592"/>
      <c r="J867" s="592"/>
      <c r="K867" s="592"/>
      <c r="L867" s="592"/>
      <c r="M867" s="592"/>
      <c r="N867" s="592"/>
      <c r="O867" s="592"/>
      <c r="P867" s="592"/>
      <c r="Q867" s="592"/>
      <c r="R867" s="592"/>
      <c r="S867" s="592"/>
      <c r="T867" s="592"/>
      <c r="U867" s="592"/>
      <c r="V867" s="592"/>
      <c r="W867" s="592"/>
      <c r="X867" s="592"/>
      <c r="Y867" s="592"/>
      <c r="Z867" s="592"/>
      <c r="AA867" s="592"/>
      <c r="AB867" s="592"/>
      <c r="AC867" s="592"/>
      <c r="AD867" s="592"/>
      <c r="AE867" s="592"/>
      <c r="AF867" s="592"/>
      <c r="AG867" s="592"/>
    </row>
    <row r="868">
      <c r="E868" s="592"/>
      <c r="F868" s="591"/>
      <c r="G868" s="591"/>
      <c r="H868" s="592"/>
      <c r="I868" s="592"/>
      <c r="J868" s="592"/>
      <c r="K868" s="592"/>
      <c r="L868" s="592"/>
      <c r="M868" s="592"/>
      <c r="N868" s="592"/>
      <c r="O868" s="592"/>
      <c r="P868" s="592"/>
      <c r="Q868" s="592"/>
      <c r="R868" s="592"/>
      <c r="S868" s="592"/>
      <c r="T868" s="592"/>
      <c r="U868" s="592"/>
      <c r="V868" s="592"/>
      <c r="W868" s="592"/>
      <c r="X868" s="592"/>
      <c r="Y868" s="592"/>
      <c r="Z868" s="592"/>
      <c r="AA868" s="592"/>
      <c r="AB868" s="592"/>
      <c r="AC868" s="592"/>
      <c r="AD868" s="592"/>
      <c r="AE868" s="592"/>
      <c r="AF868" s="592"/>
      <c r="AG868" s="592"/>
    </row>
    <row r="869">
      <c r="E869" s="592"/>
      <c r="F869" s="591"/>
      <c r="G869" s="591"/>
      <c r="H869" s="592"/>
      <c r="I869" s="592"/>
      <c r="J869" s="592"/>
      <c r="K869" s="592"/>
      <c r="L869" s="592"/>
      <c r="M869" s="592"/>
      <c r="N869" s="592"/>
      <c r="O869" s="592"/>
      <c r="P869" s="592"/>
      <c r="Q869" s="592"/>
      <c r="R869" s="592"/>
      <c r="S869" s="592"/>
      <c r="T869" s="592"/>
      <c r="U869" s="592"/>
      <c r="V869" s="592"/>
      <c r="W869" s="592"/>
      <c r="X869" s="592"/>
      <c r="Y869" s="592"/>
      <c r="Z869" s="592"/>
      <c r="AA869" s="592"/>
      <c r="AB869" s="592"/>
      <c r="AC869" s="592"/>
      <c r="AD869" s="592"/>
      <c r="AE869" s="592"/>
      <c r="AF869" s="592"/>
      <c r="AG869" s="592"/>
    </row>
    <row r="870">
      <c r="E870" s="592"/>
      <c r="F870" s="591"/>
      <c r="G870" s="591"/>
      <c r="H870" s="592"/>
      <c r="I870" s="592"/>
      <c r="J870" s="592"/>
      <c r="K870" s="592"/>
      <c r="L870" s="592"/>
      <c r="M870" s="592"/>
      <c r="N870" s="592"/>
      <c r="O870" s="592"/>
      <c r="P870" s="592"/>
      <c r="Q870" s="592"/>
      <c r="R870" s="592"/>
      <c r="S870" s="592"/>
      <c r="T870" s="592"/>
      <c r="U870" s="592"/>
      <c r="V870" s="592"/>
      <c r="W870" s="592"/>
      <c r="X870" s="592"/>
      <c r="Y870" s="592"/>
      <c r="Z870" s="592"/>
      <c r="AA870" s="592"/>
      <c r="AB870" s="592"/>
      <c r="AC870" s="592"/>
      <c r="AD870" s="592"/>
      <c r="AE870" s="592"/>
      <c r="AF870" s="592"/>
      <c r="AG870" s="592"/>
    </row>
    <row r="871">
      <c r="E871" s="592"/>
      <c r="F871" s="591"/>
      <c r="G871" s="591"/>
      <c r="H871" s="592"/>
      <c r="I871" s="592"/>
      <c r="J871" s="592"/>
      <c r="K871" s="592"/>
      <c r="L871" s="592"/>
      <c r="M871" s="592"/>
      <c r="N871" s="592"/>
      <c r="O871" s="592"/>
      <c r="P871" s="592"/>
      <c r="Q871" s="592"/>
      <c r="R871" s="592"/>
      <c r="S871" s="592"/>
      <c r="T871" s="592"/>
      <c r="U871" s="592"/>
      <c r="V871" s="592"/>
      <c r="W871" s="592"/>
      <c r="X871" s="592"/>
      <c r="Y871" s="592"/>
      <c r="Z871" s="592"/>
      <c r="AA871" s="592"/>
      <c r="AB871" s="592"/>
      <c r="AC871" s="592"/>
      <c r="AD871" s="592"/>
      <c r="AE871" s="592"/>
      <c r="AF871" s="592"/>
      <c r="AG871" s="592"/>
    </row>
    <row r="872">
      <c r="E872" s="592"/>
      <c r="F872" s="591"/>
      <c r="G872" s="591"/>
      <c r="H872" s="592"/>
      <c r="I872" s="592"/>
      <c r="J872" s="592"/>
      <c r="K872" s="592"/>
      <c r="L872" s="592"/>
      <c r="M872" s="592"/>
      <c r="N872" s="592"/>
      <c r="O872" s="592"/>
      <c r="P872" s="592"/>
      <c r="Q872" s="592"/>
      <c r="R872" s="592"/>
      <c r="S872" s="592"/>
      <c r="T872" s="592"/>
      <c r="U872" s="592"/>
      <c r="V872" s="592"/>
      <c r="W872" s="592"/>
      <c r="X872" s="592"/>
      <c r="Y872" s="592"/>
      <c r="Z872" s="592"/>
      <c r="AA872" s="592"/>
      <c r="AB872" s="592"/>
      <c r="AC872" s="592"/>
      <c r="AD872" s="592"/>
      <c r="AE872" s="592"/>
      <c r="AF872" s="592"/>
      <c r="AG872" s="592"/>
    </row>
    <row r="873">
      <c r="E873" s="592"/>
      <c r="F873" s="591"/>
      <c r="G873" s="591"/>
      <c r="H873" s="592"/>
      <c r="I873" s="592"/>
      <c r="J873" s="592"/>
      <c r="K873" s="592"/>
      <c r="L873" s="592"/>
      <c r="M873" s="592"/>
      <c r="N873" s="592"/>
      <c r="O873" s="592"/>
      <c r="P873" s="592"/>
      <c r="Q873" s="592"/>
      <c r="R873" s="592"/>
      <c r="S873" s="592"/>
      <c r="T873" s="592"/>
      <c r="U873" s="592"/>
      <c r="V873" s="592"/>
      <c r="W873" s="592"/>
      <c r="X873" s="592"/>
      <c r="Y873" s="592"/>
      <c r="Z873" s="592"/>
      <c r="AA873" s="592"/>
      <c r="AB873" s="592"/>
      <c r="AC873" s="592"/>
      <c r="AD873" s="592"/>
      <c r="AE873" s="592"/>
      <c r="AF873" s="592"/>
      <c r="AG873" s="592"/>
    </row>
    <row r="874">
      <c r="E874" s="592"/>
      <c r="F874" s="591"/>
      <c r="G874" s="591"/>
      <c r="H874" s="592"/>
      <c r="I874" s="592"/>
      <c r="J874" s="592"/>
      <c r="K874" s="592"/>
      <c r="L874" s="592"/>
      <c r="M874" s="592"/>
      <c r="N874" s="592"/>
      <c r="O874" s="592"/>
      <c r="P874" s="592"/>
      <c r="Q874" s="592"/>
      <c r="R874" s="592"/>
      <c r="S874" s="592"/>
      <c r="T874" s="592"/>
      <c r="U874" s="592"/>
      <c r="V874" s="592"/>
      <c r="W874" s="592"/>
      <c r="X874" s="592"/>
      <c r="Y874" s="592"/>
      <c r="Z874" s="592"/>
      <c r="AA874" s="592"/>
      <c r="AB874" s="592"/>
      <c r="AC874" s="592"/>
      <c r="AD874" s="592"/>
      <c r="AE874" s="592"/>
      <c r="AF874" s="592"/>
      <c r="AG874" s="592"/>
    </row>
    <row r="875">
      <c r="E875" s="592"/>
      <c r="F875" s="591"/>
      <c r="G875" s="591"/>
      <c r="H875" s="592"/>
      <c r="I875" s="592"/>
      <c r="J875" s="592"/>
      <c r="K875" s="592"/>
      <c r="L875" s="592"/>
      <c r="M875" s="592"/>
      <c r="N875" s="592"/>
      <c r="O875" s="592"/>
      <c r="P875" s="592"/>
      <c r="Q875" s="592"/>
      <c r="R875" s="592"/>
      <c r="S875" s="592"/>
      <c r="T875" s="592"/>
      <c r="U875" s="592"/>
      <c r="V875" s="592"/>
      <c r="W875" s="592"/>
      <c r="X875" s="592"/>
      <c r="Y875" s="592"/>
      <c r="Z875" s="592"/>
      <c r="AA875" s="592"/>
      <c r="AB875" s="592"/>
      <c r="AC875" s="592"/>
      <c r="AD875" s="592"/>
      <c r="AE875" s="592"/>
      <c r="AF875" s="592"/>
      <c r="AG875" s="592"/>
    </row>
    <row r="876">
      <c r="E876" s="592"/>
      <c r="F876" s="591"/>
      <c r="G876" s="591"/>
      <c r="H876" s="592"/>
      <c r="I876" s="592"/>
      <c r="J876" s="592"/>
      <c r="K876" s="592"/>
      <c r="L876" s="592"/>
      <c r="M876" s="592"/>
      <c r="N876" s="592"/>
      <c r="O876" s="592"/>
      <c r="P876" s="592"/>
      <c r="Q876" s="592"/>
      <c r="R876" s="592"/>
      <c r="S876" s="592"/>
      <c r="T876" s="592"/>
      <c r="U876" s="592"/>
      <c r="V876" s="592"/>
      <c r="W876" s="592"/>
      <c r="X876" s="592"/>
      <c r="Y876" s="592"/>
      <c r="Z876" s="592"/>
      <c r="AA876" s="592"/>
      <c r="AB876" s="592"/>
      <c r="AC876" s="592"/>
      <c r="AD876" s="592"/>
      <c r="AE876" s="592"/>
      <c r="AF876" s="592"/>
      <c r="AG876" s="592"/>
    </row>
    <row r="877">
      <c r="E877" s="592"/>
      <c r="F877" s="591"/>
      <c r="G877" s="591"/>
      <c r="H877" s="592"/>
      <c r="I877" s="592"/>
      <c r="J877" s="592"/>
      <c r="K877" s="592"/>
      <c r="L877" s="592"/>
      <c r="M877" s="592"/>
      <c r="N877" s="592"/>
      <c r="O877" s="592"/>
      <c r="P877" s="592"/>
      <c r="Q877" s="592"/>
      <c r="R877" s="592"/>
      <c r="S877" s="592"/>
      <c r="T877" s="592"/>
      <c r="U877" s="592"/>
      <c r="V877" s="592"/>
      <c r="W877" s="592"/>
      <c r="X877" s="592"/>
      <c r="Y877" s="592"/>
      <c r="Z877" s="592"/>
      <c r="AA877" s="592"/>
      <c r="AB877" s="592"/>
      <c r="AC877" s="592"/>
      <c r="AD877" s="592"/>
      <c r="AE877" s="592"/>
      <c r="AF877" s="592"/>
      <c r="AG877" s="592"/>
    </row>
    <row r="878">
      <c r="E878" s="592"/>
      <c r="F878" s="591"/>
      <c r="G878" s="591"/>
      <c r="H878" s="592"/>
      <c r="I878" s="592"/>
      <c r="J878" s="592"/>
      <c r="K878" s="592"/>
      <c r="L878" s="592"/>
      <c r="M878" s="592"/>
      <c r="N878" s="592"/>
      <c r="O878" s="592"/>
      <c r="P878" s="592"/>
      <c r="Q878" s="592"/>
      <c r="R878" s="592"/>
      <c r="S878" s="592"/>
      <c r="T878" s="592"/>
      <c r="U878" s="592"/>
      <c r="V878" s="592"/>
      <c r="W878" s="592"/>
      <c r="X878" s="592"/>
      <c r="Y878" s="592"/>
      <c r="Z878" s="592"/>
      <c r="AA878" s="592"/>
      <c r="AB878" s="592"/>
      <c r="AC878" s="592"/>
      <c r="AD878" s="592"/>
      <c r="AE878" s="592"/>
      <c r="AF878" s="592"/>
      <c r="AG878" s="592"/>
    </row>
    <row r="879">
      <c r="E879" s="592"/>
      <c r="F879" s="591"/>
      <c r="G879" s="591"/>
      <c r="H879" s="592"/>
      <c r="I879" s="592"/>
      <c r="J879" s="592"/>
      <c r="K879" s="592"/>
      <c r="L879" s="592"/>
      <c r="M879" s="592"/>
      <c r="N879" s="592"/>
      <c r="O879" s="592"/>
      <c r="P879" s="592"/>
      <c r="Q879" s="592"/>
      <c r="R879" s="592"/>
      <c r="S879" s="592"/>
      <c r="T879" s="592"/>
      <c r="U879" s="592"/>
      <c r="V879" s="592"/>
      <c r="W879" s="592"/>
      <c r="X879" s="592"/>
      <c r="Y879" s="592"/>
      <c r="Z879" s="592"/>
      <c r="AA879" s="592"/>
      <c r="AB879" s="592"/>
      <c r="AC879" s="592"/>
      <c r="AD879" s="592"/>
      <c r="AE879" s="592"/>
      <c r="AF879" s="592"/>
      <c r="AG879" s="592"/>
    </row>
    <row r="880">
      <c r="E880" s="592"/>
      <c r="F880" s="591"/>
      <c r="G880" s="591"/>
      <c r="H880" s="592"/>
      <c r="I880" s="592"/>
      <c r="J880" s="592"/>
      <c r="K880" s="592"/>
      <c r="L880" s="592"/>
      <c r="M880" s="592"/>
      <c r="N880" s="592"/>
      <c r="O880" s="592"/>
      <c r="P880" s="592"/>
      <c r="Q880" s="592"/>
      <c r="R880" s="592"/>
      <c r="S880" s="592"/>
      <c r="T880" s="592"/>
      <c r="U880" s="592"/>
      <c r="V880" s="592"/>
      <c r="W880" s="592"/>
      <c r="X880" s="592"/>
      <c r="Y880" s="592"/>
      <c r="Z880" s="592"/>
      <c r="AA880" s="592"/>
      <c r="AB880" s="592"/>
      <c r="AC880" s="592"/>
      <c r="AD880" s="592"/>
      <c r="AE880" s="592"/>
      <c r="AF880" s="592"/>
      <c r="AG880" s="592"/>
    </row>
    <row r="881">
      <c r="E881" s="592"/>
      <c r="F881" s="591"/>
      <c r="G881" s="591"/>
      <c r="H881" s="592"/>
      <c r="I881" s="592"/>
      <c r="J881" s="592"/>
      <c r="K881" s="592"/>
      <c r="L881" s="592"/>
      <c r="M881" s="592"/>
      <c r="N881" s="592"/>
      <c r="O881" s="592"/>
      <c r="P881" s="592"/>
      <c r="Q881" s="592"/>
      <c r="R881" s="592"/>
      <c r="S881" s="592"/>
      <c r="T881" s="592"/>
      <c r="U881" s="592"/>
      <c r="V881" s="592"/>
      <c r="W881" s="592"/>
      <c r="X881" s="592"/>
      <c r="Y881" s="592"/>
      <c r="Z881" s="592"/>
      <c r="AA881" s="592"/>
      <c r="AB881" s="592"/>
      <c r="AC881" s="592"/>
      <c r="AD881" s="592"/>
      <c r="AE881" s="592"/>
      <c r="AF881" s="592"/>
      <c r="AG881" s="592"/>
    </row>
    <row r="882">
      <c r="E882" s="592"/>
      <c r="F882" s="591"/>
      <c r="G882" s="591"/>
      <c r="H882" s="592"/>
      <c r="I882" s="592"/>
      <c r="J882" s="592"/>
      <c r="K882" s="592"/>
      <c r="L882" s="592"/>
      <c r="M882" s="592"/>
      <c r="N882" s="592"/>
      <c r="O882" s="592"/>
      <c r="P882" s="592"/>
      <c r="Q882" s="592"/>
      <c r="R882" s="592"/>
      <c r="S882" s="592"/>
      <c r="T882" s="592"/>
      <c r="U882" s="592"/>
      <c r="V882" s="592"/>
      <c r="W882" s="592"/>
      <c r="X882" s="592"/>
      <c r="Y882" s="592"/>
      <c r="Z882" s="592"/>
      <c r="AA882" s="592"/>
      <c r="AB882" s="592"/>
      <c r="AC882" s="592"/>
      <c r="AD882" s="592"/>
      <c r="AE882" s="592"/>
      <c r="AF882" s="592"/>
      <c r="AG882" s="592"/>
    </row>
    <row r="883">
      <c r="E883" s="592"/>
      <c r="F883" s="591"/>
      <c r="G883" s="591"/>
      <c r="H883" s="592"/>
      <c r="I883" s="592"/>
      <c r="J883" s="592"/>
      <c r="K883" s="592"/>
      <c r="L883" s="592"/>
      <c r="M883" s="592"/>
      <c r="N883" s="592"/>
      <c r="O883" s="592"/>
      <c r="P883" s="592"/>
      <c r="Q883" s="592"/>
      <c r="R883" s="592"/>
      <c r="S883" s="592"/>
      <c r="T883" s="592"/>
      <c r="U883" s="592"/>
      <c r="V883" s="592"/>
      <c r="W883" s="592"/>
      <c r="X883" s="592"/>
      <c r="Y883" s="592"/>
      <c r="Z883" s="592"/>
      <c r="AA883" s="592"/>
      <c r="AB883" s="592"/>
      <c r="AC883" s="592"/>
      <c r="AD883" s="592"/>
      <c r="AE883" s="592"/>
      <c r="AF883" s="592"/>
      <c r="AG883" s="592"/>
    </row>
    <row r="884">
      <c r="E884" s="592"/>
      <c r="F884" s="591"/>
      <c r="G884" s="591"/>
      <c r="H884" s="592"/>
      <c r="I884" s="592"/>
      <c r="J884" s="592"/>
      <c r="K884" s="592"/>
      <c r="L884" s="592"/>
      <c r="M884" s="592"/>
      <c r="N884" s="592"/>
      <c r="O884" s="592"/>
      <c r="P884" s="592"/>
      <c r="Q884" s="592"/>
      <c r="R884" s="592"/>
      <c r="S884" s="592"/>
      <c r="T884" s="592"/>
      <c r="U884" s="592"/>
      <c r="V884" s="592"/>
      <c r="W884" s="592"/>
      <c r="X884" s="592"/>
      <c r="Y884" s="592"/>
      <c r="Z884" s="592"/>
      <c r="AA884" s="592"/>
      <c r="AB884" s="592"/>
      <c r="AC884" s="592"/>
      <c r="AD884" s="592"/>
      <c r="AE884" s="592"/>
      <c r="AF884" s="592"/>
      <c r="AG884" s="592"/>
    </row>
    <row r="885">
      <c r="E885" s="592"/>
      <c r="F885" s="591"/>
      <c r="G885" s="591"/>
      <c r="H885" s="592"/>
      <c r="I885" s="592"/>
      <c r="J885" s="592"/>
      <c r="K885" s="592"/>
      <c r="L885" s="592"/>
      <c r="M885" s="592"/>
      <c r="N885" s="592"/>
      <c r="O885" s="592"/>
      <c r="P885" s="592"/>
      <c r="Q885" s="592"/>
      <c r="R885" s="592"/>
      <c r="S885" s="592"/>
      <c r="T885" s="592"/>
      <c r="U885" s="592"/>
      <c r="V885" s="592"/>
      <c r="W885" s="592"/>
      <c r="X885" s="592"/>
      <c r="Y885" s="592"/>
      <c r="Z885" s="592"/>
      <c r="AA885" s="592"/>
      <c r="AB885" s="592"/>
      <c r="AC885" s="592"/>
      <c r="AD885" s="592"/>
      <c r="AE885" s="592"/>
      <c r="AF885" s="592"/>
      <c r="AG885" s="592"/>
    </row>
    <row r="886">
      <c r="E886" s="592"/>
      <c r="F886" s="591"/>
      <c r="G886" s="591"/>
      <c r="H886" s="592"/>
      <c r="I886" s="592"/>
      <c r="J886" s="592"/>
      <c r="K886" s="592"/>
      <c r="L886" s="592"/>
      <c r="M886" s="592"/>
      <c r="N886" s="592"/>
      <c r="O886" s="592"/>
      <c r="P886" s="592"/>
      <c r="Q886" s="592"/>
      <c r="R886" s="592"/>
      <c r="S886" s="592"/>
      <c r="T886" s="592"/>
      <c r="U886" s="592"/>
      <c r="V886" s="592"/>
      <c r="W886" s="592"/>
      <c r="X886" s="592"/>
      <c r="Y886" s="592"/>
      <c r="Z886" s="592"/>
      <c r="AA886" s="592"/>
      <c r="AB886" s="592"/>
      <c r="AC886" s="592"/>
      <c r="AD886" s="592"/>
      <c r="AE886" s="592"/>
      <c r="AF886" s="592"/>
      <c r="AG886" s="592"/>
    </row>
    <row r="887">
      <c r="E887" s="592"/>
      <c r="F887" s="591"/>
      <c r="G887" s="591"/>
      <c r="H887" s="592"/>
      <c r="I887" s="592"/>
      <c r="J887" s="592"/>
      <c r="K887" s="592"/>
      <c r="L887" s="592"/>
      <c r="M887" s="592"/>
      <c r="N887" s="592"/>
      <c r="O887" s="592"/>
      <c r="P887" s="592"/>
      <c r="Q887" s="592"/>
      <c r="R887" s="592"/>
      <c r="S887" s="592"/>
      <c r="T887" s="592"/>
      <c r="U887" s="592"/>
      <c r="V887" s="592"/>
      <c r="W887" s="592"/>
      <c r="X887" s="592"/>
      <c r="Y887" s="592"/>
      <c r="Z887" s="592"/>
      <c r="AA887" s="592"/>
      <c r="AB887" s="592"/>
      <c r="AC887" s="592"/>
      <c r="AD887" s="592"/>
      <c r="AE887" s="592"/>
      <c r="AF887" s="592"/>
      <c r="AG887" s="592"/>
    </row>
    <row r="888">
      <c r="E888" s="592"/>
      <c r="F888" s="591"/>
      <c r="G888" s="591"/>
      <c r="H888" s="592"/>
      <c r="I888" s="592"/>
      <c r="J888" s="592"/>
      <c r="K888" s="592"/>
      <c r="L888" s="592"/>
      <c r="M888" s="592"/>
      <c r="N888" s="592"/>
      <c r="O888" s="592"/>
      <c r="P888" s="592"/>
      <c r="Q888" s="592"/>
      <c r="R888" s="592"/>
      <c r="S888" s="592"/>
      <c r="T888" s="592"/>
      <c r="U888" s="592"/>
      <c r="V888" s="592"/>
      <c r="W888" s="592"/>
      <c r="X888" s="592"/>
      <c r="Y888" s="592"/>
      <c r="Z888" s="592"/>
      <c r="AA888" s="592"/>
      <c r="AB888" s="592"/>
      <c r="AC888" s="592"/>
      <c r="AD888" s="592"/>
      <c r="AE888" s="592"/>
      <c r="AF888" s="592"/>
      <c r="AG888" s="592"/>
    </row>
    <row r="889">
      <c r="E889" s="592"/>
      <c r="F889" s="591"/>
      <c r="G889" s="591"/>
      <c r="H889" s="592"/>
      <c r="I889" s="592"/>
      <c r="J889" s="592"/>
      <c r="K889" s="592"/>
      <c r="L889" s="592"/>
      <c r="M889" s="592"/>
      <c r="N889" s="592"/>
      <c r="O889" s="592"/>
      <c r="P889" s="592"/>
      <c r="Q889" s="592"/>
      <c r="R889" s="592"/>
      <c r="S889" s="592"/>
      <c r="T889" s="592"/>
      <c r="U889" s="592"/>
      <c r="V889" s="592"/>
      <c r="W889" s="592"/>
      <c r="X889" s="592"/>
      <c r="Y889" s="592"/>
      <c r="Z889" s="592"/>
      <c r="AA889" s="592"/>
      <c r="AB889" s="592"/>
      <c r="AC889" s="592"/>
      <c r="AD889" s="592"/>
      <c r="AE889" s="592"/>
      <c r="AF889" s="592"/>
      <c r="AG889" s="592"/>
    </row>
    <row r="890">
      <c r="E890" s="592"/>
      <c r="F890" s="591"/>
      <c r="G890" s="591"/>
      <c r="H890" s="592"/>
      <c r="I890" s="592"/>
      <c r="J890" s="592"/>
      <c r="K890" s="592"/>
      <c r="L890" s="592"/>
      <c r="M890" s="592"/>
      <c r="N890" s="592"/>
      <c r="O890" s="592"/>
      <c r="P890" s="592"/>
      <c r="Q890" s="592"/>
      <c r="R890" s="592"/>
      <c r="S890" s="592"/>
      <c r="T890" s="592"/>
      <c r="U890" s="592"/>
      <c r="V890" s="592"/>
      <c r="W890" s="592"/>
      <c r="X890" s="592"/>
      <c r="Y890" s="592"/>
      <c r="Z890" s="592"/>
      <c r="AA890" s="592"/>
      <c r="AB890" s="592"/>
      <c r="AC890" s="592"/>
      <c r="AD890" s="592"/>
      <c r="AE890" s="592"/>
      <c r="AF890" s="592"/>
      <c r="AG890" s="592"/>
    </row>
    <row r="891">
      <c r="E891" s="592"/>
      <c r="F891" s="591"/>
      <c r="G891" s="591"/>
      <c r="H891" s="592"/>
      <c r="I891" s="592"/>
      <c r="J891" s="592"/>
      <c r="K891" s="592"/>
      <c r="L891" s="592"/>
      <c r="M891" s="592"/>
      <c r="N891" s="592"/>
      <c r="O891" s="592"/>
      <c r="P891" s="592"/>
      <c r="Q891" s="592"/>
      <c r="R891" s="592"/>
      <c r="S891" s="592"/>
      <c r="T891" s="592"/>
      <c r="U891" s="592"/>
      <c r="V891" s="592"/>
      <c r="W891" s="592"/>
      <c r="X891" s="592"/>
      <c r="Y891" s="592"/>
      <c r="Z891" s="592"/>
      <c r="AA891" s="592"/>
      <c r="AB891" s="592"/>
      <c r="AC891" s="592"/>
      <c r="AD891" s="592"/>
      <c r="AE891" s="592"/>
      <c r="AF891" s="592"/>
      <c r="AG891" s="592"/>
    </row>
    <row r="892">
      <c r="E892" s="592"/>
      <c r="F892" s="591"/>
      <c r="G892" s="591"/>
      <c r="H892" s="592"/>
      <c r="I892" s="592"/>
      <c r="J892" s="592"/>
      <c r="K892" s="592"/>
      <c r="L892" s="592"/>
      <c r="M892" s="592"/>
      <c r="N892" s="592"/>
      <c r="O892" s="592"/>
      <c r="P892" s="592"/>
      <c r="Q892" s="592"/>
      <c r="R892" s="592"/>
      <c r="S892" s="592"/>
      <c r="T892" s="592"/>
      <c r="U892" s="592"/>
      <c r="V892" s="592"/>
      <c r="W892" s="592"/>
      <c r="X892" s="592"/>
      <c r="Y892" s="592"/>
      <c r="Z892" s="592"/>
      <c r="AA892" s="592"/>
      <c r="AB892" s="592"/>
      <c r="AC892" s="592"/>
      <c r="AD892" s="592"/>
      <c r="AE892" s="592"/>
      <c r="AF892" s="592"/>
      <c r="AG892" s="592"/>
    </row>
    <row r="893">
      <c r="E893" s="592"/>
      <c r="F893" s="591"/>
      <c r="G893" s="591"/>
      <c r="H893" s="592"/>
      <c r="I893" s="592"/>
      <c r="J893" s="592"/>
      <c r="K893" s="592"/>
      <c r="L893" s="592"/>
      <c r="M893" s="592"/>
      <c r="N893" s="592"/>
      <c r="O893" s="592"/>
      <c r="P893" s="592"/>
      <c r="Q893" s="592"/>
      <c r="R893" s="592"/>
      <c r="S893" s="592"/>
      <c r="T893" s="592"/>
      <c r="U893" s="592"/>
      <c r="V893" s="592"/>
      <c r="W893" s="592"/>
      <c r="X893" s="592"/>
      <c r="Y893" s="592"/>
      <c r="Z893" s="592"/>
      <c r="AA893" s="592"/>
      <c r="AB893" s="592"/>
      <c r="AC893" s="592"/>
      <c r="AD893" s="592"/>
      <c r="AE893" s="592"/>
      <c r="AF893" s="592"/>
      <c r="AG893" s="592"/>
    </row>
    <row r="894">
      <c r="E894" s="592"/>
      <c r="F894" s="591"/>
      <c r="G894" s="591"/>
      <c r="H894" s="592"/>
      <c r="I894" s="592"/>
      <c r="J894" s="592"/>
      <c r="K894" s="592"/>
      <c r="L894" s="592"/>
      <c r="M894" s="592"/>
      <c r="N894" s="592"/>
      <c r="O894" s="592"/>
      <c r="P894" s="592"/>
      <c r="Q894" s="592"/>
      <c r="R894" s="592"/>
      <c r="S894" s="592"/>
      <c r="T894" s="592"/>
      <c r="U894" s="592"/>
      <c r="V894" s="592"/>
      <c r="W894" s="592"/>
      <c r="X894" s="592"/>
      <c r="Y894" s="592"/>
      <c r="Z894" s="592"/>
      <c r="AA894" s="592"/>
      <c r="AB894" s="592"/>
      <c r="AC894" s="592"/>
      <c r="AD894" s="592"/>
      <c r="AE894" s="592"/>
      <c r="AF894" s="592"/>
      <c r="AG894" s="592"/>
    </row>
    <row r="895">
      <c r="E895" s="592"/>
      <c r="F895" s="591"/>
      <c r="G895" s="591"/>
      <c r="H895" s="592"/>
      <c r="I895" s="592"/>
      <c r="J895" s="592"/>
      <c r="K895" s="592"/>
      <c r="L895" s="592"/>
      <c r="M895" s="592"/>
      <c r="N895" s="592"/>
      <c r="O895" s="592"/>
      <c r="P895" s="592"/>
      <c r="Q895" s="592"/>
      <c r="R895" s="592"/>
      <c r="S895" s="592"/>
      <c r="T895" s="592"/>
      <c r="U895" s="592"/>
      <c r="V895" s="592"/>
      <c r="W895" s="592"/>
      <c r="X895" s="592"/>
      <c r="Y895" s="592"/>
      <c r="Z895" s="592"/>
      <c r="AA895" s="592"/>
      <c r="AB895" s="592"/>
      <c r="AC895" s="592"/>
      <c r="AD895" s="592"/>
      <c r="AE895" s="592"/>
      <c r="AF895" s="592"/>
      <c r="AG895" s="592"/>
    </row>
    <row r="896">
      <c r="E896" s="592"/>
      <c r="F896" s="591"/>
      <c r="G896" s="591"/>
      <c r="H896" s="592"/>
      <c r="I896" s="592"/>
      <c r="J896" s="592"/>
      <c r="K896" s="592"/>
      <c r="L896" s="592"/>
      <c r="M896" s="592"/>
      <c r="N896" s="592"/>
      <c r="O896" s="592"/>
      <c r="P896" s="592"/>
      <c r="Q896" s="592"/>
      <c r="R896" s="592"/>
      <c r="S896" s="592"/>
      <c r="T896" s="592"/>
      <c r="U896" s="592"/>
      <c r="V896" s="592"/>
      <c r="W896" s="592"/>
      <c r="X896" s="592"/>
      <c r="Y896" s="592"/>
      <c r="Z896" s="592"/>
      <c r="AA896" s="592"/>
      <c r="AB896" s="592"/>
      <c r="AC896" s="592"/>
      <c r="AD896" s="592"/>
      <c r="AE896" s="592"/>
      <c r="AF896" s="592"/>
      <c r="AG896" s="592"/>
    </row>
    <row r="897">
      <c r="E897" s="592"/>
      <c r="F897" s="591"/>
      <c r="G897" s="591"/>
      <c r="H897" s="592"/>
      <c r="I897" s="592"/>
      <c r="J897" s="592"/>
      <c r="K897" s="592"/>
      <c r="L897" s="592"/>
      <c r="M897" s="592"/>
      <c r="N897" s="592"/>
      <c r="O897" s="592"/>
      <c r="P897" s="592"/>
      <c r="Q897" s="592"/>
      <c r="R897" s="592"/>
      <c r="S897" s="592"/>
      <c r="T897" s="592"/>
      <c r="U897" s="592"/>
      <c r="V897" s="592"/>
      <c r="W897" s="592"/>
      <c r="X897" s="592"/>
      <c r="Y897" s="592"/>
      <c r="Z897" s="592"/>
      <c r="AA897" s="592"/>
      <c r="AB897" s="592"/>
      <c r="AC897" s="592"/>
      <c r="AD897" s="592"/>
      <c r="AE897" s="592"/>
      <c r="AF897" s="592"/>
      <c r="AG897" s="592"/>
    </row>
    <row r="898">
      <c r="E898" s="592"/>
      <c r="F898" s="591"/>
      <c r="G898" s="591"/>
      <c r="H898" s="592"/>
      <c r="I898" s="592"/>
      <c r="J898" s="592"/>
      <c r="K898" s="592"/>
      <c r="L898" s="592"/>
      <c r="M898" s="592"/>
      <c r="N898" s="592"/>
      <c r="O898" s="592"/>
      <c r="P898" s="592"/>
      <c r="Q898" s="592"/>
      <c r="R898" s="592"/>
      <c r="S898" s="592"/>
      <c r="T898" s="592"/>
      <c r="U898" s="592"/>
      <c r="V898" s="592"/>
      <c r="W898" s="592"/>
      <c r="X898" s="592"/>
      <c r="Y898" s="592"/>
      <c r="Z898" s="592"/>
      <c r="AA898" s="592"/>
      <c r="AB898" s="592"/>
      <c r="AC898" s="592"/>
      <c r="AD898" s="592"/>
      <c r="AE898" s="592"/>
      <c r="AF898" s="592"/>
      <c r="AG898" s="592"/>
    </row>
    <row r="899">
      <c r="E899" s="592"/>
      <c r="F899" s="591"/>
      <c r="G899" s="591"/>
      <c r="H899" s="592"/>
      <c r="I899" s="592"/>
      <c r="J899" s="592"/>
      <c r="K899" s="592"/>
      <c r="L899" s="592"/>
      <c r="M899" s="592"/>
      <c r="N899" s="592"/>
      <c r="O899" s="592"/>
      <c r="P899" s="592"/>
      <c r="Q899" s="592"/>
      <c r="R899" s="592"/>
      <c r="S899" s="592"/>
      <c r="T899" s="592"/>
      <c r="U899" s="592"/>
      <c r="V899" s="592"/>
      <c r="W899" s="592"/>
      <c r="X899" s="592"/>
      <c r="Y899" s="592"/>
      <c r="Z899" s="592"/>
      <c r="AA899" s="592"/>
      <c r="AB899" s="592"/>
      <c r="AC899" s="592"/>
      <c r="AD899" s="592"/>
      <c r="AE899" s="592"/>
      <c r="AF899" s="592"/>
      <c r="AG899" s="592"/>
    </row>
    <row r="900">
      <c r="E900" s="592"/>
      <c r="F900" s="591"/>
      <c r="G900" s="591"/>
      <c r="H900" s="592"/>
      <c r="I900" s="592"/>
      <c r="J900" s="592"/>
      <c r="K900" s="592"/>
      <c r="L900" s="592"/>
      <c r="M900" s="592"/>
      <c r="N900" s="592"/>
      <c r="O900" s="592"/>
      <c r="P900" s="592"/>
      <c r="Q900" s="592"/>
      <c r="R900" s="592"/>
      <c r="S900" s="592"/>
      <c r="T900" s="592"/>
      <c r="U900" s="592"/>
      <c r="V900" s="592"/>
      <c r="W900" s="592"/>
      <c r="X900" s="592"/>
      <c r="Y900" s="592"/>
      <c r="Z900" s="592"/>
      <c r="AA900" s="592"/>
      <c r="AB900" s="592"/>
      <c r="AC900" s="592"/>
      <c r="AD900" s="592"/>
      <c r="AE900" s="592"/>
      <c r="AF900" s="592"/>
      <c r="AG900" s="592"/>
    </row>
    <row r="901">
      <c r="E901" s="592"/>
      <c r="F901" s="591"/>
      <c r="G901" s="591"/>
      <c r="H901" s="592"/>
      <c r="I901" s="592"/>
      <c r="J901" s="592"/>
      <c r="K901" s="592"/>
      <c r="L901" s="592"/>
      <c r="M901" s="592"/>
      <c r="N901" s="592"/>
      <c r="O901" s="592"/>
      <c r="P901" s="592"/>
      <c r="Q901" s="592"/>
      <c r="R901" s="592"/>
      <c r="S901" s="592"/>
      <c r="T901" s="592"/>
      <c r="U901" s="592"/>
      <c r="V901" s="592"/>
      <c r="W901" s="592"/>
      <c r="X901" s="592"/>
      <c r="Y901" s="592"/>
      <c r="Z901" s="592"/>
      <c r="AA901" s="592"/>
      <c r="AB901" s="592"/>
      <c r="AC901" s="592"/>
      <c r="AD901" s="592"/>
      <c r="AE901" s="592"/>
      <c r="AF901" s="592"/>
      <c r="AG901" s="592"/>
    </row>
    <row r="902">
      <c r="E902" s="592"/>
      <c r="F902" s="591"/>
      <c r="G902" s="591"/>
      <c r="H902" s="592"/>
      <c r="I902" s="592"/>
      <c r="J902" s="592"/>
      <c r="K902" s="592"/>
      <c r="L902" s="592"/>
      <c r="M902" s="592"/>
      <c r="N902" s="592"/>
      <c r="O902" s="592"/>
      <c r="P902" s="592"/>
      <c r="Q902" s="592"/>
      <c r="R902" s="592"/>
      <c r="S902" s="592"/>
      <c r="T902" s="592"/>
      <c r="U902" s="592"/>
      <c r="V902" s="592"/>
      <c r="W902" s="592"/>
      <c r="X902" s="592"/>
      <c r="Y902" s="592"/>
      <c r="Z902" s="592"/>
      <c r="AA902" s="592"/>
      <c r="AB902" s="592"/>
      <c r="AC902" s="592"/>
      <c r="AD902" s="592"/>
      <c r="AE902" s="592"/>
      <c r="AF902" s="592"/>
      <c r="AG902" s="592"/>
    </row>
    <row r="903">
      <c r="E903" s="592"/>
      <c r="F903" s="591"/>
      <c r="G903" s="591"/>
      <c r="H903" s="592"/>
      <c r="I903" s="592"/>
      <c r="J903" s="592"/>
      <c r="K903" s="592"/>
      <c r="L903" s="592"/>
      <c r="M903" s="592"/>
      <c r="N903" s="592"/>
      <c r="O903" s="592"/>
      <c r="P903" s="592"/>
      <c r="Q903" s="592"/>
      <c r="R903" s="592"/>
      <c r="S903" s="592"/>
      <c r="T903" s="592"/>
      <c r="U903" s="592"/>
      <c r="V903" s="592"/>
      <c r="W903" s="592"/>
      <c r="X903" s="592"/>
      <c r="Y903" s="592"/>
      <c r="Z903" s="592"/>
      <c r="AA903" s="592"/>
      <c r="AB903" s="592"/>
      <c r="AC903" s="592"/>
      <c r="AD903" s="592"/>
      <c r="AE903" s="592"/>
      <c r="AF903" s="592"/>
      <c r="AG903" s="592"/>
    </row>
    <row r="904">
      <c r="E904" s="592"/>
      <c r="F904" s="591"/>
      <c r="G904" s="591"/>
      <c r="H904" s="592"/>
      <c r="I904" s="592"/>
      <c r="J904" s="592"/>
      <c r="K904" s="592"/>
      <c r="L904" s="592"/>
      <c r="M904" s="592"/>
      <c r="N904" s="592"/>
      <c r="O904" s="592"/>
      <c r="P904" s="592"/>
      <c r="Q904" s="592"/>
      <c r="R904" s="592"/>
      <c r="S904" s="592"/>
      <c r="T904" s="592"/>
      <c r="U904" s="592"/>
      <c r="V904" s="592"/>
      <c r="W904" s="592"/>
      <c r="X904" s="592"/>
      <c r="Y904" s="592"/>
      <c r="Z904" s="592"/>
      <c r="AA904" s="592"/>
      <c r="AB904" s="592"/>
      <c r="AC904" s="592"/>
      <c r="AD904" s="592"/>
      <c r="AE904" s="592"/>
      <c r="AF904" s="592"/>
      <c r="AG904" s="592"/>
    </row>
    <row r="905">
      <c r="E905" s="592"/>
      <c r="F905" s="591"/>
      <c r="G905" s="591"/>
      <c r="H905" s="592"/>
      <c r="I905" s="592"/>
      <c r="J905" s="592"/>
      <c r="K905" s="592"/>
      <c r="L905" s="592"/>
      <c r="M905" s="592"/>
      <c r="N905" s="592"/>
      <c r="O905" s="592"/>
      <c r="P905" s="592"/>
      <c r="Q905" s="592"/>
      <c r="R905" s="592"/>
      <c r="S905" s="592"/>
      <c r="T905" s="592"/>
      <c r="U905" s="592"/>
      <c r="V905" s="592"/>
      <c r="W905" s="592"/>
      <c r="X905" s="592"/>
      <c r="Y905" s="592"/>
      <c r="Z905" s="592"/>
      <c r="AA905" s="592"/>
      <c r="AB905" s="592"/>
      <c r="AC905" s="592"/>
      <c r="AD905" s="592"/>
      <c r="AE905" s="592"/>
      <c r="AF905" s="592"/>
      <c r="AG905" s="592"/>
    </row>
    <row r="906">
      <c r="E906" s="592"/>
      <c r="F906" s="591"/>
      <c r="G906" s="591"/>
      <c r="H906" s="592"/>
      <c r="I906" s="592"/>
      <c r="J906" s="592"/>
      <c r="K906" s="592"/>
      <c r="L906" s="592"/>
      <c r="M906" s="592"/>
      <c r="N906" s="592"/>
      <c r="O906" s="592"/>
      <c r="P906" s="592"/>
      <c r="Q906" s="592"/>
      <c r="R906" s="592"/>
      <c r="S906" s="592"/>
      <c r="T906" s="592"/>
      <c r="U906" s="592"/>
      <c r="V906" s="592"/>
      <c r="W906" s="592"/>
      <c r="X906" s="592"/>
      <c r="Y906" s="592"/>
      <c r="Z906" s="592"/>
      <c r="AA906" s="592"/>
      <c r="AB906" s="592"/>
      <c r="AC906" s="592"/>
      <c r="AD906" s="592"/>
      <c r="AE906" s="592"/>
      <c r="AF906" s="592"/>
      <c r="AG906" s="592"/>
    </row>
    <row r="907">
      <c r="E907" s="592"/>
      <c r="F907" s="591"/>
      <c r="G907" s="591"/>
      <c r="H907" s="592"/>
      <c r="I907" s="592"/>
      <c r="J907" s="592"/>
      <c r="K907" s="592"/>
      <c r="L907" s="592"/>
      <c r="M907" s="592"/>
      <c r="N907" s="592"/>
      <c r="O907" s="592"/>
      <c r="P907" s="592"/>
      <c r="Q907" s="592"/>
      <c r="R907" s="592"/>
      <c r="S907" s="592"/>
      <c r="T907" s="592"/>
      <c r="U907" s="592"/>
      <c r="V907" s="592"/>
      <c r="W907" s="592"/>
      <c r="X907" s="592"/>
      <c r="Y907" s="592"/>
      <c r="Z907" s="592"/>
      <c r="AA907" s="592"/>
      <c r="AB907" s="592"/>
      <c r="AC907" s="592"/>
      <c r="AD907" s="592"/>
      <c r="AE907" s="592"/>
      <c r="AF907" s="592"/>
      <c r="AG907" s="592"/>
    </row>
    <row r="908">
      <c r="E908" s="592"/>
      <c r="F908" s="591"/>
      <c r="G908" s="591"/>
      <c r="H908" s="592"/>
      <c r="I908" s="592"/>
      <c r="J908" s="592"/>
      <c r="K908" s="592"/>
      <c r="L908" s="592"/>
      <c r="M908" s="592"/>
      <c r="N908" s="592"/>
      <c r="O908" s="592"/>
      <c r="P908" s="592"/>
      <c r="Q908" s="592"/>
      <c r="R908" s="592"/>
      <c r="S908" s="592"/>
      <c r="T908" s="592"/>
      <c r="U908" s="592"/>
      <c r="V908" s="592"/>
      <c r="W908" s="592"/>
      <c r="X908" s="592"/>
      <c r="Y908" s="592"/>
      <c r="Z908" s="592"/>
      <c r="AA908" s="592"/>
      <c r="AB908" s="592"/>
      <c r="AC908" s="592"/>
      <c r="AD908" s="592"/>
      <c r="AE908" s="592"/>
      <c r="AF908" s="592"/>
      <c r="AG908" s="592"/>
    </row>
    <row r="909">
      <c r="E909" s="592"/>
      <c r="F909" s="591"/>
      <c r="G909" s="591"/>
      <c r="H909" s="592"/>
      <c r="I909" s="592"/>
      <c r="J909" s="592"/>
      <c r="K909" s="592"/>
      <c r="L909" s="592"/>
      <c r="M909" s="592"/>
      <c r="N909" s="592"/>
      <c r="O909" s="592"/>
      <c r="P909" s="592"/>
      <c r="Q909" s="592"/>
      <c r="R909" s="592"/>
      <c r="S909" s="592"/>
      <c r="T909" s="592"/>
      <c r="U909" s="592"/>
      <c r="V909" s="592"/>
      <c r="W909" s="592"/>
      <c r="X909" s="592"/>
      <c r="Y909" s="592"/>
      <c r="Z909" s="592"/>
      <c r="AA909" s="592"/>
      <c r="AB909" s="592"/>
      <c r="AC909" s="592"/>
      <c r="AD909" s="592"/>
      <c r="AE909" s="592"/>
      <c r="AF909" s="592"/>
      <c r="AG909" s="592"/>
    </row>
    <row r="910">
      <c r="E910" s="592"/>
      <c r="F910" s="591"/>
      <c r="G910" s="591"/>
      <c r="H910" s="592"/>
      <c r="I910" s="592"/>
      <c r="J910" s="592"/>
      <c r="K910" s="592"/>
      <c r="L910" s="592"/>
      <c r="M910" s="592"/>
      <c r="N910" s="592"/>
      <c r="O910" s="592"/>
      <c r="P910" s="592"/>
      <c r="Q910" s="592"/>
      <c r="R910" s="592"/>
      <c r="S910" s="592"/>
      <c r="T910" s="592"/>
      <c r="U910" s="592"/>
      <c r="V910" s="592"/>
      <c r="W910" s="592"/>
      <c r="X910" s="592"/>
      <c r="Y910" s="592"/>
      <c r="Z910" s="592"/>
      <c r="AA910" s="592"/>
      <c r="AB910" s="592"/>
      <c r="AC910" s="592"/>
      <c r="AD910" s="592"/>
      <c r="AE910" s="592"/>
      <c r="AF910" s="592"/>
      <c r="AG910" s="592"/>
    </row>
    <row r="911">
      <c r="E911" s="592"/>
      <c r="F911" s="591"/>
      <c r="G911" s="591"/>
      <c r="H911" s="592"/>
      <c r="I911" s="592"/>
      <c r="J911" s="592"/>
      <c r="K911" s="592"/>
      <c r="L911" s="592"/>
      <c r="M911" s="592"/>
      <c r="N911" s="592"/>
      <c r="O911" s="592"/>
      <c r="P911" s="592"/>
      <c r="Q911" s="592"/>
      <c r="R911" s="592"/>
      <c r="S911" s="592"/>
      <c r="T911" s="592"/>
      <c r="U911" s="592"/>
      <c r="V911" s="592"/>
      <c r="W911" s="592"/>
      <c r="X911" s="592"/>
      <c r="Y911" s="592"/>
      <c r="Z911" s="592"/>
      <c r="AA911" s="592"/>
      <c r="AB911" s="592"/>
      <c r="AC911" s="592"/>
      <c r="AD911" s="592"/>
      <c r="AE911" s="592"/>
      <c r="AF911" s="592"/>
      <c r="AG911" s="592"/>
    </row>
    <row r="912">
      <c r="E912" s="592"/>
      <c r="F912" s="591"/>
      <c r="G912" s="591"/>
      <c r="H912" s="592"/>
      <c r="I912" s="592"/>
      <c r="J912" s="592"/>
      <c r="K912" s="592"/>
      <c r="L912" s="592"/>
      <c r="M912" s="592"/>
      <c r="N912" s="592"/>
      <c r="O912" s="592"/>
      <c r="P912" s="592"/>
      <c r="Q912" s="592"/>
      <c r="R912" s="592"/>
      <c r="S912" s="592"/>
      <c r="T912" s="592"/>
      <c r="U912" s="592"/>
      <c r="V912" s="592"/>
      <c r="W912" s="592"/>
      <c r="X912" s="592"/>
      <c r="Y912" s="592"/>
      <c r="Z912" s="592"/>
      <c r="AA912" s="592"/>
      <c r="AB912" s="592"/>
      <c r="AC912" s="592"/>
      <c r="AD912" s="592"/>
      <c r="AE912" s="592"/>
      <c r="AF912" s="592"/>
      <c r="AG912" s="592"/>
    </row>
    <row r="913">
      <c r="E913" s="592"/>
      <c r="F913" s="591"/>
      <c r="G913" s="591"/>
      <c r="H913" s="592"/>
      <c r="I913" s="592"/>
      <c r="J913" s="592"/>
      <c r="K913" s="592"/>
      <c r="L913" s="592"/>
      <c r="M913" s="592"/>
      <c r="N913" s="592"/>
      <c r="O913" s="592"/>
      <c r="P913" s="592"/>
      <c r="Q913" s="592"/>
      <c r="R913" s="592"/>
      <c r="S913" s="592"/>
      <c r="T913" s="592"/>
      <c r="U913" s="592"/>
      <c r="V913" s="592"/>
      <c r="W913" s="592"/>
      <c r="X913" s="592"/>
      <c r="Y913" s="592"/>
      <c r="Z913" s="592"/>
      <c r="AA913" s="592"/>
      <c r="AB913" s="592"/>
      <c r="AC913" s="592"/>
      <c r="AD913" s="592"/>
      <c r="AE913" s="592"/>
      <c r="AF913" s="592"/>
      <c r="AG913" s="592"/>
    </row>
    <row r="914">
      <c r="E914" s="592"/>
      <c r="F914" s="591"/>
      <c r="G914" s="591"/>
      <c r="H914" s="592"/>
      <c r="I914" s="592"/>
      <c r="J914" s="592"/>
      <c r="K914" s="592"/>
      <c r="L914" s="592"/>
      <c r="M914" s="592"/>
      <c r="N914" s="592"/>
      <c r="O914" s="592"/>
      <c r="P914" s="592"/>
      <c r="Q914" s="592"/>
      <c r="R914" s="592"/>
      <c r="S914" s="592"/>
      <c r="T914" s="592"/>
      <c r="U914" s="592"/>
      <c r="V914" s="592"/>
      <c r="W914" s="592"/>
      <c r="X914" s="592"/>
      <c r="Y914" s="592"/>
      <c r="Z914" s="592"/>
      <c r="AA914" s="592"/>
      <c r="AB914" s="592"/>
      <c r="AC914" s="592"/>
      <c r="AD914" s="592"/>
      <c r="AE914" s="592"/>
      <c r="AF914" s="592"/>
      <c r="AG914" s="592"/>
    </row>
    <row r="915">
      <c r="E915" s="592"/>
      <c r="F915" s="591"/>
      <c r="G915" s="591"/>
      <c r="H915" s="592"/>
      <c r="I915" s="592"/>
      <c r="J915" s="592"/>
      <c r="K915" s="592"/>
      <c r="L915" s="592"/>
      <c r="M915" s="592"/>
      <c r="N915" s="592"/>
      <c r="O915" s="592"/>
      <c r="P915" s="592"/>
      <c r="Q915" s="592"/>
      <c r="R915" s="592"/>
      <c r="S915" s="592"/>
      <c r="T915" s="592"/>
      <c r="U915" s="592"/>
      <c r="V915" s="592"/>
      <c r="W915" s="592"/>
      <c r="X915" s="592"/>
      <c r="Y915" s="592"/>
      <c r="Z915" s="592"/>
      <c r="AA915" s="592"/>
      <c r="AB915" s="592"/>
      <c r="AC915" s="592"/>
      <c r="AD915" s="592"/>
      <c r="AE915" s="592"/>
      <c r="AF915" s="592"/>
      <c r="AG915" s="592"/>
    </row>
    <row r="916">
      <c r="E916" s="592"/>
      <c r="F916" s="591"/>
      <c r="G916" s="591"/>
      <c r="H916" s="592"/>
      <c r="I916" s="592"/>
      <c r="J916" s="592"/>
      <c r="K916" s="592"/>
      <c r="L916" s="592"/>
      <c r="M916" s="592"/>
      <c r="N916" s="592"/>
      <c r="O916" s="592"/>
      <c r="P916" s="592"/>
      <c r="Q916" s="592"/>
      <c r="R916" s="592"/>
      <c r="S916" s="592"/>
      <c r="T916" s="592"/>
      <c r="U916" s="592"/>
      <c r="V916" s="592"/>
      <c r="W916" s="592"/>
      <c r="X916" s="592"/>
      <c r="Y916" s="592"/>
      <c r="Z916" s="592"/>
      <c r="AA916" s="592"/>
      <c r="AB916" s="592"/>
      <c r="AC916" s="592"/>
      <c r="AD916" s="592"/>
      <c r="AE916" s="592"/>
      <c r="AF916" s="592"/>
      <c r="AG916" s="592"/>
    </row>
    <row r="917">
      <c r="E917" s="592"/>
      <c r="F917" s="591"/>
      <c r="G917" s="591"/>
      <c r="H917" s="592"/>
      <c r="I917" s="592"/>
      <c r="J917" s="592"/>
      <c r="K917" s="592"/>
      <c r="L917" s="592"/>
      <c r="M917" s="592"/>
      <c r="N917" s="592"/>
      <c r="O917" s="592"/>
      <c r="P917" s="592"/>
      <c r="Q917" s="592"/>
      <c r="R917" s="592"/>
      <c r="S917" s="592"/>
      <c r="T917" s="592"/>
      <c r="U917" s="592"/>
      <c r="V917" s="592"/>
      <c r="W917" s="592"/>
      <c r="X917" s="592"/>
      <c r="Y917" s="592"/>
      <c r="Z917" s="592"/>
      <c r="AA917" s="592"/>
      <c r="AB917" s="592"/>
      <c r="AC917" s="592"/>
      <c r="AD917" s="592"/>
      <c r="AE917" s="592"/>
      <c r="AF917" s="592"/>
      <c r="AG917" s="592"/>
    </row>
    <row r="918">
      <c r="E918" s="592"/>
      <c r="F918" s="591"/>
      <c r="G918" s="591"/>
      <c r="H918" s="592"/>
      <c r="I918" s="592"/>
      <c r="J918" s="592"/>
      <c r="K918" s="592"/>
      <c r="L918" s="592"/>
      <c r="M918" s="592"/>
      <c r="N918" s="592"/>
      <c r="O918" s="592"/>
      <c r="P918" s="592"/>
      <c r="Q918" s="592"/>
      <c r="R918" s="592"/>
      <c r="S918" s="592"/>
      <c r="T918" s="592"/>
      <c r="U918" s="592"/>
      <c r="V918" s="592"/>
      <c r="W918" s="592"/>
      <c r="X918" s="592"/>
      <c r="Y918" s="592"/>
      <c r="Z918" s="592"/>
      <c r="AA918" s="592"/>
      <c r="AB918" s="592"/>
      <c r="AC918" s="592"/>
      <c r="AD918" s="592"/>
      <c r="AE918" s="592"/>
      <c r="AF918" s="592"/>
      <c r="AG918" s="592"/>
    </row>
    <row r="919">
      <c r="E919" s="592"/>
      <c r="F919" s="591"/>
      <c r="G919" s="591"/>
      <c r="H919" s="592"/>
      <c r="I919" s="592"/>
      <c r="J919" s="592"/>
      <c r="K919" s="592"/>
      <c r="L919" s="592"/>
      <c r="M919" s="592"/>
      <c r="N919" s="592"/>
      <c r="O919" s="592"/>
      <c r="P919" s="592"/>
      <c r="Q919" s="592"/>
      <c r="R919" s="592"/>
      <c r="S919" s="592"/>
      <c r="T919" s="592"/>
      <c r="U919" s="592"/>
      <c r="V919" s="592"/>
      <c r="W919" s="592"/>
      <c r="X919" s="592"/>
      <c r="Y919" s="592"/>
      <c r="Z919" s="592"/>
      <c r="AA919" s="592"/>
      <c r="AB919" s="592"/>
      <c r="AC919" s="592"/>
      <c r="AD919" s="592"/>
      <c r="AE919" s="592"/>
      <c r="AF919" s="592"/>
      <c r="AG919" s="592"/>
    </row>
    <row r="920">
      <c r="E920" s="592"/>
      <c r="F920" s="591"/>
      <c r="G920" s="591"/>
      <c r="H920" s="592"/>
      <c r="I920" s="592"/>
      <c r="J920" s="592"/>
      <c r="K920" s="592"/>
      <c r="L920" s="592"/>
      <c r="M920" s="592"/>
      <c r="N920" s="592"/>
      <c r="O920" s="592"/>
      <c r="P920" s="592"/>
      <c r="Q920" s="592"/>
      <c r="R920" s="592"/>
      <c r="S920" s="592"/>
      <c r="T920" s="592"/>
      <c r="U920" s="592"/>
      <c r="V920" s="592"/>
      <c r="W920" s="592"/>
      <c r="X920" s="592"/>
      <c r="Y920" s="592"/>
      <c r="Z920" s="592"/>
      <c r="AA920" s="592"/>
      <c r="AB920" s="592"/>
      <c r="AC920" s="592"/>
      <c r="AD920" s="592"/>
      <c r="AE920" s="592"/>
      <c r="AF920" s="592"/>
      <c r="AG920" s="592"/>
    </row>
    <row r="921">
      <c r="E921" s="592"/>
      <c r="F921" s="591"/>
      <c r="G921" s="591"/>
      <c r="H921" s="592"/>
      <c r="I921" s="592"/>
      <c r="J921" s="592"/>
      <c r="K921" s="592"/>
      <c r="L921" s="592"/>
      <c r="M921" s="592"/>
      <c r="N921" s="592"/>
      <c r="O921" s="592"/>
      <c r="P921" s="592"/>
      <c r="Q921" s="592"/>
      <c r="R921" s="592"/>
      <c r="S921" s="592"/>
      <c r="T921" s="592"/>
      <c r="U921" s="592"/>
      <c r="V921" s="592"/>
      <c r="W921" s="592"/>
      <c r="X921" s="592"/>
      <c r="Y921" s="592"/>
      <c r="Z921" s="592"/>
      <c r="AA921" s="592"/>
      <c r="AB921" s="592"/>
      <c r="AC921" s="592"/>
      <c r="AD921" s="592"/>
      <c r="AE921" s="592"/>
      <c r="AF921" s="592"/>
      <c r="AG921" s="592"/>
    </row>
    <row r="922">
      <c r="E922" s="592"/>
      <c r="F922" s="591"/>
      <c r="G922" s="591"/>
      <c r="H922" s="592"/>
      <c r="I922" s="592"/>
      <c r="J922" s="592"/>
      <c r="K922" s="592"/>
      <c r="L922" s="592"/>
      <c r="M922" s="592"/>
      <c r="N922" s="592"/>
      <c r="O922" s="592"/>
      <c r="P922" s="592"/>
      <c r="Q922" s="592"/>
      <c r="R922" s="592"/>
      <c r="S922" s="592"/>
      <c r="T922" s="592"/>
      <c r="U922" s="592"/>
      <c r="V922" s="592"/>
      <c r="W922" s="592"/>
      <c r="X922" s="592"/>
      <c r="Y922" s="592"/>
      <c r="Z922" s="592"/>
      <c r="AA922" s="592"/>
      <c r="AB922" s="592"/>
      <c r="AC922" s="592"/>
      <c r="AD922" s="592"/>
      <c r="AE922" s="592"/>
      <c r="AF922" s="592"/>
      <c r="AG922" s="592"/>
    </row>
    <row r="923">
      <c r="E923" s="592"/>
      <c r="F923" s="591"/>
      <c r="G923" s="591"/>
      <c r="H923" s="592"/>
      <c r="I923" s="592"/>
      <c r="J923" s="592"/>
      <c r="K923" s="592"/>
      <c r="L923" s="592"/>
      <c r="M923" s="592"/>
      <c r="N923" s="592"/>
      <c r="O923" s="592"/>
      <c r="P923" s="592"/>
      <c r="Q923" s="592"/>
      <c r="R923" s="592"/>
      <c r="S923" s="592"/>
      <c r="T923" s="592"/>
      <c r="U923" s="592"/>
      <c r="V923" s="592"/>
      <c r="W923" s="592"/>
      <c r="X923" s="592"/>
      <c r="Y923" s="592"/>
      <c r="Z923" s="592"/>
      <c r="AA923" s="592"/>
      <c r="AB923" s="592"/>
      <c r="AC923" s="592"/>
      <c r="AD923" s="592"/>
      <c r="AE923" s="592"/>
      <c r="AF923" s="592"/>
      <c r="AG923" s="592"/>
    </row>
    <row r="924">
      <c r="E924" s="592"/>
      <c r="F924" s="591"/>
      <c r="G924" s="591"/>
      <c r="H924" s="592"/>
      <c r="I924" s="592"/>
      <c r="J924" s="592"/>
      <c r="K924" s="592"/>
      <c r="L924" s="592"/>
      <c r="M924" s="592"/>
      <c r="N924" s="592"/>
      <c r="O924" s="592"/>
      <c r="P924" s="592"/>
      <c r="Q924" s="592"/>
      <c r="R924" s="592"/>
      <c r="S924" s="592"/>
      <c r="T924" s="592"/>
      <c r="U924" s="592"/>
      <c r="V924" s="592"/>
      <c r="W924" s="592"/>
      <c r="X924" s="592"/>
      <c r="Y924" s="592"/>
      <c r="Z924" s="592"/>
      <c r="AA924" s="592"/>
      <c r="AB924" s="592"/>
      <c r="AC924" s="592"/>
      <c r="AD924" s="592"/>
      <c r="AE924" s="592"/>
      <c r="AF924" s="592"/>
      <c r="AG924" s="592"/>
    </row>
    <row r="925">
      <c r="E925" s="592"/>
      <c r="F925" s="591"/>
      <c r="G925" s="591"/>
      <c r="H925" s="592"/>
      <c r="I925" s="592"/>
      <c r="J925" s="592"/>
      <c r="K925" s="592"/>
      <c r="L925" s="592"/>
      <c r="M925" s="592"/>
      <c r="N925" s="592"/>
      <c r="O925" s="592"/>
      <c r="P925" s="592"/>
      <c r="Q925" s="592"/>
      <c r="R925" s="592"/>
      <c r="S925" s="592"/>
      <c r="T925" s="592"/>
      <c r="U925" s="592"/>
      <c r="V925" s="592"/>
      <c r="W925" s="592"/>
      <c r="X925" s="592"/>
      <c r="Y925" s="592"/>
      <c r="Z925" s="592"/>
      <c r="AA925" s="592"/>
      <c r="AB925" s="592"/>
      <c r="AC925" s="592"/>
      <c r="AD925" s="592"/>
      <c r="AE925" s="592"/>
      <c r="AF925" s="592"/>
      <c r="AG925" s="592"/>
    </row>
    <row r="926">
      <c r="E926" s="592"/>
      <c r="F926" s="591"/>
      <c r="G926" s="591"/>
      <c r="H926" s="592"/>
      <c r="I926" s="592"/>
      <c r="J926" s="592"/>
      <c r="K926" s="592"/>
      <c r="L926" s="592"/>
      <c r="M926" s="592"/>
      <c r="N926" s="592"/>
      <c r="O926" s="592"/>
      <c r="P926" s="592"/>
      <c r="Q926" s="592"/>
      <c r="R926" s="592"/>
      <c r="S926" s="592"/>
      <c r="T926" s="592"/>
      <c r="U926" s="592"/>
      <c r="V926" s="592"/>
      <c r="W926" s="592"/>
      <c r="X926" s="592"/>
      <c r="Y926" s="592"/>
      <c r="Z926" s="592"/>
      <c r="AA926" s="592"/>
      <c r="AB926" s="592"/>
      <c r="AC926" s="592"/>
      <c r="AD926" s="592"/>
      <c r="AE926" s="592"/>
      <c r="AF926" s="592"/>
      <c r="AG926" s="592"/>
    </row>
    <row r="927">
      <c r="E927" s="592"/>
      <c r="F927" s="591"/>
      <c r="G927" s="591"/>
      <c r="H927" s="592"/>
      <c r="I927" s="592"/>
      <c r="J927" s="592"/>
      <c r="K927" s="592"/>
      <c r="L927" s="592"/>
      <c r="M927" s="592"/>
      <c r="N927" s="592"/>
      <c r="O927" s="592"/>
      <c r="P927" s="592"/>
      <c r="Q927" s="592"/>
      <c r="R927" s="592"/>
      <c r="S927" s="592"/>
      <c r="T927" s="592"/>
      <c r="U927" s="592"/>
      <c r="V927" s="592"/>
      <c r="W927" s="592"/>
      <c r="X927" s="592"/>
      <c r="Y927" s="592"/>
      <c r="Z927" s="592"/>
      <c r="AA927" s="592"/>
      <c r="AB927" s="592"/>
      <c r="AC927" s="592"/>
      <c r="AD927" s="592"/>
      <c r="AE927" s="592"/>
      <c r="AF927" s="592"/>
      <c r="AG927" s="592"/>
    </row>
    <row r="928">
      <c r="E928" s="592"/>
      <c r="F928" s="591"/>
      <c r="G928" s="591"/>
      <c r="H928" s="592"/>
      <c r="I928" s="592"/>
      <c r="J928" s="592"/>
      <c r="K928" s="592"/>
      <c r="L928" s="592"/>
      <c r="M928" s="592"/>
      <c r="N928" s="592"/>
      <c r="O928" s="592"/>
      <c r="P928" s="592"/>
      <c r="Q928" s="592"/>
      <c r="R928" s="592"/>
      <c r="S928" s="592"/>
      <c r="T928" s="592"/>
      <c r="U928" s="592"/>
      <c r="V928" s="592"/>
      <c r="W928" s="592"/>
      <c r="X928" s="592"/>
      <c r="Y928" s="592"/>
      <c r="Z928" s="592"/>
      <c r="AA928" s="592"/>
      <c r="AB928" s="592"/>
      <c r="AC928" s="592"/>
      <c r="AD928" s="592"/>
      <c r="AE928" s="592"/>
      <c r="AF928" s="592"/>
      <c r="AG928" s="592"/>
    </row>
    <row r="929">
      <c r="E929" s="592"/>
      <c r="F929" s="591"/>
      <c r="G929" s="591"/>
      <c r="H929" s="592"/>
      <c r="I929" s="592"/>
      <c r="J929" s="592"/>
      <c r="K929" s="592"/>
      <c r="L929" s="592"/>
      <c r="M929" s="592"/>
      <c r="N929" s="592"/>
      <c r="O929" s="592"/>
      <c r="P929" s="592"/>
      <c r="Q929" s="592"/>
      <c r="R929" s="592"/>
      <c r="S929" s="592"/>
      <c r="T929" s="592"/>
      <c r="U929" s="592"/>
      <c r="V929" s="592"/>
      <c r="W929" s="592"/>
      <c r="X929" s="592"/>
      <c r="Y929" s="592"/>
      <c r="Z929" s="592"/>
      <c r="AA929" s="592"/>
      <c r="AB929" s="592"/>
      <c r="AC929" s="592"/>
      <c r="AD929" s="592"/>
      <c r="AE929" s="592"/>
      <c r="AF929" s="592"/>
      <c r="AG929" s="592"/>
    </row>
    <row r="930">
      <c r="E930" s="592"/>
      <c r="F930" s="591"/>
      <c r="G930" s="591"/>
      <c r="H930" s="592"/>
      <c r="I930" s="592"/>
      <c r="J930" s="592"/>
      <c r="K930" s="592"/>
      <c r="L930" s="592"/>
      <c r="M930" s="592"/>
      <c r="N930" s="592"/>
      <c r="O930" s="592"/>
      <c r="P930" s="592"/>
      <c r="Q930" s="592"/>
      <c r="R930" s="592"/>
      <c r="S930" s="592"/>
      <c r="T930" s="592"/>
      <c r="U930" s="592"/>
      <c r="V930" s="592"/>
      <c r="W930" s="592"/>
      <c r="X930" s="592"/>
      <c r="Y930" s="592"/>
      <c r="Z930" s="592"/>
      <c r="AA930" s="592"/>
      <c r="AB930" s="592"/>
      <c r="AC930" s="592"/>
      <c r="AD930" s="592"/>
      <c r="AE930" s="592"/>
      <c r="AF930" s="592"/>
      <c r="AG930" s="592"/>
    </row>
    <row r="931">
      <c r="E931" s="592"/>
      <c r="F931" s="591"/>
      <c r="G931" s="591"/>
      <c r="H931" s="592"/>
      <c r="I931" s="592"/>
      <c r="J931" s="592"/>
      <c r="K931" s="592"/>
      <c r="L931" s="592"/>
      <c r="M931" s="592"/>
      <c r="N931" s="592"/>
      <c r="O931" s="592"/>
      <c r="P931" s="592"/>
      <c r="Q931" s="592"/>
      <c r="R931" s="592"/>
      <c r="S931" s="592"/>
      <c r="T931" s="592"/>
      <c r="U931" s="592"/>
      <c r="V931" s="592"/>
      <c r="W931" s="592"/>
      <c r="X931" s="592"/>
      <c r="Y931" s="592"/>
      <c r="Z931" s="592"/>
      <c r="AA931" s="592"/>
      <c r="AB931" s="592"/>
      <c r="AC931" s="592"/>
      <c r="AD931" s="592"/>
      <c r="AE931" s="592"/>
      <c r="AF931" s="592"/>
      <c r="AG931" s="592"/>
    </row>
    <row r="932">
      <c r="E932" s="592"/>
      <c r="F932" s="591"/>
      <c r="G932" s="591"/>
      <c r="H932" s="592"/>
      <c r="I932" s="592"/>
      <c r="J932" s="592"/>
      <c r="K932" s="592"/>
      <c r="L932" s="592"/>
      <c r="M932" s="592"/>
      <c r="N932" s="592"/>
      <c r="O932" s="592"/>
      <c r="P932" s="592"/>
      <c r="Q932" s="592"/>
      <c r="R932" s="592"/>
      <c r="S932" s="592"/>
      <c r="T932" s="592"/>
      <c r="U932" s="592"/>
      <c r="V932" s="592"/>
      <c r="W932" s="592"/>
      <c r="X932" s="592"/>
      <c r="Y932" s="592"/>
      <c r="Z932" s="592"/>
      <c r="AA932" s="592"/>
      <c r="AB932" s="592"/>
      <c r="AC932" s="592"/>
      <c r="AD932" s="592"/>
      <c r="AE932" s="592"/>
      <c r="AF932" s="592"/>
      <c r="AG932" s="592"/>
    </row>
    <row r="933">
      <c r="E933" s="592"/>
      <c r="F933" s="591"/>
      <c r="G933" s="591"/>
      <c r="H933" s="592"/>
      <c r="I933" s="592"/>
      <c r="J933" s="592"/>
      <c r="K933" s="592"/>
      <c r="L933" s="592"/>
      <c r="M933" s="592"/>
      <c r="N933" s="592"/>
      <c r="O933" s="592"/>
      <c r="P933" s="592"/>
      <c r="Q933" s="592"/>
      <c r="R933" s="592"/>
      <c r="S933" s="592"/>
      <c r="T933" s="592"/>
      <c r="U933" s="592"/>
      <c r="V933" s="592"/>
      <c r="W933" s="592"/>
      <c r="X933" s="592"/>
      <c r="Y933" s="592"/>
      <c r="Z933" s="592"/>
      <c r="AA933" s="592"/>
      <c r="AB933" s="592"/>
      <c r="AC933" s="592"/>
      <c r="AD933" s="592"/>
      <c r="AE933" s="592"/>
      <c r="AF933" s="592"/>
      <c r="AG933" s="592"/>
    </row>
    <row r="934">
      <c r="E934" s="592"/>
      <c r="F934" s="591"/>
      <c r="G934" s="591"/>
      <c r="H934" s="592"/>
      <c r="I934" s="592"/>
      <c r="J934" s="592"/>
      <c r="K934" s="592"/>
      <c r="L934" s="592"/>
      <c r="M934" s="592"/>
      <c r="N934" s="592"/>
      <c r="O934" s="592"/>
      <c r="P934" s="592"/>
      <c r="Q934" s="592"/>
      <c r="R934" s="592"/>
      <c r="S934" s="592"/>
      <c r="T934" s="592"/>
      <c r="U934" s="592"/>
      <c r="V934" s="592"/>
      <c r="W934" s="592"/>
      <c r="X934" s="592"/>
      <c r="Y934" s="592"/>
      <c r="Z934" s="592"/>
      <c r="AA934" s="592"/>
      <c r="AB934" s="592"/>
      <c r="AC934" s="592"/>
      <c r="AD934" s="592"/>
      <c r="AE934" s="592"/>
      <c r="AF934" s="592"/>
      <c r="AG934" s="592"/>
    </row>
    <row r="935">
      <c r="E935" s="592"/>
      <c r="F935" s="591"/>
      <c r="G935" s="591"/>
      <c r="H935" s="592"/>
      <c r="I935" s="592"/>
      <c r="J935" s="592"/>
      <c r="K935" s="592"/>
      <c r="L935" s="592"/>
      <c r="M935" s="592"/>
      <c r="N935" s="592"/>
      <c r="O935" s="592"/>
      <c r="P935" s="592"/>
      <c r="Q935" s="592"/>
      <c r="R935" s="592"/>
      <c r="S935" s="592"/>
      <c r="T935" s="592"/>
      <c r="U935" s="592"/>
      <c r="V935" s="592"/>
      <c r="W935" s="592"/>
      <c r="X935" s="592"/>
      <c r="Y935" s="592"/>
      <c r="Z935" s="592"/>
      <c r="AA935" s="592"/>
      <c r="AB935" s="592"/>
      <c r="AC935" s="592"/>
      <c r="AD935" s="592"/>
      <c r="AE935" s="592"/>
      <c r="AF935" s="592"/>
      <c r="AG935" s="592"/>
    </row>
    <row r="936">
      <c r="E936" s="592"/>
      <c r="F936" s="591"/>
      <c r="G936" s="591"/>
      <c r="H936" s="592"/>
      <c r="I936" s="592"/>
      <c r="J936" s="592"/>
      <c r="K936" s="592"/>
      <c r="L936" s="592"/>
      <c r="M936" s="592"/>
      <c r="N936" s="592"/>
      <c r="O936" s="592"/>
      <c r="P936" s="592"/>
      <c r="Q936" s="592"/>
      <c r="R936" s="592"/>
      <c r="S936" s="592"/>
      <c r="T936" s="592"/>
      <c r="U936" s="592"/>
      <c r="V936" s="592"/>
      <c r="W936" s="592"/>
      <c r="X936" s="592"/>
      <c r="Y936" s="592"/>
      <c r="Z936" s="592"/>
      <c r="AA936" s="592"/>
      <c r="AB936" s="592"/>
      <c r="AC936" s="592"/>
      <c r="AD936" s="592"/>
      <c r="AE936" s="592"/>
      <c r="AF936" s="592"/>
      <c r="AG936" s="592"/>
    </row>
    <row r="937">
      <c r="E937" s="592"/>
      <c r="F937" s="591"/>
      <c r="G937" s="591"/>
      <c r="H937" s="592"/>
      <c r="I937" s="592"/>
      <c r="J937" s="592"/>
      <c r="K937" s="592"/>
      <c r="L937" s="592"/>
      <c r="M937" s="592"/>
      <c r="N937" s="592"/>
      <c r="O937" s="592"/>
      <c r="P937" s="592"/>
      <c r="Q937" s="592"/>
      <c r="R937" s="592"/>
      <c r="S937" s="592"/>
      <c r="T937" s="592"/>
      <c r="U937" s="592"/>
      <c r="V937" s="592"/>
      <c r="W937" s="592"/>
      <c r="X937" s="592"/>
      <c r="Y937" s="592"/>
      <c r="Z937" s="592"/>
      <c r="AA937" s="592"/>
      <c r="AB937" s="592"/>
      <c r="AC937" s="592"/>
      <c r="AD937" s="592"/>
      <c r="AE937" s="592"/>
      <c r="AF937" s="592"/>
      <c r="AG937" s="592"/>
    </row>
    <row r="938">
      <c r="E938" s="592"/>
      <c r="F938" s="591"/>
      <c r="G938" s="591"/>
      <c r="H938" s="592"/>
      <c r="I938" s="592"/>
      <c r="J938" s="592"/>
      <c r="K938" s="592"/>
      <c r="L938" s="592"/>
      <c r="M938" s="592"/>
      <c r="N938" s="592"/>
      <c r="O938" s="592"/>
      <c r="P938" s="592"/>
      <c r="Q938" s="592"/>
      <c r="R938" s="592"/>
      <c r="S938" s="592"/>
      <c r="T938" s="592"/>
      <c r="U938" s="592"/>
      <c r="V938" s="592"/>
      <c r="W938" s="592"/>
      <c r="X938" s="592"/>
      <c r="Y938" s="592"/>
      <c r="Z938" s="592"/>
      <c r="AA938" s="592"/>
      <c r="AB938" s="592"/>
      <c r="AC938" s="592"/>
      <c r="AD938" s="592"/>
      <c r="AE938" s="592"/>
      <c r="AF938" s="592"/>
      <c r="AG938" s="592"/>
    </row>
    <row r="939">
      <c r="E939" s="592"/>
      <c r="F939" s="591"/>
      <c r="G939" s="591"/>
      <c r="H939" s="592"/>
      <c r="I939" s="592"/>
      <c r="J939" s="592"/>
      <c r="K939" s="592"/>
      <c r="L939" s="592"/>
      <c r="M939" s="592"/>
      <c r="N939" s="592"/>
      <c r="O939" s="592"/>
      <c r="P939" s="592"/>
      <c r="Q939" s="592"/>
      <c r="R939" s="592"/>
      <c r="S939" s="592"/>
      <c r="T939" s="592"/>
      <c r="U939" s="592"/>
      <c r="V939" s="592"/>
      <c r="W939" s="592"/>
      <c r="X939" s="592"/>
      <c r="Y939" s="592"/>
      <c r="Z939" s="592"/>
      <c r="AA939" s="592"/>
      <c r="AB939" s="592"/>
      <c r="AC939" s="592"/>
      <c r="AD939" s="592"/>
      <c r="AE939" s="592"/>
      <c r="AF939" s="592"/>
      <c r="AG939" s="592"/>
    </row>
    <row r="940">
      <c r="E940" s="592"/>
      <c r="F940" s="591"/>
      <c r="G940" s="591"/>
      <c r="H940" s="592"/>
      <c r="I940" s="592"/>
      <c r="J940" s="592"/>
      <c r="K940" s="592"/>
      <c r="L940" s="592"/>
      <c r="M940" s="592"/>
      <c r="N940" s="592"/>
      <c r="O940" s="592"/>
      <c r="P940" s="592"/>
      <c r="Q940" s="592"/>
      <c r="R940" s="592"/>
      <c r="S940" s="592"/>
      <c r="T940" s="592"/>
      <c r="U940" s="592"/>
      <c r="V940" s="592"/>
      <c r="W940" s="592"/>
      <c r="X940" s="592"/>
      <c r="Y940" s="592"/>
      <c r="Z940" s="592"/>
      <c r="AA940" s="592"/>
      <c r="AB940" s="592"/>
      <c r="AC940" s="592"/>
      <c r="AD940" s="592"/>
      <c r="AE940" s="592"/>
      <c r="AF940" s="592"/>
      <c r="AG940" s="592"/>
    </row>
    <row r="941">
      <c r="E941" s="592"/>
      <c r="F941" s="591"/>
      <c r="G941" s="591"/>
      <c r="H941" s="592"/>
      <c r="I941" s="592"/>
      <c r="J941" s="592"/>
      <c r="K941" s="592"/>
      <c r="L941" s="592"/>
      <c r="M941" s="592"/>
      <c r="N941" s="592"/>
      <c r="O941" s="592"/>
      <c r="P941" s="592"/>
      <c r="Q941" s="592"/>
      <c r="R941" s="592"/>
      <c r="S941" s="592"/>
      <c r="T941" s="592"/>
      <c r="U941" s="592"/>
      <c r="V941" s="592"/>
      <c r="W941" s="592"/>
      <c r="X941" s="592"/>
      <c r="Y941" s="592"/>
      <c r="Z941" s="592"/>
      <c r="AA941" s="592"/>
      <c r="AB941" s="592"/>
      <c r="AC941" s="592"/>
      <c r="AD941" s="592"/>
      <c r="AE941" s="592"/>
      <c r="AF941" s="592"/>
      <c r="AG941" s="592"/>
    </row>
    <row r="942">
      <c r="E942" s="592"/>
      <c r="F942" s="591"/>
      <c r="G942" s="591"/>
      <c r="H942" s="592"/>
      <c r="I942" s="592"/>
      <c r="J942" s="592"/>
      <c r="K942" s="592"/>
      <c r="L942" s="592"/>
      <c r="M942" s="592"/>
      <c r="N942" s="592"/>
      <c r="O942" s="592"/>
      <c r="P942" s="592"/>
      <c r="Q942" s="592"/>
      <c r="R942" s="592"/>
      <c r="S942" s="592"/>
      <c r="T942" s="592"/>
      <c r="U942" s="592"/>
      <c r="V942" s="592"/>
      <c r="W942" s="592"/>
      <c r="X942" s="592"/>
      <c r="Y942" s="592"/>
      <c r="Z942" s="592"/>
      <c r="AA942" s="592"/>
      <c r="AB942" s="592"/>
      <c r="AC942" s="592"/>
      <c r="AD942" s="592"/>
      <c r="AE942" s="592"/>
      <c r="AF942" s="592"/>
      <c r="AG942" s="592"/>
    </row>
    <row r="943">
      <c r="E943" s="592"/>
      <c r="F943" s="591"/>
      <c r="G943" s="591"/>
      <c r="H943" s="592"/>
      <c r="I943" s="592"/>
      <c r="J943" s="592"/>
      <c r="K943" s="592"/>
      <c r="L943" s="592"/>
      <c r="M943" s="592"/>
      <c r="N943" s="592"/>
      <c r="O943" s="592"/>
      <c r="P943" s="592"/>
      <c r="Q943" s="592"/>
      <c r="R943" s="592"/>
      <c r="S943" s="592"/>
      <c r="T943" s="592"/>
      <c r="U943" s="592"/>
      <c r="V943" s="592"/>
      <c r="W943" s="592"/>
      <c r="X943" s="592"/>
      <c r="Y943" s="592"/>
      <c r="Z943" s="592"/>
      <c r="AA943" s="592"/>
      <c r="AB943" s="592"/>
      <c r="AC943" s="592"/>
      <c r="AD943" s="592"/>
      <c r="AE943" s="592"/>
      <c r="AF943" s="592"/>
      <c r="AG943" s="592"/>
    </row>
    <row r="944">
      <c r="E944" s="592"/>
      <c r="F944" s="591"/>
      <c r="G944" s="591"/>
      <c r="H944" s="592"/>
      <c r="I944" s="592"/>
      <c r="J944" s="592"/>
      <c r="K944" s="592"/>
      <c r="L944" s="592"/>
      <c r="M944" s="592"/>
      <c r="N944" s="592"/>
      <c r="O944" s="592"/>
      <c r="P944" s="592"/>
      <c r="Q944" s="592"/>
      <c r="R944" s="592"/>
      <c r="S944" s="592"/>
      <c r="T944" s="592"/>
      <c r="U944" s="592"/>
      <c r="V944" s="592"/>
      <c r="W944" s="592"/>
      <c r="X944" s="592"/>
      <c r="Y944" s="592"/>
      <c r="Z944" s="592"/>
      <c r="AA944" s="592"/>
      <c r="AB944" s="592"/>
      <c r="AC944" s="592"/>
      <c r="AD944" s="592"/>
      <c r="AE944" s="592"/>
      <c r="AF944" s="592"/>
      <c r="AG944" s="592"/>
    </row>
    <row r="945">
      <c r="E945" s="592"/>
      <c r="F945" s="591"/>
      <c r="G945" s="591"/>
      <c r="H945" s="592"/>
      <c r="I945" s="592"/>
      <c r="J945" s="592"/>
      <c r="K945" s="592"/>
      <c r="L945" s="592"/>
      <c r="M945" s="592"/>
      <c r="N945" s="592"/>
      <c r="O945" s="592"/>
      <c r="P945" s="592"/>
      <c r="Q945" s="592"/>
      <c r="R945" s="592"/>
      <c r="S945" s="592"/>
      <c r="T945" s="592"/>
      <c r="U945" s="592"/>
      <c r="V945" s="592"/>
      <c r="W945" s="592"/>
      <c r="X945" s="592"/>
      <c r="Y945" s="592"/>
      <c r="Z945" s="592"/>
      <c r="AA945" s="592"/>
      <c r="AB945" s="592"/>
      <c r="AC945" s="592"/>
      <c r="AD945" s="592"/>
      <c r="AE945" s="592"/>
      <c r="AF945" s="592"/>
      <c r="AG945" s="592"/>
    </row>
    <row r="946">
      <c r="E946" s="592"/>
      <c r="F946" s="591"/>
      <c r="G946" s="591"/>
      <c r="H946" s="592"/>
      <c r="I946" s="592"/>
      <c r="J946" s="592"/>
      <c r="K946" s="592"/>
      <c r="L946" s="592"/>
      <c r="M946" s="592"/>
      <c r="N946" s="592"/>
      <c r="O946" s="592"/>
      <c r="P946" s="592"/>
      <c r="Q946" s="592"/>
      <c r="R946" s="592"/>
      <c r="S946" s="592"/>
      <c r="T946" s="592"/>
      <c r="U946" s="592"/>
      <c r="V946" s="592"/>
      <c r="W946" s="592"/>
      <c r="X946" s="592"/>
      <c r="Y946" s="592"/>
      <c r="Z946" s="592"/>
      <c r="AA946" s="592"/>
      <c r="AB946" s="592"/>
      <c r="AC946" s="592"/>
      <c r="AD946" s="592"/>
      <c r="AE946" s="592"/>
      <c r="AF946" s="592"/>
      <c r="AG946" s="592"/>
    </row>
    <row r="947">
      <c r="E947" s="592"/>
      <c r="F947" s="591"/>
      <c r="G947" s="591"/>
      <c r="H947" s="592"/>
      <c r="I947" s="592"/>
      <c r="J947" s="592"/>
      <c r="K947" s="592"/>
      <c r="L947" s="592"/>
      <c r="M947" s="592"/>
      <c r="N947" s="592"/>
      <c r="O947" s="592"/>
      <c r="P947" s="592"/>
      <c r="Q947" s="592"/>
      <c r="R947" s="592"/>
      <c r="S947" s="592"/>
      <c r="T947" s="592"/>
      <c r="U947" s="592"/>
      <c r="V947" s="592"/>
      <c r="W947" s="592"/>
      <c r="X947" s="592"/>
      <c r="Y947" s="592"/>
      <c r="Z947" s="592"/>
      <c r="AA947" s="592"/>
      <c r="AB947" s="592"/>
      <c r="AC947" s="592"/>
      <c r="AD947" s="592"/>
      <c r="AE947" s="592"/>
      <c r="AF947" s="592"/>
      <c r="AG947" s="592"/>
    </row>
    <row r="948">
      <c r="E948" s="592"/>
      <c r="F948" s="591"/>
      <c r="G948" s="591"/>
      <c r="H948" s="592"/>
      <c r="I948" s="592"/>
      <c r="J948" s="592"/>
      <c r="K948" s="592"/>
      <c r="L948" s="592"/>
      <c r="M948" s="592"/>
      <c r="N948" s="592"/>
      <c r="O948" s="592"/>
      <c r="P948" s="592"/>
      <c r="Q948" s="592"/>
      <c r="R948" s="592"/>
      <c r="S948" s="592"/>
      <c r="T948" s="592"/>
      <c r="U948" s="592"/>
      <c r="V948" s="592"/>
      <c r="W948" s="592"/>
      <c r="X948" s="592"/>
      <c r="Y948" s="592"/>
      <c r="Z948" s="592"/>
      <c r="AA948" s="592"/>
      <c r="AB948" s="592"/>
      <c r="AC948" s="592"/>
      <c r="AD948" s="592"/>
      <c r="AE948" s="592"/>
      <c r="AF948" s="592"/>
      <c r="AG948" s="592"/>
    </row>
    <row r="949">
      <c r="E949" s="592"/>
      <c r="F949" s="591"/>
      <c r="G949" s="591"/>
      <c r="H949" s="592"/>
      <c r="I949" s="592"/>
      <c r="J949" s="592"/>
      <c r="K949" s="592"/>
      <c r="L949" s="592"/>
      <c r="M949" s="592"/>
      <c r="N949" s="592"/>
      <c r="O949" s="592"/>
      <c r="P949" s="592"/>
      <c r="Q949" s="592"/>
      <c r="R949" s="592"/>
      <c r="S949" s="592"/>
      <c r="T949" s="592"/>
      <c r="U949" s="592"/>
      <c r="V949" s="592"/>
      <c r="W949" s="592"/>
      <c r="X949" s="592"/>
      <c r="Y949" s="592"/>
      <c r="Z949" s="592"/>
      <c r="AA949" s="592"/>
      <c r="AB949" s="592"/>
      <c r="AC949" s="592"/>
      <c r="AD949" s="592"/>
      <c r="AE949" s="592"/>
      <c r="AF949" s="592"/>
      <c r="AG949" s="592"/>
    </row>
    <row r="950">
      <c r="E950" s="592"/>
      <c r="F950" s="591"/>
      <c r="G950" s="591"/>
      <c r="H950" s="592"/>
      <c r="I950" s="592"/>
      <c r="J950" s="592"/>
      <c r="K950" s="592"/>
      <c r="L950" s="592"/>
      <c r="M950" s="592"/>
      <c r="N950" s="592"/>
      <c r="O950" s="592"/>
      <c r="P950" s="592"/>
      <c r="Q950" s="592"/>
      <c r="R950" s="592"/>
      <c r="S950" s="592"/>
      <c r="T950" s="592"/>
      <c r="U950" s="592"/>
      <c r="V950" s="592"/>
      <c r="W950" s="592"/>
      <c r="X950" s="592"/>
      <c r="Y950" s="592"/>
      <c r="Z950" s="592"/>
      <c r="AA950" s="592"/>
      <c r="AB950" s="592"/>
      <c r="AC950" s="592"/>
      <c r="AD950" s="592"/>
      <c r="AE950" s="592"/>
      <c r="AF950" s="592"/>
      <c r="AG950" s="592"/>
    </row>
    <row r="951">
      <c r="E951" s="592"/>
      <c r="F951" s="591"/>
      <c r="G951" s="591"/>
      <c r="H951" s="592"/>
      <c r="I951" s="592"/>
      <c r="J951" s="592"/>
      <c r="K951" s="592"/>
      <c r="L951" s="592"/>
      <c r="M951" s="592"/>
      <c r="N951" s="592"/>
      <c r="O951" s="592"/>
      <c r="P951" s="592"/>
      <c r="Q951" s="592"/>
      <c r="R951" s="592"/>
      <c r="S951" s="592"/>
      <c r="T951" s="592"/>
      <c r="U951" s="592"/>
      <c r="V951" s="592"/>
      <c r="W951" s="592"/>
      <c r="X951" s="592"/>
      <c r="Y951" s="592"/>
      <c r="Z951" s="592"/>
      <c r="AA951" s="592"/>
      <c r="AB951" s="592"/>
      <c r="AC951" s="592"/>
      <c r="AD951" s="592"/>
      <c r="AE951" s="592"/>
      <c r="AF951" s="592"/>
      <c r="AG951" s="592"/>
    </row>
    <row r="952">
      <c r="E952" s="592"/>
      <c r="F952" s="591"/>
      <c r="G952" s="591"/>
      <c r="H952" s="592"/>
      <c r="I952" s="592"/>
      <c r="J952" s="592"/>
      <c r="K952" s="592"/>
      <c r="L952" s="592"/>
      <c r="M952" s="592"/>
      <c r="N952" s="592"/>
      <c r="O952" s="592"/>
      <c r="P952" s="592"/>
      <c r="Q952" s="592"/>
      <c r="R952" s="592"/>
      <c r="S952" s="592"/>
      <c r="T952" s="592"/>
      <c r="U952" s="592"/>
      <c r="V952" s="592"/>
      <c r="W952" s="592"/>
      <c r="X952" s="592"/>
      <c r="Y952" s="592"/>
      <c r="Z952" s="592"/>
      <c r="AA952" s="592"/>
      <c r="AB952" s="592"/>
      <c r="AC952" s="592"/>
      <c r="AD952" s="592"/>
      <c r="AE952" s="592"/>
      <c r="AF952" s="592"/>
      <c r="AG952" s="592"/>
    </row>
    <row r="953">
      <c r="E953" s="592"/>
      <c r="F953" s="591"/>
      <c r="G953" s="591"/>
      <c r="H953" s="592"/>
      <c r="I953" s="592"/>
      <c r="J953" s="592"/>
      <c r="K953" s="592"/>
      <c r="L953" s="592"/>
      <c r="M953" s="592"/>
      <c r="N953" s="592"/>
      <c r="O953" s="592"/>
      <c r="P953" s="592"/>
      <c r="Q953" s="592"/>
      <c r="R953" s="592"/>
      <c r="S953" s="592"/>
      <c r="T953" s="592"/>
      <c r="U953" s="592"/>
      <c r="V953" s="592"/>
      <c r="W953" s="592"/>
      <c r="X953" s="592"/>
      <c r="Y953" s="592"/>
      <c r="Z953" s="592"/>
      <c r="AA953" s="592"/>
      <c r="AB953" s="592"/>
      <c r="AC953" s="592"/>
      <c r="AD953" s="592"/>
      <c r="AE953" s="592"/>
      <c r="AF953" s="592"/>
      <c r="AG953" s="592"/>
    </row>
    <row r="954">
      <c r="E954" s="592"/>
      <c r="F954" s="591"/>
      <c r="G954" s="591"/>
      <c r="H954" s="592"/>
      <c r="I954" s="592"/>
      <c r="J954" s="592"/>
      <c r="K954" s="592"/>
      <c r="L954" s="592"/>
      <c r="M954" s="592"/>
      <c r="N954" s="592"/>
      <c r="O954" s="592"/>
      <c r="P954" s="592"/>
      <c r="Q954" s="592"/>
      <c r="R954" s="592"/>
      <c r="S954" s="592"/>
      <c r="T954" s="592"/>
      <c r="U954" s="592"/>
      <c r="V954" s="592"/>
      <c r="W954" s="592"/>
      <c r="X954" s="592"/>
      <c r="Y954" s="592"/>
      <c r="Z954" s="592"/>
      <c r="AA954" s="592"/>
      <c r="AB954" s="592"/>
      <c r="AC954" s="592"/>
      <c r="AD954" s="592"/>
      <c r="AE954" s="592"/>
      <c r="AF954" s="592"/>
      <c r="AG954" s="592"/>
    </row>
    <row r="955">
      <c r="E955" s="592"/>
      <c r="F955" s="591"/>
      <c r="G955" s="591"/>
      <c r="H955" s="592"/>
      <c r="I955" s="592"/>
      <c r="J955" s="592"/>
      <c r="K955" s="592"/>
      <c r="L955" s="592"/>
      <c r="M955" s="592"/>
      <c r="N955" s="592"/>
      <c r="O955" s="592"/>
      <c r="P955" s="592"/>
      <c r="Q955" s="592"/>
      <c r="R955" s="592"/>
      <c r="S955" s="592"/>
      <c r="T955" s="592"/>
      <c r="U955" s="592"/>
      <c r="V955" s="592"/>
      <c r="W955" s="592"/>
      <c r="X955" s="592"/>
      <c r="Y955" s="592"/>
      <c r="Z955" s="592"/>
      <c r="AA955" s="592"/>
      <c r="AB955" s="592"/>
      <c r="AC955" s="592"/>
      <c r="AD955" s="592"/>
      <c r="AE955" s="592"/>
      <c r="AF955" s="592"/>
      <c r="AG955" s="592"/>
    </row>
    <row r="956">
      <c r="E956" s="592"/>
      <c r="F956" s="591"/>
      <c r="G956" s="591"/>
      <c r="H956" s="592"/>
      <c r="I956" s="592"/>
      <c r="J956" s="592"/>
      <c r="K956" s="592"/>
      <c r="L956" s="592"/>
      <c r="M956" s="592"/>
      <c r="N956" s="592"/>
      <c r="O956" s="592"/>
      <c r="P956" s="592"/>
      <c r="Q956" s="592"/>
      <c r="R956" s="592"/>
      <c r="S956" s="592"/>
      <c r="T956" s="592"/>
      <c r="U956" s="592"/>
      <c r="V956" s="592"/>
      <c r="W956" s="592"/>
      <c r="X956" s="592"/>
      <c r="Y956" s="592"/>
      <c r="Z956" s="592"/>
      <c r="AA956" s="592"/>
      <c r="AB956" s="592"/>
      <c r="AC956" s="592"/>
      <c r="AD956" s="592"/>
      <c r="AE956" s="592"/>
      <c r="AF956" s="592"/>
      <c r="AG956" s="592"/>
    </row>
    <row r="957">
      <c r="E957" s="592"/>
      <c r="F957" s="591"/>
      <c r="G957" s="591"/>
      <c r="H957" s="592"/>
      <c r="I957" s="592"/>
      <c r="J957" s="592"/>
      <c r="K957" s="592"/>
      <c r="L957" s="592"/>
      <c r="M957" s="592"/>
      <c r="N957" s="592"/>
      <c r="O957" s="592"/>
      <c r="P957" s="592"/>
      <c r="Q957" s="592"/>
      <c r="R957" s="592"/>
      <c r="S957" s="592"/>
      <c r="T957" s="592"/>
      <c r="U957" s="592"/>
      <c r="V957" s="592"/>
      <c r="W957" s="592"/>
      <c r="X957" s="592"/>
      <c r="Y957" s="592"/>
      <c r="Z957" s="592"/>
      <c r="AA957" s="592"/>
      <c r="AB957" s="592"/>
      <c r="AC957" s="592"/>
      <c r="AD957" s="592"/>
      <c r="AE957" s="592"/>
      <c r="AF957" s="592"/>
      <c r="AG957" s="592"/>
    </row>
    <row r="958">
      <c r="E958" s="592"/>
      <c r="F958" s="591"/>
      <c r="G958" s="591"/>
      <c r="H958" s="592"/>
      <c r="I958" s="592"/>
      <c r="J958" s="592"/>
      <c r="K958" s="592"/>
      <c r="L958" s="592"/>
      <c r="M958" s="592"/>
      <c r="N958" s="592"/>
      <c r="O958" s="592"/>
      <c r="P958" s="592"/>
      <c r="Q958" s="592"/>
      <c r="R958" s="592"/>
      <c r="S958" s="592"/>
      <c r="T958" s="592"/>
      <c r="U958" s="592"/>
      <c r="V958" s="592"/>
      <c r="W958" s="592"/>
      <c r="X958" s="592"/>
      <c r="Y958" s="592"/>
      <c r="Z958" s="592"/>
      <c r="AA958" s="592"/>
      <c r="AB958" s="592"/>
      <c r="AC958" s="592"/>
      <c r="AD958" s="592"/>
      <c r="AE958" s="592"/>
      <c r="AF958" s="592"/>
      <c r="AG958" s="592"/>
    </row>
    <row r="959">
      <c r="E959" s="592"/>
      <c r="F959" s="591"/>
      <c r="G959" s="591"/>
      <c r="H959" s="592"/>
      <c r="I959" s="592"/>
      <c r="J959" s="592"/>
      <c r="K959" s="592"/>
      <c r="L959" s="592"/>
      <c r="M959" s="592"/>
      <c r="N959" s="592"/>
      <c r="O959" s="592"/>
      <c r="P959" s="592"/>
      <c r="Q959" s="592"/>
      <c r="R959" s="592"/>
      <c r="S959" s="592"/>
      <c r="T959" s="592"/>
      <c r="U959" s="592"/>
      <c r="V959" s="592"/>
      <c r="W959" s="592"/>
      <c r="X959" s="592"/>
      <c r="Y959" s="592"/>
      <c r="Z959" s="592"/>
      <c r="AA959" s="592"/>
      <c r="AB959" s="592"/>
      <c r="AC959" s="592"/>
      <c r="AD959" s="592"/>
      <c r="AE959" s="592"/>
      <c r="AF959" s="592"/>
      <c r="AG959" s="592"/>
    </row>
    <row r="960">
      <c r="E960" s="592"/>
      <c r="F960" s="591"/>
      <c r="G960" s="591"/>
      <c r="H960" s="592"/>
      <c r="I960" s="592"/>
      <c r="J960" s="592"/>
      <c r="K960" s="592"/>
      <c r="L960" s="592"/>
      <c r="M960" s="592"/>
      <c r="N960" s="592"/>
      <c r="O960" s="592"/>
      <c r="P960" s="592"/>
      <c r="Q960" s="592"/>
      <c r="R960" s="592"/>
      <c r="S960" s="592"/>
      <c r="T960" s="592"/>
      <c r="U960" s="592"/>
      <c r="V960" s="592"/>
      <c r="W960" s="592"/>
      <c r="X960" s="592"/>
      <c r="Y960" s="592"/>
      <c r="Z960" s="592"/>
      <c r="AA960" s="592"/>
      <c r="AB960" s="592"/>
      <c r="AC960" s="592"/>
      <c r="AD960" s="592"/>
      <c r="AE960" s="592"/>
      <c r="AF960" s="592"/>
      <c r="AG960" s="592"/>
    </row>
    <row r="961">
      <c r="E961" s="592"/>
      <c r="F961" s="591"/>
      <c r="G961" s="591"/>
      <c r="H961" s="592"/>
      <c r="I961" s="592"/>
      <c r="J961" s="592"/>
      <c r="K961" s="592"/>
      <c r="L961" s="592"/>
      <c r="M961" s="592"/>
      <c r="N961" s="592"/>
      <c r="O961" s="592"/>
      <c r="P961" s="592"/>
      <c r="Q961" s="592"/>
      <c r="R961" s="592"/>
      <c r="S961" s="592"/>
      <c r="T961" s="592"/>
      <c r="U961" s="592"/>
      <c r="V961" s="592"/>
      <c r="W961" s="592"/>
      <c r="X961" s="592"/>
      <c r="Y961" s="592"/>
      <c r="Z961" s="592"/>
      <c r="AA961" s="592"/>
      <c r="AB961" s="592"/>
      <c r="AC961" s="592"/>
      <c r="AD961" s="592"/>
      <c r="AE961" s="592"/>
      <c r="AF961" s="592"/>
      <c r="AG961" s="592"/>
    </row>
    <row r="962">
      <c r="E962" s="592"/>
      <c r="F962" s="591"/>
      <c r="G962" s="591"/>
      <c r="H962" s="592"/>
      <c r="I962" s="592"/>
      <c r="J962" s="592"/>
      <c r="K962" s="592"/>
      <c r="L962" s="592"/>
      <c r="M962" s="592"/>
      <c r="N962" s="592"/>
      <c r="O962" s="592"/>
      <c r="P962" s="592"/>
      <c r="Q962" s="592"/>
      <c r="R962" s="592"/>
      <c r="S962" s="592"/>
      <c r="T962" s="592"/>
      <c r="U962" s="592"/>
      <c r="V962" s="592"/>
      <c r="W962" s="592"/>
      <c r="X962" s="592"/>
      <c r="Y962" s="592"/>
      <c r="Z962" s="592"/>
      <c r="AA962" s="592"/>
      <c r="AB962" s="592"/>
      <c r="AC962" s="592"/>
      <c r="AD962" s="592"/>
      <c r="AE962" s="592"/>
      <c r="AF962" s="592"/>
      <c r="AG962" s="592"/>
    </row>
    <row r="963">
      <c r="E963" s="592"/>
      <c r="F963" s="591"/>
      <c r="G963" s="591"/>
      <c r="H963" s="592"/>
      <c r="I963" s="592"/>
      <c r="J963" s="592"/>
      <c r="K963" s="592"/>
      <c r="L963" s="592"/>
      <c r="M963" s="592"/>
      <c r="N963" s="592"/>
      <c r="O963" s="592"/>
      <c r="P963" s="592"/>
      <c r="Q963" s="592"/>
      <c r="R963" s="592"/>
      <c r="S963" s="592"/>
      <c r="T963" s="592"/>
      <c r="U963" s="592"/>
      <c r="V963" s="592"/>
      <c r="W963" s="592"/>
      <c r="X963" s="592"/>
      <c r="Y963" s="592"/>
      <c r="Z963" s="592"/>
      <c r="AA963" s="592"/>
      <c r="AB963" s="592"/>
      <c r="AC963" s="592"/>
      <c r="AD963" s="592"/>
      <c r="AE963" s="592"/>
      <c r="AF963" s="592"/>
      <c r="AG963" s="592"/>
    </row>
    <row r="964">
      <c r="E964" s="592"/>
      <c r="F964" s="591"/>
      <c r="G964" s="591"/>
      <c r="H964" s="592"/>
      <c r="I964" s="592"/>
      <c r="J964" s="592"/>
      <c r="K964" s="592"/>
      <c r="L964" s="592"/>
      <c r="M964" s="592"/>
      <c r="N964" s="592"/>
      <c r="O964" s="592"/>
      <c r="P964" s="592"/>
      <c r="Q964" s="592"/>
      <c r="R964" s="592"/>
      <c r="S964" s="592"/>
      <c r="T964" s="592"/>
      <c r="U964" s="592"/>
      <c r="V964" s="592"/>
      <c r="W964" s="592"/>
      <c r="X964" s="592"/>
      <c r="Y964" s="592"/>
      <c r="Z964" s="592"/>
      <c r="AA964" s="592"/>
      <c r="AB964" s="592"/>
      <c r="AC964" s="592"/>
      <c r="AD964" s="592"/>
      <c r="AE964" s="592"/>
      <c r="AF964" s="592"/>
      <c r="AG964" s="592"/>
    </row>
    <row r="965">
      <c r="E965" s="592"/>
      <c r="F965" s="591"/>
      <c r="G965" s="591"/>
      <c r="H965" s="592"/>
      <c r="I965" s="592"/>
      <c r="J965" s="592"/>
      <c r="K965" s="592"/>
      <c r="L965" s="592"/>
      <c r="M965" s="592"/>
      <c r="N965" s="592"/>
      <c r="O965" s="592"/>
      <c r="P965" s="592"/>
      <c r="Q965" s="592"/>
      <c r="R965" s="592"/>
      <c r="S965" s="592"/>
      <c r="T965" s="592"/>
      <c r="U965" s="592"/>
      <c r="V965" s="592"/>
      <c r="W965" s="592"/>
      <c r="X965" s="592"/>
      <c r="Y965" s="592"/>
      <c r="Z965" s="592"/>
      <c r="AA965" s="592"/>
      <c r="AB965" s="592"/>
      <c r="AC965" s="592"/>
      <c r="AD965" s="592"/>
      <c r="AE965" s="592"/>
      <c r="AF965" s="592"/>
      <c r="AG965" s="592"/>
    </row>
    <row r="966">
      <c r="E966" s="592"/>
      <c r="F966" s="591"/>
      <c r="G966" s="591"/>
      <c r="H966" s="592"/>
      <c r="I966" s="592"/>
      <c r="J966" s="592"/>
      <c r="K966" s="592"/>
      <c r="L966" s="592"/>
      <c r="M966" s="592"/>
      <c r="N966" s="592"/>
      <c r="O966" s="592"/>
      <c r="P966" s="592"/>
      <c r="Q966" s="592"/>
      <c r="R966" s="592"/>
      <c r="S966" s="592"/>
      <c r="T966" s="592"/>
      <c r="U966" s="592"/>
      <c r="V966" s="592"/>
      <c r="W966" s="592"/>
      <c r="X966" s="592"/>
      <c r="Y966" s="592"/>
      <c r="Z966" s="592"/>
      <c r="AA966" s="592"/>
      <c r="AB966" s="592"/>
      <c r="AC966" s="592"/>
      <c r="AD966" s="592"/>
      <c r="AE966" s="592"/>
      <c r="AF966" s="592"/>
      <c r="AG966" s="592"/>
    </row>
    <row r="967">
      <c r="E967" s="592"/>
      <c r="F967" s="591"/>
      <c r="G967" s="591"/>
      <c r="H967" s="592"/>
      <c r="I967" s="592"/>
      <c r="J967" s="592"/>
      <c r="K967" s="592"/>
      <c r="L967" s="592"/>
      <c r="M967" s="592"/>
      <c r="N967" s="592"/>
      <c r="O967" s="592"/>
      <c r="P967" s="592"/>
      <c r="Q967" s="592"/>
      <c r="R967" s="592"/>
      <c r="S967" s="592"/>
      <c r="T967" s="592"/>
      <c r="U967" s="592"/>
      <c r="V967" s="592"/>
      <c r="W967" s="592"/>
      <c r="X967" s="592"/>
      <c r="Y967" s="592"/>
      <c r="Z967" s="592"/>
      <c r="AA967" s="592"/>
      <c r="AB967" s="592"/>
      <c r="AC967" s="592"/>
      <c r="AD967" s="592"/>
      <c r="AE967" s="592"/>
      <c r="AF967" s="592"/>
      <c r="AG967" s="592"/>
    </row>
    <row r="968">
      <c r="E968" s="592"/>
      <c r="F968" s="591"/>
      <c r="G968" s="591"/>
      <c r="H968" s="592"/>
      <c r="I968" s="592"/>
      <c r="J968" s="592"/>
      <c r="K968" s="592"/>
      <c r="L968" s="592"/>
      <c r="M968" s="592"/>
      <c r="N968" s="592"/>
      <c r="O968" s="592"/>
      <c r="P968" s="592"/>
      <c r="Q968" s="592"/>
      <c r="R968" s="592"/>
      <c r="S968" s="592"/>
      <c r="T968" s="592"/>
      <c r="U968" s="592"/>
      <c r="V968" s="592"/>
      <c r="W968" s="592"/>
      <c r="X968" s="592"/>
      <c r="Y968" s="592"/>
      <c r="Z968" s="592"/>
      <c r="AA968" s="592"/>
      <c r="AB968" s="592"/>
      <c r="AC968" s="592"/>
      <c r="AD968" s="592"/>
      <c r="AE968" s="592"/>
      <c r="AF968" s="592"/>
      <c r="AG968" s="592"/>
    </row>
    <row r="969">
      <c r="E969" s="592"/>
      <c r="F969" s="591"/>
      <c r="G969" s="591"/>
      <c r="H969" s="592"/>
      <c r="I969" s="592"/>
      <c r="J969" s="592"/>
      <c r="K969" s="592"/>
      <c r="L969" s="592"/>
      <c r="M969" s="592"/>
      <c r="N969" s="592"/>
      <c r="O969" s="592"/>
      <c r="P969" s="592"/>
      <c r="Q969" s="592"/>
      <c r="R969" s="592"/>
      <c r="S969" s="592"/>
      <c r="T969" s="592"/>
      <c r="U969" s="592"/>
      <c r="V969" s="592"/>
      <c r="W969" s="592"/>
      <c r="X969" s="592"/>
      <c r="Y969" s="592"/>
      <c r="Z969" s="592"/>
      <c r="AA969" s="592"/>
      <c r="AB969" s="592"/>
      <c r="AC969" s="592"/>
      <c r="AD969" s="592"/>
      <c r="AE969" s="592"/>
      <c r="AF969" s="592"/>
      <c r="AG969" s="592"/>
    </row>
    <row r="970">
      <c r="E970" s="592"/>
      <c r="F970" s="591"/>
      <c r="G970" s="591"/>
      <c r="H970" s="592"/>
      <c r="I970" s="592"/>
      <c r="J970" s="592"/>
      <c r="K970" s="592"/>
      <c r="L970" s="592"/>
      <c r="M970" s="592"/>
      <c r="N970" s="592"/>
      <c r="O970" s="592"/>
      <c r="P970" s="592"/>
      <c r="Q970" s="592"/>
      <c r="R970" s="592"/>
      <c r="S970" s="592"/>
      <c r="T970" s="592"/>
      <c r="U970" s="592"/>
      <c r="V970" s="592"/>
      <c r="W970" s="592"/>
      <c r="X970" s="592"/>
      <c r="Y970" s="592"/>
      <c r="Z970" s="592"/>
      <c r="AA970" s="592"/>
      <c r="AB970" s="592"/>
      <c r="AC970" s="592"/>
      <c r="AD970" s="592"/>
      <c r="AE970" s="592"/>
      <c r="AF970" s="592"/>
      <c r="AG970" s="592"/>
    </row>
    <row r="971">
      <c r="E971" s="592"/>
      <c r="F971" s="591"/>
      <c r="G971" s="591"/>
      <c r="H971" s="592"/>
      <c r="I971" s="592"/>
      <c r="J971" s="592"/>
      <c r="K971" s="592"/>
      <c r="L971" s="592"/>
      <c r="M971" s="592"/>
      <c r="N971" s="592"/>
      <c r="O971" s="592"/>
      <c r="P971" s="592"/>
      <c r="Q971" s="592"/>
      <c r="R971" s="592"/>
      <c r="S971" s="592"/>
      <c r="T971" s="592"/>
      <c r="U971" s="592"/>
      <c r="V971" s="592"/>
      <c r="W971" s="592"/>
      <c r="X971" s="592"/>
      <c r="Y971" s="592"/>
      <c r="Z971" s="592"/>
      <c r="AA971" s="592"/>
      <c r="AB971" s="592"/>
      <c r="AC971" s="592"/>
      <c r="AD971" s="592"/>
      <c r="AE971" s="592"/>
      <c r="AF971" s="592"/>
      <c r="AG971" s="592"/>
    </row>
    <row r="972">
      <c r="E972" s="592"/>
      <c r="F972" s="591"/>
      <c r="G972" s="591"/>
      <c r="H972" s="592"/>
      <c r="I972" s="592"/>
      <c r="J972" s="592"/>
      <c r="K972" s="592"/>
      <c r="L972" s="592"/>
      <c r="M972" s="592"/>
      <c r="N972" s="592"/>
      <c r="O972" s="592"/>
      <c r="P972" s="592"/>
      <c r="Q972" s="592"/>
      <c r="R972" s="592"/>
      <c r="S972" s="592"/>
      <c r="T972" s="592"/>
      <c r="U972" s="592"/>
      <c r="V972" s="592"/>
      <c r="W972" s="592"/>
      <c r="X972" s="592"/>
      <c r="Y972" s="592"/>
      <c r="Z972" s="592"/>
      <c r="AA972" s="592"/>
      <c r="AB972" s="592"/>
      <c r="AC972" s="592"/>
      <c r="AD972" s="592"/>
      <c r="AE972" s="592"/>
      <c r="AF972" s="592"/>
      <c r="AG972" s="592"/>
    </row>
    <row r="973">
      <c r="E973" s="592"/>
      <c r="F973" s="591"/>
      <c r="G973" s="591"/>
      <c r="H973" s="592"/>
      <c r="I973" s="592"/>
      <c r="J973" s="592"/>
      <c r="K973" s="592"/>
      <c r="L973" s="592"/>
      <c r="M973" s="592"/>
      <c r="N973" s="592"/>
      <c r="O973" s="592"/>
      <c r="P973" s="592"/>
      <c r="Q973" s="592"/>
      <c r="R973" s="592"/>
      <c r="S973" s="592"/>
      <c r="T973" s="592"/>
      <c r="U973" s="592"/>
      <c r="V973" s="592"/>
      <c r="W973" s="592"/>
      <c r="X973" s="592"/>
      <c r="Y973" s="592"/>
      <c r="Z973" s="592"/>
      <c r="AA973" s="592"/>
      <c r="AB973" s="592"/>
      <c r="AC973" s="592"/>
      <c r="AD973" s="592"/>
      <c r="AE973" s="592"/>
      <c r="AF973" s="592"/>
      <c r="AG973" s="592"/>
    </row>
    <row r="974">
      <c r="E974" s="592"/>
      <c r="F974" s="591"/>
      <c r="G974" s="591"/>
      <c r="H974" s="592"/>
      <c r="I974" s="592"/>
      <c r="J974" s="592"/>
      <c r="K974" s="592"/>
      <c r="L974" s="592"/>
      <c r="M974" s="592"/>
      <c r="N974" s="592"/>
      <c r="O974" s="592"/>
      <c r="P974" s="592"/>
      <c r="Q974" s="592"/>
      <c r="R974" s="592"/>
      <c r="S974" s="592"/>
      <c r="T974" s="592"/>
      <c r="U974" s="592"/>
      <c r="V974" s="592"/>
      <c r="W974" s="592"/>
      <c r="X974" s="592"/>
      <c r="Y974" s="592"/>
      <c r="Z974" s="592"/>
      <c r="AA974" s="592"/>
      <c r="AB974" s="592"/>
      <c r="AC974" s="592"/>
      <c r="AD974" s="592"/>
      <c r="AE974" s="592"/>
      <c r="AF974" s="592"/>
      <c r="AG974" s="592"/>
    </row>
    <row r="975">
      <c r="E975" s="592"/>
      <c r="F975" s="591"/>
      <c r="G975" s="591"/>
      <c r="H975" s="592"/>
      <c r="I975" s="592"/>
      <c r="J975" s="592"/>
      <c r="K975" s="592"/>
      <c r="L975" s="592"/>
      <c r="M975" s="592"/>
      <c r="N975" s="592"/>
      <c r="O975" s="592"/>
      <c r="P975" s="592"/>
      <c r="Q975" s="592"/>
      <c r="R975" s="592"/>
      <c r="S975" s="592"/>
      <c r="T975" s="592"/>
      <c r="U975" s="592"/>
      <c r="V975" s="592"/>
      <c r="W975" s="592"/>
      <c r="X975" s="592"/>
      <c r="Y975" s="592"/>
      <c r="Z975" s="592"/>
      <c r="AA975" s="592"/>
      <c r="AB975" s="592"/>
      <c r="AC975" s="592"/>
      <c r="AD975" s="592"/>
      <c r="AE975" s="592"/>
      <c r="AF975" s="592"/>
      <c r="AG975" s="592"/>
    </row>
    <row r="976">
      <c r="E976" s="592"/>
      <c r="F976" s="591"/>
      <c r="G976" s="591"/>
      <c r="H976" s="592"/>
      <c r="I976" s="592"/>
      <c r="J976" s="592"/>
      <c r="K976" s="592"/>
      <c r="L976" s="592"/>
      <c r="M976" s="592"/>
      <c r="N976" s="592"/>
      <c r="O976" s="592"/>
      <c r="P976" s="592"/>
      <c r="Q976" s="592"/>
      <c r="R976" s="592"/>
      <c r="S976" s="592"/>
      <c r="T976" s="592"/>
      <c r="U976" s="592"/>
      <c r="V976" s="592"/>
      <c r="W976" s="592"/>
      <c r="X976" s="592"/>
      <c r="Y976" s="592"/>
      <c r="Z976" s="592"/>
      <c r="AA976" s="592"/>
      <c r="AB976" s="592"/>
      <c r="AC976" s="592"/>
      <c r="AD976" s="592"/>
      <c r="AE976" s="592"/>
      <c r="AF976" s="592"/>
      <c r="AG976" s="592"/>
    </row>
    <row r="977">
      <c r="E977" s="592"/>
      <c r="F977" s="591"/>
      <c r="G977" s="591"/>
      <c r="H977" s="592"/>
      <c r="I977" s="592"/>
      <c r="J977" s="592"/>
      <c r="K977" s="592"/>
      <c r="L977" s="592"/>
      <c r="M977" s="592"/>
      <c r="N977" s="592"/>
      <c r="O977" s="592"/>
      <c r="P977" s="592"/>
      <c r="Q977" s="592"/>
      <c r="R977" s="592"/>
      <c r="S977" s="592"/>
      <c r="T977" s="592"/>
      <c r="U977" s="592"/>
      <c r="V977" s="592"/>
      <c r="W977" s="592"/>
      <c r="X977" s="592"/>
      <c r="Y977" s="592"/>
      <c r="Z977" s="592"/>
      <c r="AA977" s="592"/>
      <c r="AB977" s="592"/>
      <c r="AC977" s="592"/>
      <c r="AD977" s="592"/>
      <c r="AE977" s="592"/>
      <c r="AF977" s="592"/>
      <c r="AG977" s="592"/>
    </row>
    <row r="978">
      <c r="E978" s="592"/>
      <c r="F978" s="591"/>
      <c r="G978" s="591"/>
      <c r="H978" s="592"/>
      <c r="I978" s="592"/>
      <c r="J978" s="592"/>
      <c r="K978" s="592"/>
      <c r="L978" s="592"/>
      <c r="M978" s="592"/>
      <c r="N978" s="592"/>
      <c r="O978" s="592"/>
      <c r="P978" s="592"/>
      <c r="Q978" s="592"/>
      <c r="R978" s="592"/>
      <c r="S978" s="592"/>
      <c r="T978" s="592"/>
      <c r="U978" s="592"/>
      <c r="V978" s="592"/>
      <c r="W978" s="592"/>
      <c r="X978" s="592"/>
      <c r="Y978" s="592"/>
      <c r="Z978" s="592"/>
      <c r="AA978" s="592"/>
      <c r="AB978" s="592"/>
      <c r="AC978" s="592"/>
      <c r="AD978" s="592"/>
      <c r="AE978" s="592"/>
      <c r="AF978" s="592"/>
      <c r="AG978" s="592"/>
    </row>
    <row r="979">
      <c r="E979" s="592"/>
      <c r="F979" s="591"/>
      <c r="G979" s="591"/>
      <c r="H979" s="592"/>
      <c r="I979" s="592"/>
      <c r="J979" s="592"/>
      <c r="K979" s="592"/>
      <c r="L979" s="592"/>
      <c r="M979" s="592"/>
      <c r="N979" s="592"/>
      <c r="O979" s="592"/>
      <c r="P979" s="592"/>
      <c r="Q979" s="592"/>
      <c r="R979" s="592"/>
      <c r="S979" s="592"/>
      <c r="T979" s="592"/>
      <c r="U979" s="592"/>
      <c r="V979" s="592"/>
      <c r="W979" s="592"/>
      <c r="X979" s="592"/>
      <c r="Y979" s="592"/>
      <c r="Z979" s="592"/>
      <c r="AA979" s="592"/>
      <c r="AB979" s="592"/>
      <c r="AC979" s="592"/>
      <c r="AD979" s="592"/>
      <c r="AE979" s="592"/>
      <c r="AF979" s="592"/>
      <c r="AG979" s="592"/>
    </row>
    <row r="980">
      <c r="E980" s="592"/>
      <c r="F980" s="591"/>
      <c r="G980" s="591"/>
      <c r="H980" s="592"/>
      <c r="I980" s="592"/>
      <c r="J980" s="592"/>
      <c r="K980" s="592"/>
      <c r="L980" s="592"/>
      <c r="M980" s="592"/>
      <c r="N980" s="592"/>
      <c r="O980" s="592"/>
      <c r="P980" s="592"/>
      <c r="Q980" s="592"/>
      <c r="R980" s="592"/>
      <c r="S980" s="592"/>
      <c r="T980" s="592"/>
      <c r="U980" s="592"/>
      <c r="V980" s="592"/>
      <c r="W980" s="592"/>
      <c r="X980" s="592"/>
      <c r="Y980" s="592"/>
      <c r="Z980" s="592"/>
      <c r="AA980" s="592"/>
      <c r="AB980" s="592"/>
      <c r="AC980" s="592"/>
      <c r="AD980" s="592"/>
      <c r="AE980" s="592"/>
      <c r="AF980" s="592"/>
      <c r="AG980" s="592"/>
    </row>
    <row r="981">
      <c r="E981" s="592"/>
      <c r="F981" s="591"/>
      <c r="G981" s="591"/>
      <c r="H981" s="592"/>
      <c r="I981" s="592"/>
      <c r="J981" s="592"/>
      <c r="K981" s="592"/>
      <c r="L981" s="592"/>
      <c r="M981" s="592"/>
      <c r="N981" s="592"/>
      <c r="O981" s="592"/>
      <c r="P981" s="592"/>
      <c r="Q981" s="592"/>
      <c r="R981" s="592"/>
      <c r="S981" s="592"/>
      <c r="T981" s="592"/>
      <c r="U981" s="592"/>
      <c r="V981" s="592"/>
      <c r="W981" s="592"/>
      <c r="X981" s="592"/>
      <c r="Y981" s="592"/>
      <c r="Z981" s="592"/>
      <c r="AA981" s="592"/>
      <c r="AB981" s="592"/>
      <c r="AC981" s="592"/>
      <c r="AD981" s="592"/>
      <c r="AE981" s="592"/>
      <c r="AF981" s="592"/>
      <c r="AG981" s="592"/>
    </row>
    <row r="982">
      <c r="E982" s="592"/>
      <c r="F982" s="591"/>
      <c r="G982" s="591"/>
      <c r="H982" s="592"/>
      <c r="I982" s="592"/>
      <c r="J982" s="592"/>
      <c r="K982" s="592"/>
      <c r="L982" s="592"/>
      <c r="M982" s="592"/>
      <c r="N982" s="592"/>
      <c r="O982" s="592"/>
      <c r="P982" s="592"/>
      <c r="Q982" s="592"/>
      <c r="R982" s="592"/>
      <c r="S982" s="592"/>
      <c r="T982" s="592"/>
      <c r="U982" s="592"/>
      <c r="V982" s="592"/>
      <c r="W982" s="592"/>
      <c r="X982" s="592"/>
      <c r="Y982" s="592"/>
      <c r="Z982" s="592"/>
      <c r="AA982" s="592"/>
      <c r="AB982" s="592"/>
      <c r="AC982" s="592"/>
      <c r="AD982" s="592"/>
      <c r="AE982" s="592"/>
      <c r="AF982" s="592"/>
      <c r="AG982" s="592"/>
    </row>
    <row r="983">
      <c r="E983" s="592"/>
      <c r="F983" s="591"/>
      <c r="G983" s="591"/>
      <c r="H983" s="592"/>
      <c r="I983" s="592"/>
      <c r="J983" s="592"/>
      <c r="K983" s="592"/>
      <c r="L983" s="592"/>
      <c r="M983" s="592"/>
      <c r="N983" s="592"/>
      <c r="O983" s="592"/>
      <c r="P983" s="592"/>
      <c r="Q983" s="592"/>
      <c r="R983" s="592"/>
      <c r="S983" s="592"/>
      <c r="T983" s="592"/>
      <c r="U983" s="592"/>
      <c r="V983" s="592"/>
      <c r="W983" s="592"/>
      <c r="X983" s="592"/>
      <c r="Y983" s="592"/>
      <c r="Z983" s="592"/>
      <c r="AA983" s="592"/>
      <c r="AB983" s="592"/>
      <c r="AC983" s="592"/>
      <c r="AD983" s="592"/>
      <c r="AE983" s="592"/>
      <c r="AF983" s="592"/>
      <c r="AG983" s="592"/>
    </row>
    <row r="984">
      <c r="E984" s="592"/>
      <c r="F984" s="591"/>
      <c r="G984" s="591"/>
      <c r="H984" s="592"/>
      <c r="I984" s="592"/>
      <c r="J984" s="592"/>
      <c r="K984" s="592"/>
      <c r="L984" s="592"/>
      <c r="M984" s="592"/>
      <c r="N984" s="592"/>
      <c r="O984" s="592"/>
      <c r="P984" s="592"/>
      <c r="Q984" s="592"/>
      <c r="R984" s="592"/>
      <c r="S984" s="592"/>
      <c r="T984" s="592"/>
      <c r="U984" s="592"/>
      <c r="V984" s="592"/>
      <c r="W984" s="592"/>
      <c r="X984" s="592"/>
      <c r="Y984" s="592"/>
      <c r="Z984" s="592"/>
      <c r="AA984" s="592"/>
      <c r="AB984" s="592"/>
      <c r="AC984" s="592"/>
      <c r="AD984" s="592"/>
      <c r="AE984" s="592"/>
      <c r="AF984" s="592"/>
      <c r="AG984" s="592"/>
    </row>
    <row r="985">
      <c r="E985" s="592"/>
      <c r="F985" s="591"/>
      <c r="G985" s="591"/>
      <c r="H985" s="592"/>
      <c r="I985" s="592"/>
      <c r="J985" s="592"/>
      <c r="K985" s="592"/>
      <c r="L985" s="592"/>
      <c r="M985" s="592"/>
      <c r="N985" s="592"/>
      <c r="O985" s="592"/>
      <c r="P985" s="592"/>
      <c r="Q985" s="592"/>
      <c r="R985" s="592"/>
      <c r="S985" s="592"/>
      <c r="T985" s="592"/>
      <c r="U985" s="592"/>
      <c r="V985" s="592"/>
      <c r="W985" s="592"/>
      <c r="X985" s="592"/>
      <c r="Y985" s="592"/>
      <c r="Z985" s="592"/>
      <c r="AA985" s="592"/>
      <c r="AB985" s="592"/>
      <c r="AC985" s="592"/>
      <c r="AD985" s="592"/>
      <c r="AE985" s="592"/>
      <c r="AF985" s="592"/>
      <c r="AG985" s="592"/>
    </row>
    <row r="986">
      <c r="E986" s="592"/>
      <c r="F986" s="591"/>
      <c r="G986" s="591"/>
      <c r="H986" s="592"/>
      <c r="I986" s="592"/>
      <c r="J986" s="592"/>
      <c r="K986" s="592"/>
      <c r="L986" s="592"/>
      <c r="M986" s="592"/>
      <c r="N986" s="592"/>
      <c r="O986" s="592"/>
      <c r="P986" s="592"/>
      <c r="Q986" s="592"/>
      <c r="R986" s="592"/>
      <c r="S986" s="592"/>
      <c r="T986" s="592"/>
      <c r="U986" s="592"/>
      <c r="V986" s="592"/>
      <c r="W986" s="592"/>
      <c r="X986" s="592"/>
      <c r="Y986" s="592"/>
      <c r="Z986" s="592"/>
      <c r="AA986" s="592"/>
      <c r="AB986" s="592"/>
      <c r="AC986" s="592"/>
      <c r="AD986" s="592"/>
      <c r="AE986" s="592"/>
      <c r="AF986" s="592"/>
      <c r="AG986" s="592"/>
    </row>
    <row r="987">
      <c r="E987" s="592"/>
      <c r="F987" s="591"/>
      <c r="G987" s="591"/>
      <c r="H987" s="592"/>
      <c r="I987" s="592"/>
      <c r="J987" s="592"/>
      <c r="K987" s="592"/>
      <c r="L987" s="592"/>
      <c r="M987" s="592"/>
      <c r="N987" s="592"/>
      <c r="O987" s="592"/>
      <c r="P987" s="592"/>
      <c r="Q987" s="592"/>
      <c r="R987" s="592"/>
      <c r="S987" s="592"/>
      <c r="T987" s="592"/>
      <c r="U987" s="592"/>
      <c r="V987" s="592"/>
      <c r="W987" s="592"/>
      <c r="X987" s="592"/>
      <c r="Y987" s="592"/>
      <c r="Z987" s="592"/>
      <c r="AA987" s="592"/>
      <c r="AB987" s="592"/>
      <c r="AC987" s="592"/>
      <c r="AD987" s="592"/>
      <c r="AE987" s="592"/>
      <c r="AF987" s="592"/>
      <c r="AG987" s="592"/>
    </row>
    <row r="988">
      <c r="E988" s="592"/>
      <c r="F988" s="591"/>
      <c r="G988" s="591"/>
      <c r="H988" s="592"/>
      <c r="I988" s="592"/>
      <c r="J988" s="592"/>
      <c r="K988" s="592"/>
      <c r="L988" s="592"/>
      <c r="M988" s="592"/>
      <c r="N988" s="592"/>
      <c r="O988" s="592"/>
      <c r="P988" s="592"/>
      <c r="Q988" s="592"/>
      <c r="R988" s="592"/>
      <c r="S988" s="592"/>
      <c r="T988" s="592"/>
      <c r="U988" s="592"/>
      <c r="V988" s="592"/>
      <c r="W988" s="592"/>
      <c r="X988" s="592"/>
      <c r="Y988" s="592"/>
      <c r="Z988" s="592"/>
      <c r="AA988" s="592"/>
      <c r="AB988" s="592"/>
      <c r="AC988" s="592"/>
      <c r="AD988" s="592"/>
      <c r="AE988" s="592"/>
      <c r="AF988" s="592"/>
      <c r="AG988" s="592"/>
    </row>
    <row r="989">
      <c r="E989" s="592"/>
      <c r="F989" s="591"/>
      <c r="G989" s="591"/>
      <c r="H989" s="592"/>
      <c r="I989" s="592"/>
      <c r="J989" s="592"/>
      <c r="K989" s="592"/>
      <c r="L989" s="592"/>
      <c r="M989" s="592"/>
      <c r="N989" s="592"/>
      <c r="O989" s="592"/>
      <c r="P989" s="592"/>
      <c r="Q989" s="592"/>
      <c r="R989" s="592"/>
      <c r="S989" s="592"/>
      <c r="T989" s="592"/>
      <c r="U989" s="592"/>
      <c r="V989" s="592"/>
      <c r="W989" s="592"/>
      <c r="X989" s="592"/>
      <c r="Y989" s="592"/>
      <c r="Z989" s="592"/>
      <c r="AA989" s="592"/>
      <c r="AB989" s="592"/>
      <c r="AC989" s="592"/>
      <c r="AD989" s="592"/>
      <c r="AE989" s="592"/>
      <c r="AF989" s="592"/>
      <c r="AG989" s="592"/>
    </row>
    <row r="990">
      <c r="E990" s="592"/>
      <c r="F990" s="591"/>
      <c r="G990" s="591"/>
      <c r="H990" s="592"/>
      <c r="I990" s="592"/>
      <c r="J990" s="592"/>
      <c r="K990" s="592"/>
      <c r="L990" s="592"/>
      <c r="M990" s="592"/>
      <c r="N990" s="592"/>
      <c r="O990" s="592"/>
      <c r="P990" s="592"/>
      <c r="Q990" s="592"/>
      <c r="R990" s="592"/>
      <c r="S990" s="592"/>
      <c r="T990" s="592"/>
      <c r="U990" s="592"/>
      <c r="V990" s="592"/>
      <c r="W990" s="592"/>
      <c r="X990" s="592"/>
      <c r="Y990" s="592"/>
      <c r="Z990" s="592"/>
      <c r="AA990" s="592"/>
      <c r="AB990" s="592"/>
      <c r="AC990" s="592"/>
      <c r="AD990" s="592"/>
      <c r="AE990" s="592"/>
      <c r="AF990" s="592"/>
      <c r="AG990" s="592"/>
    </row>
    <row r="991">
      <c r="E991" s="592"/>
      <c r="F991" s="591"/>
      <c r="G991" s="591"/>
      <c r="H991" s="592"/>
      <c r="I991" s="592"/>
      <c r="J991" s="592"/>
      <c r="K991" s="592"/>
      <c r="L991" s="592"/>
      <c r="M991" s="592"/>
      <c r="N991" s="592"/>
      <c r="O991" s="592"/>
      <c r="P991" s="592"/>
      <c r="Q991" s="592"/>
      <c r="R991" s="592"/>
      <c r="S991" s="592"/>
      <c r="T991" s="592"/>
      <c r="U991" s="592"/>
      <c r="V991" s="592"/>
      <c r="W991" s="592"/>
      <c r="X991" s="592"/>
      <c r="Y991" s="592"/>
      <c r="Z991" s="592"/>
      <c r="AA991" s="592"/>
      <c r="AB991" s="592"/>
      <c r="AC991" s="592"/>
      <c r="AD991" s="592"/>
      <c r="AE991" s="592"/>
      <c r="AF991" s="592"/>
      <c r="AG991" s="592"/>
    </row>
    <row r="992">
      <c r="E992" s="592"/>
      <c r="F992" s="591"/>
      <c r="G992" s="591"/>
      <c r="H992" s="592"/>
      <c r="I992" s="592"/>
      <c r="J992" s="592"/>
      <c r="K992" s="592"/>
      <c r="L992" s="592"/>
      <c r="M992" s="592"/>
      <c r="N992" s="592"/>
      <c r="O992" s="592"/>
      <c r="P992" s="592"/>
      <c r="Q992" s="592"/>
      <c r="R992" s="592"/>
      <c r="S992" s="592"/>
      <c r="T992" s="592"/>
      <c r="U992" s="592"/>
      <c r="V992" s="592"/>
      <c r="W992" s="592"/>
      <c r="X992" s="592"/>
      <c r="Y992" s="592"/>
      <c r="Z992" s="592"/>
      <c r="AA992" s="592"/>
      <c r="AB992" s="592"/>
      <c r="AC992" s="592"/>
      <c r="AD992" s="592"/>
      <c r="AE992" s="592"/>
      <c r="AF992" s="592"/>
      <c r="AG992" s="592"/>
    </row>
    <row r="993">
      <c r="E993" s="592"/>
      <c r="F993" s="591"/>
      <c r="G993" s="591"/>
      <c r="H993" s="592"/>
      <c r="I993" s="592"/>
      <c r="J993" s="592"/>
      <c r="K993" s="592"/>
      <c r="L993" s="592"/>
      <c r="M993" s="592"/>
      <c r="N993" s="592"/>
      <c r="O993" s="592"/>
      <c r="P993" s="592"/>
      <c r="Q993" s="592"/>
      <c r="R993" s="592"/>
      <c r="S993" s="592"/>
      <c r="T993" s="592"/>
      <c r="U993" s="592"/>
      <c r="V993" s="592"/>
      <c r="W993" s="592"/>
      <c r="X993" s="592"/>
      <c r="Y993" s="592"/>
      <c r="Z993" s="592"/>
      <c r="AA993" s="592"/>
      <c r="AB993" s="592"/>
      <c r="AC993" s="592"/>
      <c r="AD993" s="592"/>
      <c r="AE993" s="592"/>
      <c r="AF993" s="592"/>
      <c r="AG993" s="592"/>
    </row>
    <row r="994">
      <c r="E994" s="592"/>
      <c r="F994" s="591"/>
      <c r="G994" s="591"/>
      <c r="H994" s="592"/>
      <c r="I994" s="592"/>
      <c r="J994" s="592"/>
      <c r="K994" s="592"/>
      <c r="L994" s="592"/>
      <c r="M994" s="592"/>
      <c r="N994" s="592"/>
      <c r="O994" s="592"/>
      <c r="P994" s="592"/>
      <c r="Q994" s="592"/>
      <c r="R994" s="592"/>
      <c r="S994" s="592"/>
      <c r="T994" s="592"/>
      <c r="U994" s="592"/>
      <c r="V994" s="592"/>
      <c r="W994" s="592"/>
      <c r="X994" s="592"/>
      <c r="Y994" s="592"/>
      <c r="Z994" s="592"/>
      <c r="AA994" s="592"/>
      <c r="AB994" s="592"/>
      <c r="AC994" s="592"/>
      <c r="AD994" s="592"/>
      <c r="AE994" s="592"/>
      <c r="AF994" s="592"/>
      <c r="AG994" s="592"/>
    </row>
    <row r="995">
      <c r="E995" s="592"/>
      <c r="F995" s="591"/>
      <c r="G995" s="591"/>
      <c r="H995" s="592"/>
      <c r="I995" s="592"/>
      <c r="J995" s="592"/>
      <c r="K995" s="592"/>
      <c r="L995" s="592"/>
      <c r="M995" s="592"/>
      <c r="N995" s="592"/>
      <c r="O995" s="592"/>
      <c r="P995" s="592"/>
      <c r="Q995" s="592"/>
      <c r="R995" s="592"/>
      <c r="S995" s="592"/>
      <c r="T995" s="592"/>
      <c r="U995" s="592"/>
      <c r="V995" s="592"/>
      <c r="W995" s="592"/>
      <c r="X995" s="592"/>
      <c r="Y995" s="592"/>
      <c r="Z995" s="592"/>
      <c r="AA995" s="592"/>
      <c r="AB995" s="592"/>
      <c r="AC995" s="592"/>
      <c r="AD995" s="592"/>
      <c r="AE995" s="592"/>
      <c r="AF995" s="592"/>
      <c r="AG995" s="592"/>
    </row>
    <row r="996">
      <c r="E996" s="592"/>
      <c r="F996" s="591"/>
      <c r="G996" s="591"/>
      <c r="H996" s="592"/>
      <c r="I996" s="592"/>
      <c r="J996" s="592"/>
      <c r="K996" s="592"/>
      <c r="L996" s="592"/>
      <c r="M996" s="592"/>
      <c r="N996" s="592"/>
      <c r="O996" s="592"/>
      <c r="P996" s="592"/>
      <c r="Q996" s="592"/>
      <c r="R996" s="592"/>
      <c r="S996" s="592"/>
      <c r="T996" s="592"/>
      <c r="U996" s="592"/>
      <c r="V996" s="592"/>
      <c r="W996" s="592"/>
      <c r="X996" s="592"/>
      <c r="Y996" s="592"/>
      <c r="Z996" s="592"/>
      <c r="AA996" s="592"/>
      <c r="AB996" s="592"/>
      <c r="AC996" s="592"/>
      <c r="AD996" s="592"/>
      <c r="AE996" s="592"/>
      <c r="AF996" s="592"/>
      <c r="AG996" s="592"/>
    </row>
    <row r="997">
      <c r="E997" s="592"/>
      <c r="F997" s="591"/>
      <c r="G997" s="591"/>
      <c r="H997" s="592"/>
      <c r="I997" s="592"/>
      <c r="J997" s="592"/>
      <c r="K997" s="592"/>
      <c r="L997" s="592"/>
      <c r="M997" s="592"/>
      <c r="N997" s="592"/>
      <c r="O997" s="592"/>
      <c r="P997" s="592"/>
      <c r="Q997" s="592"/>
      <c r="R997" s="592"/>
      <c r="S997" s="592"/>
      <c r="T997" s="592"/>
      <c r="U997" s="592"/>
      <c r="V997" s="592"/>
      <c r="W997" s="592"/>
      <c r="X997" s="592"/>
      <c r="Y997" s="592"/>
      <c r="Z997" s="592"/>
      <c r="AA997" s="592"/>
      <c r="AB997" s="592"/>
      <c r="AC997" s="592"/>
      <c r="AD997" s="592"/>
      <c r="AE997" s="592"/>
      <c r="AF997" s="592"/>
      <c r="AG997" s="592"/>
    </row>
    <row r="998">
      <c r="E998" s="592"/>
      <c r="F998" s="591"/>
      <c r="G998" s="591"/>
      <c r="H998" s="592"/>
      <c r="I998" s="592"/>
      <c r="J998" s="592"/>
      <c r="K998" s="592"/>
      <c r="L998" s="592"/>
      <c r="M998" s="592"/>
      <c r="N998" s="592"/>
      <c r="O998" s="592"/>
      <c r="P998" s="592"/>
      <c r="Q998" s="592"/>
      <c r="R998" s="592"/>
      <c r="S998" s="592"/>
      <c r="T998" s="592"/>
      <c r="U998" s="592"/>
      <c r="V998" s="592"/>
      <c r="W998" s="592"/>
      <c r="X998" s="592"/>
      <c r="Y998" s="592"/>
      <c r="Z998" s="592"/>
      <c r="AA998" s="592"/>
      <c r="AB998" s="592"/>
      <c r="AC998" s="592"/>
      <c r="AD998" s="592"/>
      <c r="AE998" s="592"/>
      <c r="AF998" s="592"/>
      <c r="AG998" s="592"/>
    </row>
    <row r="999">
      <c r="E999" s="592"/>
      <c r="F999" s="591"/>
      <c r="G999" s="591"/>
      <c r="H999" s="592"/>
      <c r="I999" s="592"/>
      <c r="J999" s="592"/>
      <c r="K999" s="592"/>
      <c r="L999" s="592"/>
      <c r="M999" s="592"/>
      <c r="N999" s="592"/>
      <c r="O999" s="592"/>
      <c r="P999" s="592"/>
      <c r="Q999" s="592"/>
      <c r="R999" s="592"/>
      <c r="S999" s="592"/>
      <c r="T999" s="592"/>
      <c r="U999" s="592"/>
      <c r="V999" s="592"/>
      <c r="W999" s="592"/>
      <c r="X999" s="592"/>
      <c r="Y999" s="592"/>
      <c r="Z999" s="592"/>
      <c r="AA999" s="592"/>
      <c r="AB999" s="592"/>
      <c r="AC999" s="592"/>
      <c r="AD999" s="592"/>
      <c r="AE999" s="592"/>
      <c r="AF999" s="592"/>
      <c r="AG999" s="592"/>
    </row>
    <row r="1000">
      <c r="E1000" s="592"/>
      <c r="F1000" s="591"/>
      <c r="G1000" s="591"/>
      <c r="H1000" s="592"/>
      <c r="I1000" s="592"/>
      <c r="J1000" s="592"/>
      <c r="K1000" s="592"/>
      <c r="L1000" s="592"/>
      <c r="M1000" s="592"/>
      <c r="N1000" s="592"/>
      <c r="O1000" s="592"/>
      <c r="P1000" s="592"/>
      <c r="Q1000" s="592"/>
      <c r="R1000" s="592"/>
      <c r="S1000" s="592"/>
      <c r="T1000" s="592"/>
      <c r="U1000" s="592"/>
      <c r="V1000" s="592"/>
      <c r="W1000" s="592"/>
      <c r="X1000" s="592"/>
      <c r="Y1000" s="592"/>
      <c r="Z1000" s="592"/>
      <c r="AA1000" s="592"/>
      <c r="AB1000" s="592"/>
      <c r="AC1000" s="592"/>
      <c r="AD1000" s="592"/>
      <c r="AE1000" s="592"/>
      <c r="AF1000" s="592"/>
      <c r="AG1000" s="592"/>
    </row>
    <row r="1001">
      <c r="E1001" s="592"/>
      <c r="F1001" s="591"/>
      <c r="G1001" s="591"/>
      <c r="H1001" s="592"/>
      <c r="I1001" s="592"/>
      <c r="J1001" s="592"/>
      <c r="K1001" s="592"/>
      <c r="L1001" s="592"/>
      <c r="M1001" s="592"/>
      <c r="N1001" s="592"/>
      <c r="O1001" s="592"/>
      <c r="P1001" s="592"/>
      <c r="Q1001" s="592"/>
      <c r="R1001" s="592"/>
      <c r="S1001" s="592"/>
      <c r="T1001" s="592"/>
      <c r="U1001" s="592"/>
      <c r="V1001" s="592"/>
      <c r="W1001" s="592"/>
      <c r="X1001" s="592"/>
      <c r="Y1001" s="592"/>
      <c r="Z1001" s="592"/>
      <c r="AA1001" s="592"/>
      <c r="AB1001" s="592"/>
      <c r="AC1001" s="592"/>
      <c r="AD1001" s="592"/>
      <c r="AE1001" s="592"/>
      <c r="AF1001" s="592"/>
      <c r="AG1001" s="592"/>
    </row>
  </sheetData>
  <conditionalFormatting sqref="C1">
    <cfRule type="expression" dxfId="0" priority="1">
      <formula>countif(B:B,C1)&gt;1</formula>
    </cfRule>
  </conditionalFormatting>
  <conditionalFormatting sqref="B6:B1001">
    <cfRule type="expression" dxfId="1" priority="2">
      <formula>AF6:AF1001</formula>
    </cfRule>
  </conditionalFormatting>
  <conditionalFormatting sqref="AF6:AF1001">
    <cfRule type="notContainsBlanks" dxfId="1" priority="3">
      <formula>LEN(TRIM(AF6))&gt;0</formula>
    </cfRule>
  </conditionalFormatting>
  <conditionalFormatting sqref="I1:I1001">
    <cfRule type="cellIs" dxfId="1" priority="4" operator="lessThan">
      <formula>"50%"</formula>
    </cfRule>
  </conditionalFormatting>
  <dataValidations>
    <dataValidation type="list" allowBlank="1" showErrorMessage="1" sqref="D2">
      <formula1>'Jul Month'!$AV$2:$AV1001</formula1>
    </dataValidation>
    <dataValidation type="list" allowBlank="1" showErrorMessage="1" sqref="C2">
      <formula1>'Summary Jul'!$AI$5:$AI1001</formula1>
    </dataValidation>
    <dataValidation type="list" allowBlank="1" showErrorMessage="1" sqref="B2">
      <formula1>'Jul Month'!$A$2:$A1001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26.75"/>
  </cols>
  <sheetData>
    <row r="1">
      <c r="A1" s="602" t="s">
        <v>1770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</row>
    <row r="2">
      <c r="A2" s="603"/>
      <c r="B2" s="602" t="s">
        <v>1264</v>
      </c>
      <c r="C2" s="602" t="s">
        <v>1771</v>
      </c>
      <c r="D2" s="602" t="s">
        <v>1021</v>
      </c>
      <c r="E2" s="602" t="s">
        <v>1772</v>
      </c>
      <c r="F2" s="602" t="s">
        <v>1773</v>
      </c>
      <c r="G2" s="602" t="s">
        <v>1026</v>
      </c>
      <c r="H2" s="602" t="s">
        <v>1030</v>
      </c>
      <c r="I2" s="602" t="s">
        <v>1033</v>
      </c>
      <c r="J2" s="602" t="s">
        <v>1035</v>
      </c>
      <c r="K2" s="602" t="s">
        <v>1037</v>
      </c>
      <c r="L2" s="602" t="s">
        <v>1040</v>
      </c>
      <c r="M2" s="602" t="s">
        <v>1041</v>
      </c>
      <c r="N2" s="602" t="s">
        <v>1043</v>
      </c>
    </row>
    <row r="3">
      <c r="A3" s="604" t="s">
        <v>346</v>
      </c>
      <c r="B3" s="605">
        <v>1.65E7</v>
      </c>
      <c r="C3" s="605">
        <v>792000.0</v>
      </c>
      <c r="D3" s="605">
        <v>1584000.0</v>
      </c>
      <c r="E3" s="605">
        <v>1584000.0</v>
      </c>
      <c r="F3" s="605">
        <v>907500.0</v>
      </c>
      <c r="G3" s="605">
        <v>1270500.0</v>
      </c>
      <c r="H3" s="605">
        <v>1452000.0</v>
      </c>
      <c r="I3" s="605">
        <v>1031250.0</v>
      </c>
      <c r="J3" s="605">
        <v>1443750.0</v>
      </c>
      <c r="K3" s="605">
        <v>1650000.0</v>
      </c>
      <c r="L3" s="605">
        <v>1196250.0</v>
      </c>
      <c r="M3" s="605">
        <v>1674750.0</v>
      </c>
      <c r="N3" s="605">
        <v>1914000.0</v>
      </c>
      <c r="O3" s="124">
        <f t="shared" ref="O3:O6" si="1">Sum(C3:I3)</f>
        <v>8621250</v>
      </c>
    </row>
    <row r="4">
      <c r="A4" s="606" t="s">
        <v>99</v>
      </c>
      <c r="B4" s="605">
        <v>1.6E7</v>
      </c>
      <c r="C4" s="605">
        <v>768000.0</v>
      </c>
      <c r="D4" s="605">
        <v>1536000.0</v>
      </c>
      <c r="E4" s="605">
        <v>1536000.0</v>
      </c>
      <c r="F4" s="605">
        <v>880000.0</v>
      </c>
      <c r="G4" s="605">
        <v>1232000.0</v>
      </c>
      <c r="H4" s="605">
        <v>1408000.0</v>
      </c>
      <c r="I4" s="605">
        <v>1000000.0</v>
      </c>
      <c r="J4" s="605">
        <v>1500000.0</v>
      </c>
      <c r="K4" s="605">
        <v>1500000.0</v>
      </c>
      <c r="L4" s="605">
        <v>1500000.0</v>
      </c>
      <c r="M4" s="605">
        <v>1500000.0</v>
      </c>
      <c r="N4" s="605">
        <v>1500000.0</v>
      </c>
      <c r="O4" s="124">
        <f t="shared" si="1"/>
        <v>8360000</v>
      </c>
    </row>
    <row r="5">
      <c r="A5" s="602" t="s">
        <v>1005</v>
      </c>
      <c r="B5" s="605">
        <v>1.0575E7</v>
      </c>
      <c r="C5" s="603"/>
      <c r="D5" s="603"/>
      <c r="E5" s="603"/>
      <c r="F5" s="603"/>
      <c r="G5" s="605">
        <v>1155000.0</v>
      </c>
      <c r="H5" s="605">
        <v>1320000.0</v>
      </c>
      <c r="I5" s="605">
        <v>937500.0</v>
      </c>
      <c r="J5" s="605">
        <v>1312500.0</v>
      </c>
      <c r="K5" s="605">
        <v>1500000.0</v>
      </c>
      <c r="L5" s="605">
        <v>1087500.0</v>
      </c>
      <c r="M5" s="605">
        <v>1522500.0</v>
      </c>
      <c r="N5" s="605">
        <v>1740000.0</v>
      </c>
      <c r="O5" s="124">
        <f t="shared" si="1"/>
        <v>3412500</v>
      </c>
    </row>
    <row r="6">
      <c r="A6" s="606" t="s">
        <v>104</v>
      </c>
      <c r="B6" s="605">
        <v>1.6E7</v>
      </c>
      <c r="C6" s="605">
        <v>768000.0</v>
      </c>
      <c r="D6" s="605">
        <v>1536000.0</v>
      </c>
      <c r="E6" s="605">
        <v>1536000.0</v>
      </c>
      <c r="F6" s="605">
        <v>880000.0</v>
      </c>
      <c r="G6" s="605">
        <v>1232000.0</v>
      </c>
      <c r="H6" s="605">
        <v>1408000.0</v>
      </c>
      <c r="I6" s="605">
        <v>1000000.0</v>
      </c>
      <c r="J6" s="605">
        <v>1500000.0</v>
      </c>
      <c r="K6" s="605">
        <v>1500000.0</v>
      </c>
      <c r="L6" s="605">
        <v>1500000.0</v>
      </c>
      <c r="M6" s="605">
        <v>1500000.0</v>
      </c>
      <c r="N6" s="605">
        <v>1500000.0</v>
      </c>
      <c r="O6" s="124">
        <f t="shared" si="1"/>
        <v>8360000</v>
      </c>
    </row>
    <row r="7">
      <c r="A7" s="607" t="s">
        <v>1774</v>
      </c>
      <c r="B7" s="605">
        <v>2.2575E7</v>
      </c>
      <c r="C7" s="605">
        <v>1083600.0</v>
      </c>
      <c r="D7" s="605">
        <v>2167200.0</v>
      </c>
      <c r="E7" s="605">
        <v>2167200.0</v>
      </c>
      <c r="F7" s="605">
        <v>1241625.0</v>
      </c>
      <c r="G7" s="605">
        <v>1738275.0</v>
      </c>
      <c r="H7" s="605">
        <v>1986600.0</v>
      </c>
      <c r="I7" s="605">
        <v>1410937.5</v>
      </c>
      <c r="J7" s="605">
        <v>1975312.5</v>
      </c>
      <c r="K7" s="605">
        <v>2257500.0</v>
      </c>
      <c r="L7" s="605">
        <v>1636687.5</v>
      </c>
      <c r="M7" s="605">
        <v>2291362.5</v>
      </c>
      <c r="N7" s="605">
        <v>2618700.0</v>
      </c>
      <c r="O7" s="124">
        <f t="shared" ref="O7:O8" si="2">Sum(C7:G7)</f>
        <v>8397900</v>
      </c>
    </row>
    <row r="8">
      <c r="A8" s="606" t="s">
        <v>341</v>
      </c>
      <c r="B8" s="605">
        <v>1.6E7</v>
      </c>
      <c r="C8" s="605">
        <v>768000.0</v>
      </c>
      <c r="D8" s="605">
        <v>1536000.0</v>
      </c>
      <c r="E8" s="605">
        <v>1536000.0</v>
      </c>
      <c r="F8" s="605">
        <v>880000.0</v>
      </c>
      <c r="G8" s="605">
        <v>1232000.0</v>
      </c>
      <c r="H8" s="605">
        <v>1408000.0</v>
      </c>
      <c r="I8" s="605">
        <v>1000000.0</v>
      </c>
      <c r="J8" s="605">
        <v>1400000.0</v>
      </c>
      <c r="K8" s="605">
        <v>1600000.0</v>
      </c>
      <c r="L8" s="605">
        <v>1160000.0</v>
      </c>
      <c r="M8" s="605">
        <v>1624000.0</v>
      </c>
      <c r="N8" s="605">
        <v>1856000.0</v>
      </c>
      <c r="O8" s="124">
        <f t="shared" si="2"/>
        <v>5952000</v>
      </c>
    </row>
    <row r="9">
      <c r="A9" s="606" t="s">
        <v>348</v>
      </c>
      <c r="B9" s="605">
        <v>1.4E7</v>
      </c>
      <c r="C9" s="605">
        <v>672000.0</v>
      </c>
      <c r="D9" s="605">
        <v>1344000.0</v>
      </c>
      <c r="E9" s="605">
        <v>1344000.0</v>
      </c>
      <c r="F9" s="605">
        <v>770000.0</v>
      </c>
      <c r="G9" s="605">
        <v>1078000.0</v>
      </c>
      <c r="H9" s="605">
        <v>1232000.0</v>
      </c>
      <c r="I9" s="605">
        <v>875000.0</v>
      </c>
      <c r="J9" s="605">
        <v>1225000.0</v>
      </c>
      <c r="K9" s="605">
        <v>1400000.0</v>
      </c>
      <c r="L9" s="605">
        <v>1015000.0</v>
      </c>
      <c r="M9" s="605">
        <v>1421000.0</v>
      </c>
      <c r="N9" s="605">
        <v>1624000.0</v>
      </c>
      <c r="O9" s="124">
        <f t="shared" ref="O9:O11" si="3">Sum(C9:I9)</f>
        <v>7315000</v>
      </c>
    </row>
    <row r="10">
      <c r="A10" s="604" t="s">
        <v>102</v>
      </c>
      <c r="B10" s="605">
        <v>1.2665E7</v>
      </c>
      <c r="C10" s="605">
        <v>607920.0</v>
      </c>
      <c r="D10" s="605">
        <v>1215840.0</v>
      </c>
      <c r="E10" s="605">
        <v>1215840.0</v>
      </c>
      <c r="F10" s="605">
        <v>696575.0</v>
      </c>
      <c r="G10" s="605">
        <v>975205.0</v>
      </c>
      <c r="H10" s="605">
        <v>1114520.0</v>
      </c>
      <c r="I10" s="605">
        <v>791563.0</v>
      </c>
      <c r="J10" s="605">
        <v>1108188.0</v>
      </c>
      <c r="K10" s="605">
        <v>1266500.0</v>
      </c>
      <c r="L10" s="605">
        <v>918213.0</v>
      </c>
      <c r="M10" s="605">
        <v>1285497.5</v>
      </c>
      <c r="N10" s="605">
        <v>1469140.0</v>
      </c>
      <c r="O10" s="124">
        <f t="shared" si="3"/>
        <v>6617463</v>
      </c>
    </row>
    <row r="11">
      <c r="A11" s="604" t="s">
        <v>106</v>
      </c>
      <c r="B11" s="605">
        <v>1.5232E7</v>
      </c>
      <c r="C11" s="603"/>
      <c r="D11" s="605">
        <v>1536000.0</v>
      </c>
      <c r="E11" s="605">
        <v>1536000.0</v>
      </c>
      <c r="F11" s="605">
        <v>880000.0</v>
      </c>
      <c r="G11" s="605">
        <v>1232000.0</v>
      </c>
      <c r="H11" s="605">
        <v>1408000.0</v>
      </c>
      <c r="I11" s="605">
        <v>1000000.0</v>
      </c>
      <c r="J11" s="605">
        <v>1500000.0</v>
      </c>
      <c r="K11" s="605">
        <v>1500000.0</v>
      </c>
      <c r="L11" s="605">
        <v>1500000.0</v>
      </c>
      <c r="M11" s="605">
        <v>1500000.0</v>
      </c>
      <c r="N11" s="605">
        <v>1500000.0</v>
      </c>
      <c r="O11" s="124">
        <f t="shared" si="3"/>
        <v>7592000</v>
      </c>
    </row>
    <row r="12">
      <c r="A12" s="604" t="s">
        <v>1775</v>
      </c>
      <c r="B12" s="605">
        <v>9880000.0</v>
      </c>
      <c r="C12" s="603"/>
      <c r="D12" s="603"/>
      <c r="E12" s="603"/>
      <c r="F12" s="605">
        <v>715000.0</v>
      </c>
      <c r="G12" s="605">
        <v>1001000.0</v>
      </c>
      <c r="H12" s="605">
        <v>1144000.0</v>
      </c>
      <c r="I12" s="605">
        <v>812500.0</v>
      </c>
      <c r="J12" s="605">
        <v>1137500.0</v>
      </c>
      <c r="K12" s="605">
        <v>1300000.0</v>
      </c>
      <c r="L12" s="605">
        <v>942500.0</v>
      </c>
      <c r="M12" s="605">
        <v>1319500.0</v>
      </c>
      <c r="N12" s="605">
        <v>1508000.0</v>
      </c>
      <c r="O12" s="124">
        <f>Sum(C12:H12)</f>
        <v>2860000</v>
      </c>
    </row>
    <row r="13">
      <c r="A13" s="604" t="s">
        <v>1776</v>
      </c>
      <c r="B13" s="605">
        <v>1.52E7</v>
      </c>
      <c r="C13" s="603"/>
      <c r="D13" s="603"/>
      <c r="E13" s="603"/>
      <c r="F13" s="605">
        <v>1100000.0</v>
      </c>
      <c r="G13" s="605">
        <v>1540000.0</v>
      </c>
      <c r="H13" s="605">
        <v>1760000.0</v>
      </c>
      <c r="I13" s="605">
        <v>1250000.0</v>
      </c>
      <c r="J13" s="605">
        <v>1750000.0</v>
      </c>
      <c r="K13" s="605">
        <v>2000000.0</v>
      </c>
      <c r="L13" s="605">
        <v>1450000.0</v>
      </c>
      <c r="M13" s="605">
        <v>2030000.0</v>
      </c>
      <c r="N13" s="605">
        <v>2320000.0</v>
      </c>
      <c r="O13" s="124">
        <f>Sum(C13:I13)</f>
        <v>5650000</v>
      </c>
    </row>
    <row r="14">
      <c r="A14" s="602" t="s">
        <v>1777</v>
      </c>
      <c r="B14" s="608">
        <v>1.3E7</v>
      </c>
      <c r="C14" s="609">
        <v>624000.0</v>
      </c>
      <c r="D14" s="609">
        <v>1248000.0</v>
      </c>
      <c r="E14" s="609">
        <v>1248000.0</v>
      </c>
      <c r="F14" s="609">
        <v>715000.0</v>
      </c>
      <c r="G14" s="609">
        <v>1001000.0</v>
      </c>
      <c r="H14" s="610">
        <v>1144000.0</v>
      </c>
      <c r="I14" s="610">
        <v>812500.0</v>
      </c>
      <c r="J14" s="610">
        <v>1137500.0</v>
      </c>
      <c r="K14" s="610">
        <v>1300000.0</v>
      </c>
      <c r="L14" s="610">
        <v>942500.0</v>
      </c>
      <c r="M14" s="610">
        <v>1319500.0</v>
      </c>
      <c r="N14" s="610">
        <v>1508000.0</v>
      </c>
    </row>
    <row r="15">
      <c r="A15" s="602" t="s">
        <v>1778</v>
      </c>
      <c r="B15" s="605"/>
      <c r="C15" s="605"/>
      <c r="D15" s="605"/>
      <c r="E15" s="605"/>
      <c r="F15" s="605"/>
      <c r="G15" s="605"/>
      <c r="H15" s="605"/>
      <c r="I15" s="605"/>
      <c r="J15" s="605"/>
      <c r="K15" s="605"/>
      <c r="L15" s="605"/>
      <c r="M15" s="605"/>
      <c r="N15" s="605"/>
    </row>
    <row r="16">
      <c r="A16" s="602" t="s">
        <v>109</v>
      </c>
      <c r="B16" s="605"/>
      <c r="C16" s="605"/>
      <c r="D16" s="605"/>
      <c r="E16" s="605"/>
      <c r="F16" s="605"/>
      <c r="G16" s="605"/>
      <c r="H16" s="605"/>
      <c r="I16" s="605"/>
      <c r="J16" s="605">
        <v>1500000.0</v>
      </c>
      <c r="K16" s="605">
        <v>1500000.0</v>
      </c>
      <c r="L16" s="605">
        <v>1500000.0</v>
      </c>
      <c r="M16" s="605">
        <v>1500000.0</v>
      </c>
      <c r="N16" s="605">
        <v>1500000.0</v>
      </c>
    </row>
    <row r="17">
      <c r="A17" s="602" t="s">
        <v>963</v>
      </c>
      <c r="B17" s="605">
        <v>1.64627E8</v>
      </c>
      <c r="C17" s="605">
        <v>5459520.0</v>
      </c>
      <c r="D17" s="605">
        <v>1.245504E7</v>
      </c>
      <c r="E17" s="605">
        <v>1.245504E7</v>
      </c>
      <c r="F17" s="605">
        <v>8950700.0</v>
      </c>
      <c r="G17" s="605">
        <v>1.368598E7</v>
      </c>
      <c r="H17" s="605">
        <v>1.564112E7</v>
      </c>
      <c r="I17" s="605">
        <v>1.110875E7</v>
      </c>
      <c r="J17" s="605">
        <v>1.555225E7</v>
      </c>
      <c r="K17" s="605">
        <v>1.7774E7</v>
      </c>
      <c r="L17" s="605">
        <v>1.288615E7</v>
      </c>
      <c r="M17" s="605">
        <v>1.804061E7</v>
      </c>
      <c r="N17" s="605">
        <v>2.061784E7</v>
      </c>
      <c r="O17" s="124">
        <f>Sum(C17:I17)</f>
        <v>79756150</v>
      </c>
    </row>
    <row r="19">
      <c r="D19" s="124">
        <f>D11/2</f>
        <v>768000</v>
      </c>
      <c r="E19" s="124">
        <f>D11/30</f>
        <v>51200</v>
      </c>
      <c r="F19" s="124">
        <f>E19*15</f>
        <v>768000</v>
      </c>
      <c r="G19" s="124">
        <f>SUM(E11:I11)+F19</f>
        <v>6824000</v>
      </c>
    </row>
    <row r="20">
      <c r="D20" s="124">
        <f>D11*0.5</f>
        <v>768000</v>
      </c>
    </row>
    <row r="21">
      <c r="A21" s="602" t="s">
        <v>1779</v>
      </c>
    </row>
  </sheetData>
  <hyperlinks>
    <hyperlink r:id="rId1" location="/attendance/tracker?user_id=565&amp;start_date=2025-05-28" ref="A7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21.63"/>
  </cols>
  <sheetData>
    <row r="1">
      <c r="A1" s="208" t="s">
        <v>1267</v>
      </c>
      <c r="B1" s="533" t="s">
        <v>892</v>
      </c>
      <c r="C1" s="208" t="s">
        <v>458</v>
      </c>
      <c r="D1" s="208" t="s">
        <v>895</v>
      </c>
      <c r="E1" s="208" t="s">
        <v>893</v>
      </c>
      <c r="F1" s="208" t="s">
        <v>894</v>
      </c>
      <c r="G1" s="208" t="s">
        <v>1268</v>
      </c>
      <c r="H1" s="208" t="s">
        <v>980</v>
      </c>
      <c r="I1" s="208" t="s">
        <v>969</v>
      </c>
      <c r="J1" s="208" t="s">
        <v>981</v>
      </c>
      <c r="K1" s="208" t="s">
        <v>982</v>
      </c>
      <c r="L1" s="536" t="s">
        <v>963</v>
      </c>
      <c r="M1" s="208" t="s">
        <v>905</v>
      </c>
      <c r="N1" s="208" t="s">
        <v>983</v>
      </c>
      <c r="O1" s="208" t="s">
        <v>907</v>
      </c>
      <c r="P1" s="208" t="s">
        <v>909</v>
      </c>
      <c r="Q1" s="208" t="s">
        <v>910</v>
      </c>
      <c r="R1" s="208" t="s">
        <v>911</v>
      </c>
      <c r="S1" s="208" t="s">
        <v>912</v>
      </c>
      <c r="T1" s="208" t="s">
        <v>984</v>
      </c>
      <c r="U1" s="208" t="s">
        <v>985</v>
      </c>
      <c r="V1" s="208" t="s">
        <v>915</v>
      </c>
      <c r="W1" s="208" t="s">
        <v>916</v>
      </c>
      <c r="X1" s="208" t="s">
        <v>917</v>
      </c>
      <c r="Y1" s="208" t="s">
        <v>918</v>
      </c>
      <c r="Z1" s="208" t="s">
        <v>919</v>
      </c>
      <c r="AA1" s="208" t="s">
        <v>920</v>
      </c>
      <c r="AB1" s="208" t="s">
        <v>921</v>
      </c>
      <c r="AC1" s="208" t="s">
        <v>922</v>
      </c>
      <c r="AD1" s="208" t="s">
        <v>923</v>
      </c>
      <c r="AE1" s="208" t="s">
        <v>924</v>
      </c>
      <c r="AF1" s="208" t="s">
        <v>925</v>
      </c>
      <c r="AG1" s="208" t="s">
        <v>926</v>
      </c>
      <c r="AH1" s="208" t="s">
        <v>927</v>
      </c>
      <c r="AI1" s="208" t="s">
        <v>928</v>
      </c>
      <c r="AJ1" s="208" t="s">
        <v>986</v>
      </c>
      <c r="AK1" s="208" t="s">
        <v>930</v>
      </c>
      <c r="AL1" s="208" t="s">
        <v>931</v>
      </c>
      <c r="AM1" s="208" t="s">
        <v>932</v>
      </c>
      <c r="AN1" s="208" t="s">
        <v>933</v>
      </c>
      <c r="AO1" s="208" t="s">
        <v>934</v>
      </c>
      <c r="AP1" s="208" t="s">
        <v>902</v>
      </c>
      <c r="AQ1" s="208" t="s">
        <v>903</v>
      </c>
      <c r="AR1" s="208" t="s">
        <v>935</v>
      </c>
      <c r="AS1" s="208" t="s">
        <v>936</v>
      </c>
      <c r="AT1" s="208" t="s">
        <v>937</v>
      </c>
      <c r="AU1" s="208" t="s">
        <v>987</v>
      </c>
      <c r="AV1" s="208" t="s">
        <v>938</v>
      </c>
      <c r="AW1" s="208" t="s">
        <v>939</v>
      </c>
      <c r="AX1" s="208" t="s">
        <v>940</v>
      </c>
      <c r="AY1" s="208" t="s">
        <v>941</v>
      </c>
      <c r="AZ1" s="208" t="s">
        <v>942</v>
      </c>
    </row>
    <row r="2">
      <c r="A2" s="208" t="s">
        <v>185</v>
      </c>
      <c r="B2" s="533" t="s">
        <v>196</v>
      </c>
      <c r="C2" s="208" t="s">
        <v>413</v>
      </c>
      <c r="D2" s="208" t="s">
        <v>1027</v>
      </c>
      <c r="E2" s="208" t="s">
        <v>1046</v>
      </c>
      <c r="F2" s="585">
        <v>42826.0</v>
      </c>
      <c r="G2" s="208" t="s">
        <v>185</v>
      </c>
      <c r="H2" s="208">
        <v>0.0</v>
      </c>
      <c r="I2" s="208">
        <v>6000000.0</v>
      </c>
      <c r="J2" s="208">
        <v>2640730.64</v>
      </c>
      <c r="K2" s="208">
        <v>0.0</v>
      </c>
      <c r="L2" s="536">
        <f t="shared" ref="L2:L217" si="1">J2+K2</f>
        <v>2640730.64</v>
      </c>
      <c r="M2" s="208">
        <v>86.0</v>
      </c>
      <c r="N2" s="208">
        <v>75.0</v>
      </c>
      <c r="O2" s="208">
        <v>6.0</v>
      </c>
      <c r="P2" s="208">
        <v>92.0</v>
      </c>
      <c r="Q2" s="208">
        <v>17.0</v>
      </c>
      <c r="R2" s="208">
        <v>2223851.36</v>
      </c>
      <c r="S2" s="208">
        <v>416879.28</v>
      </c>
      <c r="T2" s="208">
        <v>47.0</v>
      </c>
      <c r="U2" s="208">
        <v>6.0</v>
      </c>
      <c r="V2" s="208">
        <v>53.0</v>
      </c>
      <c r="W2" s="208">
        <v>0.0</v>
      </c>
      <c r="X2" s="208">
        <v>2.0</v>
      </c>
      <c r="Y2" s="208">
        <v>4.0</v>
      </c>
      <c r="Z2" s="208">
        <v>9.0</v>
      </c>
      <c r="AA2" s="208">
        <v>1.0</v>
      </c>
      <c r="AB2" s="208">
        <v>42.0</v>
      </c>
      <c r="AC2" s="208">
        <v>0.0</v>
      </c>
      <c r="AD2" s="208">
        <v>0.0</v>
      </c>
      <c r="AE2" s="208">
        <v>0.0</v>
      </c>
      <c r="AF2" s="208">
        <v>0.0</v>
      </c>
      <c r="AG2" s="208">
        <v>346.0</v>
      </c>
      <c r="AH2" s="208">
        <v>392.0</v>
      </c>
      <c r="AI2" s="208">
        <v>74.0</v>
      </c>
      <c r="AJ2" s="208">
        <v>35686.0</v>
      </c>
      <c r="AK2" s="208">
        <v>5.0</v>
      </c>
      <c r="AL2" s="208">
        <v>76300.0</v>
      </c>
      <c r="AM2" s="208">
        <v>0.0</v>
      </c>
      <c r="AN2" s="208">
        <v>0.0289</v>
      </c>
      <c r="AO2" s="208">
        <v>49825.0</v>
      </c>
      <c r="AP2" s="208">
        <v>0.44</v>
      </c>
      <c r="AQ2" s="208">
        <v>0.0</v>
      </c>
      <c r="AR2" s="208">
        <v>102.0</v>
      </c>
      <c r="AS2" s="208">
        <v>695.0</v>
      </c>
      <c r="AT2" s="208">
        <v>3772.66</v>
      </c>
      <c r="AU2" s="208">
        <v>6.0</v>
      </c>
      <c r="AV2" s="208">
        <v>50.0</v>
      </c>
      <c r="AW2" s="208">
        <v>53.0</v>
      </c>
      <c r="AX2" s="208">
        <v>24.0</v>
      </c>
      <c r="AY2" s="208">
        <v>15.0</v>
      </c>
    </row>
    <row r="3">
      <c r="A3" s="208" t="s">
        <v>185</v>
      </c>
      <c r="B3" s="533" t="s">
        <v>189</v>
      </c>
      <c r="C3" s="208" t="s">
        <v>197</v>
      </c>
      <c r="D3" s="208" t="s">
        <v>1016</v>
      </c>
      <c r="E3" s="208" t="s">
        <v>1034</v>
      </c>
      <c r="F3" s="585">
        <v>41791.0</v>
      </c>
      <c r="G3" s="208" t="s">
        <v>185</v>
      </c>
      <c r="H3" s="208">
        <v>0.0</v>
      </c>
      <c r="I3" s="208">
        <v>3.75E7</v>
      </c>
      <c r="J3" s="208">
        <v>1.951526998E7</v>
      </c>
      <c r="K3" s="208">
        <v>0.0</v>
      </c>
      <c r="L3" s="536">
        <f t="shared" si="1"/>
        <v>19515269.98</v>
      </c>
      <c r="M3" s="208">
        <v>100.0</v>
      </c>
      <c r="N3" s="208">
        <v>78.0</v>
      </c>
      <c r="O3" s="208">
        <v>1.0</v>
      </c>
      <c r="P3" s="208">
        <v>101.0</v>
      </c>
      <c r="Q3" s="208">
        <v>23.0</v>
      </c>
      <c r="R3" s="208">
        <v>1.951526998E7</v>
      </c>
      <c r="S3" s="208">
        <v>0.0</v>
      </c>
      <c r="T3" s="208">
        <v>63.0</v>
      </c>
      <c r="U3" s="208">
        <v>0.0</v>
      </c>
      <c r="V3" s="208">
        <v>63.0</v>
      </c>
      <c r="W3" s="208">
        <v>0.0</v>
      </c>
      <c r="X3" s="208">
        <v>1.0</v>
      </c>
      <c r="Y3" s="208">
        <v>1.0</v>
      </c>
      <c r="Z3" s="208">
        <v>31.0</v>
      </c>
      <c r="AA3" s="208">
        <v>3.0</v>
      </c>
      <c r="AB3" s="208">
        <v>40.0</v>
      </c>
      <c r="AC3" s="208">
        <v>0.0</v>
      </c>
      <c r="AD3" s="208">
        <v>0.0</v>
      </c>
      <c r="AE3" s="208">
        <v>0.0</v>
      </c>
      <c r="AF3" s="208">
        <v>0.0</v>
      </c>
      <c r="AG3" s="208">
        <v>272.0</v>
      </c>
      <c r="AH3" s="208">
        <v>313.0</v>
      </c>
      <c r="AI3" s="208">
        <v>73.0</v>
      </c>
      <c r="AJ3" s="208">
        <v>267332.0</v>
      </c>
      <c r="AK3" s="208">
        <v>4.0</v>
      </c>
      <c r="AL3" s="208">
        <v>87460.0</v>
      </c>
      <c r="AM3" s="208">
        <v>0.0</v>
      </c>
      <c r="AN3" s="208">
        <v>0.0045</v>
      </c>
      <c r="AO3" s="208">
        <v>309766.0</v>
      </c>
      <c r="AP3" s="208">
        <v>0.52</v>
      </c>
      <c r="AQ3" s="208">
        <v>0.0</v>
      </c>
      <c r="AR3" s="208">
        <v>200.0</v>
      </c>
      <c r="AS3" s="208">
        <v>873.0</v>
      </c>
      <c r="AT3" s="208">
        <v>9620.46</v>
      </c>
      <c r="AU3" s="208">
        <v>0.0</v>
      </c>
      <c r="AV3" s="208">
        <v>123.0</v>
      </c>
      <c r="AW3" s="208">
        <v>63.0</v>
      </c>
      <c r="AX3" s="208">
        <v>15.0</v>
      </c>
      <c r="AY3" s="208">
        <v>23.0</v>
      </c>
    </row>
    <row r="4">
      <c r="A4" s="208" t="s">
        <v>185</v>
      </c>
      <c r="B4" s="533" t="s">
        <v>196</v>
      </c>
      <c r="C4" s="208" t="s">
        <v>194</v>
      </c>
      <c r="D4" s="208" t="s">
        <v>1027</v>
      </c>
      <c r="E4" s="208" t="s">
        <v>1028</v>
      </c>
      <c r="F4" s="584">
        <v>41563.0</v>
      </c>
      <c r="G4" s="208" t="s">
        <v>185</v>
      </c>
      <c r="H4" s="208">
        <v>0.0</v>
      </c>
      <c r="I4" s="208">
        <v>6300000.0</v>
      </c>
      <c r="J4" s="208">
        <v>4672651.3</v>
      </c>
      <c r="K4" s="208">
        <v>0.0</v>
      </c>
      <c r="L4" s="536">
        <f t="shared" si="1"/>
        <v>4672651.3</v>
      </c>
      <c r="M4" s="208">
        <v>39.0</v>
      </c>
      <c r="N4" s="208">
        <v>35.0</v>
      </c>
      <c r="O4" s="208">
        <v>1.0</v>
      </c>
      <c r="P4" s="208">
        <v>40.0</v>
      </c>
      <c r="Q4" s="208">
        <v>5.0</v>
      </c>
      <c r="R4" s="208">
        <v>4672651.3</v>
      </c>
      <c r="S4" s="208">
        <v>0.0</v>
      </c>
      <c r="T4" s="208">
        <v>24.0</v>
      </c>
      <c r="U4" s="208">
        <v>0.0</v>
      </c>
      <c r="V4" s="208">
        <v>24.0</v>
      </c>
      <c r="W4" s="208">
        <v>0.0</v>
      </c>
      <c r="X4" s="208">
        <v>0.0</v>
      </c>
      <c r="Y4" s="208">
        <v>0.0</v>
      </c>
      <c r="Z4" s="208">
        <v>33.0</v>
      </c>
      <c r="AA4" s="208">
        <v>1.0</v>
      </c>
      <c r="AB4" s="208">
        <v>5.0</v>
      </c>
      <c r="AC4" s="208">
        <v>0.0</v>
      </c>
      <c r="AD4" s="208">
        <v>0.0</v>
      </c>
      <c r="AE4" s="208">
        <v>0.0</v>
      </c>
      <c r="AF4" s="208">
        <v>0.0</v>
      </c>
      <c r="AG4" s="208">
        <v>222.0</v>
      </c>
      <c r="AH4" s="208">
        <v>227.0</v>
      </c>
      <c r="AI4" s="208">
        <v>75.0</v>
      </c>
      <c r="AJ4" s="208">
        <v>62302.0</v>
      </c>
      <c r="AK4" s="208">
        <v>3.0</v>
      </c>
      <c r="AL4" s="208">
        <v>48500.0</v>
      </c>
      <c r="AM4" s="208">
        <v>0.0</v>
      </c>
      <c r="AN4" s="208">
        <v>0.0104</v>
      </c>
      <c r="AO4" s="208">
        <v>194694.0</v>
      </c>
      <c r="AP4" s="208">
        <v>0.74</v>
      </c>
      <c r="AQ4" s="208">
        <v>0.0</v>
      </c>
      <c r="AR4" s="208">
        <v>82.0</v>
      </c>
      <c r="AS4" s="208">
        <v>904.0</v>
      </c>
      <c r="AT4" s="208">
        <v>7510.83</v>
      </c>
      <c r="AU4" s="208">
        <v>0.0</v>
      </c>
      <c r="AV4" s="208">
        <v>215.0</v>
      </c>
      <c r="AW4" s="208">
        <v>24.0</v>
      </c>
      <c r="AX4" s="208">
        <v>11.0</v>
      </c>
      <c r="AY4" s="208">
        <v>5.0</v>
      </c>
    </row>
    <row r="5">
      <c r="A5" s="208" t="s">
        <v>185</v>
      </c>
      <c r="B5" s="533" t="s">
        <v>189</v>
      </c>
      <c r="C5" s="208" t="s">
        <v>186</v>
      </c>
      <c r="D5" s="208" t="s">
        <v>1016</v>
      </c>
      <c r="E5" s="208" t="s">
        <v>241</v>
      </c>
      <c r="F5" s="584">
        <v>39859.0</v>
      </c>
      <c r="G5" s="208" t="s">
        <v>185</v>
      </c>
      <c r="H5" s="208">
        <v>0.0</v>
      </c>
      <c r="I5" s="208">
        <v>0.0</v>
      </c>
      <c r="J5" s="208">
        <v>0.0</v>
      </c>
      <c r="K5" s="208">
        <v>0.0</v>
      </c>
      <c r="L5" s="536">
        <f t="shared" si="1"/>
        <v>0</v>
      </c>
      <c r="M5" s="208">
        <v>177.0</v>
      </c>
      <c r="N5" s="208">
        <v>113.0</v>
      </c>
      <c r="O5" s="208">
        <v>5.0</v>
      </c>
      <c r="P5" s="208">
        <v>182.0</v>
      </c>
      <c r="Q5" s="208">
        <v>69.0</v>
      </c>
      <c r="R5" s="208">
        <v>0.0</v>
      </c>
      <c r="S5" s="208">
        <v>0.0</v>
      </c>
      <c r="T5" s="208">
        <v>0.0</v>
      </c>
      <c r="U5" s="208">
        <v>0.0</v>
      </c>
      <c r="V5" s="208">
        <v>0.0</v>
      </c>
      <c r="W5" s="208">
        <v>0.0</v>
      </c>
      <c r="X5" s="208">
        <v>5.0</v>
      </c>
      <c r="Y5" s="208">
        <v>7.0</v>
      </c>
      <c r="Z5" s="208">
        <v>80.0</v>
      </c>
      <c r="AA5" s="208">
        <v>8.0</v>
      </c>
      <c r="AB5" s="208">
        <v>55.0</v>
      </c>
      <c r="AC5" s="208">
        <v>1.0</v>
      </c>
      <c r="AD5" s="208">
        <v>8.0</v>
      </c>
      <c r="AE5" s="208">
        <v>1.0</v>
      </c>
      <c r="AF5" s="208">
        <v>3.0</v>
      </c>
      <c r="AG5" s="208">
        <v>218.0</v>
      </c>
      <c r="AH5" s="208">
        <v>291.0</v>
      </c>
      <c r="AI5" s="208">
        <v>76.0</v>
      </c>
      <c r="AJ5" s="208">
        <v>0.0</v>
      </c>
      <c r="AK5" s="208">
        <v>4.0</v>
      </c>
      <c r="AL5" s="208">
        <v>70400.0</v>
      </c>
      <c r="AM5" s="208">
        <v>0.0</v>
      </c>
      <c r="AN5" s="208">
        <v>0.0</v>
      </c>
      <c r="AO5" s="208">
        <v>0.0</v>
      </c>
      <c r="AP5" s="208">
        <v>0.0</v>
      </c>
      <c r="AQ5" s="208">
        <v>0.0</v>
      </c>
      <c r="AR5" s="208">
        <v>0.0</v>
      </c>
      <c r="AS5" s="208">
        <v>911.0</v>
      </c>
      <c r="AT5" s="208">
        <v>8376.74</v>
      </c>
      <c r="AU5" s="208">
        <v>0.0</v>
      </c>
      <c r="AV5" s="208">
        <v>74.0</v>
      </c>
      <c r="AW5" s="208">
        <v>0.0</v>
      </c>
      <c r="AX5" s="208">
        <v>113.0</v>
      </c>
      <c r="AY5" s="208">
        <v>69.0</v>
      </c>
    </row>
    <row r="6">
      <c r="A6" s="208" t="s">
        <v>185</v>
      </c>
      <c r="B6" s="533" t="s">
        <v>196</v>
      </c>
      <c r="C6" s="208" t="s">
        <v>208</v>
      </c>
      <c r="D6" s="208" t="s">
        <v>1027</v>
      </c>
      <c r="E6" s="208" t="s">
        <v>1056</v>
      </c>
      <c r="F6" s="585">
        <v>43710.0</v>
      </c>
      <c r="G6" s="208" t="s">
        <v>185</v>
      </c>
      <c r="H6" s="208">
        <v>0.0</v>
      </c>
      <c r="I6" s="208">
        <v>6000000.0</v>
      </c>
      <c r="J6" s="208">
        <v>4252995.57</v>
      </c>
      <c r="K6" s="208">
        <v>504663.62</v>
      </c>
      <c r="L6" s="536">
        <f t="shared" si="1"/>
        <v>4757659.19</v>
      </c>
      <c r="M6" s="208">
        <v>52.0</v>
      </c>
      <c r="N6" s="208">
        <v>45.0</v>
      </c>
      <c r="O6" s="208">
        <v>1.0</v>
      </c>
      <c r="P6" s="208">
        <v>53.0</v>
      </c>
      <c r="Q6" s="208">
        <v>8.0</v>
      </c>
      <c r="R6" s="208">
        <v>3887916.7</v>
      </c>
      <c r="S6" s="208">
        <v>365078.88</v>
      </c>
      <c r="T6" s="208">
        <v>40.0</v>
      </c>
      <c r="U6" s="208">
        <v>1.0</v>
      </c>
      <c r="V6" s="208">
        <v>41.0</v>
      </c>
      <c r="W6" s="208">
        <v>2.0</v>
      </c>
      <c r="X6" s="208">
        <v>6.0</v>
      </c>
      <c r="Y6" s="208">
        <v>12.0</v>
      </c>
      <c r="Z6" s="208">
        <v>31.0</v>
      </c>
      <c r="AA6" s="208">
        <v>1.0</v>
      </c>
      <c r="AB6" s="208">
        <v>3.0</v>
      </c>
      <c r="AC6" s="208">
        <v>3.0</v>
      </c>
      <c r="AD6" s="208">
        <v>44.0</v>
      </c>
      <c r="AE6" s="208">
        <v>0.0</v>
      </c>
      <c r="AF6" s="208">
        <v>0.0</v>
      </c>
      <c r="AG6" s="208">
        <v>303.0</v>
      </c>
      <c r="AH6" s="208">
        <v>362.0</v>
      </c>
      <c r="AI6" s="208">
        <v>74.0</v>
      </c>
      <c r="AJ6" s="208">
        <v>57473.0</v>
      </c>
      <c r="AK6" s="208">
        <v>5.0</v>
      </c>
      <c r="AL6" s="208">
        <v>50950.0</v>
      </c>
      <c r="AM6" s="208">
        <v>0.0</v>
      </c>
      <c r="AN6" s="208">
        <v>0.012</v>
      </c>
      <c r="AO6" s="208">
        <v>103732.0</v>
      </c>
      <c r="AP6" s="208">
        <v>0.71</v>
      </c>
      <c r="AQ6" s="208">
        <v>0.0</v>
      </c>
      <c r="AR6" s="208">
        <v>143.0</v>
      </c>
      <c r="AS6" s="208">
        <v>818.0</v>
      </c>
      <c r="AT6" s="208">
        <v>8014.73</v>
      </c>
      <c r="AU6" s="208">
        <v>1.0</v>
      </c>
      <c r="AV6" s="208">
        <v>178.0</v>
      </c>
      <c r="AW6" s="208">
        <v>41.0</v>
      </c>
      <c r="AX6" s="208">
        <v>7.0</v>
      </c>
      <c r="AY6" s="208">
        <v>5.0</v>
      </c>
    </row>
    <row r="7">
      <c r="A7" s="208" t="s">
        <v>185</v>
      </c>
      <c r="B7" s="533" t="s">
        <v>196</v>
      </c>
      <c r="C7" s="208" t="s">
        <v>199</v>
      </c>
      <c r="D7" s="208" t="s">
        <v>1027</v>
      </c>
      <c r="E7" s="208" t="s">
        <v>1036</v>
      </c>
      <c r="F7" s="586">
        <v>42125.0</v>
      </c>
      <c r="G7" s="208" t="s">
        <v>185</v>
      </c>
      <c r="H7" s="208">
        <v>0.0</v>
      </c>
      <c r="I7" s="208">
        <v>1.9674E7</v>
      </c>
      <c r="J7" s="208">
        <v>1.572276978E7</v>
      </c>
      <c r="K7" s="208">
        <v>0.0</v>
      </c>
      <c r="L7" s="536">
        <f t="shared" si="1"/>
        <v>15722769.78</v>
      </c>
      <c r="M7" s="208">
        <v>84.0</v>
      </c>
      <c r="N7" s="208">
        <v>85.0</v>
      </c>
      <c r="O7" s="208">
        <v>2.0</v>
      </c>
      <c r="P7" s="208">
        <v>86.0</v>
      </c>
      <c r="Q7" s="208">
        <v>1.0</v>
      </c>
      <c r="R7" s="208">
        <v>1.556668642E7</v>
      </c>
      <c r="S7" s="208">
        <v>156083.36</v>
      </c>
      <c r="T7" s="208">
        <v>72.0</v>
      </c>
      <c r="U7" s="208">
        <v>2.0</v>
      </c>
      <c r="V7" s="208">
        <v>74.0</v>
      </c>
      <c r="W7" s="208">
        <v>0.0</v>
      </c>
      <c r="X7" s="208">
        <v>0.0</v>
      </c>
      <c r="Y7" s="208">
        <v>0.0</v>
      </c>
      <c r="Z7" s="208">
        <v>2.0</v>
      </c>
      <c r="AA7" s="208">
        <v>3.0</v>
      </c>
      <c r="AB7" s="208">
        <v>33.0</v>
      </c>
      <c r="AC7" s="208">
        <v>0.0</v>
      </c>
      <c r="AD7" s="208">
        <v>0.0</v>
      </c>
      <c r="AE7" s="208">
        <v>0.0</v>
      </c>
      <c r="AF7" s="208">
        <v>0.0</v>
      </c>
      <c r="AG7" s="208">
        <v>391.0</v>
      </c>
      <c r="AH7" s="208">
        <v>424.0</v>
      </c>
      <c r="AI7" s="208">
        <v>76.0</v>
      </c>
      <c r="AJ7" s="208">
        <v>206879.0</v>
      </c>
      <c r="AK7" s="208">
        <v>6.0</v>
      </c>
      <c r="AL7" s="208">
        <v>79340.0</v>
      </c>
      <c r="AM7" s="208">
        <v>0.0</v>
      </c>
      <c r="AN7" s="208">
        <v>0.005</v>
      </c>
      <c r="AO7" s="208">
        <v>212470.0</v>
      </c>
      <c r="AP7" s="208">
        <v>0.8</v>
      </c>
      <c r="AQ7" s="208">
        <v>0.0</v>
      </c>
      <c r="AR7" s="208">
        <v>319.0</v>
      </c>
      <c r="AS7" s="208">
        <v>962.0</v>
      </c>
      <c r="AT7" s="208">
        <v>7502.74</v>
      </c>
      <c r="AU7" s="208">
        <v>2.0</v>
      </c>
      <c r="AV7" s="208">
        <v>88.0</v>
      </c>
      <c r="AW7" s="208">
        <v>74.0</v>
      </c>
      <c r="AX7" s="208">
        <v>11.0</v>
      </c>
      <c r="AY7" s="208">
        <v>1.0</v>
      </c>
    </row>
    <row r="8">
      <c r="A8" s="208" t="s">
        <v>185</v>
      </c>
      <c r="B8" s="533" t="s">
        <v>189</v>
      </c>
      <c r="C8" s="208" t="s">
        <v>201</v>
      </c>
      <c r="D8" s="208" t="s">
        <v>1016</v>
      </c>
      <c r="E8" s="208" t="s">
        <v>238</v>
      </c>
      <c r="F8" s="584">
        <v>42660.0</v>
      </c>
      <c r="G8" s="208" t="s">
        <v>185</v>
      </c>
      <c r="H8" s="208">
        <v>0.0</v>
      </c>
      <c r="I8" s="208">
        <v>1.0149999E7</v>
      </c>
      <c r="J8" s="208">
        <v>9478026.92</v>
      </c>
      <c r="K8" s="208">
        <v>0.0</v>
      </c>
      <c r="L8" s="536">
        <f t="shared" si="1"/>
        <v>9478026.92</v>
      </c>
      <c r="M8" s="208">
        <v>54.0</v>
      </c>
      <c r="N8" s="208">
        <v>47.0</v>
      </c>
      <c r="O8" s="208">
        <v>4.0</v>
      </c>
      <c r="P8" s="208">
        <v>58.0</v>
      </c>
      <c r="Q8" s="208">
        <v>11.0</v>
      </c>
      <c r="R8" s="208">
        <v>9242405.34</v>
      </c>
      <c r="S8" s="208">
        <v>235621.58</v>
      </c>
      <c r="T8" s="208">
        <v>34.0</v>
      </c>
      <c r="U8" s="208">
        <v>4.0</v>
      </c>
      <c r="V8" s="208">
        <v>38.0</v>
      </c>
      <c r="W8" s="208">
        <v>0.0</v>
      </c>
      <c r="X8" s="208">
        <v>0.0</v>
      </c>
      <c r="Y8" s="208">
        <v>0.0</v>
      </c>
      <c r="Z8" s="208">
        <v>6.0</v>
      </c>
      <c r="AA8" s="208">
        <v>3.0</v>
      </c>
      <c r="AB8" s="208">
        <v>66.0</v>
      </c>
      <c r="AC8" s="208">
        <v>0.0</v>
      </c>
      <c r="AD8" s="208">
        <v>0.0</v>
      </c>
      <c r="AE8" s="208">
        <v>0.0</v>
      </c>
      <c r="AF8" s="208">
        <v>0.0</v>
      </c>
      <c r="AG8" s="208">
        <v>214.0</v>
      </c>
      <c r="AH8" s="208">
        <v>280.0</v>
      </c>
      <c r="AI8" s="208">
        <v>74.0</v>
      </c>
      <c r="AJ8" s="208">
        <v>128081.0</v>
      </c>
      <c r="AK8" s="208">
        <v>4.0</v>
      </c>
      <c r="AL8" s="208">
        <v>48608.0</v>
      </c>
      <c r="AM8" s="208">
        <v>0.0</v>
      </c>
      <c r="AN8" s="208">
        <v>0.0051</v>
      </c>
      <c r="AO8" s="208">
        <v>249422.0</v>
      </c>
      <c r="AP8" s="208">
        <v>0.93</v>
      </c>
      <c r="AQ8" s="208">
        <v>0.0</v>
      </c>
      <c r="AR8" s="208">
        <v>120.0</v>
      </c>
      <c r="AS8" s="208">
        <v>814.0</v>
      </c>
      <c r="AT8" s="208">
        <v>5200.27</v>
      </c>
      <c r="AU8" s="208">
        <v>4.0</v>
      </c>
      <c r="AV8" s="208">
        <v>111.0</v>
      </c>
      <c r="AW8" s="208">
        <v>38.0</v>
      </c>
      <c r="AX8" s="208">
        <v>12.0</v>
      </c>
      <c r="AY8" s="208">
        <v>8.0</v>
      </c>
    </row>
    <row r="9">
      <c r="A9" s="208" t="s">
        <v>185</v>
      </c>
      <c r="B9" s="533" t="s">
        <v>189</v>
      </c>
      <c r="C9" s="208" t="s">
        <v>202</v>
      </c>
      <c r="D9" s="208" t="s">
        <v>1016</v>
      </c>
      <c r="E9" s="208" t="s">
        <v>243</v>
      </c>
      <c r="F9" s="585">
        <v>42826.0</v>
      </c>
      <c r="G9" s="208" t="s">
        <v>185</v>
      </c>
      <c r="H9" s="208">
        <v>0.0</v>
      </c>
      <c r="I9" s="208">
        <v>1.14E7</v>
      </c>
      <c r="J9" s="208">
        <v>1.05091602E7</v>
      </c>
      <c r="K9" s="208">
        <v>0.0</v>
      </c>
      <c r="L9" s="536">
        <f t="shared" si="1"/>
        <v>10509160.2</v>
      </c>
      <c r="M9" s="208">
        <v>131.0</v>
      </c>
      <c r="N9" s="208">
        <v>67.0</v>
      </c>
      <c r="O9" s="208">
        <v>1.0</v>
      </c>
      <c r="P9" s="208">
        <v>132.0</v>
      </c>
      <c r="Q9" s="208">
        <v>65.0</v>
      </c>
      <c r="R9" s="208">
        <v>1.05091602E7</v>
      </c>
      <c r="S9" s="208">
        <v>0.0</v>
      </c>
      <c r="T9" s="208">
        <v>14.0</v>
      </c>
      <c r="U9" s="208">
        <v>0.0</v>
      </c>
      <c r="V9" s="208">
        <v>14.0</v>
      </c>
      <c r="W9" s="208">
        <v>0.0</v>
      </c>
      <c r="X9" s="208">
        <v>8.0</v>
      </c>
      <c r="Y9" s="208">
        <v>10.0</v>
      </c>
      <c r="Z9" s="208">
        <v>33.0</v>
      </c>
      <c r="AA9" s="208">
        <v>2.0</v>
      </c>
      <c r="AB9" s="208">
        <v>25.0</v>
      </c>
      <c r="AC9" s="208">
        <v>0.0</v>
      </c>
      <c r="AD9" s="208">
        <v>0.0</v>
      </c>
      <c r="AE9" s="208">
        <v>0.0</v>
      </c>
      <c r="AF9" s="208">
        <v>0.0</v>
      </c>
      <c r="AG9" s="208">
        <v>213.0</v>
      </c>
      <c r="AH9" s="208">
        <v>248.0</v>
      </c>
      <c r="AI9" s="208">
        <v>75.0</v>
      </c>
      <c r="AJ9" s="208">
        <v>140122.0</v>
      </c>
      <c r="AK9" s="208">
        <v>3.0</v>
      </c>
      <c r="AL9" s="208">
        <v>63250.0</v>
      </c>
      <c r="AM9" s="208">
        <v>0.0</v>
      </c>
      <c r="AN9" s="208">
        <v>0.006</v>
      </c>
      <c r="AO9" s="208">
        <v>750654.0</v>
      </c>
      <c r="AP9" s="208">
        <v>0.92</v>
      </c>
      <c r="AQ9" s="208">
        <v>0.0</v>
      </c>
      <c r="AR9" s="208">
        <v>42.0</v>
      </c>
      <c r="AS9" s="208">
        <v>953.0</v>
      </c>
      <c r="AT9" s="208">
        <v>4137.12</v>
      </c>
      <c r="AU9" s="208">
        <v>0.0</v>
      </c>
      <c r="AV9" s="208">
        <v>62.0</v>
      </c>
      <c r="AW9" s="208">
        <v>14.0</v>
      </c>
      <c r="AX9" s="208">
        <v>53.0</v>
      </c>
      <c r="AY9" s="208">
        <v>65.0</v>
      </c>
    </row>
    <row r="10">
      <c r="A10" s="208" t="s">
        <v>185</v>
      </c>
      <c r="B10" s="533" t="s">
        <v>189</v>
      </c>
      <c r="C10" s="208" t="s">
        <v>203</v>
      </c>
      <c r="D10" s="208" t="s">
        <v>1016</v>
      </c>
      <c r="E10" s="208" t="s">
        <v>230</v>
      </c>
      <c r="F10" s="585">
        <v>43009.0</v>
      </c>
      <c r="G10" s="208" t="s">
        <v>185</v>
      </c>
      <c r="H10" s="208">
        <v>0.0</v>
      </c>
      <c r="I10" s="208">
        <v>0.0</v>
      </c>
      <c r="J10" s="208">
        <v>0.0</v>
      </c>
      <c r="K10" s="208">
        <v>0.0</v>
      </c>
      <c r="L10" s="536">
        <f t="shared" si="1"/>
        <v>0</v>
      </c>
      <c r="M10" s="208">
        <v>203.0</v>
      </c>
      <c r="N10" s="208">
        <v>105.0</v>
      </c>
      <c r="O10" s="208">
        <v>8.0</v>
      </c>
      <c r="P10" s="208">
        <v>211.0</v>
      </c>
      <c r="Q10" s="208">
        <v>106.0</v>
      </c>
      <c r="R10" s="208">
        <v>0.0</v>
      </c>
      <c r="S10" s="208">
        <v>0.0</v>
      </c>
      <c r="T10" s="208">
        <v>0.0</v>
      </c>
      <c r="U10" s="208">
        <v>0.0</v>
      </c>
      <c r="V10" s="208">
        <v>0.0</v>
      </c>
      <c r="W10" s="208">
        <v>0.0</v>
      </c>
      <c r="X10" s="208">
        <v>10.0</v>
      </c>
      <c r="Y10" s="208">
        <v>10.0</v>
      </c>
      <c r="Z10" s="208">
        <v>30.0</v>
      </c>
      <c r="AA10" s="208">
        <v>3.0</v>
      </c>
      <c r="AB10" s="208">
        <v>42.0</v>
      </c>
      <c r="AC10" s="208">
        <v>0.0</v>
      </c>
      <c r="AD10" s="208">
        <v>0.0</v>
      </c>
      <c r="AE10" s="208">
        <v>0.0</v>
      </c>
      <c r="AF10" s="208">
        <v>0.0</v>
      </c>
      <c r="AG10" s="208">
        <v>225.0</v>
      </c>
      <c r="AH10" s="208">
        <v>277.0</v>
      </c>
      <c r="AI10" s="208">
        <v>77.0</v>
      </c>
      <c r="AJ10" s="208">
        <v>0.0</v>
      </c>
      <c r="AK10" s="208">
        <v>4.0</v>
      </c>
      <c r="AL10" s="208">
        <v>54455.0</v>
      </c>
      <c r="AM10" s="208">
        <v>0.0</v>
      </c>
      <c r="AN10" s="208">
        <v>0.0</v>
      </c>
      <c r="AO10" s="208">
        <v>0.0</v>
      </c>
      <c r="AP10" s="208">
        <v>0.0</v>
      </c>
      <c r="AQ10" s="208">
        <v>0.0</v>
      </c>
      <c r="AR10" s="208">
        <v>0.0</v>
      </c>
      <c r="AS10" s="208">
        <v>795.0</v>
      </c>
      <c r="AT10" s="208">
        <v>6250.77</v>
      </c>
      <c r="AU10" s="208">
        <v>0.0</v>
      </c>
      <c r="AV10" s="208">
        <v>60.0</v>
      </c>
      <c r="AW10" s="208">
        <v>0.0</v>
      </c>
      <c r="AX10" s="208">
        <v>105.0</v>
      </c>
      <c r="AY10" s="208">
        <v>106.0</v>
      </c>
    </row>
    <row r="11">
      <c r="A11" s="208" t="s">
        <v>185</v>
      </c>
      <c r="B11" s="533" t="s">
        <v>189</v>
      </c>
      <c r="C11" s="208" t="s">
        <v>205</v>
      </c>
      <c r="D11" s="208" t="s">
        <v>1016</v>
      </c>
      <c r="E11" s="208" t="s">
        <v>243</v>
      </c>
      <c r="F11" s="584">
        <v>43119.0</v>
      </c>
      <c r="G11" s="208" t="s">
        <v>185</v>
      </c>
      <c r="H11" s="208">
        <v>0.0</v>
      </c>
      <c r="I11" s="208">
        <v>1.1499999E7</v>
      </c>
      <c r="J11" s="208">
        <v>9616934.98</v>
      </c>
      <c r="K11" s="208">
        <v>0.0</v>
      </c>
      <c r="L11" s="536">
        <f t="shared" si="1"/>
        <v>9616934.98</v>
      </c>
      <c r="M11" s="208">
        <v>58.0</v>
      </c>
      <c r="N11" s="208">
        <v>24.0</v>
      </c>
      <c r="O11" s="208">
        <v>2.0</v>
      </c>
      <c r="P11" s="208">
        <v>60.0</v>
      </c>
      <c r="Q11" s="208">
        <v>36.0</v>
      </c>
      <c r="R11" s="208">
        <v>9337886.98</v>
      </c>
      <c r="S11" s="208">
        <v>279048.0</v>
      </c>
      <c r="T11" s="208">
        <v>6.0</v>
      </c>
      <c r="U11" s="208">
        <v>1.0</v>
      </c>
      <c r="V11" s="208">
        <v>7.0</v>
      </c>
      <c r="W11" s="208">
        <v>0.0</v>
      </c>
      <c r="X11" s="208">
        <v>5.0</v>
      </c>
      <c r="Y11" s="208">
        <v>5.0</v>
      </c>
      <c r="Z11" s="208">
        <v>71.0</v>
      </c>
      <c r="AA11" s="208">
        <v>2.0</v>
      </c>
      <c r="AB11" s="208">
        <v>4.0</v>
      </c>
      <c r="AC11" s="208">
        <v>0.0</v>
      </c>
      <c r="AD11" s="208">
        <v>0.0</v>
      </c>
      <c r="AE11" s="208">
        <v>0.0</v>
      </c>
      <c r="AF11" s="208">
        <v>0.0</v>
      </c>
      <c r="AG11" s="208">
        <v>109.0</v>
      </c>
      <c r="AH11" s="208">
        <v>118.0</v>
      </c>
      <c r="AI11" s="208">
        <v>69.0</v>
      </c>
      <c r="AJ11" s="208">
        <v>139376.0</v>
      </c>
      <c r="AK11" s="208">
        <v>2.0</v>
      </c>
      <c r="AL11" s="208">
        <v>56700.0</v>
      </c>
      <c r="AM11" s="208">
        <v>0.0</v>
      </c>
      <c r="AN11" s="208">
        <v>0.0059</v>
      </c>
      <c r="AO11" s="208">
        <v>1373848.0</v>
      </c>
      <c r="AP11" s="208">
        <v>0.84</v>
      </c>
      <c r="AQ11" s="208">
        <v>0.0</v>
      </c>
      <c r="AR11" s="208">
        <v>12.0</v>
      </c>
      <c r="AS11" s="208">
        <v>552.0</v>
      </c>
      <c r="AT11" s="208">
        <v>2117.88</v>
      </c>
      <c r="AU11" s="208">
        <v>1.0</v>
      </c>
      <c r="AV11" s="208">
        <v>88.0</v>
      </c>
      <c r="AW11" s="208">
        <v>7.0</v>
      </c>
      <c r="AX11" s="208">
        <v>17.0</v>
      </c>
      <c r="AY11" s="208">
        <v>36.0</v>
      </c>
    </row>
    <row r="12">
      <c r="A12" s="208" t="s">
        <v>185</v>
      </c>
      <c r="B12" s="533" t="s">
        <v>189</v>
      </c>
      <c r="C12" s="208" t="s">
        <v>190</v>
      </c>
      <c r="D12" s="208" t="s">
        <v>1016</v>
      </c>
      <c r="E12" s="208" t="s">
        <v>241</v>
      </c>
      <c r="F12" s="584">
        <v>39859.0</v>
      </c>
      <c r="G12" s="208" t="s">
        <v>185</v>
      </c>
      <c r="H12" s="208">
        <v>0.0</v>
      </c>
      <c r="I12" s="208">
        <v>1.515E7</v>
      </c>
      <c r="J12" s="208">
        <v>9014759.89</v>
      </c>
      <c r="K12" s="208">
        <v>0.0</v>
      </c>
      <c r="L12" s="536">
        <f t="shared" si="1"/>
        <v>9014759.89</v>
      </c>
      <c r="M12" s="208">
        <v>111.0</v>
      </c>
      <c r="N12" s="208">
        <v>79.0</v>
      </c>
      <c r="O12" s="208">
        <v>5.0</v>
      </c>
      <c r="P12" s="208">
        <v>116.0</v>
      </c>
      <c r="Q12" s="208">
        <v>37.0</v>
      </c>
      <c r="R12" s="208">
        <v>7747387.7</v>
      </c>
      <c r="S12" s="208">
        <v>1267372.19</v>
      </c>
      <c r="T12" s="208">
        <v>58.0</v>
      </c>
      <c r="U12" s="208">
        <v>4.0</v>
      </c>
      <c r="V12" s="208">
        <v>62.0</v>
      </c>
      <c r="W12" s="208">
        <v>0.0</v>
      </c>
      <c r="X12" s="208">
        <v>4.0</v>
      </c>
      <c r="Y12" s="208">
        <v>4.0</v>
      </c>
      <c r="Z12" s="208">
        <v>80.0</v>
      </c>
      <c r="AA12" s="208">
        <v>7.0</v>
      </c>
      <c r="AB12" s="208">
        <v>30.0</v>
      </c>
      <c r="AC12" s="208">
        <v>0.0</v>
      </c>
      <c r="AD12" s="208">
        <v>0.0</v>
      </c>
      <c r="AE12" s="208">
        <v>1.0</v>
      </c>
      <c r="AF12" s="208">
        <v>1.0</v>
      </c>
      <c r="AG12" s="208">
        <v>270.0</v>
      </c>
      <c r="AH12" s="208">
        <v>305.0</v>
      </c>
      <c r="AI12" s="208">
        <v>73.0</v>
      </c>
      <c r="AJ12" s="208">
        <v>123490.0</v>
      </c>
      <c r="AK12" s="208">
        <v>4.0</v>
      </c>
      <c r="AL12" s="208">
        <v>60500.0</v>
      </c>
      <c r="AM12" s="208">
        <v>0.0</v>
      </c>
      <c r="AN12" s="208">
        <v>0.0067</v>
      </c>
      <c r="AO12" s="208">
        <v>145399.0</v>
      </c>
      <c r="AP12" s="208">
        <v>0.6</v>
      </c>
      <c r="AQ12" s="208">
        <v>0.0</v>
      </c>
      <c r="AR12" s="208">
        <v>127.0</v>
      </c>
      <c r="AS12" s="208">
        <v>745.0</v>
      </c>
      <c r="AT12" s="208">
        <v>5400.34</v>
      </c>
      <c r="AU12" s="208">
        <v>4.0</v>
      </c>
      <c r="AV12" s="208">
        <v>68.0</v>
      </c>
      <c r="AW12" s="208">
        <v>62.0</v>
      </c>
      <c r="AX12" s="208">
        <v>33.0</v>
      </c>
      <c r="AY12" s="208">
        <v>21.0</v>
      </c>
    </row>
    <row r="13">
      <c r="A13" s="208" t="s">
        <v>185</v>
      </c>
      <c r="B13" s="533" t="s">
        <v>189</v>
      </c>
      <c r="C13" s="208" t="s">
        <v>191</v>
      </c>
      <c r="D13" s="208" t="s">
        <v>1016</v>
      </c>
      <c r="E13" s="208" t="s">
        <v>243</v>
      </c>
      <c r="F13" s="585">
        <v>41159.0</v>
      </c>
      <c r="G13" s="208" t="s">
        <v>185</v>
      </c>
      <c r="H13" s="208">
        <v>0.0</v>
      </c>
      <c r="I13" s="208">
        <v>2.0499999E7</v>
      </c>
      <c r="J13" s="208">
        <v>1.366111453E7</v>
      </c>
      <c r="K13" s="208">
        <v>0.0</v>
      </c>
      <c r="L13" s="536">
        <f t="shared" si="1"/>
        <v>13661114.53</v>
      </c>
      <c r="M13" s="208">
        <v>148.0</v>
      </c>
      <c r="N13" s="208">
        <v>115.0</v>
      </c>
      <c r="O13" s="208">
        <v>2.0</v>
      </c>
      <c r="P13" s="208">
        <v>150.0</v>
      </c>
      <c r="Q13" s="208">
        <v>35.0</v>
      </c>
      <c r="R13" s="208">
        <v>1.319558964E7</v>
      </c>
      <c r="S13" s="208">
        <v>465524.89</v>
      </c>
      <c r="T13" s="208">
        <v>56.0</v>
      </c>
      <c r="U13" s="208">
        <v>2.0</v>
      </c>
      <c r="V13" s="208">
        <v>58.0</v>
      </c>
      <c r="W13" s="208">
        <v>0.0</v>
      </c>
      <c r="X13" s="208">
        <v>20.0</v>
      </c>
      <c r="Y13" s="208">
        <v>26.0</v>
      </c>
      <c r="Z13" s="208">
        <v>39.0</v>
      </c>
      <c r="AA13" s="208">
        <v>2.0</v>
      </c>
      <c r="AB13" s="208">
        <v>8.0</v>
      </c>
      <c r="AC13" s="208">
        <v>0.0</v>
      </c>
      <c r="AD13" s="208">
        <v>0.0</v>
      </c>
      <c r="AE13" s="208">
        <v>0.0</v>
      </c>
      <c r="AF13" s="208">
        <v>0.0</v>
      </c>
      <c r="AG13" s="208">
        <v>370.0</v>
      </c>
      <c r="AH13" s="208">
        <v>404.0</v>
      </c>
      <c r="AI13" s="208">
        <v>73.0</v>
      </c>
      <c r="AJ13" s="208">
        <v>187139.0</v>
      </c>
      <c r="AK13" s="208">
        <v>6.0</v>
      </c>
      <c r="AL13" s="208">
        <v>78125.0</v>
      </c>
      <c r="AM13" s="208">
        <v>0.0</v>
      </c>
      <c r="AN13" s="208">
        <v>0.0057</v>
      </c>
      <c r="AO13" s="208">
        <v>235536.0</v>
      </c>
      <c r="AP13" s="208">
        <v>0.67</v>
      </c>
      <c r="AQ13" s="208">
        <v>0.0</v>
      </c>
      <c r="AR13" s="208">
        <v>139.0</v>
      </c>
      <c r="AS13" s="208">
        <v>827.0</v>
      </c>
      <c r="AT13" s="208">
        <v>3277.19</v>
      </c>
      <c r="AU13" s="208">
        <v>2.0</v>
      </c>
      <c r="AV13" s="208">
        <v>28.0</v>
      </c>
      <c r="AW13" s="208">
        <v>58.0</v>
      </c>
      <c r="AX13" s="208">
        <v>57.0</v>
      </c>
      <c r="AY13" s="208">
        <v>35.0</v>
      </c>
    </row>
    <row r="14">
      <c r="A14" s="208" t="s">
        <v>185</v>
      </c>
      <c r="B14" s="533" t="s">
        <v>189</v>
      </c>
      <c r="C14" s="208" t="s">
        <v>193</v>
      </c>
      <c r="D14" s="208" t="s">
        <v>1016</v>
      </c>
      <c r="E14" s="208" t="s">
        <v>241</v>
      </c>
      <c r="F14" s="586">
        <v>41400.0</v>
      </c>
      <c r="G14" s="208" t="s">
        <v>185</v>
      </c>
      <c r="H14" s="208">
        <v>0.0</v>
      </c>
      <c r="I14" s="208">
        <v>2.55E7</v>
      </c>
      <c r="J14" s="208">
        <v>1.220782257E7</v>
      </c>
      <c r="K14" s="208">
        <v>0.0</v>
      </c>
      <c r="L14" s="536">
        <f t="shared" si="1"/>
        <v>12207822.57</v>
      </c>
      <c r="M14" s="208">
        <v>54.0</v>
      </c>
      <c r="N14" s="208">
        <v>48.0</v>
      </c>
      <c r="O14" s="208">
        <v>3.0</v>
      </c>
      <c r="P14" s="208">
        <v>57.0</v>
      </c>
      <c r="Q14" s="208">
        <v>9.0</v>
      </c>
      <c r="R14" s="208">
        <v>1.218146357E7</v>
      </c>
      <c r="S14" s="208">
        <v>26359.0</v>
      </c>
      <c r="T14" s="208">
        <v>35.0</v>
      </c>
      <c r="U14" s="208">
        <v>1.0</v>
      </c>
      <c r="V14" s="208">
        <v>36.0</v>
      </c>
      <c r="W14" s="208">
        <v>0.0</v>
      </c>
      <c r="X14" s="208">
        <v>1.0</v>
      </c>
      <c r="Y14" s="208">
        <v>1.0</v>
      </c>
      <c r="Z14" s="208">
        <v>17.0</v>
      </c>
      <c r="AA14" s="208">
        <v>2.0</v>
      </c>
      <c r="AB14" s="208">
        <v>39.0</v>
      </c>
      <c r="AC14" s="208">
        <v>0.0</v>
      </c>
      <c r="AD14" s="208">
        <v>0.0</v>
      </c>
      <c r="AE14" s="208">
        <v>0.0</v>
      </c>
      <c r="AF14" s="208">
        <v>0.0</v>
      </c>
      <c r="AG14" s="208">
        <v>373.0</v>
      </c>
      <c r="AH14" s="208">
        <v>413.0</v>
      </c>
      <c r="AI14" s="208">
        <v>57.0</v>
      </c>
      <c r="AJ14" s="208">
        <v>214172.0</v>
      </c>
      <c r="AK14" s="208">
        <v>7.0</v>
      </c>
      <c r="AL14" s="208">
        <v>83075.0</v>
      </c>
      <c r="AM14" s="208">
        <v>0.0</v>
      </c>
      <c r="AN14" s="208">
        <v>0.0068</v>
      </c>
      <c r="AO14" s="208">
        <v>339106.0</v>
      </c>
      <c r="AP14" s="208">
        <v>0.48</v>
      </c>
      <c r="AQ14" s="208">
        <v>0.0</v>
      </c>
      <c r="AR14" s="208">
        <v>227.0</v>
      </c>
      <c r="AS14" s="208">
        <v>555.0</v>
      </c>
      <c r="AT14" s="208">
        <v>796.99</v>
      </c>
      <c r="AU14" s="208">
        <v>1.0</v>
      </c>
      <c r="AV14" s="208">
        <v>17.0</v>
      </c>
      <c r="AW14" s="208">
        <v>36.0</v>
      </c>
      <c r="AX14" s="208">
        <v>16.0</v>
      </c>
      <c r="AY14" s="208">
        <v>5.0</v>
      </c>
    </row>
    <row r="15">
      <c r="A15" s="208" t="s">
        <v>185</v>
      </c>
      <c r="B15" s="533" t="s">
        <v>212</v>
      </c>
      <c r="C15" s="208" t="s">
        <v>489</v>
      </c>
      <c r="D15" s="208" t="s">
        <v>1031</v>
      </c>
      <c r="E15" s="208" t="s">
        <v>1032</v>
      </c>
      <c r="F15" s="584">
        <v>41719.0</v>
      </c>
      <c r="G15" s="208" t="s">
        <v>185</v>
      </c>
      <c r="H15" s="208">
        <v>0.0</v>
      </c>
      <c r="I15" s="208">
        <v>0.0</v>
      </c>
      <c r="J15" s="208">
        <v>0.0</v>
      </c>
      <c r="K15" s="208">
        <v>0.0</v>
      </c>
      <c r="L15" s="536">
        <f t="shared" si="1"/>
        <v>0</v>
      </c>
      <c r="M15" s="208">
        <v>168.0</v>
      </c>
      <c r="N15" s="208">
        <v>35.0</v>
      </c>
      <c r="O15" s="208">
        <v>3.0</v>
      </c>
      <c r="P15" s="208">
        <v>171.0</v>
      </c>
      <c r="Q15" s="208">
        <v>136.0</v>
      </c>
      <c r="R15" s="208">
        <v>0.0</v>
      </c>
      <c r="S15" s="208">
        <v>0.0</v>
      </c>
      <c r="T15" s="208">
        <v>0.0</v>
      </c>
      <c r="U15" s="208">
        <v>0.0</v>
      </c>
      <c r="V15" s="208">
        <v>0.0</v>
      </c>
      <c r="W15" s="208">
        <v>0.0</v>
      </c>
      <c r="X15" s="208">
        <v>25.0</v>
      </c>
      <c r="Y15" s="208">
        <v>29.0</v>
      </c>
      <c r="Z15" s="208">
        <v>253.0</v>
      </c>
      <c r="AA15" s="208">
        <v>14.0</v>
      </c>
      <c r="AB15" s="208">
        <v>72.0</v>
      </c>
      <c r="AC15" s="208">
        <v>4.0</v>
      </c>
      <c r="AD15" s="208">
        <v>11.0</v>
      </c>
      <c r="AE15" s="208">
        <v>6.0</v>
      </c>
      <c r="AF15" s="208">
        <v>8.0</v>
      </c>
      <c r="AG15" s="208">
        <v>48.0</v>
      </c>
      <c r="AH15" s="208">
        <v>168.0</v>
      </c>
      <c r="AI15" s="208">
        <v>75.0</v>
      </c>
      <c r="AJ15" s="208">
        <v>0.0</v>
      </c>
      <c r="AK15" s="208">
        <v>2.0</v>
      </c>
      <c r="AL15" s="208">
        <v>88170.0</v>
      </c>
      <c r="AM15" s="208">
        <v>0.0</v>
      </c>
      <c r="AN15" s="208">
        <v>0.0</v>
      </c>
      <c r="AO15" s="208">
        <v>0.0</v>
      </c>
      <c r="AP15" s="208">
        <v>0.0</v>
      </c>
      <c r="AQ15" s="208">
        <v>0.0</v>
      </c>
      <c r="AR15" s="208">
        <v>0.0</v>
      </c>
      <c r="AS15" s="208">
        <v>743.0</v>
      </c>
      <c r="AT15" s="208">
        <v>4202.81</v>
      </c>
      <c r="AU15" s="208">
        <v>0.0</v>
      </c>
      <c r="AV15" s="208">
        <v>120.0</v>
      </c>
      <c r="AW15" s="208">
        <v>0.0</v>
      </c>
      <c r="AX15" s="208">
        <v>35.0</v>
      </c>
      <c r="AY15" s="208">
        <v>136.0</v>
      </c>
    </row>
    <row r="16">
      <c r="A16" s="208" t="s">
        <v>185</v>
      </c>
      <c r="B16" s="533" t="s">
        <v>117</v>
      </c>
      <c r="C16" s="208" t="s">
        <v>434</v>
      </c>
      <c r="D16" s="208" t="s">
        <v>1044</v>
      </c>
      <c r="E16" s="208" t="s">
        <v>435</v>
      </c>
      <c r="F16" s="585">
        <v>42769.0</v>
      </c>
      <c r="G16" s="208" t="s">
        <v>111</v>
      </c>
      <c r="H16" s="208">
        <v>0.0</v>
      </c>
      <c r="I16" s="208">
        <v>4200000.0</v>
      </c>
      <c r="J16" s="208">
        <v>1732625.94</v>
      </c>
      <c r="K16" s="208">
        <v>0.0</v>
      </c>
      <c r="L16" s="536">
        <f t="shared" si="1"/>
        <v>1732625.94</v>
      </c>
      <c r="M16" s="208">
        <v>45.0</v>
      </c>
      <c r="N16" s="208">
        <v>45.0</v>
      </c>
      <c r="O16" s="208">
        <v>0.0</v>
      </c>
      <c r="P16" s="208">
        <v>45.0</v>
      </c>
      <c r="Q16" s="208">
        <v>0.0</v>
      </c>
      <c r="R16" s="208">
        <v>1732625.94</v>
      </c>
      <c r="S16" s="208">
        <v>0.0</v>
      </c>
      <c r="T16" s="208">
        <v>25.0</v>
      </c>
      <c r="U16" s="208">
        <v>0.0</v>
      </c>
      <c r="V16" s="208">
        <v>25.0</v>
      </c>
      <c r="W16" s="208">
        <v>0.0</v>
      </c>
      <c r="X16" s="208">
        <v>10.0</v>
      </c>
      <c r="Y16" s="208">
        <v>16.0</v>
      </c>
      <c r="Z16" s="208">
        <v>68.0</v>
      </c>
      <c r="AA16" s="208">
        <v>1.0</v>
      </c>
      <c r="AB16" s="208">
        <v>7.0</v>
      </c>
      <c r="AC16" s="208">
        <v>0.0</v>
      </c>
      <c r="AD16" s="208">
        <v>0.0</v>
      </c>
      <c r="AE16" s="208">
        <v>0.0</v>
      </c>
      <c r="AF16" s="208">
        <v>0.0</v>
      </c>
      <c r="AG16" s="208">
        <v>345.0</v>
      </c>
      <c r="AH16" s="208">
        <v>368.0</v>
      </c>
      <c r="AI16" s="208">
        <v>77.0</v>
      </c>
      <c r="AJ16" s="208">
        <v>22502.0</v>
      </c>
      <c r="AK16" s="208">
        <v>5.0</v>
      </c>
      <c r="AL16" s="208">
        <v>28672.0</v>
      </c>
      <c r="AM16" s="208">
        <v>0.0</v>
      </c>
      <c r="AN16" s="208">
        <v>0.0165</v>
      </c>
      <c r="AO16" s="208">
        <v>69305.0</v>
      </c>
      <c r="AP16" s="208">
        <v>0.41</v>
      </c>
      <c r="AQ16" s="208">
        <v>0.0</v>
      </c>
      <c r="AR16" s="208">
        <v>55.0</v>
      </c>
      <c r="AS16" s="208">
        <v>863.0</v>
      </c>
      <c r="AT16" s="208">
        <v>6531.27</v>
      </c>
      <c r="AU16" s="208">
        <v>0.0</v>
      </c>
      <c r="AV16" s="208">
        <v>145.0</v>
      </c>
      <c r="AW16" s="208">
        <v>25.0</v>
      </c>
      <c r="AX16" s="208">
        <v>20.0</v>
      </c>
      <c r="AY16" s="208">
        <v>0.0</v>
      </c>
    </row>
    <row r="17">
      <c r="A17" s="208" t="s">
        <v>185</v>
      </c>
      <c r="B17" s="533" t="s">
        <v>1228</v>
      </c>
      <c r="C17" s="208" t="s">
        <v>112</v>
      </c>
      <c r="D17" s="208" t="s">
        <v>1051</v>
      </c>
      <c r="E17" s="208" t="s">
        <v>1052</v>
      </c>
      <c r="F17" s="584">
        <v>43185.0</v>
      </c>
      <c r="G17" s="208" t="s">
        <v>111</v>
      </c>
      <c r="H17" s="208">
        <v>833334.0</v>
      </c>
      <c r="I17" s="208">
        <v>2800000.0</v>
      </c>
      <c r="J17" s="208">
        <v>1165633.34</v>
      </c>
      <c r="K17" s="208">
        <v>0.0</v>
      </c>
      <c r="L17" s="536">
        <f t="shared" si="1"/>
        <v>1165633.34</v>
      </c>
      <c r="M17" s="208">
        <v>109.0</v>
      </c>
      <c r="N17" s="208">
        <v>95.0</v>
      </c>
      <c r="O17" s="208">
        <v>2.0</v>
      </c>
      <c r="P17" s="208">
        <v>111.0</v>
      </c>
      <c r="Q17" s="208">
        <v>16.0</v>
      </c>
      <c r="R17" s="208">
        <v>1087103.44</v>
      </c>
      <c r="S17" s="208">
        <v>78529.9</v>
      </c>
      <c r="T17" s="208">
        <v>31.0</v>
      </c>
      <c r="U17" s="208">
        <v>1.0</v>
      </c>
      <c r="V17" s="208">
        <v>32.0</v>
      </c>
      <c r="W17" s="208">
        <v>0.0</v>
      </c>
      <c r="X17" s="208">
        <v>11.0</v>
      </c>
      <c r="Y17" s="208">
        <v>15.0</v>
      </c>
      <c r="Z17" s="208">
        <v>93.0</v>
      </c>
      <c r="AA17" s="208">
        <v>0.0</v>
      </c>
      <c r="AB17" s="208">
        <v>0.0</v>
      </c>
      <c r="AC17" s="208">
        <v>1.0</v>
      </c>
      <c r="AD17" s="208">
        <v>5.0</v>
      </c>
      <c r="AE17" s="208">
        <v>0.0</v>
      </c>
      <c r="AF17" s="208">
        <v>0.0</v>
      </c>
      <c r="AG17" s="208">
        <v>210.0</v>
      </c>
      <c r="AH17" s="208">
        <v>230.0</v>
      </c>
      <c r="AI17" s="208">
        <v>41.0</v>
      </c>
      <c r="AJ17" s="208">
        <v>28430.0</v>
      </c>
      <c r="AK17" s="208">
        <v>6.0</v>
      </c>
      <c r="AL17" s="208">
        <v>30085.0</v>
      </c>
      <c r="AM17" s="208">
        <v>0.0</v>
      </c>
      <c r="AN17" s="208">
        <v>0.0258</v>
      </c>
      <c r="AO17" s="208">
        <v>36426.0</v>
      </c>
      <c r="AP17" s="208">
        <v>0.42</v>
      </c>
      <c r="AQ17" s="208">
        <v>0.0</v>
      </c>
      <c r="AR17" s="208">
        <v>39.0</v>
      </c>
      <c r="AS17" s="208">
        <v>429.0</v>
      </c>
      <c r="AT17" s="208">
        <v>3235.76</v>
      </c>
      <c r="AU17" s="208">
        <v>1.0</v>
      </c>
      <c r="AV17" s="208">
        <v>34.0</v>
      </c>
      <c r="AW17" s="208">
        <v>32.0</v>
      </c>
      <c r="AX17" s="208">
        <v>65.0</v>
      </c>
      <c r="AY17" s="208">
        <v>14.0</v>
      </c>
    </row>
    <row r="18">
      <c r="A18" s="208" t="s">
        <v>185</v>
      </c>
      <c r="B18" s="533" t="s">
        <v>117</v>
      </c>
      <c r="C18" s="208" t="s">
        <v>524</v>
      </c>
      <c r="D18" s="208" t="s">
        <v>1044</v>
      </c>
      <c r="E18" s="208" t="s">
        <v>1054</v>
      </c>
      <c r="F18" s="584">
        <v>43424.0</v>
      </c>
      <c r="G18" s="208" t="s">
        <v>111</v>
      </c>
      <c r="H18" s="208">
        <v>2499999.0</v>
      </c>
      <c r="I18" s="208">
        <v>6300000.0</v>
      </c>
      <c r="J18" s="208">
        <v>3108636.09</v>
      </c>
      <c r="K18" s="208">
        <v>178962.17</v>
      </c>
      <c r="L18" s="536">
        <f t="shared" si="1"/>
        <v>3287598.26</v>
      </c>
      <c r="M18" s="208">
        <v>121.0</v>
      </c>
      <c r="N18" s="208">
        <v>60.0</v>
      </c>
      <c r="O18" s="208">
        <v>4.0</v>
      </c>
      <c r="P18" s="208">
        <v>125.0</v>
      </c>
      <c r="Q18" s="208">
        <v>65.0</v>
      </c>
      <c r="R18" s="208">
        <v>3011546.34</v>
      </c>
      <c r="S18" s="208">
        <v>97089.75</v>
      </c>
      <c r="T18" s="208">
        <v>59.0</v>
      </c>
      <c r="U18" s="208">
        <v>4.0</v>
      </c>
      <c r="V18" s="208">
        <v>63.0</v>
      </c>
      <c r="W18" s="208">
        <v>2.0</v>
      </c>
      <c r="X18" s="208">
        <v>1.0</v>
      </c>
      <c r="Y18" s="208">
        <v>2.0</v>
      </c>
      <c r="Z18" s="208">
        <v>16.0</v>
      </c>
      <c r="AA18" s="208">
        <v>4.0</v>
      </c>
      <c r="AB18" s="208">
        <v>24.0</v>
      </c>
      <c r="AC18" s="208">
        <v>3.0</v>
      </c>
      <c r="AD18" s="208">
        <v>17.0</v>
      </c>
      <c r="AE18" s="208">
        <v>0.0</v>
      </c>
      <c r="AF18" s="208">
        <v>0.0</v>
      </c>
      <c r="AG18" s="208">
        <v>264.0</v>
      </c>
      <c r="AH18" s="208">
        <v>307.0</v>
      </c>
      <c r="AI18" s="208">
        <v>60.0</v>
      </c>
      <c r="AJ18" s="208">
        <v>51811.0</v>
      </c>
      <c r="AK18" s="208">
        <v>5.0</v>
      </c>
      <c r="AL18" s="208">
        <v>28985.0</v>
      </c>
      <c r="AM18" s="208">
        <v>0.0</v>
      </c>
      <c r="AN18" s="208">
        <v>0.0093</v>
      </c>
      <c r="AO18" s="208">
        <v>49343.0</v>
      </c>
      <c r="AP18" s="208">
        <v>0.49</v>
      </c>
      <c r="AQ18" s="208">
        <v>0.07</v>
      </c>
      <c r="AR18" s="208">
        <v>177.0</v>
      </c>
      <c r="AS18" s="208">
        <v>514.0</v>
      </c>
      <c r="AT18" s="208">
        <v>3056.64</v>
      </c>
      <c r="AU18" s="208">
        <v>4.0</v>
      </c>
      <c r="AV18" s="208">
        <v>51.0</v>
      </c>
      <c r="AW18" s="208">
        <v>63.0</v>
      </c>
      <c r="AX18" s="208">
        <v>22.0</v>
      </c>
      <c r="AY18" s="208">
        <v>40.0</v>
      </c>
    </row>
    <row r="19">
      <c r="A19" s="208" t="s">
        <v>298</v>
      </c>
      <c r="B19" s="533" t="s">
        <v>301</v>
      </c>
      <c r="C19" s="208" t="s">
        <v>299</v>
      </c>
      <c r="D19" s="208" t="s">
        <v>1047</v>
      </c>
      <c r="E19" s="208" t="s">
        <v>1048</v>
      </c>
      <c r="F19" s="584">
        <v>42926.0</v>
      </c>
      <c r="G19" s="208" t="s">
        <v>298</v>
      </c>
      <c r="H19" s="208">
        <v>0.0</v>
      </c>
      <c r="I19" s="208">
        <v>6000000.0</v>
      </c>
      <c r="J19" s="208">
        <v>4982632.6</v>
      </c>
      <c r="K19" s="208">
        <v>0.0</v>
      </c>
      <c r="L19" s="536">
        <f t="shared" si="1"/>
        <v>4982632.6</v>
      </c>
      <c r="M19" s="208">
        <v>149.0</v>
      </c>
      <c r="N19" s="208">
        <v>100.0</v>
      </c>
      <c r="O19" s="208">
        <v>5.0</v>
      </c>
      <c r="P19" s="208">
        <v>154.0</v>
      </c>
      <c r="Q19" s="208">
        <v>54.0</v>
      </c>
      <c r="R19" s="208">
        <v>4738842.84</v>
      </c>
      <c r="S19" s="208">
        <v>243789.76</v>
      </c>
      <c r="T19" s="208">
        <v>65.0</v>
      </c>
      <c r="U19" s="208">
        <v>5.0</v>
      </c>
      <c r="V19" s="208">
        <v>70.0</v>
      </c>
      <c r="W19" s="208">
        <v>0.0</v>
      </c>
      <c r="X19" s="208">
        <v>9.0</v>
      </c>
      <c r="Y19" s="208">
        <v>11.0</v>
      </c>
      <c r="Z19" s="208">
        <v>49.0</v>
      </c>
      <c r="AA19" s="208">
        <v>1.0</v>
      </c>
      <c r="AB19" s="208">
        <v>27.0</v>
      </c>
      <c r="AC19" s="208">
        <v>0.0</v>
      </c>
      <c r="AD19" s="208">
        <v>0.0</v>
      </c>
      <c r="AE19" s="208">
        <v>0.0</v>
      </c>
      <c r="AF19" s="208">
        <v>0.0</v>
      </c>
      <c r="AG19" s="208">
        <v>219.0</v>
      </c>
      <c r="AH19" s="208">
        <v>257.0</v>
      </c>
      <c r="AI19" s="208">
        <v>74.0</v>
      </c>
      <c r="AJ19" s="208">
        <v>67333.0</v>
      </c>
      <c r="AK19" s="208">
        <v>3.0</v>
      </c>
      <c r="AL19" s="208">
        <v>44575.0</v>
      </c>
      <c r="AM19" s="208">
        <v>0.0</v>
      </c>
      <c r="AN19" s="208">
        <v>0.0089</v>
      </c>
      <c r="AO19" s="208">
        <v>71180.0</v>
      </c>
      <c r="AP19" s="208">
        <v>0.83</v>
      </c>
      <c r="AQ19" s="208">
        <v>0.0</v>
      </c>
      <c r="AR19" s="208">
        <v>185.0</v>
      </c>
      <c r="AS19" s="208">
        <v>563.0</v>
      </c>
      <c r="AT19" s="208">
        <v>5782.84</v>
      </c>
      <c r="AU19" s="208">
        <v>5.0</v>
      </c>
      <c r="AV19" s="208">
        <v>58.0</v>
      </c>
      <c r="AW19" s="208">
        <v>70.0</v>
      </c>
      <c r="AX19" s="208">
        <v>38.0</v>
      </c>
      <c r="AY19" s="208">
        <v>46.0</v>
      </c>
    </row>
    <row r="20">
      <c r="A20" s="208" t="s">
        <v>322</v>
      </c>
      <c r="B20" s="533" t="s">
        <v>325</v>
      </c>
      <c r="C20" s="208" t="s">
        <v>323</v>
      </c>
      <c r="D20" s="208" t="s">
        <v>1049</v>
      </c>
      <c r="E20" s="208" t="s">
        <v>1050</v>
      </c>
      <c r="F20" s="584">
        <v>42993.0</v>
      </c>
      <c r="G20" s="208" t="s">
        <v>322</v>
      </c>
      <c r="H20" s="208">
        <v>0.0</v>
      </c>
      <c r="I20" s="208">
        <v>3750000.0</v>
      </c>
      <c r="J20" s="208">
        <v>2778423.86</v>
      </c>
      <c r="K20" s="208">
        <v>0.0</v>
      </c>
      <c r="L20" s="536">
        <f t="shared" si="1"/>
        <v>2778423.86</v>
      </c>
      <c r="M20" s="208">
        <v>134.0</v>
      </c>
      <c r="N20" s="208">
        <v>89.0</v>
      </c>
      <c r="O20" s="208">
        <v>3.0</v>
      </c>
      <c r="P20" s="208">
        <v>137.0</v>
      </c>
      <c r="Q20" s="208">
        <v>48.0</v>
      </c>
      <c r="R20" s="208">
        <v>2547002.66</v>
      </c>
      <c r="S20" s="208">
        <v>231421.2</v>
      </c>
      <c r="T20" s="208">
        <v>74.0</v>
      </c>
      <c r="U20" s="208">
        <v>3.0</v>
      </c>
      <c r="V20" s="208">
        <v>77.0</v>
      </c>
      <c r="W20" s="208">
        <v>0.0</v>
      </c>
      <c r="X20" s="208">
        <v>115.0</v>
      </c>
      <c r="Y20" s="208">
        <v>131.0</v>
      </c>
      <c r="Z20" s="208">
        <v>530.0</v>
      </c>
      <c r="AA20" s="208">
        <v>8.0</v>
      </c>
      <c r="AB20" s="208">
        <v>92.0</v>
      </c>
      <c r="AC20" s="208">
        <v>0.0</v>
      </c>
      <c r="AD20" s="208">
        <v>0.0</v>
      </c>
      <c r="AE20" s="208">
        <v>0.0</v>
      </c>
      <c r="AF20" s="208">
        <v>0.0</v>
      </c>
      <c r="AG20" s="208">
        <v>187.0</v>
      </c>
      <c r="AH20" s="208">
        <v>410.0</v>
      </c>
      <c r="AI20" s="208">
        <v>75.0</v>
      </c>
      <c r="AJ20" s="208">
        <v>37046.0</v>
      </c>
      <c r="AK20" s="208">
        <v>5.0</v>
      </c>
      <c r="AL20" s="208">
        <v>51335.0</v>
      </c>
      <c r="AM20" s="208">
        <v>0.0</v>
      </c>
      <c r="AN20" s="208">
        <v>0.0185</v>
      </c>
      <c r="AO20" s="208">
        <v>36083.0</v>
      </c>
      <c r="AP20" s="208">
        <v>0.74</v>
      </c>
      <c r="AQ20" s="208">
        <v>0.0</v>
      </c>
      <c r="AR20" s="208">
        <v>171.0</v>
      </c>
      <c r="AS20" s="208">
        <v>690.0</v>
      </c>
      <c r="AT20" s="208">
        <v>6502.0</v>
      </c>
      <c r="AU20" s="208">
        <v>3.0</v>
      </c>
      <c r="AV20" s="208">
        <v>73.0</v>
      </c>
      <c r="AW20" s="208">
        <v>77.0</v>
      </c>
      <c r="AX20" s="208">
        <v>24.0</v>
      </c>
      <c r="AY20" s="208">
        <v>36.0</v>
      </c>
    </row>
    <row r="21">
      <c r="A21" s="208" t="s">
        <v>185</v>
      </c>
      <c r="B21" s="533" t="s">
        <v>189</v>
      </c>
      <c r="C21" s="208" t="s">
        <v>206</v>
      </c>
      <c r="D21" s="208" t="s">
        <v>1016</v>
      </c>
      <c r="E21" s="208" t="s">
        <v>192</v>
      </c>
      <c r="F21" s="585">
        <v>43255.0</v>
      </c>
      <c r="G21" s="208" t="s">
        <v>185</v>
      </c>
      <c r="H21" s="208">
        <v>0.0</v>
      </c>
      <c r="I21" s="208">
        <v>1.5999999E7</v>
      </c>
      <c r="J21" s="208">
        <v>7977209.18</v>
      </c>
      <c r="K21" s="208">
        <v>0.0</v>
      </c>
      <c r="L21" s="536">
        <f t="shared" si="1"/>
        <v>7977209.18</v>
      </c>
      <c r="M21" s="208">
        <v>145.0</v>
      </c>
      <c r="N21" s="208">
        <v>109.0</v>
      </c>
      <c r="O21" s="208">
        <v>3.0</v>
      </c>
      <c r="P21" s="208">
        <v>148.0</v>
      </c>
      <c r="Q21" s="208">
        <v>39.0</v>
      </c>
      <c r="R21" s="208">
        <v>7158759.28</v>
      </c>
      <c r="S21" s="208">
        <v>818449.9</v>
      </c>
      <c r="T21" s="208">
        <v>27.0</v>
      </c>
      <c r="U21" s="208">
        <v>3.0</v>
      </c>
      <c r="V21" s="208">
        <v>30.0</v>
      </c>
      <c r="W21" s="208">
        <v>0.0</v>
      </c>
      <c r="X21" s="208">
        <v>9.0</v>
      </c>
      <c r="Y21" s="208">
        <v>13.0</v>
      </c>
      <c r="Z21" s="208">
        <v>40.0</v>
      </c>
      <c r="AA21" s="208">
        <v>2.0</v>
      </c>
      <c r="AB21" s="208">
        <v>11.0</v>
      </c>
      <c r="AC21" s="208">
        <v>0.0</v>
      </c>
      <c r="AD21" s="208">
        <v>0.0</v>
      </c>
      <c r="AE21" s="208">
        <v>0.0</v>
      </c>
      <c r="AF21" s="208">
        <v>0.0</v>
      </c>
      <c r="AG21" s="208">
        <v>340.0</v>
      </c>
      <c r="AH21" s="208">
        <v>364.0</v>
      </c>
      <c r="AI21" s="208">
        <v>72.0</v>
      </c>
      <c r="AJ21" s="208">
        <v>110795.0</v>
      </c>
      <c r="AK21" s="208">
        <v>5.0</v>
      </c>
      <c r="AL21" s="208">
        <v>46670.0</v>
      </c>
      <c r="AM21" s="208">
        <v>0.0</v>
      </c>
      <c r="AN21" s="208">
        <v>0.0059</v>
      </c>
      <c r="AO21" s="208">
        <v>265907.0</v>
      </c>
      <c r="AP21" s="208">
        <v>0.5</v>
      </c>
      <c r="AQ21" s="208">
        <v>0.0</v>
      </c>
      <c r="AR21" s="208">
        <v>79.0</v>
      </c>
      <c r="AS21" s="208">
        <v>773.0</v>
      </c>
      <c r="AT21" s="208">
        <v>4526.77</v>
      </c>
      <c r="AU21" s="208">
        <v>3.0</v>
      </c>
      <c r="AV21" s="208">
        <v>42.0</v>
      </c>
      <c r="AW21" s="208">
        <v>30.0</v>
      </c>
      <c r="AX21" s="208">
        <v>80.0</v>
      </c>
      <c r="AY21" s="208">
        <v>38.0</v>
      </c>
    </row>
    <row r="22">
      <c r="A22" s="208" t="s">
        <v>126</v>
      </c>
      <c r="B22" s="533" t="s">
        <v>130</v>
      </c>
      <c r="C22" s="208" t="s">
        <v>128</v>
      </c>
      <c r="D22" s="208" t="s">
        <v>1022</v>
      </c>
      <c r="E22" s="208" t="s">
        <v>129</v>
      </c>
      <c r="F22" s="585">
        <v>41004.0</v>
      </c>
      <c r="G22" s="208" t="s">
        <v>580</v>
      </c>
      <c r="H22" s="208">
        <v>900000.0</v>
      </c>
      <c r="I22" s="208">
        <v>1.1600001E7</v>
      </c>
      <c r="J22" s="208">
        <v>7827982.63</v>
      </c>
      <c r="K22" s="208">
        <v>917049.82</v>
      </c>
      <c r="L22" s="536">
        <f t="shared" si="1"/>
        <v>8745032.45</v>
      </c>
      <c r="M22" s="208">
        <v>61.0</v>
      </c>
      <c r="N22" s="208">
        <v>54.0</v>
      </c>
      <c r="O22" s="208">
        <v>5.0</v>
      </c>
      <c r="P22" s="208">
        <v>66.0</v>
      </c>
      <c r="Q22" s="208">
        <v>12.0</v>
      </c>
      <c r="R22" s="208">
        <v>7345952.58</v>
      </c>
      <c r="S22" s="208">
        <v>482030.05</v>
      </c>
      <c r="T22" s="208">
        <v>36.0</v>
      </c>
      <c r="U22" s="208">
        <v>4.0</v>
      </c>
      <c r="V22" s="208">
        <v>40.0</v>
      </c>
      <c r="W22" s="208">
        <v>5.0</v>
      </c>
      <c r="X22" s="208">
        <v>5.0</v>
      </c>
      <c r="Y22" s="208">
        <v>6.0</v>
      </c>
      <c r="Z22" s="208">
        <v>24.0</v>
      </c>
      <c r="AA22" s="208">
        <v>10.0</v>
      </c>
      <c r="AB22" s="208">
        <v>111.0</v>
      </c>
      <c r="AC22" s="208">
        <v>5.0</v>
      </c>
      <c r="AD22" s="208">
        <v>30.0</v>
      </c>
      <c r="AE22" s="208">
        <v>2.0</v>
      </c>
      <c r="AF22" s="208">
        <v>4.0</v>
      </c>
      <c r="AG22" s="208">
        <v>179.0</v>
      </c>
      <c r="AH22" s="208">
        <v>330.0</v>
      </c>
      <c r="AI22" s="208">
        <v>70.0</v>
      </c>
      <c r="AJ22" s="208">
        <v>111828.0</v>
      </c>
      <c r="AK22" s="208">
        <v>5.0</v>
      </c>
      <c r="AL22" s="208">
        <v>30096.0</v>
      </c>
      <c r="AM22" s="208">
        <v>0.0</v>
      </c>
      <c r="AN22" s="208">
        <v>0.0038</v>
      </c>
      <c r="AO22" s="208">
        <v>195700.0</v>
      </c>
      <c r="AP22" s="208">
        <v>0.67</v>
      </c>
      <c r="AQ22" s="208">
        <v>1.02</v>
      </c>
      <c r="AR22" s="208">
        <v>124.0</v>
      </c>
      <c r="AS22" s="208">
        <v>566.0</v>
      </c>
      <c r="AT22" s="208">
        <v>4499.83</v>
      </c>
      <c r="AU22" s="208">
        <v>4.0</v>
      </c>
      <c r="AV22" s="208">
        <v>83.0</v>
      </c>
      <c r="AW22" s="208">
        <v>40.0</v>
      </c>
      <c r="AX22" s="208">
        <v>16.0</v>
      </c>
      <c r="AY22" s="208">
        <v>10.0</v>
      </c>
    </row>
    <row r="23">
      <c r="A23" s="208" t="s">
        <v>126</v>
      </c>
      <c r="B23" s="533" t="s">
        <v>130</v>
      </c>
      <c r="C23" s="208" t="s">
        <v>164</v>
      </c>
      <c r="D23" s="208" t="s">
        <v>130</v>
      </c>
      <c r="E23" s="208" t="s">
        <v>153</v>
      </c>
      <c r="F23" s="585">
        <v>45323.0</v>
      </c>
      <c r="G23" s="208" t="s">
        <v>580</v>
      </c>
      <c r="H23" s="208">
        <v>1200000.0</v>
      </c>
      <c r="I23" s="208">
        <v>6300000.0</v>
      </c>
      <c r="J23" s="208">
        <v>4741820.57</v>
      </c>
      <c r="K23" s="208">
        <v>0.0</v>
      </c>
      <c r="L23" s="536">
        <f t="shared" si="1"/>
        <v>4741820.57</v>
      </c>
      <c r="M23" s="208">
        <v>122.0</v>
      </c>
      <c r="N23" s="208">
        <v>103.0</v>
      </c>
      <c r="O23" s="208">
        <v>5.0</v>
      </c>
      <c r="P23" s="208">
        <v>127.0</v>
      </c>
      <c r="Q23" s="208">
        <v>24.0</v>
      </c>
      <c r="R23" s="208">
        <v>4601337.45</v>
      </c>
      <c r="S23" s="208">
        <v>140483.12</v>
      </c>
      <c r="T23" s="208">
        <v>57.0</v>
      </c>
      <c r="U23" s="208">
        <v>4.0</v>
      </c>
      <c r="V23" s="208">
        <v>61.0</v>
      </c>
      <c r="W23" s="208">
        <v>0.0</v>
      </c>
      <c r="X23" s="208">
        <v>22.0</v>
      </c>
      <c r="Y23" s="208">
        <v>25.0</v>
      </c>
      <c r="Z23" s="208">
        <v>128.0</v>
      </c>
      <c r="AA23" s="208">
        <v>5.0</v>
      </c>
      <c r="AB23" s="208">
        <v>64.0</v>
      </c>
      <c r="AC23" s="208">
        <v>3.0</v>
      </c>
      <c r="AD23" s="208">
        <v>6.0</v>
      </c>
      <c r="AE23" s="208">
        <v>0.0</v>
      </c>
      <c r="AF23" s="208">
        <v>0.0</v>
      </c>
      <c r="AG23" s="208">
        <v>354.0</v>
      </c>
      <c r="AH23" s="208">
        <v>449.0</v>
      </c>
      <c r="AI23" s="208">
        <v>77.0</v>
      </c>
      <c r="AJ23" s="208">
        <v>61582.0</v>
      </c>
      <c r="AK23" s="208">
        <v>6.0</v>
      </c>
      <c r="AL23" s="208">
        <v>30646.0</v>
      </c>
      <c r="AM23" s="208">
        <v>0.0</v>
      </c>
      <c r="AN23" s="208">
        <v>0.0065</v>
      </c>
      <c r="AO23" s="208">
        <v>77735.0</v>
      </c>
      <c r="AP23" s="208">
        <v>0.75</v>
      </c>
      <c r="AQ23" s="208">
        <v>0.0</v>
      </c>
      <c r="AR23" s="208">
        <v>93.0</v>
      </c>
      <c r="AS23" s="208">
        <v>697.0</v>
      </c>
      <c r="AT23" s="208">
        <v>4610.23</v>
      </c>
      <c r="AU23" s="208">
        <v>4.0</v>
      </c>
      <c r="AV23" s="208">
        <v>45.0</v>
      </c>
      <c r="AW23" s="208">
        <v>61.0</v>
      </c>
      <c r="AX23" s="208">
        <v>46.0</v>
      </c>
      <c r="AY23" s="208">
        <v>20.0</v>
      </c>
    </row>
    <row r="24">
      <c r="A24" s="208" t="s">
        <v>126</v>
      </c>
      <c r="B24" s="533" t="s">
        <v>130</v>
      </c>
      <c r="C24" s="208" t="s">
        <v>131</v>
      </c>
      <c r="D24" s="208" t="s">
        <v>130</v>
      </c>
      <c r="E24" s="208" t="s">
        <v>1038</v>
      </c>
      <c r="F24" s="585">
        <v>42530.0</v>
      </c>
      <c r="G24" s="208" t="s">
        <v>580</v>
      </c>
      <c r="H24" s="208">
        <v>1500000.0</v>
      </c>
      <c r="I24" s="208">
        <v>7875000.0</v>
      </c>
      <c r="J24" s="208">
        <v>5699670.7</v>
      </c>
      <c r="K24" s="208">
        <v>0.0</v>
      </c>
      <c r="L24" s="536">
        <f t="shared" si="1"/>
        <v>5699670.7</v>
      </c>
      <c r="M24" s="208">
        <v>83.0</v>
      </c>
      <c r="N24" s="208">
        <v>65.0</v>
      </c>
      <c r="O24" s="208">
        <v>9.0</v>
      </c>
      <c r="P24" s="208">
        <v>92.0</v>
      </c>
      <c r="Q24" s="208">
        <v>27.0</v>
      </c>
      <c r="R24" s="208">
        <v>5623808.7</v>
      </c>
      <c r="S24" s="208">
        <v>75862.0</v>
      </c>
      <c r="T24" s="208">
        <v>37.0</v>
      </c>
      <c r="U24" s="208">
        <v>1.0</v>
      </c>
      <c r="V24" s="208">
        <v>38.0</v>
      </c>
      <c r="W24" s="208">
        <v>0.0</v>
      </c>
      <c r="X24" s="208">
        <v>32.0</v>
      </c>
      <c r="Y24" s="208">
        <v>36.0</v>
      </c>
      <c r="Z24" s="208">
        <v>146.0</v>
      </c>
      <c r="AA24" s="208">
        <v>4.0</v>
      </c>
      <c r="AB24" s="208">
        <v>38.0</v>
      </c>
      <c r="AC24" s="208">
        <v>0.0</v>
      </c>
      <c r="AD24" s="208">
        <v>0.0</v>
      </c>
      <c r="AE24" s="208">
        <v>0.0</v>
      </c>
      <c r="AF24" s="208">
        <v>0.0</v>
      </c>
      <c r="AG24" s="208">
        <v>155.0</v>
      </c>
      <c r="AH24" s="208">
        <v>229.0</v>
      </c>
      <c r="AI24" s="208">
        <v>72.0</v>
      </c>
      <c r="AJ24" s="208">
        <v>79162.0</v>
      </c>
      <c r="AK24" s="208">
        <v>3.0</v>
      </c>
      <c r="AL24" s="208">
        <v>33802.0</v>
      </c>
      <c r="AM24" s="208">
        <v>0.0</v>
      </c>
      <c r="AN24" s="208">
        <v>0.0059</v>
      </c>
      <c r="AO24" s="208">
        <v>149991.0</v>
      </c>
      <c r="AP24" s="208">
        <v>0.72</v>
      </c>
      <c r="AQ24" s="208">
        <v>0.0</v>
      </c>
      <c r="AR24" s="208">
        <v>66.0</v>
      </c>
      <c r="AS24" s="208">
        <v>567.0</v>
      </c>
      <c r="AT24" s="208">
        <v>4157.4</v>
      </c>
      <c r="AU24" s="208">
        <v>1.0</v>
      </c>
      <c r="AV24" s="208">
        <v>64.0</v>
      </c>
      <c r="AW24" s="208">
        <v>38.0</v>
      </c>
      <c r="AX24" s="208">
        <v>32.0</v>
      </c>
      <c r="AY24" s="208">
        <v>22.0</v>
      </c>
    </row>
    <row r="25">
      <c r="A25" s="208" t="s">
        <v>126</v>
      </c>
      <c r="B25" s="533" t="s">
        <v>135</v>
      </c>
      <c r="C25" s="208" t="s">
        <v>133</v>
      </c>
      <c r="D25" s="208" t="s">
        <v>1042</v>
      </c>
      <c r="E25" s="208" t="s">
        <v>180</v>
      </c>
      <c r="F25" s="584">
        <v>42720.0</v>
      </c>
      <c r="G25" s="208" t="s">
        <v>580</v>
      </c>
      <c r="H25" s="208">
        <v>1257000.0</v>
      </c>
      <c r="I25" s="208">
        <v>8118000.0</v>
      </c>
      <c r="J25" s="208">
        <v>6441859.67</v>
      </c>
      <c r="K25" s="208">
        <v>1163080.31</v>
      </c>
      <c r="L25" s="536">
        <f t="shared" si="1"/>
        <v>7604939.98</v>
      </c>
      <c r="M25" s="208">
        <v>68.0</v>
      </c>
      <c r="N25" s="208">
        <v>58.0</v>
      </c>
      <c r="O25" s="208">
        <v>11.0</v>
      </c>
      <c r="P25" s="208">
        <v>79.0</v>
      </c>
      <c r="Q25" s="208">
        <v>21.0</v>
      </c>
      <c r="R25" s="208">
        <v>4393851.14</v>
      </c>
      <c r="S25" s="208">
        <v>2048008.53</v>
      </c>
      <c r="T25" s="208">
        <v>34.0</v>
      </c>
      <c r="U25" s="208">
        <v>11.0</v>
      </c>
      <c r="V25" s="208">
        <v>45.0</v>
      </c>
      <c r="W25" s="208">
        <v>4.0</v>
      </c>
      <c r="X25" s="208">
        <v>32.0</v>
      </c>
      <c r="Y25" s="208">
        <v>45.0</v>
      </c>
      <c r="Z25" s="208">
        <v>162.0</v>
      </c>
      <c r="AA25" s="208">
        <v>3.0</v>
      </c>
      <c r="AB25" s="208">
        <v>24.0</v>
      </c>
      <c r="AC25" s="208">
        <v>4.0</v>
      </c>
      <c r="AD25" s="208">
        <v>11.0</v>
      </c>
      <c r="AE25" s="208">
        <v>1.0</v>
      </c>
      <c r="AF25" s="208">
        <v>12.0</v>
      </c>
      <c r="AG25" s="208">
        <v>206.0</v>
      </c>
      <c r="AH25" s="208">
        <v>298.0</v>
      </c>
      <c r="AI25" s="208">
        <v>76.0</v>
      </c>
      <c r="AJ25" s="208">
        <v>84761.0</v>
      </c>
      <c r="AK25" s="208">
        <v>4.0</v>
      </c>
      <c r="AL25" s="208">
        <v>31584.0</v>
      </c>
      <c r="AM25" s="208">
        <v>0.0</v>
      </c>
      <c r="AN25" s="208">
        <v>0.0049</v>
      </c>
      <c r="AO25" s="208">
        <v>143152.0</v>
      </c>
      <c r="AP25" s="208">
        <v>0.79</v>
      </c>
      <c r="AQ25" s="208">
        <v>0.92</v>
      </c>
      <c r="AR25" s="208">
        <v>127.0</v>
      </c>
      <c r="AS25" s="208">
        <v>519.0</v>
      </c>
      <c r="AT25" s="208">
        <v>3723.91</v>
      </c>
      <c r="AU25" s="208">
        <v>11.0</v>
      </c>
      <c r="AV25" s="208">
        <v>64.0</v>
      </c>
      <c r="AW25" s="208">
        <v>45.0</v>
      </c>
      <c r="AX25" s="208">
        <v>18.0</v>
      </c>
      <c r="AY25" s="208">
        <v>16.0</v>
      </c>
    </row>
    <row r="26">
      <c r="A26" s="208" t="s">
        <v>126</v>
      </c>
      <c r="B26" s="533" t="s">
        <v>135</v>
      </c>
      <c r="C26" s="208" t="s">
        <v>136</v>
      </c>
      <c r="D26" s="208" t="s">
        <v>1042</v>
      </c>
      <c r="E26" s="208" t="s">
        <v>137</v>
      </c>
      <c r="F26" s="585">
        <v>43315.0</v>
      </c>
      <c r="G26" s="208" t="s">
        <v>580</v>
      </c>
      <c r="H26" s="208">
        <v>900000.0</v>
      </c>
      <c r="I26" s="208">
        <v>1.1600001E7</v>
      </c>
      <c r="J26" s="208">
        <v>9449830.02</v>
      </c>
      <c r="K26" s="208">
        <v>0.0</v>
      </c>
      <c r="L26" s="536">
        <f t="shared" si="1"/>
        <v>9449830.02</v>
      </c>
      <c r="M26" s="208">
        <v>104.0</v>
      </c>
      <c r="N26" s="208">
        <v>97.0</v>
      </c>
      <c r="O26" s="208">
        <v>5.0</v>
      </c>
      <c r="P26" s="208">
        <v>109.0</v>
      </c>
      <c r="Q26" s="208">
        <v>12.0</v>
      </c>
      <c r="R26" s="208">
        <v>8873981.84</v>
      </c>
      <c r="S26" s="208">
        <v>575848.18</v>
      </c>
      <c r="T26" s="208">
        <v>76.0</v>
      </c>
      <c r="U26" s="208">
        <v>5.0</v>
      </c>
      <c r="V26" s="208">
        <v>81.0</v>
      </c>
      <c r="W26" s="208">
        <v>0.0</v>
      </c>
      <c r="X26" s="208">
        <v>2.0</v>
      </c>
      <c r="Y26" s="208">
        <v>2.0</v>
      </c>
      <c r="Z26" s="208">
        <v>15.0</v>
      </c>
      <c r="AA26" s="208">
        <v>6.0</v>
      </c>
      <c r="AB26" s="208">
        <v>17.0</v>
      </c>
      <c r="AC26" s="208">
        <v>1.0</v>
      </c>
      <c r="AD26" s="208">
        <v>1.0</v>
      </c>
      <c r="AE26" s="208">
        <v>0.0</v>
      </c>
      <c r="AF26" s="208">
        <v>0.0</v>
      </c>
      <c r="AG26" s="208">
        <v>349.0</v>
      </c>
      <c r="AH26" s="208">
        <v>369.0</v>
      </c>
      <c r="AI26" s="208">
        <v>76.0</v>
      </c>
      <c r="AJ26" s="208">
        <v>124340.0</v>
      </c>
      <c r="AK26" s="208">
        <v>5.0</v>
      </c>
      <c r="AL26" s="208">
        <v>29362.0</v>
      </c>
      <c r="AM26" s="208">
        <v>0.0</v>
      </c>
      <c r="AN26" s="208">
        <v>0.0031</v>
      </c>
      <c r="AO26" s="208">
        <v>116665.0</v>
      </c>
      <c r="AP26" s="208">
        <v>0.81</v>
      </c>
      <c r="AQ26" s="208">
        <v>0.0</v>
      </c>
      <c r="AR26" s="208">
        <v>318.0</v>
      </c>
      <c r="AS26" s="208">
        <v>638.0</v>
      </c>
      <c r="AT26" s="208">
        <v>4826.53</v>
      </c>
      <c r="AU26" s="208">
        <v>5.0</v>
      </c>
      <c r="AV26" s="208">
        <v>50.0</v>
      </c>
      <c r="AW26" s="208">
        <v>81.0</v>
      </c>
      <c r="AX26" s="208">
        <v>17.0</v>
      </c>
      <c r="AY26" s="208">
        <v>11.0</v>
      </c>
    </row>
    <row r="27">
      <c r="A27" s="208" t="s">
        <v>185</v>
      </c>
      <c r="B27" s="533" t="s">
        <v>85</v>
      </c>
      <c r="C27" s="208" t="s">
        <v>86</v>
      </c>
      <c r="D27" s="208" t="s">
        <v>1055</v>
      </c>
      <c r="E27" s="208" t="s">
        <v>87</v>
      </c>
      <c r="F27" s="585">
        <v>43557.0</v>
      </c>
      <c r="H27" s="208">
        <v>0.0</v>
      </c>
      <c r="I27" s="208">
        <v>5000001.0</v>
      </c>
      <c r="J27" s="208">
        <v>3514995.72</v>
      </c>
      <c r="K27" s="208">
        <v>0.0</v>
      </c>
      <c r="L27" s="536">
        <f t="shared" si="1"/>
        <v>3514995.72</v>
      </c>
      <c r="M27" s="208">
        <v>137.0</v>
      </c>
      <c r="N27" s="208">
        <v>112.0</v>
      </c>
      <c r="O27" s="208">
        <v>6.0</v>
      </c>
      <c r="P27" s="208">
        <v>143.0</v>
      </c>
      <c r="Q27" s="208">
        <v>31.0</v>
      </c>
      <c r="R27" s="208">
        <v>3239210.32</v>
      </c>
      <c r="S27" s="208">
        <v>275785.4</v>
      </c>
      <c r="T27" s="208">
        <v>63.0</v>
      </c>
      <c r="U27" s="208">
        <v>4.0</v>
      </c>
      <c r="V27" s="208">
        <v>67.0</v>
      </c>
      <c r="W27" s="208">
        <v>0.0</v>
      </c>
      <c r="X27" s="208">
        <v>17.0</v>
      </c>
      <c r="Y27" s="208">
        <v>45.0</v>
      </c>
      <c r="Z27" s="208">
        <v>27.0</v>
      </c>
      <c r="AA27" s="208">
        <v>7.0</v>
      </c>
      <c r="AB27" s="208">
        <v>24.0</v>
      </c>
      <c r="AC27" s="208">
        <v>0.0</v>
      </c>
      <c r="AD27" s="208">
        <v>0.0</v>
      </c>
      <c r="AE27" s="208">
        <v>0.0</v>
      </c>
      <c r="AF27" s="208">
        <v>0.0</v>
      </c>
      <c r="AG27" s="208">
        <v>487.0</v>
      </c>
      <c r="AH27" s="208">
        <v>556.0</v>
      </c>
      <c r="AI27" s="208">
        <v>75.0</v>
      </c>
      <c r="AJ27" s="208">
        <v>46867.0</v>
      </c>
      <c r="AK27" s="208">
        <v>7.0</v>
      </c>
      <c r="AL27" s="208">
        <v>27164.0</v>
      </c>
      <c r="AM27" s="208">
        <v>0.0</v>
      </c>
      <c r="AN27" s="208">
        <v>0.0077</v>
      </c>
      <c r="AO27" s="208">
        <v>52463.0</v>
      </c>
      <c r="AP27" s="208">
        <v>0.7</v>
      </c>
      <c r="AQ27" s="208">
        <v>0.0</v>
      </c>
      <c r="AR27" s="208">
        <v>155.0</v>
      </c>
      <c r="AS27" s="208">
        <v>804.0</v>
      </c>
      <c r="AT27" s="208">
        <v>6628.09</v>
      </c>
      <c r="AU27" s="208">
        <v>4.0</v>
      </c>
      <c r="AV27" s="208">
        <v>59.0</v>
      </c>
      <c r="AW27" s="208">
        <v>67.0</v>
      </c>
      <c r="AX27" s="208">
        <v>49.0</v>
      </c>
      <c r="AY27" s="208">
        <v>27.0</v>
      </c>
    </row>
    <row r="28">
      <c r="A28" s="208" t="s">
        <v>185</v>
      </c>
      <c r="B28" s="533" t="s">
        <v>196</v>
      </c>
      <c r="C28" s="208" t="s">
        <v>207</v>
      </c>
      <c r="D28" s="208" t="s">
        <v>1027</v>
      </c>
      <c r="E28" s="208" t="s">
        <v>200</v>
      </c>
      <c r="F28" s="585">
        <v>43556.0</v>
      </c>
      <c r="G28" s="208" t="s">
        <v>185</v>
      </c>
      <c r="H28" s="208">
        <v>0.0</v>
      </c>
      <c r="I28" s="208">
        <v>6000000.0</v>
      </c>
      <c r="J28" s="208">
        <v>4021359.12</v>
      </c>
      <c r="K28" s="208">
        <v>0.0</v>
      </c>
      <c r="L28" s="536">
        <f t="shared" si="1"/>
        <v>4021359.12</v>
      </c>
      <c r="M28" s="208">
        <v>73.0</v>
      </c>
      <c r="N28" s="208">
        <v>68.0</v>
      </c>
      <c r="O28" s="208">
        <v>1.0</v>
      </c>
      <c r="P28" s="208">
        <v>74.0</v>
      </c>
      <c r="Q28" s="208">
        <v>6.0</v>
      </c>
      <c r="R28" s="208">
        <v>3900624.62</v>
      </c>
      <c r="S28" s="208">
        <v>120734.5</v>
      </c>
      <c r="T28" s="208">
        <v>31.0</v>
      </c>
      <c r="U28" s="208">
        <v>1.0</v>
      </c>
      <c r="V28" s="208">
        <v>32.0</v>
      </c>
      <c r="W28" s="208">
        <v>0.0</v>
      </c>
      <c r="X28" s="208">
        <v>0.0</v>
      </c>
      <c r="Y28" s="208">
        <v>0.0</v>
      </c>
      <c r="Z28" s="208">
        <v>0.0</v>
      </c>
      <c r="AA28" s="208">
        <v>2.0</v>
      </c>
      <c r="AB28" s="208">
        <v>34.0</v>
      </c>
      <c r="AC28" s="208">
        <v>0.0</v>
      </c>
      <c r="AD28" s="208">
        <v>0.0</v>
      </c>
      <c r="AE28" s="208">
        <v>0.0</v>
      </c>
      <c r="AF28" s="208">
        <v>0.0</v>
      </c>
      <c r="AG28" s="208">
        <v>315.0</v>
      </c>
      <c r="AH28" s="208">
        <v>349.0</v>
      </c>
      <c r="AI28" s="208">
        <v>76.0</v>
      </c>
      <c r="AJ28" s="208">
        <v>52913.0</v>
      </c>
      <c r="AK28" s="208">
        <v>5.0</v>
      </c>
      <c r="AL28" s="208">
        <v>39070.0</v>
      </c>
      <c r="AM28" s="208">
        <v>0.0</v>
      </c>
      <c r="AN28" s="208">
        <v>0.0097</v>
      </c>
      <c r="AO28" s="208">
        <v>125667.0</v>
      </c>
      <c r="AP28" s="208">
        <v>0.67</v>
      </c>
      <c r="AQ28" s="208">
        <v>0.0</v>
      </c>
      <c r="AR28" s="208">
        <v>71.0</v>
      </c>
      <c r="AS28" s="208">
        <v>654.0</v>
      </c>
      <c r="AT28" s="208">
        <v>2811.09</v>
      </c>
      <c r="AU28" s="208">
        <v>1.0</v>
      </c>
      <c r="AV28" s="208">
        <v>41.0</v>
      </c>
      <c r="AW28" s="208">
        <v>32.0</v>
      </c>
      <c r="AX28" s="208">
        <v>37.0</v>
      </c>
      <c r="AY28" s="208">
        <v>5.0</v>
      </c>
    </row>
    <row r="29">
      <c r="A29" s="208" t="s">
        <v>185</v>
      </c>
      <c r="B29" s="533" t="s">
        <v>212</v>
      </c>
      <c r="C29" s="208" t="s">
        <v>210</v>
      </c>
      <c r="D29" s="208" t="s">
        <v>1031</v>
      </c>
      <c r="E29" s="208" t="s">
        <v>211</v>
      </c>
      <c r="F29" s="585">
        <v>43647.0</v>
      </c>
      <c r="G29" s="208" t="s">
        <v>489</v>
      </c>
      <c r="H29" s="208">
        <v>0.0</v>
      </c>
      <c r="I29" s="208">
        <v>1.875E7</v>
      </c>
      <c r="J29" s="208">
        <v>1.417870494E7</v>
      </c>
      <c r="K29" s="208">
        <v>0.0</v>
      </c>
      <c r="L29" s="536">
        <f t="shared" si="1"/>
        <v>14178704.94</v>
      </c>
      <c r="M29" s="208">
        <v>99.0</v>
      </c>
      <c r="N29" s="208">
        <v>95.0</v>
      </c>
      <c r="O29" s="208">
        <v>4.0</v>
      </c>
      <c r="P29" s="208">
        <v>103.0</v>
      </c>
      <c r="Q29" s="208">
        <v>8.0</v>
      </c>
      <c r="R29" s="208">
        <v>1.378844182E7</v>
      </c>
      <c r="S29" s="208">
        <v>390263.12</v>
      </c>
      <c r="T29" s="208">
        <v>54.0</v>
      </c>
      <c r="U29" s="208">
        <v>4.0</v>
      </c>
      <c r="V29" s="208">
        <v>58.0</v>
      </c>
      <c r="W29" s="208">
        <v>0.0</v>
      </c>
      <c r="X29" s="208">
        <v>12.0</v>
      </c>
      <c r="Y29" s="208">
        <v>17.0</v>
      </c>
      <c r="Z29" s="208">
        <v>29.0</v>
      </c>
      <c r="AA29" s="208">
        <v>1.0</v>
      </c>
      <c r="AB29" s="208">
        <v>19.0</v>
      </c>
      <c r="AC29" s="208">
        <v>0.0</v>
      </c>
      <c r="AD29" s="208">
        <v>0.0</v>
      </c>
      <c r="AE29" s="208">
        <v>0.0</v>
      </c>
      <c r="AF29" s="208">
        <v>0.0</v>
      </c>
      <c r="AG29" s="208">
        <v>344.0</v>
      </c>
      <c r="AH29" s="208">
        <v>380.0</v>
      </c>
      <c r="AI29" s="208">
        <v>77.0</v>
      </c>
      <c r="AJ29" s="208">
        <v>184139.0</v>
      </c>
      <c r="AK29" s="208">
        <v>5.0</v>
      </c>
      <c r="AL29" s="208">
        <v>32605.0</v>
      </c>
      <c r="AM29" s="208">
        <v>0.0</v>
      </c>
      <c r="AN29" s="208">
        <v>0.0023</v>
      </c>
      <c r="AO29" s="208">
        <v>244460.0</v>
      </c>
      <c r="AP29" s="208">
        <v>0.76</v>
      </c>
      <c r="AQ29" s="208">
        <v>0.0</v>
      </c>
      <c r="AR29" s="208">
        <v>190.0</v>
      </c>
      <c r="AS29" s="208">
        <v>822.0</v>
      </c>
      <c r="AT29" s="208">
        <v>6259.39</v>
      </c>
      <c r="AU29" s="208">
        <v>4.0</v>
      </c>
      <c r="AV29" s="208">
        <v>66.0</v>
      </c>
      <c r="AW29" s="208">
        <v>58.0</v>
      </c>
      <c r="AX29" s="208">
        <v>38.0</v>
      </c>
      <c r="AY29" s="208">
        <v>7.0</v>
      </c>
    </row>
    <row r="30">
      <c r="A30" s="208" t="s">
        <v>185</v>
      </c>
      <c r="B30" s="533" t="s">
        <v>222</v>
      </c>
      <c r="C30" s="208" t="s">
        <v>223</v>
      </c>
      <c r="D30" s="208" t="s">
        <v>1057</v>
      </c>
      <c r="E30" s="208" t="s">
        <v>224</v>
      </c>
      <c r="F30" s="585">
        <v>43710.0</v>
      </c>
      <c r="G30" s="208" t="s">
        <v>185</v>
      </c>
      <c r="H30" s="208">
        <v>0.0</v>
      </c>
      <c r="I30" s="208">
        <v>4500000.0</v>
      </c>
      <c r="J30" s="208">
        <v>3143938.9</v>
      </c>
      <c r="K30" s="208">
        <v>0.0</v>
      </c>
      <c r="L30" s="536">
        <f t="shared" si="1"/>
        <v>3143938.9</v>
      </c>
      <c r="M30" s="208">
        <v>82.0</v>
      </c>
      <c r="N30" s="208">
        <v>62.0</v>
      </c>
      <c r="O30" s="208">
        <v>1.0</v>
      </c>
      <c r="P30" s="208">
        <v>83.0</v>
      </c>
      <c r="Q30" s="208">
        <v>21.0</v>
      </c>
      <c r="R30" s="208">
        <v>3013645.62</v>
      </c>
      <c r="S30" s="208">
        <v>130293.28</v>
      </c>
      <c r="T30" s="208">
        <v>29.0</v>
      </c>
      <c r="U30" s="208">
        <v>1.0</v>
      </c>
      <c r="V30" s="208">
        <v>30.0</v>
      </c>
      <c r="W30" s="208">
        <v>0.0</v>
      </c>
      <c r="X30" s="208">
        <v>3.0</v>
      </c>
      <c r="Y30" s="208">
        <v>3.0</v>
      </c>
      <c r="Z30" s="208">
        <v>73.0</v>
      </c>
      <c r="AA30" s="208">
        <v>2.0</v>
      </c>
      <c r="AB30" s="208">
        <v>9.0</v>
      </c>
      <c r="AC30" s="208">
        <v>0.0</v>
      </c>
      <c r="AD30" s="208">
        <v>0.0</v>
      </c>
      <c r="AE30" s="208">
        <v>0.0</v>
      </c>
      <c r="AF30" s="208">
        <v>0.0</v>
      </c>
      <c r="AG30" s="208">
        <v>264.0</v>
      </c>
      <c r="AH30" s="208">
        <v>276.0</v>
      </c>
      <c r="AI30" s="208">
        <v>74.0</v>
      </c>
      <c r="AJ30" s="208">
        <v>42486.0</v>
      </c>
      <c r="AK30" s="208">
        <v>4.0</v>
      </c>
      <c r="AL30" s="208">
        <v>28050.0</v>
      </c>
      <c r="AM30" s="208">
        <v>0.0</v>
      </c>
      <c r="AN30" s="208">
        <v>0.0089</v>
      </c>
      <c r="AO30" s="208">
        <v>104798.0</v>
      </c>
      <c r="AP30" s="208">
        <v>0.7</v>
      </c>
      <c r="AQ30" s="208">
        <v>0.0</v>
      </c>
      <c r="AR30" s="208">
        <v>64.0</v>
      </c>
      <c r="AS30" s="208">
        <v>633.0</v>
      </c>
      <c r="AT30" s="208">
        <v>2856.65</v>
      </c>
      <c r="AU30" s="208">
        <v>1.0</v>
      </c>
      <c r="AV30" s="208">
        <v>46.0</v>
      </c>
      <c r="AW30" s="208">
        <v>30.0</v>
      </c>
      <c r="AX30" s="208">
        <v>34.0</v>
      </c>
      <c r="AY30" s="208">
        <v>19.0</v>
      </c>
    </row>
    <row r="31">
      <c r="A31" s="208" t="s">
        <v>185</v>
      </c>
      <c r="B31" s="533" t="s">
        <v>85</v>
      </c>
      <c r="C31" s="208" t="s">
        <v>88</v>
      </c>
      <c r="D31" s="208" t="s">
        <v>1058</v>
      </c>
      <c r="E31" s="208" t="s">
        <v>1059</v>
      </c>
      <c r="F31" s="585">
        <v>44046.0</v>
      </c>
      <c r="H31" s="208">
        <v>0.0</v>
      </c>
      <c r="I31" s="208">
        <v>5874999.0</v>
      </c>
      <c r="J31" s="208">
        <v>4032969.6</v>
      </c>
      <c r="K31" s="208">
        <v>0.0</v>
      </c>
      <c r="L31" s="536">
        <f t="shared" si="1"/>
        <v>4032969.6</v>
      </c>
      <c r="M31" s="208">
        <v>103.0</v>
      </c>
      <c r="N31" s="208">
        <v>107.0</v>
      </c>
      <c r="O31" s="208">
        <v>5.0</v>
      </c>
      <c r="P31" s="208">
        <v>108.0</v>
      </c>
      <c r="Q31" s="208">
        <v>1.0</v>
      </c>
      <c r="R31" s="208">
        <v>3798285.7</v>
      </c>
      <c r="S31" s="208">
        <v>234683.9</v>
      </c>
      <c r="T31" s="208">
        <v>68.0</v>
      </c>
      <c r="U31" s="208">
        <v>5.0</v>
      </c>
      <c r="V31" s="208">
        <v>73.0</v>
      </c>
      <c r="W31" s="208">
        <v>0.0</v>
      </c>
      <c r="X31" s="208">
        <v>4.0</v>
      </c>
      <c r="Y31" s="208">
        <v>5.0</v>
      </c>
      <c r="Z31" s="208">
        <v>0.0</v>
      </c>
      <c r="AA31" s="208">
        <v>1.0</v>
      </c>
      <c r="AB31" s="208">
        <v>4.0</v>
      </c>
      <c r="AC31" s="208">
        <v>0.0</v>
      </c>
      <c r="AD31" s="208">
        <v>0.0</v>
      </c>
      <c r="AE31" s="208">
        <v>0.0</v>
      </c>
      <c r="AF31" s="208">
        <v>0.0</v>
      </c>
      <c r="AG31" s="208">
        <v>497.0</v>
      </c>
      <c r="AH31" s="208">
        <v>506.0</v>
      </c>
      <c r="AI31" s="208">
        <v>74.0</v>
      </c>
      <c r="AJ31" s="208">
        <v>54500.0</v>
      </c>
      <c r="AK31" s="208">
        <v>7.0</v>
      </c>
      <c r="AL31" s="208">
        <v>32483.0</v>
      </c>
      <c r="AM31" s="208">
        <v>0.0</v>
      </c>
      <c r="AN31" s="208">
        <v>0.0081</v>
      </c>
      <c r="AO31" s="208">
        <v>55246.0</v>
      </c>
      <c r="AP31" s="208">
        <v>0.69</v>
      </c>
      <c r="AQ31" s="208">
        <v>0.0</v>
      </c>
      <c r="AR31" s="208">
        <v>183.0</v>
      </c>
      <c r="AS31" s="208">
        <v>839.0</v>
      </c>
      <c r="AT31" s="208">
        <v>8343.21</v>
      </c>
      <c r="AU31" s="208">
        <v>5.0</v>
      </c>
      <c r="AV31" s="208">
        <v>78.0</v>
      </c>
      <c r="AW31" s="208">
        <v>73.0</v>
      </c>
      <c r="AX31" s="208">
        <v>35.0</v>
      </c>
      <c r="AY31" s="208">
        <v>0.0</v>
      </c>
    </row>
    <row r="32">
      <c r="A32" s="208" t="s">
        <v>185</v>
      </c>
      <c r="B32" s="533" t="s">
        <v>1228</v>
      </c>
      <c r="C32" s="208" t="s">
        <v>111</v>
      </c>
      <c r="D32" s="208" t="s">
        <v>1084</v>
      </c>
      <c r="E32" s="208" t="s">
        <v>125</v>
      </c>
      <c r="F32" s="585">
        <v>45264.0</v>
      </c>
      <c r="G32" s="208" t="s">
        <v>185</v>
      </c>
      <c r="H32" s="208">
        <v>0.0</v>
      </c>
      <c r="I32" s="208">
        <v>0.0</v>
      </c>
      <c r="J32" s="208">
        <v>285557.48</v>
      </c>
      <c r="K32" s="208">
        <v>0.0</v>
      </c>
      <c r="L32" s="536">
        <f t="shared" si="1"/>
        <v>285557.48</v>
      </c>
      <c r="M32" s="208">
        <v>303.0</v>
      </c>
      <c r="N32" s="208">
        <v>140.0</v>
      </c>
      <c r="O32" s="208">
        <v>17.0</v>
      </c>
      <c r="P32" s="208">
        <v>320.0</v>
      </c>
      <c r="Q32" s="208">
        <v>180.0</v>
      </c>
      <c r="R32" s="208">
        <v>285557.48</v>
      </c>
      <c r="S32" s="208">
        <v>0.0</v>
      </c>
      <c r="T32" s="208">
        <v>9.0</v>
      </c>
      <c r="U32" s="208">
        <v>0.0</v>
      </c>
      <c r="V32" s="208">
        <v>9.0</v>
      </c>
      <c r="W32" s="208">
        <v>0.0</v>
      </c>
      <c r="X32" s="208">
        <v>52.0</v>
      </c>
      <c r="Y32" s="208">
        <v>82.0</v>
      </c>
      <c r="Z32" s="208">
        <v>132.0</v>
      </c>
      <c r="AA32" s="208">
        <v>3.0</v>
      </c>
      <c r="AB32" s="208">
        <v>23.0</v>
      </c>
      <c r="AC32" s="208">
        <v>2.0</v>
      </c>
      <c r="AD32" s="208">
        <v>2.0</v>
      </c>
      <c r="AE32" s="208">
        <v>0.0</v>
      </c>
      <c r="AF32" s="208">
        <v>0.0</v>
      </c>
      <c r="AG32" s="208">
        <v>229.0</v>
      </c>
      <c r="AH32" s="208">
        <v>336.0</v>
      </c>
      <c r="AI32" s="208">
        <v>76.0</v>
      </c>
      <c r="AJ32" s="208">
        <v>3757.0</v>
      </c>
      <c r="AK32" s="208">
        <v>4.0</v>
      </c>
      <c r="AM32" s="208">
        <v>0.0</v>
      </c>
      <c r="AN32" s="208">
        <v>0.0</v>
      </c>
      <c r="AO32" s="208">
        <v>31729.0</v>
      </c>
      <c r="AP32" s="208">
        <v>0.0</v>
      </c>
      <c r="AQ32" s="208">
        <v>0.0</v>
      </c>
      <c r="AR32" s="208">
        <v>14.0</v>
      </c>
      <c r="AS32" s="208">
        <v>885.0</v>
      </c>
      <c r="AT32" s="208">
        <v>5585.42</v>
      </c>
      <c r="AU32" s="208">
        <v>0.0</v>
      </c>
      <c r="AV32" s="208">
        <v>40.0</v>
      </c>
      <c r="AW32" s="208">
        <v>9.0</v>
      </c>
      <c r="AX32" s="208">
        <v>140.0</v>
      </c>
      <c r="AY32" s="208">
        <v>171.0</v>
      </c>
    </row>
    <row r="33">
      <c r="A33" s="208" t="s">
        <v>185</v>
      </c>
      <c r="B33" s="533" t="s">
        <v>212</v>
      </c>
      <c r="C33" s="208" t="s">
        <v>225</v>
      </c>
      <c r="D33" s="208" t="s">
        <v>1031</v>
      </c>
      <c r="E33" s="208" t="s">
        <v>226</v>
      </c>
      <c r="F33" s="585">
        <v>44166.0</v>
      </c>
      <c r="G33" s="208" t="s">
        <v>218</v>
      </c>
      <c r="H33" s="208">
        <v>0.0</v>
      </c>
      <c r="I33" s="208">
        <v>4500000.0</v>
      </c>
      <c r="J33" s="208">
        <v>2174534.7</v>
      </c>
      <c r="K33" s="208">
        <v>0.0</v>
      </c>
      <c r="L33" s="536">
        <f t="shared" si="1"/>
        <v>2174534.7</v>
      </c>
      <c r="M33" s="208">
        <v>42.0</v>
      </c>
      <c r="N33" s="208">
        <v>43.0</v>
      </c>
      <c r="O33" s="208">
        <v>2.0</v>
      </c>
      <c r="P33" s="208">
        <v>44.0</v>
      </c>
      <c r="Q33" s="208">
        <v>1.0</v>
      </c>
      <c r="R33" s="208">
        <v>1999350.7</v>
      </c>
      <c r="S33" s="208">
        <v>175184.0</v>
      </c>
      <c r="T33" s="208">
        <v>13.0</v>
      </c>
      <c r="U33" s="208">
        <v>2.0</v>
      </c>
      <c r="V33" s="208">
        <v>15.0</v>
      </c>
      <c r="W33" s="208">
        <v>0.0</v>
      </c>
      <c r="X33" s="208">
        <v>10.0</v>
      </c>
      <c r="Y33" s="208">
        <v>13.0</v>
      </c>
      <c r="Z33" s="208">
        <v>23.0</v>
      </c>
      <c r="AA33" s="208">
        <v>2.0</v>
      </c>
      <c r="AB33" s="208">
        <v>31.0</v>
      </c>
      <c r="AC33" s="208">
        <v>0.0</v>
      </c>
      <c r="AD33" s="208">
        <v>0.0</v>
      </c>
      <c r="AE33" s="208">
        <v>0.0</v>
      </c>
      <c r="AF33" s="208">
        <v>0.0</v>
      </c>
      <c r="AG33" s="208">
        <v>220.0</v>
      </c>
      <c r="AH33" s="208">
        <v>264.0</v>
      </c>
      <c r="AI33" s="208">
        <v>74.0</v>
      </c>
      <c r="AJ33" s="208">
        <v>29386.0</v>
      </c>
      <c r="AK33" s="208">
        <v>4.0</v>
      </c>
      <c r="AL33" s="208">
        <v>27200.0</v>
      </c>
      <c r="AM33" s="208">
        <v>0.0</v>
      </c>
      <c r="AN33" s="208">
        <v>0.0125</v>
      </c>
      <c r="AO33" s="208">
        <v>144969.0</v>
      </c>
      <c r="AP33" s="208">
        <v>0.48</v>
      </c>
      <c r="AQ33" s="208">
        <v>0.0</v>
      </c>
      <c r="AR33" s="208">
        <v>20.0</v>
      </c>
      <c r="AS33" s="208">
        <v>620.0</v>
      </c>
      <c r="AT33" s="208">
        <v>2315.86</v>
      </c>
      <c r="AU33" s="208">
        <v>2.0</v>
      </c>
      <c r="AV33" s="208">
        <v>54.0</v>
      </c>
      <c r="AW33" s="208">
        <v>15.0</v>
      </c>
      <c r="AX33" s="208">
        <v>28.0</v>
      </c>
      <c r="AY33" s="208">
        <v>1.0</v>
      </c>
    </row>
    <row r="34">
      <c r="A34" s="208" t="s">
        <v>126</v>
      </c>
      <c r="B34" s="533" t="s">
        <v>140</v>
      </c>
      <c r="C34" s="208" t="s">
        <v>591</v>
      </c>
      <c r="D34" s="208" t="s">
        <v>1061</v>
      </c>
      <c r="E34" s="208" t="s">
        <v>174</v>
      </c>
      <c r="F34" s="584">
        <v>44207.0</v>
      </c>
      <c r="G34" s="208" t="s">
        <v>580</v>
      </c>
      <c r="H34" s="208">
        <v>0.0</v>
      </c>
      <c r="I34" s="208">
        <v>0.0</v>
      </c>
      <c r="J34" s="208">
        <v>0.0</v>
      </c>
      <c r="K34" s="208">
        <v>0.0</v>
      </c>
      <c r="L34" s="536">
        <f t="shared" si="1"/>
        <v>0</v>
      </c>
      <c r="M34" s="208">
        <v>70.0</v>
      </c>
      <c r="N34" s="208">
        <v>0.0</v>
      </c>
      <c r="O34" s="208">
        <v>0.0</v>
      </c>
      <c r="P34" s="208">
        <v>70.0</v>
      </c>
      <c r="Q34" s="208">
        <v>70.0</v>
      </c>
      <c r="R34" s="208">
        <v>0.0</v>
      </c>
      <c r="S34" s="208">
        <v>0.0</v>
      </c>
      <c r="T34" s="208">
        <v>0.0</v>
      </c>
      <c r="U34" s="208">
        <v>0.0</v>
      </c>
      <c r="V34" s="208">
        <v>0.0</v>
      </c>
      <c r="W34" s="208">
        <v>0.0</v>
      </c>
      <c r="X34" s="208">
        <v>0.0</v>
      </c>
      <c r="Y34" s="208">
        <v>0.0</v>
      </c>
      <c r="Z34" s="208">
        <v>75.0</v>
      </c>
      <c r="AA34" s="208">
        <v>0.0</v>
      </c>
      <c r="AB34" s="208">
        <v>0.0</v>
      </c>
      <c r="AC34" s="208">
        <v>0.0</v>
      </c>
      <c r="AD34" s="208">
        <v>0.0</v>
      </c>
      <c r="AE34" s="208">
        <v>0.0</v>
      </c>
      <c r="AF34" s="208">
        <v>0.0</v>
      </c>
      <c r="AG34" s="208">
        <v>0.0</v>
      </c>
      <c r="AH34" s="208">
        <v>0.0</v>
      </c>
      <c r="AI34" s="208">
        <v>0.0</v>
      </c>
      <c r="AJ34" s="208">
        <v>0.0</v>
      </c>
      <c r="AK34" s="208">
        <v>0.0</v>
      </c>
      <c r="AL34" s="208">
        <v>33839.0</v>
      </c>
      <c r="AM34" s="208">
        <v>0.0</v>
      </c>
      <c r="AN34" s="208">
        <v>0.0</v>
      </c>
      <c r="AO34" s="208">
        <v>0.0</v>
      </c>
      <c r="AP34" s="208">
        <v>0.0</v>
      </c>
      <c r="AQ34" s="208">
        <v>0.0</v>
      </c>
      <c r="AR34" s="208">
        <v>0.0</v>
      </c>
      <c r="AS34" s="208">
        <v>0.0</v>
      </c>
      <c r="AT34" s="208">
        <v>0.0</v>
      </c>
      <c r="AU34" s="208">
        <v>0.0</v>
      </c>
      <c r="AV34" s="208">
        <v>0.0</v>
      </c>
      <c r="AW34" s="208">
        <v>0.0</v>
      </c>
      <c r="AX34" s="208">
        <v>0.0</v>
      </c>
      <c r="AY34" s="208">
        <v>70.0</v>
      </c>
      <c r="AZ34" s="584">
        <v>45777.0</v>
      </c>
    </row>
    <row r="35">
      <c r="A35" s="208" t="s">
        <v>97</v>
      </c>
      <c r="B35" s="533" t="s">
        <v>101</v>
      </c>
      <c r="C35" s="208" t="s">
        <v>346</v>
      </c>
      <c r="D35" s="208" t="s">
        <v>1062</v>
      </c>
      <c r="E35" s="208" t="s">
        <v>347</v>
      </c>
      <c r="F35" s="585">
        <v>45474.0</v>
      </c>
      <c r="G35" s="208" t="s">
        <v>97</v>
      </c>
      <c r="H35" s="208">
        <v>0.0</v>
      </c>
      <c r="I35" s="208">
        <v>3630000.0</v>
      </c>
      <c r="J35" s="208">
        <v>1875956.4</v>
      </c>
      <c r="K35" s="208">
        <v>0.0</v>
      </c>
      <c r="L35" s="536">
        <f t="shared" si="1"/>
        <v>1875956.4</v>
      </c>
      <c r="M35" s="208">
        <v>81.0</v>
      </c>
      <c r="N35" s="208">
        <v>58.0</v>
      </c>
      <c r="O35" s="208">
        <v>0.0</v>
      </c>
      <c r="P35" s="208">
        <v>81.0</v>
      </c>
      <c r="Q35" s="208">
        <v>23.0</v>
      </c>
      <c r="R35" s="208">
        <v>1875956.4</v>
      </c>
      <c r="S35" s="208">
        <v>0.0</v>
      </c>
      <c r="T35" s="208">
        <v>27.0</v>
      </c>
      <c r="U35" s="208">
        <v>0.0</v>
      </c>
      <c r="V35" s="208">
        <v>27.0</v>
      </c>
      <c r="W35" s="208">
        <v>0.0</v>
      </c>
      <c r="X35" s="208">
        <v>4.0</v>
      </c>
      <c r="Y35" s="208">
        <v>4.0</v>
      </c>
      <c r="Z35" s="208">
        <v>20.0</v>
      </c>
      <c r="AA35" s="208">
        <v>2.0</v>
      </c>
      <c r="AB35" s="208">
        <v>3.0</v>
      </c>
      <c r="AC35" s="208">
        <v>0.0</v>
      </c>
      <c r="AD35" s="208">
        <v>0.0</v>
      </c>
      <c r="AE35" s="208">
        <v>0.0</v>
      </c>
      <c r="AF35" s="208">
        <v>0.0</v>
      </c>
      <c r="AG35" s="208">
        <v>319.0</v>
      </c>
      <c r="AH35" s="208">
        <v>326.0</v>
      </c>
      <c r="AI35" s="208">
        <v>55.0</v>
      </c>
      <c r="AJ35" s="208">
        <v>34108.0</v>
      </c>
      <c r="AK35" s="208">
        <v>6.0</v>
      </c>
      <c r="AM35" s="208">
        <v>0.0</v>
      </c>
      <c r="AN35" s="208">
        <v>0.0</v>
      </c>
      <c r="AO35" s="208">
        <v>69480.0</v>
      </c>
      <c r="AP35" s="208">
        <v>0.52</v>
      </c>
      <c r="AQ35" s="208">
        <v>0.0</v>
      </c>
      <c r="AR35" s="208">
        <v>58.0</v>
      </c>
      <c r="AS35" s="208">
        <v>454.0</v>
      </c>
      <c r="AT35" s="208">
        <v>3130.58</v>
      </c>
      <c r="AU35" s="208">
        <v>0.0</v>
      </c>
      <c r="AV35" s="208">
        <v>54.0</v>
      </c>
      <c r="AW35" s="208">
        <v>27.0</v>
      </c>
      <c r="AX35" s="208">
        <v>31.0</v>
      </c>
      <c r="AY35" s="208">
        <v>23.0</v>
      </c>
    </row>
    <row r="36">
      <c r="A36" s="208" t="s">
        <v>97</v>
      </c>
      <c r="B36" s="533" t="s">
        <v>101</v>
      </c>
      <c r="C36" s="208" t="s">
        <v>597</v>
      </c>
      <c r="D36" s="208" t="s">
        <v>1062</v>
      </c>
      <c r="E36" s="208" t="s">
        <v>1063</v>
      </c>
      <c r="F36" s="584">
        <v>44224.0</v>
      </c>
      <c r="G36" s="208" t="s">
        <v>97</v>
      </c>
      <c r="H36" s="208">
        <v>0.0</v>
      </c>
      <c r="I36" s="208">
        <v>0.0</v>
      </c>
      <c r="J36" s="208">
        <v>0.0</v>
      </c>
      <c r="K36" s="208">
        <v>0.0</v>
      </c>
      <c r="L36" s="536">
        <f t="shared" si="1"/>
        <v>0</v>
      </c>
      <c r="M36" s="208">
        <v>147.0</v>
      </c>
      <c r="N36" s="208">
        <v>0.0</v>
      </c>
      <c r="O36" s="208">
        <v>3.0</v>
      </c>
      <c r="P36" s="208">
        <v>150.0</v>
      </c>
      <c r="Q36" s="208">
        <v>150.0</v>
      </c>
      <c r="R36" s="208">
        <v>0.0</v>
      </c>
      <c r="S36" s="208">
        <v>0.0</v>
      </c>
      <c r="T36" s="208">
        <v>0.0</v>
      </c>
      <c r="U36" s="208">
        <v>0.0</v>
      </c>
      <c r="V36" s="208">
        <v>0.0</v>
      </c>
      <c r="W36" s="208">
        <v>0.0</v>
      </c>
      <c r="X36" s="208">
        <v>0.0</v>
      </c>
      <c r="Y36" s="208">
        <v>0.0</v>
      </c>
      <c r="Z36" s="208">
        <v>46.0</v>
      </c>
      <c r="AA36" s="208">
        <v>0.0</v>
      </c>
      <c r="AB36" s="208">
        <v>0.0</v>
      </c>
      <c r="AC36" s="208">
        <v>0.0</v>
      </c>
      <c r="AD36" s="208">
        <v>0.0</v>
      </c>
      <c r="AE36" s="208">
        <v>0.0</v>
      </c>
      <c r="AF36" s="208">
        <v>0.0</v>
      </c>
      <c r="AG36" s="208">
        <v>0.0</v>
      </c>
      <c r="AH36" s="208">
        <v>0.0</v>
      </c>
      <c r="AI36" s="208">
        <v>0.0</v>
      </c>
      <c r="AJ36" s="208">
        <v>0.0</v>
      </c>
      <c r="AK36" s="208">
        <v>0.0</v>
      </c>
      <c r="AL36" s="208">
        <v>35543.0</v>
      </c>
      <c r="AM36" s="208">
        <v>0.0</v>
      </c>
      <c r="AN36" s="208">
        <v>0.0</v>
      </c>
      <c r="AO36" s="208">
        <v>0.0</v>
      </c>
      <c r="AP36" s="208">
        <v>0.0</v>
      </c>
      <c r="AQ36" s="208">
        <v>0.0</v>
      </c>
      <c r="AR36" s="208">
        <v>0.0</v>
      </c>
      <c r="AS36" s="208">
        <v>0.0</v>
      </c>
      <c r="AT36" s="208">
        <v>0.0</v>
      </c>
      <c r="AU36" s="208">
        <v>0.0</v>
      </c>
      <c r="AV36" s="208">
        <v>0.0</v>
      </c>
      <c r="AW36" s="208">
        <v>0.0</v>
      </c>
      <c r="AX36" s="208">
        <v>0.0</v>
      </c>
      <c r="AY36" s="208">
        <v>150.0</v>
      </c>
      <c r="AZ36" s="584">
        <v>45774.0</v>
      </c>
    </row>
    <row r="37">
      <c r="A37" s="208" t="s">
        <v>185</v>
      </c>
      <c r="B37" s="533" t="s">
        <v>215</v>
      </c>
      <c r="C37" s="208" t="s">
        <v>213</v>
      </c>
      <c r="D37" s="208" t="s">
        <v>1064</v>
      </c>
      <c r="E37" s="208" t="s">
        <v>214</v>
      </c>
      <c r="F37" s="585">
        <v>44228.0</v>
      </c>
      <c r="G37" s="208" t="s">
        <v>185</v>
      </c>
      <c r="H37" s="208">
        <v>0.0</v>
      </c>
      <c r="I37" s="208">
        <v>1.05E7</v>
      </c>
      <c r="J37" s="208">
        <v>4751368.98</v>
      </c>
      <c r="K37" s="208">
        <v>0.0</v>
      </c>
      <c r="L37" s="536">
        <f t="shared" si="1"/>
        <v>4751368.98</v>
      </c>
      <c r="M37" s="208">
        <v>78.0</v>
      </c>
      <c r="N37" s="208">
        <v>60.0</v>
      </c>
      <c r="O37" s="208">
        <v>0.0</v>
      </c>
      <c r="P37" s="208">
        <v>78.0</v>
      </c>
      <c r="Q37" s="208">
        <v>18.0</v>
      </c>
      <c r="R37" s="208">
        <v>4751368.98</v>
      </c>
      <c r="S37" s="208">
        <v>0.0</v>
      </c>
      <c r="T37" s="208">
        <v>39.0</v>
      </c>
      <c r="U37" s="208">
        <v>0.0</v>
      </c>
      <c r="V37" s="208">
        <v>39.0</v>
      </c>
      <c r="W37" s="208">
        <v>0.0</v>
      </c>
      <c r="X37" s="208">
        <v>20.0</v>
      </c>
      <c r="Y37" s="208">
        <v>27.0</v>
      </c>
      <c r="Z37" s="208">
        <v>122.0</v>
      </c>
      <c r="AA37" s="208">
        <v>1.0</v>
      </c>
      <c r="AB37" s="208">
        <v>53.0</v>
      </c>
      <c r="AC37" s="208">
        <v>0.0</v>
      </c>
      <c r="AD37" s="208">
        <v>0.0</v>
      </c>
      <c r="AE37" s="208">
        <v>0.0</v>
      </c>
      <c r="AF37" s="208">
        <v>0.0</v>
      </c>
      <c r="AG37" s="208">
        <v>131.0</v>
      </c>
      <c r="AH37" s="208">
        <v>211.0</v>
      </c>
      <c r="AI37" s="208">
        <v>68.0</v>
      </c>
      <c r="AJ37" s="208">
        <v>69873.0</v>
      </c>
      <c r="AK37" s="208">
        <v>3.0</v>
      </c>
      <c r="AL37" s="208">
        <v>40500.0</v>
      </c>
      <c r="AM37" s="208">
        <v>0.0</v>
      </c>
      <c r="AN37" s="208">
        <v>0.0085</v>
      </c>
      <c r="AO37" s="208">
        <v>121830.0</v>
      </c>
      <c r="AP37" s="208">
        <v>0.45</v>
      </c>
      <c r="AQ37" s="208">
        <v>0.0</v>
      </c>
      <c r="AR37" s="208">
        <v>79.0</v>
      </c>
      <c r="AS37" s="208">
        <v>684.0</v>
      </c>
      <c r="AT37" s="208">
        <v>2672.26</v>
      </c>
      <c r="AU37" s="208">
        <v>0.0</v>
      </c>
      <c r="AV37" s="208">
        <v>45.0</v>
      </c>
      <c r="AW37" s="208">
        <v>39.0</v>
      </c>
      <c r="AX37" s="208">
        <v>25.0</v>
      </c>
      <c r="AY37" s="208">
        <v>14.0</v>
      </c>
    </row>
    <row r="38">
      <c r="A38" s="208" t="s">
        <v>185</v>
      </c>
      <c r="B38" s="533" t="s">
        <v>222</v>
      </c>
      <c r="C38" s="208" t="s">
        <v>227</v>
      </c>
      <c r="D38" s="208" t="s">
        <v>1070</v>
      </c>
      <c r="E38" s="208" t="s">
        <v>228</v>
      </c>
      <c r="F38" s="585">
        <v>44868.0</v>
      </c>
      <c r="G38" s="208" t="s">
        <v>185</v>
      </c>
      <c r="H38" s="208">
        <v>0.0</v>
      </c>
      <c r="I38" s="208">
        <v>4500000.0</v>
      </c>
      <c r="J38" s="208">
        <v>3042182.97</v>
      </c>
      <c r="K38" s="208">
        <v>0.0</v>
      </c>
      <c r="L38" s="536">
        <f t="shared" si="1"/>
        <v>3042182.97</v>
      </c>
      <c r="M38" s="208">
        <v>62.0</v>
      </c>
      <c r="N38" s="208">
        <v>48.0</v>
      </c>
      <c r="O38" s="208">
        <v>1.0</v>
      </c>
      <c r="P38" s="208">
        <v>63.0</v>
      </c>
      <c r="Q38" s="208">
        <v>15.0</v>
      </c>
      <c r="R38" s="208">
        <v>2879466.87</v>
      </c>
      <c r="S38" s="208">
        <v>162716.1</v>
      </c>
      <c r="T38" s="208">
        <v>26.0</v>
      </c>
      <c r="U38" s="208">
        <v>1.0</v>
      </c>
      <c r="V38" s="208">
        <v>27.0</v>
      </c>
      <c r="W38" s="208">
        <v>0.0</v>
      </c>
      <c r="X38" s="208">
        <v>0.0</v>
      </c>
      <c r="Y38" s="208">
        <v>0.0</v>
      </c>
      <c r="Z38" s="208">
        <v>40.0</v>
      </c>
      <c r="AA38" s="208">
        <v>1.0</v>
      </c>
      <c r="AB38" s="208">
        <v>21.0</v>
      </c>
      <c r="AC38" s="208">
        <v>0.0</v>
      </c>
      <c r="AD38" s="208">
        <v>0.0</v>
      </c>
      <c r="AE38" s="208">
        <v>0.0</v>
      </c>
      <c r="AF38" s="208">
        <v>0.0</v>
      </c>
      <c r="AG38" s="208">
        <v>186.0</v>
      </c>
      <c r="AH38" s="208">
        <v>207.0</v>
      </c>
      <c r="AI38" s="208">
        <v>72.0</v>
      </c>
      <c r="AJ38" s="208">
        <v>42253.0</v>
      </c>
      <c r="AK38" s="208">
        <v>3.0</v>
      </c>
      <c r="AL38" s="208">
        <v>31625.0</v>
      </c>
      <c r="AM38" s="208">
        <v>0.0</v>
      </c>
      <c r="AN38" s="208">
        <v>0.0104</v>
      </c>
      <c r="AO38" s="208">
        <v>112673.0</v>
      </c>
      <c r="AP38" s="208">
        <v>0.68</v>
      </c>
      <c r="AQ38" s="208">
        <v>0.0</v>
      </c>
      <c r="AR38" s="208">
        <v>48.0</v>
      </c>
      <c r="AS38" s="208">
        <v>666.0</v>
      </c>
      <c r="AT38" s="208">
        <v>1388.76</v>
      </c>
      <c r="AU38" s="208">
        <v>1.0</v>
      </c>
      <c r="AV38" s="208">
        <v>29.0</v>
      </c>
      <c r="AW38" s="208">
        <v>27.0</v>
      </c>
      <c r="AX38" s="208">
        <v>24.0</v>
      </c>
      <c r="AY38" s="208">
        <v>12.0</v>
      </c>
    </row>
    <row r="39">
      <c r="A39" s="208" t="s">
        <v>126</v>
      </c>
      <c r="B39" s="533" t="s">
        <v>140</v>
      </c>
      <c r="C39" s="208" t="s">
        <v>604</v>
      </c>
      <c r="D39" s="208" t="s">
        <v>1061</v>
      </c>
      <c r="E39" s="208" t="s">
        <v>139</v>
      </c>
      <c r="F39" s="584">
        <v>44245.0</v>
      </c>
      <c r="G39" s="208" t="s">
        <v>580</v>
      </c>
      <c r="H39" s="208">
        <v>0.0</v>
      </c>
      <c r="I39" s="208">
        <v>6999999.0</v>
      </c>
      <c r="J39" s="208">
        <v>3162208.6</v>
      </c>
      <c r="K39" s="208">
        <v>0.0</v>
      </c>
      <c r="L39" s="536">
        <f t="shared" si="1"/>
        <v>3162208.6</v>
      </c>
      <c r="M39" s="208">
        <v>109.0</v>
      </c>
      <c r="N39" s="208">
        <v>95.0</v>
      </c>
      <c r="O39" s="208">
        <v>4.0</v>
      </c>
      <c r="P39" s="208">
        <v>113.0</v>
      </c>
      <c r="Q39" s="208">
        <v>18.0</v>
      </c>
      <c r="R39" s="208">
        <v>2732856.29</v>
      </c>
      <c r="S39" s="208">
        <v>429352.31</v>
      </c>
      <c r="T39" s="208">
        <v>35.0</v>
      </c>
      <c r="U39" s="208">
        <v>4.0</v>
      </c>
      <c r="V39" s="208">
        <v>39.0</v>
      </c>
      <c r="W39" s="208">
        <v>0.0</v>
      </c>
      <c r="X39" s="208">
        <v>16.0</v>
      </c>
      <c r="Y39" s="208">
        <v>17.0</v>
      </c>
      <c r="Z39" s="208">
        <v>122.0</v>
      </c>
      <c r="AA39" s="208">
        <v>2.0</v>
      </c>
      <c r="AB39" s="208">
        <v>5.0</v>
      </c>
      <c r="AC39" s="208">
        <v>1.0</v>
      </c>
      <c r="AD39" s="208">
        <v>1.0</v>
      </c>
      <c r="AE39" s="208">
        <v>0.0</v>
      </c>
      <c r="AF39" s="208">
        <v>0.0</v>
      </c>
      <c r="AG39" s="208">
        <v>251.0</v>
      </c>
      <c r="AH39" s="208">
        <v>274.0</v>
      </c>
      <c r="AI39" s="208">
        <v>72.0</v>
      </c>
      <c r="AJ39" s="208">
        <v>43920.0</v>
      </c>
      <c r="AK39" s="208">
        <v>4.0</v>
      </c>
      <c r="AL39" s="208">
        <v>31852.0</v>
      </c>
      <c r="AM39" s="208">
        <v>0.0</v>
      </c>
      <c r="AN39" s="208">
        <v>0.0101</v>
      </c>
      <c r="AO39" s="208">
        <v>81082.0</v>
      </c>
      <c r="AP39" s="208">
        <v>0.45</v>
      </c>
      <c r="AQ39" s="208">
        <v>0.0</v>
      </c>
      <c r="AR39" s="208">
        <v>80.0</v>
      </c>
      <c r="AS39" s="208">
        <v>717.0</v>
      </c>
      <c r="AT39" s="208">
        <v>5795.4</v>
      </c>
      <c r="AU39" s="208">
        <v>4.0</v>
      </c>
      <c r="AV39" s="208">
        <v>61.0</v>
      </c>
      <c r="AW39" s="208">
        <v>39.0</v>
      </c>
      <c r="AX39" s="208">
        <v>60.0</v>
      </c>
      <c r="AY39" s="208">
        <v>14.0</v>
      </c>
    </row>
    <row r="40">
      <c r="A40" s="208" t="s">
        <v>126</v>
      </c>
      <c r="B40" s="533" t="s">
        <v>130</v>
      </c>
      <c r="C40" s="208" t="s">
        <v>141</v>
      </c>
      <c r="D40" s="208" t="s">
        <v>130</v>
      </c>
      <c r="E40" s="208" t="s">
        <v>142</v>
      </c>
      <c r="F40" s="584">
        <v>44247.0</v>
      </c>
      <c r="G40" s="208" t="s">
        <v>580</v>
      </c>
      <c r="H40" s="208">
        <v>0.0</v>
      </c>
      <c r="I40" s="208">
        <v>9999999.0</v>
      </c>
      <c r="J40" s="208">
        <v>7348317.96</v>
      </c>
      <c r="K40" s="208">
        <v>0.0</v>
      </c>
      <c r="L40" s="536">
        <f t="shared" si="1"/>
        <v>7348317.96</v>
      </c>
      <c r="M40" s="208">
        <v>94.0</v>
      </c>
      <c r="N40" s="208">
        <v>66.0</v>
      </c>
      <c r="O40" s="208">
        <v>21.0</v>
      </c>
      <c r="P40" s="208">
        <v>115.0</v>
      </c>
      <c r="Q40" s="208">
        <v>49.0</v>
      </c>
      <c r="R40" s="208">
        <v>6190603.92</v>
      </c>
      <c r="S40" s="208">
        <v>1157714.04</v>
      </c>
      <c r="T40" s="208">
        <v>49.0</v>
      </c>
      <c r="U40" s="208">
        <v>21.0</v>
      </c>
      <c r="V40" s="208">
        <v>70.0</v>
      </c>
      <c r="W40" s="208">
        <v>0.0</v>
      </c>
      <c r="X40" s="208">
        <v>3.0</v>
      </c>
      <c r="Y40" s="208">
        <v>3.0</v>
      </c>
      <c r="Z40" s="208">
        <v>44.0</v>
      </c>
      <c r="AA40" s="208">
        <v>3.0</v>
      </c>
      <c r="AB40" s="208">
        <v>54.0</v>
      </c>
      <c r="AC40" s="208">
        <v>0.0</v>
      </c>
      <c r="AD40" s="208">
        <v>0.0</v>
      </c>
      <c r="AE40" s="208">
        <v>0.0</v>
      </c>
      <c r="AF40" s="208">
        <v>0.0</v>
      </c>
      <c r="AG40" s="208">
        <v>251.0</v>
      </c>
      <c r="AH40" s="208">
        <v>308.0</v>
      </c>
      <c r="AI40" s="208">
        <v>76.0</v>
      </c>
      <c r="AJ40" s="208">
        <v>96688.0</v>
      </c>
      <c r="AK40" s="208">
        <v>4.0</v>
      </c>
      <c r="AL40" s="208">
        <v>37917.0</v>
      </c>
      <c r="AM40" s="208">
        <v>0.0</v>
      </c>
      <c r="AN40" s="208">
        <v>0.0052</v>
      </c>
      <c r="AO40" s="208">
        <v>104976.0</v>
      </c>
      <c r="AP40" s="208">
        <v>0.73</v>
      </c>
      <c r="AQ40" s="208">
        <v>0.0</v>
      </c>
      <c r="AR40" s="208">
        <v>217.0</v>
      </c>
      <c r="AS40" s="208">
        <v>807.0</v>
      </c>
      <c r="AT40" s="208">
        <v>5122.74</v>
      </c>
      <c r="AU40" s="208">
        <v>21.0</v>
      </c>
      <c r="AV40" s="208">
        <v>78.0</v>
      </c>
      <c r="AW40" s="208">
        <v>70.0</v>
      </c>
      <c r="AX40" s="208">
        <v>17.0</v>
      </c>
      <c r="AY40" s="208">
        <v>28.0</v>
      </c>
    </row>
    <row r="41">
      <c r="A41" s="208" t="s">
        <v>185</v>
      </c>
      <c r="B41" s="533" t="s">
        <v>212</v>
      </c>
      <c r="C41" s="208" t="s">
        <v>218</v>
      </c>
      <c r="D41" s="208" t="s">
        <v>1031</v>
      </c>
      <c r="E41" s="208" t="s">
        <v>219</v>
      </c>
      <c r="F41" s="584">
        <v>44396.0</v>
      </c>
      <c r="G41" s="208" t="s">
        <v>185</v>
      </c>
      <c r="H41" s="208">
        <v>0.0</v>
      </c>
      <c r="I41" s="208">
        <v>7500000.0</v>
      </c>
      <c r="J41" s="208">
        <v>7826523.34</v>
      </c>
      <c r="K41" s="208">
        <v>0.0</v>
      </c>
      <c r="L41" s="536">
        <f t="shared" si="1"/>
        <v>7826523.34</v>
      </c>
      <c r="M41" s="208">
        <v>248.0</v>
      </c>
      <c r="N41" s="208">
        <v>122.0</v>
      </c>
      <c r="O41" s="208">
        <v>9.0</v>
      </c>
      <c r="P41" s="208">
        <v>257.0</v>
      </c>
      <c r="Q41" s="208">
        <v>135.0</v>
      </c>
      <c r="R41" s="208">
        <v>6898440.52</v>
      </c>
      <c r="S41" s="208">
        <v>928082.82</v>
      </c>
      <c r="T41" s="208">
        <v>45.0</v>
      </c>
      <c r="U41" s="208">
        <v>7.0</v>
      </c>
      <c r="V41" s="208">
        <v>52.0</v>
      </c>
      <c r="W41" s="208">
        <v>0.0</v>
      </c>
      <c r="X41" s="208">
        <v>64.0</v>
      </c>
      <c r="Y41" s="208">
        <v>71.0</v>
      </c>
      <c r="Z41" s="208">
        <v>474.0</v>
      </c>
      <c r="AA41" s="208">
        <v>3.0</v>
      </c>
      <c r="AB41" s="208">
        <v>30.0</v>
      </c>
      <c r="AC41" s="208">
        <v>0.0</v>
      </c>
      <c r="AD41" s="208">
        <v>0.0</v>
      </c>
      <c r="AE41" s="208">
        <v>1.0</v>
      </c>
      <c r="AF41" s="208">
        <v>2.0</v>
      </c>
      <c r="AG41" s="208">
        <v>221.0</v>
      </c>
      <c r="AH41" s="208">
        <v>324.0</v>
      </c>
      <c r="AI41" s="208">
        <v>69.0</v>
      </c>
      <c r="AJ41" s="208">
        <v>113428.0</v>
      </c>
      <c r="AK41" s="208">
        <v>5.0</v>
      </c>
      <c r="AL41" s="208">
        <v>49690.0</v>
      </c>
      <c r="AM41" s="208">
        <v>0.0</v>
      </c>
      <c r="AN41" s="208">
        <v>0.0063</v>
      </c>
      <c r="AO41" s="208">
        <v>150510.0</v>
      </c>
      <c r="AP41" s="208">
        <v>1.04</v>
      </c>
      <c r="AQ41" s="208">
        <v>0.0</v>
      </c>
      <c r="AR41" s="208">
        <v>90.0</v>
      </c>
      <c r="AS41" s="208">
        <v>732.0</v>
      </c>
      <c r="AT41" s="208">
        <v>3992.9</v>
      </c>
      <c r="AU41" s="208">
        <v>7.0</v>
      </c>
      <c r="AV41" s="208">
        <v>33.0</v>
      </c>
      <c r="AW41" s="208">
        <v>52.0</v>
      </c>
      <c r="AX41" s="208">
        <v>72.0</v>
      </c>
      <c r="AY41" s="208">
        <v>133.0</v>
      </c>
    </row>
    <row r="42">
      <c r="A42" s="208" t="s">
        <v>185</v>
      </c>
      <c r="B42" s="533" t="s">
        <v>215</v>
      </c>
      <c r="C42" s="208" t="s">
        <v>216</v>
      </c>
      <c r="D42" s="208" t="s">
        <v>1065</v>
      </c>
      <c r="E42" s="208" t="s">
        <v>217</v>
      </c>
      <c r="F42" s="584">
        <v>44424.0</v>
      </c>
      <c r="G42" s="208" t="s">
        <v>185</v>
      </c>
      <c r="H42" s="208">
        <v>0.0</v>
      </c>
      <c r="I42" s="208">
        <v>2.2250001E7</v>
      </c>
      <c r="J42" s="208">
        <v>1.648028548E7</v>
      </c>
      <c r="K42" s="208">
        <v>0.0</v>
      </c>
      <c r="L42" s="536">
        <f t="shared" si="1"/>
        <v>16480285.48</v>
      </c>
      <c r="M42" s="208">
        <v>81.0</v>
      </c>
      <c r="N42" s="208">
        <v>80.0</v>
      </c>
      <c r="O42" s="208">
        <v>3.0</v>
      </c>
      <c r="P42" s="208">
        <v>84.0</v>
      </c>
      <c r="Q42" s="208">
        <v>4.0</v>
      </c>
      <c r="R42" s="208">
        <v>1.591284156E7</v>
      </c>
      <c r="S42" s="208">
        <v>567443.92</v>
      </c>
      <c r="T42" s="208">
        <v>57.0</v>
      </c>
      <c r="U42" s="208">
        <v>3.0</v>
      </c>
      <c r="V42" s="208">
        <v>60.0</v>
      </c>
      <c r="W42" s="208">
        <v>0.0</v>
      </c>
      <c r="X42" s="208">
        <v>11.0</v>
      </c>
      <c r="Y42" s="208">
        <v>13.0</v>
      </c>
      <c r="Z42" s="208">
        <v>42.0</v>
      </c>
      <c r="AA42" s="208">
        <v>1.0</v>
      </c>
      <c r="AB42" s="208">
        <v>37.0</v>
      </c>
      <c r="AC42" s="208">
        <v>0.0</v>
      </c>
      <c r="AD42" s="208">
        <v>0.0</v>
      </c>
      <c r="AE42" s="208">
        <v>0.0</v>
      </c>
      <c r="AF42" s="208">
        <v>0.0</v>
      </c>
      <c r="AG42" s="208">
        <v>307.0</v>
      </c>
      <c r="AH42" s="208">
        <v>357.0</v>
      </c>
      <c r="AI42" s="208">
        <v>68.0</v>
      </c>
      <c r="AJ42" s="208">
        <v>242357.0</v>
      </c>
      <c r="AK42" s="208">
        <v>5.0</v>
      </c>
      <c r="AL42" s="208">
        <v>51393.0</v>
      </c>
      <c r="AM42" s="208">
        <v>0.0</v>
      </c>
      <c r="AN42" s="208">
        <v>0.0031</v>
      </c>
      <c r="AO42" s="208">
        <v>274671.0</v>
      </c>
      <c r="AP42" s="208">
        <v>0.74</v>
      </c>
      <c r="AQ42" s="208">
        <v>0.0</v>
      </c>
      <c r="AR42" s="208">
        <v>145.0</v>
      </c>
      <c r="AS42" s="208">
        <v>725.0</v>
      </c>
      <c r="AT42" s="208">
        <v>4288.58</v>
      </c>
      <c r="AU42" s="208">
        <v>3.0</v>
      </c>
      <c r="AV42" s="208">
        <v>54.0</v>
      </c>
      <c r="AW42" s="208">
        <v>60.0</v>
      </c>
      <c r="AX42" s="208">
        <v>20.0</v>
      </c>
      <c r="AY42" s="208">
        <v>4.0</v>
      </c>
    </row>
    <row r="43">
      <c r="A43" s="208" t="s">
        <v>298</v>
      </c>
      <c r="B43" s="533" t="s">
        <v>301</v>
      </c>
      <c r="C43" s="208" t="s">
        <v>302</v>
      </c>
      <c r="D43" s="208" t="s">
        <v>1066</v>
      </c>
      <c r="E43" s="208" t="s">
        <v>303</v>
      </c>
      <c r="F43" s="584">
        <v>44459.0</v>
      </c>
      <c r="G43" s="208" t="s">
        <v>298</v>
      </c>
      <c r="H43" s="208">
        <v>0.0</v>
      </c>
      <c r="I43" s="208">
        <v>5400000.0</v>
      </c>
      <c r="J43" s="208">
        <v>4690113.93</v>
      </c>
      <c r="K43" s="208">
        <v>0.0</v>
      </c>
      <c r="L43" s="536">
        <f t="shared" si="1"/>
        <v>4690113.93</v>
      </c>
      <c r="M43" s="208">
        <v>92.0</v>
      </c>
      <c r="N43" s="208">
        <v>31.0</v>
      </c>
      <c r="O43" s="208">
        <v>1.0</v>
      </c>
      <c r="P43" s="208">
        <v>93.0</v>
      </c>
      <c r="Q43" s="208">
        <v>62.0</v>
      </c>
      <c r="R43" s="208">
        <v>4690113.93</v>
      </c>
      <c r="S43" s="208">
        <v>0.0</v>
      </c>
      <c r="T43" s="208">
        <v>27.0</v>
      </c>
      <c r="U43" s="208">
        <v>0.0</v>
      </c>
      <c r="V43" s="208">
        <v>27.0</v>
      </c>
      <c r="W43" s="208">
        <v>0.0</v>
      </c>
      <c r="X43" s="208">
        <v>2.0</v>
      </c>
      <c r="Y43" s="208">
        <v>2.0</v>
      </c>
      <c r="Z43" s="208">
        <v>69.0</v>
      </c>
      <c r="AA43" s="208">
        <v>9.0</v>
      </c>
      <c r="AB43" s="208">
        <v>62.0</v>
      </c>
      <c r="AC43" s="208">
        <v>0.0</v>
      </c>
      <c r="AD43" s="208">
        <v>0.0</v>
      </c>
      <c r="AE43" s="208">
        <v>1.0</v>
      </c>
      <c r="AF43" s="208">
        <v>2.0</v>
      </c>
      <c r="AG43" s="208">
        <v>63.0</v>
      </c>
      <c r="AH43" s="208">
        <v>129.0</v>
      </c>
      <c r="AI43" s="208">
        <v>71.0</v>
      </c>
      <c r="AJ43" s="208">
        <v>66058.0</v>
      </c>
      <c r="AK43" s="208">
        <v>2.0</v>
      </c>
      <c r="AL43" s="208">
        <v>49585.0</v>
      </c>
      <c r="AM43" s="208">
        <v>0.0</v>
      </c>
      <c r="AN43" s="208">
        <v>0.0106</v>
      </c>
      <c r="AO43" s="208">
        <v>173708.0</v>
      </c>
      <c r="AP43" s="208">
        <v>0.68</v>
      </c>
      <c r="AQ43" s="208">
        <v>0.0</v>
      </c>
      <c r="AR43" s="208">
        <v>64.0</v>
      </c>
      <c r="AS43" s="208">
        <v>720.0</v>
      </c>
      <c r="AT43" s="208">
        <v>3486.25</v>
      </c>
      <c r="AU43" s="208">
        <v>0.0</v>
      </c>
      <c r="AV43" s="208">
        <v>112.0</v>
      </c>
      <c r="AW43" s="208">
        <v>27.0</v>
      </c>
      <c r="AX43" s="208">
        <v>13.0</v>
      </c>
      <c r="AY43" s="208">
        <v>53.0</v>
      </c>
    </row>
    <row r="44">
      <c r="A44" s="208" t="s">
        <v>185</v>
      </c>
      <c r="B44" s="533" t="s">
        <v>117</v>
      </c>
      <c r="C44" s="208" t="s">
        <v>432</v>
      </c>
      <c r="D44" s="208" t="s">
        <v>1044</v>
      </c>
      <c r="E44" s="208" t="s">
        <v>433</v>
      </c>
      <c r="F44" s="585">
        <v>45444.0</v>
      </c>
      <c r="G44" s="208" t="s">
        <v>111</v>
      </c>
      <c r="H44" s="208">
        <v>0.0</v>
      </c>
      <c r="I44" s="208">
        <v>1000000.0</v>
      </c>
      <c r="J44" s="208">
        <v>0.0</v>
      </c>
      <c r="K44" s="208">
        <v>0.0</v>
      </c>
      <c r="L44" s="536">
        <f t="shared" si="1"/>
        <v>0</v>
      </c>
      <c r="M44" s="208">
        <v>27.0</v>
      </c>
      <c r="N44" s="208">
        <v>12.0</v>
      </c>
      <c r="O44" s="208">
        <v>0.0</v>
      </c>
      <c r="P44" s="208">
        <v>27.0</v>
      </c>
      <c r="Q44" s="208">
        <v>15.0</v>
      </c>
      <c r="R44" s="208">
        <v>0.0</v>
      </c>
      <c r="S44" s="208">
        <v>0.0</v>
      </c>
      <c r="T44" s="208">
        <v>0.0</v>
      </c>
      <c r="U44" s="208">
        <v>0.0</v>
      </c>
      <c r="V44" s="208">
        <v>0.0</v>
      </c>
      <c r="W44" s="208">
        <v>0.0</v>
      </c>
      <c r="X44" s="208">
        <v>38.0</v>
      </c>
      <c r="Y44" s="208">
        <v>38.0</v>
      </c>
      <c r="Z44" s="208">
        <v>132.0</v>
      </c>
      <c r="AA44" s="208">
        <v>0.0</v>
      </c>
      <c r="AB44" s="208">
        <v>0.0</v>
      </c>
      <c r="AC44" s="208">
        <v>0.0</v>
      </c>
      <c r="AD44" s="208">
        <v>0.0</v>
      </c>
      <c r="AE44" s="208">
        <v>0.0</v>
      </c>
      <c r="AF44" s="208">
        <v>0.0</v>
      </c>
      <c r="AG44" s="208">
        <v>12.0</v>
      </c>
      <c r="AH44" s="208">
        <v>50.0</v>
      </c>
      <c r="AI44" s="208">
        <v>11.0</v>
      </c>
      <c r="AJ44" s="208">
        <v>0.0</v>
      </c>
      <c r="AK44" s="208">
        <v>5.0</v>
      </c>
      <c r="AL44" s="208">
        <v>27000.0</v>
      </c>
      <c r="AM44" s="208">
        <v>0.0</v>
      </c>
      <c r="AN44" s="208">
        <v>0.0</v>
      </c>
      <c r="AO44" s="208">
        <v>0.0</v>
      </c>
      <c r="AP44" s="208">
        <v>0.0</v>
      </c>
      <c r="AQ44" s="208">
        <v>0.0</v>
      </c>
      <c r="AR44" s="208">
        <v>0.0</v>
      </c>
      <c r="AS44" s="208">
        <v>104.0</v>
      </c>
      <c r="AT44" s="208">
        <v>510.76</v>
      </c>
      <c r="AU44" s="208">
        <v>0.0</v>
      </c>
      <c r="AV44" s="208">
        <v>43.0</v>
      </c>
      <c r="AW44" s="208">
        <v>0.0</v>
      </c>
      <c r="AX44" s="208">
        <v>12.0</v>
      </c>
      <c r="AY44" s="208">
        <v>15.0</v>
      </c>
      <c r="AZ44" s="584">
        <v>45853.0</v>
      </c>
    </row>
    <row r="45">
      <c r="A45" s="208" t="s">
        <v>185</v>
      </c>
      <c r="B45" s="533" t="s">
        <v>222</v>
      </c>
      <c r="C45" s="208" t="s">
        <v>220</v>
      </c>
      <c r="D45" s="208" t="s">
        <v>1057</v>
      </c>
      <c r="E45" s="208" t="s">
        <v>221</v>
      </c>
      <c r="F45" s="585">
        <v>44501.0</v>
      </c>
      <c r="G45" s="208" t="s">
        <v>185</v>
      </c>
      <c r="H45" s="208">
        <v>0.0</v>
      </c>
      <c r="I45" s="208">
        <v>1.35E7</v>
      </c>
      <c r="J45" s="208">
        <v>1.013335547E7</v>
      </c>
      <c r="K45" s="208">
        <v>0.0</v>
      </c>
      <c r="L45" s="536">
        <f t="shared" si="1"/>
        <v>10133355.47</v>
      </c>
      <c r="M45" s="208">
        <v>107.0</v>
      </c>
      <c r="N45" s="208">
        <v>86.0</v>
      </c>
      <c r="O45" s="208">
        <v>1.0</v>
      </c>
      <c r="P45" s="208">
        <v>108.0</v>
      </c>
      <c r="Q45" s="208">
        <v>22.0</v>
      </c>
      <c r="R45" s="208">
        <v>9943454.05</v>
      </c>
      <c r="S45" s="208">
        <v>189901.42</v>
      </c>
      <c r="T45" s="208">
        <v>37.0</v>
      </c>
      <c r="U45" s="208">
        <v>1.0</v>
      </c>
      <c r="V45" s="208">
        <v>38.0</v>
      </c>
      <c r="W45" s="208">
        <v>0.0</v>
      </c>
      <c r="X45" s="208">
        <v>12.0</v>
      </c>
      <c r="Y45" s="208">
        <v>15.0</v>
      </c>
      <c r="Z45" s="208">
        <v>129.0</v>
      </c>
      <c r="AA45" s="208">
        <v>1.0</v>
      </c>
      <c r="AB45" s="208">
        <v>1.0</v>
      </c>
      <c r="AC45" s="208">
        <v>0.0</v>
      </c>
      <c r="AD45" s="208">
        <v>0.0</v>
      </c>
      <c r="AE45" s="208">
        <v>1.0</v>
      </c>
      <c r="AF45" s="208">
        <v>3.0</v>
      </c>
      <c r="AG45" s="208">
        <v>521.0</v>
      </c>
      <c r="AH45" s="208">
        <v>540.0</v>
      </c>
      <c r="AI45" s="208">
        <v>76.0</v>
      </c>
      <c r="AJ45" s="208">
        <v>133334.0</v>
      </c>
      <c r="AK45" s="208">
        <v>7.0</v>
      </c>
      <c r="AL45" s="208">
        <v>58700.0</v>
      </c>
      <c r="AM45" s="208">
        <v>0.0</v>
      </c>
      <c r="AN45" s="208">
        <v>0.0058</v>
      </c>
      <c r="AO45" s="208">
        <v>266667.0</v>
      </c>
      <c r="AP45" s="208">
        <v>0.75</v>
      </c>
      <c r="AQ45" s="208">
        <v>0.0</v>
      </c>
      <c r="AR45" s="208">
        <v>78.0</v>
      </c>
      <c r="AS45" s="208">
        <v>704.0</v>
      </c>
      <c r="AT45" s="208">
        <v>4262.71</v>
      </c>
      <c r="AU45" s="208">
        <v>1.0</v>
      </c>
      <c r="AV45" s="208">
        <v>50.0</v>
      </c>
      <c r="AW45" s="208">
        <v>38.0</v>
      </c>
      <c r="AX45" s="208">
        <v>51.0</v>
      </c>
      <c r="AY45" s="208">
        <v>19.0</v>
      </c>
    </row>
    <row r="46">
      <c r="A46" s="208" t="s">
        <v>126</v>
      </c>
      <c r="B46" s="533" t="s">
        <v>301</v>
      </c>
      <c r="C46" s="208" t="s">
        <v>143</v>
      </c>
      <c r="D46" s="208" t="s">
        <v>1066</v>
      </c>
      <c r="E46" s="208" t="s">
        <v>1067</v>
      </c>
      <c r="F46" s="585">
        <v>44501.0</v>
      </c>
      <c r="G46" s="208" t="s">
        <v>580</v>
      </c>
      <c r="H46" s="208">
        <v>0.0</v>
      </c>
      <c r="I46" s="208">
        <v>5280000.0</v>
      </c>
      <c r="J46" s="208">
        <v>2712224.29</v>
      </c>
      <c r="K46" s="208">
        <v>0.0</v>
      </c>
      <c r="L46" s="536">
        <f t="shared" si="1"/>
        <v>2712224.29</v>
      </c>
      <c r="M46" s="208">
        <v>76.0</v>
      </c>
      <c r="N46" s="208">
        <v>59.0</v>
      </c>
      <c r="O46" s="208">
        <v>1.0</v>
      </c>
      <c r="P46" s="208">
        <v>77.0</v>
      </c>
      <c r="Q46" s="208">
        <v>18.0</v>
      </c>
      <c r="R46" s="208">
        <v>2478606.48</v>
      </c>
      <c r="S46" s="208">
        <v>233617.81</v>
      </c>
      <c r="T46" s="208">
        <v>30.0</v>
      </c>
      <c r="U46" s="208">
        <v>1.0</v>
      </c>
      <c r="V46" s="208">
        <v>31.0</v>
      </c>
      <c r="W46" s="208">
        <v>0.0</v>
      </c>
      <c r="X46" s="208">
        <v>29.0</v>
      </c>
      <c r="Y46" s="208">
        <v>38.0</v>
      </c>
      <c r="Z46" s="208">
        <v>268.0</v>
      </c>
      <c r="AA46" s="208">
        <v>2.0</v>
      </c>
      <c r="AB46" s="208">
        <v>5.0</v>
      </c>
      <c r="AC46" s="208">
        <v>0.0</v>
      </c>
      <c r="AD46" s="208">
        <v>0.0</v>
      </c>
      <c r="AE46" s="208">
        <v>0.0</v>
      </c>
      <c r="AF46" s="208">
        <v>0.0</v>
      </c>
      <c r="AG46" s="208">
        <v>238.0</v>
      </c>
      <c r="AH46" s="208">
        <v>281.0</v>
      </c>
      <c r="AI46" s="208">
        <v>72.0</v>
      </c>
      <c r="AJ46" s="208">
        <v>37670.0</v>
      </c>
      <c r="AK46" s="208">
        <v>4.0</v>
      </c>
      <c r="AL46" s="208">
        <v>28500.0</v>
      </c>
      <c r="AM46" s="208">
        <v>0.0</v>
      </c>
      <c r="AN46" s="208">
        <v>0.0105</v>
      </c>
      <c r="AO46" s="208">
        <v>87491.0</v>
      </c>
      <c r="AP46" s="208">
        <v>0.51</v>
      </c>
      <c r="AQ46" s="208">
        <v>0.0</v>
      </c>
      <c r="AR46" s="208">
        <v>97.0</v>
      </c>
      <c r="AS46" s="208">
        <v>903.0</v>
      </c>
      <c r="AT46" s="208">
        <v>5060.05</v>
      </c>
      <c r="AU46" s="208">
        <v>1.0</v>
      </c>
      <c r="AV46" s="208">
        <v>86.0</v>
      </c>
      <c r="AW46" s="208">
        <v>31.0</v>
      </c>
      <c r="AX46" s="208">
        <v>28.0</v>
      </c>
      <c r="AY46" s="208">
        <v>18.0</v>
      </c>
    </row>
    <row r="47">
      <c r="A47" s="208" t="s">
        <v>185</v>
      </c>
      <c r="B47" s="533" t="s">
        <v>85</v>
      </c>
      <c r="C47" s="208" t="s">
        <v>630</v>
      </c>
      <c r="D47" s="208" t="s">
        <v>1058</v>
      </c>
      <c r="E47" s="208" t="s">
        <v>386</v>
      </c>
      <c r="F47" s="585">
        <v>44508.0</v>
      </c>
      <c r="H47" s="208">
        <v>0.0</v>
      </c>
      <c r="I47" s="208">
        <v>0.0</v>
      </c>
      <c r="J47" s="208">
        <v>0.0</v>
      </c>
      <c r="K47" s="208">
        <v>0.0</v>
      </c>
      <c r="L47" s="536">
        <f t="shared" si="1"/>
        <v>0</v>
      </c>
      <c r="M47" s="208">
        <v>95.0</v>
      </c>
      <c r="N47" s="208">
        <v>0.0</v>
      </c>
      <c r="O47" s="208">
        <v>0.0</v>
      </c>
      <c r="P47" s="208">
        <v>95.0</v>
      </c>
      <c r="Q47" s="208">
        <v>95.0</v>
      </c>
      <c r="R47" s="208">
        <v>0.0</v>
      </c>
      <c r="S47" s="208">
        <v>0.0</v>
      </c>
      <c r="T47" s="208">
        <v>0.0</v>
      </c>
      <c r="U47" s="208">
        <v>0.0</v>
      </c>
      <c r="V47" s="208">
        <v>0.0</v>
      </c>
      <c r="W47" s="208">
        <v>0.0</v>
      </c>
      <c r="X47" s="208">
        <v>0.0</v>
      </c>
      <c r="Y47" s="208">
        <v>0.0</v>
      </c>
      <c r="Z47" s="208">
        <v>96.0</v>
      </c>
      <c r="AA47" s="208">
        <v>0.0</v>
      </c>
      <c r="AB47" s="208">
        <v>0.0</v>
      </c>
      <c r="AC47" s="208">
        <v>0.0</v>
      </c>
      <c r="AD47" s="208">
        <v>0.0</v>
      </c>
      <c r="AE47" s="208">
        <v>0.0</v>
      </c>
      <c r="AF47" s="208">
        <v>0.0</v>
      </c>
      <c r="AG47" s="208">
        <v>0.0</v>
      </c>
      <c r="AH47" s="208">
        <v>0.0</v>
      </c>
      <c r="AI47" s="208">
        <v>0.0</v>
      </c>
      <c r="AJ47" s="208">
        <v>0.0</v>
      </c>
      <c r="AK47" s="208">
        <v>0.0</v>
      </c>
      <c r="AL47" s="208">
        <v>31355.0</v>
      </c>
      <c r="AM47" s="208">
        <v>0.0</v>
      </c>
      <c r="AN47" s="208">
        <v>0.0</v>
      </c>
      <c r="AO47" s="208">
        <v>0.0</v>
      </c>
      <c r="AP47" s="208">
        <v>0.0</v>
      </c>
      <c r="AQ47" s="208">
        <v>0.0</v>
      </c>
      <c r="AR47" s="208">
        <v>0.0</v>
      </c>
      <c r="AS47" s="208">
        <v>0.0</v>
      </c>
      <c r="AT47" s="208">
        <v>0.0</v>
      </c>
      <c r="AU47" s="208">
        <v>0.0</v>
      </c>
      <c r="AV47" s="208">
        <v>0.0</v>
      </c>
      <c r="AW47" s="208">
        <v>0.0</v>
      </c>
      <c r="AX47" s="208">
        <v>0.0</v>
      </c>
      <c r="AY47" s="208">
        <v>95.0</v>
      </c>
      <c r="AZ47" s="584">
        <v>45759.0</v>
      </c>
    </row>
    <row r="48">
      <c r="A48" s="208" t="s">
        <v>126</v>
      </c>
      <c r="B48" s="533" t="s">
        <v>130</v>
      </c>
      <c r="C48" s="208" t="s">
        <v>146</v>
      </c>
      <c r="D48" s="208" t="s">
        <v>130</v>
      </c>
      <c r="E48" s="208" t="s">
        <v>1068</v>
      </c>
      <c r="F48" s="584">
        <v>44511.0</v>
      </c>
      <c r="G48" s="208" t="s">
        <v>580</v>
      </c>
      <c r="H48" s="208">
        <v>600000.0</v>
      </c>
      <c r="I48" s="208">
        <v>5900001.0</v>
      </c>
      <c r="J48" s="208">
        <v>2960395.54</v>
      </c>
      <c r="K48" s="208">
        <v>245302.13</v>
      </c>
      <c r="L48" s="536">
        <f t="shared" si="1"/>
        <v>3205697.67</v>
      </c>
      <c r="M48" s="208">
        <v>77.0</v>
      </c>
      <c r="N48" s="208">
        <v>69.0</v>
      </c>
      <c r="O48" s="208">
        <v>4.0</v>
      </c>
      <c r="P48" s="208">
        <v>81.0</v>
      </c>
      <c r="Q48" s="208">
        <v>12.0</v>
      </c>
      <c r="R48" s="208">
        <v>2623081.16</v>
      </c>
      <c r="S48" s="208">
        <v>337314.38</v>
      </c>
      <c r="T48" s="208">
        <v>33.0</v>
      </c>
      <c r="U48" s="208">
        <v>4.0</v>
      </c>
      <c r="V48" s="208">
        <v>37.0</v>
      </c>
      <c r="W48" s="208">
        <v>1.0</v>
      </c>
      <c r="X48" s="208">
        <v>4.0</v>
      </c>
      <c r="Y48" s="208">
        <v>4.0</v>
      </c>
      <c r="Z48" s="208">
        <v>67.0</v>
      </c>
      <c r="AA48" s="208">
        <v>4.0</v>
      </c>
      <c r="AB48" s="208">
        <v>14.0</v>
      </c>
      <c r="AC48" s="208">
        <v>3.0</v>
      </c>
      <c r="AD48" s="208">
        <v>7.0</v>
      </c>
      <c r="AE48" s="208">
        <v>2.0</v>
      </c>
      <c r="AF48" s="208">
        <v>2.0</v>
      </c>
      <c r="AG48" s="208">
        <v>233.0</v>
      </c>
      <c r="AH48" s="208">
        <v>260.0</v>
      </c>
      <c r="AI48" s="208">
        <v>74.0</v>
      </c>
      <c r="AJ48" s="208">
        <v>40005.0</v>
      </c>
      <c r="AK48" s="208">
        <v>4.0</v>
      </c>
      <c r="AL48" s="208">
        <v>31231.0</v>
      </c>
      <c r="AM48" s="208">
        <v>0.0</v>
      </c>
      <c r="AN48" s="208">
        <v>0.0105</v>
      </c>
      <c r="AO48" s="208">
        <v>80011.0</v>
      </c>
      <c r="AP48" s="208">
        <v>0.5</v>
      </c>
      <c r="AQ48" s="208">
        <v>0.41</v>
      </c>
      <c r="AR48" s="208">
        <v>68.0</v>
      </c>
      <c r="AS48" s="208">
        <v>528.0</v>
      </c>
      <c r="AT48" s="208">
        <v>3195.68</v>
      </c>
      <c r="AU48" s="208">
        <v>4.0</v>
      </c>
      <c r="AV48" s="208">
        <v>46.0</v>
      </c>
      <c r="AW48" s="208">
        <v>37.0</v>
      </c>
      <c r="AX48" s="208">
        <v>32.0</v>
      </c>
      <c r="AY48" s="208">
        <v>12.0</v>
      </c>
    </row>
    <row r="49">
      <c r="A49" s="208" t="s">
        <v>298</v>
      </c>
      <c r="B49" s="533" t="s">
        <v>301</v>
      </c>
      <c r="C49" s="208" t="s">
        <v>637</v>
      </c>
      <c r="D49" s="208" t="s">
        <v>1066</v>
      </c>
      <c r="E49" s="208" t="s">
        <v>317</v>
      </c>
      <c r="F49" s="586">
        <v>45778.0</v>
      </c>
      <c r="G49" s="208" t="s">
        <v>298</v>
      </c>
      <c r="H49" s="208">
        <v>0.0</v>
      </c>
      <c r="I49" s="208">
        <v>3600000.0</v>
      </c>
      <c r="J49" s="208">
        <v>1989153.98</v>
      </c>
      <c r="K49" s="208">
        <v>0.0</v>
      </c>
      <c r="L49" s="536">
        <f t="shared" si="1"/>
        <v>1989153.98</v>
      </c>
      <c r="M49" s="208">
        <v>78.0</v>
      </c>
      <c r="N49" s="208">
        <v>63.0</v>
      </c>
      <c r="O49" s="208">
        <v>7.0</v>
      </c>
      <c r="P49" s="208">
        <v>85.0</v>
      </c>
      <c r="Q49" s="208">
        <v>22.0</v>
      </c>
      <c r="R49" s="208">
        <v>1741536.5</v>
      </c>
      <c r="S49" s="208">
        <v>247617.48</v>
      </c>
      <c r="T49" s="208">
        <v>29.0</v>
      </c>
      <c r="U49" s="208">
        <v>7.0</v>
      </c>
      <c r="V49" s="208">
        <v>36.0</v>
      </c>
      <c r="W49" s="208">
        <v>0.0</v>
      </c>
      <c r="X49" s="208">
        <v>94.0</v>
      </c>
      <c r="Y49" s="208">
        <v>154.0</v>
      </c>
      <c r="Z49" s="208">
        <v>74.0</v>
      </c>
      <c r="AA49" s="208">
        <v>5.0</v>
      </c>
      <c r="AB49" s="208">
        <v>17.0</v>
      </c>
      <c r="AC49" s="208">
        <v>2.0</v>
      </c>
      <c r="AD49" s="208">
        <v>8.0</v>
      </c>
      <c r="AE49" s="208">
        <v>0.0</v>
      </c>
      <c r="AF49" s="208">
        <v>0.0</v>
      </c>
      <c r="AG49" s="208">
        <v>178.0</v>
      </c>
      <c r="AH49" s="208">
        <v>357.0</v>
      </c>
      <c r="AI49" s="208">
        <v>71.0</v>
      </c>
      <c r="AJ49" s="208">
        <v>28016.0</v>
      </c>
      <c r="AK49" s="208">
        <v>5.0</v>
      </c>
      <c r="AL49" s="208">
        <v>47173.0</v>
      </c>
      <c r="AM49" s="208">
        <v>0.0</v>
      </c>
      <c r="AN49" s="208">
        <v>0.0237</v>
      </c>
      <c r="AO49" s="208">
        <v>55254.0</v>
      </c>
      <c r="AP49" s="208">
        <v>0.55</v>
      </c>
      <c r="AQ49" s="208">
        <v>0.0</v>
      </c>
      <c r="AR49" s="208">
        <v>72.0</v>
      </c>
      <c r="AS49" s="208">
        <v>558.0</v>
      </c>
      <c r="AT49" s="208">
        <v>2542.34</v>
      </c>
      <c r="AU49" s="208">
        <v>7.0</v>
      </c>
      <c r="AV49" s="208">
        <v>40.0</v>
      </c>
      <c r="AW49" s="208">
        <v>36.0</v>
      </c>
      <c r="AX49" s="208">
        <v>32.0</v>
      </c>
      <c r="AY49" s="208">
        <v>17.0</v>
      </c>
    </row>
    <row r="50">
      <c r="A50" s="208" t="s">
        <v>298</v>
      </c>
      <c r="B50" s="533" t="s">
        <v>301</v>
      </c>
      <c r="C50" s="208" t="s">
        <v>355</v>
      </c>
      <c r="D50" s="208" t="s">
        <v>1066</v>
      </c>
      <c r="E50" s="208" t="s">
        <v>319</v>
      </c>
      <c r="F50" s="584">
        <v>44635.0</v>
      </c>
      <c r="G50" s="208" t="s">
        <v>298</v>
      </c>
      <c r="H50" s="208">
        <v>0.0</v>
      </c>
      <c r="I50" s="208">
        <v>0.0</v>
      </c>
      <c r="J50" s="208">
        <v>0.0</v>
      </c>
      <c r="K50" s="208">
        <v>0.0</v>
      </c>
      <c r="L50" s="536">
        <f t="shared" si="1"/>
        <v>0</v>
      </c>
      <c r="M50" s="208">
        <v>117.0</v>
      </c>
      <c r="N50" s="208">
        <v>0.0</v>
      </c>
      <c r="O50" s="208">
        <v>0.0</v>
      </c>
      <c r="P50" s="208">
        <v>117.0</v>
      </c>
      <c r="Q50" s="208">
        <v>117.0</v>
      </c>
      <c r="R50" s="208">
        <v>0.0</v>
      </c>
      <c r="S50" s="208">
        <v>0.0</v>
      </c>
      <c r="T50" s="208">
        <v>0.0</v>
      </c>
      <c r="U50" s="208">
        <v>0.0</v>
      </c>
      <c r="V50" s="208">
        <v>0.0</v>
      </c>
      <c r="W50" s="208">
        <v>0.0</v>
      </c>
      <c r="X50" s="208">
        <v>0.0</v>
      </c>
      <c r="Y50" s="208">
        <v>0.0</v>
      </c>
      <c r="Z50" s="208">
        <v>128.0</v>
      </c>
      <c r="AA50" s="208">
        <v>0.0</v>
      </c>
      <c r="AB50" s="208">
        <v>0.0</v>
      </c>
      <c r="AC50" s="208">
        <v>0.0</v>
      </c>
      <c r="AD50" s="208">
        <v>0.0</v>
      </c>
      <c r="AE50" s="208">
        <v>0.0</v>
      </c>
      <c r="AF50" s="208">
        <v>0.0</v>
      </c>
      <c r="AG50" s="208">
        <v>0.0</v>
      </c>
      <c r="AH50" s="208">
        <v>0.0</v>
      </c>
      <c r="AI50" s="208">
        <v>0.0</v>
      </c>
      <c r="AJ50" s="208">
        <v>0.0</v>
      </c>
      <c r="AK50" s="208">
        <v>0.0</v>
      </c>
      <c r="AL50" s="208">
        <v>38000.0</v>
      </c>
      <c r="AM50" s="208">
        <v>0.0</v>
      </c>
      <c r="AN50" s="208">
        <v>0.0</v>
      </c>
      <c r="AO50" s="208">
        <v>0.0</v>
      </c>
      <c r="AP50" s="208">
        <v>0.0</v>
      </c>
      <c r="AQ50" s="208">
        <v>0.0</v>
      </c>
      <c r="AR50" s="208">
        <v>0.0</v>
      </c>
      <c r="AS50" s="208">
        <v>0.0</v>
      </c>
      <c r="AT50" s="208">
        <v>0.0</v>
      </c>
      <c r="AU50" s="208">
        <v>0.0</v>
      </c>
      <c r="AV50" s="208">
        <v>0.0</v>
      </c>
      <c r="AW50" s="208">
        <v>0.0</v>
      </c>
      <c r="AX50" s="208">
        <v>0.0</v>
      </c>
      <c r="AY50" s="208">
        <v>117.0</v>
      </c>
      <c r="AZ50" s="585">
        <v>45754.0</v>
      </c>
    </row>
    <row r="51">
      <c r="A51" s="208" t="s">
        <v>126</v>
      </c>
      <c r="B51" s="533" t="s">
        <v>135</v>
      </c>
      <c r="C51" s="208" t="s">
        <v>148</v>
      </c>
      <c r="D51" s="208" t="s">
        <v>1042</v>
      </c>
      <c r="E51" s="208" t="s">
        <v>149</v>
      </c>
      <c r="F51" s="584">
        <v>44662.0</v>
      </c>
      <c r="G51" s="208" t="s">
        <v>136</v>
      </c>
      <c r="H51" s="208">
        <v>300000.0</v>
      </c>
      <c r="I51" s="208">
        <v>4899999.0</v>
      </c>
      <c r="J51" s="208">
        <v>2126722.31</v>
      </c>
      <c r="K51" s="208">
        <v>0.0</v>
      </c>
      <c r="L51" s="536">
        <f t="shared" si="1"/>
        <v>2126722.31</v>
      </c>
      <c r="M51" s="208">
        <v>42.0</v>
      </c>
      <c r="N51" s="208">
        <v>36.0</v>
      </c>
      <c r="O51" s="208">
        <v>3.0</v>
      </c>
      <c r="P51" s="208">
        <v>45.0</v>
      </c>
      <c r="Q51" s="208">
        <v>9.0</v>
      </c>
      <c r="R51" s="208">
        <v>3049493.26</v>
      </c>
      <c r="S51" s="208">
        <v>130939.8</v>
      </c>
      <c r="T51" s="208">
        <v>18.0</v>
      </c>
      <c r="U51" s="208">
        <v>3.0</v>
      </c>
      <c r="V51" s="208">
        <v>21.0</v>
      </c>
      <c r="W51" s="208">
        <v>0.0</v>
      </c>
      <c r="X51" s="208">
        <v>130.0</v>
      </c>
      <c r="Y51" s="208">
        <v>174.0</v>
      </c>
      <c r="Z51" s="208">
        <v>350.0</v>
      </c>
      <c r="AA51" s="208">
        <v>0.0</v>
      </c>
      <c r="AB51" s="208">
        <v>0.0</v>
      </c>
      <c r="AC51" s="208">
        <v>0.0</v>
      </c>
      <c r="AD51" s="208">
        <v>0.0</v>
      </c>
      <c r="AE51" s="208">
        <v>1.0</v>
      </c>
      <c r="AF51" s="208">
        <v>1.0</v>
      </c>
      <c r="AG51" s="208">
        <v>149.0</v>
      </c>
      <c r="AH51" s="208">
        <v>324.0</v>
      </c>
      <c r="AI51" s="208">
        <v>67.0</v>
      </c>
      <c r="AJ51" s="208">
        <v>47469.0</v>
      </c>
      <c r="AK51" s="208">
        <v>5.0</v>
      </c>
      <c r="AL51" s="208">
        <v>33718.0</v>
      </c>
      <c r="AM51" s="208">
        <v>0.0</v>
      </c>
      <c r="AN51" s="208">
        <v>0.0106</v>
      </c>
      <c r="AO51" s="208">
        <v>151449.0</v>
      </c>
      <c r="AP51" s="208">
        <v>0.65</v>
      </c>
      <c r="AQ51" s="208">
        <v>0.0</v>
      </c>
      <c r="AR51" s="208">
        <v>38.0</v>
      </c>
      <c r="AS51" s="208">
        <v>465.0</v>
      </c>
      <c r="AT51" s="208">
        <v>4253.24</v>
      </c>
      <c r="AU51" s="208">
        <v>3.0</v>
      </c>
      <c r="AV51" s="208">
        <v>118.0</v>
      </c>
      <c r="AW51" s="208">
        <v>21.0</v>
      </c>
      <c r="AX51" s="208">
        <v>19.0</v>
      </c>
      <c r="AY51" s="208">
        <v>5.0</v>
      </c>
    </row>
    <row r="52">
      <c r="A52" s="208" t="s">
        <v>53</v>
      </c>
      <c r="B52" s="533" t="s">
        <v>61</v>
      </c>
      <c r="C52" s="208" t="s">
        <v>654</v>
      </c>
      <c r="D52" s="208" t="s">
        <v>1077</v>
      </c>
      <c r="E52" s="208" t="s">
        <v>1114</v>
      </c>
      <c r="F52" s="586">
        <v>45778.0</v>
      </c>
      <c r="G52" s="208" t="s">
        <v>754</v>
      </c>
      <c r="H52" s="208">
        <v>0.0</v>
      </c>
      <c r="I52" s="208">
        <v>0.0</v>
      </c>
      <c r="J52" s="208">
        <v>0.0</v>
      </c>
      <c r="K52" s="208">
        <v>0.0</v>
      </c>
      <c r="L52" s="536">
        <f t="shared" si="1"/>
        <v>0</v>
      </c>
      <c r="M52" s="208">
        <v>58.0</v>
      </c>
      <c r="N52" s="208">
        <v>10.0</v>
      </c>
      <c r="O52" s="208">
        <v>0.0</v>
      </c>
      <c r="P52" s="208">
        <v>58.0</v>
      </c>
      <c r="Q52" s="208">
        <v>48.0</v>
      </c>
      <c r="R52" s="208">
        <v>0.0</v>
      </c>
      <c r="S52" s="208">
        <v>0.0</v>
      </c>
      <c r="T52" s="208">
        <v>0.0</v>
      </c>
      <c r="U52" s="208">
        <v>0.0</v>
      </c>
      <c r="V52" s="208">
        <v>0.0</v>
      </c>
      <c r="W52" s="208">
        <v>0.0</v>
      </c>
      <c r="X52" s="208">
        <v>14.0</v>
      </c>
      <c r="Y52" s="208">
        <v>16.0</v>
      </c>
      <c r="Z52" s="208">
        <v>85.0</v>
      </c>
      <c r="AA52" s="208">
        <v>6.0</v>
      </c>
      <c r="AB52" s="208">
        <v>16.0</v>
      </c>
      <c r="AC52" s="208">
        <v>0.0</v>
      </c>
      <c r="AD52" s="208">
        <v>0.0</v>
      </c>
      <c r="AE52" s="208">
        <v>9.0</v>
      </c>
      <c r="AF52" s="208">
        <v>15.0</v>
      </c>
      <c r="AG52" s="208">
        <v>24.0</v>
      </c>
      <c r="AH52" s="208">
        <v>71.0</v>
      </c>
      <c r="AI52" s="208">
        <v>32.0</v>
      </c>
      <c r="AJ52" s="208">
        <v>0.0</v>
      </c>
      <c r="AK52" s="208">
        <v>2.0</v>
      </c>
      <c r="AL52" s="208">
        <v>50860.0</v>
      </c>
      <c r="AM52" s="208">
        <v>0.0</v>
      </c>
      <c r="AN52" s="208">
        <v>0.0</v>
      </c>
      <c r="AO52" s="208">
        <v>0.0</v>
      </c>
      <c r="AP52" s="208">
        <v>0.0</v>
      </c>
      <c r="AQ52" s="208">
        <v>0.0</v>
      </c>
      <c r="AR52" s="208">
        <v>0.0</v>
      </c>
      <c r="AS52" s="208">
        <v>335.0</v>
      </c>
      <c r="AT52" s="208">
        <v>5676.7</v>
      </c>
      <c r="AU52" s="208">
        <v>0.0</v>
      </c>
      <c r="AV52" s="208">
        <v>568.0</v>
      </c>
      <c r="AW52" s="208">
        <v>0.0</v>
      </c>
      <c r="AX52" s="208">
        <v>10.0</v>
      </c>
      <c r="AY52" s="208">
        <v>48.0</v>
      </c>
      <c r="AZ52" s="584">
        <v>45899.0</v>
      </c>
    </row>
    <row r="53">
      <c r="A53" s="208" t="s">
        <v>73</v>
      </c>
      <c r="B53" s="533" t="s">
        <v>1229</v>
      </c>
      <c r="C53" s="208" t="s">
        <v>74</v>
      </c>
      <c r="D53" s="208" t="s">
        <v>76</v>
      </c>
      <c r="E53" s="208" t="s">
        <v>1069</v>
      </c>
      <c r="F53" s="586">
        <v>44684.0</v>
      </c>
      <c r="G53" s="208" t="s">
        <v>73</v>
      </c>
      <c r="H53" s="208">
        <v>999999.0</v>
      </c>
      <c r="I53" s="208">
        <v>6000000.0</v>
      </c>
      <c r="J53" s="208">
        <v>3141289.95</v>
      </c>
      <c r="K53" s="208">
        <v>0.0</v>
      </c>
      <c r="L53" s="536">
        <f t="shared" si="1"/>
        <v>3141289.95</v>
      </c>
      <c r="M53" s="208">
        <v>32.0</v>
      </c>
      <c r="N53" s="208">
        <v>0.0</v>
      </c>
      <c r="O53" s="208">
        <v>0.0</v>
      </c>
      <c r="P53" s="208">
        <v>32.0</v>
      </c>
      <c r="Q53" s="208">
        <v>32.0</v>
      </c>
      <c r="R53" s="208">
        <v>3141289.95</v>
      </c>
      <c r="S53" s="208">
        <v>0.0</v>
      </c>
      <c r="T53" s="208">
        <v>12.0</v>
      </c>
      <c r="U53" s="208">
        <v>0.0</v>
      </c>
      <c r="V53" s="208">
        <v>12.0</v>
      </c>
      <c r="W53" s="208">
        <v>0.0</v>
      </c>
      <c r="X53" s="208">
        <v>0.0</v>
      </c>
      <c r="Y53" s="208">
        <v>0.0</v>
      </c>
      <c r="Z53" s="208">
        <v>106.0</v>
      </c>
      <c r="AA53" s="208">
        <v>0.0</v>
      </c>
      <c r="AB53" s="208">
        <v>0.0</v>
      </c>
      <c r="AC53" s="208">
        <v>0.0</v>
      </c>
      <c r="AD53" s="208">
        <v>0.0</v>
      </c>
      <c r="AE53" s="208">
        <v>0.0</v>
      </c>
      <c r="AF53" s="208">
        <v>0.0</v>
      </c>
      <c r="AG53" s="208">
        <v>0.0</v>
      </c>
      <c r="AH53" s="208">
        <v>0.0</v>
      </c>
      <c r="AI53" s="208">
        <v>0.0</v>
      </c>
      <c r="AJ53" s="208">
        <v>0.0</v>
      </c>
      <c r="AK53" s="208">
        <v>0.0</v>
      </c>
      <c r="AL53" s="208">
        <v>34394.0</v>
      </c>
      <c r="AM53" s="208">
        <v>0.0</v>
      </c>
      <c r="AN53" s="208">
        <v>0.0109</v>
      </c>
      <c r="AO53" s="208">
        <v>261774.0</v>
      </c>
      <c r="AP53" s="208">
        <v>0.52</v>
      </c>
      <c r="AQ53" s="208">
        <v>1.71</v>
      </c>
      <c r="AR53" s="208">
        <v>23.0</v>
      </c>
      <c r="AS53" s="208">
        <v>0.0</v>
      </c>
      <c r="AT53" s="208">
        <v>0.0</v>
      </c>
      <c r="AU53" s="208">
        <v>0.0</v>
      </c>
      <c r="AV53" s="208">
        <v>0.0</v>
      </c>
      <c r="AW53" s="208">
        <v>12.0</v>
      </c>
      <c r="AX53" s="208">
        <v>0.0</v>
      </c>
      <c r="AY53" s="208">
        <v>20.0</v>
      </c>
    </row>
    <row r="54">
      <c r="A54" s="208" t="s">
        <v>298</v>
      </c>
      <c r="B54" s="533" t="s">
        <v>301</v>
      </c>
      <c r="C54" s="208" t="s">
        <v>304</v>
      </c>
      <c r="D54" s="208" t="s">
        <v>1066</v>
      </c>
      <c r="E54" s="208" t="s">
        <v>305</v>
      </c>
      <c r="F54" s="587">
        <v>44697.0</v>
      </c>
      <c r="G54" s="208" t="s">
        <v>302</v>
      </c>
      <c r="H54" s="208">
        <v>0.0</v>
      </c>
      <c r="I54" s="208">
        <v>3600000.0</v>
      </c>
      <c r="J54" s="208">
        <v>2745833.4</v>
      </c>
      <c r="K54" s="208">
        <v>0.0</v>
      </c>
      <c r="L54" s="536">
        <f t="shared" si="1"/>
        <v>2745833.4</v>
      </c>
      <c r="M54" s="208">
        <v>76.0</v>
      </c>
      <c r="N54" s="208">
        <v>59.0</v>
      </c>
      <c r="O54" s="208">
        <v>4.0</v>
      </c>
      <c r="P54" s="208">
        <v>80.0</v>
      </c>
      <c r="Q54" s="208">
        <v>21.0</v>
      </c>
      <c r="R54" s="208">
        <v>2528585.78</v>
      </c>
      <c r="S54" s="208">
        <v>217247.62</v>
      </c>
      <c r="T54" s="208">
        <v>26.0</v>
      </c>
      <c r="U54" s="208">
        <v>4.0</v>
      </c>
      <c r="V54" s="208">
        <v>30.0</v>
      </c>
      <c r="W54" s="208">
        <v>0.0</v>
      </c>
      <c r="X54" s="208">
        <v>17.0</v>
      </c>
      <c r="Y54" s="208">
        <v>19.0</v>
      </c>
      <c r="Z54" s="208">
        <v>279.0</v>
      </c>
      <c r="AA54" s="208">
        <v>0.0</v>
      </c>
      <c r="AB54" s="208">
        <v>0.0</v>
      </c>
      <c r="AC54" s="208">
        <v>0.0</v>
      </c>
      <c r="AD54" s="208">
        <v>0.0</v>
      </c>
      <c r="AE54" s="208">
        <v>0.0</v>
      </c>
      <c r="AF54" s="208">
        <v>0.0</v>
      </c>
      <c r="AG54" s="208">
        <v>266.0</v>
      </c>
      <c r="AH54" s="208">
        <v>285.0</v>
      </c>
      <c r="AI54" s="208">
        <v>68.0</v>
      </c>
      <c r="AJ54" s="208">
        <v>40380.0</v>
      </c>
      <c r="AK54" s="208">
        <v>4.0</v>
      </c>
      <c r="AL54" s="208">
        <v>36720.0</v>
      </c>
      <c r="AM54" s="208">
        <v>0.0</v>
      </c>
      <c r="AN54" s="208">
        <v>0.0134</v>
      </c>
      <c r="AO54" s="208">
        <v>91528.0</v>
      </c>
      <c r="AP54" s="208">
        <v>0.76</v>
      </c>
      <c r="AQ54" s="208">
        <v>0.0</v>
      </c>
      <c r="AR54" s="208">
        <v>89.0</v>
      </c>
      <c r="AS54" s="208">
        <v>597.0</v>
      </c>
      <c r="AT54" s="208">
        <v>5078.59</v>
      </c>
      <c r="AU54" s="208">
        <v>4.0</v>
      </c>
      <c r="AV54" s="208">
        <v>86.0</v>
      </c>
      <c r="AW54" s="208">
        <v>30.0</v>
      </c>
      <c r="AX54" s="208">
        <v>30.0</v>
      </c>
      <c r="AY54" s="208">
        <v>20.0</v>
      </c>
    </row>
    <row r="55">
      <c r="A55" s="208" t="s">
        <v>97</v>
      </c>
      <c r="B55" s="533" t="s">
        <v>101</v>
      </c>
      <c r="C55" s="208" t="s">
        <v>99</v>
      </c>
      <c r="D55" s="208" t="s">
        <v>1062</v>
      </c>
      <c r="E55" s="208" t="s">
        <v>100</v>
      </c>
      <c r="F55" s="587">
        <v>44693.0</v>
      </c>
      <c r="G55" s="208" t="s">
        <v>876</v>
      </c>
      <c r="H55" s="208">
        <v>0.0</v>
      </c>
      <c r="I55" s="208">
        <v>3520000.0</v>
      </c>
      <c r="J55" s="208">
        <v>2722232.41</v>
      </c>
      <c r="K55" s="208">
        <v>0.0</v>
      </c>
      <c r="L55" s="536">
        <f t="shared" si="1"/>
        <v>2722232.41</v>
      </c>
      <c r="M55" s="208">
        <v>69.0</v>
      </c>
      <c r="N55" s="208">
        <v>48.0</v>
      </c>
      <c r="O55" s="208">
        <v>5.0</v>
      </c>
      <c r="P55" s="208">
        <v>74.0</v>
      </c>
      <c r="Q55" s="208">
        <v>26.0</v>
      </c>
      <c r="R55" s="208">
        <v>2650724.41</v>
      </c>
      <c r="S55" s="208">
        <v>71508.0</v>
      </c>
      <c r="T55" s="208">
        <v>23.0</v>
      </c>
      <c r="U55" s="208">
        <v>2.0</v>
      </c>
      <c r="V55" s="208">
        <v>25.0</v>
      </c>
      <c r="W55" s="208">
        <v>0.0</v>
      </c>
      <c r="X55" s="208">
        <v>4.0</v>
      </c>
      <c r="Y55" s="208">
        <v>7.0</v>
      </c>
      <c r="Z55" s="208">
        <v>39.0</v>
      </c>
      <c r="AA55" s="208">
        <v>1.0</v>
      </c>
      <c r="AB55" s="208">
        <v>5.0</v>
      </c>
      <c r="AC55" s="208">
        <v>0.0</v>
      </c>
      <c r="AD55" s="208">
        <v>0.0</v>
      </c>
      <c r="AE55" s="208">
        <v>0.0</v>
      </c>
      <c r="AF55" s="208">
        <v>0.0</v>
      </c>
      <c r="AG55" s="208">
        <v>304.0</v>
      </c>
      <c r="AH55" s="208">
        <v>316.0</v>
      </c>
      <c r="AI55" s="208">
        <v>72.0</v>
      </c>
      <c r="AJ55" s="208">
        <v>37809.0</v>
      </c>
      <c r="AK55" s="208">
        <v>4.0</v>
      </c>
      <c r="AL55" s="208">
        <v>34025.0</v>
      </c>
      <c r="AM55" s="208">
        <v>0.0</v>
      </c>
      <c r="AN55" s="208">
        <v>0.0125</v>
      </c>
      <c r="AO55" s="208">
        <v>108889.0</v>
      </c>
      <c r="AP55" s="208">
        <v>0.77</v>
      </c>
      <c r="AQ55" s="208">
        <v>0.0</v>
      </c>
      <c r="AR55" s="208">
        <v>55.0</v>
      </c>
      <c r="AS55" s="208">
        <v>692.0</v>
      </c>
      <c r="AT55" s="208">
        <v>2844.59</v>
      </c>
      <c r="AU55" s="208">
        <v>2.0</v>
      </c>
      <c r="AV55" s="208">
        <v>59.0</v>
      </c>
      <c r="AW55" s="208">
        <v>25.0</v>
      </c>
      <c r="AX55" s="208">
        <v>25.0</v>
      </c>
      <c r="AY55" s="208">
        <v>24.0</v>
      </c>
    </row>
    <row r="56">
      <c r="A56" s="208" t="s">
        <v>185</v>
      </c>
      <c r="B56" s="533" t="s">
        <v>117</v>
      </c>
      <c r="C56" s="208" t="s">
        <v>118</v>
      </c>
      <c r="D56" s="208" t="s">
        <v>1044</v>
      </c>
      <c r="E56" s="208" t="s">
        <v>119</v>
      </c>
      <c r="F56" s="585">
        <v>44743.0</v>
      </c>
      <c r="G56" s="208" t="s">
        <v>111</v>
      </c>
      <c r="H56" s="208">
        <v>0.0</v>
      </c>
      <c r="I56" s="208">
        <v>3600000.0</v>
      </c>
      <c r="J56" s="208">
        <v>1139571.34</v>
      </c>
      <c r="K56" s="208">
        <v>0.0</v>
      </c>
      <c r="L56" s="536">
        <f t="shared" si="1"/>
        <v>1139571.34</v>
      </c>
      <c r="M56" s="208">
        <v>75.0</v>
      </c>
      <c r="N56" s="208">
        <v>71.0</v>
      </c>
      <c r="O56" s="208">
        <v>1.0</v>
      </c>
      <c r="P56" s="208">
        <v>76.0</v>
      </c>
      <c r="Q56" s="208">
        <v>5.0</v>
      </c>
      <c r="R56" s="208">
        <v>1127377.84</v>
      </c>
      <c r="S56" s="208">
        <v>12193.5</v>
      </c>
      <c r="T56" s="208">
        <v>30.0</v>
      </c>
      <c r="U56" s="208">
        <v>1.0</v>
      </c>
      <c r="V56" s="208">
        <v>31.0</v>
      </c>
      <c r="W56" s="208">
        <v>0.0</v>
      </c>
      <c r="X56" s="208">
        <v>18.0</v>
      </c>
      <c r="Y56" s="208">
        <v>25.0</v>
      </c>
      <c r="Z56" s="208">
        <v>151.0</v>
      </c>
      <c r="AA56" s="208">
        <v>3.0</v>
      </c>
      <c r="AB56" s="208">
        <v>7.0</v>
      </c>
      <c r="AC56" s="208">
        <v>0.0</v>
      </c>
      <c r="AD56" s="208">
        <v>0.0</v>
      </c>
      <c r="AE56" s="208">
        <v>0.0</v>
      </c>
      <c r="AF56" s="208">
        <v>0.0</v>
      </c>
      <c r="AG56" s="208">
        <v>288.0</v>
      </c>
      <c r="AH56" s="208">
        <v>320.0</v>
      </c>
      <c r="AI56" s="208">
        <v>77.0</v>
      </c>
      <c r="AJ56" s="208">
        <v>14800.0</v>
      </c>
      <c r="AK56" s="208">
        <v>4.0</v>
      </c>
      <c r="AL56" s="208">
        <v>30425.0</v>
      </c>
      <c r="AM56" s="208">
        <v>0.0</v>
      </c>
      <c r="AN56" s="208">
        <v>0.0267</v>
      </c>
      <c r="AO56" s="208">
        <v>36760.0</v>
      </c>
      <c r="AP56" s="208">
        <v>0.32</v>
      </c>
      <c r="AQ56" s="208">
        <v>0.0</v>
      </c>
      <c r="AR56" s="208">
        <v>64.0</v>
      </c>
      <c r="AS56" s="208">
        <v>918.0</v>
      </c>
      <c r="AT56" s="208">
        <v>5994.58</v>
      </c>
      <c r="AU56" s="208">
        <v>1.0</v>
      </c>
      <c r="AV56" s="208">
        <v>84.0</v>
      </c>
      <c r="AW56" s="208">
        <v>31.0</v>
      </c>
      <c r="AX56" s="208">
        <v>42.0</v>
      </c>
      <c r="AY56" s="208">
        <v>3.0</v>
      </c>
    </row>
    <row r="57">
      <c r="A57" s="208" t="s">
        <v>322</v>
      </c>
      <c r="B57" s="533" t="s">
        <v>325</v>
      </c>
      <c r="C57" s="208" t="s">
        <v>326</v>
      </c>
      <c r="D57" s="208" t="s">
        <v>1049</v>
      </c>
      <c r="E57" s="208" t="s">
        <v>327</v>
      </c>
      <c r="F57" s="584">
        <v>45638.0</v>
      </c>
      <c r="G57" s="208" t="s">
        <v>322</v>
      </c>
      <c r="H57" s="208">
        <v>0.0</v>
      </c>
      <c r="I57" s="208">
        <v>3125001.0</v>
      </c>
      <c r="J57" s="208">
        <v>199589.86</v>
      </c>
      <c r="K57" s="208">
        <v>0.0</v>
      </c>
      <c r="L57" s="536">
        <f t="shared" si="1"/>
        <v>199589.86</v>
      </c>
      <c r="M57" s="208">
        <v>97.0</v>
      </c>
      <c r="N57" s="208">
        <v>9.0</v>
      </c>
      <c r="O57" s="208">
        <v>0.0</v>
      </c>
      <c r="P57" s="208">
        <v>97.0</v>
      </c>
      <c r="Q57" s="208">
        <v>88.0</v>
      </c>
      <c r="R57" s="208">
        <v>199589.86</v>
      </c>
      <c r="S57" s="208">
        <v>0.0</v>
      </c>
      <c r="T57" s="208">
        <v>13.0</v>
      </c>
      <c r="U57" s="208">
        <v>0.0</v>
      </c>
      <c r="V57" s="208">
        <v>13.0</v>
      </c>
      <c r="W57" s="208">
        <v>0.0</v>
      </c>
      <c r="X57" s="208">
        <v>80.0</v>
      </c>
      <c r="Y57" s="208">
        <v>170.0</v>
      </c>
      <c r="Z57" s="208">
        <v>194.0</v>
      </c>
      <c r="AA57" s="208">
        <v>1.0</v>
      </c>
      <c r="AB57" s="208">
        <v>14.0</v>
      </c>
      <c r="AC57" s="208">
        <v>0.0</v>
      </c>
      <c r="AD57" s="208">
        <v>0.0</v>
      </c>
      <c r="AE57" s="208">
        <v>0.0</v>
      </c>
      <c r="AF57" s="208">
        <v>0.0</v>
      </c>
      <c r="AG57" s="208">
        <v>9.0</v>
      </c>
      <c r="AH57" s="208">
        <v>193.0</v>
      </c>
      <c r="AI57" s="208">
        <v>65.0</v>
      </c>
      <c r="AJ57" s="208">
        <v>3071.0</v>
      </c>
      <c r="AK57" s="208">
        <v>3.0</v>
      </c>
      <c r="AL57" s="208">
        <v>47720.0</v>
      </c>
      <c r="AM57" s="208">
        <v>0.0</v>
      </c>
      <c r="AN57" s="208">
        <v>0.2391</v>
      </c>
      <c r="AO57" s="208">
        <v>15353.0</v>
      </c>
      <c r="AP57" s="208">
        <v>0.06</v>
      </c>
      <c r="AQ57" s="208">
        <v>0.0</v>
      </c>
      <c r="AR57" s="208">
        <v>23.0</v>
      </c>
      <c r="AS57" s="208">
        <v>710.0</v>
      </c>
      <c r="AT57" s="208">
        <v>1954.29</v>
      </c>
      <c r="AU57" s="208">
        <v>0.0</v>
      </c>
      <c r="AV57" s="208">
        <v>217.0</v>
      </c>
      <c r="AW57" s="208">
        <v>13.0</v>
      </c>
      <c r="AX57" s="208">
        <v>6.0</v>
      </c>
      <c r="AY57" s="208">
        <v>78.0</v>
      </c>
    </row>
    <row r="58">
      <c r="A58" s="208" t="s">
        <v>126</v>
      </c>
      <c r="B58" s="533" t="s">
        <v>135</v>
      </c>
      <c r="C58" s="208" t="s">
        <v>437</v>
      </c>
      <c r="D58" s="208" t="s">
        <v>1042</v>
      </c>
      <c r="E58" s="208" t="s">
        <v>176</v>
      </c>
      <c r="F58" s="585">
        <v>44805.0</v>
      </c>
      <c r="G58" s="208" t="s">
        <v>136</v>
      </c>
      <c r="H58" s="208">
        <v>600000.0</v>
      </c>
      <c r="I58" s="208">
        <v>4400001.0</v>
      </c>
      <c r="J58" s="208">
        <v>444877.3</v>
      </c>
      <c r="K58" s="208">
        <v>311926.91</v>
      </c>
      <c r="L58" s="536">
        <f t="shared" si="1"/>
        <v>756804.21</v>
      </c>
      <c r="M58" s="208">
        <v>76.0</v>
      </c>
      <c r="N58" s="208">
        <v>61.0</v>
      </c>
      <c r="O58" s="208">
        <v>2.0</v>
      </c>
      <c r="P58" s="208">
        <v>78.0</v>
      </c>
      <c r="Q58" s="208">
        <v>17.0</v>
      </c>
      <c r="R58" s="208">
        <v>387403.6</v>
      </c>
      <c r="S58" s="208">
        <v>57473.7</v>
      </c>
      <c r="T58" s="208">
        <v>22.0</v>
      </c>
      <c r="U58" s="208">
        <v>2.0</v>
      </c>
      <c r="V58" s="208">
        <v>24.0</v>
      </c>
      <c r="W58" s="208">
        <v>2.0</v>
      </c>
      <c r="X58" s="208">
        <v>67.0</v>
      </c>
      <c r="Y58" s="208">
        <v>73.0</v>
      </c>
      <c r="Z58" s="208">
        <v>322.0</v>
      </c>
      <c r="AA58" s="208">
        <v>2.0</v>
      </c>
      <c r="AB58" s="208">
        <v>18.0</v>
      </c>
      <c r="AC58" s="208">
        <v>3.0</v>
      </c>
      <c r="AD58" s="208">
        <v>15.0</v>
      </c>
      <c r="AE58" s="208">
        <v>1.0</v>
      </c>
      <c r="AF58" s="208">
        <v>1.0</v>
      </c>
      <c r="AG58" s="208">
        <v>156.0</v>
      </c>
      <c r="AH58" s="208">
        <v>263.0</v>
      </c>
      <c r="AI58" s="208">
        <v>59.0</v>
      </c>
      <c r="AJ58" s="208">
        <v>7540.0</v>
      </c>
      <c r="AK58" s="208">
        <v>4.0</v>
      </c>
      <c r="AL58" s="208">
        <v>31260.0</v>
      </c>
      <c r="AM58" s="208">
        <v>0.0</v>
      </c>
      <c r="AN58" s="208">
        <v>0.0703</v>
      </c>
      <c r="AO58" s="208">
        <v>18537.0</v>
      </c>
      <c r="AP58" s="208">
        <v>0.1</v>
      </c>
      <c r="AQ58" s="208">
        <v>0.52</v>
      </c>
      <c r="AR58" s="208">
        <v>34.0</v>
      </c>
      <c r="AS58" s="208">
        <v>483.0</v>
      </c>
      <c r="AT58" s="208">
        <v>2793.21</v>
      </c>
      <c r="AU58" s="208">
        <v>2.0</v>
      </c>
      <c r="AV58" s="208">
        <v>46.0</v>
      </c>
      <c r="AW58" s="208">
        <v>24.0</v>
      </c>
      <c r="AX58" s="208">
        <v>37.0</v>
      </c>
      <c r="AY58" s="208">
        <v>17.0</v>
      </c>
      <c r="AZ58" s="584">
        <v>45913.0</v>
      </c>
    </row>
    <row r="59">
      <c r="A59" s="208" t="s">
        <v>23</v>
      </c>
      <c r="B59" s="533" t="s">
        <v>30</v>
      </c>
      <c r="C59" s="208" t="s">
        <v>24</v>
      </c>
      <c r="D59" s="208" t="s">
        <v>30</v>
      </c>
      <c r="E59" s="208" t="s">
        <v>25</v>
      </c>
      <c r="F59" s="585">
        <v>44809.0</v>
      </c>
      <c r="G59" s="208" t="s">
        <v>23</v>
      </c>
      <c r="H59" s="208">
        <v>0.0</v>
      </c>
      <c r="I59" s="208">
        <v>5400000.0</v>
      </c>
      <c r="J59" s="208">
        <v>4817196.19</v>
      </c>
      <c r="K59" s="208">
        <v>0.0</v>
      </c>
      <c r="L59" s="536">
        <f t="shared" si="1"/>
        <v>4817196.19</v>
      </c>
      <c r="M59" s="208">
        <v>99.0</v>
      </c>
      <c r="N59" s="208">
        <v>83.0</v>
      </c>
      <c r="O59" s="208">
        <v>3.0</v>
      </c>
      <c r="P59" s="208">
        <v>102.0</v>
      </c>
      <c r="Q59" s="208">
        <v>19.0</v>
      </c>
      <c r="R59" s="208">
        <v>4756458.59</v>
      </c>
      <c r="S59" s="208">
        <v>60737.6</v>
      </c>
      <c r="T59" s="208">
        <v>60.0</v>
      </c>
      <c r="U59" s="208">
        <v>1.0</v>
      </c>
      <c r="V59" s="208">
        <v>61.0</v>
      </c>
      <c r="W59" s="208">
        <v>0.0</v>
      </c>
      <c r="X59" s="208">
        <v>20.0</v>
      </c>
      <c r="Y59" s="208">
        <v>23.0</v>
      </c>
      <c r="Z59" s="208">
        <v>195.0</v>
      </c>
      <c r="AA59" s="208">
        <v>5.0</v>
      </c>
      <c r="AB59" s="208">
        <v>62.0</v>
      </c>
      <c r="AC59" s="208">
        <v>0.0</v>
      </c>
      <c r="AD59" s="208">
        <v>0.0</v>
      </c>
      <c r="AE59" s="208">
        <v>0.0</v>
      </c>
      <c r="AF59" s="208">
        <v>0.0</v>
      </c>
      <c r="AG59" s="208">
        <v>340.0</v>
      </c>
      <c r="AH59" s="208">
        <v>425.0</v>
      </c>
      <c r="AI59" s="208">
        <v>73.0</v>
      </c>
      <c r="AJ59" s="208">
        <v>65989.0</v>
      </c>
      <c r="AK59" s="208">
        <v>6.0</v>
      </c>
      <c r="AL59" s="208">
        <v>33717.0</v>
      </c>
      <c r="AM59" s="208">
        <v>0.0</v>
      </c>
      <c r="AN59" s="208">
        <v>0.007</v>
      </c>
      <c r="AO59" s="208">
        <v>78970.0</v>
      </c>
      <c r="AP59" s="208">
        <v>0.89</v>
      </c>
      <c r="AQ59" s="208">
        <v>0.0</v>
      </c>
      <c r="AR59" s="208">
        <v>221.0</v>
      </c>
      <c r="AS59" s="208">
        <v>717.0</v>
      </c>
      <c r="AT59" s="208">
        <v>2700.31</v>
      </c>
      <c r="AU59" s="208">
        <v>1.0</v>
      </c>
      <c r="AV59" s="208">
        <v>33.0</v>
      </c>
      <c r="AW59" s="208">
        <v>61.0</v>
      </c>
      <c r="AX59" s="208">
        <v>26.0</v>
      </c>
      <c r="AY59" s="208">
        <v>15.0</v>
      </c>
    </row>
    <row r="60">
      <c r="A60" s="208" t="s">
        <v>298</v>
      </c>
      <c r="B60" s="533" t="s">
        <v>301</v>
      </c>
      <c r="C60" s="208" t="s">
        <v>306</v>
      </c>
      <c r="D60" s="208" t="s">
        <v>1066</v>
      </c>
      <c r="E60" s="208" t="s">
        <v>226</v>
      </c>
      <c r="F60" s="584">
        <v>44825.0</v>
      </c>
      <c r="G60" s="208" t="s">
        <v>298</v>
      </c>
      <c r="H60" s="208">
        <v>0.0</v>
      </c>
      <c r="I60" s="208">
        <v>5400000.0</v>
      </c>
      <c r="J60" s="208">
        <v>2452000.8</v>
      </c>
      <c r="K60" s="208">
        <v>0.0</v>
      </c>
      <c r="L60" s="536">
        <f t="shared" si="1"/>
        <v>2452000.8</v>
      </c>
      <c r="M60" s="208">
        <v>93.0</v>
      </c>
      <c r="N60" s="208">
        <v>77.0</v>
      </c>
      <c r="O60" s="208">
        <v>1.0</v>
      </c>
      <c r="P60" s="208">
        <v>94.0</v>
      </c>
      <c r="Q60" s="208">
        <v>17.0</v>
      </c>
      <c r="R60" s="208">
        <v>2432776.8</v>
      </c>
      <c r="S60" s="208">
        <v>19224.0</v>
      </c>
      <c r="T60" s="208">
        <v>37.0</v>
      </c>
      <c r="U60" s="208">
        <v>1.0</v>
      </c>
      <c r="V60" s="208">
        <v>38.0</v>
      </c>
      <c r="W60" s="208">
        <v>0.0</v>
      </c>
      <c r="X60" s="208">
        <v>16.0</v>
      </c>
      <c r="Y60" s="208">
        <v>22.0</v>
      </c>
      <c r="Z60" s="208">
        <v>155.0</v>
      </c>
      <c r="AA60" s="208">
        <v>1.0</v>
      </c>
      <c r="AB60" s="208">
        <v>20.0</v>
      </c>
      <c r="AC60" s="208">
        <v>1.0</v>
      </c>
      <c r="AD60" s="208">
        <v>2.0</v>
      </c>
      <c r="AE60" s="208">
        <v>0.0</v>
      </c>
      <c r="AF60" s="208">
        <v>0.0</v>
      </c>
      <c r="AG60" s="208">
        <v>379.0</v>
      </c>
      <c r="AH60" s="208">
        <v>423.0</v>
      </c>
      <c r="AI60" s="208">
        <v>73.0</v>
      </c>
      <c r="AJ60" s="208">
        <v>33589.0</v>
      </c>
      <c r="AK60" s="208">
        <v>6.0</v>
      </c>
      <c r="AL60" s="208">
        <v>45000.0</v>
      </c>
      <c r="AM60" s="208">
        <v>0.0</v>
      </c>
      <c r="AN60" s="208">
        <v>0.0184</v>
      </c>
      <c r="AO60" s="208">
        <v>64526.0</v>
      </c>
      <c r="AP60" s="208">
        <v>0.45</v>
      </c>
      <c r="AQ60" s="208">
        <v>0.0</v>
      </c>
      <c r="AR60" s="208">
        <v>89.0</v>
      </c>
      <c r="AS60" s="208">
        <v>765.0</v>
      </c>
      <c r="AT60" s="208">
        <v>5322.88</v>
      </c>
      <c r="AU60" s="208">
        <v>1.0</v>
      </c>
      <c r="AV60" s="208">
        <v>69.0</v>
      </c>
      <c r="AW60" s="208">
        <v>38.0</v>
      </c>
      <c r="AX60" s="208">
        <v>41.0</v>
      </c>
      <c r="AY60" s="208">
        <v>15.0</v>
      </c>
    </row>
    <row r="61">
      <c r="A61" s="208" t="s">
        <v>126</v>
      </c>
      <c r="B61" s="533" t="s">
        <v>130</v>
      </c>
      <c r="C61" s="208" t="s">
        <v>150</v>
      </c>
      <c r="D61" s="208" t="s">
        <v>130</v>
      </c>
      <c r="E61" s="208" t="s">
        <v>151</v>
      </c>
      <c r="F61" s="584">
        <v>44911.0</v>
      </c>
      <c r="G61" s="208" t="s">
        <v>449</v>
      </c>
      <c r="H61" s="208">
        <v>0.0</v>
      </c>
      <c r="I61" s="208">
        <v>5000001.0</v>
      </c>
      <c r="J61" s="208">
        <v>4527814.7</v>
      </c>
      <c r="K61" s="208">
        <v>0.0</v>
      </c>
      <c r="L61" s="536">
        <f t="shared" si="1"/>
        <v>4527814.7</v>
      </c>
      <c r="M61" s="208">
        <v>222.0</v>
      </c>
      <c r="N61" s="208">
        <v>168.0</v>
      </c>
      <c r="O61" s="208">
        <v>23.0</v>
      </c>
      <c r="P61" s="208">
        <v>245.0</v>
      </c>
      <c r="Q61" s="208">
        <v>77.0</v>
      </c>
      <c r="R61" s="208">
        <v>3784820.96</v>
      </c>
      <c r="S61" s="208">
        <v>742993.74</v>
      </c>
      <c r="T61" s="208">
        <v>115.0</v>
      </c>
      <c r="U61" s="208">
        <v>19.0</v>
      </c>
      <c r="V61" s="208">
        <v>134.0</v>
      </c>
      <c r="W61" s="208">
        <v>0.0</v>
      </c>
      <c r="X61" s="208">
        <v>18.0</v>
      </c>
      <c r="Y61" s="208">
        <v>29.0</v>
      </c>
      <c r="Z61" s="208">
        <v>143.0</v>
      </c>
      <c r="AA61" s="208">
        <v>2.0</v>
      </c>
      <c r="AB61" s="208">
        <v>37.0</v>
      </c>
      <c r="AC61" s="208">
        <v>0.0</v>
      </c>
      <c r="AD61" s="208">
        <v>0.0</v>
      </c>
      <c r="AE61" s="208">
        <v>0.0</v>
      </c>
      <c r="AF61" s="208">
        <v>0.0</v>
      </c>
      <c r="AG61" s="208">
        <v>461.0</v>
      </c>
      <c r="AH61" s="208">
        <v>527.0</v>
      </c>
      <c r="AI61" s="208">
        <v>75.0</v>
      </c>
      <c r="AJ61" s="208">
        <v>60371.0</v>
      </c>
      <c r="AK61" s="208">
        <v>7.0</v>
      </c>
      <c r="AL61" s="208">
        <v>27951.0</v>
      </c>
      <c r="AM61" s="208">
        <v>0.0</v>
      </c>
      <c r="AN61" s="208">
        <v>0.0062</v>
      </c>
      <c r="AO61" s="208">
        <v>33790.0</v>
      </c>
      <c r="AP61" s="208">
        <v>0.91</v>
      </c>
      <c r="AQ61" s="208">
        <v>0.0</v>
      </c>
      <c r="AR61" s="208">
        <v>277.0</v>
      </c>
      <c r="AS61" s="208">
        <v>532.0</v>
      </c>
      <c r="AT61" s="208">
        <v>4650.25</v>
      </c>
      <c r="AU61" s="208">
        <v>19.0</v>
      </c>
      <c r="AV61" s="208">
        <v>28.0</v>
      </c>
      <c r="AW61" s="208">
        <v>134.0</v>
      </c>
      <c r="AX61" s="208">
        <v>50.0</v>
      </c>
      <c r="AY61" s="208">
        <v>61.0</v>
      </c>
    </row>
    <row r="62">
      <c r="A62" s="208" t="s">
        <v>322</v>
      </c>
      <c r="B62" s="533" t="s">
        <v>325</v>
      </c>
      <c r="C62" s="208" t="s">
        <v>689</v>
      </c>
      <c r="D62" s="208" t="s">
        <v>1049</v>
      </c>
      <c r="E62" s="208" t="s">
        <v>1071</v>
      </c>
      <c r="F62" s="585">
        <v>44928.0</v>
      </c>
      <c r="G62" s="208" t="s">
        <v>322</v>
      </c>
      <c r="H62" s="208">
        <v>0.0</v>
      </c>
      <c r="I62" s="208">
        <v>2499999.0</v>
      </c>
      <c r="J62" s="208">
        <v>780619.31</v>
      </c>
      <c r="K62" s="208">
        <v>0.0</v>
      </c>
      <c r="L62" s="536">
        <f t="shared" si="1"/>
        <v>780619.31</v>
      </c>
      <c r="M62" s="208">
        <v>75.0</v>
      </c>
      <c r="N62" s="208">
        <v>75.0</v>
      </c>
      <c r="O62" s="208">
        <v>9.0</v>
      </c>
      <c r="P62" s="208">
        <v>84.0</v>
      </c>
      <c r="Q62" s="208">
        <v>9.0</v>
      </c>
      <c r="R62" s="208">
        <v>610807.74</v>
      </c>
      <c r="S62" s="208">
        <v>169811.57</v>
      </c>
      <c r="T62" s="208">
        <v>33.0</v>
      </c>
      <c r="U62" s="208">
        <v>9.0</v>
      </c>
      <c r="V62" s="208">
        <v>42.0</v>
      </c>
      <c r="W62" s="208">
        <v>0.0</v>
      </c>
      <c r="X62" s="208">
        <v>62.0</v>
      </c>
      <c r="Y62" s="208">
        <v>89.0</v>
      </c>
      <c r="Z62" s="208">
        <v>168.0</v>
      </c>
      <c r="AA62" s="208">
        <v>3.0</v>
      </c>
      <c r="AB62" s="208">
        <v>27.0</v>
      </c>
      <c r="AC62" s="208">
        <v>0.0</v>
      </c>
      <c r="AD62" s="208">
        <v>0.0</v>
      </c>
      <c r="AE62" s="208">
        <v>0.0</v>
      </c>
      <c r="AF62" s="208">
        <v>0.0</v>
      </c>
      <c r="AG62" s="208">
        <v>188.0</v>
      </c>
      <c r="AH62" s="208">
        <v>304.0</v>
      </c>
      <c r="AI62" s="208">
        <v>70.0</v>
      </c>
      <c r="AJ62" s="208">
        <v>11152.0</v>
      </c>
      <c r="AK62" s="208">
        <v>4.0</v>
      </c>
      <c r="AL62" s="208">
        <v>49500.0</v>
      </c>
      <c r="AM62" s="208">
        <v>0.0</v>
      </c>
      <c r="AN62" s="208">
        <v>0.0634</v>
      </c>
      <c r="AO62" s="208">
        <v>18586.0</v>
      </c>
      <c r="AP62" s="208">
        <v>0.31</v>
      </c>
      <c r="AQ62" s="208">
        <v>0.0</v>
      </c>
      <c r="AR62" s="208">
        <v>49.0</v>
      </c>
      <c r="AS62" s="208">
        <v>659.0</v>
      </c>
      <c r="AT62" s="208">
        <v>5062.3</v>
      </c>
      <c r="AU62" s="208">
        <v>9.0</v>
      </c>
      <c r="AV62" s="208">
        <v>67.0</v>
      </c>
      <c r="AW62" s="208">
        <v>42.0</v>
      </c>
      <c r="AX62" s="208">
        <v>36.0</v>
      </c>
      <c r="AY62" s="208">
        <v>6.0</v>
      </c>
    </row>
    <row r="63">
      <c r="A63" s="208" t="s">
        <v>185</v>
      </c>
      <c r="B63" s="533" t="s">
        <v>117</v>
      </c>
      <c r="C63" s="208" t="s">
        <v>120</v>
      </c>
      <c r="D63" s="208" t="s">
        <v>1044</v>
      </c>
      <c r="E63" s="208" t="s">
        <v>121</v>
      </c>
      <c r="F63" s="584">
        <v>44953.0</v>
      </c>
      <c r="G63" s="208" t="s">
        <v>111</v>
      </c>
      <c r="H63" s="208">
        <v>0.0</v>
      </c>
      <c r="I63" s="208">
        <v>4200000.0</v>
      </c>
      <c r="J63" s="208">
        <v>2313650.78</v>
      </c>
      <c r="K63" s="208">
        <v>0.0</v>
      </c>
      <c r="L63" s="536">
        <f t="shared" si="1"/>
        <v>2313650.78</v>
      </c>
      <c r="M63" s="208">
        <v>140.0</v>
      </c>
      <c r="N63" s="208">
        <v>130.0</v>
      </c>
      <c r="O63" s="208">
        <v>3.0</v>
      </c>
      <c r="P63" s="208">
        <v>143.0</v>
      </c>
      <c r="Q63" s="208">
        <v>13.0</v>
      </c>
      <c r="R63" s="208">
        <v>2111246.5</v>
      </c>
      <c r="S63" s="208">
        <v>202404.28</v>
      </c>
      <c r="T63" s="208">
        <v>77.0</v>
      </c>
      <c r="U63" s="208">
        <v>3.0</v>
      </c>
      <c r="V63" s="208">
        <v>80.0</v>
      </c>
      <c r="W63" s="208">
        <v>0.0</v>
      </c>
      <c r="X63" s="208">
        <v>3.0</v>
      </c>
      <c r="Y63" s="208">
        <v>5.0</v>
      </c>
      <c r="Z63" s="208">
        <v>41.0</v>
      </c>
      <c r="AA63" s="208">
        <v>1.0</v>
      </c>
      <c r="AB63" s="208">
        <v>1.0</v>
      </c>
      <c r="AC63" s="208">
        <v>0.0</v>
      </c>
      <c r="AD63" s="208">
        <v>0.0</v>
      </c>
      <c r="AE63" s="208">
        <v>0.0</v>
      </c>
      <c r="AF63" s="208">
        <v>0.0</v>
      </c>
      <c r="AG63" s="208">
        <v>540.0</v>
      </c>
      <c r="AH63" s="208">
        <v>546.0</v>
      </c>
      <c r="AI63" s="208">
        <v>72.0</v>
      </c>
      <c r="AJ63" s="208">
        <v>32134.0</v>
      </c>
      <c r="AK63" s="208">
        <v>8.0</v>
      </c>
      <c r="AL63" s="208">
        <v>31778.0</v>
      </c>
      <c r="AM63" s="208">
        <v>0.0</v>
      </c>
      <c r="AN63" s="208">
        <v>0.0137</v>
      </c>
      <c r="AO63" s="208">
        <v>28921.0</v>
      </c>
      <c r="AP63" s="208">
        <v>0.55</v>
      </c>
      <c r="AQ63" s="208">
        <v>0.0</v>
      </c>
      <c r="AR63" s="208">
        <v>187.0</v>
      </c>
      <c r="AS63" s="208">
        <v>775.0</v>
      </c>
      <c r="AT63" s="208">
        <v>4746.84</v>
      </c>
      <c r="AU63" s="208">
        <v>3.0</v>
      </c>
      <c r="AV63" s="208">
        <v>37.0</v>
      </c>
      <c r="AW63" s="208">
        <v>80.0</v>
      </c>
      <c r="AX63" s="208">
        <v>50.0</v>
      </c>
      <c r="AY63" s="208">
        <v>13.0</v>
      </c>
    </row>
    <row r="64">
      <c r="A64" s="208" t="s">
        <v>185</v>
      </c>
      <c r="B64" s="533" t="s">
        <v>189</v>
      </c>
      <c r="C64" s="208" t="s">
        <v>697</v>
      </c>
      <c r="D64" s="208" t="s">
        <v>1016</v>
      </c>
      <c r="E64" s="208" t="s">
        <v>1072</v>
      </c>
      <c r="F64" s="585">
        <v>44958.0</v>
      </c>
      <c r="G64" s="208" t="s">
        <v>203</v>
      </c>
      <c r="H64" s="208">
        <v>0.0</v>
      </c>
      <c r="I64" s="208">
        <v>1.2E7</v>
      </c>
      <c r="J64" s="208">
        <v>1.037811067E7</v>
      </c>
      <c r="K64" s="208">
        <v>0.0</v>
      </c>
      <c r="L64" s="536">
        <f t="shared" si="1"/>
        <v>10378110.67</v>
      </c>
      <c r="M64" s="208">
        <v>68.0</v>
      </c>
      <c r="N64" s="208">
        <v>69.0</v>
      </c>
      <c r="O64" s="208">
        <v>2.0</v>
      </c>
      <c r="P64" s="208">
        <v>70.0</v>
      </c>
      <c r="Q64" s="208">
        <v>1.0</v>
      </c>
      <c r="R64" s="208">
        <v>1.015463937E7</v>
      </c>
      <c r="S64" s="208">
        <v>223471.3</v>
      </c>
      <c r="T64" s="208">
        <v>59.0</v>
      </c>
      <c r="U64" s="208">
        <v>2.0</v>
      </c>
      <c r="V64" s="208">
        <v>61.0</v>
      </c>
      <c r="W64" s="208">
        <v>0.0</v>
      </c>
      <c r="X64" s="208">
        <v>1.0</v>
      </c>
      <c r="Y64" s="208">
        <v>1.0</v>
      </c>
      <c r="Z64" s="208">
        <v>61.0</v>
      </c>
      <c r="AA64" s="208">
        <v>2.0</v>
      </c>
      <c r="AB64" s="208">
        <v>7.0</v>
      </c>
      <c r="AC64" s="208">
        <v>0.0</v>
      </c>
      <c r="AD64" s="208">
        <v>0.0</v>
      </c>
      <c r="AE64" s="208">
        <v>0.0</v>
      </c>
      <c r="AF64" s="208">
        <v>0.0</v>
      </c>
      <c r="AG64" s="208">
        <v>354.0</v>
      </c>
      <c r="AH64" s="208">
        <v>362.0</v>
      </c>
      <c r="AI64" s="208">
        <v>74.0</v>
      </c>
      <c r="AJ64" s="208">
        <v>140245.0</v>
      </c>
      <c r="AK64" s="208">
        <v>5.0</v>
      </c>
      <c r="AL64" s="208">
        <v>24116.0</v>
      </c>
      <c r="AM64" s="208">
        <v>0.0</v>
      </c>
      <c r="AN64" s="208">
        <v>0.0023</v>
      </c>
      <c r="AO64" s="208">
        <v>170133.0</v>
      </c>
      <c r="AP64" s="208">
        <v>0.86</v>
      </c>
      <c r="AQ64" s="208">
        <v>0.0</v>
      </c>
      <c r="AR64" s="208">
        <v>117.0</v>
      </c>
      <c r="AS64" s="208">
        <v>817.0</v>
      </c>
      <c r="AT64" s="208">
        <v>3353.86</v>
      </c>
      <c r="AU64" s="208">
        <v>2.0</v>
      </c>
      <c r="AV64" s="208">
        <v>49.0</v>
      </c>
      <c r="AW64" s="208">
        <v>61.0</v>
      </c>
      <c r="AX64" s="208">
        <v>8.0</v>
      </c>
      <c r="AY64" s="208">
        <v>1.0</v>
      </c>
    </row>
    <row r="65">
      <c r="A65" s="208" t="s">
        <v>53</v>
      </c>
      <c r="B65" s="533" t="s">
        <v>61</v>
      </c>
      <c r="C65" s="208" t="s">
        <v>373</v>
      </c>
      <c r="D65" s="208" t="s">
        <v>1098</v>
      </c>
      <c r="E65" s="208" t="s">
        <v>374</v>
      </c>
      <c r="F65" s="584">
        <v>45488.0</v>
      </c>
      <c r="G65" s="208" t="s">
        <v>754</v>
      </c>
      <c r="H65" s="208">
        <v>0.0</v>
      </c>
      <c r="I65" s="208">
        <v>3000000.0</v>
      </c>
      <c r="J65" s="208">
        <v>0.0</v>
      </c>
      <c r="K65" s="208">
        <v>0.0</v>
      </c>
      <c r="L65" s="536">
        <f t="shared" si="1"/>
        <v>0</v>
      </c>
      <c r="M65" s="208">
        <v>40.0</v>
      </c>
      <c r="N65" s="208">
        <v>16.0</v>
      </c>
      <c r="O65" s="208">
        <v>1.0</v>
      </c>
      <c r="P65" s="208">
        <v>41.0</v>
      </c>
      <c r="Q65" s="208">
        <v>25.0</v>
      </c>
      <c r="R65" s="208">
        <v>0.0</v>
      </c>
      <c r="S65" s="208">
        <v>0.0</v>
      </c>
      <c r="T65" s="208">
        <v>0.0</v>
      </c>
      <c r="U65" s="208">
        <v>0.0</v>
      </c>
      <c r="V65" s="208">
        <v>0.0</v>
      </c>
      <c r="W65" s="208">
        <v>0.0</v>
      </c>
      <c r="X65" s="208">
        <v>98.0</v>
      </c>
      <c r="Y65" s="208">
        <v>139.0</v>
      </c>
      <c r="Z65" s="208">
        <v>559.0</v>
      </c>
      <c r="AA65" s="208">
        <v>1.0</v>
      </c>
      <c r="AB65" s="208">
        <v>5.0</v>
      </c>
      <c r="AC65" s="208">
        <v>0.0</v>
      </c>
      <c r="AD65" s="208">
        <v>0.0</v>
      </c>
      <c r="AE65" s="208">
        <v>5.0</v>
      </c>
      <c r="AF65" s="208">
        <v>24.0</v>
      </c>
      <c r="AG65" s="208">
        <v>25.0</v>
      </c>
      <c r="AH65" s="208">
        <v>193.0</v>
      </c>
      <c r="AI65" s="208">
        <v>29.0</v>
      </c>
      <c r="AJ65" s="208">
        <v>0.0</v>
      </c>
      <c r="AK65" s="208">
        <v>7.0</v>
      </c>
      <c r="AL65" s="208">
        <v>32500.0</v>
      </c>
      <c r="AM65" s="208">
        <v>0.0</v>
      </c>
      <c r="AN65" s="208">
        <v>0.0</v>
      </c>
      <c r="AO65" s="208">
        <v>0.0</v>
      </c>
      <c r="AP65" s="208">
        <v>0.0</v>
      </c>
      <c r="AQ65" s="208">
        <v>0.0</v>
      </c>
      <c r="AR65" s="208">
        <v>0.0</v>
      </c>
      <c r="AS65" s="208">
        <v>295.0</v>
      </c>
      <c r="AT65" s="208">
        <v>1966.35</v>
      </c>
      <c r="AU65" s="208">
        <v>0.0</v>
      </c>
      <c r="AV65" s="208">
        <v>123.0</v>
      </c>
      <c r="AW65" s="208">
        <v>0.0</v>
      </c>
      <c r="AX65" s="208">
        <v>16.0</v>
      </c>
      <c r="AY65" s="208">
        <v>25.0</v>
      </c>
      <c r="AZ65" s="585">
        <v>45875.0</v>
      </c>
    </row>
    <row r="66">
      <c r="A66" s="208" t="s">
        <v>53</v>
      </c>
      <c r="B66" s="533" t="s">
        <v>61</v>
      </c>
      <c r="C66" s="208" t="s">
        <v>375</v>
      </c>
      <c r="D66" s="208" t="s">
        <v>1077</v>
      </c>
      <c r="E66" s="208" t="s">
        <v>376</v>
      </c>
      <c r="F66" s="587">
        <v>45789.0</v>
      </c>
      <c r="G66" s="208" t="s">
        <v>754</v>
      </c>
      <c r="H66" s="208">
        <v>0.0</v>
      </c>
      <c r="I66" s="208">
        <v>1700000.0</v>
      </c>
      <c r="J66" s="208">
        <v>635241.13</v>
      </c>
      <c r="K66" s="208">
        <v>0.0</v>
      </c>
      <c r="L66" s="536">
        <f t="shared" si="1"/>
        <v>635241.13</v>
      </c>
      <c r="M66" s="208">
        <v>61.0</v>
      </c>
      <c r="N66" s="208">
        <v>49.0</v>
      </c>
      <c r="O66" s="208">
        <v>2.0</v>
      </c>
      <c r="P66" s="208">
        <v>63.0</v>
      </c>
      <c r="Q66" s="208">
        <v>14.0</v>
      </c>
      <c r="R66" s="208">
        <v>583952.78</v>
      </c>
      <c r="S66" s="208">
        <v>51288.35</v>
      </c>
      <c r="T66" s="208">
        <v>12.0</v>
      </c>
      <c r="U66" s="208">
        <v>2.0</v>
      </c>
      <c r="V66" s="208">
        <v>14.0</v>
      </c>
      <c r="W66" s="208">
        <v>0.0</v>
      </c>
      <c r="X66" s="208">
        <v>43.0</v>
      </c>
      <c r="Y66" s="208">
        <v>72.0</v>
      </c>
      <c r="Z66" s="208">
        <v>261.0</v>
      </c>
      <c r="AA66" s="208">
        <v>2.0</v>
      </c>
      <c r="AB66" s="208">
        <v>17.0</v>
      </c>
      <c r="AC66" s="208">
        <v>0.0</v>
      </c>
      <c r="AD66" s="208">
        <v>0.0</v>
      </c>
      <c r="AE66" s="208">
        <v>2.0</v>
      </c>
      <c r="AF66" s="208">
        <v>3.0</v>
      </c>
      <c r="AG66" s="208">
        <v>199.0</v>
      </c>
      <c r="AH66" s="208">
        <v>291.0</v>
      </c>
      <c r="AI66" s="208">
        <v>60.0</v>
      </c>
      <c r="AJ66" s="208">
        <v>10587.0</v>
      </c>
      <c r="AK66" s="208">
        <v>5.0</v>
      </c>
      <c r="AL66" s="208">
        <v>30400.0</v>
      </c>
      <c r="AM66" s="208">
        <v>0.0</v>
      </c>
      <c r="AN66" s="208">
        <v>0.0479</v>
      </c>
      <c r="AO66" s="208">
        <v>45374.0</v>
      </c>
      <c r="AP66" s="208">
        <v>0.37</v>
      </c>
      <c r="AQ66" s="208">
        <v>0.0</v>
      </c>
      <c r="AR66" s="208">
        <v>24.0</v>
      </c>
      <c r="AS66" s="208">
        <v>510.0</v>
      </c>
      <c r="AT66" s="208">
        <v>3266.16</v>
      </c>
      <c r="AU66" s="208">
        <v>2.0</v>
      </c>
      <c r="AV66" s="208">
        <v>67.0</v>
      </c>
      <c r="AW66" s="208">
        <v>14.0</v>
      </c>
      <c r="AX66" s="208">
        <v>35.0</v>
      </c>
      <c r="AY66" s="208">
        <v>14.0</v>
      </c>
      <c r="AZ66" s="584">
        <v>45930.0</v>
      </c>
    </row>
    <row r="67">
      <c r="A67" s="208" t="s">
        <v>23</v>
      </c>
      <c r="B67" s="533" t="s">
        <v>27</v>
      </c>
      <c r="C67" s="208" t="s">
        <v>702</v>
      </c>
      <c r="D67" s="208" t="s">
        <v>1073</v>
      </c>
      <c r="E67" s="208" t="s">
        <v>27</v>
      </c>
      <c r="F67" s="585">
        <v>44994.0</v>
      </c>
      <c r="G67" s="208" t="s">
        <v>23</v>
      </c>
      <c r="H67" s="208">
        <v>600000.0</v>
      </c>
      <c r="I67" s="208">
        <v>4500000.0</v>
      </c>
      <c r="J67" s="208">
        <v>2420685.33</v>
      </c>
      <c r="K67" s="208">
        <v>378297.36</v>
      </c>
      <c r="L67" s="536">
        <f t="shared" si="1"/>
        <v>2798982.69</v>
      </c>
      <c r="M67" s="208">
        <v>85.0</v>
      </c>
      <c r="N67" s="208">
        <v>56.0</v>
      </c>
      <c r="O67" s="208">
        <v>1.0</v>
      </c>
      <c r="P67" s="208">
        <v>86.0</v>
      </c>
      <c r="Q67" s="208">
        <v>30.0</v>
      </c>
      <c r="R67" s="208">
        <v>2390259.33</v>
      </c>
      <c r="S67" s="208">
        <v>30426.0</v>
      </c>
      <c r="T67" s="208">
        <v>32.0</v>
      </c>
      <c r="U67" s="208">
        <v>1.0</v>
      </c>
      <c r="V67" s="208">
        <v>33.0</v>
      </c>
      <c r="W67" s="208">
        <v>3.0</v>
      </c>
      <c r="X67" s="208">
        <v>0.0</v>
      </c>
      <c r="Y67" s="208">
        <v>0.0</v>
      </c>
      <c r="Z67" s="208">
        <v>128.0</v>
      </c>
      <c r="AA67" s="208">
        <v>3.0</v>
      </c>
      <c r="AB67" s="208">
        <v>25.0</v>
      </c>
      <c r="AC67" s="208">
        <v>6.0</v>
      </c>
      <c r="AD67" s="208">
        <v>43.0</v>
      </c>
      <c r="AE67" s="208">
        <v>2.0</v>
      </c>
      <c r="AF67" s="208">
        <v>14.0</v>
      </c>
      <c r="AG67" s="208">
        <v>311.0</v>
      </c>
      <c r="AH67" s="208">
        <v>393.0</v>
      </c>
      <c r="AI67" s="208">
        <v>68.0</v>
      </c>
      <c r="AJ67" s="208">
        <v>35598.0</v>
      </c>
      <c r="AK67" s="208">
        <v>6.0</v>
      </c>
      <c r="AL67" s="208">
        <v>26418.0</v>
      </c>
      <c r="AM67" s="208">
        <v>0.0</v>
      </c>
      <c r="AN67" s="208">
        <v>0.0109</v>
      </c>
      <c r="AO67" s="208">
        <v>73354.0</v>
      </c>
      <c r="AP67" s="208">
        <v>0.54</v>
      </c>
      <c r="AQ67" s="208">
        <v>0.63</v>
      </c>
      <c r="AR67" s="208">
        <v>80.0</v>
      </c>
      <c r="AS67" s="208">
        <v>719.0</v>
      </c>
      <c r="AT67" s="208">
        <v>2341.8</v>
      </c>
      <c r="AU67" s="208">
        <v>1.0</v>
      </c>
      <c r="AV67" s="208">
        <v>42.0</v>
      </c>
      <c r="AW67" s="208">
        <v>33.0</v>
      </c>
      <c r="AX67" s="208">
        <v>26.0</v>
      </c>
      <c r="AY67" s="208">
        <v>27.0</v>
      </c>
    </row>
    <row r="68">
      <c r="A68" s="208" t="s">
        <v>126</v>
      </c>
      <c r="B68" s="533" t="s">
        <v>130</v>
      </c>
      <c r="C68" s="208" t="s">
        <v>704</v>
      </c>
      <c r="D68" s="208" t="s">
        <v>130</v>
      </c>
      <c r="E68" s="208" t="s">
        <v>439</v>
      </c>
      <c r="F68" s="584">
        <v>45000.0</v>
      </c>
      <c r="G68" s="208" t="s">
        <v>580</v>
      </c>
      <c r="H68" s="208">
        <v>0.0</v>
      </c>
      <c r="I68" s="208">
        <v>4166666.0</v>
      </c>
      <c r="J68" s="208">
        <v>546831.01</v>
      </c>
      <c r="K68" s="208">
        <v>0.0</v>
      </c>
      <c r="L68" s="536">
        <f t="shared" si="1"/>
        <v>546831.01</v>
      </c>
      <c r="M68" s="208">
        <v>34.0</v>
      </c>
      <c r="N68" s="208">
        <v>28.0</v>
      </c>
      <c r="O68" s="208">
        <v>0.0</v>
      </c>
      <c r="P68" s="208">
        <v>34.0</v>
      </c>
      <c r="Q68" s="208">
        <v>6.0</v>
      </c>
      <c r="R68" s="208">
        <v>546831.01</v>
      </c>
      <c r="S68" s="208">
        <v>0.0</v>
      </c>
      <c r="T68" s="208">
        <v>11.0</v>
      </c>
      <c r="U68" s="208">
        <v>0.0</v>
      </c>
      <c r="V68" s="208">
        <v>11.0</v>
      </c>
      <c r="W68" s="208">
        <v>0.0</v>
      </c>
      <c r="X68" s="208">
        <v>0.0</v>
      </c>
      <c r="Y68" s="208">
        <v>0.0</v>
      </c>
      <c r="Z68" s="208">
        <v>108.0</v>
      </c>
      <c r="AA68" s="208">
        <v>1.0</v>
      </c>
      <c r="AB68" s="208">
        <v>12.0</v>
      </c>
      <c r="AC68" s="208">
        <v>0.0</v>
      </c>
      <c r="AD68" s="208">
        <v>0.0</v>
      </c>
      <c r="AE68" s="208">
        <v>0.0</v>
      </c>
      <c r="AF68" s="208">
        <v>0.0</v>
      </c>
      <c r="AG68" s="208">
        <v>177.0</v>
      </c>
      <c r="AH68" s="208">
        <v>189.0</v>
      </c>
      <c r="AI68" s="208">
        <v>44.0</v>
      </c>
      <c r="AJ68" s="208">
        <v>12428.0</v>
      </c>
      <c r="AK68" s="208">
        <v>4.0</v>
      </c>
      <c r="AL68" s="208">
        <v>32669.0</v>
      </c>
      <c r="AM68" s="208">
        <v>0.0</v>
      </c>
      <c r="AN68" s="208">
        <v>0.0597</v>
      </c>
      <c r="AO68" s="208">
        <v>49712.0</v>
      </c>
      <c r="AP68" s="208">
        <v>0.13</v>
      </c>
      <c r="AQ68" s="208">
        <v>0.0</v>
      </c>
      <c r="AR68" s="208">
        <v>13.0</v>
      </c>
      <c r="AS68" s="208">
        <v>308.0</v>
      </c>
      <c r="AT68" s="208">
        <v>1735.47</v>
      </c>
      <c r="AU68" s="208">
        <v>0.0</v>
      </c>
      <c r="AV68" s="208">
        <v>62.0</v>
      </c>
      <c r="AW68" s="208">
        <v>11.0</v>
      </c>
      <c r="AX68" s="208">
        <v>17.0</v>
      </c>
      <c r="AY68" s="208">
        <v>6.0</v>
      </c>
      <c r="AZ68" s="584">
        <v>45900.0</v>
      </c>
    </row>
    <row r="69">
      <c r="A69" s="208" t="s">
        <v>53</v>
      </c>
      <c r="B69" s="533" t="s">
        <v>56</v>
      </c>
      <c r="C69" s="208" t="s">
        <v>364</v>
      </c>
      <c r="D69" s="208" t="s">
        <v>1092</v>
      </c>
      <c r="E69" s="208" t="s">
        <v>365</v>
      </c>
      <c r="F69" s="584">
        <v>45735.0</v>
      </c>
      <c r="G69" s="208" t="s">
        <v>754</v>
      </c>
      <c r="H69" s="208">
        <v>0.0</v>
      </c>
      <c r="I69" s="208">
        <v>700000.0</v>
      </c>
      <c r="J69" s="208">
        <v>0.0</v>
      </c>
      <c r="K69" s="208">
        <v>0.0</v>
      </c>
      <c r="L69" s="536">
        <f t="shared" si="1"/>
        <v>0</v>
      </c>
      <c r="M69" s="208">
        <v>32.0</v>
      </c>
      <c r="N69" s="208">
        <v>9.0</v>
      </c>
      <c r="O69" s="208">
        <v>0.0</v>
      </c>
      <c r="P69" s="208">
        <v>32.0</v>
      </c>
      <c r="Q69" s="208">
        <v>23.0</v>
      </c>
      <c r="R69" s="208">
        <v>0.0</v>
      </c>
      <c r="S69" s="208">
        <v>0.0</v>
      </c>
      <c r="T69" s="208">
        <v>0.0</v>
      </c>
      <c r="U69" s="208">
        <v>0.0</v>
      </c>
      <c r="V69" s="208">
        <v>0.0</v>
      </c>
      <c r="W69" s="208">
        <v>0.0</v>
      </c>
      <c r="X69" s="208">
        <v>29.0</v>
      </c>
      <c r="Y69" s="208">
        <v>34.0</v>
      </c>
      <c r="Z69" s="208">
        <v>229.0</v>
      </c>
      <c r="AA69" s="208">
        <v>1.0</v>
      </c>
      <c r="AB69" s="208">
        <v>1.0</v>
      </c>
      <c r="AC69" s="208">
        <v>0.0</v>
      </c>
      <c r="AD69" s="208">
        <v>0.0</v>
      </c>
      <c r="AE69" s="208">
        <v>0.0</v>
      </c>
      <c r="AF69" s="208">
        <v>0.0</v>
      </c>
      <c r="AG69" s="208">
        <v>18.0</v>
      </c>
      <c r="AH69" s="208">
        <v>53.0</v>
      </c>
      <c r="AI69" s="208">
        <v>10.0</v>
      </c>
      <c r="AJ69" s="208">
        <v>0.0</v>
      </c>
      <c r="AK69" s="208">
        <v>5.0</v>
      </c>
      <c r="AL69" s="208">
        <v>25165.0</v>
      </c>
      <c r="AM69" s="208">
        <v>0.0</v>
      </c>
      <c r="AN69" s="208">
        <v>0.0</v>
      </c>
      <c r="AO69" s="208">
        <v>0.0</v>
      </c>
      <c r="AP69" s="208">
        <v>0.0</v>
      </c>
      <c r="AQ69" s="208">
        <v>0.0</v>
      </c>
      <c r="AR69" s="208">
        <v>0.0</v>
      </c>
      <c r="AS69" s="208">
        <v>81.0</v>
      </c>
      <c r="AT69" s="208">
        <v>474.14</v>
      </c>
      <c r="AU69" s="208">
        <v>0.0</v>
      </c>
      <c r="AV69" s="208">
        <v>53.0</v>
      </c>
      <c r="AW69" s="208">
        <v>0.0</v>
      </c>
      <c r="AX69" s="208">
        <v>9.0</v>
      </c>
      <c r="AY69" s="208">
        <v>23.0</v>
      </c>
      <c r="AZ69" s="584">
        <v>45853.0</v>
      </c>
    </row>
    <row r="70">
      <c r="A70" s="208" t="s">
        <v>185</v>
      </c>
      <c r="B70" s="533" t="s">
        <v>215</v>
      </c>
      <c r="C70" s="208" t="s">
        <v>713</v>
      </c>
      <c r="D70" s="208" t="s">
        <v>1064</v>
      </c>
      <c r="E70" s="208" t="s">
        <v>1074</v>
      </c>
      <c r="F70" s="584">
        <v>45040.0</v>
      </c>
      <c r="G70" s="208" t="s">
        <v>185</v>
      </c>
      <c r="H70" s="208">
        <v>0.0</v>
      </c>
      <c r="I70" s="208">
        <v>4500000.0</v>
      </c>
      <c r="J70" s="208">
        <v>3876151.58</v>
      </c>
      <c r="K70" s="208">
        <v>0.0</v>
      </c>
      <c r="L70" s="536">
        <f t="shared" si="1"/>
        <v>3876151.58</v>
      </c>
      <c r="M70" s="208">
        <v>31.0</v>
      </c>
      <c r="N70" s="208">
        <v>36.0</v>
      </c>
      <c r="O70" s="208">
        <v>5.0</v>
      </c>
      <c r="P70" s="208">
        <v>36.0</v>
      </c>
      <c r="Q70" s="208">
        <v>0.0</v>
      </c>
      <c r="R70" s="208">
        <v>3063588.88</v>
      </c>
      <c r="S70" s="208">
        <v>812562.7</v>
      </c>
      <c r="T70" s="208">
        <v>17.0</v>
      </c>
      <c r="U70" s="208">
        <v>5.0</v>
      </c>
      <c r="V70" s="208">
        <v>22.0</v>
      </c>
      <c r="W70" s="208">
        <v>0.0</v>
      </c>
      <c r="X70" s="208">
        <v>37.0</v>
      </c>
      <c r="Y70" s="208">
        <v>59.0</v>
      </c>
      <c r="Z70" s="208">
        <v>76.0</v>
      </c>
      <c r="AA70" s="208">
        <v>1.0</v>
      </c>
      <c r="AB70" s="208">
        <v>3.0</v>
      </c>
      <c r="AC70" s="208">
        <v>0.0</v>
      </c>
      <c r="AD70" s="208">
        <v>0.0</v>
      </c>
      <c r="AE70" s="208">
        <v>0.0</v>
      </c>
      <c r="AF70" s="208">
        <v>0.0</v>
      </c>
      <c r="AG70" s="208">
        <v>380.0</v>
      </c>
      <c r="AH70" s="208">
        <v>442.0</v>
      </c>
      <c r="AI70" s="208">
        <v>76.0</v>
      </c>
      <c r="AJ70" s="208">
        <v>51002.0</v>
      </c>
      <c r="AK70" s="208">
        <v>6.0</v>
      </c>
      <c r="AL70" s="208">
        <v>36400.0</v>
      </c>
      <c r="AM70" s="208">
        <v>0.0</v>
      </c>
      <c r="AN70" s="208">
        <v>0.0094</v>
      </c>
      <c r="AO70" s="208">
        <v>176189.0</v>
      </c>
      <c r="AP70" s="208">
        <v>0.86</v>
      </c>
      <c r="AQ70" s="208">
        <v>0.0</v>
      </c>
      <c r="AR70" s="208">
        <v>35.0</v>
      </c>
      <c r="AS70" s="208">
        <v>630.0</v>
      </c>
      <c r="AT70" s="208">
        <v>4800.68</v>
      </c>
      <c r="AU70" s="208">
        <v>5.0</v>
      </c>
      <c r="AV70" s="208">
        <v>133.0</v>
      </c>
      <c r="AW70" s="208">
        <v>22.0</v>
      </c>
      <c r="AX70" s="208">
        <v>14.0</v>
      </c>
      <c r="AY70" s="208">
        <v>0.0</v>
      </c>
    </row>
    <row r="71">
      <c r="A71" s="208" t="s">
        <v>185</v>
      </c>
      <c r="B71" s="533" t="s">
        <v>189</v>
      </c>
      <c r="C71" s="208" t="s">
        <v>402</v>
      </c>
      <c r="D71" s="208" t="s">
        <v>1016</v>
      </c>
      <c r="E71" s="208" t="s">
        <v>192</v>
      </c>
      <c r="F71" s="584">
        <v>45040.0</v>
      </c>
      <c r="G71" s="208" t="s">
        <v>206</v>
      </c>
      <c r="H71" s="208">
        <v>0.0</v>
      </c>
      <c r="I71" s="208">
        <v>4500000.0</v>
      </c>
      <c r="J71" s="208">
        <v>2299865.9</v>
      </c>
      <c r="K71" s="208">
        <v>0.0</v>
      </c>
      <c r="L71" s="536">
        <f t="shared" si="1"/>
        <v>2299865.9</v>
      </c>
      <c r="M71" s="208">
        <v>75.0</v>
      </c>
      <c r="N71" s="208">
        <v>57.0</v>
      </c>
      <c r="O71" s="208">
        <v>1.0</v>
      </c>
      <c r="P71" s="208">
        <v>76.0</v>
      </c>
      <c r="Q71" s="208">
        <v>19.0</v>
      </c>
      <c r="R71" s="208">
        <v>2298189.5</v>
      </c>
      <c r="S71" s="208">
        <v>1676.4</v>
      </c>
      <c r="T71" s="208">
        <v>19.0</v>
      </c>
      <c r="U71" s="208">
        <v>1.0</v>
      </c>
      <c r="V71" s="208">
        <v>20.0</v>
      </c>
      <c r="W71" s="208">
        <v>0.0</v>
      </c>
      <c r="X71" s="208">
        <v>3.0</v>
      </c>
      <c r="Y71" s="208">
        <v>9.0</v>
      </c>
      <c r="Z71" s="208">
        <v>48.0</v>
      </c>
      <c r="AA71" s="208">
        <v>1.0</v>
      </c>
      <c r="AB71" s="208">
        <v>1.0</v>
      </c>
      <c r="AC71" s="208">
        <v>0.0</v>
      </c>
      <c r="AD71" s="208">
        <v>0.0</v>
      </c>
      <c r="AE71" s="208">
        <v>0.0</v>
      </c>
      <c r="AF71" s="208">
        <v>0.0</v>
      </c>
      <c r="AG71" s="208">
        <v>322.0</v>
      </c>
      <c r="AH71" s="208">
        <v>332.0</v>
      </c>
      <c r="AI71" s="208">
        <v>65.0</v>
      </c>
      <c r="AJ71" s="208">
        <v>35383.0</v>
      </c>
      <c r="AK71" s="208">
        <v>5.0</v>
      </c>
      <c r="AL71" s="208">
        <v>25690.0</v>
      </c>
      <c r="AM71" s="208">
        <v>0.0</v>
      </c>
      <c r="AN71" s="208">
        <v>0.0112</v>
      </c>
      <c r="AO71" s="208">
        <v>114993.0</v>
      </c>
      <c r="AP71" s="208">
        <v>0.51</v>
      </c>
      <c r="AQ71" s="208">
        <v>0.0</v>
      </c>
      <c r="AR71" s="208">
        <v>37.0</v>
      </c>
      <c r="AS71" s="208">
        <v>541.0</v>
      </c>
      <c r="AT71" s="208">
        <v>2989.61</v>
      </c>
      <c r="AU71" s="208">
        <v>1.0</v>
      </c>
      <c r="AV71" s="208">
        <v>52.0</v>
      </c>
      <c r="AW71" s="208">
        <v>20.0</v>
      </c>
      <c r="AX71" s="208">
        <v>38.0</v>
      </c>
      <c r="AY71" s="208">
        <v>18.0</v>
      </c>
    </row>
    <row r="72">
      <c r="A72" s="208" t="s">
        <v>298</v>
      </c>
      <c r="B72" s="533" t="s">
        <v>301</v>
      </c>
      <c r="C72" s="208" t="s">
        <v>715</v>
      </c>
      <c r="D72" s="208" t="s">
        <v>1066</v>
      </c>
      <c r="E72" s="208" t="s">
        <v>303</v>
      </c>
      <c r="F72" s="586">
        <v>45047.0</v>
      </c>
      <c r="G72" s="208" t="s">
        <v>302</v>
      </c>
      <c r="H72" s="208">
        <v>0.0</v>
      </c>
      <c r="I72" s="208">
        <v>3600000.0</v>
      </c>
      <c r="J72" s="208">
        <v>1945977.12</v>
      </c>
      <c r="K72" s="208">
        <v>0.0</v>
      </c>
      <c r="L72" s="536">
        <f t="shared" si="1"/>
        <v>1945977.12</v>
      </c>
      <c r="M72" s="208">
        <v>113.0</v>
      </c>
      <c r="N72" s="208">
        <v>87.0</v>
      </c>
      <c r="O72" s="208">
        <v>4.0</v>
      </c>
      <c r="P72" s="208">
        <v>117.0</v>
      </c>
      <c r="Q72" s="208">
        <v>30.0</v>
      </c>
      <c r="R72" s="208">
        <v>1868475.2</v>
      </c>
      <c r="S72" s="208">
        <v>77501.92</v>
      </c>
      <c r="T72" s="208">
        <v>65.0</v>
      </c>
      <c r="U72" s="208">
        <v>3.0</v>
      </c>
      <c r="V72" s="208">
        <v>68.0</v>
      </c>
      <c r="W72" s="208">
        <v>0.0</v>
      </c>
      <c r="X72" s="208">
        <v>4.0</v>
      </c>
      <c r="Y72" s="208">
        <v>8.0</v>
      </c>
      <c r="Z72" s="208">
        <v>164.0</v>
      </c>
      <c r="AA72" s="208">
        <v>1.0</v>
      </c>
      <c r="AB72" s="208">
        <v>4.0</v>
      </c>
      <c r="AC72" s="208">
        <v>0.0</v>
      </c>
      <c r="AD72" s="208">
        <v>0.0</v>
      </c>
      <c r="AE72" s="208">
        <v>0.0</v>
      </c>
      <c r="AF72" s="208">
        <v>0.0</v>
      </c>
      <c r="AG72" s="208">
        <v>344.0</v>
      </c>
      <c r="AH72" s="208">
        <v>356.0</v>
      </c>
      <c r="AI72" s="208">
        <v>74.0</v>
      </c>
      <c r="AJ72" s="208">
        <v>26297.0</v>
      </c>
      <c r="AK72" s="208">
        <v>5.0</v>
      </c>
      <c r="AL72" s="208">
        <v>37990.0</v>
      </c>
      <c r="AM72" s="208">
        <v>0.0</v>
      </c>
      <c r="AN72" s="208">
        <v>0.0195</v>
      </c>
      <c r="AO72" s="208">
        <v>28617.0</v>
      </c>
      <c r="AP72" s="208">
        <v>0.54</v>
      </c>
      <c r="AQ72" s="208">
        <v>0.0</v>
      </c>
      <c r="AR72" s="208">
        <v>179.0</v>
      </c>
      <c r="AS72" s="208">
        <v>783.0</v>
      </c>
      <c r="AT72" s="208">
        <v>4046.55</v>
      </c>
      <c r="AU72" s="208">
        <v>3.0</v>
      </c>
      <c r="AV72" s="208">
        <v>47.0</v>
      </c>
      <c r="AW72" s="208">
        <v>68.0</v>
      </c>
      <c r="AX72" s="208">
        <v>24.0</v>
      </c>
      <c r="AY72" s="208">
        <v>25.0</v>
      </c>
    </row>
    <row r="73">
      <c r="A73" s="208" t="s">
        <v>298</v>
      </c>
      <c r="B73" s="533" t="s">
        <v>301</v>
      </c>
      <c r="C73" s="208" t="s">
        <v>716</v>
      </c>
      <c r="D73" s="208" t="s">
        <v>1066</v>
      </c>
      <c r="E73" s="208" t="s">
        <v>317</v>
      </c>
      <c r="F73" s="586">
        <v>45047.0</v>
      </c>
      <c r="G73" s="208" t="s">
        <v>298</v>
      </c>
      <c r="H73" s="208">
        <v>0.0</v>
      </c>
      <c r="I73" s="208">
        <v>0.0</v>
      </c>
      <c r="J73" s="208">
        <v>0.0</v>
      </c>
      <c r="K73" s="208">
        <v>0.0</v>
      </c>
      <c r="L73" s="536">
        <f t="shared" si="1"/>
        <v>0</v>
      </c>
      <c r="M73" s="208">
        <v>35.0</v>
      </c>
      <c r="N73" s="208">
        <v>0.0</v>
      </c>
      <c r="O73" s="208">
        <v>1.0</v>
      </c>
      <c r="P73" s="208">
        <v>36.0</v>
      </c>
      <c r="Q73" s="208">
        <v>36.0</v>
      </c>
      <c r="R73" s="208">
        <v>0.0</v>
      </c>
      <c r="S73" s="208">
        <v>0.0</v>
      </c>
      <c r="T73" s="208">
        <v>0.0</v>
      </c>
      <c r="U73" s="208">
        <v>0.0</v>
      </c>
      <c r="V73" s="208">
        <v>0.0</v>
      </c>
      <c r="W73" s="208">
        <v>0.0</v>
      </c>
      <c r="X73" s="208">
        <v>0.0</v>
      </c>
      <c r="Y73" s="208">
        <v>0.0</v>
      </c>
      <c r="Z73" s="208">
        <v>123.0</v>
      </c>
      <c r="AA73" s="208">
        <v>0.0</v>
      </c>
      <c r="AB73" s="208">
        <v>0.0</v>
      </c>
      <c r="AC73" s="208">
        <v>0.0</v>
      </c>
      <c r="AD73" s="208">
        <v>0.0</v>
      </c>
      <c r="AE73" s="208">
        <v>0.0</v>
      </c>
      <c r="AF73" s="208">
        <v>0.0</v>
      </c>
      <c r="AG73" s="208">
        <v>0.0</v>
      </c>
      <c r="AH73" s="208">
        <v>0.0</v>
      </c>
      <c r="AI73" s="208">
        <v>0.0</v>
      </c>
      <c r="AJ73" s="208">
        <v>0.0</v>
      </c>
      <c r="AK73" s="208">
        <v>0.0</v>
      </c>
      <c r="AL73" s="208">
        <v>37335.0</v>
      </c>
      <c r="AM73" s="208">
        <v>0.0</v>
      </c>
      <c r="AN73" s="208">
        <v>0.0</v>
      </c>
      <c r="AO73" s="208">
        <v>0.0</v>
      </c>
      <c r="AP73" s="208">
        <v>0.0</v>
      </c>
      <c r="AQ73" s="208">
        <v>0.0</v>
      </c>
      <c r="AR73" s="208">
        <v>0.0</v>
      </c>
      <c r="AS73" s="208">
        <v>0.0</v>
      </c>
      <c r="AT73" s="208">
        <v>0.0</v>
      </c>
      <c r="AU73" s="208">
        <v>0.0</v>
      </c>
      <c r="AV73" s="208">
        <v>0.0</v>
      </c>
      <c r="AW73" s="208">
        <v>0.0</v>
      </c>
      <c r="AX73" s="208">
        <v>0.0</v>
      </c>
      <c r="AY73" s="208">
        <v>36.0</v>
      </c>
      <c r="AZ73" s="586">
        <v>45785.0</v>
      </c>
    </row>
    <row r="74">
      <c r="A74" s="208" t="s">
        <v>185</v>
      </c>
      <c r="B74" s="533" t="s">
        <v>85</v>
      </c>
      <c r="C74" s="208" t="s">
        <v>387</v>
      </c>
      <c r="D74" s="208" t="s">
        <v>1058</v>
      </c>
      <c r="E74" s="208" t="s">
        <v>87</v>
      </c>
      <c r="F74" s="586">
        <v>45054.0</v>
      </c>
      <c r="G74" s="208" t="s">
        <v>86</v>
      </c>
      <c r="H74" s="208">
        <v>0.0</v>
      </c>
      <c r="I74" s="208">
        <v>0.0</v>
      </c>
      <c r="J74" s="208">
        <v>0.0</v>
      </c>
      <c r="K74" s="208">
        <v>0.0</v>
      </c>
      <c r="L74" s="536">
        <f t="shared" si="1"/>
        <v>0</v>
      </c>
      <c r="M74" s="208">
        <v>89.0</v>
      </c>
      <c r="N74" s="208">
        <v>0.0</v>
      </c>
      <c r="O74" s="208">
        <v>0.0</v>
      </c>
      <c r="P74" s="208">
        <v>89.0</v>
      </c>
      <c r="Q74" s="208">
        <v>89.0</v>
      </c>
      <c r="R74" s="208">
        <v>0.0</v>
      </c>
      <c r="S74" s="208">
        <v>0.0</v>
      </c>
      <c r="T74" s="208">
        <v>0.0</v>
      </c>
      <c r="U74" s="208">
        <v>0.0</v>
      </c>
      <c r="V74" s="208">
        <v>0.0</v>
      </c>
      <c r="W74" s="208">
        <v>0.0</v>
      </c>
      <c r="X74" s="208">
        <v>0.0</v>
      </c>
      <c r="Y74" s="208">
        <v>0.0</v>
      </c>
      <c r="Z74" s="208">
        <v>10.0</v>
      </c>
      <c r="AA74" s="208">
        <v>0.0</v>
      </c>
      <c r="AB74" s="208">
        <v>0.0</v>
      </c>
      <c r="AC74" s="208">
        <v>0.0</v>
      </c>
      <c r="AD74" s="208">
        <v>0.0</v>
      </c>
      <c r="AE74" s="208">
        <v>0.0</v>
      </c>
      <c r="AF74" s="208">
        <v>0.0</v>
      </c>
      <c r="AG74" s="208">
        <v>0.0</v>
      </c>
      <c r="AH74" s="208">
        <v>0.0</v>
      </c>
      <c r="AI74" s="208">
        <v>0.0</v>
      </c>
      <c r="AJ74" s="208">
        <v>0.0</v>
      </c>
      <c r="AK74" s="208">
        <v>0.0</v>
      </c>
      <c r="AL74" s="208">
        <v>34422.0</v>
      </c>
      <c r="AM74" s="208">
        <v>0.0</v>
      </c>
      <c r="AN74" s="208">
        <v>0.0</v>
      </c>
      <c r="AO74" s="208">
        <v>0.0</v>
      </c>
      <c r="AP74" s="208">
        <v>0.0</v>
      </c>
      <c r="AQ74" s="208">
        <v>0.0</v>
      </c>
      <c r="AR74" s="208">
        <v>0.0</v>
      </c>
      <c r="AS74" s="208">
        <v>0.0</v>
      </c>
      <c r="AT74" s="208">
        <v>0.0</v>
      </c>
      <c r="AU74" s="208">
        <v>0.0</v>
      </c>
      <c r="AV74" s="208">
        <v>0.0</v>
      </c>
      <c r="AW74" s="208">
        <v>0.0</v>
      </c>
      <c r="AX74" s="208">
        <v>0.0</v>
      </c>
      <c r="AY74" s="208">
        <v>89.0</v>
      </c>
      <c r="AZ74" s="587">
        <v>45801.0</v>
      </c>
    </row>
    <row r="75">
      <c r="A75" s="208" t="s">
        <v>185</v>
      </c>
      <c r="B75" s="533" t="s">
        <v>189</v>
      </c>
      <c r="C75" s="208" t="s">
        <v>726</v>
      </c>
      <c r="D75" s="208" t="s">
        <v>1016</v>
      </c>
      <c r="E75" s="208" t="s">
        <v>1075</v>
      </c>
      <c r="F75" s="586">
        <v>45047.0</v>
      </c>
      <c r="G75" s="208" t="s">
        <v>205</v>
      </c>
      <c r="H75" s="208">
        <v>0.0</v>
      </c>
      <c r="I75" s="208">
        <v>4500000.0</v>
      </c>
      <c r="J75" s="208">
        <v>4201356.41</v>
      </c>
      <c r="K75" s="208">
        <v>0.0</v>
      </c>
      <c r="L75" s="536">
        <f t="shared" si="1"/>
        <v>4201356.41</v>
      </c>
      <c r="M75" s="208">
        <v>46.0</v>
      </c>
      <c r="N75" s="208">
        <v>44.0</v>
      </c>
      <c r="O75" s="208">
        <v>4.0</v>
      </c>
      <c r="P75" s="208">
        <v>50.0</v>
      </c>
      <c r="Q75" s="208">
        <v>6.0</v>
      </c>
      <c r="R75" s="208">
        <v>3832198.38</v>
      </c>
      <c r="S75" s="208">
        <v>369158.03</v>
      </c>
      <c r="T75" s="208">
        <v>13.0</v>
      </c>
      <c r="U75" s="208">
        <v>2.0</v>
      </c>
      <c r="V75" s="208">
        <v>15.0</v>
      </c>
      <c r="W75" s="208">
        <v>0.0</v>
      </c>
      <c r="X75" s="208">
        <v>33.0</v>
      </c>
      <c r="Y75" s="208">
        <v>55.0</v>
      </c>
      <c r="Z75" s="208">
        <v>185.0</v>
      </c>
      <c r="AA75" s="208">
        <v>1.0</v>
      </c>
      <c r="AB75" s="208">
        <v>1.0</v>
      </c>
      <c r="AC75" s="208">
        <v>0.0</v>
      </c>
      <c r="AD75" s="208">
        <v>0.0</v>
      </c>
      <c r="AE75" s="208">
        <v>0.0</v>
      </c>
      <c r="AF75" s="208">
        <v>0.0</v>
      </c>
      <c r="AG75" s="208">
        <v>376.0</v>
      </c>
      <c r="AH75" s="208">
        <v>432.0</v>
      </c>
      <c r="AI75" s="208">
        <v>74.0</v>
      </c>
      <c r="AJ75" s="208">
        <v>56775.0</v>
      </c>
      <c r="AK75" s="208">
        <v>6.0</v>
      </c>
      <c r="AL75" s="208">
        <v>31500.0</v>
      </c>
      <c r="AM75" s="208">
        <v>0.0</v>
      </c>
      <c r="AN75" s="208">
        <v>0.0075</v>
      </c>
      <c r="AO75" s="208">
        <v>280090.0</v>
      </c>
      <c r="AP75" s="208">
        <v>0.93</v>
      </c>
      <c r="AQ75" s="208">
        <v>0.0</v>
      </c>
      <c r="AR75" s="208">
        <v>32.0</v>
      </c>
      <c r="AS75" s="208">
        <v>724.0</v>
      </c>
      <c r="AT75" s="208">
        <v>6682.94</v>
      </c>
      <c r="AU75" s="208">
        <v>2.0</v>
      </c>
      <c r="AV75" s="208">
        <v>152.0</v>
      </c>
      <c r="AW75" s="208">
        <v>15.0</v>
      </c>
      <c r="AX75" s="208">
        <v>29.0</v>
      </c>
      <c r="AY75" s="208">
        <v>6.0</v>
      </c>
    </row>
    <row r="76">
      <c r="A76" s="208" t="s">
        <v>185</v>
      </c>
      <c r="B76" s="533" t="s">
        <v>189</v>
      </c>
      <c r="C76" s="208" t="s">
        <v>728</v>
      </c>
      <c r="D76" s="208" t="s">
        <v>1016</v>
      </c>
      <c r="E76" s="208" t="s">
        <v>1075</v>
      </c>
      <c r="F76" s="586">
        <v>45047.0</v>
      </c>
      <c r="G76" s="208" t="s">
        <v>205</v>
      </c>
      <c r="H76" s="208">
        <v>0.0</v>
      </c>
      <c r="I76" s="208">
        <v>4500000.0</v>
      </c>
      <c r="J76" s="208">
        <v>3998785.52</v>
      </c>
      <c r="K76" s="208">
        <v>0.0</v>
      </c>
      <c r="L76" s="536">
        <f t="shared" si="1"/>
        <v>3998785.52</v>
      </c>
      <c r="M76" s="208">
        <v>50.0</v>
      </c>
      <c r="N76" s="208">
        <v>32.0</v>
      </c>
      <c r="O76" s="208">
        <v>3.0</v>
      </c>
      <c r="P76" s="208">
        <v>53.0</v>
      </c>
      <c r="Q76" s="208">
        <v>21.0</v>
      </c>
      <c r="R76" s="208">
        <v>3921733.52</v>
      </c>
      <c r="S76" s="208">
        <v>77052.0</v>
      </c>
      <c r="T76" s="208">
        <v>10.0</v>
      </c>
      <c r="U76" s="208">
        <v>1.0</v>
      </c>
      <c r="V76" s="208">
        <v>11.0</v>
      </c>
      <c r="W76" s="208">
        <v>0.0</v>
      </c>
      <c r="X76" s="208">
        <v>14.0</v>
      </c>
      <c r="Y76" s="208">
        <v>19.0</v>
      </c>
      <c r="Z76" s="208">
        <v>260.0</v>
      </c>
      <c r="AA76" s="208">
        <v>1.0</v>
      </c>
      <c r="AB76" s="208">
        <v>1.0</v>
      </c>
      <c r="AC76" s="208">
        <v>0.0</v>
      </c>
      <c r="AD76" s="208">
        <v>0.0</v>
      </c>
      <c r="AE76" s="208">
        <v>0.0</v>
      </c>
      <c r="AF76" s="208">
        <v>0.0</v>
      </c>
      <c r="AG76" s="208">
        <v>290.0</v>
      </c>
      <c r="AH76" s="208">
        <v>310.0</v>
      </c>
      <c r="AI76" s="208">
        <v>76.0</v>
      </c>
      <c r="AJ76" s="208">
        <v>52616.0</v>
      </c>
      <c r="AK76" s="208">
        <v>4.0</v>
      </c>
      <c r="AL76" s="208">
        <v>26000.0</v>
      </c>
      <c r="AM76" s="208">
        <v>0.0</v>
      </c>
      <c r="AN76" s="208">
        <v>0.0065</v>
      </c>
      <c r="AO76" s="208">
        <v>363526.0</v>
      </c>
      <c r="AP76" s="208">
        <v>0.89</v>
      </c>
      <c r="AQ76" s="208">
        <v>0.0</v>
      </c>
      <c r="AR76" s="208">
        <v>26.0</v>
      </c>
      <c r="AS76" s="208">
        <v>567.0</v>
      </c>
      <c r="AT76" s="208">
        <v>3493.43</v>
      </c>
      <c r="AU76" s="208">
        <v>1.0</v>
      </c>
      <c r="AV76" s="208">
        <v>109.0</v>
      </c>
      <c r="AW76" s="208">
        <v>11.0</v>
      </c>
      <c r="AX76" s="208">
        <v>21.0</v>
      </c>
      <c r="AY76" s="208">
        <v>21.0</v>
      </c>
    </row>
    <row r="77">
      <c r="A77" s="208" t="s">
        <v>185</v>
      </c>
      <c r="B77" s="533" t="s">
        <v>189</v>
      </c>
      <c r="C77" s="208" t="s">
        <v>237</v>
      </c>
      <c r="D77" s="208" t="s">
        <v>1016</v>
      </c>
      <c r="E77" s="208" t="s">
        <v>1076</v>
      </c>
      <c r="F77" s="586">
        <v>45048.0</v>
      </c>
      <c r="G77" s="208" t="s">
        <v>201</v>
      </c>
      <c r="H77" s="208">
        <v>0.0</v>
      </c>
      <c r="I77" s="208">
        <v>4500000.0</v>
      </c>
      <c r="J77" s="208">
        <v>4186795.65</v>
      </c>
      <c r="K77" s="208">
        <v>0.0</v>
      </c>
      <c r="L77" s="536">
        <f t="shared" si="1"/>
        <v>4186795.65</v>
      </c>
      <c r="M77" s="208">
        <v>51.0</v>
      </c>
      <c r="N77" s="208">
        <v>51.0</v>
      </c>
      <c r="O77" s="208">
        <v>3.0</v>
      </c>
      <c r="P77" s="208">
        <v>54.0</v>
      </c>
      <c r="Q77" s="208">
        <v>3.0</v>
      </c>
      <c r="R77" s="208">
        <v>3936446.77</v>
      </c>
      <c r="S77" s="208">
        <v>250348.88</v>
      </c>
      <c r="T77" s="208">
        <v>33.0</v>
      </c>
      <c r="U77" s="208">
        <v>3.0</v>
      </c>
      <c r="V77" s="208">
        <v>36.0</v>
      </c>
      <c r="W77" s="208">
        <v>0.0</v>
      </c>
      <c r="X77" s="208">
        <v>0.0</v>
      </c>
      <c r="Y77" s="208">
        <v>0.0</v>
      </c>
      <c r="Z77" s="208">
        <v>2.0</v>
      </c>
      <c r="AA77" s="208">
        <v>3.0</v>
      </c>
      <c r="AB77" s="208">
        <v>63.0</v>
      </c>
      <c r="AC77" s="208">
        <v>0.0</v>
      </c>
      <c r="AD77" s="208">
        <v>0.0</v>
      </c>
      <c r="AE77" s="208">
        <v>0.0</v>
      </c>
      <c r="AF77" s="208">
        <v>0.0</v>
      </c>
      <c r="AG77" s="208">
        <v>265.0</v>
      </c>
      <c r="AH77" s="208">
        <v>328.0</v>
      </c>
      <c r="AI77" s="208">
        <v>69.0</v>
      </c>
      <c r="AJ77" s="208">
        <v>60678.0</v>
      </c>
      <c r="AK77" s="208">
        <v>5.0</v>
      </c>
      <c r="AL77" s="208">
        <v>26000.0</v>
      </c>
      <c r="AM77" s="208">
        <v>0.0</v>
      </c>
      <c r="AN77" s="208">
        <v>0.0062</v>
      </c>
      <c r="AO77" s="208">
        <v>116300.0</v>
      </c>
      <c r="AP77" s="208">
        <v>0.93</v>
      </c>
      <c r="AQ77" s="208">
        <v>0.0</v>
      </c>
      <c r="AR77" s="208">
        <v>83.0</v>
      </c>
      <c r="AS77" s="208">
        <v>679.0</v>
      </c>
      <c r="AT77" s="208">
        <v>4270.85</v>
      </c>
      <c r="AU77" s="208">
        <v>3.0</v>
      </c>
      <c r="AV77" s="208">
        <v>84.0</v>
      </c>
      <c r="AW77" s="208">
        <v>36.0</v>
      </c>
      <c r="AX77" s="208">
        <v>15.0</v>
      </c>
      <c r="AY77" s="208">
        <v>3.0</v>
      </c>
    </row>
    <row r="78">
      <c r="A78" s="208" t="s">
        <v>185</v>
      </c>
      <c r="B78" s="533" t="s">
        <v>189</v>
      </c>
      <c r="C78" s="208" t="s">
        <v>732</v>
      </c>
      <c r="D78" s="208" t="s">
        <v>1016</v>
      </c>
      <c r="E78" s="208" t="s">
        <v>187</v>
      </c>
      <c r="F78" s="586">
        <v>45047.0</v>
      </c>
      <c r="G78" s="208" t="s">
        <v>186</v>
      </c>
      <c r="H78" s="208">
        <v>0.0</v>
      </c>
      <c r="I78" s="208">
        <v>3300000.0</v>
      </c>
      <c r="J78" s="208">
        <v>1532092.13</v>
      </c>
      <c r="K78" s="208">
        <v>0.0</v>
      </c>
      <c r="L78" s="536">
        <f t="shared" si="1"/>
        <v>1532092.13</v>
      </c>
      <c r="M78" s="208">
        <v>110.0</v>
      </c>
      <c r="N78" s="208">
        <v>87.0</v>
      </c>
      <c r="O78" s="208">
        <v>4.0</v>
      </c>
      <c r="P78" s="208">
        <v>114.0</v>
      </c>
      <c r="Q78" s="208">
        <v>27.0</v>
      </c>
      <c r="R78" s="208">
        <v>1507617.22</v>
      </c>
      <c r="S78" s="208">
        <v>24474.91</v>
      </c>
      <c r="T78" s="208">
        <v>50.0</v>
      </c>
      <c r="U78" s="208">
        <v>1.0</v>
      </c>
      <c r="V78" s="208">
        <v>51.0</v>
      </c>
      <c r="W78" s="208">
        <v>0.0</v>
      </c>
      <c r="X78" s="208">
        <v>2.0</v>
      </c>
      <c r="Y78" s="208">
        <v>3.0</v>
      </c>
      <c r="Z78" s="208">
        <v>48.0</v>
      </c>
      <c r="AA78" s="208">
        <v>1.0</v>
      </c>
      <c r="AB78" s="208">
        <v>5.0</v>
      </c>
      <c r="AC78" s="208">
        <v>0.0</v>
      </c>
      <c r="AD78" s="208">
        <v>0.0</v>
      </c>
      <c r="AE78" s="208">
        <v>0.0</v>
      </c>
      <c r="AF78" s="208">
        <v>0.0</v>
      </c>
      <c r="AG78" s="208">
        <v>131.0</v>
      </c>
      <c r="AH78" s="208">
        <v>139.0</v>
      </c>
      <c r="AI78" s="208">
        <v>25.0</v>
      </c>
      <c r="AJ78" s="208">
        <v>61284.0</v>
      </c>
      <c r="AK78" s="208">
        <v>6.0</v>
      </c>
      <c r="AL78" s="208">
        <v>25167.0</v>
      </c>
      <c r="AM78" s="208">
        <v>0.0</v>
      </c>
      <c r="AN78" s="208">
        <v>0.0164</v>
      </c>
      <c r="AO78" s="208">
        <v>30041.0</v>
      </c>
      <c r="AP78" s="208">
        <v>0.46</v>
      </c>
      <c r="AQ78" s="208">
        <v>0.0</v>
      </c>
      <c r="AR78" s="208">
        <v>71.0</v>
      </c>
      <c r="AS78" s="208">
        <v>245.0</v>
      </c>
      <c r="AT78" s="208">
        <v>1326.54</v>
      </c>
      <c r="AU78" s="208">
        <v>1.0</v>
      </c>
      <c r="AV78" s="208">
        <v>15.0</v>
      </c>
      <c r="AW78" s="208">
        <v>51.0</v>
      </c>
      <c r="AX78" s="208">
        <v>42.0</v>
      </c>
      <c r="AY78" s="208">
        <v>21.0</v>
      </c>
      <c r="AZ78" s="584">
        <v>45869.0</v>
      </c>
    </row>
    <row r="79">
      <c r="A79" s="208" t="s">
        <v>53</v>
      </c>
      <c r="B79" s="533" t="s">
        <v>56</v>
      </c>
      <c r="C79" s="208" t="s">
        <v>733</v>
      </c>
      <c r="D79" s="208" t="s">
        <v>1092</v>
      </c>
      <c r="E79" s="208" t="s">
        <v>1095</v>
      </c>
      <c r="F79" s="587">
        <v>45428.0</v>
      </c>
      <c r="G79" s="208" t="s">
        <v>754</v>
      </c>
      <c r="H79" s="208">
        <v>0.0</v>
      </c>
      <c r="I79" s="208">
        <v>0.0</v>
      </c>
      <c r="J79" s="208">
        <v>0.0</v>
      </c>
      <c r="K79" s="208">
        <v>0.0</v>
      </c>
      <c r="L79" s="536">
        <f t="shared" si="1"/>
        <v>0</v>
      </c>
      <c r="M79" s="208">
        <v>67.0</v>
      </c>
      <c r="N79" s="208">
        <v>34.0</v>
      </c>
      <c r="O79" s="208">
        <v>1.0</v>
      </c>
      <c r="P79" s="208">
        <v>68.0</v>
      </c>
      <c r="Q79" s="208">
        <v>34.0</v>
      </c>
      <c r="R79" s="208">
        <v>0.0</v>
      </c>
      <c r="S79" s="208">
        <v>0.0</v>
      </c>
      <c r="T79" s="208">
        <v>0.0</v>
      </c>
      <c r="U79" s="208">
        <v>0.0</v>
      </c>
      <c r="V79" s="208">
        <v>0.0</v>
      </c>
      <c r="W79" s="208">
        <v>0.0</v>
      </c>
      <c r="X79" s="208">
        <v>105.0</v>
      </c>
      <c r="Y79" s="208">
        <v>158.0</v>
      </c>
      <c r="Z79" s="208">
        <v>194.0</v>
      </c>
      <c r="AA79" s="208">
        <v>6.0</v>
      </c>
      <c r="AB79" s="208">
        <v>27.0</v>
      </c>
      <c r="AC79" s="208">
        <v>0.0</v>
      </c>
      <c r="AD79" s="208">
        <v>0.0</v>
      </c>
      <c r="AE79" s="208">
        <v>14.0</v>
      </c>
      <c r="AF79" s="208">
        <v>17.0</v>
      </c>
      <c r="AG79" s="208">
        <v>81.0</v>
      </c>
      <c r="AH79" s="208">
        <v>283.0</v>
      </c>
      <c r="AI79" s="208">
        <v>66.0</v>
      </c>
      <c r="AJ79" s="208">
        <v>0.0</v>
      </c>
      <c r="AK79" s="208">
        <v>4.0</v>
      </c>
      <c r="AL79" s="208">
        <v>29880.0</v>
      </c>
      <c r="AM79" s="208">
        <v>0.0</v>
      </c>
      <c r="AN79" s="208">
        <v>0.0</v>
      </c>
      <c r="AO79" s="208">
        <v>0.0</v>
      </c>
      <c r="AP79" s="208">
        <v>0.0</v>
      </c>
      <c r="AQ79" s="208">
        <v>0.0</v>
      </c>
      <c r="AR79" s="208">
        <v>0.0</v>
      </c>
      <c r="AS79" s="208">
        <v>537.0</v>
      </c>
      <c r="AT79" s="208">
        <v>4709.03</v>
      </c>
      <c r="AU79" s="208">
        <v>0.0</v>
      </c>
      <c r="AV79" s="208">
        <v>139.0</v>
      </c>
      <c r="AW79" s="208">
        <v>0.0</v>
      </c>
      <c r="AX79" s="208">
        <v>34.0</v>
      </c>
      <c r="AY79" s="208">
        <v>34.0</v>
      </c>
    </row>
    <row r="80">
      <c r="A80" s="208" t="s">
        <v>185</v>
      </c>
      <c r="B80" s="533" t="s">
        <v>189</v>
      </c>
      <c r="C80" s="208" t="s">
        <v>738</v>
      </c>
      <c r="D80" s="208" t="s">
        <v>1016</v>
      </c>
      <c r="E80" s="208" t="s">
        <v>1075</v>
      </c>
      <c r="F80" s="587">
        <v>45056.0</v>
      </c>
      <c r="G80" s="208" t="s">
        <v>205</v>
      </c>
      <c r="H80" s="208">
        <v>0.0</v>
      </c>
      <c r="I80" s="208">
        <v>4500000.0</v>
      </c>
      <c r="J80" s="208">
        <v>4632086.25</v>
      </c>
      <c r="K80" s="208">
        <v>0.0</v>
      </c>
      <c r="L80" s="536">
        <f t="shared" si="1"/>
        <v>4632086.25</v>
      </c>
      <c r="M80" s="208">
        <v>61.0</v>
      </c>
      <c r="N80" s="208">
        <v>55.0</v>
      </c>
      <c r="O80" s="208">
        <v>5.0</v>
      </c>
      <c r="P80" s="208">
        <v>66.0</v>
      </c>
      <c r="Q80" s="208">
        <v>11.0</v>
      </c>
      <c r="R80" s="208">
        <v>4384263.61</v>
      </c>
      <c r="S80" s="208">
        <v>247822.64</v>
      </c>
      <c r="T80" s="208">
        <v>17.0</v>
      </c>
      <c r="U80" s="208">
        <v>4.0</v>
      </c>
      <c r="V80" s="208">
        <v>21.0</v>
      </c>
      <c r="W80" s="208">
        <v>0.0</v>
      </c>
      <c r="X80" s="208">
        <v>71.0</v>
      </c>
      <c r="Y80" s="208">
        <v>132.0</v>
      </c>
      <c r="Z80" s="208">
        <v>211.0</v>
      </c>
      <c r="AA80" s="208">
        <v>1.0</v>
      </c>
      <c r="AB80" s="208">
        <v>1.0</v>
      </c>
      <c r="AC80" s="208">
        <v>0.0</v>
      </c>
      <c r="AD80" s="208">
        <v>0.0</v>
      </c>
      <c r="AE80" s="208">
        <v>0.0</v>
      </c>
      <c r="AF80" s="208">
        <v>0.0</v>
      </c>
      <c r="AG80" s="208">
        <v>310.0</v>
      </c>
      <c r="AH80" s="208">
        <v>443.0</v>
      </c>
      <c r="AI80" s="208">
        <v>71.0</v>
      </c>
      <c r="AJ80" s="208">
        <v>65241.0</v>
      </c>
      <c r="AK80" s="208">
        <v>6.0</v>
      </c>
      <c r="AL80" s="208">
        <v>24850.0</v>
      </c>
      <c r="AM80" s="208">
        <v>0.0</v>
      </c>
      <c r="AN80" s="208">
        <v>0.0054</v>
      </c>
      <c r="AO80" s="208">
        <v>220576.0</v>
      </c>
      <c r="AP80" s="208">
        <v>1.03</v>
      </c>
      <c r="AQ80" s="208">
        <v>0.0</v>
      </c>
      <c r="AR80" s="208">
        <v>37.0</v>
      </c>
      <c r="AS80" s="208">
        <v>758.0</v>
      </c>
      <c r="AT80" s="208">
        <v>4438.38</v>
      </c>
      <c r="AU80" s="208">
        <v>4.0</v>
      </c>
      <c r="AV80" s="208">
        <v>81.0</v>
      </c>
      <c r="AW80" s="208">
        <v>21.0</v>
      </c>
      <c r="AX80" s="208">
        <v>34.0</v>
      </c>
      <c r="AY80" s="208">
        <v>11.0</v>
      </c>
    </row>
    <row r="81">
      <c r="A81" s="208" t="s">
        <v>185</v>
      </c>
      <c r="B81" s="533" t="s">
        <v>212</v>
      </c>
      <c r="C81" s="208" t="s">
        <v>744</v>
      </c>
      <c r="D81" s="208" t="s">
        <v>1031</v>
      </c>
      <c r="E81" s="208" t="s">
        <v>219</v>
      </c>
      <c r="F81" s="587">
        <v>45058.0</v>
      </c>
      <c r="G81" s="208" t="s">
        <v>218</v>
      </c>
      <c r="H81" s="208">
        <v>0.0</v>
      </c>
      <c r="I81" s="208">
        <v>6000000.0</v>
      </c>
      <c r="J81" s="208">
        <v>2461941.13</v>
      </c>
      <c r="K81" s="208">
        <v>0.0</v>
      </c>
      <c r="L81" s="536">
        <f t="shared" si="1"/>
        <v>2461941.13</v>
      </c>
      <c r="M81" s="208">
        <v>115.0</v>
      </c>
      <c r="N81" s="208">
        <v>88.0</v>
      </c>
      <c r="O81" s="208">
        <v>2.0</v>
      </c>
      <c r="P81" s="208">
        <v>117.0</v>
      </c>
      <c r="Q81" s="208">
        <v>29.0</v>
      </c>
      <c r="R81" s="208">
        <v>2429337.43</v>
      </c>
      <c r="S81" s="208">
        <v>32603.7</v>
      </c>
      <c r="T81" s="208">
        <v>34.0</v>
      </c>
      <c r="U81" s="208">
        <v>1.0</v>
      </c>
      <c r="V81" s="208">
        <v>35.0</v>
      </c>
      <c r="W81" s="208">
        <v>0.0</v>
      </c>
      <c r="X81" s="208">
        <v>39.0</v>
      </c>
      <c r="Y81" s="208">
        <v>44.0</v>
      </c>
      <c r="Z81" s="208">
        <v>349.0</v>
      </c>
      <c r="AA81" s="208">
        <v>1.0</v>
      </c>
      <c r="AB81" s="208">
        <v>29.0</v>
      </c>
      <c r="AC81" s="208">
        <v>0.0</v>
      </c>
      <c r="AD81" s="208">
        <v>0.0</v>
      </c>
      <c r="AE81" s="208">
        <v>0.0</v>
      </c>
      <c r="AF81" s="208">
        <v>0.0</v>
      </c>
      <c r="AG81" s="208">
        <v>217.0</v>
      </c>
      <c r="AH81" s="208">
        <v>290.0</v>
      </c>
      <c r="AI81" s="208">
        <v>68.0</v>
      </c>
      <c r="AJ81" s="208">
        <v>36205.0</v>
      </c>
      <c r="AK81" s="208">
        <v>4.0</v>
      </c>
      <c r="AL81" s="208">
        <v>30770.0</v>
      </c>
      <c r="AM81" s="208">
        <v>0.0</v>
      </c>
      <c r="AN81" s="208">
        <v>0.0125</v>
      </c>
      <c r="AO81" s="208">
        <v>70341.0</v>
      </c>
      <c r="AP81" s="208">
        <v>0.41</v>
      </c>
      <c r="AQ81" s="208">
        <v>0.0</v>
      </c>
      <c r="AR81" s="208">
        <v>47.0</v>
      </c>
      <c r="AS81" s="208">
        <v>691.0</v>
      </c>
      <c r="AT81" s="208">
        <v>2177.52</v>
      </c>
      <c r="AU81" s="208">
        <v>1.0</v>
      </c>
      <c r="AV81" s="208">
        <v>25.0</v>
      </c>
      <c r="AW81" s="208">
        <v>35.0</v>
      </c>
      <c r="AX81" s="208">
        <v>54.0</v>
      </c>
      <c r="AY81" s="208">
        <v>28.0</v>
      </c>
    </row>
    <row r="82">
      <c r="A82" s="208" t="s">
        <v>53</v>
      </c>
      <c r="B82" s="533" t="s">
        <v>61</v>
      </c>
      <c r="C82" s="208" t="s">
        <v>746</v>
      </c>
      <c r="D82" s="208" t="s">
        <v>1077</v>
      </c>
      <c r="E82" s="208" t="s">
        <v>60</v>
      </c>
      <c r="F82" s="587">
        <v>45061.0</v>
      </c>
      <c r="G82" s="208" t="s">
        <v>754</v>
      </c>
      <c r="H82" s="208">
        <v>0.0</v>
      </c>
      <c r="I82" s="208">
        <v>4300000.0</v>
      </c>
      <c r="J82" s="208">
        <v>3504803.15</v>
      </c>
      <c r="K82" s="208">
        <v>0.0</v>
      </c>
      <c r="L82" s="536">
        <f t="shared" si="1"/>
        <v>3504803.15</v>
      </c>
      <c r="M82" s="208">
        <v>124.0</v>
      </c>
      <c r="N82" s="208">
        <v>96.0</v>
      </c>
      <c r="O82" s="208">
        <v>5.0</v>
      </c>
      <c r="P82" s="208">
        <v>129.0</v>
      </c>
      <c r="Q82" s="208">
        <v>33.0</v>
      </c>
      <c r="R82" s="208">
        <v>3018622.57</v>
      </c>
      <c r="S82" s="208">
        <v>486180.58</v>
      </c>
      <c r="T82" s="208">
        <v>39.0</v>
      </c>
      <c r="U82" s="208">
        <v>5.0</v>
      </c>
      <c r="V82" s="208">
        <v>44.0</v>
      </c>
      <c r="W82" s="208">
        <v>0.0</v>
      </c>
      <c r="X82" s="208">
        <v>65.0</v>
      </c>
      <c r="Y82" s="208">
        <v>83.0</v>
      </c>
      <c r="Z82" s="208">
        <v>429.0</v>
      </c>
      <c r="AA82" s="208">
        <v>2.0</v>
      </c>
      <c r="AB82" s="208">
        <v>19.0</v>
      </c>
      <c r="AC82" s="208">
        <v>0.0</v>
      </c>
      <c r="AD82" s="208">
        <v>0.0</v>
      </c>
      <c r="AE82" s="208">
        <v>2.0</v>
      </c>
      <c r="AF82" s="208">
        <v>4.0</v>
      </c>
      <c r="AG82" s="208">
        <v>403.0</v>
      </c>
      <c r="AH82" s="208">
        <v>509.0</v>
      </c>
      <c r="AI82" s="208">
        <v>70.0</v>
      </c>
      <c r="AJ82" s="208">
        <v>50069.0</v>
      </c>
      <c r="AK82" s="208">
        <v>7.0</v>
      </c>
      <c r="AL82" s="208">
        <v>34135.0</v>
      </c>
      <c r="AM82" s="208">
        <v>0.0</v>
      </c>
      <c r="AN82" s="208">
        <v>0.0097</v>
      </c>
      <c r="AO82" s="208">
        <v>79655.0</v>
      </c>
      <c r="AP82" s="208">
        <v>0.82</v>
      </c>
      <c r="AQ82" s="208">
        <v>0.0</v>
      </c>
      <c r="AR82" s="208">
        <v>85.0</v>
      </c>
      <c r="AS82" s="208">
        <v>765.0</v>
      </c>
      <c r="AT82" s="208">
        <v>6151.62</v>
      </c>
      <c r="AU82" s="208">
        <v>5.0</v>
      </c>
      <c r="AV82" s="208">
        <v>64.0</v>
      </c>
      <c r="AW82" s="208">
        <v>44.0</v>
      </c>
      <c r="AX82" s="208">
        <v>52.0</v>
      </c>
      <c r="AY82" s="208">
        <v>33.0</v>
      </c>
    </row>
    <row r="83">
      <c r="A83" s="208" t="s">
        <v>185</v>
      </c>
      <c r="B83" s="533" t="s">
        <v>189</v>
      </c>
      <c r="C83" s="208" t="s">
        <v>747</v>
      </c>
      <c r="D83" s="208" t="s">
        <v>1016</v>
      </c>
      <c r="E83" s="208" t="s">
        <v>1078</v>
      </c>
      <c r="F83" s="587">
        <v>45069.0</v>
      </c>
      <c r="G83" s="208" t="s">
        <v>202</v>
      </c>
      <c r="H83" s="208">
        <v>0.0</v>
      </c>
      <c r="I83" s="208">
        <v>4500000.0</v>
      </c>
      <c r="J83" s="208">
        <v>3432294.47</v>
      </c>
      <c r="K83" s="208">
        <v>0.0</v>
      </c>
      <c r="L83" s="536">
        <f t="shared" si="1"/>
        <v>3432294.47</v>
      </c>
      <c r="M83" s="208">
        <v>43.0</v>
      </c>
      <c r="N83" s="208">
        <v>36.0</v>
      </c>
      <c r="O83" s="208">
        <v>2.0</v>
      </c>
      <c r="P83" s="208">
        <v>45.0</v>
      </c>
      <c r="Q83" s="208">
        <v>9.0</v>
      </c>
      <c r="R83" s="208">
        <v>2719931.36</v>
      </c>
      <c r="S83" s="208">
        <v>712363.11</v>
      </c>
      <c r="T83" s="208">
        <v>13.0</v>
      </c>
      <c r="U83" s="208">
        <v>2.0</v>
      </c>
      <c r="V83" s="208">
        <v>15.0</v>
      </c>
      <c r="W83" s="208">
        <v>0.0</v>
      </c>
      <c r="X83" s="208">
        <v>10.0</v>
      </c>
      <c r="Y83" s="208">
        <v>23.0</v>
      </c>
      <c r="Z83" s="208">
        <v>87.0</v>
      </c>
      <c r="AA83" s="208">
        <v>1.0</v>
      </c>
      <c r="AB83" s="208">
        <v>4.0</v>
      </c>
      <c r="AC83" s="208">
        <v>0.0</v>
      </c>
      <c r="AD83" s="208">
        <v>0.0</v>
      </c>
      <c r="AE83" s="208">
        <v>0.0</v>
      </c>
      <c r="AF83" s="208">
        <v>0.0</v>
      </c>
      <c r="AG83" s="208">
        <v>337.0</v>
      </c>
      <c r="AH83" s="208">
        <v>364.0</v>
      </c>
      <c r="AI83" s="208">
        <v>73.0</v>
      </c>
      <c r="AJ83" s="208">
        <v>47018.0</v>
      </c>
      <c r="AK83" s="208">
        <v>5.0</v>
      </c>
      <c r="AL83" s="208">
        <v>29042.0</v>
      </c>
      <c r="AM83" s="208">
        <v>0.0</v>
      </c>
      <c r="AN83" s="208">
        <v>0.0085</v>
      </c>
      <c r="AO83" s="208">
        <v>228820.0</v>
      </c>
      <c r="AP83" s="208">
        <v>0.76</v>
      </c>
      <c r="AQ83" s="208">
        <v>0.0</v>
      </c>
      <c r="AR83" s="208">
        <v>54.0</v>
      </c>
      <c r="AS83" s="208">
        <v>824.0</v>
      </c>
      <c r="AT83" s="208">
        <v>4059.57</v>
      </c>
      <c r="AU83" s="208">
        <v>2.0</v>
      </c>
      <c r="AV83" s="208">
        <v>113.0</v>
      </c>
      <c r="AW83" s="208">
        <v>15.0</v>
      </c>
      <c r="AX83" s="208">
        <v>21.0</v>
      </c>
      <c r="AY83" s="208">
        <v>9.0</v>
      </c>
    </row>
    <row r="84">
      <c r="A84" s="208" t="s">
        <v>185</v>
      </c>
      <c r="B84" s="533" t="s">
        <v>189</v>
      </c>
      <c r="C84" s="208" t="s">
        <v>240</v>
      </c>
      <c r="D84" s="208" t="s">
        <v>1016</v>
      </c>
      <c r="E84" s="208" t="s">
        <v>187</v>
      </c>
      <c r="F84" s="587">
        <v>45069.0</v>
      </c>
      <c r="G84" s="208" t="s">
        <v>186</v>
      </c>
      <c r="H84" s="208">
        <v>0.0</v>
      </c>
      <c r="I84" s="208">
        <v>4500000.0</v>
      </c>
      <c r="J84" s="208">
        <v>3538005.8</v>
      </c>
      <c r="K84" s="208">
        <v>0.0</v>
      </c>
      <c r="L84" s="536">
        <f t="shared" si="1"/>
        <v>3538005.8</v>
      </c>
      <c r="M84" s="208">
        <v>124.0</v>
      </c>
      <c r="N84" s="208">
        <v>106.0</v>
      </c>
      <c r="O84" s="208">
        <v>4.0</v>
      </c>
      <c r="P84" s="208">
        <v>128.0</v>
      </c>
      <c r="Q84" s="208">
        <v>22.0</v>
      </c>
      <c r="R84" s="208">
        <v>3474732.2</v>
      </c>
      <c r="S84" s="208">
        <v>63273.6</v>
      </c>
      <c r="T84" s="208">
        <v>74.0</v>
      </c>
      <c r="U84" s="208">
        <v>1.0</v>
      </c>
      <c r="V84" s="208">
        <v>75.0</v>
      </c>
      <c r="W84" s="208">
        <v>0.0</v>
      </c>
      <c r="X84" s="208">
        <v>1.0</v>
      </c>
      <c r="Y84" s="208">
        <v>1.0</v>
      </c>
      <c r="Z84" s="208">
        <v>73.0</v>
      </c>
      <c r="AA84" s="208">
        <v>1.0</v>
      </c>
      <c r="AB84" s="208">
        <v>16.0</v>
      </c>
      <c r="AC84" s="208">
        <v>0.0</v>
      </c>
      <c r="AD84" s="208">
        <v>0.0</v>
      </c>
      <c r="AE84" s="208">
        <v>0.0</v>
      </c>
      <c r="AF84" s="208">
        <v>0.0</v>
      </c>
      <c r="AG84" s="208">
        <v>399.0</v>
      </c>
      <c r="AH84" s="208">
        <v>416.0</v>
      </c>
      <c r="AI84" s="208">
        <v>74.0</v>
      </c>
      <c r="AJ84" s="208">
        <v>47811.0</v>
      </c>
      <c r="AK84" s="208">
        <v>6.0</v>
      </c>
      <c r="AL84" s="208">
        <v>25212.0</v>
      </c>
      <c r="AM84" s="208">
        <v>0.0</v>
      </c>
      <c r="AN84" s="208">
        <v>0.0071</v>
      </c>
      <c r="AO84" s="208">
        <v>47173.0</v>
      </c>
      <c r="AP84" s="208">
        <v>0.79</v>
      </c>
      <c r="AQ84" s="208">
        <v>0.0</v>
      </c>
      <c r="AR84" s="208">
        <v>144.0</v>
      </c>
      <c r="AS84" s="208">
        <v>800.0</v>
      </c>
      <c r="AT84" s="208">
        <v>4319.96</v>
      </c>
      <c r="AU84" s="208">
        <v>1.0</v>
      </c>
      <c r="AV84" s="208">
        <v>41.0</v>
      </c>
      <c r="AW84" s="208">
        <v>75.0</v>
      </c>
      <c r="AX84" s="208">
        <v>34.0</v>
      </c>
      <c r="AY84" s="208">
        <v>19.0</v>
      </c>
    </row>
    <row r="85">
      <c r="A85" s="208" t="s">
        <v>185</v>
      </c>
      <c r="B85" s="533" t="s">
        <v>117</v>
      </c>
      <c r="C85" s="208" t="s">
        <v>428</v>
      </c>
      <c r="D85" s="208" t="s">
        <v>1044</v>
      </c>
      <c r="E85" s="208" t="s">
        <v>429</v>
      </c>
      <c r="F85" s="587">
        <v>45071.0</v>
      </c>
      <c r="G85" s="208" t="s">
        <v>111</v>
      </c>
      <c r="H85" s="208">
        <v>0.0</v>
      </c>
      <c r="I85" s="208">
        <v>0.0</v>
      </c>
      <c r="J85" s="208">
        <v>0.0</v>
      </c>
      <c r="K85" s="208">
        <v>0.0</v>
      </c>
      <c r="L85" s="536">
        <f t="shared" si="1"/>
        <v>0</v>
      </c>
      <c r="M85" s="208">
        <v>57.0</v>
      </c>
      <c r="N85" s="208">
        <v>0.0</v>
      </c>
      <c r="O85" s="208">
        <v>1.0</v>
      </c>
      <c r="P85" s="208">
        <v>58.0</v>
      </c>
      <c r="Q85" s="208">
        <v>58.0</v>
      </c>
      <c r="R85" s="208">
        <v>0.0</v>
      </c>
      <c r="S85" s="208">
        <v>0.0</v>
      </c>
      <c r="T85" s="208">
        <v>0.0</v>
      </c>
      <c r="U85" s="208">
        <v>0.0</v>
      </c>
      <c r="V85" s="208">
        <v>0.0</v>
      </c>
      <c r="W85" s="208">
        <v>0.0</v>
      </c>
      <c r="X85" s="208">
        <v>0.0</v>
      </c>
      <c r="Y85" s="208">
        <v>0.0</v>
      </c>
      <c r="Z85" s="208">
        <v>217.0</v>
      </c>
      <c r="AA85" s="208">
        <v>0.0</v>
      </c>
      <c r="AB85" s="208">
        <v>0.0</v>
      </c>
      <c r="AC85" s="208">
        <v>0.0</v>
      </c>
      <c r="AD85" s="208">
        <v>0.0</v>
      </c>
      <c r="AE85" s="208">
        <v>0.0</v>
      </c>
      <c r="AF85" s="208">
        <v>0.0</v>
      </c>
      <c r="AG85" s="208">
        <v>0.0</v>
      </c>
      <c r="AH85" s="208">
        <v>0.0</v>
      </c>
      <c r="AI85" s="208">
        <v>0.0</v>
      </c>
      <c r="AJ85" s="208">
        <v>0.0</v>
      </c>
      <c r="AK85" s="208">
        <v>0.0</v>
      </c>
      <c r="AL85" s="208">
        <v>37094.0</v>
      </c>
      <c r="AM85" s="208">
        <v>0.0</v>
      </c>
      <c r="AN85" s="208">
        <v>0.0</v>
      </c>
      <c r="AO85" s="208">
        <v>0.0</v>
      </c>
      <c r="AP85" s="208">
        <v>0.0</v>
      </c>
      <c r="AQ85" s="208">
        <v>0.0</v>
      </c>
      <c r="AR85" s="208">
        <v>0.0</v>
      </c>
      <c r="AS85" s="208">
        <v>0.0</v>
      </c>
      <c r="AT85" s="208">
        <v>0.0</v>
      </c>
      <c r="AU85" s="208">
        <v>0.0</v>
      </c>
      <c r="AV85" s="208">
        <v>0.0</v>
      </c>
      <c r="AW85" s="208">
        <v>0.0</v>
      </c>
      <c r="AX85" s="208">
        <v>0.0</v>
      </c>
      <c r="AY85" s="208">
        <v>58.0</v>
      </c>
      <c r="AZ85" s="587">
        <v>45808.0</v>
      </c>
    </row>
    <row r="86">
      <c r="A86" s="208" t="s">
        <v>73</v>
      </c>
      <c r="B86" s="533" t="s">
        <v>1229</v>
      </c>
      <c r="C86" s="208" t="s">
        <v>77</v>
      </c>
      <c r="D86" s="208" t="s">
        <v>76</v>
      </c>
      <c r="E86" s="208" t="s">
        <v>78</v>
      </c>
      <c r="F86" s="587">
        <v>45068.0</v>
      </c>
      <c r="G86" s="208" t="s">
        <v>73</v>
      </c>
      <c r="H86" s="208">
        <v>375000.0</v>
      </c>
      <c r="I86" s="208">
        <v>6000000.0</v>
      </c>
      <c r="J86" s="208">
        <v>1485106.15</v>
      </c>
      <c r="K86" s="208">
        <v>2352594.47</v>
      </c>
      <c r="L86" s="536">
        <f t="shared" si="1"/>
        <v>3837700.62</v>
      </c>
      <c r="M86" s="208">
        <v>48.0</v>
      </c>
      <c r="N86" s="208">
        <v>30.0</v>
      </c>
      <c r="O86" s="208">
        <v>0.0</v>
      </c>
      <c r="P86" s="208">
        <v>48.0</v>
      </c>
      <c r="Q86" s="208">
        <v>18.0</v>
      </c>
      <c r="R86" s="208">
        <v>1485106.15</v>
      </c>
      <c r="S86" s="208">
        <v>0.0</v>
      </c>
      <c r="T86" s="208">
        <v>19.0</v>
      </c>
      <c r="U86" s="208">
        <v>0.0</v>
      </c>
      <c r="V86" s="208">
        <v>19.0</v>
      </c>
      <c r="W86" s="208">
        <v>8.0</v>
      </c>
      <c r="X86" s="208">
        <v>11.0</v>
      </c>
      <c r="Y86" s="208">
        <v>28.0</v>
      </c>
      <c r="Z86" s="208">
        <v>141.0</v>
      </c>
      <c r="AA86" s="208">
        <v>7.0</v>
      </c>
      <c r="AB86" s="208">
        <v>25.0</v>
      </c>
      <c r="AC86" s="208">
        <v>9.0</v>
      </c>
      <c r="AD86" s="208">
        <v>62.0</v>
      </c>
      <c r="AE86" s="208">
        <v>5.0</v>
      </c>
      <c r="AF86" s="208">
        <v>11.0</v>
      </c>
      <c r="AG86" s="208">
        <v>119.0</v>
      </c>
      <c r="AH86" s="208">
        <v>245.0</v>
      </c>
      <c r="AI86" s="208">
        <v>77.0</v>
      </c>
      <c r="AJ86" s="208">
        <v>19287.0</v>
      </c>
      <c r="AK86" s="208">
        <v>3.0</v>
      </c>
      <c r="AL86" s="208">
        <v>34661.0</v>
      </c>
      <c r="AM86" s="208">
        <v>0.0</v>
      </c>
      <c r="AN86" s="208">
        <v>0.0233</v>
      </c>
      <c r="AO86" s="208">
        <v>78163.0</v>
      </c>
      <c r="AP86" s="208">
        <v>0.25</v>
      </c>
      <c r="AQ86" s="208">
        <v>6.27</v>
      </c>
      <c r="AR86" s="208">
        <v>31.0</v>
      </c>
      <c r="AS86" s="208">
        <v>622.0</v>
      </c>
      <c r="AT86" s="208">
        <v>2572.98</v>
      </c>
      <c r="AU86" s="208">
        <v>0.0</v>
      </c>
      <c r="AV86" s="208">
        <v>86.0</v>
      </c>
      <c r="AW86" s="208">
        <v>19.0</v>
      </c>
      <c r="AX86" s="208">
        <v>11.0</v>
      </c>
      <c r="AY86" s="208">
        <v>18.0</v>
      </c>
    </row>
    <row r="87">
      <c r="A87" s="208" t="s">
        <v>53</v>
      </c>
      <c r="B87" s="533" t="s">
        <v>61</v>
      </c>
      <c r="C87" s="208" t="s">
        <v>363</v>
      </c>
      <c r="D87" s="208" t="s">
        <v>1077</v>
      </c>
      <c r="E87" s="208" t="s">
        <v>60</v>
      </c>
      <c r="F87" s="585">
        <v>45079.0</v>
      </c>
      <c r="G87" s="208" t="s">
        <v>754</v>
      </c>
      <c r="H87" s="208">
        <v>0.0</v>
      </c>
      <c r="I87" s="208">
        <v>0.0</v>
      </c>
      <c r="J87" s="208">
        <v>0.0</v>
      </c>
      <c r="K87" s="208">
        <v>0.0</v>
      </c>
      <c r="L87" s="536">
        <f t="shared" si="1"/>
        <v>0</v>
      </c>
      <c r="M87" s="208">
        <v>80.0</v>
      </c>
      <c r="N87" s="208">
        <v>0.0</v>
      </c>
      <c r="O87" s="208">
        <v>3.0</v>
      </c>
      <c r="P87" s="208">
        <v>83.0</v>
      </c>
      <c r="Q87" s="208">
        <v>83.0</v>
      </c>
      <c r="R87" s="208">
        <v>0.0</v>
      </c>
      <c r="S87" s="208">
        <v>0.0</v>
      </c>
      <c r="T87" s="208">
        <v>0.0</v>
      </c>
      <c r="U87" s="208">
        <v>0.0</v>
      </c>
      <c r="V87" s="208">
        <v>0.0</v>
      </c>
      <c r="W87" s="208">
        <v>0.0</v>
      </c>
      <c r="X87" s="208">
        <v>0.0</v>
      </c>
      <c r="Y87" s="208">
        <v>0.0</v>
      </c>
      <c r="Z87" s="208">
        <v>621.0</v>
      </c>
      <c r="AA87" s="208">
        <v>0.0</v>
      </c>
      <c r="AB87" s="208">
        <v>0.0</v>
      </c>
      <c r="AC87" s="208">
        <v>0.0</v>
      </c>
      <c r="AD87" s="208">
        <v>0.0</v>
      </c>
      <c r="AE87" s="208">
        <v>0.0</v>
      </c>
      <c r="AF87" s="208">
        <v>0.0</v>
      </c>
      <c r="AG87" s="208">
        <v>0.0</v>
      </c>
      <c r="AH87" s="208">
        <v>0.0</v>
      </c>
      <c r="AI87" s="208">
        <v>0.0</v>
      </c>
      <c r="AJ87" s="208">
        <v>0.0</v>
      </c>
      <c r="AK87" s="208">
        <v>0.0</v>
      </c>
      <c r="AL87" s="208">
        <v>35853.0</v>
      </c>
      <c r="AM87" s="208">
        <v>0.0</v>
      </c>
      <c r="AN87" s="208">
        <v>0.0</v>
      </c>
      <c r="AO87" s="208">
        <v>0.0</v>
      </c>
      <c r="AP87" s="208">
        <v>0.0</v>
      </c>
      <c r="AQ87" s="208">
        <v>0.0</v>
      </c>
      <c r="AR87" s="208">
        <v>0.0</v>
      </c>
      <c r="AS87" s="208">
        <v>0.0</v>
      </c>
      <c r="AT87" s="208">
        <v>0.0</v>
      </c>
      <c r="AU87" s="208">
        <v>0.0</v>
      </c>
      <c r="AV87" s="208">
        <v>0.0</v>
      </c>
      <c r="AW87" s="208">
        <v>0.0</v>
      </c>
      <c r="AX87" s="208">
        <v>0.0</v>
      </c>
      <c r="AY87" s="208">
        <v>83.0</v>
      </c>
      <c r="AZ87" s="587">
        <v>45794.0</v>
      </c>
    </row>
    <row r="88">
      <c r="A88" s="208" t="s">
        <v>53</v>
      </c>
      <c r="B88" s="533" t="s">
        <v>56</v>
      </c>
      <c r="C88" s="208" t="s">
        <v>54</v>
      </c>
      <c r="D88" s="208" t="s">
        <v>1092</v>
      </c>
      <c r="E88" s="208" t="s">
        <v>55</v>
      </c>
      <c r="F88" s="587">
        <v>45428.0</v>
      </c>
      <c r="G88" s="208" t="s">
        <v>754</v>
      </c>
      <c r="H88" s="208">
        <v>0.0</v>
      </c>
      <c r="I88" s="208">
        <v>2800000.0</v>
      </c>
      <c r="J88" s="208">
        <v>1348727.97</v>
      </c>
      <c r="K88" s="208">
        <v>0.0</v>
      </c>
      <c r="L88" s="536">
        <f t="shared" si="1"/>
        <v>1348727.97</v>
      </c>
      <c r="M88" s="208">
        <v>89.0</v>
      </c>
      <c r="N88" s="208">
        <v>67.0</v>
      </c>
      <c r="O88" s="208">
        <v>3.0</v>
      </c>
      <c r="P88" s="208">
        <v>92.0</v>
      </c>
      <c r="Q88" s="208">
        <v>25.0</v>
      </c>
      <c r="R88" s="208">
        <v>1226013.31</v>
      </c>
      <c r="S88" s="208">
        <v>122714.66</v>
      </c>
      <c r="T88" s="208">
        <v>31.0</v>
      </c>
      <c r="U88" s="208">
        <v>2.0</v>
      </c>
      <c r="V88" s="208">
        <v>33.0</v>
      </c>
      <c r="W88" s="208">
        <v>0.0</v>
      </c>
      <c r="X88" s="208">
        <v>55.0</v>
      </c>
      <c r="Y88" s="208">
        <v>89.0</v>
      </c>
      <c r="Z88" s="208">
        <v>453.0</v>
      </c>
      <c r="AA88" s="208">
        <v>2.0</v>
      </c>
      <c r="AB88" s="208">
        <v>42.0</v>
      </c>
      <c r="AC88" s="208">
        <v>0.0</v>
      </c>
      <c r="AD88" s="208">
        <v>0.0</v>
      </c>
      <c r="AE88" s="208">
        <v>0.0</v>
      </c>
      <c r="AF88" s="208">
        <v>0.0</v>
      </c>
      <c r="AG88" s="208">
        <v>323.0</v>
      </c>
      <c r="AH88" s="208">
        <v>454.0</v>
      </c>
      <c r="AI88" s="208">
        <v>70.0</v>
      </c>
      <c r="AJ88" s="208">
        <v>19268.0</v>
      </c>
      <c r="AK88" s="208">
        <v>6.0</v>
      </c>
      <c r="AL88" s="208">
        <v>26526.0</v>
      </c>
      <c r="AM88" s="208">
        <v>0.0</v>
      </c>
      <c r="AN88" s="208">
        <v>0.0197</v>
      </c>
      <c r="AO88" s="208">
        <v>40871.0</v>
      </c>
      <c r="AP88" s="208">
        <v>0.48</v>
      </c>
      <c r="AQ88" s="208">
        <v>0.0</v>
      </c>
      <c r="AR88" s="208">
        <v>53.0</v>
      </c>
      <c r="AS88" s="208">
        <v>726.0</v>
      </c>
      <c r="AT88" s="208">
        <v>4699.38</v>
      </c>
      <c r="AU88" s="208">
        <v>2.0</v>
      </c>
      <c r="AV88" s="208">
        <v>70.0</v>
      </c>
      <c r="AW88" s="208">
        <v>33.0</v>
      </c>
      <c r="AX88" s="208">
        <v>35.0</v>
      </c>
      <c r="AY88" s="208">
        <v>24.0</v>
      </c>
    </row>
    <row r="89">
      <c r="A89" s="208" t="s">
        <v>126</v>
      </c>
      <c r="B89" s="533" t="s">
        <v>130</v>
      </c>
      <c r="C89" s="208" t="s">
        <v>152</v>
      </c>
      <c r="D89" s="208" t="s">
        <v>130</v>
      </c>
      <c r="E89" s="208" t="s">
        <v>153</v>
      </c>
      <c r="F89" s="585">
        <v>45080.0</v>
      </c>
      <c r="G89" s="208" t="s">
        <v>580</v>
      </c>
      <c r="H89" s="208">
        <v>1200000.0</v>
      </c>
      <c r="I89" s="208">
        <v>6300000.0</v>
      </c>
      <c r="J89" s="208">
        <v>4137748.47</v>
      </c>
      <c r="K89" s="208">
        <v>1804795.25</v>
      </c>
      <c r="L89" s="536">
        <f t="shared" si="1"/>
        <v>5942543.72</v>
      </c>
      <c r="M89" s="208">
        <v>122.0</v>
      </c>
      <c r="N89" s="208">
        <v>92.0</v>
      </c>
      <c r="O89" s="208">
        <v>5.0</v>
      </c>
      <c r="P89" s="208">
        <v>127.0</v>
      </c>
      <c r="Q89" s="208">
        <v>35.0</v>
      </c>
      <c r="R89" s="208">
        <v>3987983.43</v>
      </c>
      <c r="S89" s="208">
        <v>149765.04</v>
      </c>
      <c r="T89" s="208">
        <v>34.0</v>
      </c>
      <c r="U89" s="208">
        <v>4.0</v>
      </c>
      <c r="V89" s="208">
        <v>38.0</v>
      </c>
      <c r="W89" s="208">
        <v>5.0</v>
      </c>
      <c r="X89" s="208">
        <v>66.0</v>
      </c>
      <c r="Y89" s="208">
        <v>86.0</v>
      </c>
      <c r="Z89" s="208">
        <v>248.0</v>
      </c>
      <c r="AA89" s="208">
        <v>4.0</v>
      </c>
      <c r="AB89" s="208">
        <v>22.0</v>
      </c>
      <c r="AC89" s="208">
        <v>6.0</v>
      </c>
      <c r="AD89" s="208">
        <v>33.0</v>
      </c>
      <c r="AE89" s="208">
        <v>0.0</v>
      </c>
      <c r="AF89" s="208">
        <v>0.0</v>
      </c>
      <c r="AG89" s="208">
        <v>358.0</v>
      </c>
      <c r="AH89" s="208">
        <v>499.0</v>
      </c>
      <c r="AI89" s="208">
        <v>74.0</v>
      </c>
      <c r="AJ89" s="208">
        <v>55916.0</v>
      </c>
      <c r="AK89" s="208">
        <v>7.0</v>
      </c>
      <c r="AL89" s="208">
        <v>31981.0</v>
      </c>
      <c r="AM89" s="208">
        <v>0.0</v>
      </c>
      <c r="AN89" s="208">
        <v>0.0077</v>
      </c>
      <c r="AO89" s="208">
        <v>108888.0</v>
      </c>
      <c r="AP89" s="208">
        <v>0.66</v>
      </c>
      <c r="AQ89" s="208">
        <v>1.5</v>
      </c>
      <c r="AR89" s="208">
        <v>78.0</v>
      </c>
      <c r="AS89" s="208">
        <v>793.0</v>
      </c>
      <c r="AT89" s="208">
        <v>5480.71</v>
      </c>
      <c r="AU89" s="208">
        <v>4.0</v>
      </c>
      <c r="AV89" s="208">
        <v>60.0</v>
      </c>
      <c r="AW89" s="208">
        <v>38.0</v>
      </c>
      <c r="AX89" s="208">
        <v>54.0</v>
      </c>
      <c r="AY89" s="208">
        <v>35.0</v>
      </c>
    </row>
    <row r="90">
      <c r="A90" s="208" t="s">
        <v>185</v>
      </c>
      <c r="B90" s="533" t="s">
        <v>189</v>
      </c>
      <c r="C90" s="208" t="s">
        <v>755</v>
      </c>
      <c r="D90" s="208" t="s">
        <v>1016</v>
      </c>
      <c r="E90" s="208" t="s">
        <v>1079</v>
      </c>
      <c r="F90" s="585">
        <v>45084.0</v>
      </c>
      <c r="G90" s="208" t="s">
        <v>186</v>
      </c>
      <c r="H90" s="208">
        <v>0.0</v>
      </c>
      <c r="I90" s="208">
        <v>2500000.0</v>
      </c>
      <c r="J90" s="208">
        <v>415524.77</v>
      </c>
      <c r="K90" s="208">
        <v>0.0</v>
      </c>
      <c r="L90" s="536">
        <f t="shared" si="1"/>
        <v>415524.77</v>
      </c>
      <c r="M90" s="208">
        <v>86.0</v>
      </c>
      <c r="N90" s="208">
        <v>58.0</v>
      </c>
      <c r="O90" s="208">
        <v>5.0</v>
      </c>
      <c r="P90" s="208">
        <v>91.0</v>
      </c>
      <c r="Q90" s="208">
        <v>33.0</v>
      </c>
      <c r="R90" s="208">
        <v>415524.77</v>
      </c>
      <c r="S90" s="208">
        <v>0.0</v>
      </c>
      <c r="T90" s="208">
        <v>8.0</v>
      </c>
      <c r="U90" s="208">
        <v>0.0</v>
      </c>
      <c r="V90" s="208">
        <v>8.0</v>
      </c>
      <c r="W90" s="208">
        <v>0.0</v>
      </c>
      <c r="X90" s="208">
        <v>20.0</v>
      </c>
      <c r="Y90" s="208">
        <v>26.0</v>
      </c>
      <c r="Z90" s="208">
        <v>163.0</v>
      </c>
      <c r="AA90" s="208">
        <v>1.0</v>
      </c>
      <c r="AB90" s="208">
        <v>2.0</v>
      </c>
      <c r="AC90" s="208">
        <v>0.0</v>
      </c>
      <c r="AD90" s="208">
        <v>0.0</v>
      </c>
      <c r="AE90" s="208">
        <v>0.0</v>
      </c>
      <c r="AF90" s="208">
        <v>0.0</v>
      </c>
      <c r="AG90" s="208">
        <v>95.0</v>
      </c>
      <c r="AH90" s="208">
        <v>123.0</v>
      </c>
      <c r="AI90" s="208">
        <v>21.0</v>
      </c>
      <c r="AJ90" s="208">
        <v>19787.0</v>
      </c>
      <c r="AK90" s="208">
        <v>6.0</v>
      </c>
      <c r="AL90" s="208">
        <v>25850.0</v>
      </c>
      <c r="AM90" s="208">
        <v>0.0</v>
      </c>
      <c r="AN90" s="208">
        <v>0.0622</v>
      </c>
      <c r="AO90" s="208">
        <v>51941.0</v>
      </c>
      <c r="AP90" s="208">
        <v>0.17</v>
      </c>
      <c r="AQ90" s="208">
        <v>0.0</v>
      </c>
      <c r="AR90" s="208">
        <v>8.0</v>
      </c>
      <c r="AS90" s="208">
        <v>166.0</v>
      </c>
      <c r="AT90" s="208">
        <v>2138.26</v>
      </c>
      <c r="AU90" s="208">
        <v>0.0</v>
      </c>
      <c r="AV90" s="208">
        <v>37.0</v>
      </c>
      <c r="AW90" s="208">
        <v>8.0</v>
      </c>
      <c r="AX90" s="208">
        <v>53.0</v>
      </c>
      <c r="AY90" s="208">
        <v>30.0</v>
      </c>
      <c r="AZ90" s="584">
        <v>45869.0</v>
      </c>
    </row>
    <row r="91">
      <c r="A91" s="208" t="s">
        <v>185</v>
      </c>
      <c r="B91" s="533" t="s">
        <v>222</v>
      </c>
      <c r="C91" s="208" t="s">
        <v>244</v>
      </c>
      <c r="D91" s="208" t="s">
        <v>1080</v>
      </c>
      <c r="E91" s="208" t="s">
        <v>245</v>
      </c>
      <c r="F91" s="585">
        <v>45108.0</v>
      </c>
      <c r="G91" s="208" t="s">
        <v>185</v>
      </c>
      <c r="H91" s="208">
        <v>0.0</v>
      </c>
      <c r="I91" s="208">
        <v>4500000.0</v>
      </c>
      <c r="J91" s="208">
        <v>3857277.01</v>
      </c>
      <c r="K91" s="208">
        <v>0.0</v>
      </c>
      <c r="L91" s="536">
        <f t="shared" si="1"/>
        <v>3857277.01</v>
      </c>
      <c r="M91" s="208">
        <v>67.0</v>
      </c>
      <c r="N91" s="208">
        <v>66.0</v>
      </c>
      <c r="O91" s="208">
        <v>5.0</v>
      </c>
      <c r="P91" s="208">
        <v>72.0</v>
      </c>
      <c r="Q91" s="208">
        <v>6.0</v>
      </c>
      <c r="R91" s="208">
        <v>2662730.82</v>
      </c>
      <c r="S91" s="208">
        <v>1194546.19</v>
      </c>
      <c r="T91" s="208">
        <v>28.0</v>
      </c>
      <c r="U91" s="208">
        <v>5.0</v>
      </c>
      <c r="V91" s="208">
        <v>33.0</v>
      </c>
      <c r="W91" s="208">
        <v>0.0</v>
      </c>
      <c r="X91" s="208">
        <v>51.0</v>
      </c>
      <c r="Y91" s="208">
        <v>82.0</v>
      </c>
      <c r="Z91" s="208">
        <v>257.0</v>
      </c>
      <c r="AA91" s="208">
        <v>0.0</v>
      </c>
      <c r="AB91" s="208">
        <v>0.0</v>
      </c>
      <c r="AC91" s="208">
        <v>0.0</v>
      </c>
      <c r="AD91" s="208">
        <v>0.0</v>
      </c>
      <c r="AE91" s="208">
        <v>0.0</v>
      </c>
      <c r="AF91" s="208">
        <v>0.0</v>
      </c>
      <c r="AG91" s="208">
        <v>369.0</v>
      </c>
      <c r="AH91" s="208">
        <v>451.0</v>
      </c>
      <c r="AI91" s="208">
        <v>76.0</v>
      </c>
      <c r="AJ91" s="208">
        <v>50754.0</v>
      </c>
      <c r="AK91" s="208">
        <v>6.0</v>
      </c>
      <c r="AL91" s="208">
        <v>27680.0</v>
      </c>
      <c r="AM91" s="208">
        <v>0.0</v>
      </c>
      <c r="AN91" s="208">
        <v>0.0072</v>
      </c>
      <c r="AO91" s="208">
        <v>116887.0</v>
      </c>
      <c r="AP91" s="208">
        <v>0.86</v>
      </c>
      <c r="AQ91" s="208">
        <v>0.0</v>
      </c>
      <c r="AR91" s="208">
        <v>47.0</v>
      </c>
      <c r="AS91" s="208">
        <v>819.0</v>
      </c>
      <c r="AT91" s="208">
        <v>7264.42</v>
      </c>
      <c r="AU91" s="208">
        <v>5.0</v>
      </c>
      <c r="AV91" s="208">
        <v>110.0</v>
      </c>
      <c r="AW91" s="208">
        <v>33.0</v>
      </c>
      <c r="AX91" s="208">
        <v>38.0</v>
      </c>
      <c r="AY91" s="208">
        <v>1.0</v>
      </c>
    </row>
    <row r="92">
      <c r="A92" s="208" t="s">
        <v>185</v>
      </c>
      <c r="B92" s="533" t="s">
        <v>189</v>
      </c>
      <c r="C92" s="208" t="s">
        <v>246</v>
      </c>
      <c r="D92" s="208" t="s">
        <v>1016</v>
      </c>
      <c r="E92" s="208" t="s">
        <v>247</v>
      </c>
      <c r="F92" s="585">
        <v>45108.0</v>
      </c>
      <c r="G92" s="208" t="s">
        <v>203</v>
      </c>
      <c r="H92" s="208">
        <v>0.0</v>
      </c>
      <c r="I92" s="208">
        <v>1.2E7</v>
      </c>
      <c r="J92" s="208">
        <v>1.065769155E7</v>
      </c>
      <c r="K92" s="208">
        <v>0.0</v>
      </c>
      <c r="L92" s="536">
        <f t="shared" si="1"/>
        <v>10657691.55</v>
      </c>
      <c r="M92" s="208">
        <v>143.0</v>
      </c>
      <c r="N92" s="208">
        <v>60.0</v>
      </c>
      <c r="O92" s="208">
        <v>4.0</v>
      </c>
      <c r="P92" s="208">
        <v>147.0</v>
      </c>
      <c r="Q92" s="208">
        <v>87.0</v>
      </c>
      <c r="R92" s="208">
        <v>1.013121695E7</v>
      </c>
      <c r="S92" s="208">
        <v>526474.6</v>
      </c>
      <c r="T92" s="208">
        <v>36.0</v>
      </c>
      <c r="U92" s="208">
        <v>3.0</v>
      </c>
      <c r="V92" s="208">
        <v>39.0</v>
      </c>
      <c r="W92" s="208">
        <v>0.0</v>
      </c>
      <c r="X92" s="208">
        <v>1.0</v>
      </c>
      <c r="Y92" s="208">
        <v>1.0</v>
      </c>
      <c r="Z92" s="208">
        <v>69.0</v>
      </c>
      <c r="AA92" s="208">
        <v>2.0</v>
      </c>
      <c r="AB92" s="208">
        <v>13.0</v>
      </c>
      <c r="AC92" s="208">
        <v>0.0</v>
      </c>
      <c r="AD92" s="208">
        <v>0.0</v>
      </c>
      <c r="AE92" s="208">
        <v>0.0</v>
      </c>
      <c r="AF92" s="208">
        <v>0.0</v>
      </c>
      <c r="AG92" s="208">
        <v>406.0</v>
      </c>
      <c r="AH92" s="208">
        <v>420.0</v>
      </c>
      <c r="AI92" s="208">
        <v>75.0</v>
      </c>
      <c r="AJ92" s="208">
        <v>142103.0</v>
      </c>
      <c r="AK92" s="208">
        <v>6.0</v>
      </c>
      <c r="AL92" s="208">
        <v>20520.0</v>
      </c>
      <c r="AM92" s="208">
        <v>0.0</v>
      </c>
      <c r="AN92" s="208">
        <v>0.0019</v>
      </c>
      <c r="AO92" s="208">
        <v>273274.0</v>
      </c>
      <c r="AP92" s="208">
        <v>0.89</v>
      </c>
      <c r="AQ92" s="208">
        <v>0.0</v>
      </c>
      <c r="AR92" s="208">
        <v>84.0</v>
      </c>
      <c r="AS92" s="208">
        <v>752.0</v>
      </c>
      <c r="AT92" s="208">
        <v>2682.71</v>
      </c>
      <c r="AU92" s="208">
        <v>3.0</v>
      </c>
      <c r="AV92" s="208">
        <v>45.0</v>
      </c>
      <c r="AW92" s="208">
        <v>39.0</v>
      </c>
      <c r="AX92" s="208">
        <v>21.0</v>
      </c>
      <c r="AY92" s="208">
        <v>87.0</v>
      </c>
    </row>
    <row r="93">
      <c r="A93" s="208" t="s">
        <v>185</v>
      </c>
      <c r="B93" s="533" t="s">
        <v>189</v>
      </c>
      <c r="C93" s="208" t="s">
        <v>248</v>
      </c>
      <c r="D93" s="208" t="s">
        <v>1016</v>
      </c>
      <c r="E93" s="208" t="s">
        <v>192</v>
      </c>
      <c r="F93" s="584">
        <v>45117.0</v>
      </c>
      <c r="G93" s="208" t="s">
        <v>202</v>
      </c>
      <c r="H93" s="208">
        <v>0.0</v>
      </c>
      <c r="I93" s="208">
        <v>4500000.0</v>
      </c>
      <c r="J93" s="208">
        <v>3736888.05</v>
      </c>
      <c r="K93" s="208">
        <v>0.0</v>
      </c>
      <c r="L93" s="536">
        <f t="shared" si="1"/>
        <v>3736888.05</v>
      </c>
      <c r="M93" s="208">
        <v>63.0</v>
      </c>
      <c r="N93" s="208">
        <v>52.0</v>
      </c>
      <c r="O93" s="208">
        <v>7.0</v>
      </c>
      <c r="P93" s="208">
        <v>70.0</v>
      </c>
      <c r="Q93" s="208">
        <v>18.0</v>
      </c>
      <c r="R93" s="208">
        <v>3271848.68</v>
      </c>
      <c r="S93" s="208">
        <v>465039.37</v>
      </c>
      <c r="T93" s="208">
        <v>29.0</v>
      </c>
      <c r="U93" s="208">
        <v>7.0</v>
      </c>
      <c r="V93" s="208">
        <v>36.0</v>
      </c>
      <c r="W93" s="208">
        <v>0.0</v>
      </c>
      <c r="X93" s="208">
        <v>8.0</v>
      </c>
      <c r="Y93" s="208">
        <v>14.0</v>
      </c>
      <c r="Z93" s="208">
        <v>64.0</v>
      </c>
      <c r="AA93" s="208">
        <v>1.0</v>
      </c>
      <c r="AB93" s="208">
        <v>11.0</v>
      </c>
      <c r="AC93" s="208">
        <v>0.0</v>
      </c>
      <c r="AD93" s="208">
        <v>0.0</v>
      </c>
      <c r="AE93" s="208">
        <v>0.0</v>
      </c>
      <c r="AF93" s="208">
        <v>0.0</v>
      </c>
      <c r="AG93" s="208">
        <v>398.0</v>
      </c>
      <c r="AH93" s="208">
        <v>423.0</v>
      </c>
      <c r="AI93" s="208">
        <v>74.0</v>
      </c>
      <c r="AJ93" s="208">
        <v>50498.0</v>
      </c>
      <c r="AK93" s="208">
        <v>6.0</v>
      </c>
      <c r="AL93" s="208">
        <v>24356.0</v>
      </c>
      <c r="AM93" s="208">
        <v>0.0</v>
      </c>
      <c r="AN93" s="208">
        <v>0.0065</v>
      </c>
      <c r="AO93" s="208">
        <v>103802.0</v>
      </c>
      <c r="AP93" s="208">
        <v>0.83</v>
      </c>
      <c r="AQ93" s="208">
        <v>0.0</v>
      </c>
      <c r="AR93" s="208">
        <v>99.0</v>
      </c>
      <c r="AS93" s="208">
        <v>799.0</v>
      </c>
      <c r="AT93" s="208">
        <v>4516.77</v>
      </c>
      <c r="AU93" s="208">
        <v>7.0</v>
      </c>
      <c r="AV93" s="208">
        <v>87.0</v>
      </c>
      <c r="AW93" s="208">
        <v>36.0</v>
      </c>
      <c r="AX93" s="208">
        <v>16.0</v>
      </c>
      <c r="AY93" s="208">
        <v>18.0</v>
      </c>
    </row>
    <row r="94">
      <c r="A94" s="208" t="s">
        <v>126</v>
      </c>
      <c r="B94" s="533" t="s">
        <v>301</v>
      </c>
      <c r="C94" s="208" t="s">
        <v>158</v>
      </c>
      <c r="D94" s="208" t="s">
        <v>1066</v>
      </c>
      <c r="E94" s="208" t="s">
        <v>159</v>
      </c>
      <c r="F94" s="584">
        <v>45124.0</v>
      </c>
      <c r="G94" s="208" t="s">
        <v>580</v>
      </c>
      <c r="H94" s="208">
        <v>0.0</v>
      </c>
      <c r="I94" s="208">
        <v>4950000.0</v>
      </c>
      <c r="J94" s="208">
        <v>2565495.28</v>
      </c>
      <c r="K94" s="208">
        <v>0.0</v>
      </c>
      <c r="L94" s="536">
        <f t="shared" si="1"/>
        <v>2565495.28</v>
      </c>
      <c r="M94" s="208">
        <v>42.0</v>
      </c>
      <c r="N94" s="208">
        <v>25.0</v>
      </c>
      <c r="O94" s="208">
        <v>1.0</v>
      </c>
      <c r="P94" s="208">
        <v>43.0</v>
      </c>
      <c r="Q94" s="208">
        <v>18.0</v>
      </c>
      <c r="R94" s="208">
        <v>2520312.78</v>
      </c>
      <c r="S94" s="208">
        <v>45182.5</v>
      </c>
      <c r="T94" s="208">
        <v>28.0</v>
      </c>
      <c r="U94" s="208">
        <v>1.0</v>
      </c>
      <c r="V94" s="208">
        <v>29.0</v>
      </c>
      <c r="W94" s="208">
        <v>0.0</v>
      </c>
      <c r="X94" s="208">
        <v>100.0</v>
      </c>
      <c r="Y94" s="208">
        <v>190.0</v>
      </c>
      <c r="Z94" s="208">
        <v>214.0</v>
      </c>
      <c r="AA94" s="208">
        <v>2.0</v>
      </c>
      <c r="AB94" s="208">
        <v>5.0</v>
      </c>
      <c r="AC94" s="208">
        <v>0.0</v>
      </c>
      <c r="AD94" s="208">
        <v>0.0</v>
      </c>
      <c r="AE94" s="208">
        <v>0.0</v>
      </c>
      <c r="AF94" s="208">
        <v>0.0</v>
      </c>
      <c r="AG94" s="208">
        <v>66.0</v>
      </c>
      <c r="AH94" s="208">
        <v>261.0</v>
      </c>
      <c r="AI94" s="208">
        <v>64.0</v>
      </c>
      <c r="AJ94" s="208">
        <v>40086.0</v>
      </c>
      <c r="AK94" s="208">
        <v>4.0</v>
      </c>
      <c r="AL94" s="208">
        <v>26500.0</v>
      </c>
      <c r="AM94" s="208">
        <v>0.0</v>
      </c>
      <c r="AN94" s="208">
        <v>0.0103</v>
      </c>
      <c r="AO94" s="208">
        <v>88465.0</v>
      </c>
      <c r="AP94" s="208">
        <v>0.52</v>
      </c>
      <c r="AQ94" s="208">
        <v>0.0</v>
      </c>
      <c r="AR94" s="208">
        <v>87.0</v>
      </c>
      <c r="AS94" s="208">
        <v>746.0</v>
      </c>
      <c r="AT94" s="208">
        <v>3964.86</v>
      </c>
      <c r="AU94" s="208">
        <v>1.0</v>
      </c>
      <c r="AV94" s="208">
        <v>159.0</v>
      </c>
      <c r="AW94" s="208">
        <v>29.0</v>
      </c>
      <c r="AX94" s="208">
        <v>4.0</v>
      </c>
      <c r="AY94" s="208">
        <v>10.0</v>
      </c>
    </row>
    <row r="95">
      <c r="A95" s="208" t="s">
        <v>126</v>
      </c>
      <c r="B95" s="533" t="s">
        <v>130</v>
      </c>
      <c r="C95" s="208" t="s">
        <v>154</v>
      </c>
      <c r="D95" s="208" t="s">
        <v>130</v>
      </c>
      <c r="E95" s="208" t="s">
        <v>155</v>
      </c>
      <c r="F95" s="584">
        <v>45121.0</v>
      </c>
      <c r="G95" s="208" t="s">
        <v>128</v>
      </c>
      <c r="H95" s="208">
        <v>0.0</v>
      </c>
      <c r="I95" s="208">
        <v>6624999.0</v>
      </c>
      <c r="J95" s="208">
        <v>7068309.57</v>
      </c>
      <c r="K95" s="208">
        <v>0.0</v>
      </c>
      <c r="L95" s="536">
        <f t="shared" si="1"/>
        <v>7068309.57</v>
      </c>
      <c r="M95" s="208">
        <v>65.0</v>
      </c>
      <c r="N95" s="208">
        <v>65.0</v>
      </c>
      <c r="O95" s="208">
        <v>5.0</v>
      </c>
      <c r="P95" s="208">
        <v>70.0</v>
      </c>
      <c r="Q95" s="208">
        <v>5.0</v>
      </c>
      <c r="R95" s="208">
        <v>6307695.81</v>
      </c>
      <c r="S95" s="208">
        <v>760613.76</v>
      </c>
      <c r="T95" s="208">
        <v>35.0</v>
      </c>
      <c r="U95" s="208">
        <v>5.0</v>
      </c>
      <c r="V95" s="208">
        <v>40.0</v>
      </c>
      <c r="W95" s="208">
        <v>0.0</v>
      </c>
      <c r="X95" s="208">
        <v>15.0</v>
      </c>
      <c r="Y95" s="208">
        <v>21.0</v>
      </c>
      <c r="Z95" s="208">
        <v>74.0</v>
      </c>
      <c r="AA95" s="208">
        <v>2.0</v>
      </c>
      <c r="AB95" s="208">
        <v>10.0</v>
      </c>
      <c r="AC95" s="208">
        <v>0.0</v>
      </c>
      <c r="AD95" s="208">
        <v>0.0</v>
      </c>
      <c r="AE95" s="208">
        <v>0.0</v>
      </c>
      <c r="AF95" s="208">
        <v>0.0</v>
      </c>
      <c r="AG95" s="208">
        <v>197.0</v>
      </c>
      <c r="AH95" s="208">
        <v>228.0</v>
      </c>
      <c r="AI95" s="208">
        <v>74.0</v>
      </c>
      <c r="AJ95" s="208">
        <v>95518.0</v>
      </c>
      <c r="AK95" s="208">
        <v>3.0</v>
      </c>
      <c r="AL95" s="208">
        <v>34946.0</v>
      </c>
      <c r="AM95" s="208">
        <v>0.0</v>
      </c>
      <c r="AN95" s="208">
        <v>0.0049</v>
      </c>
      <c r="AO95" s="208">
        <v>176708.0</v>
      </c>
      <c r="AP95" s="208">
        <v>1.07</v>
      </c>
      <c r="AQ95" s="208">
        <v>0.0</v>
      </c>
      <c r="AR95" s="208">
        <v>59.0</v>
      </c>
      <c r="AS95" s="208">
        <v>583.0</v>
      </c>
      <c r="AT95" s="208">
        <v>2022.65</v>
      </c>
      <c r="AU95" s="208">
        <v>5.0</v>
      </c>
      <c r="AV95" s="208">
        <v>31.0</v>
      </c>
      <c r="AW95" s="208">
        <v>40.0</v>
      </c>
      <c r="AX95" s="208">
        <v>26.0</v>
      </c>
      <c r="AY95" s="208">
        <v>4.0</v>
      </c>
    </row>
    <row r="96">
      <c r="A96" s="208" t="s">
        <v>126</v>
      </c>
      <c r="B96" s="533" t="s">
        <v>130</v>
      </c>
      <c r="C96" s="208" t="s">
        <v>156</v>
      </c>
      <c r="D96" s="208" t="s">
        <v>130</v>
      </c>
      <c r="E96" s="208" t="s">
        <v>157</v>
      </c>
      <c r="F96" s="584">
        <v>45122.0</v>
      </c>
      <c r="G96" s="208" t="s">
        <v>128</v>
      </c>
      <c r="H96" s="208">
        <v>0.0</v>
      </c>
      <c r="I96" s="208">
        <v>5375001.0</v>
      </c>
      <c r="J96" s="208">
        <v>3052411.22</v>
      </c>
      <c r="K96" s="208">
        <v>0.0</v>
      </c>
      <c r="L96" s="536">
        <f t="shared" si="1"/>
        <v>3052411.22</v>
      </c>
      <c r="M96" s="208">
        <v>48.0</v>
      </c>
      <c r="N96" s="208">
        <v>43.0</v>
      </c>
      <c r="O96" s="208">
        <v>7.0</v>
      </c>
      <c r="P96" s="208">
        <v>55.0</v>
      </c>
      <c r="Q96" s="208">
        <v>12.0</v>
      </c>
      <c r="R96" s="208">
        <v>2650410.2</v>
      </c>
      <c r="S96" s="208">
        <v>402001.02</v>
      </c>
      <c r="T96" s="208">
        <v>27.0</v>
      </c>
      <c r="U96" s="208">
        <v>7.0</v>
      </c>
      <c r="V96" s="208">
        <v>34.0</v>
      </c>
      <c r="W96" s="208">
        <v>0.0</v>
      </c>
      <c r="X96" s="208">
        <v>65.0</v>
      </c>
      <c r="Y96" s="208">
        <v>78.0</v>
      </c>
      <c r="Z96" s="208">
        <v>299.0</v>
      </c>
      <c r="AA96" s="208">
        <v>3.0</v>
      </c>
      <c r="AB96" s="208">
        <v>5.0</v>
      </c>
      <c r="AC96" s="208">
        <v>0.0</v>
      </c>
      <c r="AD96" s="208">
        <v>0.0</v>
      </c>
      <c r="AE96" s="208">
        <v>0.0</v>
      </c>
      <c r="AF96" s="208">
        <v>0.0</v>
      </c>
      <c r="AG96" s="208">
        <v>375.0</v>
      </c>
      <c r="AH96" s="208">
        <v>458.0</v>
      </c>
      <c r="AI96" s="208">
        <v>72.0</v>
      </c>
      <c r="AJ96" s="208">
        <v>42395.0</v>
      </c>
      <c r="AK96" s="208">
        <v>6.0</v>
      </c>
      <c r="AL96" s="208">
        <v>30785.0</v>
      </c>
      <c r="AM96" s="208">
        <v>0.0</v>
      </c>
      <c r="AN96" s="208">
        <v>0.0101</v>
      </c>
      <c r="AO96" s="208">
        <v>89777.0</v>
      </c>
      <c r="AP96" s="208">
        <v>0.57</v>
      </c>
      <c r="AQ96" s="208">
        <v>0.0</v>
      </c>
      <c r="AR96" s="208">
        <v>86.0</v>
      </c>
      <c r="AS96" s="208">
        <v>503.0</v>
      </c>
      <c r="AT96" s="208">
        <v>3273.57</v>
      </c>
      <c r="AU96" s="208">
        <v>7.0</v>
      </c>
      <c r="AV96" s="208">
        <v>76.0</v>
      </c>
      <c r="AW96" s="208">
        <v>34.0</v>
      </c>
      <c r="AX96" s="208">
        <v>10.0</v>
      </c>
      <c r="AY96" s="208">
        <v>11.0</v>
      </c>
    </row>
    <row r="97">
      <c r="A97" s="208" t="s">
        <v>126</v>
      </c>
      <c r="B97" s="533" t="s">
        <v>135</v>
      </c>
      <c r="C97" s="208" t="s">
        <v>770</v>
      </c>
      <c r="D97" s="208" t="s">
        <v>1022</v>
      </c>
      <c r="E97" s="208" t="s">
        <v>1081</v>
      </c>
      <c r="F97" s="585">
        <v>45145.0</v>
      </c>
      <c r="G97" s="208" t="s">
        <v>136</v>
      </c>
      <c r="H97" s="208">
        <v>0.0</v>
      </c>
      <c r="I97" s="208">
        <v>5499999.0</v>
      </c>
      <c r="J97" s="208">
        <v>2978167.41</v>
      </c>
      <c r="K97" s="208">
        <v>0.0</v>
      </c>
      <c r="L97" s="536">
        <f t="shared" si="1"/>
        <v>2978167.41</v>
      </c>
      <c r="M97" s="208">
        <v>66.0</v>
      </c>
      <c r="N97" s="208">
        <v>61.0</v>
      </c>
      <c r="O97" s="208">
        <v>6.0</v>
      </c>
      <c r="P97" s="208">
        <v>72.0</v>
      </c>
      <c r="Q97" s="208">
        <v>11.0</v>
      </c>
      <c r="R97" s="208">
        <v>2770290.61</v>
      </c>
      <c r="S97" s="208">
        <v>207876.8</v>
      </c>
      <c r="T97" s="208">
        <v>39.0</v>
      </c>
      <c r="U97" s="208">
        <v>6.0</v>
      </c>
      <c r="V97" s="208">
        <v>45.0</v>
      </c>
      <c r="W97" s="208">
        <v>0.0</v>
      </c>
      <c r="X97" s="208">
        <v>37.0</v>
      </c>
      <c r="Y97" s="208">
        <v>45.0</v>
      </c>
      <c r="Z97" s="208">
        <v>178.0</v>
      </c>
      <c r="AA97" s="208">
        <v>3.0</v>
      </c>
      <c r="AB97" s="208">
        <v>26.0</v>
      </c>
      <c r="AC97" s="208">
        <v>0.0</v>
      </c>
      <c r="AD97" s="208">
        <v>0.0</v>
      </c>
      <c r="AE97" s="208">
        <v>0.0</v>
      </c>
      <c r="AF97" s="208">
        <v>0.0</v>
      </c>
      <c r="AG97" s="208">
        <v>238.0</v>
      </c>
      <c r="AH97" s="208">
        <v>309.0</v>
      </c>
      <c r="AI97" s="208">
        <v>74.0</v>
      </c>
      <c r="AJ97" s="208">
        <v>40246.0</v>
      </c>
      <c r="AK97" s="208">
        <v>4.0</v>
      </c>
      <c r="AL97" s="208">
        <v>33259.0</v>
      </c>
      <c r="AM97" s="208">
        <v>0.0</v>
      </c>
      <c r="AN97" s="208">
        <v>0.0112</v>
      </c>
      <c r="AO97" s="208">
        <v>66181.0</v>
      </c>
      <c r="AP97" s="208">
        <v>0.54</v>
      </c>
      <c r="AQ97" s="208">
        <v>0.0</v>
      </c>
      <c r="AR97" s="208">
        <v>157.0</v>
      </c>
      <c r="AS97" s="208">
        <v>695.0</v>
      </c>
      <c r="AT97" s="208">
        <v>4992.15</v>
      </c>
      <c r="AU97" s="208">
        <v>6.0</v>
      </c>
      <c r="AV97" s="208">
        <v>82.0</v>
      </c>
      <c r="AW97" s="208">
        <v>45.0</v>
      </c>
      <c r="AX97" s="208">
        <v>19.0</v>
      </c>
      <c r="AY97" s="208">
        <v>8.0</v>
      </c>
    </row>
    <row r="98">
      <c r="A98" s="208" t="s">
        <v>185</v>
      </c>
      <c r="B98" s="533" t="s">
        <v>189</v>
      </c>
      <c r="C98" s="208" t="s">
        <v>414</v>
      </c>
      <c r="D98" s="208" t="s">
        <v>1016</v>
      </c>
      <c r="E98" s="208" t="s">
        <v>415</v>
      </c>
      <c r="F98" s="584">
        <v>45148.0</v>
      </c>
      <c r="G98" s="208" t="s">
        <v>186</v>
      </c>
      <c r="H98" s="208">
        <v>0.0</v>
      </c>
      <c r="I98" s="208">
        <v>5199999.0</v>
      </c>
      <c r="J98" s="208">
        <v>3209604.89</v>
      </c>
      <c r="K98" s="208">
        <v>0.0</v>
      </c>
      <c r="L98" s="536">
        <f t="shared" si="1"/>
        <v>3209604.89</v>
      </c>
      <c r="M98" s="208">
        <v>97.0</v>
      </c>
      <c r="N98" s="208">
        <v>94.0</v>
      </c>
      <c r="O98" s="208">
        <v>2.0</v>
      </c>
      <c r="P98" s="208">
        <v>99.0</v>
      </c>
      <c r="Q98" s="208">
        <v>5.0</v>
      </c>
      <c r="R98" s="208">
        <v>3103817.39</v>
      </c>
      <c r="S98" s="208">
        <v>105787.5</v>
      </c>
      <c r="T98" s="208">
        <v>38.0</v>
      </c>
      <c r="U98" s="208">
        <v>1.0</v>
      </c>
      <c r="V98" s="208">
        <v>39.0</v>
      </c>
      <c r="W98" s="208">
        <v>0.0</v>
      </c>
      <c r="X98" s="208">
        <v>31.0</v>
      </c>
      <c r="Y98" s="208">
        <v>41.0</v>
      </c>
      <c r="Z98" s="208">
        <v>220.0</v>
      </c>
      <c r="AA98" s="208">
        <v>2.0</v>
      </c>
      <c r="AB98" s="208">
        <v>21.0</v>
      </c>
      <c r="AC98" s="208">
        <v>0.0</v>
      </c>
      <c r="AD98" s="208">
        <v>0.0</v>
      </c>
      <c r="AE98" s="208">
        <v>0.0</v>
      </c>
      <c r="AF98" s="208">
        <v>0.0</v>
      </c>
      <c r="AG98" s="208">
        <v>332.0</v>
      </c>
      <c r="AH98" s="208">
        <v>394.0</v>
      </c>
      <c r="AI98" s="208">
        <v>71.0</v>
      </c>
      <c r="AJ98" s="208">
        <v>45206.0</v>
      </c>
      <c r="AK98" s="208">
        <v>6.0</v>
      </c>
      <c r="AL98" s="208">
        <v>26870.0</v>
      </c>
      <c r="AM98" s="208">
        <v>0.0</v>
      </c>
      <c r="AN98" s="208">
        <v>0.0084</v>
      </c>
      <c r="AO98" s="208">
        <v>82298.0</v>
      </c>
      <c r="AP98" s="208">
        <v>0.62</v>
      </c>
      <c r="AQ98" s="208">
        <v>0.0</v>
      </c>
      <c r="AR98" s="208">
        <v>62.0</v>
      </c>
      <c r="AS98" s="208">
        <v>801.0</v>
      </c>
      <c r="AT98" s="208">
        <v>5653.93</v>
      </c>
      <c r="AU98" s="208">
        <v>1.0</v>
      </c>
      <c r="AV98" s="208">
        <v>60.0</v>
      </c>
      <c r="AW98" s="208">
        <v>39.0</v>
      </c>
      <c r="AX98" s="208">
        <v>55.0</v>
      </c>
      <c r="AY98" s="208">
        <v>5.0</v>
      </c>
    </row>
    <row r="99">
      <c r="A99" s="208" t="s">
        <v>126</v>
      </c>
      <c r="B99" s="533" t="s">
        <v>135</v>
      </c>
      <c r="C99" s="208" t="s">
        <v>772</v>
      </c>
      <c r="D99" s="208" t="s">
        <v>1042</v>
      </c>
      <c r="E99" s="208" t="s">
        <v>180</v>
      </c>
      <c r="F99" s="584">
        <v>45152.0</v>
      </c>
      <c r="G99" s="208" t="s">
        <v>136</v>
      </c>
      <c r="H99" s="208">
        <v>0.0</v>
      </c>
      <c r="I99" s="208">
        <v>6000000.0</v>
      </c>
      <c r="J99" s="208">
        <v>5645858.86</v>
      </c>
      <c r="K99" s="208">
        <v>0.0</v>
      </c>
      <c r="L99" s="536">
        <f t="shared" si="1"/>
        <v>5645858.86</v>
      </c>
      <c r="M99" s="208">
        <v>104.0</v>
      </c>
      <c r="N99" s="208">
        <v>91.0</v>
      </c>
      <c r="O99" s="208">
        <v>20.0</v>
      </c>
      <c r="P99" s="208">
        <v>124.0</v>
      </c>
      <c r="Q99" s="208">
        <v>33.0</v>
      </c>
      <c r="R99" s="208">
        <v>4384978.64</v>
      </c>
      <c r="S99" s="208">
        <v>1260880.22</v>
      </c>
      <c r="T99" s="208">
        <v>54.0</v>
      </c>
      <c r="U99" s="208">
        <v>17.0</v>
      </c>
      <c r="V99" s="208">
        <v>71.0</v>
      </c>
      <c r="W99" s="208">
        <v>0.0</v>
      </c>
      <c r="X99" s="208">
        <v>31.0</v>
      </c>
      <c r="Y99" s="208">
        <v>37.0</v>
      </c>
      <c r="Z99" s="208">
        <v>265.0</v>
      </c>
      <c r="AA99" s="208">
        <v>2.0</v>
      </c>
      <c r="AB99" s="208">
        <v>13.0</v>
      </c>
      <c r="AC99" s="208">
        <v>0.0</v>
      </c>
      <c r="AD99" s="208">
        <v>0.0</v>
      </c>
      <c r="AE99" s="208">
        <v>1.0</v>
      </c>
      <c r="AF99" s="208">
        <v>15.0</v>
      </c>
      <c r="AG99" s="208">
        <v>218.0</v>
      </c>
      <c r="AH99" s="208">
        <v>283.0</v>
      </c>
      <c r="AI99" s="208">
        <v>74.0</v>
      </c>
      <c r="AJ99" s="208">
        <v>76295.0</v>
      </c>
      <c r="AK99" s="208">
        <v>4.0</v>
      </c>
      <c r="AL99" s="208">
        <v>34708.0</v>
      </c>
      <c r="AM99" s="208">
        <v>0.0</v>
      </c>
      <c r="AN99" s="208">
        <v>0.0061</v>
      </c>
      <c r="AO99" s="208">
        <v>79519.0</v>
      </c>
      <c r="AP99" s="208">
        <v>0.94</v>
      </c>
      <c r="AQ99" s="208">
        <v>0.0</v>
      </c>
      <c r="AR99" s="208">
        <v>311.0</v>
      </c>
      <c r="AS99" s="208">
        <v>639.0</v>
      </c>
      <c r="AT99" s="208">
        <v>3871.16</v>
      </c>
      <c r="AU99" s="208">
        <v>17.0</v>
      </c>
      <c r="AV99" s="208">
        <v>43.0</v>
      </c>
      <c r="AW99" s="208">
        <v>71.0</v>
      </c>
      <c r="AX99" s="208">
        <v>28.0</v>
      </c>
      <c r="AY99" s="208">
        <v>25.0</v>
      </c>
    </row>
    <row r="100">
      <c r="A100" s="208" t="s">
        <v>298</v>
      </c>
      <c r="B100" s="533" t="s">
        <v>301</v>
      </c>
      <c r="C100" s="208" t="s">
        <v>773</v>
      </c>
      <c r="D100" s="208" t="s">
        <v>1066</v>
      </c>
      <c r="E100" s="208" t="s">
        <v>310</v>
      </c>
      <c r="F100" s="584">
        <v>45159.0</v>
      </c>
      <c r="G100" s="208" t="s">
        <v>298</v>
      </c>
      <c r="H100" s="208">
        <v>0.0</v>
      </c>
      <c r="I100" s="208">
        <v>4500000.0</v>
      </c>
      <c r="J100" s="208">
        <v>2829679.11</v>
      </c>
      <c r="K100" s="208">
        <v>0.0</v>
      </c>
      <c r="L100" s="536">
        <f t="shared" si="1"/>
        <v>2829679.11</v>
      </c>
      <c r="M100" s="208">
        <v>69.0</v>
      </c>
      <c r="N100" s="208">
        <v>64.0</v>
      </c>
      <c r="O100" s="208">
        <v>3.0</v>
      </c>
      <c r="P100" s="208">
        <v>72.0</v>
      </c>
      <c r="Q100" s="208">
        <v>8.0</v>
      </c>
      <c r="R100" s="208">
        <v>2760936.33</v>
      </c>
      <c r="S100" s="208">
        <v>68742.78</v>
      </c>
      <c r="T100" s="208">
        <v>32.0</v>
      </c>
      <c r="U100" s="208">
        <v>3.0</v>
      </c>
      <c r="V100" s="208">
        <v>35.0</v>
      </c>
      <c r="W100" s="208">
        <v>0.0</v>
      </c>
      <c r="X100" s="208">
        <v>36.0</v>
      </c>
      <c r="Y100" s="208">
        <v>51.0</v>
      </c>
      <c r="Z100" s="208">
        <v>145.0</v>
      </c>
      <c r="AA100" s="208">
        <v>0.0</v>
      </c>
      <c r="AB100" s="208">
        <v>0.0</v>
      </c>
      <c r="AC100" s="208">
        <v>0.0</v>
      </c>
      <c r="AD100" s="208">
        <v>0.0</v>
      </c>
      <c r="AE100" s="208">
        <v>0.0</v>
      </c>
      <c r="AF100" s="208">
        <v>0.0</v>
      </c>
      <c r="AG100" s="208">
        <v>346.0</v>
      </c>
      <c r="AH100" s="208">
        <v>397.0</v>
      </c>
      <c r="AI100" s="208">
        <v>75.0</v>
      </c>
      <c r="AJ100" s="208">
        <v>37729.0</v>
      </c>
      <c r="AK100" s="208">
        <v>5.0</v>
      </c>
      <c r="AL100" s="208">
        <v>30195.0</v>
      </c>
      <c r="AM100" s="208">
        <v>0.0</v>
      </c>
      <c r="AN100" s="208">
        <v>0.0107</v>
      </c>
      <c r="AO100" s="208">
        <v>80848.0</v>
      </c>
      <c r="AP100" s="208">
        <v>0.63</v>
      </c>
      <c r="AQ100" s="208">
        <v>0.0</v>
      </c>
      <c r="AR100" s="208">
        <v>88.0</v>
      </c>
      <c r="AS100" s="208">
        <v>774.0</v>
      </c>
      <c r="AT100" s="208">
        <v>5642.82</v>
      </c>
      <c r="AU100" s="208">
        <v>3.0</v>
      </c>
      <c r="AV100" s="208">
        <v>88.0</v>
      </c>
      <c r="AW100" s="208">
        <v>35.0</v>
      </c>
      <c r="AX100" s="208">
        <v>31.0</v>
      </c>
      <c r="AY100" s="208">
        <v>6.0</v>
      </c>
    </row>
    <row r="101">
      <c r="A101" s="208" t="s">
        <v>185</v>
      </c>
      <c r="B101" s="533" t="s">
        <v>215</v>
      </c>
      <c r="C101" s="208" t="s">
        <v>776</v>
      </c>
      <c r="D101" s="208" t="s">
        <v>1065</v>
      </c>
      <c r="E101" s="208" t="s">
        <v>278</v>
      </c>
      <c r="F101" s="585">
        <v>45170.0</v>
      </c>
      <c r="G101" s="208" t="s">
        <v>185</v>
      </c>
      <c r="H101" s="208">
        <v>0.0</v>
      </c>
      <c r="I101" s="208">
        <v>0.0</v>
      </c>
      <c r="J101" s="208">
        <v>0.0</v>
      </c>
      <c r="K101" s="208">
        <v>0.0</v>
      </c>
      <c r="L101" s="536">
        <f t="shared" si="1"/>
        <v>0</v>
      </c>
      <c r="M101" s="208">
        <v>193.0</v>
      </c>
      <c r="N101" s="208">
        <v>103.0</v>
      </c>
      <c r="O101" s="208">
        <v>6.0</v>
      </c>
      <c r="P101" s="208">
        <v>199.0</v>
      </c>
      <c r="Q101" s="208">
        <v>96.0</v>
      </c>
      <c r="R101" s="208">
        <v>0.0</v>
      </c>
      <c r="S101" s="208">
        <v>0.0</v>
      </c>
      <c r="T101" s="208">
        <v>0.0</v>
      </c>
      <c r="U101" s="208">
        <v>0.0</v>
      </c>
      <c r="V101" s="208">
        <v>0.0</v>
      </c>
      <c r="W101" s="208">
        <v>0.0</v>
      </c>
      <c r="X101" s="208">
        <v>45.0</v>
      </c>
      <c r="Y101" s="208">
        <v>46.0</v>
      </c>
      <c r="Z101" s="208">
        <v>40.0</v>
      </c>
      <c r="AA101" s="208">
        <v>4.0</v>
      </c>
      <c r="AB101" s="208">
        <v>51.0</v>
      </c>
      <c r="AC101" s="208">
        <v>0.0</v>
      </c>
      <c r="AD101" s="208">
        <v>0.0</v>
      </c>
      <c r="AE101" s="208">
        <v>0.0</v>
      </c>
      <c r="AF101" s="208">
        <v>0.0</v>
      </c>
      <c r="AG101" s="208">
        <v>176.0</v>
      </c>
      <c r="AH101" s="208">
        <v>273.0</v>
      </c>
      <c r="AI101" s="208">
        <v>77.0</v>
      </c>
      <c r="AJ101" s="208">
        <v>0.0</v>
      </c>
      <c r="AK101" s="208">
        <v>4.0</v>
      </c>
      <c r="AL101" s="208">
        <v>95640.0</v>
      </c>
      <c r="AM101" s="208">
        <v>0.0</v>
      </c>
      <c r="AN101" s="208">
        <v>0.0</v>
      </c>
      <c r="AO101" s="208">
        <v>0.0</v>
      </c>
      <c r="AP101" s="208">
        <v>0.0</v>
      </c>
      <c r="AQ101" s="208">
        <v>0.0</v>
      </c>
      <c r="AR101" s="208">
        <v>0.0</v>
      </c>
      <c r="AS101" s="208">
        <v>758.0</v>
      </c>
      <c r="AT101" s="208">
        <v>4807.37</v>
      </c>
      <c r="AU101" s="208">
        <v>0.0</v>
      </c>
      <c r="AV101" s="208">
        <v>47.0</v>
      </c>
      <c r="AW101" s="208">
        <v>0.0</v>
      </c>
      <c r="AX101" s="208">
        <v>103.0</v>
      </c>
      <c r="AY101" s="208">
        <v>96.0</v>
      </c>
    </row>
    <row r="102">
      <c r="A102" s="208" t="s">
        <v>126</v>
      </c>
      <c r="B102" s="533" t="s">
        <v>130</v>
      </c>
      <c r="C102" s="208" t="s">
        <v>781</v>
      </c>
      <c r="D102" s="208" t="s">
        <v>1082</v>
      </c>
      <c r="E102" s="208" t="s">
        <v>441</v>
      </c>
      <c r="F102" s="585">
        <v>45171.0</v>
      </c>
      <c r="G102" s="208" t="s">
        <v>580</v>
      </c>
      <c r="H102" s="208">
        <v>0.0</v>
      </c>
      <c r="I102" s="208">
        <v>3000000.0</v>
      </c>
      <c r="J102" s="208">
        <v>607917.66</v>
      </c>
      <c r="K102" s="208">
        <v>0.0</v>
      </c>
      <c r="L102" s="536">
        <f t="shared" si="1"/>
        <v>607917.66</v>
      </c>
      <c r="M102" s="208">
        <v>24.0</v>
      </c>
      <c r="N102" s="208">
        <v>22.0</v>
      </c>
      <c r="O102" s="208">
        <v>2.0</v>
      </c>
      <c r="P102" s="208">
        <v>26.0</v>
      </c>
      <c r="Q102" s="208">
        <v>4.0</v>
      </c>
      <c r="R102" s="208">
        <v>581329.81</v>
      </c>
      <c r="S102" s="208">
        <v>26587.85</v>
      </c>
      <c r="T102" s="208">
        <v>15.0</v>
      </c>
      <c r="U102" s="208">
        <v>2.0</v>
      </c>
      <c r="V102" s="208">
        <v>17.0</v>
      </c>
      <c r="W102" s="208">
        <v>0.0</v>
      </c>
      <c r="X102" s="208">
        <v>58.0</v>
      </c>
      <c r="Y102" s="208">
        <v>86.0</v>
      </c>
      <c r="Z102" s="208">
        <v>192.0</v>
      </c>
      <c r="AA102" s="208">
        <v>3.0</v>
      </c>
      <c r="AB102" s="208">
        <v>37.0</v>
      </c>
      <c r="AC102" s="208">
        <v>0.0</v>
      </c>
      <c r="AD102" s="208">
        <v>0.0</v>
      </c>
      <c r="AE102" s="208">
        <v>19.0</v>
      </c>
      <c r="AF102" s="208">
        <v>54.0</v>
      </c>
      <c r="AG102" s="208">
        <v>172.0</v>
      </c>
      <c r="AH102" s="208">
        <v>349.0</v>
      </c>
      <c r="AI102" s="208">
        <v>74.0</v>
      </c>
      <c r="AJ102" s="208">
        <v>8215.0</v>
      </c>
      <c r="AK102" s="208">
        <v>5.0</v>
      </c>
      <c r="AL102" s="208">
        <v>34940.0</v>
      </c>
      <c r="AM102" s="208">
        <v>0.0</v>
      </c>
      <c r="AN102" s="208">
        <v>0.0575</v>
      </c>
      <c r="AO102" s="208">
        <v>35760.0</v>
      </c>
      <c r="AP102" s="208">
        <v>0.2</v>
      </c>
      <c r="AQ102" s="208">
        <v>0.0</v>
      </c>
      <c r="AR102" s="208">
        <v>35.0</v>
      </c>
      <c r="AS102" s="208">
        <v>698.0</v>
      </c>
      <c r="AT102" s="208">
        <v>3312.96</v>
      </c>
      <c r="AU102" s="208">
        <v>2.0</v>
      </c>
      <c r="AV102" s="208">
        <v>151.0</v>
      </c>
      <c r="AW102" s="208">
        <v>17.0</v>
      </c>
      <c r="AX102" s="208">
        <v>5.0</v>
      </c>
      <c r="AY102" s="208">
        <v>4.0</v>
      </c>
    </row>
    <row r="103">
      <c r="A103" s="208" t="s">
        <v>185</v>
      </c>
      <c r="B103" s="533" t="s">
        <v>215</v>
      </c>
      <c r="C103" s="208" t="s">
        <v>783</v>
      </c>
      <c r="D103" s="208" t="s">
        <v>1064</v>
      </c>
      <c r="E103" s="208" t="s">
        <v>250</v>
      </c>
      <c r="F103" s="584">
        <v>45184.0</v>
      </c>
      <c r="G103" s="208" t="s">
        <v>185</v>
      </c>
      <c r="H103" s="208">
        <v>0.0</v>
      </c>
      <c r="I103" s="208">
        <v>5574999.0</v>
      </c>
      <c r="J103" s="208">
        <v>3946002.78</v>
      </c>
      <c r="K103" s="208">
        <v>0.0</v>
      </c>
      <c r="L103" s="536">
        <f t="shared" si="1"/>
        <v>3946002.78</v>
      </c>
      <c r="M103" s="208">
        <v>47.0</v>
      </c>
      <c r="N103" s="208">
        <v>38.0</v>
      </c>
      <c r="O103" s="208">
        <v>1.0</v>
      </c>
      <c r="P103" s="208">
        <v>48.0</v>
      </c>
      <c r="Q103" s="208">
        <v>10.0</v>
      </c>
      <c r="R103" s="208">
        <v>3920271.58</v>
      </c>
      <c r="S103" s="208">
        <v>25731.2</v>
      </c>
      <c r="T103" s="208">
        <v>24.0</v>
      </c>
      <c r="U103" s="208">
        <v>1.0</v>
      </c>
      <c r="V103" s="208">
        <v>25.0</v>
      </c>
      <c r="W103" s="208">
        <v>0.0</v>
      </c>
      <c r="X103" s="208">
        <v>22.0</v>
      </c>
      <c r="Y103" s="208">
        <v>30.0</v>
      </c>
      <c r="Z103" s="208">
        <v>112.0</v>
      </c>
      <c r="AA103" s="208">
        <v>1.0</v>
      </c>
      <c r="AB103" s="208">
        <v>4.0</v>
      </c>
      <c r="AC103" s="208">
        <v>0.0</v>
      </c>
      <c r="AD103" s="208">
        <v>0.0</v>
      </c>
      <c r="AE103" s="208">
        <v>0.0</v>
      </c>
      <c r="AF103" s="208">
        <v>0.0</v>
      </c>
      <c r="AG103" s="208">
        <v>259.0</v>
      </c>
      <c r="AH103" s="208">
        <v>293.0</v>
      </c>
      <c r="AI103" s="208">
        <v>75.0</v>
      </c>
      <c r="AJ103" s="208">
        <v>52613.0</v>
      </c>
      <c r="AK103" s="208">
        <v>4.0</v>
      </c>
      <c r="AL103" s="208">
        <v>36400.0</v>
      </c>
      <c r="AM103" s="208">
        <v>0.0</v>
      </c>
      <c r="AN103" s="208">
        <v>0.0092</v>
      </c>
      <c r="AO103" s="208">
        <v>157840.0</v>
      </c>
      <c r="AP103" s="208">
        <v>0.71</v>
      </c>
      <c r="AQ103" s="208">
        <v>0.0</v>
      </c>
      <c r="AR103" s="208">
        <v>58.0</v>
      </c>
      <c r="AS103" s="208">
        <v>660.0</v>
      </c>
      <c r="AT103" s="208">
        <v>4284.85</v>
      </c>
      <c r="AU103" s="208">
        <v>1.0</v>
      </c>
      <c r="AV103" s="208">
        <v>113.0</v>
      </c>
      <c r="AW103" s="208">
        <v>25.0</v>
      </c>
      <c r="AX103" s="208">
        <v>14.0</v>
      </c>
      <c r="AY103" s="208">
        <v>9.0</v>
      </c>
    </row>
    <row r="104">
      <c r="A104" s="208" t="s">
        <v>23</v>
      </c>
      <c r="B104" s="533" t="s">
        <v>40</v>
      </c>
      <c r="C104" s="208" t="s">
        <v>784</v>
      </c>
      <c r="D104" s="208" t="s">
        <v>40</v>
      </c>
      <c r="E104" s="208" t="s">
        <v>39</v>
      </c>
      <c r="F104" s="584">
        <v>45182.0</v>
      </c>
      <c r="G104" s="208" t="s">
        <v>23</v>
      </c>
      <c r="H104" s="208">
        <v>0.0</v>
      </c>
      <c r="I104" s="208">
        <v>0.0</v>
      </c>
      <c r="J104" s="208">
        <v>0.0</v>
      </c>
      <c r="K104" s="208">
        <v>0.0</v>
      </c>
      <c r="L104" s="536">
        <f t="shared" si="1"/>
        <v>0</v>
      </c>
      <c r="M104" s="208">
        <v>46.0</v>
      </c>
      <c r="N104" s="208">
        <v>0.0</v>
      </c>
      <c r="O104" s="208">
        <v>0.0</v>
      </c>
      <c r="P104" s="208">
        <v>46.0</v>
      </c>
      <c r="Q104" s="208">
        <v>46.0</v>
      </c>
      <c r="R104" s="208">
        <v>0.0</v>
      </c>
      <c r="S104" s="208">
        <v>0.0</v>
      </c>
      <c r="T104" s="208">
        <v>0.0</v>
      </c>
      <c r="U104" s="208">
        <v>0.0</v>
      </c>
      <c r="V104" s="208">
        <v>0.0</v>
      </c>
      <c r="W104" s="208">
        <v>0.0</v>
      </c>
      <c r="X104" s="208">
        <v>0.0</v>
      </c>
      <c r="Y104" s="208">
        <v>0.0</v>
      </c>
      <c r="Z104" s="208">
        <v>89.0</v>
      </c>
      <c r="AA104" s="208">
        <v>0.0</v>
      </c>
      <c r="AB104" s="208">
        <v>0.0</v>
      </c>
      <c r="AC104" s="208">
        <v>0.0</v>
      </c>
      <c r="AD104" s="208">
        <v>0.0</v>
      </c>
      <c r="AE104" s="208">
        <v>0.0</v>
      </c>
      <c r="AF104" s="208">
        <v>0.0</v>
      </c>
      <c r="AG104" s="208">
        <v>0.0</v>
      </c>
      <c r="AH104" s="208">
        <v>0.0</v>
      </c>
      <c r="AI104" s="208">
        <v>0.0</v>
      </c>
      <c r="AJ104" s="208">
        <v>0.0</v>
      </c>
      <c r="AK104" s="208">
        <v>0.0</v>
      </c>
      <c r="AM104" s="208">
        <v>0.0</v>
      </c>
      <c r="AN104" s="208">
        <v>0.0</v>
      </c>
      <c r="AO104" s="208">
        <v>0.0</v>
      </c>
      <c r="AP104" s="208">
        <v>0.0</v>
      </c>
      <c r="AQ104" s="208">
        <v>0.0</v>
      </c>
      <c r="AR104" s="208">
        <v>0.0</v>
      </c>
      <c r="AS104" s="208">
        <v>0.0</v>
      </c>
      <c r="AT104" s="208">
        <v>0.0</v>
      </c>
      <c r="AU104" s="208">
        <v>0.0</v>
      </c>
      <c r="AV104" s="208">
        <v>0.0</v>
      </c>
      <c r="AW104" s="208">
        <v>0.0</v>
      </c>
      <c r="AX104" s="208">
        <v>0.0</v>
      </c>
      <c r="AY104" s="208">
        <v>46.0</v>
      </c>
      <c r="AZ104" s="586">
        <v>45421.0</v>
      </c>
    </row>
    <row r="105">
      <c r="A105" s="208" t="s">
        <v>126</v>
      </c>
      <c r="B105" s="533" t="s">
        <v>130</v>
      </c>
      <c r="C105" s="208" t="s">
        <v>163</v>
      </c>
      <c r="D105" s="208" t="s">
        <v>130</v>
      </c>
      <c r="E105" s="208" t="s">
        <v>151</v>
      </c>
      <c r="F105" s="584">
        <v>45187.0</v>
      </c>
      <c r="G105" s="208" t="s">
        <v>449</v>
      </c>
      <c r="H105" s="208">
        <v>0.0</v>
      </c>
      <c r="I105" s="208">
        <v>5499999.0</v>
      </c>
      <c r="J105" s="208">
        <v>2842496.83</v>
      </c>
      <c r="K105" s="208">
        <v>0.0</v>
      </c>
      <c r="L105" s="536">
        <f t="shared" si="1"/>
        <v>2842496.83</v>
      </c>
      <c r="M105" s="208">
        <v>123.0</v>
      </c>
      <c r="N105" s="208">
        <v>101.0</v>
      </c>
      <c r="O105" s="208">
        <v>17.0</v>
      </c>
      <c r="P105" s="208">
        <v>140.0</v>
      </c>
      <c r="Q105" s="208">
        <v>39.0</v>
      </c>
      <c r="R105" s="208">
        <v>2496122.63</v>
      </c>
      <c r="S105" s="208">
        <v>346374.2</v>
      </c>
      <c r="T105" s="208">
        <v>60.0</v>
      </c>
      <c r="U105" s="208">
        <v>9.0</v>
      </c>
      <c r="V105" s="208">
        <v>69.0</v>
      </c>
      <c r="W105" s="208">
        <v>0.0</v>
      </c>
      <c r="X105" s="208">
        <v>29.0</v>
      </c>
      <c r="Y105" s="208">
        <v>33.0</v>
      </c>
      <c r="Z105" s="208">
        <v>196.0</v>
      </c>
      <c r="AA105" s="208">
        <v>4.0</v>
      </c>
      <c r="AB105" s="208">
        <v>32.0</v>
      </c>
      <c r="AC105" s="208">
        <v>0.0</v>
      </c>
      <c r="AD105" s="208">
        <v>0.0</v>
      </c>
      <c r="AE105" s="208">
        <v>0.0</v>
      </c>
      <c r="AF105" s="208">
        <v>0.0</v>
      </c>
      <c r="AG105" s="208">
        <v>307.0</v>
      </c>
      <c r="AH105" s="208">
        <v>372.0</v>
      </c>
      <c r="AI105" s="208">
        <v>75.0</v>
      </c>
      <c r="AJ105" s="208">
        <v>37900.0</v>
      </c>
      <c r="AK105" s="208">
        <v>5.0</v>
      </c>
      <c r="AL105" s="208">
        <v>32670.0</v>
      </c>
      <c r="AM105" s="208">
        <v>0.0</v>
      </c>
      <c r="AN105" s="208">
        <v>0.0115</v>
      </c>
      <c r="AO105" s="208">
        <v>41196.0</v>
      </c>
      <c r="AP105" s="208">
        <v>0.52</v>
      </c>
      <c r="AQ105" s="208">
        <v>0.0</v>
      </c>
      <c r="AR105" s="208">
        <v>166.0</v>
      </c>
      <c r="AS105" s="208">
        <v>670.0</v>
      </c>
      <c r="AT105" s="208">
        <v>2985.03</v>
      </c>
      <c r="AU105" s="208">
        <v>9.0</v>
      </c>
      <c r="AV105" s="208">
        <v>30.0</v>
      </c>
      <c r="AW105" s="208">
        <v>69.0</v>
      </c>
      <c r="AX105" s="208">
        <v>37.0</v>
      </c>
      <c r="AY105" s="208">
        <v>34.0</v>
      </c>
    </row>
    <row r="106">
      <c r="A106" s="208" t="s">
        <v>185</v>
      </c>
      <c r="B106" s="533" t="s">
        <v>189</v>
      </c>
      <c r="C106" s="208" t="s">
        <v>405</v>
      </c>
      <c r="D106" s="208" t="s">
        <v>1083</v>
      </c>
      <c r="E106" s="208" t="s">
        <v>406</v>
      </c>
      <c r="F106" s="585">
        <v>45202.0</v>
      </c>
      <c r="G106" s="208" t="s">
        <v>191</v>
      </c>
      <c r="H106" s="208">
        <v>0.0</v>
      </c>
      <c r="I106" s="208">
        <v>4500000.0</v>
      </c>
      <c r="J106" s="208">
        <v>3849643.13</v>
      </c>
      <c r="K106" s="208">
        <v>0.0</v>
      </c>
      <c r="L106" s="536">
        <f t="shared" si="1"/>
        <v>3849643.13</v>
      </c>
      <c r="M106" s="208">
        <v>54.0</v>
      </c>
      <c r="N106" s="208">
        <v>51.0</v>
      </c>
      <c r="O106" s="208">
        <v>0.0</v>
      </c>
      <c r="P106" s="208">
        <v>54.0</v>
      </c>
      <c r="Q106" s="208">
        <v>3.0</v>
      </c>
      <c r="R106" s="208">
        <v>3849643.13</v>
      </c>
      <c r="S106" s="208">
        <v>0.0</v>
      </c>
      <c r="T106" s="208">
        <v>19.0</v>
      </c>
      <c r="U106" s="208">
        <v>0.0</v>
      </c>
      <c r="V106" s="208">
        <v>19.0</v>
      </c>
      <c r="W106" s="208">
        <v>0.0</v>
      </c>
      <c r="X106" s="208">
        <v>3.0</v>
      </c>
      <c r="Y106" s="208">
        <v>6.0</v>
      </c>
      <c r="Z106" s="208">
        <v>73.0</v>
      </c>
      <c r="AA106" s="208">
        <v>1.0</v>
      </c>
      <c r="AB106" s="208">
        <v>1.0</v>
      </c>
      <c r="AC106" s="208">
        <v>0.0</v>
      </c>
      <c r="AD106" s="208">
        <v>0.0</v>
      </c>
      <c r="AE106" s="208">
        <v>0.0</v>
      </c>
      <c r="AF106" s="208">
        <v>0.0</v>
      </c>
      <c r="AG106" s="208">
        <v>342.0</v>
      </c>
      <c r="AH106" s="208">
        <v>349.0</v>
      </c>
      <c r="AI106" s="208">
        <v>69.0</v>
      </c>
      <c r="AJ106" s="208">
        <v>55792.0</v>
      </c>
      <c r="AK106" s="208">
        <v>5.0</v>
      </c>
      <c r="AL106" s="208">
        <v>25325.0</v>
      </c>
      <c r="AM106" s="208">
        <v>0.0</v>
      </c>
      <c r="AN106" s="208">
        <v>0.0066</v>
      </c>
      <c r="AO106" s="208">
        <v>202613.0</v>
      </c>
      <c r="AP106" s="208">
        <v>0.86</v>
      </c>
      <c r="AQ106" s="208">
        <v>0.0</v>
      </c>
      <c r="AR106" s="208">
        <v>59.0</v>
      </c>
      <c r="AS106" s="208">
        <v>802.0</v>
      </c>
      <c r="AT106" s="208">
        <v>2742.56</v>
      </c>
      <c r="AU106" s="208">
        <v>0.0</v>
      </c>
      <c r="AV106" s="208">
        <v>54.0</v>
      </c>
      <c r="AW106" s="208">
        <v>19.0</v>
      </c>
      <c r="AX106" s="208">
        <v>33.0</v>
      </c>
      <c r="AY106" s="208">
        <v>2.0</v>
      </c>
      <c r="AZ106" s="584">
        <v>45943.0</v>
      </c>
    </row>
    <row r="107">
      <c r="A107" s="208" t="s">
        <v>185</v>
      </c>
      <c r="B107" s="533" t="s">
        <v>189</v>
      </c>
      <c r="C107" s="208" t="s">
        <v>787</v>
      </c>
      <c r="D107" s="208" t="s">
        <v>1016</v>
      </c>
      <c r="E107" s="208" t="s">
        <v>187</v>
      </c>
      <c r="F107" s="585">
        <v>45202.0</v>
      </c>
      <c r="G107" s="208" t="s">
        <v>185</v>
      </c>
      <c r="H107" s="208">
        <v>0.0</v>
      </c>
      <c r="I107" s="208">
        <v>0.0</v>
      </c>
      <c r="J107" s="208">
        <v>0.0</v>
      </c>
      <c r="K107" s="208">
        <v>0.0</v>
      </c>
      <c r="L107" s="536">
        <f t="shared" si="1"/>
        <v>0</v>
      </c>
      <c r="M107" s="208">
        <v>142.0</v>
      </c>
      <c r="N107" s="208">
        <v>102.0</v>
      </c>
      <c r="O107" s="208">
        <v>2.0</v>
      </c>
      <c r="P107" s="208">
        <v>144.0</v>
      </c>
      <c r="Q107" s="208">
        <v>42.0</v>
      </c>
      <c r="R107" s="208">
        <v>0.0</v>
      </c>
      <c r="S107" s="208">
        <v>0.0</v>
      </c>
      <c r="T107" s="208">
        <v>0.0</v>
      </c>
      <c r="U107" s="208">
        <v>0.0</v>
      </c>
      <c r="V107" s="208">
        <v>0.0</v>
      </c>
      <c r="W107" s="208">
        <v>0.0</v>
      </c>
      <c r="X107" s="208">
        <v>12.0</v>
      </c>
      <c r="Y107" s="208">
        <v>16.0</v>
      </c>
      <c r="Z107" s="208">
        <v>23.0</v>
      </c>
      <c r="AA107" s="208">
        <v>10.0</v>
      </c>
      <c r="AB107" s="208">
        <v>28.0</v>
      </c>
      <c r="AC107" s="208">
        <v>0.0</v>
      </c>
      <c r="AD107" s="208">
        <v>0.0</v>
      </c>
      <c r="AE107" s="208">
        <v>0.0</v>
      </c>
      <c r="AF107" s="208">
        <v>0.0</v>
      </c>
      <c r="AG107" s="208">
        <v>153.0</v>
      </c>
      <c r="AH107" s="208">
        <v>197.0</v>
      </c>
      <c r="AI107" s="208">
        <v>72.0</v>
      </c>
      <c r="AJ107" s="208">
        <v>0.0</v>
      </c>
      <c r="AK107" s="208">
        <v>3.0</v>
      </c>
      <c r="AL107" s="208">
        <v>93820.0</v>
      </c>
      <c r="AM107" s="208">
        <v>0.0</v>
      </c>
      <c r="AN107" s="208">
        <v>0.0</v>
      </c>
      <c r="AO107" s="208">
        <v>0.0</v>
      </c>
      <c r="AP107" s="208">
        <v>0.0</v>
      </c>
      <c r="AQ107" s="208">
        <v>0.0</v>
      </c>
      <c r="AR107" s="208">
        <v>0.0</v>
      </c>
      <c r="AS107" s="208">
        <v>708.0</v>
      </c>
      <c r="AT107" s="208">
        <v>5227.06</v>
      </c>
      <c r="AU107" s="208">
        <v>0.0</v>
      </c>
      <c r="AV107" s="208">
        <v>51.0</v>
      </c>
      <c r="AW107" s="208">
        <v>0.0</v>
      </c>
      <c r="AX107" s="208">
        <v>102.0</v>
      </c>
      <c r="AY107" s="208">
        <v>42.0</v>
      </c>
    </row>
    <row r="108">
      <c r="A108" s="208" t="s">
        <v>73</v>
      </c>
      <c r="B108" s="533" t="s">
        <v>1229</v>
      </c>
      <c r="C108" s="208" t="s">
        <v>79</v>
      </c>
      <c r="D108" s="208" t="s">
        <v>76</v>
      </c>
      <c r="E108" s="208" t="s">
        <v>80</v>
      </c>
      <c r="F108" s="585">
        <v>45208.0</v>
      </c>
      <c r="G108" s="208" t="s">
        <v>73</v>
      </c>
      <c r="H108" s="208">
        <v>500001.0</v>
      </c>
      <c r="I108" s="208">
        <v>3000000.0</v>
      </c>
      <c r="J108" s="208">
        <v>531445.02</v>
      </c>
      <c r="K108" s="208">
        <v>0.0</v>
      </c>
      <c r="L108" s="536">
        <f t="shared" si="1"/>
        <v>531445.02</v>
      </c>
      <c r="M108" s="208">
        <v>24.0</v>
      </c>
      <c r="N108" s="208">
        <v>23.0</v>
      </c>
      <c r="O108" s="208">
        <v>1.0</v>
      </c>
      <c r="P108" s="208">
        <v>25.0</v>
      </c>
      <c r="Q108" s="208">
        <v>2.0</v>
      </c>
      <c r="R108" s="208">
        <v>427322.77</v>
      </c>
      <c r="S108" s="208">
        <v>104122.25</v>
      </c>
      <c r="T108" s="208">
        <v>8.0</v>
      </c>
      <c r="U108" s="208">
        <v>1.0</v>
      </c>
      <c r="V108" s="208">
        <v>9.0</v>
      </c>
      <c r="W108" s="208">
        <v>0.0</v>
      </c>
      <c r="X108" s="208">
        <v>7.0</v>
      </c>
      <c r="Y108" s="208">
        <v>13.0</v>
      </c>
      <c r="Z108" s="208">
        <v>111.0</v>
      </c>
      <c r="AA108" s="208">
        <v>2.0</v>
      </c>
      <c r="AB108" s="208">
        <v>20.0</v>
      </c>
      <c r="AC108" s="208">
        <v>1.0</v>
      </c>
      <c r="AD108" s="208">
        <v>9.0</v>
      </c>
      <c r="AE108" s="208">
        <v>0.0</v>
      </c>
      <c r="AF108" s="208">
        <v>0.0</v>
      </c>
      <c r="AG108" s="208">
        <v>206.0</v>
      </c>
      <c r="AH108" s="208">
        <v>248.0</v>
      </c>
      <c r="AI108" s="208">
        <v>65.0</v>
      </c>
      <c r="AJ108" s="208">
        <v>8176.0</v>
      </c>
      <c r="AK108" s="208">
        <v>4.0</v>
      </c>
      <c r="AL108" s="208">
        <v>36018.0</v>
      </c>
      <c r="AM108" s="208">
        <v>0.0</v>
      </c>
      <c r="AN108" s="208">
        <v>0.0678</v>
      </c>
      <c r="AO108" s="208">
        <v>59049.0</v>
      </c>
      <c r="AP108" s="208">
        <v>0.18</v>
      </c>
      <c r="AQ108" s="208">
        <v>0.0</v>
      </c>
      <c r="AR108" s="208">
        <v>20.0</v>
      </c>
      <c r="AS108" s="208">
        <v>641.0</v>
      </c>
      <c r="AT108" s="208">
        <v>2661.19</v>
      </c>
      <c r="AU108" s="208">
        <v>1.0</v>
      </c>
      <c r="AV108" s="208">
        <v>116.0</v>
      </c>
      <c r="AW108" s="208">
        <v>9.0</v>
      </c>
      <c r="AX108" s="208">
        <v>14.0</v>
      </c>
      <c r="AY108" s="208">
        <v>2.0</v>
      </c>
    </row>
    <row r="109">
      <c r="A109" s="208" t="s">
        <v>185</v>
      </c>
      <c r="B109" s="533" t="s">
        <v>212</v>
      </c>
      <c r="C109" s="208" t="s">
        <v>251</v>
      </c>
      <c r="D109" s="208" t="s">
        <v>1065</v>
      </c>
      <c r="E109" s="208" t="s">
        <v>252</v>
      </c>
      <c r="F109" s="585">
        <v>45231.0</v>
      </c>
      <c r="G109" s="208" t="s">
        <v>218</v>
      </c>
      <c r="H109" s="208">
        <v>0.0</v>
      </c>
      <c r="I109" s="208">
        <v>4500000.0</v>
      </c>
      <c r="J109" s="208">
        <v>957018.23</v>
      </c>
      <c r="K109" s="208">
        <v>0.0</v>
      </c>
      <c r="L109" s="536">
        <f t="shared" si="1"/>
        <v>957018.23</v>
      </c>
      <c r="M109" s="208">
        <v>39.0</v>
      </c>
      <c r="N109" s="208">
        <v>36.0</v>
      </c>
      <c r="O109" s="208">
        <v>1.0</v>
      </c>
      <c r="P109" s="208">
        <v>40.0</v>
      </c>
      <c r="Q109" s="208">
        <v>4.0</v>
      </c>
      <c r="R109" s="208">
        <v>869461.68</v>
      </c>
      <c r="S109" s="208">
        <v>87556.55</v>
      </c>
      <c r="T109" s="208">
        <v>6.0</v>
      </c>
      <c r="U109" s="208">
        <v>1.0</v>
      </c>
      <c r="V109" s="208">
        <v>7.0</v>
      </c>
      <c r="W109" s="208">
        <v>0.0</v>
      </c>
      <c r="X109" s="208">
        <v>15.0</v>
      </c>
      <c r="Y109" s="208">
        <v>29.0</v>
      </c>
      <c r="Z109" s="208">
        <v>75.0</v>
      </c>
      <c r="AA109" s="208">
        <v>1.0</v>
      </c>
      <c r="AB109" s="208">
        <v>47.0</v>
      </c>
      <c r="AC109" s="208">
        <v>0.0</v>
      </c>
      <c r="AD109" s="208">
        <v>0.0</v>
      </c>
      <c r="AE109" s="208">
        <v>0.0</v>
      </c>
      <c r="AF109" s="208">
        <v>0.0</v>
      </c>
      <c r="AG109" s="208">
        <v>206.0</v>
      </c>
      <c r="AH109" s="208">
        <v>282.0</v>
      </c>
      <c r="AI109" s="208">
        <v>61.0</v>
      </c>
      <c r="AJ109" s="208">
        <v>15689.0</v>
      </c>
      <c r="AK109" s="208">
        <v>5.0</v>
      </c>
      <c r="AL109" s="208">
        <v>25803.0</v>
      </c>
      <c r="AM109" s="208">
        <v>0.0</v>
      </c>
      <c r="AN109" s="208">
        <v>0.027</v>
      </c>
      <c r="AO109" s="208">
        <v>136717.0</v>
      </c>
      <c r="AP109" s="208">
        <v>0.21</v>
      </c>
      <c r="AQ109" s="208">
        <v>0.0</v>
      </c>
      <c r="AR109" s="208">
        <v>7.0</v>
      </c>
      <c r="AS109" s="208">
        <v>578.0</v>
      </c>
      <c r="AT109" s="208">
        <v>2712.19</v>
      </c>
      <c r="AU109" s="208">
        <v>1.0</v>
      </c>
      <c r="AV109" s="208">
        <v>75.0</v>
      </c>
      <c r="AW109" s="208">
        <v>7.0</v>
      </c>
      <c r="AX109" s="208">
        <v>29.0</v>
      </c>
      <c r="AY109" s="208">
        <v>4.0</v>
      </c>
    </row>
    <row r="110">
      <c r="A110" s="208" t="s">
        <v>185</v>
      </c>
      <c r="B110" s="533" t="s">
        <v>212</v>
      </c>
      <c r="C110" s="208" t="s">
        <v>253</v>
      </c>
      <c r="D110" s="208" t="s">
        <v>1031</v>
      </c>
      <c r="E110" s="208" t="s">
        <v>254</v>
      </c>
      <c r="F110" s="585">
        <v>45233.0</v>
      </c>
      <c r="G110" s="208" t="s">
        <v>489</v>
      </c>
      <c r="H110" s="208">
        <v>0.0</v>
      </c>
      <c r="I110" s="208">
        <v>4500000.0</v>
      </c>
      <c r="J110" s="208">
        <v>3248005.79</v>
      </c>
      <c r="K110" s="208">
        <v>0.0</v>
      </c>
      <c r="L110" s="536">
        <f t="shared" si="1"/>
        <v>3248005.79</v>
      </c>
      <c r="M110" s="208">
        <v>44.0</v>
      </c>
      <c r="N110" s="208">
        <v>50.0</v>
      </c>
      <c r="O110" s="208">
        <v>11.0</v>
      </c>
      <c r="P110" s="208">
        <v>55.0</v>
      </c>
      <c r="Q110" s="208">
        <v>5.0</v>
      </c>
      <c r="R110" s="208">
        <v>2859496.68</v>
      </c>
      <c r="S110" s="208">
        <v>388509.11</v>
      </c>
      <c r="T110" s="208">
        <v>29.0</v>
      </c>
      <c r="U110" s="208">
        <v>11.0</v>
      </c>
      <c r="V110" s="208">
        <v>40.0</v>
      </c>
      <c r="W110" s="208">
        <v>0.0</v>
      </c>
      <c r="X110" s="208">
        <v>24.0</v>
      </c>
      <c r="Y110" s="208">
        <v>29.0</v>
      </c>
      <c r="Z110" s="208">
        <v>74.0</v>
      </c>
      <c r="AA110" s="208">
        <v>2.0</v>
      </c>
      <c r="AB110" s="208">
        <v>37.0</v>
      </c>
      <c r="AC110" s="208">
        <v>2.0</v>
      </c>
      <c r="AD110" s="208">
        <v>7.0</v>
      </c>
      <c r="AE110" s="208">
        <v>1.0</v>
      </c>
      <c r="AF110" s="208">
        <v>1.0</v>
      </c>
      <c r="AG110" s="208">
        <v>162.0</v>
      </c>
      <c r="AH110" s="208">
        <v>236.0</v>
      </c>
      <c r="AI110" s="208">
        <v>75.0</v>
      </c>
      <c r="AJ110" s="208">
        <v>43307.0</v>
      </c>
      <c r="AK110" s="208">
        <v>3.0</v>
      </c>
      <c r="AL110" s="208">
        <v>26530.0</v>
      </c>
      <c r="AM110" s="208">
        <v>0.0</v>
      </c>
      <c r="AN110" s="208">
        <v>0.0082</v>
      </c>
      <c r="AO110" s="208">
        <v>81200.0</v>
      </c>
      <c r="AP110" s="208">
        <v>0.72</v>
      </c>
      <c r="AQ110" s="208">
        <v>0.0</v>
      </c>
      <c r="AR110" s="208">
        <v>83.0</v>
      </c>
      <c r="AS110" s="208">
        <v>757.0</v>
      </c>
      <c r="AT110" s="208">
        <v>4120.03</v>
      </c>
      <c r="AU110" s="208">
        <v>11.0</v>
      </c>
      <c r="AV110" s="208">
        <v>82.0</v>
      </c>
      <c r="AW110" s="208">
        <v>40.0</v>
      </c>
      <c r="AX110" s="208">
        <v>14.0</v>
      </c>
      <c r="AY110" s="208">
        <v>1.0</v>
      </c>
    </row>
    <row r="111">
      <c r="A111" s="208" t="s">
        <v>185</v>
      </c>
      <c r="B111" s="533" t="s">
        <v>212</v>
      </c>
      <c r="C111" s="208" t="s">
        <v>255</v>
      </c>
      <c r="D111" s="208" t="s">
        <v>1031</v>
      </c>
      <c r="E111" s="208" t="s">
        <v>256</v>
      </c>
      <c r="F111" s="585">
        <v>45236.0</v>
      </c>
      <c r="G111" s="208" t="s">
        <v>489</v>
      </c>
      <c r="H111" s="208">
        <v>0.0</v>
      </c>
      <c r="I111" s="208">
        <v>4500000.0</v>
      </c>
      <c r="J111" s="208">
        <v>3566609.44</v>
      </c>
      <c r="K111" s="208">
        <v>0.0</v>
      </c>
      <c r="L111" s="536">
        <f t="shared" si="1"/>
        <v>3566609.44</v>
      </c>
      <c r="M111" s="208">
        <v>58.0</v>
      </c>
      <c r="N111" s="208">
        <v>60.0</v>
      </c>
      <c r="O111" s="208">
        <v>5.0</v>
      </c>
      <c r="P111" s="208">
        <v>63.0</v>
      </c>
      <c r="Q111" s="208">
        <v>3.0</v>
      </c>
      <c r="R111" s="208">
        <v>3176977.98</v>
      </c>
      <c r="S111" s="208">
        <v>389631.46</v>
      </c>
      <c r="T111" s="208">
        <v>34.0</v>
      </c>
      <c r="U111" s="208">
        <v>5.0</v>
      </c>
      <c r="V111" s="208">
        <v>39.0</v>
      </c>
      <c r="W111" s="208">
        <v>0.0</v>
      </c>
      <c r="X111" s="208">
        <v>16.0</v>
      </c>
      <c r="Y111" s="208">
        <v>27.0</v>
      </c>
      <c r="Z111" s="208">
        <v>158.0</v>
      </c>
      <c r="AA111" s="208">
        <v>0.0</v>
      </c>
      <c r="AB111" s="208">
        <v>0.0</v>
      </c>
      <c r="AC111" s="208">
        <v>0.0</v>
      </c>
      <c r="AD111" s="208">
        <v>0.0</v>
      </c>
      <c r="AE111" s="208">
        <v>0.0</v>
      </c>
      <c r="AF111" s="208">
        <v>0.0</v>
      </c>
      <c r="AG111" s="208">
        <v>396.0</v>
      </c>
      <c r="AH111" s="208">
        <v>423.0</v>
      </c>
      <c r="AI111" s="208">
        <v>75.0</v>
      </c>
      <c r="AJ111" s="208">
        <v>47555.0</v>
      </c>
      <c r="AK111" s="208">
        <v>6.0</v>
      </c>
      <c r="AL111" s="208">
        <v>27680.0</v>
      </c>
      <c r="AM111" s="208">
        <v>0.0</v>
      </c>
      <c r="AN111" s="208">
        <v>0.0078</v>
      </c>
      <c r="AO111" s="208">
        <v>91452.0</v>
      </c>
      <c r="AP111" s="208">
        <v>0.79</v>
      </c>
      <c r="AQ111" s="208">
        <v>0.0</v>
      </c>
      <c r="AR111" s="208">
        <v>143.0</v>
      </c>
      <c r="AS111" s="208">
        <v>550.0</v>
      </c>
      <c r="AT111" s="208">
        <v>5200.5</v>
      </c>
      <c r="AU111" s="208">
        <v>5.0</v>
      </c>
      <c r="AV111" s="208">
        <v>87.0</v>
      </c>
      <c r="AW111" s="208">
        <v>39.0</v>
      </c>
      <c r="AX111" s="208">
        <v>21.0</v>
      </c>
      <c r="AY111" s="208">
        <v>3.0</v>
      </c>
    </row>
    <row r="112">
      <c r="A112" s="208" t="s">
        <v>185</v>
      </c>
      <c r="B112" s="533" t="s">
        <v>215</v>
      </c>
      <c r="C112" s="208" t="s">
        <v>257</v>
      </c>
      <c r="D112" s="208" t="s">
        <v>1065</v>
      </c>
      <c r="E112" s="208" t="s">
        <v>258</v>
      </c>
      <c r="F112" s="585">
        <v>45236.0</v>
      </c>
      <c r="G112" s="208" t="s">
        <v>776</v>
      </c>
      <c r="H112" s="208">
        <v>0.0</v>
      </c>
      <c r="I112" s="208">
        <v>5850000.0</v>
      </c>
      <c r="J112" s="208">
        <v>4426940.24</v>
      </c>
      <c r="K112" s="208">
        <v>0.0</v>
      </c>
      <c r="L112" s="536">
        <f t="shared" si="1"/>
        <v>4426940.24</v>
      </c>
      <c r="M112" s="208">
        <v>31.0</v>
      </c>
      <c r="N112" s="208">
        <v>31.0</v>
      </c>
      <c r="O112" s="208">
        <v>1.0</v>
      </c>
      <c r="P112" s="208">
        <v>32.0</v>
      </c>
      <c r="Q112" s="208">
        <v>1.0</v>
      </c>
      <c r="R112" s="208">
        <v>4286103.38</v>
      </c>
      <c r="S112" s="208">
        <v>140836.86</v>
      </c>
      <c r="T112" s="208">
        <v>18.0</v>
      </c>
      <c r="U112" s="208">
        <v>1.0</v>
      </c>
      <c r="V112" s="208">
        <v>19.0</v>
      </c>
      <c r="W112" s="208">
        <v>0.0</v>
      </c>
      <c r="X112" s="208">
        <v>7.0</v>
      </c>
      <c r="Y112" s="208">
        <v>9.0</v>
      </c>
      <c r="Z112" s="208">
        <v>115.0</v>
      </c>
      <c r="AA112" s="208">
        <v>1.0</v>
      </c>
      <c r="AB112" s="208">
        <v>2.0</v>
      </c>
      <c r="AC112" s="208">
        <v>0.0</v>
      </c>
      <c r="AD112" s="208">
        <v>0.0</v>
      </c>
      <c r="AE112" s="208">
        <v>0.0</v>
      </c>
      <c r="AF112" s="208">
        <v>0.0</v>
      </c>
      <c r="AG112" s="208">
        <v>265.0</v>
      </c>
      <c r="AH112" s="208">
        <v>276.0</v>
      </c>
      <c r="AI112" s="208">
        <v>72.0</v>
      </c>
      <c r="AJ112" s="208">
        <v>61485.0</v>
      </c>
      <c r="AK112" s="208">
        <v>4.0</v>
      </c>
      <c r="AL112" s="208">
        <v>29985.0</v>
      </c>
      <c r="AM112" s="208">
        <v>0.0</v>
      </c>
      <c r="AN112" s="208">
        <v>0.0068</v>
      </c>
      <c r="AO112" s="208">
        <v>232997.0</v>
      </c>
      <c r="AP112" s="208">
        <v>0.76</v>
      </c>
      <c r="AQ112" s="208">
        <v>0.0</v>
      </c>
      <c r="AR112" s="208">
        <v>33.0</v>
      </c>
      <c r="AS112" s="208">
        <v>721.0</v>
      </c>
      <c r="AT112" s="208">
        <v>4778.18</v>
      </c>
      <c r="AU112" s="208">
        <v>1.0</v>
      </c>
      <c r="AV112" s="208">
        <v>154.0</v>
      </c>
      <c r="AW112" s="208">
        <v>19.0</v>
      </c>
      <c r="AX112" s="208">
        <v>12.0</v>
      </c>
      <c r="AY112" s="208">
        <v>1.0</v>
      </c>
    </row>
    <row r="113">
      <c r="A113" s="208" t="s">
        <v>23</v>
      </c>
      <c r="B113" s="533" t="s">
        <v>30</v>
      </c>
      <c r="C113" s="208" t="s">
        <v>28</v>
      </c>
      <c r="D113" s="208" t="s">
        <v>30</v>
      </c>
      <c r="E113" s="208" t="s">
        <v>29</v>
      </c>
      <c r="F113" s="585">
        <v>45261.0</v>
      </c>
      <c r="G113" s="208" t="s">
        <v>23</v>
      </c>
      <c r="H113" s="208">
        <v>600000.0</v>
      </c>
      <c r="I113" s="208">
        <v>3600000.0</v>
      </c>
      <c r="J113" s="208">
        <v>3405908.69</v>
      </c>
      <c r="K113" s="208">
        <v>82865.53</v>
      </c>
      <c r="L113" s="536">
        <f t="shared" si="1"/>
        <v>3488774.22</v>
      </c>
      <c r="M113" s="208">
        <v>83.0</v>
      </c>
      <c r="N113" s="208">
        <v>75.0</v>
      </c>
      <c r="O113" s="208">
        <v>4.0</v>
      </c>
      <c r="P113" s="208">
        <v>87.0</v>
      </c>
      <c r="Q113" s="208">
        <v>12.0</v>
      </c>
      <c r="R113" s="208">
        <v>3100996.02</v>
      </c>
      <c r="S113" s="208">
        <v>304912.67</v>
      </c>
      <c r="T113" s="208">
        <v>44.0</v>
      </c>
      <c r="U113" s="208">
        <v>4.0</v>
      </c>
      <c r="V113" s="208">
        <v>48.0</v>
      </c>
      <c r="W113" s="208">
        <v>1.0</v>
      </c>
      <c r="X113" s="208">
        <v>36.0</v>
      </c>
      <c r="Y113" s="208">
        <v>65.0</v>
      </c>
      <c r="Z113" s="208">
        <v>94.0</v>
      </c>
      <c r="AA113" s="208">
        <v>2.0</v>
      </c>
      <c r="AB113" s="208">
        <v>65.0</v>
      </c>
      <c r="AC113" s="208">
        <v>2.0</v>
      </c>
      <c r="AD113" s="208">
        <v>5.0</v>
      </c>
      <c r="AE113" s="208">
        <v>0.0</v>
      </c>
      <c r="AF113" s="208">
        <v>0.0</v>
      </c>
      <c r="AG113" s="208">
        <v>327.0</v>
      </c>
      <c r="AH113" s="208">
        <v>462.0</v>
      </c>
      <c r="AI113" s="208">
        <v>76.0</v>
      </c>
      <c r="AJ113" s="208">
        <v>44815.0</v>
      </c>
      <c r="AK113" s="208">
        <v>6.0</v>
      </c>
      <c r="AL113" s="208">
        <v>33784.0</v>
      </c>
      <c r="AM113" s="208">
        <v>0.0</v>
      </c>
      <c r="AN113" s="208">
        <v>0.0099</v>
      </c>
      <c r="AO113" s="208">
        <v>70956.0</v>
      </c>
      <c r="AP113" s="208">
        <v>0.95</v>
      </c>
      <c r="AQ113" s="208">
        <v>0.14</v>
      </c>
      <c r="AR113" s="208">
        <v>91.0</v>
      </c>
      <c r="AS113" s="208">
        <v>753.0</v>
      </c>
      <c r="AT113" s="208">
        <v>4580.46</v>
      </c>
      <c r="AU113" s="208">
        <v>4.0</v>
      </c>
      <c r="AV113" s="208">
        <v>61.0</v>
      </c>
      <c r="AW113" s="208">
        <v>48.0</v>
      </c>
      <c r="AX113" s="208">
        <v>27.0</v>
      </c>
      <c r="AY113" s="208">
        <v>12.0</v>
      </c>
    </row>
    <row r="114">
      <c r="A114" s="208" t="s">
        <v>47</v>
      </c>
      <c r="B114" s="533" t="s">
        <v>50</v>
      </c>
      <c r="C114" s="208" t="s">
        <v>801</v>
      </c>
      <c r="D114" s="208" t="s">
        <v>1085</v>
      </c>
      <c r="E114" s="208" t="s">
        <v>1086</v>
      </c>
      <c r="F114" s="584">
        <v>45271.0</v>
      </c>
      <c r="G114" s="208" t="s">
        <v>47</v>
      </c>
      <c r="H114" s="208">
        <v>0.0</v>
      </c>
      <c r="I114" s="208">
        <v>0.0</v>
      </c>
      <c r="J114" s="208">
        <v>0.0</v>
      </c>
      <c r="K114" s="208">
        <v>0.0</v>
      </c>
      <c r="L114" s="536">
        <f t="shared" si="1"/>
        <v>0</v>
      </c>
      <c r="M114" s="208">
        <v>67.0</v>
      </c>
      <c r="N114" s="208">
        <v>21.0</v>
      </c>
      <c r="O114" s="208">
        <v>0.0</v>
      </c>
      <c r="P114" s="208">
        <v>67.0</v>
      </c>
      <c r="Q114" s="208">
        <v>46.0</v>
      </c>
      <c r="R114" s="208">
        <v>0.0</v>
      </c>
      <c r="S114" s="208">
        <v>0.0</v>
      </c>
      <c r="T114" s="208">
        <v>0.0</v>
      </c>
      <c r="U114" s="208">
        <v>0.0</v>
      </c>
      <c r="V114" s="208">
        <v>0.0</v>
      </c>
      <c r="W114" s="208">
        <v>0.0</v>
      </c>
      <c r="X114" s="208">
        <v>9.0</v>
      </c>
      <c r="Y114" s="208">
        <v>14.0</v>
      </c>
      <c r="Z114" s="208">
        <v>83.0</v>
      </c>
      <c r="AA114" s="208">
        <v>6.0</v>
      </c>
      <c r="AB114" s="208">
        <v>40.0</v>
      </c>
      <c r="AC114" s="208">
        <v>0.0</v>
      </c>
      <c r="AD114" s="208">
        <v>0.0</v>
      </c>
      <c r="AE114" s="208">
        <v>50.0</v>
      </c>
      <c r="AF114" s="208">
        <v>87.0</v>
      </c>
      <c r="AG114" s="208">
        <v>25.0</v>
      </c>
      <c r="AH114" s="208">
        <v>166.0</v>
      </c>
      <c r="AI114" s="208">
        <v>64.0</v>
      </c>
      <c r="AJ114" s="208">
        <v>0.0</v>
      </c>
      <c r="AK114" s="208">
        <v>3.0</v>
      </c>
      <c r="AL114" s="208">
        <v>35410.0</v>
      </c>
      <c r="AM114" s="208">
        <v>0.0</v>
      </c>
      <c r="AN114" s="208">
        <v>0.0</v>
      </c>
      <c r="AO114" s="208">
        <v>0.0</v>
      </c>
      <c r="AP114" s="208">
        <v>0.0</v>
      </c>
      <c r="AQ114" s="208">
        <v>0.0</v>
      </c>
      <c r="AR114" s="208">
        <v>0.0</v>
      </c>
      <c r="AS114" s="208">
        <v>589.0</v>
      </c>
      <c r="AT114" s="208">
        <v>7717.05</v>
      </c>
      <c r="AU114" s="208">
        <v>0.0</v>
      </c>
      <c r="AV114" s="208">
        <v>367.0</v>
      </c>
      <c r="AW114" s="208">
        <v>0.0</v>
      </c>
      <c r="AX114" s="208">
        <v>21.0</v>
      </c>
      <c r="AY114" s="208">
        <v>46.0</v>
      </c>
      <c r="AZ114" s="584">
        <v>45930.0</v>
      </c>
    </row>
    <row r="115">
      <c r="A115" s="208" t="s">
        <v>185</v>
      </c>
      <c r="B115" s="533" t="s">
        <v>196</v>
      </c>
      <c r="C115" s="208" t="s">
        <v>259</v>
      </c>
      <c r="D115" s="208" t="s">
        <v>1027</v>
      </c>
      <c r="E115" s="208" t="s">
        <v>260</v>
      </c>
      <c r="F115" s="584">
        <v>45278.0</v>
      </c>
      <c r="G115" s="208" t="s">
        <v>185</v>
      </c>
      <c r="H115" s="208">
        <v>0.0</v>
      </c>
      <c r="I115" s="208">
        <v>5100000.0</v>
      </c>
      <c r="J115" s="208">
        <v>3021098.09</v>
      </c>
      <c r="K115" s="208">
        <v>0.0</v>
      </c>
      <c r="L115" s="536">
        <f t="shared" si="1"/>
        <v>3021098.09</v>
      </c>
      <c r="M115" s="208">
        <v>65.0</v>
      </c>
      <c r="N115" s="208">
        <v>66.0</v>
      </c>
      <c r="O115" s="208">
        <v>4.0</v>
      </c>
      <c r="P115" s="208">
        <v>69.0</v>
      </c>
      <c r="Q115" s="208">
        <v>3.0</v>
      </c>
      <c r="R115" s="208">
        <v>2694809.17</v>
      </c>
      <c r="S115" s="208">
        <v>326288.92</v>
      </c>
      <c r="T115" s="208">
        <v>27.0</v>
      </c>
      <c r="U115" s="208">
        <v>4.0</v>
      </c>
      <c r="V115" s="208">
        <v>31.0</v>
      </c>
      <c r="W115" s="208">
        <v>0.0</v>
      </c>
      <c r="X115" s="208">
        <v>30.0</v>
      </c>
      <c r="Y115" s="208">
        <v>54.0</v>
      </c>
      <c r="Z115" s="208">
        <v>101.0</v>
      </c>
      <c r="AA115" s="208">
        <v>2.0</v>
      </c>
      <c r="AB115" s="208">
        <v>12.0</v>
      </c>
      <c r="AC115" s="208">
        <v>0.0</v>
      </c>
      <c r="AD115" s="208">
        <v>0.0</v>
      </c>
      <c r="AE115" s="208">
        <v>0.0</v>
      </c>
      <c r="AF115" s="208">
        <v>0.0</v>
      </c>
      <c r="AG115" s="208">
        <v>345.0</v>
      </c>
      <c r="AH115" s="208">
        <v>411.0</v>
      </c>
      <c r="AI115" s="208">
        <v>75.0</v>
      </c>
      <c r="AJ115" s="208">
        <v>40281.0</v>
      </c>
      <c r="AK115" s="208">
        <v>5.0</v>
      </c>
      <c r="AL115" s="208">
        <v>39855.0</v>
      </c>
      <c r="AM115" s="208">
        <v>0.0</v>
      </c>
      <c r="AN115" s="208">
        <v>0.0132</v>
      </c>
      <c r="AO115" s="208">
        <v>97455.0</v>
      </c>
      <c r="AP115" s="208">
        <v>0.59</v>
      </c>
      <c r="AQ115" s="208">
        <v>0.0</v>
      </c>
      <c r="AR115" s="208">
        <v>88.0</v>
      </c>
      <c r="AS115" s="208">
        <v>857.0</v>
      </c>
      <c r="AT115" s="208">
        <v>6634.64</v>
      </c>
      <c r="AU115" s="208">
        <v>4.0</v>
      </c>
      <c r="AV115" s="208">
        <v>101.0</v>
      </c>
      <c r="AW115" s="208">
        <v>31.0</v>
      </c>
      <c r="AX115" s="208">
        <v>35.0</v>
      </c>
      <c r="AY115" s="208">
        <v>3.0</v>
      </c>
    </row>
    <row r="116">
      <c r="A116" s="208" t="s">
        <v>185</v>
      </c>
      <c r="B116" s="533" t="s">
        <v>222</v>
      </c>
      <c r="C116" s="208" t="s">
        <v>261</v>
      </c>
      <c r="D116" s="208" t="s">
        <v>1088</v>
      </c>
      <c r="E116" s="208" t="s">
        <v>262</v>
      </c>
      <c r="F116" s="585">
        <v>45292.0</v>
      </c>
      <c r="G116" s="208" t="s">
        <v>185</v>
      </c>
      <c r="H116" s="208">
        <v>0.0</v>
      </c>
      <c r="I116" s="208">
        <v>4500000.0</v>
      </c>
      <c r="J116" s="208">
        <v>4668148.94</v>
      </c>
      <c r="K116" s="208">
        <v>0.0</v>
      </c>
      <c r="L116" s="536">
        <f t="shared" si="1"/>
        <v>4668148.94</v>
      </c>
      <c r="M116" s="208">
        <v>42.0</v>
      </c>
      <c r="N116" s="208">
        <v>32.0</v>
      </c>
      <c r="O116" s="208">
        <v>0.0</v>
      </c>
      <c r="P116" s="208">
        <v>42.0</v>
      </c>
      <c r="Q116" s="208">
        <v>10.0</v>
      </c>
      <c r="R116" s="208">
        <v>4668148.94</v>
      </c>
      <c r="S116" s="208">
        <v>0.0</v>
      </c>
      <c r="T116" s="208">
        <v>26.0</v>
      </c>
      <c r="U116" s="208">
        <v>0.0</v>
      </c>
      <c r="V116" s="208">
        <v>26.0</v>
      </c>
      <c r="W116" s="208">
        <v>0.0</v>
      </c>
      <c r="X116" s="208">
        <v>10.0</v>
      </c>
      <c r="Y116" s="208">
        <v>17.0</v>
      </c>
      <c r="Z116" s="208">
        <v>77.0</v>
      </c>
      <c r="AA116" s="208">
        <v>0.0</v>
      </c>
      <c r="AB116" s="208">
        <v>0.0</v>
      </c>
      <c r="AC116" s="208">
        <v>0.0</v>
      </c>
      <c r="AD116" s="208">
        <v>0.0</v>
      </c>
      <c r="AE116" s="208">
        <v>0.0</v>
      </c>
      <c r="AF116" s="208">
        <v>0.0</v>
      </c>
      <c r="AG116" s="208">
        <v>371.0</v>
      </c>
      <c r="AH116" s="208">
        <v>388.0</v>
      </c>
      <c r="AI116" s="208">
        <v>69.0</v>
      </c>
      <c r="AJ116" s="208">
        <v>67654.0</v>
      </c>
      <c r="AK116" s="208">
        <v>6.0</v>
      </c>
      <c r="AL116" s="208">
        <v>29430.0</v>
      </c>
      <c r="AM116" s="208">
        <v>0.0</v>
      </c>
      <c r="AN116" s="208">
        <v>0.0063</v>
      </c>
      <c r="AO116" s="208">
        <v>179544.0</v>
      </c>
      <c r="AP116" s="208">
        <v>1.04</v>
      </c>
      <c r="AQ116" s="208">
        <v>0.0</v>
      </c>
      <c r="AR116" s="208">
        <v>50.0</v>
      </c>
      <c r="AS116" s="208">
        <v>816.0</v>
      </c>
      <c r="AT116" s="208">
        <v>1747.39</v>
      </c>
      <c r="AU116" s="208">
        <v>0.0</v>
      </c>
      <c r="AV116" s="208">
        <v>55.0</v>
      </c>
      <c r="AW116" s="208">
        <v>26.0</v>
      </c>
      <c r="AX116" s="208">
        <v>10.0</v>
      </c>
      <c r="AY116" s="208">
        <v>6.0</v>
      </c>
    </row>
    <row r="117">
      <c r="A117" s="208" t="s">
        <v>185</v>
      </c>
      <c r="B117" s="533" t="s">
        <v>85</v>
      </c>
      <c r="C117" s="208" t="s">
        <v>394</v>
      </c>
      <c r="D117" s="208" t="s">
        <v>1058</v>
      </c>
      <c r="E117" s="208" t="s">
        <v>91</v>
      </c>
      <c r="F117" s="585">
        <v>45294.0</v>
      </c>
      <c r="H117" s="208">
        <v>0.0</v>
      </c>
      <c r="I117" s="208">
        <v>5000001.0</v>
      </c>
      <c r="J117" s="208">
        <v>3579409.8</v>
      </c>
      <c r="K117" s="208">
        <v>0.0</v>
      </c>
      <c r="L117" s="536">
        <f t="shared" si="1"/>
        <v>3579409.8</v>
      </c>
      <c r="M117" s="208">
        <v>96.0</v>
      </c>
      <c r="N117" s="208">
        <v>62.0</v>
      </c>
      <c r="O117" s="208">
        <v>13.0</v>
      </c>
      <c r="P117" s="208">
        <v>109.0</v>
      </c>
      <c r="Q117" s="208">
        <v>47.0</v>
      </c>
      <c r="R117" s="208">
        <v>3132043.4</v>
      </c>
      <c r="S117" s="208">
        <v>447366.4</v>
      </c>
      <c r="T117" s="208">
        <v>30.0</v>
      </c>
      <c r="U117" s="208">
        <v>12.0</v>
      </c>
      <c r="V117" s="208">
        <v>42.0</v>
      </c>
      <c r="W117" s="208">
        <v>0.0</v>
      </c>
      <c r="X117" s="208">
        <v>7.0</v>
      </c>
      <c r="Y117" s="208">
        <v>8.0</v>
      </c>
      <c r="Z117" s="208">
        <v>92.0</v>
      </c>
      <c r="AA117" s="208">
        <v>3.0</v>
      </c>
      <c r="AB117" s="208">
        <v>26.0</v>
      </c>
      <c r="AC117" s="208">
        <v>2.0</v>
      </c>
      <c r="AD117" s="208">
        <v>22.0</v>
      </c>
      <c r="AE117" s="208">
        <v>1.0</v>
      </c>
      <c r="AF117" s="208">
        <v>1.0</v>
      </c>
      <c r="AG117" s="208">
        <v>180.0</v>
      </c>
      <c r="AH117" s="208">
        <v>237.0</v>
      </c>
      <c r="AI117" s="208">
        <v>72.0</v>
      </c>
      <c r="AJ117" s="208">
        <v>49714.0</v>
      </c>
      <c r="AK117" s="208">
        <v>3.0</v>
      </c>
      <c r="AL117" s="208">
        <v>31870.0</v>
      </c>
      <c r="AM117" s="208">
        <v>0.0</v>
      </c>
      <c r="AN117" s="208">
        <v>0.0089</v>
      </c>
      <c r="AO117" s="208">
        <v>85224.0</v>
      </c>
      <c r="AP117" s="208">
        <v>0.72</v>
      </c>
      <c r="AQ117" s="208">
        <v>0.0</v>
      </c>
      <c r="AR117" s="208">
        <v>78.0</v>
      </c>
      <c r="AS117" s="208">
        <v>770.0</v>
      </c>
      <c r="AT117" s="208">
        <v>4884.93</v>
      </c>
      <c r="AU117" s="208">
        <v>12.0</v>
      </c>
      <c r="AV117" s="208">
        <v>79.0</v>
      </c>
      <c r="AW117" s="208">
        <v>42.0</v>
      </c>
      <c r="AX117" s="208">
        <v>25.0</v>
      </c>
      <c r="AY117" s="208">
        <v>42.0</v>
      </c>
    </row>
    <row r="118">
      <c r="A118" s="208" t="s">
        <v>185</v>
      </c>
      <c r="B118" s="533" t="s">
        <v>189</v>
      </c>
      <c r="C118" s="208" t="s">
        <v>804</v>
      </c>
      <c r="D118" s="208" t="s">
        <v>1016</v>
      </c>
      <c r="E118" s="208" t="s">
        <v>187</v>
      </c>
      <c r="F118" s="585">
        <v>45295.0</v>
      </c>
      <c r="G118" s="208" t="s">
        <v>185</v>
      </c>
      <c r="H118" s="208">
        <v>0.0</v>
      </c>
      <c r="I118" s="208">
        <v>0.0</v>
      </c>
      <c r="J118" s="208">
        <v>0.0</v>
      </c>
      <c r="K118" s="208">
        <v>0.0</v>
      </c>
      <c r="L118" s="536">
        <f t="shared" si="1"/>
        <v>0</v>
      </c>
      <c r="M118" s="208">
        <v>165.0</v>
      </c>
      <c r="N118" s="208">
        <v>100.0</v>
      </c>
      <c r="O118" s="208">
        <v>9.0</v>
      </c>
      <c r="P118" s="208">
        <v>174.0</v>
      </c>
      <c r="Q118" s="208">
        <v>74.0</v>
      </c>
      <c r="R118" s="208">
        <v>0.0</v>
      </c>
      <c r="S118" s="208">
        <v>0.0</v>
      </c>
      <c r="T118" s="208">
        <v>0.0</v>
      </c>
      <c r="U118" s="208">
        <v>0.0</v>
      </c>
      <c r="V118" s="208">
        <v>0.0</v>
      </c>
      <c r="W118" s="208">
        <v>0.0</v>
      </c>
      <c r="X118" s="208">
        <v>14.0</v>
      </c>
      <c r="Y118" s="208">
        <v>19.0</v>
      </c>
      <c r="Z118" s="208">
        <v>10.0</v>
      </c>
      <c r="AA118" s="208">
        <v>10.0</v>
      </c>
      <c r="AB118" s="208">
        <v>17.0</v>
      </c>
      <c r="AC118" s="208">
        <v>0.0</v>
      </c>
      <c r="AD118" s="208">
        <v>0.0</v>
      </c>
      <c r="AE118" s="208">
        <v>0.0</v>
      </c>
      <c r="AF118" s="208">
        <v>0.0</v>
      </c>
      <c r="AG118" s="208">
        <v>160.0</v>
      </c>
      <c r="AH118" s="208">
        <v>196.0</v>
      </c>
      <c r="AI118" s="208">
        <v>74.0</v>
      </c>
      <c r="AJ118" s="208">
        <v>0.0</v>
      </c>
      <c r="AK118" s="208">
        <v>3.0</v>
      </c>
      <c r="AL118" s="208">
        <v>88555.0</v>
      </c>
      <c r="AM118" s="208">
        <v>0.0</v>
      </c>
      <c r="AN118" s="208">
        <v>0.0</v>
      </c>
      <c r="AO118" s="208">
        <v>0.0</v>
      </c>
      <c r="AP118" s="208">
        <v>0.0</v>
      </c>
      <c r="AQ118" s="208">
        <v>0.0</v>
      </c>
      <c r="AR118" s="208">
        <v>0.0</v>
      </c>
      <c r="AS118" s="208">
        <v>846.0</v>
      </c>
      <c r="AT118" s="208">
        <v>8864.19</v>
      </c>
      <c r="AU118" s="208">
        <v>0.0</v>
      </c>
      <c r="AV118" s="208">
        <v>89.0</v>
      </c>
      <c r="AW118" s="208">
        <v>0.0</v>
      </c>
      <c r="AX118" s="208">
        <v>100.0</v>
      </c>
      <c r="AY118" s="208">
        <v>74.0</v>
      </c>
    </row>
    <row r="119">
      <c r="A119" s="208" t="s">
        <v>47</v>
      </c>
      <c r="B119" s="533" t="s">
        <v>50</v>
      </c>
      <c r="C119" s="208" t="s">
        <v>48</v>
      </c>
      <c r="D119" s="208" t="s">
        <v>1091</v>
      </c>
      <c r="E119" s="208" t="s">
        <v>49</v>
      </c>
      <c r="F119" s="584">
        <v>45311.0</v>
      </c>
      <c r="H119" s="208">
        <v>0.0</v>
      </c>
      <c r="I119" s="208">
        <v>2499999.0</v>
      </c>
      <c r="J119" s="208">
        <v>1092550.17</v>
      </c>
      <c r="K119" s="208">
        <v>0.0</v>
      </c>
      <c r="L119" s="536">
        <f t="shared" si="1"/>
        <v>1092550.17</v>
      </c>
      <c r="M119" s="208">
        <v>73.0</v>
      </c>
      <c r="N119" s="208">
        <v>66.0</v>
      </c>
      <c r="O119" s="208">
        <v>1.0</v>
      </c>
      <c r="P119" s="208">
        <v>74.0</v>
      </c>
      <c r="Q119" s="208">
        <v>8.0</v>
      </c>
      <c r="R119" s="208">
        <v>1021372.73</v>
      </c>
      <c r="S119" s="208">
        <v>71177.44</v>
      </c>
      <c r="T119" s="208">
        <v>63.0</v>
      </c>
      <c r="U119" s="208">
        <v>1.0</v>
      </c>
      <c r="V119" s="208">
        <v>64.0</v>
      </c>
      <c r="W119" s="208">
        <v>0.0</v>
      </c>
      <c r="X119" s="208">
        <v>23.0</v>
      </c>
      <c r="Y119" s="208">
        <v>39.0</v>
      </c>
      <c r="Z119" s="208">
        <v>209.0</v>
      </c>
      <c r="AA119" s="208">
        <v>1.0</v>
      </c>
      <c r="AB119" s="208">
        <v>48.0</v>
      </c>
      <c r="AC119" s="208">
        <v>0.0</v>
      </c>
      <c r="AD119" s="208">
        <v>0.0</v>
      </c>
      <c r="AE119" s="208">
        <v>0.0</v>
      </c>
      <c r="AF119" s="208">
        <v>0.0</v>
      </c>
      <c r="AG119" s="208">
        <v>396.0</v>
      </c>
      <c r="AH119" s="208">
        <v>483.0</v>
      </c>
      <c r="AI119" s="208">
        <v>70.0</v>
      </c>
      <c r="AJ119" s="208">
        <v>15608.0</v>
      </c>
      <c r="AK119" s="208">
        <v>7.0</v>
      </c>
      <c r="AL119" s="208">
        <v>32318.0</v>
      </c>
      <c r="AM119" s="208">
        <v>0.0</v>
      </c>
      <c r="AN119" s="208">
        <v>0.0296</v>
      </c>
      <c r="AO119" s="208">
        <v>17071.0</v>
      </c>
      <c r="AP119" s="208">
        <v>0.44</v>
      </c>
      <c r="AQ119" s="208">
        <v>0.0</v>
      </c>
      <c r="AR119" s="208">
        <v>219.0</v>
      </c>
      <c r="AS119" s="208">
        <v>661.0</v>
      </c>
      <c r="AT119" s="208">
        <v>8548.56</v>
      </c>
      <c r="AU119" s="208">
        <v>1.0</v>
      </c>
      <c r="AV119" s="208">
        <v>130.0</v>
      </c>
      <c r="AW119" s="208">
        <v>64.0</v>
      </c>
      <c r="AX119" s="208">
        <v>2.0</v>
      </c>
      <c r="AY119" s="208">
        <v>8.0</v>
      </c>
    </row>
    <row r="120">
      <c r="A120" s="208" t="s">
        <v>185</v>
      </c>
      <c r="B120" s="533" t="s">
        <v>222</v>
      </c>
      <c r="C120" s="208" t="s">
        <v>809</v>
      </c>
      <c r="D120" s="208" t="s">
        <v>1089</v>
      </c>
      <c r="E120" s="208" t="s">
        <v>1090</v>
      </c>
      <c r="F120" s="584">
        <v>45309.0</v>
      </c>
      <c r="G120" s="208" t="s">
        <v>185</v>
      </c>
      <c r="H120" s="208">
        <v>0.0</v>
      </c>
      <c r="I120" s="208">
        <v>4500000.0</v>
      </c>
      <c r="J120" s="208">
        <v>4038080.28</v>
      </c>
      <c r="K120" s="208">
        <v>0.0</v>
      </c>
      <c r="L120" s="536">
        <f t="shared" si="1"/>
        <v>4038080.28</v>
      </c>
      <c r="M120" s="208">
        <v>106.0</v>
      </c>
      <c r="N120" s="208">
        <v>83.0</v>
      </c>
      <c r="O120" s="208">
        <v>0.0</v>
      </c>
      <c r="P120" s="208">
        <v>106.0</v>
      </c>
      <c r="Q120" s="208">
        <v>23.0</v>
      </c>
      <c r="R120" s="208">
        <v>4038080.28</v>
      </c>
      <c r="S120" s="208">
        <v>0.0</v>
      </c>
      <c r="T120" s="208">
        <v>34.0</v>
      </c>
      <c r="U120" s="208">
        <v>0.0</v>
      </c>
      <c r="V120" s="208">
        <v>34.0</v>
      </c>
      <c r="W120" s="208">
        <v>0.0</v>
      </c>
      <c r="X120" s="208">
        <v>4.0</v>
      </c>
      <c r="Y120" s="208">
        <v>9.0</v>
      </c>
      <c r="Z120" s="208">
        <v>87.0</v>
      </c>
      <c r="AA120" s="208">
        <v>1.0</v>
      </c>
      <c r="AB120" s="208">
        <v>6.0</v>
      </c>
      <c r="AC120" s="208">
        <v>0.0</v>
      </c>
      <c r="AD120" s="208">
        <v>0.0</v>
      </c>
      <c r="AE120" s="208">
        <v>0.0</v>
      </c>
      <c r="AF120" s="208">
        <v>0.0</v>
      </c>
      <c r="AG120" s="208">
        <v>335.0</v>
      </c>
      <c r="AH120" s="208">
        <v>350.0</v>
      </c>
      <c r="AI120" s="208">
        <v>69.0</v>
      </c>
      <c r="AJ120" s="208">
        <v>58523.0</v>
      </c>
      <c r="AK120" s="208">
        <v>5.0</v>
      </c>
      <c r="AL120" s="208">
        <v>42820.0</v>
      </c>
      <c r="AM120" s="208">
        <v>0.0</v>
      </c>
      <c r="AN120" s="208">
        <v>0.0106</v>
      </c>
      <c r="AO120" s="208">
        <v>118767.0</v>
      </c>
      <c r="AP120" s="208">
        <v>0.9</v>
      </c>
      <c r="AQ120" s="208">
        <v>0.0</v>
      </c>
      <c r="AR120" s="208">
        <v>66.0</v>
      </c>
      <c r="AS120" s="208">
        <v>651.0</v>
      </c>
      <c r="AT120" s="208">
        <v>2880.31</v>
      </c>
      <c r="AU120" s="208">
        <v>0.0</v>
      </c>
      <c r="AV120" s="208">
        <v>35.0</v>
      </c>
      <c r="AW120" s="208">
        <v>34.0</v>
      </c>
      <c r="AX120" s="208">
        <v>53.0</v>
      </c>
      <c r="AY120" s="208">
        <v>19.0</v>
      </c>
    </row>
    <row r="121">
      <c r="A121" s="208" t="s">
        <v>53</v>
      </c>
      <c r="B121" s="533" t="s">
        <v>56</v>
      </c>
      <c r="C121" s="208" t="s">
        <v>361</v>
      </c>
      <c r="D121" s="208" t="s">
        <v>1092</v>
      </c>
      <c r="E121" s="208" t="s">
        <v>1093</v>
      </c>
      <c r="F121" s="584">
        <v>45313.0</v>
      </c>
      <c r="G121" s="208" t="s">
        <v>754</v>
      </c>
      <c r="H121" s="208">
        <v>0.0</v>
      </c>
      <c r="I121" s="208">
        <v>0.0</v>
      </c>
      <c r="J121" s="208">
        <v>0.0</v>
      </c>
      <c r="K121" s="208">
        <v>0.0</v>
      </c>
      <c r="L121" s="536">
        <f t="shared" si="1"/>
        <v>0</v>
      </c>
      <c r="M121" s="208">
        <v>43.0</v>
      </c>
      <c r="N121" s="208">
        <v>0.0</v>
      </c>
      <c r="O121" s="208">
        <v>4.0</v>
      </c>
      <c r="P121" s="208">
        <v>47.0</v>
      </c>
      <c r="Q121" s="208">
        <v>47.0</v>
      </c>
      <c r="R121" s="208">
        <v>0.0</v>
      </c>
      <c r="S121" s="208">
        <v>0.0</v>
      </c>
      <c r="T121" s="208">
        <v>0.0</v>
      </c>
      <c r="U121" s="208">
        <v>0.0</v>
      </c>
      <c r="V121" s="208">
        <v>0.0</v>
      </c>
      <c r="W121" s="208">
        <v>0.0</v>
      </c>
      <c r="X121" s="208">
        <v>0.0</v>
      </c>
      <c r="Y121" s="208">
        <v>0.0</v>
      </c>
      <c r="Z121" s="208">
        <v>362.0</v>
      </c>
      <c r="AA121" s="208">
        <v>0.0</v>
      </c>
      <c r="AB121" s="208">
        <v>0.0</v>
      </c>
      <c r="AC121" s="208">
        <v>0.0</v>
      </c>
      <c r="AD121" s="208">
        <v>0.0</v>
      </c>
      <c r="AE121" s="208">
        <v>0.0</v>
      </c>
      <c r="AF121" s="208">
        <v>0.0</v>
      </c>
      <c r="AG121" s="208">
        <v>0.0</v>
      </c>
      <c r="AH121" s="208">
        <v>0.0</v>
      </c>
      <c r="AI121" s="208">
        <v>0.0</v>
      </c>
      <c r="AJ121" s="208">
        <v>0.0</v>
      </c>
      <c r="AK121" s="208">
        <v>0.0</v>
      </c>
      <c r="AL121" s="208">
        <v>24425.0</v>
      </c>
      <c r="AM121" s="208">
        <v>0.0</v>
      </c>
      <c r="AN121" s="208">
        <v>0.0</v>
      </c>
      <c r="AO121" s="208">
        <v>0.0</v>
      </c>
      <c r="AP121" s="208">
        <v>0.0</v>
      </c>
      <c r="AQ121" s="208">
        <v>0.0</v>
      </c>
      <c r="AR121" s="208">
        <v>0.0</v>
      </c>
      <c r="AS121" s="208">
        <v>0.0</v>
      </c>
      <c r="AT121" s="208">
        <v>0.0</v>
      </c>
      <c r="AU121" s="208">
        <v>0.0</v>
      </c>
      <c r="AV121" s="208">
        <v>0.0</v>
      </c>
      <c r="AW121" s="208">
        <v>0.0</v>
      </c>
      <c r="AX121" s="208">
        <v>0.0</v>
      </c>
      <c r="AY121" s="208">
        <v>47.0</v>
      </c>
      <c r="AZ121" s="584">
        <v>45768.0</v>
      </c>
    </row>
    <row r="122">
      <c r="A122" s="208" t="s">
        <v>185</v>
      </c>
      <c r="B122" s="533" t="s">
        <v>189</v>
      </c>
      <c r="C122" s="208" t="s">
        <v>265</v>
      </c>
      <c r="D122" s="208" t="s">
        <v>1016</v>
      </c>
      <c r="E122" s="208" t="s">
        <v>266</v>
      </c>
      <c r="F122" s="585">
        <v>45323.0</v>
      </c>
      <c r="G122" s="208" t="s">
        <v>787</v>
      </c>
      <c r="H122" s="208">
        <v>0.0</v>
      </c>
      <c r="I122" s="208">
        <v>6000000.0</v>
      </c>
      <c r="J122" s="208">
        <v>4057547.8</v>
      </c>
      <c r="K122" s="208">
        <v>0.0</v>
      </c>
      <c r="L122" s="536">
        <f t="shared" si="1"/>
        <v>4057547.8</v>
      </c>
      <c r="M122" s="208">
        <v>64.0</v>
      </c>
      <c r="N122" s="208">
        <v>58.0</v>
      </c>
      <c r="O122" s="208">
        <v>3.0</v>
      </c>
      <c r="P122" s="208">
        <v>67.0</v>
      </c>
      <c r="Q122" s="208">
        <v>9.0</v>
      </c>
      <c r="R122" s="208">
        <v>3921241.1</v>
      </c>
      <c r="S122" s="208">
        <v>136306.7</v>
      </c>
      <c r="T122" s="208">
        <v>37.0</v>
      </c>
      <c r="U122" s="208">
        <v>3.0</v>
      </c>
      <c r="V122" s="208">
        <v>40.0</v>
      </c>
      <c r="W122" s="208">
        <v>0.0</v>
      </c>
      <c r="X122" s="208">
        <v>57.0</v>
      </c>
      <c r="Y122" s="208">
        <v>81.0</v>
      </c>
      <c r="Z122" s="208">
        <v>175.0</v>
      </c>
      <c r="AA122" s="208">
        <v>1.0</v>
      </c>
      <c r="AB122" s="208">
        <v>12.0</v>
      </c>
      <c r="AC122" s="208">
        <v>0.0</v>
      </c>
      <c r="AD122" s="208">
        <v>0.0</v>
      </c>
      <c r="AE122" s="208">
        <v>0.0</v>
      </c>
      <c r="AF122" s="208">
        <v>0.0</v>
      </c>
      <c r="AG122" s="208">
        <v>286.0</v>
      </c>
      <c r="AH122" s="208">
        <v>379.0</v>
      </c>
      <c r="AI122" s="208">
        <v>72.0</v>
      </c>
      <c r="AJ122" s="208">
        <v>56355.0</v>
      </c>
      <c r="AK122" s="208">
        <v>5.0</v>
      </c>
      <c r="AL122" s="208">
        <v>30950.0</v>
      </c>
      <c r="AM122" s="208">
        <v>0.0</v>
      </c>
      <c r="AN122" s="208">
        <v>0.0076</v>
      </c>
      <c r="AO122" s="208">
        <v>101439.0</v>
      </c>
      <c r="AP122" s="208">
        <v>0.68</v>
      </c>
      <c r="AQ122" s="208">
        <v>0.0</v>
      </c>
      <c r="AR122" s="208">
        <v>95.0</v>
      </c>
      <c r="AS122" s="208">
        <v>834.0</v>
      </c>
      <c r="AT122" s="208">
        <v>4763.68</v>
      </c>
      <c r="AU122" s="208">
        <v>3.0</v>
      </c>
      <c r="AV122" s="208">
        <v>82.0</v>
      </c>
      <c r="AW122" s="208">
        <v>40.0</v>
      </c>
      <c r="AX122" s="208">
        <v>20.0</v>
      </c>
      <c r="AY122" s="208">
        <v>7.0</v>
      </c>
    </row>
    <row r="123">
      <c r="A123" s="208" t="s">
        <v>126</v>
      </c>
      <c r="B123" s="533" t="s">
        <v>301</v>
      </c>
      <c r="C123" s="208" t="s">
        <v>167</v>
      </c>
      <c r="D123" s="208" t="s">
        <v>1066</v>
      </c>
      <c r="E123" s="208" t="s">
        <v>168</v>
      </c>
      <c r="F123" s="585">
        <v>45331.0</v>
      </c>
      <c r="G123" s="208" t="s">
        <v>580</v>
      </c>
      <c r="H123" s="208">
        <v>0.0</v>
      </c>
      <c r="I123" s="208">
        <v>3450000.0</v>
      </c>
      <c r="J123" s="208">
        <v>2076503.64</v>
      </c>
      <c r="K123" s="208">
        <v>0.0</v>
      </c>
      <c r="L123" s="536">
        <f t="shared" si="1"/>
        <v>2076503.64</v>
      </c>
      <c r="M123" s="208">
        <v>30.0</v>
      </c>
      <c r="N123" s="208">
        <v>31.0</v>
      </c>
      <c r="O123" s="208">
        <v>3.0</v>
      </c>
      <c r="P123" s="208">
        <v>33.0</v>
      </c>
      <c r="Q123" s="208">
        <v>2.0</v>
      </c>
      <c r="R123" s="208">
        <v>1648289.5</v>
      </c>
      <c r="S123" s="208">
        <v>428214.14</v>
      </c>
      <c r="T123" s="208">
        <v>19.0</v>
      </c>
      <c r="U123" s="208">
        <v>3.0</v>
      </c>
      <c r="V123" s="208">
        <v>22.0</v>
      </c>
      <c r="W123" s="208">
        <v>0.0</v>
      </c>
      <c r="X123" s="208">
        <v>63.0</v>
      </c>
      <c r="Y123" s="208">
        <v>104.0</v>
      </c>
      <c r="Z123" s="208">
        <v>154.0</v>
      </c>
      <c r="AA123" s="208">
        <v>2.0</v>
      </c>
      <c r="AB123" s="208">
        <v>6.0</v>
      </c>
      <c r="AC123" s="208">
        <v>0.0</v>
      </c>
      <c r="AD123" s="208">
        <v>0.0</v>
      </c>
      <c r="AE123" s="208">
        <v>0.0</v>
      </c>
      <c r="AF123" s="208">
        <v>0.0</v>
      </c>
      <c r="AG123" s="208">
        <v>230.0</v>
      </c>
      <c r="AH123" s="208">
        <v>340.0</v>
      </c>
      <c r="AI123" s="208">
        <v>71.0</v>
      </c>
      <c r="AJ123" s="208">
        <v>29247.0</v>
      </c>
      <c r="AK123" s="208">
        <v>5.0</v>
      </c>
      <c r="AL123" s="208">
        <v>26212.0</v>
      </c>
      <c r="AM123" s="208">
        <v>0.0</v>
      </c>
      <c r="AN123" s="208">
        <v>0.0126</v>
      </c>
      <c r="AO123" s="208">
        <v>94387.0</v>
      </c>
      <c r="AP123" s="208">
        <v>0.6</v>
      </c>
      <c r="AQ123" s="208">
        <v>0.0</v>
      </c>
      <c r="AR123" s="208">
        <v>63.0</v>
      </c>
      <c r="AS123" s="208">
        <v>850.0</v>
      </c>
      <c r="AT123" s="208">
        <v>5323.15</v>
      </c>
      <c r="AU123" s="208">
        <v>3.0</v>
      </c>
      <c r="AV123" s="208">
        <v>172.0</v>
      </c>
      <c r="AW123" s="208">
        <v>22.0</v>
      </c>
      <c r="AX123" s="208">
        <v>10.0</v>
      </c>
      <c r="AY123" s="208">
        <v>1.0</v>
      </c>
    </row>
    <row r="124">
      <c r="A124" s="208" t="s">
        <v>47</v>
      </c>
      <c r="B124" s="533" t="s">
        <v>50</v>
      </c>
      <c r="C124" s="208" t="s">
        <v>51</v>
      </c>
      <c r="D124" s="208" t="s">
        <v>1091</v>
      </c>
      <c r="E124" s="208" t="s">
        <v>52</v>
      </c>
      <c r="F124" s="584">
        <v>45393.0</v>
      </c>
      <c r="H124" s="208">
        <v>0.0</v>
      </c>
      <c r="I124" s="208">
        <v>3750000.0</v>
      </c>
      <c r="J124" s="208">
        <v>1131770.3</v>
      </c>
      <c r="K124" s="208">
        <v>0.0</v>
      </c>
      <c r="L124" s="536">
        <f t="shared" si="1"/>
        <v>1131770.3</v>
      </c>
      <c r="M124" s="208">
        <v>143.0</v>
      </c>
      <c r="N124" s="208">
        <v>108.0</v>
      </c>
      <c r="O124" s="208">
        <v>6.0</v>
      </c>
      <c r="P124" s="208">
        <v>149.0</v>
      </c>
      <c r="Q124" s="208">
        <v>41.0</v>
      </c>
      <c r="R124" s="208">
        <v>1014749.91</v>
      </c>
      <c r="S124" s="208">
        <v>117020.39</v>
      </c>
      <c r="T124" s="208">
        <v>51.0</v>
      </c>
      <c r="U124" s="208">
        <v>6.0</v>
      </c>
      <c r="V124" s="208">
        <v>57.0</v>
      </c>
      <c r="W124" s="208">
        <v>0.0</v>
      </c>
      <c r="X124" s="208">
        <v>35.0</v>
      </c>
      <c r="Y124" s="208">
        <v>42.0</v>
      </c>
      <c r="Z124" s="208">
        <v>400.0</v>
      </c>
      <c r="AA124" s="208">
        <v>3.0</v>
      </c>
      <c r="AB124" s="208">
        <v>25.0</v>
      </c>
      <c r="AC124" s="208">
        <v>0.0</v>
      </c>
      <c r="AD124" s="208">
        <v>0.0</v>
      </c>
      <c r="AE124" s="208">
        <v>0.0</v>
      </c>
      <c r="AF124" s="208">
        <v>0.0</v>
      </c>
      <c r="AG124" s="208">
        <v>406.0</v>
      </c>
      <c r="AH124" s="208">
        <v>473.0</v>
      </c>
      <c r="AI124" s="208">
        <v>71.0</v>
      </c>
      <c r="AJ124" s="208">
        <v>15940.0</v>
      </c>
      <c r="AK124" s="208">
        <v>7.0</v>
      </c>
      <c r="AL124" s="208">
        <v>24116.0</v>
      </c>
      <c r="AM124" s="208">
        <v>0.0</v>
      </c>
      <c r="AN124" s="208">
        <v>0.0213</v>
      </c>
      <c r="AO124" s="208">
        <v>19856.0</v>
      </c>
      <c r="AP124" s="208">
        <v>0.3</v>
      </c>
      <c r="AQ124" s="208">
        <v>0.0</v>
      </c>
      <c r="AR124" s="208">
        <v>114.0</v>
      </c>
      <c r="AS124" s="208">
        <v>632.0</v>
      </c>
      <c r="AT124" s="208">
        <v>4914.13</v>
      </c>
      <c r="AU124" s="208">
        <v>6.0</v>
      </c>
      <c r="AV124" s="208">
        <v>46.0</v>
      </c>
      <c r="AW124" s="208">
        <v>57.0</v>
      </c>
      <c r="AX124" s="208">
        <v>51.0</v>
      </c>
      <c r="AY124" s="208">
        <v>41.0</v>
      </c>
    </row>
    <row r="125">
      <c r="A125" s="208" t="s">
        <v>23</v>
      </c>
      <c r="B125" s="533" t="s">
        <v>30</v>
      </c>
      <c r="C125" s="208" t="s">
        <v>335</v>
      </c>
      <c r="D125" s="208" t="s">
        <v>30</v>
      </c>
      <c r="E125" s="208" t="s">
        <v>46</v>
      </c>
      <c r="F125" s="585">
        <v>45384.0</v>
      </c>
      <c r="G125" s="208" t="s">
        <v>23</v>
      </c>
      <c r="H125" s="208">
        <v>900000.0</v>
      </c>
      <c r="I125" s="208">
        <v>3600000.0</v>
      </c>
      <c r="J125" s="208">
        <v>2541273.25</v>
      </c>
      <c r="K125" s="208">
        <v>98302.84</v>
      </c>
      <c r="L125" s="536">
        <f t="shared" si="1"/>
        <v>2639576.09</v>
      </c>
      <c r="M125" s="208">
        <v>60.0</v>
      </c>
      <c r="N125" s="208">
        <v>49.0</v>
      </c>
      <c r="O125" s="208">
        <v>3.0</v>
      </c>
      <c r="P125" s="208">
        <v>63.0</v>
      </c>
      <c r="Q125" s="208">
        <v>14.0</v>
      </c>
      <c r="R125" s="208">
        <v>2471993.13</v>
      </c>
      <c r="S125" s="208">
        <v>69280.12</v>
      </c>
      <c r="T125" s="208">
        <v>44.0</v>
      </c>
      <c r="U125" s="208">
        <v>3.0</v>
      </c>
      <c r="V125" s="208">
        <v>47.0</v>
      </c>
      <c r="W125" s="208">
        <v>1.0</v>
      </c>
      <c r="X125" s="208">
        <v>106.0</v>
      </c>
      <c r="Y125" s="208">
        <v>123.0</v>
      </c>
      <c r="Z125" s="208">
        <v>308.0</v>
      </c>
      <c r="AA125" s="208">
        <v>4.0</v>
      </c>
      <c r="AB125" s="208">
        <v>13.0</v>
      </c>
      <c r="AC125" s="208">
        <v>2.0</v>
      </c>
      <c r="AD125" s="208">
        <v>3.0</v>
      </c>
      <c r="AE125" s="208">
        <v>1.0</v>
      </c>
      <c r="AF125" s="208">
        <v>1.0</v>
      </c>
      <c r="AG125" s="208">
        <v>140.0</v>
      </c>
      <c r="AH125" s="208">
        <v>280.0</v>
      </c>
      <c r="AI125" s="208">
        <v>76.0</v>
      </c>
      <c r="AJ125" s="208">
        <v>33438.0</v>
      </c>
      <c r="AK125" s="208">
        <v>4.0</v>
      </c>
      <c r="AL125" s="208">
        <v>32500.0</v>
      </c>
      <c r="AM125" s="208">
        <v>0.0</v>
      </c>
      <c r="AN125" s="208">
        <v>0.0128</v>
      </c>
      <c r="AO125" s="208">
        <v>54070.0</v>
      </c>
      <c r="AP125" s="208">
        <v>0.71</v>
      </c>
      <c r="AQ125" s="208">
        <v>0.11</v>
      </c>
      <c r="AR125" s="208">
        <v>112.0</v>
      </c>
      <c r="AS125" s="208">
        <v>798.0</v>
      </c>
      <c r="AT125" s="208">
        <v>5438.74</v>
      </c>
      <c r="AU125" s="208">
        <v>3.0</v>
      </c>
      <c r="AV125" s="208">
        <v>111.0</v>
      </c>
      <c r="AW125" s="208">
        <v>47.0</v>
      </c>
      <c r="AX125" s="208">
        <v>7.0</v>
      </c>
      <c r="AY125" s="208">
        <v>9.0</v>
      </c>
    </row>
    <row r="126">
      <c r="A126" s="208" t="s">
        <v>47</v>
      </c>
      <c r="B126" s="533" t="s">
        <v>422</v>
      </c>
      <c r="C126" s="208" t="s">
        <v>420</v>
      </c>
      <c r="D126" s="208" t="s">
        <v>1094</v>
      </c>
      <c r="E126" s="208" t="s">
        <v>421</v>
      </c>
      <c r="F126" s="584">
        <v>45411.0</v>
      </c>
      <c r="G126" s="208" t="s">
        <v>47</v>
      </c>
      <c r="H126" s="208">
        <v>0.0</v>
      </c>
      <c r="I126" s="208">
        <v>1166666.0</v>
      </c>
      <c r="J126" s="208">
        <v>418251.9</v>
      </c>
      <c r="K126" s="208">
        <v>0.0</v>
      </c>
      <c r="L126" s="536">
        <f t="shared" si="1"/>
        <v>418251.9</v>
      </c>
      <c r="M126" s="208">
        <v>88.0</v>
      </c>
      <c r="N126" s="208">
        <v>53.0</v>
      </c>
      <c r="O126" s="208">
        <v>8.0</v>
      </c>
      <c r="P126" s="208">
        <v>96.0</v>
      </c>
      <c r="Q126" s="208">
        <v>43.0</v>
      </c>
      <c r="R126" s="208">
        <v>369767.2</v>
      </c>
      <c r="S126" s="208">
        <v>48484.7</v>
      </c>
      <c r="T126" s="208">
        <v>14.0</v>
      </c>
      <c r="U126" s="208">
        <v>2.0</v>
      </c>
      <c r="V126" s="208">
        <v>16.0</v>
      </c>
      <c r="W126" s="208">
        <v>0.0</v>
      </c>
      <c r="X126" s="208">
        <v>66.0</v>
      </c>
      <c r="Y126" s="208">
        <v>83.0</v>
      </c>
      <c r="Z126" s="208">
        <v>540.0</v>
      </c>
      <c r="AA126" s="208">
        <v>0.0</v>
      </c>
      <c r="AB126" s="208">
        <v>0.0</v>
      </c>
      <c r="AC126" s="208">
        <v>0.0</v>
      </c>
      <c r="AD126" s="208">
        <v>0.0</v>
      </c>
      <c r="AE126" s="208">
        <v>4.0</v>
      </c>
      <c r="AF126" s="208">
        <v>5.0</v>
      </c>
      <c r="AG126" s="208">
        <v>94.0</v>
      </c>
      <c r="AH126" s="208">
        <v>182.0</v>
      </c>
      <c r="AI126" s="208">
        <v>28.0</v>
      </c>
      <c r="AJ126" s="208">
        <v>14938.0</v>
      </c>
      <c r="AK126" s="208">
        <v>7.0</v>
      </c>
      <c r="AL126" s="208">
        <v>25690.0</v>
      </c>
      <c r="AM126" s="208">
        <v>0.0</v>
      </c>
      <c r="AN126" s="208">
        <v>0.0614</v>
      </c>
      <c r="AO126" s="208">
        <v>26141.0</v>
      </c>
      <c r="AP126" s="208">
        <v>0.36</v>
      </c>
      <c r="AQ126" s="208">
        <v>0.0</v>
      </c>
      <c r="AR126" s="208">
        <v>17.0</v>
      </c>
      <c r="AS126" s="208">
        <v>323.0</v>
      </c>
      <c r="AT126" s="208">
        <v>2453.53</v>
      </c>
      <c r="AU126" s="208">
        <v>2.0</v>
      </c>
      <c r="AV126" s="208">
        <v>46.0</v>
      </c>
      <c r="AW126" s="208">
        <v>16.0</v>
      </c>
      <c r="AX126" s="208">
        <v>41.0</v>
      </c>
      <c r="AY126" s="208">
        <v>39.0</v>
      </c>
      <c r="AZ126" s="584">
        <v>45887.0</v>
      </c>
    </row>
    <row r="127">
      <c r="A127" s="208" t="s">
        <v>185</v>
      </c>
      <c r="B127" s="533" t="s">
        <v>215</v>
      </c>
      <c r="C127" s="208" t="s">
        <v>267</v>
      </c>
      <c r="D127" s="208" t="s">
        <v>1064</v>
      </c>
      <c r="E127" s="208" t="s">
        <v>268</v>
      </c>
      <c r="F127" s="587">
        <v>45432.0</v>
      </c>
      <c r="G127" s="208" t="s">
        <v>776</v>
      </c>
      <c r="H127" s="208">
        <v>0.0</v>
      </c>
      <c r="I127" s="208">
        <v>7449999.0</v>
      </c>
      <c r="J127" s="208">
        <v>6802354.96</v>
      </c>
      <c r="K127" s="208">
        <v>0.0</v>
      </c>
      <c r="L127" s="536">
        <f t="shared" si="1"/>
        <v>6802354.96</v>
      </c>
      <c r="M127" s="208">
        <v>107.0</v>
      </c>
      <c r="N127" s="208">
        <v>91.0</v>
      </c>
      <c r="O127" s="208">
        <v>3.0</v>
      </c>
      <c r="P127" s="208">
        <v>110.0</v>
      </c>
      <c r="Q127" s="208">
        <v>19.0</v>
      </c>
      <c r="R127" s="208">
        <v>6743193.76</v>
      </c>
      <c r="S127" s="208">
        <v>59161.2</v>
      </c>
      <c r="T127" s="208">
        <v>58.0</v>
      </c>
      <c r="U127" s="208">
        <v>3.0</v>
      </c>
      <c r="V127" s="208">
        <v>61.0</v>
      </c>
      <c r="W127" s="208">
        <v>0.0</v>
      </c>
      <c r="X127" s="208">
        <v>54.0</v>
      </c>
      <c r="Y127" s="208">
        <v>64.0</v>
      </c>
      <c r="Z127" s="208">
        <v>133.0</v>
      </c>
      <c r="AA127" s="208">
        <v>1.0</v>
      </c>
      <c r="AB127" s="208">
        <v>39.0</v>
      </c>
      <c r="AC127" s="208">
        <v>0.0</v>
      </c>
      <c r="AD127" s="208">
        <v>0.0</v>
      </c>
      <c r="AE127" s="208">
        <v>0.0</v>
      </c>
      <c r="AF127" s="208">
        <v>0.0</v>
      </c>
      <c r="AG127" s="208">
        <v>327.0</v>
      </c>
      <c r="AH127" s="208">
        <v>430.0</v>
      </c>
      <c r="AI127" s="208">
        <v>75.0</v>
      </c>
      <c r="AJ127" s="208">
        <v>90698.0</v>
      </c>
      <c r="AK127" s="208">
        <v>6.0</v>
      </c>
      <c r="AL127" s="208">
        <v>45100.0</v>
      </c>
      <c r="AM127" s="208">
        <v>0.0</v>
      </c>
      <c r="AN127" s="208">
        <v>0.0066</v>
      </c>
      <c r="AO127" s="208">
        <v>111514.0</v>
      </c>
      <c r="AP127" s="208">
        <v>0.91</v>
      </c>
      <c r="AQ127" s="208">
        <v>0.0</v>
      </c>
      <c r="AR127" s="208">
        <v>159.0</v>
      </c>
      <c r="AS127" s="208">
        <v>727.0</v>
      </c>
      <c r="AT127" s="208">
        <v>3092.85</v>
      </c>
      <c r="AU127" s="208">
        <v>3.0</v>
      </c>
      <c r="AV127" s="208">
        <v>34.0</v>
      </c>
      <c r="AW127" s="208">
        <v>61.0</v>
      </c>
      <c r="AX127" s="208">
        <v>34.0</v>
      </c>
      <c r="AY127" s="208">
        <v>15.0</v>
      </c>
    </row>
    <row r="128">
      <c r="A128" s="208" t="s">
        <v>185</v>
      </c>
      <c r="B128" s="533" t="s">
        <v>196</v>
      </c>
      <c r="C128" s="208" t="s">
        <v>269</v>
      </c>
      <c r="D128" s="208" t="s">
        <v>1027</v>
      </c>
      <c r="E128" s="208" t="s">
        <v>270</v>
      </c>
      <c r="F128" s="587">
        <v>45434.0</v>
      </c>
      <c r="G128" s="208" t="s">
        <v>185</v>
      </c>
      <c r="H128" s="208">
        <v>0.0</v>
      </c>
      <c r="I128" s="208">
        <v>6000000.0</v>
      </c>
      <c r="J128" s="208">
        <v>3763855.97</v>
      </c>
      <c r="K128" s="208">
        <v>0.0</v>
      </c>
      <c r="L128" s="536">
        <f t="shared" si="1"/>
        <v>3763855.97</v>
      </c>
      <c r="M128" s="208">
        <v>72.0</v>
      </c>
      <c r="N128" s="208">
        <v>57.0</v>
      </c>
      <c r="O128" s="208">
        <v>2.0</v>
      </c>
      <c r="P128" s="208">
        <v>74.0</v>
      </c>
      <c r="Q128" s="208">
        <v>17.0</v>
      </c>
      <c r="R128" s="208">
        <v>3625950.05</v>
      </c>
      <c r="S128" s="208">
        <v>137905.92</v>
      </c>
      <c r="T128" s="208">
        <v>34.0</v>
      </c>
      <c r="U128" s="208">
        <v>2.0</v>
      </c>
      <c r="V128" s="208">
        <v>36.0</v>
      </c>
      <c r="W128" s="208">
        <v>0.0</v>
      </c>
      <c r="X128" s="208">
        <v>5.0</v>
      </c>
      <c r="Y128" s="208">
        <v>8.0</v>
      </c>
      <c r="Z128" s="208">
        <v>16.0</v>
      </c>
      <c r="AA128" s="208">
        <v>1.0</v>
      </c>
      <c r="AB128" s="208">
        <v>22.0</v>
      </c>
      <c r="AC128" s="208">
        <v>0.0</v>
      </c>
      <c r="AD128" s="208">
        <v>0.0</v>
      </c>
      <c r="AE128" s="208">
        <v>0.0</v>
      </c>
      <c r="AF128" s="208">
        <v>0.0</v>
      </c>
      <c r="AG128" s="208">
        <v>258.0</v>
      </c>
      <c r="AH128" s="208">
        <v>288.0</v>
      </c>
      <c r="AI128" s="208">
        <v>71.0</v>
      </c>
      <c r="AJ128" s="208">
        <v>53012.0</v>
      </c>
      <c r="AK128" s="208">
        <v>4.0</v>
      </c>
      <c r="AL128" s="208">
        <v>69400.0</v>
      </c>
      <c r="AM128" s="208">
        <v>0.0</v>
      </c>
      <c r="AN128" s="208">
        <v>0.0184</v>
      </c>
      <c r="AO128" s="208">
        <v>104552.0</v>
      </c>
      <c r="AP128" s="208">
        <v>0.63</v>
      </c>
      <c r="AQ128" s="208">
        <v>0.0</v>
      </c>
      <c r="AR128" s="208">
        <v>166.0</v>
      </c>
      <c r="AS128" s="208">
        <v>782.0</v>
      </c>
      <c r="AT128" s="208">
        <v>4942.93</v>
      </c>
      <c r="AU128" s="208">
        <v>2.0</v>
      </c>
      <c r="AV128" s="208">
        <v>87.0</v>
      </c>
      <c r="AW128" s="208">
        <v>36.0</v>
      </c>
      <c r="AX128" s="208">
        <v>22.0</v>
      </c>
      <c r="AY128" s="208">
        <v>16.0</v>
      </c>
    </row>
    <row r="129">
      <c r="A129" s="208" t="s">
        <v>298</v>
      </c>
      <c r="B129" s="533" t="s">
        <v>301</v>
      </c>
      <c r="C129" s="208" t="s">
        <v>311</v>
      </c>
      <c r="D129" s="208" t="s">
        <v>1066</v>
      </c>
      <c r="E129" s="208" t="s">
        <v>303</v>
      </c>
      <c r="F129" s="585">
        <v>45446.0</v>
      </c>
      <c r="G129" s="208" t="s">
        <v>302</v>
      </c>
      <c r="H129" s="208">
        <v>0.0</v>
      </c>
      <c r="I129" s="208">
        <v>3600000.0</v>
      </c>
      <c r="J129" s="208">
        <v>3831530.83</v>
      </c>
      <c r="K129" s="208">
        <v>0.0</v>
      </c>
      <c r="L129" s="536">
        <f t="shared" si="1"/>
        <v>3831530.83</v>
      </c>
      <c r="M129" s="208">
        <v>43.0</v>
      </c>
      <c r="N129" s="208">
        <v>34.0</v>
      </c>
      <c r="O129" s="208">
        <v>7.0</v>
      </c>
      <c r="P129" s="208">
        <v>50.0</v>
      </c>
      <c r="Q129" s="208">
        <v>16.0</v>
      </c>
      <c r="R129" s="208">
        <v>3412154.31</v>
      </c>
      <c r="S129" s="208">
        <v>419376.52</v>
      </c>
      <c r="T129" s="208">
        <v>11.0</v>
      </c>
      <c r="U129" s="208">
        <v>7.0</v>
      </c>
      <c r="V129" s="208">
        <v>18.0</v>
      </c>
      <c r="W129" s="208">
        <v>0.0</v>
      </c>
      <c r="X129" s="208">
        <v>54.0</v>
      </c>
      <c r="Y129" s="208">
        <v>74.0</v>
      </c>
      <c r="Z129" s="208">
        <v>167.0</v>
      </c>
      <c r="AA129" s="208">
        <v>6.0</v>
      </c>
      <c r="AB129" s="208">
        <v>68.0</v>
      </c>
      <c r="AC129" s="208">
        <v>0.0</v>
      </c>
      <c r="AD129" s="208">
        <v>0.0</v>
      </c>
      <c r="AE129" s="208">
        <v>1.0</v>
      </c>
      <c r="AF129" s="208">
        <v>1.0</v>
      </c>
      <c r="AG129" s="208">
        <v>158.0</v>
      </c>
      <c r="AH129" s="208">
        <v>301.0</v>
      </c>
      <c r="AI129" s="208">
        <v>76.0</v>
      </c>
      <c r="AJ129" s="208">
        <v>50415.0</v>
      </c>
      <c r="AK129" s="208">
        <v>4.0</v>
      </c>
      <c r="AL129" s="208">
        <v>39840.0</v>
      </c>
      <c r="AM129" s="208">
        <v>0.0</v>
      </c>
      <c r="AN129" s="208">
        <v>0.0104</v>
      </c>
      <c r="AO129" s="208">
        <v>212863.0</v>
      </c>
      <c r="AP129" s="208">
        <v>1.06</v>
      </c>
      <c r="AQ129" s="208">
        <v>0.0</v>
      </c>
      <c r="AR129" s="208">
        <v>88.0</v>
      </c>
      <c r="AS129" s="208">
        <v>773.0</v>
      </c>
      <c r="AT129" s="208">
        <v>3272.14</v>
      </c>
      <c r="AU129" s="208">
        <v>7.0</v>
      </c>
      <c r="AV129" s="208">
        <v>96.0</v>
      </c>
      <c r="AW129" s="208">
        <v>18.0</v>
      </c>
      <c r="AX129" s="208">
        <v>17.0</v>
      </c>
      <c r="AY129" s="208">
        <v>15.0</v>
      </c>
    </row>
    <row r="130">
      <c r="A130" s="208" t="s">
        <v>185</v>
      </c>
      <c r="B130" s="533" t="s">
        <v>1228</v>
      </c>
      <c r="C130" s="208" t="s">
        <v>122</v>
      </c>
      <c r="D130" s="208" t="s">
        <v>1051</v>
      </c>
      <c r="E130" s="208" t="s">
        <v>123</v>
      </c>
      <c r="F130" s="584">
        <v>45453.0</v>
      </c>
      <c r="G130" s="208" t="s">
        <v>111</v>
      </c>
      <c r="H130" s="208">
        <v>0.0</v>
      </c>
      <c r="I130" s="208">
        <v>3600000.0</v>
      </c>
      <c r="J130" s="208">
        <v>2198464.95</v>
      </c>
      <c r="K130" s="208">
        <v>0.0</v>
      </c>
      <c r="L130" s="536">
        <f t="shared" si="1"/>
        <v>2198464.95</v>
      </c>
      <c r="M130" s="208">
        <v>124.0</v>
      </c>
      <c r="N130" s="208">
        <v>129.0</v>
      </c>
      <c r="O130" s="208">
        <v>12.0</v>
      </c>
      <c r="P130" s="208">
        <v>136.0</v>
      </c>
      <c r="Q130" s="208">
        <v>7.0</v>
      </c>
      <c r="R130" s="208">
        <v>1965577.35</v>
      </c>
      <c r="S130" s="208">
        <v>232887.6</v>
      </c>
      <c r="T130" s="208">
        <v>44.0</v>
      </c>
      <c r="U130" s="208">
        <v>12.0</v>
      </c>
      <c r="V130" s="208">
        <v>56.0</v>
      </c>
      <c r="W130" s="208">
        <v>0.0</v>
      </c>
      <c r="X130" s="208">
        <v>32.0</v>
      </c>
      <c r="Y130" s="208">
        <v>60.0</v>
      </c>
      <c r="Z130" s="208">
        <v>176.0</v>
      </c>
      <c r="AA130" s="208">
        <v>0.0</v>
      </c>
      <c r="AB130" s="208">
        <v>0.0</v>
      </c>
      <c r="AC130" s="208">
        <v>0.0</v>
      </c>
      <c r="AD130" s="208">
        <v>0.0</v>
      </c>
      <c r="AE130" s="208">
        <v>0.0</v>
      </c>
      <c r="AF130" s="208">
        <v>0.0</v>
      </c>
      <c r="AG130" s="208">
        <v>501.0</v>
      </c>
      <c r="AH130" s="208">
        <v>561.0</v>
      </c>
      <c r="AI130" s="208">
        <v>73.0</v>
      </c>
      <c r="AJ130" s="208">
        <v>30116.0</v>
      </c>
      <c r="AK130" s="208">
        <v>8.0</v>
      </c>
      <c r="AL130" s="208">
        <v>33570.0</v>
      </c>
      <c r="AM130" s="208">
        <v>0.0</v>
      </c>
      <c r="AN130" s="208">
        <v>0.0153</v>
      </c>
      <c r="AO130" s="208">
        <v>39258.0</v>
      </c>
      <c r="AP130" s="208">
        <v>0.61</v>
      </c>
      <c r="AQ130" s="208">
        <v>0.0</v>
      </c>
      <c r="AR130" s="208">
        <v>102.0</v>
      </c>
      <c r="AS130" s="208">
        <v>916.0</v>
      </c>
      <c r="AT130" s="208">
        <v>5293.0</v>
      </c>
      <c r="AU130" s="208">
        <v>12.0</v>
      </c>
      <c r="AV130" s="208">
        <v>41.0</v>
      </c>
      <c r="AW130" s="208">
        <v>56.0</v>
      </c>
      <c r="AX130" s="208">
        <v>76.0</v>
      </c>
      <c r="AY130" s="208">
        <v>4.0</v>
      </c>
    </row>
    <row r="131">
      <c r="A131" s="208" t="s">
        <v>185</v>
      </c>
      <c r="B131" s="533" t="s">
        <v>189</v>
      </c>
      <c r="C131" s="208" t="s">
        <v>271</v>
      </c>
      <c r="D131" s="208" t="s">
        <v>1016</v>
      </c>
      <c r="E131" s="208" t="s">
        <v>272</v>
      </c>
      <c r="F131" s="584">
        <v>45460.0</v>
      </c>
      <c r="G131" s="208" t="s">
        <v>202</v>
      </c>
      <c r="H131" s="208">
        <v>0.0</v>
      </c>
      <c r="I131" s="208">
        <v>4500000.0</v>
      </c>
      <c r="J131" s="208">
        <v>4285925.87</v>
      </c>
      <c r="K131" s="208">
        <v>0.0</v>
      </c>
      <c r="L131" s="536">
        <f t="shared" si="1"/>
        <v>4285925.87</v>
      </c>
      <c r="M131" s="208">
        <v>69.0</v>
      </c>
      <c r="N131" s="208">
        <v>59.0</v>
      </c>
      <c r="O131" s="208">
        <v>4.0</v>
      </c>
      <c r="P131" s="208">
        <v>73.0</v>
      </c>
      <c r="Q131" s="208">
        <v>14.0</v>
      </c>
      <c r="R131" s="208">
        <v>3364695.47</v>
      </c>
      <c r="S131" s="208">
        <v>921230.4</v>
      </c>
      <c r="T131" s="208">
        <v>30.0</v>
      </c>
      <c r="U131" s="208">
        <v>4.0</v>
      </c>
      <c r="V131" s="208">
        <v>34.0</v>
      </c>
      <c r="W131" s="208">
        <v>0.0</v>
      </c>
      <c r="X131" s="208">
        <v>9.0</v>
      </c>
      <c r="Y131" s="208">
        <v>11.0</v>
      </c>
      <c r="Z131" s="208">
        <v>62.0</v>
      </c>
      <c r="AA131" s="208">
        <v>1.0</v>
      </c>
      <c r="AB131" s="208">
        <v>3.0</v>
      </c>
      <c r="AC131" s="208">
        <v>0.0</v>
      </c>
      <c r="AD131" s="208">
        <v>0.0</v>
      </c>
      <c r="AE131" s="208">
        <v>0.0</v>
      </c>
      <c r="AF131" s="208">
        <v>0.0</v>
      </c>
      <c r="AG131" s="208">
        <v>294.0</v>
      </c>
      <c r="AH131" s="208">
        <v>308.0</v>
      </c>
      <c r="AI131" s="208">
        <v>78.0</v>
      </c>
      <c r="AJ131" s="208">
        <v>54948.0</v>
      </c>
      <c r="AK131" s="208">
        <v>4.0</v>
      </c>
      <c r="AL131" s="208">
        <v>29900.0</v>
      </c>
      <c r="AM131" s="208">
        <v>0.0</v>
      </c>
      <c r="AN131" s="208">
        <v>0.007</v>
      </c>
      <c r="AO131" s="208">
        <v>126057.0</v>
      </c>
      <c r="AP131" s="208">
        <v>0.95</v>
      </c>
      <c r="AQ131" s="208">
        <v>0.0</v>
      </c>
      <c r="AR131" s="208">
        <v>77.0</v>
      </c>
      <c r="AS131" s="208">
        <v>858.0</v>
      </c>
      <c r="AT131" s="208">
        <v>4753.4</v>
      </c>
      <c r="AU131" s="208">
        <v>4.0</v>
      </c>
      <c r="AV131" s="208">
        <v>81.0</v>
      </c>
      <c r="AW131" s="208">
        <v>34.0</v>
      </c>
      <c r="AX131" s="208">
        <v>27.0</v>
      </c>
      <c r="AY131" s="208">
        <v>12.0</v>
      </c>
    </row>
    <row r="132">
      <c r="A132" s="208" t="s">
        <v>185</v>
      </c>
      <c r="B132" s="533" t="s">
        <v>117</v>
      </c>
      <c r="C132" s="208" t="s">
        <v>430</v>
      </c>
      <c r="D132" s="208" t="s">
        <v>1044</v>
      </c>
      <c r="E132" s="208" t="s">
        <v>1097</v>
      </c>
      <c r="F132" s="584">
        <v>45462.0</v>
      </c>
      <c r="G132" s="208" t="s">
        <v>111</v>
      </c>
      <c r="H132" s="208">
        <v>0.0</v>
      </c>
      <c r="I132" s="208">
        <v>0.0</v>
      </c>
      <c r="J132" s="208">
        <v>0.0</v>
      </c>
      <c r="K132" s="208">
        <v>0.0</v>
      </c>
      <c r="L132" s="536">
        <f t="shared" si="1"/>
        <v>0</v>
      </c>
      <c r="M132" s="208">
        <v>48.0</v>
      </c>
      <c r="N132" s="208">
        <v>0.0</v>
      </c>
      <c r="O132" s="208">
        <v>0.0</v>
      </c>
      <c r="P132" s="208">
        <v>48.0</v>
      </c>
      <c r="Q132" s="208">
        <v>48.0</v>
      </c>
      <c r="R132" s="208">
        <v>0.0</v>
      </c>
      <c r="S132" s="208">
        <v>0.0</v>
      </c>
      <c r="T132" s="208">
        <v>0.0</v>
      </c>
      <c r="U132" s="208">
        <v>0.0</v>
      </c>
      <c r="V132" s="208">
        <v>0.0</v>
      </c>
      <c r="W132" s="208">
        <v>0.0</v>
      </c>
      <c r="X132" s="208">
        <v>0.0</v>
      </c>
      <c r="Y132" s="208">
        <v>0.0</v>
      </c>
      <c r="Z132" s="208">
        <v>70.0</v>
      </c>
      <c r="AA132" s="208">
        <v>0.0</v>
      </c>
      <c r="AB132" s="208">
        <v>0.0</v>
      </c>
      <c r="AC132" s="208">
        <v>0.0</v>
      </c>
      <c r="AD132" s="208">
        <v>0.0</v>
      </c>
      <c r="AE132" s="208">
        <v>0.0</v>
      </c>
      <c r="AF132" s="208">
        <v>0.0</v>
      </c>
      <c r="AG132" s="208">
        <v>0.0</v>
      </c>
      <c r="AH132" s="208">
        <v>0.0</v>
      </c>
      <c r="AI132" s="208">
        <v>0.0</v>
      </c>
      <c r="AJ132" s="208">
        <v>0.0</v>
      </c>
      <c r="AK132" s="208">
        <v>0.0</v>
      </c>
      <c r="AL132" s="208">
        <v>24116.0</v>
      </c>
      <c r="AM132" s="208">
        <v>0.0</v>
      </c>
      <c r="AN132" s="208">
        <v>0.0</v>
      </c>
      <c r="AO132" s="208">
        <v>0.0</v>
      </c>
      <c r="AP132" s="208">
        <v>0.0</v>
      </c>
      <c r="AQ132" s="208">
        <v>0.0</v>
      </c>
      <c r="AR132" s="208">
        <v>0.0</v>
      </c>
      <c r="AS132" s="208">
        <v>0.0</v>
      </c>
      <c r="AT132" s="208">
        <v>0.0</v>
      </c>
      <c r="AU132" s="208">
        <v>0.0</v>
      </c>
      <c r="AV132" s="208">
        <v>0.0</v>
      </c>
      <c r="AW132" s="208">
        <v>0.0</v>
      </c>
      <c r="AX132" s="208">
        <v>0.0</v>
      </c>
      <c r="AY132" s="208">
        <v>48.0</v>
      </c>
      <c r="AZ132" s="584">
        <v>45838.0</v>
      </c>
    </row>
    <row r="133">
      <c r="A133" s="208" t="s">
        <v>53</v>
      </c>
      <c r="B133" s="533" t="s">
        <v>56</v>
      </c>
      <c r="C133" s="208" t="s">
        <v>831</v>
      </c>
      <c r="D133" s="208" t="s">
        <v>1092</v>
      </c>
      <c r="E133" s="208" t="s">
        <v>71</v>
      </c>
      <c r="F133" s="584">
        <v>45464.0</v>
      </c>
      <c r="G133" s="208" t="s">
        <v>754</v>
      </c>
      <c r="H133" s="208">
        <v>0.0</v>
      </c>
      <c r="I133" s="208">
        <v>0.0</v>
      </c>
      <c r="J133" s="208">
        <v>0.0</v>
      </c>
      <c r="K133" s="208">
        <v>0.0</v>
      </c>
      <c r="L133" s="536">
        <f t="shared" si="1"/>
        <v>0</v>
      </c>
      <c r="M133" s="208">
        <v>34.0</v>
      </c>
      <c r="N133" s="208">
        <v>0.0</v>
      </c>
      <c r="O133" s="208">
        <v>0.0</v>
      </c>
      <c r="P133" s="208">
        <v>34.0</v>
      </c>
      <c r="Q133" s="208">
        <v>34.0</v>
      </c>
      <c r="R133" s="208">
        <v>0.0</v>
      </c>
      <c r="S133" s="208">
        <v>0.0</v>
      </c>
      <c r="T133" s="208">
        <v>0.0</v>
      </c>
      <c r="U133" s="208">
        <v>0.0</v>
      </c>
      <c r="V133" s="208">
        <v>0.0</v>
      </c>
      <c r="W133" s="208">
        <v>0.0</v>
      </c>
      <c r="X133" s="208">
        <v>0.0</v>
      </c>
      <c r="Y133" s="208">
        <v>0.0</v>
      </c>
      <c r="Z133" s="208">
        <v>402.0</v>
      </c>
      <c r="AA133" s="208">
        <v>0.0</v>
      </c>
      <c r="AB133" s="208">
        <v>0.0</v>
      </c>
      <c r="AC133" s="208">
        <v>0.0</v>
      </c>
      <c r="AD133" s="208">
        <v>0.0</v>
      </c>
      <c r="AE133" s="208">
        <v>0.0</v>
      </c>
      <c r="AF133" s="208">
        <v>0.0</v>
      </c>
      <c r="AG133" s="208">
        <v>0.0</v>
      </c>
      <c r="AH133" s="208">
        <v>0.0</v>
      </c>
      <c r="AI133" s="208">
        <v>0.0</v>
      </c>
      <c r="AJ133" s="208">
        <v>0.0</v>
      </c>
      <c r="AK133" s="208">
        <v>0.0</v>
      </c>
      <c r="AL133" s="208">
        <v>38285.0</v>
      </c>
      <c r="AM133" s="208">
        <v>0.0</v>
      </c>
      <c r="AN133" s="208">
        <v>0.0</v>
      </c>
      <c r="AO133" s="208">
        <v>0.0</v>
      </c>
      <c r="AP133" s="208">
        <v>0.0</v>
      </c>
      <c r="AQ133" s="208">
        <v>0.0</v>
      </c>
      <c r="AR133" s="208">
        <v>0.0</v>
      </c>
      <c r="AS133" s="208">
        <v>8.0</v>
      </c>
      <c r="AT133" s="208">
        <v>0.0</v>
      </c>
      <c r="AU133" s="208">
        <v>0.0</v>
      </c>
      <c r="AV133" s="208">
        <v>0.0</v>
      </c>
      <c r="AW133" s="208">
        <v>0.0</v>
      </c>
      <c r="AX133" s="208">
        <v>0.0</v>
      </c>
      <c r="AY133" s="208">
        <v>34.0</v>
      </c>
      <c r="AZ133" s="584">
        <v>45838.0</v>
      </c>
    </row>
    <row r="134">
      <c r="A134" s="208" t="s">
        <v>126</v>
      </c>
      <c r="B134" s="533" t="s">
        <v>140</v>
      </c>
      <c r="C134" s="208" t="s">
        <v>442</v>
      </c>
      <c r="D134" s="208" t="s">
        <v>1061</v>
      </c>
      <c r="E134" s="208" t="s">
        <v>443</v>
      </c>
      <c r="F134" s="584">
        <v>45467.0</v>
      </c>
      <c r="G134" s="208" t="s">
        <v>580</v>
      </c>
      <c r="H134" s="208">
        <v>0.0</v>
      </c>
      <c r="I134" s="208">
        <v>5000001.0</v>
      </c>
      <c r="J134" s="208">
        <v>1665321.2</v>
      </c>
      <c r="K134" s="208">
        <v>0.0</v>
      </c>
      <c r="L134" s="536">
        <f t="shared" si="1"/>
        <v>1665321.2</v>
      </c>
      <c r="M134" s="208">
        <v>47.0</v>
      </c>
      <c r="N134" s="208">
        <v>46.0</v>
      </c>
      <c r="O134" s="208">
        <v>1.0</v>
      </c>
      <c r="P134" s="208">
        <v>48.0</v>
      </c>
      <c r="Q134" s="208">
        <v>2.0</v>
      </c>
      <c r="R134" s="208">
        <v>1347566.32</v>
      </c>
      <c r="S134" s="208">
        <v>317754.88</v>
      </c>
      <c r="T134" s="208">
        <v>19.0</v>
      </c>
      <c r="U134" s="208">
        <v>1.0</v>
      </c>
      <c r="V134" s="208">
        <v>20.0</v>
      </c>
      <c r="W134" s="208">
        <v>0.0</v>
      </c>
      <c r="X134" s="208">
        <v>3.0</v>
      </c>
      <c r="Y134" s="208">
        <v>4.0</v>
      </c>
      <c r="Z134" s="208">
        <v>17.0</v>
      </c>
      <c r="AA134" s="208">
        <v>2.0</v>
      </c>
      <c r="AB134" s="208">
        <v>8.0</v>
      </c>
      <c r="AC134" s="208">
        <v>0.0</v>
      </c>
      <c r="AD134" s="208">
        <v>0.0</v>
      </c>
      <c r="AE134" s="208">
        <v>0.0</v>
      </c>
      <c r="AF134" s="208">
        <v>0.0</v>
      </c>
      <c r="AG134" s="208">
        <v>219.0</v>
      </c>
      <c r="AH134" s="208">
        <v>231.0</v>
      </c>
      <c r="AI134" s="208">
        <v>71.0</v>
      </c>
      <c r="AJ134" s="208">
        <v>23455.0</v>
      </c>
      <c r="AK134" s="208">
        <v>3.0</v>
      </c>
      <c r="AL134" s="208">
        <v>27260.0</v>
      </c>
      <c r="AM134" s="208">
        <v>0.0</v>
      </c>
      <c r="AN134" s="208">
        <v>0.0164</v>
      </c>
      <c r="AO134" s="208">
        <v>83266.0</v>
      </c>
      <c r="AP134" s="208">
        <v>0.33</v>
      </c>
      <c r="AQ134" s="208">
        <v>0.0</v>
      </c>
      <c r="AR134" s="208">
        <v>27.0</v>
      </c>
      <c r="AS134" s="208">
        <v>674.0</v>
      </c>
      <c r="AT134" s="208">
        <v>3356.58</v>
      </c>
      <c r="AU134" s="208">
        <v>1.0</v>
      </c>
      <c r="AV134" s="208">
        <v>73.0</v>
      </c>
      <c r="AW134" s="208">
        <v>20.0</v>
      </c>
      <c r="AX134" s="208">
        <v>27.0</v>
      </c>
      <c r="AY134" s="208">
        <v>1.0</v>
      </c>
    </row>
    <row r="135">
      <c r="A135" s="208" t="s">
        <v>185</v>
      </c>
      <c r="B135" s="533" t="s">
        <v>85</v>
      </c>
      <c r="C135" s="208" t="s">
        <v>832</v>
      </c>
      <c r="D135" s="208" t="s">
        <v>1058</v>
      </c>
      <c r="E135" s="208" t="s">
        <v>393</v>
      </c>
      <c r="F135" s="585">
        <v>45474.0</v>
      </c>
      <c r="G135" s="208" t="s">
        <v>86</v>
      </c>
      <c r="H135" s="208">
        <v>0.0</v>
      </c>
      <c r="I135" s="208">
        <v>2500000.0</v>
      </c>
      <c r="J135" s="208">
        <v>0.0</v>
      </c>
      <c r="K135" s="208">
        <v>0.0</v>
      </c>
      <c r="L135" s="536">
        <f t="shared" si="1"/>
        <v>0</v>
      </c>
      <c r="M135" s="208">
        <v>21.0</v>
      </c>
      <c r="N135" s="208">
        <v>5.0</v>
      </c>
      <c r="O135" s="208">
        <v>0.0</v>
      </c>
      <c r="P135" s="208">
        <v>21.0</v>
      </c>
      <c r="Q135" s="208">
        <v>16.0</v>
      </c>
      <c r="R135" s="208">
        <v>0.0</v>
      </c>
      <c r="S135" s="208">
        <v>0.0</v>
      </c>
      <c r="T135" s="208">
        <v>0.0</v>
      </c>
      <c r="U135" s="208">
        <v>0.0</v>
      </c>
      <c r="V135" s="208">
        <v>0.0</v>
      </c>
      <c r="W135" s="208">
        <v>0.0</v>
      </c>
      <c r="X135" s="208">
        <v>123.0</v>
      </c>
      <c r="Y135" s="208">
        <v>145.0</v>
      </c>
      <c r="Z135" s="208">
        <v>409.0</v>
      </c>
      <c r="AA135" s="208">
        <v>0.0</v>
      </c>
      <c r="AB135" s="208">
        <v>0.0</v>
      </c>
      <c r="AC135" s="208">
        <v>0.0</v>
      </c>
      <c r="AD135" s="208">
        <v>0.0</v>
      </c>
      <c r="AE135" s="208">
        <v>1.0</v>
      </c>
      <c r="AF135" s="208">
        <v>1.0</v>
      </c>
      <c r="AG135" s="208">
        <v>8.0</v>
      </c>
      <c r="AH135" s="208">
        <v>154.0</v>
      </c>
      <c r="AI135" s="208">
        <v>27.0</v>
      </c>
      <c r="AJ135" s="208">
        <v>0.0</v>
      </c>
      <c r="AK135" s="208">
        <v>6.0</v>
      </c>
      <c r="AL135" s="208">
        <v>35650.0</v>
      </c>
      <c r="AM135" s="208">
        <v>0.0</v>
      </c>
      <c r="AN135" s="208">
        <v>0.0</v>
      </c>
      <c r="AO135" s="208">
        <v>0.0</v>
      </c>
      <c r="AP135" s="208">
        <v>0.0</v>
      </c>
      <c r="AQ135" s="208">
        <v>0.0</v>
      </c>
      <c r="AR135" s="208">
        <v>0.0</v>
      </c>
      <c r="AS135" s="208">
        <v>270.0</v>
      </c>
      <c r="AT135" s="208">
        <v>1959.47</v>
      </c>
      <c r="AU135" s="208">
        <v>0.0</v>
      </c>
      <c r="AV135" s="208">
        <v>392.0</v>
      </c>
      <c r="AW135" s="208">
        <v>0.0</v>
      </c>
      <c r="AX135" s="208">
        <v>5.0</v>
      </c>
      <c r="AY135" s="208">
        <v>16.0</v>
      </c>
      <c r="AZ135" s="585">
        <v>45877.0</v>
      </c>
    </row>
    <row r="136">
      <c r="A136" s="208" t="s">
        <v>126</v>
      </c>
      <c r="B136" s="533" t="s">
        <v>130</v>
      </c>
      <c r="C136" s="208" t="s">
        <v>165</v>
      </c>
      <c r="D136" s="208" t="s">
        <v>130</v>
      </c>
      <c r="E136" s="208" t="s">
        <v>166</v>
      </c>
      <c r="F136" s="585">
        <v>45482.0</v>
      </c>
      <c r="G136" s="208" t="s">
        <v>131</v>
      </c>
      <c r="H136" s="208">
        <v>0.0</v>
      </c>
      <c r="I136" s="208">
        <v>4749999.0</v>
      </c>
      <c r="J136" s="208">
        <v>3817067.95</v>
      </c>
      <c r="K136" s="208">
        <v>0.0</v>
      </c>
      <c r="L136" s="536">
        <f t="shared" si="1"/>
        <v>3817067.95</v>
      </c>
      <c r="M136" s="208">
        <v>65.0</v>
      </c>
      <c r="N136" s="208">
        <v>57.0</v>
      </c>
      <c r="O136" s="208">
        <v>7.0</v>
      </c>
      <c r="P136" s="208">
        <v>72.0</v>
      </c>
      <c r="Q136" s="208">
        <v>15.0</v>
      </c>
      <c r="R136" s="208">
        <v>2412874.27</v>
      </c>
      <c r="S136" s="208">
        <v>1404193.68</v>
      </c>
      <c r="T136" s="208">
        <v>29.0</v>
      </c>
      <c r="U136" s="208">
        <v>7.0</v>
      </c>
      <c r="V136" s="208">
        <v>36.0</v>
      </c>
      <c r="W136" s="208">
        <v>0.0</v>
      </c>
      <c r="X136" s="208">
        <v>35.0</v>
      </c>
      <c r="Y136" s="208">
        <v>42.0</v>
      </c>
      <c r="Z136" s="208">
        <v>223.0</v>
      </c>
      <c r="AA136" s="208">
        <v>1.0</v>
      </c>
      <c r="AB136" s="208">
        <v>24.0</v>
      </c>
      <c r="AC136" s="208">
        <v>0.0</v>
      </c>
      <c r="AD136" s="208">
        <v>0.0</v>
      </c>
      <c r="AE136" s="208">
        <v>0.0</v>
      </c>
      <c r="AF136" s="208">
        <v>0.0</v>
      </c>
      <c r="AG136" s="208">
        <v>257.0</v>
      </c>
      <c r="AH136" s="208">
        <v>323.0</v>
      </c>
      <c r="AI136" s="208">
        <v>69.0</v>
      </c>
      <c r="AJ136" s="208">
        <v>55320.0</v>
      </c>
      <c r="AK136" s="208">
        <v>5.0</v>
      </c>
      <c r="AL136" s="208">
        <v>25165.0</v>
      </c>
      <c r="AM136" s="208">
        <v>0.0</v>
      </c>
      <c r="AN136" s="208">
        <v>0.0066</v>
      </c>
      <c r="AO136" s="208">
        <v>106030.0</v>
      </c>
      <c r="AP136" s="208">
        <v>0.8</v>
      </c>
      <c r="AQ136" s="208">
        <v>0.0</v>
      </c>
      <c r="AR136" s="208">
        <v>107.0</v>
      </c>
      <c r="AS136" s="208">
        <v>570.0</v>
      </c>
      <c r="AT136" s="208">
        <v>3756.28</v>
      </c>
      <c r="AU136" s="208">
        <v>7.0</v>
      </c>
      <c r="AV136" s="208">
        <v>66.0</v>
      </c>
      <c r="AW136" s="208">
        <v>36.0</v>
      </c>
      <c r="AX136" s="208">
        <v>23.0</v>
      </c>
      <c r="AY136" s="208">
        <v>13.0</v>
      </c>
    </row>
    <row r="137">
      <c r="A137" s="208" t="s">
        <v>298</v>
      </c>
      <c r="B137" s="533" t="s">
        <v>301</v>
      </c>
      <c r="C137" s="208" t="s">
        <v>312</v>
      </c>
      <c r="D137" s="208" t="s">
        <v>1066</v>
      </c>
      <c r="E137" s="208" t="s">
        <v>313</v>
      </c>
      <c r="F137" s="584">
        <v>45483.0</v>
      </c>
      <c r="G137" s="208" t="s">
        <v>302</v>
      </c>
      <c r="H137" s="208">
        <v>0.0</v>
      </c>
      <c r="I137" s="208">
        <v>3000000.0</v>
      </c>
      <c r="J137" s="208">
        <v>1720505.04</v>
      </c>
      <c r="K137" s="208">
        <v>0.0</v>
      </c>
      <c r="L137" s="536">
        <f t="shared" si="1"/>
        <v>1720505.04</v>
      </c>
      <c r="M137" s="208">
        <v>65.0</v>
      </c>
      <c r="N137" s="208">
        <v>69.0</v>
      </c>
      <c r="O137" s="208">
        <v>9.0</v>
      </c>
      <c r="P137" s="208">
        <v>74.0</v>
      </c>
      <c r="Q137" s="208">
        <v>5.0</v>
      </c>
      <c r="R137" s="208">
        <v>1663901.68</v>
      </c>
      <c r="S137" s="208">
        <v>56603.36</v>
      </c>
      <c r="T137" s="208">
        <v>48.0</v>
      </c>
      <c r="U137" s="208">
        <v>9.0</v>
      </c>
      <c r="V137" s="208">
        <v>57.0</v>
      </c>
      <c r="W137" s="208">
        <v>0.0</v>
      </c>
      <c r="X137" s="208">
        <v>85.0</v>
      </c>
      <c r="Y137" s="208">
        <v>116.0</v>
      </c>
      <c r="Z137" s="208">
        <v>122.0</v>
      </c>
      <c r="AA137" s="208">
        <v>2.0</v>
      </c>
      <c r="AB137" s="208">
        <v>32.0</v>
      </c>
      <c r="AC137" s="208">
        <v>0.0</v>
      </c>
      <c r="AD137" s="208">
        <v>0.0</v>
      </c>
      <c r="AE137" s="208">
        <v>0.0</v>
      </c>
      <c r="AF137" s="208">
        <v>0.0</v>
      </c>
      <c r="AG137" s="208">
        <v>223.0</v>
      </c>
      <c r="AH137" s="208">
        <v>371.0</v>
      </c>
      <c r="AI137" s="208">
        <v>73.0</v>
      </c>
      <c r="AJ137" s="208">
        <v>23569.0</v>
      </c>
      <c r="AK137" s="208">
        <v>5.0</v>
      </c>
      <c r="AL137" s="208">
        <v>42475.0</v>
      </c>
      <c r="AM137" s="208">
        <v>0.0</v>
      </c>
      <c r="AN137" s="208">
        <v>0.0247</v>
      </c>
      <c r="AO137" s="208">
        <v>30184.0</v>
      </c>
      <c r="AP137" s="208">
        <v>0.57</v>
      </c>
      <c r="AQ137" s="208">
        <v>0.0</v>
      </c>
      <c r="AR137" s="208">
        <v>123.0</v>
      </c>
      <c r="AS137" s="208">
        <v>628.0</v>
      </c>
      <c r="AT137" s="208">
        <v>6972.12</v>
      </c>
      <c r="AU137" s="208">
        <v>9.0</v>
      </c>
      <c r="AV137" s="208">
        <v>101.0</v>
      </c>
      <c r="AW137" s="208">
        <v>57.0</v>
      </c>
      <c r="AX137" s="208">
        <v>13.0</v>
      </c>
      <c r="AY137" s="208">
        <v>4.0</v>
      </c>
    </row>
    <row r="138">
      <c r="A138" s="208" t="s">
        <v>97</v>
      </c>
      <c r="B138" s="533" t="s">
        <v>101</v>
      </c>
      <c r="C138" s="208" t="s">
        <v>348</v>
      </c>
      <c r="D138" s="208" t="s">
        <v>1107</v>
      </c>
      <c r="E138" s="208" t="s">
        <v>349</v>
      </c>
      <c r="F138" s="585">
        <v>45597.0</v>
      </c>
      <c r="H138" s="208">
        <v>0.0</v>
      </c>
      <c r="I138" s="208">
        <v>3080000.0</v>
      </c>
      <c r="J138" s="208">
        <v>1885137.6</v>
      </c>
      <c r="K138" s="208">
        <v>0.0</v>
      </c>
      <c r="L138" s="536">
        <f t="shared" si="1"/>
        <v>1885137.6</v>
      </c>
      <c r="M138" s="208">
        <v>98.0</v>
      </c>
      <c r="N138" s="208">
        <v>86.0</v>
      </c>
      <c r="O138" s="208">
        <v>2.0</v>
      </c>
      <c r="P138" s="208">
        <v>100.0</v>
      </c>
      <c r="Q138" s="208">
        <v>14.0</v>
      </c>
      <c r="R138" s="208">
        <v>1840315.2</v>
      </c>
      <c r="S138" s="208">
        <v>44822.4</v>
      </c>
      <c r="T138" s="208">
        <v>34.0</v>
      </c>
      <c r="U138" s="208">
        <v>2.0</v>
      </c>
      <c r="V138" s="208">
        <v>36.0</v>
      </c>
      <c r="W138" s="208">
        <v>0.0</v>
      </c>
      <c r="X138" s="208">
        <v>10.0</v>
      </c>
      <c r="Y138" s="208">
        <v>19.0</v>
      </c>
      <c r="Z138" s="208">
        <v>59.0</v>
      </c>
      <c r="AA138" s="208">
        <v>1.0</v>
      </c>
      <c r="AB138" s="208">
        <v>32.0</v>
      </c>
      <c r="AC138" s="208">
        <v>0.0</v>
      </c>
      <c r="AD138" s="208">
        <v>0.0</v>
      </c>
      <c r="AE138" s="208">
        <v>0.0</v>
      </c>
      <c r="AF138" s="208">
        <v>0.0</v>
      </c>
      <c r="AG138" s="208">
        <v>397.0</v>
      </c>
      <c r="AH138" s="208">
        <v>448.0</v>
      </c>
      <c r="AI138" s="208">
        <v>66.0</v>
      </c>
      <c r="AJ138" s="208">
        <v>28563.0</v>
      </c>
      <c r="AK138" s="208">
        <v>7.0</v>
      </c>
      <c r="AL138" s="208">
        <v>26800.0</v>
      </c>
      <c r="AM138" s="208">
        <v>0.0</v>
      </c>
      <c r="AN138" s="208">
        <v>0.0</v>
      </c>
      <c r="AO138" s="208">
        <v>52365.0</v>
      </c>
      <c r="AP138" s="208">
        <v>0.61</v>
      </c>
      <c r="AQ138" s="208">
        <v>0.0</v>
      </c>
      <c r="AR138" s="208">
        <v>69.0</v>
      </c>
      <c r="AS138" s="208">
        <v>610.0</v>
      </c>
      <c r="AT138" s="208">
        <v>3300.04</v>
      </c>
      <c r="AU138" s="208">
        <v>2.0</v>
      </c>
      <c r="AV138" s="208">
        <v>38.0</v>
      </c>
      <c r="AW138" s="208">
        <v>36.0</v>
      </c>
      <c r="AX138" s="208">
        <v>50.0</v>
      </c>
      <c r="AY138" s="208">
        <v>14.0</v>
      </c>
    </row>
    <row r="139">
      <c r="A139" s="208" t="s">
        <v>97</v>
      </c>
      <c r="B139" s="533" t="s">
        <v>101</v>
      </c>
      <c r="C139" s="208" t="s">
        <v>102</v>
      </c>
      <c r="D139" s="208" t="s">
        <v>1062</v>
      </c>
      <c r="E139" s="208" t="s">
        <v>103</v>
      </c>
      <c r="F139" s="584">
        <v>45488.0</v>
      </c>
      <c r="H139" s="208">
        <v>0.0</v>
      </c>
      <c r="I139" s="208">
        <v>2786300.0</v>
      </c>
      <c r="J139" s="208">
        <v>1972205.4</v>
      </c>
      <c r="K139" s="208">
        <v>0.0</v>
      </c>
      <c r="L139" s="536">
        <f t="shared" si="1"/>
        <v>1972205.4</v>
      </c>
      <c r="M139" s="208">
        <v>107.0</v>
      </c>
      <c r="N139" s="208">
        <v>98.0</v>
      </c>
      <c r="O139" s="208">
        <v>1.0</v>
      </c>
      <c r="P139" s="208">
        <v>108.0</v>
      </c>
      <c r="Q139" s="208">
        <v>10.0</v>
      </c>
      <c r="R139" s="208">
        <v>1960997.4</v>
      </c>
      <c r="S139" s="208">
        <v>11208.0</v>
      </c>
      <c r="T139" s="208">
        <v>59.0</v>
      </c>
      <c r="U139" s="208">
        <v>1.0</v>
      </c>
      <c r="V139" s="208">
        <v>60.0</v>
      </c>
      <c r="W139" s="208">
        <v>0.0</v>
      </c>
      <c r="X139" s="208">
        <v>7.0</v>
      </c>
      <c r="Y139" s="208">
        <v>10.0</v>
      </c>
      <c r="Z139" s="208">
        <v>44.0</v>
      </c>
      <c r="AA139" s="208">
        <v>2.0</v>
      </c>
      <c r="AB139" s="208">
        <v>17.0</v>
      </c>
      <c r="AC139" s="208">
        <v>0.0</v>
      </c>
      <c r="AD139" s="208">
        <v>0.0</v>
      </c>
      <c r="AE139" s="208">
        <v>0.0</v>
      </c>
      <c r="AF139" s="208">
        <v>0.0</v>
      </c>
      <c r="AG139" s="208">
        <v>471.0</v>
      </c>
      <c r="AH139" s="208">
        <v>498.0</v>
      </c>
      <c r="AI139" s="208">
        <v>71.0</v>
      </c>
      <c r="AJ139" s="208">
        <v>27778.0</v>
      </c>
      <c r="AK139" s="208">
        <v>7.0</v>
      </c>
      <c r="AM139" s="208">
        <v>0.0</v>
      </c>
      <c r="AN139" s="208">
        <v>0.0</v>
      </c>
      <c r="AO139" s="208">
        <v>32870.0</v>
      </c>
      <c r="AP139" s="208">
        <v>0.71</v>
      </c>
      <c r="AQ139" s="208">
        <v>0.0</v>
      </c>
      <c r="AR139" s="208">
        <v>163.0</v>
      </c>
      <c r="AS139" s="208">
        <v>657.0</v>
      </c>
      <c r="AT139" s="208">
        <v>5269.92</v>
      </c>
      <c r="AU139" s="208">
        <v>1.0</v>
      </c>
      <c r="AV139" s="208">
        <v>54.0</v>
      </c>
      <c r="AW139" s="208">
        <v>60.0</v>
      </c>
      <c r="AX139" s="208">
        <v>38.0</v>
      </c>
      <c r="AY139" s="208">
        <v>10.0</v>
      </c>
    </row>
    <row r="140">
      <c r="A140" s="208" t="s">
        <v>185</v>
      </c>
      <c r="B140" s="533" t="s">
        <v>212</v>
      </c>
      <c r="C140" s="208" t="s">
        <v>839</v>
      </c>
      <c r="D140" s="208" t="s">
        <v>1031</v>
      </c>
      <c r="E140" s="208" t="s">
        <v>417</v>
      </c>
      <c r="F140" s="584">
        <v>45488.0</v>
      </c>
      <c r="G140" s="208" t="s">
        <v>489</v>
      </c>
      <c r="H140" s="208">
        <v>0.0</v>
      </c>
      <c r="I140" s="208">
        <v>4500000.0</v>
      </c>
      <c r="J140" s="208">
        <v>2566769.73</v>
      </c>
      <c r="K140" s="208">
        <v>0.0</v>
      </c>
      <c r="L140" s="536">
        <f t="shared" si="1"/>
        <v>2566769.73</v>
      </c>
      <c r="M140" s="208">
        <v>53.0</v>
      </c>
      <c r="N140" s="208">
        <v>52.0</v>
      </c>
      <c r="O140" s="208">
        <v>6.0</v>
      </c>
      <c r="P140" s="208">
        <v>59.0</v>
      </c>
      <c r="Q140" s="208">
        <v>7.0</v>
      </c>
      <c r="R140" s="208">
        <v>1716328.88</v>
      </c>
      <c r="S140" s="208">
        <v>850440.85</v>
      </c>
      <c r="T140" s="208">
        <v>28.0</v>
      </c>
      <c r="U140" s="208">
        <v>6.0</v>
      </c>
      <c r="V140" s="208">
        <v>34.0</v>
      </c>
      <c r="W140" s="208">
        <v>0.0</v>
      </c>
      <c r="X140" s="208">
        <v>19.0</v>
      </c>
      <c r="Y140" s="208">
        <v>35.0</v>
      </c>
      <c r="Z140" s="208">
        <v>39.0</v>
      </c>
      <c r="AA140" s="208">
        <v>1.0</v>
      </c>
      <c r="AB140" s="208">
        <v>40.0</v>
      </c>
      <c r="AC140" s="208">
        <v>0.0</v>
      </c>
      <c r="AD140" s="208">
        <v>0.0</v>
      </c>
      <c r="AE140" s="208">
        <v>0.0</v>
      </c>
      <c r="AF140" s="208">
        <v>0.0</v>
      </c>
      <c r="AG140" s="208">
        <v>204.0</v>
      </c>
      <c r="AH140" s="208">
        <v>279.0</v>
      </c>
      <c r="AI140" s="208">
        <v>69.0</v>
      </c>
      <c r="AJ140" s="208">
        <v>37200.0</v>
      </c>
      <c r="AK140" s="208">
        <v>4.0</v>
      </c>
      <c r="AL140" s="208">
        <v>30950.0</v>
      </c>
      <c r="AM140" s="208">
        <v>0.0</v>
      </c>
      <c r="AN140" s="208">
        <v>0.0121</v>
      </c>
      <c r="AO140" s="208">
        <v>75493.0</v>
      </c>
      <c r="AP140" s="208">
        <v>0.57</v>
      </c>
      <c r="AQ140" s="208">
        <v>0.0</v>
      </c>
      <c r="AR140" s="208">
        <v>66.0</v>
      </c>
      <c r="AS140" s="208">
        <v>761.0</v>
      </c>
      <c r="AT140" s="208">
        <v>5535.65</v>
      </c>
      <c r="AU140" s="208">
        <v>6.0</v>
      </c>
      <c r="AV140" s="208">
        <v>106.0</v>
      </c>
      <c r="AW140" s="208">
        <v>34.0</v>
      </c>
      <c r="AX140" s="208">
        <v>18.0</v>
      </c>
      <c r="AY140" s="208">
        <v>7.0</v>
      </c>
    </row>
    <row r="141">
      <c r="A141" s="208" t="s">
        <v>126</v>
      </c>
      <c r="B141" s="533" t="s">
        <v>130</v>
      </c>
      <c r="C141" s="208" t="s">
        <v>444</v>
      </c>
      <c r="D141" s="208" t="s">
        <v>130</v>
      </c>
      <c r="E141" s="208" t="s">
        <v>445</v>
      </c>
      <c r="F141" s="585">
        <v>45506.0</v>
      </c>
      <c r="G141" s="208" t="s">
        <v>128</v>
      </c>
      <c r="H141" s="208">
        <v>300000.0</v>
      </c>
      <c r="I141" s="208">
        <v>3450000.0</v>
      </c>
      <c r="J141" s="208">
        <v>705190.24</v>
      </c>
      <c r="K141" s="208">
        <v>981195.98</v>
      </c>
      <c r="L141" s="536">
        <f t="shared" si="1"/>
        <v>1686386.22</v>
      </c>
      <c r="M141" s="208">
        <v>36.0</v>
      </c>
      <c r="N141" s="208">
        <v>30.0</v>
      </c>
      <c r="O141" s="208">
        <v>5.0</v>
      </c>
      <c r="P141" s="208">
        <v>41.0</v>
      </c>
      <c r="Q141" s="208">
        <v>11.0</v>
      </c>
      <c r="R141" s="208">
        <v>606745.44</v>
      </c>
      <c r="S141" s="208">
        <v>98444.8</v>
      </c>
      <c r="T141" s="208">
        <v>17.0</v>
      </c>
      <c r="U141" s="208">
        <v>3.0</v>
      </c>
      <c r="V141" s="208">
        <v>20.0</v>
      </c>
      <c r="W141" s="208">
        <v>1.0</v>
      </c>
      <c r="X141" s="208">
        <v>20.0</v>
      </c>
      <c r="Y141" s="208">
        <v>60.0</v>
      </c>
      <c r="Z141" s="208">
        <v>80.0</v>
      </c>
      <c r="AA141" s="208">
        <v>2.0</v>
      </c>
      <c r="AB141" s="208">
        <v>8.0</v>
      </c>
      <c r="AC141" s="208">
        <v>1.0</v>
      </c>
      <c r="AD141" s="208">
        <v>68.0</v>
      </c>
      <c r="AE141" s="208">
        <v>3.0</v>
      </c>
      <c r="AF141" s="208">
        <v>6.0</v>
      </c>
      <c r="AG141" s="208">
        <v>124.0</v>
      </c>
      <c r="AH141" s="208">
        <v>266.0</v>
      </c>
      <c r="AI141" s="208">
        <v>74.0</v>
      </c>
      <c r="AJ141" s="208">
        <v>9530.0</v>
      </c>
      <c r="AK141" s="208">
        <v>4.0</v>
      </c>
      <c r="AL141" s="208">
        <v>29360.0</v>
      </c>
      <c r="AM141" s="208">
        <v>0.0</v>
      </c>
      <c r="AN141" s="208">
        <v>0.0416</v>
      </c>
      <c r="AO141" s="208">
        <v>35260.0</v>
      </c>
      <c r="AP141" s="208">
        <v>0.2</v>
      </c>
      <c r="AQ141" s="208">
        <v>3.27</v>
      </c>
      <c r="AR141" s="208">
        <v>30.0</v>
      </c>
      <c r="AS141" s="208">
        <v>717.0</v>
      </c>
      <c r="AT141" s="208">
        <v>1680.86</v>
      </c>
      <c r="AU141" s="208">
        <v>3.0</v>
      </c>
      <c r="AV141" s="208">
        <v>56.0</v>
      </c>
      <c r="AW141" s="208">
        <v>20.0</v>
      </c>
      <c r="AX141" s="208">
        <v>12.0</v>
      </c>
      <c r="AY141" s="208">
        <v>9.0</v>
      </c>
    </row>
    <row r="142">
      <c r="A142" s="208" t="s">
        <v>53</v>
      </c>
      <c r="B142" s="533" t="s">
        <v>56</v>
      </c>
      <c r="C142" s="208" t="s">
        <v>847</v>
      </c>
      <c r="D142" s="208" t="s">
        <v>1092</v>
      </c>
      <c r="E142" s="208" t="s">
        <v>1099</v>
      </c>
      <c r="F142" s="584">
        <v>45502.0</v>
      </c>
      <c r="G142" s="208" t="s">
        <v>754</v>
      </c>
      <c r="H142" s="208">
        <v>0.0</v>
      </c>
      <c r="I142" s="208">
        <v>3000000.0</v>
      </c>
      <c r="J142" s="208">
        <v>138429.12</v>
      </c>
      <c r="K142" s="208">
        <v>0.0</v>
      </c>
      <c r="L142" s="536">
        <f t="shared" si="1"/>
        <v>138429.12</v>
      </c>
      <c r="M142" s="208">
        <v>31.0</v>
      </c>
      <c r="N142" s="208">
        <v>24.0</v>
      </c>
      <c r="O142" s="208">
        <v>0.0</v>
      </c>
      <c r="P142" s="208">
        <v>31.0</v>
      </c>
      <c r="Q142" s="208">
        <v>7.0</v>
      </c>
      <c r="R142" s="208">
        <v>138429.12</v>
      </c>
      <c r="S142" s="208">
        <v>0.0</v>
      </c>
      <c r="T142" s="208">
        <v>1.0</v>
      </c>
      <c r="U142" s="208">
        <v>0.0</v>
      </c>
      <c r="V142" s="208">
        <v>1.0</v>
      </c>
      <c r="W142" s="208">
        <v>0.0</v>
      </c>
      <c r="X142" s="208">
        <v>23.0</v>
      </c>
      <c r="Y142" s="208">
        <v>37.0</v>
      </c>
      <c r="Z142" s="208">
        <v>107.0</v>
      </c>
      <c r="AA142" s="208">
        <v>1.0</v>
      </c>
      <c r="AB142" s="208">
        <v>23.0</v>
      </c>
      <c r="AC142" s="208">
        <v>0.0</v>
      </c>
      <c r="AD142" s="208">
        <v>0.0</v>
      </c>
      <c r="AE142" s="208">
        <v>0.0</v>
      </c>
      <c r="AF142" s="208">
        <v>0.0</v>
      </c>
      <c r="AG142" s="208">
        <v>102.0</v>
      </c>
      <c r="AH142" s="208">
        <v>162.0</v>
      </c>
      <c r="AI142" s="208">
        <v>36.0</v>
      </c>
      <c r="AJ142" s="208">
        <v>3845.0</v>
      </c>
      <c r="AK142" s="208">
        <v>5.0</v>
      </c>
      <c r="AL142" s="208">
        <v>46670.0</v>
      </c>
      <c r="AM142" s="208">
        <v>0.0</v>
      </c>
      <c r="AN142" s="208">
        <v>0.3371</v>
      </c>
      <c r="AO142" s="208">
        <v>138429.0</v>
      </c>
      <c r="AP142" s="208">
        <v>0.05</v>
      </c>
      <c r="AQ142" s="208">
        <v>0.0</v>
      </c>
      <c r="AR142" s="208">
        <v>1.0</v>
      </c>
      <c r="AS142" s="208">
        <v>291.0</v>
      </c>
      <c r="AT142" s="208">
        <v>1172.55</v>
      </c>
      <c r="AU142" s="208">
        <v>0.0</v>
      </c>
      <c r="AV142" s="208">
        <v>49.0</v>
      </c>
      <c r="AW142" s="208">
        <v>1.0</v>
      </c>
      <c r="AX142" s="208">
        <v>24.0</v>
      </c>
      <c r="AY142" s="208">
        <v>6.0</v>
      </c>
      <c r="AZ142" s="584">
        <v>45882.0</v>
      </c>
    </row>
    <row r="143">
      <c r="A143" s="208" t="s">
        <v>185</v>
      </c>
      <c r="B143" s="533" t="s">
        <v>212</v>
      </c>
      <c r="C143" s="208" t="s">
        <v>273</v>
      </c>
      <c r="D143" s="208" t="s">
        <v>1031</v>
      </c>
      <c r="E143" s="208" t="s">
        <v>274</v>
      </c>
      <c r="F143" s="585">
        <v>45628.0</v>
      </c>
      <c r="G143" s="208" t="s">
        <v>489</v>
      </c>
      <c r="H143" s="208">
        <v>0.0</v>
      </c>
      <c r="I143" s="208">
        <v>4500000.0</v>
      </c>
      <c r="J143" s="208">
        <v>3537233.16</v>
      </c>
      <c r="K143" s="208">
        <v>0.0</v>
      </c>
      <c r="L143" s="536">
        <f t="shared" si="1"/>
        <v>3537233.16</v>
      </c>
      <c r="M143" s="208">
        <v>76.0</v>
      </c>
      <c r="N143" s="208">
        <v>71.0</v>
      </c>
      <c r="O143" s="208">
        <v>5.0</v>
      </c>
      <c r="P143" s="208">
        <v>81.0</v>
      </c>
      <c r="Q143" s="208">
        <v>10.0</v>
      </c>
      <c r="R143" s="208">
        <v>3280194.18</v>
      </c>
      <c r="S143" s="208">
        <v>257038.98</v>
      </c>
      <c r="T143" s="208">
        <v>38.0</v>
      </c>
      <c r="U143" s="208">
        <v>5.0</v>
      </c>
      <c r="V143" s="208">
        <v>43.0</v>
      </c>
      <c r="W143" s="208">
        <v>0.0</v>
      </c>
      <c r="X143" s="208">
        <v>62.0</v>
      </c>
      <c r="Y143" s="208">
        <v>82.0</v>
      </c>
      <c r="Z143" s="208">
        <v>102.0</v>
      </c>
      <c r="AA143" s="208">
        <v>1.0</v>
      </c>
      <c r="AB143" s="208">
        <v>16.0</v>
      </c>
      <c r="AC143" s="208">
        <v>0.0</v>
      </c>
      <c r="AD143" s="208">
        <v>0.0</v>
      </c>
      <c r="AE143" s="208">
        <v>3.0</v>
      </c>
      <c r="AF143" s="208">
        <v>3.0</v>
      </c>
      <c r="AG143" s="208">
        <v>297.0</v>
      </c>
      <c r="AH143" s="208">
        <v>398.0</v>
      </c>
      <c r="AI143" s="208">
        <v>72.0</v>
      </c>
      <c r="AJ143" s="208">
        <v>49128.0</v>
      </c>
      <c r="AK143" s="208">
        <v>6.0</v>
      </c>
      <c r="AL143" s="208">
        <v>26755.0</v>
      </c>
      <c r="AM143" s="208">
        <v>0.0</v>
      </c>
      <c r="AN143" s="208">
        <v>0.0076</v>
      </c>
      <c r="AO143" s="208">
        <v>82261.0</v>
      </c>
      <c r="AP143" s="208">
        <v>0.79</v>
      </c>
      <c r="AQ143" s="208">
        <v>0.0</v>
      </c>
      <c r="AR143" s="208">
        <v>72.0</v>
      </c>
      <c r="AS143" s="208">
        <v>757.0</v>
      </c>
      <c r="AT143" s="208">
        <v>3937.04</v>
      </c>
      <c r="AU143" s="208">
        <v>5.0</v>
      </c>
      <c r="AV143" s="208">
        <v>55.0</v>
      </c>
      <c r="AW143" s="208">
        <v>43.0</v>
      </c>
      <c r="AX143" s="208">
        <v>28.0</v>
      </c>
      <c r="AY143" s="208">
        <v>10.0</v>
      </c>
    </row>
    <row r="144">
      <c r="A144" s="208" t="s">
        <v>185</v>
      </c>
      <c r="B144" s="533" t="s">
        <v>196</v>
      </c>
      <c r="C144" s="208" t="s">
        <v>412</v>
      </c>
      <c r="D144" s="208" t="s">
        <v>1027</v>
      </c>
      <c r="E144" s="208" t="s">
        <v>209</v>
      </c>
      <c r="F144" s="584">
        <v>45516.0</v>
      </c>
      <c r="G144" s="208" t="s">
        <v>208</v>
      </c>
      <c r="H144" s="208">
        <v>0.0</v>
      </c>
      <c r="I144" s="208">
        <v>3000000.0</v>
      </c>
      <c r="J144" s="208">
        <v>0.0</v>
      </c>
      <c r="K144" s="208">
        <v>0.0</v>
      </c>
      <c r="L144" s="536">
        <f t="shared" si="1"/>
        <v>0</v>
      </c>
      <c r="M144" s="208">
        <v>11.0</v>
      </c>
      <c r="N144" s="208">
        <v>8.0</v>
      </c>
      <c r="O144" s="208">
        <v>0.0</v>
      </c>
      <c r="P144" s="208">
        <v>11.0</v>
      </c>
      <c r="Q144" s="208">
        <v>3.0</v>
      </c>
      <c r="R144" s="208">
        <v>0.0</v>
      </c>
      <c r="S144" s="208">
        <v>0.0</v>
      </c>
      <c r="T144" s="208">
        <v>0.0</v>
      </c>
      <c r="U144" s="208">
        <v>0.0</v>
      </c>
      <c r="V144" s="208">
        <v>0.0</v>
      </c>
      <c r="W144" s="208">
        <v>0.0</v>
      </c>
      <c r="X144" s="208">
        <v>8.0</v>
      </c>
      <c r="Y144" s="208">
        <v>15.0</v>
      </c>
      <c r="Z144" s="208">
        <v>10.0</v>
      </c>
      <c r="AA144" s="208">
        <v>1.0</v>
      </c>
      <c r="AB144" s="208">
        <v>6.0</v>
      </c>
      <c r="AC144" s="208">
        <v>1.0</v>
      </c>
      <c r="AD144" s="208">
        <v>13.0</v>
      </c>
      <c r="AE144" s="208">
        <v>0.0</v>
      </c>
      <c r="AF144" s="208">
        <v>0.0</v>
      </c>
      <c r="AG144" s="208">
        <v>52.0</v>
      </c>
      <c r="AH144" s="208">
        <v>86.0</v>
      </c>
      <c r="AI144" s="208">
        <v>26.0</v>
      </c>
      <c r="AJ144" s="208">
        <v>0.0</v>
      </c>
      <c r="AK144" s="208">
        <v>3.0</v>
      </c>
      <c r="AL144" s="208">
        <v>25700.0</v>
      </c>
      <c r="AM144" s="208">
        <v>0.0</v>
      </c>
      <c r="AN144" s="208">
        <v>0.0</v>
      </c>
      <c r="AO144" s="208">
        <v>0.0</v>
      </c>
      <c r="AP144" s="208">
        <v>0.0</v>
      </c>
      <c r="AQ144" s="208">
        <v>0.0</v>
      </c>
      <c r="AR144" s="208">
        <v>0.0</v>
      </c>
      <c r="AS144" s="208">
        <v>207.0</v>
      </c>
      <c r="AT144" s="208">
        <v>560.27</v>
      </c>
      <c r="AU144" s="208">
        <v>0.0</v>
      </c>
      <c r="AV144" s="208">
        <v>70.0</v>
      </c>
      <c r="AW144" s="208">
        <v>0.0</v>
      </c>
      <c r="AX144" s="208">
        <v>8.0</v>
      </c>
      <c r="AY144" s="208">
        <v>3.0</v>
      </c>
      <c r="AZ144" s="584">
        <v>45899.0</v>
      </c>
    </row>
    <row r="145">
      <c r="A145" s="208" t="s">
        <v>298</v>
      </c>
      <c r="B145" s="533" t="s">
        <v>301</v>
      </c>
      <c r="C145" s="208" t="s">
        <v>314</v>
      </c>
      <c r="D145" s="208" t="s">
        <v>1066</v>
      </c>
      <c r="E145" s="208" t="s">
        <v>1100</v>
      </c>
      <c r="F145" s="584">
        <v>45516.0</v>
      </c>
      <c r="G145" s="208" t="s">
        <v>298</v>
      </c>
      <c r="H145" s="208">
        <v>0.0</v>
      </c>
      <c r="I145" s="208">
        <v>3000000.0</v>
      </c>
      <c r="J145" s="208">
        <v>1566592.54</v>
      </c>
      <c r="K145" s="208">
        <v>0.0</v>
      </c>
      <c r="L145" s="536">
        <f t="shared" si="1"/>
        <v>1566592.54</v>
      </c>
      <c r="M145" s="208">
        <v>136.0</v>
      </c>
      <c r="N145" s="208">
        <v>86.0</v>
      </c>
      <c r="O145" s="208">
        <v>0.0</v>
      </c>
      <c r="P145" s="208">
        <v>136.0</v>
      </c>
      <c r="Q145" s="208">
        <v>50.0</v>
      </c>
      <c r="R145" s="208">
        <v>1566592.54</v>
      </c>
      <c r="S145" s="208">
        <v>0.0</v>
      </c>
      <c r="T145" s="208">
        <v>51.0</v>
      </c>
      <c r="U145" s="208">
        <v>0.0</v>
      </c>
      <c r="V145" s="208">
        <v>51.0</v>
      </c>
      <c r="W145" s="208">
        <v>0.0</v>
      </c>
      <c r="X145" s="208">
        <v>150.0</v>
      </c>
      <c r="Y145" s="208">
        <v>172.0</v>
      </c>
      <c r="Z145" s="208">
        <v>222.0</v>
      </c>
      <c r="AA145" s="208">
        <v>1.0</v>
      </c>
      <c r="AB145" s="208">
        <v>5.0</v>
      </c>
      <c r="AC145" s="208">
        <v>0.0</v>
      </c>
      <c r="AD145" s="208">
        <v>0.0</v>
      </c>
      <c r="AE145" s="208">
        <v>0.0</v>
      </c>
      <c r="AF145" s="208">
        <v>0.0</v>
      </c>
      <c r="AG145" s="208">
        <v>154.0</v>
      </c>
      <c r="AH145" s="208">
        <v>331.0</v>
      </c>
      <c r="AI145" s="208">
        <v>72.0</v>
      </c>
      <c r="AJ145" s="208">
        <v>21758.0</v>
      </c>
      <c r="AK145" s="208">
        <v>5.0</v>
      </c>
      <c r="AL145" s="208">
        <v>27260.0</v>
      </c>
      <c r="AM145" s="208">
        <v>0.0</v>
      </c>
      <c r="AN145" s="208">
        <v>0.0174</v>
      </c>
      <c r="AO145" s="208">
        <v>30718.0</v>
      </c>
      <c r="AP145" s="208">
        <v>0.52</v>
      </c>
      <c r="AQ145" s="208">
        <v>0.0</v>
      </c>
      <c r="AR145" s="208">
        <v>93.0</v>
      </c>
      <c r="AS145" s="208">
        <v>704.0</v>
      </c>
      <c r="AT145" s="208">
        <v>4499.86</v>
      </c>
      <c r="AU145" s="208">
        <v>0.0</v>
      </c>
      <c r="AV145" s="208">
        <v>52.0</v>
      </c>
      <c r="AW145" s="208">
        <v>51.0</v>
      </c>
      <c r="AX145" s="208">
        <v>46.0</v>
      </c>
      <c r="AY145" s="208">
        <v>39.0</v>
      </c>
    </row>
    <row r="146">
      <c r="A146" s="208" t="s">
        <v>185</v>
      </c>
      <c r="B146" s="533" t="s">
        <v>1101</v>
      </c>
      <c r="C146" s="208" t="s">
        <v>850</v>
      </c>
      <c r="D146" s="208" t="s">
        <v>1101</v>
      </c>
      <c r="E146" s="208" t="s">
        <v>1102</v>
      </c>
      <c r="F146" s="584">
        <v>45523.0</v>
      </c>
      <c r="G146" s="208" t="s">
        <v>185</v>
      </c>
      <c r="H146" s="208">
        <v>0.0</v>
      </c>
      <c r="I146" s="208">
        <v>0.0</v>
      </c>
      <c r="J146" s="208">
        <v>0.0</v>
      </c>
      <c r="K146" s="208">
        <v>0.0</v>
      </c>
      <c r="L146" s="536">
        <f t="shared" si="1"/>
        <v>0</v>
      </c>
      <c r="M146" s="208">
        <v>1.0</v>
      </c>
      <c r="N146" s="208">
        <v>0.0</v>
      </c>
      <c r="O146" s="208">
        <v>0.0</v>
      </c>
      <c r="P146" s="208">
        <v>1.0</v>
      </c>
      <c r="Q146" s="208">
        <v>1.0</v>
      </c>
      <c r="R146" s="208">
        <v>0.0</v>
      </c>
      <c r="S146" s="208">
        <v>0.0</v>
      </c>
      <c r="T146" s="208">
        <v>0.0</v>
      </c>
      <c r="U146" s="208">
        <v>0.0</v>
      </c>
      <c r="V146" s="208">
        <v>0.0</v>
      </c>
      <c r="W146" s="208">
        <v>0.0</v>
      </c>
      <c r="X146" s="208">
        <v>5.0</v>
      </c>
      <c r="Y146" s="208">
        <v>6.0</v>
      </c>
      <c r="Z146" s="208">
        <v>48.0</v>
      </c>
      <c r="AA146" s="208">
        <v>0.0</v>
      </c>
      <c r="AB146" s="208">
        <v>0.0</v>
      </c>
      <c r="AC146" s="208">
        <v>0.0</v>
      </c>
      <c r="AD146" s="208">
        <v>0.0</v>
      </c>
      <c r="AE146" s="208">
        <v>32.0</v>
      </c>
      <c r="AF146" s="208">
        <v>48.0</v>
      </c>
      <c r="AG146" s="208">
        <v>0.0</v>
      </c>
      <c r="AH146" s="208">
        <v>54.0</v>
      </c>
      <c r="AI146" s="208">
        <v>17.0</v>
      </c>
      <c r="AJ146" s="208">
        <v>0.0</v>
      </c>
      <c r="AK146" s="208">
        <v>3.0</v>
      </c>
      <c r="AL146" s="208">
        <v>72970.0</v>
      </c>
      <c r="AM146" s="208">
        <v>0.0</v>
      </c>
      <c r="AN146" s="208">
        <v>0.0</v>
      </c>
      <c r="AO146" s="208">
        <v>0.0</v>
      </c>
      <c r="AP146" s="208">
        <v>0.0</v>
      </c>
      <c r="AQ146" s="208">
        <v>0.0</v>
      </c>
      <c r="AR146" s="208">
        <v>0.0</v>
      </c>
      <c r="AS146" s="208">
        <v>200.0</v>
      </c>
      <c r="AT146" s="208">
        <v>2103.87</v>
      </c>
      <c r="AU146" s="208">
        <v>0.0</v>
      </c>
      <c r="AV146" s="208">
        <v>0.0</v>
      </c>
      <c r="AW146" s="208">
        <v>0.0</v>
      </c>
      <c r="AX146" s="208">
        <v>0.0</v>
      </c>
      <c r="AY146" s="208">
        <v>1.0</v>
      </c>
      <c r="AZ146" s="584">
        <v>45869.0</v>
      </c>
    </row>
    <row r="147">
      <c r="A147" s="208" t="s">
        <v>53</v>
      </c>
      <c r="B147" s="533" t="s">
        <v>56</v>
      </c>
      <c r="C147" s="208" t="s">
        <v>57</v>
      </c>
      <c r="D147" s="208" t="s">
        <v>1092</v>
      </c>
      <c r="E147" s="208" t="s">
        <v>58</v>
      </c>
      <c r="F147" s="584">
        <v>45518.0</v>
      </c>
      <c r="G147" s="208" t="s">
        <v>754</v>
      </c>
      <c r="H147" s="208">
        <v>0.0</v>
      </c>
      <c r="I147" s="208">
        <v>2100000.0</v>
      </c>
      <c r="J147" s="208">
        <v>873303.34</v>
      </c>
      <c r="K147" s="208">
        <v>0.0</v>
      </c>
      <c r="L147" s="536">
        <f t="shared" si="1"/>
        <v>873303.34</v>
      </c>
      <c r="M147" s="208">
        <v>72.0</v>
      </c>
      <c r="N147" s="208">
        <v>71.0</v>
      </c>
      <c r="O147" s="208">
        <v>7.0</v>
      </c>
      <c r="P147" s="208">
        <v>79.0</v>
      </c>
      <c r="Q147" s="208">
        <v>8.0</v>
      </c>
      <c r="R147" s="208">
        <v>627146.54</v>
      </c>
      <c r="S147" s="208">
        <v>246156.8</v>
      </c>
      <c r="T147" s="208">
        <v>31.0</v>
      </c>
      <c r="U147" s="208">
        <v>7.0</v>
      </c>
      <c r="V147" s="208">
        <v>38.0</v>
      </c>
      <c r="W147" s="208">
        <v>0.0</v>
      </c>
      <c r="X147" s="208">
        <v>55.0</v>
      </c>
      <c r="Y147" s="208">
        <v>72.0</v>
      </c>
      <c r="Z147" s="208">
        <v>170.0</v>
      </c>
      <c r="AA147" s="208">
        <v>1.0</v>
      </c>
      <c r="AB147" s="208">
        <v>61.0</v>
      </c>
      <c r="AC147" s="208">
        <v>0.0</v>
      </c>
      <c r="AD147" s="208">
        <v>0.0</v>
      </c>
      <c r="AE147" s="208">
        <v>0.0</v>
      </c>
      <c r="AF147" s="208">
        <v>0.0</v>
      </c>
      <c r="AG147" s="208">
        <v>440.0</v>
      </c>
      <c r="AH147" s="208">
        <v>573.0</v>
      </c>
      <c r="AI147" s="208">
        <v>72.0</v>
      </c>
      <c r="AJ147" s="208">
        <v>12129.0</v>
      </c>
      <c r="AK147" s="208">
        <v>8.0</v>
      </c>
      <c r="AL147" s="208">
        <v>23570.0</v>
      </c>
      <c r="AM147" s="208">
        <v>0.0</v>
      </c>
      <c r="AN147" s="208">
        <v>0.027</v>
      </c>
      <c r="AO147" s="208">
        <v>22982.0</v>
      </c>
      <c r="AP147" s="208">
        <v>0.42</v>
      </c>
      <c r="AQ147" s="208">
        <v>0.0</v>
      </c>
      <c r="AR147" s="208">
        <v>57.0</v>
      </c>
      <c r="AS147" s="208">
        <v>793.0</v>
      </c>
      <c r="AT147" s="208">
        <v>6495.58</v>
      </c>
      <c r="AU147" s="208">
        <v>7.0</v>
      </c>
      <c r="AV147" s="208">
        <v>91.0</v>
      </c>
      <c r="AW147" s="208">
        <v>38.0</v>
      </c>
      <c r="AX147" s="208">
        <v>34.0</v>
      </c>
      <c r="AY147" s="208">
        <v>7.0</v>
      </c>
    </row>
    <row r="148">
      <c r="A148" s="208" t="s">
        <v>23</v>
      </c>
      <c r="B148" s="533" t="s">
        <v>27</v>
      </c>
      <c r="C148" s="208" t="s">
        <v>31</v>
      </c>
      <c r="D148" s="208" t="s">
        <v>1103</v>
      </c>
      <c r="E148" s="208" t="s">
        <v>32</v>
      </c>
      <c r="F148" s="584">
        <v>45551.0</v>
      </c>
      <c r="G148" s="208" t="s">
        <v>23</v>
      </c>
      <c r="H148" s="208">
        <v>0.0</v>
      </c>
      <c r="I148" s="208">
        <v>3900000.0</v>
      </c>
      <c r="J148" s="208">
        <v>2955072.06</v>
      </c>
      <c r="K148" s="208">
        <v>0.0</v>
      </c>
      <c r="L148" s="536">
        <f t="shared" si="1"/>
        <v>2955072.06</v>
      </c>
      <c r="M148" s="208">
        <v>121.0</v>
      </c>
      <c r="N148" s="208">
        <v>98.0</v>
      </c>
      <c r="O148" s="208">
        <v>3.0</v>
      </c>
      <c r="P148" s="208">
        <v>124.0</v>
      </c>
      <c r="Q148" s="208">
        <v>26.0</v>
      </c>
      <c r="R148" s="208">
        <v>2825295.62</v>
      </c>
      <c r="S148" s="208">
        <v>129776.44</v>
      </c>
      <c r="T148" s="208">
        <v>75.0</v>
      </c>
      <c r="U148" s="208">
        <v>2.0</v>
      </c>
      <c r="V148" s="208">
        <v>77.0</v>
      </c>
      <c r="W148" s="208">
        <v>0.0</v>
      </c>
      <c r="X148" s="208">
        <v>48.0</v>
      </c>
      <c r="Y148" s="208">
        <v>60.0</v>
      </c>
      <c r="Z148" s="208">
        <v>124.0</v>
      </c>
      <c r="AA148" s="208">
        <v>2.0</v>
      </c>
      <c r="AB148" s="208">
        <v>38.0</v>
      </c>
      <c r="AC148" s="208">
        <v>0.0</v>
      </c>
      <c r="AD148" s="208">
        <v>0.0</v>
      </c>
      <c r="AE148" s="208">
        <v>3.0</v>
      </c>
      <c r="AF148" s="208">
        <v>3.0</v>
      </c>
      <c r="AG148" s="208">
        <v>376.0</v>
      </c>
      <c r="AH148" s="208">
        <v>477.0</v>
      </c>
      <c r="AI148" s="208">
        <v>75.0</v>
      </c>
      <c r="AJ148" s="208">
        <v>39401.0</v>
      </c>
      <c r="AK148" s="208">
        <v>6.0</v>
      </c>
      <c r="AL148" s="208">
        <v>28310.0</v>
      </c>
      <c r="AM148" s="208">
        <v>0.0</v>
      </c>
      <c r="AN148" s="208">
        <v>0.0096</v>
      </c>
      <c r="AO148" s="208">
        <v>38378.0</v>
      </c>
      <c r="AP148" s="208">
        <v>0.76</v>
      </c>
      <c r="AQ148" s="208">
        <v>0.0</v>
      </c>
      <c r="AR148" s="208">
        <v>146.0</v>
      </c>
      <c r="AS148" s="208">
        <v>746.0</v>
      </c>
      <c r="AT148" s="208">
        <v>1705.59</v>
      </c>
      <c r="AU148" s="208">
        <v>2.0</v>
      </c>
      <c r="AV148" s="208">
        <v>17.0</v>
      </c>
      <c r="AW148" s="208">
        <v>77.0</v>
      </c>
      <c r="AX148" s="208">
        <v>23.0</v>
      </c>
      <c r="AY148" s="208">
        <v>24.0</v>
      </c>
    </row>
    <row r="149">
      <c r="A149" s="208" t="s">
        <v>23</v>
      </c>
      <c r="B149" s="533" t="s">
        <v>30</v>
      </c>
      <c r="C149" s="208" t="s">
        <v>33</v>
      </c>
      <c r="D149" s="208" t="s">
        <v>1104</v>
      </c>
      <c r="E149" s="208" t="s">
        <v>34</v>
      </c>
      <c r="F149" s="585">
        <v>45568.0</v>
      </c>
      <c r="G149" s="208" t="s">
        <v>23</v>
      </c>
      <c r="H149" s="208">
        <v>600000.0</v>
      </c>
      <c r="I149" s="208">
        <v>3600000.0</v>
      </c>
      <c r="J149" s="208">
        <v>2681766.61</v>
      </c>
      <c r="K149" s="208">
        <v>60503.28</v>
      </c>
      <c r="L149" s="536">
        <f t="shared" si="1"/>
        <v>2742269.89</v>
      </c>
      <c r="M149" s="208">
        <v>24.0</v>
      </c>
      <c r="N149" s="208">
        <v>23.0</v>
      </c>
      <c r="O149" s="208">
        <v>0.0</v>
      </c>
      <c r="P149" s="208">
        <v>24.0</v>
      </c>
      <c r="Q149" s="208">
        <v>1.0</v>
      </c>
      <c r="R149" s="208">
        <v>2681766.61</v>
      </c>
      <c r="S149" s="208">
        <v>0.0</v>
      </c>
      <c r="T149" s="208">
        <v>21.0</v>
      </c>
      <c r="U149" s="208">
        <v>0.0</v>
      </c>
      <c r="V149" s="208">
        <v>21.0</v>
      </c>
      <c r="W149" s="208">
        <v>1.0</v>
      </c>
      <c r="X149" s="208">
        <v>37.0</v>
      </c>
      <c r="Y149" s="208">
        <v>84.0</v>
      </c>
      <c r="Z149" s="208">
        <v>122.0</v>
      </c>
      <c r="AA149" s="208">
        <v>2.0</v>
      </c>
      <c r="AB149" s="208">
        <v>27.0</v>
      </c>
      <c r="AC149" s="208">
        <v>4.0</v>
      </c>
      <c r="AD149" s="208">
        <v>46.0</v>
      </c>
      <c r="AE149" s="208">
        <v>0.0</v>
      </c>
      <c r="AF149" s="208">
        <v>0.0</v>
      </c>
      <c r="AG149" s="208">
        <v>178.0</v>
      </c>
      <c r="AH149" s="208">
        <v>335.0</v>
      </c>
      <c r="AI149" s="208">
        <v>76.0</v>
      </c>
      <c r="AJ149" s="208">
        <v>35286.0</v>
      </c>
      <c r="AK149" s="208">
        <v>4.0</v>
      </c>
      <c r="AL149" s="208">
        <v>30405.0</v>
      </c>
      <c r="AM149" s="208">
        <v>0.0</v>
      </c>
      <c r="AN149" s="208">
        <v>0.0113</v>
      </c>
      <c r="AO149" s="208">
        <v>127703.0</v>
      </c>
      <c r="AP149" s="208">
        <v>0.74</v>
      </c>
      <c r="AQ149" s="208">
        <v>0.1</v>
      </c>
      <c r="AR149" s="208">
        <v>44.0</v>
      </c>
      <c r="AS149" s="208">
        <v>596.0</v>
      </c>
      <c r="AT149" s="208">
        <v>3573.94</v>
      </c>
      <c r="AU149" s="208">
        <v>0.0</v>
      </c>
      <c r="AV149" s="208">
        <v>155.0</v>
      </c>
      <c r="AW149" s="208">
        <v>21.0</v>
      </c>
      <c r="AX149" s="208">
        <v>2.0</v>
      </c>
      <c r="AY149" s="208">
        <v>1.0</v>
      </c>
    </row>
    <row r="150">
      <c r="A150" s="208" t="s">
        <v>185</v>
      </c>
      <c r="B150" s="533" t="s">
        <v>1101</v>
      </c>
      <c r="C150" s="208" t="s">
        <v>857</v>
      </c>
      <c r="D150" s="208" t="s">
        <v>1101</v>
      </c>
      <c r="E150" s="208" t="s">
        <v>1105</v>
      </c>
      <c r="F150" s="585">
        <v>45569.0</v>
      </c>
      <c r="G150" s="208" t="s">
        <v>185</v>
      </c>
      <c r="H150" s="208">
        <v>0.0</v>
      </c>
      <c r="I150" s="208">
        <v>0.0</v>
      </c>
      <c r="J150" s="208">
        <v>0.0</v>
      </c>
      <c r="K150" s="208">
        <v>0.0</v>
      </c>
      <c r="L150" s="536">
        <f t="shared" si="1"/>
        <v>0</v>
      </c>
      <c r="M150" s="208">
        <v>5.0</v>
      </c>
      <c r="N150" s="208">
        <v>4.0</v>
      </c>
      <c r="O150" s="208">
        <v>0.0</v>
      </c>
      <c r="P150" s="208">
        <v>5.0</v>
      </c>
      <c r="Q150" s="208">
        <v>1.0</v>
      </c>
      <c r="R150" s="208">
        <v>0.0</v>
      </c>
      <c r="S150" s="208">
        <v>0.0</v>
      </c>
      <c r="T150" s="208">
        <v>0.0</v>
      </c>
      <c r="U150" s="208">
        <v>0.0</v>
      </c>
      <c r="V150" s="208">
        <v>0.0</v>
      </c>
      <c r="W150" s="208">
        <v>0.0</v>
      </c>
      <c r="X150" s="208">
        <v>10.0</v>
      </c>
      <c r="Y150" s="208">
        <v>15.0</v>
      </c>
      <c r="Z150" s="208">
        <v>42.0</v>
      </c>
      <c r="AA150" s="208">
        <v>0.0</v>
      </c>
      <c r="AB150" s="208">
        <v>0.0</v>
      </c>
      <c r="AC150" s="208">
        <v>0.0</v>
      </c>
      <c r="AD150" s="208">
        <v>0.0</v>
      </c>
      <c r="AE150" s="208">
        <v>71.0</v>
      </c>
      <c r="AF150" s="208">
        <v>354.0</v>
      </c>
      <c r="AG150" s="208">
        <v>16.0</v>
      </c>
      <c r="AH150" s="208">
        <v>385.0</v>
      </c>
      <c r="AI150" s="208">
        <v>77.0</v>
      </c>
      <c r="AJ150" s="208">
        <v>0.0</v>
      </c>
      <c r="AK150" s="208">
        <v>5.0</v>
      </c>
      <c r="AL150" s="208">
        <v>151000.0</v>
      </c>
      <c r="AM150" s="208">
        <v>0.0</v>
      </c>
      <c r="AN150" s="208">
        <v>0.0</v>
      </c>
      <c r="AO150" s="208">
        <v>0.0</v>
      </c>
      <c r="AP150" s="208">
        <v>0.0</v>
      </c>
      <c r="AQ150" s="208">
        <v>0.0</v>
      </c>
      <c r="AR150" s="208">
        <v>0.0</v>
      </c>
      <c r="AS150" s="208">
        <v>822.0</v>
      </c>
      <c r="AT150" s="208">
        <v>6554.71</v>
      </c>
      <c r="AU150" s="208">
        <v>0.0</v>
      </c>
      <c r="AV150" s="208">
        <v>1639.0</v>
      </c>
      <c r="AW150" s="208">
        <v>0.0</v>
      </c>
      <c r="AX150" s="208">
        <v>4.0</v>
      </c>
      <c r="AY150" s="208">
        <v>1.0</v>
      </c>
    </row>
    <row r="151">
      <c r="A151" s="208" t="s">
        <v>185</v>
      </c>
      <c r="B151" s="533" t="s">
        <v>1101</v>
      </c>
      <c r="C151" s="208" t="s">
        <v>858</v>
      </c>
      <c r="D151" s="208" t="s">
        <v>1101</v>
      </c>
      <c r="E151" s="208" t="s">
        <v>1106</v>
      </c>
      <c r="F151" s="585">
        <v>45569.0</v>
      </c>
      <c r="G151" s="208" t="s">
        <v>185</v>
      </c>
      <c r="H151" s="208">
        <v>0.0</v>
      </c>
      <c r="I151" s="208">
        <v>0.0</v>
      </c>
      <c r="J151" s="208">
        <v>0.0</v>
      </c>
      <c r="K151" s="208">
        <v>0.0</v>
      </c>
      <c r="L151" s="536">
        <f t="shared" si="1"/>
        <v>0</v>
      </c>
      <c r="M151" s="208">
        <v>2.0</v>
      </c>
      <c r="N151" s="208">
        <v>0.0</v>
      </c>
      <c r="O151" s="208">
        <v>0.0</v>
      </c>
      <c r="P151" s="208">
        <v>2.0</v>
      </c>
      <c r="Q151" s="208">
        <v>2.0</v>
      </c>
      <c r="R151" s="208">
        <v>0.0</v>
      </c>
      <c r="S151" s="208">
        <v>0.0</v>
      </c>
      <c r="T151" s="208">
        <v>0.0</v>
      </c>
      <c r="U151" s="208">
        <v>0.0</v>
      </c>
      <c r="V151" s="208">
        <v>0.0</v>
      </c>
      <c r="W151" s="208">
        <v>0.0</v>
      </c>
      <c r="X151" s="208">
        <v>0.0</v>
      </c>
      <c r="Y151" s="208">
        <v>0.0</v>
      </c>
      <c r="Z151" s="208">
        <v>50.0</v>
      </c>
      <c r="AA151" s="208">
        <v>0.0</v>
      </c>
      <c r="AB151" s="208">
        <v>0.0</v>
      </c>
      <c r="AC151" s="208">
        <v>1.0</v>
      </c>
      <c r="AD151" s="208">
        <v>2.0</v>
      </c>
      <c r="AE151" s="208">
        <v>54.0</v>
      </c>
      <c r="AF151" s="208">
        <v>67.0</v>
      </c>
      <c r="AG151" s="208">
        <v>0.0</v>
      </c>
      <c r="AH151" s="208">
        <v>69.0</v>
      </c>
      <c r="AI151" s="208">
        <v>17.0</v>
      </c>
      <c r="AJ151" s="208">
        <v>0.0</v>
      </c>
      <c r="AK151" s="208">
        <v>4.0</v>
      </c>
      <c r="AL151" s="208">
        <v>153110.0</v>
      </c>
      <c r="AM151" s="208">
        <v>0.0</v>
      </c>
      <c r="AN151" s="208">
        <v>0.0</v>
      </c>
      <c r="AO151" s="208">
        <v>0.0</v>
      </c>
      <c r="AP151" s="208">
        <v>0.0</v>
      </c>
      <c r="AQ151" s="208">
        <v>0.0</v>
      </c>
      <c r="AR151" s="208">
        <v>0.0</v>
      </c>
      <c r="AS151" s="208">
        <v>193.0</v>
      </c>
      <c r="AT151" s="208">
        <v>2937.68</v>
      </c>
      <c r="AU151" s="208">
        <v>0.0</v>
      </c>
      <c r="AV151" s="208">
        <v>0.0</v>
      </c>
      <c r="AW151" s="208">
        <v>0.0</v>
      </c>
      <c r="AX151" s="208">
        <v>0.0</v>
      </c>
      <c r="AY151" s="208">
        <v>2.0</v>
      </c>
      <c r="AZ151" s="584">
        <v>45856.0</v>
      </c>
    </row>
    <row r="152">
      <c r="A152" s="208" t="s">
        <v>126</v>
      </c>
      <c r="B152" s="533" t="s">
        <v>130</v>
      </c>
      <c r="C152" s="208" t="s">
        <v>169</v>
      </c>
      <c r="D152" s="208" t="s">
        <v>130</v>
      </c>
      <c r="E152" s="208" t="s">
        <v>151</v>
      </c>
      <c r="F152" s="585">
        <v>45600.0</v>
      </c>
      <c r="G152" s="208" t="s">
        <v>449</v>
      </c>
      <c r="H152" s="208">
        <v>0.0</v>
      </c>
      <c r="I152" s="208">
        <v>6249999.0</v>
      </c>
      <c r="J152" s="208">
        <v>7145672.85</v>
      </c>
      <c r="K152" s="208">
        <v>0.0</v>
      </c>
      <c r="L152" s="536">
        <f t="shared" si="1"/>
        <v>7145672.85</v>
      </c>
      <c r="M152" s="208">
        <v>132.0</v>
      </c>
      <c r="N152" s="208">
        <v>105.0</v>
      </c>
      <c r="O152" s="208">
        <v>11.0</v>
      </c>
      <c r="P152" s="208">
        <v>143.0</v>
      </c>
      <c r="Q152" s="208">
        <v>38.0</v>
      </c>
      <c r="R152" s="208">
        <v>6457520.05</v>
      </c>
      <c r="S152" s="208">
        <v>688152.8</v>
      </c>
      <c r="T152" s="208">
        <v>49.0</v>
      </c>
      <c r="U152" s="208">
        <v>7.0</v>
      </c>
      <c r="V152" s="208">
        <v>56.0</v>
      </c>
      <c r="W152" s="208">
        <v>0.0</v>
      </c>
      <c r="X152" s="208">
        <v>13.0</v>
      </c>
      <c r="Y152" s="208">
        <v>18.0</v>
      </c>
      <c r="Z152" s="208">
        <v>66.0</v>
      </c>
      <c r="AA152" s="208">
        <v>2.0</v>
      </c>
      <c r="AB152" s="208">
        <v>23.0</v>
      </c>
      <c r="AC152" s="208">
        <v>0.0</v>
      </c>
      <c r="AD152" s="208">
        <v>0.0</v>
      </c>
      <c r="AE152" s="208">
        <v>0.0</v>
      </c>
      <c r="AF152" s="208">
        <v>0.0</v>
      </c>
      <c r="AG152" s="208">
        <v>326.0</v>
      </c>
      <c r="AH152" s="208">
        <v>367.0</v>
      </c>
      <c r="AI152" s="208">
        <v>77.0</v>
      </c>
      <c r="AJ152" s="208">
        <v>92801.0</v>
      </c>
      <c r="AK152" s="208">
        <v>5.0</v>
      </c>
      <c r="AL152" s="208">
        <v>51910.0</v>
      </c>
      <c r="AM152" s="208">
        <v>0.0</v>
      </c>
      <c r="AN152" s="208">
        <v>0.0073</v>
      </c>
      <c r="AO152" s="208">
        <v>127601.0</v>
      </c>
      <c r="AP152" s="208">
        <v>1.14</v>
      </c>
      <c r="AQ152" s="208">
        <v>0.0</v>
      </c>
      <c r="AR152" s="208">
        <v>100.0</v>
      </c>
      <c r="AS152" s="208">
        <v>626.0</v>
      </c>
      <c r="AT152" s="208">
        <v>5025.49</v>
      </c>
      <c r="AU152" s="208">
        <v>7.0</v>
      </c>
      <c r="AV152" s="208">
        <v>48.0</v>
      </c>
      <c r="AW152" s="208">
        <v>56.0</v>
      </c>
      <c r="AX152" s="208">
        <v>51.0</v>
      </c>
      <c r="AY152" s="208">
        <v>36.0</v>
      </c>
    </row>
    <row r="153">
      <c r="A153" s="208" t="s">
        <v>126</v>
      </c>
      <c r="B153" s="533" t="s">
        <v>130</v>
      </c>
      <c r="C153" s="208" t="s">
        <v>170</v>
      </c>
      <c r="D153" s="208" t="s">
        <v>130</v>
      </c>
      <c r="E153" s="208" t="s">
        <v>151</v>
      </c>
      <c r="F153" s="584">
        <v>45607.0</v>
      </c>
      <c r="G153" s="208" t="s">
        <v>449</v>
      </c>
      <c r="H153" s="208">
        <v>0.0</v>
      </c>
      <c r="I153" s="208">
        <v>5499999.0</v>
      </c>
      <c r="J153" s="208">
        <v>2406114.47</v>
      </c>
      <c r="K153" s="208">
        <v>0.0</v>
      </c>
      <c r="L153" s="536">
        <f t="shared" si="1"/>
        <v>2406114.47</v>
      </c>
      <c r="M153" s="208">
        <v>117.0</v>
      </c>
      <c r="N153" s="208">
        <v>114.0</v>
      </c>
      <c r="O153" s="208">
        <v>14.0</v>
      </c>
      <c r="P153" s="208">
        <v>131.0</v>
      </c>
      <c r="Q153" s="208">
        <v>17.0</v>
      </c>
      <c r="R153" s="208">
        <v>1965430.54</v>
      </c>
      <c r="S153" s="208">
        <v>440683.93</v>
      </c>
      <c r="T153" s="208">
        <v>30.0</v>
      </c>
      <c r="U153" s="208">
        <v>11.0</v>
      </c>
      <c r="V153" s="208">
        <v>41.0</v>
      </c>
      <c r="W153" s="208">
        <v>0.0</v>
      </c>
      <c r="X153" s="208">
        <v>57.0</v>
      </c>
      <c r="Y153" s="208">
        <v>80.0</v>
      </c>
      <c r="Z153" s="208">
        <v>94.0</v>
      </c>
      <c r="AA153" s="208">
        <v>2.0</v>
      </c>
      <c r="AB153" s="208">
        <v>33.0</v>
      </c>
      <c r="AC153" s="208">
        <v>0.0</v>
      </c>
      <c r="AD153" s="208">
        <v>0.0</v>
      </c>
      <c r="AE153" s="208">
        <v>0.0</v>
      </c>
      <c r="AF153" s="208">
        <v>0.0</v>
      </c>
      <c r="AG153" s="208">
        <v>398.0</v>
      </c>
      <c r="AH153" s="208">
        <v>511.0</v>
      </c>
      <c r="AI153" s="208">
        <v>77.0</v>
      </c>
      <c r="AJ153" s="208">
        <v>31248.0</v>
      </c>
      <c r="AK153" s="208">
        <v>7.0</v>
      </c>
      <c r="AL153" s="208">
        <v>33050.0</v>
      </c>
      <c r="AM153" s="208">
        <v>0.0</v>
      </c>
      <c r="AN153" s="208">
        <v>0.0</v>
      </c>
      <c r="AO153" s="208">
        <v>58686.0</v>
      </c>
      <c r="AP153" s="208">
        <v>0.44</v>
      </c>
      <c r="AQ153" s="208">
        <v>0.0</v>
      </c>
      <c r="AR153" s="208">
        <v>88.0</v>
      </c>
      <c r="AS153" s="208">
        <v>692.0</v>
      </c>
      <c r="AT153" s="208">
        <v>3544.45</v>
      </c>
      <c r="AU153" s="208">
        <v>11.0</v>
      </c>
      <c r="AV153" s="208">
        <v>31.0</v>
      </c>
      <c r="AW153" s="208">
        <v>41.0</v>
      </c>
      <c r="AX153" s="208">
        <v>73.0</v>
      </c>
      <c r="AY153" s="208">
        <v>17.0</v>
      </c>
    </row>
    <row r="154">
      <c r="A154" s="208" t="s">
        <v>185</v>
      </c>
      <c r="B154" s="533" t="s">
        <v>189</v>
      </c>
      <c r="C154" s="208" t="s">
        <v>418</v>
      </c>
      <c r="D154" s="208" t="s">
        <v>1108</v>
      </c>
      <c r="E154" s="208" t="s">
        <v>419</v>
      </c>
      <c r="F154" s="584">
        <v>45614.0</v>
      </c>
      <c r="G154" s="208" t="s">
        <v>787</v>
      </c>
      <c r="H154" s="208">
        <v>0.0</v>
      </c>
      <c r="I154" s="208">
        <v>0.0</v>
      </c>
      <c r="J154" s="208">
        <v>941822.48</v>
      </c>
      <c r="K154" s="208">
        <v>0.0</v>
      </c>
      <c r="L154" s="536">
        <f t="shared" si="1"/>
        <v>941822.48</v>
      </c>
      <c r="M154" s="208">
        <v>74.0</v>
      </c>
      <c r="N154" s="208">
        <v>64.0</v>
      </c>
      <c r="O154" s="208">
        <v>16.0</v>
      </c>
      <c r="P154" s="208">
        <v>90.0</v>
      </c>
      <c r="Q154" s="208">
        <v>26.0</v>
      </c>
      <c r="R154" s="208">
        <v>547684.5</v>
      </c>
      <c r="S154" s="208">
        <v>394137.98</v>
      </c>
      <c r="T154" s="208">
        <v>26.0</v>
      </c>
      <c r="U154" s="208">
        <v>16.0</v>
      </c>
      <c r="V154" s="208">
        <v>42.0</v>
      </c>
      <c r="W154" s="208">
        <v>0.0</v>
      </c>
      <c r="X154" s="208">
        <v>39.0</v>
      </c>
      <c r="Y154" s="208">
        <v>45.0</v>
      </c>
      <c r="Z154" s="208">
        <v>73.0</v>
      </c>
      <c r="AA154" s="208">
        <v>2.0</v>
      </c>
      <c r="AB154" s="208">
        <v>60.0</v>
      </c>
      <c r="AC154" s="208">
        <v>0.0</v>
      </c>
      <c r="AD154" s="208">
        <v>0.0</v>
      </c>
      <c r="AE154" s="208">
        <v>2.0</v>
      </c>
      <c r="AF154" s="208">
        <v>6.0</v>
      </c>
      <c r="AG154" s="208">
        <v>270.0</v>
      </c>
      <c r="AH154" s="208">
        <v>381.0</v>
      </c>
      <c r="AI154" s="208">
        <v>73.0</v>
      </c>
      <c r="AJ154" s="208">
        <v>12902.0</v>
      </c>
      <c r="AK154" s="208">
        <v>5.0</v>
      </c>
      <c r="AL154" s="208">
        <v>46670.0</v>
      </c>
      <c r="AM154" s="208">
        <v>0.0</v>
      </c>
      <c r="AN154" s="208">
        <v>0.0496</v>
      </c>
      <c r="AO154" s="208">
        <v>22424.0</v>
      </c>
      <c r="AP154" s="208">
        <v>0.0</v>
      </c>
      <c r="AQ154" s="208">
        <v>0.0</v>
      </c>
      <c r="AR154" s="208">
        <v>65.0</v>
      </c>
      <c r="AS154" s="208">
        <v>701.0</v>
      </c>
      <c r="AT154" s="208">
        <v>2812.04</v>
      </c>
      <c r="AU154" s="208">
        <v>16.0</v>
      </c>
      <c r="AV154" s="208">
        <v>44.0</v>
      </c>
      <c r="AW154" s="208">
        <v>42.0</v>
      </c>
      <c r="AX154" s="208">
        <v>22.0</v>
      </c>
      <c r="AY154" s="208">
        <v>26.0</v>
      </c>
    </row>
    <row r="155">
      <c r="A155" s="208" t="s">
        <v>185</v>
      </c>
      <c r="B155" s="533" t="s">
        <v>1228</v>
      </c>
      <c r="C155" s="208" t="s">
        <v>124</v>
      </c>
      <c r="D155" s="208" t="s">
        <v>1051</v>
      </c>
      <c r="E155" s="208" t="s">
        <v>125</v>
      </c>
      <c r="F155" s="584">
        <v>45636.0</v>
      </c>
      <c r="G155" s="208" t="s">
        <v>111</v>
      </c>
      <c r="H155" s="208">
        <v>0.0</v>
      </c>
      <c r="I155" s="208">
        <v>4250000.0</v>
      </c>
      <c r="J155" s="208">
        <v>3422805.13</v>
      </c>
      <c r="K155" s="208">
        <v>0.0</v>
      </c>
      <c r="L155" s="536">
        <f t="shared" si="1"/>
        <v>3422805.13</v>
      </c>
      <c r="M155" s="208">
        <v>129.0</v>
      </c>
      <c r="N155" s="208">
        <v>98.0</v>
      </c>
      <c r="O155" s="208">
        <v>24.0</v>
      </c>
      <c r="P155" s="208">
        <v>153.0</v>
      </c>
      <c r="Q155" s="208">
        <v>55.0</v>
      </c>
      <c r="R155" s="208">
        <v>2083235.64</v>
      </c>
      <c r="S155" s="208">
        <v>1339569.49</v>
      </c>
      <c r="T155" s="208">
        <v>35.0</v>
      </c>
      <c r="U155" s="208">
        <v>24.0</v>
      </c>
      <c r="V155" s="208">
        <v>59.0</v>
      </c>
      <c r="W155" s="208">
        <v>0.0</v>
      </c>
      <c r="X155" s="208">
        <v>100.0</v>
      </c>
      <c r="Y155" s="208">
        <v>141.0</v>
      </c>
      <c r="Z155" s="208">
        <v>226.0</v>
      </c>
      <c r="AA155" s="208">
        <v>2.0</v>
      </c>
      <c r="AB155" s="208">
        <v>11.0</v>
      </c>
      <c r="AC155" s="208">
        <v>1.0</v>
      </c>
      <c r="AD155" s="208">
        <v>1.0</v>
      </c>
      <c r="AE155" s="208">
        <v>2.0</v>
      </c>
      <c r="AF155" s="208">
        <v>4.0</v>
      </c>
      <c r="AG155" s="208">
        <v>224.0</v>
      </c>
      <c r="AH155" s="208">
        <v>381.0</v>
      </c>
      <c r="AI155" s="208">
        <v>41.0</v>
      </c>
      <c r="AJ155" s="208">
        <v>83483.0</v>
      </c>
      <c r="AK155" s="208">
        <v>9.0</v>
      </c>
      <c r="AL155" s="208">
        <v>51900.0</v>
      </c>
      <c r="AM155" s="208">
        <v>0.0</v>
      </c>
      <c r="AN155" s="208">
        <v>0.0152</v>
      </c>
      <c r="AO155" s="208">
        <v>58014.0</v>
      </c>
      <c r="AP155" s="208">
        <v>0.81</v>
      </c>
      <c r="AQ155" s="208">
        <v>0.0</v>
      </c>
      <c r="AR155" s="208">
        <v>84.0</v>
      </c>
      <c r="AS155" s="208">
        <v>489.0</v>
      </c>
      <c r="AT155" s="208">
        <v>3837.34</v>
      </c>
      <c r="AU155" s="208">
        <v>24.0</v>
      </c>
      <c r="AV155" s="208">
        <v>39.0</v>
      </c>
      <c r="AW155" s="208">
        <v>59.0</v>
      </c>
      <c r="AX155" s="208">
        <v>47.0</v>
      </c>
      <c r="AY155" s="208">
        <v>47.0</v>
      </c>
    </row>
    <row r="156">
      <c r="A156" s="208" t="s">
        <v>185</v>
      </c>
      <c r="B156" s="533" t="s">
        <v>85</v>
      </c>
      <c r="C156" s="208" t="s">
        <v>90</v>
      </c>
      <c r="D156" s="208" t="s">
        <v>1058</v>
      </c>
      <c r="E156" s="208" t="s">
        <v>91</v>
      </c>
      <c r="F156" s="585">
        <v>45635.0</v>
      </c>
      <c r="G156" s="208" t="s">
        <v>394</v>
      </c>
      <c r="H156" s="208">
        <v>0.0</v>
      </c>
      <c r="I156" s="208">
        <v>3750000.0</v>
      </c>
      <c r="J156" s="208">
        <v>3151505.7</v>
      </c>
      <c r="K156" s="208">
        <v>0.0</v>
      </c>
      <c r="L156" s="536">
        <f t="shared" si="1"/>
        <v>3151505.7</v>
      </c>
      <c r="M156" s="208">
        <v>93.0</v>
      </c>
      <c r="N156" s="208">
        <v>108.0</v>
      </c>
      <c r="O156" s="208">
        <v>26.0</v>
      </c>
      <c r="P156" s="208">
        <v>119.0</v>
      </c>
      <c r="Q156" s="208">
        <v>11.0</v>
      </c>
      <c r="R156" s="208">
        <v>2531983.5</v>
      </c>
      <c r="S156" s="208">
        <v>619522.2</v>
      </c>
      <c r="T156" s="208">
        <v>41.0</v>
      </c>
      <c r="U156" s="208">
        <v>25.0</v>
      </c>
      <c r="V156" s="208">
        <v>66.0</v>
      </c>
      <c r="W156" s="208">
        <v>0.0</v>
      </c>
      <c r="X156" s="208">
        <v>35.0</v>
      </c>
      <c r="Y156" s="208">
        <v>54.0</v>
      </c>
      <c r="Z156" s="208">
        <v>49.0</v>
      </c>
      <c r="AA156" s="208">
        <v>5.0</v>
      </c>
      <c r="AB156" s="208">
        <v>72.0</v>
      </c>
      <c r="AC156" s="208">
        <v>2.0</v>
      </c>
      <c r="AD156" s="208">
        <v>3.0</v>
      </c>
      <c r="AE156" s="208">
        <v>2.0</v>
      </c>
      <c r="AF156" s="208">
        <v>6.0</v>
      </c>
      <c r="AG156" s="208">
        <v>548.0</v>
      </c>
      <c r="AH156" s="208">
        <v>683.0</v>
      </c>
      <c r="AI156" s="208">
        <v>77.0</v>
      </c>
      <c r="AJ156" s="208">
        <v>40929.0</v>
      </c>
      <c r="AK156" s="208">
        <v>9.0</v>
      </c>
      <c r="AL156" s="208">
        <v>36190.0</v>
      </c>
      <c r="AM156" s="208">
        <v>0.0</v>
      </c>
      <c r="AN156" s="208">
        <v>0.0115</v>
      </c>
      <c r="AO156" s="208">
        <v>47750.0</v>
      </c>
      <c r="AP156" s="208">
        <v>0.84</v>
      </c>
      <c r="AQ156" s="208">
        <v>0.0</v>
      </c>
      <c r="AR156" s="208">
        <v>176.0</v>
      </c>
      <c r="AS156" s="208">
        <v>918.0</v>
      </c>
      <c r="AT156" s="208">
        <v>6246.87</v>
      </c>
      <c r="AU156" s="208">
        <v>25.0</v>
      </c>
      <c r="AV156" s="208">
        <v>58.0</v>
      </c>
      <c r="AW156" s="208">
        <v>66.0</v>
      </c>
      <c r="AX156" s="208">
        <v>42.0</v>
      </c>
      <c r="AY156" s="208">
        <v>11.0</v>
      </c>
    </row>
    <row r="157">
      <c r="A157" s="208" t="s">
        <v>126</v>
      </c>
      <c r="B157" s="533" t="s">
        <v>130</v>
      </c>
      <c r="C157" s="208" t="s">
        <v>446</v>
      </c>
      <c r="D157" s="208" t="s">
        <v>130</v>
      </c>
      <c r="E157" s="208" t="s">
        <v>129</v>
      </c>
      <c r="F157" s="584">
        <v>45639.0</v>
      </c>
      <c r="G157" s="208" t="s">
        <v>128</v>
      </c>
      <c r="H157" s="208">
        <v>0.0</v>
      </c>
      <c r="I157" s="208">
        <v>5375001.0</v>
      </c>
      <c r="J157" s="208">
        <v>1962658.71</v>
      </c>
      <c r="K157" s="208">
        <v>0.0</v>
      </c>
      <c r="L157" s="536">
        <f t="shared" si="1"/>
        <v>1962658.71</v>
      </c>
      <c r="M157" s="208">
        <v>51.0</v>
      </c>
      <c r="N157" s="208">
        <v>43.0</v>
      </c>
      <c r="O157" s="208">
        <v>8.0</v>
      </c>
      <c r="P157" s="208">
        <v>59.0</v>
      </c>
      <c r="Q157" s="208">
        <v>16.0</v>
      </c>
      <c r="R157" s="208">
        <v>1478610.09</v>
      </c>
      <c r="S157" s="208">
        <v>484048.62</v>
      </c>
      <c r="T157" s="208">
        <v>20.0</v>
      </c>
      <c r="U157" s="208">
        <v>8.0</v>
      </c>
      <c r="V157" s="208">
        <v>28.0</v>
      </c>
      <c r="W157" s="208">
        <v>0.0</v>
      </c>
      <c r="X157" s="208">
        <v>50.0</v>
      </c>
      <c r="Y157" s="208">
        <v>72.0</v>
      </c>
      <c r="Z157" s="208">
        <v>73.0</v>
      </c>
      <c r="AA157" s="208">
        <v>4.0</v>
      </c>
      <c r="AB157" s="208">
        <v>49.0</v>
      </c>
      <c r="AC157" s="208">
        <v>0.0</v>
      </c>
      <c r="AD157" s="208">
        <v>0.0</v>
      </c>
      <c r="AE157" s="208">
        <v>0.0</v>
      </c>
      <c r="AF157" s="208">
        <v>0.0</v>
      </c>
      <c r="AG157" s="208">
        <v>193.0</v>
      </c>
      <c r="AH157" s="208">
        <v>314.0</v>
      </c>
      <c r="AI157" s="208">
        <v>56.0</v>
      </c>
      <c r="AJ157" s="208">
        <v>35047.0</v>
      </c>
      <c r="AK157" s="208">
        <v>6.0</v>
      </c>
      <c r="AL157" s="208">
        <v>35140.0</v>
      </c>
      <c r="AM157" s="208">
        <v>0.0</v>
      </c>
      <c r="AN157" s="208">
        <v>0.0179</v>
      </c>
      <c r="AO157" s="208">
        <v>70095.0</v>
      </c>
      <c r="AP157" s="208">
        <v>0.37</v>
      </c>
      <c r="AQ157" s="208">
        <v>0.0</v>
      </c>
      <c r="AR157" s="208">
        <v>42.0</v>
      </c>
      <c r="AS157" s="208">
        <v>433.0</v>
      </c>
      <c r="AT157" s="208">
        <v>1750.26</v>
      </c>
      <c r="AU157" s="208">
        <v>8.0</v>
      </c>
      <c r="AV157" s="208">
        <v>41.0</v>
      </c>
      <c r="AW157" s="208">
        <v>28.0</v>
      </c>
      <c r="AX157" s="208">
        <v>19.0</v>
      </c>
      <c r="AY157" s="208">
        <v>12.0</v>
      </c>
      <c r="AZ157" s="584">
        <v>45913.0</v>
      </c>
    </row>
    <row r="158">
      <c r="A158" s="208" t="s">
        <v>185</v>
      </c>
      <c r="B158" s="533" t="s">
        <v>189</v>
      </c>
      <c r="C158" s="208" t="s">
        <v>275</v>
      </c>
      <c r="D158" s="208" t="s">
        <v>1016</v>
      </c>
      <c r="E158" s="208" t="s">
        <v>276</v>
      </c>
      <c r="F158" s="584">
        <v>45637.0</v>
      </c>
      <c r="G158" s="208" t="s">
        <v>203</v>
      </c>
      <c r="H158" s="208">
        <v>0.0</v>
      </c>
      <c r="I158" s="208">
        <v>1.275E7</v>
      </c>
      <c r="J158" s="208">
        <v>7811685.58</v>
      </c>
      <c r="K158" s="208">
        <v>0.0</v>
      </c>
      <c r="L158" s="536">
        <f t="shared" si="1"/>
        <v>7811685.58</v>
      </c>
      <c r="M158" s="208">
        <v>84.0</v>
      </c>
      <c r="N158" s="208">
        <v>82.0</v>
      </c>
      <c r="O158" s="208">
        <v>6.0</v>
      </c>
      <c r="P158" s="208">
        <v>90.0</v>
      </c>
      <c r="Q158" s="208">
        <v>8.0</v>
      </c>
      <c r="R158" s="208">
        <v>7043416.99</v>
      </c>
      <c r="S158" s="208">
        <v>768268.59</v>
      </c>
      <c r="T158" s="208">
        <v>42.0</v>
      </c>
      <c r="U158" s="208">
        <v>5.0</v>
      </c>
      <c r="V158" s="208">
        <v>47.0</v>
      </c>
      <c r="W158" s="208">
        <v>0.0</v>
      </c>
      <c r="X158" s="208">
        <v>4.0</v>
      </c>
      <c r="Y158" s="208">
        <v>4.0</v>
      </c>
      <c r="Z158" s="208">
        <v>32.0</v>
      </c>
      <c r="AA158" s="208">
        <v>2.0</v>
      </c>
      <c r="AB158" s="208">
        <v>9.0</v>
      </c>
      <c r="AC158" s="208">
        <v>0.0</v>
      </c>
      <c r="AD158" s="208">
        <v>0.0</v>
      </c>
      <c r="AE158" s="208">
        <v>0.0</v>
      </c>
      <c r="AF158" s="208">
        <v>0.0</v>
      </c>
      <c r="AG158" s="208">
        <v>403.0</v>
      </c>
      <c r="AH158" s="208">
        <v>416.0</v>
      </c>
      <c r="AI158" s="208">
        <v>75.0</v>
      </c>
      <c r="AJ158" s="208">
        <v>104156.0</v>
      </c>
      <c r="AK158" s="208">
        <v>6.0</v>
      </c>
      <c r="AL158" s="208">
        <v>34090.0</v>
      </c>
      <c r="AM158" s="208">
        <v>0.0</v>
      </c>
      <c r="AN158" s="208">
        <v>0.0044</v>
      </c>
      <c r="AO158" s="208">
        <v>166206.0</v>
      </c>
      <c r="AP158" s="208">
        <v>0.61</v>
      </c>
      <c r="AQ158" s="208">
        <v>0.0</v>
      </c>
      <c r="AR158" s="208">
        <v>94.0</v>
      </c>
      <c r="AS158" s="208">
        <v>813.0</v>
      </c>
      <c r="AT158" s="208">
        <v>6414.5</v>
      </c>
      <c r="AU158" s="208">
        <v>5.0</v>
      </c>
      <c r="AV158" s="208">
        <v>78.0</v>
      </c>
      <c r="AW158" s="208">
        <v>47.0</v>
      </c>
      <c r="AX158" s="208">
        <v>35.0</v>
      </c>
      <c r="AY158" s="208">
        <v>8.0</v>
      </c>
    </row>
    <row r="159">
      <c r="A159" s="208" t="s">
        <v>185</v>
      </c>
      <c r="B159" s="533" t="s">
        <v>215</v>
      </c>
      <c r="C159" s="208" t="s">
        <v>277</v>
      </c>
      <c r="D159" s="208" t="s">
        <v>1064</v>
      </c>
      <c r="E159" s="208" t="s">
        <v>278</v>
      </c>
      <c r="F159" s="584">
        <v>45639.0</v>
      </c>
      <c r="G159" s="208" t="s">
        <v>776</v>
      </c>
      <c r="H159" s="208">
        <v>0.0</v>
      </c>
      <c r="I159" s="208">
        <v>6000000.0</v>
      </c>
      <c r="J159" s="208">
        <v>4718496.61</v>
      </c>
      <c r="K159" s="208">
        <v>0.0</v>
      </c>
      <c r="L159" s="536">
        <f t="shared" si="1"/>
        <v>4718496.61</v>
      </c>
      <c r="M159" s="208">
        <v>92.0</v>
      </c>
      <c r="N159" s="208">
        <v>70.0</v>
      </c>
      <c r="O159" s="208">
        <v>4.0</v>
      </c>
      <c r="P159" s="208">
        <v>96.0</v>
      </c>
      <c r="Q159" s="208">
        <v>26.0</v>
      </c>
      <c r="R159" s="208">
        <v>4141368.92</v>
      </c>
      <c r="S159" s="208">
        <v>577127.69</v>
      </c>
      <c r="T159" s="208">
        <v>35.0</v>
      </c>
      <c r="U159" s="208">
        <v>3.0</v>
      </c>
      <c r="V159" s="208">
        <v>38.0</v>
      </c>
      <c r="W159" s="208">
        <v>0.0</v>
      </c>
      <c r="X159" s="208">
        <v>64.0</v>
      </c>
      <c r="Y159" s="208">
        <v>92.0</v>
      </c>
      <c r="Z159" s="208">
        <v>145.0</v>
      </c>
      <c r="AA159" s="208">
        <v>1.0</v>
      </c>
      <c r="AB159" s="208">
        <v>23.0</v>
      </c>
      <c r="AC159" s="208">
        <v>0.0</v>
      </c>
      <c r="AD159" s="208">
        <v>0.0</v>
      </c>
      <c r="AE159" s="208">
        <v>0.0</v>
      </c>
      <c r="AF159" s="208">
        <v>0.0</v>
      </c>
      <c r="AG159" s="208">
        <v>223.0</v>
      </c>
      <c r="AH159" s="208">
        <v>338.0</v>
      </c>
      <c r="AI159" s="208">
        <v>70.0</v>
      </c>
      <c r="AJ159" s="208">
        <v>67407.0</v>
      </c>
      <c r="AK159" s="208">
        <v>5.0</v>
      </c>
      <c r="AL159" s="208">
        <v>33570.0</v>
      </c>
      <c r="AM159" s="208">
        <v>0.0</v>
      </c>
      <c r="AN159" s="208">
        <v>0.0071</v>
      </c>
      <c r="AO159" s="208">
        <v>124171.0</v>
      </c>
      <c r="AP159" s="208">
        <v>0.79</v>
      </c>
      <c r="AQ159" s="208">
        <v>0.0</v>
      </c>
      <c r="AR159" s="208">
        <v>62.0</v>
      </c>
      <c r="AS159" s="208">
        <v>659.0</v>
      </c>
      <c r="AT159" s="208">
        <v>4086.41</v>
      </c>
      <c r="AU159" s="208">
        <v>3.0</v>
      </c>
      <c r="AV159" s="208">
        <v>58.0</v>
      </c>
      <c r="AW159" s="208">
        <v>38.0</v>
      </c>
      <c r="AX159" s="208">
        <v>34.0</v>
      </c>
      <c r="AY159" s="208">
        <v>24.0</v>
      </c>
    </row>
    <row r="160">
      <c r="A160" s="208" t="s">
        <v>185</v>
      </c>
      <c r="B160" s="533" t="s">
        <v>212</v>
      </c>
      <c r="C160" s="208" t="s">
        <v>279</v>
      </c>
      <c r="D160" s="208" t="s">
        <v>1031</v>
      </c>
      <c r="E160" s="208" t="s">
        <v>280</v>
      </c>
      <c r="F160" s="584">
        <v>45640.0</v>
      </c>
      <c r="G160" s="208" t="s">
        <v>489</v>
      </c>
      <c r="H160" s="208">
        <v>0.0</v>
      </c>
      <c r="I160" s="208">
        <v>6000000.0</v>
      </c>
      <c r="J160" s="208">
        <v>3577695.17</v>
      </c>
      <c r="K160" s="208">
        <v>0.0</v>
      </c>
      <c r="L160" s="536">
        <f t="shared" si="1"/>
        <v>3577695.17</v>
      </c>
      <c r="M160" s="208">
        <v>22.0</v>
      </c>
      <c r="N160" s="208">
        <v>25.0</v>
      </c>
      <c r="O160" s="208">
        <v>3.0</v>
      </c>
      <c r="P160" s="208">
        <v>25.0</v>
      </c>
      <c r="Q160" s="208">
        <v>0.0</v>
      </c>
      <c r="R160" s="208">
        <v>3159355.94</v>
      </c>
      <c r="S160" s="208">
        <v>418339.23</v>
      </c>
      <c r="T160" s="208">
        <v>17.0</v>
      </c>
      <c r="U160" s="208">
        <v>3.0</v>
      </c>
      <c r="V160" s="208">
        <v>20.0</v>
      </c>
      <c r="W160" s="208">
        <v>0.0</v>
      </c>
      <c r="X160" s="208">
        <v>50.0</v>
      </c>
      <c r="Y160" s="208">
        <v>76.0</v>
      </c>
      <c r="Z160" s="208">
        <v>64.0</v>
      </c>
      <c r="AA160" s="208">
        <v>1.0</v>
      </c>
      <c r="AB160" s="208">
        <v>13.0</v>
      </c>
      <c r="AC160" s="208">
        <v>0.0</v>
      </c>
      <c r="AD160" s="208">
        <v>0.0</v>
      </c>
      <c r="AE160" s="208">
        <v>0.0</v>
      </c>
      <c r="AF160" s="208">
        <v>0.0</v>
      </c>
      <c r="AG160" s="208">
        <v>160.0</v>
      </c>
      <c r="AH160" s="208">
        <v>249.0</v>
      </c>
      <c r="AI160" s="208">
        <v>66.0</v>
      </c>
      <c r="AJ160" s="208">
        <v>54208.0</v>
      </c>
      <c r="AK160" s="208">
        <v>4.0</v>
      </c>
      <c r="AL160" s="208">
        <v>28850.0</v>
      </c>
      <c r="AM160" s="208">
        <v>0.0</v>
      </c>
      <c r="AN160" s="208">
        <v>0.0081</v>
      </c>
      <c r="AO160" s="208">
        <v>178885.0</v>
      </c>
      <c r="AP160" s="208">
        <v>0.6</v>
      </c>
      <c r="AQ160" s="208">
        <v>0.0</v>
      </c>
      <c r="AR160" s="208">
        <v>65.0</v>
      </c>
      <c r="AS160" s="208">
        <v>751.0</v>
      </c>
      <c r="AT160" s="208">
        <v>3995.75</v>
      </c>
      <c r="AU160" s="208">
        <v>3.0</v>
      </c>
      <c r="AV160" s="208">
        <v>160.0</v>
      </c>
      <c r="AW160" s="208">
        <v>20.0</v>
      </c>
      <c r="AX160" s="208">
        <v>5.0</v>
      </c>
      <c r="AY160" s="208">
        <v>0.0</v>
      </c>
    </row>
    <row r="161">
      <c r="A161" s="208" t="s">
        <v>185</v>
      </c>
      <c r="B161" s="533" t="s">
        <v>85</v>
      </c>
      <c r="C161" s="208" t="s">
        <v>388</v>
      </c>
      <c r="D161" s="208" t="s">
        <v>1058</v>
      </c>
      <c r="E161" s="208" t="s">
        <v>389</v>
      </c>
      <c r="F161" s="584">
        <v>45646.0</v>
      </c>
      <c r="G161" s="208" t="s">
        <v>394</v>
      </c>
      <c r="H161" s="208">
        <v>0.0</v>
      </c>
      <c r="I161" s="208">
        <v>0.0</v>
      </c>
      <c r="J161" s="208">
        <v>0.0</v>
      </c>
      <c r="K161" s="208">
        <v>0.0</v>
      </c>
      <c r="L161" s="536">
        <f t="shared" si="1"/>
        <v>0</v>
      </c>
      <c r="M161" s="208">
        <v>30.0</v>
      </c>
      <c r="N161" s="208">
        <v>0.0</v>
      </c>
      <c r="O161" s="208">
        <v>3.0</v>
      </c>
      <c r="P161" s="208">
        <v>33.0</v>
      </c>
      <c r="Q161" s="208">
        <v>33.0</v>
      </c>
      <c r="R161" s="208">
        <v>0.0</v>
      </c>
      <c r="S161" s="208">
        <v>0.0</v>
      </c>
      <c r="T161" s="208">
        <v>0.0</v>
      </c>
      <c r="U161" s="208">
        <v>0.0</v>
      </c>
      <c r="V161" s="208">
        <v>0.0</v>
      </c>
      <c r="W161" s="208">
        <v>0.0</v>
      </c>
      <c r="X161" s="208">
        <v>0.0</v>
      </c>
      <c r="Y161" s="208">
        <v>0.0</v>
      </c>
      <c r="Z161" s="208">
        <v>95.0</v>
      </c>
      <c r="AA161" s="208">
        <v>0.0</v>
      </c>
      <c r="AB161" s="208">
        <v>0.0</v>
      </c>
      <c r="AC161" s="208">
        <v>0.0</v>
      </c>
      <c r="AD161" s="208">
        <v>0.0</v>
      </c>
      <c r="AE161" s="208">
        <v>0.0</v>
      </c>
      <c r="AF161" s="208">
        <v>0.0</v>
      </c>
      <c r="AG161" s="208">
        <v>0.0</v>
      </c>
      <c r="AH161" s="208">
        <v>0.0</v>
      </c>
      <c r="AI161" s="208">
        <v>0.0</v>
      </c>
      <c r="AJ161" s="208">
        <v>0.0</v>
      </c>
      <c r="AK161" s="208">
        <v>0.0</v>
      </c>
      <c r="AL161" s="208">
        <v>33570.0</v>
      </c>
      <c r="AM161" s="208">
        <v>0.0</v>
      </c>
      <c r="AN161" s="208">
        <v>0.0</v>
      </c>
      <c r="AO161" s="208">
        <v>0.0</v>
      </c>
      <c r="AP161" s="208">
        <v>0.0</v>
      </c>
      <c r="AQ161" s="208">
        <v>0.0</v>
      </c>
      <c r="AR161" s="208">
        <v>0.0</v>
      </c>
      <c r="AS161" s="208">
        <v>0.0</v>
      </c>
      <c r="AT161" s="208">
        <v>0.0</v>
      </c>
      <c r="AU161" s="208">
        <v>0.0</v>
      </c>
      <c r="AV161" s="208">
        <v>0.0</v>
      </c>
      <c r="AW161" s="208">
        <v>0.0</v>
      </c>
      <c r="AX161" s="208">
        <v>0.0</v>
      </c>
      <c r="AY161" s="208">
        <v>33.0</v>
      </c>
      <c r="AZ161" s="584">
        <v>45762.0</v>
      </c>
    </row>
    <row r="162">
      <c r="A162" s="208" t="s">
        <v>298</v>
      </c>
      <c r="B162" s="533" t="s">
        <v>301</v>
      </c>
      <c r="C162" s="208" t="s">
        <v>356</v>
      </c>
      <c r="D162" s="208" t="s">
        <v>1066</v>
      </c>
      <c r="E162" s="208" t="s">
        <v>319</v>
      </c>
      <c r="F162" s="584">
        <v>45651.0</v>
      </c>
      <c r="G162" s="208" t="s">
        <v>298</v>
      </c>
      <c r="H162" s="208">
        <v>0.0</v>
      </c>
      <c r="I162" s="208">
        <v>2000000.0</v>
      </c>
      <c r="J162" s="208">
        <v>327933.0</v>
      </c>
      <c r="K162" s="208">
        <v>0.0</v>
      </c>
      <c r="L162" s="536">
        <f t="shared" si="1"/>
        <v>327933</v>
      </c>
      <c r="M162" s="208">
        <v>79.0</v>
      </c>
      <c r="N162" s="208">
        <v>57.0</v>
      </c>
      <c r="O162" s="208">
        <v>1.0</v>
      </c>
      <c r="P162" s="208">
        <v>80.0</v>
      </c>
      <c r="Q162" s="208">
        <v>23.0</v>
      </c>
      <c r="R162" s="208">
        <v>265650.0</v>
      </c>
      <c r="S162" s="208">
        <v>62283.0</v>
      </c>
      <c r="T162" s="208">
        <v>7.0</v>
      </c>
      <c r="U162" s="208">
        <v>1.0</v>
      </c>
      <c r="V162" s="208">
        <v>8.0</v>
      </c>
      <c r="W162" s="208">
        <v>0.0</v>
      </c>
      <c r="X162" s="208">
        <v>30.0</v>
      </c>
      <c r="Y162" s="208">
        <v>44.0</v>
      </c>
      <c r="Z162" s="208">
        <v>44.0</v>
      </c>
      <c r="AA162" s="208">
        <v>1.0</v>
      </c>
      <c r="AB162" s="208">
        <v>21.0</v>
      </c>
      <c r="AC162" s="208">
        <v>0.0</v>
      </c>
      <c r="AD162" s="208">
        <v>0.0</v>
      </c>
      <c r="AE162" s="208">
        <v>0.0</v>
      </c>
      <c r="AF162" s="208">
        <v>0.0</v>
      </c>
      <c r="AG162" s="208">
        <v>118.0</v>
      </c>
      <c r="AH162" s="208">
        <v>183.0</v>
      </c>
      <c r="AI162" s="208">
        <v>46.0</v>
      </c>
      <c r="AJ162" s="208">
        <v>7129.0</v>
      </c>
      <c r="AK162" s="208">
        <v>4.0</v>
      </c>
      <c r="AL162" s="208">
        <v>25165.0</v>
      </c>
      <c r="AM162" s="208">
        <v>0.0</v>
      </c>
      <c r="AN162" s="208">
        <v>0.0767</v>
      </c>
      <c r="AO162" s="208">
        <v>40992.0</v>
      </c>
      <c r="AP162" s="208">
        <v>0.16</v>
      </c>
      <c r="AQ162" s="208">
        <v>0.0</v>
      </c>
      <c r="AR162" s="208">
        <v>11.0</v>
      </c>
      <c r="AS162" s="208">
        <v>476.0</v>
      </c>
      <c r="AT162" s="208">
        <v>3301.74</v>
      </c>
      <c r="AU162" s="208">
        <v>1.0</v>
      </c>
      <c r="AV162" s="208">
        <v>58.0</v>
      </c>
      <c r="AW162" s="208">
        <v>8.0</v>
      </c>
      <c r="AX162" s="208">
        <v>49.0</v>
      </c>
      <c r="AY162" s="208">
        <v>23.0</v>
      </c>
      <c r="AZ162" s="584">
        <v>45899.0</v>
      </c>
    </row>
    <row r="163">
      <c r="A163" s="208" t="s">
        <v>23</v>
      </c>
      <c r="B163" s="533" t="s">
        <v>37</v>
      </c>
      <c r="C163" s="208" t="s">
        <v>35</v>
      </c>
      <c r="D163" s="208" t="s">
        <v>1110</v>
      </c>
      <c r="E163" s="208" t="s">
        <v>36</v>
      </c>
      <c r="F163" s="585">
        <v>45658.0</v>
      </c>
      <c r="G163" s="208" t="s">
        <v>23</v>
      </c>
      <c r="H163" s="208">
        <v>0.0</v>
      </c>
      <c r="I163" s="208">
        <v>3600000.0</v>
      </c>
      <c r="J163" s="208">
        <v>2303434.53</v>
      </c>
      <c r="K163" s="208">
        <v>0.0</v>
      </c>
      <c r="L163" s="536">
        <f t="shared" si="1"/>
        <v>2303434.53</v>
      </c>
      <c r="M163" s="208">
        <v>40.0</v>
      </c>
      <c r="N163" s="208">
        <v>43.0</v>
      </c>
      <c r="O163" s="208">
        <v>17.0</v>
      </c>
      <c r="P163" s="208">
        <v>57.0</v>
      </c>
      <c r="Q163" s="208">
        <v>14.0</v>
      </c>
      <c r="R163" s="208">
        <v>991596.22</v>
      </c>
      <c r="S163" s="208">
        <v>1311838.31</v>
      </c>
      <c r="T163" s="208">
        <v>17.0</v>
      </c>
      <c r="U163" s="208">
        <v>17.0</v>
      </c>
      <c r="V163" s="208">
        <v>34.0</v>
      </c>
      <c r="W163" s="208">
        <v>0.0</v>
      </c>
      <c r="X163" s="208">
        <v>103.0</v>
      </c>
      <c r="Y163" s="208">
        <v>138.0</v>
      </c>
      <c r="Z163" s="208">
        <v>145.0</v>
      </c>
      <c r="AA163" s="208">
        <v>6.0</v>
      </c>
      <c r="AB163" s="208">
        <v>44.0</v>
      </c>
      <c r="AC163" s="208">
        <v>1.0</v>
      </c>
      <c r="AD163" s="208">
        <v>4.0</v>
      </c>
      <c r="AE163" s="208">
        <v>37.0</v>
      </c>
      <c r="AF163" s="208">
        <v>101.0</v>
      </c>
      <c r="AG163" s="208">
        <v>121.0</v>
      </c>
      <c r="AH163" s="208">
        <v>408.0</v>
      </c>
      <c r="AI163" s="208">
        <v>77.0</v>
      </c>
      <c r="AJ163" s="208">
        <v>29915.0</v>
      </c>
      <c r="AK163" s="208">
        <v>5.0</v>
      </c>
      <c r="AL163" s="208">
        <v>31455.0</v>
      </c>
      <c r="AM163" s="208">
        <v>0.0</v>
      </c>
      <c r="AN163" s="208">
        <v>0.0137</v>
      </c>
      <c r="AO163" s="208">
        <v>67748.0</v>
      </c>
      <c r="AP163" s="208">
        <v>0.64</v>
      </c>
      <c r="AQ163" s="208">
        <v>0.0</v>
      </c>
      <c r="AR163" s="208">
        <v>75.0</v>
      </c>
      <c r="AS163" s="208">
        <v>699.0</v>
      </c>
      <c r="AT163" s="208">
        <v>6058.05</v>
      </c>
      <c r="AU163" s="208">
        <v>17.0</v>
      </c>
      <c r="AV163" s="208">
        <v>141.0</v>
      </c>
      <c r="AW163" s="208">
        <v>34.0</v>
      </c>
      <c r="AX163" s="208">
        <v>11.0</v>
      </c>
      <c r="AY163" s="208">
        <v>12.0</v>
      </c>
    </row>
    <row r="164">
      <c r="A164" s="208" t="s">
        <v>126</v>
      </c>
      <c r="B164" s="533" t="s">
        <v>135</v>
      </c>
      <c r="C164" s="208" t="s">
        <v>171</v>
      </c>
      <c r="D164" s="208" t="s">
        <v>1042</v>
      </c>
      <c r="E164" s="208" t="s">
        <v>137</v>
      </c>
      <c r="F164" s="585">
        <v>45658.0</v>
      </c>
      <c r="G164" s="208" t="s">
        <v>136</v>
      </c>
      <c r="H164" s="208">
        <v>0.0</v>
      </c>
      <c r="I164" s="208">
        <v>3500001.0</v>
      </c>
      <c r="J164" s="208">
        <v>1249646.5</v>
      </c>
      <c r="K164" s="208">
        <v>0.0</v>
      </c>
      <c r="L164" s="536">
        <f t="shared" si="1"/>
        <v>1249646.5</v>
      </c>
      <c r="M164" s="208">
        <v>42.0</v>
      </c>
      <c r="N164" s="208">
        <v>45.0</v>
      </c>
      <c r="O164" s="208">
        <v>8.0</v>
      </c>
      <c r="P164" s="208">
        <v>50.0</v>
      </c>
      <c r="Q164" s="208">
        <v>5.0</v>
      </c>
      <c r="R164" s="208">
        <v>880507.13</v>
      </c>
      <c r="S164" s="208">
        <v>369139.37</v>
      </c>
      <c r="T164" s="208">
        <v>18.0</v>
      </c>
      <c r="U164" s="208">
        <v>8.0</v>
      </c>
      <c r="V164" s="208">
        <v>26.0</v>
      </c>
      <c r="W164" s="208">
        <v>0.0</v>
      </c>
      <c r="X164" s="208">
        <v>108.0</v>
      </c>
      <c r="Y164" s="208">
        <v>149.0</v>
      </c>
      <c r="Z164" s="208">
        <v>168.0</v>
      </c>
      <c r="AA164" s="208">
        <v>1.0</v>
      </c>
      <c r="AB164" s="208">
        <v>5.0</v>
      </c>
      <c r="AC164" s="208">
        <v>0.0</v>
      </c>
      <c r="AD164" s="208">
        <v>0.0</v>
      </c>
      <c r="AE164" s="208">
        <v>0.0</v>
      </c>
      <c r="AF164" s="208">
        <v>0.0</v>
      </c>
      <c r="AG164" s="208">
        <v>251.0</v>
      </c>
      <c r="AH164" s="208">
        <v>405.0</v>
      </c>
      <c r="AI164" s="208">
        <v>73.0</v>
      </c>
      <c r="AJ164" s="208">
        <v>17118.0</v>
      </c>
      <c r="AK164" s="208">
        <v>6.0</v>
      </c>
      <c r="AL164" s="208">
        <v>36190.0</v>
      </c>
      <c r="AM164" s="208">
        <v>0.0</v>
      </c>
      <c r="AN164" s="208">
        <v>0.029</v>
      </c>
      <c r="AO164" s="208">
        <v>48063.0</v>
      </c>
      <c r="AP164" s="208">
        <v>0.36</v>
      </c>
      <c r="AQ164" s="208">
        <v>0.0</v>
      </c>
      <c r="AR164" s="208">
        <v>47.0</v>
      </c>
      <c r="AS164" s="208">
        <v>609.0</v>
      </c>
      <c r="AT164" s="208">
        <v>3752.89</v>
      </c>
      <c r="AU164" s="208">
        <v>8.0</v>
      </c>
      <c r="AV164" s="208">
        <v>83.0</v>
      </c>
      <c r="AW164" s="208">
        <v>26.0</v>
      </c>
      <c r="AX164" s="208">
        <v>19.0</v>
      </c>
      <c r="AY164" s="208">
        <v>5.0</v>
      </c>
    </row>
    <row r="165">
      <c r="A165" s="208" t="s">
        <v>185</v>
      </c>
      <c r="B165" s="533" t="s">
        <v>85</v>
      </c>
      <c r="C165" s="208" t="s">
        <v>390</v>
      </c>
      <c r="D165" s="208" t="s">
        <v>1058</v>
      </c>
      <c r="E165" s="208" t="s">
        <v>391</v>
      </c>
      <c r="F165" s="585">
        <v>45660.0</v>
      </c>
      <c r="G165" s="208" t="s">
        <v>86</v>
      </c>
      <c r="H165" s="208">
        <v>0.0</v>
      </c>
      <c r="I165" s="208">
        <v>0.0</v>
      </c>
      <c r="J165" s="208">
        <v>0.0</v>
      </c>
      <c r="K165" s="208">
        <v>0.0</v>
      </c>
      <c r="L165" s="536">
        <f t="shared" si="1"/>
        <v>0</v>
      </c>
      <c r="M165" s="208">
        <v>73.0</v>
      </c>
      <c r="N165" s="208">
        <v>0.0</v>
      </c>
      <c r="O165" s="208">
        <v>1.0</v>
      </c>
      <c r="P165" s="208">
        <v>74.0</v>
      </c>
      <c r="Q165" s="208">
        <v>74.0</v>
      </c>
      <c r="R165" s="208">
        <v>0.0</v>
      </c>
      <c r="S165" s="208">
        <v>0.0</v>
      </c>
      <c r="T165" s="208">
        <v>0.0</v>
      </c>
      <c r="U165" s="208">
        <v>0.0</v>
      </c>
      <c r="V165" s="208">
        <v>0.0</v>
      </c>
      <c r="W165" s="208">
        <v>0.0</v>
      </c>
      <c r="X165" s="208">
        <v>0.0</v>
      </c>
      <c r="Y165" s="208">
        <v>0.0</v>
      </c>
      <c r="Z165" s="208">
        <v>94.0</v>
      </c>
      <c r="AA165" s="208">
        <v>0.0</v>
      </c>
      <c r="AB165" s="208">
        <v>0.0</v>
      </c>
      <c r="AC165" s="208">
        <v>0.0</v>
      </c>
      <c r="AD165" s="208">
        <v>0.0</v>
      </c>
      <c r="AE165" s="208">
        <v>0.0</v>
      </c>
      <c r="AF165" s="208">
        <v>0.0</v>
      </c>
      <c r="AG165" s="208">
        <v>0.0</v>
      </c>
      <c r="AH165" s="208">
        <v>0.0</v>
      </c>
      <c r="AI165" s="208">
        <v>0.0</v>
      </c>
      <c r="AJ165" s="208">
        <v>0.0</v>
      </c>
      <c r="AK165" s="208">
        <v>0.0</v>
      </c>
      <c r="AL165" s="208">
        <v>33885.0</v>
      </c>
      <c r="AM165" s="208">
        <v>0.0</v>
      </c>
      <c r="AN165" s="208">
        <v>0.0</v>
      </c>
      <c r="AO165" s="208">
        <v>0.0</v>
      </c>
      <c r="AP165" s="208">
        <v>0.0</v>
      </c>
      <c r="AQ165" s="208">
        <v>0.0</v>
      </c>
      <c r="AR165" s="208">
        <v>0.0</v>
      </c>
      <c r="AS165" s="208">
        <v>0.0</v>
      </c>
      <c r="AT165" s="208">
        <v>0.0</v>
      </c>
      <c r="AU165" s="208">
        <v>0.0</v>
      </c>
      <c r="AV165" s="208">
        <v>0.0</v>
      </c>
      <c r="AW165" s="208">
        <v>0.0</v>
      </c>
      <c r="AX165" s="208">
        <v>0.0</v>
      </c>
      <c r="AY165" s="208">
        <v>74.0</v>
      </c>
      <c r="AZ165" s="584">
        <v>45819.0</v>
      </c>
    </row>
    <row r="166">
      <c r="A166" s="208" t="s">
        <v>47</v>
      </c>
      <c r="B166" s="533" t="s">
        <v>422</v>
      </c>
      <c r="C166" s="208" t="s">
        <v>866</v>
      </c>
      <c r="D166" s="208" t="s">
        <v>1094</v>
      </c>
      <c r="E166" s="208" t="s">
        <v>1111</v>
      </c>
      <c r="F166" s="585">
        <v>45663.0</v>
      </c>
      <c r="G166" s="208" t="s">
        <v>47</v>
      </c>
      <c r="H166" s="208">
        <v>0.0</v>
      </c>
      <c r="I166" s="208">
        <v>0.0</v>
      </c>
      <c r="J166" s="208">
        <v>0.0</v>
      </c>
      <c r="K166" s="208">
        <v>0.0</v>
      </c>
      <c r="L166" s="536">
        <f t="shared" si="1"/>
        <v>0</v>
      </c>
      <c r="M166" s="208">
        <v>23.0</v>
      </c>
      <c r="N166" s="208">
        <v>23.0</v>
      </c>
      <c r="O166" s="208">
        <v>12.0</v>
      </c>
      <c r="P166" s="208">
        <v>35.0</v>
      </c>
      <c r="Q166" s="208">
        <v>12.0</v>
      </c>
      <c r="R166" s="208">
        <v>0.0</v>
      </c>
      <c r="S166" s="208">
        <v>0.0</v>
      </c>
      <c r="T166" s="208">
        <v>0.0</v>
      </c>
      <c r="U166" s="208">
        <v>0.0</v>
      </c>
      <c r="V166" s="208">
        <v>0.0</v>
      </c>
      <c r="W166" s="208">
        <v>0.0</v>
      </c>
      <c r="X166" s="208">
        <v>50.0</v>
      </c>
      <c r="Y166" s="208">
        <v>67.0</v>
      </c>
      <c r="Z166" s="208">
        <v>66.0</v>
      </c>
      <c r="AA166" s="208">
        <v>3.0</v>
      </c>
      <c r="AB166" s="208">
        <v>39.0</v>
      </c>
      <c r="AC166" s="208">
        <v>0.0</v>
      </c>
      <c r="AD166" s="208">
        <v>0.0</v>
      </c>
      <c r="AE166" s="208">
        <v>48.0</v>
      </c>
      <c r="AF166" s="208">
        <v>173.0</v>
      </c>
      <c r="AG166" s="208">
        <v>48.0</v>
      </c>
      <c r="AH166" s="208">
        <v>327.0</v>
      </c>
      <c r="AI166" s="208">
        <v>73.0</v>
      </c>
      <c r="AJ166" s="208">
        <v>0.0</v>
      </c>
      <c r="AK166" s="208">
        <v>4.0</v>
      </c>
      <c r="AL166" s="208">
        <v>66667.0</v>
      </c>
      <c r="AM166" s="208">
        <v>0.0</v>
      </c>
      <c r="AN166" s="208">
        <v>0.0</v>
      </c>
      <c r="AO166" s="208">
        <v>0.0</v>
      </c>
      <c r="AP166" s="208">
        <v>0.0</v>
      </c>
      <c r="AQ166" s="208">
        <v>0.0</v>
      </c>
      <c r="AR166" s="208">
        <v>0.0</v>
      </c>
      <c r="AS166" s="208">
        <v>768.0</v>
      </c>
      <c r="AT166" s="208">
        <v>4983.1</v>
      </c>
      <c r="AU166" s="208">
        <v>0.0</v>
      </c>
      <c r="AV166" s="208">
        <v>217.0</v>
      </c>
      <c r="AW166" s="208">
        <v>0.0</v>
      </c>
      <c r="AX166" s="208">
        <v>23.0</v>
      </c>
      <c r="AY166" s="208">
        <v>12.0</v>
      </c>
    </row>
    <row r="167">
      <c r="A167" s="208" t="s">
        <v>47</v>
      </c>
      <c r="B167" s="533" t="s">
        <v>422</v>
      </c>
      <c r="C167" s="208" t="s">
        <v>867</v>
      </c>
      <c r="D167" s="208" t="s">
        <v>1094</v>
      </c>
      <c r="E167" s="208" t="s">
        <v>1112</v>
      </c>
      <c r="F167" s="585">
        <v>45663.0</v>
      </c>
      <c r="G167" s="208" t="s">
        <v>47</v>
      </c>
      <c r="H167" s="208">
        <v>0.0</v>
      </c>
      <c r="I167" s="208">
        <v>0.0</v>
      </c>
      <c r="J167" s="208">
        <v>286897.22</v>
      </c>
      <c r="K167" s="208">
        <v>0.0</v>
      </c>
      <c r="L167" s="536">
        <f t="shared" si="1"/>
        <v>286897.22</v>
      </c>
      <c r="M167" s="208">
        <v>6.0</v>
      </c>
      <c r="N167" s="208">
        <v>5.0</v>
      </c>
      <c r="O167" s="208">
        <v>2.0</v>
      </c>
      <c r="P167" s="208">
        <v>8.0</v>
      </c>
      <c r="Q167" s="208">
        <v>3.0</v>
      </c>
      <c r="R167" s="208">
        <v>0.01</v>
      </c>
      <c r="S167" s="208">
        <v>286897.21</v>
      </c>
      <c r="T167" s="208">
        <v>0.0</v>
      </c>
      <c r="U167" s="208">
        <v>2.0</v>
      </c>
      <c r="V167" s="208">
        <v>2.0</v>
      </c>
      <c r="W167" s="208">
        <v>0.0</v>
      </c>
      <c r="X167" s="208">
        <v>39.0</v>
      </c>
      <c r="Y167" s="208">
        <v>53.0</v>
      </c>
      <c r="Z167" s="208">
        <v>72.0</v>
      </c>
      <c r="AA167" s="208">
        <v>3.0</v>
      </c>
      <c r="AB167" s="208">
        <v>35.0</v>
      </c>
      <c r="AC167" s="208">
        <v>0.0</v>
      </c>
      <c r="AD167" s="208">
        <v>0.0</v>
      </c>
      <c r="AE167" s="208">
        <v>35.0</v>
      </c>
      <c r="AF167" s="208">
        <v>131.0</v>
      </c>
      <c r="AG167" s="208">
        <v>26.0</v>
      </c>
      <c r="AH167" s="208">
        <v>245.0</v>
      </c>
      <c r="AI167" s="208">
        <v>70.0</v>
      </c>
      <c r="AJ167" s="208">
        <v>4099.0</v>
      </c>
      <c r="AK167" s="208">
        <v>4.0</v>
      </c>
      <c r="AL167" s="208">
        <v>62500.0</v>
      </c>
      <c r="AM167" s="208">
        <v>0.0</v>
      </c>
      <c r="AN167" s="208">
        <v>0.2178</v>
      </c>
      <c r="AO167" s="208">
        <v>143449.0</v>
      </c>
      <c r="AP167" s="208">
        <v>0.0</v>
      </c>
      <c r="AQ167" s="208">
        <v>0.0</v>
      </c>
      <c r="AR167" s="208">
        <v>6.0</v>
      </c>
      <c r="AS167" s="208">
        <v>713.0</v>
      </c>
      <c r="AT167" s="208">
        <v>3426.04</v>
      </c>
      <c r="AU167" s="208">
        <v>2.0</v>
      </c>
      <c r="AV167" s="208">
        <v>685.0</v>
      </c>
      <c r="AW167" s="208">
        <v>2.0</v>
      </c>
      <c r="AX167" s="208">
        <v>3.0</v>
      </c>
      <c r="AY167" s="208">
        <v>3.0</v>
      </c>
    </row>
    <row r="168">
      <c r="A168" s="208" t="s">
        <v>185</v>
      </c>
      <c r="B168" s="533" t="s">
        <v>189</v>
      </c>
      <c r="C168" s="208" t="s">
        <v>281</v>
      </c>
      <c r="D168" s="208" t="s">
        <v>1016</v>
      </c>
      <c r="E168" s="208" t="s">
        <v>282</v>
      </c>
      <c r="F168" s="584">
        <v>45670.0</v>
      </c>
      <c r="G168" s="208" t="s">
        <v>787</v>
      </c>
      <c r="H168" s="208">
        <v>0.0</v>
      </c>
      <c r="I168" s="208">
        <v>4500000.0</v>
      </c>
      <c r="J168" s="208">
        <v>3562351.59</v>
      </c>
      <c r="K168" s="208">
        <v>0.0</v>
      </c>
      <c r="L168" s="536">
        <f t="shared" si="1"/>
        <v>3562351.59</v>
      </c>
      <c r="M168" s="208">
        <v>29.0</v>
      </c>
      <c r="N168" s="208">
        <v>36.0</v>
      </c>
      <c r="O168" s="208">
        <v>9.0</v>
      </c>
      <c r="P168" s="208">
        <v>38.0</v>
      </c>
      <c r="Q168" s="208">
        <v>2.0</v>
      </c>
      <c r="R168" s="208">
        <v>2038957.01</v>
      </c>
      <c r="S168" s="208">
        <v>1523394.58</v>
      </c>
      <c r="T168" s="208">
        <v>21.0</v>
      </c>
      <c r="U168" s="208">
        <v>8.0</v>
      </c>
      <c r="V168" s="208">
        <v>29.0</v>
      </c>
      <c r="W168" s="208">
        <v>0.0</v>
      </c>
      <c r="X168" s="208">
        <v>26.0</v>
      </c>
      <c r="Y168" s="208">
        <v>33.0</v>
      </c>
      <c r="Z168" s="208">
        <v>120.0</v>
      </c>
      <c r="AA168" s="208">
        <v>1.0</v>
      </c>
      <c r="AB168" s="208">
        <v>33.0</v>
      </c>
      <c r="AC168" s="208">
        <v>0.0</v>
      </c>
      <c r="AD168" s="208">
        <v>0.0</v>
      </c>
      <c r="AE168" s="208">
        <v>0.0</v>
      </c>
      <c r="AF168" s="208">
        <v>0.0</v>
      </c>
      <c r="AG168" s="208">
        <v>167.0</v>
      </c>
      <c r="AH168" s="208">
        <v>233.0</v>
      </c>
      <c r="AI168" s="208">
        <v>69.0</v>
      </c>
      <c r="AJ168" s="208">
        <v>51628.0</v>
      </c>
      <c r="AK168" s="208">
        <v>3.0</v>
      </c>
      <c r="AL168" s="208">
        <v>29375.0</v>
      </c>
      <c r="AM168" s="208">
        <v>0.0</v>
      </c>
      <c r="AN168" s="208">
        <v>0.0082</v>
      </c>
      <c r="AO168" s="208">
        <v>122840.0</v>
      </c>
      <c r="AP168" s="208">
        <v>0.79</v>
      </c>
      <c r="AQ168" s="208">
        <v>0.0</v>
      </c>
      <c r="AR168" s="208">
        <v>48.0</v>
      </c>
      <c r="AS168" s="208">
        <v>795.0</v>
      </c>
      <c r="AT168" s="208">
        <v>1806.11</v>
      </c>
      <c r="AU168" s="208">
        <v>8.0</v>
      </c>
      <c r="AV168" s="208">
        <v>50.0</v>
      </c>
      <c r="AW168" s="208">
        <v>29.0</v>
      </c>
      <c r="AX168" s="208">
        <v>8.0</v>
      </c>
      <c r="AY168" s="208">
        <v>1.0</v>
      </c>
    </row>
    <row r="169">
      <c r="A169" s="208" t="s">
        <v>97</v>
      </c>
      <c r="B169" s="533" t="s">
        <v>101</v>
      </c>
      <c r="C169" s="208" t="s">
        <v>341</v>
      </c>
      <c r="D169" s="208" t="s">
        <v>1062</v>
      </c>
      <c r="E169" s="208" t="s">
        <v>105</v>
      </c>
      <c r="F169" s="585">
        <v>45694.0</v>
      </c>
      <c r="G169" s="208" t="s">
        <v>876</v>
      </c>
      <c r="H169" s="208">
        <v>0.0</v>
      </c>
      <c r="I169" s="208">
        <v>2112000.0</v>
      </c>
      <c r="J169" s="208">
        <v>415664.4</v>
      </c>
      <c r="K169" s="208">
        <v>0.0</v>
      </c>
      <c r="L169" s="536">
        <f t="shared" si="1"/>
        <v>415664.4</v>
      </c>
      <c r="M169" s="208">
        <v>69.0</v>
      </c>
      <c r="N169" s="208">
        <v>55.0</v>
      </c>
      <c r="O169" s="208">
        <v>3.0</v>
      </c>
      <c r="P169" s="208">
        <v>72.0</v>
      </c>
      <c r="Q169" s="208">
        <v>17.0</v>
      </c>
      <c r="R169" s="208">
        <v>385064.4</v>
      </c>
      <c r="S169" s="208">
        <v>30600.0</v>
      </c>
      <c r="T169" s="208">
        <v>28.0</v>
      </c>
      <c r="U169" s="208">
        <v>3.0</v>
      </c>
      <c r="V169" s="208">
        <v>31.0</v>
      </c>
      <c r="W169" s="208">
        <v>0.0</v>
      </c>
      <c r="X169" s="208">
        <v>9.0</v>
      </c>
      <c r="Y169" s="208">
        <v>14.0</v>
      </c>
      <c r="Z169" s="208">
        <v>10.0</v>
      </c>
      <c r="AA169" s="208">
        <v>1.0</v>
      </c>
      <c r="AB169" s="208">
        <v>18.0</v>
      </c>
      <c r="AC169" s="208">
        <v>0.0</v>
      </c>
      <c r="AD169" s="208">
        <v>0.0</v>
      </c>
      <c r="AE169" s="208">
        <v>0.0</v>
      </c>
      <c r="AF169" s="208">
        <v>0.0</v>
      </c>
      <c r="AG169" s="208">
        <v>223.0</v>
      </c>
      <c r="AH169" s="208">
        <v>255.0</v>
      </c>
      <c r="AI169" s="208">
        <v>34.0</v>
      </c>
      <c r="AJ169" s="208">
        <v>12225.0</v>
      </c>
      <c r="AK169" s="208">
        <v>8.0</v>
      </c>
      <c r="AL169" s="208">
        <v>23000.0</v>
      </c>
      <c r="AM169" s="208">
        <v>0.0</v>
      </c>
      <c r="AN169" s="208">
        <v>0.0553</v>
      </c>
      <c r="AO169" s="208">
        <v>13409.0</v>
      </c>
      <c r="AP169" s="208">
        <v>0.2</v>
      </c>
      <c r="AQ169" s="208">
        <v>0.0</v>
      </c>
      <c r="AR169" s="208">
        <v>48.0</v>
      </c>
      <c r="AS169" s="208">
        <v>330.0</v>
      </c>
      <c r="AT169" s="208">
        <v>2123.59</v>
      </c>
      <c r="AU169" s="208">
        <v>3.0</v>
      </c>
      <c r="AV169" s="208">
        <v>39.0</v>
      </c>
      <c r="AW169" s="208">
        <v>31.0</v>
      </c>
      <c r="AX169" s="208">
        <v>24.0</v>
      </c>
      <c r="AY169" s="208">
        <v>17.0</v>
      </c>
      <c r="AZ169" s="584">
        <v>45899.0</v>
      </c>
    </row>
    <row r="170">
      <c r="A170" s="208" t="s">
        <v>97</v>
      </c>
      <c r="B170" s="533" t="s">
        <v>101</v>
      </c>
      <c r="C170" s="208" t="s">
        <v>104</v>
      </c>
      <c r="D170" s="208" t="s">
        <v>1062</v>
      </c>
      <c r="E170" s="208" t="s">
        <v>105</v>
      </c>
      <c r="F170" s="585">
        <v>45719.0</v>
      </c>
      <c r="G170" s="208" t="s">
        <v>876</v>
      </c>
      <c r="H170" s="208">
        <v>0.0</v>
      </c>
      <c r="I170" s="208">
        <v>3520000.0</v>
      </c>
      <c r="J170" s="208">
        <v>2774024.99</v>
      </c>
      <c r="K170" s="208">
        <v>0.0</v>
      </c>
      <c r="L170" s="536">
        <f t="shared" si="1"/>
        <v>2774024.99</v>
      </c>
      <c r="M170" s="208">
        <v>104.0</v>
      </c>
      <c r="N170" s="208">
        <v>58.0</v>
      </c>
      <c r="O170" s="208">
        <v>8.0</v>
      </c>
      <c r="P170" s="208">
        <v>112.0</v>
      </c>
      <c r="Q170" s="208">
        <v>54.0</v>
      </c>
      <c r="R170" s="208">
        <v>2481835.19</v>
      </c>
      <c r="S170" s="208">
        <v>292189.8</v>
      </c>
      <c r="T170" s="208">
        <v>33.0</v>
      </c>
      <c r="U170" s="208">
        <v>8.0</v>
      </c>
      <c r="V170" s="208">
        <v>41.0</v>
      </c>
      <c r="W170" s="208">
        <v>0.0</v>
      </c>
      <c r="X170" s="208">
        <v>2.0</v>
      </c>
      <c r="Y170" s="208">
        <v>6.0</v>
      </c>
      <c r="Z170" s="208">
        <v>3.0</v>
      </c>
      <c r="AA170" s="208">
        <v>1.0</v>
      </c>
      <c r="AB170" s="208">
        <v>8.0</v>
      </c>
      <c r="AC170" s="208">
        <v>0.0</v>
      </c>
      <c r="AD170" s="208">
        <v>0.0</v>
      </c>
      <c r="AE170" s="208">
        <v>0.0</v>
      </c>
      <c r="AF170" s="208">
        <v>0.0</v>
      </c>
      <c r="AG170" s="208">
        <v>400.0</v>
      </c>
      <c r="AH170" s="208">
        <v>414.0</v>
      </c>
      <c r="AI170" s="208">
        <v>71.0</v>
      </c>
      <c r="AJ170" s="208">
        <v>39071.0</v>
      </c>
      <c r="AK170" s="208">
        <v>6.0</v>
      </c>
      <c r="AL170" s="208">
        <v>23000.0</v>
      </c>
      <c r="AM170" s="208">
        <v>0.0</v>
      </c>
      <c r="AN170" s="208">
        <v>0.0083</v>
      </c>
      <c r="AO170" s="208">
        <v>67659.0</v>
      </c>
      <c r="AP170" s="208">
        <v>0.79</v>
      </c>
      <c r="AQ170" s="208">
        <v>0.0</v>
      </c>
      <c r="AR170" s="208">
        <v>110.0</v>
      </c>
      <c r="AS170" s="208">
        <v>681.0</v>
      </c>
      <c r="AT170" s="208">
        <v>4121.57</v>
      </c>
      <c r="AU170" s="208">
        <v>8.0</v>
      </c>
      <c r="AV170" s="208">
        <v>71.0</v>
      </c>
      <c r="AW170" s="208">
        <v>41.0</v>
      </c>
      <c r="AX170" s="208">
        <v>19.0</v>
      </c>
      <c r="AY170" s="208">
        <v>52.0</v>
      </c>
    </row>
    <row r="171">
      <c r="A171" s="208" t="s">
        <v>23</v>
      </c>
      <c r="B171" s="533" t="s">
        <v>30</v>
      </c>
      <c r="C171" s="208" t="s">
        <v>336</v>
      </c>
      <c r="D171" s="208" t="s">
        <v>30</v>
      </c>
      <c r="E171" s="208" t="s">
        <v>44</v>
      </c>
      <c r="F171" s="585">
        <v>45722.0</v>
      </c>
      <c r="G171" s="208" t="s">
        <v>23</v>
      </c>
      <c r="H171" s="208">
        <v>0.0</v>
      </c>
      <c r="I171" s="208">
        <v>3600000.0</v>
      </c>
      <c r="J171" s="208">
        <v>1834714.17</v>
      </c>
      <c r="K171" s="208">
        <v>0.0</v>
      </c>
      <c r="L171" s="536">
        <f t="shared" si="1"/>
        <v>1834714.17</v>
      </c>
      <c r="M171" s="208">
        <v>70.0</v>
      </c>
      <c r="N171" s="208">
        <v>68.0</v>
      </c>
      <c r="O171" s="208">
        <v>11.0</v>
      </c>
      <c r="P171" s="208">
        <v>81.0</v>
      </c>
      <c r="Q171" s="208">
        <v>13.0</v>
      </c>
      <c r="R171" s="208">
        <v>1693065.32</v>
      </c>
      <c r="S171" s="208">
        <v>141648.85</v>
      </c>
      <c r="T171" s="208">
        <v>30.0</v>
      </c>
      <c r="U171" s="208">
        <v>11.0</v>
      </c>
      <c r="V171" s="208">
        <v>41.0</v>
      </c>
      <c r="W171" s="208">
        <v>0.0</v>
      </c>
      <c r="X171" s="208">
        <v>195.0</v>
      </c>
      <c r="Y171" s="208">
        <v>302.0</v>
      </c>
      <c r="Z171" s="208">
        <v>103.0</v>
      </c>
      <c r="AA171" s="208">
        <v>4.0</v>
      </c>
      <c r="AB171" s="208">
        <v>46.0</v>
      </c>
      <c r="AC171" s="208">
        <v>2.0</v>
      </c>
      <c r="AD171" s="208">
        <v>2.0</v>
      </c>
      <c r="AE171" s="208">
        <v>5.0</v>
      </c>
      <c r="AF171" s="208">
        <v>5.0</v>
      </c>
      <c r="AG171" s="208">
        <v>297.0</v>
      </c>
      <c r="AH171" s="208">
        <v>652.0</v>
      </c>
      <c r="AI171" s="208">
        <v>74.0</v>
      </c>
      <c r="AJ171" s="208">
        <v>24793.0</v>
      </c>
      <c r="AK171" s="208">
        <v>9.0</v>
      </c>
      <c r="AL171" s="208">
        <v>27260.0</v>
      </c>
      <c r="AM171" s="208">
        <v>0.0</v>
      </c>
      <c r="AN171" s="208">
        <v>0.0149</v>
      </c>
      <c r="AO171" s="208">
        <v>44749.0</v>
      </c>
      <c r="AP171" s="208">
        <v>0.51</v>
      </c>
      <c r="AQ171" s="208">
        <v>0.0</v>
      </c>
      <c r="AR171" s="208">
        <v>93.0</v>
      </c>
      <c r="AS171" s="208">
        <v>748.0</v>
      </c>
      <c r="AT171" s="208">
        <v>6522.53</v>
      </c>
      <c r="AU171" s="208">
        <v>11.0</v>
      </c>
      <c r="AV171" s="208">
        <v>96.0</v>
      </c>
      <c r="AW171" s="208">
        <v>41.0</v>
      </c>
      <c r="AX171" s="208">
        <v>28.0</v>
      </c>
      <c r="AY171" s="208">
        <v>12.0</v>
      </c>
    </row>
    <row r="172">
      <c r="A172" s="208" t="s">
        <v>23</v>
      </c>
      <c r="B172" s="533" t="s">
        <v>40</v>
      </c>
      <c r="C172" s="208" t="s">
        <v>38</v>
      </c>
      <c r="D172" s="208" t="s">
        <v>1356</v>
      </c>
      <c r="E172" s="208" t="s">
        <v>39</v>
      </c>
      <c r="F172" s="584">
        <v>45736.0</v>
      </c>
      <c r="G172" s="208" t="s">
        <v>23</v>
      </c>
      <c r="H172" s="208">
        <v>150000.0</v>
      </c>
      <c r="I172" s="208">
        <v>3600000.0</v>
      </c>
      <c r="J172" s="208">
        <v>2368954.44</v>
      </c>
      <c r="K172" s="208">
        <v>94065.8</v>
      </c>
      <c r="L172" s="536">
        <f t="shared" si="1"/>
        <v>2463020.24</v>
      </c>
      <c r="M172" s="208">
        <v>26.0</v>
      </c>
      <c r="N172" s="208">
        <v>28.0</v>
      </c>
      <c r="O172" s="208">
        <v>6.0</v>
      </c>
      <c r="P172" s="208">
        <v>32.0</v>
      </c>
      <c r="Q172" s="208">
        <v>4.0</v>
      </c>
      <c r="R172" s="208">
        <v>1485832.36</v>
      </c>
      <c r="S172" s="208">
        <v>883122.08</v>
      </c>
      <c r="T172" s="208">
        <v>10.0</v>
      </c>
      <c r="U172" s="208">
        <v>6.0</v>
      </c>
      <c r="V172" s="208">
        <v>16.0</v>
      </c>
      <c r="W172" s="208">
        <v>1.0</v>
      </c>
      <c r="X172" s="208">
        <v>136.0</v>
      </c>
      <c r="Y172" s="208">
        <v>274.0</v>
      </c>
      <c r="Z172" s="208">
        <v>79.0</v>
      </c>
      <c r="AA172" s="208">
        <v>3.0</v>
      </c>
      <c r="AB172" s="208">
        <v>11.0</v>
      </c>
      <c r="AC172" s="208">
        <v>4.0</v>
      </c>
      <c r="AD172" s="208">
        <v>20.0</v>
      </c>
      <c r="AE172" s="208">
        <v>1.0</v>
      </c>
      <c r="AF172" s="208">
        <v>6.0</v>
      </c>
      <c r="AG172" s="208">
        <v>129.0</v>
      </c>
      <c r="AH172" s="208">
        <v>440.0</v>
      </c>
      <c r="AI172" s="208">
        <v>75.0</v>
      </c>
      <c r="AJ172" s="208">
        <v>31586.0</v>
      </c>
      <c r="AK172" s="208">
        <v>6.0</v>
      </c>
      <c r="AL172" s="208">
        <v>27260.0</v>
      </c>
      <c r="AM172" s="208">
        <v>0.0</v>
      </c>
      <c r="AN172" s="208">
        <v>0.0115</v>
      </c>
      <c r="AO172" s="208">
        <v>148060.0</v>
      </c>
      <c r="AP172" s="208">
        <v>0.66</v>
      </c>
      <c r="AQ172" s="208">
        <v>0.63</v>
      </c>
      <c r="AR172" s="208">
        <v>45.0</v>
      </c>
      <c r="AS172" s="208">
        <v>667.0</v>
      </c>
      <c r="AT172" s="208">
        <v>2278.63</v>
      </c>
      <c r="AU172" s="208">
        <v>6.0</v>
      </c>
      <c r="AV172" s="208">
        <v>81.0</v>
      </c>
      <c r="AW172" s="208">
        <v>16.0</v>
      </c>
      <c r="AX172" s="208">
        <v>12.0</v>
      </c>
      <c r="AY172" s="208">
        <v>4.0</v>
      </c>
    </row>
    <row r="173">
      <c r="A173" s="208" t="s">
        <v>53</v>
      </c>
      <c r="B173" s="533" t="s">
        <v>56</v>
      </c>
      <c r="C173" s="208" t="s">
        <v>62</v>
      </c>
      <c r="D173" s="208" t="s">
        <v>1092</v>
      </c>
      <c r="E173" s="208" t="s">
        <v>63</v>
      </c>
      <c r="F173" s="584">
        <v>45733.0</v>
      </c>
      <c r="G173" s="208" t="s">
        <v>754</v>
      </c>
      <c r="H173" s="208">
        <v>0.0</v>
      </c>
      <c r="I173" s="208">
        <v>4000000.0</v>
      </c>
      <c r="J173" s="208">
        <v>2078331.13</v>
      </c>
      <c r="K173" s="208">
        <v>0.0</v>
      </c>
      <c r="L173" s="536">
        <f t="shared" si="1"/>
        <v>2078331.13</v>
      </c>
      <c r="M173" s="208">
        <v>76.0</v>
      </c>
      <c r="N173" s="208">
        <v>73.0</v>
      </c>
      <c r="O173" s="208">
        <v>4.0</v>
      </c>
      <c r="P173" s="208">
        <v>80.0</v>
      </c>
      <c r="Q173" s="208">
        <v>7.0</v>
      </c>
      <c r="R173" s="208">
        <v>1783160.4</v>
      </c>
      <c r="S173" s="208">
        <v>295170.73</v>
      </c>
      <c r="T173" s="208">
        <v>30.0</v>
      </c>
      <c r="U173" s="208">
        <v>4.0</v>
      </c>
      <c r="V173" s="208">
        <v>34.0</v>
      </c>
      <c r="W173" s="208">
        <v>0.0</v>
      </c>
      <c r="X173" s="208">
        <v>129.0</v>
      </c>
      <c r="Y173" s="208">
        <v>183.0</v>
      </c>
      <c r="Z173" s="208">
        <v>59.0</v>
      </c>
      <c r="AA173" s="208">
        <v>3.0</v>
      </c>
      <c r="AB173" s="208">
        <v>29.0</v>
      </c>
      <c r="AC173" s="208">
        <v>0.0</v>
      </c>
      <c r="AD173" s="208">
        <v>0.0</v>
      </c>
      <c r="AE173" s="208">
        <v>8.0</v>
      </c>
      <c r="AF173" s="208">
        <v>24.0</v>
      </c>
      <c r="AG173" s="208">
        <v>275.0</v>
      </c>
      <c r="AH173" s="208">
        <v>511.0</v>
      </c>
      <c r="AI173" s="208">
        <v>71.0</v>
      </c>
      <c r="AJ173" s="208">
        <v>29272.0</v>
      </c>
      <c r="AK173" s="208">
        <v>7.0</v>
      </c>
      <c r="AL173" s="208">
        <v>33550.0</v>
      </c>
      <c r="AM173" s="208">
        <v>0.0</v>
      </c>
      <c r="AN173" s="208">
        <v>0.0161</v>
      </c>
      <c r="AO173" s="208">
        <v>61127.0</v>
      </c>
      <c r="AP173" s="208">
        <v>0.52</v>
      </c>
      <c r="AQ173" s="208">
        <v>0.0</v>
      </c>
      <c r="AR173" s="208">
        <v>59.0</v>
      </c>
      <c r="AS173" s="208">
        <v>700.0</v>
      </c>
      <c r="AT173" s="208">
        <v>8127.73</v>
      </c>
      <c r="AU173" s="208">
        <v>4.0</v>
      </c>
      <c r="AV173" s="208">
        <v>111.0</v>
      </c>
      <c r="AW173" s="208">
        <v>34.0</v>
      </c>
      <c r="AX173" s="208">
        <v>40.0</v>
      </c>
      <c r="AY173" s="208">
        <v>6.0</v>
      </c>
    </row>
    <row r="174">
      <c r="A174" s="208" t="s">
        <v>53</v>
      </c>
      <c r="B174" s="533" t="s">
        <v>56</v>
      </c>
      <c r="C174" s="208" t="s">
        <v>377</v>
      </c>
      <c r="D174" s="208" t="s">
        <v>1092</v>
      </c>
      <c r="E174" s="208" t="s">
        <v>378</v>
      </c>
      <c r="F174" s="584">
        <v>45735.0</v>
      </c>
      <c r="G174" s="208" t="s">
        <v>754</v>
      </c>
      <c r="H174" s="208">
        <v>0.0</v>
      </c>
      <c r="I174" s="208">
        <v>2100000.0</v>
      </c>
      <c r="J174" s="208">
        <v>602283.86</v>
      </c>
      <c r="K174" s="208">
        <v>0.0</v>
      </c>
      <c r="L174" s="536">
        <f t="shared" si="1"/>
        <v>602283.86</v>
      </c>
      <c r="M174" s="208">
        <v>65.0</v>
      </c>
      <c r="N174" s="208">
        <v>52.0</v>
      </c>
      <c r="O174" s="208">
        <v>10.0</v>
      </c>
      <c r="P174" s="208">
        <v>75.0</v>
      </c>
      <c r="Q174" s="208">
        <v>23.0</v>
      </c>
      <c r="R174" s="208">
        <v>263379.96</v>
      </c>
      <c r="S174" s="208">
        <v>338903.9</v>
      </c>
      <c r="T174" s="208">
        <v>10.0</v>
      </c>
      <c r="U174" s="208">
        <v>10.0</v>
      </c>
      <c r="V174" s="208">
        <v>20.0</v>
      </c>
      <c r="W174" s="208">
        <v>0.0</v>
      </c>
      <c r="X174" s="208">
        <v>119.0</v>
      </c>
      <c r="Y174" s="208">
        <v>252.0</v>
      </c>
      <c r="Z174" s="208">
        <v>82.0</v>
      </c>
      <c r="AA174" s="208">
        <v>3.0</v>
      </c>
      <c r="AB174" s="208">
        <v>48.0</v>
      </c>
      <c r="AC174" s="208">
        <v>0.0</v>
      </c>
      <c r="AD174" s="208">
        <v>0.0</v>
      </c>
      <c r="AE174" s="208">
        <v>8.0</v>
      </c>
      <c r="AF174" s="208">
        <v>47.0</v>
      </c>
      <c r="AG174" s="208">
        <v>234.0</v>
      </c>
      <c r="AH174" s="208">
        <v>581.0</v>
      </c>
      <c r="AI174" s="208">
        <v>72.0</v>
      </c>
      <c r="AJ174" s="208">
        <v>8365.0</v>
      </c>
      <c r="AK174" s="208">
        <v>8.0</v>
      </c>
      <c r="AL174" s="208">
        <v>25165.0</v>
      </c>
      <c r="AM174" s="208">
        <v>0.0</v>
      </c>
      <c r="AN174" s="208">
        <v>0.0418</v>
      </c>
      <c r="AO174" s="208">
        <v>30114.0</v>
      </c>
      <c r="AP174" s="208">
        <v>0.29</v>
      </c>
      <c r="AQ174" s="208">
        <v>0.0</v>
      </c>
      <c r="AR174" s="208">
        <v>33.0</v>
      </c>
      <c r="AS174" s="208">
        <v>842.0</v>
      </c>
      <c r="AT174" s="208">
        <v>4661.26</v>
      </c>
      <c r="AU174" s="208">
        <v>10.0</v>
      </c>
      <c r="AV174" s="208">
        <v>90.0</v>
      </c>
      <c r="AW174" s="208">
        <v>20.0</v>
      </c>
      <c r="AX174" s="208">
        <v>35.0</v>
      </c>
      <c r="AY174" s="208">
        <v>20.0</v>
      </c>
      <c r="AZ174" s="585">
        <v>45938.0</v>
      </c>
    </row>
    <row r="175">
      <c r="A175" s="208" t="s">
        <v>53</v>
      </c>
      <c r="B175" s="533" t="s">
        <v>56</v>
      </c>
      <c r="C175" s="208" t="s">
        <v>869</v>
      </c>
      <c r="D175" s="208" t="s">
        <v>1092</v>
      </c>
      <c r="E175" s="208" t="s">
        <v>1093</v>
      </c>
      <c r="F175" s="584">
        <v>45736.0</v>
      </c>
      <c r="G175" s="208" t="s">
        <v>754</v>
      </c>
      <c r="H175" s="208">
        <v>0.0</v>
      </c>
      <c r="I175" s="208">
        <v>0.0</v>
      </c>
      <c r="J175" s="208">
        <v>0.0</v>
      </c>
      <c r="K175" s="208">
        <v>0.0</v>
      </c>
      <c r="L175" s="536">
        <f t="shared" si="1"/>
        <v>0</v>
      </c>
      <c r="M175" s="208">
        <v>37.0</v>
      </c>
      <c r="N175" s="208">
        <v>22.0</v>
      </c>
      <c r="O175" s="208">
        <v>5.0</v>
      </c>
      <c r="P175" s="208">
        <v>42.0</v>
      </c>
      <c r="Q175" s="208">
        <v>20.0</v>
      </c>
      <c r="R175" s="208">
        <v>0.0</v>
      </c>
      <c r="S175" s="208">
        <v>0.0</v>
      </c>
      <c r="T175" s="208">
        <v>0.0</v>
      </c>
      <c r="U175" s="208">
        <v>0.0</v>
      </c>
      <c r="V175" s="208">
        <v>0.0</v>
      </c>
      <c r="W175" s="208">
        <v>0.0</v>
      </c>
      <c r="X175" s="208">
        <v>64.0</v>
      </c>
      <c r="Y175" s="208">
        <v>103.0</v>
      </c>
      <c r="Z175" s="208">
        <v>59.0</v>
      </c>
      <c r="AA175" s="208">
        <v>3.0</v>
      </c>
      <c r="AB175" s="208">
        <v>22.0</v>
      </c>
      <c r="AC175" s="208">
        <v>0.0</v>
      </c>
      <c r="AD175" s="208">
        <v>0.0</v>
      </c>
      <c r="AE175" s="208">
        <v>8.0</v>
      </c>
      <c r="AF175" s="208">
        <v>23.0</v>
      </c>
      <c r="AG175" s="208">
        <v>46.0</v>
      </c>
      <c r="AH175" s="208">
        <v>194.0</v>
      </c>
      <c r="AI175" s="208">
        <v>59.0</v>
      </c>
      <c r="AJ175" s="208">
        <v>0.0</v>
      </c>
      <c r="AK175" s="208">
        <v>3.0</v>
      </c>
      <c r="AL175" s="208">
        <v>37740.0</v>
      </c>
      <c r="AM175" s="208">
        <v>0.0</v>
      </c>
      <c r="AN175" s="208">
        <v>0.0</v>
      </c>
      <c r="AO175" s="208">
        <v>0.0</v>
      </c>
      <c r="AP175" s="208">
        <v>0.0</v>
      </c>
      <c r="AQ175" s="208">
        <v>0.0</v>
      </c>
      <c r="AR175" s="208">
        <v>0.0</v>
      </c>
      <c r="AS175" s="208">
        <v>598.0</v>
      </c>
      <c r="AT175" s="208">
        <v>7889.29</v>
      </c>
      <c r="AU175" s="208">
        <v>0.0</v>
      </c>
      <c r="AV175" s="208">
        <v>359.0</v>
      </c>
      <c r="AW175" s="208">
        <v>0.0</v>
      </c>
      <c r="AX175" s="208">
        <v>22.0</v>
      </c>
      <c r="AY175" s="208">
        <v>20.0</v>
      </c>
      <c r="AZ175" s="584">
        <v>45919.0</v>
      </c>
    </row>
    <row r="176">
      <c r="A176" s="208" t="s">
        <v>97</v>
      </c>
      <c r="B176" s="533" t="s">
        <v>101</v>
      </c>
      <c r="C176" s="208" t="s">
        <v>342</v>
      </c>
      <c r="D176" s="208" t="s">
        <v>1062</v>
      </c>
      <c r="E176" s="208" t="s">
        <v>343</v>
      </c>
      <c r="F176" s="585">
        <v>45751.0</v>
      </c>
      <c r="G176" s="208" t="s">
        <v>97</v>
      </c>
      <c r="H176" s="208">
        <v>0.0</v>
      </c>
      <c r="I176" s="208">
        <v>2979900.0</v>
      </c>
      <c r="J176" s="208">
        <v>570957.3</v>
      </c>
      <c r="K176" s="208">
        <v>0.0</v>
      </c>
      <c r="L176" s="536">
        <f t="shared" si="1"/>
        <v>570957.3</v>
      </c>
      <c r="M176" s="208">
        <v>227.0</v>
      </c>
      <c r="N176" s="208">
        <v>57.0</v>
      </c>
      <c r="O176" s="208">
        <v>5.0</v>
      </c>
      <c r="P176" s="208">
        <v>232.0</v>
      </c>
      <c r="Q176" s="208">
        <v>175.0</v>
      </c>
      <c r="R176" s="208">
        <v>495648.5</v>
      </c>
      <c r="S176" s="208">
        <v>75308.8</v>
      </c>
      <c r="T176" s="208">
        <v>23.0</v>
      </c>
      <c r="U176" s="208">
        <v>4.0</v>
      </c>
      <c r="V176" s="208">
        <v>27.0</v>
      </c>
      <c r="W176" s="208">
        <v>0.0</v>
      </c>
      <c r="X176" s="208">
        <v>37.0</v>
      </c>
      <c r="Y176" s="208">
        <v>54.0</v>
      </c>
      <c r="Z176" s="208">
        <v>35.0</v>
      </c>
      <c r="AA176" s="208">
        <v>2.0</v>
      </c>
      <c r="AB176" s="208">
        <v>25.0</v>
      </c>
      <c r="AC176" s="208">
        <v>0.0</v>
      </c>
      <c r="AD176" s="208">
        <v>0.0</v>
      </c>
      <c r="AE176" s="208">
        <v>0.0</v>
      </c>
      <c r="AF176" s="208">
        <v>0.0</v>
      </c>
      <c r="AG176" s="208">
        <v>138.0</v>
      </c>
      <c r="AH176" s="208">
        <v>217.0</v>
      </c>
      <c r="AI176" s="208">
        <v>33.0</v>
      </c>
      <c r="AJ176" s="208">
        <v>17302.0</v>
      </c>
      <c r="AK176" s="208">
        <v>7.0</v>
      </c>
      <c r="AL176" s="208">
        <v>37760.0</v>
      </c>
      <c r="AM176" s="208">
        <v>0.0</v>
      </c>
      <c r="AN176" s="208">
        <v>0.0661</v>
      </c>
      <c r="AO176" s="208">
        <v>21147.0</v>
      </c>
      <c r="AP176" s="208">
        <v>0.19</v>
      </c>
      <c r="AQ176" s="208">
        <v>0.0</v>
      </c>
      <c r="AR176" s="208">
        <v>40.0</v>
      </c>
      <c r="AS176" s="208">
        <v>324.0</v>
      </c>
      <c r="AT176" s="208">
        <v>2299.21</v>
      </c>
      <c r="AU176" s="208">
        <v>4.0</v>
      </c>
      <c r="AV176" s="208">
        <v>40.0</v>
      </c>
      <c r="AW176" s="208">
        <v>27.0</v>
      </c>
      <c r="AX176" s="208">
        <v>34.0</v>
      </c>
      <c r="AY176" s="208">
        <v>171.0</v>
      </c>
      <c r="AZ176" s="584">
        <v>45881.0</v>
      </c>
    </row>
    <row r="177">
      <c r="A177" s="208" t="s">
        <v>53</v>
      </c>
      <c r="B177" s="533" t="s">
        <v>56</v>
      </c>
      <c r="C177" s="208" t="s">
        <v>870</v>
      </c>
      <c r="D177" s="208" t="s">
        <v>1092</v>
      </c>
      <c r="E177" s="208" t="s">
        <v>71</v>
      </c>
      <c r="F177" s="584">
        <v>45761.0</v>
      </c>
      <c r="G177" s="208" t="s">
        <v>754</v>
      </c>
      <c r="H177" s="208">
        <v>0.0</v>
      </c>
      <c r="I177" s="208">
        <v>0.0</v>
      </c>
      <c r="J177" s="208">
        <v>0.0</v>
      </c>
      <c r="K177" s="208">
        <v>0.0</v>
      </c>
      <c r="L177" s="536">
        <f t="shared" si="1"/>
        <v>0</v>
      </c>
      <c r="M177" s="208">
        <v>8.0</v>
      </c>
      <c r="N177" s="208">
        <v>0.0</v>
      </c>
      <c r="O177" s="208">
        <v>0.0</v>
      </c>
      <c r="P177" s="208">
        <v>8.0</v>
      </c>
      <c r="Q177" s="208">
        <v>8.0</v>
      </c>
      <c r="R177" s="208">
        <v>0.0</v>
      </c>
      <c r="S177" s="208">
        <v>0.0</v>
      </c>
      <c r="T177" s="208">
        <v>0.0</v>
      </c>
      <c r="U177" s="208">
        <v>0.0</v>
      </c>
      <c r="V177" s="208">
        <v>0.0</v>
      </c>
      <c r="W177" s="208">
        <v>0.0</v>
      </c>
      <c r="X177" s="208">
        <v>0.0</v>
      </c>
      <c r="Y177" s="208">
        <v>0.0</v>
      </c>
      <c r="Z177" s="208">
        <v>9.0</v>
      </c>
      <c r="AA177" s="208">
        <v>0.0</v>
      </c>
      <c r="AB177" s="208">
        <v>0.0</v>
      </c>
      <c r="AC177" s="208">
        <v>0.0</v>
      </c>
      <c r="AD177" s="208">
        <v>0.0</v>
      </c>
      <c r="AE177" s="208">
        <v>0.0</v>
      </c>
      <c r="AF177" s="208">
        <v>0.0</v>
      </c>
      <c r="AG177" s="208">
        <v>0.0</v>
      </c>
      <c r="AH177" s="208">
        <v>0.0</v>
      </c>
      <c r="AI177" s="208">
        <v>0.0</v>
      </c>
      <c r="AJ177" s="208">
        <v>0.0</v>
      </c>
      <c r="AK177" s="208">
        <v>0.0</v>
      </c>
      <c r="AL177" s="208">
        <v>65000.0</v>
      </c>
      <c r="AM177" s="208">
        <v>0.0</v>
      </c>
      <c r="AN177" s="208">
        <v>0.0</v>
      </c>
      <c r="AO177" s="208">
        <v>0.0</v>
      </c>
      <c r="AP177" s="208">
        <v>0.0</v>
      </c>
      <c r="AQ177" s="208">
        <v>0.0</v>
      </c>
      <c r="AR177" s="208">
        <v>0.0</v>
      </c>
      <c r="AS177" s="208">
        <v>0.0</v>
      </c>
      <c r="AT177" s="208">
        <v>0.0</v>
      </c>
      <c r="AU177" s="208">
        <v>0.0</v>
      </c>
      <c r="AV177" s="208">
        <v>0.0</v>
      </c>
      <c r="AW177" s="208">
        <v>0.0</v>
      </c>
      <c r="AX177" s="208">
        <v>0.0</v>
      </c>
      <c r="AY177" s="208">
        <v>8.0</v>
      </c>
      <c r="AZ177" s="584">
        <v>45771.0</v>
      </c>
    </row>
    <row r="178">
      <c r="A178" s="208" t="s">
        <v>47</v>
      </c>
      <c r="B178" s="533" t="s">
        <v>422</v>
      </c>
      <c r="C178" s="208" t="s">
        <v>871</v>
      </c>
      <c r="D178" s="208" t="s">
        <v>1094</v>
      </c>
      <c r="E178" s="208" t="s">
        <v>421</v>
      </c>
      <c r="F178" s="584">
        <v>45761.0</v>
      </c>
      <c r="G178" s="208" t="s">
        <v>866</v>
      </c>
      <c r="H178" s="208">
        <v>0.0</v>
      </c>
      <c r="I178" s="208">
        <v>2000001.0</v>
      </c>
      <c r="J178" s="208">
        <v>1531128.13</v>
      </c>
      <c r="K178" s="208">
        <v>0.0</v>
      </c>
      <c r="L178" s="536">
        <f t="shared" si="1"/>
        <v>1531128.13</v>
      </c>
      <c r="M178" s="208">
        <v>30.0</v>
      </c>
      <c r="N178" s="208">
        <v>57.0</v>
      </c>
      <c r="O178" s="208">
        <v>31.0</v>
      </c>
      <c r="P178" s="208">
        <v>61.0</v>
      </c>
      <c r="Q178" s="208">
        <v>4.0</v>
      </c>
      <c r="R178" s="208">
        <v>591287.41</v>
      </c>
      <c r="S178" s="208">
        <v>939840.72</v>
      </c>
      <c r="T178" s="208">
        <v>14.0</v>
      </c>
      <c r="U178" s="208">
        <v>31.0</v>
      </c>
      <c r="V178" s="208">
        <v>45.0</v>
      </c>
      <c r="W178" s="208">
        <v>0.0</v>
      </c>
      <c r="X178" s="208">
        <v>192.0</v>
      </c>
      <c r="Y178" s="208">
        <v>297.0</v>
      </c>
      <c r="Z178" s="208">
        <v>64.0</v>
      </c>
      <c r="AA178" s="208">
        <v>1.0</v>
      </c>
      <c r="AB178" s="208">
        <v>27.0</v>
      </c>
      <c r="AC178" s="208">
        <v>0.0</v>
      </c>
      <c r="AD178" s="208">
        <v>0.0</v>
      </c>
      <c r="AE178" s="208">
        <v>6.0</v>
      </c>
      <c r="AF178" s="208">
        <v>8.0</v>
      </c>
      <c r="AG178" s="208">
        <v>121.0</v>
      </c>
      <c r="AH178" s="208">
        <v>453.0</v>
      </c>
      <c r="AI178" s="208">
        <v>70.0</v>
      </c>
      <c r="AJ178" s="208">
        <v>21873.0</v>
      </c>
      <c r="AK178" s="208">
        <v>6.0</v>
      </c>
      <c r="AL178" s="208">
        <v>24120.0</v>
      </c>
      <c r="AM178" s="208">
        <v>0.0</v>
      </c>
      <c r="AN178" s="208">
        <v>0.0158</v>
      </c>
      <c r="AO178" s="208">
        <v>34025.0</v>
      </c>
      <c r="AP178" s="208">
        <v>0.77</v>
      </c>
      <c r="AQ178" s="208">
        <v>0.0</v>
      </c>
      <c r="AR178" s="208">
        <v>73.0</v>
      </c>
      <c r="AS178" s="208">
        <v>709.0</v>
      </c>
      <c r="AT178" s="208">
        <v>2921.52</v>
      </c>
      <c r="AU178" s="208">
        <v>31.0</v>
      </c>
      <c r="AV178" s="208">
        <v>51.0</v>
      </c>
      <c r="AW178" s="208">
        <v>45.0</v>
      </c>
      <c r="AX178" s="208">
        <v>13.0</v>
      </c>
      <c r="AY178" s="208">
        <v>3.0</v>
      </c>
      <c r="AZ178" s="585">
        <v>45938.0</v>
      </c>
    </row>
    <row r="179">
      <c r="A179" s="208" t="s">
        <v>73</v>
      </c>
      <c r="B179" s="533" t="s">
        <v>1229</v>
      </c>
      <c r="C179" s="208" t="s">
        <v>360</v>
      </c>
      <c r="D179" s="208" t="s">
        <v>76</v>
      </c>
      <c r="E179" s="208" t="s">
        <v>82</v>
      </c>
      <c r="F179" s="584">
        <v>45765.0</v>
      </c>
      <c r="G179" s="208" t="s">
        <v>73</v>
      </c>
      <c r="H179" s="208">
        <v>500001.0</v>
      </c>
      <c r="I179" s="208">
        <v>3000000.0</v>
      </c>
      <c r="J179" s="208">
        <v>1635461.55</v>
      </c>
      <c r="K179" s="208">
        <v>341103.89</v>
      </c>
      <c r="L179" s="536">
        <f t="shared" si="1"/>
        <v>1976565.44</v>
      </c>
      <c r="M179" s="208">
        <v>12.0</v>
      </c>
      <c r="N179" s="208">
        <v>18.0</v>
      </c>
      <c r="O179" s="208">
        <v>8.0</v>
      </c>
      <c r="P179" s="208">
        <v>20.0</v>
      </c>
      <c r="Q179" s="208">
        <v>2.0</v>
      </c>
      <c r="R179" s="208">
        <v>914572.55</v>
      </c>
      <c r="S179" s="208">
        <v>720889.0</v>
      </c>
      <c r="T179" s="208">
        <v>10.0</v>
      </c>
      <c r="U179" s="208">
        <v>8.0</v>
      </c>
      <c r="V179" s="208">
        <v>18.0</v>
      </c>
      <c r="W179" s="208">
        <v>3.0</v>
      </c>
      <c r="X179" s="208">
        <v>85.0</v>
      </c>
      <c r="Y179" s="208">
        <v>171.0</v>
      </c>
      <c r="Z179" s="208">
        <v>32.0</v>
      </c>
      <c r="AA179" s="208">
        <v>3.0</v>
      </c>
      <c r="AB179" s="208">
        <v>63.0</v>
      </c>
      <c r="AC179" s="208">
        <v>3.0</v>
      </c>
      <c r="AD179" s="208">
        <v>13.0</v>
      </c>
      <c r="AE179" s="208">
        <v>0.0</v>
      </c>
      <c r="AF179" s="208">
        <v>0.0</v>
      </c>
      <c r="AG179" s="208">
        <v>60.0</v>
      </c>
      <c r="AH179" s="208">
        <v>307.0</v>
      </c>
      <c r="AI179" s="208">
        <v>74.0</v>
      </c>
      <c r="AJ179" s="208">
        <v>22101.0</v>
      </c>
      <c r="AK179" s="208">
        <v>4.0</v>
      </c>
      <c r="AL179" s="208">
        <v>25700.0</v>
      </c>
      <c r="AM179" s="208">
        <v>0.0</v>
      </c>
      <c r="AN179" s="208">
        <v>0.0</v>
      </c>
      <c r="AO179" s="208">
        <v>90859.0</v>
      </c>
      <c r="AP179" s="208">
        <v>0.55</v>
      </c>
      <c r="AQ179" s="208">
        <v>0.68</v>
      </c>
      <c r="AR179" s="208">
        <v>70.0</v>
      </c>
      <c r="AS179" s="208">
        <v>674.0</v>
      </c>
      <c r="AT179" s="208">
        <v>4117.07</v>
      </c>
      <c r="AU179" s="208">
        <v>8.0</v>
      </c>
      <c r="AV179" s="208">
        <v>229.0</v>
      </c>
      <c r="AW179" s="208">
        <v>18.0</v>
      </c>
      <c r="AX179" s="208">
        <v>0.0</v>
      </c>
      <c r="AY179" s="208">
        <v>2.0</v>
      </c>
      <c r="AZ179" s="584">
        <v>45944.0</v>
      </c>
    </row>
    <row r="180">
      <c r="A180" s="208" t="s">
        <v>185</v>
      </c>
      <c r="B180" s="533" t="s">
        <v>189</v>
      </c>
      <c r="C180" s="208" t="s">
        <v>283</v>
      </c>
      <c r="D180" s="208" t="s">
        <v>1016</v>
      </c>
      <c r="E180" s="208" t="s">
        <v>1117</v>
      </c>
      <c r="F180" s="586">
        <v>45784.0</v>
      </c>
      <c r="G180" s="208" t="s">
        <v>203</v>
      </c>
      <c r="H180" s="208">
        <v>0.0</v>
      </c>
      <c r="I180" s="208">
        <v>7500000.0</v>
      </c>
      <c r="J180" s="208">
        <v>6323740.22</v>
      </c>
      <c r="K180" s="208">
        <v>0.0</v>
      </c>
      <c r="L180" s="536">
        <f t="shared" si="1"/>
        <v>6323740.22</v>
      </c>
      <c r="M180" s="208">
        <v>42.0</v>
      </c>
      <c r="N180" s="208">
        <v>48.0</v>
      </c>
      <c r="O180" s="208">
        <v>6.0</v>
      </c>
      <c r="P180" s="208">
        <v>48.0</v>
      </c>
      <c r="Q180" s="208">
        <v>0.0</v>
      </c>
      <c r="R180" s="208">
        <v>6105047.86</v>
      </c>
      <c r="S180" s="208">
        <v>218692.36</v>
      </c>
      <c r="T180" s="208">
        <v>25.0</v>
      </c>
      <c r="U180" s="208">
        <v>6.0</v>
      </c>
      <c r="V180" s="208">
        <v>31.0</v>
      </c>
      <c r="W180" s="208">
        <v>0.0</v>
      </c>
      <c r="X180" s="208">
        <v>16.0</v>
      </c>
      <c r="Y180" s="208">
        <v>38.0</v>
      </c>
      <c r="Z180" s="208">
        <v>9.0</v>
      </c>
      <c r="AA180" s="208">
        <v>2.0</v>
      </c>
      <c r="AB180" s="208">
        <v>5.0</v>
      </c>
      <c r="AC180" s="208">
        <v>0.0</v>
      </c>
      <c r="AD180" s="208">
        <v>0.0</v>
      </c>
      <c r="AE180" s="208">
        <v>0.0</v>
      </c>
      <c r="AF180" s="208">
        <v>0.0</v>
      </c>
      <c r="AG180" s="208">
        <v>371.0</v>
      </c>
      <c r="AH180" s="208">
        <v>414.0</v>
      </c>
      <c r="AI180" s="208">
        <v>73.0</v>
      </c>
      <c r="AJ180" s="208">
        <v>86627.0</v>
      </c>
      <c r="AK180" s="208">
        <v>6.0</v>
      </c>
      <c r="AL180" s="208">
        <v>25985.0</v>
      </c>
      <c r="AM180" s="208">
        <v>0.0</v>
      </c>
      <c r="AN180" s="208">
        <v>0.0041</v>
      </c>
      <c r="AO180" s="208">
        <v>203992.0</v>
      </c>
      <c r="AP180" s="208">
        <v>0.84</v>
      </c>
      <c r="AQ180" s="208">
        <v>0.0</v>
      </c>
      <c r="AR180" s="208">
        <v>119.0</v>
      </c>
      <c r="AS180" s="208">
        <v>746.0</v>
      </c>
      <c r="AT180" s="208">
        <v>6200.36</v>
      </c>
      <c r="AU180" s="208">
        <v>6.0</v>
      </c>
      <c r="AV180" s="208">
        <v>129.0</v>
      </c>
      <c r="AW180" s="208">
        <v>31.0</v>
      </c>
      <c r="AX180" s="208">
        <v>17.0</v>
      </c>
      <c r="AY180" s="208">
        <v>0.0</v>
      </c>
    </row>
    <row r="181">
      <c r="A181" s="208" t="s">
        <v>47</v>
      </c>
      <c r="B181" s="533" t="s">
        <v>50</v>
      </c>
      <c r="C181" s="208" t="s">
        <v>872</v>
      </c>
      <c r="D181" s="208" t="s">
        <v>1091</v>
      </c>
      <c r="E181" s="208" t="s">
        <v>1115</v>
      </c>
      <c r="F181" s="586">
        <v>45782.0</v>
      </c>
      <c r="G181" s="208" t="s">
        <v>47</v>
      </c>
      <c r="H181" s="208">
        <v>0.0</v>
      </c>
      <c r="I181" s="208">
        <v>0.0</v>
      </c>
      <c r="J181" s="208">
        <v>0.0</v>
      </c>
      <c r="K181" s="208">
        <v>0.0</v>
      </c>
      <c r="L181" s="536">
        <f t="shared" si="1"/>
        <v>0</v>
      </c>
      <c r="M181" s="208">
        <v>0.0</v>
      </c>
      <c r="N181" s="208">
        <v>0.0</v>
      </c>
      <c r="O181" s="208">
        <v>0.0</v>
      </c>
      <c r="P181" s="208">
        <v>0.0</v>
      </c>
      <c r="Q181" s="208">
        <v>0.0</v>
      </c>
      <c r="R181" s="208">
        <v>0.0</v>
      </c>
      <c r="S181" s="208">
        <v>0.0</v>
      </c>
      <c r="T181" s="208">
        <v>0.0</v>
      </c>
      <c r="U181" s="208">
        <v>0.0</v>
      </c>
      <c r="V181" s="208">
        <v>0.0</v>
      </c>
      <c r="W181" s="208">
        <v>0.0</v>
      </c>
      <c r="X181" s="208">
        <v>1.0</v>
      </c>
      <c r="Y181" s="208">
        <v>3.0</v>
      </c>
      <c r="Z181" s="208">
        <v>9.0</v>
      </c>
      <c r="AA181" s="208">
        <v>2.0</v>
      </c>
      <c r="AB181" s="208">
        <v>20.0</v>
      </c>
      <c r="AC181" s="208">
        <v>0.0</v>
      </c>
      <c r="AD181" s="208">
        <v>0.0</v>
      </c>
      <c r="AE181" s="208">
        <v>96.0</v>
      </c>
      <c r="AF181" s="208">
        <v>310.0</v>
      </c>
      <c r="AG181" s="208">
        <v>0.0</v>
      </c>
      <c r="AH181" s="208">
        <v>333.0</v>
      </c>
      <c r="AI181" s="208">
        <v>67.0</v>
      </c>
      <c r="AJ181" s="208">
        <v>0.0</v>
      </c>
      <c r="AK181" s="208">
        <v>5.0</v>
      </c>
      <c r="AL181" s="208">
        <v>64585.0</v>
      </c>
      <c r="AM181" s="208">
        <v>0.0</v>
      </c>
      <c r="AN181" s="208">
        <v>0.0</v>
      </c>
      <c r="AO181" s="208">
        <v>0.0</v>
      </c>
      <c r="AP181" s="208">
        <v>0.0</v>
      </c>
      <c r="AQ181" s="208">
        <v>0.0</v>
      </c>
      <c r="AR181" s="208">
        <v>0.0</v>
      </c>
      <c r="AS181" s="208">
        <v>780.0</v>
      </c>
      <c r="AT181" s="208">
        <v>9498.54</v>
      </c>
      <c r="AU181" s="208">
        <v>0.0</v>
      </c>
      <c r="AV181" s="208">
        <v>0.0</v>
      </c>
      <c r="AW181" s="208">
        <v>0.0</v>
      </c>
      <c r="AX181" s="208">
        <v>0.0</v>
      </c>
      <c r="AY181" s="208">
        <v>0.0</v>
      </c>
    </row>
    <row r="182">
      <c r="A182" s="208" t="s">
        <v>97</v>
      </c>
      <c r="B182" s="533" t="s">
        <v>101</v>
      </c>
      <c r="C182" s="208" t="s">
        <v>106</v>
      </c>
      <c r="D182" s="208" t="s">
        <v>1062</v>
      </c>
      <c r="E182" s="208" t="s">
        <v>107</v>
      </c>
      <c r="F182" s="587">
        <v>45793.0</v>
      </c>
      <c r="G182" s="208" t="s">
        <v>876</v>
      </c>
      <c r="H182" s="208">
        <v>0.0</v>
      </c>
      <c r="I182" s="208">
        <v>3520000.0</v>
      </c>
      <c r="J182" s="208">
        <v>2931753.0</v>
      </c>
      <c r="K182" s="208">
        <v>0.0</v>
      </c>
      <c r="L182" s="536">
        <f t="shared" si="1"/>
        <v>2931753</v>
      </c>
      <c r="M182" s="208">
        <v>61.0</v>
      </c>
      <c r="N182" s="208">
        <v>64.0</v>
      </c>
      <c r="O182" s="208">
        <v>19.0</v>
      </c>
      <c r="P182" s="208">
        <v>80.0</v>
      </c>
      <c r="Q182" s="208">
        <v>16.0</v>
      </c>
      <c r="R182" s="208">
        <v>2446990.2</v>
      </c>
      <c r="S182" s="208">
        <v>484762.8</v>
      </c>
      <c r="T182" s="208">
        <v>37.0</v>
      </c>
      <c r="U182" s="208">
        <v>19.0</v>
      </c>
      <c r="V182" s="208">
        <v>56.0</v>
      </c>
      <c r="W182" s="208">
        <v>0.0</v>
      </c>
      <c r="X182" s="208">
        <v>2.0</v>
      </c>
      <c r="Y182" s="208">
        <v>5.0</v>
      </c>
      <c r="Z182" s="208">
        <v>3.0</v>
      </c>
      <c r="AA182" s="208">
        <v>1.0</v>
      </c>
      <c r="AB182" s="208">
        <v>6.0</v>
      </c>
      <c r="AC182" s="208">
        <v>0.0</v>
      </c>
      <c r="AD182" s="208">
        <v>0.0</v>
      </c>
      <c r="AE182" s="208">
        <v>0.0</v>
      </c>
      <c r="AF182" s="208">
        <v>0.0</v>
      </c>
      <c r="AG182" s="208">
        <v>416.0</v>
      </c>
      <c r="AH182" s="208">
        <v>427.0</v>
      </c>
      <c r="AI182" s="208">
        <v>71.0</v>
      </c>
      <c r="AJ182" s="208">
        <v>41292.0</v>
      </c>
      <c r="AK182" s="208">
        <v>6.0</v>
      </c>
      <c r="AL182" s="208">
        <v>27000.0</v>
      </c>
      <c r="AM182" s="208">
        <v>0.0</v>
      </c>
      <c r="AN182" s="208">
        <v>0.0092</v>
      </c>
      <c r="AO182" s="208">
        <v>52353.0</v>
      </c>
      <c r="AP182" s="208">
        <v>0.83</v>
      </c>
      <c r="AQ182" s="208">
        <v>0.0</v>
      </c>
      <c r="AR182" s="208">
        <v>113.0</v>
      </c>
      <c r="AS182" s="208">
        <v>707.0</v>
      </c>
      <c r="AT182" s="208">
        <v>3385.79</v>
      </c>
      <c r="AU182" s="208">
        <v>19.0</v>
      </c>
      <c r="AV182" s="208">
        <v>53.0</v>
      </c>
      <c r="AW182" s="208">
        <v>56.0</v>
      </c>
      <c r="AX182" s="208">
        <v>10.0</v>
      </c>
      <c r="AY182" s="208">
        <v>14.0</v>
      </c>
    </row>
    <row r="183">
      <c r="A183" s="208" t="s">
        <v>185</v>
      </c>
      <c r="B183" s="533" t="s">
        <v>212</v>
      </c>
      <c r="C183" s="208" t="s">
        <v>784</v>
      </c>
      <c r="D183" s="208" t="s">
        <v>1031</v>
      </c>
      <c r="E183" s="208" t="s">
        <v>219</v>
      </c>
      <c r="F183" s="587">
        <v>45797.0</v>
      </c>
      <c r="G183" s="208" t="s">
        <v>185</v>
      </c>
      <c r="H183" s="208">
        <v>0.0</v>
      </c>
      <c r="I183" s="208">
        <v>0.0</v>
      </c>
      <c r="J183" s="208">
        <v>0.0</v>
      </c>
      <c r="K183" s="208">
        <v>0.0</v>
      </c>
      <c r="L183" s="536">
        <f t="shared" si="1"/>
        <v>0</v>
      </c>
      <c r="M183" s="208">
        <v>55.0</v>
      </c>
      <c r="N183" s="208">
        <v>54.0</v>
      </c>
      <c r="O183" s="208">
        <v>1.0</v>
      </c>
      <c r="P183" s="208">
        <v>56.0</v>
      </c>
      <c r="Q183" s="208">
        <v>2.0</v>
      </c>
      <c r="R183" s="208">
        <v>0.0</v>
      </c>
      <c r="S183" s="208">
        <v>0.0</v>
      </c>
      <c r="T183" s="208">
        <v>0.0</v>
      </c>
      <c r="U183" s="208">
        <v>0.0</v>
      </c>
      <c r="V183" s="208">
        <v>0.0</v>
      </c>
      <c r="W183" s="208">
        <v>0.0</v>
      </c>
      <c r="X183" s="208">
        <v>16.0</v>
      </c>
      <c r="Y183" s="208">
        <v>24.0</v>
      </c>
      <c r="Z183" s="208">
        <v>4.0</v>
      </c>
      <c r="AA183" s="208">
        <v>8.0</v>
      </c>
      <c r="AB183" s="208">
        <v>25.0</v>
      </c>
      <c r="AC183" s="208">
        <v>2.0</v>
      </c>
      <c r="AD183" s="208">
        <v>2.0</v>
      </c>
      <c r="AE183" s="208">
        <v>7.0</v>
      </c>
      <c r="AF183" s="208">
        <v>7.0</v>
      </c>
      <c r="AG183" s="208">
        <v>62.0</v>
      </c>
      <c r="AH183" s="208">
        <v>120.0</v>
      </c>
      <c r="AI183" s="208">
        <v>30.0</v>
      </c>
      <c r="AJ183" s="208">
        <v>0.0</v>
      </c>
      <c r="AK183" s="208">
        <v>4.0</v>
      </c>
      <c r="AL183" s="208">
        <v>119300.0</v>
      </c>
      <c r="AM183" s="208">
        <v>0.0</v>
      </c>
      <c r="AN183" s="208">
        <v>0.0</v>
      </c>
      <c r="AO183" s="208">
        <v>0.0</v>
      </c>
      <c r="AP183" s="208">
        <v>0.0</v>
      </c>
      <c r="AQ183" s="208">
        <v>0.0</v>
      </c>
      <c r="AR183" s="208">
        <v>0.0</v>
      </c>
      <c r="AS183" s="208">
        <v>282.0</v>
      </c>
      <c r="AT183" s="208">
        <v>2093.97</v>
      </c>
      <c r="AU183" s="208">
        <v>0.0</v>
      </c>
      <c r="AV183" s="208">
        <v>39.0</v>
      </c>
      <c r="AW183" s="208">
        <v>0.0</v>
      </c>
      <c r="AX183" s="208">
        <v>54.0</v>
      </c>
      <c r="AY183" s="208">
        <v>2.0</v>
      </c>
      <c r="AZ183" s="584">
        <v>45899.0</v>
      </c>
    </row>
    <row r="184">
      <c r="A184" s="208" t="s">
        <v>185</v>
      </c>
      <c r="B184" s="533" t="s">
        <v>189</v>
      </c>
      <c r="C184" s="208" t="s">
        <v>874</v>
      </c>
      <c r="D184" s="208" t="s">
        <v>1016</v>
      </c>
      <c r="E184" s="208" t="s">
        <v>1118</v>
      </c>
      <c r="F184" s="587">
        <v>45796.0</v>
      </c>
      <c r="G184" s="208" t="s">
        <v>185</v>
      </c>
      <c r="H184" s="208">
        <v>0.0</v>
      </c>
      <c r="I184" s="208">
        <v>0.0</v>
      </c>
      <c r="J184" s="208">
        <v>0.0</v>
      </c>
      <c r="K184" s="208">
        <v>0.0</v>
      </c>
      <c r="L184" s="536">
        <f t="shared" si="1"/>
        <v>0</v>
      </c>
      <c r="M184" s="208">
        <v>0.0</v>
      </c>
      <c r="N184" s="208">
        <v>0.0</v>
      </c>
      <c r="O184" s="208">
        <v>0.0</v>
      </c>
      <c r="P184" s="208">
        <v>0.0</v>
      </c>
      <c r="Q184" s="208">
        <v>0.0</v>
      </c>
      <c r="R184" s="208">
        <v>0.0</v>
      </c>
      <c r="S184" s="208">
        <v>0.0</v>
      </c>
      <c r="T184" s="208">
        <v>0.0</v>
      </c>
      <c r="U184" s="208">
        <v>0.0</v>
      </c>
      <c r="V184" s="208">
        <v>0.0</v>
      </c>
      <c r="W184" s="208">
        <v>0.0</v>
      </c>
      <c r="X184" s="208">
        <v>0.0</v>
      </c>
      <c r="Y184" s="208">
        <v>0.0</v>
      </c>
      <c r="Z184" s="208">
        <v>0.0</v>
      </c>
      <c r="AA184" s="208">
        <v>0.0</v>
      </c>
      <c r="AB184" s="208">
        <v>0.0</v>
      </c>
      <c r="AC184" s="208">
        <v>0.0</v>
      </c>
      <c r="AD184" s="208">
        <v>0.0</v>
      </c>
      <c r="AE184" s="208">
        <v>0.0</v>
      </c>
      <c r="AF184" s="208">
        <v>0.0</v>
      </c>
      <c r="AG184" s="208">
        <v>0.0</v>
      </c>
      <c r="AH184" s="208">
        <v>0.0</v>
      </c>
      <c r="AI184" s="208">
        <v>0.0</v>
      </c>
      <c r="AJ184" s="208">
        <v>0.0</v>
      </c>
      <c r="AK184" s="208">
        <v>0.0</v>
      </c>
      <c r="AL184" s="208">
        <v>22000.0</v>
      </c>
      <c r="AM184" s="208">
        <v>0.0</v>
      </c>
      <c r="AN184" s="208">
        <v>0.0</v>
      </c>
      <c r="AO184" s="208">
        <v>0.0</v>
      </c>
      <c r="AP184" s="208">
        <v>0.0</v>
      </c>
      <c r="AQ184" s="208">
        <v>0.0</v>
      </c>
      <c r="AR184" s="208">
        <v>0.0</v>
      </c>
      <c r="AS184" s="208">
        <v>0.0</v>
      </c>
      <c r="AT184" s="208">
        <v>0.0</v>
      </c>
      <c r="AU184" s="208">
        <v>0.0</v>
      </c>
      <c r="AV184" s="208">
        <v>0.0</v>
      </c>
      <c r="AW184" s="208">
        <v>0.0</v>
      </c>
      <c r="AX184" s="208">
        <v>0.0</v>
      </c>
      <c r="AY184" s="208">
        <v>0.0</v>
      </c>
      <c r="AZ184" s="587">
        <v>45804.0</v>
      </c>
    </row>
    <row r="185">
      <c r="A185" s="208" t="s">
        <v>126</v>
      </c>
      <c r="B185" s="533" t="s">
        <v>130</v>
      </c>
      <c r="C185" s="208" t="s">
        <v>447</v>
      </c>
      <c r="D185" s="208" t="s">
        <v>130</v>
      </c>
      <c r="E185" s="208" t="s">
        <v>448</v>
      </c>
      <c r="F185" s="587">
        <v>45797.0</v>
      </c>
      <c r="G185" s="208" t="s">
        <v>131</v>
      </c>
      <c r="H185" s="208">
        <v>0.0</v>
      </c>
      <c r="I185" s="208">
        <v>3600000.0</v>
      </c>
      <c r="J185" s="208">
        <v>1129271.62</v>
      </c>
      <c r="K185" s="208">
        <v>0.0</v>
      </c>
      <c r="L185" s="536">
        <f t="shared" si="1"/>
        <v>1129271.62</v>
      </c>
      <c r="M185" s="208">
        <v>38.0</v>
      </c>
      <c r="N185" s="208">
        <v>45.0</v>
      </c>
      <c r="O185" s="208">
        <v>12.0</v>
      </c>
      <c r="P185" s="208">
        <v>50.0</v>
      </c>
      <c r="Q185" s="208">
        <v>5.0</v>
      </c>
      <c r="R185" s="208">
        <v>320342.79</v>
      </c>
      <c r="S185" s="208">
        <v>808928.83</v>
      </c>
      <c r="T185" s="208">
        <v>4.0</v>
      </c>
      <c r="U185" s="208">
        <v>12.0</v>
      </c>
      <c r="V185" s="208">
        <v>16.0</v>
      </c>
      <c r="W185" s="208">
        <v>0.0</v>
      </c>
      <c r="X185" s="208">
        <v>133.0</v>
      </c>
      <c r="Y185" s="208">
        <v>283.0</v>
      </c>
      <c r="Z185" s="208">
        <v>37.0</v>
      </c>
      <c r="AA185" s="208">
        <v>1.0</v>
      </c>
      <c r="AB185" s="208">
        <v>11.0</v>
      </c>
      <c r="AC185" s="208">
        <v>0.0</v>
      </c>
      <c r="AD185" s="208">
        <v>0.0</v>
      </c>
      <c r="AE185" s="208">
        <v>0.0</v>
      </c>
      <c r="AF185" s="208">
        <v>0.0</v>
      </c>
      <c r="AG185" s="208">
        <v>171.0</v>
      </c>
      <c r="AH185" s="208">
        <v>465.0</v>
      </c>
      <c r="AI185" s="208">
        <v>73.0</v>
      </c>
      <c r="AJ185" s="208">
        <v>15469.0</v>
      </c>
      <c r="AK185" s="208">
        <v>6.0</v>
      </c>
      <c r="AL185" s="208">
        <v>33050.0</v>
      </c>
      <c r="AM185" s="208">
        <v>0.0</v>
      </c>
      <c r="AN185" s="208">
        <v>0.0293</v>
      </c>
      <c r="AO185" s="208">
        <v>70579.0</v>
      </c>
      <c r="AP185" s="208">
        <v>0.31</v>
      </c>
      <c r="AQ185" s="208">
        <v>0.0</v>
      </c>
      <c r="AR185" s="208">
        <v>28.0</v>
      </c>
      <c r="AS185" s="208">
        <v>764.0</v>
      </c>
      <c r="AT185" s="208">
        <v>5394.88</v>
      </c>
      <c r="AU185" s="208">
        <v>12.0</v>
      </c>
      <c r="AV185" s="208">
        <v>120.0</v>
      </c>
      <c r="AW185" s="208">
        <v>16.0</v>
      </c>
      <c r="AX185" s="208">
        <v>30.0</v>
      </c>
      <c r="AY185" s="208">
        <v>4.0</v>
      </c>
    </row>
    <row r="186">
      <c r="A186" s="208" t="s">
        <v>185</v>
      </c>
      <c r="B186" s="533" t="s">
        <v>85</v>
      </c>
      <c r="C186" s="208" t="s">
        <v>395</v>
      </c>
      <c r="D186" s="208" t="s">
        <v>1058</v>
      </c>
      <c r="E186" s="208" t="s">
        <v>396</v>
      </c>
      <c r="F186" s="585">
        <v>45817.0</v>
      </c>
      <c r="G186" s="208" t="s">
        <v>394</v>
      </c>
      <c r="H186" s="208">
        <v>0.0</v>
      </c>
      <c r="I186" s="208">
        <v>4500000.0</v>
      </c>
      <c r="J186" s="208">
        <v>143117.7</v>
      </c>
      <c r="K186" s="208">
        <v>0.0</v>
      </c>
      <c r="L186" s="536">
        <f t="shared" si="1"/>
        <v>143117.7</v>
      </c>
      <c r="M186" s="208">
        <v>17.0</v>
      </c>
      <c r="N186" s="208">
        <v>25.0</v>
      </c>
      <c r="O186" s="208">
        <v>8.0</v>
      </c>
      <c r="P186" s="208">
        <v>25.0</v>
      </c>
      <c r="Q186" s="208">
        <v>0.0</v>
      </c>
      <c r="R186" s="208">
        <v>23980.0</v>
      </c>
      <c r="S186" s="208">
        <v>119137.7</v>
      </c>
      <c r="T186" s="208">
        <v>1.0</v>
      </c>
      <c r="U186" s="208">
        <v>4.0</v>
      </c>
      <c r="V186" s="208">
        <v>5.0</v>
      </c>
      <c r="W186" s="208">
        <v>0.0</v>
      </c>
      <c r="X186" s="208">
        <v>18.0</v>
      </c>
      <c r="Y186" s="208">
        <v>46.0</v>
      </c>
      <c r="Z186" s="208">
        <v>0.0</v>
      </c>
      <c r="AA186" s="208">
        <v>1.0</v>
      </c>
      <c r="AB186" s="208">
        <v>2.0</v>
      </c>
      <c r="AC186" s="208">
        <v>0.0</v>
      </c>
      <c r="AD186" s="208">
        <v>0.0</v>
      </c>
      <c r="AE186" s="208">
        <v>0.0</v>
      </c>
      <c r="AF186" s="208">
        <v>0.0</v>
      </c>
      <c r="AG186" s="208">
        <v>139.0</v>
      </c>
      <c r="AH186" s="208">
        <v>187.0</v>
      </c>
      <c r="AI186" s="208">
        <v>53.0</v>
      </c>
      <c r="AJ186" s="208">
        <v>2700.0</v>
      </c>
      <c r="AK186" s="208">
        <v>4.0</v>
      </c>
      <c r="AL186" s="208">
        <v>24120.0</v>
      </c>
      <c r="AM186" s="208">
        <v>0.0</v>
      </c>
      <c r="AN186" s="208">
        <v>0.1685</v>
      </c>
      <c r="AO186" s="208">
        <v>28624.0</v>
      </c>
      <c r="AP186" s="208">
        <v>0.03</v>
      </c>
      <c r="AQ186" s="208">
        <v>0.0</v>
      </c>
      <c r="AR186" s="208">
        <v>6.0</v>
      </c>
      <c r="AS186" s="208">
        <v>590.0</v>
      </c>
      <c r="AT186" s="208">
        <v>4175.2</v>
      </c>
      <c r="AU186" s="208">
        <v>4.0</v>
      </c>
      <c r="AV186" s="208">
        <v>167.0</v>
      </c>
      <c r="AW186" s="208">
        <v>5.0</v>
      </c>
      <c r="AX186" s="208">
        <v>20.0</v>
      </c>
      <c r="AY186" s="208">
        <v>0.0</v>
      </c>
    </row>
    <row r="187">
      <c r="A187" s="208" t="s">
        <v>53</v>
      </c>
      <c r="B187" s="533" t="s">
        <v>56</v>
      </c>
      <c r="C187" s="208" t="s">
        <v>366</v>
      </c>
      <c r="D187" s="208" t="s">
        <v>1092</v>
      </c>
      <c r="E187" s="208" t="s">
        <v>71</v>
      </c>
      <c r="F187" s="585">
        <v>45812.0</v>
      </c>
      <c r="G187" s="208" t="s">
        <v>754</v>
      </c>
      <c r="H187" s="208">
        <v>0.0</v>
      </c>
      <c r="I187" s="208">
        <v>0.0</v>
      </c>
      <c r="J187" s="208">
        <v>11039.0</v>
      </c>
      <c r="K187" s="208">
        <v>0.0</v>
      </c>
      <c r="L187" s="536">
        <f t="shared" si="1"/>
        <v>11039</v>
      </c>
      <c r="M187" s="208">
        <v>12.0</v>
      </c>
      <c r="N187" s="208">
        <v>7.0</v>
      </c>
      <c r="O187" s="208">
        <v>0.0</v>
      </c>
      <c r="P187" s="208">
        <v>12.0</v>
      </c>
      <c r="Q187" s="208">
        <v>5.0</v>
      </c>
      <c r="R187" s="208">
        <v>11039.0</v>
      </c>
      <c r="S187" s="208">
        <v>0.0</v>
      </c>
      <c r="T187" s="208">
        <v>1.0</v>
      </c>
      <c r="U187" s="208">
        <v>0.0</v>
      </c>
      <c r="V187" s="208">
        <v>1.0</v>
      </c>
      <c r="W187" s="208">
        <v>0.0</v>
      </c>
      <c r="X187" s="208">
        <v>0.0</v>
      </c>
      <c r="Y187" s="208">
        <v>0.0</v>
      </c>
      <c r="Z187" s="208">
        <v>77.0</v>
      </c>
      <c r="AA187" s="208">
        <v>1.0</v>
      </c>
      <c r="AB187" s="208">
        <v>2.0</v>
      </c>
      <c r="AC187" s="208">
        <v>0.0</v>
      </c>
      <c r="AD187" s="208">
        <v>0.0</v>
      </c>
      <c r="AE187" s="208">
        <v>2.0</v>
      </c>
      <c r="AF187" s="208">
        <v>2.0</v>
      </c>
      <c r="AG187" s="208">
        <v>11.0</v>
      </c>
      <c r="AH187" s="208">
        <v>15.0</v>
      </c>
      <c r="AI187" s="208">
        <v>6.0</v>
      </c>
      <c r="AJ187" s="208">
        <v>1840.0</v>
      </c>
      <c r="AK187" s="208">
        <v>3.0</v>
      </c>
      <c r="AL187" s="208">
        <v>24120.0</v>
      </c>
      <c r="AM187" s="208">
        <v>0.0</v>
      </c>
      <c r="AN187" s="208">
        <v>2.185</v>
      </c>
      <c r="AO187" s="208">
        <v>11039.0</v>
      </c>
      <c r="AP187" s="208">
        <v>0.0</v>
      </c>
      <c r="AQ187" s="208">
        <v>0.0</v>
      </c>
      <c r="AR187" s="208">
        <v>1.0</v>
      </c>
      <c r="AS187" s="208">
        <v>61.0</v>
      </c>
      <c r="AT187" s="208">
        <v>377.39</v>
      </c>
      <c r="AU187" s="208">
        <v>0.0</v>
      </c>
      <c r="AV187" s="208">
        <v>54.0</v>
      </c>
      <c r="AW187" s="208">
        <v>1.0</v>
      </c>
      <c r="AX187" s="208">
        <v>6.0</v>
      </c>
      <c r="AY187" s="208">
        <v>5.0</v>
      </c>
      <c r="AZ187" s="584">
        <v>45849.0</v>
      </c>
    </row>
    <row r="188">
      <c r="A188" s="208" t="s">
        <v>322</v>
      </c>
      <c r="B188" s="533" t="s">
        <v>325</v>
      </c>
      <c r="C188" s="208" t="s">
        <v>328</v>
      </c>
      <c r="D188" s="208" t="s">
        <v>1049</v>
      </c>
      <c r="E188" s="208" t="s">
        <v>329</v>
      </c>
      <c r="F188" s="585">
        <v>45810.0</v>
      </c>
      <c r="G188" s="208" t="s">
        <v>322</v>
      </c>
      <c r="H188" s="208">
        <v>0.0</v>
      </c>
      <c r="I188" s="208">
        <v>2400000.0</v>
      </c>
      <c r="J188" s="208">
        <v>615905.03</v>
      </c>
      <c r="K188" s="208">
        <v>0.0</v>
      </c>
      <c r="L188" s="536">
        <f t="shared" si="1"/>
        <v>615905.03</v>
      </c>
      <c r="M188" s="208">
        <v>21.0</v>
      </c>
      <c r="N188" s="208">
        <v>31.0</v>
      </c>
      <c r="O188" s="208">
        <v>12.0</v>
      </c>
      <c r="P188" s="208">
        <v>33.0</v>
      </c>
      <c r="Q188" s="208">
        <v>2.0</v>
      </c>
      <c r="R188" s="208">
        <v>380111.73</v>
      </c>
      <c r="S188" s="208">
        <v>235793.3</v>
      </c>
      <c r="T188" s="208">
        <v>11.0</v>
      </c>
      <c r="U188" s="208">
        <v>12.0</v>
      </c>
      <c r="V188" s="208">
        <v>23.0</v>
      </c>
      <c r="W188" s="208">
        <v>0.0</v>
      </c>
      <c r="X188" s="208">
        <v>98.0</v>
      </c>
      <c r="Y188" s="208">
        <v>194.0</v>
      </c>
      <c r="Z188" s="208">
        <v>17.0</v>
      </c>
      <c r="AA188" s="208">
        <v>1.0</v>
      </c>
      <c r="AB188" s="208">
        <v>19.0</v>
      </c>
      <c r="AC188" s="208">
        <v>0.0</v>
      </c>
      <c r="AD188" s="208">
        <v>0.0</v>
      </c>
      <c r="AE188" s="208">
        <v>1.0</v>
      </c>
      <c r="AF188" s="208">
        <v>1.0</v>
      </c>
      <c r="AG188" s="208">
        <v>118.0</v>
      </c>
      <c r="AH188" s="208">
        <v>332.0</v>
      </c>
      <c r="AI188" s="208">
        <v>72.0</v>
      </c>
      <c r="AJ188" s="208">
        <v>8554.0</v>
      </c>
      <c r="AK188" s="208">
        <v>5.0</v>
      </c>
      <c r="AL188" s="208">
        <v>38285.0</v>
      </c>
      <c r="AM188" s="208">
        <v>0.0</v>
      </c>
      <c r="AN188" s="208">
        <v>0.0622</v>
      </c>
      <c r="AO188" s="208">
        <v>26778.0</v>
      </c>
      <c r="AP188" s="208">
        <v>0.26</v>
      </c>
      <c r="AQ188" s="208">
        <v>0.0</v>
      </c>
      <c r="AR188" s="208">
        <v>72.0</v>
      </c>
      <c r="AS188" s="208">
        <v>568.0</v>
      </c>
      <c r="AT188" s="208">
        <v>1792.87</v>
      </c>
      <c r="AU188" s="208">
        <v>12.0</v>
      </c>
      <c r="AV188" s="208">
        <v>58.0</v>
      </c>
      <c r="AW188" s="208">
        <v>23.0</v>
      </c>
      <c r="AX188" s="208">
        <v>8.0</v>
      </c>
      <c r="AY188" s="208">
        <v>2.0</v>
      </c>
    </row>
    <row r="189">
      <c r="A189" s="208" t="s">
        <v>185</v>
      </c>
      <c r="B189" s="533" t="s">
        <v>189</v>
      </c>
      <c r="C189" s="208" t="s">
        <v>285</v>
      </c>
      <c r="D189" s="208" t="s">
        <v>1016</v>
      </c>
      <c r="E189" s="208" t="s">
        <v>187</v>
      </c>
      <c r="F189" s="585">
        <v>45817.0</v>
      </c>
      <c r="G189" s="208" t="s">
        <v>804</v>
      </c>
      <c r="H189" s="208">
        <v>0.0</v>
      </c>
      <c r="I189" s="208">
        <v>4500000.0</v>
      </c>
      <c r="J189" s="208">
        <v>1006481.48</v>
      </c>
      <c r="K189" s="208">
        <v>0.0</v>
      </c>
      <c r="L189" s="536">
        <f t="shared" si="1"/>
        <v>1006481.48</v>
      </c>
      <c r="M189" s="208">
        <v>50.0</v>
      </c>
      <c r="N189" s="208">
        <v>59.0</v>
      </c>
      <c r="O189" s="208">
        <v>21.0</v>
      </c>
      <c r="P189" s="208">
        <v>71.0</v>
      </c>
      <c r="Q189" s="208">
        <v>12.0</v>
      </c>
      <c r="R189" s="208">
        <v>395991.62</v>
      </c>
      <c r="S189" s="208">
        <v>610489.86</v>
      </c>
      <c r="T189" s="208">
        <v>8.0</v>
      </c>
      <c r="U189" s="208">
        <v>14.0</v>
      </c>
      <c r="V189" s="208">
        <v>22.0</v>
      </c>
      <c r="W189" s="208">
        <v>0.0</v>
      </c>
      <c r="X189" s="208">
        <v>158.0</v>
      </c>
      <c r="Y189" s="208">
        <v>248.0</v>
      </c>
      <c r="Z189" s="208">
        <v>48.0</v>
      </c>
      <c r="AA189" s="208">
        <v>2.0</v>
      </c>
      <c r="AB189" s="208">
        <v>7.0</v>
      </c>
      <c r="AC189" s="208">
        <v>0.0</v>
      </c>
      <c r="AD189" s="208">
        <v>0.0</v>
      </c>
      <c r="AE189" s="208">
        <v>0.0</v>
      </c>
      <c r="AF189" s="208">
        <v>0.0</v>
      </c>
      <c r="AG189" s="208">
        <v>178.0</v>
      </c>
      <c r="AH189" s="208">
        <v>433.0</v>
      </c>
      <c r="AI189" s="208">
        <v>72.0</v>
      </c>
      <c r="AJ189" s="208">
        <v>13979.0</v>
      </c>
      <c r="AK189" s="208">
        <v>6.0</v>
      </c>
      <c r="AL189" s="208">
        <v>32500.0</v>
      </c>
      <c r="AM189" s="208">
        <v>0.0</v>
      </c>
      <c r="AN189" s="208">
        <v>0.0323</v>
      </c>
      <c r="AO189" s="208">
        <v>45749.0</v>
      </c>
      <c r="AP189" s="208">
        <v>0.22</v>
      </c>
      <c r="AQ189" s="208">
        <v>0.0</v>
      </c>
      <c r="AR189" s="208">
        <v>38.0</v>
      </c>
      <c r="AS189" s="208">
        <v>741.0</v>
      </c>
      <c r="AT189" s="208">
        <v>4358.35</v>
      </c>
      <c r="AU189" s="208">
        <v>14.0</v>
      </c>
      <c r="AV189" s="208">
        <v>74.0</v>
      </c>
      <c r="AW189" s="208">
        <v>22.0</v>
      </c>
      <c r="AX189" s="208">
        <v>37.0</v>
      </c>
      <c r="AY189" s="208">
        <v>12.0</v>
      </c>
    </row>
    <row r="190">
      <c r="A190" s="208" t="s">
        <v>185</v>
      </c>
      <c r="B190" s="533" t="s">
        <v>189</v>
      </c>
      <c r="C190" s="208" t="s">
        <v>408</v>
      </c>
      <c r="D190" s="208" t="s">
        <v>1016</v>
      </c>
      <c r="E190" s="208" t="s">
        <v>409</v>
      </c>
      <c r="F190" s="584">
        <v>45824.0</v>
      </c>
      <c r="G190" s="208" t="s">
        <v>186</v>
      </c>
      <c r="H190" s="208">
        <v>0.0</v>
      </c>
      <c r="I190" s="208">
        <v>0.0</v>
      </c>
      <c r="J190" s="208">
        <v>13728.0</v>
      </c>
      <c r="K190" s="208">
        <v>0.0</v>
      </c>
      <c r="L190" s="536">
        <f t="shared" si="1"/>
        <v>13728</v>
      </c>
      <c r="M190" s="208">
        <v>12.0</v>
      </c>
      <c r="N190" s="208">
        <v>2.0</v>
      </c>
      <c r="O190" s="208">
        <v>0.0</v>
      </c>
      <c r="P190" s="208">
        <v>12.0</v>
      </c>
      <c r="Q190" s="208">
        <v>10.0</v>
      </c>
      <c r="R190" s="208">
        <v>13728.0</v>
      </c>
      <c r="S190" s="208">
        <v>0.0</v>
      </c>
      <c r="T190" s="208">
        <v>1.0</v>
      </c>
      <c r="U190" s="208">
        <v>0.0</v>
      </c>
      <c r="V190" s="208">
        <v>1.0</v>
      </c>
      <c r="W190" s="208">
        <v>0.0</v>
      </c>
      <c r="X190" s="208">
        <v>0.0</v>
      </c>
      <c r="Y190" s="208">
        <v>0.0</v>
      </c>
      <c r="Z190" s="208">
        <v>2.0</v>
      </c>
      <c r="AA190" s="208">
        <v>0.0</v>
      </c>
      <c r="AB190" s="208">
        <v>0.0</v>
      </c>
      <c r="AC190" s="208">
        <v>0.0</v>
      </c>
      <c r="AD190" s="208">
        <v>0.0</v>
      </c>
      <c r="AE190" s="208">
        <v>0.0</v>
      </c>
      <c r="AF190" s="208">
        <v>0.0</v>
      </c>
      <c r="AG190" s="208">
        <v>2.0</v>
      </c>
      <c r="AH190" s="208">
        <v>2.0</v>
      </c>
      <c r="AI190" s="208">
        <v>4.0</v>
      </c>
      <c r="AJ190" s="208">
        <v>3432.0</v>
      </c>
      <c r="AK190" s="208">
        <v>1.0</v>
      </c>
      <c r="AL190" s="208">
        <v>28850.0</v>
      </c>
      <c r="AM190" s="208">
        <v>0.0</v>
      </c>
      <c r="AN190" s="208">
        <v>2.1015</v>
      </c>
      <c r="AO190" s="208">
        <v>13728.0</v>
      </c>
      <c r="AP190" s="208">
        <v>0.0</v>
      </c>
      <c r="AQ190" s="208">
        <v>0.0</v>
      </c>
      <c r="AR190" s="208">
        <v>1.0</v>
      </c>
      <c r="AS190" s="208">
        <v>44.0</v>
      </c>
      <c r="AT190" s="208">
        <v>119.48</v>
      </c>
      <c r="AU190" s="208">
        <v>0.0</v>
      </c>
      <c r="AV190" s="208">
        <v>60.0</v>
      </c>
      <c r="AW190" s="208">
        <v>1.0</v>
      </c>
      <c r="AX190" s="208">
        <v>2.0</v>
      </c>
      <c r="AY190" s="208">
        <v>9.0</v>
      </c>
      <c r="AZ190" s="584">
        <v>45852.0</v>
      </c>
    </row>
    <row r="191">
      <c r="A191" s="208" t="s">
        <v>185</v>
      </c>
      <c r="B191" s="533" t="s">
        <v>85</v>
      </c>
      <c r="C191" s="208" t="s">
        <v>397</v>
      </c>
      <c r="D191" s="208" t="s">
        <v>1058</v>
      </c>
      <c r="E191" s="208" t="s">
        <v>398</v>
      </c>
      <c r="F191" s="584">
        <v>45824.0</v>
      </c>
      <c r="G191" s="208" t="s">
        <v>185</v>
      </c>
      <c r="H191" s="208">
        <v>0.0</v>
      </c>
      <c r="I191" s="208">
        <v>4500000.0</v>
      </c>
      <c r="J191" s="208">
        <v>191794.85</v>
      </c>
      <c r="K191" s="208">
        <v>0.0</v>
      </c>
      <c r="L191" s="536">
        <f t="shared" si="1"/>
        <v>191794.85</v>
      </c>
      <c r="M191" s="208">
        <v>23.0</v>
      </c>
      <c r="N191" s="208">
        <v>25.0</v>
      </c>
      <c r="O191" s="208">
        <v>4.0</v>
      </c>
      <c r="P191" s="208">
        <v>27.0</v>
      </c>
      <c r="Q191" s="208">
        <v>2.0</v>
      </c>
      <c r="R191" s="208">
        <v>11153.0</v>
      </c>
      <c r="S191" s="208">
        <v>180641.85</v>
      </c>
      <c r="T191" s="208">
        <v>2.0</v>
      </c>
      <c r="U191" s="208">
        <v>4.0</v>
      </c>
      <c r="V191" s="208">
        <v>6.0</v>
      </c>
      <c r="W191" s="208">
        <v>0.0</v>
      </c>
      <c r="X191" s="208">
        <v>87.0</v>
      </c>
      <c r="Y191" s="208">
        <v>225.0</v>
      </c>
      <c r="Z191" s="208">
        <v>12.0</v>
      </c>
      <c r="AA191" s="208">
        <v>1.0</v>
      </c>
      <c r="AB191" s="208">
        <v>1.0</v>
      </c>
      <c r="AC191" s="208">
        <v>0.0</v>
      </c>
      <c r="AD191" s="208">
        <v>0.0</v>
      </c>
      <c r="AE191" s="208">
        <v>8.0</v>
      </c>
      <c r="AF191" s="208">
        <v>15.0</v>
      </c>
      <c r="AG191" s="208">
        <v>86.0</v>
      </c>
      <c r="AH191" s="208">
        <v>327.0</v>
      </c>
      <c r="AI191" s="208">
        <v>72.0</v>
      </c>
      <c r="AJ191" s="208">
        <v>2664.0</v>
      </c>
      <c r="AK191" s="208">
        <v>5.0</v>
      </c>
      <c r="AL191" s="208">
        <v>32500.0</v>
      </c>
      <c r="AM191" s="208">
        <v>0.0</v>
      </c>
      <c r="AN191" s="208">
        <v>2.0E-4</v>
      </c>
      <c r="AO191" s="208">
        <v>31966.0</v>
      </c>
      <c r="AP191" s="208">
        <v>0.04</v>
      </c>
      <c r="AQ191" s="208">
        <v>0.0</v>
      </c>
      <c r="AR191" s="208">
        <v>9.0</v>
      </c>
      <c r="AS191" s="208">
        <v>629.0</v>
      </c>
      <c r="AT191" s="208">
        <v>2270.95</v>
      </c>
      <c r="AU191" s="208">
        <v>4.0</v>
      </c>
      <c r="AV191" s="208">
        <v>91.0</v>
      </c>
      <c r="AW191" s="208">
        <v>6.0</v>
      </c>
      <c r="AX191" s="208">
        <v>19.0</v>
      </c>
      <c r="AY191" s="208">
        <v>2.0</v>
      </c>
    </row>
    <row r="192">
      <c r="A192" s="208" t="s">
        <v>23</v>
      </c>
      <c r="B192" s="533" t="s">
        <v>37</v>
      </c>
      <c r="C192" s="208" t="s">
        <v>875</v>
      </c>
      <c r="D192" s="208" t="s">
        <v>1110</v>
      </c>
      <c r="E192" s="208" t="s">
        <v>42</v>
      </c>
      <c r="F192" s="584">
        <v>45828.0</v>
      </c>
      <c r="G192" s="208" t="s">
        <v>23</v>
      </c>
      <c r="H192" s="208">
        <v>0.0</v>
      </c>
      <c r="I192" s="208">
        <v>0.0</v>
      </c>
      <c r="J192" s="208">
        <v>0.0</v>
      </c>
      <c r="K192" s="208">
        <v>0.0</v>
      </c>
      <c r="L192" s="536">
        <f t="shared" si="1"/>
        <v>0</v>
      </c>
      <c r="M192" s="208">
        <v>0.0</v>
      </c>
      <c r="N192" s="208">
        <v>0.0</v>
      </c>
      <c r="O192" s="208">
        <v>0.0</v>
      </c>
      <c r="P192" s="208">
        <v>0.0</v>
      </c>
      <c r="Q192" s="208">
        <v>0.0</v>
      </c>
      <c r="R192" s="208">
        <v>0.0</v>
      </c>
      <c r="S192" s="208">
        <v>0.0</v>
      </c>
      <c r="T192" s="208">
        <v>0.0</v>
      </c>
      <c r="U192" s="208">
        <v>0.0</v>
      </c>
      <c r="V192" s="208">
        <v>0.0</v>
      </c>
      <c r="W192" s="208">
        <v>0.0</v>
      </c>
      <c r="X192" s="208">
        <v>0.0</v>
      </c>
      <c r="Y192" s="208">
        <v>0.0</v>
      </c>
      <c r="Z192" s="208">
        <v>1.0</v>
      </c>
      <c r="AA192" s="208">
        <v>0.0</v>
      </c>
      <c r="AB192" s="208">
        <v>0.0</v>
      </c>
      <c r="AC192" s="208">
        <v>0.0</v>
      </c>
      <c r="AD192" s="208">
        <v>0.0</v>
      </c>
      <c r="AE192" s="208">
        <v>0.0</v>
      </c>
      <c r="AF192" s="208">
        <v>0.0</v>
      </c>
      <c r="AG192" s="208">
        <v>0.0</v>
      </c>
      <c r="AH192" s="208">
        <v>0.0</v>
      </c>
      <c r="AI192" s="208">
        <v>0.0</v>
      </c>
      <c r="AJ192" s="208">
        <v>0.0</v>
      </c>
      <c r="AK192" s="208">
        <v>0.0</v>
      </c>
      <c r="AL192" s="208">
        <v>24120.0</v>
      </c>
      <c r="AM192" s="208">
        <v>0.0</v>
      </c>
      <c r="AN192" s="208">
        <v>0.0</v>
      </c>
      <c r="AO192" s="208">
        <v>0.0</v>
      </c>
      <c r="AP192" s="208">
        <v>0.0</v>
      </c>
      <c r="AQ192" s="208">
        <v>0.0</v>
      </c>
      <c r="AR192" s="208">
        <v>0.0</v>
      </c>
      <c r="AS192" s="208">
        <v>0.0</v>
      </c>
      <c r="AT192" s="208">
        <v>0.0</v>
      </c>
      <c r="AU192" s="208">
        <v>0.0</v>
      </c>
      <c r="AV192" s="208">
        <v>0.0</v>
      </c>
      <c r="AW192" s="208">
        <v>0.0</v>
      </c>
      <c r="AX192" s="208">
        <v>0.0</v>
      </c>
      <c r="AY192" s="208">
        <v>0.0</v>
      </c>
      <c r="AZ192" s="584">
        <v>45831.0</v>
      </c>
    </row>
    <row r="193">
      <c r="A193" s="208" t="s">
        <v>23</v>
      </c>
      <c r="B193" s="533" t="s">
        <v>27</v>
      </c>
      <c r="C193" s="208" t="s">
        <v>337</v>
      </c>
      <c r="D193" s="208" t="s">
        <v>1073</v>
      </c>
      <c r="E193" s="208" t="s">
        <v>338</v>
      </c>
      <c r="F193" s="584">
        <v>45831.0</v>
      </c>
      <c r="G193" s="208" t="s">
        <v>23</v>
      </c>
      <c r="H193" s="208">
        <v>150000.0</v>
      </c>
      <c r="I193" s="208">
        <v>3000000.0</v>
      </c>
      <c r="J193" s="208">
        <v>225872.96</v>
      </c>
      <c r="K193" s="208">
        <v>80988.16</v>
      </c>
      <c r="L193" s="536">
        <f t="shared" si="1"/>
        <v>306861.12</v>
      </c>
      <c r="M193" s="208">
        <v>14.0</v>
      </c>
      <c r="N193" s="208">
        <v>22.0</v>
      </c>
      <c r="O193" s="208">
        <v>9.0</v>
      </c>
      <c r="P193" s="208">
        <v>23.0</v>
      </c>
      <c r="Q193" s="208">
        <v>1.0</v>
      </c>
      <c r="R193" s="208">
        <v>6968.5</v>
      </c>
      <c r="S193" s="208">
        <v>218904.46</v>
      </c>
      <c r="T193" s="208">
        <v>1.0</v>
      </c>
      <c r="U193" s="208">
        <v>9.0</v>
      </c>
      <c r="V193" s="208">
        <v>10.0</v>
      </c>
      <c r="W193" s="208">
        <v>1.0</v>
      </c>
      <c r="X193" s="208">
        <v>251.0</v>
      </c>
      <c r="Y193" s="208">
        <v>477.0</v>
      </c>
      <c r="Z193" s="208">
        <v>19.0</v>
      </c>
      <c r="AA193" s="208">
        <v>2.0</v>
      </c>
      <c r="AB193" s="208">
        <v>19.0</v>
      </c>
      <c r="AC193" s="208">
        <v>1.0</v>
      </c>
      <c r="AD193" s="208">
        <v>3.0</v>
      </c>
      <c r="AE193" s="208">
        <v>6.0</v>
      </c>
      <c r="AF193" s="208">
        <v>10.0</v>
      </c>
      <c r="AG193" s="208">
        <v>58.0</v>
      </c>
      <c r="AH193" s="208">
        <v>567.0</v>
      </c>
      <c r="AI193" s="208">
        <v>75.0</v>
      </c>
      <c r="AJ193" s="208">
        <v>3012.0</v>
      </c>
      <c r="AK193" s="208">
        <v>8.0</v>
      </c>
      <c r="AL193" s="208">
        <v>24120.0</v>
      </c>
      <c r="AM193" s="208">
        <v>0.0</v>
      </c>
      <c r="AN193" s="208">
        <v>0.1068</v>
      </c>
      <c r="AO193" s="208">
        <v>22587.0</v>
      </c>
      <c r="AP193" s="208">
        <v>0.08</v>
      </c>
      <c r="AQ193" s="208">
        <v>0.54</v>
      </c>
      <c r="AR193" s="208">
        <v>19.0</v>
      </c>
      <c r="AS193" s="208">
        <v>597.0</v>
      </c>
      <c r="AT193" s="208">
        <v>1539.17</v>
      </c>
      <c r="AU193" s="208">
        <v>9.0</v>
      </c>
      <c r="AV193" s="208">
        <v>70.0</v>
      </c>
      <c r="AW193" s="208">
        <v>10.0</v>
      </c>
      <c r="AX193" s="208">
        <v>12.0</v>
      </c>
      <c r="AY193" s="208">
        <v>1.0</v>
      </c>
      <c r="AZ193" s="584">
        <v>45930.0</v>
      </c>
    </row>
    <row r="194">
      <c r="A194" s="208" t="s">
        <v>185</v>
      </c>
      <c r="B194" s="533" t="s">
        <v>85</v>
      </c>
      <c r="C194" s="208" t="s">
        <v>399</v>
      </c>
      <c r="D194" s="208" t="s">
        <v>1058</v>
      </c>
      <c r="E194" s="208" t="s">
        <v>87</v>
      </c>
      <c r="F194" s="584">
        <v>45831.0</v>
      </c>
      <c r="G194" s="208" t="s">
        <v>86</v>
      </c>
      <c r="H194" s="208">
        <v>0.0</v>
      </c>
      <c r="I194" s="208">
        <v>4500000.0</v>
      </c>
      <c r="J194" s="208">
        <v>477284.34</v>
      </c>
      <c r="K194" s="208">
        <v>0.0</v>
      </c>
      <c r="L194" s="536">
        <f t="shared" si="1"/>
        <v>477284.34</v>
      </c>
      <c r="M194" s="208">
        <v>83.0</v>
      </c>
      <c r="N194" s="208">
        <v>78.0</v>
      </c>
      <c r="O194" s="208">
        <v>9.0</v>
      </c>
      <c r="P194" s="208">
        <v>92.0</v>
      </c>
      <c r="Q194" s="208">
        <v>14.0</v>
      </c>
      <c r="R194" s="208">
        <v>337695.64</v>
      </c>
      <c r="S194" s="208">
        <v>139588.7</v>
      </c>
      <c r="T194" s="208">
        <v>21.0</v>
      </c>
      <c r="U194" s="208">
        <v>9.0</v>
      </c>
      <c r="V194" s="208">
        <v>30.0</v>
      </c>
      <c r="W194" s="208">
        <v>0.0</v>
      </c>
      <c r="X194" s="208">
        <v>127.0</v>
      </c>
      <c r="Y194" s="208">
        <v>339.0</v>
      </c>
      <c r="Z194" s="208">
        <v>22.0</v>
      </c>
      <c r="AA194" s="208">
        <v>2.0</v>
      </c>
      <c r="AB194" s="208">
        <v>4.0</v>
      </c>
      <c r="AC194" s="208">
        <v>0.0</v>
      </c>
      <c r="AD194" s="208">
        <v>0.0</v>
      </c>
      <c r="AE194" s="208">
        <v>0.0</v>
      </c>
      <c r="AF194" s="208">
        <v>0.0</v>
      </c>
      <c r="AG194" s="208">
        <v>203.0</v>
      </c>
      <c r="AH194" s="208">
        <v>546.0</v>
      </c>
      <c r="AI194" s="208">
        <v>73.0</v>
      </c>
      <c r="AJ194" s="208">
        <v>6538.0</v>
      </c>
      <c r="AK194" s="208">
        <v>7.0</v>
      </c>
      <c r="AL194" s="208">
        <v>27785.0</v>
      </c>
      <c r="AM194" s="208">
        <v>0.0</v>
      </c>
      <c r="AN194" s="208">
        <v>1.0E-4</v>
      </c>
      <c r="AO194" s="208">
        <v>15909.0</v>
      </c>
      <c r="AP194" s="208">
        <v>0.11</v>
      </c>
      <c r="AQ194" s="208">
        <v>0.0</v>
      </c>
      <c r="AR194" s="208">
        <v>175.0</v>
      </c>
      <c r="AS194" s="208">
        <v>820.0</v>
      </c>
      <c r="AT194" s="208">
        <v>8374.43</v>
      </c>
      <c r="AU194" s="208">
        <v>9.0</v>
      </c>
      <c r="AV194" s="208">
        <v>107.0</v>
      </c>
      <c r="AW194" s="208">
        <v>30.0</v>
      </c>
      <c r="AX194" s="208">
        <v>48.0</v>
      </c>
      <c r="AY194" s="208">
        <v>14.0</v>
      </c>
    </row>
    <row r="195">
      <c r="A195" s="208" t="s">
        <v>126</v>
      </c>
      <c r="B195" s="533" t="s">
        <v>130</v>
      </c>
      <c r="C195" s="208" t="s">
        <v>449</v>
      </c>
      <c r="D195" s="208" t="s">
        <v>130</v>
      </c>
      <c r="E195" s="208" t="s">
        <v>151</v>
      </c>
      <c r="F195" s="585">
        <v>45839.0</v>
      </c>
      <c r="G195" s="208" t="s">
        <v>580</v>
      </c>
      <c r="H195" s="208">
        <v>4500000.0</v>
      </c>
      <c r="I195" s="208">
        <v>6000000.0</v>
      </c>
      <c r="J195" s="208">
        <v>0.0</v>
      </c>
      <c r="K195" s="208">
        <v>0.0</v>
      </c>
      <c r="L195" s="536">
        <f t="shared" si="1"/>
        <v>0</v>
      </c>
      <c r="M195" s="208">
        <v>111.0</v>
      </c>
      <c r="N195" s="208">
        <v>105.0</v>
      </c>
      <c r="O195" s="208">
        <v>10.0</v>
      </c>
      <c r="P195" s="208">
        <v>121.0</v>
      </c>
      <c r="Q195" s="208">
        <v>16.0</v>
      </c>
      <c r="R195" s="208">
        <v>0.0</v>
      </c>
      <c r="S195" s="208">
        <v>0.0</v>
      </c>
      <c r="T195" s="208">
        <v>0.0</v>
      </c>
      <c r="U195" s="208">
        <v>0.0</v>
      </c>
      <c r="V195" s="208">
        <v>0.0</v>
      </c>
      <c r="W195" s="208">
        <v>0.0</v>
      </c>
      <c r="X195" s="208">
        <v>52.0</v>
      </c>
      <c r="Y195" s="208">
        <v>63.0</v>
      </c>
      <c r="Z195" s="208">
        <v>5.0</v>
      </c>
      <c r="AA195" s="208">
        <v>4.0</v>
      </c>
      <c r="AB195" s="208">
        <v>56.0</v>
      </c>
      <c r="AC195" s="208">
        <v>0.0</v>
      </c>
      <c r="AD195" s="208">
        <v>0.0</v>
      </c>
      <c r="AE195" s="208">
        <v>0.0</v>
      </c>
      <c r="AF195" s="208">
        <v>0.0</v>
      </c>
      <c r="AG195" s="208">
        <v>171.0</v>
      </c>
      <c r="AH195" s="208">
        <v>290.0</v>
      </c>
      <c r="AI195" s="208">
        <v>70.0</v>
      </c>
      <c r="AJ195" s="208">
        <v>0.0</v>
      </c>
      <c r="AK195" s="208">
        <v>4.0</v>
      </c>
      <c r="AL195" s="208">
        <v>99750.0</v>
      </c>
      <c r="AM195" s="208">
        <v>0.0</v>
      </c>
      <c r="AN195" s="208">
        <v>0.0</v>
      </c>
      <c r="AO195" s="208">
        <v>0.0</v>
      </c>
      <c r="AP195" s="208">
        <v>0.0</v>
      </c>
      <c r="AQ195" s="208">
        <v>0.0</v>
      </c>
      <c r="AR195" s="208">
        <v>0.0</v>
      </c>
      <c r="AS195" s="208">
        <v>612.0</v>
      </c>
      <c r="AT195" s="208">
        <v>4397.12</v>
      </c>
      <c r="AU195" s="208">
        <v>0.0</v>
      </c>
      <c r="AV195" s="208">
        <v>42.0</v>
      </c>
      <c r="AW195" s="208">
        <v>0.0</v>
      </c>
      <c r="AX195" s="208">
        <v>105.0</v>
      </c>
      <c r="AY195" s="208">
        <v>16.0</v>
      </c>
    </row>
    <row r="196">
      <c r="A196" s="208" t="s">
        <v>126</v>
      </c>
      <c r="B196" s="533" t="s">
        <v>140</v>
      </c>
      <c r="C196" s="208" t="s">
        <v>173</v>
      </c>
      <c r="D196" s="208" t="s">
        <v>1061</v>
      </c>
      <c r="E196" s="208" t="s">
        <v>174</v>
      </c>
      <c r="F196" s="585">
        <v>45839.0</v>
      </c>
      <c r="G196" s="208" t="s">
        <v>580</v>
      </c>
      <c r="H196" s="208">
        <v>0.0</v>
      </c>
      <c r="I196" s="208">
        <v>4950000.0</v>
      </c>
      <c r="J196" s="208">
        <v>1433187.69</v>
      </c>
      <c r="K196" s="208">
        <v>0.0</v>
      </c>
      <c r="L196" s="536">
        <f t="shared" si="1"/>
        <v>1433187.69</v>
      </c>
      <c r="M196" s="208">
        <v>66.0</v>
      </c>
      <c r="N196" s="208">
        <v>66.0</v>
      </c>
      <c r="O196" s="208">
        <v>5.0</v>
      </c>
      <c r="P196" s="208">
        <v>71.0</v>
      </c>
      <c r="Q196" s="208">
        <v>5.0</v>
      </c>
      <c r="R196" s="208">
        <v>1291142.41</v>
      </c>
      <c r="S196" s="208">
        <v>142045.28</v>
      </c>
      <c r="T196" s="208">
        <v>35.0</v>
      </c>
      <c r="U196" s="208">
        <v>5.0</v>
      </c>
      <c r="V196" s="208">
        <v>40.0</v>
      </c>
      <c r="W196" s="208">
        <v>0.0</v>
      </c>
      <c r="X196" s="208">
        <v>25.0</v>
      </c>
      <c r="Y196" s="208">
        <v>59.0</v>
      </c>
      <c r="Z196" s="208">
        <v>2.0</v>
      </c>
      <c r="AA196" s="208">
        <v>1.0</v>
      </c>
      <c r="AB196" s="208">
        <v>17.0</v>
      </c>
      <c r="AC196" s="208">
        <v>0.0</v>
      </c>
      <c r="AD196" s="208">
        <v>0.0</v>
      </c>
      <c r="AE196" s="208">
        <v>0.0</v>
      </c>
      <c r="AF196" s="208">
        <v>0.0</v>
      </c>
      <c r="AG196" s="208">
        <v>230.0</v>
      </c>
      <c r="AH196" s="208">
        <v>306.0</v>
      </c>
      <c r="AI196" s="208">
        <v>64.0</v>
      </c>
      <c r="AJ196" s="208">
        <v>22394.0</v>
      </c>
      <c r="AK196" s="208">
        <v>5.0</v>
      </c>
      <c r="AL196" s="208">
        <v>27800.0</v>
      </c>
      <c r="AM196" s="208">
        <v>0.0</v>
      </c>
      <c r="AN196" s="208">
        <v>0.0194</v>
      </c>
      <c r="AO196" s="208">
        <v>35830.0</v>
      </c>
      <c r="AP196" s="208">
        <v>0.29</v>
      </c>
      <c r="AQ196" s="208">
        <v>0.0</v>
      </c>
      <c r="AR196" s="208">
        <v>78.0</v>
      </c>
      <c r="AS196" s="208">
        <v>599.0</v>
      </c>
      <c r="AT196" s="208">
        <v>3787.5</v>
      </c>
      <c r="AU196" s="208">
        <v>5.0</v>
      </c>
      <c r="AV196" s="208">
        <v>57.0</v>
      </c>
      <c r="AW196" s="208">
        <v>40.0</v>
      </c>
      <c r="AX196" s="208">
        <v>26.0</v>
      </c>
      <c r="AY196" s="208">
        <v>5.0</v>
      </c>
    </row>
    <row r="197">
      <c r="A197" s="208" t="s">
        <v>97</v>
      </c>
      <c r="B197" s="533" t="s">
        <v>101</v>
      </c>
      <c r="C197" s="208" t="s">
        <v>344</v>
      </c>
      <c r="D197" s="208" t="s">
        <v>1062</v>
      </c>
      <c r="E197" s="208" t="s">
        <v>345</v>
      </c>
      <c r="F197" s="585">
        <v>45842.0</v>
      </c>
      <c r="G197" s="208" t="s">
        <v>97</v>
      </c>
      <c r="H197" s="208">
        <v>0.0</v>
      </c>
      <c r="I197" s="208">
        <v>2860000.0</v>
      </c>
      <c r="J197" s="208">
        <v>0.0</v>
      </c>
      <c r="K197" s="208">
        <v>0.0</v>
      </c>
      <c r="L197" s="536">
        <f t="shared" si="1"/>
        <v>0</v>
      </c>
      <c r="M197" s="208">
        <v>22.0</v>
      </c>
      <c r="N197" s="208">
        <v>22.0</v>
      </c>
      <c r="O197" s="208">
        <v>0.0</v>
      </c>
      <c r="P197" s="208">
        <v>22.0</v>
      </c>
      <c r="Q197" s="208">
        <v>0.0</v>
      </c>
      <c r="R197" s="208">
        <v>0.0</v>
      </c>
      <c r="S197" s="208">
        <v>0.0</v>
      </c>
      <c r="T197" s="208">
        <v>0.0</v>
      </c>
      <c r="U197" s="208">
        <v>0.0</v>
      </c>
      <c r="V197" s="208">
        <v>0.0</v>
      </c>
      <c r="W197" s="208">
        <v>0.0</v>
      </c>
      <c r="X197" s="208">
        <v>10.0</v>
      </c>
      <c r="Y197" s="208">
        <v>34.0</v>
      </c>
      <c r="Z197" s="208">
        <v>0.0</v>
      </c>
      <c r="AA197" s="208">
        <v>3.0</v>
      </c>
      <c r="AB197" s="208">
        <v>7.0</v>
      </c>
      <c r="AC197" s="208">
        <v>0.0</v>
      </c>
      <c r="AD197" s="208">
        <v>0.0</v>
      </c>
      <c r="AE197" s="208">
        <v>0.0</v>
      </c>
      <c r="AF197" s="208">
        <v>0.0</v>
      </c>
      <c r="AG197" s="208">
        <v>97.0</v>
      </c>
      <c r="AH197" s="208">
        <v>138.0</v>
      </c>
      <c r="AI197" s="208">
        <v>47.0</v>
      </c>
      <c r="AJ197" s="208">
        <v>0.0</v>
      </c>
      <c r="AK197" s="208">
        <v>3.0</v>
      </c>
      <c r="AL197" s="208">
        <v>36190.0</v>
      </c>
      <c r="AM197" s="208">
        <v>0.0</v>
      </c>
      <c r="AN197" s="208">
        <v>0.0</v>
      </c>
      <c r="AO197" s="208">
        <v>0.0</v>
      </c>
      <c r="AP197" s="208">
        <v>0.0</v>
      </c>
      <c r="AQ197" s="208">
        <v>0.0</v>
      </c>
      <c r="AR197" s="208">
        <v>0.0</v>
      </c>
      <c r="AS197" s="208">
        <v>384.0</v>
      </c>
      <c r="AT197" s="208">
        <v>2452.88</v>
      </c>
      <c r="AU197" s="208">
        <v>0.0</v>
      </c>
      <c r="AV197" s="208">
        <v>111.0</v>
      </c>
      <c r="AW197" s="208">
        <v>0.0</v>
      </c>
      <c r="AX197" s="208">
        <v>22.0</v>
      </c>
      <c r="AY197" s="208">
        <v>0.0</v>
      </c>
      <c r="AZ197" s="584">
        <v>45911.0</v>
      </c>
    </row>
    <row r="198">
      <c r="A198" s="208" t="s">
        <v>97</v>
      </c>
      <c r="B198" s="533" t="s">
        <v>101</v>
      </c>
      <c r="C198" s="208" t="s">
        <v>108</v>
      </c>
      <c r="D198" s="208" t="s">
        <v>1062</v>
      </c>
      <c r="E198" s="208" t="s">
        <v>105</v>
      </c>
      <c r="F198" s="585">
        <v>45842.0</v>
      </c>
      <c r="G198" s="208" t="s">
        <v>97</v>
      </c>
      <c r="H198" s="208">
        <v>0.0</v>
      </c>
      <c r="I198" s="208">
        <v>4400000.0</v>
      </c>
      <c r="J198" s="208">
        <v>2760078.1</v>
      </c>
      <c r="K198" s="208">
        <v>0.0</v>
      </c>
      <c r="L198" s="536">
        <f t="shared" si="1"/>
        <v>2760078.1</v>
      </c>
      <c r="M198" s="208">
        <v>78.0</v>
      </c>
      <c r="N198" s="208">
        <v>64.0</v>
      </c>
      <c r="O198" s="208">
        <v>1.0</v>
      </c>
      <c r="P198" s="208">
        <v>79.0</v>
      </c>
      <c r="Q198" s="208">
        <v>15.0</v>
      </c>
      <c r="R198" s="208">
        <v>2752236.1</v>
      </c>
      <c r="S198" s="208">
        <v>7842.0</v>
      </c>
      <c r="T198" s="208">
        <v>10.0</v>
      </c>
      <c r="U198" s="208">
        <v>1.0</v>
      </c>
      <c r="V198" s="208">
        <v>11.0</v>
      </c>
      <c r="W198" s="208">
        <v>0.0</v>
      </c>
      <c r="X198" s="208">
        <v>81.0</v>
      </c>
      <c r="Y198" s="208">
        <v>139.0</v>
      </c>
      <c r="Z198" s="208">
        <v>23.0</v>
      </c>
      <c r="AA198" s="208">
        <v>3.0</v>
      </c>
      <c r="AB198" s="208">
        <v>12.0</v>
      </c>
      <c r="AC198" s="208">
        <v>0.0</v>
      </c>
      <c r="AD198" s="208">
        <v>0.0</v>
      </c>
      <c r="AE198" s="208">
        <v>0.0</v>
      </c>
      <c r="AF198" s="208">
        <v>0.0</v>
      </c>
      <c r="AG198" s="208">
        <v>192.0</v>
      </c>
      <c r="AH198" s="208">
        <v>343.0</v>
      </c>
      <c r="AI198" s="208">
        <v>58.0</v>
      </c>
      <c r="AJ198" s="208">
        <v>47588.0</v>
      </c>
      <c r="AK198" s="208">
        <v>6.0</v>
      </c>
      <c r="AL198" s="208">
        <v>48765.0</v>
      </c>
      <c r="AM198" s="208">
        <v>0.0</v>
      </c>
      <c r="AN198" s="208">
        <v>0.0177</v>
      </c>
      <c r="AO198" s="208">
        <v>250916.0</v>
      </c>
      <c r="AP198" s="208">
        <v>0.63</v>
      </c>
      <c r="AQ198" s="208">
        <v>0.0</v>
      </c>
      <c r="AR198" s="208">
        <v>63.0</v>
      </c>
      <c r="AS198" s="208">
        <v>536.0</v>
      </c>
      <c r="AT198" s="208">
        <v>4725.88</v>
      </c>
      <c r="AU198" s="208">
        <v>1.0</v>
      </c>
      <c r="AV198" s="208">
        <v>74.0</v>
      </c>
      <c r="AW198" s="208">
        <v>11.0</v>
      </c>
      <c r="AX198" s="208">
        <v>53.0</v>
      </c>
      <c r="AY198" s="208">
        <v>15.0</v>
      </c>
    </row>
    <row r="199">
      <c r="A199" s="208" t="s">
        <v>53</v>
      </c>
      <c r="B199" s="533" t="s">
        <v>61</v>
      </c>
      <c r="C199" s="208" t="s">
        <v>367</v>
      </c>
      <c r="D199" s="208" t="s">
        <v>1077</v>
      </c>
      <c r="E199" s="208" t="s">
        <v>368</v>
      </c>
      <c r="F199" s="585">
        <v>45845.0</v>
      </c>
      <c r="G199" s="208" t="s">
        <v>754</v>
      </c>
      <c r="H199" s="208">
        <v>0.0</v>
      </c>
      <c r="I199" s="208">
        <v>0.0</v>
      </c>
      <c r="J199" s="208">
        <v>0.0</v>
      </c>
      <c r="K199" s="208">
        <v>0.0</v>
      </c>
      <c r="L199" s="536">
        <f t="shared" si="1"/>
        <v>0</v>
      </c>
      <c r="M199" s="208">
        <v>4.0</v>
      </c>
      <c r="N199" s="208">
        <v>4.0</v>
      </c>
      <c r="O199" s="208">
        <v>0.0</v>
      </c>
      <c r="P199" s="208">
        <v>4.0</v>
      </c>
      <c r="Q199" s="208">
        <v>0.0</v>
      </c>
      <c r="R199" s="208">
        <v>0.0</v>
      </c>
      <c r="S199" s="208">
        <v>0.0</v>
      </c>
      <c r="T199" s="208">
        <v>0.0</v>
      </c>
      <c r="U199" s="208">
        <v>0.0</v>
      </c>
      <c r="V199" s="208">
        <v>0.0</v>
      </c>
      <c r="W199" s="208">
        <v>0.0</v>
      </c>
      <c r="X199" s="208">
        <v>29.0</v>
      </c>
      <c r="Y199" s="208">
        <v>85.0</v>
      </c>
      <c r="Z199" s="208">
        <v>0.0</v>
      </c>
      <c r="AA199" s="208">
        <v>1.0</v>
      </c>
      <c r="AB199" s="208">
        <v>1.0</v>
      </c>
      <c r="AC199" s="208">
        <v>0.0</v>
      </c>
      <c r="AD199" s="208">
        <v>0.0</v>
      </c>
      <c r="AE199" s="208">
        <v>5.0</v>
      </c>
      <c r="AF199" s="208">
        <v>8.0</v>
      </c>
      <c r="AG199" s="208">
        <v>14.0</v>
      </c>
      <c r="AH199" s="208">
        <v>108.0</v>
      </c>
      <c r="AI199" s="208">
        <v>20.0</v>
      </c>
      <c r="AJ199" s="208">
        <v>0.0</v>
      </c>
      <c r="AK199" s="208">
        <v>5.0</v>
      </c>
      <c r="AL199" s="208">
        <v>37760.0</v>
      </c>
      <c r="AM199" s="208">
        <v>0.0</v>
      </c>
      <c r="AN199" s="208">
        <v>0.0</v>
      </c>
      <c r="AO199" s="208">
        <v>0.0</v>
      </c>
      <c r="AP199" s="208">
        <v>0.0</v>
      </c>
      <c r="AQ199" s="208">
        <v>0.0</v>
      </c>
      <c r="AR199" s="208">
        <v>0.0</v>
      </c>
      <c r="AS199" s="208">
        <v>170.0</v>
      </c>
      <c r="AT199" s="208">
        <v>1535.72</v>
      </c>
      <c r="AU199" s="208">
        <v>0.0</v>
      </c>
      <c r="AV199" s="208">
        <v>384.0</v>
      </c>
      <c r="AW199" s="208">
        <v>0.0</v>
      </c>
      <c r="AX199" s="208">
        <v>4.0</v>
      </c>
      <c r="AY199" s="208">
        <v>0.0</v>
      </c>
      <c r="AZ199" s="584">
        <v>45869.0</v>
      </c>
    </row>
    <row r="200">
      <c r="A200" s="208" t="s">
        <v>185</v>
      </c>
      <c r="B200" s="533" t="s">
        <v>189</v>
      </c>
      <c r="C200" s="208" t="s">
        <v>286</v>
      </c>
      <c r="D200" s="208" t="s">
        <v>1016</v>
      </c>
      <c r="E200" s="208" t="s">
        <v>287</v>
      </c>
      <c r="F200" s="585">
        <v>45845.0</v>
      </c>
      <c r="G200" s="208" t="s">
        <v>203</v>
      </c>
      <c r="H200" s="208">
        <v>0.0</v>
      </c>
      <c r="I200" s="208">
        <v>6000000.0</v>
      </c>
      <c r="J200" s="208">
        <v>2684398.08</v>
      </c>
      <c r="K200" s="208">
        <v>0.0</v>
      </c>
      <c r="L200" s="536">
        <f t="shared" si="1"/>
        <v>2684398.08</v>
      </c>
      <c r="M200" s="208">
        <v>42.0</v>
      </c>
      <c r="N200" s="208">
        <v>52.0</v>
      </c>
      <c r="O200" s="208">
        <v>14.0</v>
      </c>
      <c r="P200" s="208">
        <v>56.0</v>
      </c>
      <c r="Q200" s="208">
        <v>4.0</v>
      </c>
      <c r="R200" s="208">
        <v>2032569.99</v>
      </c>
      <c r="S200" s="208">
        <v>651828.09</v>
      </c>
      <c r="T200" s="208">
        <v>16.0</v>
      </c>
      <c r="U200" s="208">
        <v>14.0</v>
      </c>
      <c r="V200" s="208">
        <v>30.0</v>
      </c>
      <c r="W200" s="208">
        <v>0.0</v>
      </c>
      <c r="X200" s="208">
        <v>48.0</v>
      </c>
      <c r="Y200" s="208">
        <v>115.0</v>
      </c>
      <c r="Z200" s="208">
        <v>2.0</v>
      </c>
      <c r="AA200" s="208">
        <v>2.0</v>
      </c>
      <c r="AB200" s="208">
        <v>5.0</v>
      </c>
      <c r="AC200" s="208">
        <v>0.0</v>
      </c>
      <c r="AD200" s="208">
        <v>0.0</v>
      </c>
      <c r="AE200" s="208">
        <v>0.0</v>
      </c>
      <c r="AF200" s="208">
        <v>0.0</v>
      </c>
      <c r="AG200" s="208">
        <v>237.0</v>
      </c>
      <c r="AH200" s="208">
        <v>357.0</v>
      </c>
      <c r="AI200" s="208">
        <v>68.0</v>
      </c>
      <c r="AJ200" s="208">
        <v>39476.0</v>
      </c>
      <c r="AK200" s="208">
        <v>5.0</v>
      </c>
      <c r="AL200" s="208">
        <v>24120.0</v>
      </c>
      <c r="AM200" s="208">
        <v>0.0</v>
      </c>
      <c r="AN200" s="208">
        <v>0.009</v>
      </c>
      <c r="AO200" s="208">
        <v>89480.0</v>
      </c>
      <c r="AP200" s="208">
        <v>0.45</v>
      </c>
      <c r="AQ200" s="208">
        <v>0.0</v>
      </c>
      <c r="AR200" s="208">
        <v>45.0</v>
      </c>
      <c r="AS200" s="208">
        <v>794.0</v>
      </c>
      <c r="AT200" s="208">
        <v>6827.14</v>
      </c>
      <c r="AU200" s="208">
        <v>14.0</v>
      </c>
      <c r="AV200" s="208">
        <v>131.0</v>
      </c>
      <c r="AW200" s="208">
        <v>30.0</v>
      </c>
      <c r="AX200" s="208">
        <v>22.0</v>
      </c>
      <c r="AY200" s="208">
        <v>4.0</v>
      </c>
    </row>
    <row r="201">
      <c r="A201" s="208" t="s">
        <v>126</v>
      </c>
      <c r="B201" s="533" t="s">
        <v>130</v>
      </c>
      <c r="C201" s="208" t="s">
        <v>172</v>
      </c>
      <c r="D201" s="208" t="s">
        <v>130</v>
      </c>
      <c r="E201" s="208" t="s">
        <v>142</v>
      </c>
      <c r="F201" s="585">
        <v>45843.0</v>
      </c>
      <c r="G201" s="208" t="s">
        <v>141</v>
      </c>
      <c r="H201" s="208">
        <v>0.0</v>
      </c>
      <c r="I201" s="208">
        <v>6000000.0</v>
      </c>
      <c r="J201" s="208">
        <v>1042989.62</v>
      </c>
      <c r="K201" s="208">
        <v>0.0</v>
      </c>
      <c r="L201" s="536">
        <f t="shared" si="1"/>
        <v>1042989.62</v>
      </c>
      <c r="M201" s="208">
        <v>42.0</v>
      </c>
      <c r="N201" s="208">
        <v>50.0</v>
      </c>
      <c r="O201" s="208">
        <v>17.0</v>
      </c>
      <c r="P201" s="208">
        <v>59.0</v>
      </c>
      <c r="Q201" s="208">
        <v>9.0</v>
      </c>
      <c r="R201" s="208">
        <v>843876.4</v>
      </c>
      <c r="S201" s="208">
        <v>199113.22</v>
      </c>
      <c r="T201" s="208">
        <v>12.0</v>
      </c>
      <c r="U201" s="208">
        <v>12.0</v>
      </c>
      <c r="V201" s="208">
        <v>24.0</v>
      </c>
      <c r="W201" s="208">
        <v>0.0</v>
      </c>
      <c r="X201" s="208">
        <v>14.0</v>
      </c>
      <c r="Y201" s="208">
        <v>19.0</v>
      </c>
      <c r="Z201" s="208">
        <v>2.0</v>
      </c>
      <c r="AA201" s="208">
        <v>3.0</v>
      </c>
      <c r="AB201" s="208">
        <v>32.0</v>
      </c>
      <c r="AC201" s="208">
        <v>0.0</v>
      </c>
      <c r="AD201" s="208">
        <v>0.0</v>
      </c>
      <c r="AE201" s="208">
        <v>0.0</v>
      </c>
      <c r="AF201" s="208">
        <v>0.0</v>
      </c>
      <c r="AG201" s="208">
        <v>169.0</v>
      </c>
      <c r="AH201" s="208">
        <v>220.0</v>
      </c>
      <c r="AI201" s="208">
        <v>65.0</v>
      </c>
      <c r="AJ201" s="208">
        <v>16046.0</v>
      </c>
      <c r="AK201" s="208">
        <v>3.0</v>
      </c>
      <c r="AL201" s="208">
        <v>41430.0</v>
      </c>
      <c r="AM201" s="208">
        <v>0.0</v>
      </c>
      <c r="AN201" s="208">
        <v>0.0397</v>
      </c>
      <c r="AO201" s="208">
        <v>43458.0</v>
      </c>
      <c r="AP201" s="208">
        <v>0.17</v>
      </c>
      <c r="AQ201" s="208">
        <v>0.0</v>
      </c>
      <c r="AR201" s="208">
        <v>37.0</v>
      </c>
      <c r="AS201" s="208">
        <v>661.0</v>
      </c>
      <c r="AT201" s="208">
        <v>5847.13</v>
      </c>
      <c r="AU201" s="208">
        <v>12.0</v>
      </c>
      <c r="AV201" s="208">
        <v>117.0</v>
      </c>
      <c r="AW201" s="208">
        <v>24.0</v>
      </c>
      <c r="AX201" s="208">
        <v>26.0</v>
      </c>
      <c r="AY201" s="208">
        <v>9.0</v>
      </c>
    </row>
    <row r="202">
      <c r="A202" s="208" t="s">
        <v>97</v>
      </c>
      <c r="B202" s="533" t="s">
        <v>101</v>
      </c>
      <c r="C202" s="208" t="s">
        <v>876</v>
      </c>
      <c r="D202" s="208" t="s">
        <v>1062</v>
      </c>
      <c r="E202" s="208" t="s">
        <v>1063</v>
      </c>
      <c r="F202" s="584">
        <v>45859.0</v>
      </c>
      <c r="G202" s="208" t="s">
        <v>97</v>
      </c>
      <c r="H202" s="208">
        <v>0.0</v>
      </c>
      <c r="I202" s="208">
        <v>0.0</v>
      </c>
      <c r="J202" s="208">
        <v>0.0</v>
      </c>
      <c r="K202" s="208">
        <v>0.0</v>
      </c>
      <c r="L202" s="536">
        <f t="shared" si="1"/>
        <v>0</v>
      </c>
      <c r="M202" s="208">
        <v>134.0</v>
      </c>
      <c r="N202" s="208">
        <v>111.0</v>
      </c>
      <c r="O202" s="208">
        <v>16.0</v>
      </c>
      <c r="P202" s="208">
        <v>150.0</v>
      </c>
      <c r="Q202" s="208">
        <v>39.0</v>
      </c>
      <c r="R202" s="208">
        <v>0.0</v>
      </c>
      <c r="S202" s="208">
        <v>0.0</v>
      </c>
      <c r="T202" s="208">
        <v>0.0</v>
      </c>
      <c r="U202" s="208">
        <v>0.0</v>
      </c>
      <c r="V202" s="208">
        <v>0.0</v>
      </c>
      <c r="W202" s="208">
        <v>0.0</v>
      </c>
      <c r="X202" s="208">
        <v>5.0</v>
      </c>
      <c r="Y202" s="208">
        <v>7.0</v>
      </c>
      <c r="Z202" s="208">
        <v>3.0</v>
      </c>
      <c r="AA202" s="208">
        <v>1.0</v>
      </c>
      <c r="AB202" s="208">
        <v>6.0</v>
      </c>
      <c r="AC202" s="208">
        <v>0.0</v>
      </c>
      <c r="AD202" s="208">
        <v>0.0</v>
      </c>
      <c r="AE202" s="208">
        <v>0.0</v>
      </c>
      <c r="AF202" s="208">
        <v>0.0</v>
      </c>
      <c r="AG202" s="208">
        <v>217.0</v>
      </c>
      <c r="AH202" s="208">
        <v>230.0</v>
      </c>
      <c r="AI202" s="208">
        <v>57.0</v>
      </c>
      <c r="AJ202" s="208">
        <v>0.0</v>
      </c>
      <c r="AK202" s="208">
        <v>4.0</v>
      </c>
      <c r="AL202" s="208">
        <v>51910.0</v>
      </c>
      <c r="AM202" s="208">
        <v>0.0</v>
      </c>
      <c r="AN202" s="208">
        <v>0.0</v>
      </c>
      <c r="AO202" s="208">
        <v>0.0</v>
      </c>
      <c r="AP202" s="208">
        <v>0.0</v>
      </c>
      <c r="AQ202" s="208">
        <v>0.0</v>
      </c>
      <c r="AR202" s="208">
        <v>0.0</v>
      </c>
      <c r="AS202" s="208">
        <v>620.0</v>
      </c>
      <c r="AT202" s="208">
        <v>5206.39</v>
      </c>
      <c r="AU202" s="208">
        <v>0.0</v>
      </c>
      <c r="AV202" s="208">
        <v>47.0</v>
      </c>
      <c r="AW202" s="208">
        <v>0.0</v>
      </c>
      <c r="AX202" s="208">
        <v>111.0</v>
      </c>
      <c r="AY202" s="208">
        <v>39.0</v>
      </c>
    </row>
    <row r="203">
      <c r="A203" s="208" t="s">
        <v>298</v>
      </c>
      <c r="B203" s="533" t="s">
        <v>301</v>
      </c>
      <c r="C203" s="208" t="s">
        <v>877</v>
      </c>
      <c r="D203" s="208" t="s">
        <v>1066</v>
      </c>
      <c r="E203" s="208" t="s">
        <v>358</v>
      </c>
      <c r="F203" s="584">
        <v>45862.0</v>
      </c>
      <c r="G203" s="208" t="s">
        <v>298</v>
      </c>
      <c r="H203" s="208">
        <v>0.0</v>
      </c>
      <c r="I203" s="208">
        <v>2400000.0</v>
      </c>
      <c r="J203" s="208">
        <v>113402.6</v>
      </c>
      <c r="K203" s="208">
        <v>0.0</v>
      </c>
      <c r="L203" s="536">
        <f t="shared" si="1"/>
        <v>113402.6</v>
      </c>
      <c r="M203" s="208">
        <v>31.0</v>
      </c>
      <c r="N203" s="208">
        <v>33.0</v>
      </c>
      <c r="O203" s="208">
        <v>4.0</v>
      </c>
      <c r="P203" s="208">
        <v>35.0</v>
      </c>
      <c r="Q203" s="208">
        <v>2.0</v>
      </c>
      <c r="R203" s="208">
        <v>73260.3</v>
      </c>
      <c r="S203" s="208">
        <v>40142.3</v>
      </c>
      <c r="T203" s="208">
        <v>6.0</v>
      </c>
      <c r="U203" s="208">
        <v>4.0</v>
      </c>
      <c r="V203" s="208">
        <v>10.0</v>
      </c>
      <c r="W203" s="208">
        <v>0.0</v>
      </c>
      <c r="X203" s="208">
        <v>76.0</v>
      </c>
      <c r="Y203" s="208">
        <v>111.0</v>
      </c>
      <c r="Z203" s="208">
        <v>11.0</v>
      </c>
      <c r="AA203" s="208">
        <v>1.0</v>
      </c>
      <c r="AB203" s="208">
        <v>1.0</v>
      </c>
      <c r="AC203" s="208">
        <v>0.0</v>
      </c>
      <c r="AD203" s="208">
        <v>0.0</v>
      </c>
      <c r="AE203" s="208">
        <v>0.0</v>
      </c>
      <c r="AF203" s="208">
        <v>0.0</v>
      </c>
      <c r="AG203" s="208">
        <v>83.0</v>
      </c>
      <c r="AH203" s="208">
        <v>195.0</v>
      </c>
      <c r="AI203" s="208">
        <v>51.0</v>
      </c>
      <c r="AJ203" s="208">
        <v>2224.0</v>
      </c>
      <c r="AK203" s="208">
        <v>4.0</v>
      </c>
      <c r="AL203" s="208">
        <v>39330.0</v>
      </c>
      <c r="AM203" s="208">
        <v>0.0</v>
      </c>
      <c r="AN203" s="208">
        <v>0.3468</v>
      </c>
      <c r="AO203" s="208">
        <v>11340.0</v>
      </c>
      <c r="AP203" s="208">
        <v>0.05</v>
      </c>
      <c r="AQ203" s="208">
        <v>0.0</v>
      </c>
      <c r="AR203" s="208">
        <v>11.0</v>
      </c>
      <c r="AS203" s="208">
        <v>468.0</v>
      </c>
      <c r="AT203" s="208">
        <v>2876.94</v>
      </c>
      <c r="AU203" s="208">
        <v>4.0</v>
      </c>
      <c r="AV203" s="208">
        <v>87.0</v>
      </c>
      <c r="AW203" s="208">
        <v>10.0</v>
      </c>
      <c r="AX203" s="208">
        <v>23.0</v>
      </c>
      <c r="AY203" s="208">
        <v>2.0</v>
      </c>
    </row>
    <row r="204">
      <c r="A204" s="208" t="s">
        <v>53</v>
      </c>
      <c r="B204" s="533" t="s">
        <v>56</v>
      </c>
      <c r="C204" s="208" t="s">
        <v>878</v>
      </c>
      <c r="D204" s="208" t="s">
        <v>1092</v>
      </c>
      <c r="E204" s="208" t="s">
        <v>380</v>
      </c>
      <c r="F204" s="584">
        <v>45862.0</v>
      </c>
      <c r="G204" s="208" t="s">
        <v>754</v>
      </c>
      <c r="H204" s="208">
        <v>0.0</v>
      </c>
      <c r="I204" s="208">
        <v>1000000.0</v>
      </c>
      <c r="J204" s="208">
        <v>85000.6</v>
      </c>
      <c r="K204" s="208">
        <v>0.0</v>
      </c>
      <c r="L204" s="536">
        <f t="shared" si="1"/>
        <v>85000.6</v>
      </c>
      <c r="M204" s="208">
        <v>6.0</v>
      </c>
      <c r="N204" s="208">
        <v>14.0</v>
      </c>
      <c r="O204" s="208">
        <v>8.0</v>
      </c>
      <c r="P204" s="208">
        <v>14.0</v>
      </c>
      <c r="Q204" s="208">
        <v>0.0</v>
      </c>
      <c r="R204" s="208">
        <v>0.0</v>
      </c>
      <c r="S204" s="208">
        <v>85000.6</v>
      </c>
      <c r="T204" s="208">
        <v>0.0</v>
      </c>
      <c r="U204" s="208">
        <v>7.0</v>
      </c>
      <c r="V204" s="208">
        <v>7.0</v>
      </c>
      <c r="W204" s="208">
        <v>0.0</v>
      </c>
      <c r="X204" s="208">
        <v>82.0</v>
      </c>
      <c r="Y204" s="208">
        <v>204.0</v>
      </c>
      <c r="Z204" s="208">
        <v>20.0</v>
      </c>
      <c r="AA204" s="208">
        <v>1.0</v>
      </c>
      <c r="AB204" s="208">
        <v>29.0</v>
      </c>
      <c r="AC204" s="208">
        <v>0.0</v>
      </c>
      <c r="AD204" s="208">
        <v>0.0</v>
      </c>
      <c r="AE204" s="208">
        <v>6.0</v>
      </c>
      <c r="AF204" s="208">
        <v>21.0</v>
      </c>
      <c r="AG204" s="208">
        <v>54.0</v>
      </c>
      <c r="AH204" s="208">
        <v>308.0</v>
      </c>
      <c r="AI204" s="208">
        <v>54.0</v>
      </c>
      <c r="AJ204" s="208">
        <v>1574.0</v>
      </c>
      <c r="AK204" s="208">
        <v>6.0</v>
      </c>
      <c r="AL204" s="208">
        <v>25215.0</v>
      </c>
      <c r="AM204" s="208">
        <v>0.0</v>
      </c>
      <c r="AN204" s="208">
        <v>0.2966</v>
      </c>
      <c r="AO204" s="208">
        <v>12143.0</v>
      </c>
      <c r="AP204" s="208">
        <v>0.09</v>
      </c>
      <c r="AQ204" s="208">
        <v>0.0</v>
      </c>
      <c r="AR204" s="208">
        <v>9.0</v>
      </c>
      <c r="AS204" s="208">
        <v>443.0</v>
      </c>
      <c r="AT204" s="208">
        <v>1873.04</v>
      </c>
      <c r="AU204" s="208">
        <v>7.0</v>
      </c>
      <c r="AV204" s="208">
        <v>134.0</v>
      </c>
      <c r="AW204" s="208">
        <v>7.0</v>
      </c>
      <c r="AX204" s="208">
        <v>7.0</v>
      </c>
      <c r="AY204" s="208">
        <v>0.0</v>
      </c>
    </row>
    <row r="205">
      <c r="A205" s="208" t="s">
        <v>53</v>
      </c>
      <c r="B205" s="533" t="s">
        <v>56</v>
      </c>
      <c r="C205" s="208" t="s">
        <v>879</v>
      </c>
      <c r="D205" s="208" t="s">
        <v>1092</v>
      </c>
      <c r="E205" s="208" t="s">
        <v>65</v>
      </c>
      <c r="F205" s="584">
        <v>45861.0</v>
      </c>
      <c r="G205" s="208" t="s">
        <v>754</v>
      </c>
      <c r="H205" s="208">
        <v>0.0</v>
      </c>
      <c r="I205" s="208">
        <v>1000000.0</v>
      </c>
      <c r="J205" s="208">
        <v>73202.0</v>
      </c>
      <c r="K205" s="208">
        <v>0.0</v>
      </c>
      <c r="L205" s="536">
        <f t="shared" si="1"/>
        <v>73202</v>
      </c>
      <c r="M205" s="208">
        <v>11.0</v>
      </c>
      <c r="N205" s="208">
        <v>12.0</v>
      </c>
      <c r="O205" s="208">
        <v>2.0</v>
      </c>
      <c r="P205" s="208">
        <v>13.0</v>
      </c>
      <c r="Q205" s="208">
        <v>1.0</v>
      </c>
      <c r="R205" s="208">
        <v>30460.0</v>
      </c>
      <c r="S205" s="208">
        <v>42742.0</v>
      </c>
      <c r="T205" s="208">
        <v>1.0</v>
      </c>
      <c r="U205" s="208">
        <v>2.0</v>
      </c>
      <c r="V205" s="208">
        <v>3.0</v>
      </c>
      <c r="W205" s="208">
        <v>0.0</v>
      </c>
      <c r="X205" s="208">
        <v>158.0</v>
      </c>
      <c r="Y205" s="208">
        <v>361.0</v>
      </c>
      <c r="Z205" s="208">
        <v>28.0</v>
      </c>
      <c r="AA205" s="208">
        <v>2.0</v>
      </c>
      <c r="AB205" s="208">
        <v>20.0</v>
      </c>
      <c r="AC205" s="208">
        <v>0.0</v>
      </c>
      <c r="AD205" s="208">
        <v>0.0</v>
      </c>
      <c r="AE205" s="208">
        <v>2.0</v>
      </c>
      <c r="AF205" s="208">
        <v>3.0</v>
      </c>
      <c r="AG205" s="208">
        <v>33.0</v>
      </c>
      <c r="AH205" s="208">
        <v>417.0</v>
      </c>
      <c r="AI205" s="208">
        <v>52.0</v>
      </c>
      <c r="AJ205" s="208">
        <v>1408.0</v>
      </c>
      <c r="AK205" s="208">
        <v>8.0</v>
      </c>
      <c r="AL205" s="208">
        <v>24120.0</v>
      </c>
      <c r="AM205" s="208">
        <v>0.0</v>
      </c>
      <c r="AN205" s="208">
        <v>0.3295</v>
      </c>
      <c r="AO205" s="208">
        <v>24401.0</v>
      </c>
      <c r="AP205" s="208">
        <v>0.07</v>
      </c>
      <c r="AQ205" s="208">
        <v>0.0</v>
      </c>
      <c r="AR205" s="208">
        <v>3.0</v>
      </c>
      <c r="AS205" s="208">
        <v>507.0</v>
      </c>
      <c r="AT205" s="208">
        <v>3880.32</v>
      </c>
      <c r="AU205" s="208">
        <v>2.0</v>
      </c>
      <c r="AV205" s="208">
        <v>323.0</v>
      </c>
      <c r="AW205" s="208">
        <v>3.0</v>
      </c>
      <c r="AX205" s="208">
        <v>9.0</v>
      </c>
      <c r="AY205" s="208">
        <v>1.0</v>
      </c>
    </row>
    <row r="206">
      <c r="A206" s="208" t="s">
        <v>23</v>
      </c>
      <c r="B206" s="533" t="s">
        <v>30</v>
      </c>
      <c r="C206" s="208" t="s">
        <v>880</v>
      </c>
      <c r="D206" s="208" t="s">
        <v>30</v>
      </c>
      <c r="E206" s="208" t="s">
        <v>340</v>
      </c>
      <c r="F206" s="585">
        <v>45873.0</v>
      </c>
      <c r="G206" s="208" t="s">
        <v>23</v>
      </c>
      <c r="H206" s="208">
        <v>0.0</v>
      </c>
      <c r="I206" s="208">
        <v>0.0</v>
      </c>
      <c r="J206" s="208">
        <v>0.0</v>
      </c>
      <c r="K206" s="208">
        <v>0.0</v>
      </c>
      <c r="L206" s="536">
        <f t="shared" si="1"/>
        <v>0</v>
      </c>
      <c r="M206" s="208">
        <v>1.0</v>
      </c>
      <c r="N206" s="208">
        <v>1.0</v>
      </c>
      <c r="O206" s="208">
        <v>0.0</v>
      </c>
      <c r="P206" s="208">
        <v>1.0</v>
      </c>
      <c r="Q206" s="208">
        <v>0.0</v>
      </c>
      <c r="R206" s="208">
        <v>0.0</v>
      </c>
      <c r="S206" s="208">
        <v>0.0</v>
      </c>
      <c r="T206" s="208">
        <v>0.0</v>
      </c>
      <c r="U206" s="208">
        <v>0.0</v>
      </c>
      <c r="V206" s="208">
        <v>0.0</v>
      </c>
      <c r="W206" s="208">
        <v>0.0</v>
      </c>
      <c r="X206" s="208">
        <v>12.0</v>
      </c>
      <c r="Y206" s="208">
        <v>14.0</v>
      </c>
      <c r="Z206" s="208">
        <v>0.0</v>
      </c>
      <c r="AA206" s="208">
        <v>1.0</v>
      </c>
      <c r="AB206" s="208">
        <v>1.0</v>
      </c>
      <c r="AC206" s="208">
        <v>1.0</v>
      </c>
      <c r="AD206" s="208">
        <v>1.0</v>
      </c>
      <c r="AE206" s="208">
        <v>1.0</v>
      </c>
      <c r="AF206" s="208">
        <v>1.0</v>
      </c>
      <c r="AG206" s="208">
        <v>1.0</v>
      </c>
      <c r="AH206" s="208">
        <v>18.0</v>
      </c>
      <c r="AI206" s="208">
        <v>4.0</v>
      </c>
      <c r="AJ206" s="208">
        <v>0.0</v>
      </c>
      <c r="AK206" s="208">
        <v>5.0</v>
      </c>
      <c r="AL206" s="208">
        <v>34600.0</v>
      </c>
      <c r="AM206" s="208">
        <v>0.0</v>
      </c>
      <c r="AN206" s="208">
        <v>0.0</v>
      </c>
      <c r="AO206" s="208">
        <v>0.0</v>
      </c>
      <c r="AP206" s="208">
        <v>0.0</v>
      </c>
      <c r="AQ206" s="208">
        <v>0.0</v>
      </c>
      <c r="AR206" s="208">
        <v>0.0</v>
      </c>
      <c r="AS206" s="208">
        <v>44.0</v>
      </c>
      <c r="AT206" s="208">
        <v>271.86</v>
      </c>
      <c r="AU206" s="208">
        <v>0.0</v>
      </c>
      <c r="AV206" s="208">
        <v>272.0</v>
      </c>
      <c r="AW206" s="208">
        <v>0.0</v>
      </c>
      <c r="AX206" s="208">
        <v>1.0</v>
      </c>
      <c r="AY206" s="208">
        <v>0.0</v>
      </c>
      <c r="AZ206" s="584">
        <v>45890.0</v>
      </c>
    </row>
    <row r="207">
      <c r="A207" s="208" t="s">
        <v>185</v>
      </c>
      <c r="B207" s="533" t="s">
        <v>189</v>
      </c>
      <c r="C207" s="208" t="s">
        <v>407</v>
      </c>
      <c r="D207" s="208" t="s">
        <v>1016</v>
      </c>
      <c r="E207" s="208" t="s">
        <v>187</v>
      </c>
      <c r="F207" s="585">
        <v>45876.0</v>
      </c>
      <c r="G207" s="208" t="s">
        <v>186</v>
      </c>
      <c r="H207" s="208">
        <v>0.0</v>
      </c>
      <c r="I207" s="208">
        <v>3000000.0</v>
      </c>
      <c r="J207" s="208">
        <v>2369704.33</v>
      </c>
      <c r="K207" s="208">
        <v>0.0</v>
      </c>
      <c r="L207" s="536">
        <f t="shared" si="1"/>
        <v>2369704.33</v>
      </c>
      <c r="M207" s="208">
        <v>44.0</v>
      </c>
      <c r="N207" s="208">
        <v>48.0</v>
      </c>
      <c r="O207" s="208">
        <v>13.0</v>
      </c>
      <c r="P207" s="208">
        <v>57.0</v>
      </c>
      <c r="Q207" s="208">
        <v>9.0</v>
      </c>
      <c r="R207" s="208">
        <v>1741793.81</v>
      </c>
      <c r="S207" s="208">
        <v>627910.52</v>
      </c>
      <c r="T207" s="208">
        <v>16.0</v>
      </c>
      <c r="U207" s="208">
        <v>11.0</v>
      </c>
      <c r="V207" s="208">
        <v>27.0</v>
      </c>
      <c r="W207" s="208">
        <v>0.0</v>
      </c>
      <c r="X207" s="208">
        <v>13.0</v>
      </c>
      <c r="Y207" s="208">
        <v>24.0</v>
      </c>
      <c r="Z207" s="208">
        <v>0.0</v>
      </c>
      <c r="AA207" s="208">
        <v>1.0</v>
      </c>
      <c r="AB207" s="208">
        <v>1.0</v>
      </c>
      <c r="AC207" s="208">
        <v>0.0</v>
      </c>
      <c r="AD207" s="208">
        <v>0.0</v>
      </c>
      <c r="AE207" s="208">
        <v>0.0</v>
      </c>
      <c r="AF207" s="208">
        <v>0.0</v>
      </c>
      <c r="AG207" s="208">
        <v>124.0</v>
      </c>
      <c r="AH207" s="208">
        <v>149.0</v>
      </c>
      <c r="AI207" s="208">
        <v>36.0</v>
      </c>
      <c r="AJ207" s="208">
        <v>65825.0</v>
      </c>
      <c r="AK207" s="208">
        <v>4.0</v>
      </c>
      <c r="AL207" s="208">
        <v>33570.0</v>
      </c>
      <c r="AM207" s="208">
        <v>0.0</v>
      </c>
      <c r="AN207" s="208">
        <v>0.0142</v>
      </c>
      <c r="AO207" s="208">
        <v>87767.0</v>
      </c>
      <c r="AP207" s="208">
        <v>0.79</v>
      </c>
      <c r="AQ207" s="208">
        <v>0.0</v>
      </c>
      <c r="AR207" s="208">
        <v>38.0</v>
      </c>
      <c r="AS207" s="208">
        <v>377.0</v>
      </c>
      <c r="AT207" s="208">
        <v>3348.63</v>
      </c>
      <c r="AU207" s="208">
        <v>11.0</v>
      </c>
      <c r="AV207" s="208">
        <v>70.0</v>
      </c>
      <c r="AW207" s="208">
        <v>27.0</v>
      </c>
      <c r="AX207" s="208">
        <v>21.0</v>
      </c>
      <c r="AY207" s="208">
        <v>9.0</v>
      </c>
    </row>
    <row r="208">
      <c r="A208" s="208" t="s">
        <v>23</v>
      </c>
      <c r="B208" s="533" t="s">
        <v>37</v>
      </c>
      <c r="C208" s="208" t="s">
        <v>41</v>
      </c>
      <c r="D208" s="208" t="s">
        <v>1110</v>
      </c>
      <c r="E208" s="208" t="s">
        <v>42</v>
      </c>
      <c r="F208" s="584">
        <v>45887.0</v>
      </c>
      <c r="G208" s="208" t="s">
        <v>23</v>
      </c>
      <c r="H208" s="208">
        <v>0.0</v>
      </c>
      <c r="I208" s="208">
        <v>1703226.0</v>
      </c>
      <c r="J208" s="208">
        <v>1299417.23</v>
      </c>
      <c r="K208" s="208">
        <v>0.0</v>
      </c>
      <c r="L208" s="536">
        <f t="shared" si="1"/>
        <v>1299417.23</v>
      </c>
      <c r="M208" s="208">
        <v>85.0</v>
      </c>
      <c r="N208" s="208">
        <v>73.0</v>
      </c>
      <c r="O208" s="208">
        <v>9.0</v>
      </c>
      <c r="P208" s="208">
        <v>94.0</v>
      </c>
      <c r="Q208" s="208">
        <v>21.0</v>
      </c>
      <c r="R208" s="208">
        <v>1077915.23</v>
      </c>
      <c r="S208" s="208">
        <v>221502.0</v>
      </c>
      <c r="T208" s="208">
        <v>36.0</v>
      </c>
      <c r="U208" s="208">
        <v>9.0</v>
      </c>
      <c r="V208" s="208">
        <v>45.0</v>
      </c>
      <c r="W208" s="208">
        <v>0.0</v>
      </c>
      <c r="X208" s="208">
        <v>44.0</v>
      </c>
      <c r="Y208" s="208">
        <v>61.0</v>
      </c>
      <c r="Z208" s="208">
        <v>15.0</v>
      </c>
      <c r="AA208" s="208">
        <v>4.0</v>
      </c>
      <c r="AB208" s="208">
        <v>19.0</v>
      </c>
      <c r="AC208" s="208">
        <v>2.0</v>
      </c>
      <c r="AD208" s="208">
        <v>3.0</v>
      </c>
      <c r="AE208" s="208">
        <v>0.0</v>
      </c>
      <c r="AF208" s="208">
        <v>0.0</v>
      </c>
      <c r="AG208" s="208">
        <v>190.0</v>
      </c>
      <c r="AH208" s="208">
        <v>273.0</v>
      </c>
      <c r="AI208" s="208">
        <v>36.0</v>
      </c>
      <c r="AJ208" s="208">
        <v>36095.0</v>
      </c>
      <c r="AK208" s="208">
        <v>8.0</v>
      </c>
      <c r="AL208" s="208">
        <v>28835.0</v>
      </c>
      <c r="AM208" s="208">
        <v>0.0</v>
      </c>
      <c r="AN208" s="208">
        <v>0.0222</v>
      </c>
      <c r="AO208" s="208">
        <v>28876.0</v>
      </c>
      <c r="AP208" s="208">
        <v>0.76</v>
      </c>
      <c r="AQ208" s="208">
        <v>0.0</v>
      </c>
      <c r="AR208" s="208">
        <v>61.0</v>
      </c>
      <c r="AS208" s="208">
        <v>346.0</v>
      </c>
      <c r="AT208" s="208">
        <v>2377.86</v>
      </c>
      <c r="AU208" s="208">
        <v>9.0</v>
      </c>
      <c r="AV208" s="208">
        <v>33.0</v>
      </c>
      <c r="AW208" s="208">
        <v>45.0</v>
      </c>
      <c r="AX208" s="208">
        <v>28.0</v>
      </c>
      <c r="AY208" s="208">
        <v>21.0</v>
      </c>
    </row>
    <row r="209">
      <c r="A209" s="208" t="s">
        <v>298</v>
      </c>
      <c r="B209" s="533" t="s">
        <v>301</v>
      </c>
      <c r="C209" s="208" t="s">
        <v>318</v>
      </c>
      <c r="D209" s="208" t="s">
        <v>1066</v>
      </c>
      <c r="E209" s="208" t="s">
        <v>319</v>
      </c>
      <c r="F209" s="584">
        <v>45887.0</v>
      </c>
      <c r="G209" s="208" t="s">
        <v>302</v>
      </c>
      <c r="H209" s="208">
        <v>0.0</v>
      </c>
      <c r="I209" s="208">
        <v>2400000.0</v>
      </c>
      <c r="J209" s="208">
        <v>365966.8</v>
      </c>
      <c r="K209" s="208">
        <v>0.0</v>
      </c>
      <c r="L209" s="536">
        <f t="shared" si="1"/>
        <v>365966.8</v>
      </c>
      <c r="M209" s="208">
        <v>50.0</v>
      </c>
      <c r="N209" s="208">
        <v>44.0</v>
      </c>
      <c r="O209" s="208">
        <v>1.0</v>
      </c>
      <c r="P209" s="208">
        <v>51.0</v>
      </c>
      <c r="Q209" s="208">
        <v>7.0</v>
      </c>
      <c r="R209" s="208">
        <v>244509.4</v>
      </c>
      <c r="S209" s="208">
        <v>121457.4</v>
      </c>
      <c r="T209" s="208">
        <v>10.0</v>
      </c>
      <c r="U209" s="208">
        <v>1.0</v>
      </c>
      <c r="V209" s="208">
        <v>11.0</v>
      </c>
      <c r="W209" s="208">
        <v>0.0</v>
      </c>
      <c r="X209" s="208">
        <v>44.0</v>
      </c>
      <c r="Y209" s="208">
        <v>47.0</v>
      </c>
      <c r="Z209" s="208">
        <v>15.0</v>
      </c>
      <c r="AA209" s="208">
        <v>1.0</v>
      </c>
      <c r="AB209" s="208">
        <v>20.0</v>
      </c>
      <c r="AC209" s="208">
        <v>0.0</v>
      </c>
      <c r="AD209" s="208">
        <v>0.0</v>
      </c>
      <c r="AE209" s="208">
        <v>0.0</v>
      </c>
      <c r="AF209" s="208">
        <v>0.0</v>
      </c>
      <c r="AG209" s="208">
        <v>61.0</v>
      </c>
      <c r="AH209" s="208">
        <v>128.0</v>
      </c>
      <c r="AI209" s="208">
        <v>31.0</v>
      </c>
      <c r="AJ209" s="208">
        <v>11805.0</v>
      </c>
      <c r="AK209" s="208">
        <v>4.0</v>
      </c>
      <c r="AL209" s="208">
        <v>40885.0</v>
      </c>
      <c r="AM209" s="208">
        <v>0.0</v>
      </c>
      <c r="AN209" s="208">
        <v>0.1117</v>
      </c>
      <c r="AO209" s="208">
        <v>33270.0</v>
      </c>
      <c r="AP209" s="208">
        <v>0.21</v>
      </c>
      <c r="AQ209" s="208">
        <v>0.0</v>
      </c>
      <c r="AR209" s="208">
        <v>12.0</v>
      </c>
      <c r="AS209" s="208">
        <v>307.0</v>
      </c>
      <c r="AT209" s="208">
        <v>1893.6</v>
      </c>
      <c r="AU209" s="208">
        <v>1.0</v>
      </c>
      <c r="AV209" s="208">
        <v>43.0</v>
      </c>
      <c r="AW209" s="208">
        <v>11.0</v>
      </c>
      <c r="AX209" s="208">
        <v>33.0</v>
      </c>
      <c r="AY209" s="208">
        <v>7.0</v>
      </c>
    </row>
    <row r="210">
      <c r="A210" s="208" t="s">
        <v>97</v>
      </c>
      <c r="B210" s="533" t="s">
        <v>101</v>
      </c>
      <c r="C210" s="208" t="s">
        <v>351</v>
      </c>
      <c r="D210" s="208" t="s">
        <v>1107</v>
      </c>
      <c r="E210" s="208" t="s">
        <v>352</v>
      </c>
      <c r="F210" s="584">
        <v>45894.0</v>
      </c>
      <c r="G210" s="208" t="s">
        <v>97</v>
      </c>
      <c r="H210" s="208">
        <v>0.0</v>
      </c>
      <c r="I210" s="208">
        <v>1144000.0</v>
      </c>
      <c r="J210" s="208">
        <v>0.0</v>
      </c>
      <c r="K210" s="208">
        <v>0.0</v>
      </c>
      <c r="L210" s="536">
        <f t="shared" si="1"/>
        <v>0</v>
      </c>
      <c r="M210" s="208">
        <v>39.0</v>
      </c>
      <c r="N210" s="208">
        <v>28.0</v>
      </c>
      <c r="O210" s="208">
        <v>1.0</v>
      </c>
      <c r="P210" s="208">
        <v>40.0</v>
      </c>
      <c r="Q210" s="208">
        <v>12.0</v>
      </c>
      <c r="R210" s="208">
        <v>0.0</v>
      </c>
      <c r="S210" s="208">
        <v>0.0</v>
      </c>
      <c r="T210" s="208">
        <v>0.0</v>
      </c>
      <c r="U210" s="208">
        <v>0.0</v>
      </c>
      <c r="V210" s="208">
        <v>0.0</v>
      </c>
      <c r="W210" s="208">
        <v>0.0</v>
      </c>
      <c r="X210" s="208">
        <v>8.0</v>
      </c>
      <c r="Y210" s="208">
        <v>17.0</v>
      </c>
      <c r="Z210" s="208">
        <v>2.0</v>
      </c>
      <c r="AA210" s="208">
        <v>0.0</v>
      </c>
      <c r="AB210" s="208">
        <v>0.0</v>
      </c>
      <c r="AC210" s="208">
        <v>0.0</v>
      </c>
      <c r="AD210" s="208">
        <v>0.0</v>
      </c>
      <c r="AE210" s="208">
        <v>0.0</v>
      </c>
      <c r="AF210" s="208">
        <v>0.0</v>
      </c>
      <c r="AG210" s="208">
        <v>53.0</v>
      </c>
      <c r="AH210" s="208">
        <v>70.0</v>
      </c>
      <c r="AI210" s="208">
        <v>14.0</v>
      </c>
      <c r="AJ210" s="208">
        <v>0.0</v>
      </c>
      <c r="AK210" s="208">
        <v>5.0</v>
      </c>
      <c r="AL210" s="208">
        <v>36190.0</v>
      </c>
      <c r="AM210" s="208">
        <v>0.0</v>
      </c>
      <c r="AN210" s="208">
        <v>0.0</v>
      </c>
      <c r="AO210" s="208">
        <v>0.0</v>
      </c>
      <c r="AP210" s="208">
        <v>0.0</v>
      </c>
      <c r="AQ210" s="208">
        <v>0.0</v>
      </c>
      <c r="AR210" s="208">
        <v>0.0</v>
      </c>
      <c r="AS210" s="208">
        <v>193.0</v>
      </c>
      <c r="AT210" s="208">
        <v>633.74</v>
      </c>
      <c r="AU210" s="208">
        <v>0.0</v>
      </c>
      <c r="AV210" s="208">
        <v>23.0</v>
      </c>
      <c r="AW210" s="208">
        <v>0.0</v>
      </c>
      <c r="AX210" s="208">
        <v>28.0</v>
      </c>
      <c r="AY210" s="208">
        <v>12.0</v>
      </c>
    </row>
    <row r="211">
      <c r="A211" s="208" t="s">
        <v>185</v>
      </c>
      <c r="B211" s="533" t="s">
        <v>189</v>
      </c>
      <c r="C211" s="208" t="s">
        <v>881</v>
      </c>
      <c r="D211" s="208" t="s">
        <v>1016</v>
      </c>
      <c r="E211" s="208" t="s">
        <v>289</v>
      </c>
      <c r="F211" s="584">
        <v>45894.0</v>
      </c>
      <c r="G211" s="208" t="s">
        <v>186</v>
      </c>
      <c r="H211" s="208">
        <v>0.0</v>
      </c>
      <c r="I211" s="208">
        <v>1500000.0</v>
      </c>
      <c r="J211" s="208">
        <v>784306.95</v>
      </c>
      <c r="K211" s="208">
        <v>0.0</v>
      </c>
      <c r="L211" s="536">
        <f t="shared" si="1"/>
        <v>784306.95</v>
      </c>
      <c r="M211" s="208">
        <v>78.0</v>
      </c>
      <c r="N211" s="208">
        <v>75.0</v>
      </c>
      <c r="O211" s="208">
        <v>2.0</v>
      </c>
      <c r="P211" s="208">
        <v>80.0</v>
      </c>
      <c r="Q211" s="208">
        <v>5.0</v>
      </c>
      <c r="R211" s="208">
        <v>404381.15</v>
      </c>
      <c r="S211" s="208">
        <v>379925.8</v>
      </c>
      <c r="T211" s="208">
        <v>12.0</v>
      </c>
      <c r="U211" s="208">
        <v>1.0</v>
      </c>
      <c r="V211" s="208">
        <v>13.0</v>
      </c>
      <c r="W211" s="208">
        <v>0.0</v>
      </c>
      <c r="X211" s="208">
        <v>7.0</v>
      </c>
      <c r="Y211" s="208">
        <v>10.0</v>
      </c>
      <c r="Z211" s="208">
        <v>0.0</v>
      </c>
      <c r="AA211" s="208">
        <v>1.0</v>
      </c>
      <c r="AB211" s="208">
        <v>2.0</v>
      </c>
      <c r="AC211" s="208">
        <v>0.0</v>
      </c>
      <c r="AD211" s="208">
        <v>0.0</v>
      </c>
      <c r="AE211" s="208">
        <v>0.0</v>
      </c>
      <c r="AF211" s="208">
        <v>0.0</v>
      </c>
      <c r="AG211" s="208">
        <v>102.0</v>
      </c>
      <c r="AH211" s="208">
        <v>114.0</v>
      </c>
      <c r="AI211" s="208">
        <v>26.0</v>
      </c>
      <c r="AJ211" s="208">
        <v>30166.0</v>
      </c>
      <c r="AK211" s="208">
        <v>4.0</v>
      </c>
      <c r="AL211" s="208">
        <v>27260.0</v>
      </c>
      <c r="AM211" s="208">
        <v>0.0</v>
      </c>
      <c r="AN211" s="208">
        <v>0.0348</v>
      </c>
      <c r="AO211" s="208">
        <v>60331.0</v>
      </c>
      <c r="AP211" s="208">
        <v>0.52</v>
      </c>
      <c r="AQ211" s="208">
        <v>0.0</v>
      </c>
      <c r="AR211" s="208">
        <v>16.0</v>
      </c>
      <c r="AS211" s="208">
        <v>264.0</v>
      </c>
      <c r="AT211" s="208">
        <v>1501.65</v>
      </c>
      <c r="AU211" s="208">
        <v>1.0</v>
      </c>
      <c r="AV211" s="208">
        <v>20.0</v>
      </c>
      <c r="AW211" s="208">
        <v>13.0</v>
      </c>
      <c r="AX211" s="208">
        <v>62.0</v>
      </c>
      <c r="AY211" s="208">
        <v>5.0</v>
      </c>
    </row>
    <row r="212">
      <c r="A212" s="208" t="s">
        <v>298</v>
      </c>
      <c r="B212" s="533" t="s">
        <v>301</v>
      </c>
      <c r="C212" s="208" t="s">
        <v>359</v>
      </c>
      <c r="D212" s="208" t="s">
        <v>1066</v>
      </c>
      <c r="E212" s="208" t="s">
        <v>317</v>
      </c>
      <c r="F212" s="584">
        <v>45910.0</v>
      </c>
      <c r="G212" s="208" t="s">
        <v>298</v>
      </c>
      <c r="H212" s="208">
        <v>0.0</v>
      </c>
      <c r="I212" s="208">
        <v>2400000.0</v>
      </c>
      <c r="J212" s="208">
        <v>121882.38</v>
      </c>
      <c r="K212" s="208">
        <v>0.0</v>
      </c>
      <c r="L212" s="536">
        <f t="shared" si="1"/>
        <v>121882.38</v>
      </c>
      <c r="M212" s="208">
        <v>4.0</v>
      </c>
      <c r="N212" s="208">
        <v>8.0</v>
      </c>
      <c r="O212" s="208">
        <v>5.0</v>
      </c>
      <c r="P212" s="208">
        <v>9.0</v>
      </c>
      <c r="Q212" s="208">
        <v>1.0</v>
      </c>
      <c r="R212" s="208">
        <v>0.0</v>
      </c>
      <c r="S212" s="208">
        <v>121882.38</v>
      </c>
      <c r="T212" s="208">
        <v>0.0</v>
      </c>
      <c r="U212" s="208">
        <v>5.0</v>
      </c>
      <c r="V212" s="208">
        <v>5.0</v>
      </c>
      <c r="W212" s="208">
        <v>0.0</v>
      </c>
      <c r="X212" s="208">
        <v>42.0</v>
      </c>
      <c r="Y212" s="208">
        <v>65.0</v>
      </c>
      <c r="Z212" s="208">
        <v>26.0</v>
      </c>
      <c r="AA212" s="208">
        <v>1.0</v>
      </c>
      <c r="AB212" s="208">
        <v>2.0</v>
      </c>
      <c r="AC212" s="208">
        <v>0.0</v>
      </c>
      <c r="AD212" s="208">
        <v>0.0</v>
      </c>
      <c r="AE212" s="208">
        <v>1.0</v>
      </c>
      <c r="AF212" s="208">
        <v>4.0</v>
      </c>
      <c r="AG212" s="208">
        <v>22.0</v>
      </c>
      <c r="AH212" s="208">
        <v>93.0</v>
      </c>
      <c r="AI212" s="208">
        <v>13.0</v>
      </c>
      <c r="AJ212" s="208">
        <v>9376.0</v>
      </c>
      <c r="AK212" s="208">
        <v>7.0</v>
      </c>
      <c r="AL212" s="208">
        <v>40885.0</v>
      </c>
      <c r="AM212" s="208">
        <v>0.0</v>
      </c>
      <c r="AN212" s="208">
        <v>0.3354</v>
      </c>
      <c r="AO212" s="208">
        <v>24376.0</v>
      </c>
      <c r="AP212" s="208">
        <v>0.1</v>
      </c>
      <c r="AQ212" s="208">
        <v>0.0</v>
      </c>
      <c r="AR212" s="208">
        <v>6.0</v>
      </c>
      <c r="AS212" s="208">
        <v>132.0</v>
      </c>
      <c r="AT212" s="208">
        <v>548.62</v>
      </c>
      <c r="AU212" s="208">
        <v>5.0</v>
      </c>
      <c r="AV212" s="208">
        <v>69.0</v>
      </c>
      <c r="AW212" s="208">
        <v>5.0</v>
      </c>
      <c r="AX212" s="208">
        <v>3.0</v>
      </c>
      <c r="AY212" s="208">
        <v>1.0</v>
      </c>
    </row>
    <row r="213">
      <c r="A213" s="208" t="s">
        <v>23</v>
      </c>
      <c r="B213" s="533" t="s">
        <v>30</v>
      </c>
      <c r="C213" s="208" t="s">
        <v>882</v>
      </c>
      <c r="D213" s="208" t="s">
        <v>30</v>
      </c>
      <c r="E213" s="208" t="s">
        <v>340</v>
      </c>
      <c r="F213" s="584">
        <v>45917.0</v>
      </c>
      <c r="G213" s="208" t="s">
        <v>23</v>
      </c>
      <c r="H213" s="208">
        <v>0.0</v>
      </c>
      <c r="I213" s="208">
        <v>520000.0</v>
      </c>
      <c r="J213" s="208">
        <v>0.0</v>
      </c>
      <c r="K213" s="208">
        <v>0.0</v>
      </c>
      <c r="L213" s="536">
        <f t="shared" si="1"/>
        <v>0</v>
      </c>
      <c r="M213" s="208">
        <v>7.0</v>
      </c>
      <c r="N213" s="208">
        <v>5.0</v>
      </c>
      <c r="O213" s="208">
        <v>0.0</v>
      </c>
      <c r="P213" s="208">
        <v>7.0</v>
      </c>
      <c r="Q213" s="208">
        <v>2.0</v>
      </c>
      <c r="R213" s="208">
        <v>0.0</v>
      </c>
      <c r="S213" s="208">
        <v>0.0</v>
      </c>
      <c r="T213" s="208">
        <v>0.0</v>
      </c>
      <c r="U213" s="208">
        <v>0.0</v>
      </c>
      <c r="V213" s="208">
        <v>0.0</v>
      </c>
      <c r="W213" s="208">
        <v>0.0</v>
      </c>
      <c r="X213" s="208">
        <v>42.0</v>
      </c>
      <c r="Y213" s="208">
        <v>52.0</v>
      </c>
      <c r="Z213" s="208">
        <v>33.0</v>
      </c>
      <c r="AA213" s="208">
        <v>1.0</v>
      </c>
      <c r="AB213" s="208">
        <v>1.0</v>
      </c>
      <c r="AC213" s="208">
        <v>1.0</v>
      </c>
      <c r="AD213" s="208">
        <v>1.0</v>
      </c>
      <c r="AE213" s="208">
        <v>1.0</v>
      </c>
      <c r="AF213" s="208">
        <v>1.0</v>
      </c>
      <c r="AG213" s="208">
        <v>5.0</v>
      </c>
      <c r="AH213" s="208">
        <v>60.0</v>
      </c>
      <c r="AI213" s="208">
        <v>10.0</v>
      </c>
      <c r="AJ213" s="208">
        <v>0.0</v>
      </c>
      <c r="AK213" s="208">
        <v>6.0</v>
      </c>
      <c r="AL213" s="208">
        <v>32500.0</v>
      </c>
      <c r="AM213" s="208">
        <v>0.0</v>
      </c>
      <c r="AN213" s="208">
        <v>0.0</v>
      </c>
      <c r="AO213" s="208">
        <v>0.0</v>
      </c>
      <c r="AP213" s="208">
        <v>0.0</v>
      </c>
      <c r="AQ213" s="208">
        <v>0.0</v>
      </c>
      <c r="AR213" s="208">
        <v>0.0</v>
      </c>
      <c r="AS213" s="208">
        <v>105.0</v>
      </c>
      <c r="AT213" s="208">
        <v>941.54</v>
      </c>
      <c r="AU213" s="208">
        <v>0.0</v>
      </c>
      <c r="AV213" s="208">
        <v>188.0</v>
      </c>
      <c r="AW213" s="208">
        <v>0.0</v>
      </c>
      <c r="AX213" s="208">
        <v>5.0</v>
      </c>
      <c r="AY213" s="208">
        <v>2.0</v>
      </c>
    </row>
    <row r="214">
      <c r="A214" s="208" t="s">
        <v>53</v>
      </c>
      <c r="B214" s="533" t="s">
        <v>61</v>
      </c>
      <c r="C214" s="208" t="s">
        <v>381</v>
      </c>
      <c r="D214" s="208" t="s">
        <v>1077</v>
      </c>
      <c r="E214" s="208" t="s">
        <v>382</v>
      </c>
      <c r="F214" s="584">
        <v>45922.0</v>
      </c>
      <c r="G214" s="208" t="s">
        <v>754</v>
      </c>
      <c r="I214" s="208">
        <v>222222.0</v>
      </c>
      <c r="J214" s="208">
        <v>0.0</v>
      </c>
      <c r="K214" s="208">
        <v>0.0</v>
      </c>
      <c r="L214" s="536">
        <f t="shared" si="1"/>
        <v>0</v>
      </c>
      <c r="M214" s="208">
        <v>7.0</v>
      </c>
      <c r="N214" s="208">
        <v>2.0</v>
      </c>
      <c r="O214" s="208">
        <v>0.0</v>
      </c>
      <c r="P214" s="208">
        <v>7.0</v>
      </c>
      <c r="Q214" s="208">
        <v>5.0</v>
      </c>
      <c r="R214" s="208">
        <v>0.0</v>
      </c>
      <c r="S214" s="208">
        <v>0.0</v>
      </c>
      <c r="T214" s="208">
        <v>0.0</v>
      </c>
      <c r="U214" s="208">
        <v>0.0</v>
      </c>
      <c r="V214" s="208">
        <v>0.0</v>
      </c>
      <c r="W214" s="208">
        <v>0.0</v>
      </c>
      <c r="X214" s="208">
        <v>15.0</v>
      </c>
      <c r="Y214" s="208">
        <v>15.0</v>
      </c>
      <c r="Z214" s="208">
        <v>43.0</v>
      </c>
      <c r="AA214" s="208">
        <v>1.0</v>
      </c>
      <c r="AB214" s="208">
        <v>1.0</v>
      </c>
      <c r="AC214" s="208">
        <v>0.0</v>
      </c>
      <c r="AD214" s="208">
        <v>0.0</v>
      </c>
      <c r="AE214" s="208">
        <v>1.0</v>
      </c>
      <c r="AF214" s="208">
        <v>2.0</v>
      </c>
      <c r="AG214" s="208">
        <v>2.0</v>
      </c>
      <c r="AH214" s="208">
        <v>20.0</v>
      </c>
      <c r="AI214" s="208">
        <v>5.0</v>
      </c>
      <c r="AJ214" s="208">
        <v>0.0</v>
      </c>
      <c r="AK214" s="208">
        <v>4.0</v>
      </c>
      <c r="AL214" s="208">
        <v>41430.0</v>
      </c>
      <c r="AM214" s="208">
        <v>0.0</v>
      </c>
      <c r="AN214" s="208">
        <v>0.0</v>
      </c>
      <c r="AO214" s="208">
        <v>0.0</v>
      </c>
      <c r="AP214" s="208">
        <v>0.0</v>
      </c>
      <c r="AQ214" s="208">
        <v>0.0</v>
      </c>
      <c r="AR214" s="208">
        <v>0.0</v>
      </c>
      <c r="AS214" s="208">
        <v>42.0</v>
      </c>
      <c r="AT214" s="208">
        <v>405.69</v>
      </c>
      <c r="AU214" s="208">
        <v>0.0</v>
      </c>
      <c r="AV214" s="208">
        <v>203.0</v>
      </c>
      <c r="AW214" s="208">
        <v>0.0</v>
      </c>
      <c r="AX214" s="208">
        <v>2.0</v>
      </c>
      <c r="AY214" s="208">
        <v>5.0</v>
      </c>
    </row>
    <row r="215">
      <c r="A215" s="208" t="s">
        <v>298</v>
      </c>
      <c r="B215" s="208" t="s">
        <v>1066</v>
      </c>
      <c r="C215" s="208" t="s">
        <v>320</v>
      </c>
      <c r="D215" s="208" t="s">
        <v>1066</v>
      </c>
      <c r="E215" s="208" t="s">
        <v>321</v>
      </c>
      <c r="F215" s="585">
        <v>45936.0</v>
      </c>
      <c r="G215" s="208" t="s">
        <v>302</v>
      </c>
      <c r="H215" s="208">
        <v>0.0</v>
      </c>
      <c r="I215" s="208">
        <v>0.0</v>
      </c>
      <c r="J215" s="208">
        <v>0.0</v>
      </c>
      <c r="K215" s="208">
        <v>0.0</v>
      </c>
      <c r="L215" s="536">
        <f t="shared" si="1"/>
        <v>0</v>
      </c>
      <c r="M215" s="208">
        <v>4.0</v>
      </c>
      <c r="N215" s="208">
        <v>0.0</v>
      </c>
      <c r="O215" s="208">
        <v>0.0</v>
      </c>
      <c r="P215" s="208">
        <v>4.0</v>
      </c>
      <c r="Q215" s="208">
        <v>4.0</v>
      </c>
      <c r="R215" s="208">
        <v>0.0</v>
      </c>
      <c r="S215" s="208">
        <v>0.0</v>
      </c>
      <c r="T215" s="208">
        <v>0.0</v>
      </c>
      <c r="U215" s="208">
        <v>0.0</v>
      </c>
      <c r="V215" s="208">
        <v>0.0</v>
      </c>
      <c r="W215" s="208">
        <v>0.0</v>
      </c>
      <c r="X215" s="208">
        <v>0.0</v>
      </c>
      <c r="Y215" s="208">
        <v>0.0</v>
      </c>
      <c r="Z215" s="208">
        <v>33.0</v>
      </c>
      <c r="AA215" s="208">
        <v>0.0</v>
      </c>
      <c r="AB215" s="208">
        <v>0.0</v>
      </c>
      <c r="AC215" s="208">
        <v>0.0</v>
      </c>
      <c r="AD215" s="208">
        <v>0.0</v>
      </c>
      <c r="AE215" s="208">
        <v>0.0</v>
      </c>
      <c r="AF215" s="208">
        <v>0.0</v>
      </c>
      <c r="AG215" s="208">
        <v>0.0</v>
      </c>
      <c r="AH215" s="208">
        <v>0.0</v>
      </c>
      <c r="AI215" s="208">
        <v>0.0</v>
      </c>
      <c r="AJ215" s="208">
        <v>0.0</v>
      </c>
      <c r="AK215" s="208">
        <v>0.0</v>
      </c>
      <c r="AL215" s="208">
        <v>34100.0</v>
      </c>
      <c r="AM215" s="208">
        <v>0.0</v>
      </c>
      <c r="AN215" s="208">
        <v>0.0</v>
      </c>
      <c r="AO215" s="208">
        <v>0.0</v>
      </c>
      <c r="AP215" s="208">
        <v>0.0</v>
      </c>
      <c r="AQ215" s="208">
        <v>0.0</v>
      </c>
      <c r="AR215" s="208">
        <v>0.0</v>
      </c>
      <c r="AS215" s="208">
        <v>0.0</v>
      </c>
      <c r="AT215" s="208">
        <v>0.0</v>
      </c>
      <c r="AU215" s="208">
        <v>0.0</v>
      </c>
      <c r="AV215" s="208">
        <v>0.0</v>
      </c>
      <c r="AW215" s="208">
        <v>0.0</v>
      </c>
      <c r="AX215" s="208">
        <v>0.0</v>
      </c>
      <c r="AY215" s="208">
        <v>4.0</v>
      </c>
    </row>
    <row r="216">
      <c r="A216" s="208" t="s">
        <v>97</v>
      </c>
      <c r="B216" s="208" t="s">
        <v>1062</v>
      </c>
      <c r="C216" s="208" t="s">
        <v>109</v>
      </c>
      <c r="D216" s="208" t="s">
        <v>1062</v>
      </c>
      <c r="E216" s="208" t="s">
        <v>110</v>
      </c>
      <c r="F216" s="585">
        <v>45933.0</v>
      </c>
      <c r="G216" s="208" t="s">
        <v>97</v>
      </c>
      <c r="H216" s="208">
        <v>0.0</v>
      </c>
      <c r="I216" s="208">
        <v>0.0</v>
      </c>
      <c r="J216" s="208">
        <v>0.0</v>
      </c>
      <c r="K216" s="208">
        <v>0.0</v>
      </c>
      <c r="L216" s="536">
        <f t="shared" si="1"/>
        <v>0</v>
      </c>
      <c r="M216" s="208">
        <v>43.0</v>
      </c>
      <c r="N216" s="208">
        <v>0.0</v>
      </c>
      <c r="O216" s="208">
        <v>3.0</v>
      </c>
      <c r="P216" s="208">
        <v>46.0</v>
      </c>
      <c r="Q216" s="208">
        <v>46.0</v>
      </c>
      <c r="R216" s="208">
        <v>0.0</v>
      </c>
      <c r="S216" s="208">
        <v>0.0</v>
      </c>
      <c r="T216" s="208">
        <v>0.0</v>
      </c>
      <c r="U216" s="208">
        <v>0.0</v>
      </c>
      <c r="V216" s="208">
        <v>0.0</v>
      </c>
      <c r="W216" s="208">
        <v>0.0</v>
      </c>
      <c r="X216" s="208">
        <v>0.0</v>
      </c>
      <c r="Y216" s="208">
        <v>0.0</v>
      </c>
      <c r="Z216" s="208">
        <v>14.0</v>
      </c>
      <c r="AA216" s="208">
        <v>0.0</v>
      </c>
      <c r="AB216" s="208">
        <v>0.0</v>
      </c>
      <c r="AC216" s="208">
        <v>0.0</v>
      </c>
      <c r="AD216" s="208">
        <v>0.0</v>
      </c>
      <c r="AE216" s="208">
        <v>0.0</v>
      </c>
      <c r="AF216" s="208">
        <v>0.0</v>
      </c>
      <c r="AG216" s="208">
        <v>0.0</v>
      </c>
      <c r="AH216" s="208">
        <v>0.0</v>
      </c>
      <c r="AI216" s="208">
        <v>0.0</v>
      </c>
      <c r="AJ216" s="208">
        <v>0.0</v>
      </c>
      <c r="AK216" s="208">
        <v>0.0</v>
      </c>
      <c r="AL216" s="208">
        <v>27000.0</v>
      </c>
      <c r="AM216" s="208">
        <v>0.0</v>
      </c>
      <c r="AN216" s="208">
        <v>0.0</v>
      </c>
      <c r="AO216" s="208">
        <v>0.0</v>
      </c>
      <c r="AP216" s="208">
        <v>0.0</v>
      </c>
      <c r="AQ216" s="208">
        <v>0.0</v>
      </c>
      <c r="AR216" s="208">
        <v>0.0</v>
      </c>
      <c r="AS216" s="208">
        <v>0.0</v>
      </c>
      <c r="AT216" s="208">
        <v>0.0</v>
      </c>
      <c r="AU216" s="208">
        <v>0.0</v>
      </c>
      <c r="AV216" s="208">
        <v>0.0</v>
      </c>
      <c r="AW216" s="208">
        <v>0.0</v>
      </c>
      <c r="AX216" s="208">
        <v>0.0</v>
      </c>
      <c r="AY216" s="208">
        <v>46.0</v>
      </c>
    </row>
    <row r="217">
      <c r="A217" s="208" t="s">
        <v>47</v>
      </c>
      <c r="B217" s="208" t="s">
        <v>1094</v>
      </c>
      <c r="C217" s="208" t="s">
        <v>424</v>
      </c>
      <c r="D217" s="208" t="s">
        <v>1094</v>
      </c>
      <c r="E217" s="208" t="s">
        <v>425</v>
      </c>
      <c r="F217" s="584">
        <v>45944.0</v>
      </c>
      <c r="G217" s="208" t="s">
        <v>866</v>
      </c>
      <c r="H217" s="208">
        <v>0.0</v>
      </c>
      <c r="I217" s="208">
        <v>0.0</v>
      </c>
      <c r="J217" s="208">
        <v>0.0</v>
      </c>
      <c r="K217" s="208">
        <v>0.0</v>
      </c>
      <c r="L217" s="536">
        <f t="shared" si="1"/>
        <v>0</v>
      </c>
      <c r="M217" s="208">
        <v>0.0</v>
      </c>
      <c r="N217" s="208">
        <v>0.0</v>
      </c>
      <c r="O217" s="208">
        <v>0.0</v>
      </c>
      <c r="P217" s="208">
        <v>0.0</v>
      </c>
      <c r="Q217" s="208">
        <v>0.0</v>
      </c>
      <c r="R217" s="208">
        <v>0.0</v>
      </c>
      <c r="S217" s="208">
        <v>0.0</v>
      </c>
      <c r="T217" s="208">
        <v>0.0</v>
      </c>
      <c r="U217" s="208">
        <v>0.0</v>
      </c>
      <c r="V217" s="208">
        <v>0.0</v>
      </c>
      <c r="W217" s="208">
        <v>0.0</v>
      </c>
      <c r="X217" s="208">
        <v>0.0</v>
      </c>
      <c r="Y217" s="208">
        <v>0.0</v>
      </c>
      <c r="Z217" s="208">
        <v>0.0</v>
      </c>
      <c r="AA217" s="208">
        <v>0.0</v>
      </c>
      <c r="AB217" s="208">
        <v>0.0</v>
      </c>
      <c r="AC217" s="208">
        <v>0.0</v>
      </c>
      <c r="AD217" s="208">
        <v>0.0</v>
      </c>
      <c r="AE217" s="208">
        <v>0.0</v>
      </c>
      <c r="AF217" s="208">
        <v>0.0</v>
      </c>
      <c r="AG217" s="208">
        <v>0.0</v>
      </c>
      <c r="AH217" s="208">
        <v>0.0</v>
      </c>
      <c r="AI217" s="208">
        <v>0.0</v>
      </c>
      <c r="AJ217" s="208">
        <v>0.0</v>
      </c>
      <c r="AK217" s="208">
        <v>0.0</v>
      </c>
      <c r="AL217" s="208">
        <v>24115.0</v>
      </c>
      <c r="AM217" s="208">
        <v>0.0</v>
      </c>
      <c r="AN217" s="208">
        <v>0.0</v>
      </c>
      <c r="AO217" s="208">
        <v>0.0</v>
      </c>
      <c r="AP217" s="208">
        <v>0.0</v>
      </c>
      <c r="AQ217" s="208">
        <v>0.0</v>
      </c>
      <c r="AR217" s="208">
        <v>0.0</v>
      </c>
      <c r="AS217" s="208">
        <v>0.0</v>
      </c>
      <c r="AT217" s="208">
        <v>0.0</v>
      </c>
      <c r="AU217" s="208">
        <v>0.0</v>
      </c>
      <c r="AV217" s="208">
        <v>0.0</v>
      </c>
      <c r="AW217" s="208">
        <v>0.0</v>
      </c>
      <c r="AX217" s="208">
        <v>0.0</v>
      </c>
      <c r="AY217" s="208">
        <v>0.0</v>
      </c>
    </row>
    <row r="218">
      <c r="A218" s="208"/>
      <c r="B218" s="533"/>
      <c r="C218" s="208"/>
      <c r="D218" s="208"/>
      <c r="E218" s="208"/>
      <c r="F218" s="584"/>
      <c r="G218" s="208"/>
      <c r="H218" s="208"/>
      <c r="I218" s="208"/>
      <c r="J218" s="208"/>
      <c r="K218" s="208"/>
      <c r="L218" s="536"/>
      <c r="M218" s="208"/>
      <c r="N218" s="208"/>
      <c r="O218" s="208"/>
      <c r="P218" s="208"/>
      <c r="Q218" s="208"/>
      <c r="R218" s="208"/>
      <c r="S218" s="208"/>
      <c r="T218" s="208"/>
      <c r="U218" s="208"/>
      <c r="V218" s="208"/>
      <c r="W218" s="208"/>
      <c r="X218" s="208"/>
      <c r="Y218" s="208"/>
      <c r="Z218" s="208"/>
      <c r="AA218" s="208"/>
      <c r="AB218" s="208"/>
      <c r="AC218" s="208"/>
      <c r="AD218" s="208"/>
      <c r="AE218" s="208"/>
      <c r="AF218" s="208"/>
      <c r="AG218" s="208"/>
      <c r="AH218" s="208"/>
      <c r="AI218" s="208"/>
      <c r="AJ218" s="208"/>
      <c r="AK218" s="208"/>
      <c r="AL218" s="208"/>
      <c r="AM218" s="208"/>
      <c r="AN218" s="208"/>
      <c r="AO218" s="208"/>
      <c r="AP218" s="208"/>
      <c r="AQ218" s="208"/>
      <c r="AR218" s="208"/>
      <c r="AS218" s="208"/>
      <c r="AT218" s="208"/>
      <c r="AU218" s="208"/>
      <c r="AV218" s="208"/>
      <c r="AW218" s="208"/>
      <c r="AX218" s="208"/>
      <c r="AY218" s="208"/>
    </row>
    <row r="219">
      <c r="A219" s="208"/>
      <c r="B219" s="533"/>
      <c r="C219" s="208"/>
      <c r="D219" s="208" t="s">
        <v>1780</v>
      </c>
      <c r="E219" s="208" t="s">
        <v>1781</v>
      </c>
      <c r="F219" s="584"/>
      <c r="G219" s="208"/>
      <c r="H219" s="208"/>
      <c r="I219" s="208"/>
      <c r="J219" s="208"/>
      <c r="K219" s="208"/>
      <c r="L219" s="536"/>
      <c r="M219" s="208"/>
      <c r="N219" s="208"/>
      <c r="O219" s="208"/>
      <c r="P219" s="208"/>
      <c r="Q219" s="208"/>
      <c r="R219" s="208"/>
      <c r="S219" s="208"/>
      <c r="T219" s="208"/>
      <c r="U219" s="208"/>
      <c r="V219" s="208"/>
      <c r="W219" s="208"/>
      <c r="X219" s="208"/>
      <c r="Y219" s="208"/>
      <c r="Z219" s="208"/>
      <c r="AA219" s="208"/>
      <c r="AB219" s="208"/>
      <c r="AC219" s="208"/>
      <c r="AD219" s="208"/>
      <c r="AE219" s="208"/>
      <c r="AF219" s="208"/>
      <c r="AG219" s="208"/>
      <c r="AH219" s="208"/>
      <c r="AI219" s="208"/>
      <c r="AJ219" s="208"/>
      <c r="AK219" s="208"/>
      <c r="AL219" s="208"/>
      <c r="AM219" s="208"/>
      <c r="AN219" s="208"/>
      <c r="AO219" s="208"/>
      <c r="AP219" s="208"/>
      <c r="AQ219" s="208"/>
      <c r="AR219" s="208"/>
      <c r="AS219" s="208"/>
      <c r="AT219" s="208"/>
      <c r="AU219" s="208"/>
      <c r="AV219" s="208"/>
      <c r="AW219" s="208"/>
      <c r="AX219" s="208"/>
      <c r="AY219" s="208"/>
    </row>
    <row r="220">
      <c r="A220" s="208"/>
      <c r="B220" s="533" t="str">
        <f t="array" ref="B220:B246">UNIQUE(B2:B217)</f>
        <v>Odisha</v>
      </c>
      <c r="C220" s="208">
        <f>sumif(Data!$B:$B,$B220,Data!$I:$I)+sumif(Data!$B:$B,$B220,Data!$J:$J)</f>
        <v>166547074.1</v>
      </c>
      <c r="D220" s="208">
        <f t="shared" ref="D220:D246" si="2">sumif($B$1:$B$217,$B220,$L:$L)</f>
        <v>38600124.09</v>
      </c>
      <c r="E220" s="208">
        <f>sumif('25-26(Q1)'!$B:$B,$B220,'25-26(Q1)'!$I:$I)+sumif('25-26(Q1)'!$B:$B,$B220,'25-26(Q1)'!$J:$J)</f>
        <v>40174960.19</v>
      </c>
      <c r="F220" s="588">
        <f t="shared" ref="F220:F246" si="3">D220+E220</f>
        <v>78775084.28</v>
      </c>
      <c r="G220" s="588">
        <f t="shared" ref="G220:G246" si="4">F220-C220</f>
        <v>-87771989.79</v>
      </c>
      <c r="H220" s="208"/>
      <c r="I220" s="208"/>
      <c r="J220" s="208"/>
      <c r="K220" s="208"/>
      <c r="L220" s="536"/>
      <c r="M220" s="208"/>
      <c r="N220" s="208"/>
      <c r="O220" s="208"/>
      <c r="P220" s="208"/>
      <c r="Q220" s="208"/>
      <c r="R220" s="208"/>
      <c r="S220" s="208"/>
      <c r="T220" s="208"/>
      <c r="U220" s="208"/>
      <c r="V220" s="208"/>
      <c r="W220" s="208"/>
      <c r="X220" s="208"/>
      <c r="Y220" s="208"/>
      <c r="Z220" s="208"/>
      <c r="AA220" s="208"/>
      <c r="AB220" s="208"/>
      <c r="AC220" s="208"/>
      <c r="AD220" s="208"/>
      <c r="AE220" s="208"/>
      <c r="AF220" s="208"/>
      <c r="AG220" s="208"/>
      <c r="AH220" s="208"/>
      <c r="AI220" s="208"/>
      <c r="AJ220" s="208"/>
      <c r="AK220" s="208"/>
      <c r="AL220" s="208"/>
      <c r="AM220" s="208"/>
      <c r="AN220" s="208"/>
      <c r="AO220" s="208"/>
      <c r="AP220" s="208"/>
      <c r="AQ220" s="208"/>
      <c r="AR220" s="208"/>
      <c r="AS220" s="208"/>
      <c r="AT220" s="208"/>
      <c r="AU220" s="208"/>
      <c r="AV220" s="208"/>
      <c r="AW220" s="208"/>
      <c r="AX220" s="208"/>
      <c r="AY220" s="208"/>
    </row>
    <row r="221">
      <c r="A221" s="208"/>
      <c r="B221" s="533" t="s">
        <v>189</v>
      </c>
      <c r="C221" s="208">
        <f>sumif(Data!$B:$B,$B221,Data!$I:$I)+sumif(Data!$B:$B,$B221,Data!$J:$J)</f>
        <v>712137606.3</v>
      </c>
      <c r="D221" s="208">
        <f t="shared" si="2"/>
        <v>185890735.8</v>
      </c>
      <c r="E221" s="208">
        <f>sumif('25-26(Q1)'!$B:$B,$B221,'25-26(Q1)'!$I:$I)+sumif('25-26(Q1)'!$B:$B,$B221,'25-26(Q1)'!$J:$J)</f>
        <v>168522402.2</v>
      </c>
      <c r="F221" s="588">
        <f t="shared" si="3"/>
        <v>354413138</v>
      </c>
      <c r="G221" s="588">
        <f t="shared" si="4"/>
        <v>-357724468.3</v>
      </c>
      <c r="H221" s="208"/>
      <c r="I221" s="208"/>
      <c r="J221" s="208"/>
      <c r="K221" s="208"/>
      <c r="L221" s="536"/>
      <c r="M221" s="208"/>
      <c r="N221" s="208"/>
      <c r="O221" s="208"/>
      <c r="P221" s="208"/>
      <c r="Q221" s="208"/>
      <c r="R221" s="208"/>
      <c r="S221" s="208"/>
      <c r="T221" s="208"/>
      <c r="U221" s="208"/>
      <c r="V221" s="208"/>
      <c r="W221" s="208"/>
      <c r="X221" s="208"/>
      <c r="Y221" s="208"/>
      <c r="Z221" s="208"/>
      <c r="AA221" s="208"/>
      <c r="AB221" s="208"/>
      <c r="AC221" s="208"/>
      <c r="AD221" s="208"/>
      <c r="AE221" s="208"/>
      <c r="AF221" s="208"/>
      <c r="AG221" s="208"/>
      <c r="AH221" s="208"/>
      <c r="AI221" s="208"/>
      <c r="AJ221" s="208"/>
      <c r="AK221" s="208"/>
      <c r="AL221" s="208"/>
      <c r="AM221" s="208"/>
      <c r="AN221" s="208"/>
      <c r="AO221" s="208"/>
      <c r="AP221" s="208"/>
      <c r="AQ221" s="208"/>
      <c r="AR221" s="208"/>
      <c r="AS221" s="208"/>
      <c r="AT221" s="208"/>
      <c r="AU221" s="208"/>
      <c r="AV221" s="208"/>
      <c r="AW221" s="208"/>
      <c r="AX221" s="208"/>
      <c r="AY221" s="208"/>
    </row>
    <row r="222">
      <c r="A222" s="208"/>
      <c r="B222" s="533" t="s">
        <v>212</v>
      </c>
      <c r="C222" s="208">
        <f>sumif(Data!$B:$B,$B222,Data!$I:$I)+sumif(Data!$B:$B,$B222,Data!$J:$J)</f>
        <v>191223280.3</v>
      </c>
      <c r="D222" s="208">
        <f t="shared" si="2"/>
        <v>44095035.63</v>
      </c>
      <c r="E222" s="208">
        <f>sumif('25-26(Q1)'!$B:$B,$B222,'25-26(Q1)'!$I:$I)+sumif('25-26(Q1)'!$B:$B,$B222,'25-26(Q1)'!$J:$J)</f>
        <v>38879291.71</v>
      </c>
      <c r="F222" s="588">
        <f t="shared" si="3"/>
        <v>82974327.34</v>
      </c>
      <c r="G222" s="588">
        <f t="shared" si="4"/>
        <v>-108248952.9</v>
      </c>
      <c r="H222" s="208"/>
      <c r="I222" s="208"/>
      <c r="J222" s="208"/>
      <c r="K222" s="208"/>
      <c r="L222" s="536"/>
      <c r="M222" s="208"/>
      <c r="N222" s="208"/>
      <c r="O222" s="208"/>
      <c r="P222" s="208"/>
      <c r="Q222" s="208"/>
      <c r="R222" s="208"/>
      <c r="S222" s="208"/>
      <c r="T222" s="208"/>
      <c r="U222" s="208"/>
      <c r="V222" s="208"/>
      <c r="W222" s="208"/>
      <c r="X222" s="208"/>
      <c r="Y222" s="208"/>
      <c r="Z222" s="208"/>
      <c r="AA222" s="208"/>
      <c r="AB222" s="208"/>
      <c r="AC222" s="208"/>
      <c r="AD222" s="208"/>
      <c r="AE222" s="208"/>
      <c r="AF222" s="208"/>
      <c r="AG222" s="208"/>
      <c r="AH222" s="208"/>
      <c r="AI222" s="208"/>
      <c r="AJ222" s="208"/>
      <c r="AK222" s="208"/>
      <c r="AL222" s="208"/>
      <c r="AM222" s="208"/>
      <c r="AN222" s="208"/>
      <c r="AO222" s="208"/>
      <c r="AP222" s="208"/>
      <c r="AQ222" s="208"/>
      <c r="AR222" s="208"/>
      <c r="AS222" s="208"/>
      <c r="AT222" s="208"/>
      <c r="AU222" s="208"/>
      <c r="AV222" s="208"/>
      <c r="AW222" s="208"/>
      <c r="AX222" s="208"/>
      <c r="AY222" s="208"/>
    </row>
    <row r="223">
      <c r="A223" s="208"/>
      <c r="B223" s="533" t="s">
        <v>117</v>
      </c>
      <c r="C223" s="208">
        <f>sumif(Data!$B:$B,$B223,Data!$I:$I)+sumif(Data!$B:$B,$B223,Data!$J:$J)</f>
        <v>30491877.52</v>
      </c>
      <c r="D223" s="208">
        <f t="shared" si="2"/>
        <v>8473446.32</v>
      </c>
      <c r="E223" s="208">
        <f>sumif('25-26(Q1)'!$B:$B,$B223,'25-26(Q1)'!$I:$I)+sumif('25-26(Q1)'!$B:$B,$B223,'25-26(Q1)'!$J:$J)</f>
        <v>9368342.64</v>
      </c>
      <c r="F223" s="588">
        <f t="shared" si="3"/>
        <v>17841788.96</v>
      </c>
      <c r="G223" s="588">
        <f t="shared" si="4"/>
        <v>-12650088.56</v>
      </c>
      <c r="H223" s="208"/>
      <c r="I223" s="208"/>
      <c r="J223" s="208"/>
      <c r="K223" s="208"/>
      <c r="L223" s="536"/>
      <c r="M223" s="208"/>
      <c r="N223" s="208"/>
      <c r="O223" s="208"/>
      <c r="P223" s="208"/>
      <c r="Q223" s="208"/>
      <c r="R223" s="208"/>
      <c r="S223" s="208"/>
      <c r="T223" s="208"/>
      <c r="U223" s="208"/>
      <c r="V223" s="208"/>
      <c r="W223" s="208"/>
      <c r="X223" s="208"/>
      <c r="Y223" s="208"/>
      <c r="Z223" s="208"/>
      <c r="AA223" s="208"/>
      <c r="AB223" s="208"/>
      <c r="AC223" s="208"/>
      <c r="AD223" s="208"/>
      <c r="AE223" s="208"/>
      <c r="AF223" s="208"/>
      <c r="AG223" s="208"/>
      <c r="AH223" s="208"/>
      <c r="AI223" s="208"/>
      <c r="AJ223" s="208"/>
      <c r="AK223" s="208"/>
      <c r="AL223" s="208"/>
      <c r="AM223" s="208"/>
      <c r="AN223" s="208"/>
      <c r="AO223" s="208"/>
      <c r="AP223" s="208"/>
      <c r="AQ223" s="208"/>
      <c r="AR223" s="208"/>
      <c r="AS223" s="208"/>
      <c r="AT223" s="208"/>
      <c r="AU223" s="208"/>
      <c r="AV223" s="208"/>
      <c r="AW223" s="208"/>
      <c r="AX223" s="208"/>
      <c r="AY223" s="208"/>
    </row>
    <row r="224">
      <c r="A224" s="208"/>
      <c r="B224" s="533" t="s">
        <v>1228</v>
      </c>
      <c r="C224" s="208">
        <f>sumif(Data!$B:$B,$B224,Data!$I:$I)+sumif(Data!$B:$B,$B224,Data!$J:$J)</f>
        <v>0</v>
      </c>
      <c r="D224" s="208">
        <f t="shared" si="2"/>
        <v>7072460.9</v>
      </c>
      <c r="E224" s="208">
        <f>sumif('25-26(Q1)'!$B:$B,$B224,'25-26(Q1)'!$I:$I)+sumif('25-26(Q1)'!$B:$B,$B224,'25-26(Q1)'!$J:$J)</f>
        <v>8802994.89</v>
      </c>
      <c r="F224" s="588">
        <f t="shared" si="3"/>
        <v>15875455.79</v>
      </c>
      <c r="G224" s="588">
        <f t="shared" si="4"/>
        <v>15875455.79</v>
      </c>
      <c r="H224" s="208"/>
      <c r="I224" s="208"/>
      <c r="J224" s="208"/>
      <c r="K224" s="208"/>
      <c r="L224" s="536"/>
      <c r="M224" s="208"/>
      <c r="N224" s="208"/>
      <c r="O224" s="208"/>
      <c r="P224" s="208"/>
      <c r="Q224" s="208"/>
      <c r="R224" s="208"/>
      <c r="S224" s="208"/>
      <c r="T224" s="208"/>
      <c r="U224" s="208"/>
      <c r="V224" s="208"/>
      <c r="W224" s="208"/>
      <c r="X224" s="208"/>
      <c r="Y224" s="208"/>
      <c r="Z224" s="208"/>
      <c r="AA224" s="208"/>
      <c r="AB224" s="208"/>
      <c r="AC224" s="208"/>
      <c r="AD224" s="208"/>
      <c r="AE224" s="208"/>
      <c r="AF224" s="208"/>
      <c r="AG224" s="208"/>
      <c r="AH224" s="208"/>
      <c r="AI224" s="208"/>
      <c r="AJ224" s="208"/>
      <c r="AK224" s="208"/>
      <c r="AL224" s="208"/>
      <c r="AM224" s="208"/>
      <c r="AN224" s="208"/>
      <c r="AO224" s="208"/>
      <c r="AP224" s="208"/>
      <c r="AQ224" s="208"/>
      <c r="AR224" s="208"/>
      <c r="AS224" s="208"/>
      <c r="AT224" s="208"/>
      <c r="AU224" s="208"/>
      <c r="AV224" s="208"/>
      <c r="AW224" s="208"/>
      <c r="AX224" s="208"/>
      <c r="AY224" s="208"/>
    </row>
    <row r="225">
      <c r="A225" s="208"/>
      <c r="B225" s="533" t="s">
        <v>301</v>
      </c>
      <c r="C225" s="208">
        <f>sumif(Data!$B:$B,$B225,Data!$I:$I)+sumif(Data!$B:$B,$B225,Data!$J:$J)</f>
        <v>121320984.7</v>
      </c>
      <c r="D225" s="208">
        <f t="shared" si="2"/>
        <v>37037427.34</v>
      </c>
      <c r="E225" s="208">
        <f>sumif('25-26(Q1)'!$B:$B,$B225,'25-26(Q1)'!$I:$I)+sumif('25-26(Q1)'!$B:$B,$B225,'25-26(Q1)'!$J:$J)</f>
        <v>27662245.73</v>
      </c>
      <c r="F225" s="588">
        <f t="shared" si="3"/>
        <v>64699673.07</v>
      </c>
      <c r="G225" s="588">
        <f t="shared" si="4"/>
        <v>-56621311.58</v>
      </c>
      <c r="H225" s="208"/>
      <c r="I225" s="208"/>
      <c r="J225" s="208"/>
      <c r="K225" s="208"/>
      <c r="L225" s="536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208"/>
      <c r="AM225" s="208"/>
      <c r="AN225" s="208"/>
      <c r="AO225" s="208"/>
      <c r="AP225" s="208"/>
      <c r="AQ225" s="208"/>
      <c r="AR225" s="208"/>
      <c r="AS225" s="208"/>
      <c r="AT225" s="208"/>
      <c r="AU225" s="208"/>
      <c r="AV225" s="208"/>
      <c r="AW225" s="208"/>
      <c r="AX225" s="208"/>
      <c r="AY225" s="208"/>
    </row>
    <row r="226">
      <c r="A226" s="208"/>
      <c r="B226" s="533" t="s">
        <v>325</v>
      </c>
      <c r="C226" s="208">
        <f>sumif(Data!$B:$B,$B226,Data!$I:$I)+sumif(Data!$B:$B,$B226,Data!$J:$J)</f>
        <v>16549629.81</v>
      </c>
      <c r="D226" s="208">
        <f t="shared" si="2"/>
        <v>4374538.06</v>
      </c>
      <c r="E226" s="208">
        <f>sumif('25-26(Q1)'!$B:$B,$B226,'25-26(Q1)'!$I:$I)+sumif('25-26(Q1)'!$B:$B,$B226,'25-26(Q1)'!$J:$J)</f>
        <v>3377580.92</v>
      </c>
      <c r="F226" s="588">
        <f t="shared" si="3"/>
        <v>7752118.98</v>
      </c>
      <c r="G226" s="588">
        <f t="shared" si="4"/>
        <v>-8797510.83</v>
      </c>
      <c r="H226" s="208"/>
      <c r="I226" s="208"/>
      <c r="J226" s="208"/>
      <c r="K226" s="208"/>
      <c r="L226" s="536"/>
      <c r="M226" s="208"/>
      <c r="N226" s="208"/>
      <c r="O226" s="208"/>
      <c r="P226" s="208"/>
      <c r="Q226" s="208"/>
      <c r="R226" s="208"/>
      <c r="S226" s="208"/>
      <c r="T226" s="208"/>
      <c r="U226" s="208"/>
      <c r="V226" s="208"/>
      <c r="W226" s="208"/>
      <c r="X226" s="208"/>
      <c r="Y226" s="208"/>
      <c r="Z226" s="208"/>
      <c r="AA226" s="208"/>
      <c r="AB226" s="208"/>
      <c r="AC226" s="208"/>
      <c r="AD226" s="208"/>
      <c r="AE226" s="208"/>
      <c r="AF226" s="208"/>
      <c r="AG226" s="208"/>
      <c r="AH226" s="208"/>
      <c r="AI226" s="208"/>
      <c r="AJ226" s="208"/>
      <c r="AK226" s="208"/>
      <c r="AL226" s="208"/>
      <c r="AM226" s="208"/>
      <c r="AN226" s="208"/>
      <c r="AO226" s="208"/>
      <c r="AP226" s="208"/>
      <c r="AQ226" s="208"/>
      <c r="AR226" s="208"/>
      <c r="AS226" s="208"/>
      <c r="AT226" s="208"/>
      <c r="AU226" s="208"/>
      <c r="AV226" s="208"/>
      <c r="AW226" s="208"/>
      <c r="AX226" s="208"/>
      <c r="AY226" s="208"/>
    </row>
    <row r="227">
      <c r="A227" s="208"/>
      <c r="B227" s="533" t="s">
        <v>130</v>
      </c>
      <c r="C227" s="208">
        <f>sumif(Data!$B:$B,$B227,Data!$I:$I)+sumif(Data!$B:$B,$B227,Data!$J:$J)</f>
        <v>289890784.8</v>
      </c>
      <c r="D227" s="208">
        <f t="shared" si="2"/>
        <v>73519025.5</v>
      </c>
      <c r="E227" s="208">
        <f>sumif('25-26(Q1)'!$B:$B,$B227,'25-26(Q1)'!$I:$I)+sumif('25-26(Q1)'!$B:$B,$B227,'25-26(Q1)'!$J:$J)</f>
        <v>67297846.25</v>
      </c>
      <c r="F227" s="588">
        <f t="shared" si="3"/>
        <v>140816871.8</v>
      </c>
      <c r="G227" s="588">
        <f t="shared" si="4"/>
        <v>-149073913</v>
      </c>
      <c r="H227" s="208"/>
      <c r="I227" s="208"/>
      <c r="J227" s="208"/>
      <c r="K227" s="208"/>
      <c r="L227" s="536"/>
      <c r="M227" s="208"/>
      <c r="N227" s="208"/>
      <c r="O227" s="208"/>
      <c r="P227" s="208"/>
      <c r="Q227" s="208"/>
      <c r="R227" s="208"/>
      <c r="S227" s="208"/>
      <c r="T227" s="208"/>
      <c r="U227" s="208"/>
      <c r="V227" s="208"/>
      <c r="W227" s="208"/>
      <c r="X227" s="208"/>
      <c r="Y227" s="208"/>
      <c r="Z227" s="208"/>
      <c r="AA227" s="208"/>
      <c r="AB227" s="208"/>
      <c r="AC227" s="208"/>
      <c r="AD227" s="208"/>
      <c r="AE227" s="208"/>
      <c r="AF227" s="208"/>
      <c r="AG227" s="208"/>
      <c r="AH227" s="208"/>
      <c r="AI227" s="208"/>
      <c r="AJ227" s="208"/>
      <c r="AK227" s="208"/>
      <c r="AL227" s="208"/>
      <c r="AM227" s="208"/>
      <c r="AN227" s="208"/>
      <c r="AO227" s="208"/>
      <c r="AP227" s="208"/>
      <c r="AQ227" s="208"/>
      <c r="AR227" s="208"/>
      <c r="AS227" s="208"/>
      <c r="AT227" s="208"/>
      <c r="AU227" s="208"/>
      <c r="AV227" s="208"/>
      <c r="AW227" s="208"/>
      <c r="AX227" s="208"/>
      <c r="AY227" s="208"/>
    </row>
    <row r="228">
      <c r="A228" s="208"/>
      <c r="B228" s="533" t="s">
        <v>135</v>
      </c>
      <c r="C228" s="208">
        <f>sumif(Data!$B:$B,$B228,Data!$I:$I)+sumif(Data!$B:$B,$B228,Data!$J:$J)</f>
        <v>135138019.1</v>
      </c>
      <c r="D228" s="208">
        <f t="shared" si="2"/>
        <v>29811969.29</v>
      </c>
      <c r="E228" s="208">
        <f>sumif('25-26(Q1)'!$B:$B,$B228,'25-26(Q1)'!$I:$I)+sumif('25-26(Q1)'!$B:$B,$B228,'25-26(Q1)'!$J:$J)</f>
        <v>27449841.18</v>
      </c>
      <c r="F228" s="588">
        <f t="shared" si="3"/>
        <v>57261810.47</v>
      </c>
      <c r="G228" s="588">
        <f t="shared" si="4"/>
        <v>-77876208.62</v>
      </c>
      <c r="H228" s="208"/>
      <c r="I228" s="208"/>
      <c r="J228" s="208"/>
      <c r="K228" s="208"/>
      <c r="L228" s="536"/>
      <c r="M228" s="208"/>
      <c r="N228" s="208"/>
      <c r="O228" s="208"/>
      <c r="P228" s="208"/>
      <c r="Q228" s="208"/>
      <c r="R228" s="208"/>
      <c r="S228" s="208"/>
      <c r="T228" s="208"/>
      <c r="U228" s="208"/>
      <c r="V228" s="208"/>
      <c r="W228" s="208"/>
      <c r="X228" s="208"/>
      <c r="Y228" s="208"/>
      <c r="Z228" s="208"/>
      <c r="AA228" s="208"/>
      <c r="AB228" s="208"/>
      <c r="AC228" s="208"/>
      <c r="AD228" s="208"/>
      <c r="AE228" s="208"/>
      <c r="AF228" s="208"/>
      <c r="AG228" s="208"/>
      <c r="AH228" s="208"/>
      <c r="AI228" s="208"/>
      <c r="AJ228" s="208"/>
      <c r="AK228" s="208"/>
      <c r="AL228" s="208"/>
      <c r="AM228" s="208"/>
      <c r="AN228" s="208"/>
      <c r="AO228" s="208"/>
      <c r="AP228" s="208"/>
      <c r="AQ228" s="208"/>
      <c r="AR228" s="208"/>
      <c r="AS228" s="208"/>
      <c r="AT228" s="208"/>
      <c r="AU228" s="208"/>
      <c r="AV228" s="208"/>
      <c r="AW228" s="208"/>
      <c r="AX228" s="208"/>
      <c r="AY228" s="208"/>
    </row>
    <row r="229">
      <c r="A229" s="208"/>
      <c r="B229" s="533" t="s">
        <v>85</v>
      </c>
      <c r="C229" s="208">
        <f>sumif(Data!$B:$B,$B229,Data!$I:$I)+sumif(Data!$B:$B,$B229,Data!$J:$J)</f>
        <v>53495020.78</v>
      </c>
      <c r="D229" s="208">
        <f t="shared" si="2"/>
        <v>15091077.71</v>
      </c>
      <c r="E229" s="208">
        <f>sumif('25-26(Q1)'!$B:$B,$B229,'25-26(Q1)'!$I:$I)+sumif('25-26(Q1)'!$B:$B,$B229,'25-26(Q1)'!$J:$J)</f>
        <v>13370255.13</v>
      </c>
      <c r="F229" s="588">
        <f t="shared" si="3"/>
        <v>28461332.84</v>
      </c>
      <c r="G229" s="588">
        <f t="shared" si="4"/>
        <v>-25033687.94</v>
      </c>
      <c r="H229" s="208"/>
      <c r="I229" s="208"/>
      <c r="J229" s="208"/>
      <c r="K229" s="208"/>
      <c r="L229" s="536"/>
      <c r="M229" s="208"/>
      <c r="N229" s="208"/>
      <c r="O229" s="208"/>
      <c r="P229" s="208"/>
      <c r="Q229" s="208"/>
      <c r="R229" s="208"/>
      <c r="S229" s="208"/>
      <c r="T229" s="208"/>
      <c r="U229" s="208"/>
      <c r="V229" s="208"/>
      <c r="W229" s="208"/>
      <c r="X229" s="208"/>
      <c r="Y229" s="208"/>
      <c r="Z229" s="208"/>
      <c r="AA229" s="208"/>
      <c r="AB229" s="208"/>
      <c r="AC229" s="208"/>
      <c r="AD229" s="208"/>
      <c r="AE229" s="208"/>
      <c r="AF229" s="208"/>
      <c r="AG229" s="208"/>
      <c r="AH229" s="208"/>
      <c r="AI229" s="208"/>
      <c r="AJ229" s="208"/>
      <c r="AK229" s="208"/>
      <c r="AL229" s="208"/>
      <c r="AM229" s="208"/>
      <c r="AN229" s="208"/>
      <c r="AO229" s="208"/>
      <c r="AP229" s="208"/>
      <c r="AQ229" s="208"/>
      <c r="AR229" s="208"/>
      <c r="AS229" s="208"/>
      <c r="AT229" s="208"/>
      <c r="AU229" s="208"/>
      <c r="AV229" s="208"/>
      <c r="AW229" s="208"/>
      <c r="AX229" s="208"/>
      <c r="AY229" s="208"/>
    </row>
    <row r="230">
      <c r="A230" s="208"/>
      <c r="B230" s="533" t="s">
        <v>222</v>
      </c>
      <c r="C230" s="208">
        <f>sumif(Data!$B:$B,$B230,Data!$I:$I)+sumif(Data!$B:$B,$B230,Data!$J:$J)</f>
        <v>105746138.6</v>
      </c>
      <c r="D230" s="208">
        <f t="shared" si="2"/>
        <v>28882983.57</v>
      </c>
      <c r="E230" s="208">
        <f>sumif('25-26(Q1)'!$B:$B,$B230,'25-26(Q1)'!$I:$I)+sumif('25-26(Q1)'!$B:$B,$B230,'25-26(Q1)'!$J:$J)</f>
        <v>29294938.47</v>
      </c>
      <c r="F230" s="588">
        <f t="shared" si="3"/>
        <v>58177922.04</v>
      </c>
      <c r="G230" s="588">
        <f t="shared" si="4"/>
        <v>-47568216.51</v>
      </c>
      <c r="H230" s="208"/>
      <c r="I230" s="208"/>
      <c r="J230" s="208"/>
      <c r="K230" s="208"/>
      <c r="L230" s="536"/>
      <c r="M230" s="208"/>
      <c r="N230" s="208"/>
      <c r="O230" s="208"/>
      <c r="P230" s="208"/>
      <c r="Q230" s="208"/>
      <c r="R230" s="208"/>
      <c r="S230" s="208"/>
      <c r="T230" s="208"/>
      <c r="U230" s="208"/>
      <c r="V230" s="208"/>
      <c r="W230" s="208"/>
      <c r="X230" s="208"/>
      <c r="Y230" s="208"/>
      <c r="Z230" s="208"/>
      <c r="AA230" s="208"/>
      <c r="AB230" s="208"/>
      <c r="AC230" s="208"/>
      <c r="AD230" s="208"/>
      <c r="AE230" s="208"/>
      <c r="AF230" s="208"/>
      <c r="AG230" s="208"/>
      <c r="AH230" s="208"/>
      <c r="AI230" s="208"/>
      <c r="AJ230" s="208"/>
      <c r="AK230" s="208"/>
      <c r="AL230" s="208"/>
      <c r="AM230" s="208"/>
      <c r="AN230" s="208"/>
      <c r="AO230" s="208"/>
      <c r="AP230" s="208"/>
      <c r="AQ230" s="208"/>
      <c r="AR230" s="208"/>
      <c r="AS230" s="208"/>
      <c r="AT230" s="208"/>
      <c r="AU230" s="208"/>
      <c r="AV230" s="208"/>
      <c r="AW230" s="208"/>
      <c r="AX230" s="208"/>
      <c r="AY230" s="208"/>
    </row>
    <row r="231">
      <c r="A231" s="208"/>
      <c r="B231" s="533" t="s">
        <v>140</v>
      </c>
      <c r="C231" s="208">
        <f>sumif(Data!$B:$B,$B231,Data!$I:$I)+sumif(Data!$B:$B,$B231,Data!$J:$J)</f>
        <v>26072837.17</v>
      </c>
      <c r="D231" s="208">
        <f t="shared" si="2"/>
        <v>6260717.49</v>
      </c>
      <c r="E231" s="208">
        <f>sumif('25-26(Q1)'!$B:$B,$B231,'25-26(Q1)'!$I:$I)+sumif('25-26(Q1)'!$B:$B,$B231,'25-26(Q1)'!$J:$J)</f>
        <v>5039882.91</v>
      </c>
      <c r="F231" s="588">
        <f t="shared" si="3"/>
        <v>11300600.4</v>
      </c>
      <c r="G231" s="588">
        <f t="shared" si="4"/>
        <v>-14772236.77</v>
      </c>
      <c r="H231" s="208"/>
      <c r="I231" s="208"/>
      <c r="J231" s="208"/>
      <c r="K231" s="208"/>
      <c r="L231" s="536"/>
      <c r="M231" s="208"/>
      <c r="N231" s="208"/>
      <c r="O231" s="208"/>
      <c r="P231" s="208"/>
      <c r="Q231" s="208"/>
      <c r="R231" s="208"/>
      <c r="S231" s="208"/>
      <c r="T231" s="208"/>
      <c r="U231" s="208"/>
      <c r="V231" s="208"/>
      <c r="W231" s="208"/>
      <c r="X231" s="208"/>
      <c r="Y231" s="208"/>
      <c r="Z231" s="208"/>
      <c r="AA231" s="208"/>
      <c r="AB231" s="208"/>
      <c r="AC231" s="208"/>
      <c r="AD231" s="208"/>
      <c r="AE231" s="208"/>
      <c r="AF231" s="208"/>
      <c r="AG231" s="208"/>
      <c r="AH231" s="208"/>
      <c r="AI231" s="208"/>
      <c r="AJ231" s="208"/>
      <c r="AK231" s="208"/>
      <c r="AL231" s="208"/>
      <c r="AM231" s="208"/>
      <c r="AN231" s="208"/>
      <c r="AO231" s="208"/>
      <c r="AP231" s="208"/>
      <c r="AQ231" s="208"/>
      <c r="AR231" s="208"/>
      <c r="AS231" s="208"/>
      <c r="AT231" s="208"/>
      <c r="AU231" s="208"/>
      <c r="AV231" s="208"/>
      <c r="AW231" s="208"/>
      <c r="AX231" s="208"/>
      <c r="AY231" s="208"/>
    </row>
    <row r="232">
      <c r="A232" s="208"/>
      <c r="B232" s="533" t="s">
        <v>101</v>
      </c>
      <c r="C232" s="208">
        <f>sumif(Data!$B:$B,$B232,Data!$I:$I)+sumif(Data!$B:$B,$B232,Data!$J:$J)</f>
        <v>76413509.24</v>
      </c>
      <c r="D232" s="208">
        <f t="shared" si="2"/>
        <v>17908009.6</v>
      </c>
      <c r="E232" s="208">
        <f>sumif('25-26(Q1)'!$B:$B,$B232,'25-26(Q1)'!$I:$I)+sumif('25-26(Q1)'!$B:$B,$B232,'25-26(Q1)'!$J:$J)</f>
        <v>18478042.44</v>
      </c>
      <c r="F232" s="588">
        <f t="shared" si="3"/>
        <v>36386052.04</v>
      </c>
      <c r="G232" s="588">
        <f t="shared" si="4"/>
        <v>-40027457.2</v>
      </c>
      <c r="H232" s="208"/>
      <c r="I232" s="208"/>
      <c r="J232" s="208"/>
      <c r="K232" s="208"/>
      <c r="L232" s="536"/>
      <c r="M232" s="208"/>
      <c r="N232" s="208"/>
      <c r="O232" s="208"/>
      <c r="P232" s="208"/>
      <c r="Q232" s="208"/>
      <c r="R232" s="208"/>
      <c r="S232" s="208"/>
      <c r="T232" s="208"/>
      <c r="U232" s="208"/>
      <c r="V232" s="208"/>
      <c r="W232" s="208"/>
      <c r="X232" s="208"/>
      <c r="Y232" s="208"/>
      <c r="Z232" s="208"/>
      <c r="AA232" s="208"/>
      <c r="AB232" s="208"/>
      <c r="AC232" s="208"/>
      <c r="AD232" s="208"/>
      <c r="AE232" s="208"/>
      <c r="AF232" s="208"/>
      <c r="AG232" s="208"/>
      <c r="AH232" s="208"/>
      <c r="AI232" s="208"/>
      <c r="AJ232" s="208"/>
      <c r="AK232" s="208"/>
      <c r="AL232" s="208"/>
      <c r="AM232" s="208"/>
      <c r="AN232" s="208"/>
      <c r="AO232" s="208"/>
      <c r="AP232" s="208"/>
      <c r="AQ232" s="208"/>
      <c r="AR232" s="208"/>
      <c r="AS232" s="208"/>
      <c r="AT232" s="208"/>
      <c r="AU232" s="208"/>
      <c r="AV232" s="208"/>
      <c r="AW232" s="208"/>
      <c r="AX232" s="208"/>
      <c r="AY232" s="208"/>
    </row>
    <row r="233">
      <c r="A233" s="208"/>
      <c r="B233" s="533" t="s">
        <v>215</v>
      </c>
      <c r="C233" s="208">
        <f>sumif(Data!$B:$B,$B233,Data!$I:$I)+sumif(Data!$B:$B,$B233,Data!$J:$J)</f>
        <v>170789036.2</v>
      </c>
      <c r="D233" s="208">
        <f t="shared" si="2"/>
        <v>45001600.63</v>
      </c>
      <c r="E233" s="208">
        <f>sumif('25-26(Q1)'!$B:$B,$B233,'25-26(Q1)'!$I:$I)+sumif('25-26(Q1)'!$B:$B,$B233,'25-26(Q1)'!$J:$J)</f>
        <v>27912180.76</v>
      </c>
      <c r="F233" s="588">
        <f t="shared" si="3"/>
        <v>72913781.39</v>
      </c>
      <c r="G233" s="588">
        <f t="shared" si="4"/>
        <v>-97875254.78</v>
      </c>
      <c r="H233" s="208"/>
      <c r="I233" s="208"/>
      <c r="J233" s="208"/>
      <c r="K233" s="208"/>
      <c r="L233" s="536"/>
      <c r="M233" s="208"/>
      <c r="N233" s="208"/>
      <c r="O233" s="208"/>
      <c r="P233" s="208"/>
      <c r="Q233" s="208"/>
      <c r="R233" s="208"/>
      <c r="S233" s="208"/>
      <c r="T233" s="208"/>
      <c r="U233" s="208"/>
      <c r="V233" s="208"/>
      <c r="W233" s="208"/>
      <c r="X233" s="208"/>
      <c r="Y233" s="208"/>
      <c r="Z233" s="208"/>
      <c r="AA233" s="208"/>
      <c r="AB233" s="208"/>
      <c r="AC233" s="208"/>
      <c r="AD233" s="208"/>
      <c r="AE233" s="208"/>
      <c r="AF233" s="208"/>
      <c r="AG233" s="208"/>
      <c r="AH233" s="208"/>
      <c r="AI233" s="208"/>
      <c r="AJ233" s="208"/>
      <c r="AK233" s="208"/>
      <c r="AL233" s="208"/>
      <c r="AM233" s="208"/>
      <c r="AN233" s="208"/>
      <c r="AO233" s="208"/>
      <c r="AP233" s="208"/>
      <c r="AQ233" s="208"/>
      <c r="AR233" s="208"/>
      <c r="AS233" s="208"/>
      <c r="AT233" s="208"/>
      <c r="AU233" s="208"/>
      <c r="AV233" s="208"/>
      <c r="AW233" s="208"/>
      <c r="AX233" s="208"/>
      <c r="AY233" s="208"/>
    </row>
    <row r="234">
      <c r="A234" s="208"/>
      <c r="B234" s="533" t="s">
        <v>61</v>
      </c>
      <c r="C234" s="208">
        <f>sumif(Data!$B:$B,$B234,Data!$I:$I)+sumif(Data!$B:$B,$B234,Data!$J:$J)</f>
        <v>15006956.06</v>
      </c>
      <c r="D234" s="208">
        <f t="shared" si="2"/>
        <v>4140044.28</v>
      </c>
      <c r="E234" s="208">
        <f>sumif('25-26(Q1)'!$B:$B,$B234,'25-26(Q1)'!$I:$I)+sumif('25-26(Q1)'!$B:$B,$B234,'25-26(Q1)'!$J:$J)</f>
        <v>5007063.77</v>
      </c>
      <c r="F234" s="588">
        <f t="shared" si="3"/>
        <v>9147108.05</v>
      </c>
      <c r="G234" s="588">
        <f t="shared" si="4"/>
        <v>-5859848.01</v>
      </c>
      <c r="H234" s="208"/>
      <c r="I234" s="208"/>
      <c r="J234" s="208"/>
      <c r="K234" s="208"/>
      <c r="L234" s="536"/>
      <c r="M234" s="208"/>
      <c r="N234" s="208"/>
      <c r="O234" s="208"/>
      <c r="P234" s="208"/>
      <c r="Q234" s="208"/>
      <c r="R234" s="208"/>
      <c r="S234" s="208"/>
      <c r="T234" s="208"/>
      <c r="U234" s="208"/>
      <c r="V234" s="208"/>
      <c r="W234" s="208"/>
      <c r="X234" s="208"/>
      <c r="Y234" s="208"/>
      <c r="Z234" s="208"/>
      <c r="AA234" s="208"/>
      <c r="AB234" s="208"/>
      <c r="AC234" s="208"/>
      <c r="AD234" s="208"/>
      <c r="AE234" s="208"/>
      <c r="AF234" s="208"/>
      <c r="AG234" s="208"/>
      <c r="AH234" s="208"/>
      <c r="AI234" s="208"/>
      <c r="AJ234" s="208"/>
      <c r="AK234" s="208"/>
      <c r="AL234" s="208"/>
      <c r="AM234" s="208"/>
      <c r="AN234" s="208"/>
      <c r="AO234" s="208"/>
      <c r="AP234" s="208"/>
      <c r="AQ234" s="208"/>
      <c r="AR234" s="208"/>
      <c r="AS234" s="208"/>
      <c r="AT234" s="208"/>
      <c r="AU234" s="208"/>
      <c r="AV234" s="208"/>
      <c r="AW234" s="208"/>
      <c r="AX234" s="208"/>
      <c r="AY234" s="208"/>
    </row>
    <row r="235">
      <c r="A235" s="208"/>
      <c r="B235" s="533" t="s">
        <v>1229</v>
      </c>
      <c r="C235" s="208">
        <f>sumif(Data!$B:$B,$B235,Data!$I:$I)+sumif(Data!$B:$B,$B235,Data!$J:$J)</f>
        <v>0</v>
      </c>
      <c r="D235" s="208">
        <f t="shared" si="2"/>
        <v>9487001.03</v>
      </c>
      <c r="E235" s="208">
        <f>sumif('25-26(Q1)'!$B:$B,$B235,'25-26(Q1)'!$I:$I)+sumif('25-26(Q1)'!$B:$B,$B235,'25-26(Q1)'!$J:$J)</f>
        <v>6370077.36</v>
      </c>
      <c r="F235" s="588">
        <f t="shared" si="3"/>
        <v>15857078.39</v>
      </c>
      <c r="G235" s="588">
        <f t="shared" si="4"/>
        <v>15857078.39</v>
      </c>
      <c r="H235" s="208"/>
      <c r="I235" s="208"/>
      <c r="J235" s="208"/>
      <c r="K235" s="208"/>
      <c r="L235" s="536"/>
      <c r="M235" s="208"/>
      <c r="N235" s="208"/>
      <c r="O235" s="208"/>
      <c r="P235" s="208"/>
      <c r="Q235" s="208"/>
      <c r="R235" s="208"/>
      <c r="S235" s="208"/>
      <c r="T235" s="208"/>
      <c r="U235" s="208"/>
      <c r="V235" s="208"/>
      <c r="W235" s="208"/>
      <c r="X235" s="208"/>
      <c r="Y235" s="208"/>
      <c r="Z235" s="208"/>
      <c r="AA235" s="208"/>
      <c r="AB235" s="208"/>
      <c r="AC235" s="208"/>
      <c r="AD235" s="208"/>
      <c r="AE235" s="208"/>
      <c r="AF235" s="208"/>
      <c r="AG235" s="208"/>
      <c r="AH235" s="208"/>
      <c r="AI235" s="208"/>
      <c r="AJ235" s="208"/>
      <c r="AK235" s="208"/>
      <c r="AL235" s="208"/>
      <c r="AM235" s="208"/>
      <c r="AN235" s="208"/>
      <c r="AO235" s="208"/>
      <c r="AP235" s="208"/>
      <c r="AQ235" s="208"/>
      <c r="AR235" s="208"/>
      <c r="AS235" s="208"/>
      <c r="AT235" s="208"/>
      <c r="AU235" s="208"/>
      <c r="AV235" s="208"/>
      <c r="AW235" s="208"/>
      <c r="AX235" s="208"/>
      <c r="AY235" s="208"/>
    </row>
    <row r="236">
      <c r="A236" s="208"/>
      <c r="B236" s="533" t="s">
        <v>30</v>
      </c>
      <c r="C236" s="208">
        <f>sumif(Data!$B:$B,$B236,Data!$I:$I)+sumif(Data!$B:$B,$B236,Data!$J:$J)</f>
        <v>58560324.68</v>
      </c>
      <c r="D236" s="208">
        <f t="shared" si="2"/>
        <v>15522530.56</v>
      </c>
      <c r="E236" s="208">
        <f>sumif('25-26(Q1)'!$B:$B,$B236,'25-26(Q1)'!$I:$I)+sumif('25-26(Q1)'!$B:$B,$B236,'25-26(Q1)'!$J:$J)</f>
        <v>15208773.62</v>
      </c>
      <c r="F236" s="588">
        <f t="shared" si="3"/>
        <v>30731304.18</v>
      </c>
      <c r="G236" s="588">
        <f t="shared" si="4"/>
        <v>-27829020.5</v>
      </c>
      <c r="H236" s="208"/>
      <c r="I236" s="208"/>
      <c r="J236" s="208"/>
      <c r="K236" s="208"/>
      <c r="L236" s="536"/>
      <c r="M236" s="208"/>
      <c r="N236" s="208"/>
      <c r="O236" s="208"/>
      <c r="P236" s="208"/>
      <c r="Q236" s="208"/>
      <c r="R236" s="208"/>
      <c r="S236" s="208"/>
      <c r="T236" s="208"/>
      <c r="U236" s="208"/>
      <c r="V236" s="208"/>
      <c r="W236" s="208"/>
      <c r="X236" s="208"/>
      <c r="Y236" s="208"/>
      <c r="Z236" s="208"/>
      <c r="AA236" s="208"/>
      <c r="AB236" s="208"/>
      <c r="AC236" s="208"/>
      <c r="AD236" s="208"/>
      <c r="AE236" s="208"/>
      <c r="AF236" s="208"/>
      <c r="AG236" s="208"/>
      <c r="AH236" s="208"/>
      <c r="AI236" s="208"/>
      <c r="AJ236" s="208"/>
      <c r="AK236" s="208"/>
      <c r="AL236" s="208"/>
      <c r="AM236" s="208"/>
      <c r="AN236" s="208"/>
      <c r="AO236" s="208"/>
      <c r="AP236" s="208"/>
      <c r="AQ236" s="208"/>
      <c r="AR236" s="208"/>
      <c r="AS236" s="208"/>
      <c r="AT236" s="208"/>
      <c r="AU236" s="208"/>
      <c r="AV236" s="208"/>
      <c r="AW236" s="208"/>
      <c r="AX236" s="208"/>
      <c r="AY236" s="208"/>
    </row>
    <row r="237">
      <c r="A237" s="208"/>
      <c r="B237" s="533" t="s">
        <v>27</v>
      </c>
      <c r="C237" s="208">
        <f>sumif(Data!$B:$B,$B237,Data!$I:$I)+sumif(Data!$B:$B,$B237,Data!$J:$J)</f>
        <v>21315405.94</v>
      </c>
      <c r="D237" s="208">
        <f t="shared" si="2"/>
        <v>6060915.87</v>
      </c>
      <c r="E237" s="208">
        <f>sumif('25-26(Q1)'!$B:$B,$B237,'25-26(Q1)'!$I:$I)+sumif('25-26(Q1)'!$B:$B,$B237,'25-26(Q1)'!$J:$J)</f>
        <v>6066985.64</v>
      </c>
      <c r="F237" s="588">
        <f t="shared" si="3"/>
        <v>12127901.51</v>
      </c>
      <c r="G237" s="588">
        <f t="shared" si="4"/>
        <v>-9187504.43</v>
      </c>
      <c r="H237" s="208"/>
      <c r="I237" s="208"/>
      <c r="J237" s="208"/>
      <c r="K237" s="208"/>
      <c r="L237" s="536"/>
      <c r="M237" s="208"/>
      <c r="N237" s="208"/>
      <c r="O237" s="208"/>
      <c r="P237" s="208"/>
      <c r="Q237" s="208"/>
      <c r="R237" s="208"/>
      <c r="S237" s="208"/>
      <c r="T237" s="208"/>
      <c r="U237" s="208"/>
      <c r="V237" s="208"/>
      <c r="W237" s="208"/>
      <c r="X237" s="208"/>
      <c r="Y237" s="208"/>
      <c r="Z237" s="208"/>
      <c r="AA237" s="208"/>
      <c r="AB237" s="208"/>
      <c r="AC237" s="208"/>
      <c r="AD237" s="208"/>
      <c r="AE237" s="208"/>
      <c r="AF237" s="208"/>
      <c r="AG237" s="208"/>
      <c r="AH237" s="208"/>
      <c r="AI237" s="208"/>
      <c r="AJ237" s="208"/>
      <c r="AK237" s="208"/>
      <c r="AL237" s="208"/>
      <c r="AM237" s="208"/>
      <c r="AN237" s="208"/>
      <c r="AO237" s="208"/>
      <c r="AP237" s="208"/>
      <c r="AQ237" s="208"/>
      <c r="AR237" s="208"/>
      <c r="AS237" s="208"/>
      <c r="AT237" s="208"/>
      <c r="AU237" s="208"/>
      <c r="AV237" s="208"/>
      <c r="AW237" s="208"/>
      <c r="AX237" s="208"/>
      <c r="AY237" s="208"/>
    </row>
    <row r="238">
      <c r="A238" s="208"/>
      <c r="B238" s="533" t="s">
        <v>56</v>
      </c>
      <c r="C238" s="208">
        <f>sumif(Data!$B:$B,$B238,Data!$I:$I)+sumif(Data!$B:$B,$B238,Data!$J:$J)</f>
        <v>22957413.51</v>
      </c>
      <c r="D238" s="208">
        <f t="shared" si="2"/>
        <v>5210317.02</v>
      </c>
      <c r="E238" s="208">
        <f>sumif('25-26(Q1)'!$B:$B,$B238,'25-26(Q1)'!$I:$I)+sumif('25-26(Q1)'!$B:$B,$B238,'25-26(Q1)'!$J:$J)</f>
        <v>6255426.68</v>
      </c>
      <c r="F238" s="588">
        <f t="shared" si="3"/>
        <v>11465743.7</v>
      </c>
      <c r="G238" s="588">
        <f t="shared" si="4"/>
        <v>-11491669.81</v>
      </c>
      <c r="H238" s="208"/>
      <c r="I238" s="208"/>
      <c r="J238" s="208"/>
      <c r="K238" s="208"/>
      <c r="L238" s="536"/>
      <c r="M238" s="208"/>
      <c r="N238" s="208"/>
      <c r="O238" s="208"/>
      <c r="P238" s="208"/>
      <c r="Q238" s="208"/>
      <c r="R238" s="208"/>
      <c r="S238" s="208"/>
      <c r="T238" s="208"/>
      <c r="U238" s="208"/>
      <c r="V238" s="208"/>
      <c r="W238" s="208"/>
      <c r="X238" s="208"/>
      <c r="Y238" s="208"/>
      <c r="Z238" s="208"/>
      <c r="AA238" s="208"/>
      <c r="AB238" s="208"/>
      <c r="AC238" s="208"/>
      <c r="AD238" s="208"/>
      <c r="AE238" s="208"/>
      <c r="AF238" s="208"/>
      <c r="AG238" s="208"/>
      <c r="AH238" s="208"/>
      <c r="AI238" s="208"/>
      <c r="AJ238" s="208"/>
      <c r="AK238" s="208"/>
      <c r="AL238" s="208"/>
      <c r="AM238" s="208"/>
      <c r="AN238" s="208"/>
      <c r="AO238" s="208"/>
      <c r="AP238" s="208"/>
      <c r="AQ238" s="208"/>
      <c r="AR238" s="208"/>
      <c r="AS238" s="208"/>
      <c r="AT238" s="208"/>
      <c r="AU238" s="208"/>
      <c r="AV238" s="208"/>
      <c r="AW238" s="208"/>
      <c r="AX238" s="208"/>
      <c r="AY238" s="208"/>
    </row>
    <row r="239">
      <c r="A239" s="208"/>
      <c r="B239" s="533" t="s">
        <v>40</v>
      </c>
      <c r="C239" s="208">
        <f>sumif(Data!$B:$B,$B239,Data!$I:$I)+sumif(Data!$B:$B,$B239,Data!$J:$J)</f>
        <v>5077211.71</v>
      </c>
      <c r="D239" s="208">
        <f t="shared" si="2"/>
        <v>2463020.24</v>
      </c>
      <c r="E239" s="208">
        <f>sumif('25-26(Q1)'!$B:$B,$B239,'25-26(Q1)'!$I:$I)+sumif('25-26(Q1)'!$B:$B,$B239,'25-26(Q1)'!$J:$J)</f>
        <v>929858.31</v>
      </c>
      <c r="F239" s="588">
        <f t="shared" si="3"/>
        <v>3392878.55</v>
      </c>
      <c r="G239" s="588">
        <f t="shared" si="4"/>
        <v>-1684333.16</v>
      </c>
      <c r="H239" s="208"/>
      <c r="I239" s="208"/>
      <c r="J239" s="208"/>
      <c r="K239" s="208"/>
      <c r="L239" s="536"/>
      <c r="M239" s="208"/>
      <c r="N239" s="208"/>
      <c r="O239" s="208"/>
      <c r="P239" s="208"/>
      <c r="Q239" s="208"/>
      <c r="R239" s="208"/>
      <c r="S239" s="208"/>
      <c r="T239" s="208"/>
      <c r="U239" s="208"/>
      <c r="V239" s="208"/>
      <c r="W239" s="208"/>
      <c r="X239" s="208"/>
      <c r="Y239" s="208"/>
      <c r="Z239" s="208"/>
      <c r="AA239" s="208"/>
      <c r="AB239" s="208"/>
      <c r="AC239" s="208"/>
      <c r="AD239" s="208"/>
      <c r="AE239" s="208"/>
      <c r="AF239" s="208"/>
      <c r="AG239" s="208"/>
      <c r="AH239" s="208"/>
      <c r="AI239" s="208"/>
      <c r="AJ239" s="208"/>
      <c r="AK239" s="208"/>
      <c r="AL239" s="208"/>
      <c r="AM239" s="208"/>
      <c r="AN239" s="208"/>
      <c r="AO239" s="208"/>
      <c r="AP239" s="208"/>
      <c r="AQ239" s="208"/>
      <c r="AR239" s="208"/>
      <c r="AS239" s="208"/>
      <c r="AT239" s="208"/>
      <c r="AU239" s="208"/>
      <c r="AV239" s="208"/>
      <c r="AW239" s="208"/>
      <c r="AX239" s="208"/>
      <c r="AY239" s="208"/>
    </row>
    <row r="240">
      <c r="A240" s="208"/>
      <c r="B240" s="533" t="s">
        <v>50</v>
      </c>
      <c r="C240" s="208">
        <f>sumif(Data!$B:$B,$B240,Data!$I:$I)+sumif(Data!$B:$B,$B240,Data!$J:$J)</f>
        <v>13602431.86</v>
      </c>
      <c r="D240" s="208">
        <f t="shared" si="2"/>
        <v>2224320.47</v>
      </c>
      <c r="E240" s="208">
        <f>sumif('25-26(Q1)'!$B:$B,$B240,'25-26(Q1)'!$I:$I)+sumif('25-26(Q1)'!$B:$B,$B240,'25-26(Q1)'!$J:$J)</f>
        <v>3165926.54</v>
      </c>
      <c r="F240" s="588">
        <f t="shared" si="3"/>
        <v>5390247.01</v>
      </c>
      <c r="G240" s="588">
        <f t="shared" si="4"/>
        <v>-8212184.85</v>
      </c>
      <c r="H240" s="208"/>
      <c r="I240" s="208"/>
      <c r="J240" s="208"/>
      <c r="K240" s="208"/>
      <c r="L240" s="536"/>
      <c r="M240" s="208"/>
      <c r="N240" s="208"/>
      <c r="O240" s="208"/>
      <c r="P240" s="208"/>
      <c r="Q240" s="208"/>
      <c r="R240" s="208"/>
      <c r="S240" s="208"/>
      <c r="T240" s="208"/>
      <c r="U240" s="208"/>
      <c r="V240" s="208"/>
      <c r="W240" s="208"/>
      <c r="X240" s="208"/>
      <c r="Y240" s="208"/>
      <c r="Z240" s="208"/>
      <c r="AA240" s="208"/>
      <c r="AB240" s="208"/>
      <c r="AC240" s="208"/>
      <c r="AD240" s="208"/>
      <c r="AE240" s="208"/>
      <c r="AF240" s="208"/>
      <c r="AG240" s="208"/>
      <c r="AH240" s="208"/>
      <c r="AI240" s="208"/>
      <c r="AJ240" s="208"/>
      <c r="AK240" s="208"/>
      <c r="AL240" s="208"/>
      <c r="AM240" s="208"/>
      <c r="AN240" s="208"/>
      <c r="AO240" s="208"/>
      <c r="AP240" s="208"/>
      <c r="AQ240" s="208"/>
      <c r="AR240" s="208"/>
      <c r="AS240" s="208"/>
      <c r="AT240" s="208"/>
      <c r="AU240" s="208"/>
      <c r="AV240" s="208"/>
      <c r="AW240" s="208"/>
      <c r="AX240" s="208"/>
      <c r="AY240" s="208"/>
    </row>
    <row r="241">
      <c r="A241" s="208"/>
      <c r="B241" s="533" t="s">
        <v>422</v>
      </c>
      <c r="C241" s="208">
        <f>sumif(Data!$B:$B,$B241,Data!$I:$I)+sumif(Data!$B:$B,$B241,Data!$J:$J)</f>
        <v>4312034.63</v>
      </c>
      <c r="D241" s="208">
        <f t="shared" si="2"/>
        <v>2236277.25</v>
      </c>
      <c r="E241" s="208">
        <f>sumif('25-26(Q1)'!$B:$B,$B241,'25-26(Q1)'!$I:$I)+sumif('25-26(Q1)'!$B:$B,$B241,'25-26(Q1)'!$J:$J)</f>
        <v>1508915.7</v>
      </c>
      <c r="F241" s="588">
        <f t="shared" si="3"/>
        <v>3745192.95</v>
      </c>
      <c r="G241" s="588">
        <f t="shared" si="4"/>
        <v>-566841.68</v>
      </c>
      <c r="H241" s="208"/>
      <c r="I241" s="208"/>
      <c r="J241" s="208"/>
      <c r="K241" s="208"/>
      <c r="L241" s="536"/>
      <c r="M241" s="208"/>
      <c r="N241" s="208"/>
      <c r="O241" s="208"/>
      <c r="P241" s="208"/>
      <c r="Q241" s="208"/>
      <c r="R241" s="208"/>
      <c r="S241" s="208"/>
      <c r="T241" s="208"/>
      <c r="U241" s="208"/>
      <c r="V241" s="208"/>
      <c r="W241" s="208"/>
      <c r="X241" s="208"/>
      <c r="Y241" s="208"/>
      <c r="Z241" s="208"/>
      <c r="AA241" s="208"/>
      <c r="AB241" s="208"/>
      <c r="AC241" s="208"/>
      <c r="AD241" s="208"/>
      <c r="AE241" s="208"/>
      <c r="AF241" s="208"/>
      <c r="AG241" s="208"/>
      <c r="AH241" s="208"/>
      <c r="AI241" s="208"/>
      <c r="AJ241" s="208"/>
      <c r="AK241" s="208"/>
      <c r="AL241" s="208"/>
      <c r="AM241" s="208"/>
      <c r="AN241" s="208"/>
      <c r="AO241" s="208"/>
      <c r="AP241" s="208"/>
      <c r="AQ241" s="208"/>
      <c r="AR241" s="208"/>
      <c r="AS241" s="208"/>
      <c r="AT241" s="208"/>
      <c r="AU241" s="208"/>
      <c r="AV241" s="208"/>
      <c r="AW241" s="208"/>
      <c r="AX241" s="208"/>
      <c r="AY241" s="208"/>
    </row>
    <row r="242">
      <c r="A242" s="208"/>
      <c r="B242" s="533" t="s">
        <v>1101</v>
      </c>
      <c r="C242" s="208">
        <f>sumif(Data!$B:$B,$B242,Data!$I:$I)+sumif(Data!$B:$B,$B242,Data!$J:$J)</f>
        <v>0</v>
      </c>
      <c r="D242" s="208">
        <f t="shared" si="2"/>
        <v>0</v>
      </c>
      <c r="E242" s="208">
        <f>sumif('25-26(Q1)'!$B:$B,$B242,'25-26(Q1)'!$I:$I)+sumif('25-26(Q1)'!$B:$B,$B242,'25-26(Q1)'!$J:$J)</f>
        <v>0</v>
      </c>
      <c r="F242" s="588">
        <f t="shared" si="3"/>
        <v>0</v>
      </c>
      <c r="G242" s="588">
        <f t="shared" si="4"/>
        <v>0</v>
      </c>
      <c r="H242" s="208"/>
      <c r="I242" s="208"/>
      <c r="J242" s="208"/>
      <c r="K242" s="208"/>
      <c r="L242" s="536"/>
      <c r="M242" s="208"/>
      <c r="N242" s="208"/>
      <c r="O242" s="208"/>
      <c r="P242" s="208"/>
      <c r="Q242" s="208"/>
      <c r="R242" s="208"/>
      <c r="S242" s="208"/>
      <c r="T242" s="208"/>
      <c r="U242" s="208"/>
      <c r="V242" s="208"/>
      <c r="W242" s="208"/>
      <c r="X242" s="208"/>
      <c r="Y242" s="208"/>
      <c r="Z242" s="208"/>
      <c r="AA242" s="208"/>
      <c r="AB242" s="208"/>
      <c r="AC242" s="208"/>
      <c r="AD242" s="208"/>
      <c r="AE242" s="208"/>
      <c r="AF242" s="208"/>
      <c r="AG242" s="208"/>
      <c r="AH242" s="208"/>
      <c r="AI242" s="208"/>
      <c r="AJ242" s="208"/>
      <c r="AK242" s="208"/>
      <c r="AL242" s="208"/>
      <c r="AM242" s="208"/>
      <c r="AN242" s="208"/>
      <c r="AO242" s="208"/>
      <c r="AP242" s="208"/>
      <c r="AQ242" s="208"/>
      <c r="AR242" s="208"/>
      <c r="AS242" s="208"/>
      <c r="AT242" s="208"/>
      <c r="AU242" s="208"/>
      <c r="AV242" s="208"/>
      <c r="AW242" s="208"/>
      <c r="AX242" s="208"/>
      <c r="AY242" s="208"/>
    </row>
    <row r="243">
      <c r="A243" s="208"/>
      <c r="B243" s="533" t="s">
        <v>37</v>
      </c>
      <c r="C243" s="208">
        <f>sumif(Data!$B:$B,$B243,Data!$I:$I)+sumif(Data!$B:$B,$B243,Data!$J:$J)</f>
        <v>13744221.28</v>
      </c>
      <c r="D243" s="208">
        <f t="shared" si="2"/>
        <v>3602851.76</v>
      </c>
      <c r="E243" s="208">
        <f>sumif('25-26(Q1)'!$B:$B,$B243,'25-26(Q1)'!$I:$I)+sumif('25-26(Q1)'!$B:$B,$B243,'25-26(Q1)'!$J:$J)</f>
        <v>579076.68</v>
      </c>
      <c r="F243" s="588">
        <f t="shared" si="3"/>
        <v>4181928.44</v>
      </c>
      <c r="G243" s="588">
        <f t="shared" si="4"/>
        <v>-9562292.84</v>
      </c>
      <c r="H243" s="208"/>
      <c r="I243" s="208"/>
      <c r="J243" s="208"/>
      <c r="K243" s="208"/>
      <c r="L243" s="536"/>
      <c r="M243" s="208"/>
      <c r="N243" s="208"/>
      <c r="O243" s="208"/>
      <c r="P243" s="208"/>
      <c r="Q243" s="208"/>
      <c r="R243" s="208"/>
      <c r="S243" s="208"/>
      <c r="T243" s="208"/>
      <c r="U243" s="208"/>
      <c r="V243" s="208"/>
      <c r="W243" s="208"/>
      <c r="X243" s="208"/>
      <c r="Y243" s="208"/>
      <c r="Z243" s="208"/>
      <c r="AA243" s="208"/>
      <c r="AB243" s="208"/>
      <c r="AC243" s="208"/>
      <c r="AD243" s="208"/>
      <c r="AE243" s="208"/>
      <c r="AF243" s="208"/>
      <c r="AG243" s="208"/>
      <c r="AH243" s="208"/>
      <c r="AI243" s="208"/>
      <c r="AJ243" s="208"/>
      <c r="AK243" s="208"/>
      <c r="AL243" s="208"/>
      <c r="AM243" s="208"/>
      <c r="AN243" s="208"/>
      <c r="AO243" s="208"/>
      <c r="AP243" s="208"/>
      <c r="AQ243" s="208"/>
      <c r="AR243" s="208"/>
      <c r="AS243" s="208"/>
      <c r="AT243" s="208"/>
      <c r="AU243" s="208"/>
      <c r="AV243" s="208"/>
      <c r="AW243" s="208"/>
      <c r="AX243" s="208"/>
      <c r="AY243" s="208"/>
    </row>
    <row r="244">
      <c r="A244" s="208"/>
      <c r="B244" s="533" t="s">
        <v>1066</v>
      </c>
      <c r="C244" s="208">
        <f>sumif(Data!$B:$B,$B244,Data!$I:$I)+sumif(Data!$B:$B,$B244,Data!$J:$J)</f>
        <v>121320984.7</v>
      </c>
      <c r="D244" s="208">
        <f t="shared" si="2"/>
        <v>37037427.34</v>
      </c>
      <c r="E244" s="208">
        <f>sumif('25-26(Q1)'!$B:$B,$B244,'25-26(Q1)'!$I:$I)+sumif('25-26(Q1)'!$B:$B,$B244,'25-26(Q1)'!$J:$J)</f>
        <v>27662245.73</v>
      </c>
      <c r="F244" s="588">
        <f t="shared" si="3"/>
        <v>64699673.07</v>
      </c>
      <c r="G244" s="588">
        <f t="shared" si="4"/>
        <v>-56621311.58</v>
      </c>
      <c r="H244" s="208"/>
      <c r="I244" s="208"/>
      <c r="J244" s="208"/>
      <c r="K244" s="208"/>
      <c r="L244" s="536"/>
      <c r="M244" s="208"/>
      <c r="N244" s="208"/>
      <c r="O244" s="208"/>
      <c r="P244" s="208"/>
      <c r="Q244" s="208"/>
      <c r="R244" s="208"/>
      <c r="S244" s="208"/>
      <c r="T244" s="208"/>
      <c r="U244" s="208"/>
      <c r="V244" s="208"/>
      <c r="W244" s="208"/>
      <c r="X244" s="208"/>
      <c r="Y244" s="208"/>
      <c r="Z244" s="208"/>
      <c r="AA244" s="208"/>
      <c r="AB244" s="208"/>
      <c r="AC244" s="208"/>
      <c r="AD244" s="208"/>
      <c r="AE244" s="208"/>
      <c r="AF244" s="208"/>
      <c r="AG244" s="208"/>
      <c r="AH244" s="208"/>
      <c r="AI244" s="208"/>
      <c r="AJ244" s="208"/>
      <c r="AK244" s="208"/>
      <c r="AL244" s="208"/>
      <c r="AM244" s="208"/>
      <c r="AN244" s="208"/>
      <c r="AO244" s="208"/>
      <c r="AP244" s="208"/>
      <c r="AQ244" s="208"/>
      <c r="AR244" s="208"/>
      <c r="AS244" s="208"/>
      <c r="AT244" s="208"/>
      <c r="AU244" s="208"/>
      <c r="AV244" s="208"/>
      <c r="AW244" s="208"/>
      <c r="AX244" s="208"/>
      <c r="AY244" s="208"/>
    </row>
    <row r="245">
      <c r="A245" s="208"/>
      <c r="B245" s="533" t="s">
        <v>1062</v>
      </c>
      <c r="C245" s="208">
        <f>sumif(Data!$B:$B,$B245,Data!$I:$I)+sumif(Data!$B:$B,$B245,Data!$J:$J)</f>
        <v>76413509.24</v>
      </c>
      <c r="D245" s="208">
        <f t="shared" si="2"/>
        <v>17908009.6</v>
      </c>
      <c r="E245" s="208">
        <f>sumif('25-26(Q1)'!$B:$B,$B245,'25-26(Q1)'!$I:$I)+sumif('25-26(Q1)'!$B:$B,$B245,'25-26(Q1)'!$J:$J)</f>
        <v>18478042.44</v>
      </c>
      <c r="F245" s="588">
        <f t="shared" si="3"/>
        <v>36386052.04</v>
      </c>
      <c r="G245" s="588">
        <f t="shared" si="4"/>
        <v>-40027457.2</v>
      </c>
      <c r="H245" s="208"/>
      <c r="I245" s="208"/>
      <c r="J245" s="208"/>
      <c r="K245" s="208"/>
      <c r="L245" s="536"/>
      <c r="M245" s="208"/>
      <c r="N245" s="208"/>
      <c r="O245" s="208"/>
      <c r="P245" s="208"/>
      <c r="Q245" s="208"/>
      <c r="R245" s="208"/>
      <c r="S245" s="208"/>
      <c r="T245" s="208"/>
      <c r="U245" s="208"/>
      <c r="V245" s="208"/>
      <c r="W245" s="208"/>
      <c r="X245" s="208"/>
      <c r="Y245" s="208"/>
      <c r="Z245" s="208"/>
      <c r="AA245" s="208"/>
      <c r="AB245" s="208"/>
      <c r="AC245" s="208"/>
      <c r="AD245" s="208"/>
      <c r="AE245" s="208"/>
      <c r="AF245" s="208"/>
      <c r="AG245" s="208"/>
      <c r="AH245" s="208"/>
      <c r="AI245" s="208"/>
      <c r="AJ245" s="208"/>
      <c r="AK245" s="208"/>
      <c r="AL245" s="208"/>
      <c r="AM245" s="208"/>
      <c r="AN245" s="208"/>
      <c r="AO245" s="208"/>
      <c r="AP245" s="208"/>
      <c r="AQ245" s="208"/>
      <c r="AR245" s="208"/>
      <c r="AS245" s="208"/>
      <c r="AT245" s="208"/>
      <c r="AU245" s="208"/>
      <c r="AV245" s="208"/>
      <c r="AW245" s="208"/>
      <c r="AX245" s="208"/>
      <c r="AY245" s="208"/>
    </row>
    <row r="246">
      <c r="A246" s="208"/>
      <c r="B246" s="533" t="s">
        <v>1094</v>
      </c>
      <c r="C246" s="208">
        <f>sumif(Data!$B:$B,$B246,Data!$I:$I)+sumif(Data!$B:$B,$B246,Data!$J:$J)</f>
        <v>4312034.63</v>
      </c>
      <c r="D246" s="208">
        <f t="shared" si="2"/>
        <v>2236277.25</v>
      </c>
      <c r="E246" s="208">
        <f>sumif('25-26(Q1)'!$B:$B,$B246,'25-26(Q1)'!$I:$I)+sumif('25-26(Q1)'!$B:$B,$B246,'25-26(Q1)'!$J:$J)</f>
        <v>1508915.7</v>
      </c>
      <c r="F246" s="588">
        <f t="shared" si="3"/>
        <v>3745192.95</v>
      </c>
      <c r="G246" s="588">
        <f t="shared" si="4"/>
        <v>-566841.68</v>
      </c>
      <c r="H246" s="208"/>
      <c r="I246" s="208"/>
      <c r="J246" s="208"/>
      <c r="K246" s="208"/>
      <c r="L246" s="536"/>
      <c r="M246" s="208"/>
      <c r="N246" s="208"/>
      <c r="O246" s="208"/>
      <c r="P246" s="208"/>
      <c r="Q246" s="208"/>
      <c r="R246" s="208"/>
      <c r="S246" s="208"/>
      <c r="T246" s="208"/>
      <c r="U246" s="208"/>
      <c r="V246" s="208"/>
      <c r="W246" s="208"/>
      <c r="X246" s="208"/>
      <c r="Y246" s="208"/>
      <c r="Z246" s="208"/>
      <c r="AA246" s="208"/>
      <c r="AB246" s="208"/>
      <c r="AC246" s="208"/>
      <c r="AD246" s="208"/>
      <c r="AE246" s="208"/>
      <c r="AF246" s="208"/>
      <c r="AG246" s="208"/>
      <c r="AH246" s="208"/>
      <c r="AI246" s="208"/>
      <c r="AJ246" s="208"/>
      <c r="AK246" s="208"/>
      <c r="AL246" s="208"/>
      <c r="AM246" s="208"/>
      <c r="AN246" s="208"/>
      <c r="AO246" s="208"/>
      <c r="AP246" s="208"/>
      <c r="AQ246" s="208"/>
      <c r="AR246" s="208"/>
      <c r="AS246" s="208"/>
      <c r="AT246" s="208"/>
      <c r="AU246" s="208"/>
      <c r="AV246" s="208"/>
      <c r="AW246" s="208"/>
      <c r="AX246" s="208"/>
      <c r="AY246" s="208"/>
    </row>
    <row r="247">
      <c r="A247" s="208"/>
      <c r="B247" s="533"/>
      <c r="C247" s="208"/>
      <c r="D247" s="208"/>
      <c r="E247" s="208"/>
      <c r="F247" s="584"/>
      <c r="G247" s="208"/>
      <c r="H247" s="208"/>
      <c r="I247" s="208"/>
      <c r="J247" s="208"/>
      <c r="K247" s="208"/>
      <c r="L247" s="536"/>
      <c r="M247" s="208"/>
      <c r="N247" s="208"/>
      <c r="O247" s="208"/>
      <c r="P247" s="208"/>
      <c r="Q247" s="208"/>
      <c r="R247" s="208"/>
      <c r="S247" s="208"/>
      <c r="T247" s="208"/>
      <c r="U247" s="208"/>
      <c r="V247" s="208"/>
      <c r="W247" s="208"/>
      <c r="X247" s="208"/>
      <c r="Y247" s="208"/>
      <c r="Z247" s="208"/>
      <c r="AA247" s="208"/>
      <c r="AB247" s="208"/>
      <c r="AC247" s="208"/>
      <c r="AD247" s="208"/>
      <c r="AE247" s="208"/>
      <c r="AF247" s="208"/>
      <c r="AG247" s="208"/>
      <c r="AH247" s="208"/>
      <c r="AI247" s="208"/>
      <c r="AJ247" s="208"/>
      <c r="AK247" s="208"/>
      <c r="AL247" s="208"/>
      <c r="AM247" s="208"/>
      <c r="AN247" s="208"/>
      <c r="AO247" s="208"/>
      <c r="AP247" s="208"/>
      <c r="AQ247" s="208"/>
      <c r="AR247" s="208"/>
      <c r="AS247" s="208"/>
      <c r="AT247" s="208"/>
      <c r="AU247" s="208"/>
      <c r="AV247" s="208"/>
      <c r="AW247" s="208"/>
      <c r="AX247" s="208"/>
      <c r="AY247" s="208"/>
    </row>
    <row r="248">
      <c r="A248" s="208"/>
      <c r="B248" s="533"/>
      <c r="C248" s="208"/>
      <c r="D248" s="208" t="s">
        <v>1780</v>
      </c>
      <c r="E248" s="208" t="s">
        <v>1781</v>
      </c>
      <c r="F248" s="584"/>
      <c r="G248" s="208"/>
      <c r="H248" s="208"/>
      <c r="I248" s="208"/>
      <c r="J248" s="208"/>
      <c r="K248" s="208"/>
      <c r="L248" s="536"/>
      <c r="M248" s="208"/>
      <c r="N248" s="208"/>
      <c r="O248" s="208"/>
      <c r="P248" s="208"/>
      <c r="Q248" s="208"/>
      <c r="R248" s="208"/>
      <c r="S248" s="208"/>
      <c r="T248" s="208"/>
      <c r="U248" s="208"/>
      <c r="V248" s="208"/>
      <c r="W248" s="208"/>
      <c r="X248" s="208"/>
      <c r="Y248" s="208"/>
      <c r="Z248" s="208"/>
      <c r="AA248" s="208"/>
      <c r="AB248" s="208"/>
      <c r="AC248" s="208"/>
      <c r="AD248" s="208"/>
      <c r="AE248" s="208"/>
      <c r="AF248" s="208"/>
      <c r="AG248" s="208"/>
      <c r="AH248" s="208"/>
      <c r="AI248" s="208"/>
      <c r="AJ248" s="208"/>
      <c r="AK248" s="208"/>
      <c r="AL248" s="208"/>
      <c r="AM248" s="208"/>
      <c r="AN248" s="208"/>
      <c r="AO248" s="208"/>
      <c r="AP248" s="208"/>
      <c r="AQ248" s="208"/>
      <c r="AR248" s="208"/>
      <c r="AS248" s="208"/>
      <c r="AT248" s="208"/>
      <c r="AU248" s="208"/>
      <c r="AV248" s="208"/>
      <c r="AW248" s="208"/>
      <c r="AX248" s="208"/>
      <c r="AY248" s="208"/>
    </row>
    <row r="249">
      <c r="A249" s="208"/>
      <c r="B249" s="533" t="str">
        <f t="array" ref="B249:B258">UNIQUE(A31:A246)</f>
        <v>Sandeep Dadheech</v>
      </c>
      <c r="C249" s="208">
        <f>sumif(Data!$A:$A,$B249,Data!$I:$I)+sumif(Data!$A:$A,$B249,Data!$J:$J)</f>
        <v>1467582171</v>
      </c>
      <c r="D249" s="208">
        <f>sumif(A:A,B249,L:L)</f>
        <v>373107464.7</v>
      </c>
      <c r="E249" s="208">
        <f>sumif('25-26(Q1)'!$A:$A,$B249,'25-26(Q1)'!$I:$I)+sumif('25-26(Q1)'!$A:$A,$B249,'25-26(Q1)'!$J:$J)</f>
        <v>336325366</v>
      </c>
      <c r="F249" s="588">
        <f t="shared" ref="F249:F258" si="5">D249+E249</f>
        <v>709432830.7</v>
      </c>
      <c r="G249" s="588">
        <f t="shared" ref="G249:G258" si="6">F249-C249</f>
        <v>-758149340</v>
      </c>
      <c r="H249" s="208"/>
      <c r="I249" s="208"/>
      <c r="J249" s="208"/>
      <c r="K249" s="208"/>
      <c r="L249" s="536"/>
      <c r="M249" s="208"/>
      <c r="N249" s="20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</row>
    <row r="250">
      <c r="A250" s="208"/>
      <c r="B250" s="533" t="s">
        <v>126</v>
      </c>
      <c r="C250" s="208">
        <f>sumif(Data!$A:$A,$B250,Data!$I:$I)+sumif(Data!$A:$A,$B250,Data!$J:$J)</f>
        <v>478759168.2</v>
      </c>
      <c r="D250" s="208">
        <f t="shared" ref="D250:D258" si="7">sumif($A$1:$A$217,$B250,$L$2:$L$217)</f>
        <v>98724999.43</v>
      </c>
      <c r="E250" s="208">
        <f>sumif('25-26(Q1)'!$A:$A,$B250,'25-26(Q1)'!$I:$I)+sumif('25-26(Q1)'!$A:$A,$B250,'25-26(Q1)'!$J:$J)</f>
        <v>105518051.2</v>
      </c>
      <c r="F250" s="588">
        <f t="shared" si="5"/>
        <v>204243050.6</v>
      </c>
      <c r="G250" s="588">
        <f t="shared" si="6"/>
        <v>-274516117.6</v>
      </c>
      <c r="H250" s="208"/>
      <c r="I250" s="208"/>
      <c r="J250" s="208"/>
      <c r="K250" s="208"/>
      <c r="L250" s="536"/>
      <c r="M250" s="208"/>
      <c r="N250" s="20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</row>
    <row r="251">
      <c r="A251" s="208"/>
      <c r="B251" s="533" t="s">
        <v>97</v>
      </c>
      <c r="C251" s="208">
        <f>sumif(Data!$A:$A,$B251,Data!$I:$I)+sumif(Data!$A:$A,$B251,Data!$J:$J)</f>
        <v>76413509.24</v>
      </c>
      <c r="D251" s="208">
        <f t="shared" si="7"/>
        <v>18696442.26</v>
      </c>
      <c r="E251" s="208">
        <f>sumif('25-26(Q1)'!$A:$A,$B251,'25-26(Q1)'!$I:$I)+sumif('25-26(Q1)'!$A:$A,$B251,'25-26(Q1)'!$J:$J)</f>
        <v>18478042.44</v>
      </c>
      <c r="F251" s="588">
        <f t="shared" si="5"/>
        <v>37174484.7</v>
      </c>
      <c r="G251" s="588">
        <f t="shared" si="6"/>
        <v>-39239024.54</v>
      </c>
      <c r="H251" s="208"/>
      <c r="I251" s="208"/>
      <c r="J251" s="208"/>
      <c r="K251" s="208"/>
      <c r="L251" s="536"/>
      <c r="M251" s="208"/>
      <c r="N251" s="208"/>
      <c r="O251" s="208"/>
      <c r="P251" s="208"/>
      <c r="Q251" s="208"/>
      <c r="R251" s="208"/>
      <c r="S251" s="208"/>
      <c r="T251" s="208"/>
      <c r="U251" s="208"/>
      <c r="V251" s="208"/>
      <c r="W251" s="208"/>
      <c r="X251" s="208"/>
      <c r="Y251" s="208"/>
      <c r="Z251" s="208"/>
      <c r="AA251" s="208"/>
      <c r="AB251" s="208"/>
      <c r="AC251" s="208"/>
      <c r="AD251" s="208"/>
      <c r="AE251" s="208"/>
      <c r="AF251" s="208"/>
      <c r="AG251" s="208"/>
      <c r="AH251" s="208"/>
      <c r="AI251" s="208"/>
      <c r="AJ251" s="208"/>
      <c r="AK251" s="208"/>
      <c r="AL251" s="208"/>
      <c r="AM251" s="208"/>
      <c r="AN251" s="208"/>
      <c r="AO251" s="208"/>
      <c r="AP251" s="208"/>
      <c r="AQ251" s="208"/>
      <c r="AR251" s="208"/>
      <c r="AS251" s="208"/>
      <c r="AT251" s="208"/>
      <c r="AU251" s="208"/>
      <c r="AV251" s="208"/>
      <c r="AW251" s="208"/>
      <c r="AX251" s="208"/>
      <c r="AY251" s="208"/>
    </row>
    <row r="252">
      <c r="A252" s="208"/>
      <c r="B252" s="533" t="s">
        <v>298</v>
      </c>
      <c r="C252" s="208">
        <f>sumif(Data!$A:$A,$B252,Data!$I:$I)+sumif(Data!$A:$A,$B252,Data!$J:$J)</f>
        <v>121320984.7</v>
      </c>
      <c r="D252" s="208">
        <f t="shared" si="7"/>
        <v>18627230.96</v>
      </c>
      <c r="E252" s="208">
        <f>sumif('25-26(Q1)'!$A:$A,$B252,'25-26(Q1)'!$I:$I)+sumif('25-26(Q1)'!$A:$A,$B252,'25-26(Q1)'!$J:$J)</f>
        <v>21931764.88</v>
      </c>
      <c r="F252" s="588">
        <f t="shared" si="5"/>
        <v>40558995.84</v>
      </c>
      <c r="G252" s="588">
        <f t="shared" si="6"/>
        <v>-80761988.81</v>
      </c>
      <c r="H252" s="208"/>
      <c r="I252" s="208"/>
      <c r="J252" s="208"/>
      <c r="K252" s="208"/>
      <c r="L252" s="536"/>
      <c r="M252" s="208"/>
      <c r="N252" s="208"/>
      <c r="O252" s="208"/>
      <c r="P252" s="208"/>
      <c r="Q252" s="208"/>
      <c r="R252" s="208"/>
      <c r="S252" s="208"/>
      <c r="T252" s="208"/>
      <c r="U252" s="208"/>
      <c r="V252" s="208"/>
      <c r="W252" s="208"/>
      <c r="X252" s="208"/>
      <c r="Y252" s="208"/>
      <c r="Z252" s="208"/>
      <c r="AA252" s="208"/>
      <c r="AB252" s="208"/>
      <c r="AC252" s="208"/>
      <c r="AD252" s="208"/>
      <c r="AE252" s="208"/>
      <c r="AF252" s="208"/>
      <c r="AG252" s="208"/>
      <c r="AH252" s="208"/>
      <c r="AI252" s="208"/>
      <c r="AJ252" s="208"/>
      <c r="AK252" s="208"/>
      <c r="AL252" s="208"/>
      <c r="AM252" s="208"/>
      <c r="AN252" s="208"/>
      <c r="AO252" s="208"/>
      <c r="AP252" s="208"/>
      <c r="AQ252" s="208"/>
      <c r="AR252" s="208"/>
      <c r="AS252" s="208"/>
      <c r="AT252" s="208"/>
      <c r="AU252" s="208"/>
      <c r="AV252" s="208"/>
      <c r="AW252" s="208"/>
      <c r="AX252" s="208"/>
      <c r="AY252" s="208"/>
    </row>
    <row r="253">
      <c r="A253" s="208"/>
      <c r="B253" s="533" t="s">
        <v>53</v>
      </c>
      <c r="C253" s="208">
        <f>sumif(Data!$A:$A,$B253,Data!$I:$I)+sumif(Data!$A:$A,$B253,Data!$J:$J)</f>
        <v>37964369.57</v>
      </c>
      <c r="D253" s="208">
        <f t="shared" si="7"/>
        <v>44100366.38</v>
      </c>
      <c r="E253" s="208">
        <f>sumif('25-26(Q1)'!$A:$A,$B253,'25-26(Q1)'!$I:$I)+sumif('25-26(Q1)'!$A:$A,$B253,'25-26(Q1)'!$J:$J)</f>
        <v>11262490.45</v>
      </c>
      <c r="F253" s="588">
        <f t="shared" si="5"/>
        <v>55362856.83</v>
      </c>
      <c r="G253" s="588">
        <f t="shared" si="6"/>
        <v>17398487.26</v>
      </c>
      <c r="H253" s="208"/>
      <c r="I253" s="208"/>
      <c r="J253" s="208"/>
      <c r="K253" s="208"/>
      <c r="L253" s="536"/>
      <c r="M253" s="208"/>
      <c r="N253" s="208"/>
      <c r="O253" s="208"/>
      <c r="P253" s="208"/>
      <c r="Q253" s="208"/>
      <c r="R253" s="208"/>
      <c r="S253" s="208"/>
      <c r="T253" s="208"/>
      <c r="U253" s="208"/>
      <c r="V253" s="208"/>
      <c r="W253" s="208"/>
      <c r="X253" s="208"/>
      <c r="Y253" s="208"/>
      <c r="Z253" s="208"/>
      <c r="AA253" s="208"/>
      <c r="AB253" s="208"/>
      <c r="AC253" s="208"/>
      <c r="AD253" s="208"/>
      <c r="AE253" s="208"/>
      <c r="AF253" s="208"/>
      <c r="AG253" s="208"/>
      <c r="AH253" s="208"/>
      <c r="AI253" s="208"/>
      <c r="AJ253" s="208"/>
      <c r="AK253" s="208"/>
      <c r="AL253" s="208"/>
      <c r="AM253" s="208"/>
      <c r="AN253" s="208"/>
      <c r="AO253" s="208"/>
      <c r="AP253" s="208"/>
      <c r="AQ253" s="208"/>
      <c r="AR253" s="208"/>
      <c r="AS253" s="208"/>
      <c r="AT253" s="208"/>
      <c r="AU253" s="208"/>
      <c r="AV253" s="208"/>
      <c r="AW253" s="208"/>
      <c r="AX253" s="208"/>
      <c r="AY253" s="208"/>
    </row>
    <row r="254">
      <c r="A254" s="208"/>
      <c r="B254" s="533" t="s">
        <v>73</v>
      </c>
      <c r="C254" s="208">
        <f>sumif(Data!$A:$A,$B254,Data!$I:$I)+sumif(Data!$A:$A,$B254,Data!$J:$J)</f>
        <v>31776767.76</v>
      </c>
      <c r="D254" s="208">
        <f t="shared" si="7"/>
        <v>10026591.85</v>
      </c>
      <c r="E254" s="208">
        <f>sumif('25-26(Q1)'!$A:$A,$B254,'25-26(Q1)'!$I:$I)+sumif('25-26(Q1)'!$A:$A,$B254,'25-26(Q1)'!$J:$J)</f>
        <v>6370077.36</v>
      </c>
      <c r="F254" s="588">
        <f t="shared" si="5"/>
        <v>16396669.21</v>
      </c>
      <c r="G254" s="588">
        <f t="shared" si="6"/>
        <v>-15380098.55</v>
      </c>
      <c r="H254" s="208"/>
      <c r="I254" s="208"/>
      <c r="J254" s="208"/>
      <c r="K254" s="208"/>
      <c r="L254" s="536"/>
      <c r="M254" s="208"/>
      <c r="N254" s="208"/>
      <c r="O254" s="208"/>
      <c r="P254" s="208"/>
      <c r="Q254" s="208"/>
      <c r="R254" s="208"/>
      <c r="S254" s="208"/>
      <c r="T254" s="208"/>
      <c r="U254" s="208"/>
      <c r="V254" s="208"/>
      <c r="W254" s="208"/>
      <c r="X254" s="208"/>
      <c r="Y254" s="208"/>
      <c r="Z254" s="208"/>
      <c r="AA254" s="208"/>
      <c r="AB254" s="208"/>
      <c r="AC254" s="208"/>
      <c r="AD254" s="208"/>
      <c r="AE254" s="208"/>
      <c r="AF254" s="208"/>
      <c r="AG254" s="208"/>
      <c r="AH254" s="208"/>
      <c r="AI254" s="208"/>
      <c r="AJ254" s="208"/>
      <c r="AK254" s="208"/>
      <c r="AL254" s="208"/>
      <c r="AM254" s="208"/>
      <c r="AN254" s="208"/>
      <c r="AO254" s="208"/>
      <c r="AP254" s="208"/>
      <c r="AQ254" s="208"/>
      <c r="AR254" s="208"/>
      <c r="AS254" s="208"/>
      <c r="AT254" s="208"/>
      <c r="AU254" s="208"/>
      <c r="AV254" s="208"/>
      <c r="AW254" s="208"/>
      <c r="AX254" s="208"/>
      <c r="AY254" s="208"/>
    </row>
    <row r="255">
      <c r="A255" s="208"/>
      <c r="B255" s="533" t="s">
        <v>322</v>
      </c>
      <c r="C255" s="208">
        <f>sumif(Data!$A:$A,$B255,Data!$I:$I)+sumif(Data!$A:$A,$B255,Data!$J:$J)</f>
        <v>16549629.81</v>
      </c>
      <c r="D255" s="208">
        <f t="shared" si="7"/>
        <v>12054145.65</v>
      </c>
      <c r="E255" s="208">
        <f>sumif('25-26(Q1)'!$A:$A,$B255,'25-26(Q1)'!$I:$I)+sumif('25-26(Q1)'!$A:$A,$B255,'25-26(Q1)'!$J:$J)</f>
        <v>3377580.92</v>
      </c>
      <c r="F255" s="588">
        <f t="shared" si="5"/>
        <v>15431726.57</v>
      </c>
      <c r="G255" s="588">
        <f t="shared" si="6"/>
        <v>-1117903.24</v>
      </c>
      <c r="H255" s="208"/>
      <c r="I255" s="208"/>
      <c r="J255" s="208"/>
      <c r="K255" s="208"/>
      <c r="L255" s="536"/>
      <c r="M255" s="208"/>
      <c r="N255" s="20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</row>
    <row r="256">
      <c r="A256" s="208"/>
      <c r="B256" s="533" t="s">
        <v>23</v>
      </c>
      <c r="C256" s="208">
        <f>sumif(Data!$A:$A,$B256,Data!$I:$I)+sumif(Data!$A:$A,$B256,Data!$J:$J)</f>
        <v>98697163.61</v>
      </c>
      <c r="D256" s="208">
        <f t="shared" si="7"/>
        <v>18312664.89</v>
      </c>
      <c r="E256" s="208">
        <f>sumif('25-26(Q1)'!$A:$A,$B256,'25-26(Q1)'!$I:$I)+sumif('25-26(Q1)'!$A:$A,$B256,'25-26(Q1)'!$J:$J)</f>
        <v>22784694.25</v>
      </c>
      <c r="F256" s="588">
        <f t="shared" si="5"/>
        <v>41097359.14</v>
      </c>
      <c r="G256" s="588">
        <f t="shared" si="6"/>
        <v>-57599804.47</v>
      </c>
      <c r="H256" s="208"/>
      <c r="I256" s="208"/>
      <c r="J256" s="208"/>
      <c r="K256" s="208"/>
      <c r="L256" s="536"/>
      <c r="M256" s="208"/>
      <c r="N256" s="20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</row>
    <row r="257">
      <c r="A257" s="208"/>
      <c r="B257" s="533" t="s">
        <v>47</v>
      </c>
      <c r="C257" s="208">
        <f>sumif(Data!$A:$A,$B257,Data!$I:$I)+sumif(Data!$A:$A,$B257,Data!$J:$J)</f>
        <v>17914466.49</v>
      </c>
      <c r="D257" s="208">
        <f t="shared" si="7"/>
        <v>25258676.67</v>
      </c>
      <c r="E257" s="208">
        <f>sumif('25-26(Q1)'!$A:$A,$B257,'25-26(Q1)'!$I:$I)+sumif('25-26(Q1)'!$A:$A,$B257,'25-26(Q1)'!$J:$J)</f>
        <v>4674842.24</v>
      </c>
      <c r="F257" s="588">
        <f t="shared" si="5"/>
        <v>29933518.91</v>
      </c>
      <c r="G257" s="588">
        <f t="shared" si="6"/>
        <v>12019052.42</v>
      </c>
      <c r="H257" s="208"/>
      <c r="I257" s="208"/>
      <c r="J257" s="208"/>
      <c r="K257" s="208"/>
      <c r="L257" s="536"/>
      <c r="M257" s="208"/>
      <c r="N257" s="208"/>
      <c r="O257" s="208"/>
      <c r="P257" s="208"/>
      <c r="Q257" s="208"/>
      <c r="R257" s="208"/>
      <c r="S257" s="208"/>
      <c r="T257" s="208"/>
      <c r="U257" s="208"/>
      <c r="V257" s="208"/>
      <c r="W257" s="208"/>
      <c r="X257" s="208"/>
      <c r="Y257" s="208"/>
      <c r="Z257" s="208"/>
      <c r="AA257" s="208"/>
      <c r="AB257" s="208"/>
      <c r="AC257" s="208"/>
      <c r="AD257" s="208"/>
      <c r="AE257" s="208"/>
      <c r="AF257" s="208"/>
      <c r="AG257" s="208"/>
      <c r="AH257" s="208"/>
      <c r="AI257" s="208"/>
      <c r="AJ257" s="208"/>
      <c r="AK257" s="208"/>
      <c r="AL257" s="208"/>
      <c r="AM257" s="208"/>
      <c r="AN257" s="208"/>
      <c r="AO257" s="208"/>
      <c r="AP257" s="208"/>
      <c r="AQ257" s="208"/>
      <c r="AR257" s="208"/>
      <c r="AS257" s="208"/>
      <c r="AT257" s="208"/>
      <c r="AU257" s="208"/>
      <c r="AV257" s="208"/>
      <c r="AW257" s="208"/>
      <c r="AX257" s="208"/>
      <c r="AY257" s="208"/>
    </row>
    <row r="258">
      <c r="A258" s="208"/>
      <c r="B258" s="533"/>
      <c r="C258" s="208">
        <f>sumif(Data!$A:$A,$B258,Data!$I:$I)+sumif(Data!$A:$A,$B258,Data!$J:$J)</f>
        <v>0</v>
      </c>
      <c r="D258" s="208">
        <f t="shared" si="7"/>
        <v>0</v>
      </c>
      <c r="E258" s="208">
        <f>sumif('25-26(Q1)'!$A:$A,$B258,'25-26(Q1)'!$I:$I)+sumif('25-26(Q1)'!$A:$A,$B258,'25-26(Q1)'!$J:$J)</f>
        <v>0</v>
      </c>
      <c r="F258" s="588">
        <f t="shared" si="5"/>
        <v>0</v>
      </c>
      <c r="G258" s="588">
        <f t="shared" si="6"/>
        <v>0</v>
      </c>
      <c r="H258" s="208"/>
      <c r="I258" s="208"/>
      <c r="J258" s="208"/>
      <c r="K258" s="208"/>
      <c r="L258" s="536"/>
      <c r="M258" s="208"/>
      <c r="N258" s="208"/>
      <c r="O258" s="208"/>
      <c r="P258" s="208"/>
      <c r="Q258" s="208"/>
      <c r="R258" s="208"/>
      <c r="S258" s="208"/>
      <c r="T258" s="208"/>
      <c r="U258" s="208"/>
      <c r="V258" s="208"/>
      <c r="W258" s="208"/>
      <c r="X258" s="208"/>
      <c r="Y258" s="208"/>
      <c r="Z258" s="208"/>
      <c r="AA258" s="208"/>
      <c r="AB258" s="208"/>
      <c r="AC258" s="208"/>
      <c r="AD258" s="208"/>
      <c r="AE258" s="208"/>
      <c r="AF258" s="208"/>
      <c r="AG258" s="208"/>
      <c r="AH258" s="208"/>
      <c r="AI258" s="208"/>
      <c r="AJ258" s="208"/>
      <c r="AK258" s="208"/>
      <c r="AL258" s="208"/>
      <c r="AM258" s="208"/>
      <c r="AN258" s="208"/>
      <c r="AO258" s="208"/>
      <c r="AP258" s="208"/>
      <c r="AQ258" s="208"/>
      <c r="AR258" s="208"/>
      <c r="AS258" s="208"/>
      <c r="AT258" s="208"/>
      <c r="AU258" s="208"/>
      <c r="AV258" s="208"/>
      <c r="AW258" s="208"/>
      <c r="AX258" s="208"/>
      <c r="AY258" s="208"/>
    </row>
    <row r="259">
      <c r="A259" s="208"/>
      <c r="B259" s="533"/>
      <c r="C259" s="208"/>
      <c r="D259" s="208"/>
      <c r="E259" s="208"/>
      <c r="F259" s="584"/>
      <c r="G259" s="208"/>
      <c r="H259" s="208"/>
      <c r="I259" s="208"/>
      <c r="J259" s="208"/>
      <c r="K259" s="208"/>
      <c r="L259" s="536"/>
      <c r="M259" s="208"/>
      <c r="N259" s="208"/>
      <c r="O259" s="208"/>
      <c r="P259" s="208"/>
      <c r="Q259" s="208"/>
      <c r="R259" s="208"/>
      <c r="S259" s="208"/>
      <c r="T259" s="208"/>
      <c r="U259" s="208"/>
      <c r="V259" s="208"/>
      <c r="W259" s="208"/>
      <c r="X259" s="208"/>
      <c r="Y259" s="208"/>
      <c r="Z259" s="208"/>
      <c r="AA259" s="208"/>
      <c r="AB259" s="208"/>
      <c r="AC259" s="208"/>
      <c r="AD259" s="208"/>
      <c r="AE259" s="208"/>
      <c r="AF259" s="208"/>
      <c r="AG259" s="208"/>
      <c r="AH259" s="208"/>
      <c r="AI259" s="208"/>
      <c r="AJ259" s="208"/>
      <c r="AK259" s="208"/>
      <c r="AL259" s="208"/>
      <c r="AM259" s="208"/>
      <c r="AN259" s="208"/>
      <c r="AO259" s="208"/>
      <c r="AP259" s="208"/>
      <c r="AQ259" s="208"/>
      <c r="AR259" s="208"/>
      <c r="AS259" s="208"/>
      <c r="AT259" s="208"/>
      <c r="AU259" s="208"/>
      <c r="AV259" s="208"/>
      <c r="AW259" s="208"/>
      <c r="AX259" s="208"/>
      <c r="AY259" s="208"/>
    </row>
    <row r="260">
      <c r="A260" s="208"/>
      <c r="B260" s="533"/>
      <c r="C260" s="208"/>
      <c r="D260" s="208"/>
      <c r="E260" s="208"/>
      <c r="F260" s="584"/>
      <c r="G260" s="208"/>
      <c r="H260" s="208"/>
      <c r="I260" s="208"/>
      <c r="J260" s="208"/>
      <c r="K260" s="208"/>
      <c r="L260" s="536"/>
      <c r="M260" s="208"/>
      <c r="N260" s="208"/>
      <c r="O260" s="208"/>
      <c r="P260" s="208"/>
      <c r="Q260" s="208"/>
      <c r="R260" s="208"/>
      <c r="S260" s="208"/>
      <c r="T260" s="208"/>
      <c r="U260" s="208"/>
      <c r="V260" s="208"/>
      <c r="W260" s="208"/>
      <c r="X260" s="208"/>
      <c r="Y260" s="208"/>
      <c r="Z260" s="208"/>
      <c r="AA260" s="208"/>
      <c r="AB260" s="208"/>
      <c r="AC260" s="208"/>
      <c r="AD260" s="208"/>
      <c r="AE260" s="208"/>
      <c r="AF260" s="208"/>
      <c r="AG260" s="208"/>
      <c r="AH260" s="208"/>
      <c r="AI260" s="208"/>
      <c r="AJ260" s="208"/>
      <c r="AK260" s="208"/>
      <c r="AL260" s="208"/>
      <c r="AM260" s="208"/>
      <c r="AN260" s="208"/>
      <c r="AO260" s="208"/>
      <c r="AP260" s="208"/>
      <c r="AQ260" s="208"/>
      <c r="AR260" s="208"/>
      <c r="AS260" s="208"/>
      <c r="AT260" s="208"/>
      <c r="AU260" s="208"/>
      <c r="AV260" s="208"/>
      <c r="AW260" s="208"/>
      <c r="AX260" s="208"/>
      <c r="AY260" s="208"/>
    </row>
    <row r="261">
      <c r="A261" s="208"/>
      <c r="B261" s="208" t="s">
        <v>413</v>
      </c>
      <c r="C261" s="208">
        <f>sumif(Data!$C:$C,$B261,Data!$I:$I)+sumif(Data!$C:$C,$B261,Data!$J:$J)</f>
        <v>6304004.23</v>
      </c>
      <c r="D261" s="208">
        <f t="shared" ref="D261:D268" si="8">sumif($C$1:$C$217,$B261,$L:$L)</f>
        <v>2640730.64</v>
      </c>
      <c r="E261" s="208">
        <f>sumif('25-26(Q1)'!$C:$C,$B261,'25-26(Q1)'!$I:$I)+sumif('25-26(Q1)'!$C:$C,$B261,'25-26(Q1)'!$J:$J)</f>
        <v>1627540.09</v>
      </c>
      <c r="F261" s="588">
        <f t="shared" ref="F261:F268" si="9">D261+E261</f>
        <v>4268270.73</v>
      </c>
      <c r="G261" s="588">
        <f t="shared" ref="G261:G268" si="10">F261-C261</f>
        <v>-2035733.5</v>
      </c>
      <c r="H261" s="208"/>
      <c r="I261" s="208"/>
      <c r="J261" s="208"/>
      <c r="K261" s="208"/>
      <c r="L261" s="536"/>
      <c r="M261" s="208"/>
      <c r="N261" s="208"/>
      <c r="O261" s="208"/>
      <c r="P261" s="208"/>
      <c r="Q261" s="208"/>
      <c r="R261" s="208"/>
      <c r="S261" s="208"/>
      <c r="T261" s="208"/>
      <c r="U261" s="208"/>
      <c r="V261" s="208"/>
      <c r="W261" s="208"/>
      <c r="X261" s="208"/>
      <c r="Y261" s="208"/>
      <c r="Z261" s="208"/>
      <c r="AA261" s="208"/>
      <c r="AB261" s="208"/>
      <c r="AC261" s="208"/>
      <c r="AD261" s="208"/>
      <c r="AE261" s="208"/>
      <c r="AF261" s="208"/>
      <c r="AG261" s="208"/>
      <c r="AH261" s="208"/>
      <c r="AI261" s="208"/>
      <c r="AJ261" s="208"/>
      <c r="AK261" s="208"/>
      <c r="AL261" s="208"/>
      <c r="AM261" s="208"/>
      <c r="AN261" s="208"/>
      <c r="AO261" s="208"/>
      <c r="AP261" s="208"/>
      <c r="AQ261" s="208"/>
      <c r="AR261" s="208"/>
      <c r="AS261" s="208"/>
      <c r="AT261" s="208"/>
      <c r="AU261" s="208"/>
      <c r="AV261" s="208"/>
      <c r="AW261" s="208"/>
      <c r="AX261" s="208"/>
      <c r="AY261" s="208"/>
    </row>
    <row r="262">
      <c r="A262" s="208"/>
      <c r="B262" s="208" t="s">
        <v>194</v>
      </c>
      <c r="C262" s="208">
        <f>sumif(Data!$C:$C,$B262,Data!$I:$I)+sumif(Data!$C:$C,$B262,Data!$J:$J)</f>
        <v>22853663.04</v>
      </c>
      <c r="D262" s="208">
        <f t="shared" si="8"/>
        <v>4672651.3</v>
      </c>
      <c r="E262" s="208">
        <f>sumif('25-26(Q1)'!$C:$C,$B262,'25-26(Q1)'!$I:$I)+sumif('25-26(Q1)'!$C:$C,$B262,'25-26(Q1)'!$J:$J)</f>
        <v>5395769.49</v>
      </c>
      <c r="F262" s="588">
        <f t="shared" si="9"/>
        <v>10068420.79</v>
      </c>
      <c r="G262" s="588">
        <f t="shared" si="10"/>
        <v>-12785242.25</v>
      </c>
      <c r="H262" s="208"/>
      <c r="I262" s="208"/>
      <c r="J262" s="208"/>
      <c r="K262" s="208"/>
      <c r="L262" s="536"/>
      <c r="M262" s="208"/>
      <c r="N262" s="208"/>
      <c r="O262" s="208"/>
      <c r="P262" s="208"/>
      <c r="Q262" s="208"/>
      <c r="R262" s="208"/>
      <c r="S262" s="208"/>
      <c r="T262" s="208"/>
      <c r="U262" s="208"/>
      <c r="V262" s="208"/>
      <c r="W262" s="208"/>
      <c r="X262" s="208"/>
      <c r="Y262" s="208"/>
      <c r="Z262" s="208"/>
      <c r="AA262" s="208"/>
      <c r="AB262" s="208"/>
      <c r="AC262" s="208"/>
      <c r="AD262" s="208"/>
      <c r="AE262" s="208"/>
      <c r="AF262" s="208"/>
      <c r="AG262" s="208"/>
      <c r="AH262" s="208"/>
      <c r="AI262" s="208"/>
      <c r="AJ262" s="208"/>
      <c r="AK262" s="208"/>
      <c r="AL262" s="208"/>
      <c r="AM262" s="208"/>
      <c r="AN262" s="208"/>
      <c r="AO262" s="208"/>
      <c r="AP262" s="208"/>
      <c r="AQ262" s="208"/>
      <c r="AR262" s="208"/>
      <c r="AS262" s="208"/>
      <c r="AT262" s="208"/>
      <c r="AU262" s="208"/>
      <c r="AV262" s="208"/>
      <c r="AW262" s="208"/>
      <c r="AX262" s="208"/>
      <c r="AY262" s="208"/>
    </row>
    <row r="263">
      <c r="A263" s="208"/>
      <c r="B263" s="208" t="s">
        <v>208</v>
      </c>
      <c r="C263" s="208">
        <f>sumif(Data!$C:$C,$B263,Data!$I:$I)+sumif(Data!$C:$C,$B263,Data!$J:$J)</f>
        <v>18956581.21</v>
      </c>
      <c r="D263" s="208">
        <f t="shared" si="8"/>
        <v>4757659.19</v>
      </c>
      <c r="E263" s="208">
        <f>sumif('25-26(Q1)'!$C:$C,$B263,'25-26(Q1)'!$I:$I)+sumif('25-26(Q1)'!$C:$C,$B263,'25-26(Q1)'!$J:$J)</f>
        <v>4491878.26</v>
      </c>
      <c r="F263" s="588">
        <f t="shared" si="9"/>
        <v>9249537.45</v>
      </c>
      <c r="G263" s="588">
        <f t="shared" si="10"/>
        <v>-9707043.76</v>
      </c>
      <c r="H263" s="208"/>
      <c r="I263" s="208"/>
      <c r="J263" s="208"/>
      <c r="K263" s="208"/>
      <c r="L263" s="536"/>
      <c r="M263" s="208"/>
      <c r="N263" s="208"/>
      <c r="O263" s="208"/>
      <c r="P263" s="208"/>
      <c r="Q263" s="208"/>
      <c r="R263" s="208"/>
      <c r="S263" s="208"/>
      <c r="T263" s="208"/>
      <c r="U263" s="208"/>
      <c r="V263" s="208"/>
      <c r="W263" s="208"/>
      <c r="X263" s="208"/>
      <c r="Y263" s="208"/>
      <c r="Z263" s="208"/>
      <c r="AA263" s="208"/>
      <c r="AB263" s="208"/>
      <c r="AC263" s="208"/>
      <c r="AD263" s="208"/>
      <c r="AE263" s="208"/>
      <c r="AF263" s="208"/>
      <c r="AG263" s="208"/>
      <c r="AH263" s="208"/>
      <c r="AI263" s="208"/>
      <c r="AJ263" s="208"/>
      <c r="AK263" s="208"/>
      <c r="AL263" s="208"/>
      <c r="AM263" s="208"/>
      <c r="AN263" s="208"/>
      <c r="AO263" s="208"/>
      <c r="AP263" s="208"/>
      <c r="AQ263" s="208"/>
      <c r="AR263" s="208"/>
      <c r="AS263" s="208"/>
      <c r="AT263" s="208"/>
      <c r="AU263" s="208"/>
      <c r="AV263" s="208"/>
      <c r="AW263" s="208"/>
      <c r="AX263" s="208"/>
      <c r="AY263" s="208"/>
    </row>
    <row r="264">
      <c r="A264" s="208"/>
      <c r="B264" s="208" t="s">
        <v>199</v>
      </c>
      <c r="C264" s="208">
        <f>sumif(Data!$C:$C,$B264,Data!$I:$I)+sumif(Data!$C:$C,$B264,Data!$J:$J)</f>
        <v>72128325.11</v>
      </c>
      <c r="D264" s="208">
        <f t="shared" si="8"/>
        <v>15722769.78</v>
      </c>
      <c r="E264" s="208">
        <f>sumif('25-26(Q1)'!$C:$C,$B264,'25-26(Q1)'!$I:$I)+sumif('25-26(Q1)'!$C:$C,$B264,'25-26(Q1)'!$J:$J)</f>
        <v>18213831.68</v>
      </c>
      <c r="F264" s="588">
        <f t="shared" si="9"/>
        <v>33936601.46</v>
      </c>
      <c r="G264" s="588">
        <f t="shared" si="10"/>
        <v>-38191723.65</v>
      </c>
      <c r="H264" s="208"/>
      <c r="I264" s="208"/>
      <c r="J264" s="208"/>
      <c r="K264" s="208"/>
      <c r="L264" s="536"/>
      <c r="M264" s="208"/>
      <c r="N264" s="208"/>
      <c r="O264" s="208"/>
      <c r="P264" s="208"/>
      <c r="Q264" s="208"/>
      <c r="R264" s="208"/>
      <c r="S264" s="208"/>
      <c r="T264" s="208"/>
      <c r="U264" s="208"/>
      <c r="V264" s="208"/>
      <c r="W264" s="208"/>
      <c r="X264" s="208"/>
      <c r="Y264" s="208"/>
      <c r="Z264" s="208"/>
      <c r="AA264" s="208"/>
      <c r="AB264" s="208"/>
      <c r="AC264" s="208"/>
      <c r="AD264" s="208"/>
      <c r="AE264" s="208"/>
      <c r="AF264" s="208"/>
      <c r="AG264" s="208"/>
      <c r="AH264" s="208"/>
      <c r="AI264" s="208"/>
      <c r="AJ264" s="208"/>
      <c r="AK264" s="208"/>
      <c r="AL264" s="208"/>
      <c r="AM264" s="208"/>
      <c r="AN264" s="208"/>
      <c r="AO264" s="208"/>
      <c r="AP264" s="208"/>
      <c r="AQ264" s="208"/>
      <c r="AR264" s="208"/>
      <c r="AS264" s="208"/>
      <c r="AT264" s="208"/>
      <c r="AU264" s="208"/>
      <c r="AV264" s="208"/>
      <c r="AW264" s="208"/>
      <c r="AX264" s="208"/>
      <c r="AY264" s="208"/>
    </row>
    <row r="265">
      <c r="A265" s="208"/>
      <c r="B265" s="208" t="s">
        <v>207</v>
      </c>
      <c r="C265" s="208">
        <f>sumif(Data!$C:$C,$B265,Data!$I:$I)+sumif(Data!$C:$C,$B265,Data!$J:$J)</f>
        <v>19321509.19</v>
      </c>
      <c r="D265" s="208">
        <f t="shared" si="8"/>
        <v>4021359.12</v>
      </c>
      <c r="E265" s="208">
        <f>sumif('25-26(Q1)'!$C:$C,$B265,'25-26(Q1)'!$I:$I)+sumif('25-26(Q1)'!$C:$C,$B265,'25-26(Q1)'!$J:$J)</f>
        <v>4434309.57</v>
      </c>
      <c r="F265" s="588">
        <f t="shared" si="9"/>
        <v>8455668.69</v>
      </c>
      <c r="G265" s="588">
        <f t="shared" si="10"/>
        <v>-10865840.5</v>
      </c>
      <c r="H265" s="208"/>
      <c r="I265" s="208"/>
      <c r="J265" s="208"/>
      <c r="K265" s="208"/>
      <c r="L265" s="536"/>
      <c r="M265" s="208"/>
      <c r="N265" s="208"/>
      <c r="O265" s="208"/>
      <c r="P265" s="208"/>
      <c r="Q265" s="208"/>
      <c r="R265" s="208"/>
      <c r="S265" s="208"/>
      <c r="T265" s="208"/>
      <c r="U265" s="208"/>
      <c r="V265" s="208"/>
      <c r="W265" s="208"/>
      <c r="X265" s="208"/>
      <c r="Y265" s="208"/>
      <c r="Z265" s="208"/>
      <c r="AA265" s="208"/>
      <c r="AB265" s="208"/>
      <c r="AC265" s="208"/>
      <c r="AD265" s="208"/>
      <c r="AE265" s="208"/>
      <c r="AF265" s="208"/>
      <c r="AG265" s="208"/>
      <c r="AH265" s="208"/>
      <c r="AI265" s="208"/>
      <c r="AJ265" s="208"/>
      <c r="AK265" s="208"/>
      <c r="AL265" s="208"/>
      <c r="AM265" s="208"/>
      <c r="AN265" s="208"/>
      <c r="AO265" s="208"/>
      <c r="AP265" s="208"/>
      <c r="AQ265" s="208"/>
      <c r="AR265" s="208"/>
      <c r="AS265" s="208"/>
      <c r="AT265" s="208"/>
      <c r="AU265" s="208"/>
      <c r="AV265" s="208"/>
      <c r="AW265" s="208"/>
      <c r="AX265" s="208"/>
      <c r="AY265" s="208"/>
    </row>
    <row r="266">
      <c r="A266" s="208"/>
      <c r="B266" s="208" t="s">
        <v>259</v>
      </c>
      <c r="C266" s="208">
        <f>sumif(Data!$C:$C,$B266,Data!$I:$I)+sumif(Data!$C:$C,$B266,Data!$J:$J)</f>
        <v>14196239.73</v>
      </c>
      <c r="D266" s="208">
        <f t="shared" si="8"/>
        <v>3021098.09</v>
      </c>
      <c r="E266" s="208">
        <f>sumif('25-26(Q1)'!$C:$C,$B266,'25-26(Q1)'!$I:$I)+sumif('25-26(Q1)'!$C:$C,$B266,'25-26(Q1)'!$J:$J)</f>
        <v>2721546.27</v>
      </c>
      <c r="F266" s="588">
        <f t="shared" si="9"/>
        <v>5742644.36</v>
      </c>
      <c r="G266" s="588">
        <f t="shared" si="10"/>
        <v>-8453595.37</v>
      </c>
      <c r="H266" s="208"/>
      <c r="I266" s="208"/>
      <c r="J266" s="208"/>
      <c r="K266" s="208"/>
      <c r="L266" s="536"/>
      <c r="M266" s="208"/>
      <c r="N266" s="208"/>
      <c r="O266" s="208"/>
      <c r="P266" s="208"/>
      <c r="Q266" s="208"/>
      <c r="R266" s="208"/>
      <c r="S266" s="208"/>
      <c r="T266" s="208"/>
      <c r="U266" s="208"/>
      <c r="V266" s="208"/>
      <c r="W266" s="208"/>
      <c r="X266" s="208"/>
      <c r="Y266" s="208"/>
      <c r="Z266" s="208"/>
      <c r="AA266" s="208"/>
      <c r="AB266" s="208"/>
      <c r="AC266" s="208"/>
      <c r="AD266" s="208"/>
      <c r="AE266" s="208"/>
      <c r="AF266" s="208"/>
      <c r="AG266" s="208"/>
      <c r="AH266" s="208"/>
      <c r="AI266" s="208"/>
      <c r="AJ266" s="208"/>
      <c r="AK266" s="208"/>
      <c r="AL266" s="208"/>
      <c r="AM266" s="208"/>
      <c r="AN266" s="208"/>
      <c r="AO266" s="208"/>
      <c r="AP266" s="208"/>
      <c r="AQ266" s="208"/>
      <c r="AR266" s="208"/>
      <c r="AS266" s="208"/>
      <c r="AT266" s="208"/>
      <c r="AU266" s="208"/>
      <c r="AV266" s="208"/>
      <c r="AW266" s="208"/>
      <c r="AX266" s="208"/>
      <c r="AY266" s="208"/>
    </row>
    <row r="267">
      <c r="A267" s="208"/>
      <c r="B267" s="208" t="s">
        <v>269</v>
      </c>
      <c r="C267" s="208">
        <f>sumif(Data!$C:$C,$B267,Data!$I:$I)+sumif(Data!$C:$C,$B267,Data!$J:$J)</f>
        <v>12403017.37</v>
      </c>
      <c r="D267" s="208">
        <f t="shared" si="8"/>
        <v>3763855.97</v>
      </c>
      <c r="E267" s="208">
        <f>sumif('25-26(Q1)'!$C:$C,$B267,'25-26(Q1)'!$I:$I)+sumif('25-26(Q1)'!$C:$C,$B267,'25-26(Q1)'!$J:$J)</f>
        <v>2906350.64</v>
      </c>
      <c r="F267" s="588">
        <f t="shared" si="9"/>
        <v>6670206.61</v>
      </c>
      <c r="G267" s="588">
        <f t="shared" si="10"/>
        <v>-5732810.76</v>
      </c>
      <c r="H267" s="208"/>
      <c r="I267" s="208"/>
      <c r="J267" s="208"/>
      <c r="K267" s="208"/>
      <c r="L267" s="536"/>
      <c r="M267" s="208"/>
      <c r="N267" s="208"/>
      <c r="O267" s="208"/>
      <c r="P267" s="208"/>
      <c r="Q267" s="208"/>
      <c r="R267" s="208"/>
      <c r="S267" s="208"/>
      <c r="T267" s="208"/>
      <c r="U267" s="208"/>
      <c r="V267" s="208"/>
      <c r="W267" s="208"/>
      <c r="X267" s="208"/>
      <c r="Y267" s="208"/>
      <c r="Z267" s="208"/>
      <c r="AA267" s="208"/>
      <c r="AB267" s="208"/>
      <c r="AC267" s="208"/>
      <c r="AD267" s="208"/>
      <c r="AE267" s="208"/>
      <c r="AF267" s="208"/>
      <c r="AG267" s="208"/>
      <c r="AH267" s="208"/>
      <c r="AI267" s="208"/>
      <c r="AJ267" s="208"/>
      <c r="AK267" s="208"/>
      <c r="AL267" s="208"/>
      <c r="AM267" s="208"/>
      <c r="AN267" s="208"/>
      <c r="AO267" s="208"/>
      <c r="AP267" s="208"/>
      <c r="AQ267" s="208"/>
      <c r="AR267" s="208"/>
      <c r="AS267" s="208"/>
      <c r="AT267" s="208"/>
      <c r="AU267" s="208"/>
      <c r="AV267" s="208"/>
      <c r="AW267" s="208"/>
      <c r="AX267" s="208"/>
      <c r="AY267" s="208"/>
    </row>
    <row r="268">
      <c r="A268" s="208"/>
      <c r="B268" s="208" t="s">
        <v>412</v>
      </c>
      <c r="C268" s="208">
        <f>sumif(Data!$C:$C,$B268,Data!$I:$I)+sumif(Data!$C:$C,$B268,Data!$J:$J)</f>
        <v>383734.19</v>
      </c>
      <c r="D268" s="208">
        <f t="shared" si="8"/>
        <v>0</v>
      </c>
      <c r="E268" s="208">
        <f>sumif('25-26(Q1)'!$C:$C,$B268,'25-26(Q1)'!$I:$I)+sumif('25-26(Q1)'!$C:$C,$B268,'25-26(Q1)'!$J:$J)</f>
        <v>383734.19</v>
      </c>
      <c r="F268" s="588">
        <f t="shared" si="9"/>
        <v>383734.19</v>
      </c>
      <c r="G268" s="588">
        <f t="shared" si="10"/>
        <v>0</v>
      </c>
      <c r="H268" s="208"/>
      <c r="I268" s="208"/>
      <c r="J268" s="208"/>
      <c r="K268" s="208"/>
      <c r="L268" s="536"/>
      <c r="M268" s="208"/>
      <c r="N268" s="208"/>
      <c r="O268" s="208"/>
      <c r="P268" s="208"/>
      <c r="Q268" s="208"/>
      <c r="R268" s="208"/>
      <c r="S268" s="208"/>
      <c r="T268" s="208"/>
      <c r="U268" s="208"/>
      <c r="V268" s="208"/>
      <c r="W268" s="208"/>
      <c r="X268" s="208"/>
      <c r="Y268" s="208"/>
      <c r="Z268" s="208"/>
      <c r="AA268" s="208"/>
      <c r="AB268" s="208"/>
      <c r="AC268" s="208"/>
      <c r="AD268" s="208"/>
      <c r="AE268" s="208"/>
      <c r="AF268" s="208"/>
      <c r="AG268" s="208"/>
      <c r="AH268" s="208"/>
      <c r="AI268" s="208"/>
      <c r="AJ268" s="208"/>
      <c r="AK268" s="208"/>
      <c r="AL268" s="208"/>
      <c r="AM268" s="208"/>
      <c r="AN268" s="208"/>
      <c r="AO268" s="208"/>
      <c r="AP268" s="208"/>
      <c r="AQ268" s="208"/>
      <c r="AR268" s="208"/>
      <c r="AS268" s="208"/>
      <c r="AT268" s="208"/>
      <c r="AU268" s="208"/>
      <c r="AV268" s="208"/>
      <c r="AW268" s="208"/>
      <c r="AX268" s="208"/>
      <c r="AY268" s="208"/>
    </row>
    <row r="269">
      <c r="A269" s="208"/>
      <c r="B269" s="533"/>
      <c r="C269" s="208"/>
      <c r="D269" s="208"/>
      <c r="E269" s="208"/>
      <c r="F269" s="584"/>
      <c r="G269" s="208"/>
      <c r="H269" s="208"/>
      <c r="I269" s="208"/>
      <c r="J269" s="208"/>
      <c r="K269" s="208"/>
      <c r="L269" s="536"/>
      <c r="M269" s="208"/>
      <c r="N269" s="208"/>
      <c r="O269" s="208"/>
      <c r="P269" s="208"/>
      <c r="Q269" s="208"/>
      <c r="R269" s="208"/>
      <c r="S269" s="208"/>
      <c r="T269" s="208"/>
      <c r="U269" s="208"/>
      <c r="V269" s="208"/>
      <c r="W269" s="208"/>
      <c r="X269" s="208"/>
      <c r="Y269" s="208"/>
      <c r="Z269" s="208"/>
      <c r="AA269" s="208"/>
      <c r="AB269" s="208"/>
      <c r="AC269" s="208"/>
      <c r="AD269" s="208"/>
      <c r="AE269" s="208"/>
      <c r="AF269" s="208"/>
      <c r="AG269" s="208"/>
      <c r="AH269" s="208"/>
      <c r="AI269" s="208"/>
      <c r="AJ269" s="208"/>
      <c r="AK269" s="208"/>
      <c r="AL269" s="208"/>
      <c r="AM269" s="208"/>
      <c r="AN269" s="208"/>
      <c r="AO269" s="208"/>
      <c r="AP269" s="208"/>
      <c r="AQ269" s="208"/>
      <c r="AR269" s="208"/>
      <c r="AS269" s="208"/>
      <c r="AT269" s="208"/>
      <c r="AU269" s="208"/>
      <c r="AV269" s="208"/>
      <c r="AW269" s="208"/>
      <c r="AX269" s="208"/>
      <c r="AY269" s="208"/>
    </row>
    <row r="270">
      <c r="A270" s="208"/>
      <c r="B270" s="533"/>
      <c r="C270" s="208"/>
      <c r="D270" s="208"/>
      <c r="E270" s="208"/>
      <c r="F270" s="584"/>
      <c r="G270" s="208"/>
      <c r="H270" s="208"/>
      <c r="I270" s="208"/>
      <c r="J270" s="208"/>
      <c r="K270" s="208"/>
      <c r="L270" s="536"/>
      <c r="M270" s="208"/>
      <c r="N270" s="208"/>
      <c r="O270" s="208"/>
      <c r="P270" s="208"/>
      <c r="Q270" s="208"/>
      <c r="R270" s="208"/>
      <c r="S270" s="208"/>
      <c r="T270" s="208"/>
      <c r="U270" s="208"/>
      <c r="V270" s="208"/>
      <c r="W270" s="208"/>
      <c r="X270" s="208"/>
      <c r="Y270" s="208"/>
      <c r="Z270" s="208"/>
      <c r="AA270" s="208"/>
      <c r="AB270" s="208"/>
      <c r="AC270" s="208"/>
      <c r="AD270" s="208"/>
      <c r="AE270" s="208"/>
      <c r="AF270" s="208"/>
      <c r="AG270" s="208"/>
      <c r="AH270" s="208"/>
      <c r="AI270" s="208"/>
      <c r="AJ270" s="208"/>
      <c r="AK270" s="208"/>
      <c r="AL270" s="208"/>
      <c r="AM270" s="208"/>
      <c r="AN270" s="208"/>
      <c r="AO270" s="208"/>
      <c r="AP270" s="208"/>
      <c r="AQ270" s="208"/>
      <c r="AR270" s="208"/>
      <c r="AS270" s="208"/>
      <c r="AT270" s="208"/>
      <c r="AU270" s="208"/>
      <c r="AV270" s="208"/>
      <c r="AW270" s="208"/>
      <c r="AX270" s="208"/>
      <c r="AY270" s="208"/>
    </row>
    <row r="271">
      <c r="A271" s="208"/>
      <c r="B271" s="533"/>
      <c r="C271" s="208"/>
      <c r="D271" s="208"/>
      <c r="E271" s="208"/>
      <c r="F271" s="584"/>
      <c r="G271" s="208"/>
      <c r="H271" s="208"/>
      <c r="I271" s="208"/>
      <c r="J271" s="208"/>
      <c r="K271" s="208"/>
      <c r="L271" s="536"/>
      <c r="M271" s="208"/>
      <c r="N271" s="208"/>
      <c r="O271" s="208"/>
      <c r="P271" s="208"/>
      <c r="Q271" s="208"/>
      <c r="R271" s="208"/>
      <c r="S271" s="208"/>
      <c r="T271" s="208"/>
      <c r="U271" s="208"/>
      <c r="V271" s="208"/>
      <c r="W271" s="208"/>
      <c r="X271" s="208"/>
      <c r="Y271" s="208"/>
      <c r="Z271" s="208"/>
      <c r="AA271" s="208"/>
      <c r="AB271" s="208"/>
      <c r="AC271" s="208"/>
      <c r="AD271" s="208"/>
      <c r="AE271" s="208"/>
      <c r="AF271" s="208"/>
      <c r="AG271" s="208"/>
      <c r="AH271" s="208"/>
      <c r="AI271" s="208"/>
      <c r="AJ271" s="208"/>
      <c r="AK271" s="208"/>
      <c r="AL271" s="208"/>
      <c r="AM271" s="208"/>
      <c r="AN271" s="208"/>
      <c r="AO271" s="208"/>
      <c r="AP271" s="208"/>
      <c r="AQ271" s="208"/>
      <c r="AR271" s="208"/>
      <c r="AS271" s="208"/>
      <c r="AT271" s="208"/>
      <c r="AU271" s="208"/>
      <c r="AV271" s="208"/>
      <c r="AW271" s="208"/>
      <c r="AX271" s="208"/>
      <c r="AY271" s="208"/>
    </row>
    <row r="272">
      <c r="A272" s="208"/>
      <c r="B272" s="533"/>
      <c r="C272" s="208"/>
      <c r="D272" s="208"/>
      <c r="E272" s="208"/>
      <c r="F272" s="584"/>
      <c r="G272" s="208"/>
      <c r="H272" s="208"/>
      <c r="I272" s="208"/>
      <c r="J272" s="208"/>
      <c r="K272" s="208"/>
      <c r="L272" s="536"/>
      <c r="M272" s="208"/>
      <c r="N272" s="208"/>
      <c r="O272" s="208"/>
      <c r="P272" s="208"/>
      <c r="Q272" s="208"/>
      <c r="R272" s="208"/>
      <c r="S272" s="208"/>
      <c r="T272" s="208"/>
      <c r="U272" s="208"/>
      <c r="V272" s="208"/>
      <c r="W272" s="208"/>
      <c r="X272" s="208"/>
      <c r="Y272" s="208"/>
      <c r="Z272" s="208"/>
      <c r="AA272" s="208"/>
      <c r="AB272" s="208"/>
      <c r="AC272" s="208"/>
      <c r="AD272" s="208"/>
      <c r="AE272" s="208"/>
      <c r="AF272" s="208"/>
      <c r="AG272" s="208"/>
      <c r="AH272" s="208"/>
      <c r="AI272" s="208"/>
      <c r="AJ272" s="208"/>
      <c r="AK272" s="208"/>
      <c r="AL272" s="208"/>
      <c r="AM272" s="208"/>
      <c r="AN272" s="208"/>
      <c r="AO272" s="208"/>
      <c r="AP272" s="208"/>
      <c r="AQ272" s="208"/>
      <c r="AR272" s="208"/>
      <c r="AS272" s="208"/>
      <c r="AT272" s="208"/>
      <c r="AU272" s="208"/>
      <c r="AV272" s="208"/>
      <c r="AW272" s="208"/>
      <c r="AX272" s="208"/>
      <c r="AY272" s="208"/>
    </row>
    <row r="273">
      <c r="A273" s="208"/>
      <c r="B273" s="533"/>
      <c r="C273" s="208"/>
      <c r="D273" s="208"/>
      <c r="E273" s="208"/>
      <c r="F273" s="584"/>
      <c r="G273" s="208"/>
      <c r="H273" s="208"/>
      <c r="I273" s="208"/>
      <c r="J273" s="208"/>
      <c r="K273" s="208"/>
      <c r="L273" s="536"/>
      <c r="M273" s="208"/>
      <c r="N273" s="208"/>
      <c r="O273" s="208"/>
      <c r="P273" s="208"/>
      <c r="Q273" s="208"/>
      <c r="R273" s="208"/>
      <c r="S273" s="208"/>
      <c r="T273" s="208"/>
      <c r="U273" s="208"/>
      <c r="V273" s="208"/>
      <c r="W273" s="208"/>
      <c r="X273" s="208"/>
      <c r="Y273" s="208"/>
      <c r="Z273" s="208"/>
      <c r="AA273" s="208"/>
      <c r="AB273" s="208"/>
      <c r="AC273" s="208"/>
      <c r="AD273" s="208"/>
      <c r="AE273" s="208"/>
      <c r="AF273" s="208"/>
      <c r="AG273" s="208"/>
      <c r="AH273" s="208"/>
      <c r="AI273" s="208"/>
      <c r="AJ273" s="208"/>
      <c r="AK273" s="208"/>
      <c r="AL273" s="208"/>
      <c r="AM273" s="208"/>
      <c r="AN273" s="208"/>
      <c r="AO273" s="208"/>
      <c r="AP273" s="208"/>
      <c r="AQ273" s="208"/>
      <c r="AR273" s="208"/>
      <c r="AS273" s="208"/>
      <c r="AT273" s="208"/>
      <c r="AU273" s="208"/>
      <c r="AV273" s="208"/>
      <c r="AW273" s="208"/>
      <c r="AX273" s="208"/>
      <c r="AY273" s="208"/>
    </row>
    <row r="274">
      <c r="A274" s="208"/>
      <c r="B274" s="533"/>
      <c r="C274" s="208"/>
      <c r="D274" s="208"/>
      <c r="E274" s="208"/>
      <c r="F274" s="584"/>
      <c r="G274" s="208"/>
      <c r="H274" s="208"/>
      <c r="I274" s="208"/>
      <c r="J274" s="208"/>
      <c r="K274" s="208"/>
      <c r="L274" s="536"/>
      <c r="M274" s="208"/>
      <c r="N274" s="208"/>
      <c r="O274" s="208"/>
      <c r="P274" s="208"/>
      <c r="Q274" s="208"/>
      <c r="R274" s="208"/>
      <c r="S274" s="208"/>
      <c r="T274" s="208"/>
      <c r="U274" s="208"/>
      <c r="V274" s="208"/>
      <c r="W274" s="208"/>
      <c r="X274" s="208"/>
      <c r="Y274" s="208"/>
      <c r="Z274" s="208"/>
      <c r="AA274" s="208"/>
      <c r="AB274" s="208"/>
      <c r="AC274" s="208"/>
      <c r="AD274" s="208"/>
      <c r="AE274" s="208"/>
      <c r="AF274" s="208"/>
      <c r="AG274" s="208"/>
      <c r="AH274" s="208"/>
      <c r="AI274" s="208"/>
      <c r="AJ274" s="208"/>
      <c r="AK274" s="208"/>
      <c r="AL274" s="208"/>
      <c r="AM274" s="208"/>
      <c r="AN274" s="208"/>
      <c r="AO274" s="208"/>
      <c r="AP274" s="208"/>
      <c r="AQ274" s="208"/>
      <c r="AR274" s="208"/>
      <c r="AS274" s="208"/>
      <c r="AT274" s="208"/>
      <c r="AU274" s="208"/>
      <c r="AV274" s="208"/>
      <c r="AW274" s="208"/>
      <c r="AX274" s="208"/>
      <c r="AY274" s="208"/>
    </row>
    <row r="275">
      <c r="A275" s="208"/>
      <c r="B275" s="533"/>
      <c r="C275" s="208"/>
      <c r="D275" s="208"/>
      <c r="E275" s="208"/>
      <c r="F275" s="584"/>
      <c r="G275" s="208"/>
      <c r="H275" s="208"/>
      <c r="I275" s="208"/>
      <c r="J275" s="208"/>
      <c r="K275" s="208"/>
      <c r="L275" s="536"/>
      <c r="M275" s="208"/>
      <c r="N275" s="208"/>
      <c r="O275" s="208"/>
      <c r="P275" s="208"/>
      <c r="Q275" s="208"/>
      <c r="R275" s="208"/>
      <c r="S275" s="208"/>
      <c r="T275" s="208"/>
      <c r="U275" s="208"/>
      <c r="V275" s="208"/>
      <c r="W275" s="208"/>
      <c r="X275" s="208"/>
      <c r="Y275" s="208"/>
      <c r="Z275" s="208"/>
      <c r="AA275" s="208"/>
      <c r="AB275" s="208"/>
      <c r="AC275" s="208"/>
      <c r="AD275" s="208"/>
      <c r="AE275" s="208"/>
      <c r="AF275" s="208"/>
      <c r="AG275" s="208"/>
      <c r="AH275" s="208"/>
      <c r="AI275" s="208"/>
      <c r="AJ275" s="208"/>
      <c r="AK275" s="208"/>
      <c r="AL275" s="208"/>
      <c r="AM275" s="208"/>
      <c r="AN275" s="208"/>
      <c r="AO275" s="208"/>
      <c r="AP275" s="208"/>
      <c r="AQ275" s="208"/>
      <c r="AR275" s="208"/>
      <c r="AS275" s="208"/>
      <c r="AT275" s="208"/>
      <c r="AU275" s="208"/>
      <c r="AV275" s="208"/>
      <c r="AW275" s="208"/>
      <c r="AX275" s="208"/>
      <c r="AY275" s="208"/>
    </row>
    <row r="276">
      <c r="A276" s="208"/>
      <c r="B276" s="533"/>
      <c r="C276" s="208"/>
      <c r="D276" s="208"/>
      <c r="E276" s="208"/>
      <c r="F276" s="584"/>
      <c r="G276" s="208"/>
      <c r="H276" s="208"/>
      <c r="I276" s="208"/>
      <c r="J276" s="208"/>
      <c r="K276" s="208"/>
      <c r="L276" s="536"/>
      <c r="M276" s="208"/>
      <c r="N276" s="208"/>
      <c r="O276" s="208"/>
      <c r="P276" s="208"/>
      <c r="Q276" s="208"/>
      <c r="R276" s="208"/>
      <c r="S276" s="208"/>
      <c r="T276" s="208"/>
      <c r="U276" s="208"/>
      <c r="V276" s="208"/>
      <c r="W276" s="208"/>
      <c r="X276" s="208"/>
      <c r="Y276" s="208"/>
      <c r="Z276" s="208"/>
      <c r="AA276" s="208"/>
      <c r="AB276" s="208"/>
      <c r="AC276" s="208"/>
      <c r="AD276" s="208"/>
      <c r="AE276" s="208"/>
      <c r="AF276" s="208"/>
      <c r="AG276" s="208"/>
      <c r="AH276" s="208"/>
      <c r="AI276" s="208"/>
      <c r="AJ276" s="208"/>
      <c r="AK276" s="208"/>
      <c r="AL276" s="208"/>
      <c r="AM276" s="208"/>
      <c r="AN276" s="208"/>
      <c r="AO276" s="208"/>
      <c r="AP276" s="208"/>
      <c r="AQ276" s="208"/>
      <c r="AR276" s="208"/>
      <c r="AS276" s="208"/>
      <c r="AT276" s="208"/>
      <c r="AU276" s="208"/>
      <c r="AV276" s="208"/>
      <c r="AW276" s="208"/>
      <c r="AX276" s="208"/>
      <c r="AY276" s="208"/>
    </row>
    <row r="277">
      <c r="A277" s="208"/>
      <c r="B277" s="533"/>
      <c r="C277" s="208"/>
      <c r="D277" s="208"/>
      <c r="E277" s="208"/>
      <c r="F277" s="584"/>
      <c r="G277" s="208"/>
      <c r="H277" s="208"/>
      <c r="I277" s="208"/>
      <c r="J277" s="208"/>
      <c r="K277" s="208"/>
      <c r="L277" s="536"/>
      <c r="M277" s="208"/>
      <c r="N277" s="208"/>
      <c r="O277" s="208"/>
      <c r="P277" s="208"/>
      <c r="Q277" s="208"/>
      <c r="R277" s="208"/>
      <c r="S277" s="208"/>
      <c r="T277" s="208"/>
      <c r="U277" s="208"/>
      <c r="V277" s="208"/>
      <c r="W277" s="208"/>
      <c r="X277" s="208"/>
      <c r="Y277" s="208"/>
      <c r="Z277" s="208"/>
      <c r="AA277" s="208"/>
      <c r="AB277" s="208"/>
      <c r="AC277" s="208"/>
      <c r="AD277" s="208"/>
      <c r="AE277" s="208"/>
      <c r="AF277" s="208"/>
      <c r="AG277" s="208"/>
      <c r="AH277" s="208"/>
      <c r="AI277" s="208"/>
      <c r="AJ277" s="208"/>
      <c r="AK277" s="208"/>
      <c r="AL277" s="208"/>
      <c r="AM277" s="208"/>
      <c r="AN277" s="208"/>
      <c r="AO277" s="208"/>
      <c r="AP277" s="208"/>
      <c r="AQ277" s="208"/>
      <c r="AR277" s="208"/>
      <c r="AS277" s="208"/>
      <c r="AT277" s="208"/>
      <c r="AU277" s="208"/>
      <c r="AV277" s="208"/>
      <c r="AW277" s="208"/>
      <c r="AX277" s="208"/>
      <c r="AY277" s="208"/>
    </row>
    <row r="278">
      <c r="A278" s="208"/>
      <c r="B278" s="533"/>
      <c r="C278" s="208"/>
      <c r="D278" s="208"/>
      <c r="E278" s="208"/>
      <c r="F278" s="584"/>
      <c r="G278" s="208"/>
      <c r="H278" s="208"/>
      <c r="I278" s="208"/>
      <c r="J278" s="208"/>
      <c r="K278" s="208"/>
      <c r="L278" s="536"/>
      <c r="M278" s="208"/>
      <c r="N278" s="208"/>
      <c r="O278" s="208"/>
      <c r="P278" s="208"/>
      <c r="Q278" s="208"/>
      <c r="R278" s="208"/>
      <c r="S278" s="208"/>
      <c r="T278" s="208"/>
      <c r="U278" s="208"/>
      <c r="V278" s="208"/>
      <c r="W278" s="208"/>
      <c r="X278" s="208"/>
      <c r="Y278" s="208"/>
      <c r="Z278" s="208"/>
      <c r="AA278" s="208"/>
      <c r="AB278" s="208"/>
      <c r="AC278" s="208"/>
      <c r="AD278" s="208"/>
      <c r="AE278" s="208"/>
      <c r="AF278" s="208"/>
      <c r="AG278" s="208"/>
      <c r="AH278" s="208"/>
      <c r="AI278" s="208"/>
      <c r="AJ278" s="208"/>
      <c r="AK278" s="208"/>
      <c r="AL278" s="208"/>
      <c r="AM278" s="208"/>
      <c r="AN278" s="208"/>
      <c r="AO278" s="208"/>
      <c r="AP278" s="208"/>
      <c r="AQ278" s="208"/>
      <c r="AR278" s="208"/>
      <c r="AS278" s="208"/>
      <c r="AT278" s="208"/>
      <c r="AU278" s="208"/>
      <c r="AV278" s="208"/>
      <c r="AW278" s="208"/>
      <c r="AX278" s="208"/>
      <c r="AY278" s="208"/>
    </row>
    <row r="279">
      <c r="A279" s="208"/>
      <c r="B279" s="533"/>
      <c r="C279" s="208"/>
      <c r="D279" s="208"/>
      <c r="E279" s="208"/>
      <c r="F279" s="584"/>
      <c r="G279" s="208"/>
      <c r="H279" s="208"/>
      <c r="I279" s="208"/>
      <c r="J279" s="208"/>
      <c r="K279" s="208"/>
      <c r="L279" s="536"/>
      <c r="M279" s="208"/>
      <c r="N279" s="208"/>
      <c r="O279" s="208"/>
      <c r="P279" s="208"/>
      <c r="Q279" s="208"/>
      <c r="R279" s="208"/>
      <c r="S279" s="208"/>
      <c r="T279" s="208"/>
      <c r="U279" s="208"/>
      <c r="V279" s="208"/>
      <c r="W279" s="208"/>
      <c r="X279" s="208"/>
      <c r="Y279" s="208"/>
      <c r="Z279" s="208"/>
      <c r="AA279" s="208"/>
      <c r="AB279" s="208"/>
      <c r="AC279" s="208"/>
      <c r="AD279" s="208"/>
      <c r="AE279" s="208"/>
      <c r="AF279" s="208"/>
      <c r="AG279" s="208"/>
      <c r="AH279" s="208"/>
      <c r="AI279" s="208"/>
      <c r="AJ279" s="208"/>
      <c r="AK279" s="208"/>
      <c r="AL279" s="208"/>
      <c r="AM279" s="208"/>
      <c r="AN279" s="208"/>
      <c r="AO279" s="208"/>
      <c r="AP279" s="208"/>
      <c r="AQ279" s="208"/>
      <c r="AR279" s="208"/>
      <c r="AS279" s="208"/>
      <c r="AT279" s="208"/>
      <c r="AU279" s="208"/>
      <c r="AV279" s="208"/>
      <c r="AW279" s="208"/>
      <c r="AX279" s="208"/>
      <c r="AY279" s="208"/>
    </row>
    <row r="280">
      <c r="A280" s="208"/>
      <c r="B280" s="533"/>
      <c r="C280" s="208"/>
      <c r="D280" s="208"/>
      <c r="E280" s="208"/>
      <c r="F280" s="584"/>
      <c r="G280" s="208"/>
      <c r="H280" s="208"/>
      <c r="I280" s="208"/>
      <c r="J280" s="208"/>
      <c r="K280" s="208"/>
      <c r="L280" s="536"/>
      <c r="M280" s="208"/>
      <c r="N280" s="208"/>
      <c r="O280" s="208"/>
      <c r="P280" s="208"/>
      <c r="Q280" s="208"/>
      <c r="R280" s="208"/>
      <c r="S280" s="208"/>
      <c r="T280" s="208"/>
      <c r="U280" s="208"/>
      <c r="V280" s="208"/>
      <c r="W280" s="208"/>
      <c r="X280" s="208"/>
      <c r="Y280" s="208"/>
      <c r="Z280" s="208"/>
      <c r="AA280" s="208"/>
      <c r="AB280" s="208"/>
      <c r="AC280" s="208"/>
      <c r="AD280" s="208"/>
      <c r="AE280" s="208"/>
      <c r="AF280" s="208"/>
      <c r="AG280" s="208"/>
      <c r="AH280" s="208"/>
      <c r="AI280" s="208"/>
      <c r="AJ280" s="208"/>
      <c r="AK280" s="208"/>
      <c r="AL280" s="208"/>
      <c r="AM280" s="208"/>
      <c r="AN280" s="208"/>
      <c r="AO280" s="208"/>
      <c r="AP280" s="208"/>
      <c r="AQ280" s="208"/>
      <c r="AR280" s="208"/>
      <c r="AS280" s="208"/>
      <c r="AT280" s="208"/>
      <c r="AU280" s="208"/>
      <c r="AV280" s="208"/>
      <c r="AW280" s="208"/>
      <c r="AX280" s="208"/>
      <c r="AY280" s="208"/>
    </row>
    <row r="281">
      <c r="A281" s="208"/>
      <c r="B281" s="533"/>
      <c r="C281" s="208"/>
      <c r="D281" s="208"/>
      <c r="E281" s="208"/>
      <c r="F281" s="584"/>
      <c r="G281" s="208"/>
      <c r="H281" s="208"/>
      <c r="I281" s="208"/>
      <c r="J281" s="208"/>
      <c r="K281" s="208"/>
      <c r="L281" s="536"/>
      <c r="M281" s="208"/>
      <c r="N281" s="208"/>
      <c r="O281" s="208"/>
      <c r="P281" s="208"/>
      <c r="Q281" s="208"/>
      <c r="R281" s="208"/>
      <c r="S281" s="208"/>
      <c r="T281" s="208"/>
      <c r="U281" s="208"/>
      <c r="V281" s="208"/>
      <c r="W281" s="208"/>
      <c r="X281" s="208"/>
      <c r="Y281" s="208"/>
      <c r="Z281" s="208"/>
      <c r="AA281" s="208"/>
      <c r="AB281" s="208"/>
      <c r="AC281" s="208"/>
      <c r="AD281" s="208"/>
      <c r="AE281" s="208"/>
      <c r="AF281" s="208"/>
      <c r="AG281" s="208"/>
      <c r="AH281" s="208"/>
      <c r="AI281" s="208"/>
      <c r="AJ281" s="208"/>
      <c r="AK281" s="208"/>
      <c r="AL281" s="208"/>
      <c r="AM281" s="208"/>
      <c r="AN281" s="208"/>
      <c r="AO281" s="208"/>
      <c r="AP281" s="208"/>
      <c r="AQ281" s="208"/>
      <c r="AR281" s="208"/>
      <c r="AS281" s="208"/>
      <c r="AT281" s="208"/>
      <c r="AU281" s="208"/>
      <c r="AV281" s="208"/>
      <c r="AW281" s="208"/>
      <c r="AX281" s="208"/>
      <c r="AY281" s="208"/>
    </row>
    <row r="282">
      <c r="A282" s="208"/>
      <c r="B282" s="533"/>
      <c r="C282" s="208"/>
      <c r="D282" s="208"/>
      <c r="E282" s="208"/>
      <c r="F282" s="584"/>
      <c r="G282" s="208"/>
      <c r="H282" s="208"/>
      <c r="I282" s="208"/>
      <c r="J282" s="208"/>
      <c r="K282" s="208"/>
      <c r="L282" s="536"/>
      <c r="M282" s="208"/>
      <c r="N282" s="208"/>
      <c r="O282" s="208"/>
      <c r="P282" s="208"/>
      <c r="Q282" s="208"/>
      <c r="R282" s="208"/>
      <c r="S282" s="208"/>
      <c r="T282" s="208"/>
      <c r="U282" s="208"/>
      <c r="V282" s="208"/>
      <c r="W282" s="208"/>
      <c r="X282" s="208"/>
      <c r="Y282" s="208"/>
      <c r="Z282" s="208"/>
      <c r="AA282" s="208"/>
      <c r="AB282" s="208"/>
      <c r="AC282" s="208"/>
      <c r="AD282" s="208"/>
      <c r="AE282" s="208"/>
      <c r="AF282" s="208"/>
      <c r="AG282" s="208"/>
      <c r="AH282" s="208"/>
      <c r="AI282" s="208"/>
      <c r="AJ282" s="208"/>
      <c r="AK282" s="208"/>
      <c r="AL282" s="208"/>
      <c r="AM282" s="208"/>
      <c r="AN282" s="208"/>
      <c r="AO282" s="208"/>
      <c r="AP282" s="208"/>
      <c r="AQ282" s="208"/>
      <c r="AR282" s="208"/>
      <c r="AS282" s="208"/>
      <c r="AT282" s="208"/>
      <c r="AU282" s="208"/>
      <c r="AV282" s="208"/>
      <c r="AW282" s="208"/>
      <c r="AX282" s="208"/>
      <c r="AY282" s="208"/>
    </row>
    <row r="283">
      <c r="A283" s="208"/>
      <c r="B283" s="533"/>
      <c r="C283" s="208"/>
      <c r="D283" s="208"/>
      <c r="E283" s="208"/>
      <c r="F283" s="584"/>
      <c r="G283" s="208"/>
      <c r="H283" s="208"/>
      <c r="I283" s="208"/>
      <c r="J283" s="208"/>
      <c r="K283" s="208"/>
      <c r="L283" s="536"/>
      <c r="M283" s="208"/>
      <c r="N283" s="208"/>
      <c r="O283" s="208"/>
      <c r="P283" s="208"/>
      <c r="Q283" s="208"/>
      <c r="R283" s="208"/>
      <c r="S283" s="208"/>
      <c r="T283" s="208"/>
      <c r="U283" s="208"/>
      <c r="V283" s="208"/>
      <c r="W283" s="208"/>
      <c r="X283" s="208"/>
      <c r="Y283" s="208"/>
      <c r="Z283" s="208"/>
      <c r="AA283" s="208"/>
      <c r="AB283" s="208"/>
      <c r="AC283" s="208"/>
      <c r="AD283" s="208"/>
      <c r="AE283" s="208"/>
      <c r="AF283" s="208"/>
      <c r="AG283" s="208"/>
      <c r="AH283" s="208"/>
      <c r="AI283" s="208"/>
      <c r="AJ283" s="208"/>
      <c r="AK283" s="208"/>
      <c r="AL283" s="208"/>
      <c r="AM283" s="208"/>
      <c r="AN283" s="208"/>
      <c r="AO283" s="208"/>
      <c r="AP283" s="208"/>
      <c r="AQ283" s="208"/>
      <c r="AR283" s="208"/>
      <c r="AS283" s="208"/>
      <c r="AT283" s="208"/>
      <c r="AU283" s="208"/>
      <c r="AV283" s="208"/>
      <c r="AW283" s="208"/>
      <c r="AX283" s="208"/>
      <c r="AY283" s="208"/>
    </row>
    <row r="284">
      <c r="A284" s="208"/>
      <c r="B284" s="533"/>
      <c r="C284" s="208"/>
      <c r="D284" s="208"/>
      <c r="E284" s="208"/>
      <c r="F284" s="584"/>
      <c r="G284" s="208"/>
      <c r="H284" s="208"/>
      <c r="I284" s="208"/>
      <c r="J284" s="208"/>
      <c r="K284" s="208"/>
      <c r="L284" s="536"/>
      <c r="M284" s="208"/>
      <c r="N284" s="208"/>
      <c r="O284" s="208"/>
      <c r="P284" s="208"/>
      <c r="Q284" s="208"/>
      <c r="R284" s="208"/>
      <c r="S284" s="208"/>
      <c r="T284" s="208"/>
      <c r="U284" s="208"/>
      <c r="V284" s="208"/>
      <c r="W284" s="208"/>
      <c r="X284" s="208"/>
      <c r="Y284" s="208"/>
      <c r="Z284" s="208"/>
      <c r="AA284" s="208"/>
      <c r="AB284" s="208"/>
      <c r="AC284" s="208"/>
      <c r="AD284" s="208"/>
      <c r="AE284" s="208"/>
      <c r="AF284" s="208"/>
      <c r="AG284" s="208"/>
      <c r="AH284" s="208"/>
      <c r="AI284" s="208"/>
      <c r="AJ284" s="208"/>
      <c r="AK284" s="208"/>
      <c r="AL284" s="208"/>
      <c r="AM284" s="208"/>
      <c r="AN284" s="208"/>
      <c r="AO284" s="208"/>
      <c r="AP284" s="208"/>
      <c r="AQ284" s="208"/>
      <c r="AR284" s="208"/>
      <c r="AS284" s="208"/>
      <c r="AT284" s="208"/>
      <c r="AU284" s="208"/>
      <c r="AV284" s="208"/>
      <c r="AW284" s="208"/>
      <c r="AX284" s="208"/>
      <c r="AY284" s="208"/>
    </row>
    <row r="285">
      <c r="A285" s="208"/>
      <c r="B285" s="533"/>
      <c r="C285" s="208"/>
      <c r="D285" s="208"/>
      <c r="E285" s="208"/>
      <c r="F285" s="584"/>
      <c r="G285" s="208"/>
      <c r="H285" s="208"/>
      <c r="I285" s="208"/>
      <c r="J285" s="208"/>
      <c r="K285" s="208"/>
      <c r="L285" s="536"/>
      <c r="M285" s="208"/>
      <c r="N285" s="208"/>
      <c r="O285" s="208"/>
      <c r="P285" s="208"/>
      <c r="Q285" s="208"/>
      <c r="R285" s="208"/>
      <c r="S285" s="208"/>
      <c r="T285" s="208"/>
      <c r="U285" s="208"/>
      <c r="V285" s="208"/>
      <c r="W285" s="208"/>
      <c r="X285" s="208"/>
      <c r="Y285" s="208"/>
      <c r="Z285" s="208"/>
      <c r="AA285" s="208"/>
      <c r="AB285" s="208"/>
      <c r="AC285" s="208"/>
      <c r="AD285" s="208"/>
      <c r="AE285" s="208"/>
      <c r="AF285" s="208"/>
      <c r="AG285" s="208"/>
      <c r="AH285" s="208"/>
      <c r="AI285" s="208"/>
      <c r="AJ285" s="208"/>
      <c r="AK285" s="208"/>
      <c r="AL285" s="208"/>
      <c r="AM285" s="208"/>
      <c r="AN285" s="208"/>
      <c r="AO285" s="208"/>
      <c r="AP285" s="208"/>
      <c r="AQ285" s="208"/>
      <c r="AR285" s="208"/>
      <c r="AS285" s="208"/>
      <c r="AT285" s="208"/>
      <c r="AU285" s="208"/>
      <c r="AV285" s="208"/>
      <c r="AW285" s="208"/>
      <c r="AX285" s="208"/>
      <c r="AY285" s="208"/>
    </row>
    <row r="286">
      <c r="A286" s="208"/>
      <c r="B286" s="533"/>
      <c r="C286" s="208"/>
      <c r="D286" s="208"/>
      <c r="E286" s="208"/>
      <c r="F286" s="584"/>
      <c r="G286" s="208"/>
      <c r="H286" s="208"/>
      <c r="I286" s="208"/>
      <c r="J286" s="208"/>
      <c r="K286" s="208"/>
      <c r="L286" s="536"/>
      <c r="M286" s="208"/>
      <c r="N286" s="208"/>
      <c r="O286" s="208"/>
      <c r="P286" s="208"/>
      <c r="Q286" s="208"/>
      <c r="R286" s="208"/>
      <c r="S286" s="208"/>
      <c r="T286" s="208"/>
      <c r="U286" s="208"/>
      <c r="V286" s="208"/>
      <c r="W286" s="208"/>
      <c r="X286" s="208"/>
      <c r="Y286" s="208"/>
      <c r="Z286" s="208"/>
      <c r="AA286" s="208"/>
      <c r="AB286" s="208"/>
      <c r="AC286" s="208"/>
      <c r="AD286" s="208"/>
      <c r="AE286" s="208"/>
      <c r="AF286" s="208"/>
      <c r="AG286" s="208"/>
      <c r="AH286" s="208"/>
      <c r="AI286" s="208"/>
      <c r="AJ286" s="208"/>
      <c r="AK286" s="208"/>
      <c r="AL286" s="208"/>
      <c r="AM286" s="208"/>
      <c r="AN286" s="208"/>
      <c r="AO286" s="208"/>
      <c r="AP286" s="208"/>
      <c r="AQ286" s="208"/>
      <c r="AR286" s="208"/>
      <c r="AS286" s="208"/>
      <c r="AT286" s="208"/>
      <c r="AU286" s="208"/>
      <c r="AV286" s="208"/>
      <c r="AW286" s="208"/>
      <c r="AX286" s="208"/>
      <c r="AY286" s="208"/>
    </row>
    <row r="287">
      <c r="A287" s="208"/>
      <c r="B287" s="533"/>
      <c r="C287" s="208"/>
      <c r="D287" s="208"/>
      <c r="E287" s="208"/>
      <c r="F287" s="584"/>
      <c r="G287" s="208"/>
      <c r="H287" s="208"/>
      <c r="I287" s="208"/>
      <c r="J287" s="208"/>
      <c r="K287" s="208"/>
      <c r="L287" s="536"/>
      <c r="M287" s="208"/>
      <c r="N287" s="208"/>
      <c r="O287" s="208"/>
      <c r="P287" s="208"/>
      <c r="Q287" s="208"/>
      <c r="R287" s="208"/>
      <c r="S287" s="208"/>
      <c r="T287" s="208"/>
      <c r="U287" s="208"/>
      <c r="V287" s="208"/>
      <c r="W287" s="208"/>
      <c r="X287" s="208"/>
      <c r="Y287" s="208"/>
      <c r="Z287" s="208"/>
      <c r="AA287" s="208"/>
      <c r="AB287" s="208"/>
      <c r="AC287" s="208"/>
      <c r="AD287" s="208"/>
      <c r="AE287" s="208"/>
      <c r="AF287" s="208"/>
      <c r="AG287" s="208"/>
      <c r="AH287" s="208"/>
      <c r="AI287" s="208"/>
      <c r="AJ287" s="208"/>
      <c r="AK287" s="208"/>
      <c r="AL287" s="208"/>
      <c r="AM287" s="208"/>
      <c r="AN287" s="208"/>
      <c r="AO287" s="208"/>
      <c r="AP287" s="208"/>
      <c r="AQ287" s="208"/>
      <c r="AR287" s="208"/>
      <c r="AS287" s="208"/>
      <c r="AT287" s="208"/>
      <c r="AU287" s="208"/>
      <c r="AV287" s="208"/>
      <c r="AW287" s="208"/>
      <c r="AX287" s="208"/>
      <c r="AY287" s="208"/>
    </row>
    <row r="288">
      <c r="A288" s="208"/>
      <c r="B288" s="533"/>
      <c r="C288" s="208"/>
      <c r="D288" s="208"/>
      <c r="E288" s="208"/>
      <c r="F288" s="584"/>
      <c r="G288" s="208"/>
      <c r="H288" s="208"/>
      <c r="I288" s="208"/>
      <c r="J288" s="208"/>
      <c r="K288" s="208"/>
      <c r="L288" s="536"/>
      <c r="M288" s="208"/>
      <c r="N288" s="208"/>
      <c r="O288" s="208"/>
      <c r="P288" s="208"/>
      <c r="Q288" s="208"/>
      <c r="R288" s="208"/>
      <c r="S288" s="208"/>
      <c r="T288" s="208"/>
      <c r="U288" s="208"/>
      <c r="V288" s="208"/>
      <c r="W288" s="208"/>
      <c r="X288" s="208"/>
      <c r="Y288" s="208"/>
      <c r="Z288" s="208"/>
      <c r="AA288" s="208"/>
      <c r="AB288" s="208"/>
      <c r="AC288" s="208"/>
      <c r="AD288" s="208"/>
      <c r="AE288" s="208"/>
      <c r="AF288" s="208"/>
      <c r="AG288" s="208"/>
      <c r="AH288" s="208"/>
      <c r="AI288" s="208"/>
      <c r="AJ288" s="208"/>
      <c r="AK288" s="208"/>
      <c r="AL288" s="208"/>
      <c r="AM288" s="208"/>
      <c r="AN288" s="208"/>
      <c r="AO288" s="208"/>
      <c r="AP288" s="208"/>
      <c r="AQ288" s="208"/>
      <c r="AR288" s="208"/>
      <c r="AS288" s="208"/>
      <c r="AT288" s="208"/>
      <c r="AU288" s="208"/>
      <c r="AV288" s="208"/>
      <c r="AW288" s="208"/>
      <c r="AX288" s="208"/>
      <c r="AY288" s="208"/>
    </row>
    <row r="289">
      <c r="A289" s="208"/>
      <c r="B289" s="533"/>
      <c r="C289" s="208"/>
      <c r="D289" s="208"/>
      <c r="E289" s="208"/>
      <c r="F289" s="584"/>
      <c r="G289" s="208"/>
      <c r="H289" s="208"/>
      <c r="I289" s="208"/>
      <c r="J289" s="208"/>
      <c r="K289" s="208"/>
      <c r="L289" s="536"/>
      <c r="M289" s="208"/>
      <c r="N289" s="208"/>
      <c r="O289" s="208"/>
      <c r="P289" s="208"/>
      <c r="Q289" s="208"/>
      <c r="R289" s="208"/>
      <c r="S289" s="208"/>
      <c r="T289" s="208"/>
      <c r="U289" s="208"/>
      <c r="V289" s="208"/>
      <c r="W289" s="208"/>
      <c r="X289" s="208"/>
      <c r="Y289" s="208"/>
      <c r="Z289" s="208"/>
      <c r="AA289" s="208"/>
      <c r="AB289" s="208"/>
      <c r="AC289" s="208"/>
      <c r="AD289" s="208"/>
      <c r="AE289" s="208"/>
      <c r="AF289" s="208"/>
      <c r="AG289" s="208"/>
      <c r="AH289" s="208"/>
      <c r="AI289" s="208"/>
      <c r="AJ289" s="208"/>
      <c r="AK289" s="208"/>
      <c r="AL289" s="208"/>
      <c r="AM289" s="208"/>
      <c r="AN289" s="208"/>
      <c r="AO289" s="208"/>
      <c r="AP289" s="208"/>
      <c r="AQ289" s="208"/>
      <c r="AR289" s="208"/>
      <c r="AS289" s="208"/>
      <c r="AT289" s="208"/>
      <c r="AU289" s="208"/>
      <c r="AV289" s="208"/>
      <c r="AW289" s="208"/>
      <c r="AX289" s="208"/>
      <c r="AY289" s="208"/>
    </row>
    <row r="290">
      <c r="A290" s="208"/>
      <c r="B290" s="533"/>
      <c r="C290" s="208"/>
      <c r="D290" s="208"/>
      <c r="E290" s="208"/>
      <c r="F290" s="584"/>
      <c r="G290" s="208"/>
      <c r="H290" s="208"/>
      <c r="I290" s="208"/>
      <c r="J290" s="208"/>
      <c r="K290" s="208"/>
      <c r="L290" s="536"/>
      <c r="M290" s="208"/>
      <c r="N290" s="208"/>
      <c r="O290" s="208"/>
      <c r="P290" s="208"/>
      <c r="Q290" s="208"/>
      <c r="R290" s="208"/>
      <c r="S290" s="208"/>
      <c r="T290" s="208"/>
      <c r="U290" s="208"/>
      <c r="V290" s="208"/>
      <c r="W290" s="208"/>
      <c r="X290" s="208"/>
      <c r="Y290" s="208"/>
      <c r="Z290" s="208"/>
      <c r="AA290" s="208"/>
      <c r="AB290" s="208"/>
      <c r="AC290" s="208"/>
      <c r="AD290" s="208"/>
      <c r="AE290" s="208"/>
      <c r="AF290" s="208"/>
      <c r="AG290" s="208"/>
      <c r="AH290" s="208"/>
      <c r="AI290" s="208"/>
      <c r="AJ290" s="208"/>
      <c r="AK290" s="208"/>
      <c r="AL290" s="208"/>
      <c r="AM290" s="208"/>
      <c r="AN290" s="208"/>
      <c r="AO290" s="208"/>
      <c r="AP290" s="208"/>
      <c r="AQ290" s="208"/>
      <c r="AR290" s="208"/>
      <c r="AS290" s="208"/>
      <c r="AT290" s="208"/>
      <c r="AU290" s="208"/>
      <c r="AV290" s="208"/>
      <c r="AW290" s="208"/>
      <c r="AX290" s="208"/>
      <c r="AY290" s="208"/>
    </row>
    <row r="291">
      <c r="A291" s="208"/>
      <c r="B291" s="533"/>
      <c r="C291" s="208"/>
      <c r="D291" s="208"/>
      <c r="E291" s="208"/>
      <c r="F291" s="584"/>
      <c r="G291" s="208"/>
      <c r="H291" s="208"/>
      <c r="I291" s="208"/>
      <c r="J291" s="208"/>
      <c r="K291" s="208"/>
      <c r="L291" s="536"/>
      <c r="M291" s="208"/>
      <c r="N291" s="208"/>
      <c r="O291" s="208"/>
      <c r="P291" s="208"/>
      <c r="Q291" s="208"/>
      <c r="R291" s="208"/>
      <c r="S291" s="208"/>
      <c r="T291" s="208"/>
      <c r="U291" s="208"/>
      <c r="V291" s="208"/>
      <c r="W291" s="208"/>
      <c r="X291" s="208"/>
      <c r="Y291" s="208"/>
      <c r="Z291" s="208"/>
      <c r="AA291" s="208"/>
      <c r="AB291" s="208"/>
      <c r="AC291" s="208"/>
      <c r="AD291" s="208"/>
      <c r="AE291" s="208"/>
      <c r="AF291" s="208"/>
      <c r="AG291" s="208"/>
      <c r="AH291" s="208"/>
      <c r="AI291" s="208"/>
      <c r="AJ291" s="208"/>
      <c r="AK291" s="208"/>
      <c r="AL291" s="208"/>
      <c r="AM291" s="208"/>
      <c r="AN291" s="208"/>
      <c r="AO291" s="208"/>
      <c r="AP291" s="208"/>
      <c r="AQ291" s="208"/>
      <c r="AR291" s="208"/>
      <c r="AS291" s="208"/>
      <c r="AT291" s="208"/>
      <c r="AU291" s="208"/>
      <c r="AV291" s="208"/>
      <c r="AW291" s="208"/>
      <c r="AX291" s="208"/>
      <c r="AY291" s="208"/>
    </row>
    <row r="292">
      <c r="A292" s="208"/>
      <c r="B292" s="533"/>
      <c r="C292" s="208"/>
      <c r="D292" s="208"/>
      <c r="E292" s="208"/>
      <c r="F292" s="584"/>
      <c r="G292" s="208"/>
      <c r="H292" s="208"/>
      <c r="I292" s="208"/>
      <c r="J292" s="208"/>
      <c r="K292" s="208"/>
      <c r="L292" s="536"/>
      <c r="M292" s="208"/>
      <c r="N292" s="208"/>
      <c r="O292" s="208"/>
      <c r="P292" s="208"/>
      <c r="Q292" s="208"/>
      <c r="R292" s="208"/>
      <c r="S292" s="208"/>
      <c r="T292" s="208"/>
      <c r="U292" s="208"/>
      <c r="V292" s="208"/>
      <c r="W292" s="208"/>
      <c r="X292" s="208"/>
      <c r="Y292" s="208"/>
      <c r="Z292" s="208"/>
      <c r="AA292" s="208"/>
      <c r="AB292" s="208"/>
      <c r="AC292" s="208"/>
      <c r="AD292" s="208"/>
      <c r="AE292" s="208"/>
      <c r="AF292" s="208"/>
      <c r="AG292" s="208"/>
      <c r="AH292" s="208"/>
      <c r="AI292" s="208"/>
      <c r="AJ292" s="208"/>
      <c r="AK292" s="208"/>
      <c r="AL292" s="208"/>
      <c r="AM292" s="208"/>
      <c r="AN292" s="208"/>
      <c r="AO292" s="208"/>
      <c r="AP292" s="208"/>
      <c r="AQ292" s="208"/>
      <c r="AR292" s="208"/>
      <c r="AS292" s="208"/>
      <c r="AT292" s="208"/>
      <c r="AU292" s="208"/>
      <c r="AV292" s="208"/>
      <c r="AW292" s="208"/>
      <c r="AX292" s="208"/>
      <c r="AY292" s="208"/>
    </row>
    <row r="293">
      <c r="A293" s="208"/>
      <c r="B293" s="533"/>
      <c r="C293" s="208"/>
      <c r="D293" s="208"/>
      <c r="E293" s="208"/>
      <c r="F293" s="584"/>
      <c r="G293" s="208"/>
      <c r="H293" s="208"/>
      <c r="I293" s="208"/>
      <c r="J293" s="208"/>
      <c r="K293" s="208"/>
      <c r="L293" s="536"/>
      <c r="M293" s="208"/>
      <c r="N293" s="208"/>
      <c r="O293" s="208"/>
      <c r="P293" s="208"/>
      <c r="Q293" s="208"/>
      <c r="R293" s="208"/>
      <c r="S293" s="208"/>
      <c r="T293" s="208"/>
      <c r="U293" s="208"/>
      <c r="V293" s="208"/>
      <c r="W293" s="208"/>
      <c r="X293" s="208"/>
      <c r="Y293" s="208"/>
      <c r="Z293" s="208"/>
      <c r="AA293" s="208"/>
      <c r="AB293" s="208"/>
      <c r="AC293" s="208"/>
      <c r="AD293" s="208"/>
      <c r="AE293" s="208"/>
      <c r="AF293" s="208"/>
      <c r="AG293" s="208"/>
      <c r="AH293" s="208"/>
      <c r="AI293" s="208"/>
      <c r="AJ293" s="208"/>
      <c r="AK293" s="208"/>
      <c r="AL293" s="208"/>
      <c r="AM293" s="208"/>
      <c r="AN293" s="208"/>
      <c r="AO293" s="208"/>
      <c r="AP293" s="208"/>
      <c r="AQ293" s="208"/>
      <c r="AR293" s="208"/>
      <c r="AS293" s="208"/>
      <c r="AT293" s="208"/>
      <c r="AU293" s="208"/>
      <c r="AV293" s="208"/>
      <c r="AW293" s="208"/>
      <c r="AX293" s="208"/>
      <c r="AY293" s="208"/>
    </row>
    <row r="294">
      <c r="A294" s="208"/>
      <c r="B294" s="533"/>
      <c r="C294" s="208"/>
      <c r="D294" s="208"/>
      <c r="E294" s="208"/>
      <c r="F294" s="584"/>
      <c r="G294" s="208"/>
      <c r="H294" s="208"/>
      <c r="I294" s="208"/>
      <c r="J294" s="208"/>
      <c r="K294" s="208"/>
      <c r="L294" s="536"/>
      <c r="M294" s="208"/>
      <c r="N294" s="208"/>
      <c r="O294" s="208"/>
      <c r="P294" s="208"/>
      <c r="Q294" s="208"/>
      <c r="R294" s="208"/>
      <c r="S294" s="208"/>
      <c r="T294" s="208"/>
      <c r="U294" s="208"/>
      <c r="V294" s="208"/>
      <c r="W294" s="208"/>
      <c r="X294" s="208"/>
      <c r="Y294" s="208"/>
      <c r="Z294" s="208"/>
      <c r="AA294" s="208"/>
      <c r="AB294" s="208"/>
      <c r="AC294" s="208"/>
      <c r="AD294" s="208"/>
      <c r="AE294" s="208"/>
      <c r="AF294" s="208"/>
      <c r="AG294" s="208"/>
      <c r="AH294" s="208"/>
      <c r="AI294" s="208"/>
      <c r="AJ294" s="208"/>
      <c r="AK294" s="208"/>
      <c r="AL294" s="208"/>
      <c r="AM294" s="208"/>
      <c r="AN294" s="208"/>
      <c r="AO294" s="208"/>
      <c r="AP294" s="208"/>
      <c r="AQ294" s="208"/>
      <c r="AR294" s="208"/>
      <c r="AS294" s="208"/>
      <c r="AT294" s="208"/>
      <c r="AU294" s="208"/>
      <c r="AV294" s="208"/>
      <c r="AW294" s="208"/>
      <c r="AX294" s="208"/>
      <c r="AY294" s="208"/>
    </row>
    <row r="295">
      <c r="A295" s="208"/>
      <c r="B295" s="533"/>
      <c r="C295" s="208"/>
      <c r="D295" s="208"/>
      <c r="E295" s="208"/>
      <c r="F295" s="584"/>
      <c r="G295" s="208"/>
      <c r="H295" s="208"/>
      <c r="I295" s="208"/>
      <c r="J295" s="208"/>
      <c r="K295" s="208"/>
      <c r="L295" s="536"/>
      <c r="M295" s="208"/>
      <c r="N295" s="208"/>
      <c r="O295" s="208"/>
      <c r="P295" s="208"/>
      <c r="Q295" s="208"/>
      <c r="R295" s="208"/>
      <c r="S295" s="208"/>
      <c r="T295" s="208"/>
      <c r="U295" s="208"/>
      <c r="V295" s="208"/>
      <c r="W295" s="208"/>
      <c r="X295" s="208"/>
      <c r="Y295" s="208"/>
      <c r="Z295" s="208"/>
      <c r="AA295" s="208"/>
      <c r="AB295" s="208"/>
      <c r="AC295" s="208"/>
      <c r="AD295" s="208"/>
      <c r="AE295" s="208"/>
      <c r="AF295" s="208"/>
      <c r="AG295" s="208"/>
      <c r="AH295" s="208"/>
      <c r="AI295" s="208"/>
      <c r="AJ295" s="208"/>
      <c r="AK295" s="208"/>
      <c r="AL295" s="208"/>
      <c r="AM295" s="208"/>
      <c r="AN295" s="208"/>
      <c r="AO295" s="208"/>
      <c r="AP295" s="208"/>
      <c r="AQ295" s="208"/>
      <c r="AR295" s="208"/>
      <c r="AS295" s="208"/>
      <c r="AT295" s="208"/>
      <c r="AU295" s="208"/>
      <c r="AV295" s="208"/>
      <c r="AW295" s="208"/>
      <c r="AX295" s="208"/>
      <c r="AY295" s="208"/>
    </row>
    <row r="296">
      <c r="A296" s="208"/>
      <c r="B296" s="533"/>
      <c r="C296" s="208"/>
      <c r="D296" s="208"/>
      <c r="E296" s="208"/>
      <c r="F296" s="584"/>
      <c r="G296" s="208"/>
      <c r="H296" s="208"/>
      <c r="I296" s="208"/>
      <c r="J296" s="208"/>
      <c r="K296" s="208"/>
      <c r="L296" s="536"/>
      <c r="M296" s="208"/>
      <c r="N296" s="208"/>
      <c r="O296" s="208"/>
      <c r="P296" s="208"/>
      <c r="Q296" s="208"/>
      <c r="R296" s="208"/>
      <c r="S296" s="208"/>
      <c r="T296" s="208"/>
      <c r="U296" s="208"/>
      <c r="V296" s="208"/>
      <c r="W296" s="208"/>
      <c r="X296" s="208"/>
      <c r="Y296" s="208"/>
      <c r="Z296" s="208"/>
      <c r="AA296" s="208"/>
      <c r="AB296" s="208"/>
      <c r="AC296" s="208"/>
      <c r="AD296" s="208"/>
      <c r="AE296" s="208"/>
      <c r="AF296" s="208"/>
      <c r="AG296" s="208"/>
      <c r="AH296" s="208"/>
      <c r="AI296" s="208"/>
      <c r="AJ296" s="208"/>
      <c r="AK296" s="208"/>
      <c r="AL296" s="208"/>
      <c r="AM296" s="208"/>
      <c r="AN296" s="208"/>
      <c r="AO296" s="208"/>
      <c r="AP296" s="208"/>
      <c r="AQ296" s="208"/>
      <c r="AR296" s="208"/>
      <c r="AS296" s="208"/>
      <c r="AT296" s="208"/>
      <c r="AU296" s="208"/>
      <c r="AV296" s="208"/>
      <c r="AW296" s="208"/>
      <c r="AX296" s="208"/>
      <c r="AY296" s="208"/>
    </row>
    <row r="297">
      <c r="A297" s="208"/>
      <c r="B297" s="533"/>
      <c r="C297" s="208"/>
      <c r="D297" s="208"/>
      <c r="E297" s="208"/>
      <c r="F297" s="584"/>
      <c r="G297" s="208"/>
      <c r="H297" s="208"/>
      <c r="I297" s="208"/>
      <c r="J297" s="208"/>
      <c r="K297" s="208"/>
      <c r="L297" s="536"/>
      <c r="M297" s="208"/>
      <c r="N297" s="208"/>
      <c r="O297" s="208"/>
      <c r="P297" s="208"/>
      <c r="Q297" s="208"/>
      <c r="R297" s="208"/>
      <c r="S297" s="208"/>
      <c r="T297" s="208"/>
      <c r="U297" s="208"/>
      <c r="V297" s="208"/>
      <c r="W297" s="208"/>
      <c r="X297" s="208"/>
      <c r="Y297" s="208"/>
      <c r="Z297" s="208"/>
      <c r="AA297" s="208"/>
      <c r="AB297" s="208"/>
      <c r="AC297" s="208"/>
      <c r="AD297" s="208"/>
      <c r="AE297" s="208"/>
      <c r="AF297" s="208"/>
      <c r="AG297" s="208"/>
      <c r="AH297" s="208"/>
      <c r="AI297" s="208"/>
      <c r="AJ297" s="208"/>
      <c r="AK297" s="208"/>
      <c r="AL297" s="208"/>
      <c r="AM297" s="208"/>
      <c r="AN297" s="208"/>
      <c r="AO297" s="208"/>
      <c r="AP297" s="208"/>
      <c r="AQ297" s="208"/>
      <c r="AR297" s="208"/>
      <c r="AS297" s="208"/>
      <c r="AT297" s="208"/>
      <c r="AU297" s="208"/>
      <c r="AV297" s="208"/>
      <c r="AW297" s="208"/>
      <c r="AX297" s="208"/>
      <c r="AY297" s="208"/>
    </row>
    <row r="298">
      <c r="A298" s="208"/>
      <c r="B298" s="533"/>
      <c r="C298" s="208"/>
      <c r="D298" s="208"/>
      <c r="E298" s="208"/>
      <c r="F298" s="584"/>
      <c r="G298" s="208"/>
      <c r="H298" s="208"/>
      <c r="I298" s="208"/>
      <c r="J298" s="208"/>
      <c r="K298" s="208"/>
      <c r="L298" s="536"/>
      <c r="M298" s="208"/>
      <c r="N298" s="208"/>
      <c r="O298" s="208"/>
      <c r="P298" s="208"/>
      <c r="Q298" s="208"/>
      <c r="R298" s="208"/>
      <c r="S298" s="208"/>
      <c r="T298" s="208"/>
      <c r="U298" s="208"/>
      <c r="V298" s="208"/>
      <c r="W298" s="208"/>
      <c r="X298" s="208"/>
      <c r="Y298" s="208"/>
      <c r="Z298" s="208"/>
      <c r="AA298" s="208"/>
      <c r="AB298" s="208"/>
      <c r="AC298" s="208"/>
      <c r="AD298" s="208"/>
      <c r="AE298" s="208"/>
      <c r="AF298" s="208"/>
      <c r="AG298" s="208"/>
      <c r="AH298" s="208"/>
      <c r="AI298" s="208"/>
      <c r="AJ298" s="208"/>
      <c r="AK298" s="208"/>
      <c r="AL298" s="208"/>
      <c r="AM298" s="208"/>
      <c r="AN298" s="208"/>
      <c r="AO298" s="208"/>
      <c r="AP298" s="208"/>
      <c r="AQ298" s="208"/>
      <c r="AR298" s="208"/>
      <c r="AS298" s="208"/>
      <c r="AT298" s="208"/>
      <c r="AU298" s="208"/>
      <c r="AV298" s="208"/>
      <c r="AW298" s="208"/>
      <c r="AX298" s="208"/>
      <c r="AY298" s="208"/>
    </row>
    <row r="299">
      <c r="A299" s="208"/>
      <c r="B299" s="533"/>
      <c r="C299" s="208"/>
      <c r="D299" s="208"/>
      <c r="E299" s="208"/>
      <c r="F299" s="584"/>
      <c r="G299" s="208"/>
      <c r="H299" s="208"/>
      <c r="I299" s="208"/>
      <c r="J299" s="208"/>
      <c r="K299" s="208"/>
      <c r="L299" s="536"/>
      <c r="M299" s="208"/>
      <c r="N299" s="208"/>
      <c r="O299" s="208"/>
      <c r="P299" s="208"/>
      <c r="Q299" s="208"/>
      <c r="R299" s="208"/>
      <c r="S299" s="208"/>
      <c r="T299" s="208"/>
      <c r="U299" s="208"/>
      <c r="V299" s="208"/>
      <c r="W299" s="208"/>
      <c r="X299" s="208"/>
      <c r="Y299" s="208"/>
      <c r="Z299" s="208"/>
      <c r="AA299" s="208"/>
      <c r="AB299" s="208"/>
      <c r="AC299" s="208"/>
      <c r="AD299" s="208"/>
      <c r="AE299" s="208"/>
      <c r="AF299" s="208"/>
      <c r="AG299" s="208"/>
      <c r="AH299" s="208"/>
      <c r="AI299" s="208"/>
      <c r="AJ299" s="208"/>
      <c r="AK299" s="208"/>
      <c r="AL299" s="208"/>
      <c r="AM299" s="208"/>
      <c r="AN299" s="208"/>
      <c r="AO299" s="208"/>
      <c r="AP299" s="208"/>
      <c r="AQ299" s="208"/>
      <c r="AR299" s="208"/>
      <c r="AS299" s="208"/>
      <c r="AT299" s="208"/>
      <c r="AU299" s="208"/>
      <c r="AV299" s="208"/>
      <c r="AW299" s="208"/>
      <c r="AX299" s="208"/>
      <c r="AY299" s="208"/>
    </row>
    <row r="300">
      <c r="A300" s="208"/>
      <c r="B300" s="533"/>
      <c r="C300" s="208"/>
      <c r="D300" s="208"/>
      <c r="E300" s="208"/>
      <c r="F300" s="584"/>
      <c r="G300" s="208"/>
      <c r="H300" s="208"/>
      <c r="I300" s="208"/>
      <c r="J300" s="208"/>
      <c r="K300" s="208"/>
      <c r="L300" s="536"/>
      <c r="M300" s="208"/>
      <c r="N300" s="208"/>
      <c r="O300" s="208"/>
      <c r="P300" s="208"/>
      <c r="Q300" s="208"/>
      <c r="R300" s="208"/>
      <c r="S300" s="208"/>
      <c r="T300" s="208"/>
      <c r="U300" s="208"/>
      <c r="V300" s="208"/>
      <c r="W300" s="208"/>
      <c r="X300" s="208"/>
      <c r="Y300" s="208"/>
      <c r="Z300" s="208"/>
      <c r="AA300" s="208"/>
      <c r="AB300" s="208"/>
      <c r="AC300" s="208"/>
      <c r="AD300" s="208"/>
      <c r="AE300" s="208"/>
      <c r="AF300" s="208"/>
      <c r="AG300" s="208"/>
      <c r="AH300" s="208"/>
      <c r="AI300" s="208"/>
      <c r="AJ300" s="208"/>
      <c r="AK300" s="208"/>
      <c r="AL300" s="208"/>
      <c r="AM300" s="208"/>
      <c r="AN300" s="208"/>
      <c r="AO300" s="208"/>
      <c r="AP300" s="208"/>
      <c r="AQ300" s="208"/>
      <c r="AR300" s="208"/>
      <c r="AS300" s="208"/>
      <c r="AT300" s="208"/>
      <c r="AU300" s="208"/>
      <c r="AV300" s="208"/>
      <c r="AW300" s="208"/>
      <c r="AX300" s="208"/>
      <c r="AY300" s="208"/>
    </row>
    <row r="301">
      <c r="A301" s="208"/>
      <c r="B301" s="533"/>
      <c r="C301" s="208"/>
      <c r="D301" s="208"/>
      <c r="E301" s="208"/>
      <c r="F301" s="584"/>
      <c r="G301" s="208"/>
      <c r="H301" s="208"/>
      <c r="I301" s="208"/>
      <c r="J301" s="208"/>
      <c r="K301" s="208"/>
      <c r="L301" s="536"/>
      <c r="M301" s="208"/>
      <c r="N301" s="208"/>
      <c r="O301" s="208"/>
      <c r="P301" s="208"/>
      <c r="Q301" s="208"/>
      <c r="R301" s="208"/>
      <c r="S301" s="208"/>
      <c r="T301" s="208"/>
      <c r="U301" s="208"/>
      <c r="V301" s="208"/>
      <c r="W301" s="208"/>
      <c r="X301" s="208"/>
      <c r="Y301" s="208"/>
      <c r="Z301" s="208"/>
      <c r="AA301" s="208"/>
      <c r="AB301" s="208"/>
      <c r="AC301" s="208"/>
      <c r="AD301" s="208"/>
      <c r="AE301" s="208"/>
      <c r="AF301" s="208"/>
      <c r="AG301" s="208"/>
      <c r="AH301" s="208"/>
      <c r="AI301" s="208"/>
      <c r="AJ301" s="208"/>
      <c r="AK301" s="208"/>
      <c r="AL301" s="208"/>
      <c r="AM301" s="208"/>
      <c r="AN301" s="208"/>
      <c r="AO301" s="208"/>
      <c r="AP301" s="208"/>
      <c r="AQ301" s="208"/>
      <c r="AR301" s="208"/>
      <c r="AS301" s="208"/>
      <c r="AT301" s="208"/>
      <c r="AU301" s="208"/>
      <c r="AV301" s="208"/>
      <c r="AW301" s="208"/>
      <c r="AX301" s="208"/>
      <c r="AY301" s="208"/>
    </row>
    <row r="302">
      <c r="A302" s="208"/>
      <c r="B302" s="533"/>
      <c r="C302" s="208"/>
      <c r="D302" s="208"/>
      <c r="E302" s="208"/>
      <c r="F302" s="584"/>
      <c r="G302" s="208"/>
      <c r="H302" s="208"/>
      <c r="I302" s="208"/>
      <c r="J302" s="208"/>
      <c r="K302" s="208"/>
      <c r="L302" s="536"/>
      <c r="M302" s="208"/>
      <c r="N302" s="208"/>
      <c r="O302" s="208"/>
      <c r="P302" s="208"/>
      <c r="Q302" s="208"/>
      <c r="R302" s="208"/>
      <c r="S302" s="208"/>
      <c r="T302" s="208"/>
      <c r="U302" s="208"/>
      <c r="V302" s="208"/>
      <c r="W302" s="208"/>
      <c r="X302" s="208"/>
      <c r="Y302" s="208"/>
      <c r="Z302" s="208"/>
      <c r="AA302" s="208"/>
      <c r="AB302" s="208"/>
      <c r="AC302" s="208"/>
      <c r="AD302" s="208"/>
      <c r="AE302" s="208"/>
      <c r="AF302" s="208"/>
      <c r="AG302" s="208"/>
      <c r="AH302" s="208"/>
      <c r="AI302" s="208"/>
      <c r="AJ302" s="208"/>
      <c r="AK302" s="208"/>
      <c r="AL302" s="208"/>
      <c r="AM302" s="208"/>
      <c r="AN302" s="208"/>
      <c r="AO302" s="208"/>
      <c r="AP302" s="208"/>
      <c r="AQ302" s="208"/>
      <c r="AR302" s="208"/>
      <c r="AS302" s="208"/>
      <c r="AT302" s="208"/>
      <c r="AU302" s="208"/>
      <c r="AV302" s="208"/>
      <c r="AW302" s="208"/>
      <c r="AX302" s="208"/>
      <c r="AY302" s="208"/>
    </row>
    <row r="303">
      <c r="A303" s="208"/>
      <c r="B303" s="533"/>
      <c r="C303" s="208"/>
      <c r="D303" s="208"/>
      <c r="E303" s="208"/>
      <c r="F303" s="584"/>
      <c r="G303" s="208"/>
      <c r="H303" s="208"/>
      <c r="I303" s="208"/>
      <c r="J303" s="208"/>
      <c r="K303" s="208"/>
      <c r="L303" s="536"/>
      <c r="M303" s="208"/>
      <c r="N303" s="208"/>
      <c r="O303" s="208"/>
      <c r="P303" s="208"/>
      <c r="Q303" s="208"/>
      <c r="R303" s="208"/>
      <c r="S303" s="208"/>
      <c r="T303" s="208"/>
      <c r="U303" s="208"/>
      <c r="V303" s="208"/>
      <c r="W303" s="208"/>
      <c r="X303" s="208"/>
      <c r="Y303" s="208"/>
      <c r="Z303" s="208"/>
      <c r="AA303" s="208"/>
      <c r="AB303" s="208"/>
      <c r="AC303" s="208"/>
      <c r="AD303" s="208"/>
      <c r="AE303" s="208"/>
      <c r="AF303" s="208"/>
      <c r="AG303" s="208"/>
      <c r="AH303" s="208"/>
      <c r="AI303" s="208"/>
      <c r="AJ303" s="208"/>
      <c r="AK303" s="208"/>
      <c r="AL303" s="208"/>
      <c r="AM303" s="208"/>
      <c r="AN303" s="208"/>
      <c r="AO303" s="208"/>
      <c r="AP303" s="208"/>
      <c r="AQ303" s="208"/>
      <c r="AR303" s="208"/>
      <c r="AS303" s="208"/>
      <c r="AT303" s="208"/>
      <c r="AU303" s="208"/>
      <c r="AV303" s="208"/>
      <c r="AW303" s="208"/>
      <c r="AX303" s="208"/>
      <c r="AY303" s="208"/>
    </row>
    <row r="304">
      <c r="A304" s="208"/>
      <c r="B304" s="533"/>
      <c r="C304" s="208"/>
      <c r="D304" s="208"/>
      <c r="E304" s="208"/>
      <c r="F304" s="584"/>
      <c r="G304" s="208"/>
      <c r="H304" s="208"/>
      <c r="I304" s="208"/>
      <c r="J304" s="208"/>
      <c r="K304" s="208"/>
      <c r="L304" s="536"/>
      <c r="M304" s="208"/>
      <c r="N304" s="208"/>
      <c r="O304" s="208"/>
      <c r="P304" s="208"/>
      <c r="Q304" s="208"/>
      <c r="R304" s="208"/>
      <c r="S304" s="208"/>
      <c r="T304" s="208"/>
      <c r="U304" s="208"/>
      <c r="V304" s="208"/>
      <c r="W304" s="208"/>
      <c r="X304" s="208"/>
      <c r="Y304" s="208"/>
      <c r="Z304" s="208"/>
      <c r="AA304" s="208"/>
      <c r="AB304" s="208"/>
      <c r="AC304" s="208"/>
      <c r="AD304" s="208"/>
      <c r="AE304" s="208"/>
      <c r="AF304" s="208"/>
      <c r="AG304" s="208"/>
      <c r="AH304" s="208"/>
      <c r="AI304" s="208"/>
      <c r="AJ304" s="208"/>
      <c r="AK304" s="208"/>
      <c r="AL304" s="208"/>
      <c r="AM304" s="208"/>
      <c r="AN304" s="208"/>
      <c r="AO304" s="208"/>
      <c r="AP304" s="208"/>
      <c r="AQ304" s="208"/>
      <c r="AR304" s="208"/>
      <c r="AS304" s="208"/>
      <c r="AT304" s="208"/>
      <c r="AU304" s="208"/>
      <c r="AV304" s="208"/>
      <c r="AW304" s="208"/>
      <c r="AX304" s="208"/>
      <c r="AY304" s="208"/>
    </row>
    <row r="305">
      <c r="A305" s="208"/>
      <c r="B305" s="533"/>
      <c r="C305" s="208"/>
      <c r="D305" s="208"/>
      <c r="E305" s="208"/>
      <c r="F305" s="584"/>
      <c r="G305" s="208"/>
      <c r="H305" s="208"/>
      <c r="I305" s="208"/>
      <c r="J305" s="208"/>
      <c r="K305" s="208"/>
      <c r="L305" s="536"/>
      <c r="M305" s="208"/>
      <c r="N305" s="208"/>
      <c r="O305" s="208"/>
      <c r="P305" s="208"/>
      <c r="Q305" s="208"/>
      <c r="R305" s="208"/>
      <c r="S305" s="208"/>
      <c r="T305" s="208"/>
      <c r="U305" s="208"/>
      <c r="V305" s="208"/>
      <c r="W305" s="208"/>
      <c r="X305" s="208"/>
      <c r="Y305" s="208"/>
      <c r="Z305" s="208"/>
      <c r="AA305" s="208"/>
      <c r="AB305" s="208"/>
      <c r="AC305" s="208"/>
      <c r="AD305" s="208"/>
      <c r="AE305" s="208"/>
      <c r="AF305" s="208"/>
      <c r="AG305" s="208"/>
      <c r="AH305" s="208"/>
      <c r="AI305" s="208"/>
      <c r="AJ305" s="208"/>
      <c r="AK305" s="208"/>
      <c r="AL305" s="208"/>
      <c r="AM305" s="208"/>
      <c r="AN305" s="208"/>
      <c r="AO305" s="208"/>
      <c r="AP305" s="208"/>
      <c r="AQ305" s="208"/>
      <c r="AR305" s="208"/>
      <c r="AS305" s="208"/>
      <c r="AT305" s="208"/>
      <c r="AU305" s="208"/>
      <c r="AV305" s="208"/>
      <c r="AW305" s="208"/>
      <c r="AX305" s="208"/>
      <c r="AY305" s="208"/>
    </row>
    <row r="306">
      <c r="A306" s="208"/>
      <c r="B306" s="533"/>
      <c r="C306" s="208"/>
      <c r="D306" s="208"/>
      <c r="E306" s="208"/>
      <c r="F306" s="584"/>
      <c r="G306" s="208"/>
      <c r="H306" s="208"/>
      <c r="I306" s="208"/>
      <c r="J306" s="208"/>
      <c r="K306" s="208"/>
      <c r="L306" s="536"/>
      <c r="M306" s="208"/>
      <c r="N306" s="208"/>
      <c r="O306" s="208"/>
      <c r="P306" s="208"/>
      <c r="Q306" s="208"/>
      <c r="R306" s="208"/>
      <c r="S306" s="208"/>
      <c r="T306" s="208"/>
      <c r="U306" s="208"/>
      <c r="V306" s="208"/>
      <c r="W306" s="208"/>
      <c r="X306" s="208"/>
      <c r="Y306" s="208"/>
      <c r="Z306" s="208"/>
      <c r="AA306" s="208"/>
      <c r="AB306" s="208"/>
      <c r="AC306" s="208"/>
      <c r="AD306" s="208"/>
      <c r="AE306" s="208"/>
      <c r="AF306" s="208"/>
      <c r="AG306" s="208"/>
      <c r="AH306" s="208"/>
      <c r="AI306" s="208"/>
      <c r="AJ306" s="208"/>
      <c r="AK306" s="208"/>
      <c r="AL306" s="208"/>
      <c r="AM306" s="208"/>
      <c r="AN306" s="208"/>
      <c r="AO306" s="208"/>
      <c r="AP306" s="208"/>
      <c r="AQ306" s="208"/>
      <c r="AR306" s="208"/>
      <c r="AS306" s="208"/>
      <c r="AT306" s="208"/>
      <c r="AU306" s="208"/>
      <c r="AV306" s="208"/>
      <c r="AW306" s="208"/>
      <c r="AX306" s="208"/>
      <c r="AY306" s="208"/>
    </row>
    <row r="307">
      <c r="A307" s="208"/>
      <c r="B307" s="533"/>
      <c r="C307" s="208"/>
      <c r="D307" s="208"/>
      <c r="E307" s="208"/>
      <c r="F307" s="584"/>
      <c r="G307" s="208"/>
      <c r="H307" s="208"/>
      <c r="I307" s="208"/>
      <c r="J307" s="208"/>
      <c r="K307" s="208"/>
      <c r="L307" s="536"/>
      <c r="M307" s="208"/>
      <c r="N307" s="208"/>
      <c r="O307" s="208"/>
      <c r="P307" s="208"/>
      <c r="Q307" s="208"/>
      <c r="R307" s="208"/>
      <c r="S307" s="208"/>
      <c r="T307" s="208"/>
      <c r="U307" s="208"/>
      <c r="V307" s="208"/>
      <c r="W307" s="208"/>
      <c r="X307" s="208"/>
      <c r="Y307" s="208"/>
      <c r="Z307" s="208"/>
      <c r="AA307" s="208"/>
      <c r="AB307" s="208"/>
      <c r="AC307" s="208"/>
      <c r="AD307" s="208"/>
      <c r="AE307" s="208"/>
      <c r="AF307" s="208"/>
      <c r="AG307" s="208"/>
      <c r="AH307" s="208"/>
      <c r="AI307" s="208"/>
      <c r="AJ307" s="208"/>
      <c r="AK307" s="208"/>
      <c r="AL307" s="208"/>
      <c r="AM307" s="208"/>
      <c r="AN307" s="208"/>
      <c r="AO307" s="208"/>
      <c r="AP307" s="208"/>
      <c r="AQ307" s="208"/>
      <c r="AR307" s="208"/>
      <c r="AS307" s="208"/>
      <c r="AT307" s="208"/>
      <c r="AU307" s="208"/>
      <c r="AV307" s="208"/>
      <c r="AW307" s="208"/>
      <c r="AX307" s="208"/>
      <c r="AY307" s="208"/>
    </row>
    <row r="308">
      <c r="A308" s="208"/>
      <c r="B308" s="533"/>
      <c r="C308" s="208"/>
      <c r="D308" s="208"/>
      <c r="E308" s="208"/>
      <c r="F308" s="584"/>
      <c r="G308" s="208"/>
      <c r="H308" s="208"/>
      <c r="I308" s="208"/>
      <c r="J308" s="208"/>
      <c r="K308" s="208"/>
      <c r="L308" s="536"/>
      <c r="M308" s="208"/>
      <c r="N308" s="208"/>
      <c r="O308" s="208"/>
      <c r="P308" s="208"/>
      <c r="Q308" s="208"/>
      <c r="R308" s="208"/>
      <c r="S308" s="208"/>
      <c r="T308" s="208"/>
      <c r="U308" s="208"/>
      <c r="V308" s="208"/>
      <c r="W308" s="208"/>
      <c r="X308" s="208"/>
      <c r="Y308" s="208"/>
      <c r="Z308" s="208"/>
      <c r="AA308" s="208"/>
      <c r="AB308" s="208"/>
      <c r="AC308" s="208"/>
      <c r="AD308" s="208"/>
      <c r="AE308" s="208"/>
      <c r="AF308" s="208"/>
      <c r="AG308" s="208"/>
      <c r="AH308" s="208"/>
      <c r="AI308" s="208"/>
      <c r="AJ308" s="208"/>
      <c r="AK308" s="208"/>
      <c r="AL308" s="208"/>
      <c r="AM308" s="208"/>
      <c r="AN308" s="208"/>
      <c r="AO308" s="208"/>
      <c r="AP308" s="208"/>
      <c r="AQ308" s="208"/>
      <c r="AR308" s="208"/>
      <c r="AS308" s="208"/>
      <c r="AT308" s="208"/>
      <c r="AU308" s="208"/>
      <c r="AV308" s="208"/>
      <c r="AW308" s="208"/>
      <c r="AX308" s="208"/>
      <c r="AY308" s="208"/>
    </row>
    <row r="309">
      <c r="A309" s="208"/>
      <c r="B309" s="533"/>
      <c r="C309" s="208"/>
      <c r="D309" s="208"/>
      <c r="E309" s="208"/>
      <c r="F309" s="584"/>
      <c r="G309" s="208"/>
      <c r="H309" s="208"/>
      <c r="I309" s="208"/>
      <c r="J309" s="208"/>
      <c r="K309" s="208"/>
      <c r="L309" s="536"/>
      <c r="M309" s="208"/>
      <c r="N309" s="208"/>
      <c r="O309" s="208"/>
      <c r="P309" s="208"/>
      <c r="Q309" s="208"/>
      <c r="R309" s="208"/>
      <c r="S309" s="208"/>
      <c r="T309" s="208"/>
      <c r="U309" s="208"/>
      <c r="V309" s="208"/>
      <c r="W309" s="208"/>
      <c r="X309" s="208"/>
      <c r="Y309" s="208"/>
      <c r="Z309" s="208"/>
      <c r="AA309" s="208"/>
      <c r="AB309" s="208"/>
      <c r="AC309" s="208"/>
      <c r="AD309" s="208"/>
      <c r="AE309" s="208"/>
      <c r="AF309" s="208"/>
      <c r="AG309" s="208"/>
      <c r="AH309" s="208"/>
      <c r="AI309" s="208"/>
      <c r="AJ309" s="208"/>
      <c r="AK309" s="208"/>
      <c r="AL309" s="208"/>
      <c r="AM309" s="208"/>
      <c r="AN309" s="208"/>
      <c r="AO309" s="208"/>
      <c r="AP309" s="208"/>
      <c r="AQ309" s="208"/>
      <c r="AR309" s="208"/>
      <c r="AS309" s="208"/>
      <c r="AT309" s="208"/>
      <c r="AU309" s="208"/>
      <c r="AV309" s="208"/>
      <c r="AW309" s="208"/>
      <c r="AX309" s="208"/>
      <c r="AY309" s="208"/>
    </row>
    <row r="310">
      <c r="A310" s="208"/>
      <c r="B310" s="533"/>
      <c r="C310" s="208"/>
      <c r="D310" s="208"/>
      <c r="E310" s="208"/>
      <c r="F310" s="584"/>
      <c r="G310" s="208"/>
      <c r="H310" s="208"/>
      <c r="I310" s="208"/>
      <c r="J310" s="208"/>
      <c r="K310" s="208"/>
      <c r="L310" s="536"/>
      <c r="M310" s="208"/>
      <c r="N310" s="208"/>
      <c r="O310" s="208"/>
      <c r="P310" s="208"/>
      <c r="Q310" s="208"/>
      <c r="R310" s="208"/>
      <c r="S310" s="208"/>
      <c r="T310" s="208"/>
      <c r="U310" s="208"/>
      <c r="V310" s="208"/>
      <c r="W310" s="208"/>
      <c r="X310" s="208"/>
      <c r="Y310" s="208"/>
      <c r="Z310" s="208"/>
      <c r="AA310" s="208"/>
      <c r="AB310" s="208"/>
      <c r="AC310" s="208"/>
      <c r="AD310" s="208"/>
      <c r="AE310" s="208"/>
      <c r="AF310" s="208"/>
      <c r="AG310" s="208"/>
      <c r="AH310" s="208"/>
      <c r="AI310" s="208"/>
      <c r="AJ310" s="208"/>
      <c r="AK310" s="208"/>
      <c r="AL310" s="208"/>
      <c r="AM310" s="208"/>
      <c r="AN310" s="208"/>
      <c r="AO310" s="208"/>
      <c r="AP310" s="208"/>
      <c r="AQ310" s="208"/>
      <c r="AR310" s="208"/>
      <c r="AS310" s="208"/>
      <c r="AT310" s="208"/>
      <c r="AU310" s="208"/>
      <c r="AV310" s="208"/>
      <c r="AW310" s="208"/>
      <c r="AX310" s="208"/>
      <c r="AY310" s="208"/>
    </row>
    <row r="311">
      <c r="A311" s="208"/>
      <c r="B311" s="533"/>
      <c r="C311" s="208"/>
      <c r="D311" s="208"/>
      <c r="E311" s="208"/>
      <c r="F311" s="584"/>
      <c r="G311" s="208"/>
      <c r="H311" s="208"/>
      <c r="I311" s="208"/>
      <c r="J311" s="208"/>
      <c r="K311" s="208"/>
      <c r="L311" s="536"/>
      <c r="M311" s="208"/>
      <c r="N311" s="208"/>
      <c r="O311" s="208"/>
      <c r="P311" s="208"/>
      <c r="Q311" s="208"/>
      <c r="R311" s="208"/>
      <c r="S311" s="208"/>
      <c r="T311" s="208"/>
      <c r="U311" s="208"/>
      <c r="V311" s="208"/>
      <c r="W311" s="208"/>
      <c r="X311" s="208"/>
      <c r="Y311" s="208"/>
      <c r="Z311" s="208"/>
      <c r="AA311" s="208"/>
      <c r="AB311" s="208"/>
      <c r="AC311" s="208"/>
      <c r="AD311" s="208"/>
      <c r="AE311" s="208"/>
      <c r="AF311" s="208"/>
      <c r="AG311" s="208"/>
      <c r="AH311" s="208"/>
      <c r="AI311" s="208"/>
      <c r="AJ311" s="208"/>
      <c r="AK311" s="208"/>
      <c r="AL311" s="208"/>
      <c r="AM311" s="208"/>
      <c r="AN311" s="208"/>
      <c r="AO311" s="208"/>
      <c r="AP311" s="208"/>
      <c r="AQ311" s="208"/>
      <c r="AR311" s="208"/>
      <c r="AS311" s="208"/>
      <c r="AT311" s="208"/>
      <c r="AU311" s="208"/>
      <c r="AV311" s="208"/>
      <c r="AW311" s="208"/>
      <c r="AX311" s="208"/>
      <c r="AY311" s="208"/>
    </row>
    <row r="312">
      <c r="A312" s="208"/>
      <c r="B312" s="533"/>
      <c r="C312" s="208"/>
      <c r="D312" s="208"/>
      <c r="E312" s="208"/>
      <c r="F312" s="584"/>
      <c r="G312" s="208"/>
      <c r="H312" s="208"/>
      <c r="I312" s="208"/>
      <c r="J312" s="208"/>
      <c r="K312" s="208"/>
      <c r="L312" s="536"/>
      <c r="M312" s="208"/>
      <c r="N312" s="208"/>
      <c r="O312" s="208"/>
      <c r="P312" s="208"/>
      <c r="Q312" s="208"/>
      <c r="R312" s="208"/>
      <c r="S312" s="208"/>
      <c r="T312" s="208"/>
      <c r="U312" s="208"/>
      <c r="V312" s="208"/>
      <c r="W312" s="208"/>
      <c r="X312" s="208"/>
      <c r="Y312" s="208"/>
      <c r="Z312" s="208"/>
      <c r="AA312" s="208"/>
      <c r="AB312" s="208"/>
      <c r="AC312" s="208"/>
      <c r="AD312" s="208"/>
      <c r="AE312" s="208"/>
      <c r="AF312" s="208"/>
      <c r="AG312" s="208"/>
      <c r="AH312" s="208"/>
      <c r="AI312" s="208"/>
      <c r="AJ312" s="208"/>
      <c r="AK312" s="208"/>
      <c r="AL312" s="208"/>
      <c r="AM312" s="208"/>
      <c r="AN312" s="208"/>
      <c r="AO312" s="208"/>
      <c r="AP312" s="208"/>
      <c r="AQ312" s="208"/>
      <c r="AR312" s="208"/>
      <c r="AS312" s="208"/>
      <c r="AT312" s="208"/>
      <c r="AU312" s="208"/>
      <c r="AV312" s="208"/>
      <c r="AW312" s="208"/>
      <c r="AX312" s="208"/>
      <c r="AY312" s="208"/>
    </row>
    <row r="313">
      <c r="A313" s="208"/>
      <c r="B313" s="533"/>
      <c r="C313" s="208"/>
      <c r="D313" s="208"/>
      <c r="E313" s="208"/>
      <c r="F313" s="584"/>
      <c r="G313" s="208"/>
      <c r="H313" s="208"/>
      <c r="I313" s="208"/>
      <c r="J313" s="208"/>
      <c r="K313" s="208"/>
      <c r="L313" s="536"/>
      <c r="M313" s="208"/>
      <c r="N313" s="208"/>
      <c r="O313" s="208"/>
      <c r="P313" s="208"/>
      <c r="Q313" s="208"/>
      <c r="R313" s="208"/>
      <c r="S313" s="208"/>
      <c r="T313" s="208"/>
      <c r="U313" s="208"/>
      <c r="V313" s="208"/>
      <c r="W313" s="208"/>
      <c r="X313" s="208"/>
      <c r="Y313" s="208"/>
      <c r="Z313" s="208"/>
      <c r="AA313" s="208"/>
      <c r="AB313" s="208"/>
      <c r="AC313" s="208"/>
      <c r="AD313" s="208"/>
      <c r="AE313" s="208"/>
      <c r="AF313" s="208"/>
      <c r="AG313" s="208"/>
      <c r="AH313" s="208"/>
      <c r="AI313" s="208"/>
      <c r="AJ313" s="208"/>
      <c r="AK313" s="208"/>
      <c r="AL313" s="208"/>
      <c r="AM313" s="208"/>
      <c r="AN313" s="208"/>
      <c r="AO313" s="208"/>
      <c r="AP313" s="208"/>
      <c r="AQ313" s="208"/>
      <c r="AR313" s="208"/>
      <c r="AS313" s="208"/>
      <c r="AT313" s="208"/>
      <c r="AU313" s="208"/>
      <c r="AV313" s="208"/>
      <c r="AW313" s="208"/>
      <c r="AX313" s="208"/>
      <c r="AY313" s="208"/>
    </row>
    <row r="314">
      <c r="A314" s="208"/>
      <c r="B314" s="533"/>
      <c r="C314" s="208"/>
      <c r="D314" s="208"/>
      <c r="E314" s="208"/>
      <c r="F314" s="584"/>
      <c r="G314" s="208"/>
      <c r="H314" s="208"/>
      <c r="I314" s="208"/>
      <c r="J314" s="208"/>
      <c r="K314" s="208"/>
      <c r="L314" s="536"/>
      <c r="M314" s="208"/>
      <c r="N314" s="208"/>
      <c r="O314" s="208"/>
      <c r="P314" s="208"/>
      <c r="Q314" s="208"/>
      <c r="R314" s="208"/>
      <c r="S314" s="208"/>
      <c r="T314" s="208"/>
      <c r="U314" s="208"/>
      <c r="V314" s="208"/>
      <c r="W314" s="208"/>
      <c r="X314" s="208"/>
      <c r="Y314" s="208"/>
      <c r="Z314" s="208"/>
      <c r="AA314" s="208"/>
      <c r="AB314" s="208"/>
      <c r="AC314" s="208"/>
      <c r="AD314" s="208"/>
      <c r="AE314" s="208"/>
      <c r="AF314" s="208"/>
      <c r="AG314" s="208"/>
      <c r="AH314" s="208"/>
      <c r="AI314" s="208"/>
      <c r="AJ314" s="208"/>
      <c r="AK314" s="208"/>
      <c r="AL314" s="208"/>
      <c r="AM314" s="208"/>
      <c r="AN314" s="208"/>
      <c r="AO314" s="208"/>
      <c r="AP314" s="208"/>
      <c r="AQ314" s="208"/>
      <c r="AR314" s="208"/>
      <c r="AS314" s="208"/>
      <c r="AT314" s="208"/>
      <c r="AU314" s="208"/>
      <c r="AV314" s="208"/>
      <c r="AW314" s="208"/>
      <c r="AX314" s="208"/>
      <c r="AY314" s="208"/>
    </row>
    <row r="315">
      <c r="A315" s="208"/>
      <c r="B315" s="533"/>
      <c r="C315" s="208"/>
      <c r="D315" s="208"/>
      <c r="E315" s="208"/>
      <c r="F315" s="584"/>
      <c r="G315" s="208"/>
      <c r="H315" s="208"/>
      <c r="I315" s="208"/>
      <c r="J315" s="208"/>
      <c r="K315" s="208"/>
      <c r="L315" s="536"/>
      <c r="M315" s="208"/>
      <c r="N315" s="208"/>
      <c r="O315" s="208"/>
      <c r="P315" s="208"/>
      <c r="Q315" s="208"/>
      <c r="R315" s="208"/>
      <c r="S315" s="208"/>
      <c r="T315" s="208"/>
      <c r="U315" s="208"/>
      <c r="V315" s="208"/>
      <c r="W315" s="208"/>
      <c r="X315" s="208"/>
      <c r="Y315" s="208"/>
      <c r="Z315" s="208"/>
      <c r="AA315" s="208"/>
      <c r="AB315" s="208"/>
      <c r="AC315" s="208"/>
      <c r="AD315" s="208"/>
      <c r="AE315" s="208"/>
      <c r="AF315" s="208"/>
      <c r="AG315" s="208"/>
      <c r="AH315" s="208"/>
      <c r="AI315" s="208"/>
      <c r="AJ315" s="208"/>
      <c r="AK315" s="208"/>
      <c r="AL315" s="208"/>
      <c r="AM315" s="208"/>
      <c r="AN315" s="208"/>
      <c r="AO315" s="208"/>
      <c r="AP315" s="208"/>
      <c r="AQ315" s="208"/>
      <c r="AR315" s="208"/>
      <c r="AS315" s="208"/>
      <c r="AT315" s="208"/>
      <c r="AU315" s="208"/>
      <c r="AV315" s="208"/>
      <c r="AW315" s="208"/>
      <c r="AX315" s="208"/>
      <c r="AY315" s="208"/>
    </row>
    <row r="316">
      <c r="A316" s="208"/>
      <c r="B316" s="533"/>
      <c r="C316" s="208"/>
      <c r="D316" s="208"/>
      <c r="E316" s="208"/>
      <c r="F316" s="584"/>
      <c r="G316" s="208"/>
      <c r="H316" s="208"/>
      <c r="I316" s="208"/>
      <c r="J316" s="208"/>
      <c r="K316" s="208"/>
      <c r="L316" s="536"/>
      <c r="M316" s="208"/>
      <c r="N316" s="208"/>
      <c r="O316" s="208"/>
      <c r="P316" s="208"/>
      <c r="Q316" s="208"/>
      <c r="R316" s="208"/>
      <c r="S316" s="208"/>
      <c r="T316" s="208"/>
      <c r="U316" s="208"/>
      <c r="V316" s="208"/>
      <c r="W316" s="208"/>
      <c r="X316" s="208"/>
      <c r="Y316" s="208"/>
      <c r="Z316" s="208"/>
      <c r="AA316" s="208"/>
      <c r="AB316" s="208"/>
      <c r="AC316" s="208"/>
      <c r="AD316" s="208"/>
      <c r="AE316" s="208"/>
      <c r="AF316" s="208"/>
      <c r="AG316" s="208"/>
      <c r="AH316" s="208"/>
      <c r="AI316" s="208"/>
      <c r="AJ316" s="208"/>
      <c r="AK316" s="208"/>
      <c r="AL316" s="208"/>
      <c r="AM316" s="208"/>
      <c r="AN316" s="208"/>
      <c r="AO316" s="208"/>
      <c r="AP316" s="208"/>
      <c r="AQ316" s="208"/>
      <c r="AR316" s="208"/>
      <c r="AS316" s="208"/>
      <c r="AT316" s="208"/>
      <c r="AU316" s="208"/>
      <c r="AV316" s="208"/>
      <c r="AW316" s="208"/>
      <c r="AX316" s="208"/>
      <c r="AY316" s="208"/>
    </row>
    <row r="317">
      <c r="A317" s="208"/>
      <c r="B317" s="533"/>
      <c r="C317" s="208"/>
      <c r="D317" s="208"/>
      <c r="E317" s="208"/>
      <c r="F317" s="584"/>
      <c r="G317" s="208"/>
      <c r="H317" s="208"/>
      <c r="I317" s="208"/>
      <c r="J317" s="208"/>
      <c r="K317" s="208"/>
      <c r="L317" s="536"/>
      <c r="M317" s="208"/>
      <c r="N317" s="208"/>
      <c r="O317" s="208"/>
      <c r="P317" s="208"/>
      <c r="Q317" s="208"/>
      <c r="R317" s="208"/>
      <c r="S317" s="208"/>
      <c r="T317" s="208"/>
      <c r="U317" s="208"/>
      <c r="V317" s="208"/>
      <c r="W317" s="208"/>
      <c r="X317" s="208"/>
      <c r="Y317" s="208"/>
      <c r="Z317" s="208"/>
      <c r="AA317" s="208"/>
      <c r="AB317" s="208"/>
      <c r="AC317" s="208"/>
      <c r="AD317" s="208"/>
      <c r="AE317" s="208"/>
      <c r="AF317" s="208"/>
      <c r="AG317" s="208"/>
      <c r="AH317" s="208"/>
      <c r="AI317" s="208"/>
      <c r="AJ317" s="208"/>
      <c r="AK317" s="208"/>
      <c r="AL317" s="208"/>
      <c r="AM317" s="208"/>
      <c r="AN317" s="208"/>
      <c r="AO317" s="208"/>
      <c r="AP317" s="208"/>
      <c r="AQ317" s="208"/>
      <c r="AR317" s="208"/>
      <c r="AS317" s="208"/>
      <c r="AT317" s="208"/>
      <c r="AU317" s="208"/>
      <c r="AV317" s="208"/>
      <c r="AW317" s="208"/>
      <c r="AX317" s="208"/>
      <c r="AY317" s="208"/>
    </row>
    <row r="318">
      <c r="A318" s="208"/>
      <c r="B318" s="533"/>
      <c r="C318" s="208"/>
      <c r="D318" s="208"/>
      <c r="E318" s="208"/>
      <c r="F318" s="584"/>
      <c r="G318" s="208"/>
      <c r="H318" s="208"/>
      <c r="I318" s="208"/>
      <c r="J318" s="208"/>
      <c r="K318" s="208"/>
      <c r="L318" s="536"/>
      <c r="M318" s="208"/>
      <c r="N318" s="208"/>
      <c r="O318" s="208"/>
      <c r="P318" s="208"/>
      <c r="Q318" s="208"/>
      <c r="R318" s="208"/>
      <c r="S318" s="208"/>
      <c r="T318" s="208"/>
      <c r="U318" s="208"/>
      <c r="V318" s="208"/>
      <c r="W318" s="208"/>
      <c r="X318" s="208"/>
      <c r="Y318" s="208"/>
      <c r="Z318" s="208"/>
      <c r="AA318" s="208"/>
      <c r="AB318" s="208"/>
      <c r="AC318" s="208"/>
      <c r="AD318" s="208"/>
      <c r="AE318" s="208"/>
      <c r="AF318" s="208"/>
      <c r="AG318" s="208"/>
      <c r="AH318" s="208"/>
      <c r="AI318" s="208"/>
      <c r="AJ318" s="208"/>
      <c r="AK318" s="208"/>
      <c r="AL318" s="208"/>
      <c r="AM318" s="208"/>
      <c r="AN318" s="208"/>
      <c r="AO318" s="208"/>
      <c r="AP318" s="208"/>
      <c r="AQ318" s="208"/>
      <c r="AR318" s="208"/>
      <c r="AS318" s="208"/>
      <c r="AT318" s="208"/>
      <c r="AU318" s="208"/>
      <c r="AV318" s="208"/>
      <c r="AW318" s="208"/>
      <c r="AX318" s="208"/>
      <c r="AY318" s="208"/>
    </row>
    <row r="319">
      <c r="A319" s="208"/>
      <c r="B319" s="533"/>
      <c r="C319" s="208"/>
      <c r="D319" s="208"/>
      <c r="E319" s="208"/>
      <c r="F319" s="584"/>
      <c r="G319" s="208"/>
      <c r="H319" s="208"/>
      <c r="I319" s="208"/>
      <c r="J319" s="208"/>
      <c r="K319" s="208"/>
      <c r="L319" s="536"/>
      <c r="M319" s="208"/>
      <c r="N319" s="208"/>
      <c r="O319" s="208"/>
      <c r="P319" s="208"/>
      <c r="Q319" s="208"/>
      <c r="R319" s="208"/>
      <c r="S319" s="208"/>
      <c r="T319" s="208"/>
      <c r="U319" s="208"/>
      <c r="V319" s="208"/>
      <c r="W319" s="208"/>
      <c r="X319" s="208"/>
      <c r="Y319" s="208"/>
      <c r="Z319" s="208"/>
      <c r="AA319" s="208"/>
      <c r="AB319" s="208"/>
      <c r="AC319" s="208"/>
      <c r="AD319" s="208"/>
      <c r="AE319" s="208"/>
      <c r="AF319" s="208"/>
      <c r="AG319" s="208"/>
      <c r="AH319" s="208"/>
      <c r="AI319" s="208"/>
      <c r="AJ319" s="208"/>
      <c r="AK319" s="208"/>
      <c r="AL319" s="208"/>
      <c r="AM319" s="208"/>
      <c r="AN319" s="208"/>
      <c r="AO319" s="208"/>
      <c r="AP319" s="208"/>
      <c r="AQ319" s="208"/>
      <c r="AR319" s="208"/>
      <c r="AS319" s="208"/>
      <c r="AT319" s="208"/>
      <c r="AU319" s="208"/>
      <c r="AV319" s="208"/>
      <c r="AW319" s="208"/>
      <c r="AX319" s="208"/>
      <c r="AY319" s="208"/>
    </row>
    <row r="320">
      <c r="A320" s="208"/>
      <c r="B320" s="533"/>
      <c r="C320" s="208"/>
      <c r="D320" s="208"/>
      <c r="E320" s="208"/>
      <c r="F320" s="584"/>
      <c r="G320" s="208"/>
      <c r="H320" s="208"/>
      <c r="I320" s="208"/>
      <c r="J320" s="208"/>
      <c r="K320" s="208"/>
      <c r="L320" s="536"/>
      <c r="M320" s="208"/>
      <c r="N320" s="208"/>
      <c r="O320" s="208"/>
      <c r="P320" s="208"/>
      <c r="Q320" s="208"/>
      <c r="R320" s="208"/>
      <c r="S320" s="208"/>
      <c r="T320" s="208"/>
      <c r="U320" s="208"/>
      <c r="V320" s="208"/>
      <c r="W320" s="208"/>
      <c r="X320" s="208"/>
      <c r="Y320" s="208"/>
      <c r="Z320" s="208"/>
      <c r="AA320" s="208"/>
      <c r="AB320" s="208"/>
      <c r="AC320" s="208"/>
      <c r="AD320" s="208"/>
      <c r="AE320" s="208"/>
      <c r="AF320" s="208"/>
      <c r="AG320" s="208"/>
      <c r="AH320" s="208"/>
      <c r="AI320" s="208"/>
      <c r="AJ320" s="208"/>
      <c r="AK320" s="208"/>
      <c r="AL320" s="208"/>
      <c r="AM320" s="208"/>
      <c r="AN320" s="208"/>
      <c r="AO320" s="208"/>
      <c r="AP320" s="208"/>
      <c r="AQ320" s="208"/>
      <c r="AR320" s="208"/>
      <c r="AS320" s="208"/>
      <c r="AT320" s="208"/>
      <c r="AU320" s="208"/>
      <c r="AV320" s="208"/>
      <c r="AW320" s="208"/>
      <c r="AX320" s="208"/>
      <c r="AY320" s="208"/>
    </row>
    <row r="321">
      <c r="A321" s="208"/>
      <c r="B321" s="533"/>
      <c r="C321" s="208"/>
      <c r="D321" s="208"/>
      <c r="E321" s="208"/>
      <c r="F321" s="584"/>
      <c r="G321" s="208"/>
      <c r="H321" s="208"/>
      <c r="I321" s="208"/>
      <c r="J321" s="208"/>
      <c r="K321" s="208"/>
      <c r="L321" s="536"/>
      <c r="M321" s="208"/>
      <c r="N321" s="208"/>
      <c r="O321" s="208"/>
      <c r="P321" s="208"/>
      <c r="Q321" s="208"/>
      <c r="R321" s="208"/>
      <c r="S321" s="208"/>
      <c r="T321" s="208"/>
      <c r="U321" s="208"/>
      <c r="V321" s="208"/>
      <c r="W321" s="208"/>
      <c r="X321" s="208"/>
      <c r="Y321" s="208"/>
      <c r="Z321" s="208"/>
      <c r="AA321" s="208"/>
      <c r="AB321" s="208"/>
      <c r="AC321" s="208"/>
      <c r="AD321" s="208"/>
      <c r="AE321" s="208"/>
      <c r="AF321" s="208"/>
      <c r="AG321" s="208"/>
      <c r="AH321" s="208"/>
      <c r="AI321" s="208"/>
      <c r="AJ321" s="208"/>
      <c r="AK321" s="208"/>
      <c r="AL321" s="208"/>
      <c r="AM321" s="208"/>
      <c r="AN321" s="208"/>
      <c r="AO321" s="208"/>
      <c r="AP321" s="208"/>
      <c r="AQ321" s="208"/>
      <c r="AR321" s="208"/>
      <c r="AS321" s="208"/>
      <c r="AT321" s="208"/>
      <c r="AU321" s="208"/>
      <c r="AV321" s="208"/>
      <c r="AW321" s="208"/>
      <c r="AX321" s="208"/>
      <c r="AY321" s="208"/>
    </row>
    <row r="322">
      <c r="A322" s="208"/>
      <c r="B322" s="533"/>
      <c r="C322" s="208"/>
      <c r="D322" s="208"/>
      <c r="E322" s="208"/>
      <c r="F322" s="584"/>
      <c r="G322" s="208"/>
      <c r="H322" s="208"/>
      <c r="I322" s="208"/>
      <c r="J322" s="208"/>
      <c r="K322" s="208"/>
      <c r="L322" s="536"/>
      <c r="M322" s="208"/>
      <c r="N322" s="208"/>
      <c r="O322" s="208"/>
      <c r="P322" s="208"/>
      <c r="Q322" s="208"/>
      <c r="R322" s="208"/>
      <c r="S322" s="208"/>
      <c r="T322" s="208"/>
      <c r="U322" s="208"/>
      <c r="V322" s="208"/>
      <c r="W322" s="208"/>
      <c r="X322" s="208"/>
      <c r="Y322" s="208"/>
      <c r="Z322" s="208"/>
      <c r="AA322" s="208"/>
      <c r="AB322" s="208"/>
      <c r="AC322" s="208"/>
      <c r="AD322" s="208"/>
      <c r="AE322" s="208"/>
      <c r="AF322" s="208"/>
      <c r="AG322" s="208"/>
      <c r="AH322" s="208"/>
      <c r="AI322" s="208"/>
      <c r="AJ322" s="208"/>
      <c r="AK322" s="208"/>
      <c r="AL322" s="208"/>
      <c r="AM322" s="208"/>
      <c r="AN322" s="208"/>
      <c r="AO322" s="208"/>
      <c r="AP322" s="208"/>
      <c r="AQ322" s="208"/>
      <c r="AR322" s="208"/>
      <c r="AS322" s="208"/>
      <c r="AT322" s="208"/>
      <c r="AU322" s="208"/>
      <c r="AV322" s="208"/>
      <c r="AW322" s="208"/>
      <c r="AX322" s="208"/>
      <c r="AY322" s="208"/>
    </row>
    <row r="323">
      <c r="A323" s="208"/>
      <c r="B323" s="533"/>
      <c r="C323" s="208"/>
      <c r="D323" s="208"/>
      <c r="E323" s="208"/>
      <c r="F323" s="584"/>
      <c r="G323" s="208"/>
      <c r="H323" s="208"/>
      <c r="I323" s="208"/>
      <c r="J323" s="208"/>
      <c r="K323" s="208"/>
      <c r="L323" s="536"/>
      <c r="M323" s="208"/>
      <c r="N323" s="208"/>
      <c r="O323" s="208"/>
      <c r="P323" s="208"/>
      <c r="Q323" s="208"/>
      <c r="R323" s="208"/>
      <c r="S323" s="208"/>
      <c r="T323" s="208"/>
      <c r="U323" s="208"/>
      <c r="V323" s="208"/>
      <c r="W323" s="208"/>
      <c r="X323" s="208"/>
      <c r="Y323" s="208"/>
      <c r="Z323" s="208"/>
      <c r="AA323" s="208"/>
      <c r="AB323" s="208"/>
      <c r="AC323" s="208"/>
      <c r="AD323" s="208"/>
      <c r="AE323" s="208"/>
      <c r="AF323" s="208"/>
      <c r="AG323" s="208"/>
      <c r="AH323" s="208"/>
      <c r="AI323" s="208"/>
      <c r="AJ323" s="208"/>
      <c r="AK323" s="208"/>
      <c r="AL323" s="208"/>
      <c r="AM323" s="208"/>
      <c r="AN323" s="208"/>
      <c r="AO323" s="208"/>
      <c r="AP323" s="208"/>
      <c r="AQ323" s="208"/>
      <c r="AR323" s="208"/>
      <c r="AS323" s="208"/>
      <c r="AT323" s="208"/>
      <c r="AU323" s="208"/>
      <c r="AV323" s="208"/>
      <c r="AW323" s="208"/>
      <c r="AX323" s="208"/>
      <c r="AY323" s="208"/>
    </row>
    <row r="324">
      <c r="A324" s="208"/>
      <c r="B324" s="533"/>
      <c r="C324" s="208"/>
      <c r="D324" s="208"/>
      <c r="E324" s="208"/>
      <c r="F324" s="584"/>
      <c r="G324" s="208"/>
      <c r="H324" s="208"/>
      <c r="I324" s="208"/>
      <c r="J324" s="208"/>
      <c r="K324" s="208"/>
      <c r="L324" s="536"/>
      <c r="M324" s="208"/>
      <c r="N324" s="208"/>
      <c r="O324" s="208"/>
      <c r="P324" s="208"/>
      <c r="Q324" s="208"/>
      <c r="R324" s="208"/>
      <c r="S324" s="208"/>
      <c r="T324" s="208"/>
      <c r="U324" s="208"/>
      <c r="V324" s="208"/>
      <c r="W324" s="208"/>
      <c r="X324" s="208"/>
      <c r="Y324" s="208"/>
      <c r="Z324" s="208"/>
      <c r="AA324" s="208"/>
      <c r="AB324" s="208"/>
      <c r="AC324" s="208"/>
      <c r="AD324" s="208"/>
      <c r="AE324" s="208"/>
      <c r="AF324" s="208"/>
      <c r="AG324" s="208"/>
      <c r="AH324" s="208"/>
      <c r="AI324" s="208"/>
      <c r="AJ324" s="208"/>
      <c r="AK324" s="208"/>
      <c r="AL324" s="208"/>
      <c r="AM324" s="208"/>
      <c r="AN324" s="208"/>
      <c r="AO324" s="208"/>
      <c r="AP324" s="208"/>
      <c r="AQ324" s="208"/>
      <c r="AR324" s="208"/>
      <c r="AS324" s="208"/>
      <c r="AT324" s="208"/>
      <c r="AU324" s="208"/>
      <c r="AV324" s="208"/>
      <c r="AW324" s="208"/>
      <c r="AX324" s="208"/>
      <c r="AY324" s="208"/>
    </row>
    <row r="325">
      <c r="A325" s="208"/>
      <c r="B325" s="533"/>
      <c r="C325" s="208"/>
      <c r="D325" s="208"/>
      <c r="E325" s="208"/>
      <c r="F325" s="584"/>
      <c r="G325" s="208"/>
      <c r="H325" s="208"/>
      <c r="I325" s="208"/>
      <c r="J325" s="208"/>
      <c r="K325" s="208"/>
      <c r="L325" s="536"/>
      <c r="M325" s="208"/>
      <c r="N325" s="208"/>
      <c r="O325" s="208"/>
      <c r="P325" s="208"/>
      <c r="Q325" s="208"/>
      <c r="R325" s="208"/>
      <c r="S325" s="208"/>
      <c r="T325" s="208"/>
      <c r="U325" s="208"/>
      <c r="V325" s="208"/>
      <c r="W325" s="208"/>
      <c r="X325" s="208"/>
      <c r="Y325" s="208"/>
      <c r="Z325" s="208"/>
      <c r="AA325" s="208"/>
      <c r="AB325" s="208"/>
      <c r="AC325" s="208"/>
      <c r="AD325" s="208"/>
      <c r="AE325" s="208"/>
      <c r="AF325" s="208"/>
      <c r="AG325" s="208"/>
      <c r="AH325" s="208"/>
      <c r="AI325" s="208"/>
      <c r="AJ325" s="208"/>
      <c r="AK325" s="208"/>
      <c r="AL325" s="208"/>
      <c r="AM325" s="208"/>
      <c r="AN325" s="208"/>
      <c r="AO325" s="208"/>
      <c r="AP325" s="208"/>
      <c r="AQ325" s="208"/>
      <c r="AR325" s="208"/>
      <c r="AS325" s="208"/>
      <c r="AT325" s="208"/>
      <c r="AU325" s="208"/>
      <c r="AV325" s="208"/>
      <c r="AW325" s="208"/>
      <c r="AX325" s="208"/>
      <c r="AY325" s="208"/>
    </row>
    <row r="326">
      <c r="A326" s="208"/>
      <c r="B326" s="533"/>
      <c r="C326" s="208"/>
      <c r="D326" s="208"/>
      <c r="E326" s="208"/>
      <c r="F326" s="584"/>
      <c r="G326" s="208"/>
      <c r="H326" s="208"/>
      <c r="I326" s="208"/>
      <c r="J326" s="208"/>
      <c r="K326" s="208"/>
      <c r="L326" s="536"/>
      <c r="M326" s="208"/>
      <c r="N326" s="208"/>
      <c r="O326" s="208"/>
      <c r="P326" s="208"/>
      <c r="Q326" s="208"/>
      <c r="R326" s="208"/>
      <c r="S326" s="208"/>
      <c r="T326" s="208"/>
      <c r="U326" s="208"/>
      <c r="V326" s="208"/>
      <c r="W326" s="208"/>
      <c r="X326" s="208"/>
      <c r="Y326" s="208"/>
      <c r="Z326" s="208"/>
      <c r="AA326" s="208"/>
      <c r="AB326" s="208"/>
      <c r="AC326" s="208"/>
      <c r="AD326" s="208"/>
      <c r="AE326" s="208"/>
      <c r="AF326" s="208"/>
      <c r="AG326" s="208"/>
      <c r="AH326" s="208"/>
      <c r="AI326" s="208"/>
      <c r="AJ326" s="208"/>
      <c r="AK326" s="208"/>
      <c r="AL326" s="208"/>
      <c r="AM326" s="208"/>
      <c r="AN326" s="208"/>
      <c r="AO326" s="208"/>
      <c r="AP326" s="208"/>
      <c r="AQ326" s="208"/>
      <c r="AR326" s="208"/>
      <c r="AS326" s="208"/>
      <c r="AT326" s="208"/>
      <c r="AU326" s="208"/>
      <c r="AV326" s="208"/>
      <c r="AW326" s="208"/>
      <c r="AX326" s="208"/>
      <c r="AY326" s="208"/>
    </row>
    <row r="327">
      <c r="A327" s="208"/>
      <c r="B327" s="533"/>
      <c r="C327" s="208"/>
      <c r="D327" s="208"/>
      <c r="E327" s="208"/>
      <c r="F327" s="584"/>
      <c r="G327" s="208"/>
      <c r="H327" s="208"/>
      <c r="I327" s="208"/>
      <c r="J327" s="208"/>
      <c r="K327" s="208"/>
      <c r="L327" s="536"/>
      <c r="M327" s="208"/>
      <c r="N327" s="208"/>
      <c r="O327" s="208"/>
      <c r="P327" s="208"/>
      <c r="Q327" s="208"/>
      <c r="R327" s="208"/>
      <c r="S327" s="208"/>
      <c r="T327" s="208"/>
      <c r="U327" s="208"/>
      <c r="V327" s="208"/>
      <c r="W327" s="208"/>
      <c r="X327" s="208"/>
      <c r="Y327" s="208"/>
      <c r="Z327" s="208"/>
      <c r="AA327" s="208"/>
      <c r="AB327" s="208"/>
      <c r="AC327" s="208"/>
      <c r="AD327" s="208"/>
      <c r="AE327" s="208"/>
      <c r="AF327" s="208"/>
      <c r="AG327" s="208"/>
      <c r="AH327" s="208"/>
      <c r="AI327" s="208"/>
      <c r="AJ327" s="208"/>
      <c r="AK327" s="208"/>
      <c r="AL327" s="208"/>
      <c r="AM327" s="208"/>
      <c r="AN327" s="208"/>
      <c r="AO327" s="208"/>
      <c r="AP327" s="208"/>
      <c r="AQ327" s="208"/>
      <c r="AR327" s="208"/>
      <c r="AS327" s="208"/>
      <c r="AT327" s="208"/>
      <c r="AU327" s="208"/>
      <c r="AV327" s="208"/>
      <c r="AW327" s="208"/>
      <c r="AX327" s="208"/>
      <c r="AY327" s="208"/>
    </row>
    <row r="328">
      <c r="A328" s="208"/>
      <c r="B328" s="533"/>
      <c r="C328" s="208"/>
      <c r="D328" s="208"/>
      <c r="E328" s="208"/>
      <c r="F328" s="584"/>
      <c r="G328" s="208"/>
      <c r="H328" s="208"/>
      <c r="I328" s="208"/>
      <c r="J328" s="208"/>
      <c r="K328" s="208"/>
      <c r="L328" s="536"/>
      <c r="M328" s="208"/>
      <c r="N328" s="208"/>
      <c r="O328" s="208"/>
      <c r="P328" s="208"/>
      <c r="Q328" s="208"/>
      <c r="R328" s="208"/>
      <c r="S328" s="208"/>
      <c r="T328" s="208"/>
      <c r="U328" s="208"/>
      <c r="V328" s="208"/>
      <c r="W328" s="208"/>
      <c r="X328" s="208"/>
      <c r="Y328" s="208"/>
      <c r="Z328" s="208"/>
      <c r="AA328" s="208"/>
      <c r="AB328" s="208"/>
      <c r="AC328" s="208"/>
      <c r="AD328" s="208"/>
      <c r="AE328" s="208"/>
      <c r="AF328" s="208"/>
      <c r="AG328" s="208"/>
      <c r="AH328" s="208"/>
      <c r="AI328" s="208"/>
      <c r="AJ328" s="208"/>
      <c r="AK328" s="208"/>
      <c r="AL328" s="208"/>
      <c r="AM328" s="208"/>
      <c r="AN328" s="208"/>
      <c r="AO328" s="208"/>
      <c r="AP328" s="208"/>
      <c r="AQ328" s="208"/>
      <c r="AR328" s="208"/>
      <c r="AS328" s="208"/>
      <c r="AT328" s="208"/>
      <c r="AU328" s="208"/>
      <c r="AV328" s="208"/>
      <c r="AW328" s="208"/>
      <c r="AX328" s="208"/>
      <c r="AY328" s="208"/>
    </row>
    <row r="329">
      <c r="A329" s="208"/>
      <c r="B329" s="533"/>
      <c r="C329" s="208"/>
      <c r="D329" s="208"/>
      <c r="E329" s="208"/>
      <c r="F329" s="584"/>
      <c r="G329" s="208"/>
      <c r="H329" s="208"/>
      <c r="I329" s="208"/>
      <c r="J329" s="208"/>
      <c r="K329" s="208"/>
      <c r="L329" s="536"/>
      <c r="M329" s="208"/>
      <c r="N329" s="208"/>
      <c r="O329" s="208"/>
      <c r="P329" s="208"/>
      <c r="Q329" s="208"/>
      <c r="R329" s="208"/>
      <c r="S329" s="208"/>
      <c r="T329" s="208"/>
      <c r="U329" s="208"/>
      <c r="V329" s="208"/>
      <c r="W329" s="208"/>
      <c r="X329" s="208"/>
      <c r="Y329" s="208"/>
      <c r="Z329" s="208"/>
      <c r="AA329" s="208"/>
      <c r="AB329" s="208"/>
      <c r="AC329" s="208"/>
      <c r="AD329" s="208"/>
      <c r="AE329" s="208"/>
      <c r="AF329" s="208"/>
      <c r="AG329" s="208"/>
      <c r="AH329" s="208"/>
      <c r="AI329" s="208"/>
      <c r="AJ329" s="208"/>
      <c r="AK329" s="208"/>
      <c r="AL329" s="208"/>
      <c r="AM329" s="208"/>
      <c r="AN329" s="208"/>
      <c r="AO329" s="208"/>
      <c r="AP329" s="208"/>
      <c r="AQ329" s="208"/>
      <c r="AR329" s="208"/>
      <c r="AS329" s="208"/>
      <c r="AT329" s="208"/>
      <c r="AU329" s="208"/>
      <c r="AV329" s="208"/>
      <c r="AW329" s="208"/>
      <c r="AX329" s="208"/>
      <c r="AY329" s="208"/>
    </row>
    <row r="330">
      <c r="A330" s="208"/>
      <c r="B330" s="533"/>
      <c r="C330" s="208"/>
      <c r="D330" s="208"/>
      <c r="E330" s="208"/>
      <c r="F330" s="584"/>
      <c r="G330" s="208"/>
      <c r="H330" s="208"/>
      <c r="I330" s="208"/>
      <c r="J330" s="208"/>
      <c r="K330" s="208"/>
      <c r="L330" s="536"/>
      <c r="M330" s="208"/>
      <c r="N330" s="208"/>
      <c r="O330" s="208"/>
      <c r="P330" s="208"/>
      <c r="Q330" s="208"/>
      <c r="R330" s="208"/>
      <c r="S330" s="208"/>
      <c r="T330" s="208"/>
      <c r="U330" s="208"/>
      <c r="V330" s="208"/>
      <c r="W330" s="208"/>
      <c r="X330" s="208"/>
      <c r="Y330" s="208"/>
      <c r="Z330" s="208"/>
      <c r="AA330" s="208"/>
      <c r="AB330" s="208"/>
      <c r="AC330" s="208"/>
      <c r="AD330" s="208"/>
      <c r="AE330" s="208"/>
      <c r="AF330" s="208"/>
      <c r="AG330" s="208"/>
      <c r="AH330" s="208"/>
      <c r="AI330" s="208"/>
      <c r="AJ330" s="208"/>
      <c r="AK330" s="208"/>
      <c r="AL330" s="208"/>
      <c r="AM330" s="208"/>
      <c r="AN330" s="208"/>
      <c r="AO330" s="208"/>
      <c r="AP330" s="208"/>
      <c r="AQ330" s="208"/>
      <c r="AR330" s="208"/>
      <c r="AS330" s="208"/>
      <c r="AT330" s="208"/>
      <c r="AU330" s="208"/>
      <c r="AV330" s="208"/>
      <c r="AW330" s="208"/>
      <c r="AX330" s="208"/>
      <c r="AY330" s="208"/>
    </row>
    <row r="331">
      <c r="A331" s="208"/>
      <c r="B331" s="533"/>
      <c r="C331" s="208"/>
      <c r="D331" s="208"/>
      <c r="E331" s="208"/>
      <c r="F331" s="584"/>
      <c r="G331" s="208"/>
      <c r="H331" s="208"/>
      <c r="I331" s="208"/>
      <c r="J331" s="208"/>
      <c r="K331" s="208"/>
      <c r="L331" s="536"/>
      <c r="M331" s="208"/>
      <c r="N331" s="208"/>
      <c r="O331" s="208"/>
      <c r="P331" s="208"/>
      <c r="Q331" s="208"/>
      <c r="R331" s="208"/>
      <c r="S331" s="208"/>
      <c r="T331" s="208"/>
      <c r="U331" s="208"/>
      <c r="V331" s="208"/>
      <c r="W331" s="208"/>
      <c r="X331" s="208"/>
      <c r="Y331" s="208"/>
      <c r="Z331" s="208"/>
      <c r="AA331" s="208"/>
      <c r="AB331" s="208"/>
      <c r="AC331" s="208"/>
      <c r="AD331" s="208"/>
      <c r="AE331" s="208"/>
      <c r="AF331" s="208"/>
      <c r="AG331" s="208"/>
      <c r="AH331" s="208"/>
      <c r="AI331" s="208"/>
      <c r="AJ331" s="208"/>
      <c r="AK331" s="208"/>
      <c r="AL331" s="208"/>
      <c r="AM331" s="208"/>
      <c r="AN331" s="208"/>
      <c r="AO331" s="208"/>
      <c r="AP331" s="208"/>
      <c r="AQ331" s="208"/>
      <c r="AR331" s="208"/>
      <c r="AS331" s="208"/>
      <c r="AT331" s="208"/>
      <c r="AU331" s="208"/>
      <c r="AV331" s="208"/>
      <c r="AW331" s="208"/>
      <c r="AX331" s="208"/>
      <c r="AY331" s="208"/>
    </row>
    <row r="332">
      <c r="A332" s="208"/>
      <c r="B332" s="533"/>
      <c r="C332" s="208"/>
      <c r="D332" s="208"/>
      <c r="E332" s="208"/>
      <c r="F332" s="584"/>
      <c r="G332" s="208"/>
      <c r="H332" s="208"/>
      <c r="I332" s="208"/>
      <c r="J332" s="208"/>
      <c r="K332" s="208"/>
      <c r="L332" s="536"/>
      <c r="M332" s="208"/>
      <c r="N332" s="208"/>
      <c r="O332" s="208"/>
      <c r="P332" s="208"/>
      <c r="Q332" s="208"/>
      <c r="R332" s="208"/>
      <c r="S332" s="208"/>
      <c r="T332" s="208"/>
      <c r="U332" s="208"/>
      <c r="V332" s="208"/>
      <c r="W332" s="208"/>
      <c r="X332" s="208"/>
      <c r="Y332" s="208"/>
      <c r="Z332" s="208"/>
      <c r="AA332" s="208"/>
      <c r="AB332" s="208"/>
      <c r="AC332" s="208"/>
      <c r="AD332" s="208"/>
      <c r="AE332" s="208"/>
      <c r="AF332" s="208"/>
      <c r="AG332" s="208"/>
      <c r="AH332" s="208"/>
      <c r="AI332" s="208"/>
      <c r="AJ332" s="208"/>
      <c r="AK332" s="208"/>
      <c r="AL332" s="208"/>
      <c r="AM332" s="208"/>
      <c r="AN332" s="208"/>
      <c r="AO332" s="208"/>
      <c r="AP332" s="208"/>
      <c r="AQ332" s="208"/>
      <c r="AR332" s="208"/>
      <c r="AS332" s="208"/>
      <c r="AT332" s="208"/>
      <c r="AU332" s="208"/>
      <c r="AV332" s="208"/>
      <c r="AW332" s="208"/>
      <c r="AX332" s="208"/>
      <c r="AY332" s="208"/>
    </row>
    <row r="333">
      <c r="A333" s="208"/>
      <c r="B333" s="533"/>
      <c r="C333" s="208"/>
      <c r="D333" s="208"/>
      <c r="E333" s="208"/>
      <c r="F333" s="584"/>
      <c r="G333" s="208"/>
      <c r="H333" s="208"/>
      <c r="I333" s="208"/>
      <c r="J333" s="208"/>
      <c r="K333" s="208"/>
      <c r="L333" s="536"/>
      <c r="M333" s="208"/>
      <c r="N333" s="208"/>
      <c r="O333" s="208"/>
      <c r="P333" s="208"/>
      <c r="Q333" s="208"/>
      <c r="R333" s="208"/>
      <c r="S333" s="208"/>
      <c r="T333" s="208"/>
      <c r="U333" s="208"/>
      <c r="V333" s="208"/>
      <c r="W333" s="208"/>
      <c r="X333" s="208"/>
      <c r="Y333" s="208"/>
      <c r="Z333" s="208"/>
      <c r="AA333" s="208"/>
      <c r="AB333" s="208"/>
      <c r="AC333" s="208"/>
      <c r="AD333" s="208"/>
      <c r="AE333" s="208"/>
      <c r="AF333" s="208"/>
      <c r="AG333" s="208"/>
      <c r="AH333" s="208"/>
      <c r="AI333" s="208"/>
      <c r="AJ333" s="208"/>
      <c r="AK333" s="208"/>
      <c r="AL333" s="208"/>
      <c r="AM333" s="208"/>
      <c r="AN333" s="208"/>
      <c r="AO333" s="208"/>
      <c r="AP333" s="208"/>
      <c r="AQ333" s="208"/>
      <c r="AR333" s="208"/>
      <c r="AS333" s="208"/>
      <c r="AT333" s="208"/>
      <c r="AU333" s="208"/>
      <c r="AV333" s="208"/>
      <c r="AW333" s="208"/>
      <c r="AX333" s="208"/>
      <c r="AY333" s="208"/>
    </row>
    <row r="334">
      <c r="A334" s="208"/>
      <c r="B334" s="533"/>
      <c r="C334" s="208"/>
      <c r="D334" s="208"/>
      <c r="E334" s="208"/>
      <c r="F334" s="584"/>
      <c r="G334" s="208"/>
      <c r="H334" s="208"/>
      <c r="I334" s="208"/>
      <c r="J334" s="208"/>
      <c r="K334" s="208"/>
      <c r="L334" s="536"/>
      <c r="M334" s="208"/>
      <c r="N334" s="208"/>
      <c r="O334" s="208"/>
      <c r="P334" s="208"/>
      <c r="Q334" s="208"/>
      <c r="R334" s="208"/>
      <c r="S334" s="208"/>
      <c r="T334" s="208"/>
      <c r="U334" s="208"/>
      <c r="V334" s="208"/>
      <c r="W334" s="208"/>
      <c r="X334" s="208"/>
      <c r="Y334" s="208"/>
      <c r="Z334" s="208"/>
      <c r="AA334" s="208"/>
      <c r="AB334" s="208"/>
      <c r="AC334" s="208"/>
      <c r="AD334" s="208"/>
      <c r="AE334" s="208"/>
      <c r="AF334" s="208"/>
      <c r="AG334" s="208"/>
      <c r="AH334" s="208"/>
      <c r="AI334" s="208"/>
      <c r="AJ334" s="208"/>
      <c r="AK334" s="208"/>
      <c r="AL334" s="208"/>
      <c r="AM334" s="208"/>
      <c r="AN334" s="208"/>
      <c r="AO334" s="208"/>
      <c r="AP334" s="208"/>
      <c r="AQ334" s="208"/>
      <c r="AR334" s="208"/>
      <c r="AS334" s="208"/>
      <c r="AT334" s="208"/>
      <c r="AU334" s="208"/>
      <c r="AV334" s="208"/>
      <c r="AW334" s="208"/>
      <c r="AX334" s="208"/>
      <c r="AY334" s="208"/>
    </row>
    <row r="335">
      <c r="A335" s="208"/>
      <c r="B335" s="533"/>
      <c r="C335" s="208"/>
      <c r="D335" s="208"/>
      <c r="E335" s="208"/>
      <c r="F335" s="584"/>
      <c r="G335" s="208"/>
      <c r="H335" s="208"/>
      <c r="I335" s="208"/>
      <c r="J335" s="208"/>
      <c r="K335" s="208"/>
      <c r="L335" s="536"/>
      <c r="M335" s="208"/>
      <c r="N335" s="208"/>
      <c r="O335" s="208"/>
      <c r="P335" s="208"/>
      <c r="Q335" s="208"/>
      <c r="R335" s="208"/>
      <c r="S335" s="208"/>
      <c r="T335" s="208"/>
      <c r="U335" s="208"/>
      <c r="V335" s="208"/>
      <c r="W335" s="208"/>
      <c r="X335" s="208"/>
      <c r="Y335" s="208"/>
      <c r="Z335" s="208"/>
      <c r="AA335" s="208"/>
      <c r="AB335" s="208"/>
      <c r="AC335" s="208"/>
      <c r="AD335" s="208"/>
      <c r="AE335" s="208"/>
      <c r="AF335" s="208"/>
      <c r="AG335" s="208"/>
      <c r="AH335" s="208"/>
      <c r="AI335" s="208"/>
      <c r="AJ335" s="208"/>
      <c r="AK335" s="208"/>
      <c r="AL335" s="208"/>
      <c r="AM335" s="208"/>
      <c r="AN335" s="208"/>
      <c r="AO335" s="208"/>
      <c r="AP335" s="208"/>
      <c r="AQ335" s="208"/>
      <c r="AR335" s="208"/>
      <c r="AS335" s="208"/>
      <c r="AT335" s="208"/>
      <c r="AU335" s="208"/>
      <c r="AV335" s="208"/>
      <c r="AW335" s="208"/>
      <c r="AX335" s="208"/>
      <c r="AY335" s="208"/>
    </row>
    <row r="336">
      <c r="A336" s="208"/>
      <c r="B336" s="533"/>
      <c r="C336" s="208"/>
      <c r="D336" s="208"/>
      <c r="E336" s="208"/>
      <c r="F336" s="584"/>
      <c r="G336" s="208"/>
      <c r="H336" s="208"/>
      <c r="I336" s="208"/>
      <c r="J336" s="208"/>
      <c r="K336" s="208"/>
      <c r="L336" s="536"/>
      <c r="M336" s="208"/>
      <c r="N336" s="208"/>
      <c r="O336" s="208"/>
      <c r="P336" s="208"/>
      <c r="Q336" s="208"/>
      <c r="R336" s="208"/>
      <c r="S336" s="208"/>
      <c r="T336" s="208"/>
      <c r="U336" s="208"/>
      <c r="V336" s="208"/>
      <c r="W336" s="208"/>
      <c r="X336" s="208"/>
      <c r="Y336" s="208"/>
      <c r="Z336" s="208"/>
      <c r="AA336" s="208"/>
      <c r="AB336" s="208"/>
      <c r="AC336" s="208"/>
      <c r="AD336" s="208"/>
      <c r="AE336" s="208"/>
      <c r="AF336" s="208"/>
      <c r="AG336" s="208"/>
      <c r="AH336" s="208"/>
      <c r="AI336" s="208"/>
      <c r="AJ336" s="208"/>
      <c r="AK336" s="208"/>
      <c r="AL336" s="208"/>
      <c r="AM336" s="208"/>
      <c r="AN336" s="208"/>
      <c r="AO336" s="208"/>
      <c r="AP336" s="208"/>
      <c r="AQ336" s="208"/>
      <c r="AR336" s="208"/>
      <c r="AS336" s="208"/>
      <c r="AT336" s="208"/>
      <c r="AU336" s="208"/>
      <c r="AV336" s="208"/>
      <c r="AW336" s="208"/>
      <c r="AX336" s="208"/>
      <c r="AY336" s="208"/>
    </row>
    <row r="337">
      <c r="A337" s="208"/>
      <c r="B337" s="533"/>
      <c r="C337" s="208"/>
      <c r="D337" s="208"/>
      <c r="E337" s="208"/>
      <c r="F337" s="584"/>
      <c r="G337" s="208"/>
      <c r="H337" s="208"/>
      <c r="I337" s="208"/>
      <c r="J337" s="208"/>
      <c r="K337" s="208"/>
      <c r="L337" s="536"/>
      <c r="M337" s="208"/>
      <c r="N337" s="208"/>
      <c r="O337" s="208"/>
      <c r="P337" s="208"/>
      <c r="Q337" s="208"/>
      <c r="R337" s="208"/>
      <c r="S337" s="208"/>
      <c r="T337" s="208"/>
      <c r="U337" s="208"/>
      <c r="V337" s="208"/>
      <c r="W337" s="208"/>
      <c r="X337" s="208"/>
      <c r="Y337" s="208"/>
      <c r="Z337" s="208"/>
      <c r="AA337" s="208"/>
      <c r="AB337" s="208"/>
      <c r="AC337" s="208"/>
      <c r="AD337" s="208"/>
      <c r="AE337" s="208"/>
      <c r="AF337" s="208"/>
      <c r="AG337" s="208"/>
      <c r="AH337" s="208"/>
      <c r="AI337" s="208"/>
      <c r="AJ337" s="208"/>
      <c r="AK337" s="208"/>
      <c r="AL337" s="208"/>
      <c r="AM337" s="208"/>
      <c r="AN337" s="208"/>
      <c r="AO337" s="208"/>
      <c r="AP337" s="208"/>
      <c r="AQ337" s="208"/>
      <c r="AR337" s="208"/>
      <c r="AS337" s="208"/>
      <c r="AT337" s="208"/>
      <c r="AU337" s="208"/>
      <c r="AV337" s="208"/>
      <c r="AW337" s="208"/>
      <c r="AX337" s="208"/>
      <c r="AY337" s="208"/>
    </row>
    <row r="338">
      <c r="A338" s="208"/>
      <c r="B338" s="533"/>
      <c r="C338" s="208"/>
      <c r="D338" s="208"/>
      <c r="E338" s="208"/>
      <c r="F338" s="584"/>
      <c r="G338" s="208"/>
      <c r="H338" s="208"/>
      <c r="I338" s="208"/>
      <c r="J338" s="208"/>
      <c r="K338" s="208"/>
      <c r="L338" s="536"/>
      <c r="M338" s="208"/>
      <c r="N338" s="208"/>
      <c r="O338" s="208"/>
      <c r="P338" s="208"/>
      <c r="Q338" s="208"/>
      <c r="R338" s="208"/>
      <c r="S338" s="208"/>
      <c r="T338" s="208"/>
      <c r="U338" s="208"/>
      <c r="V338" s="208"/>
      <c r="W338" s="208"/>
      <c r="X338" s="208"/>
      <c r="Y338" s="208"/>
      <c r="Z338" s="208"/>
      <c r="AA338" s="208"/>
      <c r="AB338" s="208"/>
      <c r="AC338" s="208"/>
      <c r="AD338" s="208"/>
      <c r="AE338" s="208"/>
      <c r="AF338" s="208"/>
      <c r="AG338" s="208"/>
      <c r="AH338" s="208"/>
      <c r="AI338" s="208"/>
      <c r="AJ338" s="208"/>
      <c r="AK338" s="208"/>
      <c r="AL338" s="208"/>
      <c r="AM338" s="208"/>
      <c r="AN338" s="208"/>
      <c r="AO338" s="208"/>
      <c r="AP338" s="208"/>
      <c r="AQ338" s="208"/>
      <c r="AR338" s="208"/>
      <c r="AS338" s="208"/>
      <c r="AT338" s="208"/>
      <c r="AU338" s="208"/>
      <c r="AV338" s="208"/>
      <c r="AW338" s="208"/>
      <c r="AX338" s="208"/>
      <c r="AY338" s="208"/>
    </row>
    <row r="339">
      <c r="A339" s="208"/>
      <c r="B339" s="533"/>
      <c r="C339" s="208"/>
      <c r="D339" s="208"/>
      <c r="E339" s="208"/>
      <c r="F339" s="584"/>
      <c r="G339" s="208"/>
      <c r="H339" s="208"/>
      <c r="I339" s="208"/>
      <c r="J339" s="208"/>
      <c r="K339" s="208"/>
      <c r="L339" s="536"/>
      <c r="M339" s="208"/>
      <c r="N339" s="208"/>
      <c r="O339" s="208"/>
      <c r="P339" s="208"/>
      <c r="Q339" s="208"/>
      <c r="R339" s="208"/>
      <c r="S339" s="208"/>
      <c r="T339" s="208"/>
      <c r="U339" s="208"/>
      <c r="V339" s="208"/>
      <c r="W339" s="208"/>
      <c r="X339" s="208"/>
      <c r="Y339" s="208"/>
      <c r="Z339" s="208"/>
      <c r="AA339" s="208"/>
      <c r="AB339" s="208"/>
      <c r="AC339" s="208"/>
      <c r="AD339" s="208"/>
      <c r="AE339" s="208"/>
      <c r="AF339" s="208"/>
      <c r="AG339" s="208"/>
      <c r="AH339" s="208"/>
      <c r="AI339" s="208"/>
      <c r="AJ339" s="208"/>
      <c r="AK339" s="208"/>
      <c r="AL339" s="208"/>
      <c r="AM339" s="208"/>
      <c r="AN339" s="208"/>
      <c r="AO339" s="208"/>
      <c r="AP339" s="208"/>
      <c r="AQ339" s="208"/>
      <c r="AR339" s="208"/>
      <c r="AS339" s="208"/>
      <c r="AT339" s="208"/>
      <c r="AU339" s="208"/>
      <c r="AV339" s="208"/>
      <c r="AW339" s="208"/>
      <c r="AX339" s="208"/>
      <c r="AY339" s="208"/>
    </row>
    <row r="340">
      <c r="A340" s="208"/>
      <c r="B340" s="533"/>
      <c r="C340" s="208"/>
      <c r="D340" s="208"/>
      <c r="E340" s="208"/>
      <c r="F340" s="584"/>
      <c r="G340" s="208"/>
      <c r="H340" s="208"/>
      <c r="I340" s="208"/>
      <c r="J340" s="208"/>
      <c r="K340" s="208"/>
      <c r="L340" s="536"/>
      <c r="M340" s="208"/>
      <c r="N340" s="208"/>
      <c r="O340" s="208"/>
      <c r="P340" s="208"/>
      <c r="Q340" s="208"/>
      <c r="R340" s="208"/>
      <c r="S340" s="208"/>
      <c r="T340" s="208"/>
      <c r="U340" s="208"/>
      <c r="V340" s="208"/>
      <c r="W340" s="208"/>
      <c r="X340" s="208"/>
      <c r="Y340" s="208"/>
      <c r="Z340" s="208"/>
      <c r="AA340" s="208"/>
      <c r="AB340" s="208"/>
      <c r="AC340" s="208"/>
      <c r="AD340" s="208"/>
      <c r="AE340" s="208"/>
      <c r="AF340" s="208"/>
      <c r="AG340" s="208"/>
      <c r="AH340" s="208"/>
      <c r="AI340" s="208"/>
      <c r="AJ340" s="208"/>
      <c r="AK340" s="208"/>
      <c r="AL340" s="208"/>
      <c r="AM340" s="208"/>
      <c r="AN340" s="208"/>
      <c r="AO340" s="208"/>
      <c r="AP340" s="208"/>
      <c r="AQ340" s="208"/>
      <c r="AR340" s="208"/>
      <c r="AS340" s="208"/>
      <c r="AT340" s="208"/>
      <c r="AU340" s="208"/>
      <c r="AV340" s="208"/>
      <c r="AW340" s="208"/>
      <c r="AX340" s="208"/>
      <c r="AY340" s="208"/>
    </row>
    <row r="341">
      <c r="A341" s="208"/>
      <c r="B341" s="533"/>
      <c r="C341" s="208"/>
      <c r="D341" s="208"/>
      <c r="E341" s="208"/>
      <c r="F341" s="584"/>
      <c r="G341" s="208"/>
      <c r="H341" s="208"/>
      <c r="I341" s="208"/>
      <c r="J341" s="208"/>
      <c r="K341" s="208"/>
      <c r="L341" s="536"/>
      <c r="M341" s="208"/>
      <c r="N341" s="208"/>
      <c r="O341" s="208"/>
      <c r="P341" s="208"/>
      <c r="Q341" s="208"/>
      <c r="R341" s="208"/>
      <c r="S341" s="208"/>
      <c r="T341" s="208"/>
      <c r="U341" s="208"/>
      <c r="V341" s="208"/>
      <c r="W341" s="208"/>
      <c r="X341" s="208"/>
      <c r="Y341" s="208"/>
      <c r="Z341" s="208"/>
      <c r="AA341" s="208"/>
      <c r="AB341" s="208"/>
      <c r="AC341" s="208"/>
      <c r="AD341" s="208"/>
      <c r="AE341" s="208"/>
      <c r="AF341" s="208"/>
      <c r="AG341" s="208"/>
      <c r="AH341" s="208"/>
      <c r="AI341" s="208"/>
      <c r="AJ341" s="208"/>
      <c r="AK341" s="208"/>
      <c r="AL341" s="208"/>
      <c r="AM341" s="208"/>
      <c r="AN341" s="208"/>
      <c r="AO341" s="208"/>
      <c r="AP341" s="208"/>
      <c r="AQ341" s="208"/>
      <c r="AR341" s="208"/>
      <c r="AS341" s="208"/>
      <c r="AT341" s="208"/>
      <c r="AU341" s="208"/>
      <c r="AV341" s="208"/>
      <c r="AW341" s="208"/>
      <c r="AX341" s="208"/>
      <c r="AY341" s="208"/>
    </row>
    <row r="342">
      <c r="A342" s="208"/>
      <c r="B342" s="533"/>
      <c r="C342" s="208"/>
      <c r="D342" s="208"/>
      <c r="E342" s="208"/>
      <c r="F342" s="584"/>
      <c r="G342" s="208"/>
      <c r="H342" s="208"/>
      <c r="I342" s="208"/>
      <c r="J342" s="208"/>
      <c r="K342" s="208"/>
      <c r="L342" s="536"/>
      <c r="M342" s="208"/>
      <c r="N342" s="208"/>
      <c r="O342" s="208"/>
      <c r="P342" s="208"/>
      <c r="Q342" s="208"/>
      <c r="R342" s="208"/>
      <c r="S342" s="208"/>
      <c r="T342" s="208"/>
      <c r="U342" s="208"/>
      <c r="V342" s="208"/>
      <c r="W342" s="208"/>
      <c r="X342" s="208"/>
      <c r="Y342" s="208"/>
      <c r="Z342" s="208"/>
      <c r="AA342" s="208"/>
      <c r="AB342" s="208"/>
      <c r="AC342" s="208"/>
      <c r="AD342" s="208"/>
      <c r="AE342" s="208"/>
      <c r="AF342" s="208"/>
      <c r="AG342" s="208"/>
      <c r="AH342" s="208"/>
      <c r="AI342" s="208"/>
      <c r="AJ342" s="208"/>
      <c r="AK342" s="208"/>
      <c r="AL342" s="208"/>
      <c r="AM342" s="208"/>
      <c r="AN342" s="208"/>
      <c r="AO342" s="208"/>
      <c r="AP342" s="208"/>
      <c r="AQ342" s="208"/>
      <c r="AR342" s="208"/>
      <c r="AS342" s="208"/>
      <c r="AT342" s="208"/>
      <c r="AU342" s="208"/>
      <c r="AV342" s="208"/>
      <c r="AW342" s="208"/>
      <c r="AX342" s="208"/>
      <c r="AY342" s="208"/>
    </row>
    <row r="343">
      <c r="A343" s="208"/>
      <c r="B343" s="533"/>
      <c r="C343" s="208"/>
      <c r="D343" s="208"/>
      <c r="E343" s="208"/>
      <c r="F343" s="584"/>
      <c r="G343" s="208"/>
      <c r="H343" s="208"/>
      <c r="I343" s="208"/>
      <c r="J343" s="208"/>
      <c r="K343" s="208"/>
      <c r="L343" s="536"/>
      <c r="M343" s="208"/>
      <c r="N343" s="208"/>
      <c r="O343" s="208"/>
      <c r="P343" s="208"/>
      <c r="Q343" s="208"/>
      <c r="R343" s="208"/>
      <c r="S343" s="208"/>
      <c r="T343" s="208"/>
      <c r="U343" s="208"/>
      <c r="V343" s="208"/>
      <c r="W343" s="208"/>
      <c r="X343" s="208"/>
      <c r="Y343" s="208"/>
      <c r="Z343" s="208"/>
      <c r="AA343" s="208"/>
      <c r="AB343" s="208"/>
      <c r="AC343" s="208"/>
      <c r="AD343" s="208"/>
      <c r="AE343" s="208"/>
      <c r="AF343" s="208"/>
      <c r="AG343" s="208"/>
      <c r="AH343" s="208"/>
      <c r="AI343" s="208"/>
      <c r="AJ343" s="208"/>
      <c r="AK343" s="208"/>
      <c r="AL343" s="208"/>
      <c r="AM343" s="208"/>
      <c r="AN343" s="208"/>
      <c r="AO343" s="208"/>
      <c r="AP343" s="208"/>
      <c r="AQ343" s="208"/>
      <c r="AR343" s="208"/>
      <c r="AS343" s="208"/>
      <c r="AT343" s="208"/>
      <c r="AU343" s="208"/>
      <c r="AV343" s="208"/>
      <c r="AW343" s="208"/>
      <c r="AX343" s="208"/>
      <c r="AY343" s="208"/>
    </row>
    <row r="344">
      <c r="A344" s="208"/>
      <c r="B344" s="533"/>
      <c r="C344" s="208"/>
      <c r="D344" s="208"/>
      <c r="E344" s="208"/>
      <c r="F344" s="584"/>
      <c r="G344" s="208"/>
      <c r="H344" s="208"/>
      <c r="I344" s="208"/>
      <c r="J344" s="208"/>
      <c r="K344" s="208"/>
      <c r="L344" s="536"/>
      <c r="M344" s="208"/>
      <c r="N344" s="208"/>
      <c r="O344" s="208"/>
      <c r="P344" s="208"/>
      <c r="Q344" s="208"/>
      <c r="R344" s="208"/>
      <c r="S344" s="208"/>
      <c r="T344" s="208"/>
      <c r="U344" s="208"/>
      <c r="V344" s="208"/>
      <c r="W344" s="208"/>
      <c r="X344" s="208"/>
      <c r="Y344" s="208"/>
      <c r="Z344" s="208"/>
      <c r="AA344" s="208"/>
      <c r="AB344" s="208"/>
      <c r="AC344" s="208"/>
      <c r="AD344" s="208"/>
      <c r="AE344" s="208"/>
      <c r="AF344" s="208"/>
      <c r="AG344" s="208"/>
      <c r="AH344" s="208"/>
      <c r="AI344" s="208"/>
      <c r="AJ344" s="208"/>
      <c r="AK344" s="208"/>
      <c r="AL344" s="208"/>
      <c r="AM344" s="208"/>
      <c r="AN344" s="208"/>
      <c r="AO344" s="208"/>
      <c r="AP344" s="208"/>
      <c r="AQ344" s="208"/>
      <c r="AR344" s="208"/>
      <c r="AS344" s="208"/>
      <c r="AT344" s="208"/>
      <c r="AU344" s="208"/>
      <c r="AV344" s="208"/>
      <c r="AW344" s="208"/>
      <c r="AX344" s="208"/>
      <c r="AY344" s="208"/>
    </row>
    <row r="345">
      <c r="A345" s="208"/>
      <c r="B345" s="533"/>
      <c r="C345" s="208"/>
      <c r="D345" s="208"/>
      <c r="E345" s="208"/>
      <c r="F345" s="584"/>
      <c r="G345" s="208"/>
      <c r="H345" s="208"/>
      <c r="I345" s="208"/>
      <c r="J345" s="208"/>
      <c r="K345" s="208"/>
      <c r="L345" s="536"/>
      <c r="M345" s="208"/>
      <c r="N345" s="208"/>
      <c r="O345" s="208"/>
      <c r="P345" s="208"/>
      <c r="Q345" s="208"/>
      <c r="R345" s="208"/>
      <c r="S345" s="208"/>
      <c r="T345" s="208"/>
      <c r="U345" s="208"/>
      <c r="V345" s="208"/>
      <c r="W345" s="208"/>
      <c r="X345" s="208"/>
      <c r="Y345" s="208"/>
      <c r="Z345" s="208"/>
      <c r="AA345" s="208"/>
      <c r="AB345" s="208"/>
      <c r="AC345" s="208"/>
      <c r="AD345" s="208"/>
      <c r="AE345" s="208"/>
      <c r="AF345" s="208"/>
      <c r="AG345" s="208"/>
      <c r="AH345" s="208"/>
      <c r="AI345" s="208"/>
      <c r="AJ345" s="208"/>
      <c r="AK345" s="208"/>
      <c r="AL345" s="208"/>
      <c r="AM345" s="208"/>
      <c r="AN345" s="208"/>
      <c r="AO345" s="208"/>
      <c r="AP345" s="208"/>
      <c r="AQ345" s="208"/>
      <c r="AR345" s="208"/>
      <c r="AS345" s="208"/>
      <c r="AT345" s="208"/>
      <c r="AU345" s="208"/>
      <c r="AV345" s="208"/>
      <c r="AW345" s="208"/>
      <c r="AX345" s="208"/>
      <c r="AY345" s="208"/>
    </row>
    <row r="346">
      <c r="A346" s="208"/>
      <c r="B346" s="533"/>
      <c r="C346" s="208"/>
      <c r="D346" s="208"/>
      <c r="E346" s="208"/>
      <c r="F346" s="584"/>
      <c r="G346" s="208"/>
      <c r="H346" s="208"/>
      <c r="I346" s="208"/>
      <c r="J346" s="208"/>
      <c r="K346" s="208"/>
      <c r="L346" s="536"/>
      <c r="M346" s="208"/>
      <c r="N346" s="208"/>
      <c r="O346" s="208"/>
      <c r="P346" s="208"/>
      <c r="Q346" s="208"/>
      <c r="R346" s="208"/>
      <c r="S346" s="208"/>
      <c r="T346" s="208"/>
      <c r="U346" s="208"/>
      <c r="V346" s="208"/>
      <c r="W346" s="208"/>
      <c r="X346" s="208"/>
      <c r="Y346" s="208"/>
      <c r="Z346" s="208"/>
      <c r="AA346" s="208"/>
      <c r="AB346" s="208"/>
      <c r="AC346" s="208"/>
      <c r="AD346" s="208"/>
      <c r="AE346" s="208"/>
      <c r="AF346" s="208"/>
      <c r="AG346" s="208"/>
      <c r="AH346" s="208"/>
      <c r="AI346" s="208"/>
      <c r="AJ346" s="208"/>
      <c r="AK346" s="208"/>
      <c r="AL346" s="208"/>
      <c r="AM346" s="208"/>
      <c r="AN346" s="208"/>
      <c r="AO346" s="208"/>
      <c r="AP346" s="208"/>
      <c r="AQ346" s="208"/>
      <c r="AR346" s="208"/>
      <c r="AS346" s="208"/>
      <c r="AT346" s="208"/>
      <c r="AU346" s="208"/>
      <c r="AV346" s="208"/>
      <c r="AW346" s="208"/>
      <c r="AX346" s="208"/>
      <c r="AY346" s="208"/>
    </row>
    <row r="347">
      <c r="A347" s="208"/>
      <c r="B347" s="533"/>
      <c r="C347" s="208"/>
      <c r="D347" s="208"/>
      <c r="E347" s="208"/>
      <c r="F347" s="584"/>
      <c r="G347" s="208"/>
      <c r="H347" s="208"/>
      <c r="I347" s="208"/>
      <c r="J347" s="208"/>
      <c r="K347" s="208"/>
      <c r="L347" s="536"/>
      <c r="M347" s="208"/>
      <c r="N347" s="208"/>
      <c r="O347" s="208"/>
      <c r="P347" s="208"/>
      <c r="Q347" s="208"/>
      <c r="R347" s="208"/>
      <c r="S347" s="208"/>
      <c r="T347" s="208"/>
      <c r="U347" s="208"/>
      <c r="V347" s="208"/>
      <c r="W347" s="208"/>
      <c r="X347" s="208"/>
      <c r="Y347" s="208"/>
      <c r="Z347" s="208"/>
      <c r="AA347" s="208"/>
      <c r="AB347" s="208"/>
      <c r="AC347" s="208"/>
      <c r="AD347" s="208"/>
      <c r="AE347" s="208"/>
      <c r="AF347" s="208"/>
      <c r="AG347" s="208"/>
      <c r="AH347" s="208"/>
      <c r="AI347" s="208"/>
      <c r="AJ347" s="208"/>
      <c r="AK347" s="208"/>
      <c r="AL347" s="208"/>
      <c r="AM347" s="208"/>
      <c r="AN347" s="208"/>
      <c r="AO347" s="208"/>
      <c r="AP347" s="208"/>
      <c r="AQ347" s="208"/>
      <c r="AR347" s="208"/>
      <c r="AS347" s="208"/>
      <c r="AT347" s="208"/>
      <c r="AU347" s="208"/>
      <c r="AV347" s="208"/>
      <c r="AW347" s="208"/>
      <c r="AX347" s="208"/>
      <c r="AY347" s="208"/>
    </row>
    <row r="348">
      <c r="A348" s="208"/>
      <c r="B348" s="533"/>
      <c r="C348" s="208"/>
      <c r="D348" s="208"/>
      <c r="E348" s="208"/>
      <c r="F348" s="584"/>
      <c r="G348" s="208"/>
      <c r="H348" s="208"/>
      <c r="I348" s="208"/>
      <c r="J348" s="208"/>
      <c r="K348" s="208"/>
      <c r="L348" s="536"/>
      <c r="M348" s="208"/>
      <c r="N348" s="208"/>
      <c r="O348" s="208"/>
      <c r="P348" s="208"/>
      <c r="Q348" s="208"/>
      <c r="R348" s="208"/>
      <c r="S348" s="208"/>
      <c r="T348" s="208"/>
      <c r="U348" s="208"/>
      <c r="V348" s="208"/>
      <c r="W348" s="208"/>
      <c r="X348" s="208"/>
      <c r="Y348" s="208"/>
      <c r="Z348" s="208"/>
      <c r="AA348" s="208"/>
      <c r="AB348" s="208"/>
      <c r="AC348" s="208"/>
      <c r="AD348" s="208"/>
      <c r="AE348" s="208"/>
      <c r="AF348" s="208"/>
      <c r="AG348" s="208"/>
      <c r="AH348" s="208"/>
      <c r="AI348" s="208"/>
      <c r="AJ348" s="208"/>
      <c r="AK348" s="208"/>
      <c r="AL348" s="208"/>
      <c r="AM348" s="208"/>
      <c r="AN348" s="208"/>
      <c r="AO348" s="208"/>
      <c r="AP348" s="208"/>
      <c r="AQ348" s="208"/>
      <c r="AR348" s="208"/>
      <c r="AS348" s="208"/>
      <c r="AT348" s="208"/>
      <c r="AU348" s="208"/>
      <c r="AV348" s="208"/>
      <c r="AW348" s="208"/>
      <c r="AX348" s="208"/>
      <c r="AY348" s="208"/>
    </row>
    <row r="349">
      <c r="A349" s="208"/>
      <c r="B349" s="533"/>
      <c r="C349" s="208"/>
      <c r="D349" s="208"/>
      <c r="E349" s="208"/>
      <c r="F349" s="584"/>
      <c r="G349" s="208"/>
      <c r="H349" s="208"/>
      <c r="I349" s="208"/>
      <c r="J349" s="208"/>
      <c r="K349" s="208"/>
      <c r="L349" s="536"/>
      <c r="M349" s="208"/>
      <c r="N349" s="208"/>
      <c r="O349" s="208"/>
      <c r="P349" s="208"/>
      <c r="Q349" s="208"/>
      <c r="R349" s="208"/>
      <c r="S349" s="208"/>
      <c r="T349" s="208"/>
      <c r="U349" s="208"/>
      <c r="V349" s="208"/>
      <c r="W349" s="208"/>
      <c r="X349" s="208"/>
      <c r="Y349" s="208"/>
      <c r="Z349" s="208"/>
      <c r="AA349" s="208"/>
      <c r="AB349" s="208"/>
      <c r="AC349" s="208"/>
      <c r="AD349" s="208"/>
      <c r="AE349" s="208"/>
      <c r="AF349" s="208"/>
      <c r="AG349" s="208"/>
      <c r="AH349" s="208"/>
      <c r="AI349" s="208"/>
      <c r="AJ349" s="208"/>
      <c r="AK349" s="208"/>
      <c r="AL349" s="208"/>
      <c r="AM349" s="208"/>
      <c r="AN349" s="208"/>
      <c r="AO349" s="208"/>
      <c r="AP349" s="208"/>
      <c r="AQ349" s="208"/>
      <c r="AR349" s="208"/>
      <c r="AS349" s="208"/>
      <c r="AT349" s="208"/>
      <c r="AU349" s="208"/>
      <c r="AV349" s="208"/>
      <c r="AW349" s="208"/>
      <c r="AX349" s="208"/>
      <c r="AY349" s="208"/>
    </row>
    <row r="350">
      <c r="A350" s="208"/>
      <c r="B350" s="533"/>
      <c r="C350" s="208"/>
      <c r="D350" s="208"/>
      <c r="E350" s="208"/>
      <c r="F350" s="584"/>
      <c r="G350" s="208"/>
      <c r="H350" s="208"/>
      <c r="I350" s="208"/>
      <c r="J350" s="208"/>
      <c r="K350" s="208"/>
      <c r="L350" s="536"/>
      <c r="M350" s="208"/>
      <c r="N350" s="208"/>
      <c r="O350" s="208"/>
      <c r="P350" s="208"/>
      <c r="Q350" s="208"/>
      <c r="R350" s="208"/>
      <c r="S350" s="208"/>
      <c r="T350" s="208"/>
      <c r="U350" s="208"/>
      <c r="V350" s="208"/>
      <c r="W350" s="208"/>
      <c r="X350" s="208"/>
      <c r="Y350" s="208"/>
      <c r="Z350" s="208"/>
      <c r="AA350" s="208"/>
      <c r="AB350" s="208"/>
      <c r="AC350" s="208"/>
      <c r="AD350" s="208"/>
      <c r="AE350" s="208"/>
      <c r="AF350" s="208"/>
      <c r="AG350" s="208"/>
      <c r="AH350" s="208"/>
      <c r="AI350" s="208"/>
      <c r="AJ350" s="208"/>
      <c r="AK350" s="208"/>
      <c r="AL350" s="208"/>
      <c r="AM350" s="208"/>
      <c r="AN350" s="208"/>
      <c r="AO350" s="208"/>
      <c r="AP350" s="208"/>
      <c r="AQ350" s="208"/>
      <c r="AR350" s="208"/>
      <c r="AS350" s="208"/>
      <c r="AT350" s="208"/>
      <c r="AU350" s="208"/>
      <c r="AV350" s="208"/>
      <c r="AW350" s="208"/>
      <c r="AX350" s="208"/>
      <c r="AY350" s="208"/>
    </row>
    <row r="351">
      <c r="A351" s="208"/>
      <c r="B351" s="533"/>
      <c r="C351" s="208"/>
      <c r="D351" s="208"/>
      <c r="E351" s="208"/>
      <c r="F351" s="584"/>
      <c r="G351" s="208"/>
      <c r="H351" s="208"/>
      <c r="I351" s="208"/>
      <c r="J351" s="208"/>
      <c r="K351" s="208"/>
      <c r="L351" s="536"/>
      <c r="M351" s="208"/>
      <c r="N351" s="208"/>
      <c r="O351" s="208"/>
      <c r="P351" s="208"/>
      <c r="Q351" s="208"/>
      <c r="R351" s="208"/>
      <c r="S351" s="208"/>
      <c r="T351" s="208"/>
      <c r="U351" s="208"/>
      <c r="V351" s="208"/>
      <c r="W351" s="208"/>
      <c r="X351" s="208"/>
      <c r="Y351" s="208"/>
      <c r="Z351" s="208"/>
      <c r="AA351" s="208"/>
      <c r="AB351" s="208"/>
      <c r="AC351" s="208"/>
      <c r="AD351" s="208"/>
      <c r="AE351" s="208"/>
      <c r="AF351" s="208"/>
      <c r="AG351" s="208"/>
      <c r="AH351" s="208"/>
      <c r="AI351" s="208"/>
      <c r="AJ351" s="208"/>
      <c r="AK351" s="208"/>
      <c r="AL351" s="208"/>
      <c r="AM351" s="208"/>
      <c r="AN351" s="208"/>
      <c r="AO351" s="208"/>
      <c r="AP351" s="208"/>
      <c r="AQ351" s="208"/>
      <c r="AR351" s="208"/>
      <c r="AS351" s="208"/>
      <c r="AT351" s="208"/>
      <c r="AU351" s="208"/>
      <c r="AV351" s="208"/>
      <c r="AW351" s="208"/>
      <c r="AX351" s="208"/>
      <c r="AY351" s="208"/>
    </row>
    <row r="352">
      <c r="A352" s="208"/>
      <c r="B352" s="533"/>
      <c r="C352" s="208"/>
      <c r="D352" s="208"/>
      <c r="E352" s="208"/>
      <c r="F352" s="584"/>
      <c r="G352" s="208"/>
      <c r="H352" s="208"/>
      <c r="I352" s="208"/>
      <c r="J352" s="208"/>
      <c r="K352" s="208"/>
      <c r="L352" s="536"/>
      <c r="M352" s="208"/>
      <c r="N352" s="208"/>
      <c r="O352" s="208"/>
      <c r="P352" s="208"/>
      <c r="Q352" s="208"/>
      <c r="R352" s="208"/>
      <c r="S352" s="208"/>
      <c r="T352" s="208"/>
      <c r="U352" s="208"/>
      <c r="V352" s="208"/>
      <c r="W352" s="208"/>
      <c r="X352" s="208"/>
      <c r="Y352" s="208"/>
      <c r="Z352" s="208"/>
      <c r="AA352" s="208"/>
      <c r="AB352" s="208"/>
      <c r="AC352" s="208"/>
      <c r="AD352" s="208"/>
      <c r="AE352" s="208"/>
      <c r="AF352" s="208"/>
      <c r="AG352" s="208"/>
      <c r="AH352" s="208"/>
      <c r="AI352" s="208"/>
      <c r="AJ352" s="208"/>
      <c r="AK352" s="208"/>
      <c r="AL352" s="208"/>
      <c r="AM352" s="208"/>
      <c r="AN352" s="208"/>
      <c r="AO352" s="208"/>
      <c r="AP352" s="208"/>
      <c r="AQ352" s="208"/>
      <c r="AR352" s="208"/>
      <c r="AS352" s="208"/>
      <c r="AT352" s="208"/>
      <c r="AU352" s="208"/>
      <c r="AV352" s="208"/>
      <c r="AW352" s="208"/>
      <c r="AX352" s="208"/>
      <c r="AY352" s="208"/>
    </row>
    <row r="353">
      <c r="A353" s="208"/>
      <c r="B353" s="533"/>
      <c r="C353" s="208"/>
      <c r="D353" s="208"/>
      <c r="E353" s="208"/>
      <c r="F353" s="584"/>
      <c r="G353" s="208"/>
      <c r="H353" s="208"/>
      <c r="I353" s="208"/>
      <c r="J353" s="208"/>
      <c r="K353" s="208"/>
      <c r="L353" s="536"/>
      <c r="M353" s="208"/>
      <c r="N353" s="208"/>
      <c r="O353" s="208"/>
      <c r="P353" s="208"/>
      <c r="Q353" s="208"/>
      <c r="R353" s="208"/>
      <c r="S353" s="208"/>
      <c r="T353" s="208"/>
      <c r="U353" s="208"/>
      <c r="V353" s="208"/>
      <c r="W353" s="208"/>
      <c r="X353" s="208"/>
      <c r="Y353" s="208"/>
      <c r="Z353" s="208"/>
      <c r="AA353" s="208"/>
      <c r="AB353" s="208"/>
      <c r="AC353" s="208"/>
      <c r="AD353" s="208"/>
      <c r="AE353" s="208"/>
      <c r="AF353" s="208"/>
      <c r="AG353" s="208"/>
      <c r="AH353" s="208"/>
      <c r="AI353" s="208"/>
      <c r="AJ353" s="208"/>
      <c r="AK353" s="208"/>
      <c r="AL353" s="208"/>
      <c r="AM353" s="208"/>
      <c r="AN353" s="208"/>
      <c r="AO353" s="208"/>
      <c r="AP353" s="208"/>
      <c r="AQ353" s="208"/>
      <c r="AR353" s="208"/>
      <c r="AS353" s="208"/>
      <c r="AT353" s="208"/>
      <c r="AU353" s="208"/>
      <c r="AV353" s="208"/>
      <c r="AW353" s="208"/>
      <c r="AX353" s="208"/>
      <c r="AY353" s="208"/>
    </row>
    <row r="354">
      <c r="A354" s="208"/>
      <c r="B354" s="533"/>
      <c r="C354" s="208"/>
      <c r="D354" s="208"/>
      <c r="E354" s="208"/>
      <c r="F354" s="584"/>
      <c r="G354" s="208"/>
      <c r="H354" s="208"/>
      <c r="I354" s="208"/>
      <c r="J354" s="208"/>
      <c r="K354" s="208"/>
      <c r="L354" s="536"/>
      <c r="M354" s="208"/>
      <c r="N354" s="208"/>
      <c r="O354" s="208"/>
      <c r="P354" s="208"/>
      <c r="Q354" s="208"/>
      <c r="R354" s="208"/>
      <c r="S354" s="208"/>
      <c r="T354" s="208"/>
      <c r="U354" s="208"/>
      <c r="V354" s="208"/>
      <c r="W354" s="208"/>
      <c r="X354" s="208"/>
      <c r="Y354" s="208"/>
      <c r="Z354" s="208"/>
      <c r="AA354" s="208"/>
      <c r="AB354" s="208"/>
      <c r="AC354" s="208"/>
      <c r="AD354" s="208"/>
      <c r="AE354" s="208"/>
      <c r="AF354" s="208"/>
      <c r="AG354" s="208"/>
      <c r="AH354" s="208"/>
      <c r="AI354" s="208"/>
      <c r="AJ354" s="208"/>
      <c r="AK354" s="208"/>
      <c r="AL354" s="208"/>
      <c r="AM354" s="208"/>
      <c r="AN354" s="208"/>
      <c r="AO354" s="208"/>
      <c r="AP354" s="208"/>
      <c r="AQ354" s="208"/>
      <c r="AR354" s="208"/>
      <c r="AS354" s="208"/>
      <c r="AT354" s="208"/>
      <c r="AU354" s="208"/>
      <c r="AV354" s="208"/>
      <c r="AW354" s="208"/>
      <c r="AX354" s="208"/>
      <c r="AY354" s="208"/>
    </row>
    <row r="355">
      <c r="A355" s="208"/>
      <c r="B355" s="533"/>
      <c r="C355" s="208"/>
      <c r="D355" s="208"/>
      <c r="E355" s="208"/>
      <c r="F355" s="584"/>
      <c r="G355" s="208"/>
      <c r="H355" s="208"/>
      <c r="I355" s="208"/>
      <c r="J355" s="208"/>
      <c r="K355" s="208"/>
      <c r="L355" s="536"/>
      <c r="M355" s="208"/>
      <c r="N355" s="208"/>
      <c r="O355" s="208"/>
      <c r="P355" s="208"/>
      <c r="Q355" s="208"/>
      <c r="R355" s="208"/>
      <c r="S355" s="208"/>
      <c r="T355" s="208"/>
      <c r="U355" s="208"/>
      <c r="V355" s="208"/>
      <c r="W355" s="208"/>
      <c r="X355" s="208"/>
      <c r="Y355" s="208"/>
      <c r="Z355" s="208"/>
      <c r="AA355" s="208"/>
      <c r="AB355" s="208"/>
      <c r="AC355" s="208"/>
      <c r="AD355" s="208"/>
      <c r="AE355" s="208"/>
      <c r="AF355" s="208"/>
      <c r="AG355" s="208"/>
      <c r="AH355" s="208"/>
      <c r="AI355" s="208"/>
      <c r="AJ355" s="208"/>
      <c r="AK355" s="208"/>
      <c r="AL355" s="208"/>
      <c r="AM355" s="208"/>
      <c r="AN355" s="208"/>
      <c r="AO355" s="208"/>
      <c r="AP355" s="208"/>
      <c r="AQ355" s="208"/>
      <c r="AR355" s="208"/>
      <c r="AS355" s="208"/>
      <c r="AT355" s="208"/>
      <c r="AU355" s="208"/>
      <c r="AV355" s="208"/>
      <c r="AW355" s="208"/>
      <c r="AX355" s="208"/>
      <c r="AY355" s="208"/>
    </row>
    <row r="356">
      <c r="A356" s="208"/>
      <c r="B356" s="533"/>
      <c r="C356" s="208"/>
      <c r="D356" s="208"/>
      <c r="E356" s="208"/>
      <c r="F356" s="584"/>
      <c r="G356" s="208"/>
      <c r="H356" s="208"/>
      <c r="I356" s="208"/>
      <c r="J356" s="208"/>
      <c r="K356" s="208"/>
      <c r="L356" s="536"/>
      <c r="M356" s="208"/>
      <c r="N356" s="208"/>
      <c r="O356" s="208"/>
      <c r="P356" s="208"/>
      <c r="Q356" s="208"/>
      <c r="R356" s="208"/>
      <c r="S356" s="208"/>
      <c r="T356" s="208"/>
      <c r="U356" s="208"/>
      <c r="V356" s="208"/>
      <c r="W356" s="208"/>
      <c r="X356" s="208"/>
      <c r="Y356" s="208"/>
      <c r="Z356" s="208"/>
      <c r="AA356" s="208"/>
      <c r="AB356" s="208"/>
      <c r="AC356" s="208"/>
      <c r="AD356" s="208"/>
      <c r="AE356" s="208"/>
      <c r="AF356" s="208"/>
      <c r="AG356" s="208"/>
      <c r="AH356" s="208"/>
      <c r="AI356" s="208"/>
      <c r="AJ356" s="208"/>
      <c r="AK356" s="208"/>
      <c r="AL356" s="208"/>
      <c r="AM356" s="208"/>
      <c r="AN356" s="208"/>
      <c r="AO356" s="208"/>
      <c r="AP356" s="208"/>
      <c r="AQ356" s="208"/>
      <c r="AR356" s="208"/>
      <c r="AS356" s="208"/>
      <c r="AT356" s="208"/>
      <c r="AU356" s="208"/>
      <c r="AV356" s="208"/>
      <c r="AW356" s="208"/>
      <c r="AX356" s="208"/>
      <c r="AY356" s="208"/>
    </row>
    <row r="357">
      <c r="A357" s="208"/>
      <c r="B357" s="533"/>
      <c r="C357" s="208"/>
      <c r="D357" s="208"/>
      <c r="E357" s="208"/>
      <c r="F357" s="584"/>
      <c r="G357" s="208"/>
      <c r="H357" s="208"/>
      <c r="I357" s="208"/>
      <c r="J357" s="208"/>
      <c r="K357" s="208"/>
      <c r="L357" s="536"/>
      <c r="M357" s="208"/>
      <c r="N357" s="208"/>
      <c r="O357" s="208"/>
      <c r="P357" s="208"/>
      <c r="Q357" s="208"/>
      <c r="R357" s="208"/>
      <c r="S357" s="208"/>
      <c r="T357" s="208"/>
      <c r="U357" s="208"/>
      <c r="V357" s="208"/>
      <c r="W357" s="208"/>
      <c r="X357" s="208"/>
      <c r="Y357" s="208"/>
      <c r="Z357" s="208"/>
      <c r="AA357" s="208"/>
      <c r="AB357" s="208"/>
      <c r="AC357" s="208"/>
      <c r="AD357" s="208"/>
      <c r="AE357" s="208"/>
      <c r="AF357" s="208"/>
      <c r="AG357" s="208"/>
      <c r="AH357" s="208"/>
      <c r="AI357" s="208"/>
      <c r="AJ357" s="208"/>
      <c r="AK357" s="208"/>
      <c r="AL357" s="208"/>
      <c r="AM357" s="208"/>
      <c r="AN357" s="208"/>
      <c r="AO357" s="208"/>
      <c r="AP357" s="208"/>
      <c r="AQ357" s="208"/>
      <c r="AR357" s="208"/>
      <c r="AS357" s="208"/>
      <c r="AT357" s="208"/>
      <c r="AU357" s="208"/>
      <c r="AV357" s="208"/>
      <c r="AW357" s="208"/>
      <c r="AX357" s="208"/>
      <c r="AY357" s="208"/>
    </row>
    <row r="358">
      <c r="A358" s="208"/>
      <c r="B358" s="533"/>
      <c r="C358" s="208"/>
      <c r="D358" s="208"/>
      <c r="E358" s="208"/>
      <c r="F358" s="584"/>
      <c r="G358" s="208"/>
      <c r="H358" s="208"/>
      <c r="I358" s="208"/>
      <c r="J358" s="208"/>
      <c r="K358" s="208"/>
      <c r="L358" s="536"/>
      <c r="M358" s="208"/>
      <c r="N358" s="208"/>
      <c r="O358" s="208"/>
      <c r="P358" s="208"/>
      <c r="Q358" s="208"/>
      <c r="R358" s="208"/>
      <c r="S358" s="208"/>
      <c r="T358" s="208"/>
      <c r="U358" s="208"/>
      <c r="V358" s="208"/>
      <c r="W358" s="208"/>
      <c r="X358" s="208"/>
      <c r="Y358" s="208"/>
      <c r="Z358" s="208"/>
      <c r="AA358" s="208"/>
      <c r="AB358" s="208"/>
      <c r="AC358" s="208"/>
      <c r="AD358" s="208"/>
      <c r="AE358" s="208"/>
      <c r="AF358" s="208"/>
      <c r="AG358" s="208"/>
      <c r="AH358" s="208"/>
      <c r="AI358" s="208"/>
      <c r="AJ358" s="208"/>
      <c r="AK358" s="208"/>
      <c r="AL358" s="208"/>
      <c r="AM358" s="208"/>
      <c r="AN358" s="208"/>
      <c r="AO358" s="208"/>
      <c r="AP358" s="208"/>
      <c r="AQ358" s="208"/>
      <c r="AR358" s="208"/>
      <c r="AS358" s="208"/>
      <c r="AT358" s="208"/>
      <c r="AU358" s="208"/>
      <c r="AV358" s="208"/>
      <c r="AW358" s="208"/>
      <c r="AX358" s="208"/>
      <c r="AY358" s="208"/>
    </row>
    <row r="359">
      <c r="A359" s="208"/>
      <c r="B359" s="533"/>
      <c r="C359" s="208"/>
      <c r="D359" s="208"/>
      <c r="E359" s="208"/>
      <c r="F359" s="584"/>
      <c r="G359" s="208"/>
      <c r="H359" s="208"/>
      <c r="I359" s="208"/>
      <c r="J359" s="208"/>
      <c r="K359" s="208"/>
      <c r="L359" s="536"/>
      <c r="M359" s="208"/>
      <c r="N359" s="208"/>
      <c r="O359" s="208"/>
      <c r="P359" s="208"/>
      <c r="Q359" s="208"/>
      <c r="R359" s="208"/>
      <c r="S359" s="208"/>
      <c r="T359" s="208"/>
      <c r="U359" s="208"/>
      <c r="V359" s="208"/>
      <c r="W359" s="208"/>
      <c r="X359" s="208"/>
      <c r="Y359" s="208"/>
      <c r="Z359" s="208"/>
      <c r="AA359" s="208"/>
      <c r="AB359" s="208"/>
      <c r="AC359" s="208"/>
      <c r="AD359" s="208"/>
      <c r="AE359" s="208"/>
      <c r="AF359" s="208"/>
      <c r="AG359" s="208"/>
      <c r="AH359" s="208"/>
      <c r="AI359" s="208"/>
      <c r="AJ359" s="208"/>
      <c r="AK359" s="208"/>
      <c r="AL359" s="208"/>
      <c r="AM359" s="208"/>
      <c r="AN359" s="208"/>
      <c r="AO359" s="208"/>
      <c r="AP359" s="208"/>
      <c r="AQ359" s="208"/>
      <c r="AR359" s="208"/>
      <c r="AS359" s="208"/>
      <c r="AT359" s="208"/>
      <c r="AU359" s="208"/>
      <c r="AV359" s="208"/>
      <c r="AW359" s="208"/>
      <c r="AX359" s="208"/>
      <c r="AY359" s="208"/>
    </row>
    <row r="360">
      <c r="A360" s="208"/>
      <c r="B360" s="533"/>
      <c r="C360" s="208"/>
      <c r="D360" s="208"/>
      <c r="E360" s="208"/>
      <c r="F360" s="584"/>
      <c r="G360" s="208"/>
      <c r="H360" s="208"/>
      <c r="I360" s="208"/>
      <c r="J360" s="208"/>
      <c r="K360" s="208"/>
      <c r="L360" s="536"/>
      <c r="M360" s="208"/>
      <c r="N360" s="208"/>
      <c r="O360" s="208"/>
      <c r="P360" s="208"/>
      <c r="Q360" s="208"/>
      <c r="R360" s="208"/>
      <c r="S360" s="208"/>
      <c r="T360" s="208"/>
      <c r="U360" s="208"/>
      <c r="V360" s="208"/>
      <c r="W360" s="208"/>
      <c r="X360" s="208"/>
      <c r="Y360" s="208"/>
      <c r="Z360" s="208"/>
      <c r="AA360" s="208"/>
      <c r="AB360" s="208"/>
      <c r="AC360" s="208"/>
      <c r="AD360" s="208"/>
      <c r="AE360" s="208"/>
      <c r="AF360" s="208"/>
      <c r="AG360" s="208"/>
      <c r="AH360" s="208"/>
      <c r="AI360" s="208"/>
      <c r="AJ360" s="208"/>
      <c r="AK360" s="208"/>
      <c r="AL360" s="208"/>
      <c r="AM360" s="208"/>
      <c r="AN360" s="208"/>
      <c r="AO360" s="208"/>
      <c r="AP360" s="208"/>
      <c r="AQ360" s="208"/>
      <c r="AR360" s="208"/>
      <c r="AS360" s="208"/>
      <c r="AT360" s="208"/>
      <c r="AU360" s="208"/>
      <c r="AV360" s="208"/>
      <c r="AW360" s="208"/>
      <c r="AX360" s="208"/>
      <c r="AY360" s="208"/>
    </row>
    <row r="361">
      <c r="A361" s="208"/>
      <c r="B361" s="533"/>
      <c r="C361" s="208"/>
      <c r="D361" s="208"/>
      <c r="E361" s="208"/>
      <c r="F361" s="584"/>
      <c r="G361" s="208"/>
      <c r="H361" s="208"/>
      <c r="I361" s="208"/>
      <c r="J361" s="208"/>
      <c r="K361" s="208"/>
      <c r="L361" s="536"/>
      <c r="M361" s="208"/>
      <c r="N361" s="208"/>
      <c r="O361" s="208"/>
      <c r="P361" s="208"/>
      <c r="Q361" s="208"/>
      <c r="R361" s="208"/>
      <c r="S361" s="208"/>
      <c r="T361" s="208"/>
      <c r="U361" s="208"/>
      <c r="V361" s="208"/>
      <c r="W361" s="208"/>
      <c r="X361" s="208"/>
      <c r="Y361" s="208"/>
      <c r="Z361" s="208"/>
      <c r="AA361" s="208"/>
      <c r="AB361" s="208"/>
      <c r="AC361" s="208"/>
      <c r="AD361" s="208"/>
      <c r="AE361" s="208"/>
      <c r="AF361" s="208"/>
      <c r="AG361" s="208"/>
      <c r="AH361" s="208"/>
      <c r="AI361" s="208"/>
      <c r="AJ361" s="208"/>
      <c r="AK361" s="208"/>
      <c r="AL361" s="208"/>
      <c r="AM361" s="208"/>
      <c r="AN361" s="208"/>
      <c r="AO361" s="208"/>
      <c r="AP361" s="208"/>
      <c r="AQ361" s="208"/>
      <c r="AR361" s="208"/>
      <c r="AS361" s="208"/>
      <c r="AT361" s="208"/>
      <c r="AU361" s="208"/>
      <c r="AV361" s="208"/>
      <c r="AW361" s="208"/>
      <c r="AX361" s="208"/>
      <c r="AY361" s="208"/>
    </row>
    <row r="362">
      <c r="A362" s="208"/>
      <c r="B362" s="533"/>
      <c r="C362" s="208"/>
      <c r="D362" s="208"/>
      <c r="E362" s="208"/>
      <c r="F362" s="584"/>
      <c r="G362" s="208"/>
      <c r="H362" s="208"/>
      <c r="I362" s="208"/>
      <c r="J362" s="208"/>
      <c r="K362" s="208"/>
      <c r="L362" s="536"/>
      <c r="M362" s="208"/>
      <c r="N362" s="208"/>
      <c r="O362" s="208"/>
      <c r="P362" s="208"/>
      <c r="Q362" s="208"/>
      <c r="R362" s="208"/>
      <c r="S362" s="208"/>
      <c r="T362" s="208"/>
      <c r="U362" s="208"/>
      <c r="V362" s="208"/>
      <c r="W362" s="208"/>
      <c r="X362" s="208"/>
      <c r="Y362" s="208"/>
      <c r="Z362" s="208"/>
      <c r="AA362" s="208"/>
      <c r="AB362" s="208"/>
      <c r="AC362" s="208"/>
      <c r="AD362" s="208"/>
      <c r="AE362" s="208"/>
      <c r="AF362" s="208"/>
      <c r="AG362" s="208"/>
      <c r="AH362" s="208"/>
      <c r="AI362" s="208"/>
      <c r="AJ362" s="208"/>
      <c r="AK362" s="208"/>
      <c r="AL362" s="208"/>
      <c r="AM362" s="208"/>
      <c r="AN362" s="208"/>
      <c r="AO362" s="208"/>
      <c r="AP362" s="208"/>
      <c r="AQ362" s="208"/>
      <c r="AR362" s="208"/>
      <c r="AS362" s="208"/>
      <c r="AT362" s="208"/>
      <c r="AU362" s="208"/>
      <c r="AV362" s="208"/>
      <c r="AW362" s="208"/>
      <c r="AX362" s="208"/>
      <c r="AY362" s="208"/>
    </row>
    <row r="363">
      <c r="A363" s="208"/>
      <c r="B363" s="533"/>
      <c r="C363" s="208"/>
      <c r="D363" s="208"/>
      <c r="E363" s="208"/>
      <c r="F363" s="584"/>
      <c r="G363" s="208"/>
      <c r="H363" s="208"/>
      <c r="I363" s="208"/>
      <c r="J363" s="208"/>
      <c r="K363" s="208"/>
      <c r="L363" s="536"/>
      <c r="M363" s="208"/>
      <c r="N363" s="208"/>
      <c r="O363" s="208"/>
      <c r="P363" s="208"/>
      <c r="Q363" s="208"/>
      <c r="R363" s="208"/>
      <c r="S363" s="208"/>
      <c r="T363" s="208"/>
      <c r="U363" s="208"/>
      <c r="V363" s="208"/>
      <c r="W363" s="208"/>
      <c r="X363" s="208"/>
      <c r="Y363" s="208"/>
      <c r="Z363" s="208"/>
      <c r="AA363" s="208"/>
      <c r="AB363" s="208"/>
      <c r="AC363" s="208"/>
      <c r="AD363" s="208"/>
      <c r="AE363" s="208"/>
      <c r="AF363" s="208"/>
      <c r="AG363" s="208"/>
      <c r="AH363" s="208"/>
      <c r="AI363" s="208"/>
      <c r="AJ363" s="208"/>
      <c r="AK363" s="208"/>
      <c r="AL363" s="208"/>
      <c r="AM363" s="208"/>
      <c r="AN363" s="208"/>
      <c r="AO363" s="208"/>
      <c r="AP363" s="208"/>
      <c r="AQ363" s="208"/>
      <c r="AR363" s="208"/>
      <c r="AS363" s="208"/>
      <c r="AT363" s="208"/>
      <c r="AU363" s="208"/>
      <c r="AV363" s="208"/>
      <c r="AW363" s="208"/>
      <c r="AX363" s="208"/>
      <c r="AY363" s="208"/>
    </row>
    <row r="364">
      <c r="A364" s="208"/>
      <c r="B364" s="533"/>
      <c r="C364" s="208"/>
      <c r="D364" s="208"/>
      <c r="E364" s="208"/>
      <c r="F364" s="584"/>
      <c r="G364" s="208"/>
      <c r="H364" s="208"/>
      <c r="I364" s="208"/>
      <c r="J364" s="208"/>
      <c r="K364" s="208"/>
      <c r="L364" s="536"/>
      <c r="M364" s="208"/>
      <c r="N364" s="208"/>
      <c r="O364" s="208"/>
      <c r="P364" s="208"/>
      <c r="Q364" s="208"/>
      <c r="R364" s="208"/>
      <c r="S364" s="208"/>
      <c r="T364" s="208"/>
      <c r="U364" s="208"/>
      <c r="V364" s="208"/>
      <c r="W364" s="208"/>
      <c r="X364" s="208"/>
      <c r="Y364" s="208"/>
      <c r="Z364" s="208"/>
      <c r="AA364" s="208"/>
      <c r="AB364" s="208"/>
      <c r="AC364" s="208"/>
      <c r="AD364" s="208"/>
      <c r="AE364" s="208"/>
      <c r="AF364" s="208"/>
      <c r="AG364" s="208"/>
      <c r="AH364" s="208"/>
      <c r="AI364" s="208"/>
      <c r="AJ364" s="208"/>
      <c r="AK364" s="208"/>
      <c r="AL364" s="208"/>
      <c r="AM364" s="208"/>
      <c r="AN364" s="208"/>
      <c r="AO364" s="208"/>
      <c r="AP364" s="208"/>
      <c r="AQ364" s="208"/>
      <c r="AR364" s="208"/>
      <c r="AS364" s="208"/>
      <c r="AT364" s="208"/>
      <c r="AU364" s="208"/>
      <c r="AV364" s="208"/>
      <c r="AW364" s="208"/>
      <c r="AX364" s="208"/>
      <c r="AY364" s="208"/>
    </row>
    <row r="365">
      <c r="A365" s="208"/>
      <c r="B365" s="533"/>
      <c r="C365" s="208"/>
      <c r="D365" s="208"/>
      <c r="E365" s="208"/>
      <c r="F365" s="584"/>
      <c r="G365" s="208"/>
      <c r="H365" s="208"/>
      <c r="I365" s="208"/>
      <c r="J365" s="208"/>
      <c r="K365" s="208"/>
      <c r="L365" s="536"/>
      <c r="M365" s="208"/>
      <c r="N365" s="208"/>
      <c r="O365" s="208"/>
      <c r="P365" s="208"/>
      <c r="Q365" s="208"/>
      <c r="R365" s="208"/>
      <c r="S365" s="208"/>
      <c r="T365" s="208"/>
      <c r="U365" s="208"/>
      <c r="V365" s="208"/>
      <c r="W365" s="208"/>
      <c r="X365" s="208"/>
      <c r="Y365" s="208"/>
      <c r="Z365" s="208"/>
      <c r="AA365" s="208"/>
      <c r="AB365" s="208"/>
      <c r="AC365" s="208"/>
      <c r="AD365" s="208"/>
      <c r="AE365" s="208"/>
      <c r="AF365" s="208"/>
      <c r="AG365" s="208"/>
      <c r="AH365" s="208"/>
      <c r="AI365" s="208"/>
      <c r="AJ365" s="208"/>
      <c r="AK365" s="208"/>
      <c r="AL365" s="208"/>
      <c r="AM365" s="208"/>
      <c r="AN365" s="208"/>
      <c r="AO365" s="208"/>
      <c r="AP365" s="208"/>
      <c r="AQ365" s="208"/>
      <c r="AR365" s="208"/>
      <c r="AS365" s="208"/>
      <c r="AT365" s="208"/>
      <c r="AU365" s="208"/>
      <c r="AV365" s="208"/>
      <c r="AW365" s="208"/>
      <c r="AX365" s="208"/>
      <c r="AY365" s="208"/>
    </row>
    <row r="366">
      <c r="A366" s="208"/>
      <c r="B366" s="533"/>
      <c r="C366" s="208"/>
      <c r="D366" s="208"/>
      <c r="E366" s="208"/>
      <c r="F366" s="584"/>
      <c r="G366" s="208"/>
      <c r="H366" s="208"/>
      <c r="I366" s="208"/>
      <c r="J366" s="208"/>
      <c r="K366" s="208"/>
      <c r="L366" s="536"/>
      <c r="M366" s="208"/>
      <c r="N366" s="208"/>
      <c r="O366" s="208"/>
      <c r="P366" s="208"/>
      <c r="Q366" s="208"/>
      <c r="R366" s="208"/>
      <c r="S366" s="208"/>
      <c r="T366" s="208"/>
      <c r="U366" s="208"/>
      <c r="V366" s="208"/>
      <c r="W366" s="208"/>
      <c r="X366" s="208"/>
      <c r="Y366" s="208"/>
      <c r="Z366" s="208"/>
      <c r="AA366" s="208"/>
      <c r="AB366" s="208"/>
      <c r="AC366" s="208"/>
      <c r="AD366" s="208"/>
      <c r="AE366" s="208"/>
      <c r="AF366" s="208"/>
      <c r="AG366" s="208"/>
      <c r="AH366" s="208"/>
      <c r="AI366" s="208"/>
      <c r="AJ366" s="208"/>
      <c r="AK366" s="208"/>
      <c r="AL366" s="208"/>
      <c r="AM366" s="208"/>
      <c r="AN366" s="208"/>
      <c r="AO366" s="208"/>
      <c r="AP366" s="208"/>
      <c r="AQ366" s="208"/>
      <c r="AR366" s="208"/>
      <c r="AS366" s="208"/>
      <c r="AT366" s="208"/>
      <c r="AU366" s="208"/>
      <c r="AV366" s="208"/>
      <c r="AW366" s="208"/>
      <c r="AX366" s="208"/>
      <c r="AY366" s="208"/>
    </row>
    <row r="367">
      <c r="A367" s="208"/>
      <c r="B367" s="533"/>
      <c r="C367" s="208"/>
      <c r="D367" s="208"/>
      <c r="E367" s="208"/>
      <c r="F367" s="584"/>
      <c r="G367" s="208"/>
      <c r="H367" s="208"/>
      <c r="I367" s="208"/>
      <c r="J367" s="208"/>
      <c r="K367" s="208"/>
      <c r="L367" s="536"/>
      <c r="M367" s="208"/>
      <c r="N367" s="208"/>
      <c r="O367" s="208"/>
      <c r="P367" s="208"/>
      <c r="Q367" s="208"/>
      <c r="R367" s="208"/>
      <c r="S367" s="208"/>
      <c r="T367" s="208"/>
      <c r="U367" s="208"/>
      <c r="V367" s="208"/>
      <c r="W367" s="208"/>
      <c r="X367" s="208"/>
      <c r="Y367" s="208"/>
      <c r="Z367" s="208"/>
      <c r="AA367" s="208"/>
      <c r="AB367" s="208"/>
      <c r="AC367" s="208"/>
      <c r="AD367" s="208"/>
      <c r="AE367" s="208"/>
      <c r="AF367" s="208"/>
      <c r="AG367" s="208"/>
      <c r="AH367" s="208"/>
      <c r="AI367" s="208"/>
      <c r="AJ367" s="208"/>
      <c r="AK367" s="208"/>
      <c r="AL367" s="208"/>
      <c r="AM367" s="208"/>
      <c r="AN367" s="208"/>
      <c r="AO367" s="208"/>
      <c r="AP367" s="208"/>
      <c r="AQ367" s="208"/>
      <c r="AR367" s="208"/>
      <c r="AS367" s="208"/>
      <c r="AT367" s="208"/>
      <c r="AU367" s="208"/>
      <c r="AV367" s="208"/>
      <c r="AW367" s="208"/>
      <c r="AX367" s="208"/>
      <c r="AY367" s="208"/>
    </row>
    <row r="368">
      <c r="A368" s="208"/>
      <c r="B368" s="533"/>
      <c r="C368" s="208"/>
      <c r="D368" s="208"/>
      <c r="E368" s="208"/>
      <c r="F368" s="584"/>
      <c r="G368" s="208"/>
      <c r="H368" s="208"/>
      <c r="I368" s="208"/>
      <c r="J368" s="208"/>
      <c r="K368" s="208"/>
      <c r="L368" s="536"/>
      <c r="M368" s="208"/>
      <c r="N368" s="208"/>
      <c r="O368" s="208"/>
      <c r="P368" s="208"/>
      <c r="Q368" s="208"/>
      <c r="R368" s="208"/>
      <c r="S368" s="208"/>
      <c r="T368" s="208"/>
      <c r="U368" s="208"/>
      <c r="V368" s="208"/>
      <c r="W368" s="208"/>
      <c r="X368" s="208"/>
      <c r="Y368" s="208"/>
      <c r="Z368" s="208"/>
      <c r="AA368" s="208"/>
      <c r="AB368" s="208"/>
      <c r="AC368" s="208"/>
      <c r="AD368" s="208"/>
      <c r="AE368" s="208"/>
      <c r="AF368" s="208"/>
      <c r="AG368" s="208"/>
      <c r="AH368" s="208"/>
      <c r="AI368" s="208"/>
      <c r="AJ368" s="208"/>
      <c r="AK368" s="208"/>
      <c r="AL368" s="208"/>
      <c r="AM368" s="208"/>
      <c r="AN368" s="208"/>
      <c r="AO368" s="208"/>
      <c r="AP368" s="208"/>
      <c r="AQ368" s="208"/>
      <c r="AR368" s="208"/>
      <c r="AS368" s="208"/>
      <c r="AT368" s="208"/>
      <c r="AU368" s="208"/>
      <c r="AV368" s="208"/>
      <c r="AW368" s="208"/>
      <c r="AX368" s="208"/>
      <c r="AY368" s="208"/>
    </row>
    <row r="369">
      <c r="A369" s="208"/>
      <c r="B369" s="533"/>
      <c r="C369" s="208"/>
      <c r="D369" s="208"/>
      <c r="E369" s="208"/>
      <c r="F369" s="584"/>
      <c r="G369" s="208"/>
      <c r="H369" s="208"/>
      <c r="I369" s="208"/>
      <c r="J369" s="208"/>
      <c r="K369" s="208"/>
      <c r="L369" s="536"/>
      <c r="M369" s="208"/>
      <c r="N369" s="208"/>
      <c r="O369" s="208"/>
      <c r="P369" s="208"/>
      <c r="Q369" s="208"/>
      <c r="R369" s="208"/>
      <c r="S369" s="208"/>
      <c r="T369" s="208"/>
      <c r="U369" s="208"/>
      <c r="V369" s="208"/>
      <c r="W369" s="208"/>
      <c r="X369" s="208"/>
      <c r="Y369" s="208"/>
      <c r="Z369" s="208"/>
      <c r="AA369" s="208"/>
      <c r="AB369" s="208"/>
      <c r="AC369" s="208"/>
      <c r="AD369" s="208"/>
      <c r="AE369" s="208"/>
      <c r="AF369" s="208"/>
      <c r="AG369" s="208"/>
      <c r="AH369" s="208"/>
      <c r="AI369" s="208"/>
      <c r="AJ369" s="208"/>
      <c r="AK369" s="208"/>
      <c r="AL369" s="208"/>
      <c r="AM369" s="208"/>
      <c r="AN369" s="208"/>
      <c r="AO369" s="208"/>
      <c r="AP369" s="208"/>
      <c r="AQ369" s="208"/>
      <c r="AR369" s="208"/>
      <c r="AS369" s="208"/>
      <c r="AT369" s="208"/>
      <c r="AU369" s="208"/>
      <c r="AV369" s="208"/>
      <c r="AW369" s="208"/>
      <c r="AX369" s="208"/>
      <c r="AY369" s="208"/>
    </row>
    <row r="370">
      <c r="A370" s="208"/>
      <c r="B370" s="533"/>
      <c r="C370" s="208"/>
      <c r="D370" s="208"/>
      <c r="E370" s="208"/>
      <c r="F370" s="584"/>
      <c r="G370" s="208"/>
      <c r="H370" s="208"/>
      <c r="I370" s="208"/>
      <c r="J370" s="208"/>
      <c r="K370" s="208"/>
      <c r="L370" s="536"/>
      <c r="M370" s="208"/>
      <c r="N370" s="208"/>
      <c r="O370" s="208"/>
      <c r="P370" s="208"/>
      <c r="Q370" s="208"/>
      <c r="R370" s="208"/>
      <c r="S370" s="208"/>
      <c r="T370" s="208"/>
      <c r="U370" s="208"/>
      <c r="V370" s="208"/>
      <c r="W370" s="208"/>
      <c r="X370" s="208"/>
      <c r="Y370" s="208"/>
      <c r="Z370" s="208"/>
      <c r="AA370" s="208"/>
      <c r="AB370" s="208"/>
      <c r="AC370" s="208"/>
      <c r="AD370" s="208"/>
      <c r="AE370" s="208"/>
      <c r="AF370" s="208"/>
      <c r="AG370" s="208"/>
      <c r="AH370" s="208"/>
      <c r="AI370" s="208"/>
      <c r="AJ370" s="208"/>
      <c r="AK370" s="208"/>
      <c r="AL370" s="208"/>
      <c r="AM370" s="208"/>
      <c r="AN370" s="208"/>
      <c r="AO370" s="208"/>
      <c r="AP370" s="208"/>
      <c r="AQ370" s="208"/>
      <c r="AR370" s="208"/>
      <c r="AS370" s="208"/>
      <c r="AT370" s="208"/>
      <c r="AU370" s="208"/>
      <c r="AV370" s="208"/>
      <c r="AW370" s="208"/>
      <c r="AX370" s="208"/>
      <c r="AY370" s="208"/>
    </row>
    <row r="371">
      <c r="A371" s="208"/>
      <c r="B371" s="533"/>
      <c r="C371" s="208"/>
      <c r="D371" s="208"/>
      <c r="E371" s="208"/>
      <c r="F371" s="584"/>
      <c r="G371" s="208"/>
      <c r="H371" s="208"/>
      <c r="I371" s="208"/>
      <c r="J371" s="208"/>
      <c r="K371" s="208"/>
      <c r="L371" s="536"/>
      <c r="M371" s="208"/>
      <c r="N371" s="208"/>
      <c r="O371" s="208"/>
      <c r="P371" s="208"/>
      <c r="Q371" s="208"/>
      <c r="R371" s="208"/>
      <c r="S371" s="208"/>
      <c r="T371" s="208"/>
      <c r="U371" s="208"/>
      <c r="V371" s="208"/>
      <c r="W371" s="208"/>
      <c r="X371" s="208"/>
      <c r="Y371" s="208"/>
      <c r="Z371" s="208"/>
      <c r="AA371" s="208"/>
      <c r="AB371" s="208"/>
      <c r="AC371" s="208"/>
      <c r="AD371" s="208"/>
      <c r="AE371" s="208"/>
      <c r="AF371" s="208"/>
      <c r="AG371" s="208"/>
      <c r="AH371" s="208"/>
      <c r="AI371" s="208"/>
      <c r="AJ371" s="208"/>
      <c r="AK371" s="208"/>
      <c r="AL371" s="208"/>
      <c r="AM371" s="208"/>
      <c r="AN371" s="208"/>
      <c r="AO371" s="208"/>
      <c r="AP371" s="208"/>
      <c r="AQ371" s="208"/>
      <c r="AR371" s="208"/>
      <c r="AS371" s="208"/>
      <c r="AT371" s="208"/>
      <c r="AU371" s="208"/>
      <c r="AV371" s="208"/>
      <c r="AW371" s="208"/>
      <c r="AX371" s="208"/>
      <c r="AY371" s="208"/>
    </row>
    <row r="372">
      <c r="A372" s="208"/>
      <c r="B372" s="533"/>
      <c r="C372" s="208"/>
      <c r="D372" s="208"/>
      <c r="E372" s="208"/>
      <c r="F372" s="584"/>
      <c r="G372" s="208"/>
      <c r="H372" s="208"/>
      <c r="I372" s="208"/>
      <c r="J372" s="208"/>
      <c r="K372" s="208"/>
      <c r="L372" s="536"/>
      <c r="M372" s="208"/>
      <c r="N372" s="208"/>
      <c r="O372" s="208"/>
      <c r="P372" s="208"/>
      <c r="Q372" s="208"/>
      <c r="R372" s="208"/>
      <c r="S372" s="208"/>
      <c r="T372" s="208"/>
      <c r="U372" s="208"/>
      <c r="V372" s="208"/>
      <c r="W372" s="208"/>
      <c r="X372" s="208"/>
      <c r="Y372" s="208"/>
      <c r="Z372" s="208"/>
      <c r="AA372" s="208"/>
      <c r="AB372" s="208"/>
      <c r="AC372" s="208"/>
      <c r="AD372" s="208"/>
      <c r="AE372" s="208"/>
      <c r="AF372" s="208"/>
      <c r="AG372" s="208"/>
      <c r="AH372" s="208"/>
      <c r="AI372" s="208"/>
      <c r="AJ372" s="208"/>
      <c r="AK372" s="208"/>
      <c r="AL372" s="208"/>
      <c r="AM372" s="208"/>
      <c r="AN372" s="208"/>
      <c r="AO372" s="208"/>
      <c r="AP372" s="208"/>
      <c r="AQ372" s="208"/>
      <c r="AR372" s="208"/>
      <c r="AS372" s="208"/>
      <c r="AT372" s="208"/>
      <c r="AU372" s="208"/>
      <c r="AV372" s="208"/>
      <c r="AW372" s="208"/>
      <c r="AX372" s="208"/>
      <c r="AY372" s="208"/>
    </row>
    <row r="373">
      <c r="A373" s="208"/>
      <c r="B373" s="533"/>
      <c r="C373" s="208"/>
      <c r="D373" s="208"/>
      <c r="E373" s="208"/>
      <c r="F373" s="584"/>
      <c r="G373" s="208"/>
      <c r="H373" s="208"/>
      <c r="I373" s="208"/>
      <c r="J373" s="208"/>
      <c r="K373" s="208"/>
      <c r="L373" s="536"/>
      <c r="M373" s="208"/>
      <c r="N373" s="208"/>
      <c r="O373" s="208"/>
      <c r="P373" s="208"/>
      <c r="Q373" s="208"/>
      <c r="R373" s="208"/>
      <c r="S373" s="208"/>
      <c r="T373" s="208"/>
      <c r="U373" s="208"/>
      <c r="V373" s="208"/>
      <c r="W373" s="208"/>
      <c r="X373" s="208"/>
      <c r="Y373" s="208"/>
      <c r="Z373" s="208"/>
      <c r="AA373" s="208"/>
      <c r="AB373" s="208"/>
      <c r="AC373" s="208"/>
      <c r="AD373" s="208"/>
      <c r="AE373" s="208"/>
      <c r="AF373" s="208"/>
      <c r="AG373" s="208"/>
      <c r="AH373" s="208"/>
      <c r="AI373" s="208"/>
      <c r="AJ373" s="208"/>
      <c r="AK373" s="208"/>
      <c r="AL373" s="208"/>
      <c r="AM373" s="208"/>
      <c r="AN373" s="208"/>
      <c r="AO373" s="208"/>
      <c r="AP373" s="208"/>
      <c r="AQ373" s="208"/>
      <c r="AR373" s="208"/>
      <c r="AS373" s="208"/>
      <c r="AT373" s="208"/>
      <c r="AU373" s="208"/>
      <c r="AV373" s="208"/>
      <c r="AW373" s="208"/>
      <c r="AX373" s="208"/>
      <c r="AY373" s="208"/>
    </row>
    <row r="374">
      <c r="A374" s="208"/>
      <c r="B374" s="533"/>
      <c r="C374" s="208"/>
      <c r="D374" s="208"/>
      <c r="E374" s="208"/>
      <c r="F374" s="584"/>
      <c r="G374" s="208"/>
      <c r="H374" s="208"/>
      <c r="I374" s="208"/>
      <c r="J374" s="208"/>
      <c r="K374" s="208"/>
      <c r="L374" s="536"/>
      <c r="M374" s="208"/>
      <c r="N374" s="208"/>
      <c r="O374" s="208"/>
      <c r="P374" s="208"/>
      <c r="Q374" s="208"/>
      <c r="R374" s="208"/>
      <c r="S374" s="208"/>
      <c r="T374" s="208"/>
      <c r="U374" s="208"/>
      <c r="V374" s="208"/>
      <c r="W374" s="208"/>
      <c r="X374" s="208"/>
      <c r="Y374" s="208"/>
      <c r="Z374" s="208"/>
      <c r="AA374" s="208"/>
      <c r="AB374" s="208"/>
      <c r="AC374" s="208"/>
      <c r="AD374" s="208"/>
      <c r="AE374" s="208"/>
      <c r="AF374" s="208"/>
      <c r="AG374" s="208"/>
      <c r="AH374" s="208"/>
      <c r="AI374" s="208"/>
      <c r="AJ374" s="208"/>
      <c r="AK374" s="208"/>
      <c r="AL374" s="208"/>
      <c r="AM374" s="208"/>
      <c r="AN374" s="208"/>
      <c r="AO374" s="208"/>
      <c r="AP374" s="208"/>
      <c r="AQ374" s="208"/>
      <c r="AR374" s="208"/>
      <c r="AS374" s="208"/>
      <c r="AT374" s="208"/>
      <c r="AU374" s="208"/>
      <c r="AV374" s="208"/>
      <c r="AW374" s="208"/>
      <c r="AX374" s="208"/>
      <c r="AY374" s="208"/>
    </row>
    <row r="375">
      <c r="A375" s="208"/>
      <c r="B375" s="533"/>
      <c r="C375" s="208"/>
      <c r="D375" s="208"/>
      <c r="E375" s="208"/>
      <c r="F375" s="584"/>
      <c r="G375" s="208"/>
      <c r="H375" s="208"/>
      <c r="I375" s="208"/>
      <c r="J375" s="208"/>
      <c r="K375" s="208"/>
      <c r="L375" s="536"/>
      <c r="M375" s="208"/>
      <c r="N375" s="208"/>
      <c r="O375" s="208"/>
      <c r="P375" s="208"/>
      <c r="Q375" s="208"/>
      <c r="R375" s="208"/>
      <c r="S375" s="208"/>
      <c r="T375" s="208"/>
      <c r="U375" s="208"/>
      <c r="V375" s="208"/>
      <c r="W375" s="208"/>
      <c r="X375" s="208"/>
      <c r="Y375" s="208"/>
      <c r="Z375" s="208"/>
      <c r="AA375" s="208"/>
      <c r="AB375" s="208"/>
      <c r="AC375" s="208"/>
      <c r="AD375" s="208"/>
      <c r="AE375" s="208"/>
      <c r="AF375" s="208"/>
      <c r="AG375" s="208"/>
      <c r="AH375" s="208"/>
      <c r="AI375" s="208"/>
      <c r="AJ375" s="208"/>
      <c r="AK375" s="208"/>
      <c r="AL375" s="208"/>
      <c r="AM375" s="208"/>
      <c r="AN375" s="208"/>
      <c r="AO375" s="208"/>
      <c r="AP375" s="208"/>
      <c r="AQ375" s="208"/>
      <c r="AR375" s="208"/>
      <c r="AS375" s="208"/>
      <c r="AT375" s="208"/>
      <c r="AU375" s="208"/>
      <c r="AV375" s="208"/>
      <c r="AW375" s="208"/>
      <c r="AX375" s="208"/>
      <c r="AY375" s="208"/>
    </row>
    <row r="376">
      <c r="A376" s="208"/>
      <c r="B376" s="533"/>
      <c r="C376" s="208"/>
      <c r="D376" s="208"/>
      <c r="E376" s="208"/>
      <c r="F376" s="584"/>
      <c r="G376" s="208"/>
      <c r="H376" s="208"/>
      <c r="I376" s="208"/>
      <c r="J376" s="208"/>
      <c r="K376" s="208"/>
      <c r="L376" s="536"/>
      <c r="M376" s="208"/>
      <c r="N376" s="208"/>
      <c r="O376" s="208"/>
      <c r="P376" s="208"/>
      <c r="Q376" s="208"/>
      <c r="R376" s="208"/>
      <c r="S376" s="208"/>
      <c r="T376" s="208"/>
      <c r="U376" s="208"/>
      <c r="V376" s="208"/>
      <c r="W376" s="208"/>
      <c r="X376" s="208"/>
      <c r="Y376" s="208"/>
      <c r="Z376" s="208"/>
      <c r="AA376" s="208"/>
      <c r="AB376" s="208"/>
      <c r="AC376" s="208"/>
      <c r="AD376" s="208"/>
      <c r="AE376" s="208"/>
      <c r="AF376" s="208"/>
      <c r="AG376" s="208"/>
      <c r="AH376" s="208"/>
      <c r="AI376" s="208"/>
      <c r="AJ376" s="208"/>
      <c r="AK376" s="208"/>
      <c r="AL376" s="208"/>
      <c r="AM376" s="208"/>
      <c r="AN376" s="208"/>
      <c r="AO376" s="208"/>
      <c r="AP376" s="208"/>
      <c r="AQ376" s="208"/>
      <c r="AR376" s="208"/>
      <c r="AS376" s="208"/>
      <c r="AT376" s="208"/>
      <c r="AU376" s="208"/>
      <c r="AV376" s="208"/>
      <c r="AW376" s="208"/>
      <c r="AX376" s="208"/>
      <c r="AY376" s="208"/>
    </row>
    <row r="377">
      <c r="A377" s="208"/>
      <c r="B377" s="533"/>
      <c r="C377" s="208"/>
      <c r="D377" s="208"/>
      <c r="E377" s="208"/>
      <c r="F377" s="584"/>
      <c r="G377" s="208"/>
      <c r="H377" s="208"/>
      <c r="I377" s="208"/>
      <c r="J377" s="208"/>
      <c r="K377" s="208"/>
      <c r="L377" s="536"/>
      <c r="M377" s="208"/>
      <c r="N377" s="208"/>
      <c r="O377" s="208"/>
      <c r="P377" s="208"/>
      <c r="Q377" s="208"/>
      <c r="R377" s="208"/>
      <c r="S377" s="208"/>
      <c r="T377" s="208"/>
      <c r="U377" s="208"/>
      <c r="V377" s="208"/>
      <c r="W377" s="208"/>
      <c r="X377" s="208"/>
      <c r="Y377" s="208"/>
      <c r="Z377" s="208"/>
      <c r="AA377" s="208"/>
      <c r="AB377" s="208"/>
      <c r="AC377" s="208"/>
      <c r="AD377" s="208"/>
      <c r="AE377" s="208"/>
      <c r="AF377" s="208"/>
      <c r="AG377" s="208"/>
      <c r="AH377" s="208"/>
      <c r="AI377" s="208"/>
      <c r="AJ377" s="208"/>
      <c r="AK377" s="208"/>
      <c r="AL377" s="208"/>
      <c r="AM377" s="208"/>
      <c r="AN377" s="208"/>
      <c r="AO377" s="208"/>
      <c r="AP377" s="208"/>
      <c r="AQ377" s="208"/>
      <c r="AR377" s="208"/>
      <c r="AS377" s="208"/>
      <c r="AT377" s="208"/>
      <c r="AU377" s="208"/>
      <c r="AV377" s="208"/>
      <c r="AW377" s="208"/>
      <c r="AX377" s="208"/>
      <c r="AY377" s="208"/>
    </row>
    <row r="378">
      <c r="A378" s="208"/>
      <c r="B378" s="533"/>
      <c r="C378" s="208"/>
      <c r="D378" s="208"/>
      <c r="E378" s="208"/>
      <c r="F378" s="584"/>
      <c r="G378" s="208"/>
      <c r="H378" s="208"/>
      <c r="I378" s="208"/>
      <c r="J378" s="208"/>
      <c r="K378" s="208"/>
      <c r="L378" s="536"/>
      <c r="M378" s="208"/>
      <c r="N378" s="208"/>
      <c r="O378" s="208"/>
      <c r="P378" s="208"/>
      <c r="Q378" s="208"/>
      <c r="R378" s="208"/>
      <c r="S378" s="208"/>
      <c r="T378" s="208"/>
      <c r="U378" s="208"/>
      <c r="V378" s="208"/>
      <c r="W378" s="208"/>
      <c r="X378" s="208"/>
      <c r="Y378" s="208"/>
      <c r="Z378" s="208"/>
      <c r="AA378" s="208"/>
      <c r="AB378" s="208"/>
      <c r="AC378" s="208"/>
      <c r="AD378" s="208"/>
      <c r="AE378" s="208"/>
      <c r="AF378" s="208"/>
      <c r="AG378" s="208"/>
      <c r="AH378" s="208"/>
      <c r="AI378" s="208"/>
      <c r="AJ378" s="208"/>
      <c r="AK378" s="208"/>
      <c r="AL378" s="208"/>
      <c r="AM378" s="208"/>
      <c r="AN378" s="208"/>
      <c r="AO378" s="208"/>
      <c r="AP378" s="208"/>
      <c r="AQ378" s="208"/>
      <c r="AR378" s="208"/>
      <c r="AS378" s="208"/>
      <c r="AT378" s="208"/>
      <c r="AU378" s="208"/>
      <c r="AV378" s="208"/>
      <c r="AW378" s="208"/>
      <c r="AX378" s="208"/>
      <c r="AY378" s="208"/>
    </row>
    <row r="379">
      <c r="A379" s="208"/>
      <c r="B379" s="533"/>
      <c r="C379" s="208"/>
      <c r="D379" s="208"/>
      <c r="E379" s="208"/>
      <c r="F379" s="584"/>
      <c r="G379" s="208"/>
      <c r="H379" s="208"/>
      <c r="I379" s="208"/>
      <c r="J379" s="208"/>
      <c r="K379" s="208"/>
      <c r="L379" s="536"/>
      <c r="M379" s="208"/>
      <c r="N379" s="208"/>
      <c r="O379" s="208"/>
      <c r="P379" s="208"/>
      <c r="Q379" s="208"/>
      <c r="R379" s="208"/>
      <c r="S379" s="208"/>
      <c r="T379" s="208"/>
      <c r="U379" s="208"/>
      <c r="V379" s="208"/>
      <c r="W379" s="208"/>
      <c r="X379" s="208"/>
      <c r="Y379" s="208"/>
      <c r="Z379" s="208"/>
      <c r="AA379" s="208"/>
      <c r="AB379" s="208"/>
      <c r="AC379" s="208"/>
      <c r="AD379" s="208"/>
      <c r="AE379" s="208"/>
      <c r="AF379" s="208"/>
      <c r="AG379" s="208"/>
      <c r="AH379" s="208"/>
      <c r="AI379" s="208"/>
      <c r="AJ379" s="208"/>
      <c r="AK379" s="208"/>
      <c r="AL379" s="208"/>
      <c r="AM379" s="208"/>
      <c r="AN379" s="208"/>
      <c r="AO379" s="208"/>
      <c r="AP379" s="208"/>
      <c r="AQ379" s="208"/>
      <c r="AR379" s="208"/>
      <c r="AS379" s="208"/>
      <c r="AT379" s="208"/>
      <c r="AU379" s="208"/>
      <c r="AV379" s="208"/>
      <c r="AW379" s="208"/>
      <c r="AX379" s="208"/>
      <c r="AY379" s="208"/>
    </row>
    <row r="380">
      <c r="A380" s="208"/>
      <c r="B380" s="533"/>
      <c r="C380" s="208"/>
      <c r="D380" s="208"/>
      <c r="E380" s="208"/>
      <c r="F380" s="584"/>
      <c r="G380" s="208"/>
      <c r="H380" s="208"/>
      <c r="I380" s="208"/>
      <c r="J380" s="208"/>
      <c r="K380" s="208"/>
      <c r="L380" s="536"/>
      <c r="M380" s="208"/>
      <c r="N380" s="208"/>
      <c r="O380" s="208"/>
      <c r="P380" s="208"/>
      <c r="Q380" s="208"/>
      <c r="R380" s="208"/>
      <c r="S380" s="208"/>
      <c r="T380" s="208"/>
      <c r="U380" s="208"/>
      <c r="V380" s="208"/>
      <c r="W380" s="208"/>
      <c r="X380" s="208"/>
      <c r="Y380" s="208"/>
      <c r="Z380" s="208"/>
      <c r="AA380" s="208"/>
      <c r="AB380" s="208"/>
      <c r="AC380" s="208"/>
      <c r="AD380" s="208"/>
      <c r="AE380" s="208"/>
      <c r="AF380" s="208"/>
      <c r="AG380" s="208"/>
      <c r="AH380" s="208"/>
      <c r="AI380" s="208"/>
      <c r="AJ380" s="208"/>
      <c r="AK380" s="208"/>
      <c r="AL380" s="208"/>
      <c r="AM380" s="208"/>
      <c r="AN380" s="208"/>
      <c r="AO380" s="208"/>
      <c r="AP380" s="208"/>
      <c r="AQ380" s="208"/>
      <c r="AR380" s="208"/>
      <c r="AS380" s="208"/>
      <c r="AT380" s="208"/>
      <c r="AU380" s="208"/>
      <c r="AV380" s="208"/>
      <c r="AW380" s="208"/>
      <c r="AX380" s="208"/>
      <c r="AY380" s="208"/>
    </row>
    <row r="381">
      <c r="A381" s="208"/>
      <c r="B381" s="533"/>
      <c r="C381" s="208"/>
      <c r="D381" s="208"/>
      <c r="E381" s="208"/>
      <c r="F381" s="584"/>
      <c r="G381" s="208"/>
      <c r="H381" s="208"/>
      <c r="I381" s="208"/>
      <c r="J381" s="208"/>
      <c r="K381" s="208"/>
      <c r="L381" s="536"/>
      <c r="M381" s="208"/>
      <c r="N381" s="208"/>
      <c r="O381" s="208"/>
      <c r="P381" s="208"/>
      <c r="Q381" s="208"/>
      <c r="R381" s="208"/>
      <c r="S381" s="208"/>
      <c r="T381" s="208"/>
      <c r="U381" s="208"/>
      <c r="V381" s="208"/>
      <c r="W381" s="208"/>
      <c r="X381" s="208"/>
      <c r="Y381" s="208"/>
      <c r="Z381" s="208"/>
      <c r="AA381" s="208"/>
      <c r="AB381" s="208"/>
      <c r="AC381" s="208"/>
      <c r="AD381" s="208"/>
      <c r="AE381" s="208"/>
      <c r="AF381" s="208"/>
      <c r="AG381" s="208"/>
      <c r="AH381" s="208"/>
      <c r="AI381" s="208"/>
      <c r="AJ381" s="208"/>
      <c r="AK381" s="208"/>
      <c r="AL381" s="208"/>
      <c r="AM381" s="208"/>
      <c r="AN381" s="208"/>
      <c r="AO381" s="208"/>
      <c r="AP381" s="208"/>
      <c r="AQ381" s="208"/>
      <c r="AR381" s="208"/>
      <c r="AS381" s="208"/>
      <c r="AT381" s="208"/>
      <c r="AU381" s="208"/>
      <c r="AV381" s="208"/>
      <c r="AW381" s="208"/>
      <c r="AX381" s="208"/>
      <c r="AY381" s="208"/>
    </row>
    <row r="382">
      <c r="A382" s="208"/>
      <c r="B382" s="533"/>
      <c r="C382" s="208"/>
      <c r="D382" s="208"/>
      <c r="E382" s="208"/>
      <c r="F382" s="584"/>
      <c r="G382" s="208"/>
      <c r="H382" s="208"/>
      <c r="I382" s="208"/>
      <c r="J382" s="208"/>
      <c r="K382" s="208"/>
      <c r="L382" s="536"/>
      <c r="M382" s="208"/>
      <c r="N382" s="208"/>
      <c r="O382" s="208"/>
      <c r="P382" s="208"/>
      <c r="Q382" s="208"/>
      <c r="R382" s="208"/>
      <c r="S382" s="208"/>
      <c r="T382" s="208"/>
      <c r="U382" s="208"/>
      <c r="V382" s="208"/>
      <c r="W382" s="208"/>
      <c r="X382" s="208"/>
      <c r="Y382" s="208"/>
      <c r="Z382" s="208"/>
      <c r="AA382" s="208"/>
      <c r="AB382" s="208"/>
      <c r="AC382" s="208"/>
      <c r="AD382" s="208"/>
      <c r="AE382" s="208"/>
      <c r="AF382" s="208"/>
      <c r="AG382" s="208"/>
      <c r="AH382" s="208"/>
      <c r="AI382" s="208"/>
      <c r="AJ382" s="208"/>
      <c r="AK382" s="208"/>
      <c r="AL382" s="208"/>
      <c r="AM382" s="208"/>
      <c r="AN382" s="208"/>
      <c r="AO382" s="208"/>
      <c r="AP382" s="208"/>
      <c r="AQ382" s="208"/>
      <c r="AR382" s="208"/>
      <c r="AS382" s="208"/>
      <c r="AT382" s="208"/>
      <c r="AU382" s="208"/>
      <c r="AV382" s="208"/>
      <c r="AW382" s="208"/>
      <c r="AX382" s="208"/>
      <c r="AY382" s="208"/>
    </row>
    <row r="383">
      <c r="A383" s="208"/>
      <c r="B383" s="533"/>
      <c r="C383" s="208"/>
      <c r="D383" s="208"/>
      <c r="E383" s="208"/>
      <c r="F383" s="584"/>
      <c r="G383" s="208"/>
      <c r="H383" s="208"/>
      <c r="I383" s="208"/>
      <c r="J383" s="208"/>
      <c r="K383" s="208"/>
      <c r="L383" s="536"/>
      <c r="M383" s="208"/>
      <c r="N383" s="208"/>
      <c r="O383" s="208"/>
      <c r="P383" s="208"/>
      <c r="Q383" s="208"/>
      <c r="R383" s="208"/>
      <c r="S383" s="208"/>
      <c r="T383" s="208"/>
      <c r="U383" s="208"/>
      <c r="V383" s="208"/>
      <c r="W383" s="208"/>
      <c r="X383" s="208"/>
      <c r="Y383" s="208"/>
      <c r="Z383" s="208"/>
      <c r="AA383" s="208"/>
      <c r="AB383" s="208"/>
      <c r="AC383" s="208"/>
      <c r="AD383" s="208"/>
      <c r="AE383" s="208"/>
      <c r="AF383" s="208"/>
      <c r="AG383" s="208"/>
      <c r="AH383" s="208"/>
      <c r="AI383" s="208"/>
      <c r="AJ383" s="208"/>
      <c r="AK383" s="208"/>
      <c r="AL383" s="208"/>
      <c r="AM383" s="208"/>
      <c r="AN383" s="208"/>
      <c r="AO383" s="208"/>
      <c r="AP383" s="208"/>
      <c r="AQ383" s="208"/>
      <c r="AR383" s="208"/>
      <c r="AS383" s="208"/>
      <c r="AT383" s="208"/>
      <c r="AU383" s="208"/>
      <c r="AV383" s="208"/>
      <c r="AW383" s="208"/>
      <c r="AX383" s="208"/>
      <c r="AY383" s="208"/>
    </row>
    <row r="384">
      <c r="A384" s="208"/>
      <c r="B384" s="533"/>
      <c r="C384" s="208"/>
      <c r="D384" s="208"/>
      <c r="E384" s="208"/>
      <c r="F384" s="584"/>
      <c r="G384" s="208"/>
      <c r="H384" s="208"/>
      <c r="I384" s="208"/>
      <c r="J384" s="208"/>
      <c r="K384" s="208"/>
      <c r="L384" s="536"/>
      <c r="M384" s="208"/>
      <c r="N384" s="208"/>
      <c r="O384" s="208"/>
      <c r="P384" s="208"/>
      <c r="Q384" s="208"/>
      <c r="R384" s="208"/>
      <c r="S384" s="208"/>
      <c r="T384" s="208"/>
      <c r="U384" s="208"/>
      <c r="V384" s="208"/>
      <c r="W384" s="208"/>
      <c r="X384" s="208"/>
      <c r="Y384" s="208"/>
      <c r="Z384" s="208"/>
      <c r="AA384" s="208"/>
      <c r="AB384" s="208"/>
      <c r="AC384" s="208"/>
      <c r="AD384" s="208"/>
      <c r="AE384" s="208"/>
      <c r="AF384" s="208"/>
      <c r="AG384" s="208"/>
      <c r="AH384" s="208"/>
      <c r="AI384" s="208"/>
      <c r="AJ384" s="208"/>
      <c r="AK384" s="208"/>
      <c r="AL384" s="208"/>
      <c r="AM384" s="208"/>
      <c r="AN384" s="208"/>
      <c r="AO384" s="208"/>
      <c r="AP384" s="208"/>
      <c r="AQ384" s="208"/>
      <c r="AR384" s="208"/>
      <c r="AS384" s="208"/>
      <c r="AT384" s="208"/>
      <c r="AU384" s="208"/>
      <c r="AV384" s="208"/>
      <c r="AW384" s="208"/>
      <c r="AX384" s="208"/>
      <c r="AY384" s="208"/>
    </row>
    <row r="385">
      <c r="A385" s="208"/>
      <c r="B385" s="533"/>
      <c r="C385" s="208"/>
      <c r="D385" s="208"/>
      <c r="E385" s="208"/>
      <c r="F385" s="584"/>
      <c r="G385" s="208"/>
      <c r="H385" s="208"/>
      <c r="I385" s="208"/>
      <c r="J385" s="208"/>
      <c r="K385" s="208"/>
      <c r="L385" s="536"/>
      <c r="M385" s="208"/>
      <c r="N385" s="208"/>
      <c r="O385" s="208"/>
      <c r="P385" s="208"/>
      <c r="Q385" s="208"/>
      <c r="R385" s="208"/>
      <c r="S385" s="208"/>
      <c r="T385" s="208"/>
      <c r="U385" s="208"/>
      <c r="V385" s="208"/>
      <c r="W385" s="208"/>
      <c r="X385" s="208"/>
      <c r="Y385" s="208"/>
      <c r="Z385" s="208"/>
      <c r="AA385" s="208"/>
      <c r="AB385" s="208"/>
      <c r="AC385" s="208"/>
      <c r="AD385" s="208"/>
      <c r="AE385" s="208"/>
      <c r="AF385" s="208"/>
      <c r="AG385" s="208"/>
      <c r="AH385" s="208"/>
      <c r="AI385" s="208"/>
      <c r="AJ385" s="208"/>
      <c r="AK385" s="208"/>
      <c r="AL385" s="208"/>
      <c r="AM385" s="208"/>
      <c r="AN385" s="208"/>
      <c r="AO385" s="208"/>
      <c r="AP385" s="208"/>
      <c r="AQ385" s="208"/>
      <c r="AR385" s="208"/>
      <c r="AS385" s="208"/>
      <c r="AT385" s="208"/>
      <c r="AU385" s="208"/>
      <c r="AV385" s="208"/>
      <c r="AW385" s="208"/>
      <c r="AX385" s="208"/>
      <c r="AY385" s="208"/>
    </row>
    <row r="386">
      <c r="A386" s="208"/>
      <c r="B386" s="533"/>
      <c r="C386" s="208"/>
      <c r="D386" s="208"/>
      <c r="E386" s="208"/>
      <c r="F386" s="584"/>
      <c r="G386" s="208"/>
      <c r="H386" s="208"/>
      <c r="I386" s="208"/>
      <c r="J386" s="208"/>
      <c r="K386" s="208"/>
      <c r="L386" s="536"/>
      <c r="M386" s="208"/>
      <c r="N386" s="208"/>
      <c r="O386" s="208"/>
      <c r="P386" s="208"/>
      <c r="Q386" s="208"/>
      <c r="R386" s="208"/>
      <c r="S386" s="208"/>
      <c r="T386" s="208"/>
      <c r="U386" s="208"/>
      <c r="V386" s="208"/>
      <c r="W386" s="208"/>
      <c r="X386" s="208"/>
      <c r="Y386" s="208"/>
      <c r="Z386" s="208"/>
      <c r="AA386" s="208"/>
      <c r="AB386" s="208"/>
      <c r="AC386" s="208"/>
      <c r="AD386" s="208"/>
      <c r="AE386" s="208"/>
      <c r="AF386" s="208"/>
      <c r="AG386" s="208"/>
      <c r="AH386" s="208"/>
      <c r="AI386" s="208"/>
      <c r="AJ386" s="208"/>
      <c r="AK386" s="208"/>
      <c r="AL386" s="208"/>
      <c r="AM386" s="208"/>
      <c r="AN386" s="208"/>
      <c r="AO386" s="208"/>
      <c r="AP386" s="208"/>
      <c r="AQ386" s="208"/>
      <c r="AR386" s="208"/>
      <c r="AS386" s="208"/>
      <c r="AT386" s="208"/>
      <c r="AU386" s="208"/>
      <c r="AV386" s="208"/>
      <c r="AW386" s="208"/>
      <c r="AX386" s="208"/>
      <c r="AY386" s="208"/>
    </row>
    <row r="387">
      <c r="A387" s="208"/>
      <c r="B387" s="533"/>
      <c r="C387" s="208"/>
      <c r="D387" s="208"/>
      <c r="E387" s="208"/>
      <c r="F387" s="584"/>
      <c r="G387" s="208"/>
      <c r="H387" s="208"/>
      <c r="I387" s="208"/>
      <c r="J387" s="208"/>
      <c r="K387" s="208"/>
      <c r="L387" s="536"/>
      <c r="M387" s="208"/>
      <c r="N387" s="208"/>
      <c r="O387" s="208"/>
      <c r="P387" s="208"/>
      <c r="Q387" s="208"/>
      <c r="R387" s="208"/>
      <c r="S387" s="208"/>
      <c r="T387" s="208"/>
      <c r="U387" s="208"/>
      <c r="V387" s="208"/>
      <c r="W387" s="208"/>
      <c r="X387" s="208"/>
      <c r="Y387" s="208"/>
      <c r="Z387" s="208"/>
      <c r="AA387" s="208"/>
      <c r="AB387" s="208"/>
      <c r="AC387" s="208"/>
      <c r="AD387" s="208"/>
      <c r="AE387" s="208"/>
      <c r="AF387" s="208"/>
      <c r="AG387" s="208"/>
      <c r="AH387" s="208"/>
      <c r="AI387" s="208"/>
      <c r="AJ387" s="208"/>
      <c r="AK387" s="208"/>
      <c r="AL387" s="208"/>
      <c r="AM387" s="208"/>
      <c r="AN387" s="208"/>
      <c r="AO387" s="208"/>
      <c r="AP387" s="208"/>
      <c r="AQ387" s="208"/>
      <c r="AR387" s="208"/>
      <c r="AS387" s="208"/>
      <c r="AT387" s="208"/>
      <c r="AU387" s="208"/>
      <c r="AV387" s="208"/>
      <c r="AW387" s="208"/>
      <c r="AX387" s="208"/>
      <c r="AY387" s="208"/>
    </row>
    <row r="388">
      <c r="A388" s="208"/>
      <c r="B388" s="533"/>
      <c r="C388" s="208"/>
      <c r="D388" s="208"/>
      <c r="E388" s="208"/>
      <c r="F388" s="584"/>
      <c r="G388" s="208"/>
      <c r="H388" s="208"/>
      <c r="I388" s="208"/>
      <c r="J388" s="208"/>
      <c r="K388" s="208"/>
      <c r="L388" s="536"/>
      <c r="M388" s="208"/>
      <c r="N388" s="208"/>
      <c r="O388" s="208"/>
      <c r="P388" s="208"/>
      <c r="Q388" s="208"/>
      <c r="R388" s="208"/>
      <c r="S388" s="208"/>
      <c r="T388" s="208"/>
      <c r="U388" s="208"/>
      <c r="V388" s="208"/>
      <c r="W388" s="208"/>
      <c r="X388" s="208"/>
      <c r="Y388" s="208"/>
      <c r="Z388" s="208"/>
      <c r="AA388" s="208"/>
      <c r="AB388" s="208"/>
      <c r="AC388" s="208"/>
      <c r="AD388" s="208"/>
      <c r="AE388" s="208"/>
      <c r="AF388" s="208"/>
      <c r="AG388" s="208"/>
      <c r="AH388" s="208"/>
      <c r="AI388" s="208"/>
      <c r="AJ388" s="208"/>
      <c r="AK388" s="208"/>
      <c r="AL388" s="208"/>
      <c r="AM388" s="208"/>
      <c r="AN388" s="208"/>
      <c r="AO388" s="208"/>
      <c r="AP388" s="208"/>
      <c r="AQ388" s="208"/>
      <c r="AR388" s="208"/>
      <c r="AS388" s="208"/>
      <c r="AT388" s="208"/>
      <c r="AU388" s="208"/>
      <c r="AV388" s="208"/>
      <c r="AW388" s="208"/>
      <c r="AX388" s="208"/>
      <c r="AY388" s="208"/>
    </row>
    <row r="389">
      <c r="A389" s="208"/>
      <c r="B389" s="533"/>
      <c r="C389" s="208"/>
      <c r="D389" s="208"/>
      <c r="E389" s="208"/>
      <c r="F389" s="584"/>
      <c r="G389" s="208"/>
      <c r="H389" s="208"/>
      <c r="I389" s="208"/>
      <c r="J389" s="208"/>
      <c r="K389" s="208"/>
      <c r="L389" s="536"/>
      <c r="M389" s="208"/>
      <c r="N389" s="208"/>
      <c r="O389" s="208"/>
      <c r="P389" s="208"/>
      <c r="Q389" s="208"/>
      <c r="R389" s="208"/>
      <c r="S389" s="208"/>
      <c r="T389" s="208"/>
      <c r="U389" s="208"/>
      <c r="V389" s="208"/>
      <c r="W389" s="208"/>
      <c r="X389" s="208"/>
      <c r="Y389" s="208"/>
      <c r="Z389" s="208"/>
      <c r="AA389" s="208"/>
      <c r="AB389" s="208"/>
      <c r="AC389" s="208"/>
      <c r="AD389" s="208"/>
      <c r="AE389" s="208"/>
      <c r="AF389" s="208"/>
      <c r="AG389" s="208"/>
      <c r="AH389" s="208"/>
      <c r="AI389" s="208"/>
      <c r="AJ389" s="208"/>
      <c r="AK389" s="208"/>
      <c r="AL389" s="208"/>
      <c r="AM389" s="208"/>
      <c r="AN389" s="208"/>
      <c r="AO389" s="208"/>
      <c r="AP389" s="208"/>
      <c r="AQ389" s="208"/>
      <c r="AR389" s="208"/>
      <c r="AS389" s="208"/>
      <c r="AT389" s="208"/>
      <c r="AU389" s="208"/>
      <c r="AV389" s="208"/>
      <c r="AW389" s="208"/>
      <c r="AX389" s="208"/>
      <c r="AY389" s="208"/>
    </row>
    <row r="390">
      <c r="A390" s="208"/>
      <c r="B390" s="533"/>
      <c r="C390" s="208"/>
      <c r="D390" s="208"/>
      <c r="E390" s="208"/>
      <c r="F390" s="584"/>
      <c r="G390" s="208"/>
      <c r="H390" s="208"/>
      <c r="I390" s="208"/>
      <c r="J390" s="208"/>
      <c r="K390" s="208"/>
      <c r="L390" s="536"/>
      <c r="M390" s="208"/>
      <c r="N390" s="208"/>
      <c r="O390" s="208"/>
      <c r="P390" s="208"/>
      <c r="Q390" s="208"/>
      <c r="R390" s="208"/>
      <c r="S390" s="208"/>
      <c r="T390" s="208"/>
      <c r="U390" s="208"/>
      <c r="V390" s="208"/>
      <c r="W390" s="208"/>
      <c r="X390" s="208"/>
      <c r="Y390" s="208"/>
      <c r="Z390" s="208"/>
      <c r="AA390" s="208"/>
      <c r="AB390" s="208"/>
      <c r="AC390" s="208"/>
      <c r="AD390" s="208"/>
      <c r="AE390" s="208"/>
      <c r="AF390" s="208"/>
      <c r="AG390" s="208"/>
      <c r="AH390" s="208"/>
      <c r="AI390" s="208"/>
      <c r="AJ390" s="208"/>
      <c r="AK390" s="208"/>
      <c r="AL390" s="208"/>
      <c r="AM390" s="208"/>
      <c r="AN390" s="208"/>
      <c r="AO390" s="208"/>
      <c r="AP390" s="208"/>
      <c r="AQ390" s="208"/>
      <c r="AR390" s="208"/>
      <c r="AS390" s="208"/>
      <c r="AT390" s="208"/>
      <c r="AU390" s="208"/>
      <c r="AV390" s="208"/>
      <c r="AW390" s="208"/>
      <c r="AX390" s="208"/>
      <c r="AY390" s="208"/>
    </row>
    <row r="391">
      <c r="A391" s="208"/>
      <c r="B391" s="533"/>
      <c r="C391" s="208"/>
      <c r="D391" s="208"/>
      <c r="E391" s="208"/>
      <c r="F391" s="584"/>
      <c r="G391" s="208"/>
      <c r="H391" s="208"/>
      <c r="I391" s="208"/>
      <c r="J391" s="208"/>
      <c r="K391" s="208"/>
      <c r="L391" s="536"/>
      <c r="M391" s="208"/>
      <c r="N391" s="208"/>
      <c r="O391" s="208"/>
      <c r="P391" s="208"/>
      <c r="Q391" s="208"/>
      <c r="R391" s="208"/>
      <c r="S391" s="208"/>
      <c r="T391" s="208"/>
      <c r="U391" s="208"/>
      <c r="V391" s="208"/>
      <c r="W391" s="208"/>
      <c r="X391" s="208"/>
      <c r="Y391" s="208"/>
      <c r="Z391" s="208"/>
      <c r="AA391" s="208"/>
      <c r="AB391" s="208"/>
      <c r="AC391" s="208"/>
      <c r="AD391" s="208"/>
      <c r="AE391" s="208"/>
      <c r="AF391" s="208"/>
      <c r="AG391" s="208"/>
      <c r="AH391" s="208"/>
      <c r="AI391" s="208"/>
      <c r="AJ391" s="208"/>
      <c r="AK391" s="208"/>
      <c r="AL391" s="208"/>
      <c r="AM391" s="208"/>
      <c r="AN391" s="208"/>
      <c r="AO391" s="208"/>
      <c r="AP391" s="208"/>
      <c r="AQ391" s="208"/>
      <c r="AR391" s="208"/>
      <c r="AS391" s="208"/>
      <c r="AT391" s="208"/>
      <c r="AU391" s="208"/>
      <c r="AV391" s="208"/>
      <c r="AW391" s="208"/>
      <c r="AX391" s="208"/>
      <c r="AY391" s="208"/>
    </row>
    <row r="392">
      <c r="A392" s="208"/>
      <c r="B392" s="533"/>
      <c r="C392" s="208"/>
      <c r="D392" s="208"/>
      <c r="E392" s="208"/>
      <c r="F392" s="584"/>
      <c r="G392" s="208"/>
      <c r="H392" s="208"/>
      <c r="I392" s="208"/>
      <c r="J392" s="208"/>
      <c r="K392" s="208"/>
      <c r="L392" s="536"/>
      <c r="M392" s="208"/>
      <c r="N392" s="208"/>
      <c r="O392" s="208"/>
      <c r="P392" s="208"/>
      <c r="Q392" s="208"/>
      <c r="R392" s="208"/>
      <c r="S392" s="208"/>
      <c r="T392" s="208"/>
      <c r="U392" s="208"/>
      <c r="V392" s="208"/>
      <c r="W392" s="208"/>
      <c r="X392" s="208"/>
      <c r="Y392" s="208"/>
      <c r="Z392" s="208"/>
      <c r="AA392" s="208"/>
      <c r="AB392" s="208"/>
      <c r="AC392" s="208"/>
      <c r="AD392" s="208"/>
      <c r="AE392" s="208"/>
      <c r="AF392" s="208"/>
      <c r="AG392" s="208"/>
      <c r="AH392" s="208"/>
      <c r="AI392" s="208"/>
      <c r="AJ392" s="208"/>
      <c r="AK392" s="208"/>
      <c r="AL392" s="208"/>
      <c r="AM392" s="208"/>
      <c r="AN392" s="208"/>
      <c r="AO392" s="208"/>
      <c r="AP392" s="208"/>
      <c r="AQ392" s="208"/>
      <c r="AR392" s="208"/>
      <c r="AS392" s="208"/>
      <c r="AT392" s="208"/>
      <c r="AU392" s="208"/>
      <c r="AV392" s="208"/>
      <c r="AW392" s="208"/>
      <c r="AX392" s="208"/>
      <c r="AY392" s="208"/>
    </row>
    <row r="393">
      <c r="A393" s="208"/>
      <c r="B393" s="533"/>
      <c r="C393" s="208"/>
      <c r="D393" s="208"/>
      <c r="E393" s="208"/>
      <c r="F393" s="584"/>
      <c r="G393" s="208"/>
      <c r="H393" s="208"/>
      <c r="I393" s="208"/>
      <c r="J393" s="208"/>
      <c r="K393" s="208"/>
      <c r="L393" s="536"/>
      <c r="M393" s="208"/>
      <c r="N393" s="208"/>
      <c r="O393" s="208"/>
      <c r="P393" s="208"/>
      <c r="Q393" s="208"/>
      <c r="R393" s="208"/>
      <c r="S393" s="208"/>
      <c r="T393" s="208"/>
      <c r="U393" s="208"/>
      <c r="V393" s="208"/>
      <c r="W393" s="208"/>
      <c r="X393" s="208"/>
      <c r="Y393" s="208"/>
      <c r="Z393" s="208"/>
      <c r="AA393" s="208"/>
      <c r="AB393" s="208"/>
      <c r="AC393" s="208"/>
      <c r="AD393" s="208"/>
      <c r="AE393" s="208"/>
      <c r="AF393" s="208"/>
      <c r="AG393" s="208"/>
      <c r="AH393" s="208"/>
      <c r="AI393" s="208"/>
      <c r="AJ393" s="208"/>
      <c r="AK393" s="208"/>
      <c r="AL393" s="208"/>
      <c r="AM393" s="208"/>
      <c r="AN393" s="208"/>
      <c r="AO393" s="208"/>
      <c r="AP393" s="208"/>
      <c r="AQ393" s="208"/>
      <c r="AR393" s="208"/>
      <c r="AS393" s="208"/>
      <c r="AT393" s="208"/>
      <c r="AU393" s="208"/>
      <c r="AV393" s="208"/>
      <c r="AW393" s="208"/>
      <c r="AX393" s="208"/>
      <c r="AY393" s="208"/>
    </row>
    <row r="394">
      <c r="A394" s="208"/>
      <c r="B394" s="533"/>
      <c r="C394" s="208"/>
      <c r="D394" s="208"/>
      <c r="E394" s="208"/>
      <c r="F394" s="584"/>
      <c r="G394" s="208"/>
      <c r="H394" s="208"/>
      <c r="I394" s="208"/>
      <c r="J394" s="208"/>
      <c r="K394" s="208"/>
      <c r="L394" s="536"/>
      <c r="M394" s="208"/>
      <c r="N394" s="208"/>
      <c r="O394" s="208"/>
      <c r="P394" s="208"/>
      <c r="Q394" s="208"/>
      <c r="R394" s="208"/>
      <c r="S394" s="208"/>
      <c r="T394" s="208"/>
      <c r="U394" s="208"/>
      <c r="V394" s="208"/>
      <c r="W394" s="208"/>
      <c r="X394" s="208"/>
      <c r="Y394" s="208"/>
      <c r="Z394" s="208"/>
      <c r="AA394" s="208"/>
      <c r="AB394" s="208"/>
      <c r="AC394" s="208"/>
      <c r="AD394" s="208"/>
      <c r="AE394" s="208"/>
      <c r="AF394" s="208"/>
      <c r="AG394" s="208"/>
      <c r="AH394" s="208"/>
      <c r="AI394" s="208"/>
      <c r="AJ394" s="208"/>
      <c r="AK394" s="208"/>
      <c r="AL394" s="208"/>
      <c r="AM394" s="208"/>
      <c r="AN394" s="208"/>
      <c r="AO394" s="208"/>
      <c r="AP394" s="208"/>
      <c r="AQ394" s="208"/>
      <c r="AR394" s="208"/>
      <c r="AS394" s="208"/>
      <c r="AT394" s="208"/>
      <c r="AU394" s="208"/>
      <c r="AV394" s="208"/>
      <c r="AW394" s="208"/>
      <c r="AX394" s="208"/>
      <c r="AY394" s="208"/>
    </row>
    <row r="395">
      <c r="A395" s="208"/>
      <c r="B395" s="533"/>
      <c r="C395" s="208"/>
      <c r="D395" s="208"/>
      <c r="E395" s="208"/>
      <c r="F395" s="584"/>
      <c r="G395" s="208"/>
      <c r="H395" s="208"/>
      <c r="I395" s="208"/>
      <c r="J395" s="208"/>
      <c r="K395" s="208"/>
      <c r="L395" s="536"/>
      <c r="M395" s="208"/>
      <c r="N395" s="208"/>
      <c r="O395" s="208"/>
      <c r="P395" s="208"/>
      <c r="Q395" s="208"/>
      <c r="R395" s="208"/>
      <c r="S395" s="208"/>
      <c r="T395" s="208"/>
      <c r="U395" s="208"/>
      <c r="V395" s="208"/>
      <c r="W395" s="208"/>
      <c r="X395" s="208"/>
      <c r="Y395" s="208"/>
      <c r="Z395" s="208"/>
      <c r="AA395" s="208"/>
      <c r="AB395" s="208"/>
      <c r="AC395" s="208"/>
      <c r="AD395" s="208"/>
      <c r="AE395" s="208"/>
      <c r="AF395" s="208"/>
      <c r="AG395" s="208"/>
      <c r="AH395" s="208"/>
      <c r="AI395" s="208"/>
      <c r="AJ395" s="208"/>
      <c r="AK395" s="208"/>
      <c r="AL395" s="208"/>
      <c r="AM395" s="208"/>
      <c r="AN395" s="208"/>
      <c r="AO395" s="208"/>
      <c r="AP395" s="208"/>
      <c r="AQ395" s="208"/>
      <c r="AR395" s="208"/>
      <c r="AS395" s="208"/>
      <c r="AT395" s="208"/>
      <c r="AU395" s="208"/>
      <c r="AV395" s="208"/>
      <c r="AW395" s="208"/>
      <c r="AX395" s="208"/>
      <c r="AY395" s="208"/>
    </row>
    <row r="396">
      <c r="A396" s="208"/>
      <c r="B396" s="533"/>
      <c r="C396" s="208"/>
      <c r="D396" s="208"/>
      <c r="E396" s="208"/>
      <c r="F396" s="584"/>
      <c r="G396" s="208"/>
      <c r="H396" s="208"/>
      <c r="I396" s="208"/>
      <c r="J396" s="208"/>
      <c r="K396" s="208"/>
      <c r="L396" s="536"/>
      <c r="M396" s="208"/>
      <c r="N396" s="208"/>
      <c r="O396" s="208"/>
      <c r="P396" s="208"/>
      <c r="Q396" s="208"/>
      <c r="R396" s="208"/>
      <c r="S396" s="208"/>
      <c r="T396" s="208"/>
      <c r="U396" s="208"/>
      <c r="V396" s="208"/>
      <c r="W396" s="208"/>
      <c r="X396" s="208"/>
      <c r="Y396" s="208"/>
      <c r="Z396" s="208"/>
      <c r="AA396" s="208"/>
      <c r="AB396" s="208"/>
      <c r="AC396" s="208"/>
      <c r="AD396" s="208"/>
      <c r="AE396" s="208"/>
      <c r="AF396" s="208"/>
      <c r="AG396" s="208"/>
      <c r="AH396" s="208"/>
      <c r="AI396" s="208"/>
      <c r="AJ396" s="208"/>
      <c r="AK396" s="208"/>
      <c r="AL396" s="208"/>
      <c r="AM396" s="208"/>
      <c r="AN396" s="208"/>
      <c r="AO396" s="208"/>
      <c r="AP396" s="208"/>
      <c r="AQ396" s="208"/>
      <c r="AR396" s="208"/>
      <c r="AS396" s="208"/>
      <c r="AT396" s="208"/>
      <c r="AU396" s="208"/>
      <c r="AV396" s="208"/>
      <c r="AW396" s="208"/>
      <c r="AX396" s="208"/>
      <c r="AY396" s="208"/>
    </row>
    <row r="397">
      <c r="A397" s="208"/>
      <c r="B397" s="533"/>
      <c r="C397" s="208"/>
      <c r="D397" s="208"/>
      <c r="E397" s="208"/>
      <c r="F397" s="584"/>
      <c r="G397" s="208"/>
      <c r="H397" s="208"/>
      <c r="I397" s="208"/>
      <c r="J397" s="208"/>
      <c r="K397" s="208"/>
      <c r="L397" s="536"/>
      <c r="M397" s="208"/>
      <c r="N397" s="208"/>
      <c r="O397" s="208"/>
      <c r="P397" s="208"/>
      <c r="Q397" s="208"/>
      <c r="R397" s="208"/>
      <c r="S397" s="208"/>
      <c r="T397" s="208"/>
      <c r="U397" s="208"/>
      <c r="V397" s="208"/>
      <c r="W397" s="208"/>
      <c r="X397" s="208"/>
      <c r="Y397" s="208"/>
      <c r="Z397" s="208"/>
      <c r="AA397" s="208"/>
      <c r="AB397" s="208"/>
      <c r="AC397" s="208"/>
      <c r="AD397" s="208"/>
      <c r="AE397" s="208"/>
      <c r="AF397" s="208"/>
      <c r="AG397" s="208"/>
      <c r="AH397" s="208"/>
      <c r="AI397" s="208"/>
      <c r="AJ397" s="208"/>
      <c r="AK397" s="208"/>
      <c r="AL397" s="208"/>
      <c r="AM397" s="208"/>
      <c r="AN397" s="208"/>
      <c r="AO397" s="208"/>
      <c r="AP397" s="208"/>
      <c r="AQ397" s="208"/>
      <c r="AR397" s="208"/>
      <c r="AS397" s="208"/>
      <c r="AT397" s="208"/>
      <c r="AU397" s="208"/>
      <c r="AV397" s="208"/>
      <c r="AW397" s="208"/>
      <c r="AX397" s="208"/>
      <c r="AY397" s="208"/>
    </row>
    <row r="398">
      <c r="A398" s="208"/>
      <c r="B398" s="533"/>
      <c r="C398" s="208"/>
      <c r="D398" s="208"/>
      <c r="E398" s="208"/>
      <c r="F398" s="584"/>
      <c r="G398" s="208"/>
      <c r="H398" s="208"/>
      <c r="I398" s="208"/>
      <c r="J398" s="208"/>
      <c r="K398" s="208"/>
      <c r="L398" s="536"/>
      <c r="M398" s="208"/>
      <c r="N398" s="208"/>
      <c r="O398" s="208"/>
      <c r="P398" s="208"/>
      <c r="Q398" s="208"/>
      <c r="R398" s="208"/>
      <c r="S398" s="208"/>
      <c r="T398" s="208"/>
      <c r="U398" s="208"/>
      <c r="V398" s="208"/>
      <c r="W398" s="208"/>
      <c r="X398" s="208"/>
      <c r="Y398" s="208"/>
      <c r="Z398" s="208"/>
      <c r="AA398" s="208"/>
      <c r="AB398" s="208"/>
      <c r="AC398" s="208"/>
      <c r="AD398" s="208"/>
      <c r="AE398" s="208"/>
      <c r="AF398" s="208"/>
      <c r="AG398" s="208"/>
      <c r="AH398" s="208"/>
      <c r="AI398" s="208"/>
      <c r="AJ398" s="208"/>
      <c r="AK398" s="208"/>
      <c r="AL398" s="208"/>
      <c r="AM398" s="208"/>
      <c r="AN398" s="208"/>
      <c r="AO398" s="208"/>
      <c r="AP398" s="208"/>
      <c r="AQ398" s="208"/>
      <c r="AR398" s="208"/>
      <c r="AS398" s="208"/>
      <c r="AT398" s="208"/>
      <c r="AU398" s="208"/>
      <c r="AV398" s="208"/>
      <c r="AW398" s="208"/>
      <c r="AX398" s="208"/>
      <c r="AY398" s="208"/>
    </row>
    <row r="399">
      <c r="A399" s="208"/>
      <c r="B399" s="533"/>
      <c r="C399" s="208"/>
      <c r="D399" s="208"/>
      <c r="E399" s="208"/>
      <c r="F399" s="584"/>
      <c r="G399" s="208"/>
      <c r="H399" s="208"/>
      <c r="I399" s="208"/>
      <c r="J399" s="208"/>
      <c r="K399" s="208"/>
      <c r="L399" s="536"/>
      <c r="M399" s="208"/>
      <c r="N399" s="208"/>
      <c r="O399" s="208"/>
      <c r="P399" s="208"/>
      <c r="Q399" s="208"/>
      <c r="R399" s="208"/>
      <c r="S399" s="208"/>
      <c r="T399" s="208"/>
      <c r="U399" s="208"/>
      <c r="V399" s="208"/>
      <c r="W399" s="208"/>
      <c r="X399" s="208"/>
      <c r="Y399" s="208"/>
      <c r="Z399" s="208"/>
      <c r="AA399" s="208"/>
      <c r="AB399" s="208"/>
      <c r="AC399" s="208"/>
      <c r="AD399" s="208"/>
      <c r="AE399" s="208"/>
      <c r="AF399" s="208"/>
      <c r="AG399" s="208"/>
      <c r="AH399" s="208"/>
      <c r="AI399" s="208"/>
      <c r="AJ399" s="208"/>
      <c r="AK399" s="208"/>
      <c r="AL399" s="208"/>
      <c r="AM399" s="208"/>
      <c r="AN399" s="208"/>
      <c r="AO399" s="208"/>
      <c r="AP399" s="208"/>
      <c r="AQ399" s="208"/>
      <c r="AR399" s="208"/>
      <c r="AS399" s="208"/>
      <c r="AT399" s="208"/>
      <c r="AU399" s="208"/>
      <c r="AV399" s="208"/>
      <c r="AW399" s="208"/>
      <c r="AX399" s="208"/>
      <c r="AY399" s="208"/>
    </row>
    <row r="400">
      <c r="A400" s="208"/>
      <c r="B400" s="533"/>
      <c r="C400" s="208"/>
      <c r="D400" s="208"/>
      <c r="E400" s="208"/>
      <c r="F400" s="584"/>
      <c r="G400" s="208"/>
      <c r="H400" s="208"/>
      <c r="I400" s="208"/>
      <c r="J400" s="208"/>
      <c r="K400" s="208"/>
      <c r="L400" s="536"/>
      <c r="M400" s="208"/>
      <c r="N400" s="208"/>
      <c r="O400" s="208"/>
      <c r="P400" s="208"/>
      <c r="Q400" s="208"/>
      <c r="R400" s="208"/>
      <c r="S400" s="208"/>
      <c r="T400" s="208"/>
      <c r="U400" s="208"/>
      <c r="V400" s="208"/>
      <c r="W400" s="208"/>
      <c r="X400" s="208"/>
      <c r="Y400" s="208"/>
      <c r="Z400" s="208"/>
      <c r="AA400" s="208"/>
      <c r="AB400" s="208"/>
      <c r="AC400" s="208"/>
      <c r="AD400" s="208"/>
      <c r="AE400" s="208"/>
      <c r="AF400" s="208"/>
      <c r="AG400" s="208"/>
      <c r="AH400" s="208"/>
      <c r="AI400" s="208"/>
      <c r="AJ400" s="208"/>
      <c r="AK400" s="208"/>
      <c r="AL400" s="208"/>
      <c r="AM400" s="208"/>
      <c r="AN400" s="208"/>
      <c r="AO400" s="208"/>
      <c r="AP400" s="208"/>
      <c r="AQ400" s="208"/>
      <c r="AR400" s="208"/>
      <c r="AS400" s="208"/>
      <c r="AT400" s="208"/>
      <c r="AU400" s="208"/>
      <c r="AV400" s="208"/>
      <c r="AW400" s="208"/>
      <c r="AX400" s="208"/>
      <c r="AY400" s="208"/>
    </row>
    <row r="401">
      <c r="A401" s="208"/>
      <c r="B401" s="533"/>
      <c r="C401" s="208"/>
      <c r="D401" s="208"/>
      <c r="E401" s="208"/>
      <c r="F401" s="584"/>
      <c r="G401" s="208"/>
      <c r="H401" s="208"/>
      <c r="I401" s="208"/>
      <c r="J401" s="208"/>
      <c r="K401" s="208"/>
      <c r="L401" s="536"/>
      <c r="M401" s="208"/>
      <c r="N401" s="208"/>
      <c r="O401" s="208"/>
      <c r="P401" s="208"/>
      <c r="Q401" s="208"/>
      <c r="R401" s="208"/>
      <c r="S401" s="208"/>
      <c r="T401" s="208"/>
      <c r="U401" s="208"/>
      <c r="V401" s="208"/>
      <c r="W401" s="208"/>
      <c r="X401" s="208"/>
      <c r="Y401" s="208"/>
      <c r="Z401" s="208"/>
      <c r="AA401" s="208"/>
      <c r="AB401" s="208"/>
      <c r="AC401" s="208"/>
      <c r="AD401" s="208"/>
      <c r="AE401" s="208"/>
      <c r="AF401" s="208"/>
      <c r="AG401" s="208"/>
      <c r="AH401" s="208"/>
      <c r="AI401" s="208"/>
      <c r="AJ401" s="208"/>
      <c r="AK401" s="208"/>
      <c r="AL401" s="208"/>
      <c r="AM401" s="208"/>
      <c r="AN401" s="208"/>
      <c r="AO401" s="208"/>
      <c r="AP401" s="208"/>
      <c r="AQ401" s="208"/>
      <c r="AR401" s="208"/>
      <c r="AS401" s="208"/>
      <c r="AT401" s="208"/>
      <c r="AU401" s="208"/>
      <c r="AV401" s="208"/>
      <c r="AW401" s="208"/>
      <c r="AX401" s="208"/>
      <c r="AY401" s="208"/>
    </row>
    <row r="402">
      <c r="A402" s="208"/>
      <c r="B402" s="533"/>
      <c r="C402" s="208"/>
      <c r="D402" s="208"/>
      <c r="E402" s="208"/>
      <c r="F402" s="584"/>
      <c r="G402" s="208"/>
      <c r="H402" s="208"/>
      <c r="I402" s="208"/>
      <c r="J402" s="208"/>
      <c r="K402" s="208"/>
      <c r="L402" s="536"/>
      <c r="M402" s="208"/>
      <c r="N402" s="208"/>
      <c r="O402" s="208"/>
      <c r="P402" s="208"/>
      <c r="Q402" s="208"/>
      <c r="R402" s="208"/>
      <c r="S402" s="208"/>
      <c r="T402" s="208"/>
      <c r="U402" s="208"/>
      <c r="V402" s="208"/>
      <c r="W402" s="208"/>
      <c r="X402" s="208"/>
      <c r="Y402" s="208"/>
      <c r="Z402" s="208"/>
      <c r="AA402" s="208"/>
      <c r="AB402" s="208"/>
      <c r="AC402" s="208"/>
      <c r="AD402" s="208"/>
      <c r="AE402" s="208"/>
      <c r="AF402" s="208"/>
      <c r="AG402" s="208"/>
      <c r="AH402" s="208"/>
      <c r="AI402" s="208"/>
      <c r="AJ402" s="208"/>
      <c r="AK402" s="208"/>
      <c r="AL402" s="208"/>
      <c r="AM402" s="208"/>
      <c r="AN402" s="208"/>
      <c r="AO402" s="208"/>
      <c r="AP402" s="208"/>
      <c r="AQ402" s="208"/>
      <c r="AR402" s="208"/>
      <c r="AS402" s="208"/>
      <c r="AT402" s="208"/>
      <c r="AU402" s="208"/>
      <c r="AV402" s="208"/>
      <c r="AW402" s="208"/>
      <c r="AX402" s="208"/>
      <c r="AY402" s="208"/>
    </row>
    <row r="403">
      <c r="A403" s="208"/>
      <c r="B403" s="533"/>
      <c r="C403" s="208"/>
      <c r="D403" s="208"/>
      <c r="E403" s="208"/>
      <c r="F403" s="584"/>
      <c r="G403" s="208"/>
      <c r="H403" s="208"/>
      <c r="I403" s="208"/>
      <c r="J403" s="208"/>
      <c r="K403" s="208"/>
      <c r="L403" s="536"/>
      <c r="M403" s="208"/>
      <c r="N403" s="208"/>
      <c r="O403" s="208"/>
      <c r="P403" s="208"/>
      <c r="Q403" s="208"/>
      <c r="R403" s="208"/>
      <c r="S403" s="208"/>
      <c r="T403" s="208"/>
      <c r="U403" s="208"/>
      <c r="V403" s="208"/>
      <c r="W403" s="208"/>
      <c r="X403" s="208"/>
      <c r="Y403" s="208"/>
      <c r="Z403" s="208"/>
      <c r="AA403" s="208"/>
      <c r="AB403" s="208"/>
      <c r="AC403" s="208"/>
      <c r="AD403" s="208"/>
      <c r="AE403" s="208"/>
      <c r="AF403" s="208"/>
      <c r="AG403" s="208"/>
      <c r="AH403" s="208"/>
      <c r="AI403" s="208"/>
      <c r="AJ403" s="208"/>
      <c r="AK403" s="208"/>
      <c r="AL403" s="208"/>
      <c r="AM403" s="208"/>
      <c r="AN403" s="208"/>
      <c r="AO403" s="208"/>
      <c r="AP403" s="208"/>
      <c r="AQ403" s="208"/>
      <c r="AR403" s="208"/>
      <c r="AS403" s="208"/>
      <c r="AT403" s="208"/>
      <c r="AU403" s="208"/>
      <c r="AV403" s="208"/>
      <c r="AW403" s="208"/>
      <c r="AX403" s="208"/>
      <c r="AY403" s="208"/>
    </row>
    <row r="404">
      <c r="A404" s="208"/>
      <c r="B404" s="533"/>
      <c r="C404" s="208"/>
      <c r="D404" s="208"/>
      <c r="E404" s="208"/>
      <c r="F404" s="584"/>
      <c r="G404" s="208"/>
      <c r="H404" s="208"/>
      <c r="I404" s="208"/>
      <c r="J404" s="208"/>
      <c r="K404" s="208"/>
      <c r="L404" s="536"/>
      <c r="M404" s="208"/>
      <c r="N404" s="208"/>
      <c r="O404" s="208"/>
      <c r="P404" s="208"/>
      <c r="Q404" s="208"/>
      <c r="R404" s="208"/>
      <c r="S404" s="208"/>
      <c r="T404" s="208"/>
      <c r="U404" s="208"/>
      <c r="V404" s="208"/>
      <c r="W404" s="208"/>
      <c r="X404" s="208"/>
      <c r="Y404" s="208"/>
      <c r="Z404" s="208"/>
      <c r="AA404" s="208"/>
      <c r="AB404" s="208"/>
      <c r="AC404" s="208"/>
      <c r="AD404" s="208"/>
      <c r="AE404" s="208"/>
      <c r="AF404" s="208"/>
      <c r="AG404" s="208"/>
      <c r="AH404" s="208"/>
      <c r="AI404" s="208"/>
      <c r="AJ404" s="208"/>
      <c r="AK404" s="208"/>
      <c r="AL404" s="208"/>
      <c r="AM404" s="208"/>
      <c r="AN404" s="208"/>
      <c r="AO404" s="208"/>
      <c r="AP404" s="208"/>
      <c r="AQ404" s="208"/>
      <c r="AR404" s="208"/>
      <c r="AS404" s="208"/>
      <c r="AT404" s="208"/>
      <c r="AU404" s="208"/>
      <c r="AV404" s="208"/>
      <c r="AW404" s="208"/>
      <c r="AX404" s="208"/>
      <c r="AY404" s="208"/>
    </row>
    <row r="405">
      <c r="A405" s="208"/>
      <c r="B405" s="533"/>
      <c r="C405" s="208"/>
      <c r="D405" s="208"/>
      <c r="E405" s="208"/>
      <c r="F405" s="584"/>
      <c r="G405" s="208"/>
      <c r="H405" s="208"/>
      <c r="I405" s="208"/>
      <c r="J405" s="208"/>
      <c r="K405" s="208"/>
      <c r="L405" s="536"/>
      <c r="M405" s="208"/>
      <c r="N405" s="208"/>
      <c r="O405" s="208"/>
      <c r="P405" s="208"/>
      <c r="Q405" s="208"/>
      <c r="R405" s="208"/>
      <c r="S405" s="208"/>
      <c r="T405" s="208"/>
      <c r="U405" s="208"/>
      <c r="V405" s="208"/>
      <c r="W405" s="208"/>
      <c r="X405" s="208"/>
      <c r="Y405" s="208"/>
      <c r="Z405" s="208"/>
      <c r="AA405" s="208"/>
      <c r="AB405" s="208"/>
      <c r="AC405" s="208"/>
      <c r="AD405" s="208"/>
      <c r="AE405" s="208"/>
      <c r="AF405" s="208"/>
      <c r="AG405" s="208"/>
      <c r="AH405" s="208"/>
      <c r="AI405" s="208"/>
      <c r="AJ405" s="208"/>
      <c r="AK405" s="208"/>
      <c r="AL405" s="208"/>
      <c r="AM405" s="208"/>
      <c r="AN405" s="208"/>
      <c r="AO405" s="208"/>
      <c r="AP405" s="208"/>
      <c r="AQ405" s="208"/>
      <c r="AR405" s="208"/>
      <c r="AS405" s="208"/>
      <c r="AT405" s="208"/>
      <c r="AU405" s="208"/>
      <c r="AV405" s="208"/>
      <c r="AW405" s="208"/>
      <c r="AX405" s="208"/>
      <c r="AY405" s="208"/>
    </row>
    <row r="406">
      <c r="A406" s="208"/>
      <c r="B406" s="533"/>
      <c r="C406" s="208"/>
      <c r="D406" s="208"/>
      <c r="E406" s="208"/>
      <c r="F406" s="584"/>
      <c r="G406" s="208"/>
      <c r="H406" s="208"/>
      <c r="I406" s="208"/>
      <c r="J406" s="208"/>
      <c r="K406" s="208"/>
      <c r="L406" s="536"/>
      <c r="M406" s="208"/>
      <c r="N406" s="208"/>
      <c r="O406" s="208"/>
      <c r="P406" s="208"/>
      <c r="Q406" s="208"/>
      <c r="R406" s="208"/>
      <c r="S406" s="208"/>
      <c r="T406" s="208"/>
      <c r="U406" s="208"/>
      <c r="V406" s="208"/>
      <c r="W406" s="208"/>
      <c r="X406" s="208"/>
      <c r="Y406" s="208"/>
      <c r="Z406" s="208"/>
      <c r="AA406" s="208"/>
      <c r="AB406" s="208"/>
      <c r="AC406" s="208"/>
      <c r="AD406" s="208"/>
      <c r="AE406" s="208"/>
      <c r="AF406" s="208"/>
      <c r="AG406" s="208"/>
      <c r="AH406" s="208"/>
      <c r="AI406" s="208"/>
      <c r="AJ406" s="208"/>
      <c r="AK406" s="208"/>
      <c r="AL406" s="208"/>
      <c r="AM406" s="208"/>
      <c r="AN406" s="208"/>
      <c r="AO406" s="208"/>
      <c r="AP406" s="208"/>
      <c r="AQ406" s="208"/>
      <c r="AR406" s="208"/>
      <c r="AS406" s="208"/>
      <c r="AT406" s="208"/>
      <c r="AU406" s="208"/>
      <c r="AV406" s="208"/>
      <c r="AW406" s="208"/>
      <c r="AX406" s="208"/>
      <c r="AY406" s="208"/>
    </row>
    <row r="407">
      <c r="A407" s="208"/>
      <c r="B407" s="533"/>
      <c r="C407" s="208"/>
      <c r="D407" s="208"/>
      <c r="E407" s="208"/>
      <c r="F407" s="584"/>
      <c r="G407" s="208"/>
      <c r="H407" s="208"/>
      <c r="I407" s="208"/>
      <c r="J407" s="208"/>
      <c r="K407" s="208"/>
      <c r="L407" s="536"/>
      <c r="M407" s="208"/>
      <c r="N407" s="208"/>
      <c r="O407" s="208"/>
      <c r="P407" s="208"/>
      <c r="Q407" s="208"/>
      <c r="R407" s="208"/>
      <c r="S407" s="208"/>
      <c r="T407" s="208"/>
      <c r="U407" s="208"/>
      <c r="V407" s="208"/>
      <c r="W407" s="208"/>
      <c r="X407" s="208"/>
      <c r="Y407" s="208"/>
      <c r="Z407" s="208"/>
      <c r="AA407" s="208"/>
      <c r="AB407" s="208"/>
      <c r="AC407" s="208"/>
      <c r="AD407" s="208"/>
      <c r="AE407" s="208"/>
      <c r="AF407" s="208"/>
      <c r="AG407" s="208"/>
      <c r="AH407" s="208"/>
      <c r="AI407" s="208"/>
      <c r="AJ407" s="208"/>
      <c r="AK407" s="208"/>
      <c r="AL407" s="208"/>
      <c r="AM407" s="208"/>
      <c r="AN407" s="208"/>
      <c r="AO407" s="208"/>
      <c r="AP407" s="208"/>
      <c r="AQ407" s="208"/>
      <c r="AR407" s="208"/>
      <c r="AS407" s="208"/>
      <c r="AT407" s="208"/>
      <c r="AU407" s="208"/>
      <c r="AV407" s="208"/>
      <c r="AW407" s="208"/>
      <c r="AX407" s="208"/>
      <c r="AY407" s="208"/>
    </row>
    <row r="408">
      <c r="A408" s="208"/>
      <c r="B408" s="533"/>
      <c r="C408" s="208"/>
      <c r="D408" s="208"/>
      <c r="E408" s="208"/>
      <c r="F408" s="584"/>
      <c r="G408" s="208"/>
      <c r="H408" s="208"/>
      <c r="I408" s="208"/>
      <c r="J408" s="208"/>
      <c r="K408" s="208"/>
      <c r="L408" s="536"/>
      <c r="M408" s="208"/>
      <c r="N408" s="208"/>
      <c r="O408" s="208"/>
      <c r="P408" s="208"/>
      <c r="Q408" s="208"/>
      <c r="R408" s="208"/>
      <c r="S408" s="208"/>
      <c r="T408" s="208"/>
      <c r="U408" s="208"/>
      <c r="V408" s="208"/>
      <c r="W408" s="208"/>
      <c r="X408" s="208"/>
      <c r="Y408" s="208"/>
      <c r="Z408" s="208"/>
      <c r="AA408" s="208"/>
      <c r="AB408" s="208"/>
      <c r="AC408" s="208"/>
      <c r="AD408" s="208"/>
      <c r="AE408" s="208"/>
      <c r="AF408" s="208"/>
      <c r="AG408" s="208"/>
      <c r="AH408" s="208"/>
      <c r="AI408" s="208"/>
      <c r="AJ408" s="208"/>
      <c r="AK408" s="208"/>
      <c r="AL408" s="208"/>
      <c r="AM408" s="208"/>
      <c r="AN408" s="208"/>
      <c r="AO408" s="208"/>
      <c r="AP408" s="208"/>
      <c r="AQ408" s="208"/>
      <c r="AR408" s="208"/>
      <c r="AS408" s="208"/>
      <c r="AT408" s="208"/>
      <c r="AU408" s="208"/>
      <c r="AV408" s="208"/>
      <c r="AW408" s="208"/>
      <c r="AX408" s="208"/>
      <c r="AY408" s="208"/>
    </row>
    <row r="409">
      <c r="A409" s="208"/>
      <c r="B409" s="533"/>
      <c r="C409" s="208"/>
      <c r="D409" s="208"/>
      <c r="E409" s="208"/>
      <c r="F409" s="584"/>
      <c r="G409" s="208"/>
      <c r="H409" s="208"/>
      <c r="I409" s="208"/>
      <c r="J409" s="208"/>
      <c r="K409" s="208"/>
      <c r="L409" s="536"/>
      <c r="M409" s="208"/>
      <c r="N409" s="208"/>
      <c r="O409" s="208"/>
      <c r="P409" s="208"/>
      <c r="Q409" s="208"/>
      <c r="R409" s="208"/>
      <c r="S409" s="208"/>
      <c r="T409" s="208"/>
      <c r="U409" s="208"/>
      <c r="V409" s="208"/>
      <c r="W409" s="208"/>
      <c r="X409" s="208"/>
      <c r="Y409" s="208"/>
      <c r="Z409" s="208"/>
      <c r="AA409" s="208"/>
      <c r="AB409" s="208"/>
      <c r="AC409" s="208"/>
      <c r="AD409" s="208"/>
      <c r="AE409" s="208"/>
      <c r="AF409" s="208"/>
      <c r="AG409" s="208"/>
      <c r="AH409" s="208"/>
      <c r="AI409" s="208"/>
      <c r="AJ409" s="208"/>
      <c r="AK409" s="208"/>
      <c r="AL409" s="208"/>
      <c r="AM409" s="208"/>
      <c r="AN409" s="208"/>
      <c r="AO409" s="208"/>
      <c r="AP409" s="208"/>
      <c r="AQ409" s="208"/>
      <c r="AR409" s="208"/>
      <c r="AS409" s="208"/>
      <c r="AT409" s="208"/>
      <c r="AU409" s="208"/>
      <c r="AV409" s="208"/>
      <c r="AW409" s="208"/>
      <c r="AX409" s="208"/>
      <c r="AY409" s="208"/>
    </row>
    <row r="410">
      <c r="A410" s="208"/>
      <c r="B410" s="533"/>
      <c r="C410" s="208"/>
      <c r="D410" s="208"/>
      <c r="E410" s="208"/>
      <c r="F410" s="584"/>
      <c r="G410" s="208"/>
      <c r="H410" s="208"/>
      <c r="I410" s="208"/>
      <c r="J410" s="208"/>
      <c r="K410" s="208"/>
      <c r="L410" s="536"/>
      <c r="M410" s="208"/>
      <c r="N410" s="208"/>
      <c r="O410" s="208"/>
      <c r="P410" s="208"/>
      <c r="Q410" s="208"/>
      <c r="R410" s="208"/>
      <c r="S410" s="208"/>
      <c r="T410" s="208"/>
      <c r="U410" s="208"/>
      <c r="V410" s="208"/>
      <c r="W410" s="208"/>
      <c r="X410" s="208"/>
      <c r="Y410" s="208"/>
      <c r="Z410" s="208"/>
      <c r="AA410" s="208"/>
      <c r="AB410" s="208"/>
      <c r="AC410" s="208"/>
      <c r="AD410" s="208"/>
      <c r="AE410" s="208"/>
      <c r="AF410" s="208"/>
      <c r="AG410" s="208"/>
      <c r="AH410" s="208"/>
      <c r="AI410" s="208"/>
      <c r="AJ410" s="208"/>
      <c r="AK410" s="208"/>
      <c r="AL410" s="208"/>
      <c r="AM410" s="208"/>
      <c r="AN410" s="208"/>
      <c r="AO410" s="208"/>
      <c r="AP410" s="208"/>
      <c r="AQ410" s="208"/>
      <c r="AR410" s="208"/>
      <c r="AS410" s="208"/>
      <c r="AT410" s="208"/>
      <c r="AU410" s="208"/>
      <c r="AV410" s="208"/>
      <c r="AW410" s="208"/>
      <c r="AX410" s="208"/>
      <c r="AY410" s="208"/>
    </row>
    <row r="411">
      <c r="A411" s="208"/>
      <c r="B411" s="533"/>
      <c r="C411" s="208"/>
      <c r="D411" s="208"/>
      <c r="E411" s="208"/>
      <c r="F411" s="584"/>
      <c r="G411" s="208"/>
      <c r="H411" s="208"/>
      <c r="I411" s="208"/>
      <c r="J411" s="208"/>
      <c r="K411" s="208"/>
      <c r="L411" s="536"/>
      <c r="M411" s="208"/>
      <c r="N411" s="208"/>
      <c r="O411" s="208"/>
      <c r="P411" s="208"/>
      <c r="Q411" s="208"/>
      <c r="R411" s="208"/>
      <c r="S411" s="208"/>
      <c r="T411" s="208"/>
      <c r="U411" s="208"/>
      <c r="V411" s="208"/>
      <c r="W411" s="208"/>
      <c r="X411" s="208"/>
      <c r="Y411" s="208"/>
      <c r="Z411" s="208"/>
      <c r="AA411" s="208"/>
      <c r="AB411" s="208"/>
      <c r="AC411" s="208"/>
      <c r="AD411" s="208"/>
      <c r="AE411" s="208"/>
      <c r="AF411" s="208"/>
      <c r="AG411" s="208"/>
      <c r="AH411" s="208"/>
      <c r="AI411" s="208"/>
      <c r="AJ411" s="208"/>
      <c r="AK411" s="208"/>
      <c r="AL411" s="208"/>
      <c r="AM411" s="208"/>
      <c r="AN411" s="208"/>
      <c r="AO411" s="208"/>
      <c r="AP411" s="208"/>
      <c r="AQ411" s="208"/>
      <c r="AR411" s="208"/>
      <c r="AS411" s="208"/>
      <c r="AT411" s="208"/>
      <c r="AU411" s="208"/>
      <c r="AV411" s="208"/>
      <c r="AW411" s="208"/>
      <c r="AX411" s="208"/>
      <c r="AY411" s="208"/>
    </row>
    <row r="412">
      <c r="A412" s="208"/>
      <c r="B412" s="533"/>
      <c r="C412" s="208"/>
      <c r="D412" s="208"/>
      <c r="E412" s="208"/>
      <c r="F412" s="584"/>
      <c r="G412" s="208"/>
      <c r="H412" s="208"/>
      <c r="I412" s="208"/>
      <c r="J412" s="208"/>
      <c r="K412" s="208"/>
      <c r="L412" s="536"/>
      <c r="M412" s="208"/>
      <c r="N412" s="208"/>
      <c r="O412" s="208"/>
      <c r="P412" s="208"/>
      <c r="Q412" s="208"/>
      <c r="R412" s="208"/>
      <c r="S412" s="208"/>
      <c r="T412" s="208"/>
      <c r="U412" s="208"/>
      <c r="V412" s="208"/>
      <c r="W412" s="208"/>
      <c r="X412" s="208"/>
      <c r="Y412" s="208"/>
      <c r="Z412" s="208"/>
      <c r="AA412" s="208"/>
      <c r="AB412" s="208"/>
      <c r="AC412" s="208"/>
      <c r="AD412" s="208"/>
      <c r="AE412" s="208"/>
      <c r="AF412" s="208"/>
      <c r="AG412" s="208"/>
      <c r="AH412" s="208"/>
      <c r="AI412" s="208"/>
      <c r="AJ412" s="208"/>
      <c r="AK412" s="208"/>
      <c r="AL412" s="208"/>
      <c r="AM412" s="208"/>
      <c r="AN412" s="208"/>
      <c r="AO412" s="208"/>
      <c r="AP412" s="208"/>
      <c r="AQ412" s="208"/>
      <c r="AR412" s="208"/>
      <c r="AS412" s="208"/>
      <c r="AT412" s="208"/>
      <c r="AU412" s="208"/>
      <c r="AV412" s="208"/>
      <c r="AW412" s="208"/>
      <c r="AX412" s="208"/>
      <c r="AY412" s="208"/>
    </row>
    <row r="413">
      <c r="A413" s="208"/>
      <c r="B413" s="533"/>
      <c r="C413" s="208"/>
      <c r="D413" s="208"/>
      <c r="E413" s="208"/>
      <c r="F413" s="584"/>
      <c r="G413" s="208"/>
      <c r="H413" s="208"/>
      <c r="I413" s="208"/>
      <c r="J413" s="208"/>
      <c r="K413" s="208"/>
      <c r="L413" s="536"/>
      <c r="M413" s="208"/>
      <c r="N413" s="208"/>
      <c r="O413" s="208"/>
      <c r="P413" s="208"/>
      <c r="Q413" s="208"/>
      <c r="R413" s="208"/>
      <c r="S413" s="208"/>
      <c r="T413" s="208"/>
      <c r="U413" s="208"/>
      <c r="V413" s="208"/>
      <c r="W413" s="208"/>
      <c r="X413" s="208"/>
      <c r="Y413" s="208"/>
      <c r="Z413" s="208"/>
      <c r="AA413" s="208"/>
      <c r="AB413" s="208"/>
      <c r="AC413" s="208"/>
      <c r="AD413" s="208"/>
      <c r="AE413" s="208"/>
      <c r="AF413" s="208"/>
      <c r="AG413" s="208"/>
      <c r="AH413" s="208"/>
      <c r="AI413" s="208"/>
      <c r="AJ413" s="208"/>
      <c r="AK413" s="208"/>
      <c r="AL413" s="208"/>
      <c r="AM413" s="208"/>
      <c r="AN413" s="208"/>
      <c r="AO413" s="208"/>
      <c r="AP413" s="208"/>
      <c r="AQ413" s="208"/>
      <c r="AR413" s="208"/>
      <c r="AS413" s="208"/>
      <c r="AT413" s="208"/>
      <c r="AU413" s="208"/>
      <c r="AV413" s="208"/>
      <c r="AW413" s="208"/>
      <c r="AX413" s="208"/>
      <c r="AY413" s="208"/>
    </row>
    <row r="414">
      <c r="A414" s="208"/>
      <c r="B414" s="533"/>
      <c r="C414" s="208"/>
      <c r="D414" s="208"/>
      <c r="E414" s="208"/>
      <c r="F414" s="584"/>
      <c r="G414" s="208"/>
      <c r="H414" s="208"/>
      <c r="I414" s="208"/>
      <c r="J414" s="208"/>
      <c r="K414" s="208"/>
      <c r="L414" s="536"/>
      <c r="M414" s="208"/>
      <c r="N414" s="208"/>
      <c r="O414" s="208"/>
      <c r="P414" s="208"/>
      <c r="Q414" s="208"/>
      <c r="R414" s="208"/>
      <c r="S414" s="208"/>
      <c r="T414" s="208"/>
      <c r="U414" s="208"/>
      <c r="V414" s="208"/>
      <c r="W414" s="208"/>
      <c r="X414" s="208"/>
      <c r="Y414" s="208"/>
      <c r="Z414" s="208"/>
      <c r="AA414" s="208"/>
      <c r="AB414" s="208"/>
      <c r="AC414" s="208"/>
      <c r="AD414" s="208"/>
      <c r="AE414" s="208"/>
      <c r="AF414" s="208"/>
      <c r="AG414" s="208"/>
      <c r="AH414" s="208"/>
      <c r="AI414" s="208"/>
      <c r="AJ414" s="208"/>
      <c r="AK414" s="208"/>
      <c r="AL414" s="208"/>
      <c r="AM414" s="208"/>
      <c r="AN414" s="208"/>
      <c r="AO414" s="208"/>
      <c r="AP414" s="208"/>
      <c r="AQ414" s="208"/>
      <c r="AR414" s="208"/>
      <c r="AS414" s="208"/>
      <c r="AT414" s="208"/>
      <c r="AU414" s="208"/>
      <c r="AV414" s="208"/>
      <c r="AW414" s="208"/>
      <c r="AX414" s="208"/>
      <c r="AY414" s="208"/>
    </row>
    <row r="415">
      <c r="A415" s="208"/>
      <c r="B415" s="533"/>
      <c r="C415" s="208"/>
      <c r="D415" s="208"/>
      <c r="E415" s="208"/>
      <c r="F415" s="584"/>
      <c r="G415" s="208"/>
      <c r="H415" s="208"/>
      <c r="I415" s="208"/>
      <c r="J415" s="208"/>
      <c r="K415" s="208"/>
      <c r="L415" s="536"/>
      <c r="M415" s="208"/>
      <c r="N415" s="208"/>
      <c r="O415" s="208"/>
      <c r="P415" s="208"/>
      <c r="Q415" s="208"/>
      <c r="R415" s="208"/>
      <c r="S415" s="208"/>
      <c r="T415" s="208"/>
      <c r="U415" s="208"/>
      <c r="V415" s="208"/>
      <c r="W415" s="208"/>
      <c r="X415" s="208"/>
      <c r="Y415" s="208"/>
      <c r="Z415" s="208"/>
      <c r="AA415" s="208"/>
      <c r="AB415" s="208"/>
      <c r="AC415" s="208"/>
      <c r="AD415" s="208"/>
      <c r="AE415" s="208"/>
      <c r="AF415" s="208"/>
      <c r="AG415" s="208"/>
      <c r="AH415" s="208"/>
      <c r="AI415" s="208"/>
      <c r="AJ415" s="208"/>
      <c r="AK415" s="208"/>
      <c r="AL415" s="208"/>
      <c r="AM415" s="208"/>
      <c r="AN415" s="208"/>
      <c r="AO415" s="208"/>
      <c r="AP415" s="208"/>
      <c r="AQ415" s="208"/>
      <c r="AR415" s="208"/>
      <c r="AS415" s="208"/>
      <c r="AT415" s="208"/>
      <c r="AU415" s="208"/>
      <c r="AV415" s="208"/>
      <c r="AW415" s="208"/>
      <c r="AX415" s="208"/>
      <c r="AY415" s="208"/>
    </row>
    <row r="416">
      <c r="A416" s="208"/>
      <c r="B416" s="533"/>
      <c r="C416" s="208"/>
      <c r="D416" s="208"/>
      <c r="E416" s="208"/>
      <c r="F416" s="584"/>
      <c r="G416" s="208"/>
      <c r="H416" s="208"/>
      <c r="I416" s="208"/>
      <c r="J416" s="208"/>
      <c r="K416" s="208"/>
      <c r="L416" s="536"/>
      <c r="M416" s="208"/>
      <c r="N416" s="208"/>
      <c r="O416" s="208"/>
      <c r="P416" s="208"/>
      <c r="Q416" s="208"/>
      <c r="R416" s="208"/>
      <c r="S416" s="208"/>
      <c r="T416" s="208"/>
      <c r="U416" s="208"/>
      <c r="V416" s="208"/>
      <c r="W416" s="208"/>
      <c r="X416" s="208"/>
      <c r="Y416" s="208"/>
      <c r="Z416" s="208"/>
      <c r="AA416" s="208"/>
      <c r="AB416" s="208"/>
      <c r="AC416" s="208"/>
      <c r="AD416" s="208"/>
      <c r="AE416" s="208"/>
      <c r="AF416" s="208"/>
      <c r="AG416" s="208"/>
      <c r="AH416" s="208"/>
      <c r="AI416" s="208"/>
      <c r="AJ416" s="208"/>
      <c r="AK416" s="208"/>
      <c r="AL416" s="208"/>
      <c r="AM416" s="208"/>
      <c r="AN416" s="208"/>
      <c r="AO416" s="208"/>
      <c r="AP416" s="208"/>
      <c r="AQ416" s="208"/>
      <c r="AR416" s="208"/>
      <c r="AS416" s="208"/>
      <c r="AT416" s="208"/>
      <c r="AU416" s="208"/>
      <c r="AV416" s="208"/>
      <c r="AW416" s="208"/>
      <c r="AX416" s="208"/>
      <c r="AY416" s="208"/>
    </row>
    <row r="417">
      <c r="A417" s="208"/>
      <c r="B417" s="533"/>
      <c r="C417" s="208"/>
      <c r="D417" s="208"/>
      <c r="E417" s="208"/>
      <c r="F417" s="584"/>
      <c r="G417" s="208"/>
      <c r="H417" s="208"/>
      <c r="I417" s="208"/>
      <c r="J417" s="208"/>
      <c r="K417" s="208"/>
      <c r="L417" s="536"/>
      <c r="M417" s="208"/>
      <c r="N417" s="208"/>
      <c r="O417" s="208"/>
      <c r="P417" s="208"/>
      <c r="Q417" s="208"/>
      <c r="R417" s="208"/>
      <c r="S417" s="208"/>
      <c r="T417" s="208"/>
      <c r="U417" s="208"/>
      <c r="V417" s="208"/>
      <c r="W417" s="208"/>
      <c r="X417" s="208"/>
      <c r="Y417" s="208"/>
      <c r="Z417" s="208"/>
      <c r="AA417" s="208"/>
      <c r="AB417" s="208"/>
      <c r="AC417" s="208"/>
      <c r="AD417" s="208"/>
      <c r="AE417" s="208"/>
      <c r="AF417" s="208"/>
      <c r="AG417" s="208"/>
      <c r="AH417" s="208"/>
      <c r="AI417" s="208"/>
      <c r="AJ417" s="208"/>
      <c r="AK417" s="208"/>
      <c r="AL417" s="208"/>
      <c r="AM417" s="208"/>
      <c r="AN417" s="208"/>
      <c r="AO417" s="208"/>
      <c r="AP417" s="208"/>
      <c r="AQ417" s="208"/>
      <c r="AR417" s="208"/>
      <c r="AS417" s="208"/>
      <c r="AT417" s="208"/>
      <c r="AU417" s="208"/>
      <c r="AV417" s="208"/>
      <c r="AW417" s="208"/>
      <c r="AX417" s="208"/>
      <c r="AY417" s="208"/>
    </row>
    <row r="418">
      <c r="A418" s="208"/>
      <c r="B418" s="533"/>
      <c r="C418" s="208"/>
      <c r="D418" s="208"/>
      <c r="E418" s="208"/>
      <c r="F418" s="584"/>
      <c r="G418" s="208"/>
      <c r="H418" s="208"/>
      <c r="I418" s="208"/>
      <c r="J418" s="208"/>
      <c r="K418" s="208"/>
      <c r="L418" s="536"/>
      <c r="M418" s="208"/>
      <c r="N418" s="208"/>
      <c r="O418" s="208"/>
      <c r="P418" s="208"/>
      <c r="Q418" s="208"/>
      <c r="R418" s="208"/>
      <c r="S418" s="208"/>
      <c r="T418" s="208"/>
      <c r="U418" s="208"/>
      <c r="V418" s="208"/>
      <c r="W418" s="208"/>
      <c r="X418" s="208"/>
      <c r="Y418" s="208"/>
      <c r="Z418" s="208"/>
      <c r="AA418" s="208"/>
      <c r="AB418" s="208"/>
      <c r="AC418" s="208"/>
      <c r="AD418" s="208"/>
      <c r="AE418" s="208"/>
      <c r="AF418" s="208"/>
      <c r="AG418" s="208"/>
      <c r="AH418" s="208"/>
      <c r="AI418" s="208"/>
      <c r="AJ418" s="208"/>
      <c r="AK418" s="208"/>
      <c r="AL418" s="208"/>
      <c r="AM418" s="208"/>
      <c r="AN418" s="208"/>
      <c r="AO418" s="208"/>
      <c r="AP418" s="208"/>
      <c r="AQ418" s="208"/>
      <c r="AR418" s="208"/>
      <c r="AS418" s="208"/>
      <c r="AT418" s="208"/>
      <c r="AU418" s="208"/>
      <c r="AV418" s="208"/>
      <c r="AW418" s="208"/>
      <c r="AX418" s="208"/>
      <c r="AY418" s="208"/>
    </row>
    <row r="419">
      <c r="A419" s="208"/>
      <c r="B419" s="533"/>
      <c r="C419" s="208"/>
      <c r="D419" s="208"/>
      <c r="E419" s="208"/>
      <c r="F419" s="584"/>
      <c r="G419" s="208"/>
      <c r="H419" s="208"/>
      <c r="I419" s="208"/>
      <c r="J419" s="208"/>
      <c r="K419" s="208"/>
      <c r="L419" s="536"/>
      <c r="M419" s="208"/>
      <c r="N419" s="208"/>
      <c r="O419" s="208"/>
      <c r="P419" s="208"/>
      <c r="Q419" s="208"/>
      <c r="R419" s="208"/>
      <c r="S419" s="208"/>
      <c r="T419" s="208"/>
      <c r="U419" s="208"/>
      <c r="V419" s="208"/>
      <c r="W419" s="208"/>
      <c r="X419" s="208"/>
      <c r="Y419" s="208"/>
      <c r="Z419" s="208"/>
      <c r="AA419" s="208"/>
      <c r="AB419" s="208"/>
      <c r="AC419" s="208"/>
      <c r="AD419" s="208"/>
      <c r="AE419" s="208"/>
      <c r="AF419" s="208"/>
      <c r="AG419" s="208"/>
      <c r="AH419" s="208"/>
      <c r="AI419" s="208"/>
      <c r="AJ419" s="208"/>
      <c r="AK419" s="208"/>
      <c r="AL419" s="208"/>
      <c r="AM419" s="208"/>
      <c r="AN419" s="208"/>
      <c r="AO419" s="208"/>
      <c r="AP419" s="208"/>
      <c r="AQ419" s="208"/>
      <c r="AR419" s="208"/>
      <c r="AS419" s="208"/>
      <c r="AT419" s="208"/>
      <c r="AU419" s="208"/>
      <c r="AV419" s="208"/>
      <c r="AW419" s="208"/>
      <c r="AX419" s="208"/>
      <c r="AY419" s="208"/>
    </row>
    <row r="420">
      <c r="A420" s="208"/>
      <c r="B420" s="533"/>
      <c r="C420" s="208"/>
      <c r="D420" s="208"/>
      <c r="E420" s="208"/>
      <c r="F420" s="584"/>
      <c r="G420" s="208"/>
      <c r="H420" s="208"/>
      <c r="I420" s="208"/>
      <c r="J420" s="208"/>
      <c r="K420" s="208"/>
      <c r="L420" s="536"/>
      <c r="M420" s="208"/>
      <c r="N420" s="208"/>
      <c r="O420" s="208"/>
      <c r="P420" s="208"/>
      <c r="Q420" s="208"/>
      <c r="R420" s="208"/>
      <c r="S420" s="208"/>
      <c r="T420" s="208"/>
      <c r="U420" s="208"/>
      <c r="V420" s="208"/>
      <c r="W420" s="208"/>
      <c r="X420" s="208"/>
      <c r="Y420" s="208"/>
      <c r="Z420" s="208"/>
      <c r="AA420" s="208"/>
      <c r="AB420" s="208"/>
      <c r="AC420" s="208"/>
      <c r="AD420" s="208"/>
      <c r="AE420" s="208"/>
      <c r="AF420" s="208"/>
      <c r="AG420" s="208"/>
      <c r="AH420" s="208"/>
      <c r="AI420" s="208"/>
      <c r="AJ420" s="208"/>
      <c r="AK420" s="208"/>
      <c r="AL420" s="208"/>
      <c r="AM420" s="208"/>
      <c r="AN420" s="208"/>
      <c r="AO420" s="208"/>
      <c r="AP420" s="208"/>
      <c r="AQ420" s="208"/>
      <c r="AR420" s="208"/>
      <c r="AS420" s="208"/>
      <c r="AT420" s="208"/>
      <c r="AU420" s="208"/>
      <c r="AV420" s="208"/>
      <c r="AW420" s="208"/>
      <c r="AX420" s="208"/>
      <c r="AY420" s="208"/>
    </row>
    <row r="421">
      <c r="A421" s="208"/>
      <c r="B421" s="533"/>
      <c r="C421" s="208"/>
      <c r="D421" s="208"/>
      <c r="E421" s="208"/>
      <c r="F421" s="584"/>
      <c r="G421" s="208"/>
      <c r="H421" s="208"/>
      <c r="I421" s="208"/>
      <c r="J421" s="208"/>
      <c r="K421" s="208"/>
      <c r="L421" s="536"/>
      <c r="M421" s="208"/>
      <c r="N421" s="208"/>
      <c r="O421" s="208"/>
      <c r="P421" s="208"/>
      <c r="Q421" s="208"/>
      <c r="R421" s="208"/>
      <c r="S421" s="208"/>
      <c r="T421" s="208"/>
      <c r="U421" s="208"/>
      <c r="V421" s="208"/>
      <c r="W421" s="208"/>
      <c r="X421" s="208"/>
      <c r="Y421" s="208"/>
      <c r="Z421" s="208"/>
      <c r="AA421" s="208"/>
      <c r="AB421" s="208"/>
      <c r="AC421" s="208"/>
      <c r="AD421" s="208"/>
      <c r="AE421" s="208"/>
      <c r="AF421" s="208"/>
      <c r="AG421" s="208"/>
      <c r="AH421" s="208"/>
      <c r="AI421" s="208"/>
      <c r="AJ421" s="208"/>
      <c r="AK421" s="208"/>
      <c r="AL421" s="208"/>
      <c r="AM421" s="208"/>
      <c r="AN421" s="208"/>
      <c r="AO421" s="208"/>
      <c r="AP421" s="208"/>
      <c r="AQ421" s="208"/>
      <c r="AR421" s="208"/>
      <c r="AS421" s="208"/>
      <c r="AT421" s="208"/>
      <c r="AU421" s="208"/>
      <c r="AV421" s="208"/>
      <c r="AW421" s="208"/>
      <c r="AX421" s="208"/>
      <c r="AY421" s="208"/>
    </row>
    <row r="422">
      <c r="A422" s="208"/>
      <c r="B422" s="533"/>
      <c r="C422" s="208"/>
      <c r="D422" s="208"/>
      <c r="E422" s="208"/>
      <c r="F422" s="584"/>
      <c r="G422" s="208"/>
      <c r="H422" s="208"/>
      <c r="I422" s="208"/>
      <c r="J422" s="208"/>
      <c r="K422" s="208"/>
      <c r="L422" s="536"/>
      <c r="M422" s="208"/>
      <c r="N422" s="208"/>
      <c r="O422" s="208"/>
      <c r="P422" s="208"/>
      <c r="Q422" s="208"/>
      <c r="R422" s="208"/>
      <c r="S422" s="208"/>
      <c r="T422" s="208"/>
      <c r="U422" s="208"/>
      <c r="V422" s="208"/>
      <c r="W422" s="208"/>
      <c r="X422" s="208"/>
      <c r="Y422" s="208"/>
      <c r="Z422" s="208"/>
      <c r="AA422" s="208"/>
      <c r="AB422" s="208"/>
      <c r="AC422" s="208"/>
      <c r="AD422" s="208"/>
      <c r="AE422" s="208"/>
      <c r="AF422" s="208"/>
      <c r="AG422" s="208"/>
      <c r="AH422" s="208"/>
      <c r="AI422" s="208"/>
      <c r="AJ422" s="208"/>
      <c r="AK422" s="208"/>
      <c r="AL422" s="208"/>
      <c r="AM422" s="208"/>
      <c r="AN422" s="208"/>
      <c r="AO422" s="208"/>
      <c r="AP422" s="208"/>
      <c r="AQ422" s="208"/>
      <c r="AR422" s="208"/>
      <c r="AS422" s="208"/>
      <c r="AT422" s="208"/>
      <c r="AU422" s="208"/>
      <c r="AV422" s="208"/>
      <c r="AW422" s="208"/>
      <c r="AX422" s="208"/>
      <c r="AY422" s="208"/>
    </row>
    <row r="423">
      <c r="A423" s="208"/>
      <c r="B423" s="533"/>
      <c r="C423" s="208"/>
      <c r="D423" s="208"/>
      <c r="E423" s="208"/>
      <c r="F423" s="584"/>
      <c r="G423" s="208"/>
      <c r="H423" s="208"/>
      <c r="I423" s="208"/>
      <c r="J423" s="208"/>
      <c r="K423" s="208"/>
      <c r="L423" s="536"/>
      <c r="M423" s="208"/>
      <c r="N423" s="208"/>
      <c r="O423" s="208"/>
      <c r="P423" s="208"/>
      <c r="Q423" s="208"/>
      <c r="R423" s="208"/>
      <c r="S423" s="208"/>
      <c r="T423" s="208"/>
      <c r="U423" s="208"/>
      <c r="V423" s="208"/>
      <c r="W423" s="208"/>
      <c r="X423" s="208"/>
      <c r="Y423" s="208"/>
      <c r="Z423" s="208"/>
      <c r="AA423" s="208"/>
      <c r="AB423" s="208"/>
      <c r="AC423" s="208"/>
      <c r="AD423" s="208"/>
      <c r="AE423" s="208"/>
      <c r="AF423" s="208"/>
      <c r="AG423" s="208"/>
      <c r="AH423" s="208"/>
      <c r="AI423" s="208"/>
      <c r="AJ423" s="208"/>
      <c r="AK423" s="208"/>
      <c r="AL423" s="208"/>
      <c r="AM423" s="208"/>
      <c r="AN423" s="208"/>
      <c r="AO423" s="208"/>
      <c r="AP423" s="208"/>
      <c r="AQ423" s="208"/>
      <c r="AR423" s="208"/>
      <c r="AS423" s="208"/>
      <c r="AT423" s="208"/>
      <c r="AU423" s="208"/>
      <c r="AV423" s="208"/>
      <c r="AW423" s="208"/>
      <c r="AX423" s="208"/>
      <c r="AY423" s="208"/>
    </row>
    <row r="424">
      <c r="A424" s="208"/>
      <c r="B424" s="533"/>
      <c r="C424" s="208"/>
      <c r="D424" s="208"/>
      <c r="E424" s="208"/>
      <c r="F424" s="584"/>
      <c r="G424" s="208"/>
      <c r="H424" s="208"/>
      <c r="I424" s="208"/>
      <c r="J424" s="208"/>
      <c r="K424" s="208"/>
      <c r="L424" s="536"/>
      <c r="M424" s="208"/>
      <c r="N424" s="208"/>
      <c r="O424" s="208"/>
      <c r="P424" s="208"/>
      <c r="Q424" s="208"/>
      <c r="R424" s="208"/>
      <c r="S424" s="208"/>
      <c r="T424" s="208"/>
      <c r="U424" s="208"/>
      <c r="V424" s="208"/>
      <c r="W424" s="208"/>
      <c r="X424" s="208"/>
      <c r="Y424" s="208"/>
      <c r="Z424" s="208"/>
      <c r="AA424" s="208"/>
      <c r="AB424" s="208"/>
      <c r="AC424" s="208"/>
      <c r="AD424" s="208"/>
      <c r="AE424" s="208"/>
      <c r="AF424" s="208"/>
      <c r="AG424" s="208"/>
      <c r="AH424" s="208"/>
      <c r="AI424" s="208"/>
      <c r="AJ424" s="208"/>
      <c r="AK424" s="208"/>
      <c r="AL424" s="208"/>
      <c r="AM424" s="208"/>
      <c r="AN424" s="208"/>
      <c r="AO424" s="208"/>
      <c r="AP424" s="208"/>
      <c r="AQ424" s="208"/>
      <c r="AR424" s="208"/>
      <c r="AS424" s="208"/>
      <c r="AT424" s="208"/>
      <c r="AU424" s="208"/>
      <c r="AV424" s="208"/>
      <c r="AW424" s="208"/>
      <c r="AX424" s="208"/>
      <c r="AY424" s="208"/>
    </row>
    <row r="425">
      <c r="A425" s="208"/>
      <c r="B425" s="533"/>
      <c r="C425" s="208"/>
      <c r="D425" s="208"/>
      <c r="E425" s="208"/>
      <c r="F425" s="584"/>
      <c r="G425" s="208"/>
      <c r="H425" s="208"/>
      <c r="I425" s="208"/>
      <c r="J425" s="208"/>
      <c r="K425" s="208"/>
      <c r="L425" s="536"/>
      <c r="M425" s="208"/>
      <c r="N425" s="208"/>
      <c r="O425" s="208"/>
      <c r="P425" s="208"/>
      <c r="Q425" s="208"/>
      <c r="R425" s="208"/>
      <c r="S425" s="208"/>
      <c r="T425" s="208"/>
      <c r="U425" s="208"/>
      <c r="V425" s="208"/>
      <c r="W425" s="208"/>
      <c r="X425" s="208"/>
      <c r="Y425" s="208"/>
      <c r="Z425" s="208"/>
      <c r="AA425" s="208"/>
      <c r="AB425" s="208"/>
      <c r="AC425" s="208"/>
      <c r="AD425" s="208"/>
      <c r="AE425" s="208"/>
      <c r="AF425" s="208"/>
      <c r="AG425" s="208"/>
      <c r="AH425" s="208"/>
      <c r="AI425" s="208"/>
      <c r="AJ425" s="208"/>
      <c r="AK425" s="208"/>
      <c r="AL425" s="208"/>
      <c r="AM425" s="208"/>
      <c r="AN425" s="208"/>
      <c r="AO425" s="208"/>
      <c r="AP425" s="208"/>
      <c r="AQ425" s="208"/>
      <c r="AR425" s="208"/>
      <c r="AS425" s="208"/>
      <c r="AT425" s="208"/>
      <c r="AU425" s="208"/>
      <c r="AV425" s="208"/>
      <c r="AW425" s="208"/>
      <c r="AX425" s="208"/>
      <c r="AY425" s="208"/>
    </row>
    <row r="426">
      <c r="A426" s="208"/>
      <c r="B426" s="533"/>
      <c r="C426" s="208"/>
      <c r="D426" s="208"/>
      <c r="E426" s="208"/>
      <c r="F426" s="584"/>
      <c r="G426" s="208"/>
      <c r="H426" s="208"/>
      <c r="I426" s="208"/>
      <c r="J426" s="208"/>
      <c r="K426" s="208"/>
      <c r="L426" s="536"/>
      <c r="M426" s="208"/>
      <c r="N426" s="208"/>
      <c r="O426" s="208"/>
      <c r="P426" s="208"/>
      <c r="Q426" s="208"/>
      <c r="R426" s="208"/>
      <c r="S426" s="208"/>
      <c r="T426" s="208"/>
      <c r="U426" s="208"/>
      <c r="V426" s="208"/>
      <c r="W426" s="208"/>
      <c r="X426" s="208"/>
      <c r="Y426" s="208"/>
      <c r="Z426" s="208"/>
      <c r="AA426" s="208"/>
      <c r="AB426" s="208"/>
      <c r="AC426" s="208"/>
      <c r="AD426" s="208"/>
      <c r="AE426" s="208"/>
      <c r="AF426" s="208"/>
      <c r="AG426" s="208"/>
      <c r="AH426" s="208"/>
      <c r="AI426" s="208"/>
      <c r="AJ426" s="208"/>
      <c r="AK426" s="208"/>
      <c r="AL426" s="208"/>
      <c r="AM426" s="208"/>
      <c r="AN426" s="208"/>
      <c r="AO426" s="208"/>
      <c r="AP426" s="208"/>
      <c r="AQ426" s="208"/>
      <c r="AR426" s="208"/>
      <c r="AS426" s="208"/>
      <c r="AT426" s="208"/>
      <c r="AU426" s="208"/>
      <c r="AV426" s="208"/>
      <c r="AW426" s="208"/>
      <c r="AX426" s="208"/>
      <c r="AY426" s="208"/>
    </row>
    <row r="427">
      <c r="A427" s="208"/>
      <c r="B427" s="533"/>
      <c r="C427" s="208"/>
      <c r="D427" s="208"/>
      <c r="E427" s="208"/>
      <c r="F427" s="584"/>
      <c r="G427" s="208"/>
      <c r="H427" s="208"/>
      <c r="I427" s="208"/>
      <c r="J427" s="208"/>
      <c r="K427" s="208"/>
      <c r="L427" s="536"/>
      <c r="M427" s="208"/>
      <c r="N427" s="208"/>
      <c r="O427" s="208"/>
      <c r="P427" s="208"/>
      <c r="Q427" s="208"/>
      <c r="R427" s="208"/>
      <c r="S427" s="208"/>
      <c r="T427" s="208"/>
      <c r="U427" s="208"/>
      <c r="V427" s="208"/>
      <c r="W427" s="208"/>
      <c r="X427" s="208"/>
      <c r="Y427" s="208"/>
      <c r="Z427" s="208"/>
      <c r="AA427" s="208"/>
      <c r="AB427" s="208"/>
      <c r="AC427" s="208"/>
      <c r="AD427" s="208"/>
      <c r="AE427" s="208"/>
      <c r="AF427" s="208"/>
      <c r="AG427" s="208"/>
      <c r="AH427" s="208"/>
      <c r="AI427" s="208"/>
      <c r="AJ427" s="208"/>
      <c r="AK427" s="208"/>
      <c r="AL427" s="208"/>
      <c r="AM427" s="208"/>
      <c r="AN427" s="208"/>
      <c r="AO427" s="208"/>
      <c r="AP427" s="208"/>
      <c r="AQ427" s="208"/>
      <c r="AR427" s="208"/>
      <c r="AS427" s="208"/>
      <c r="AT427" s="208"/>
      <c r="AU427" s="208"/>
      <c r="AV427" s="208"/>
      <c r="AW427" s="208"/>
      <c r="AX427" s="208"/>
      <c r="AY427" s="208"/>
    </row>
    <row r="428">
      <c r="A428" s="208"/>
      <c r="B428" s="533"/>
      <c r="C428" s="208"/>
      <c r="D428" s="208"/>
      <c r="E428" s="208"/>
      <c r="F428" s="584"/>
      <c r="G428" s="208"/>
      <c r="H428" s="208"/>
      <c r="I428" s="208"/>
      <c r="J428" s="208"/>
      <c r="K428" s="208"/>
      <c r="L428" s="536"/>
      <c r="M428" s="208"/>
      <c r="N428" s="208"/>
      <c r="O428" s="208"/>
      <c r="P428" s="208"/>
      <c r="Q428" s="208"/>
      <c r="R428" s="208"/>
      <c r="S428" s="208"/>
      <c r="T428" s="208"/>
      <c r="U428" s="208"/>
      <c r="V428" s="208"/>
      <c r="W428" s="208"/>
      <c r="X428" s="208"/>
      <c r="Y428" s="208"/>
      <c r="Z428" s="208"/>
      <c r="AA428" s="208"/>
      <c r="AB428" s="208"/>
      <c r="AC428" s="208"/>
      <c r="AD428" s="208"/>
      <c r="AE428" s="208"/>
      <c r="AF428" s="208"/>
      <c r="AG428" s="208"/>
      <c r="AH428" s="208"/>
      <c r="AI428" s="208"/>
      <c r="AJ428" s="208"/>
      <c r="AK428" s="208"/>
      <c r="AL428" s="208"/>
      <c r="AM428" s="208"/>
      <c r="AN428" s="208"/>
      <c r="AO428" s="208"/>
      <c r="AP428" s="208"/>
      <c r="AQ428" s="208"/>
      <c r="AR428" s="208"/>
      <c r="AS428" s="208"/>
      <c r="AT428" s="208"/>
      <c r="AU428" s="208"/>
      <c r="AV428" s="208"/>
      <c r="AW428" s="208"/>
      <c r="AX428" s="208"/>
      <c r="AY428" s="208"/>
    </row>
    <row r="429">
      <c r="A429" s="208"/>
      <c r="B429" s="533"/>
      <c r="C429" s="208"/>
      <c r="D429" s="208"/>
      <c r="E429" s="208"/>
      <c r="F429" s="584"/>
      <c r="G429" s="208"/>
      <c r="H429" s="208"/>
      <c r="I429" s="208"/>
      <c r="J429" s="208"/>
      <c r="K429" s="208"/>
      <c r="L429" s="536"/>
      <c r="M429" s="208"/>
      <c r="N429" s="208"/>
      <c r="O429" s="208"/>
      <c r="P429" s="208"/>
      <c r="Q429" s="208"/>
      <c r="R429" s="208"/>
      <c r="S429" s="208"/>
      <c r="T429" s="208"/>
      <c r="U429" s="208"/>
      <c r="V429" s="208"/>
      <c r="W429" s="208"/>
      <c r="X429" s="208"/>
      <c r="Y429" s="208"/>
      <c r="Z429" s="208"/>
      <c r="AA429" s="208"/>
      <c r="AB429" s="208"/>
      <c r="AC429" s="208"/>
      <c r="AD429" s="208"/>
      <c r="AE429" s="208"/>
      <c r="AF429" s="208"/>
      <c r="AG429" s="208"/>
      <c r="AH429" s="208"/>
      <c r="AI429" s="208"/>
      <c r="AJ429" s="208"/>
      <c r="AK429" s="208"/>
      <c r="AL429" s="208"/>
      <c r="AM429" s="208"/>
      <c r="AN429" s="208"/>
      <c r="AO429" s="208"/>
      <c r="AP429" s="208"/>
      <c r="AQ429" s="208"/>
      <c r="AR429" s="208"/>
      <c r="AS429" s="208"/>
      <c r="AT429" s="208"/>
      <c r="AU429" s="208"/>
      <c r="AV429" s="208"/>
      <c r="AW429" s="208"/>
      <c r="AX429" s="208"/>
      <c r="AY429" s="208"/>
    </row>
    <row r="430">
      <c r="A430" s="208"/>
      <c r="B430" s="533"/>
      <c r="C430" s="208"/>
      <c r="D430" s="208"/>
      <c r="E430" s="208"/>
      <c r="F430" s="584"/>
      <c r="G430" s="208"/>
      <c r="H430" s="208"/>
      <c r="I430" s="208"/>
      <c r="J430" s="208"/>
      <c r="K430" s="208"/>
      <c r="L430" s="536"/>
      <c r="M430" s="208"/>
      <c r="N430" s="208"/>
      <c r="O430" s="208"/>
      <c r="P430" s="208"/>
      <c r="Q430" s="208"/>
      <c r="R430" s="208"/>
      <c r="S430" s="208"/>
      <c r="T430" s="208"/>
      <c r="U430" s="208"/>
      <c r="V430" s="208"/>
      <c r="W430" s="208"/>
      <c r="X430" s="208"/>
      <c r="Y430" s="208"/>
      <c r="Z430" s="208"/>
      <c r="AA430" s="208"/>
      <c r="AB430" s="208"/>
      <c r="AC430" s="208"/>
      <c r="AD430" s="208"/>
      <c r="AE430" s="208"/>
      <c r="AF430" s="208"/>
      <c r="AG430" s="208"/>
      <c r="AH430" s="208"/>
      <c r="AI430" s="208"/>
      <c r="AJ430" s="208"/>
      <c r="AK430" s="208"/>
      <c r="AL430" s="208"/>
      <c r="AM430" s="208"/>
      <c r="AN430" s="208"/>
      <c r="AO430" s="208"/>
      <c r="AP430" s="208"/>
      <c r="AQ430" s="208"/>
      <c r="AR430" s="208"/>
      <c r="AS430" s="208"/>
      <c r="AT430" s="208"/>
      <c r="AU430" s="208"/>
      <c r="AV430" s="208"/>
      <c r="AW430" s="208"/>
      <c r="AX430" s="208"/>
      <c r="AY430" s="208"/>
    </row>
    <row r="431">
      <c r="A431" s="208"/>
      <c r="B431" s="533"/>
      <c r="C431" s="208"/>
      <c r="D431" s="208"/>
      <c r="E431" s="208"/>
      <c r="F431" s="584"/>
      <c r="G431" s="208"/>
      <c r="H431" s="208"/>
      <c r="I431" s="208"/>
      <c r="J431" s="208"/>
      <c r="K431" s="208"/>
      <c r="L431" s="536"/>
      <c r="M431" s="208"/>
      <c r="N431" s="208"/>
      <c r="O431" s="208"/>
      <c r="P431" s="208"/>
      <c r="Q431" s="208"/>
      <c r="R431" s="208"/>
      <c r="S431" s="208"/>
      <c r="T431" s="208"/>
      <c r="U431" s="208"/>
      <c r="V431" s="208"/>
      <c r="W431" s="208"/>
      <c r="X431" s="208"/>
      <c r="Y431" s="208"/>
      <c r="Z431" s="208"/>
      <c r="AA431" s="208"/>
      <c r="AB431" s="208"/>
      <c r="AC431" s="208"/>
      <c r="AD431" s="208"/>
      <c r="AE431" s="208"/>
      <c r="AF431" s="208"/>
      <c r="AG431" s="208"/>
      <c r="AH431" s="208"/>
      <c r="AI431" s="208"/>
      <c r="AJ431" s="208"/>
      <c r="AK431" s="208"/>
      <c r="AL431" s="208"/>
      <c r="AM431" s="208"/>
      <c r="AN431" s="208"/>
      <c r="AO431" s="208"/>
      <c r="AP431" s="208"/>
      <c r="AQ431" s="208"/>
      <c r="AR431" s="208"/>
      <c r="AS431" s="208"/>
      <c r="AT431" s="208"/>
      <c r="AU431" s="208"/>
      <c r="AV431" s="208"/>
      <c r="AW431" s="208"/>
      <c r="AX431" s="208"/>
      <c r="AY431" s="208"/>
    </row>
    <row r="432">
      <c r="A432" s="208"/>
      <c r="B432" s="533"/>
      <c r="C432" s="208"/>
      <c r="D432" s="208"/>
      <c r="E432" s="208"/>
      <c r="F432" s="584"/>
      <c r="G432" s="208"/>
      <c r="H432" s="208"/>
      <c r="I432" s="208"/>
      <c r="J432" s="208"/>
      <c r="K432" s="208"/>
      <c r="L432" s="536"/>
      <c r="M432" s="208"/>
      <c r="N432" s="208"/>
      <c r="O432" s="208"/>
      <c r="P432" s="208"/>
      <c r="Q432" s="208"/>
      <c r="R432" s="208"/>
      <c r="S432" s="208"/>
      <c r="T432" s="208"/>
      <c r="U432" s="208"/>
      <c r="V432" s="208"/>
      <c r="W432" s="208"/>
      <c r="X432" s="208"/>
      <c r="Y432" s="208"/>
      <c r="Z432" s="208"/>
      <c r="AA432" s="208"/>
      <c r="AB432" s="208"/>
      <c r="AC432" s="208"/>
      <c r="AD432" s="208"/>
      <c r="AE432" s="208"/>
      <c r="AF432" s="208"/>
      <c r="AG432" s="208"/>
      <c r="AH432" s="208"/>
      <c r="AI432" s="208"/>
      <c r="AJ432" s="208"/>
      <c r="AK432" s="208"/>
      <c r="AL432" s="208"/>
      <c r="AM432" s="208"/>
      <c r="AN432" s="208"/>
      <c r="AO432" s="208"/>
      <c r="AP432" s="208"/>
      <c r="AQ432" s="208"/>
      <c r="AR432" s="208"/>
      <c r="AS432" s="208"/>
      <c r="AT432" s="208"/>
      <c r="AU432" s="208"/>
      <c r="AV432" s="208"/>
      <c r="AW432" s="208"/>
      <c r="AX432" s="208"/>
      <c r="AY432" s="208"/>
    </row>
    <row r="433">
      <c r="A433" s="208"/>
      <c r="B433" s="533"/>
      <c r="C433" s="208"/>
      <c r="D433" s="208"/>
      <c r="E433" s="208"/>
      <c r="F433" s="584"/>
      <c r="G433" s="208"/>
      <c r="H433" s="208"/>
      <c r="I433" s="208"/>
      <c r="J433" s="208"/>
      <c r="K433" s="208"/>
      <c r="L433" s="536"/>
      <c r="M433" s="208"/>
      <c r="N433" s="208"/>
      <c r="O433" s="208"/>
      <c r="P433" s="208"/>
      <c r="Q433" s="208"/>
      <c r="R433" s="208"/>
      <c r="S433" s="208"/>
      <c r="T433" s="208"/>
      <c r="U433" s="208"/>
      <c r="V433" s="208"/>
      <c r="W433" s="208"/>
      <c r="X433" s="208"/>
      <c r="Y433" s="208"/>
      <c r="Z433" s="208"/>
      <c r="AA433" s="208"/>
      <c r="AB433" s="208"/>
      <c r="AC433" s="208"/>
      <c r="AD433" s="208"/>
      <c r="AE433" s="208"/>
      <c r="AF433" s="208"/>
      <c r="AG433" s="208"/>
      <c r="AH433" s="208"/>
      <c r="AI433" s="208"/>
      <c r="AJ433" s="208"/>
      <c r="AK433" s="208"/>
      <c r="AL433" s="208"/>
      <c r="AM433" s="208"/>
      <c r="AN433" s="208"/>
      <c r="AO433" s="208"/>
      <c r="AP433" s="208"/>
      <c r="AQ433" s="208"/>
      <c r="AR433" s="208"/>
      <c r="AS433" s="208"/>
      <c r="AT433" s="208"/>
      <c r="AU433" s="208"/>
      <c r="AV433" s="208"/>
      <c r="AW433" s="208"/>
      <c r="AX433" s="208"/>
      <c r="AY433" s="208"/>
    </row>
    <row r="434">
      <c r="A434" s="208"/>
      <c r="B434" s="533"/>
      <c r="C434" s="208"/>
      <c r="D434" s="208"/>
      <c r="E434" s="208"/>
      <c r="F434" s="584"/>
      <c r="G434" s="208"/>
      <c r="H434" s="208"/>
      <c r="I434" s="208"/>
      <c r="J434" s="208"/>
      <c r="K434" s="208"/>
      <c r="L434" s="536"/>
      <c r="M434" s="208"/>
      <c r="N434" s="208"/>
      <c r="O434" s="208"/>
      <c r="P434" s="208"/>
      <c r="Q434" s="208"/>
      <c r="R434" s="208"/>
      <c r="S434" s="208"/>
      <c r="T434" s="208"/>
      <c r="U434" s="208"/>
      <c r="V434" s="208"/>
      <c r="W434" s="208"/>
      <c r="X434" s="208"/>
      <c r="Y434" s="208"/>
      <c r="Z434" s="208"/>
      <c r="AA434" s="208"/>
      <c r="AB434" s="208"/>
      <c r="AC434" s="208"/>
      <c r="AD434" s="208"/>
      <c r="AE434" s="208"/>
      <c r="AF434" s="208"/>
      <c r="AG434" s="208"/>
      <c r="AH434" s="208"/>
      <c r="AI434" s="208"/>
      <c r="AJ434" s="208"/>
      <c r="AK434" s="208"/>
      <c r="AL434" s="208"/>
      <c r="AM434" s="208"/>
      <c r="AN434" s="208"/>
      <c r="AO434" s="208"/>
      <c r="AP434" s="208"/>
      <c r="AQ434" s="208"/>
      <c r="AR434" s="208"/>
      <c r="AS434" s="208"/>
      <c r="AT434" s="208"/>
      <c r="AU434" s="208"/>
      <c r="AV434" s="208"/>
      <c r="AW434" s="208"/>
      <c r="AX434" s="208"/>
      <c r="AY434" s="208"/>
    </row>
    <row r="435">
      <c r="A435" s="208"/>
      <c r="B435" s="533"/>
      <c r="C435" s="208"/>
      <c r="D435" s="208"/>
      <c r="E435" s="208"/>
      <c r="F435" s="584"/>
      <c r="G435" s="208"/>
      <c r="H435" s="208"/>
      <c r="I435" s="208"/>
      <c r="J435" s="208"/>
      <c r="K435" s="208"/>
      <c r="L435" s="536"/>
      <c r="M435" s="208"/>
      <c r="N435" s="208"/>
      <c r="O435" s="208"/>
      <c r="P435" s="208"/>
      <c r="Q435" s="208"/>
      <c r="R435" s="208"/>
      <c r="S435" s="208"/>
      <c r="T435" s="208"/>
      <c r="U435" s="208"/>
      <c r="V435" s="208"/>
      <c r="W435" s="208"/>
      <c r="X435" s="208"/>
      <c r="Y435" s="208"/>
      <c r="Z435" s="208"/>
      <c r="AA435" s="208"/>
      <c r="AB435" s="208"/>
      <c r="AC435" s="208"/>
      <c r="AD435" s="208"/>
      <c r="AE435" s="208"/>
      <c r="AF435" s="208"/>
      <c r="AG435" s="208"/>
      <c r="AH435" s="208"/>
      <c r="AI435" s="208"/>
      <c r="AJ435" s="208"/>
      <c r="AK435" s="208"/>
      <c r="AL435" s="208"/>
      <c r="AM435" s="208"/>
      <c r="AN435" s="208"/>
      <c r="AO435" s="208"/>
      <c r="AP435" s="208"/>
      <c r="AQ435" s="208"/>
      <c r="AR435" s="208"/>
      <c r="AS435" s="208"/>
      <c r="AT435" s="208"/>
      <c r="AU435" s="208"/>
      <c r="AV435" s="208"/>
      <c r="AW435" s="208"/>
      <c r="AX435" s="208"/>
      <c r="AY435" s="208"/>
    </row>
    <row r="436">
      <c r="A436" s="208"/>
      <c r="B436" s="533"/>
      <c r="C436" s="208"/>
      <c r="D436" s="208"/>
      <c r="E436" s="208"/>
      <c r="F436" s="584"/>
      <c r="G436" s="208"/>
      <c r="H436" s="208"/>
      <c r="I436" s="208"/>
      <c r="J436" s="208"/>
      <c r="K436" s="208"/>
      <c r="L436" s="536"/>
      <c r="M436" s="208"/>
      <c r="N436" s="208"/>
      <c r="O436" s="208"/>
      <c r="P436" s="208"/>
      <c r="Q436" s="208"/>
      <c r="R436" s="208"/>
      <c r="S436" s="208"/>
      <c r="T436" s="208"/>
      <c r="U436" s="208"/>
      <c r="V436" s="208"/>
      <c r="W436" s="208"/>
      <c r="X436" s="208"/>
      <c r="Y436" s="208"/>
      <c r="Z436" s="208"/>
      <c r="AA436" s="208"/>
      <c r="AB436" s="208"/>
      <c r="AC436" s="208"/>
      <c r="AD436" s="208"/>
      <c r="AE436" s="208"/>
      <c r="AF436" s="208"/>
      <c r="AG436" s="208"/>
      <c r="AH436" s="208"/>
      <c r="AI436" s="208"/>
      <c r="AJ436" s="208"/>
      <c r="AK436" s="208"/>
      <c r="AL436" s="208"/>
      <c r="AM436" s="208"/>
      <c r="AN436" s="208"/>
      <c r="AO436" s="208"/>
      <c r="AP436" s="208"/>
      <c r="AQ436" s="208"/>
      <c r="AR436" s="208"/>
      <c r="AS436" s="208"/>
      <c r="AT436" s="208"/>
      <c r="AU436" s="208"/>
      <c r="AV436" s="208"/>
      <c r="AW436" s="208"/>
      <c r="AX436" s="208"/>
      <c r="AY436" s="208"/>
    </row>
    <row r="437">
      <c r="A437" s="208"/>
      <c r="B437" s="533"/>
      <c r="C437" s="208"/>
      <c r="D437" s="208"/>
      <c r="E437" s="208"/>
      <c r="F437" s="584"/>
      <c r="G437" s="208"/>
      <c r="H437" s="208"/>
      <c r="I437" s="208"/>
      <c r="J437" s="208"/>
      <c r="K437" s="208"/>
      <c r="L437" s="536"/>
      <c r="M437" s="208"/>
      <c r="N437" s="208"/>
      <c r="O437" s="208"/>
      <c r="P437" s="208"/>
      <c r="Q437" s="208"/>
      <c r="R437" s="208"/>
      <c r="S437" s="208"/>
      <c r="T437" s="208"/>
      <c r="U437" s="208"/>
      <c r="V437" s="208"/>
      <c r="W437" s="208"/>
      <c r="X437" s="208"/>
      <c r="Y437" s="208"/>
      <c r="Z437" s="208"/>
      <c r="AA437" s="208"/>
      <c r="AB437" s="208"/>
      <c r="AC437" s="208"/>
      <c r="AD437" s="208"/>
      <c r="AE437" s="208"/>
      <c r="AF437" s="208"/>
      <c r="AG437" s="208"/>
      <c r="AH437" s="208"/>
      <c r="AI437" s="208"/>
      <c r="AJ437" s="208"/>
      <c r="AK437" s="208"/>
      <c r="AL437" s="208"/>
      <c r="AM437" s="208"/>
      <c r="AN437" s="208"/>
      <c r="AO437" s="208"/>
      <c r="AP437" s="208"/>
      <c r="AQ437" s="208"/>
      <c r="AR437" s="208"/>
      <c r="AS437" s="208"/>
      <c r="AT437" s="208"/>
      <c r="AU437" s="208"/>
      <c r="AV437" s="208"/>
      <c r="AW437" s="208"/>
      <c r="AX437" s="208"/>
      <c r="AY437" s="208"/>
    </row>
    <row r="438">
      <c r="A438" s="208"/>
      <c r="B438" s="533"/>
      <c r="C438" s="208"/>
      <c r="D438" s="208"/>
      <c r="E438" s="208"/>
      <c r="F438" s="584"/>
      <c r="G438" s="208"/>
      <c r="H438" s="208"/>
      <c r="I438" s="208"/>
      <c r="J438" s="208"/>
      <c r="K438" s="208"/>
      <c r="L438" s="536"/>
      <c r="M438" s="208"/>
      <c r="N438" s="208"/>
      <c r="O438" s="208"/>
      <c r="P438" s="208"/>
      <c r="Q438" s="208"/>
      <c r="R438" s="208"/>
      <c r="S438" s="208"/>
      <c r="T438" s="208"/>
      <c r="U438" s="208"/>
      <c r="V438" s="208"/>
      <c r="W438" s="208"/>
      <c r="X438" s="208"/>
      <c r="Y438" s="208"/>
      <c r="Z438" s="208"/>
      <c r="AA438" s="208"/>
      <c r="AB438" s="208"/>
      <c r="AC438" s="208"/>
      <c r="AD438" s="208"/>
      <c r="AE438" s="208"/>
      <c r="AF438" s="208"/>
      <c r="AG438" s="208"/>
      <c r="AH438" s="208"/>
      <c r="AI438" s="208"/>
      <c r="AJ438" s="208"/>
      <c r="AK438" s="208"/>
      <c r="AL438" s="208"/>
      <c r="AM438" s="208"/>
      <c r="AN438" s="208"/>
      <c r="AO438" s="208"/>
      <c r="AP438" s="208"/>
      <c r="AQ438" s="208"/>
      <c r="AR438" s="208"/>
      <c r="AS438" s="208"/>
      <c r="AT438" s="208"/>
      <c r="AU438" s="208"/>
      <c r="AV438" s="208"/>
      <c r="AW438" s="208"/>
      <c r="AX438" s="208"/>
      <c r="AY438" s="208"/>
    </row>
    <row r="439">
      <c r="A439" s="208"/>
      <c r="B439" s="533"/>
      <c r="C439" s="208"/>
      <c r="D439" s="208"/>
      <c r="E439" s="208"/>
      <c r="F439" s="584"/>
      <c r="G439" s="208"/>
      <c r="H439" s="208"/>
      <c r="I439" s="208"/>
      <c r="J439" s="208"/>
      <c r="K439" s="208"/>
      <c r="L439" s="536"/>
      <c r="M439" s="208"/>
      <c r="N439" s="208"/>
      <c r="O439" s="208"/>
      <c r="P439" s="208"/>
      <c r="Q439" s="208"/>
      <c r="R439" s="208"/>
      <c r="S439" s="208"/>
      <c r="T439" s="208"/>
      <c r="U439" s="208"/>
      <c r="V439" s="208"/>
      <c r="W439" s="208"/>
      <c r="X439" s="208"/>
      <c r="Y439" s="208"/>
      <c r="Z439" s="208"/>
      <c r="AA439" s="208"/>
      <c r="AB439" s="208"/>
      <c r="AC439" s="208"/>
      <c r="AD439" s="208"/>
      <c r="AE439" s="208"/>
      <c r="AF439" s="208"/>
      <c r="AG439" s="208"/>
      <c r="AH439" s="208"/>
      <c r="AI439" s="208"/>
      <c r="AJ439" s="208"/>
      <c r="AK439" s="208"/>
      <c r="AL439" s="208"/>
      <c r="AM439" s="208"/>
      <c r="AN439" s="208"/>
      <c r="AO439" s="208"/>
      <c r="AP439" s="208"/>
      <c r="AQ439" s="208"/>
      <c r="AR439" s="208"/>
      <c r="AS439" s="208"/>
      <c r="AT439" s="208"/>
      <c r="AU439" s="208"/>
      <c r="AV439" s="208"/>
      <c r="AW439" s="208"/>
      <c r="AX439" s="208"/>
      <c r="AY439" s="208"/>
    </row>
    <row r="440">
      <c r="A440" s="208"/>
      <c r="B440" s="533"/>
      <c r="C440" s="208"/>
      <c r="D440" s="208"/>
      <c r="E440" s="208"/>
      <c r="F440" s="584"/>
      <c r="G440" s="208"/>
      <c r="H440" s="208"/>
      <c r="I440" s="208"/>
      <c r="J440" s="208"/>
      <c r="K440" s="208"/>
      <c r="L440" s="536"/>
      <c r="M440" s="208"/>
      <c r="N440" s="208"/>
      <c r="O440" s="208"/>
      <c r="P440" s="208"/>
      <c r="Q440" s="208"/>
      <c r="R440" s="208"/>
      <c r="S440" s="208"/>
      <c r="T440" s="208"/>
      <c r="U440" s="208"/>
      <c r="V440" s="208"/>
      <c r="W440" s="208"/>
      <c r="X440" s="208"/>
      <c r="Y440" s="208"/>
      <c r="Z440" s="208"/>
      <c r="AA440" s="208"/>
      <c r="AB440" s="208"/>
      <c r="AC440" s="208"/>
      <c r="AD440" s="208"/>
      <c r="AE440" s="208"/>
      <c r="AF440" s="208"/>
      <c r="AG440" s="208"/>
      <c r="AH440" s="208"/>
      <c r="AI440" s="208"/>
      <c r="AJ440" s="208"/>
      <c r="AK440" s="208"/>
      <c r="AL440" s="208"/>
      <c r="AM440" s="208"/>
      <c r="AN440" s="208"/>
      <c r="AO440" s="208"/>
      <c r="AP440" s="208"/>
      <c r="AQ440" s="208"/>
      <c r="AR440" s="208"/>
      <c r="AS440" s="208"/>
      <c r="AT440" s="208"/>
      <c r="AU440" s="208"/>
      <c r="AV440" s="208"/>
      <c r="AW440" s="208"/>
      <c r="AX440" s="208"/>
      <c r="AY440" s="208"/>
    </row>
    <row r="441">
      <c r="A441" s="208"/>
      <c r="B441" s="533"/>
      <c r="C441" s="208"/>
      <c r="D441" s="208"/>
      <c r="E441" s="208"/>
      <c r="F441" s="584"/>
      <c r="G441" s="208"/>
      <c r="H441" s="208"/>
      <c r="I441" s="208"/>
      <c r="J441" s="208"/>
      <c r="K441" s="208"/>
      <c r="L441" s="536"/>
      <c r="M441" s="208"/>
      <c r="N441" s="208"/>
      <c r="O441" s="208"/>
      <c r="P441" s="208"/>
      <c r="Q441" s="208"/>
      <c r="R441" s="208"/>
      <c r="S441" s="208"/>
      <c r="T441" s="208"/>
      <c r="U441" s="208"/>
      <c r="V441" s="208"/>
      <c r="W441" s="208"/>
      <c r="X441" s="208"/>
      <c r="Y441" s="208"/>
      <c r="Z441" s="208"/>
      <c r="AA441" s="208"/>
      <c r="AB441" s="208"/>
      <c r="AC441" s="208"/>
      <c r="AD441" s="208"/>
      <c r="AE441" s="208"/>
      <c r="AF441" s="208"/>
      <c r="AG441" s="208"/>
      <c r="AH441" s="208"/>
      <c r="AI441" s="208"/>
      <c r="AJ441" s="208"/>
      <c r="AK441" s="208"/>
      <c r="AL441" s="208"/>
      <c r="AM441" s="208"/>
      <c r="AN441" s="208"/>
      <c r="AO441" s="208"/>
      <c r="AP441" s="208"/>
      <c r="AQ441" s="208"/>
      <c r="AR441" s="208"/>
      <c r="AS441" s="208"/>
      <c r="AT441" s="208"/>
      <c r="AU441" s="208"/>
      <c r="AV441" s="208"/>
      <c r="AW441" s="208"/>
      <c r="AX441" s="208"/>
      <c r="AY441" s="208"/>
    </row>
    <row r="442">
      <c r="A442" s="208"/>
      <c r="B442" s="533"/>
      <c r="C442" s="208"/>
      <c r="D442" s="208"/>
      <c r="E442" s="208"/>
      <c r="F442" s="584"/>
      <c r="G442" s="208"/>
      <c r="H442" s="208"/>
      <c r="I442" s="208"/>
      <c r="J442" s="208"/>
      <c r="K442" s="208"/>
      <c r="L442" s="536"/>
      <c r="M442" s="208"/>
      <c r="N442" s="208"/>
      <c r="O442" s="208"/>
      <c r="P442" s="208"/>
      <c r="Q442" s="208"/>
      <c r="R442" s="208"/>
      <c r="S442" s="208"/>
      <c r="T442" s="208"/>
      <c r="U442" s="208"/>
      <c r="V442" s="208"/>
      <c r="W442" s="208"/>
      <c r="X442" s="208"/>
      <c r="Y442" s="208"/>
      <c r="Z442" s="208"/>
      <c r="AA442" s="208"/>
      <c r="AB442" s="208"/>
      <c r="AC442" s="208"/>
      <c r="AD442" s="208"/>
      <c r="AE442" s="208"/>
      <c r="AF442" s="208"/>
      <c r="AG442" s="208"/>
      <c r="AH442" s="208"/>
      <c r="AI442" s="208"/>
      <c r="AJ442" s="208"/>
      <c r="AK442" s="208"/>
      <c r="AL442" s="208"/>
      <c r="AM442" s="208"/>
      <c r="AN442" s="208"/>
      <c r="AO442" s="208"/>
      <c r="AP442" s="208"/>
      <c r="AQ442" s="208"/>
      <c r="AR442" s="208"/>
      <c r="AS442" s="208"/>
      <c r="AT442" s="208"/>
      <c r="AU442" s="208"/>
      <c r="AV442" s="208"/>
      <c r="AW442" s="208"/>
      <c r="AX442" s="208"/>
      <c r="AY442" s="208"/>
    </row>
    <row r="443">
      <c r="A443" s="208"/>
      <c r="B443" s="533"/>
      <c r="C443" s="208"/>
      <c r="D443" s="208"/>
      <c r="E443" s="208"/>
      <c r="F443" s="584"/>
      <c r="G443" s="208"/>
      <c r="H443" s="208"/>
      <c r="I443" s="208"/>
      <c r="J443" s="208"/>
      <c r="K443" s="208"/>
      <c r="L443" s="536"/>
      <c r="M443" s="208"/>
      <c r="N443" s="208"/>
      <c r="O443" s="208"/>
      <c r="P443" s="208"/>
      <c r="Q443" s="208"/>
      <c r="R443" s="208"/>
      <c r="S443" s="208"/>
      <c r="T443" s="208"/>
      <c r="U443" s="208"/>
      <c r="V443" s="208"/>
      <c r="W443" s="208"/>
      <c r="X443" s="208"/>
      <c r="Y443" s="208"/>
      <c r="Z443" s="208"/>
      <c r="AA443" s="208"/>
      <c r="AB443" s="208"/>
      <c r="AC443" s="208"/>
      <c r="AD443" s="208"/>
      <c r="AE443" s="208"/>
      <c r="AF443" s="208"/>
      <c r="AG443" s="208"/>
      <c r="AH443" s="208"/>
      <c r="AI443" s="208"/>
      <c r="AJ443" s="208"/>
      <c r="AK443" s="208"/>
      <c r="AL443" s="208"/>
      <c r="AM443" s="208"/>
      <c r="AN443" s="208"/>
      <c r="AO443" s="208"/>
      <c r="AP443" s="208"/>
      <c r="AQ443" s="208"/>
      <c r="AR443" s="208"/>
      <c r="AS443" s="208"/>
      <c r="AT443" s="208"/>
      <c r="AU443" s="208"/>
      <c r="AV443" s="208"/>
      <c r="AW443" s="208"/>
      <c r="AX443" s="208"/>
      <c r="AY443" s="208"/>
    </row>
    <row r="444">
      <c r="A444" s="208"/>
      <c r="B444" s="533"/>
      <c r="C444" s="208"/>
      <c r="D444" s="208"/>
      <c r="E444" s="208"/>
      <c r="F444" s="584"/>
      <c r="G444" s="208"/>
      <c r="H444" s="208"/>
      <c r="I444" s="208"/>
      <c r="J444" s="208"/>
      <c r="K444" s="208"/>
      <c r="L444" s="536"/>
      <c r="M444" s="208"/>
      <c r="N444" s="208"/>
      <c r="O444" s="208"/>
      <c r="P444" s="208"/>
      <c r="Q444" s="208"/>
      <c r="R444" s="208"/>
      <c r="S444" s="208"/>
      <c r="T444" s="208"/>
      <c r="U444" s="208"/>
      <c r="V444" s="208"/>
      <c r="W444" s="208"/>
      <c r="X444" s="208"/>
      <c r="Y444" s="208"/>
      <c r="Z444" s="208"/>
      <c r="AA444" s="208"/>
      <c r="AB444" s="208"/>
      <c r="AC444" s="208"/>
      <c r="AD444" s="208"/>
      <c r="AE444" s="208"/>
      <c r="AF444" s="208"/>
      <c r="AG444" s="208"/>
      <c r="AH444" s="208"/>
      <c r="AI444" s="208"/>
      <c r="AJ444" s="208"/>
      <c r="AK444" s="208"/>
      <c r="AL444" s="208"/>
      <c r="AM444" s="208"/>
      <c r="AN444" s="208"/>
      <c r="AO444" s="208"/>
      <c r="AP444" s="208"/>
      <c r="AQ444" s="208"/>
      <c r="AR444" s="208"/>
      <c r="AS444" s="208"/>
      <c r="AT444" s="208"/>
      <c r="AU444" s="208"/>
      <c r="AV444" s="208"/>
      <c r="AW444" s="208"/>
      <c r="AX444" s="208"/>
      <c r="AY444" s="208"/>
    </row>
    <row r="445">
      <c r="A445" s="208"/>
      <c r="B445" s="533"/>
      <c r="C445" s="208"/>
      <c r="D445" s="208"/>
      <c r="E445" s="208"/>
      <c r="F445" s="584"/>
      <c r="G445" s="208"/>
      <c r="H445" s="208"/>
      <c r="I445" s="208"/>
      <c r="J445" s="208"/>
      <c r="K445" s="208"/>
      <c r="L445" s="536"/>
      <c r="M445" s="208"/>
      <c r="N445" s="208"/>
      <c r="O445" s="208"/>
      <c r="P445" s="208"/>
      <c r="Q445" s="208"/>
      <c r="R445" s="208"/>
      <c r="S445" s="208"/>
      <c r="T445" s="208"/>
      <c r="U445" s="208"/>
      <c r="V445" s="208"/>
      <c r="W445" s="208"/>
      <c r="X445" s="208"/>
      <c r="Y445" s="208"/>
      <c r="Z445" s="208"/>
      <c r="AA445" s="208"/>
      <c r="AB445" s="208"/>
      <c r="AC445" s="208"/>
      <c r="AD445" s="208"/>
      <c r="AE445" s="208"/>
      <c r="AF445" s="208"/>
      <c r="AG445" s="208"/>
      <c r="AH445" s="208"/>
      <c r="AI445" s="208"/>
      <c r="AJ445" s="208"/>
      <c r="AK445" s="208"/>
      <c r="AL445" s="208"/>
      <c r="AM445" s="208"/>
      <c r="AN445" s="208"/>
      <c r="AO445" s="208"/>
      <c r="AP445" s="208"/>
      <c r="AQ445" s="208"/>
      <c r="AR445" s="208"/>
      <c r="AS445" s="208"/>
      <c r="AT445" s="208"/>
      <c r="AU445" s="208"/>
      <c r="AV445" s="208"/>
      <c r="AW445" s="208"/>
      <c r="AX445" s="208"/>
      <c r="AY445" s="208"/>
    </row>
    <row r="446">
      <c r="A446" s="208"/>
      <c r="B446" s="533"/>
      <c r="C446" s="208"/>
      <c r="D446" s="208"/>
      <c r="E446" s="208"/>
      <c r="F446" s="584"/>
      <c r="G446" s="208"/>
      <c r="H446" s="208"/>
      <c r="I446" s="208"/>
      <c r="J446" s="208"/>
      <c r="K446" s="208"/>
      <c r="L446" s="536"/>
      <c r="M446" s="208"/>
      <c r="N446" s="208"/>
      <c r="O446" s="208"/>
      <c r="P446" s="208"/>
      <c r="Q446" s="208"/>
      <c r="R446" s="208"/>
      <c r="S446" s="208"/>
      <c r="T446" s="208"/>
      <c r="U446" s="208"/>
      <c r="V446" s="208"/>
      <c r="W446" s="208"/>
      <c r="X446" s="208"/>
      <c r="Y446" s="208"/>
      <c r="Z446" s="208"/>
      <c r="AA446" s="208"/>
      <c r="AB446" s="208"/>
      <c r="AC446" s="208"/>
      <c r="AD446" s="208"/>
      <c r="AE446" s="208"/>
      <c r="AF446" s="208"/>
      <c r="AG446" s="208"/>
      <c r="AH446" s="208"/>
      <c r="AI446" s="208"/>
      <c r="AJ446" s="208"/>
      <c r="AK446" s="208"/>
      <c r="AL446" s="208"/>
      <c r="AM446" s="208"/>
      <c r="AN446" s="208"/>
      <c r="AO446" s="208"/>
      <c r="AP446" s="208"/>
      <c r="AQ446" s="208"/>
      <c r="AR446" s="208"/>
      <c r="AS446" s="208"/>
      <c r="AT446" s="208"/>
      <c r="AU446" s="208"/>
      <c r="AV446" s="208"/>
      <c r="AW446" s="208"/>
      <c r="AX446" s="208"/>
      <c r="AY446" s="208"/>
    </row>
    <row r="447">
      <c r="A447" s="208"/>
      <c r="B447" s="533"/>
      <c r="C447" s="208"/>
      <c r="D447" s="208"/>
      <c r="E447" s="208"/>
      <c r="F447" s="584"/>
      <c r="G447" s="208"/>
      <c r="H447" s="208"/>
      <c r="I447" s="208"/>
      <c r="J447" s="208"/>
      <c r="K447" s="208"/>
      <c r="L447" s="536"/>
      <c r="M447" s="208"/>
      <c r="N447" s="208"/>
      <c r="O447" s="208"/>
      <c r="P447" s="208"/>
      <c r="Q447" s="208"/>
      <c r="R447" s="208"/>
      <c r="S447" s="208"/>
      <c r="T447" s="208"/>
      <c r="U447" s="208"/>
      <c r="V447" s="208"/>
      <c r="W447" s="208"/>
      <c r="X447" s="208"/>
      <c r="Y447" s="208"/>
      <c r="Z447" s="208"/>
      <c r="AA447" s="208"/>
      <c r="AB447" s="208"/>
      <c r="AC447" s="208"/>
      <c r="AD447" s="208"/>
      <c r="AE447" s="208"/>
      <c r="AF447" s="208"/>
      <c r="AG447" s="208"/>
      <c r="AH447" s="208"/>
      <c r="AI447" s="208"/>
      <c r="AJ447" s="208"/>
      <c r="AK447" s="208"/>
      <c r="AL447" s="208"/>
      <c r="AM447" s="208"/>
      <c r="AN447" s="208"/>
      <c r="AO447" s="208"/>
      <c r="AP447" s="208"/>
      <c r="AQ447" s="208"/>
      <c r="AR447" s="208"/>
      <c r="AS447" s="208"/>
      <c r="AT447" s="208"/>
      <c r="AU447" s="208"/>
      <c r="AV447" s="208"/>
      <c r="AW447" s="208"/>
      <c r="AX447" s="208"/>
      <c r="AY447" s="208"/>
    </row>
    <row r="448">
      <c r="A448" s="208"/>
      <c r="B448" s="533"/>
      <c r="C448" s="208"/>
      <c r="D448" s="208"/>
      <c r="E448" s="208"/>
      <c r="F448" s="584"/>
      <c r="G448" s="208"/>
      <c r="H448" s="208"/>
      <c r="I448" s="208"/>
      <c r="J448" s="208"/>
      <c r="K448" s="208"/>
      <c r="L448" s="536"/>
      <c r="M448" s="208"/>
      <c r="N448" s="208"/>
      <c r="O448" s="208"/>
      <c r="P448" s="208"/>
      <c r="Q448" s="208"/>
      <c r="R448" s="208"/>
      <c r="S448" s="208"/>
      <c r="T448" s="208"/>
      <c r="U448" s="208"/>
      <c r="V448" s="208"/>
      <c r="W448" s="208"/>
      <c r="X448" s="208"/>
      <c r="Y448" s="208"/>
      <c r="Z448" s="208"/>
      <c r="AA448" s="208"/>
      <c r="AB448" s="208"/>
      <c r="AC448" s="208"/>
      <c r="AD448" s="208"/>
      <c r="AE448" s="208"/>
      <c r="AF448" s="208"/>
      <c r="AG448" s="208"/>
      <c r="AH448" s="208"/>
      <c r="AI448" s="208"/>
      <c r="AJ448" s="208"/>
      <c r="AK448" s="208"/>
      <c r="AL448" s="208"/>
      <c r="AM448" s="208"/>
      <c r="AN448" s="208"/>
      <c r="AO448" s="208"/>
      <c r="AP448" s="208"/>
      <c r="AQ448" s="208"/>
      <c r="AR448" s="208"/>
      <c r="AS448" s="208"/>
      <c r="AT448" s="208"/>
      <c r="AU448" s="208"/>
      <c r="AV448" s="208"/>
      <c r="AW448" s="208"/>
      <c r="AX448" s="208"/>
      <c r="AY448" s="208"/>
    </row>
    <row r="449">
      <c r="A449" s="208"/>
      <c r="B449" s="533"/>
      <c r="C449" s="208"/>
      <c r="D449" s="208"/>
      <c r="E449" s="208"/>
      <c r="F449" s="584"/>
      <c r="G449" s="208"/>
      <c r="H449" s="208"/>
      <c r="I449" s="208"/>
      <c r="J449" s="208"/>
      <c r="K449" s="208"/>
      <c r="L449" s="536"/>
      <c r="M449" s="208"/>
      <c r="N449" s="208"/>
      <c r="O449" s="208"/>
      <c r="P449" s="208"/>
      <c r="Q449" s="208"/>
      <c r="R449" s="208"/>
      <c r="S449" s="208"/>
      <c r="T449" s="208"/>
      <c r="U449" s="208"/>
      <c r="V449" s="208"/>
      <c r="W449" s="208"/>
      <c r="X449" s="208"/>
      <c r="Y449" s="208"/>
      <c r="Z449" s="208"/>
      <c r="AA449" s="208"/>
      <c r="AB449" s="208"/>
      <c r="AC449" s="208"/>
      <c r="AD449" s="208"/>
      <c r="AE449" s="208"/>
      <c r="AF449" s="208"/>
      <c r="AG449" s="208"/>
      <c r="AH449" s="208"/>
      <c r="AI449" s="208"/>
      <c r="AJ449" s="208"/>
      <c r="AK449" s="208"/>
      <c r="AL449" s="208"/>
      <c r="AM449" s="208"/>
      <c r="AN449" s="208"/>
      <c r="AO449" s="208"/>
      <c r="AP449" s="208"/>
      <c r="AQ449" s="208"/>
      <c r="AR449" s="208"/>
      <c r="AS449" s="208"/>
      <c r="AT449" s="208"/>
      <c r="AU449" s="208"/>
      <c r="AV449" s="208"/>
      <c r="AW449" s="208"/>
      <c r="AX449" s="208"/>
      <c r="AY449" s="208"/>
    </row>
    <row r="450">
      <c r="A450" s="208"/>
      <c r="B450" s="533"/>
      <c r="C450" s="208"/>
      <c r="D450" s="208"/>
      <c r="E450" s="208"/>
      <c r="F450" s="584"/>
      <c r="G450" s="208"/>
      <c r="H450" s="208"/>
      <c r="I450" s="208"/>
      <c r="J450" s="208"/>
      <c r="K450" s="208"/>
      <c r="L450" s="536"/>
      <c r="M450" s="208"/>
      <c r="N450" s="208"/>
      <c r="O450" s="208"/>
      <c r="P450" s="208"/>
      <c r="Q450" s="208"/>
      <c r="R450" s="208"/>
      <c r="S450" s="208"/>
      <c r="T450" s="208"/>
      <c r="U450" s="208"/>
      <c r="V450" s="208"/>
      <c r="W450" s="208"/>
      <c r="X450" s="208"/>
      <c r="Y450" s="208"/>
      <c r="Z450" s="208"/>
      <c r="AA450" s="208"/>
      <c r="AB450" s="208"/>
      <c r="AC450" s="208"/>
      <c r="AD450" s="208"/>
      <c r="AE450" s="208"/>
      <c r="AF450" s="208"/>
      <c r="AG450" s="208"/>
      <c r="AH450" s="208"/>
      <c r="AI450" s="208"/>
      <c r="AJ450" s="208"/>
      <c r="AK450" s="208"/>
      <c r="AL450" s="208"/>
      <c r="AM450" s="208"/>
      <c r="AN450" s="208"/>
      <c r="AO450" s="208"/>
      <c r="AP450" s="208"/>
      <c r="AQ450" s="208"/>
      <c r="AR450" s="208"/>
      <c r="AS450" s="208"/>
      <c r="AT450" s="208"/>
      <c r="AU450" s="208"/>
      <c r="AV450" s="208"/>
      <c r="AW450" s="208"/>
      <c r="AX450" s="208"/>
      <c r="AY450" s="208"/>
    </row>
    <row r="451">
      <c r="A451" s="208"/>
      <c r="B451" s="533"/>
      <c r="C451" s="208"/>
      <c r="D451" s="208"/>
      <c r="E451" s="208"/>
      <c r="F451" s="584"/>
      <c r="G451" s="208"/>
      <c r="H451" s="208"/>
      <c r="I451" s="208"/>
      <c r="J451" s="208"/>
      <c r="K451" s="208"/>
      <c r="L451" s="536"/>
      <c r="M451" s="208"/>
      <c r="N451" s="208"/>
      <c r="O451" s="208"/>
      <c r="P451" s="208"/>
      <c r="Q451" s="208"/>
      <c r="R451" s="208"/>
      <c r="S451" s="208"/>
      <c r="T451" s="208"/>
      <c r="U451" s="208"/>
      <c r="V451" s="208"/>
      <c r="W451" s="208"/>
      <c r="X451" s="208"/>
      <c r="Y451" s="208"/>
      <c r="Z451" s="208"/>
      <c r="AA451" s="208"/>
      <c r="AB451" s="208"/>
      <c r="AC451" s="208"/>
      <c r="AD451" s="208"/>
      <c r="AE451" s="208"/>
      <c r="AF451" s="208"/>
      <c r="AG451" s="208"/>
      <c r="AH451" s="208"/>
      <c r="AI451" s="208"/>
      <c r="AJ451" s="208"/>
      <c r="AK451" s="208"/>
      <c r="AL451" s="208"/>
      <c r="AM451" s="208"/>
      <c r="AN451" s="208"/>
      <c r="AO451" s="208"/>
      <c r="AP451" s="208"/>
      <c r="AQ451" s="208"/>
      <c r="AR451" s="208"/>
      <c r="AS451" s="208"/>
      <c r="AT451" s="208"/>
      <c r="AU451" s="208"/>
      <c r="AV451" s="208"/>
      <c r="AW451" s="208"/>
      <c r="AX451" s="208"/>
      <c r="AY451" s="208"/>
    </row>
    <row r="452">
      <c r="A452" s="208"/>
      <c r="B452" s="533"/>
      <c r="C452" s="208"/>
      <c r="D452" s="208"/>
      <c r="E452" s="208"/>
      <c r="F452" s="584"/>
      <c r="G452" s="208"/>
      <c r="H452" s="208"/>
      <c r="I452" s="208"/>
      <c r="J452" s="208"/>
      <c r="K452" s="208"/>
      <c r="L452" s="536"/>
      <c r="M452" s="208"/>
      <c r="N452" s="208"/>
      <c r="O452" s="208"/>
      <c r="P452" s="208"/>
      <c r="Q452" s="208"/>
      <c r="R452" s="208"/>
      <c r="S452" s="208"/>
      <c r="T452" s="208"/>
      <c r="U452" s="208"/>
      <c r="V452" s="208"/>
      <c r="W452" s="208"/>
      <c r="X452" s="208"/>
      <c r="Y452" s="208"/>
      <c r="Z452" s="208"/>
      <c r="AA452" s="208"/>
      <c r="AB452" s="208"/>
      <c r="AC452" s="208"/>
      <c r="AD452" s="208"/>
      <c r="AE452" s="208"/>
      <c r="AF452" s="208"/>
      <c r="AG452" s="208"/>
      <c r="AH452" s="208"/>
      <c r="AI452" s="208"/>
      <c r="AJ452" s="208"/>
      <c r="AK452" s="208"/>
      <c r="AL452" s="208"/>
      <c r="AM452" s="208"/>
      <c r="AN452" s="208"/>
      <c r="AO452" s="208"/>
      <c r="AP452" s="208"/>
      <c r="AQ452" s="208"/>
      <c r="AR452" s="208"/>
      <c r="AS452" s="208"/>
      <c r="AT452" s="208"/>
      <c r="AU452" s="208"/>
      <c r="AV452" s="208"/>
      <c r="AW452" s="208"/>
      <c r="AX452" s="208"/>
      <c r="AY452" s="208"/>
    </row>
    <row r="453">
      <c r="A453" s="208"/>
      <c r="B453" s="533"/>
      <c r="C453" s="208"/>
      <c r="D453" s="208"/>
      <c r="E453" s="208"/>
      <c r="F453" s="584"/>
      <c r="G453" s="208"/>
      <c r="H453" s="208"/>
      <c r="I453" s="208"/>
      <c r="J453" s="208"/>
      <c r="K453" s="208"/>
      <c r="L453" s="536"/>
      <c r="M453" s="208"/>
      <c r="N453" s="208"/>
      <c r="O453" s="208"/>
      <c r="P453" s="208"/>
      <c r="Q453" s="208"/>
      <c r="R453" s="208"/>
      <c r="S453" s="208"/>
      <c r="T453" s="208"/>
      <c r="U453" s="208"/>
      <c r="V453" s="208"/>
      <c r="W453" s="208"/>
      <c r="X453" s="208"/>
      <c r="Y453" s="208"/>
      <c r="Z453" s="208"/>
      <c r="AA453" s="208"/>
      <c r="AB453" s="208"/>
      <c r="AC453" s="208"/>
      <c r="AD453" s="208"/>
      <c r="AE453" s="208"/>
      <c r="AF453" s="208"/>
      <c r="AG453" s="208"/>
      <c r="AH453" s="208"/>
      <c r="AI453" s="208"/>
      <c r="AJ453" s="208"/>
      <c r="AK453" s="208"/>
      <c r="AL453" s="208"/>
      <c r="AM453" s="208"/>
      <c r="AN453" s="208"/>
      <c r="AO453" s="208"/>
      <c r="AP453" s="208"/>
      <c r="AQ453" s="208"/>
      <c r="AR453" s="208"/>
      <c r="AS453" s="208"/>
      <c r="AT453" s="208"/>
      <c r="AU453" s="208"/>
      <c r="AV453" s="208"/>
      <c r="AW453" s="208"/>
      <c r="AX453" s="208"/>
      <c r="AY453" s="208"/>
    </row>
    <row r="454">
      <c r="A454" s="208"/>
      <c r="B454" s="533"/>
      <c r="C454" s="208"/>
      <c r="D454" s="208"/>
      <c r="E454" s="208"/>
      <c r="F454" s="584"/>
      <c r="G454" s="208"/>
      <c r="H454" s="208"/>
      <c r="I454" s="208"/>
      <c r="J454" s="208"/>
      <c r="K454" s="208"/>
      <c r="L454" s="536"/>
      <c r="M454" s="208"/>
      <c r="N454" s="208"/>
      <c r="O454" s="208"/>
      <c r="P454" s="208"/>
      <c r="Q454" s="208"/>
      <c r="R454" s="208"/>
      <c r="S454" s="208"/>
      <c r="T454" s="208"/>
      <c r="U454" s="208"/>
      <c r="V454" s="208"/>
      <c r="W454" s="208"/>
      <c r="X454" s="208"/>
      <c r="Y454" s="208"/>
      <c r="Z454" s="208"/>
      <c r="AA454" s="208"/>
      <c r="AB454" s="208"/>
      <c r="AC454" s="208"/>
      <c r="AD454" s="208"/>
      <c r="AE454" s="208"/>
      <c r="AF454" s="208"/>
      <c r="AG454" s="208"/>
      <c r="AH454" s="208"/>
      <c r="AI454" s="208"/>
      <c r="AJ454" s="208"/>
      <c r="AK454" s="208"/>
      <c r="AL454" s="208"/>
      <c r="AM454" s="208"/>
      <c r="AN454" s="208"/>
      <c r="AO454" s="208"/>
      <c r="AP454" s="208"/>
      <c r="AQ454" s="208"/>
      <c r="AR454" s="208"/>
      <c r="AS454" s="208"/>
      <c r="AT454" s="208"/>
      <c r="AU454" s="208"/>
      <c r="AV454" s="208"/>
      <c r="AW454" s="208"/>
      <c r="AX454" s="208"/>
      <c r="AY454" s="208"/>
    </row>
    <row r="455">
      <c r="A455" s="208"/>
      <c r="B455" s="533"/>
      <c r="C455" s="208"/>
      <c r="D455" s="208"/>
      <c r="E455" s="208"/>
      <c r="F455" s="584"/>
      <c r="G455" s="208"/>
      <c r="H455" s="208"/>
      <c r="I455" s="208"/>
      <c r="J455" s="208"/>
      <c r="K455" s="208"/>
      <c r="L455" s="536"/>
      <c r="M455" s="208"/>
      <c r="N455" s="208"/>
      <c r="O455" s="208"/>
      <c r="P455" s="208"/>
      <c r="Q455" s="208"/>
      <c r="R455" s="208"/>
      <c r="S455" s="208"/>
      <c r="T455" s="208"/>
      <c r="U455" s="208"/>
      <c r="V455" s="208"/>
      <c r="W455" s="208"/>
      <c r="X455" s="208"/>
      <c r="Y455" s="208"/>
      <c r="Z455" s="208"/>
      <c r="AA455" s="208"/>
      <c r="AB455" s="208"/>
      <c r="AC455" s="208"/>
      <c r="AD455" s="208"/>
      <c r="AE455" s="208"/>
      <c r="AF455" s="208"/>
      <c r="AG455" s="208"/>
      <c r="AH455" s="208"/>
      <c r="AI455" s="208"/>
      <c r="AJ455" s="208"/>
      <c r="AK455" s="208"/>
      <c r="AL455" s="208"/>
      <c r="AM455" s="208"/>
      <c r="AN455" s="208"/>
      <c r="AO455" s="208"/>
      <c r="AP455" s="208"/>
      <c r="AQ455" s="208"/>
      <c r="AR455" s="208"/>
      <c r="AS455" s="208"/>
      <c r="AT455" s="208"/>
      <c r="AU455" s="208"/>
      <c r="AV455" s="208"/>
      <c r="AW455" s="208"/>
      <c r="AX455" s="208"/>
      <c r="AY455" s="208"/>
    </row>
    <row r="456">
      <c r="A456" s="208"/>
      <c r="B456" s="533"/>
      <c r="C456" s="208"/>
      <c r="D456" s="208"/>
      <c r="E456" s="208"/>
      <c r="F456" s="584"/>
      <c r="G456" s="208"/>
      <c r="H456" s="208"/>
      <c r="I456" s="208"/>
      <c r="J456" s="208"/>
      <c r="K456" s="208"/>
      <c r="L456" s="536"/>
      <c r="M456" s="208"/>
      <c r="N456" s="208"/>
      <c r="O456" s="208"/>
      <c r="P456" s="208"/>
      <c r="Q456" s="208"/>
      <c r="R456" s="208"/>
      <c r="S456" s="208"/>
      <c r="T456" s="208"/>
      <c r="U456" s="208"/>
      <c r="V456" s="208"/>
      <c r="W456" s="208"/>
      <c r="X456" s="208"/>
      <c r="Y456" s="208"/>
      <c r="Z456" s="208"/>
      <c r="AA456" s="208"/>
      <c r="AB456" s="208"/>
      <c r="AC456" s="208"/>
      <c r="AD456" s="208"/>
      <c r="AE456" s="208"/>
      <c r="AF456" s="208"/>
      <c r="AG456" s="208"/>
      <c r="AH456" s="208"/>
      <c r="AI456" s="208"/>
      <c r="AJ456" s="208"/>
      <c r="AK456" s="208"/>
      <c r="AL456" s="208"/>
      <c r="AM456" s="208"/>
      <c r="AN456" s="208"/>
      <c r="AO456" s="208"/>
      <c r="AP456" s="208"/>
      <c r="AQ456" s="208"/>
      <c r="AR456" s="208"/>
      <c r="AS456" s="208"/>
      <c r="AT456" s="208"/>
      <c r="AU456" s="208"/>
      <c r="AV456" s="208"/>
      <c r="AW456" s="208"/>
      <c r="AX456" s="208"/>
      <c r="AY456" s="208"/>
    </row>
    <row r="457">
      <c r="A457" s="208"/>
      <c r="B457" s="533"/>
      <c r="C457" s="208"/>
      <c r="D457" s="208"/>
      <c r="E457" s="208"/>
      <c r="F457" s="584"/>
      <c r="G457" s="208"/>
      <c r="H457" s="208"/>
      <c r="I457" s="208"/>
      <c r="J457" s="208"/>
      <c r="K457" s="208"/>
      <c r="L457" s="536"/>
      <c r="M457" s="208"/>
      <c r="N457" s="208"/>
      <c r="O457" s="208"/>
      <c r="P457" s="208"/>
      <c r="Q457" s="208"/>
      <c r="R457" s="208"/>
      <c r="S457" s="208"/>
      <c r="T457" s="208"/>
      <c r="U457" s="208"/>
      <c r="V457" s="208"/>
      <c r="W457" s="208"/>
      <c r="X457" s="208"/>
      <c r="Y457" s="208"/>
      <c r="Z457" s="208"/>
      <c r="AA457" s="208"/>
      <c r="AB457" s="208"/>
      <c r="AC457" s="208"/>
      <c r="AD457" s="208"/>
      <c r="AE457" s="208"/>
      <c r="AF457" s="208"/>
      <c r="AG457" s="208"/>
      <c r="AH457" s="208"/>
      <c r="AI457" s="208"/>
      <c r="AJ457" s="208"/>
      <c r="AK457" s="208"/>
      <c r="AL457" s="208"/>
      <c r="AM457" s="208"/>
      <c r="AN457" s="208"/>
      <c r="AO457" s="208"/>
      <c r="AP457" s="208"/>
      <c r="AQ457" s="208"/>
      <c r="AR457" s="208"/>
      <c r="AS457" s="208"/>
      <c r="AT457" s="208"/>
      <c r="AU457" s="208"/>
      <c r="AV457" s="208"/>
      <c r="AW457" s="208"/>
      <c r="AX457" s="208"/>
      <c r="AY457" s="208"/>
    </row>
    <row r="458">
      <c r="A458" s="208"/>
      <c r="B458" s="533"/>
      <c r="C458" s="208"/>
      <c r="D458" s="208"/>
      <c r="E458" s="208"/>
      <c r="F458" s="584"/>
      <c r="G458" s="208"/>
      <c r="H458" s="208"/>
      <c r="I458" s="208"/>
      <c r="J458" s="208"/>
      <c r="K458" s="208"/>
      <c r="L458" s="536"/>
      <c r="M458" s="208"/>
      <c r="N458" s="208"/>
      <c r="O458" s="208"/>
      <c r="P458" s="208"/>
      <c r="Q458" s="208"/>
      <c r="R458" s="208"/>
      <c r="S458" s="208"/>
      <c r="T458" s="208"/>
      <c r="U458" s="208"/>
      <c r="V458" s="208"/>
      <c r="W458" s="208"/>
      <c r="X458" s="208"/>
      <c r="Y458" s="208"/>
      <c r="Z458" s="208"/>
      <c r="AA458" s="208"/>
      <c r="AB458" s="208"/>
      <c r="AC458" s="208"/>
      <c r="AD458" s="208"/>
      <c r="AE458" s="208"/>
      <c r="AF458" s="208"/>
      <c r="AG458" s="208"/>
      <c r="AH458" s="208"/>
      <c r="AI458" s="208"/>
      <c r="AJ458" s="208"/>
      <c r="AK458" s="208"/>
      <c r="AL458" s="208"/>
      <c r="AM458" s="208"/>
      <c r="AN458" s="208"/>
      <c r="AO458" s="208"/>
      <c r="AP458" s="208"/>
      <c r="AQ458" s="208"/>
      <c r="AR458" s="208"/>
      <c r="AS458" s="208"/>
      <c r="AT458" s="208"/>
      <c r="AU458" s="208"/>
      <c r="AV458" s="208"/>
      <c r="AW458" s="208"/>
      <c r="AX458" s="208"/>
      <c r="AY458" s="208"/>
    </row>
    <row r="459">
      <c r="A459" s="208"/>
      <c r="B459" s="533"/>
      <c r="C459" s="208"/>
      <c r="D459" s="208"/>
      <c r="E459" s="208"/>
      <c r="F459" s="584"/>
      <c r="G459" s="208"/>
      <c r="H459" s="208"/>
      <c r="I459" s="208"/>
      <c r="J459" s="208"/>
      <c r="K459" s="208"/>
      <c r="L459" s="536"/>
      <c r="M459" s="208"/>
      <c r="N459" s="208"/>
      <c r="O459" s="208"/>
      <c r="P459" s="208"/>
      <c r="Q459" s="208"/>
      <c r="R459" s="208"/>
      <c r="S459" s="208"/>
      <c r="T459" s="208"/>
      <c r="U459" s="208"/>
      <c r="V459" s="208"/>
      <c r="W459" s="208"/>
      <c r="X459" s="208"/>
      <c r="Y459" s="208"/>
      <c r="Z459" s="208"/>
      <c r="AA459" s="208"/>
      <c r="AB459" s="208"/>
      <c r="AC459" s="208"/>
      <c r="AD459" s="208"/>
      <c r="AE459" s="208"/>
      <c r="AF459" s="208"/>
      <c r="AG459" s="208"/>
      <c r="AH459" s="208"/>
      <c r="AI459" s="208"/>
      <c r="AJ459" s="208"/>
      <c r="AK459" s="208"/>
      <c r="AL459" s="208"/>
      <c r="AM459" s="208"/>
      <c r="AN459" s="208"/>
      <c r="AO459" s="208"/>
      <c r="AP459" s="208"/>
      <c r="AQ459" s="208"/>
      <c r="AR459" s="208"/>
      <c r="AS459" s="208"/>
      <c r="AT459" s="208"/>
      <c r="AU459" s="208"/>
      <c r="AV459" s="208"/>
      <c r="AW459" s="208"/>
      <c r="AX459" s="208"/>
      <c r="AY459" s="208"/>
    </row>
    <row r="460">
      <c r="A460" s="208"/>
      <c r="B460" s="533"/>
      <c r="C460" s="208"/>
      <c r="D460" s="208"/>
      <c r="E460" s="208"/>
      <c r="F460" s="584"/>
      <c r="G460" s="208"/>
      <c r="H460" s="208"/>
      <c r="I460" s="208"/>
      <c r="J460" s="208"/>
      <c r="K460" s="208"/>
      <c r="L460" s="536"/>
      <c r="M460" s="208"/>
      <c r="N460" s="208"/>
      <c r="O460" s="208"/>
      <c r="P460" s="208"/>
      <c r="Q460" s="208"/>
      <c r="R460" s="208"/>
      <c r="S460" s="208"/>
      <c r="T460" s="208"/>
      <c r="U460" s="208"/>
      <c r="V460" s="208"/>
      <c r="W460" s="208"/>
      <c r="X460" s="208"/>
      <c r="Y460" s="208"/>
      <c r="Z460" s="208"/>
      <c r="AA460" s="208"/>
      <c r="AB460" s="208"/>
      <c r="AC460" s="208"/>
      <c r="AD460" s="208"/>
      <c r="AE460" s="208"/>
      <c r="AF460" s="208"/>
      <c r="AG460" s="208"/>
      <c r="AH460" s="208"/>
      <c r="AI460" s="208"/>
      <c r="AJ460" s="208"/>
      <c r="AK460" s="208"/>
      <c r="AL460" s="208"/>
      <c r="AM460" s="208"/>
      <c r="AN460" s="208"/>
      <c r="AO460" s="208"/>
      <c r="AP460" s="208"/>
      <c r="AQ460" s="208"/>
      <c r="AR460" s="208"/>
      <c r="AS460" s="208"/>
      <c r="AT460" s="208"/>
      <c r="AU460" s="208"/>
      <c r="AV460" s="208"/>
      <c r="AW460" s="208"/>
      <c r="AX460" s="208"/>
      <c r="AY460" s="208"/>
    </row>
    <row r="461">
      <c r="A461" s="208"/>
      <c r="B461" s="533"/>
      <c r="C461" s="208"/>
      <c r="D461" s="208"/>
      <c r="E461" s="208"/>
      <c r="F461" s="584"/>
      <c r="G461" s="208"/>
      <c r="H461" s="208"/>
      <c r="I461" s="208"/>
      <c r="J461" s="208"/>
      <c r="K461" s="208"/>
      <c r="L461" s="536"/>
      <c r="M461" s="208"/>
      <c r="N461" s="208"/>
      <c r="O461" s="208"/>
      <c r="P461" s="208"/>
      <c r="Q461" s="208"/>
      <c r="R461" s="208"/>
      <c r="S461" s="208"/>
      <c r="T461" s="208"/>
      <c r="U461" s="208"/>
      <c r="V461" s="208"/>
      <c r="W461" s="208"/>
      <c r="X461" s="208"/>
      <c r="Y461" s="208"/>
      <c r="Z461" s="208"/>
      <c r="AA461" s="208"/>
      <c r="AB461" s="208"/>
      <c r="AC461" s="208"/>
      <c r="AD461" s="208"/>
      <c r="AE461" s="208"/>
      <c r="AF461" s="208"/>
      <c r="AG461" s="208"/>
      <c r="AH461" s="208"/>
      <c r="AI461" s="208"/>
      <c r="AJ461" s="208"/>
      <c r="AK461" s="208"/>
      <c r="AL461" s="208"/>
      <c r="AM461" s="208"/>
      <c r="AN461" s="208"/>
      <c r="AO461" s="208"/>
      <c r="AP461" s="208"/>
      <c r="AQ461" s="208"/>
      <c r="AR461" s="208"/>
      <c r="AS461" s="208"/>
      <c r="AT461" s="208"/>
      <c r="AU461" s="208"/>
      <c r="AV461" s="208"/>
      <c r="AW461" s="208"/>
      <c r="AX461" s="208"/>
      <c r="AY461" s="208"/>
    </row>
    <row r="462">
      <c r="A462" s="208"/>
      <c r="B462" s="533"/>
      <c r="C462" s="208"/>
      <c r="D462" s="208"/>
      <c r="E462" s="208"/>
      <c r="F462" s="584"/>
      <c r="G462" s="208"/>
      <c r="H462" s="208"/>
      <c r="I462" s="208"/>
      <c r="J462" s="208"/>
      <c r="K462" s="208"/>
      <c r="L462" s="536"/>
      <c r="M462" s="208"/>
      <c r="N462" s="208"/>
      <c r="O462" s="208"/>
      <c r="P462" s="208"/>
      <c r="Q462" s="208"/>
      <c r="R462" s="208"/>
      <c r="S462" s="208"/>
      <c r="T462" s="208"/>
      <c r="U462" s="208"/>
      <c r="V462" s="208"/>
      <c r="W462" s="208"/>
      <c r="X462" s="208"/>
      <c r="Y462" s="208"/>
      <c r="Z462" s="208"/>
      <c r="AA462" s="208"/>
      <c r="AB462" s="208"/>
      <c r="AC462" s="208"/>
      <c r="AD462" s="208"/>
      <c r="AE462" s="208"/>
      <c r="AF462" s="208"/>
      <c r="AG462" s="208"/>
      <c r="AH462" s="208"/>
      <c r="AI462" s="208"/>
      <c r="AJ462" s="208"/>
      <c r="AK462" s="208"/>
      <c r="AL462" s="208"/>
      <c r="AM462" s="208"/>
      <c r="AN462" s="208"/>
      <c r="AO462" s="208"/>
      <c r="AP462" s="208"/>
      <c r="AQ462" s="208"/>
      <c r="AR462" s="208"/>
      <c r="AS462" s="208"/>
      <c r="AT462" s="208"/>
      <c r="AU462" s="208"/>
      <c r="AV462" s="208"/>
      <c r="AW462" s="208"/>
      <c r="AX462" s="208"/>
      <c r="AY462" s="208"/>
    </row>
    <row r="463">
      <c r="A463" s="208"/>
      <c r="B463" s="533"/>
      <c r="C463" s="208"/>
      <c r="D463" s="208"/>
      <c r="E463" s="208"/>
      <c r="F463" s="584"/>
      <c r="G463" s="208"/>
      <c r="H463" s="208"/>
      <c r="I463" s="208"/>
      <c r="J463" s="208"/>
      <c r="K463" s="208"/>
      <c r="L463" s="536"/>
      <c r="M463" s="208"/>
      <c r="N463" s="208"/>
      <c r="O463" s="208"/>
      <c r="P463" s="208"/>
      <c r="Q463" s="208"/>
      <c r="R463" s="208"/>
      <c r="S463" s="208"/>
      <c r="T463" s="208"/>
      <c r="U463" s="208"/>
      <c r="V463" s="208"/>
      <c r="W463" s="208"/>
      <c r="X463" s="208"/>
      <c r="Y463" s="208"/>
      <c r="Z463" s="208"/>
      <c r="AA463" s="208"/>
      <c r="AB463" s="208"/>
      <c r="AC463" s="208"/>
      <c r="AD463" s="208"/>
      <c r="AE463" s="208"/>
      <c r="AF463" s="208"/>
      <c r="AG463" s="208"/>
      <c r="AH463" s="208"/>
      <c r="AI463" s="208"/>
      <c r="AJ463" s="208"/>
      <c r="AK463" s="208"/>
      <c r="AL463" s="208"/>
      <c r="AM463" s="208"/>
      <c r="AN463" s="208"/>
      <c r="AO463" s="208"/>
      <c r="AP463" s="208"/>
      <c r="AQ463" s="208"/>
      <c r="AR463" s="208"/>
      <c r="AS463" s="208"/>
      <c r="AT463" s="208"/>
      <c r="AU463" s="208"/>
      <c r="AV463" s="208"/>
      <c r="AW463" s="208"/>
      <c r="AX463" s="208"/>
      <c r="AY463" s="208"/>
    </row>
    <row r="464">
      <c r="A464" s="208"/>
      <c r="B464" s="533"/>
      <c r="C464" s="208"/>
      <c r="D464" s="208"/>
      <c r="E464" s="208"/>
      <c r="F464" s="584"/>
      <c r="G464" s="208"/>
      <c r="H464" s="208"/>
      <c r="I464" s="208"/>
      <c r="J464" s="208"/>
      <c r="K464" s="208"/>
      <c r="L464" s="536"/>
      <c r="M464" s="208"/>
      <c r="N464" s="208"/>
      <c r="O464" s="208"/>
      <c r="P464" s="208"/>
      <c r="Q464" s="208"/>
      <c r="R464" s="208"/>
      <c r="S464" s="208"/>
      <c r="T464" s="208"/>
      <c r="U464" s="208"/>
      <c r="V464" s="208"/>
      <c r="W464" s="208"/>
      <c r="X464" s="208"/>
      <c r="Y464" s="208"/>
      <c r="Z464" s="208"/>
      <c r="AA464" s="208"/>
      <c r="AB464" s="208"/>
      <c r="AC464" s="208"/>
      <c r="AD464" s="208"/>
      <c r="AE464" s="208"/>
      <c r="AF464" s="208"/>
      <c r="AG464" s="208"/>
      <c r="AH464" s="208"/>
      <c r="AI464" s="208"/>
      <c r="AJ464" s="208"/>
      <c r="AK464" s="208"/>
      <c r="AL464" s="208"/>
      <c r="AM464" s="208"/>
      <c r="AN464" s="208"/>
      <c r="AO464" s="208"/>
      <c r="AP464" s="208"/>
      <c r="AQ464" s="208"/>
      <c r="AR464" s="208"/>
      <c r="AS464" s="208"/>
      <c r="AT464" s="208"/>
      <c r="AU464" s="208"/>
      <c r="AV464" s="208"/>
      <c r="AW464" s="208"/>
      <c r="AX464" s="208"/>
      <c r="AY464" s="208"/>
    </row>
    <row r="465">
      <c r="A465" s="208"/>
      <c r="B465" s="533"/>
      <c r="C465" s="208"/>
      <c r="D465" s="208"/>
      <c r="E465" s="208"/>
      <c r="F465" s="584"/>
      <c r="G465" s="208"/>
      <c r="H465" s="208"/>
      <c r="I465" s="208"/>
      <c r="J465" s="208"/>
      <c r="K465" s="208"/>
      <c r="L465" s="536"/>
      <c r="M465" s="208"/>
      <c r="N465" s="208"/>
      <c r="O465" s="208"/>
      <c r="P465" s="208"/>
      <c r="Q465" s="208"/>
      <c r="R465" s="208"/>
      <c r="S465" s="208"/>
      <c r="T465" s="208"/>
      <c r="U465" s="208"/>
      <c r="V465" s="208"/>
      <c r="W465" s="208"/>
      <c r="X465" s="208"/>
      <c r="Y465" s="208"/>
      <c r="Z465" s="208"/>
      <c r="AA465" s="208"/>
      <c r="AB465" s="208"/>
      <c r="AC465" s="208"/>
      <c r="AD465" s="208"/>
      <c r="AE465" s="208"/>
      <c r="AF465" s="208"/>
      <c r="AG465" s="208"/>
      <c r="AH465" s="208"/>
      <c r="AI465" s="208"/>
      <c r="AJ465" s="208"/>
      <c r="AK465" s="208"/>
      <c r="AL465" s="208"/>
      <c r="AM465" s="208"/>
      <c r="AN465" s="208"/>
      <c r="AO465" s="208"/>
      <c r="AP465" s="208"/>
      <c r="AQ465" s="208"/>
      <c r="AR465" s="208"/>
      <c r="AS465" s="208"/>
      <c r="AT465" s="208"/>
      <c r="AU465" s="208"/>
      <c r="AV465" s="208"/>
      <c r="AW465" s="208"/>
      <c r="AX465" s="208"/>
      <c r="AY465" s="208"/>
    </row>
    <row r="466">
      <c r="A466" s="208"/>
      <c r="B466" s="533"/>
      <c r="C466" s="208"/>
      <c r="D466" s="208"/>
      <c r="E466" s="208"/>
      <c r="F466" s="584"/>
      <c r="G466" s="208"/>
      <c r="H466" s="208"/>
      <c r="I466" s="208"/>
      <c r="J466" s="208"/>
      <c r="K466" s="208"/>
      <c r="L466" s="536"/>
      <c r="M466" s="208"/>
      <c r="N466" s="208"/>
      <c r="O466" s="208"/>
      <c r="P466" s="208"/>
      <c r="Q466" s="208"/>
      <c r="R466" s="208"/>
      <c r="S466" s="208"/>
      <c r="T466" s="208"/>
      <c r="U466" s="208"/>
      <c r="V466" s="208"/>
      <c r="W466" s="208"/>
      <c r="X466" s="208"/>
      <c r="Y466" s="208"/>
      <c r="Z466" s="208"/>
      <c r="AA466" s="208"/>
      <c r="AB466" s="208"/>
      <c r="AC466" s="208"/>
      <c r="AD466" s="208"/>
      <c r="AE466" s="208"/>
      <c r="AF466" s="208"/>
      <c r="AG466" s="208"/>
      <c r="AH466" s="208"/>
      <c r="AI466" s="208"/>
      <c r="AJ466" s="208"/>
      <c r="AK466" s="208"/>
      <c r="AL466" s="208"/>
      <c r="AM466" s="208"/>
      <c r="AN466" s="208"/>
      <c r="AO466" s="208"/>
      <c r="AP466" s="208"/>
      <c r="AQ466" s="208"/>
      <c r="AR466" s="208"/>
      <c r="AS466" s="208"/>
      <c r="AT466" s="208"/>
      <c r="AU466" s="208"/>
      <c r="AV466" s="208"/>
      <c r="AW466" s="208"/>
      <c r="AX466" s="208"/>
      <c r="AY466" s="208"/>
    </row>
    <row r="467">
      <c r="A467" s="208"/>
      <c r="B467" s="533"/>
      <c r="C467" s="208"/>
      <c r="D467" s="208"/>
      <c r="E467" s="208"/>
      <c r="F467" s="584"/>
      <c r="G467" s="208"/>
      <c r="H467" s="208"/>
      <c r="I467" s="208"/>
      <c r="J467" s="208"/>
      <c r="K467" s="208"/>
      <c r="L467" s="536"/>
      <c r="M467" s="208"/>
      <c r="N467" s="208"/>
      <c r="O467" s="208"/>
      <c r="P467" s="208"/>
      <c r="Q467" s="208"/>
      <c r="R467" s="208"/>
      <c r="S467" s="208"/>
      <c r="T467" s="208"/>
      <c r="U467" s="208"/>
      <c r="V467" s="208"/>
      <c r="W467" s="208"/>
      <c r="X467" s="208"/>
      <c r="Y467" s="208"/>
      <c r="Z467" s="208"/>
      <c r="AA467" s="208"/>
      <c r="AB467" s="208"/>
      <c r="AC467" s="208"/>
      <c r="AD467" s="208"/>
      <c r="AE467" s="208"/>
      <c r="AF467" s="208"/>
      <c r="AG467" s="208"/>
      <c r="AH467" s="208"/>
      <c r="AI467" s="208"/>
      <c r="AJ467" s="208"/>
      <c r="AK467" s="208"/>
      <c r="AL467" s="208"/>
      <c r="AM467" s="208"/>
      <c r="AN467" s="208"/>
      <c r="AO467" s="208"/>
      <c r="AP467" s="208"/>
      <c r="AQ467" s="208"/>
      <c r="AR467" s="208"/>
      <c r="AS467" s="208"/>
      <c r="AT467" s="208"/>
      <c r="AU467" s="208"/>
      <c r="AV467" s="208"/>
      <c r="AW467" s="208"/>
      <c r="AX467" s="208"/>
      <c r="AY467" s="208"/>
    </row>
    <row r="468">
      <c r="A468" s="208"/>
      <c r="B468" s="533"/>
      <c r="C468" s="208"/>
      <c r="D468" s="208"/>
      <c r="E468" s="208"/>
      <c r="F468" s="584"/>
      <c r="G468" s="208"/>
      <c r="H468" s="208"/>
      <c r="I468" s="208"/>
      <c r="J468" s="208"/>
      <c r="K468" s="208"/>
      <c r="L468" s="536"/>
      <c r="M468" s="208"/>
      <c r="N468" s="208"/>
      <c r="O468" s="208"/>
      <c r="P468" s="208"/>
      <c r="Q468" s="208"/>
      <c r="R468" s="208"/>
      <c r="S468" s="208"/>
      <c r="T468" s="208"/>
      <c r="U468" s="208"/>
      <c r="V468" s="208"/>
      <c r="W468" s="208"/>
      <c r="X468" s="208"/>
      <c r="Y468" s="208"/>
      <c r="Z468" s="208"/>
      <c r="AA468" s="208"/>
      <c r="AB468" s="208"/>
      <c r="AC468" s="208"/>
      <c r="AD468" s="208"/>
      <c r="AE468" s="208"/>
      <c r="AF468" s="208"/>
      <c r="AG468" s="208"/>
      <c r="AH468" s="208"/>
      <c r="AI468" s="208"/>
      <c r="AJ468" s="208"/>
      <c r="AK468" s="208"/>
      <c r="AL468" s="208"/>
      <c r="AM468" s="208"/>
      <c r="AN468" s="208"/>
      <c r="AO468" s="208"/>
      <c r="AP468" s="208"/>
      <c r="AQ468" s="208"/>
      <c r="AR468" s="208"/>
      <c r="AS468" s="208"/>
      <c r="AT468" s="208"/>
      <c r="AU468" s="208"/>
      <c r="AV468" s="208"/>
      <c r="AW468" s="208"/>
      <c r="AX468" s="208"/>
      <c r="AY468" s="208"/>
    </row>
    <row r="469">
      <c r="A469" s="208"/>
      <c r="B469" s="533"/>
      <c r="C469" s="208"/>
      <c r="D469" s="208"/>
      <c r="E469" s="208"/>
      <c r="F469" s="584"/>
      <c r="G469" s="208"/>
      <c r="H469" s="208"/>
      <c r="I469" s="208"/>
      <c r="J469" s="208"/>
      <c r="K469" s="208"/>
      <c r="L469" s="536"/>
      <c r="M469" s="208"/>
      <c r="N469" s="208"/>
      <c r="O469" s="208"/>
      <c r="P469" s="208"/>
      <c r="Q469" s="208"/>
      <c r="R469" s="208"/>
      <c r="S469" s="208"/>
      <c r="T469" s="208"/>
      <c r="U469" s="208"/>
      <c r="V469" s="208"/>
      <c r="W469" s="208"/>
      <c r="X469" s="208"/>
      <c r="Y469" s="208"/>
      <c r="Z469" s="208"/>
      <c r="AA469" s="208"/>
      <c r="AB469" s="208"/>
      <c r="AC469" s="208"/>
      <c r="AD469" s="208"/>
      <c r="AE469" s="208"/>
      <c r="AF469" s="208"/>
      <c r="AG469" s="208"/>
      <c r="AH469" s="208"/>
      <c r="AI469" s="208"/>
      <c r="AJ469" s="208"/>
      <c r="AK469" s="208"/>
      <c r="AL469" s="208"/>
      <c r="AM469" s="208"/>
      <c r="AN469" s="208"/>
      <c r="AO469" s="208"/>
      <c r="AP469" s="208"/>
      <c r="AQ469" s="208"/>
      <c r="AR469" s="208"/>
      <c r="AS469" s="208"/>
      <c r="AT469" s="208"/>
      <c r="AU469" s="208"/>
      <c r="AV469" s="208"/>
      <c r="AW469" s="208"/>
      <c r="AX469" s="208"/>
      <c r="AY469" s="208"/>
    </row>
    <row r="470">
      <c r="A470" s="208"/>
      <c r="B470" s="533"/>
      <c r="C470" s="208"/>
      <c r="D470" s="208"/>
      <c r="E470" s="208"/>
      <c r="F470" s="584"/>
      <c r="G470" s="208"/>
      <c r="H470" s="208"/>
      <c r="I470" s="208"/>
      <c r="J470" s="208"/>
      <c r="K470" s="208"/>
      <c r="L470" s="536"/>
      <c r="M470" s="208"/>
      <c r="N470" s="208"/>
      <c r="O470" s="208"/>
      <c r="P470" s="208"/>
      <c r="Q470" s="208"/>
      <c r="R470" s="208"/>
      <c r="S470" s="208"/>
      <c r="T470" s="208"/>
      <c r="U470" s="208"/>
      <c r="V470" s="208"/>
      <c r="W470" s="208"/>
      <c r="X470" s="208"/>
      <c r="Y470" s="208"/>
      <c r="Z470" s="208"/>
      <c r="AA470" s="208"/>
      <c r="AB470" s="208"/>
      <c r="AC470" s="208"/>
      <c r="AD470" s="208"/>
      <c r="AE470" s="208"/>
      <c r="AF470" s="208"/>
      <c r="AG470" s="208"/>
      <c r="AH470" s="208"/>
      <c r="AI470" s="208"/>
      <c r="AJ470" s="208"/>
      <c r="AK470" s="208"/>
      <c r="AL470" s="208"/>
      <c r="AM470" s="208"/>
      <c r="AN470" s="208"/>
      <c r="AO470" s="208"/>
      <c r="AP470" s="208"/>
      <c r="AQ470" s="208"/>
      <c r="AR470" s="208"/>
      <c r="AS470" s="208"/>
      <c r="AT470" s="208"/>
      <c r="AU470" s="208"/>
      <c r="AV470" s="208"/>
      <c r="AW470" s="208"/>
      <c r="AX470" s="208"/>
      <c r="AY470" s="208"/>
    </row>
    <row r="471">
      <c r="A471" s="208"/>
      <c r="B471" s="533"/>
      <c r="C471" s="208"/>
      <c r="D471" s="208"/>
      <c r="E471" s="208"/>
      <c r="F471" s="584"/>
      <c r="G471" s="208"/>
      <c r="H471" s="208"/>
      <c r="I471" s="208"/>
      <c r="J471" s="208"/>
      <c r="K471" s="208"/>
      <c r="L471" s="536"/>
      <c r="M471" s="208"/>
      <c r="N471" s="208"/>
      <c r="O471" s="208"/>
      <c r="P471" s="208"/>
      <c r="Q471" s="208"/>
      <c r="R471" s="208"/>
      <c r="S471" s="208"/>
      <c r="T471" s="208"/>
      <c r="U471" s="208"/>
      <c r="V471" s="208"/>
      <c r="W471" s="208"/>
      <c r="X471" s="208"/>
      <c r="Y471" s="208"/>
      <c r="Z471" s="208"/>
      <c r="AA471" s="208"/>
      <c r="AB471" s="208"/>
      <c r="AC471" s="208"/>
      <c r="AD471" s="208"/>
      <c r="AE471" s="208"/>
      <c r="AF471" s="208"/>
      <c r="AG471" s="208"/>
      <c r="AH471" s="208"/>
      <c r="AI471" s="208"/>
      <c r="AJ471" s="208"/>
      <c r="AK471" s="208"/>
      <c r="AL471" s="208"/>
      <c r="AM471" s="208"/>
      <c r="AN471" s="208"/>
      <c r="AO471" s="208"/>
      <c r="AP471" s="208"/>
      <c r="AQ471" s="208"/>
      <c r="AR471" s="208"/>
      <c r="AS471" s="208"/>
      <c r="AT471" s="208"/>
      <c r="AU471" s="208"/>
      <c r="AV471" s="208"/>
      <c r="AW471" s="208"/>
      <c r="AX471" s="208"/>
      <c r="AY471" s="208"/>
    </row>
    <row r="472">
      <c r="A472" s="208"/>
      <c r="B472" s="533"/>
      <c r="C472" s="208"/>
      <c r="D472" s="208"/>
      <c r="E472" s="208"/>
      <c r="F472" s="584"/>
      <c r="G472" s="208"/>
      <c r="H472" s="208"/>
      <c r="I472" s="208"/>
      <c r="J472" s="208"/>
      <c r="K472" s="208"/>
      <c r="L472" s="536"/>
      <c r="M472" s="208"/>
      <c r="N472" s="208"/>
      <c r="O472" s="208"/>
      <c r="P472" s="208"/>
      <c r="Q472" s="208"/>
      <c r="R472" s="208"/>
      <c r="S472" s="208"/>
      <c r="T472" s="208"/>
      <c r="U472" s="208"/>
      <c r="V472" s="208"/>
      <c r="W472" s="208"/>
      <c r="X472" s="208"/>
      <c r="Y472" s="208"/>
      <c r="Z472" s="208"/>
      <c r="AA472" s="208"/>
      <c r="AB472" s="208"/>
      <c r="AC472" s="208"/>
      <c r="AD472" s="208"/>
      <c r="AE472" s="208"/>
      <c r="AF472" s="208"/>
      <c r="AG472" s="208"/>
      <c r="AH472" s="208"/>
      <c r="AI472" s="208"/>
      <c r="AJ472" s="208"/>
      <c r="AK472" s="208"/>
      <c r="AL472" s="208"/>
      <c r="AM472" s="208"/>
      <c r="AN472" s="208"/>
      <c r="AO472" s="208"/>
      <c r="AP472" s="208"/>
      <c r="AQ472" s="208"/>
      <c r="AR472" s="208"/>
      <c r="AS472" s="208"/>
      <c r="AT472" s="208"/>
      <c r="AU472" s="208"/>
      <c r="AV472" s="208"/>
      <c r="AW472" s="208"/>
      <c r="AX472" s="208"/>
      <c r="AY472" s="208"/>
    </row>
    <row r="473">
      <c r="A473" s="208"/>
      <c r="B473" s="533"/>
      <c r="C473" s="208"/>
      <c r="D473" s="208"/>
      <c r="E473" s="208"/>
      <c r="F473" s="584"/>
      <c r="G473" s="208"/>
      <c r="H473" s="208"/>
      <c r="I473" s="208"/>
      <c r="J473" s="208"/>
      <c r="K473" s="208"/>
      <c r="L473" s="536"/>
      <c r="M473" s="208"/>
      <c r="N473" s="208"/>
      <c r="O473" s="208"/>
      <c r="P473" s="208"/>
      <c r="Q473" s="208"/>
      <c r="R473" s="208"/>
      <c r="S473" s="208"/>
      <c r="T473" s="208"/>
      <c r="U473" s="208"/>
      <c r="V473" s="208"/>
      <c r="W473" s="208"/>
      <c r="X473" s="208"/>
      <c r="Y473" s="208"/>
      <c r="Z473" s="208"/>
      <c r="AA473" s="208"/>
      <c r="AB473" s="208"/>
      <c r="AC473" s="208"/>
      <c r="AD473" s="208"/>
      <c r="AE473" s="208"/>
      <c r="AF473" s="208"/>
      <c r="AG473" s="208"/>
      <c r="AH473" s="208"/>
      <c r="AI473" s="208"/>
      <c r="AJ473" s="208"/>
      <c r="AK473" s="208"/>
      <c r="AL473" s="208"/>
      <c r="AM473" s="208"/>
      <c r="AN473" s="208"/>
      <c r="AO473" s="208"/>
      <c r="AP473" s="208"/>
      <c r="AQ473" s="208"/>
      <c r="AR473" s="208"/>
      <c r="AS473" s="208"/>
      <c r="AT473" s="208"/>
      <c r="AU473" s="208"/>
      <c r="AV473" s="208"/>
      <c r="AW473" s="208"/>
      <c r="AX473" s="208"/>
      <c r="AY473" s="208"/>
    </row>
    <row r="474">
      <c r="A474" s="208"/>
      <c r="B474" s="533"/>
      <c r="C474" s="208"/>
      <c r="D474" s="208"/>
      <c r="E474" s="208"/>
      <c r="F474" s="584"/>
      <c r="G474" s="208"/>
      <c r="H474" s="208"/>
      <c r="I474" s="208"/>
      <c r="J474" s="208"/>
      <c r="K474" s="208"/>
      <c r="L474" s="536"/>
      <c r="M474" s="208"/>
      <c r="N474" s="208"/>
      <c r="O474" s="208"/>
      <c r="P474" s="208"/>
      <c r="Q474" s="208"/>
      <c r="R474" s="208"/>
      <c r="S474" s="208"/>
      <c r="T474" s="208"/>
      <c r="U474" s="208"/>
      <c r="V474" s="208"/>
      <c r="W474" s="208"/>
      <c r="X474" s="208"/>
      <c r="Y474" s="208"/>
      <c r="Z474" s="208"/>
      <c r="AA474" s="208"/>
      <c r="AB474" s="208"/>
      <c r="AC474" s="208"/>
      <c r="AD474" s="208"/>
      <c r="AE474" s="208"/>
      <c r="AF474" s="208"/>
      <c r="AG474" s="208"/>
      <c r="AH474" s="208"/>
      <c r="AI474" s="208"/>
      <c r="AJ474" s="208"/>
      <c r="AK474" s="208"/>
      <c r="AL474" s="208"/>
      <c r="AM474" s="208"/>
      <c r="AN474" s="208"/>
      <c r="AO474" s="208"/>
      <c r="AP474" s="208"/>
      <c r="AQ474" s="208"/>
      <c r="AR474" s="208"/>
      <c r="AS474" s="208"/>
      <c r="AT474" s="208"/>
      <c r="AU474" s="208"/>
      <c r="AV474" s="208"/>
      <c r="AW474" s="208"/>
      <c r="AX474" s="208"/>
      <c r="AY474" s="208"/>
    </row>
    <row r="475">
      <c r="A475" s="208"/>
      <c r="B475" s="533"/>
      <c r="C475" s="208"/>
      <c r="D475" s="208"/>
      <c r="E475" s="208"/>
      <c r="F475" s="584"/>
      <c r="G475" s="208"/>
      <c r="H475" s="208"/>
      <c r="I475" s="208"/>
      <c r="J475" s="208"/>
      <c r="K475" s="208"/>
      <c r="L475" s="536"/>
      <c r="M475" s="208"/>
      <c r="N475" s="208"/>
      <c r="O475" s="208"/>
      <c r="P475" s="208"/>
      <c r="Q475" s="208"/>
      <c r="R475" s="208"/>
      <c r="S475" s="208"/>
      <c r="T475" s="208"/>
      <c r="U475" s="208"/>
      <c r="V475" s="208"/>
      <c r="W475" s="208"/>
      <c r="X475" s="208"/>
      <c r="Y475" s="208"/>
      <c r="Z475" s="208"/>
      <c r="AA475" s="208"/>
      <c r="AB475" s="208"/>
      <c r="AC475" s="208"/>
      <c r="AD475" s="208"/>
      <c r="AE475" s="208"/>
      <c r="AF475" s="208"/>
      <c r="AG475" s="208"/>
      <c r="AH475" s="208"/>
      <c r="AI475" s="208"/>
      <c r="AJ475" s="208"/>
      <c r="AK475" s="208"/>
      <c r="AL475" s="208"/>
      <c r="AM475" s="208"/>
      <c r="AN475" s="208"/>
      <c r="AO475" s="208"/>
      <c r="AP475" s="208"/>
      <c r="AQ475" s="208"/>
      <c r="AR475" s="208"/>
      <c r="AS475" s="208"/>
      <c r="AT475" s="208"/>
      <c r="AU475" s="208"/>
      <c r="AV475" s="208"/>
      <c r="AW475" s="208"/>
      <c r="AX475" s="208"/>
      <c r="AY475" s="208"/>
    </row>
    <row r="476">
      <c r="A476" s="208"/>
      <c r="B476" s="533"/>
      <c r="C476" s="208"/>
      <c r="D476" s="208"/>
      <c r="E476" s="208"/>
      <c r="F476" s="584"/>
      <c r="G476" s="208"/>
      <c r="H476" s="208"/>
      <c r="I476" s="208"/>
      <c r="J476" s="208"/>
      <c r="K476" s="208"/>
      <c r="L476" s="536"/>
      <c r="M476" s="208"/>
      <c r="N476" s="208"/>
      <c r="O476" s="208"/>
      <c r="P476" s="208"/>
      <c r="Q476" s="208"/>
      <c r="R476" s="208"/>
      <c r="S476" s="208"/>
      <c r="T476" s="208"/>
      <c r="U476" s="208"/>
      <c r="V476" s="208"/>
      <c r="W476" s="208"/>
      <c r="X476" s="208"/>
      <c r="Y476" s="208"/>
      <c r="Z476" s="208"/>
      <c r="AA476" s="208"/>
      <c r="AB476" s="208"/>
      <c r="AC476" s="208"/>
      <c r="AD476" s="208"/>
      <c r="AE476" s="208"/>
      <c r="AF476" s="208"/>
      <c r="AG476" s="208"/>
      <c r="AH476" s="208"/>
      <c r="AI476" s="208"/>
      <c r="AJ476" s="208"/>
      <c r="AK476" s="208"/>
      <c r="AL476" s="208"/>
      <c r="AM476" s="208"/>
      <c r="AN476" s="208"/>
      <c r="AO476" s="208"/>
      <c r="AP476" s="208"/>
      <c r="AQ476" s="208"/>
      <c r="AR476" s="208"/>
      <c r="AS476" s="208"/>
      <c r="AT476" s="208"/>
      <c r="AU476" s="208"/>
      <c r="AV476" s="208"/>
      <c r="AW476" s="208"/>
      <c r="AX476" s="208"/>
      <c r="AY476" s="208"/>
    </row>
    <row r="477">
      <c r="A477" s="208"/>
      <c r="B477" s="533"/>
      <c r="C477" s="208"/>
      <c r="D477" s="208"/>
      <c r="E477" s="208"/>
      <c r="F477" s="584"/>
      <c r="G477" s="208"/>
      <c r="H477" s="208"/>
      <c r="I477" s="208"/>
      <c r="J477" s="208"/>
      <c r="K477" s="208"/>
      <c r="L477" s="536"/>
      <c r="M477" s="208"/>
      <c r="N477" s="208"/>
      <c r="O477" s="208"/>
      <c r="P477" s="208"/>
      <c r="Q477" s="208"/>
      <c r="R477" s="208"/>
      <c r="S477" s="208"/>
      <c r="T477" s="208"/>
      <c r="U477" s="208"/>
      <c r="V477" s="208"/>
      <c r="W477" s="208"/>
      <c r="X477" s="208"/>
      <c r="Y477" s="208"/>
      <c r="Z477" s="208"/>
      <c r="AA477" s="208"/>
      <c r="AB477" s="208"/>
      <c r="AC477" s="208"/>
      <c r="AD477" s="208"/>
      <c r="AE477" s="208"/>
      <c r="AF477" s="208"/>
      <c r="AG477" s="208"/>
      <c r="AH477" s="208"/>
      <c r="AI477" s="208"/>
      <c r="AJ477" s="208"/>
      <c r="AK477" s="208"/>
      <c r="AL477" s="208"/>
      <c r="AM477" s="208"/>
      <c r="AN477" s="208"/>
      <c r="AO477" s="208"/>
      <c r="AP477" s="208"/>
      <c r="AQ477" s="208"/>
      <c r="AR477" s="208"/>
      <c r="AS477" s="208"/>
      <c r="AT477" s="208"/>
      <c r="AU477" s="208"/>
      <c r="AV477" s="208"/>
      <c r="AW477" s="208"/>
      <c r="AX477" s="208"/>
      <c r="AY477" s="208"/>
    </row>
    <row r="478">
      <c r="A478" s="208"/>
      <c r="B478" s="533"/>
      <c r="C478" s="208"/>
      <c r="D478" s="208"/>
      <c r="E478" s="208"/>
      <c r="F478" s="584"/>
      <c r="G478" s="208"/>
      <c r="H478" s="208"/>
      <c r="I478" s="208"/>
      <c r="J478" s="208"/>
      <c r="K478" s="208"/>
      <c r="L478" s="536"/>
      <c r="M478" s="208"/>
      <c r="N478" s="208"/>
      <c r="O478" s="208"/>
      <c r="P478" s="208"/>
      <c r="Q478" s="208"/>
      <c r="R478" s="208"/>
      <c r="S478" s="208"/>
      <c r="T478" s="208"/>
      <c r="U478" s="208"/>
      <c r="V478" s="208"/>
      <c r="W478" s="208"/>
      <c r="X478" s="208"/>
      <c r="Y478" s="208"/>
      <c r="Z478" s="208"/>
      <c r="AA478" s="208"/>
      <c r="AB478" s="208"/>
      <c r="AC478" s="208"/>
      <c r="AD478" s="208"/>
      <c r="AE478" s="208"/>
      <c r="AF478" s="208"/>
      <c r="AG478" s="208"/>
      <c r="AH478" s="208"/>
      <c r="AI478" s="208"/>
      <c r="AJ478" s="208"/>
      <c r="AK478" s="208"/>
      <c r="AL478" s="208"/>
      <c r="AM478" s="208"/>
      <c r="AN478" s="208"/>
      <c r="AO478" s="208"/>
      <c r="AP478" s="208"/>
      <c r="AQ478" s="208"/>
      <c r="AR478" s="208"/>
      <c r="AS478" s="208"/>
      <c r="AT478" s="208"/>
      <c r="AU478" s="208"/>
      <c r="AV478" s="208"/>
      <c r="AW478" s="208"/>
      <c r="AX478" s="208"/>
      <c r="AY478" s="208"/>
    </row>
    <row r="479">
      <c r="A479" s="208"/>
      <c r="B479" s="533"/>
      <c r="C479" s="208"/>
      <c r="D479" s="208"/>
      <c r="E479" s="208"/>
      <c r="F479" s="584"/>
      <c r="G479" s="208"/>
      <c r="H479" s="208"/>
      <c r="I479" s="208"/>
      <c r="J479" s="208"/>
      <c r="K479" s="208"/>
      <c r="L479" s="536"/>
      <c r="M479" s="208"/>
      <c r="N479" s="208"/>
      <c r="O479" s="208"/>
      <c r="P479" s="208"/>
      <c r="Q479" s="208"/>
      <c r="R479" s="208"/>
      <c r="S479" s="208"/>
      <c r="T479" s="208"/>
      <c r="U479" s="208"/>
      <c r="V479" s="208"/>
      <c r="W479" s="208"/>
      <c r="X479" s="208"/>
      <c r="Y479" s="208"/>
      <c r="Z479" s="208"/>
      <c r="AA479" s="208"/>
      <c r="AB479" s="208"/>
      <c r="AC479" s="208"/>
      <c r="AD479" s="208"/>
      <c r="AE479" s="208"/>
      <c r="AF479" s="208"/>
      <c r="AG479" s="208"/>
      <c r="AH479" s="208"/>
      <c r="AI479" s="208"/>
      <c r="AJ479" s="208"/>
      <c r="AK479" s="208"/>
      <c r="AL479" s="208"/>
      <c r="AM479" s="208"/>
      <c r="AN479" s="208"/>
      <c r="AO479" s="208"/>
      <c r="AP479" s="208"/>
      <c r="AQ479" s="208"/>
      <c r="AR479" s="208"/>
      <c r="AS479" s="208"/>
      <c r="AT479" s="208"/>
      <c r="AU479" s="208"/>
      <c r="AV479" s="208"/>
      <c r="AW479" s="208"/>
      <c r="AX479" s="208"/>
      <c r="AY479" s="208"/>
    </row>
    <row r="480">
      <c r="A480" s="208"/>
      <c r="B480" s="533"/>
      <c r="C480" s="208"/>
      <c r="D480" s="208"/>
      <c r="E480" s="208"/>
      <c r="F480" s="584"/>
      <c r="G480" s="208"/>
      <c r="H480" s="208"/>
      <c r="I480" s="208"/>
      <c r="J480" s="208"/>
      <c r="K480" s="208"/>
      <c r="L480" s="536"/>
      <c r="M480" s="208"/>
      <c r="N480" s="208"/>
      <c r="O480" s="208"/>
      <c r="P480" s="208"/>
      <c r="Q480" s="208"/>
      <c r="R480" s="208"/>
      <c r="S480" s="208"/>
      <c r="T480" s="208"/>
      <c r="U480" s="208"/>
      <c r="V480" s="208"/>
      <c r="W480" s="208"/>
      <c r="X480" s="208"/>
      <c r="Y480" s="208"/>
      <c r="Z480" s="208"/>
      <c r="AA480" s="208"/>
      <c r="AB480" s="208"/>
      <c r="AC480" s="208"/>
      <c r="AD480" s="208"/>
      <c r="AE480" s="208"/>
      <c r="AF480" s="208"/>
      <c r="AG480" s="208"/>
      <c r="AH480" s="208"/>
      <c r="AI480" s="208"/>
      <c r="AJ480" s="208"/>
      <c r="AK480" s="208"/>
      <c r="AL480" s="208"/>
      <c r="AM480" s="208"/>
      <c r="AN480" s="208"/>
      <c r="AO480" s="208"/>
      <c r="AP480" s="208"/>
      <c r="AQ480" s="208"/>
      <c r="AR480" s="208"/>
      <c r="AS480" s="208"/>
      <c r="AT480" s="208"/>
      <c r="AU480" s="208"/>
      <c r="AV480" s="208"/>
      <c r="AW480" s="208"/>
      <c r="AX480" s="208"/>
      <c r="AY480" s="208"/>
    </row>
    <row r="481">
      <c r="A481" s="208"/>
      <c r="B481" s="533"/>
      <c r="C481" s="208"/>
      <c r="D481" s="208"/>
      <c r="E481" s="208"/>
      <c r="F481" s="584"/>
      <c r="G481" s="208"/>
      <c r="H481" s="208"/>
      <c r="I481" s="208"/>
      <c r="J481" s="208"/>
      <c r="K481" s="208"/>
      <c r="L481" s="536"/>
      <c r="M481" s="208"/>
      <c r="N481" s="208"/>
      <c r="O481" s="208"/>
      <c r="P481" s="208"/>
      <c r="Q481" s="208"/>
      <c r="R481" s="208"/>
      <c r="S481" s="208"/>
      <c r="T481" s="208"/>
      <c r="U481" s="208"/>
      <c r="V481" s="208"/>
      <c r="W481" s="208"/>
      <c r="X481" s="208"/>
      <c r="Y481" s="208"/>
      <c r="Z481" s="208"/>
      <c r="AA481" s="208"/>
      <c r="AB481" s="208"/>
      <c r="AC481" s="208"/>
      <c r="AD481" s="208"/>
      <c r="AE481" s="208"/>
      <c r="AF481" s="208"/>
      <c r="AG481" s="208"/>
      <c r="AH481" s="208"/>
      <c r="AI481" s="208"/>
      <c r="AJ481" s="208"/>
      <c r="AK481" s="208"/>
      <c r="AL481" s="208"/>
      <c r="AM481" s="208"/>
      <c r="AN481" s="208"/>
      <c r="AO481" s="208"/>
      <c r="AP481" s="208"/>
      <c r="AQ481" s="208"/>
      <c r="AR481" s="208"/>
      <c r="AS481" s="208"/>
      <c r="AT481" s="208"/>
      <c r="AU481" s="208"/>
      <c r="AV481" s="208"/>
      <c r="AW481" s="208"/>
      <c r="AX481" s="208"/>
      <c r="AY481" s="208"/>
    </row>
    <row r="482">
      <c r="A482" s="208"/>
      <c r="B482" s="533"/>
      <c r="C482" s="208"/>
      <c r="D482" s="208"/>
      <c r="E482" s="208"/>
      <c r="F482" s="584"/>
      <c r="G482" s="208"/>
      <c r="H482" s="208"/>
      <c r="I482" s="208"/>
      <c r="J482" s="208"/>
      <c r="K482" s="208"/>
      <c r="L482" s="536"/>
      <c r="M482" s="208"/>
      <c r="N482" s="208"/>
      <c r="O482" s="208"/>
      <c r="P482" s="208"/>
      <c r="Q482" s="208"/>
      <c r="R482" s="208"/>
      <c r="S482" s="208"/>
      <c r="T482" s="208"/>
      <c r="U482" s="208"/>
      <c r="V482" s="208"/>
      <c r="W482" s="208"/>
      <c r="X482" s="208"/>
      <c r="Y482" s="208"/>
      <c r="Z482" s="208"/>
      <c r="AA482" s="208"/>
      <c r="AB482" s="208"/>
      <c r="AC482" s="208"/>
      <c r="AD482" s="208"/>
      <c r="AE482" s="208"/>
      <c r="AF482" s="208"/>
      <c r="AG482" s="208"/>
      <c r="AH482" s="208"/>
      <c r="AI482" s="208"/>
      <c r="AJ482" s="208"/>
      <c r="AK482" s="208"/>
      <c r="AL482" s="208"/>
      <c r="AM482" s="208"/>
      <c r="AN482" s="208"/>
      <c r="AO482" s="208"/>
      <c r="AP482" s="208"/>
      <c r="AQ482" s="208"/>
      <c r="AR482" s="208"/>
      <c r="AS482" s="208"/>
      <c r="AT482" s="208"/>
      <c r="AU482" s="208"/>
      <c r="AV482" s="208"/>
      <c r="AW482" s="208"/>
      <c r="AX482" s="208"/>
      <c r="AY482" s="208"/>
    </row>
    <row r="483">
      <c r="A483" s="208"/>
      <c r="B483" s="533"/>
      <c r="C483" s="208"/>
      <c r="D483" s="208"/>
      <c r="E483" s="208"/>
      <c r="F483" s="584"/>
      <c r="G483" s="208"/>
      <c r="H483" s="208"/>
      <c r="I483" s="208"/>
      <c r="J483" s="208"/>
      <c r="K483" s="208"/>
      <c r="L483" s="536"/>
      <c r="M483" s="208"/>
      <c r="N483" s="208"/>
      <c r="O483" s="208"/>
      <c r="P483" s="208"/>
      <c r="Q483" s="208"/>
      <c r="R483" s="208"/>
      <c r="S483" s="208"/>
      <c r="T483" s="208"/>
      <c r="U483" s="208"/>
      <c r="V483" s="208"/>
      <c r="W483" s="208"/>
      <c r="X483" s="208"/>
      <c r="Y483" s="208"/>
      <c r="Z483" s="208"/>
      <c r="AA483" s="208"/>
      <c r="AB483" s="208"/>
      <c r="AC483" s="208"/>
      <c r="AD483" s="208"/>
      <c r="AE483" s="208"/>
      <c r="AF483" s="208"/>
      <c r="AG483" s="208"/>
      <c r="AH483" s="208"/>
      <c r="AI483" s="208"/>
      <c r="AJ483" s="208"/>
      <c r="AK483" s="208"/>
      <c r="AL483" s="208"/>
      <c r="AM483" s="208"/>
      <c r="AN483" s="208"/>
      <c r="AO483" s="208"/>
      <c r="AP483" s="208"/>
      <c r="AQ483" s="208"/>
      <c r="AR483" s="208"/>
      <c r="AS483" s="208"/>
      <c r="AT483" s="208"/>
      <c r="AU483" s="208"/>
      <c r="AV483" s="208"/>
      <c r="AW483" s="208"/>
      <c r="AX483" s="208"/>
      <c r="AY483" s="208"/>
    </row>
    <row r="484">
      <c r="A484" s="208"/>
      <c r="B484" s="533"/>
      <c r="C484" s="208"/>
      <c r="D484" s="208"/>
      <c r="E484" s="208"/>
      <c r="F484" s="584"/>
      <c r="G484" s="208"/>
      <c r="H484" s="208"/>
      <c r="I484" s="208"/>
      <c r="J484" s="208"/>
      <c r="K484" s="208"/>
      <c r="L484" s="536"/>
      <c r="M484" s="208"/>
      <c r="N484" s="208"/>
      <c r="O484" s="208"/>
      <c r="P484" s="208"/>
      <c r="Q484" s="208"/>
      <c r="R484" s="208"/>
      <c r="S484" s="208"/>
      <c r="T484" s="208"/>
      <c r="U484" s="208"/>
      <c r="V484" s="208"/>
      <c r="W484" s="208"/>
      <c r="X484" s="208"/>
      <c r="Y484" s="208"/>
      <c r="Z484" s="208"/>
      <c r="AA484" s="208"/>
      <c r="AB484" s="208"/>
      <c r="AC484" s="208"/>
      <c r="AD484" s="208"/>
      <c r="AE484" s="208"/>
      <c r="AF484" s="208"/>
      <c r="AG484" s="208"/>
      <c r="AH484" s="208"/>
      <c r="AI484" s="208"/>
      <c r="AJ484" s="208"/>
      <c r="AK484" s="208"/>
      <c r="AL484" s="208"/>
      <c r="AM484" s="208"/>
      <c r="AN484" s="208"/>
      <c r="AO484" s="208"/>
      <c r="AP484" s="208"/>
      <c r="AQ484" s="208"/>
      <c r="AR484" s="208"/>
      <c r="AS484" s="208"/>
      <c r="AT484" s="208"/>
      <c r="AU484" s="208"/>
      <c r="AV484" s="208"/>
      <c r="AW484" s="208"/>
      <c r="AX484" s="208"/>
      <c r="AY484" s="208"/>
    </row>
    <row r="485">
      <c r="A485" s="208"/>
      <c r="B485" s="533"/>
      <c r="C485" s="208"/>
      <c r="D485" s="208"/>
      <c r="E485" s="208"/>
      <c r="F485" s="584"/>
      <c r="G485" s="208"/>
      <c r="H485" s="208"/>
      <c r="I485" s="208"/>
      <c r="J485" s="208"/>
      <c r="K485" s="208"/>
      <c r="L485" s="536"/>
      <c r="M485" s="208"/>
      <c r="N485" s="208"/>
      <c r="O485" s="208"/>
      <c r="P485" s="208"/>
      <c r="Q485" s="208"/>
      <c r="R485" s="208"/>
      <c r="S485" s="208"/>
      <c r="T485" s="208"/>
      <c r="U485" s="208"/>
      <c r="V485" s="208"/>
      <c r="W485" s="208"/>
      <c r="X485" s="208"/>
      <c r="Y485" s="208"/>
      <c r="Z485" s="208"/>
      <c r="AA485" s="208"/>
      <c r="AB485" s="208"/>
      <c r="AC485" s="208"/>
      <c r="AD485" s="208"/>
      <c r="AE485" s="208"/>
      <c r="AF485" s="208"/>
      <c r="AG485" s="208"/>
      <c r="AH485" s="208"/>
      <c r="AI485" s="208"/>
      <c r="AJ485" s="208"/>
      <c r="AK485" s="208"/>
      <c r="AL485" s="208"/>
      <c r="AM485" s="208"/>
      <c r="AN485" s="208"/>
      <c r="AO485" s="208"/>
      <c r="AP485" s="208"/>
      <c r="AQ485" s="208"/>
      <c r="AR485" s="208"/>
      <c r="AS485" s="208"/>
      <c r="AT485" s="208"/>
      <c r="AU485" s="208"/>
      <c r="AV485" s="208"/>
      <c r="AW485" s="208"/>
      <c r="AX485" s="208"/>
      <c r="AY485" s="208"/>
    </row>
    <row r="486">
      <c r="A486" s="208"/>
      <c r="B486" s="533"/>
      <c r="C486" s="208"/>
      <c r="D486" s="208"/>
      <c r="E486" s="208"/>
      <c r="F486" s="584"/>
      <c r="G486" s="208"/>
      <c r="H486" s="208"/>
      <c r="I486" s="208"/>
      <c r="J486" s="208"/>
      <c r="K486" s="208"/>
      <c r="L486" s="536"/>
      <c r="M486" s="208"/>
      <c r="N486" s="208"/>
      <c r="O486" s="208"/>
      <c r="P486" s="208"/>
      <c r="Q486" s="208"/>
      <c r="R486" s="208"/>
      <c r="S486" s="208"/>
      <c r="T486" s="208"/>
      <c r="U486" s="208"/>
      <c r="V486" s="208"/>
      <c r="W486" s="208"/>
      <c r="X486" s="208"/>
      <c r="Y486" s="208"/>
      <c r="Z486" s="208"/>
      <c r="AA486" s="208"/>
      <c r="AB486" s="208"/>
      <c r="AC486" s="208"/>
      <c r="AD486" s="208"/>
      <c r="AE486" s="208"/>
      <c r="AF486" s="208"/>
      <c r="AG486" s="208"/>
      <c r="AH486" s="208"/>
      <c r="AI486" s="208"/>
      <c r="AJ486" s="208"/>
      <c r="AK486" s="208"/>
      <c r="AL486" s="208"/>
      <c r="AM486" s="208"/>
      <c r="AN486" s="208"/>
      <c r="AO486" s="208"/>
      <c r="AP486" s="208"/>
      <c r="AQ486" s="208"/>
      <c r="AR486" s="208"/>
      <c r="AS486" s="208"/>
      <c r="AT486" s="208"/>
      <c r="AU486" s="208"/>
      <c r="AV486" s="208"/>
      <c r="AW486" s="208"/>
      <c r="AX486" s="208"/>
      <c r="AY486" s="208"/>
    </row>
    <row r="487">
      <c r="A487" s="208"/>
      <c r="B487" s="533"/>
      <c r="C487" s="208"/>
      <c r="D487" s="208"/>
      <c r="E487" s="208"/>
      <c r="F487" s="584"/>
      <c r="G487" s="208"/>
      <c r="H487" s="208"/>
      <c r="I487" s="208"/>
      <c r="J487" s="208"/>
      <c r="K487" s="208"/>
      <c r="L487" s="536"/>
      <c r="M487" s="208"/>
      <c r="N487" s="208"/>
      <c r="O487" s="208"/>
      <c r="P487" s="208"/>
      <c r="Q487" s="208"/>
      <c r="R487" s="208"/>
      <c r="S487" s="208"/>
      <c r="T487" s="208"/>
      <c r="U487" s="208"/>
      <c r="V487" s="208"/>
      <c r="W487" s="208"/>
      <c r="X487" s="208"/>
      <c r="Y487" s="208"/>
      <c r="Z487" s="208"/>
      <c r="AA487" s="208"/>
      <c r="AB487" s="208"/>
      <c r="AC487" s="208"/>
      <c r="AD487" s="208"/>
      <c r="AE487" s="208"/>
      <c r="AF487" s="208"/>
      <c r="AG487" s="208"/>
      <c r="AH487" s="208"/>
      <c r="AI487" s="208"/>
      <c r="AJ487" s="208"/>
      <c r="AK487" s="208"/>
      <c r="AL487" s="208"/>
      <c r="AM487" s="208"/>
      <c r="AN487" s="208"/>
      <c r="AO487" s="208"/>
      <c r="AP487" s="208"/>
      <c r="AQ487" s="208"/>
      <c r="AR487" s="208"/>
      <c r="AS487" s="208"/>
      <c r="AT487" s="208"/>
      <c r="AU487" s="208"/>
      <c r="AV487" s="208"/>
      <c r="AW487" s="208"/>
      <c r="AX487" s="208"/>
      <c r="AY487" s="208"/>
    </row>
    <row r="488">
      <c r="A488" s="208"/>
      <c r="B488" s="533"/>
      <c r="C488" s="208"/>
      <c r="D488" s="208"/>
      <c r="E488" s="208"/>
      <c r="F488" s="584"/>
      <c r="G488" s="208"/>
      <c r="H488" s="208"/>
      <c r="I488" s="208"/>
      <c r="J488" s="208"/>
      <c r="K488" s="208"/>
      <c r="L488" s="536"/>
      <c r="M488" s="208"/>
      <c r="N488" s="208"/>
      <c r="O488" s="208"/>
      <c r="P488" s="208"/>
      <c r="Q488" s="208"/>
      <c r="R488" s="208"/>
      <c r="S488" s="208"/>
      <c r="T488" s="208"/>
      <c r="U488" s="208"/>
      <c r="V488" s="208"/>
      <c r="W488" s="208"/>
      <c r="X488" s="208"/>
      <c r="Y488" s="208"/>
      <c r="Z488" s="208"/>
      <c r="AA488" s="208"/>
      <c r="AB488" s="208"/>
      <c r="AC488" s="208"/>
      <c r="AD488" s="208"/>
      <c r="AE488" s="208"/>
      <c r="AF488" s="208"/>
      <c r="AG488" s="208"/>
      <c r="AH488" s="208"/>
      <c r="AI488" s="208"/>
      <c r="AJ488" s="208"/>
      <c r="AK488" s="208"/>
      <c r="AL488" s="208"/>
      <c r="AM488" s="208"/>
      <c r="AN488" s="208"/>
      <c r="AO488" s="208"/>
      <c r="AP488" s="208"/>
      <c r="AQ488" s="208"/>
      <c r="AR488" s="208"/>
      <c r="AS488" s="208"/>
      <c r="AT488" s="208"/>
      <c r="AU488" s="208"/>
      <c r="AV488" s="208"/>
      <c r="AW488" s="208"/>
      <c r="AX488" s="208"/>
      <c r="AY488" s="208"/>
    </row>
    <row r="489">
      <c r="A489" s="208"/>
      <c r="B489" s="533"/>
      <c r="C489" s="208"/>
      <c r="D489" s="208"/>
      <c r="E489" s="208"/>
      <c r="F489" s="584"/>
      <c r="G489" s="208"/>
      <c r="H489" s="208"/>
      <c r="I489" s="208"/>
      <c r="J489" s="208"/>
      <c r="K489" s="208"/>
      <c r="L489" s="536"/>
      <c r="M489" s="208"/>
      <c r="N489" s="208"/>
      <c r="O489" s="208"/>
      <c r="P489" s="208"/>
      <c r="Q489" s="208"/>
      <c r="R489" s="208"/>
      <c r="S489" s="208"/>
      <c r="T489" s="208"/>
      <c r="U489" s="208"/>
      <c r="V489" s="208"/>
      <c r="W489" s="208"/>
      <c r="X489" s="208"/>
      <c r="Y489" s="208"/>
      <c r="Z489" s="208"/>
      <c r="AA489" s="208"/>
      <c r="AB489" s="208"/>
      <c r="AC489" s="208"/>
      <c r="AD489" s="208"/>
      <c r="AE489" s="208"/>
      <c r="AF489" s="208"/>
      <c r="AG489" s="208"/>
      <c r="AH489" s="208"/>
      <c r="AI489" s="208"/>
      <c r="AJ489" s="208"/>
      <c r="AK489" s="208"/>
      <c r="AL489" s="208"/>
      <c r="AM489" s="208"/>
      <c r="AN489" s="208"/>
      <c r="AO489" s="208"/>
      <c r="AP489" s="208"/>
      <c r="AQ489" s="208"/>
      <c r="AR489" s="208"/>
      <c r="AS489" s="208"/>
      <c r="AT489" s="208"/>
      <c r="AU489" s="208"/>
      <c r="AV489" s="208"/>
      <c r="AW489" s="208"/>
      <c r="AX489" s="208"/>
      <c r="AY489" s="208"/>
    </row>
    <row r="490">
      <c r="A490" s="208"/>
      <c r="B490" s="533"/>
      <c r="C490" s="208"/>
      <c r="D490" s="208"/>
      <c r="E490" s="208"/>
      <c r="F490" s="584"/>
      <c r="G490" s="208"/>
      <c r="H490" s="208"/>
      <c r="I490" s="208"/>
      <c r="J490" s="208"/>
      <c r="K490" s="208"/>
      <c r="L490" s="536"/>
      <c r="M490" s="208"/>
      <c r="N490" s="208"/>
      <c r="O490" s="208"/>
      <c r="P490" s="208"/>
      <c r="Q490" s="208"/>
      <c r="R490" s="208"/>
      <c r="S490" s="208"/>
      <c r="T490" s="208"/>
      <c r="U490" s="208"/>
      <c r="V490" s="208"/>
      <c r="W490" s="208"/>
      <c r="X490" s="208"/>
      <c r="Y490" s="208"/>
      <c r="Z490" s="208"/>
      <c r="AA490" s="208"/>
      <c r="AB490" s="208"/>
      <c r="AC490" s="208"/>
      <c r="AD490" s="208"/>
      <c r="AE490" s="208"/>
      <c r="AF490" s="208"/>
      <c r="AG490" s="208"/>
      <c r="AH490" s="208"/>
      <c r="AI490" s="208"/>
      <c r="AJ490" s="208"/>
      <c r="AK490" s="208"/>
      <c r="AL490" s="208"/>
      <c r="AM490" s="208"/>
      <c r="AN490" s="208"/>
      <c r="AO490" s="208"/>
      <c r="AP490" s="208"/>
      <c r="AQ490" s="208"/>
      <c r="AR490" s="208"/>
      <c r="AS490" s="208"/>
      <c r="AT490" s="208"/>
      <c r="AU490" s="208"/>
      <c r="AV490" s="208"/>
      <c r="AW490" s="208"/>
      <c r="AX490" s="208"/>
      <c r="AY490" s="208"/>
    </row>
    <row r="491">
      <c r="A491" s="208"/>
      <c r="B491" s="533"/>
      <c r="C491" s="208"/>
      <c r="D491" s="208"/>
      <c r="E491" s="208"/>
      <c r="F491" s="584"/>
      <c r="G491" s="208"/>
      <c r="H491" s="208"/>
      <c r="I491" s="208"/>
      <c r="J491" s="208"/>
      <c r="K491" s="208"/>
      <c r="L491" s="536"/>
      <c r="M491" s="208"/>
      <c r="N491" s="208"/>
      <c r="O491" s="208"/>
      <c r="P491" s="208"/>
      <c r="Q491" s="208"/>
      <c r="R491" s="208"/>
      <c r="S491" s="208"/>
      <c r="T491" s="208"/>
      <c r="U491" s="208"/>
      <c r="V491" s="208"/>
      <c r="W491" s="208"/>
      <c r="X491" s="208"/>
      <c r="Y491" s="208"/>
      <c r="Z491" s="208"/>
      <c r="AA491" s="208"/>
      <c r="AB491" s="208"/>
      <c r="AC491" s="208"/>
      <c r="AD491" s="208"/>
      <c r="AE491" s="208"/>
      <c r="AF491" s="208"/>
      <c r="AG491" s="208"/>
      <c r="AH491" s="208"/>
      <c r="AI491" s="208"/>
      <c r="AJ491" s="208"/>
      <c r="AK491" s="208"/>
      <c r="AL491" s="208"/>
      <c r="AM491" s="208"/>
      <c r="AN491" s="208"/>
      <c r="AO491" s="208"/>
      <c r="AP491" s="208"/>
      <c r="AQ491" s="208"/>
      <c r="AR491" s="208"/>
      <c r="AS491" s="208"/>
      <c r="AT491" s="208"/>
      <c r="AU491" s="208"/>
      <c r="AV491" s="208"/>
      <c r="AW491" s="208"/>
      <c r="AX491" s="208"/>
      <c r="AY491" s="208"/>
    </row>
    <row r="492">
      <c r="A492" s="208"/>
      <c r="B492" s="533"/>
      <c r="C492" s="208"/>
      <c r="D492" s="208"/>
      <c r="E492" s="208"/>
      <c r="F492" s="584"/>
      <c r="G492" s="208"/>
      <c r="H492" s="208"/>
      <c r="I492" s="208"/>
      <c r="J492" s="208"/>
      <c r="K492" s="208"/>
      <c r="L492" s="536"/>
      <c r="M492" s="208"/>
      <c r="N492" s="208"/>
      <c r="O492" s="208"/>
      <c r="P492" s="208"/>
      <c r="Q492" s="208"/>
      <c r="R492" s="208"/>
      <c r="S492" s="208"/>
      <c r="T492" s="208"/>
      <c r="U492" s="208"/>
      <c r="V492" s="208"/>
      <c r="W492" s="208"/>
      <c r="X492" s="208"/>
      <c r="Y492" s="208"/>
      <c r="Z492" s="208"/>
      <c r="AA492" s="208"/>
      <c r="AB492" s="208"/>
      <c r="AC492" s="208"/>
      <c r="AD492" s="208"/>
      <c r="AE492" s="208"/>
      <c r="AF492" s="208"/>
      <c r="AG492" s="208"/>
      <c r="AH492" s="208"/>
      <c r="AI492" s="208"/>
      <c r="AJ492" s="208"/>
      <c r="AK492" s="208"/>
      <c r="AL492" s="208"/>
      <c r="AM492" s="208"/>
      <c r="AN492" s="208"/>
      <c r="AO492" s="208"/>
      <c r="AP492" s="208"/>
      <c r="AQ492" s="208"/>
      <c r="AR492" s="208"/>
      <c r="AS492" s="208"/>
      <c r="AT492" s="208"/>
      <c r="AU492" s="208"/>
      <c r="AV492" s="208"/>
      <c r="AW492" s="208"/>
      <c r="AX492" s="208"/>
      <c r="AY492" s="208"/>
    </row>
    <row r="493">
      <c r="A493" s="208"/>
      <c r="B493" s="533"/>
      <c r="C493" s="208"/>
      <c r="D493" s="208"/>
      <c r="E493" s="208"/>
      <c r="F493" s="584"/>
      <c r="G493" s="208"/>
      <c r="H493" s="208"/>
      <c r="I493" s="208"/>
      <c r="J493" s="208"/>
      <c r="K493" s="208"/>
      <c r="L493" s="536"/>
      <c r="M493" s="208"/>
      <c r="N493" s="208"/>
      <c r="O493" s="208"/>
      <c r="P493" s="208"/>
      <c r="Q493" s="208"/>
      <c r="R493" s="208"/>
      <c r="S493" s="208"/>
      <c r="T493" s="208"/>
      <c r="U493" s="208"/>
      <c r="V493" s="208"/>
      <c r="W493" s="208"/>
      <c r="X493" s="208"/>
      <c r="Y493" s="208"/>
      <c r="Z493" s="208"/>
      <c r="AA493" s="208"/>
      <c r="AB493" s="208"/>
      <c r="AC493" s="208"/>
      <c r="AD493" s="208"/>
      <c r="AE493" s="208"/>
      <c r="AF493" s="208"/>
      <c r="AG493" s="208"/>
      <c r="AH493" s="208"/>
      <c r="AI493" s="208"/>
      <c r="AJ493" s="208"/>
      <c r="AK493" s="208"/>
      <c r="AL493" s="208"/>
      <c r="AM493" s="208"/>
      <c r="AN493" s="208"/>
      <c r="AO493" s="208"/>
      <c r="AP493" s="208"/>
      <c r="AQ493" s="208"/>
      <c r="AR493" s="208"/>
      <c r="AS493" s="208"/>
      <c r="AT493" s="208"/>
      <c r="AU493" s="208"/>
      <c r="AV493" s="208"/>
      <c r="AW493" s="208"/>
      <c r="AX493" s="208"/>
      <c r="AY493" s="208"/>
    </row>
    <row r="494">
      <c r="A494" s="208"/>
      <c r="B494" s="533"/>
      <c r="C494" s="208"/>
      <c r="D494" s="208"/>
      <c r="E494" s="208"/>
      <c r="F494" s="584"/>
      <c r="G494" s="208"/>
      <c r="H494" s="208"/>
      <c r="I494" s="208"/>
      <c r="J494" s="208"/>
      <c r="K494" s="208"/>
      <c r="L494" s="536"/>
      <c r="M494" s="208"/>
      <c r="N494" s="208"/>
      <c r="O494" s="208"/>
      <c r="P494" s="208"/>
      <c r="Q494" s="208"/>
      <c r="R494" s="208"/>
      <c r="S494" s="208"/>
      <c r="T494" s="208"/>
      <c r="U494" s="208"/>
      <c r="V494" s="208"/>
      <c r="W494" s="208"/>
      <c r="X494" s="208"/>
      <c r="Y494" s="208"/>
      <c r="Z494" s="208"/>
      <c r="AA494" s="208"/>
      <c r="AB494" s="208"/>
      <c r="AC494" s="208"/>
      <c r="AD494" s="208"/>
      <c r="AE494" s="208"/>
      <c r="AF494" s="208"/>
      <c r="AG494" s="208"/>
      <c r="AH494" s="208"/>
      <c r="AI494" s="208"/>
      <c r="AJ494" s="208"/>
      <c r="AK494" s="208"/>
      <c r="AL494" s="208"/>
      <c r="AM494" s="208"/>
      <c r="AN494" s="208"/>
      <c r="AO494" s="208"/>
      <c r="AP494" s="208"/>
      <c r="AQ494" s="208"/>
      <c r="AR494" s="208"/>
      <c r="AS494" s="208"/>
      <c r="AT494" s="208"/>
      <c r="AU494" s="208"/>
      <c r="AV494" s="208"/>
      <c r="AW494" s="208"/>
      <c r="AX494" s="208"/>
      <c r="AY494" s="208"/>
    </row>
    <row r="495">
      <c r="A495" s="208"/>
      <c r="B495" s="533"/>
      <c r="C495" s="208"/>
      <c r="D495" s="208"/>
      <c r="E495" s="208"/>
      <c r="F495" s="584"/>
      <c r="G495" s="208"/>
      <c r="H495" s="208"/>
      <c r="I495" s="208"/>
      <c r="J495" s="208"/>
      <c r="K495" s="208"/>
      <c r="L495" s="536"/>
      <c r="M495" s="208"/>
      <c r="N495" s="208"/>
      <c r="O495" s="208"/>
      <c r="P495" s="208"/>
      <c r="Q495" s="208"/>
      <c r="R495" s="208"/>
      <c r="S495" s="208"/>
      <c r="T495" s="208"/>
      <c r="U495" s="208"/>
      <c r="V495" s="208"/>
      <c r="W495" s="208"/>
      <c r="X495" s="208"/>
      <c r="Y495" s="208"/>
      <c r="Z495" s="208"/>
      <c r="AA495" s="208"/>
      <c r="AB495" s="208"/>
      <c r="AC495" s="208"/>
      <c r="AD495" s="208"/>
      <c r="AE495" s="208"/>
      <c r="AF495" s="208"/>
      <c r="AG495" s="208"/>
      <c r="AH495" s="208"/>
      <c r="AI495" s="208"/>
      <c r="AJ495" s="208"/>
      <c r="AK495" s="208"/>
      <c r="AL495" s="208"/>
      <c r="AM495" s="208"/>
      <c r="AN495" s="208"/>
      <c r="AO495" s="208"/>
      <c r="AP495" s="208"/>
      <c r="AQ495" s="208"/>
      <c r="AR495" s="208"/>
      <c r="AS495" s="208"/>
      <c r="AT495" s="208"/>
      <c r="AU495" s="208"/>
      <c r="AV495" s="208"/>
      <c r="AW495" s="208"/>
      <c r="AX495" s="208"/>
      <c r="AY495" s="208"/>
    </row>
    <row r="496">
      <c r="A496" s="208"/>
      <c r="B496" s="533"/>
      <c r="C496" s="208"/>
      <c r="D496" s="208"/>
      <c r="E496" s="208"/>
      <c r="F496" s="584"/>
      <c r="G496" s="208"/>
      <c r="H496" s="208"/>
      <c r="I496" s="208"/>
      <c r="J496" s="208"/>
      <c r="K496" s="208"/>
      <c r="L496" s="536"/>
      <c r="M496" s="208"/>
      <c r="N496" s="208"/>
      <c r="O496" s="208"/>
      <c r="P496" s="208"/>
      <c r="Q496" s="208"/>
      <c r="R496" s="208"/>
      <c r="S496" s="208"/>
      <c r="T496" s="208"/>
      <c r="U496" s="208"/>
      <c r="V496" s="208"/>
      <c r="W496" s="208"/>
      <c r="X496" s="208"/>
      <c r="Y496" s="208"/>
      <c r="Z496" s="208"/>
      <c r="AA496" s="208"/>
      <c r="AB496" s="208"/>
      <c r="AC496" s="208"/>
      <c r="AD496" s="208"/>
      <c r="AE496" s="208"/>
      <c r="AF496" s="208"/>
      <c r="AG496" s="208"/>
      <c r="AH496" s="208"/>
      <c r="AI496" s="208"/>
      <c r="AJ496" s="208"/>
      <c r="AK496" s="208"/>
      <c r="AL496" s="208"/>
      <c r="AM496" s="208"/>
      <c r="AN496" s="208"/>
      <c r="AO496" s="208"/>
      <c r="AP496" s="208"/>
      <c r="AQ496" s="208"/>
      <c r="AR496" s="208"/>
      <c r="AS496" s="208"/>
      <c r="AT496" s="208"/>
      <c r="AU496" s="208"/>
      <c r="AV496" s="208"/>
      <c r="AW496" s="208"/>
      <c r="AX496" s="208"/>
      <c r="AY496" s="208"/>
    </row>
    <row r="497">
      <c r="A497" s="208"/>
      <c r="B497" s="533"/>
      <c r="C497" s="208"/>
      <c r="D497" s="208"/>
      <c r="E497" s="208"/>
      <c r="F497" s="584"/>
      <c r="G497" s="208"/>
      <c r="H497" s="208"/>
      <c r="I497" s="208"/>
      <c r="J497" s="208"/>
      <c r="K497" s="208"/>
      <c r="L497" s="536"/>
      <c r="M497" s="208"/>
      <c r="N497" s="208"/>
      <c r="O497" s="208"/>
      <c r="P497" s="208"/>
      <c r="Q497" s="208"/>
      <c r="R497" s="208"/>
      <c r="S497" s="208"/>
      <c r="T497" s="208"/>
      <c r="U497" s="208"/>
      <c r="V497" s="208"/>
      <c r="W497" s="208"/>
      <c r="X497" s="208"/>
      <c r="Y497" s="208"/>
      <c r="Z497" s="208"/>
      <c r="AA497" s="208"/>
      <c r="AB497" s="208"/>
      <c r="AC497" s="208"/>
      <c r="AD497" s="208"/>
      <c r="AE497" s="208"/>
      <c r="AF497" s="208"/>
      <c r="AG497" s="208"/>
      <c r="AH497" s="208"/>
      <c r="AI497" s="208"/>
      <c r="AJ497" s="208"/>
      <c r="AK497" s="208"/>
      <c r="AL497" s="208"/>
      <c r="AM497" s="208"/>
      <c r="AN497" s="208"/>
      <c r="AO497" s="208"/>
      <c r="AP497" s="208"/>
      <c r="AQ497" s="208"/>
      <c r="AR497" s="208"/>
      <c r="AS497" s="208"/>
      <c r="AT497" s="208"/>
      <c r="AU497" s="208"/>
      <c r="AV497" s="208"/>
      <c r="AW497" s="208"/>
      <c r="AX497" s="208"/>
      <c r="AY497" s="208"/>
    </row>
    <row r="498">
      <c r="A498" s="208"/>
      <c r="B498" s="533"/>
      <c r="C498" s="208"/>
      <c r="D498" s="208"/>
      <c r="E498" s="208"/>
      <c r="F498" s="584"/>
      <c r="G498" s="208"/>
      <c r="H498" s="208"/>
      <c r="I498" s="208"/>
      <c r="J498" s="208"/>
      <c r="K498" s="208"/>
      <c r="L498" s="536"/>
      <c r="M498" s="208"/>
      <c r="N498" s="208"/>
      <c r="O498" s="208"/>
      <c r="P498" s="208"/>
      <c r="Q498" s="208"/>
      <c r="R498" s="208"/>
      <c r="S498" s="208"/>
      <c r="T498" s="208"/>
      <c r="U498" s="208"/>
      <c r="V498" s="208"/>
      <c r="W498" s="208"/>
      <c r="X498" s="208"/>
      <c r="Y498" s="208"/>
      <c r="Z498" s="208"/>
      <c r="AA498" s="208"/>
      <c r="AB498" s="208"/>
      <c r="AC498" s="208"/>
      <c r="AD498" s="208"/>
      <c r="AE498" s="208"/>
      <c r="AF498" s="208"/>
      <c r="AG498" s="208"/>
      <c r="AH498" s="208"/>
      <c r="AI498" s="208"/>
      <c r="AJ498" s="208"/>
      <c r="AK498" s="208"/>
      <c r="AL498" s="208"/>
      <c r="AM498" s="208"/>
      <c r="AN498" s="208"/>
      <c r="AO498" s="208"/>
      <c r="AP498" s="208"/>
      <c r="AQ498" s="208"/>
      <c r="AR498" s="208"/>
      <c r="AS498" s="208"/>
      <c r="AT498" s="208"/>
      <c r="AU498" s="208"/>
      <c r="AV498" s="208"/>
      <c r="AW498" s="208"/>
      <c r="AX498" s="208"/>
      <c r="AY498" s="208"/>
    </row>
    <row r="499">
      <c r="A499" s="208"/>
      <c r="B499" s="533"/>
      <c r="C499" s="208"/>
      <c r="D499" s="208"/>
      <c r="E499" s="208"/>
      <c r="F499" s="584"/>
      <c r="G499" s="208"/>
      <c r="H499" s="208"/>
      <c r="I499" s="208"/>
      <c r="J499" s="208"/>
      <c r="K499" s="208"/>
      <c r="L499" s="536"/>
      <c r="M499" s="208"/>
      <c r="N499" s="208"/>
      <c r="O499" s="208"/>
      <c r="P499" s="208"/>
      <c r="Q499" s="208"/>
      <c r="R499" s="208"/>
      <c r="S499" s="208"/>
      <c r="T499" s="208"/>
      <c r="U499" s="208"/>
      <c r="V499" s="208"/>
      <c r="W499" s="208"/>
      <c r="X499" s="208"/>
      <c r="Y499" s="208"/>
      <c r="Z499" s="208"/>
      <c r="AA499" s="208"/>
      <c r="AB499" s="208"/>
      <c r="AC499" s="208"/>
      <c r="AD499" s="208"/>
      <c r="AE499" s="208"/>
      <c r="AF499" s="208"/>
      <c r="AG499" s="208"/>
      <c r="AH499" s="208"/>
      <c r="AI499" s="208"/>
      <c r="AJ499" s="208"/>
      <c r="AK499" s="208"/>
      <c r="AL499" s="208"/>
      <c r="AM499" s="208"/>
      <c r="AN499" s="208"/>
      <c r="AO499" s="208"/>
      <c r="AP499" s="208"/>
      <c r="AQ499" s="208"/>
      <c r="AR499" s="208"/>
      <c r="AS499" s="208"/>
      <c r="AT499" s="208"/>
      <c r="AU499" s="208"/>
      <c r="AV499" s="208"/>
      <c r="AW499" s="208"/>
      <c r="AX499" s="208"/>
      <c r="AY499" s="208"/>
    </row>
    <row r="500">
      <c r="A500" s="208"/>
      <c r="B500" s="533"/>
      <c r="C500" s="208"/>
      <c r="D500" s="208"/>
      <c r="E500" s="208"/>
      <c r="F500" s="584"/>
      <c r="G500" s="208"/>
      <c r="H500" s="208"/>
      <c r="I500" s="208"/>
      <c r="J500" s="208"/>
      <c r="K500" s="208"/>
      <c r="L500" s="536"/>
      <c r="M500" s="208"/>
      <c r="N500" s="208"/>
      <c r="O500" s="208"/>
      <c r="P500" s="208"/>
      <c r="Q500" s="208"/>
      <c r="R500" s="208"/>
      <c r="S500" s="208"/>
      <c r="T500" s="208"/>
      <c r="U500" s="208"/>
      <c r="V500" s="208"/>
      <c r="W500" s="208"/>
      <c r="X500" s="208"/>
      <c r="Y500" s="208"/>
      <c r="Z500" s="208"/>
      <c r="AA500" s="208"/>
      <c r="AB500" s="208"/>
      <c r="AC500" s="208"/>
      <c r="AD500" s="208"/>
      <c r="AE500" s="208"/>
      <c r="AF500" s="208"/>
      <c r="AG500" s="208"/>
      <c r="AH500" s="208"/>
      <c r="AI500" s="208"/>
      <c r="AJ500" s="208"/>
      <c r="AK500" s="208"/>
      <c r="AL500" s="208"/>
      <c r="AM500" s="208"/>
      <c r="AN500" s="208"/>
      <c r="AO500" s="208"/>
      <c r="AP500" s="208"/>
      <c r="AQ500" s="208"/>
      <c r="AR500" s="208"/>
      <c r="AS500" s="208"/>
      <c r="AT500" s="208"/>
      <c r="AU500" s="208"/>
      <c r="AV500" s="208"/>
      <c r="AW500" s="208"/>
      <c r="AX500" s="208"/>
      <c r="AY500" s="208"/>
    </row>
    <row r="501">
      <c r="A501" s="208"/>
      <c r="B501" s="533"/>
      <c r="C501" s="208"/>
      <c r="D501" s="208"/>
      <c r="E501" s="208"/>
      <c r="F501" s="584"/>
      <c r="G501" s="208"/>
      <c r="H501" s="208"/>
      <c r="I501" s="208"/>
      <c r="J501" s="208"/>
      <c r="K501" s="208"/>
      <c r="L501" s="536"/>
      <c r="M501" s="208"/>
      <c r="N501" s="208"/>
      <c r="O501" s="208"/>
      <c r="P501" s="208"/>
      <c r="Q501" s="208"/>
      <c r="R501" s="208"/>
      <c r="S501" s="208"/>
      <c r="T501" s="208"/>
      <c r="U501" s="208"/>
      <c r="V501" s="208"/>
      <c r="W501" s="208"/>
      <c r="X501" s="208"/>
      <c r="Y501" s="208"/>
      <c r="Z501" s="208"/>
      <c r="AA501" s="208"/>
      <c r="AB501" s="208"/>
      <c r="AC501" s="208"/>
      <c r="AD501" s="208"/>
      <c r="AE501" s="208"/>
      <c r="AF501" s="208"/>
      <c r="AG501" s="208"/>
      <c r="AH501" s="208"/>
      <c r="AI501" s="208"/>
      <c r="AJ501" s="208"/>
      <c r="AK501" s="208"/>
      <c r="AL501" s="208"/>
      <c r="AM501" s="208"/>
      <c r="AN501" s="208"/>
      <c r="AO501" s="208"/>
      <c r="AP501" s="208"/>
      <c r="AQ501" s="208"/>
      <c r="AR501" s="208"/>
      <c r="AS501" s="208"/>
      <c r="AT501" s="208"/>
      <c r="AU501" s="208"/>
      <c r="AV501" s="208"/>
      <c r="AW501" s="208"/>
      <c r="AX501" s="208"/>
      <c r="AY501" s="208"/>
    </row>
    <row r="502">
      <c r="A502" s="208"/>
      <c r="B502" s="533"/>
      <c r="C502" s="208"/>
      <c r="D502" s="208"/>
      <c r="E502" s="208"/>
      <c r="F502" s="584"/>
      <c r="G502" s="208"/>
      <c r="H502" s="208"/>
      <c r="I502" s="208"/>
      <c r="J502" s="208"/>
      <c r="K502" s="208"/>
      <c r="L502" s="536"/>
      <c r="M502" s="208"/>
      <c r="N502" s="208"/>
      <c r="O502" s="208"/>
      <c r="P502" s="208"/>
      <c r="Q502" s="208"/>
      <c r="R502" s="208"/>
      <c r="S502" s="208"/>
      <c r="T502" s="208"/>
      <c r="U502" s="208"/>
      <c r="V502" s="208"/>
      <c r="W502" s="208"/>
      <c r="X502" s="208"/>
      <c r="Y502" s="208"/>
      <c r="Z502" s="208"/>
      <c r="AA502" s="208"/>
      <c r="AB502" s="208"/>
      <c r="AC502" s="208"/>
      <c r="AD502" s="208"/>
      <c r="AE502" s="208"/>
      <c r="AF502" s="208"/>
      <c r="AG502" s="208"/>
      <c r="AH502" s="208"/>
      <c r="AI502" s="208"/>
      <c r="AJ502" s="208"/>
      <c r="AK502" s="208"/>
      <c r="AL502" s="208"/>
      <c r="AM502" s="208"/>
      <c r="AN502" s="208"/>
      <c r="AO502" s="208"/>
      <c r="AP502" s="208"/>
      <c r="AQ502" s="208"/>
      <c r="AR502" s="208"/>
      <c r="AS502" s="208"/>
      <c r="AT502" s="208"/>
      <c r="AU502" s="208"/>
      <c r="AV502" s="208"/>
      <c r="AW502" s="208"/>
      <c r="AX502" s="208"/>
      <c r="AY502" s="208"/>
    </row>
    <row r="503">
      <c r="A503" s="208"/>
      <c r="B503" s="533"/>
      <c r="C503" s="208"/>
      <c r="D503" s="208"/>
      <c r="E503" s="208"/>
      <c r="F503" s="584"/>
      <c r="G503" s="208"/>
      <c r="H503" s="208"/>
      <c r="I503" s="208"/>
      <c r="J503" s="208"/>
      <c r="K503" s="208"/>
      <c r="L503" s="536"/>
      <c r="M503" s="208"/>
      <c r="N503" s="208"/>
      <c r="O503" s="208"/>
      <c r="P503" s="208"/>
      <c r="Q503" s="208"/>
      <c r="R503" s="208"/>
      <c r="S503" s="208"/>
      <c r="T503" s="208"/>
      <c r="U503" s="208"/>
      <c r="V503" s="208"/>
      <c r="W503" s="208"/>
      <c r="X503" s="208"/>
      <c r="Y503" s="208"/>
      <c r="Z503" s="208"/>
      <c r="AA503" s="208"/>
      <c r="AB503" s="208"/>
      <c r="AC503" s="208"/>
      <c r="AD503" s="208"/>
      <c r="AE503" s="208"/>
      <c r="AF503" s="208"/>
      <c r="AG503" s="208"/>
      <c r="AH503" s="208"/>
      <c r="AI503" s="208"/>
      <c r="AJ503" s="208"/>
      <c r="AK503" s="208"/>
      <c r="AL503" s="208"/>
      <c r="AM503" s="208"/>
      <c r="AN503" s="208"/>
      <c r="AO503" s="208"/>
      <c r="AP503" s="208"/>
      <c r="AQ503" s="208"/>
      <c r="AR503" s="208"/>
      <c r="AS503" s="208"/>
      <c r="AT503" s="208"/>
      <c r="AU503" s="208"/>
      <c r="AV503" s="208"/>
      <c r="AW503" s="208"/>
      <c r="AX503" s="208"/>
      <c r="AY503" s="208"/>
    </row>
    <row r="504">
      <c r="A504" s="208"/>
      <c r="B504" s="533"/>
      <c r="C504" s="208"/>
      <c r="D504" s="208"/>
      <c r="E504" s="208"/>
      <c r="F504" s="584"/>
      <c r="G504" s="208"/>
      <c r="H504" s="208"/>
      <c r="I504" s="208"/>
      <c r="J504" s="208"/>
      <c r="K504" s="208"/>
      <c r="L504" s="536"/>
      <c r="M504" s="208"/>
      <c r="N504" s="208"/>
      <c r="O504" s="208"/>
      <c r="P504" s="208"/>
      <c r="Q504" s="208"/>
      <c r="R504" s="208"/>
      <c r="S504" s="208"/>
      <c r="T504" s="208"/>
      <c r="U504" s="208"/>
      <c r="V504" s="208"/>
      <c r="W504" s="208"/>
      <c r="X504" s="208"/>
      <c r="Y504" s="208"/>
      <c r="Z504" s="208"/>
      <c r="AA504" s="208"/>
      <c r="AB504" s="208"/>
      <c r="AC504" s="208"/>
      <c r="AD504" s="208"/>
      <c r="AE504" s="208"/>
      <c r="AF504" s="208"/>
      <c r="AG504" s="208"/>
      <c r="AH504" s="208"/>
      <c r="AI504" s="208"/>
      <c r="AJ504" s="208"/>
      <c r="AK504" s="208"/>
      <c r="AL504" s="208"/>
      <c r="AM504" s="208"/>
      <c r="AN504" s="208"/>
      <c r="AO504" s="208"/>
      <c r="AP504" s="208"/>
      <c r="AQ504" s="208"/>
      <c r="AR504" s="208"/>
      <c r="AS504" s="208"/>
      <c r="AT504" s="208"/>
      <c r="AU504" s="208"/>
      <c r="AV504" s="208"/>
      <c r="AW504" s="208"/>
      <c r="AX504" s="208"/>
      <c r="AY504" s="208"/>
    </row>
    <row r="505">
      <c r="A505" s="208"/>
      <c r="B505" s="533"/>
      <c r="C505" s="208"/>
      <c r="D505" s="208"/>
      <c r="E505" s="208"/>
      <c r="F505" s="584"/>
      <c r="G505" s="208"/>
      <c r="H505" s="208"/>
      <c r="I505" s="208"/>
      <c r="J505" s="208"/>
      <c r="K505" s="208"/>
      <c r="L505" s="536"/>
      <c r="M505" s="208"/>
      <c r="N505" s="208"/>
      <c r="O505" s="208"/>
      <c r="P505" s="208"/>
      <c r="Q505" s="208"/>
      <c r="R505" s="208"/>
      <c r="S505" s="208"/>
      <c r="T505" s="208"/>
      <c r="U505" s="208"/>
      <c r="V505" s="208"/>
      <c r="W505" s="208"/>
      <c r="X505" s="208"/>
      <c r="Y505" s="208"/>
      <c r="Z505" s="208"/>
      <c r="AA505" s="208"/>
      <c r="AB505" s="208"/>
      <c r="AC505" s="208"/>
      <c r="AD505" s="208"/>
      <c r="AE505" s="208"/>
      <c r="AF505" s="208"/>
      <c r="AG505" s="208"/>
      <c r="AH505" s="208"/>
      <c r="AI505" s="208"/>
      <c r="AJ505" s="208"/>
      <c r="AK505" s="208"/>
      <c r="AL505" s="208"/>
      <c r="AM505" s="208"/>
      <c r="AN505" s="208"/>
      <c r="AO505" s="208"/>
      <c r="AP505" s="208"/>
      <c r="AQ505" s="208"/>
      <c r="AR505" s="208"/>
      <c r="AS505" s="208"/>
      <c r="AT505" s="208"/>
      <c r="AU505" s="208"/>
      <c r="AV505" s="208"/>
      <c r="AW505" s="208"/>
      <c r="AX505" s="208"/>
      <c r="AY505" s="208"/>
    </row>
    <row r="506">
      <c r="A506" s="208"/>
      <c r="B506" s="533"/>
      <c r="C506" s="208"/>
      <c r="D506" s="208"/>
      <c r="E506" s="208"/>
      <c r="F506" s="584"/>
      <c r="G506" s="208"/>
      <c r="H506" s="208"/>
      <c r="I506" s="208"/>
      <c r="J506" s="208"/>
      <c r="K506" s="208"/>
      <c r="L506" s="536"/>
      <c r="M506" s="208"/>
      <c r="N506" s="208"/>
      <c r="O506" s="208"/>
      <c r="P506" s="208"/>
      <c r="Q506" s="208"/>
      <c r="R506" s="208"/>
      <c r="S506" s="208"/>
      <c r="T506" s="208"/>
      <c r="U506" s="208"/>
      <c r="V506" s="208"/>
      <c r="W506" s="208"/>
      <c r="X506" s="208"/>
      <c r="Y506" s="208"/>
      <c r="Z506" s="208"/>
      <c r="AA506" s="208"/>
      <c r="AB506" s="208"/>
      <c r="AC506" s="208"/>
      <c r="AD506" s="208"/>
      <c r="AE506" s="208"/>
      <c r="AF506" s="208"/>
      <c r="AG506" s="208"/>
      <c r="AH506" s="208"/>
      <c r="AI506" s="208"/>
      <c r="AJ506" s="208"/>
      <c r="AK506" s="208"/>
      <c r="AL506" s="208"/>
      <c r="AM506" s="208"/>
      <c r="AN506" s="208"/>
      <c r="AO506" s="208"/>
      <c r="AP506" s="208"/>
      <c r="AQ506" s="208"/>
      <c r="AR506" s="208"/>
      <c r="AS506" s="208"/>
      <c r="AT506" s="208"/>
      <c r="AU506" s="208"/>
      <c r="AV506" s="208"/>
      <c r="AW506" s="208"/>
      <c r="AX506" s="208"/>
      <c r="AY506" s="208"/>
    </row>
    <row r="507">
      <c r="A507" s="208"/>
      <c r="B507" s="533"/>
      <c r="C507" s="208"/>
      <c r="D507" s="208"/>
      <c r="E507" s="208"/>
      <c r="F507" s="584"/>
      <c r="G507" s="208"/>
      <c r="H507" s="208"/>
      <c r="I507" s="208"/>
      <c r="J507" s="208"/>
      <c r="K507" s="208"/>
      <c r="L507" s="536"/>
      <c r="M507" s="208"/>
      <c r="N507" s="208"/>
      <c r="O507" s="208"/>
      <c r="P507" s="208"/>
      <c r="Q507" s="208"/>
      <c r="R507" s="208"/>
      <c r="S507" s="208"/>
      <c r="T507" s="208"/>
      <c r="U507" s="208"/>
      <c r="V507" s="208"/>
      <c r="W507" s="208"/>
      <c r="X507" s="208"/>
      <c r="Y507" s="208"/>
      <c r="Z507" s="208"/>
      <c r="AA507" s="208"/>
      <c r="AB507" s="208"/>
      <c r="AC507" s="208"/>
      <c r="AD507" s="208"/>
      <c r="AE507" s="208"/>
      <c r="AF507" s="208"/>
      <c r="AG507" s="208"/>
      <c r="AH507" s="208"/>
      <c r="AI507" s="208"/>
      <c r="AJ507" s="208"/>
      <c r="AK507" s="208"/>
      <c r="AL507" s="208"/>
      <c r="AM507" s="208"/>
      <c r="AN507" s="208"/>
      <c r="AO507" s="208"/>
      <c r="AP507" s="208"/>
      <c r="AQ507" s="208"/>
      <c r="AR507" s="208"/>
      <c r="AS507" s="208"/>
      <c r="AT507" s="208"/>
      <c r="AU507" s="208"/>
      <c r="AV507" s="208"/>
      <c r="AW507" s="208"/>
      <c r="AX507" s="208"/>
      <c r="AY507" s="208"/>
    </row>
    <row r="508">
      <c r="A508" s="208"/>
      <c r="B508" s="533"/>
      <c r="C508" s="208"/>
      <c r="D508" s="208"/>
      <c r="E508" s="208"/>
      <c r="F508" s="584"/>
      <c r="G508" s="208"/>
      <c r="H508" s="208"/>
      <c r="I508" s="208"/>
      <c r="J508" s="208"/>
      <c r="K508" s="208"/>
      <c r="L508" s="536"/>
      <c r="M508" s="208"/>
      <c r="N508" s="208"/>
      <c r="O508" s="208"/>
      <c r="P508" s="208"/>
      <c r="Q508" s="208"/>
      <c r="R508" s="208"/>
      <c r="S508" s="208"/>
      <c r="T508" s="208"/>
      <c r="U508" s="208"/>
      <c r="V508" s="208"/>
      <c r="W508" s="208"/>
      <c r="X508" s="208"/>
      <c r="Y508" s="208"/>
      <c r="Z508" s="208"/>
      <c r="AA508" s="208"/>
      <c r="AB508" s="208"/>
      <c r="AC508" s="208"/>
      <c r="AD508" s="208"/>
      <c r="AE508" s="208"/>
      <c r="AF508" s="208"/>
      <c r="AG508" s="208"/>
      <c r="AH508" s="208"/>
      <c r="AI508" s="208"/>
      <c r="AJ508" s="208"/>
      <c r="AK508" s="208"/>
      <c r="AL508" s="208"/>
      <c r="AM508" s="208"/>
      <c r="AN508" s="208"/>
      <c r="AO508" s="208"/>
      <c r="AP508" s="208"/>
      <c r="AQ508" s="208"/>
      <c r="AR508" s="208"/>
      <c r="AS508" s="208"/>
      <c r="AT508" s="208"/>
      <c r="AU508" s="208"/>
      <c r="AV508" s="208"/>
      <c r="AW508" s="208"/>
      <c r="AX508" s="208"/>
      <c r="AY508" s="208"/>
    </row>
    <row r="509">
      <c r="A509" s="208"/>
      <c r="B509" s="533"/>
      <c r="C509" s="208"/>
      <c r="D509" s="208"/>
      <c r="E509" s="208"/>
      <c r="F509" s="584"/>
      <c r="G509" s="208"/>
      <c r="H509" s="208"/>
      <c r="I509" s="208"/>
      <c r="J509" s="208"/>
      <c r="K509" s="208"/>
      <c r="L509" s="536"/>
      <c r="M509" s="208"/>
      <c r="N509" s="208"/>
      <c r="O509" s="208"/>
      <c r="P509" s="208"/>
      <c r="Q509" s="208"/>
      <c r="R509" s="208"/>
      <c r="S509" s="208"/>
      <c r="T509" s="208"/>
      <c r="U509" s="208"/>
      <c r="V509" s="208"/>
      <c r="W509" s="208"/>
      <c r="X509" s="208"/>
      <c r="Y509" s="208"/>
      <c r="Z509" s="208"/>
      <c r="AA509" s="208"/>
      <c r="AB509" s="208"/>
      <c r="AC509" s="208"/>
      <c r="AD509" s="208"/>
      <c r="AE509" s="208"/>
      <c r="AF509" s="208"/>
      <c r="AG509" s="208"/>
      <c r="AH509" s="208"/>
      <c r="AI509" s="208"/>
      <c r="AJ509" s="208"/>
      <c r="AK509" s="208"/>
      <c r="AL509" s="208"/>
      <c r="AM509" s="208"/>
      <c r="AN509" s="208"/>
      <c r="AO509" s="208"/>
      <c r="AP509" s="208"/>
      <c r="AQ509" s="208"/>
      <c r="AR509" s="208"/>
      <c r="AS509" s="208"/>
      <c r="AT509" s="208"/>
      <c r="AU509" s="208"/>
      <c r="AV509" s="208"/>
      <c r="AW509" s="208"/>
      <c r="AX509" s="208"/>
      <c r="AY509" s="208"/>
    </row>
    <row r="510">
      <c r="A510" s="208"/>
      <c r="B510" s="533"/>
      <c r="C510" s="208"/>
      <c r="D510" s="208"/>
      <c r="E510" s="208"/>
      <c r="F510" s="584"/>
      <c r="G510" s="208"/>
      <c r="H510" s="208"/>
      <c r="I510" s="208"/>
      <c r="J510" s="208"/>
      <c r="K510" s="208"/>
      <c r="L510" s="536"/>
      <c r="M510" s="208"/>
      <c r="N510" s="208"/>
      <c r="O510" s="208"/>
      <c r="P510" s="208"/>
      <c r="Q510" s="208"/>
      <c r="R510" s="208"/>
      <c r="S510" s="208"/>
      <c r="T510" s="208"/>
      <c r="U510" s="208"/>
      <c r="V510" s="208"/>
      <c r="W510" s="208"/>
      <c r="X510" s="208"/>
      <c r="Y510" s="208"/>
      <c r="Z510" s="208"/>
      <c r="AA510" s="208"/>
      <c r="AB510" s="208"/>
      <c r="AC510" s="208"/>
      <c r="AD510" s="208"/>
      <c r="AE510" s="208"/>
      <c r="AF510" s="208"/>
      <c r="AG510" s="208"/>
      <c r="AH510" s="208"/>
      <c r="AI510" s="208"/>
      <c r="AJ510" s="208"/>
      <c r="AK510" s="208"/>
      <c r="AL510" s="208"/>
      <c r="AM510" s="208"/>
      <c r="AN510" s="208"/>
      <c r="AO510" s="208"/>
      <c r="AP510" s="208"/>
      <c r="AQ510" s="208"/>
      <c r="AR510" s="208"/>
      <c r="AS510" s="208"/>
      <c r="AT510" s="208"/>
      <c r="AU510" s="208"/>
      <c r="AV510" s="208"/>
      <c r="AW510" s="208"/>
      <c r="AX510" s="208"/>
      <c r="AY510" s="208"/>
    </row>
    <row r="511">
      <c r="A511" s="208"/>
      <c r="B511" s="533"/>
      <c r="C511" s="208"/>
      <c r="D511" s="208"/>
      <c r="E511" s="208"/>
      <c r="F511" s="584"/>
      <c r="G511" s="208"/>
      <c r="H511" s="208"/>
      <c r="I511" s="208"/>
      <c r="J511" s="208"/>
      <c r="K511" s="208"/>
      <c r="L511" s="536"/>
      <c r="M511" s="208"/>
      <c r="N511" s="208"/>
      <c r="O511" s="208"/>
      <c r="P511" s="208"/>
      <c r="Q511" s="208"/>
      <c r="R511" s="208"/>
      <c r="S511" s="208"/>
      <c r="T511" s="208"/>
      <c r="U511" s="208"/>
      <c r="V511" s="208"/>
      <c r="W511" s="208"/>
      <c r="X511" s="208"/>
      <c r="Y511" s="208"/>
      <c r="Z511" s="208"/>
      <c r="AA511" s="208"/>
      <c r="AB511" s="208"/>
      <c r="AC511" s="208"/>
      <c r="AD511" s="208"/>
      <c r="AE511" s="208"/>
      <c r="AF511" s="208"/>
      <c r="AG511" s="208"/>
      <c r="AH511" s="208"/>
      <c r="AI511" s="208"/>
      <c r="AJ511" s="208"/>
      <c r="AK511" s="208"/>
      <c r="AL511" s="208"/>
      <c r="AM511" s="208"/>
      <c r="AN511" s="208"/>
      <c r="AO511" s="208"/>
      <c r="AP511" s="208"/>
      <c r="AQ511" s="208"/>
      <c r="AR511" s="208"/>
      <c r="AS511" s="208"/>
      <c r="AT511" s="208"/>
      <c r="AU511" s="208"/>
      <c r="AV511" s="208"/>
      <c r="AW511" s="208"/>
      <c r="AX511" s="208"/>
      <c r="AY511" s="208"/>
    </row>
    <row r="512">
      <c r="A512" s="208"/>
      <c r="B512" s="533"/>
      <c r="C512" s="208"/>
      <c r="D512" s="208"/>
      <c r="E512" s="208"/>
      <c r="F512" s="584"/>
      <c r="G512" s="208"/>
      <c r="H512" s="208"/>
      <c r="I512" s="208"/>
      <c r="J512" s="208"/>
      <c r="K512" s="208"/>
      <c r="L512" s="536"/>
      <c r="M512" s="208"/>
      <c r="N512" s="208"/>
      <c r="O512" s="208"/>
      <c r="P512" s="208"/>
      <c r="Q512" s="208"/>
      <c r="R512" s="208"/>
      <c r="S512" s="208"/>
      <c r="T512" s="208"/>
      <c r="U512" s="208"/>
      <c r="V512" s="208"/>
      <c r="W512" s="208"/>
      <c r="X512" s="208"/>
      <c r="Y512" s="208"/>
      <c r="Z512" s="208"/>
      <c r="AA512" s="208"/>
      <c r="AB512" s="208"/>
      <c r="AC512" s="208"/>
      <c r="AD512" s="208"/>
      <c r="AE512" s="208"/>
      <c r="AF512" s="208"/>
      <c r="AG512" s="208"/>
      <c r="AH512" s="208"/>
      <c r="AI512" s="208"/>
      <c r="AJ512" s="208"/>
      <c r="AK512" s="208"/>
      <c r="AL512" s="208"/>
      <c r="AM512" s="208"/>
      <c r="AN512" s="208"/>
      <c r="AO512" s="208"/>
      <c r="AP512" s="208"/>
      <c r="AQ512" s="208"/>
      <c r="AR512" s="208"/>
      <c r="AS512" s="208"/>
      <c r="AT512" s="208"/>
      <c r="AU512" s="208"/>
      <c r="AV512" s="208"/>
      <c r="AW512" s="208"/>
      <c r="AX512" s="208"/>
      <c r="AY512" s="208"/>
    </row>
    <row r="513">
      <c r="A513" s="208"/>
      <c r="B513" s="533"/>
      <c r="C513" s="208"/>
      <c r="D513" s="208"/>
      <c r="E513" s="208"/>
      <c r="F513" s="584"/>
      <c r="G513" s="208"/>
      <c r="H513" s="208"/>
      <c r="I513" s="208"/>
      <c r="J513" s="208"/>
      <c r="K513" s="208"/>
      <c r="L513" s="536"/>
      <c r="M513" s="208"/>
      <c r="N513" s="208"/>
      <c r="O513" s="208"/>
      <c r="P513" s="208"/>
      <c r="Q513" s="208"/>
      <c r="R513" s="208"/>
      <c r="S513" s="208"/>
      <c r="T513" s="208"/>
      <c r="U513" s="208"/>
      <c r="V513" s="208"/>
      <c r="W513" s="208"/>
      <c r="X513" s="208"/>
      <c r="Y513" s="208"/>
      <c r="Z513" s="208"/>
      <c r="AA513" s="208"/>
      <c r="AB513" s="208"/>
      <c r="AC513" s="208"/>
      <c r="AD513" s="208"/>
      <c r="AE513" s="208"/>
      <c r="AF513" s="208"/>
      <c r="AG513" s="208"/>
      <c r="AH513" s="208"/>
      <c r="AI513" s="208"/>
      <c r="AJ513" s="208"/>
      <c r="AK513" s="208"/>
      <c r="AL513" s="208"/>
      <c r="AM513" s="208"/>
      <c r="AN513" s="208"/>
      <c r="AO513" s="208"/>
      <c r="AP513" s="208"/>
      <c r="AQ513" s="208"/>
      <c r="AR513" s="208"/>
      <c r="AS513" s="208"/>
      <c r="AT513" s="208"/>
      <c r="AU513" s="208"/>
      <c r="AV513" s="208"/>
      <c r="AW513" s="208"/>
      <c r="AX513" s="208"/>
      <c r="AY513" s="208"/>
    </row>
    <row r="514">
      <c r="A514" s="208"/>
      <c r="B514" s="533"/>
      <c r="C514" s="208"/>
      <c r="D514" s="208"/>
      <c r="E514" s="208"/>
      <c r="F514" s="584"/>
      <c r="G514" s="208"/>
      <c r="H514" s="208"/>
      <c r="I514" s="208"/>
      <c r="J514" s="208"/>
      <c r="K514" s="208"/>
      <c r="L514" s="536"/>
      <c r="M514" s="208"/>
      <c r="N514" s="208"/>
      <c r="O514" s="208"/>
      <c r="P514" s="208"/>
      <c r="Q514" s="208"/>
      <c r="R514" s="208"/>
      <c r="S514" s="208"/>
      <c r="T514" s="208"/>
      <c r="U514" s="208"/>
      <c r="V514" s="208"/>
      <c r="W514" s="208"/>
      <c r="X514" s="208"/>
      <c r="Y514" s="208"/>
      <c r="Z514" s="208"/>
      <c r="AA514" s="208"/>
      <c r="AB514" s="208"/>
      <c r="AC514" s="208"/>
      <c r="AD514" s="208"/>
      <c r="AE514" s="208"/>
      <c r="AF514" s="208"/>
      <c r="AG514" s="208"/>
      <c r="AH514" s="208"/>
      <c r="AI514" s="208"/>
      <c r="AJ514" s="208"/>
      <c r="AK514" s="208"/>
      <c r="AL514" s="208"/>
      <c r="AM514" s="208"/>
      <c r="AN514" s="208"/>
      <c r="AO514" s="208"/>
      <c r="AP514" s="208"/>
      <c r="AQ514" s="208"/>
      <c r="AR514" s="208"/>
      <c r="AS514" s="208"/>
      <c r="AT514" s="208"/>
      <c r="AU514" s="208"/>
      <c r="AV514" s="208"/>
      <c r="AW514" s="208"/>
      <c r="AX514" s="208"/>
      <c r="AY514" s="208"/>
    </row>
    <row r="515">
      <c r="A515" s="208"/>
      <c r="B515" s="533"/>
      <c r="C515" s="208"/>
      <c r="D515" s="208"/>
      <c r="E515" s="208"/>
      <c r="F515" s="584"/>
      <c r="G515" s="208"/>
      <c r="H515" s="208"/>
      <c r="I515" s="208"/>
      <c r="J515" s="208"/>
      <c r="K515" s="208"/>
      <c r="L515" s="536"/>
      <c r="M515" s="208"/>
      <c r="N515" s="208"/>
      <c r="O515" s="208"/>
      <c r="P515" s="208"/>
      <c r="Q515" s="208"/>
      <c r="R515" s="208"/>
      <c r="S515" s="208"/>
      <c r="T515" s="208"/>
      <c r="U515" s="208"/>
      <c r="V515" s="208"/>
      <c r="W515" s="208"/>
      <c r="X515" s="208"/>
      <c r="Y515" s="208"/>
      <c r="Z515" s="208"/>
      <c r="AA515" s="208"/>
      <c r="AB515" s="208"/>
      <c r="AC515" s="208"/>
      <c r="AD515" s="208"/>
      <c r="AE515" s="208"/>
      <c r="AF515" s="208"/>
      <c r="AG515" s="208"/>
      <c r="AH515" s="208"/>
      <c r="AI515" s="208"/>
      <c r="AJ515" s="208"/>
      <c r="AK515" s="208"/>
      <c r="AL515" s="208"/>
      <c r="AM515" s="208"/>
      <c r="AN515" s="208"/>
      <c r="AO515" s="208"/>
      <c r="AP515" s="208"/>
      <c r="AQ515" s="208"/>
      <c r="AR515" s="208"/>
      <c r="AS515" s="208"/>
      <c r="AT515" s="208"/>
      <c r="AU515" s="208"/>
      <c r="AV515" s="208"/>
      <c r="AW515" s="208"/>
      <c r="AX515" s="208"/>
      <c r="AY515" s="208"/>
    </row>
    <row r="516">
      <c r="A516" s="208"/>
      <c r="B516" s="533"/>
      <c r="C516" s="208"/>
      <c r="D516" s="208"/>
      <c r="E516" s="208"/>
      <c r="F516" s="584"/>
      <c r="G516" s="208"/>
      <c r="H516" s="208"/>
      <c r="I516" s="208"/>
      <c r="J516" s="208"/>
      <c r="K516" s="208"/>
      <c r="L516" s="536"/>
      <c r="M516" s="208"/>
      <c r="N516" s="208"/>
      <c r="O516" s="208"/>
      <c r="P516" s="208"/>
      <c r="Q516" s="208"/>
      <c r="R516" s="208"/>
      <c r="S516" s="208"/>
      <c r="T516" s="208"/>
      <c r="U516" s="208"/>
      <c r="V516" s="208"/>
      <c r="W516" s="208"/>
      <c r="X516" s="208"/>
      <c r="Y516" s="208"/>
      <c r="Z516" s="208"/>
      <c r="AA516" s="208"/>
      <c r="AB516" s="208"/>
      <c r="AC516" s="208"/>
      <c r="AD516" s="208"/>
      <c r="AE516" s="208"/>
      <c r="AF516" s="208"/>
      <c r="AG516" s="208"/>
      <c r="AH516" s="208"/>
      <c r="AI516" s="208"/>
      <c r="AJ516" s="208"/>
      <c r="AK516" s="208"/>
      <c r="AL516" s="208"/>
      <c r="AM516" s="208"/>
      <c r="AN516" s="208"/>
      <c r="AO516" s="208"/>
      <c r="AP516" s="208"/>
      <c r="AQ516" s="208"/>
      <c r="AR516" s="208"/>
      <c r="AS516" s="208"/>
      <c r="AT516" s="208"/>
      <c r="AU516" s="208"/>
      <c r="AV516" s="208"/>
      <c r="AW516" s="208"/>
      <c r="AX516" s="208"/>
      <c r="AY516" s="208"/>
    </row>
    <row r="517">
      <c r="A517" s="208"/>
      <c r="B517" s="533"/>
      <c r="C517" s="208"/>
      <c r="D517" s="208"/>
      <c r="E517" s="208"/>
      <c r="F517" s="584"/>
      <c r="G517" s="208"/>
      <c r="H517" s="208"/>
      <c r="I517" s="208"/>
      <c r="J517" s="208"/>
      <c r="K517" s="208"/>
      <c r="L517" s="536"/>
      <c r="M517" s="208"/>
      <c r="N517" s="208"/>
      <c r="O517" s="208"/>
      <c r="P517" s="208"/>
      <c r="Q517" s="208"/>
      <c r="R517" s="208"/>
      <c r="S517" s="208"/>
      <c r="T517" s="208"/>
      <c r="U517" s="208"/>
      <c r="V517" s="208"/>
      <c r="W517" s="208"/>
      <c r="X517" s="208"/>
      <c r="Y517" s="208"/>
      <c r="Z517" s="208"/>
      <c r="AA517" s="208"/>
      <c r="AB517" s="208"/>
      <c r="AC517" s="208"/>
      <c r="AD517" s="208"/>
      <c r="AE517" s="208"/>
      <c r="AF517" s="208"/>
      <c r="AG517" s="208"/>
      <c r="AH517" s="208"/>
      <c r="AI517" s="208"/>
      <c r="AJ517" s="208"/>
      <c r="AK517" s="208"/>
      <c r="AL517" s="208"/>
      <c r="AM517" s="208"/>
      <c r="AN517" s="208"/>
      <c r="AO517" s="208"/>
      <c r="AP517" s="208"/>
      <c r="AQ517" s="208"/>
      <c r="AR517" s="208"/>
      <c r="AS517" s="208"/>
      <c r="AT517" s="208"/>
      <c r="AU517" s="208"/>
      <c r="AV517" s="208"/>
      <c r="AW517" s="208"/>
      <c r="AX517" s="208"/>
      <c r="AY517" s="208"/>
    </row>
    <row r="518">
      <c r="A518" s="208"/>
      <c r="B518" s="533"/>
      <c r="C518" s="208"/>
      <c r="D518" s="208"/>
      <c r="E518" s="208"/>
      <c r="F518" s="584"/>
      <c r="G518" s="208"/>
      <c r="H518" s="208"/>
      <c r="I518" s="208"/>
      <c r="J518" s="208"/>
      <c r="K518" s="208"/>
      <c r="L518" s="536"/>
      <c r="M518" s="208"/>
      <c r="N518" s="208"/>
      <c r="O518" s="208"/>
      <c r="P518" s="208"/>
      <c r="Q518" s="208"/>
      <c r="R518" s="208"/>
      <c r="S518" s="208"/>
      <c r="T518" s="208"/>
      <c r="U518" s="208"/>
      <c r="V518" s="208"/>
      <c r="W518" s="208"/>
      <c r="X518" s="208"/>
      <c r="Y518" s="208"/>
      <c r="Z518" s="208"/>
      <c r="AA518" s="208"/>
      <c r="AB518" s="208"/>
      <c r="AC518" s="208"/>
      <c r="AD518" s="208"/>
      <c r="AE518" s="208"/>
      <c r="AF518" s="208"/>
      <c r="AG518" s="208"/>
      <c r="AH518" s="208"/>
      <c r="AI518" s="208"/>
      <c r="AJ518" s="208"/>
      <c r="AK518" s="208"/>
      <c r="AL518" s="208"/>
      <c r="AM518" s="208"/>
      <c r="AN518" s="208"/>
      <c r="AO518" s="208"/>
      <c r="AP518" s="208"/>
      <c r="AQ518" s="208"/>
      <c r="AR518" s="208"/>
      <c r="AS518" s="208"/>
      <c r="AT518" s="208"/>
      <c r="AU518" s="208"/>
      <c r="AV518" s="208"/>
      <c r="AW518" s="208"/>
      <c r="AX518" s="208"/>
      <c r="AY518" s="208"/>
    </row>
    <row r="519">
      <c r="A519" s="208"/>
      <c r="B519" s="533"/>
      <c r="C519" s="208"/>
      <c r="D519" s="208"/>
      <c r="E519" s="208"/>
      <c r="F519" s="584"/>
      <c r="G519" s="208"/>
      <c r="H519" s="208"/>
      <c r="I519" s="208"/>
      <c r="J519" s="208"/>
      <c r="K519" s="208"/>
      <c r="L519" s="536"/>
      <c r="M519" s="208"/>
      <c r="N519" s="208"/>
      <c r="O519" s="208"/>
      <c r="P519" s="208"/>
      <c r="Q519" s="208"/>
      <c r="R519" s="208"/>
      <c r="S519" s="208"/>
      <c r="T519" s="208"/>
      <c r="U519" s="208"/>
      <c r="V519" s="208"/>
      <c r="W519" s="208"/>
      <c r="X519" s="208"/>
      <c r="Y519" s="208"/>
      <c r="Z519" s="208"/>
      <c r="AA519" s="208"/>
      <c r="AB519" s="208"/>
      <c r="AC519" s="208"/>
      <c r="AD519" s="208"/>
      <c r="AE519" s="208"/>
      <c r="AF519" s="208"/>
      <c r="AG519" s="208"/>
      <c r="AH519" s="208"/>
      <c r="AI519" s="208"/>
      <c r="AJ519" s="208"/>
      <c r="AK519" s="208"/>
      <c r="AL519" s="208"/>
      <c r="AM519" s="208"/>
      <c r="AN519" s="208"/>
      <c r="AO519" s="208"/>
      <c r="AP519" s="208"/>
      <c r="AQ519" s="208"/>
      <c r="AR519" s="208"/>
      <c r="AS519" s="208"/>
      <c r="AT519" s="208"/>
      <c r="AU519" s="208"/>
      <c r="AV519" s="208"/>
      <c r="AW519" s="208"/>
      <c r="AX519" s="208"/>
      <c r="AY519" s="208"/>
    </row>
    <row r="520">
      <c r="A520" s="208"/>
      <c r="B520" s="533"/>
      <c r="C520" s="208"/>
      <c r="D520" s="208"/>
      <c r="E520" s="208"/>
      <c r="F520" s="584"/>
      <c r="G520" s="208"/>
      <c r="H520" s="208"/>
      <c r="I520" s="208"/>
      <c r="J520" s="208"/>
      <c r="K520" s="208"/>
      <c r="L520" s="536"/>
      <c r="M520" s="208"/>
      <c r="N520" s="208"/>
      <c r="O520" s="208"/>
      <c r="P520" s="208"/>
      <c r="Q520" s="208"/>
      <c r="R520" s="208"/>
      <c r="S520" s="208"/>
      <c r="T520" s="208"/>
      <c r="U520" s="208"/>
      <c r="V520" s="208"/>
      <c r="W520" s="208"/>
      <c r="X520" s="208"/>
      <c r="Y520" s="208"/>
      <c r="Z520" s="208"/>
      <c r="AA520" s="208"/>
      <c r="AB520" s="208"/>
      <c r="AC520" s="208"/>
      <c r="AD520" s="208"/>
      <c r="AE520" s="208"/>
      <c r="AF520" s="208"/>
      <c r="AG520" s="208"/>
      <c r="AH520" s="208"/>
      <c r="AI520" s="208"/>
      <c r="AJ520" s="208"/>
      <c r="AK520" s="208"/>
      <c r="AL520" s="208"/>
      <c r="AM520" s="208"/>
      <c r="AN520" s="208"/>
      <c r="AO520" s="208"/>
      <c r="AP520" s="208"/>
      <c r="AQ520" s="208"/>
      <c r="AR520" s="208"/>
      <c r="AS520" s="208"/>
      <c r="AT520" s="208"/>
      <c r="AU520" s="208"/>
      <c r="AV520" s="208"/>
      <c r="AW520" s="208"/>
      <c r="AX520" s="208"/>
      <c r="AY520" s="208"/>
    </row>
    <row r="521">
      <c r="A521" s="208"/>
      <c r="B521" s="533"/>
      <c r="C521" s="208"/>
      <c r="D521" s="208"/>
      <c r="E521" s="208"/>
      <c r="F521" s="584"/>
      <c r="G521" s="208"/>
      <c r="H521" s="208"/>
      <c r="I521" s="208"/>
      <c r="J521" s="208"/>
      <c r="K521" s="208"/>
      <c r="L521" s="536"/>
      <c r="M521" s="208"/>
      <c r="N521" s="208"/>
      <c r="O521" s="208"/>
      <c r="P521" s="208"/>
      <c r="Q521" s="208"/>
      <c r="R521" s="208"/>
      <c r="S521" s="208"/>
      <c r="T521" s="208"/>
      <c r="U521" s="208"/>
      <c r="V521" s="208"/>
      <c r="W521" s="208"/>
      <c r="X521" s="208"/>
      <c r="Y521" s="208"/>
      <c r="Z521" s="208"/>
      <c r="AA521" s="208"/>
      <c r="AB521" s="208"/>
      <c r="AC521" s="208"/>
      <c r="AD521" s="208"/>
      <c r="AE521" s="208"/>
      <c r="AF521" s="208"/>
      <c r="AG521" s="208"/>
      <c r="AH521" s="208"/>
      <c r="AI521" s="208"/>
      <c r="AJ521" s="208"/>
      <c r="AK521" s="208"/>
      <c r="AL521" s="208"/>
      <c r="AM521" s="208"/>
      <c r="AN521" s="208"/>
      <c r="AO521" s="208"/>
      <c r="AP521" s="208"/>
      <c r="AQ521" s="208"/>
      <c r="AR521" s="208"/>
      <c r="AS521" s="208"/>
      <c r="AT521" s="208"/>
      <c r="AU521" s="208"/>
      <c r="AV521" s="208"/>
      <c r="AW521" s="208"/>
      <c r="AX521" s="208"/>
      <c r="AY521" s="208"/>
    </row>
    <row r="522">
      <c r="A522" s="208"/>
      <c r="B522" s="533"/>
      <c r="C522" s="208"/>
      <c r="D522" s="208"/>
      <c r="E522" s="208"/>
      <c r="F522" s="584"/>
      <c r="G522" s="208"/>
      <c r="H522" s="208"/>
      <c r="I522" s="208"/>
      <c r="J522" s="208"/>
      <c r="K522" s="208"/>
      <c r="L522" s="536"/>
      <c r="M522" s="208"/>
      <c r="N522" s="208"/>
      <c r="O522" s="208"/>
      <c r="P522" s="208"/>
      <c r="Q522" s="208"/>
      <c r="R522" s="208"/>
      <c r="S522" s="208"/>
      <c r="T522" s="208"/>
      <c r="U522" s="208"/>
      <c r="V522" s="208"/>
      <c r="W522" s="208"/>
      <c r="X522" s="208"/>
      <c r="Y522" s="208"/>
      <c r="Z522" s="208"/>
      <c r="AA522" s="208"/>
      <c r="AB522" s="208"/>
      <c r="AC522" s="208"/>
      <c r="AD522" s="208"/>
      <c r="AE522" s="208"/>
      <c r="AF522" s="208"/>
      <c r="AG522" s="208"/>
      <c r="AH522" s="208"/>
      <c r="AI522" s="208"/>
      <c r="AJ522" s="208"/>
      <c r="AK522" s="208"/>
      <c r="AL522" s="208"/>
      <c r="AM522" s="208"/>
      <c r="AN522" s="208"/>
      <c r="AO522" s="208"/>
      <c r="AP522" s="208"/>
      <c r="AQ522" s="208"/>
      <c r="AR522" s="208"/>
      <c r="AS522" s="208"/>
      <c r="AT522" s="208"/>
      <c r="AU522" s="208"/>
      <c r="AV522" s="208"/>
      <c r="AW522" s="208"/>
      <c r="AX522" s="208"/>
      <c r="AY522" s="208"/>
    </row>
    <row r="523">
      <c r="A523" s="208"/>
      <c r="B523" s="533"/>
      <c r="C523" s="208"/>
      <c r="D523" s="208"/>
      <c r="E523" s="208"/>
      <c r="F523" s="584"/>
      <c r="G523" s="208"/>
      <c r="H523" s="208"/>
      <c r="I523" s="208"/>
      <c r="J523" s="208"/>
      <c r="K523" s="208"/>
      <c r="L523" s="536"/>
      <c r="M523" s="208"/>
      <c r="N523" s="208"/>
      <c r="O523" s="208"/>
      <c r="P523" s="208"/>
      <c r="Q523" s="208"/>
      <c r="R523" s="208"/>
      <c r="S523" s="208"/>
      <c r="T523" s="208"/>
      <c r="U523" s="208"/>
      <c r="V523" s="208"/>
      <c r="W523" s="208"/>
      <c r="X523" s="208"/>
      <c r="Y523" s="208"/>
      <c r="Z523" s="208"/>
      <c r="AA523" s="208"/>
      <c r="AB523" s="208"/>
      <c r="AC523" s="208"/>
      <c r="AD523" s="208"/>
      <c r="AE523" s="208"/>
      <c r="AF523" s="208"/>
      <c r="AG523" s="208"/>
      <c r="AH523" s="208"/>
      <c r="AI523" s="208"/>
      <c r="AJ523" s="208"/>
      <c r="AK523" s="208"/>
      <c r="AL523" s="208"/>
      <c r="AM523" s="208"/>
      <c r="AN523" s="208"/>
      <c r="AO523" s="208"/>
      <c r="AP523" s="208"/>
      <c r="AQ523" s="208"/>
      <c r="AR523" s="208"/>
      <c r="AS523" s="208"/>
      <c r="AT523" s="208"/>
      <c r="AU523" s="208"/>
      <c r="AV523" s="208"/>
      <c r="AW523" s="208"/>
      <c r="AX523" s="208"/>
      <c r="AY523" s="208"/>
    </row>
    <row r="524">
      <c r="A524" s="208"/>
      <c r="B524" s="533"/>
      <c r="C524" s="208"/>
      <c r="D524" s="208"/>
      <c r="E524" s="208"/>
      <c r="F524" s="584"/>
      <c r="G524" s="208"/>
      <c r="H524" s="208"/>
      <c r="I524" s="208"/>
      <c r="J524" s="208"/>
      <c r="K524" s="208"/>
      <c r="L524" s="536"/>
      <c r="M524" s="208"/>
      <c r="N524" s="208"/>
      <c r="O524" s="208"/>
      <c r="P524" s="208"/>
      <c r="Q524" s="208"/>
      <c r="R524" s="208"/>
      <c r="S524" s="208"/>
      <c r="T524" s="208"/>
      <c r="U524" s="208"/>
      <c r="V524" s="208"/>
      <c r="W524" s="208"/>
      <c r="X524" s="208"/>
      <c r="Y524" s="208"/>
      <c r="Z524" s="208"/>
      <c r="AA524" s="208"/>
      <c r="AB524" s="208"/>
      <c r="AC524" s="208"/>
      <c r="AD524" s="208"/>
      <c r="AE524" s="208"/>
      <c r="AF524" s="208"/>
      <c r="AG524" s="208"/>
      <c r="AH524" s="208"/>
      <c r="AI524" s="208"/>
      <c r="AJ524" s="208"/>
      <c r="AK524" s="208"/>
      <c r="AL524" s="208"/>
      <c r="AM524" s="208"/>
      <c r="AN524" s="208"/>
      <c r="AO524" s="208"/>
      <c r="AP524" s="208"/>
      <c r="AQ524" s="208"/>
      <c r="AR524" s="208"/>
      <c r="AS524" s="208"/>
      <c r="AT524" s="208"/>
      <c r="AU524" s="208"/>
      <c r="AV524" s="208"/>
      <c r="AW524" s="208"/>
      <c r="AX524" s="208"/>
      <c r="AY524" s="208"/>
    </row>
    <row r="525">
      <c r="A525" s="208"/>
      <c r="B525" s="533"/>
      <c r="C525" s="208"/>
      <c r="D525" s="208"/>
      <c r="E525" s="208"/>
      <c r="F525" s="584"/>
      <c r="G525" s="208"/>
      <c r="H525" s="208"/>
      <c r="I525" s="208"/>
      <c r="J525" s="208"/>
      <c r="K525" s="208"/>
      <c r="L525" s="536"/>
      <c r="M525" s="208"/>
      <c r="N525" s="208"/>
      <c r="O525" s="208"/>
      <c r="P525" s="208"/>
      <c r="Q525" s="208"/>
      <c r="R525" s="208"/>
      <c r="S525" s="208"/>
      <c r="T525" s="208"/>
      <c r="U525" s="208"/>
      <c r="V525" s="208"/>
      <c r="W525" s="208"/>
      <c r="X525" s="208"/>
      <c r="Y525" s="208"/>
      <c r="Z525" s="208"/>
      <c r="AA525" s="208"/>
      <c r="AB525" s="208"/>
      <c r="AC525" s="208"/>
      <c r="AD525" s="208"/>
      <c r="AE525" s="208"/>
      <c r="AF525" s="208"/>
      <c r="AG525" s="208"/>
      <c r="AH525" s="208"/>
      <c r="AI525" s="208"/>
      <c r="AJ525" s="208"/>
      <c r="AK525" s="208"/>
      <c r="AL525" s="208"/>
      <c r="AM525" s="208"/>
      <c r="AN525" s="208"/>
      <c r="AO525" s="208"/>
      <c r="AP525" s="208"/>
      <c r="AQ525" s="208"/>
      <c r="AR525" s="208"/>
      <c r="AS525" s="208"/>
      <c r="AT525" s="208"/>
      <c r="AU525" s="208"/>
      <c r="AV525" s="208"/>
      <c r="AW525" s="208"/>
      <c r="AX525" s="208"/>
      <c r="AY525" s="208"/>
    </row>
    <row r="526">
      <c r="A526" s="208"/>
      <c r="B526" s="533"/>
      <c r="C526" s="208"/>
      <c r="D526" s="208"/>
      <c r="E526" s="208"/>
      <c r="F526" s="584"/>
      <c r="G526" s="208"/>
      <c r="H526" s="208"/>
      <c r="I526" s="208"/>
      <c r="J526" s="208"/>
      <c r="K526" s="208"/>
      <c r="L526" s="536"/>
      <c r="M526" s="208"/>
      <c r="N526" s="208"/>
      <c r="O526" s="208"/>
      <c r="P526" s="208"/>
      <c r="Q526" s="208"/>
      <c r="R526" s="208"/>
      <c r="S526" s="208"/>
      <c r="T526" s="208"/>
      <c r="U526" s="208"/>
      <c r="V526" s="208"/>
      <c r="W526" s="208"/>
      <c r="X526" s="208"/>
      <c r="Y526" s="208"/>
      <c r="Z526" s="208"/>
      <c r="AA526" s="208"/>
      <c r="AB526" s="208"/>
      <c r="AC526" s="208"/>
      <c r="AD526" s="208"/>
      <c r="AE526" s="208"/>
      <c r="AF526" s="208"/>
      <c r="AG526" s="208"/>
      <c r="AH526" s="208"/>
      <c r="AI526" s="208"/>
      <c r="AJ526" s="208"/>
      <c r="AK526" s="208"/>
      <c r="AL526" s="208"/>
      <c r="AM526" s="208"/>
      <c r="AN526" s="208"/>
      <c r="AO526" s="208"/>
      <c r="AP526" s="208"/>
      <c r="AQ526" s="208"/>
      <c r="AR526" s="208"/>
      <c r="AS526" s="208"/>
      <c r="AT526" s="208"/>
      <c r="AU526" s="208"/>
      <c r="AV526" s="208"/>
      <c r="AW526" s="208"/>
      <c r="AX526" s="208"/>
      <c r="AY526" s="208"/>
    </row>
    <row r="527">
      <c r="A527" s="208"/>
      <c r="B527" s="533"/>
      <c r="C527" s="208"/>
      <c r="D527" s="208"/>
      <c r="E527" s="208"/>
      <c r="F527" s="584"/>
      <c r="G527" s="208"/>
      <c r="H527" s="208"/>
      <c r="I527" s="208"/>
      <c r="J527" s="208"/>
      <c r="K527" s="208"/>
      <c r="L527" s="536"/>
      <c r="M527" s="208"/>
      <c r="N527" s="208"/>
      <c r="O527" s="208"/>
      <c r="P527" s="208"/>
      <c r="Q527" s="208"/>
      <c r="R527" s="208"/>
      <c r="S527" s="208"/>
      <c r="T527" s="208"/>
      <c r="U527" s="208"/>
      <c r="V527" s="208"/>
      <c r="W527" s="208"/>
      <c r="X527" s="208"/>
      <c r="Y527" s="208"/>
      <c r="Z527" s="208"/>
      <c r="AA527" s="208"/>
      <c r="AB527" s="208"/>
      <c r="AC527" s="208"/>
      <c r="AD527" s="208"/>
      <c r="AE527" s="208"/>
      <c r="AF527" s="208"/>
      <c r="AG527" s="208"/>
      <c r="AH527" s="208"/>
      <c r="AI527" s="208"/>
      <c r="AJ527" s="208"/>
      <c r="AK527" s="208"/>
      <c r="AL527" s="208"/>
      <c r="AM527" s="208"/>
      <c r="AN527" s="208"/>
      <c r="AO527" s="208"/>
      <c r="AP527" s="208"/>
      <c r="AQ527" s="208"/>
      <c r="AR527" s="208"/>
      <c r="AS527" s="208"/>
      <c r="AT527" s="208"/>
      <c r="AU527" s="208"/>
      <c r="AV527" s="208"/>
      <c r="AW527" s="208"/>
      <c r="AX527" s="208"/>
      <c r="AY527" s="208"/>
    </row>
    <row r="528">
      <c r="A528" s="208"/>
      <c r="B528" s="533"/>
      <c r="C528" s="208"/>
      <c r="D528" s="208"/>
      <c r="E528" s="208"/>
      <c r="F528" s="584"/>
      <c r="G528" s="208"/>
      <c r="H528" s="208"/>
      <c r="I528" s="208"/>
      <c r="J528" s="208"/>
      <c r="K528" s="208"/>
      <c r="L528" s="536"/>
      <c r="M528" s="208"/>
      <c r="N528" s="208"/>
      <c r="O528" s="208"/>
      <c r="P528" s="208"/>
      <c r="Q528" s="208"/>
      <c r="R528" s="208"/>
      <c r="S528" s="208"/>
      <c r="T528" s="208"/>
      <c r="U528" s="208"/>
      <c r="V528" s="208"/>
      <c r="W528" s="208"/>
      <c r="X528" s="208"/>
      <c r="Y528" s="208"/>
      <c r="Z528" s="208"/>
      <c r="AA528" s="208"/>
      <c r="AB528" s="208"/>
      <c r="AC528" s="208"/>
      <c r="AD528" s="208"/>
      <c r="AE528" s="208"/>
      <c r="AF528" s="208"/>
      <c r="AG528" s="208"/>
      <c r="AH528" s="208"/>
      <c r="AI528" s="208"/>
      <c r="AJ528" s="208"/>
      <c r="AK528" s="208"/>
      <c r="AL528" s="208"/>
      <c r="AM528" s="208"/>
      <c r="AN528" s="208"/>
      <c r="AO528" s="208"/>
      <c r="AP528" s="208"/>
      <c r="AQ528" s="208"/>
      <c r="AR528" s="208"/>
      <c r="AS528" s="208"/>
      <c r="AT528" s="208"/>
      <c r="AU528" s="208"/>
      <c r="AV528" s="208"/>
      <c r="AW528" s="208"/>
      <c r="AX528" s="208"/>
      <c r="AY528" s="208"/>
    </row>
    <row r="529">
      <c r="A529" s="208"/>
      <c r="B529" s="533"/>
      <c r="C529" s="208"/>
      <c r="D529" s="208"/>
      <c r="E529" s="208"/>
      <c r="F529" s="584"/>
      <c r="G529" s="208"/>
      <c r="H529" s="208"/>
      <c r="I529" s="208"/>
      <c r="J529" s="208"/>
      <c r="K529" s="208"/>
      <c r="L529" s="536"/>
      <c r="M529" s="208"/>
      <c r="N529" s="208"/>
      <c r="O529" s="208"/>
      <c r="P529" s="208"/>
      <c r="Q529" s="208"/>
      <c r="R529" s="208"/>
      <c r="S529" s="208"/>
      <c r="T529" s="208"/>
      <c r="U529" s="208"/>
      <c r="V529" s="208"/>
      <c r="W529" s="208"/>
      <c r="X529" s="208"/>
      <c r="Y529" s="208"/>
      <c r="Z529" s="208"/>
      <c r="AA529" s="208"/>
      <c r="AB529" s="208"/>
      <c r="AC529" s="208"/>
      <c r="AD529" s="208"/>
      <c r="AE529" s="208"/>
      <c r="AF529" s="208"/>
      <c r="AG529" s="208"/>
      <c r="AH529" s="208"/>
      <c r="AI529" s="208"/>
      <c r="AJ529" s="208"/>
      <c r="AK529" s="208"/>
      <c r="AL529" s="208"/>
      <c r="AM529" s="208"/>
      <c r="AN529" s="208"/>
      <c r="AO529" s="208"/>
      <c r="AP529" s="208"/>
      <c r="AQ529" s="208"/>
      <c r="AR529" s="208"/>
      <c r="AS529" s="208"/>
      <c r="AT529" s="208"/>
      <c r="AU529" s="208"/>
      <c r="AV529" s="208"/>
      <c r="AW529" s="208"/>
      <c r="AX529" s="208"/>
      <c r="AY529" s="208"/>
    </row>
    <row r="530">
      <c r="A530" s="208"/>
      <c r="B530" s="533"/>
      <c r="C530" s="208"/>
      <c r="D530" s="208"/>
      <c r="E530" s="208"/>
      <c r="F530" s="584"/>
      <c r="G530" s="208"/>
      <c r="H530" s="208"/>
      <c r="I530" s="208"/>
      <c r="J530" s="208"/>
      <c r="K530" s="208"/>
      <c r="L530" s="536"/>
      <c r="M530" s="208"/>
      <c r="N530" s="208"/>
      <c r="O530" s="208"/>
      <c r="P530" s="208"/>
      <c r="Q530" s="208"/>
      <c r="R530" s="208"/>
      <c r="S530" s="208"/>
      <c r="T530" s="208"/>
      <c r="U530" s="208"/>
      <c r="V530" s="208"/>
      <c r="W530" s="208"/>
      <c r="X530" s="208"/>
      <c r="Y530" s="208"/>
      <c r="Z530" s="208"/>
      <c r="AA530" s="208"/>
      <c r="AB530" s="208"/>
      <c r="AC530" s="208"/>
      <c r="AD530" s="208"/>
      <c r="AE530" s="208"/>
      <c r="AF530" s="208"/>
      <c r="AG530" s="208"/>
      <c r="AH530" s="208"/>
      <c r="AI530" s="208"/>
      <c r="AJ530" s="208"/>
      <c r="AK530" s="208"/>
      <c r="AL530" s="208"/>
      <c r="AM530" s="208"/>
      <c r="AN530" s="208"/>
      <c r="AO530" s="208"/>
      <c r="AP530" s="208"/>
      <c r="AQ530" s="208"/>
      <c r="AR530" s="208"/>
      <c r="AS530" s="208"/>
      <c r="AT530" s="208"/>
      <c r="AU530" s="208"/>
      <c r="AV530" s="208"/>
      <c r="AW530" s="208"/>
      <c r="AX530" s="208"/>
      <c r="AY530" s="208"/>
    </row>
    <row r="531">
      <c r="A531" s="208"/>
      <c r="B531" s="533"/>
      <c r="C531" s="208"/>
      <c r="D531" s="208"/>
      <c r="E531" s="208"/>
      <c r="F531" s="584"/>
      <c r="G531" s="208"/>
      <c r="H531" s="208"/>
      <c r="I531" s="208"/>
      <c r="J531" s="208"/>
      <c r="K531" s="208"/>
      <c r="L531" s="536"/>
      <c r="M531" s="208"/>
      <c r="N531" s="208"/>
      <c r="O531" s="208"/>
      <c r="P531" s="208"/>
      <c r="Q531" s="208"/>
      <c r="R531" s="208"/>
      <c r="S531" s="208"/>
      <c r="T531" s="208"/>
      <c r="U531" s="208"/>
      <c r="V531" s="208"/>
      <c r="W531" s="208"/>
      <c r="X531" s="208"/>
      <c r="Y531" s="208"/>
      <c r="Z531" s="208"/>
      <c r="AA531" s="208"/>
      <c r="AB531" s="208"/>
      <c r="AC531" s="208"/>
      <c r="AD531" s="208"/>
      <c r="AE531" s="208"/>
      <c r="AF531" s="208"/>
      <c r="AG531" s="208"/>
      <c r="AH531" s="208"/>
      <c r="AI531" s="208"/>
      <c r="AJ531" s="208"/>
      <c r="AK531" s="208"/>
      <c r="AL531" s="208"/>
      <c r="AM531" s="208"/>
      <c r="AN531" s="208"/>
      <c r="AO531" s="208"/>
      <c r="AP531" s="208"/>
      <c r="AQ531" s="208"/>
      <c r="AR531" s="208"/>
      <c r="AS531" s="208"/>
      <c r="AT531" s="208"/>
      <c r="AU531" s="208"/>
      <c r="AV531" s="208"/>
      <c r="AW531" s="208"/>
      <c r="AX531" s="208"/>
      <c r="AY531" s="208"/>
    </row>
    <row r="532">
      <c r="A532" s="208"/>
      <c r="B532" s="533"/>
      <c r="C532" s="208"/>
      <c r="D532" s="208"/>
      <c r="E532" s="208"/>
      <c r="F532" s="584"/>
      <c r="G532" s="208"/>
      <c r="H532" s="208"/>
      <c r="I532" s="208"/>
      <c r="J532" s="208"/>
      <c r="K532" s="208"/>
      <c r="L532" s="536"/>
      <c r="M532" s="208"/>
      <c r="N532" s="208"/>
      <c r="O532" s="208"/>
      <c r="P532" s="208"/>
      <c r="Q532" s="208"/>
      <c r="R532" s="208"/>
      <c r="S532" s="208"/>
      <c r="T532" s="208"/>
      <c r="U532" s="208"/>
      <c r="V532" s="208"/>
      <c r="W532" s="208"/>
      <c r="X532" s="208"/>
      <c r="Y532" s="208"/>
      <c r="Z532" s="208"/>
      <c r="AA532" s="208"/>
      <c r="AB532" s="208"/>
      <c r="AC532" s="208"/>
      <c r="AD532" s="208"/>
      <c r="AE532" s="208"/>
      <c r="AF532" s="208"/>
      <c r="AG532" s="208"/>
      <c r="AH532" s="208"/>
      <c r="AI532" s="208"/>
      <c r="AJ532" s="208"/>
      <c r="AK532" s="208"/>
      <c r="AL532" s="208"/>
      <c r="AM532" s="208"/>
      <c r="AN532" s="208"/>
      <c r="AO532" s="208"/>
      <c r="AP532" s="208"/>
      <c r="AQ532" s="208"/>
      <c r="AR532" s="208"/>
      <c r="AS532" s="208"/>
      <c r="AT532" s="208"/>
      <c r="AU532" s="208"/>
      <c r="AV532" s="208"/>
      <c r="AW532" s="208"/>
      <c r="AX532" s="208"/>
      <c r="AY532" s="208"/>
    </row>
    <row r="533">
      <c r="A533" s="208"/>
      <c r="B533" s="533"/>
      <c r="C533" s="208"/>
      <c r="D533" s="208"/>
      <c r="E533" s="208"/>
      <c r="F533" s="584"/>
      <c r="G533" s="208"/>
      <c r="H533" s="208"/>
      <c r="I533" s="208"/>
      <c r="J533" s="208"/>
      <c r="K533" s="208"/>
      <c r="L533" s="536"/>
      <c r="M533" s="208"/>
      <c r="N533" s="208"/>
      <c r="O533" s="208"/>
      <c r="P533" s="208"/>
      <c r="Q533" s="208"/>
      <c r="R533" s="208"/>
      <c r="S533" s="208"/>
      <c r="T533" s="208"/>
      <c r="U533" s="208"/>
      <c r="V533" s="208"/>
      <c r="W533" s="208"/>
      <c r="X533" s="208"/>
      <c r="Y533" s="208"/>
      <c r="Z533" s="208"/>
      <c r="AA533" s="208"/>
      <c r="AB533" s="208"/>
      <c r="AC533" s="208"/>
      <c r="AD533" s="208"/>
      <c r="AE533" s="208"/>
      <c r="AF533" s="208"/>
      <c r="AG533" s="208"/>
      <c r="AH533" s="208"/>
      <c r="AI533" s="208"/>
      <c r="AJ533" s="208"/>
      <c r="AK533" s="208"/>
      <c r="AL533" s="208"/>
      <c r="AM533" s="208"/>
      <c r="AN533" s="208"/>
      <c r="AO533" s="208"/>
      <c r="AP533" s="208"/>
      <c r="AQ533" s="208"/>
      <c r="AR533" s="208"/>
      <c r="AS533" s="208"/>
      <c r="AT533" s="208"/>
      <c r="AU533" s="208"/>
      <c r="AV533" s="208"/>
      <c r="AW533" s="208"/>
      <c r="AX533" s="208"/>
      <c r="AY533" s="208"/>
    </row>
    <row r="534">
      <c r="A534" s="208"/>
      <c r="B534" s="533"/>
      <c r="C534" s="208"/>
      <c r="D534" s="208"/>
      <c r="E534" s="208"/>
      <c r="F534" s="584"/>
      <c r="G534" s="208"/>
      <c r="H534" s="208"/>
      <c r="I534" s="208"/>
      <c r="J534" s="208"/>
      <c r="K534" s="208"/>
      <c r="L534" s="536"/>
      <c r="M534" s="208"/>
      <c r="N534" s="208"/>
      <c r="O534" s="208"/>
      <c r="P534" s="208"/>
      <c r="Q534" s="208"/>
      <c r="R534" s="208"/>
      <c r="S534" s="208"/>
      <c r="T534" s="208"/>
      <c r="U534" s="208"/>
      <c r="V534" s="208"/>
      <c r="W534" s="208"/>
      <c r="X534" s="208"/>
      <c r="Y534" s="208"/>
      <c r="Z534" s="208"/>
      <c r="AA534" s="208"/>
      <c r="AB534" s="208"/>
      <c r="AC534" s="208"/>
      <c r="AD534" s="208"/>
      <c r="AE534" s="208"/>
      <c r="AF534" s="208"/>
      <c r="AG534" s="208"/>
      <c r="AH534" s="208"/>
      <c r="AI534" s="208"/>
      <c r="AJ534" s="208"/>
      <c r="AK534" s="208"/>
      <c r="AL534" s="208"/>
      <c r="AM534" s="208"/>
      <c r="AN534" s="208"/>
      <c r="AO534" s="208"/>
      <c r="AP534" s="208"/>
      <c r="AQ534" s="208"/>
      <c r="AR534" s="208"/>
      <c r="AS534" s="208"/>
      <c r="AT534" s="208"/>
      <c r="AU534" s="208"/>
      <c r="AV534" s="208"/>
      <c r="AW534" s="208"/>
      <c r="AX534" s="208"/>
      <c r="AY534" s="208"/>
    </row>
    <row r="535">
      <c r="A535" s="208"/>
      <c r="B535" s="533"/>
      <c r="C535" s="208"/>
      <c r="D535" s="208"/>
      <c r="E535" s="208"/>
      <c r="F535" s="584"/>
      <c r="G535" s="208"/>
      <c r="H535" s="208"/>
      <c r="I535" s="208"/>
      <c r="J535" s="208"/>
      <c r="K535" s="208"/>
      <c r="L535" s="536"/>
      <c r="M535" s="208"/>
      <c r="N535" s="208"/>
      <c r="O535" s="208"/>
      <c r="P535" s="208"/>
      <c r="Q535" s="208"/>
      <c r="R535" s="208"/>
      <c r="S535" s="208"/>
      <c r="T535" s="208"/>
      <c r="U535" s="208"/>
      <c r="V535" s="208"/>
      <c r="W535" s="208"/>
      <c r="X535" s="208"/>
      <c r="Y535" s="208"/>
      <c r="Z535" s="208"/>
      <c r="AA535" s="208"/>
      <c r="AB535" s="208"/>
      <c r="AC535" s="208"/>
      <c r="AD535" s="208"/>
      <c r="AE535" s="208"/>
      <c r="AF535" s="208"/>
      <c r="AG535" s="208"/>
      <c r="AH535" s="208"/>
      <c r="AI535" s="208"/>
      <c r="AJ535" s="208"/>
      <c r="AK535" s="208"/>
      <c r="AL535" s="208"/>
      <c r="AM535" s="208"/>
      <c r="AN535" s="208"/>
      <c r="AO535" s="208"/>
      <c r="AP535" s="208"/>
      <c r="AQ535" s="208"/>
      <c r="AR535" s="208"/>
      <c r="AS535" s="208"/>
      <c r="AT535" s="208"/>
      <c r="AU535" s="208"/>
      <c r="AV535" s="208"/>
      <c r="AW535" s="208"/>
      <c r="AX535" s="208"/>
      <c r="AY535" s="208"/>
    </row>
    <row r="536">
      <c r="A536" s="208"/>
      <c r="B536" s="533"/>
      <c r="C536" s="208"/>
      <c r="D536" s="208"/>
      <c r="E536" s="208"/>
      <c r="F536" s="584"/>
      <c r="G536" s="208"/>
      <c r="H536" s="208"/>
      <c r="I536" s="208"/>
      <c r="J536" s="208"/>
      <c r="K536" s="208"/>
      <c r="L536" s="536"/>
      <c r="M536" s="208"/>
      <c r="N536" s="208"/>
      <c r="O536" s="208"/>
      <c r="P536" s="208"/>
      <c r="Q536" s="208"/>
      <c r="R536" s="208"/>
      <c r="S536" s="208"/>
      <c r="T536" s="208"/>
      <c r="U536" s="208"/>
      <c r="V536" s="208"/>
      <c r="W536" s="208"/>
      <c r="X536" s="208"/>
      <c r="Y536" s="208"/>
      <c r="Z536" s="208"/>
      <c r="AA536" s="208"/>
      <c r="AB536" s="208"/>
      <c r="AC536" s="208"/>
      <c r="AD536" s="208"/>
      <c r="AE536" s="208"/>
      <c r="AF536" s="208"/>
      <c r="AG536" s="208"/>
      <c r="AH536" s="208"/>
      <c r="AI536" s="208"/>
      <c r="AJ536" s="208"/>
      <c r="AK536" s="208"/>
      <c r="AL536" s="208"/>
      <c r="AM536" s="208"/>
      <c r="AN536" s="208"/>
      <c r="AO536" s="208"/>
      <c r="AP536" s="208"/>
      <c r="AQ536" s="208"/>
      <c r="AR536" s="208"/>
      <c r="AS536" s="208"/>
      <c r="AT536" s="208"/>
      <c r="AU536" s="208"/>
      <c r="AV536" s="208"/>
      <c r="AW536" s="208"/>
      <c r="AX536" s="208"/>
      <c r="AY536" s="208"/>
    </row>
    <row r="537">
      <c r="A537" s="208"/>
      <c r="B537" s="533"/>
      <c r="C537" s="208"/>
      <c r="D537" s="208"/>
      <c r="E537" s="208"/>
      <c r="F537" s="584"/>
      <c r="G537" s="208"/>
      <c r="H537" s="208"/>
      <c r="I537" s="208"/>
      <c r="J537" s="208"/>
      <c r="K537" s="208"/>
      <c r="L537" s="536"/>
      <c r="M537" s="208"/>
      <c r="N537" s="208"/>
      <c r="O537" s="208"/>
      <c r="P537" s="208"/>
      <c r="Q537" s="208"/>
      <c r="R537" s="208"/>
      <c r="S537" s="208"/>
      <c r="T537" s="208"/>
      <c r="U537" s="208"/>
      <c r="V537" s="208"/>
      <c r="W537" s="208"/>
      <c r="X537" s="208"/>
      <c r="Y537" s="208"/>
      <c r="Z537" s="208"/>
      <c r="AA537" s="208"/>
      <c r="AB537" s="208"/>
      <c r="AC537" s="208"/>
      <c r="AD537" s="208"/>
      <c r="AE537" s="208"/>
      <c r="AF537" s="208"/>
      <c r="AG537" s="208"/>
      <c r="AH537" s="208"/>
      <c r="AI537" s="208"/>
      <c r="AJ537" s="208"/>
      <c r="AK537" s="208"/>
      <c r="AL537" s="208"/>
      <c r="AM537" s="208"/>
      <c r="AN537" s="208"/>
      <c r="AO537" s="208"/>
      <c r="AP537" s="208"/>
      <c r="AQ537" s="208"/>
      <c r="AR537" s="208"/>
      <c r="AS537" s="208"/>
      <c r="AT537" s="208"/>
      <c r="AU537" s="208"/>
      <c r="AV537" s="208"/>
      <c r="AW537" s="208"/>
      <c r="AX537" s="208"/>
      <c r="AY537" s="208"/>
    </row>
    <row r="538">
      <c r="A538" s="208"/>
      <c r="B538" s="533"/>
      <c r="C538" s="208"/>
      <c r="D538" s="208"/>
      <c r="E538" s="208"/>
      <c r="F538" s="584"/>
      <c r="G538" s="208"/>
      <c r="H538" s="208"/>
      <c r="I538" s="208"/>
      <c r="J538" s="208"/>
      <c r="K538" s="208"/>
      <c r="L538" s="536"/>
      <c r="M538" s="208"/>
      <c r="N538" s="208"/>
      <c r="O538" s="208"/>
      <c r="P538" s="208"/>
      <c r="Q538" s="208"/>
      <c r="R538" s="208"/>
      <c r="S538" s="208"/>
      <c r="T538" s="208"/>
      <c r="U538" s="208"/>
      <c r="V538" s="208"/>
      <c r="W538" s="208"/>
      <c r="X538" s="208"/>
      <c r="Y538" s="208"/>
      <c r="Z538" s="208"/>
      <c r="AA538" s="208"/>
      <c r="AB538" s="208"/>
      <c r="AC538" s="208"/>
      <c r="AD538" s="208"/>
      <c r="AE538" s="208"/>
      <c r="AF538" s="208"/>
      <c r="AG538" s="208"/>
      <c r="AH538" s="208"/>
      <c r="AI538" s="208"/>
      <c r="AJ538" s="208"/>
      <c r="AK538" s="208"/>
      <c r="AL538" s="208"/>
      <c r="AM538" s="208"/>
      <c r="AN538" s="208"/>
      <c r="AO538" s="208"/>
      <c r="AP538" s="208"/>
      <c r="AQ538" s="208"/>
      <c r="AR538" s="208"/>
      <c r="AS538" s="208"/>
      <c r="AT538" s="208"/>
      <c r="AU538" s="208"/>
      <c r="AV538" s="208"/>
      <c r="AW538" s="208"/>
      <c r="AX538" s="208"/>
      <c r="AY538" s="208"/>
    </row>
    <row r="539">
      <c r="A539" s="208"/>
      <c r="B539" s="533"/>
      <c r="C539" s="208"/>
      <c r="D539" s="208"/>
      <c r="E539" s="208"/>
      <c r="F539" s="584"/>
      <c r="G539" s="208"/>
      <c r="H539" s="208"/>
      <c r="I539" s="208"/>
      <c r="J539" s="208"/>
      <c r="K539" s="208"/>
      <c r="L539" s="536"/>
      <c r="M539" s="208"/>
      <c r="N539" s="208"/>
      <c r="O539" s="208"/>
      <c r="P539" s="208"/>
      <c r="Q539" s="208"/>
      <c r="R539" s="208"/>
      <c r="S539" s="208"/>
      <c r="T539" s="208"/>
      <c r="U539" s="208"/>
      <c r="V539" s="208"/>
      <c r="W539" s="208"/>
      <c r="X539" s="208"/>
      <c r="Y539" s="208"/>
      <c r="Z539" s="208"/>
      <c r="AA539" s="208"/>
      <c r="AB539" s="208"/>
      <c r="AC539" s="208"/>
      <c r="AD539" s="208"/>
      <c r="AE539" s="208"/>
      <c r="AF539" s="208"/>
      <c r="AG539" s="208"/>
      <c r="AH539" s="208"/>
      <c r="AI539" s="208"/>
      <c r="AJ539" s="208"/>
      <c r="AK539" s="208"/>
      <c r="AL539" s="208"/>
      <c r="AM539" s="208"/>
      <c r="AN539" s="208"/>
      <c r="AO539" s="208"/>
      <c r="AP539" s="208"/>
      <c r="AQ539" s="208"/>
      <c r="AR539" s="208"/>
      <c r="AS539" s="208"/>
      <c r="AT539" s="208"/>
      <c r="AU539" s="208"/>
      <c r="AV539" s="208"/>
      <c r="AW539" s="208"/>
      <c r="AX539" s="208"/>
      <c r="AY539" s="208"/>
    </row>
    <row r="540">
      <c r="A540" s="208"/>
      <c r="B540" s="533"/>
      <c r="C540" s="208"/>
      <c r="D540" s="208"/>
      <c r="E540" s="208"/>
      <c r="F540" s="584"/>
      <c r="G540" s="208"/>
      <c r="H540" s="208"/>
      <c r="I540" s="208"/>
      <c r="J540" s="208"/>
      <c r="K540" s="208"/>
      <c r="L540" s="536"/>
      <c r="M540" s="208"/>
      <c r="N540" s="208"/>
      <c r="O540" s="208"/>
      <c r="P540" s="208"/>
      <c r="Q540" s="208"/>
      <c r="R540" s="208"/>
      <c r="S540" s="208"/>
      <c r="T540" s="208"/>
      <c r="U540" s="208"/>
      <c r="V540" s="208"/>
      <c r="W540" s="208"/>
      <c r="X540" s="208"/>
      <c r="Y540" s="208"/>
      <c r="Z540" s="208"/>
      <c r="AA540" s="208"/>
      <c r="AB540" s="208"/>
      <c r="AC540" s="208"/>
      <c r="AD540" s="208"/>
      <c r="AE540" s="208"/>
      <c r="AF540" s="208"/>
      <c r="AG540" s="208"/>
      <c r="AH540" s="208"/>
      <c r="AI540" s="208"/>
      <c r="AJ540" s="208"/>
      <c r="AK540" s="208"/>
      <c r="AL540" s="208"/>
      <c r="AM540" s="208"/>
      <c r="AN540" s="208"/>
      <c r="AO540" s="208"/>
      <c r="AP540" s="208"/>
      <c r="AQ540" s="208"/>
      <c r="AR540" s="208"/>
      <c r="AS540" s="208"/>
      <c r="AT540" s="208"/>
      <c r="AU540" s="208"/>
      <c r="AV540" s="208"/>
      <c r="AW540" s="208"/>
      <c r="AX540" s="208"/>
      <c r="AY540" s="208"/>
    </row>
    <row r="541">
      <c r="A541" s="208"/>
      <c r="B541" s="533"/>
      <c r="C541" s="208"/>
      <c r="D541" s="208"/>
      <c r="E541" s="208"/>
      <c r="F541" s="584"/>
      <c r="G541" s="208"/>
      <c r="H541" s="208"/>
      <c r="I541" s="208"/>
      <c r="J541" s="208"/>
      <c r="K541" s="208"/>
      <c r="L541" s="536"/>
      <c r="M541" s="208"/>
      <c r="N541" s="208"/>
      <c r="O541" s="208"/>
      <c r="P541" s="208"/>
      <c r="Q541" s="208"/>
      <c r="R541" s="208"/>
      <c r="S541" s="208"/>
      <c r="T541" s="208"/>
      <c r="U541" s="208"/>
      <c r="V541" s="208"/>
      <c r="W541" s="208"/>
      <c r="X541" s="208"/>
      <c r="Y541" s="208"/>
      <c r="Z541" s="208"/>
      <c r="AA541" s="208"/>
      <c r="AB541" s="208"/>
      <c r="AC541" s="208"/>
      <c r="AD541" s="208"/>
      <c r="AE541" s="208"/>
      <c r="AF541" s="208"/>
      <c r="AG541" s="208"/>
      <c r="AH541" s="208"/>
      <c r="AI541" s="208"/>
      <c r="AJ541" s="208"/>
      <c r="AK541" s="208"/>
      <c r="AL541" s="208"/>
      <c r="AM541" s="208"/>
      <c r="AN541" s="208"/>
      <c r="AO541" s="208"/>
      <c r="AP541" s="208"/>
      <c r="AQ541" s="208"/>
      <c r="AR541" s="208"/>
      <c r="AS541" s="208"/>
      <c r="AT541" s="208"/>
      <c r="AU541" s="208"/>
      <c r="AV541" s="208"/>
      <c r="AW541" s="208"/>
      <c r="AX541" s="208"/>
      <c r="AY541" s="208"/>
    </row>
    <row r="542">
      <c r="A542" s="208"/>
      <c r="B542" s="533"/>
      <c r="C542" s="208"/>
      <c r="D542" s="208"/>
      <c r="E542" s="208"/>
      <c r="F542" s="584"/>
      <c r="G542" s="208"/>
      <c r="H542" s="208"/>
      <c r="I542" s="208"/>
      <c r="J542" s="208"/>
      <c r="K542" s="208"/>
      <c r="L542" s="536"/>
      <c r="M542" s="208"/>
      <c r="N542" s="208"/>
      <c r="O542" s="208"/>
      <c r="P542" s="208"/>
      <c r="Q542" s="208"/>
      <c r="R542" s="208"/>
      <c r="S542" s="208"/>
      <c r="T542" s="208"/>
      <c r="U542" s="208"/>
      <c r="V542" s="208"/>
      <c r="W542" s="208"/>
      <c r="X542" s="208"/>
      <c r="Y542" s="208"/>
      <c r="Z542" s="208"/>
      <c r="AA542" s="208"/>
      <c r="AB542" s="208"/>
      <c r="AC542" s="208"/>
      <c r="AD542" s="208"/>
      <c r="AE542" s="208"/>
      <c r="AF542" s="208"/>
      <c r="AG542" s="208"/>
      <c r="AH542" s="208"/>
      <c r="AI542" s="208"/>
      <c r="AJ542" s="208"/>
      <c r="AK542" s="208"/>
      <c r="AL542" s="208"/>
      <c r="AM542" s="208"/>
      <c r="AN542" s="208"/>
      <c r="AO542" s="208"/>
      <c r="AP542" s="208"/>
      <c r="AQ542" s="208"/>
      <c r="AR542" s="208"/>
      <c r="AS542" s="208"/>
      <c r="AT542" s="208"/>
      <c r="AU542" s="208"/>
      <c r="AV542" s="208"/>
      <c r="AW542" s="208"/>
      <c r="AX542" s="208"/>
      <c r="AY542" s="208"/>
    </row>
    <row r="543">
      <c r="A543" s="208"/>
      <c r="B543" s="533"/>
      <c r="C543" s="208"/>
      <c r="D543" s="208"/>
      <c r="E543" s="208"/>
      <c r="F543" s="584"/>
      <c r="G543" s="208"/>
      <c r="H543" s="208"/>
      <c r="I543" s="208"/>
      <c r="J543" s="208"/>
      <c r="K543" s="208"/>
      <c r="L543" s="536"/>
      <c r="M543" s="208"/>
      <c r="N543" s="208"/>
      <c r="O543" s="208"/>
      <c r="P543" s="208"/>
      <c r="Q543" s="208"/>
      <c r="R543" s="208"/>
      <c r="S543" s="208"/>
      <c r="T543" s="208"/>
      <c r="U543" s="208"/>
      <c r="V543" s="208"/>
      <c r="W543" s="208"/>
      <c r="X543" s="208"/>
      <c r="Y543" s="208"/>
      <c r="Z543" s="208"/>
      <c r="AA543" s="208"/>
      <c r="AB543" s="208"/>
      <c r="AC543" s="208"/>
      <c r="AD543" s="208"/>
      <c r="AE543" s="208"/>
      <c r="AF543" s="208"/>
      <c r="AG543" s="208"/>
      <c r="AH543" s="208"/>
      <c r="AI543" s="208"/>
      <c r="AJ543" s="208"/>
      <c r="AK543" s="208"/>
      <c r="AL543" s="208"/>
      <c r="AM543" s="208"/>
      <c r="AN543" s="208"/>
      <c r="AO543" s="208"/>
      <c r="AP543" s="208"/>
      <c r="AQ543" s="208"/>
      <c r="AR543" s="208"/>
      <c r="AS543" s="208"/>
      <c r="AT543" s="208"/>
      <c r="AU543" s="208"/>
      <c r="AV543" s="208"/>
      <c r="AW543" s="208"/>
      <c r="AX543" s="208"/>
      <c r="AY543" s="208"/>
    </row>
    <row r="544">
      <c r="A544" s="208"/>
      <c r="B544" s="533"/>
      <c r="C544" s="208"/>
      <c r="D544" s="208"/>
      <c r="E544" s="208"/>
      <c r="F544" s="584"/>
      <c r="G544" s="208"/>
      <c r="H544" s="208"/>
      <c r="I544" s="208"/>
      <c r="J544" s="208"/>
      <c r="K544" s="208"/>
      <c r="L544" s="536"/>
      <c r="M544" s="208"/>
      <c r="N544" s="208"/>
      <c r="O544" s="208"/>
      <c r="P544" s="208"/>
      <c r="Q544" s="208"/>
      <c r="R544" s="208"/>
      <c r="S544" s="208"/>
      <c r="T544" s="208"/>
      <c r="U544" s="208"/>
      <c r="V544" s="208"/>
      <c r="W544" s="208"/>
      <c r="X544" s="208"/>
      <c r="Y544" s="208"/>
      <c r="Z544" s="208"/>
      <c r="AA544" s="208"/>
      <c r="AB544" s="208"/>
      <c r="AC544" s="208"/>
      <c r="AD544" s="208"/>
      <c r="AE544" s="208"/>
      <c r="AF544" s="208"/>
      <c r="AG544" s="208"/>
      <c r="AH544" s="208"/>
      <c r="AI544" s="208"/>
      <c r="AJ544" s="208"/>
      <c r="AK544" s="208"/>
      <c r="AL544" s="208"/>
      <c r="AM544" s="208"/>
      <c r="AN544" s="208"/>
      <c r="AO544" s="208"/>
      <c r="AP544" s="208"/>
      <c r="AQ544" s="208"/>
      <c r="AR544" s="208"/>
      <c r="AS544" s="208"/>
      <c r="AT544" s="208"/>
      <c r="AU544" s="208"/>
      <c r="AV544" s="208"/>
      <c r="AW544" s="208"/>
      <c r="AX544" s="208"/>
      <c r="AY544" s="208"/>
    </row>
    <row r="545">
      <c r="A545" s="208"/>
      <c r="B545" s="533"/>
      <c r="C545" s="208"/>
      <c r="D545" s="208"/>
      <c r="E545" s="208"/>
      <c r="F545" s="584"/>
      <c r="G545" s="208"/>
      <c r="H545" s="208"/>
      <c r="I545" s="208"/>
      <c r="J545" s="208"/>
      <c r="K545" s="208"/>
      <c r="L545" s="536"/>
      <c r="M545" s="208"/>
      <c r="N545" s="208"/>
      <c r="O545" s="208"/>
      <c r="P545" s="208"/>
      <c r="Q545" s="208"/>
      <c r="R545" s="208"/>
      <c r="S545" s="208"/>
      <c r="T545" s="208"/>
      <c r="U545" s="208"/>
      <c r="V545" s="208"/>
      <c r="W545" s="208"/>
      <c r="X545" s="208"/>
      <c r="Y545" s="208"/>
      <c r="Z545" s="208"/>
      <c r="AA545" s="208"/>
      <c r="AB545" s="208"/>
      <c r="AC545" s="208"/>
      <c r="AD545" s="208"/>
      <c r="AE545" s="208"/>
      <c r="AF545" s="208"/>
      <c r="AG545" s="208"/>
      <c r="AH545" s="208"/>
      <c r="AI545" s="208"/>
      <c r="AJ545" s="208"/>
      <c r="AK545" s="208"/>
      <c r="AL545" s="208"/>
      <c r="AM545" s="208"/>
      <c r="AN545" s="208"/>
      <c r="AO545" s="208"/>
      <c r="AP545" s="208"/>
      <c r="AQ545" s="208"/>
      <c r="AR545" s="208"/>
      <c r="AS545" s="208"/>
      <c r="AT545" s="208"/>
      <c r="AU545" s="208"/>
      <c r="AV545" s="208"/>
      <c r="AW545" s="208"/>
      <c r="AX545" s="208"/>
      <c r="AY545" s="208"/>
    </row>
    <row r="546">
      <c r="A546" s="208"/>
      <c r="B546" s="533"/>
      <c r="C546" s="208"/>
      <c r="D546" s="208"/>
      <c r="E546" s="208"/>
      <c r="F546" s="584"/>
      <c r="G546" s="208"/>
      <c r="H546" s="208"/>
      <c r="I546" s="208"/>
      <c r="J546" s="208"/>
      <c r="K546" s="208"/>
      <c r="L546" s="536"/>
      <c r="M546" s="208"/>
      <c r="N546" s="208"/>
      <c r="O546" s="208"/>
      <c r="P546" s="208"/>
      <c r="Q546" s="208"/>
      <c r="R546" s="208"/>
      <c r="S546" s="208"/>
      <c r="T546" s="208"/>
      <c r="U546" s="208"/>
      <c r="V546" s="208"/>
      <c r="W546" s="208"/>
      <c r="X546" s="208"/>
      <c r="Y546" s="208"/>
      <c r="Z546" s="208"/>
      <c r="AA546" s="208"/>
      <c r="AB546" s="208"/>
      <c r="AC546" s="208"/>
      <c r="AD546" s="208"/>
      <c r="AE546" s="208"/>
      <c r="AF546" s="208"/>
      <c r="AG546" s="208"/>
      <c r="AH546" s="208"/>
      <c r="AI546" s="208"/>
      <c r="AJ546" s="208"/>
      <c r="AK546" s="208"/>
      <c r="AL546" s="208"/>
      <c r="AM546" s="208"/>
      <c r="AN546" s="208"/>
      <c r="AO546" s="208"/>
      <c r="AP546" s="208"/>
      <c r="AQ546" s="208"/>
      <c r="AR546" s="208"/>
      <c r="AS546" s="208"/>
      <c r="AT546" s="208"/>
      <c r="AU546" s="208"/>
      <c r="AV546" s="208"/>
      <c r="AW546" s="208"/>
      <c r="AX546" s="208"/>
      <c r="AY546" s="208"/>
    </row>
    <row r="547">
      <c r="A547" s="208"/>
      <c r="B547" s="533"/>
      <c r="C547" s="208"/>
      <c r="D547" s="208"/>
      <c r="E547" s="208"/>
      <c r="F547" s="584"/>
      <c r="G547" s="208"/>
      <c r="H547" s="208"/>
      <c r="I547" s="208"/>
      <c r="J547" s="208"/>
      <c r="K547" s="208"/>
      <c r="L547" s="536"/>
      <c r="M547" s="208"/>
      <c r="N547" s="208"/>
      <c r="O547" s="208"/>
      <c r="P547" s="208"/>
      <c r="Q547" s="208"/>
      <c r="R547" s="208"/>
      <c r="S547" s="208"/>
      <c r="T547" s="208"/>
      <c r="U547" s="208"/>
      <c r="V547" s="208"/>
      <c r="W547" s="208"/>
      <c r="X547" s="208"/>
      <c r="Y547" s="208"/>
      <c r="Z547" s="208"/>
      <c r="AA547" s="208"/>
      <c r="AB547" s="208"/>
      <c r="AC547" s="208"/>
      <c r="AD547" s="208"/>
      <c r="AE547" s="208"/>
      <c r="AF547" s="208"/>
      <c r="AG547" s="208"/>
      <c r="AH547" s="208"/>
      <c r="AI547" s="208"/>
      <c r="AJ547" s="208"/>
      <c r="AK547" s="208"/>
      <c r="AL547" s="208"/>
      <c r="AM547" s="208"/>
      <c r="AN547" s="208"/>
      <c r="AO547" s="208"/>
      <c r="AP547" s="208"/>
      <c r="AQ547" s="208"/>
      <c r="AR547" s="208"/>
      <c r="AS547" s="208"/>
      <c r="AT547" s="208"/>
      <c r="AU547" s="208"/>
      <c r="AV547" s="208"/>
      <c r="AW547" s="208"/>
      <c r="AX547" s="208"/>
      <c r="AY547" s="208"/>
    </row>
    <row r="548">
      <c r="A548" s="208"/>
      <c r="B548" s="533"/>
      <c r="C548" s="208"/>
      <c r="D548" s="208"/>
      <c r="E548" s="208"/>
      <c r="F548" s="584"/>
      <c r="G548" s="208"/>
      <c r="H548" s="208"/>
      <c r="I548" s="208"/>
      <c r="J548" s="208"/>
      <c r="K548" s="208"/>
      <c r="L548" s="536"/>
      <c r="M548" s="208"/>
      <c r="N548" s="208"/>
      <c r="O548" s="208"/>
      <c r="P548" s="208"/>
      <c r="Q548" s="208"/>
      <c r="R548" s="208"/>
      <c r="S548" s="208"/>
      <c r="T548" s="208"/>
      <c r="U548" s="208"/>
      <c r="V548" s="208"/>
      <c r="W548" s="208"/>
      <c r="X548" s="208"/>
      <c r="Y548" s="208"/>
      <c r="Z548" s="208"/>
      <c r="AA548" s="208"/>
      <c r="AB548" s="208"/>
      <c r="AC548" s="208"/>
      <c r="AD548" s="208"/>
      <c r="AE548" s="208"/>
      <c r="AF548" s="208"/>
      <c r="AG548" s="208"/>
      <c r="AH548" s="208"/>
      <c r="AI548" s="208"/>
      <c r="AJ548" s="208"/>
      <c r="AK548" s="208"/>
      <c r="AL548" s="208"/>
      <c r="AM548" s="208"/>
      <c r="AN548" s="208"/>
      <c r="AO548" s="208"/>
      <c r="AP548" s="208"/>
      <c r="AQ548" s="208"/>
      <c r="AR548" s="208"/>
      <c r="AS548" s="208"/>
      <c r="AT548" s="208"/>
      <c r="AU548" s="208"/>
      <c r="AV548" s="208"/>
      <c r="AW548" s="208"/>
      <c r="AX548" s="208"/>
      <c r="AY548" s="208"/>
    </row>
    <row r="549">
      <c r="A549" s="208"/>
      <c r="B549" s="533"/>
      <c r="C549" s="208"/>
      <c r="D549" s="208"/>
      <c r="E549" s="208"/>
      <c r="F549" s="584"/>
      <c r="G549" s="208"/>
      <c r="H549" s="208"/>
      <c r="I549" s="208"/>
      <c r="J549" s="208"/>
      <c r="K549" s="208"/>
      <c r="L549" s="536"/>
      <c r="M549" s="208"/>
      <c r="N549" s="208"/>
      <c r="O549" s="208"/>
      <c r="P549" s="208"/>
      <c r="Q549" s="208"/>
      <c r="R549" s="208"/>
      <c r="S549" s="208"/>
      <c r="T549" s="208"/>
      <c r="U549" s="208"/>
      <c r="V549" s="208"/>
      <c r="W549" s="208"/>
      <c r="X549" s="208"/>
      <c r="Y549" s="208"/>
      <c r="Z549" s="208"/>
      <c r="AA549" s="208"/>
      <c r="AB549" s="208"/>
      <c r="AC549" s="208"/>
      <c r="AD549" s="208"/>
      <c r="AE549" s="208"/>
      <c r="AF549" s="208"/>
      <c r="AG549" s="208"/>
      <c r="AH549" s="208"/>
      <c r="AI549" s="208"/>
      <c r="AJ549" s="208"/>
      <c r="AK549" s="208"/>
      <c r="AL549" s="208"/>
      <c r="AM549" s="208"/>
      <c r="AN549" s="208"/>
      <c r="AO549" s="208"/>
      <c r="AP549" s="208"/>
      <c r="AQ549" s="208"/>
      <c r="AR549" s="208"/>
      <c r="AS549" s="208"/>
      <c r="AT549" s="208"/>
      <c r="AU549" s="208"/>
      <c r="AV549" s="208"/>
      <c r="AW549" s="208"/>
      <c r="AX549" s="208"/>
      <c r="AY549" s="208"/>
    </row>
    <row r="550">
      <c r="A550" s="208"/>
      <c r="B550" s="533"/>
      <c r="C550" s="208"/>
      <c r="D550" s="208"/>
      <c r="E550" s="208"/>
      <c r="F550" s="584"/>
      <c r="G550" s="208"/>
      <c r="H550" s="208"/>
      <c r="I550" s="208"/>
      <c r="J550" s="208"/>
      <c r="K550" s="208"/>
      <c r="L550" s="536"/>
      <c r="M550" s="208"/>
      <c r="N550" s="208"/>
      <c r="O550" s="208"/>
      <c r="P550" s="208"/>
      <c r="Q550" s="208"/>
      <c r="R550" s="208"/>
      <c r="S550" s="208"/>
      <c r="T550" s="208"/>
      <c r="U550" s="208"/>
      <c r="V550" s="208"/>
      <c r="W550" s="208"/>
      <c r="X550" s="208"/>
      <c r="Y550" s="208"/>
      <c r="Z550" s="208"/>
      <c r="AA550" s="208"/>
      <c r="AB550" s="208"/>
      <c r="AC550" s="208"/>
      <c r="AD550" s="208"/>
      <c r="AE550" s="208"/>
      <c r="AF550" s="208"/>
      <c r="AG550" s="208"/>
      <c r="AH550" s="208"/>
      <c r="AI550" s="208"/>
      <c r="AJ550" s="208"/>
      <c r="AK550" s="208"/>
      <c r="AL550" s="208"/>
      <c r="AM550" s="208"/>
      <c r="AN550" s="208"/>
      <c r="AO550" s="208"/>
      <c r="AP550" s="208"/>
      <c r="AQ550" s="208"/>
      <c r="AR550" s="208"/>
      <c r="AS550" s="208"/>
      <c r="AT550" s="208"/>
      <c r="AU550" s="208"/>
      <c r="AV550" s="208"/>
      <c r="AW550" s="208"/>
      <c r="AX550" s="208"/>
      <c r="AY550" s="208"/>
    </row>
    <row r="551">
      <c r="A551" s="208"/>
      <c r="B551" s="533"/>
      <c r="C551" s="208"/>
      <c r="D551" s="208"/>
      <c r="E551" s="208"/>
      <c r="F551" s="584"/>
      <c r="G551" s="208"/>
      <c r="H551" s="208"/>
      <c r="I551" s="208"/>
      <c r="J551" s="208"/>
      <c r="K551" s="208"/>
      <c r="L551" s="536"/>
      <c r="M551" s="208"/>
      <c r="N551" s="208"/>
      <c r="O551" s="208"/>
      <c r="P551" s="208"/>
      <c r="Q551" s="208"/>
      <c r="R551" s="208"/>
      <c r="S551" s="208"/>
      <c r="T551" s="208"/>
      <c r="U551" s="208"/>
      <c r="V551" s="208"/>
      <c r="W551" s="208"/>
      <c r="X551" s="208"/>
      <c r="Y551" s="208"/>
      <c r="Z551" s="208"/>
      <c r="AA551" s="208"/>
      <c r="AB551" s="208"/>
      <c r="AC551" s="208"/>
      <c r="AD551" s="208"/>
      <c r="AE551" s="208"/>
      <c r="AF551" s="208"/>
      <c r="AG551" s="208"/>
      <c r="AH551" s="208"/>
      <c r="AI551" s="208"/>
      <c r="AJ551" s="208"/>
      <c r="AK551" s="208"/>
      <c r="AL551" s="208"/>
      <c r="AM551" s="208"/>
      <c r="AN551" s="208"/>
      <c r="AO551" s="208"/>
      <c r="AP551" s="208"/>
      <c r="AQ551" s="208"/>
      <c r="AR551" s="208"/>
      <c r="AS551" s="208"/>
      <c r="AT551" s="208"/>
      <c r="AU551" s="208"/>
      <c r="AV551" s="208"/>
      <c r="AW551" s="208"/>
      <c r="AX551" s="208"/>
      <c r="AY551" s="208"/>
    </row>
    <row r="552">
      <c r="A552" s="208"/>
      <c r="B552" s="533"/>
      <c r="C552" s="208"/>
      <c r="D552" s="208"/>
      <c r="E552" s="208"/>
      <c r="F552" s="584"/>
      <c r="G552" s="208"/>
      <c r="H552" s="208"/>
      <c r="I552" s="208"/>
      <c r="J552" s="208"/>
      <c r="K552" s="208"/>
      <c r="L552" s="536"/>
      <c r="M552" s="208"/>
      <c r="N552" s="208"/>
      <c r="O552" s="208"/>
      <c r="P552" s="208"/>
      <c r="Q552" s="208"/>
      <c r="R552" s="208"/>
      <c r="S552" s="208"/>
      <c r="T552" s="208"/>
      <c r="U552" s="208"/>
      <c r="V552" s="208"/>
      <c r="W552" s="208"/>
      <c r="X552" s="208"/>
      <c r="Y552" s="208"/>
      <c r="Z552" s="208"/>
      <c r="AA552" s="208"/>
      <c r="AB552" s="208"/>
      <c r="AC552" s="208"/>
      <c r="AD552" s="208"/>
      <c r="AE552" s="208"/>
      <c r="AF552" s="208"/>
      <c r="AG552" s="208"/>
      <c r="AH552" s="208"/>
      <c r="AI552" s="208"/>
      <c r="AJ552" s="208"/>
      <c r="AK552" s="208"/>
      <c r="AL552" s="208"/>
      <c r="AM552" s="208"/>
      <c r="AN552" s="208"/>
      <c r="AO552" s="208"/>
      <c r="AP552" s="208"/>
      <c r="AQ552" s="208"/>
      <c r="AR552" s="208"/>
      <c r="AS552" s="208"/>
      <c r="AT552" s="208"/>
      <c r="AU552" s="208"/>
      <c r="AV552" s="208"/>
      <c r="AW552" s="208"/>
      <c r="AX552" s="208"/>
      <c r="AY552" s="208"/>
    </row>
    <row r="553">
      <c r="A553" s="208"/>
      <c r="B553" s="533"/>
      <c r="C553" s="208"/>
      <c r="D553" s="208"/>
      <c r="E553" s="208"/>
      <c r="F553" s="584"/>
      <c r="G553" s="208"/>
      <c r="H553" s="208"/>
      <c r="I553" s="208"/>
      <c r="J553" s="208"/>
      <c r="K553" s="208"/>
      <c r="L553" s="536"/>
      <c r="M553" s="208"/>
      <c r="N553" s="208"/>
      <c r="O553" s="208"/>
      <c r="P553" s="208"/>
      <c r="Q553" s="208"/>
      <c r="R553" s="208"/>
      <c r="S553" s="208"/>
      <c r="T553" s="208"/>
      <c r="U553" s="208"/>
      <c r="V553" s="208"/>
      <c r="W553" s="208"/>
      <c r="X553" s="208"/>
      <c r="Y553" s="208"/>
      <c r="Z553" s="208"/>
      <c r="AA553" s="208"/>
      <c r="AB553" s="208"/>
      <c r="AC553" s="208"/>
      <c r="AD553" s="208"/>
      <c r="AE553" s="208"/>
      <c r="AF553" s="208"/>
      <c r="AG553" s="208"/>
      <c r="AH553" s="208"/>
      <c r="AI553" s="208"/>
      <c r="AJ553" s="208"/>
      <c r="AK553" s="208"/>
      <c r="AL553" s="208"/>
      <c r="AM553" s="208"/>
      <c r="AN553" s="208"/>
      <c r="AO553" s="208"/>
      <c r="AP553" s="208"/>
      <c r="AQ553" s="208"/>
      <c r="AR553" s="208"/>
      <c r="AS553" s="208"/>
      <c r="AT553" s="208"/>
      <c r="AU553" s="208"/>
      <c r="AV553" s="208"/>
      <c r="AW553" s="208"/>
      <c r="AX553" s="208"/>
      <c r="AY553" s="208"/>
    </row>
    <row r="554">
      <c r="A554" s="208"/>
      <c r="B554" s="533"/>
      <c r="C554" s="208"/>
      <c r="D554" s="208"/>
      <c r="E554" s="208"/>
      <c r="F554" s="584"/>
      <c r="G554" s="208"/>
      <c r="H554" s="208"/>
      <c r="I554" s="208"/>
      <c r="J554" s="208"/>
      <c r="K554" s="208"/>
      <c r="L554" s="536"/>
      <c r="M554" s="208"/>
      <c r="N554" s="208"/>
      <c r="O554" s="208"/>
      <c r="P554" s="208"/>
      <c r="Q554" s="208"/>
      <c r="R554" s="208"/>
      <c r="S554" s="208"/>
      <c r="T554" s="208"/>
      <c r="U554" s="208"/>
      <c r="V554" s="208"/>
      <c r="W554" s="208"/>
      <c r="X554" s="208"/>
      <c r="Y554" s="208"/>
      <c r="Z554" s="208"/>
      <c r="AA554" s="208"/>
      <c r="AB554" s="208"/>
      <c r="AC554" s="208"/>
      <c r="AD554" s="208"/>
      <c r="AE554" s="208"/>
      <c r="AF554" s="208"/>
      <c r="AG554" s="208"/>
      <c r="AH554" s="208"/>
      <c r="AI554" s="208"/>
      <c r="AJ554" s="208"/>
      <c r="AK554" s="208"/>
      <c r="AL554" s="208"/>
      <c r="AM554" s="208"/>
      <c r="AN554" s="208"/>
      <c r="AO554" s="208"/>
      <c r="AP554" s="208"/>
      <c r="AQ554" s="208"/>
      <c r="AR554" s="208"/>
      <c r="AS554" s="208"/>
      <c r="AT554" s="208"/>
      <c r="AU554" s="208"/>
      <c r="AV554" s="208"/>
      <c r="AW554" s="208"/>
      <c r="AX554" s="208"/>
      <c r="AY554" s="208"/>
    </row>
    <row r="555">
      <c r="A555" s="208"/>
      <c r="B555" s="533"/>
      <c r="C555" s="208"/>
      <c r="D555" s="208"/>
      <c r="E555" s="208"/>
      <c r="F555" s="584"/>
      <c r="G555" s="208"/>
      <c r="H555" s="208"/>
      <c r="I555" s="208"/>
      <c r="J555" s="208"/>
      <c r="K555" s="208"/>
      <c r="L555" s="536"/>
      <c r="M555" s="208"/>
      <c r="N555" s="208"/>
      <c r="O555" s="208"/>
      <c r="P555" s="208"/>
      <c r="Q555" s="208"/>
      <c r="R555" s="208"/>
      <c r="S555" s="208"/>
      <c r="T555" s="208"/>
      <c r="U555" s="208"/>
      <c r="V555" s="208"/>
      <c r="W555" s="208"/>
      <c r="X555" s="208"/>
      <c r="Y555" s="208"/>
      <c r="Z555" s="208"/>
      <c r="AA555" s="208"/>
      <c r="AB555" s="208"/>
      <c r="AC555" s="208"/>
      <c r="AD555" s="208"/>
      <c r="AE555" s="208"/>
      <c r="AF555" s="208"/>
      <c r="AG555" s="208"/>
      <c r="AH555" s="208"/>
      <c r="AI555" s="208"/>
      <c r="AJ555" s="208"/>
      <c r="AK555" s="208"/>
      <c r="AL555" s="208"/>
      <c r="AM555" s="208"/>
      <c r="AN555" s="208"/>
      <c r="AO555" s="208"/>
      <c r="AP555" s="208"/>
      <c r="AQ555" s="208"/>
      <c r="AR555" s="208"/>
      <c r="AS555" s="208"/>
      <c r="AT555" s="208"/>
      <c r="AU555" s="208"/>
      <c r="AV555" s="208"/>
      <c r="AW555" s="208"/>
      <c r="AX555" s="208"/>
      <c r="AY555" s="208"/>
    </row>
    <row r="556">
      <c r="A556" s="208"/>
      <c r="B556" s="533"/>
      <c r="C556" s="208"/>
      <c r="D556" s="208"/>
      <c r="E556" s="208"/>
      <c r="F556" s="584"/>
      <c r="G556" s="208"/>
      <c r="H556" s="208"/>
      <c r="I556" s="208"/>
      <c r="J556" s="208"/>
      <c r="K556" s="208"/>
      <c r="L556" s="536"/>
      <c r="M556" s="208"/>
      <c r="N556" s="208"/>
      <c r="O556" s="208"/>
      <c r="P556" s="208"/>
      <c r="Q556" s="208"/>
      <c r="R556" s="208"/>
      <c r="S556" s="208"/>
      <c r="T556" s="208"/>
      <c r="U556" s="208"/>
      <c r="V556" s="208"/>
      <c r="W556" s="208"/>
      <c r="X556" s="208"/>
      <c r="Y556" s="208"/>
      <c r="Z556" s="208"/>
      <c r="AA556" s="208"/>
      <c r="AB556" s="208"/>
      <c r="AC556" s="208"/>
      <c r="AD556" s="208"/>
      <c r="AE556" s="208"/>
      <c r="AF556" s="208"/>
      <c r="AG556" s="208"/>
      <c r="AH556" s="208"/>
      <c r="AI556" s="208"/>
      <c r="AJ556" s="208"/>
      <c r="AK556" s="208"/>
      <c r="AL556" s="208"/>
      <c r="AM556" s="208"/>
      <c r="AN556" s="208"/>
      <c r="AO556" s="208"/>
      <c r="AP556" s="208"/>
      <c r="AQ556" s="208"/>
      <c r="AR556" s="208"/>
      <c r="AS556" s="208"/>
      <c r="AT556" s="208"/>
      <c r="AU556" s="208"/>
      <c r="AV556" s="208"/>
      <c r="AW556" s="208"/>
      <c r="AX556" s="208"/>
      <c r="AY556" s="208"/>
    </row>
    <row r="557">
      <c r="A557" s="208"/>
      <c r="B557" s="533"/>
      <c r="C557" s="208"/>
      <c r="D557" s="208"/>
      <c r="E557" s="208"/>
      <c r="F557" s="584"/>
      <c r="G557" s="208"/>
      <c r="H557" s="208"/>
      <c r="I557" s="208"/>
      <c r="J557" s="208"/>
      <c r="K557" s="208"/>
      <c r="L557" s="536"/>
      <c r="M557" s="208"/>
      <c r="N557" s="208"/>
      <c r="O557" s="208"/>
      <c r="P557" s="208"/>
      <c r="Q557" s="208"/>
      <c r="R557" s="208"/>
      <c r="S557" s="208"/>
      <c r="T557" s="208"/>
      <c r="U557" s="208"/>
      <c r="V557" s="208"/>
      <c r="W557" s="208"/>
      <c r="X557" s="208"/>
      <c r="Y557" s="208"/>
      <c r="Z557" s="208"/>
      <c r="AA557" s="208"/>
      <c r="AB557" s="208"/>
      <c r="AC557" s="208"/>
      <c r="AD557" s="208"/>
      <c r="AE557" s="208"/>
      <c r="AF557" s="208"/>
      <c r="AG557" s="208"/>
      <c r="AH557" s="208"/>
      <c r="AI557" s="208"/>
      <c r="AJ557" s="208"/>
      <c r="AK557" s="208"/>
      <c r="AL557" s="208"/>
      <c r="AM557" s="208"/>
      <c r="AN557" s="208"/>
      <c r="AO557" s="208"/>
      <c r="AP557" s="208"/>
      <c r="AQ557" s="208"/>
      <c r="AR557" s="208"/>
      <c r="AS557" s="208"/>
      <c r="AT557" s="208"/>
      <c r="AU557" s="208"/>
      <c r="AV557" s="208"/>
      <c r="AW557" s="208"/>
      <c r="AX557" s="208"/>
      <c r="AY557" s="208"/>
    </row>
    <row r="558">
      <c r="A558" s="208"/>
      <c r="B558" s="533"/>
      <c r="C558" s="208"/>
      <c r="D558" s="208"/>
      <c r="E558" s="208"/>
      <c r="F558" s="584"/>
      <c r="G558" s="208"/>
      <c r="H558" s="208"/>
      <c r="I558" s="208"/>
      <c r="J558" s="208"/>
      <c r="K558" s="208"/>
      <c r="L558" s="536"/>
      <c r="M558" s="208"/>
      <c r="N558" s="208"/>
      <c r="O558" s="208"/>
      <c r="P558" s="208"/>
      <c r="Q558" s="208"/>
      <c r="R558" s="208"/>
      <c r="S558" s="208"/>
      <c r="T558" s="208"/>
      <c r="U558" s="208"/>
      <c r="V558" s="208"/>
      <c r="W558" s="208"/>
      <c r="X558" s="208"/>
      <c r="Y558" s="208"/>
      <c r="Z558" s="208"/>
      <c r="AA558" s="208"/>
      <c r="AB558" s="208"/>
      <c r="AC558" s="208"/>
      <c r="AD558" s="208"/>
      <c r="AE558" s="208"/>
      <c r="AF558" s="208"/>
      <c r="AG558" s="208"/>
      <c r="AH558" s="208"/>
      <c r="AI558" s="208"/>
      <c r="AJ558" s="208"/>
      <c r="AK558" s="208"/>
      <c r="AL558" s="208"/>
      <c r="AM558" s="208"/>
      <c r="AN558" s="208"/>
      <c r="AO558" s="208"/>
      <c r="AP558" s="208"/>
      <c r="AQ558" s="208"/>
      <c r="AR558" s="208"/>
      <c r="AS558" s="208"/>
      <c r="AT558" s="208"/>
      <c r="AU558" s="208"/>
      <c r="AV558" s="208"/>
      <c r="AW558" s="208"/>
      <c r="AX558" s="208"/>
      <c r="AY558" s="208"/>
    </row>
    <row r="559">
      <c r="A559" s="208"/>
      <c r="B559" s="533"/>
      <c r="C559" s="208"/>
      <c r="D559" s="208"/>
      <c r="E559" s="208"/>
      <c r="F559" s="584"/>
      <c r="G559" s="208"/>
      <c r="H559" s="208"/>
      <c r="I559" s="208"/>
      <c r="J559" s="208"/>
      <c r="K559" s="208"/>
      <c r="L559" s="536"/>
      <c r="M559" s="208"/>
      <c r="N559" s="208"/>
      <c r="O559" s="208"/>
      <c r="P559" s="208"/>
      <c r="Q559" s="208"/>
      <c r="R559" s="208"/>
      <c r="S559" s="208"/>
      <c r="T559" s="208"/>
      <c r="U559" s="208"/>
      <c r="V559" s="208"/>
      <c r="W559" s="208"/>
      <c r="X559" s="208"/>
      <c r="Y559" s="208"/>
      <c r="Z559" s="208"/>
      <c r="AA559" s="208"/>
      <c r="AB559" s="208"/>
      <c r="AC559" s="208"/>
      <c r="AD559" s="208"/>
      <c r="AE559" s="208"/>
      <c r="AF559" s="208"/>
      <c r="AG559" s="208"/>
      <c r="AH559" s="208"/>
      <c r="AI559" s="208"/>
      <c r="AJ559" s="208"/>
      <c r="AK559" s="208"/>
      <c r="AL559" s="208"/>
      <c r="AM559" s="208"/>
      <c r="AN559" s="208"/>
      <c r="AO559" s="208"/>
      <c r="AP559" s="208"/>
      <c r="AQ559" s="208"/>
      <c r="AR559" s="208"/>
      <c r="AS559" s="208"/>
      <c r="AT559" s="208"/>
      <c r="AU559" s="208"/>
      <c r="AV559" s="208"/>
      <c r="AW559" s="208"/>
      <c r="AX559" s="208"/>
      <c r="AY559" s="208"/>
    </row>
    <row r="560">
      <c r="A560" s="208"/>
      <c r="B560" s="533"/>
      <c r="C560" s="208"/>
      <c r="D560" s="208"/>
      <c r="E560" s="208"/>
      <c r="F560" s="584"/>
      <c r="G560" s="208"/>
      <c r="H560" s="208"/>
      <c r="I560" s="208"/>
      <c r="J560" s="208"/>
      <c r="K560" s="208"/>
      <c r="L560" s="536"/>
      <c r="M560" s="208"/>
      <c r="N560" s="208"/>
      <c r="O560" s="208"/>
      <c r="P560" s="208"/>
      <c r="Q560" s="208"/>
      <c r="R560" s="208"/>
      <c r="S560" s="208"/>
      <c r="T560" s="208"/>
      <c r="U560" s="208"/>
      <c r="V560" s="208"/>
      <c r="W560" s="208"/>
      <c r="X560" s="208"/>
      <c r="Y560" s="208"/>
      <c r="Z560" s="208"/>
      <c r="AA560" s="208"/>
      <c r="AB560" s="208"/>
      <c r="AC560" s="208"/>
      <c r="AD560" s="208"/>
      <c r="AE560" s="208"/>
      <c r="AF560" s="208"/>
      <c r="AG560" s="208"/>
      <c r="AH560" s="208"/>
      <c r="AI560" s="208"/>
      <c r="AJ560" s="208"/>
      <c r="AK560" s="208"/>
      <c r="AL560" s="208"/>
      <c r="AM560" s="208"/>
      <c r="AN560" s="208"/>
      <c r="AO560" s="208"/>
      <c r="AP560" s="208"/>
      <c r="AQ560" s="208"/>
      <c r="AR560" s="208"/>
      <c r="AS560" s="208"/>
      <c r="AT560" s="208"/>
      <c r="AU560" s="208"/>
      <c r="AV560" s="208"/>
      <c r="AW560" s="208"/>
      <c r="AX560" s="208"/>
      <c r="AY560" s="208"/>
    </row>
    <row r="561">
      <c r="A561" s="208"/>
      <c r="B561" s="533"/>
      <c r="C561" s="208"/>
      <c r="D561" s="208"/>
      <c r="E561" s="208"/>
      <c r="F561" s="584"/>
      <c r="G561" s="208"/>
      <c r="H561" s="208"/>
      <c r="I561" s="208"/>
      <c r="J561" s="208"/>
      <c r="K561" s="208"/>
      <c r="L561" s="536"/>
      <c r="M561" s="208"/>
      <c r="N561" s="208"/>
      <c r="O561" s="208"/>
      <c r="P561" s="208"/>
      <c r="Q561" s="208"/>
      <c r="R561" s="208"/>
      <c r="S561" s="208"/>
      <c r="T561" s="208"/>
      <c r="U561" s="208"/>
      <c r="V561" s="208"/>
      <c r="W561" s="208"/>
      <c r="X561" s="208"/>
      <c r="Y561" s="208"/>
      <c r="Z561" s="208"/>
      <c r="AA561" s="208"/>
      <c r="AB561" s="208"/>
      <c r="AC561" s="208"/>
      <c r="AD561" s="208"/>
      <c r="AE561" s="208"/>
      <c r="AF561" s="208"/>
      <c r="AG561" s="208"/>
      <c r="AH561" s="208"/>
      <c r="AI561" s="208"/>
      <c r="AJ561" s="208"/>
      <c r="AK561" s="208"/>
      <c r="AL561" s="208"/>
      <c r="AM561" s="208"/>
      <c r="AN561" s="208"/>
      <c r="AO561" s="208"/>
      <c r="AP561" s="208"/>
      <c r="AQ561" s="208"/>
      <c r="AR561" s="208"/>
      <c r="AS561" s="208"/>
      <c r="AT561" s="208"/>
      <c r="AU561" s="208"/>
      <c r="AV561" s="208"/>
      <c r="AW561" s="208"/>
      <c r="AX561" s="208"/>
      <c r="AY561" s="208"/>
    </row>
    <row r="562">
      <c r="A562" s="208"/>
      <c r="B562" s="533"/>
      <c r="C562" s="208"/>
      <c r="D562" s="208"/>
      <c r="E562" s="208"/>
      <c r="F562" s="584"/>
      <c r="G562" s="208"/>
      <c r="H562" s="208"/>
      <c r="I562" s="208"/>
      <c r="J562" s="208"/>
      <c r="K562" s="208"/>
      <c r="L562" s="536"/>
      <c r="M562" s="208"/>
      <c r="N562" s="208"/>
      <c r="O562" s="208"/>
      <c r="P562" s="208"/>
      <c r="Q562" s="208"/>
      <c r="R562" s="208"/>
      <c r="S562" s="208"/>
      <c r="T562" s="208"/>
      <c r="U562" s="208"/>
      <c r="V562" s="208"/>
      <c r="W562" s="208"/>
      <c r="X562" s="208"/>
      <c r="Y562" s="208"/>
      <c r="Z562" s="208"/>
      <c r="AA562" s="208"/>
      <c r="AB562" s="208"/>
      <c r="AC562" s="208"/>
      <c r="AD562" s="208"/>
      <c r="AE562" s="208"/>
      <c r="AF562" s="208"/>
      <c r="AG562" s="208"/>
      <c r="AH562" s="208"/>
      <c r="AI562" s="208"/>
      <c r="AJ562" s="208"/>
      <c r="AK562" s="208"/>
      <c r="AL562" s="208"/>
      <c r="AM562" s="208"/>
      <c r="AN562" s="208"/>
      <c r="AO562" s="208"/>
      <c r="AP562" s="208"/>
      <c r="AQ562" s="208"/>
      <c r="AR562" s="208"/>
      <c r="AS562" s="208"/>
      <c r="AT562" s="208"/>
      <c r="AU562" s="208"/>
      <c r="AV562" s="208"/>
      <c r="AW562" s="208"/>
      <c r="AX562" s="208"/>
      <c r="AY562" s="208"/>
    </row>
    <row r="563">
      <c r="A563" s="208"/>
      <c r="B563" s="533"/>
      <c r="C563" s="208"/>
      <c r="D563" s="208"/>
      <c r="E563" s="208"/>
      <c r="F563" s="584"/>
      <c r="G563" s="208"/>
      <c r="H563" s="208"/>
      <c r="I563" s="208"/>
      <c r="J563" s="208"/>
      <c r="K563" s="208"/>
      <c r="L563" s="536"/>
      <c r="M563" s="208"/>
      <c r="N563" s="208"/>
      <c r="O563" s="208"/>
      <c r="P563" s="208"/>
      <c r="Q563" s="208"/>
      <c r="R563" s="208"/>
      <c r="S563" s="208"/>
      <c r="T563" s="208"/>
      <c r="U563" s="208"/>
      <c r="V563" s="208"/>
      <c r="W563" s="208"/>
      <c r="X563" s="208"/>
      <c r="Y563" s="208"/>
      <c r="Z563" s="208"/>
      <c r="AA563" s="208"/>
      <c r="AB563" s="208"/>
      <c r="AC563" s="208"/>
      <c r="AD563" s="208"/>
      <c r="AE563" s="208"/>
      <c r="AF563" s="208"/>
      <c r="AG563" s="208"/>
      <c r="AH563" s="208"/>
      <c r="AI563" s="208"/>
      <c r="AJ563" s="208"/>
      <c r="AK563" s="208"/>
      <c r="AL563" s="208"/>
      <c r="AM563" s="208"/>
      <c r="AN563" s="208"/>
      <c r="AO563" s="208"/>
      <c r="AP563" s="208"/>
      <c r="AQ563" s="208"/>
      <c r="AR563" s="208"/>
      <c r="AS563" s="208"/>
      <c r="AT563" s="208"/>
      <c r="AU563" s="208"/>
      <c r="AV563" s="208"/>
      <c r="AW563" s="208"/>
      <c r="AX563" s="208"/>
      <c r="AY563" s="208"/>
    </row>
    <row r="564">
      <c r="A564" s="208"/>
      <c r="B564" s="533"/>
      <c r="C564" s="208"/>
      <c r="D564" s="208"/>
      <c r="E564" s="208"/>
      <c r="F564" s="584"/>
      <c r="G564" s="208"/>
      <c r="H564" s="208"/>
      <c r="I564" s="208"/>
      <c r="J564" s="208"/>
      <c r="K564" s="208"/>
      <c r="L564" s="536"/>
      <c r="M564" s="208"/>
      <c r="N564" s="208"/>
      <c r="O564" s="208"/>
      <c r="P564" s="208"/>
      <c r="Q564" s="208"/>
      <c r="R564" s="208"/>
      <c r="S564" s="208"/>
      <c r="T564" s="208"/>
      <c r="U564" s="208"/>
      <c r="V564" s="208"/>
      <c r="W564" s="208"/>
      <c r="X564" s="208"/>
      <c r="Y564" s="208"/>
      <c r="Z564" s="208"/>
      <c r="AA564" s="208"/>
      <c r="AB564" s="208"/>
      <c r="AC564" s="208"/>
      <c r="AD564" s="208"/>
      <c r="AE564" s="208"/>
      <c r="AF564" s="208"/>
      <c r="AG564" s="208"/>
      <c r="AH564" s="208"/>
      <c r="AI564" s="208"/>
      <c r="AJ564" s="208"/>
      <c r="AK564" s="208"/>
      <c r="AL564" s="208"/>
      <c r="AM564" s="208"/>
      <c r="AN564" s="208"/>
      <c r="AO564" s="208"/>
      <c r="AP564" s="208"/>
      <c r="AQ564" s="208"/>
      <c r="AR564" s="208"/>
      <c r="AS564" s="208"/>
      <c r="AT564" s="208"/>
      <c r="AU564" s="208"/>
      <c r="AV564" s="208"/>
      <c r="AW564" s="208"/>
      <c r="AX564" s="208"/>
      <c r="AY564" s="208"/>
    </row>
    <row r="565">
      <c r="A565" s="208"/>
      <c r="B565" s="533"/>
      <c r="C565" s="208"/>
      <c r="D565" s="208"/>
      <c r="E565" s="208"/>
      <c r="F565" s="584"/>
      <c r="G565" s="208"/>
      <c r="H565" s="208"/>
      <c r="I565" s="208"/>
      <c r="J565" s="208"/>
      <c r="K565" s="208"/>
      <c r="L565" s="536"/>
      <c r="M565" s="208"/>
      <c r="N565" s="208"/>
      <c r="O565" s="208"/>
      <c r="P565" s="208"/>
      <c r="Q565" s="208"/>
      <c r="R565" s="208"/>
      <c r="S565" s="208"/>
      <c r="T565" s="208"/>
      <c r="U565" s="208"/>
      <c r="V565" s="208"/>
      <c r="W565" s="208"/>
      <c r="X565" s="208"/>
      <c r="Y565" s="208"/>
      <c r="Z565" s="208"/>
      <c r="AA565" s="208"/>
      <c r="AB565" s="208"/>
      <c r="AC565" s="208"/>
      <c r="AD565" s="208"/>
      <c r="AE565" s="208"/>
      <c r="AF565" s="208"/>
      <c r="AG565" s="208"/>
      <c r="AH565" s="208"/>
      <c r="AI565" s="208"/>
      <c r="AJ565" s="208"/>
      <c r="AK565" s="208"/>
      <c r="AL565" s="208"/>
      <c r="AM565" s="208"/>
      <c r="AN565" s="208"/>
      <c r="AO565" s="208"/>
      <c r="AP565" s="208"/>
      <c r="AQ565" s="208"/>
      <c r="AR565" s="208"/>
      <c r="AS565" s="208"/>
      <c r="AT565" s="208"/>
      <c r="AU565" s="208"/>
      <c r="AV565" s="208"/>
      <c r="AW565" s="208"/>
      <c r="AX565" s="208"/>
      <c r="AY565" s="208"/>
    </row>
    <row r="566">
      <c r="A566" s="208"/>
      <c r="B566" s="533"/>
      <c r="C566" s="208"/>
      <c r="D566" s="208"/>
      <c r="E566" s="208"/>
      <c r="F566" s="584"/>
      <c r="G566" s="208"/>
      <c r="H566" s="208"/>
      <c r="I566" s="208"/>
      <c r="J566" s="208"/>
      <c r="K566" s="208"/>
      <c r="L566" s="536"/>
      <c r="M566" s="208"/>
      <c r="N566" s="208"/>
      <c r="O566" s="208"/>
      <c r="P566" s="208"/>
      <c r="Q566" s="208"/>
      <c r="R566" s="208"/>
      <c r="S566" s="208"/>
      <c r="T566" s="208"/>
      <c r="U566" s="208"/>
      <c r="V566" s="208"/>
      <c r="W566" s="208"/>
      <c r="X566" s="208"/>
      <c r="Y566" s="208"/>
      <c r="Z566" s="208"/>
      <c r="AA566" s="208"/>
      <c r="AB566" s="208"/>
      <c r="AC566" s="208"/>
      <c r="AD566" s="208"/>
      <c r="AE566" s="208"/>
      <c r="AF566" s="208"/>
      <c r="AG566" s="208"/>
      <c r="AH566" s="208"/>
      <c r="AI566" s="208"/>
      <c r="AJ566" s="208"/>
      <c r="AK566" s="208"/>
      <c r="AL566" s="208"/>
      <c r="AM566" s="208"/>
      <c r="AN566" s="208"/>
      <c r="AO566" s="208"/>
      <c r="AP566" s="208"/>
      <c r="AQ566" s="208"/>
      <c r="AR566" s="208"/>
      <c r="AS566" s="208"/>
      <c r="AT566" s="208"/>
      <c r="AU566" s="208"/>
      <c r="AV566" s="208"/>
      <c r="AW566" s="208"/>
      <c r="AX566" s="208"/>
      <c r="AY566" s="208"/>
    </row>
    <row r="567">
      <c r="A567" s="208"/>
      <c r="B567" s="533"/>
      <c r="C567" s="208"/>
      <c r="D567" s="208"/>
      <c r="E567" s="208"/>
      <c r="F567" s="584"/>
      <c r="G567" s="208"/>
      <c r="H567" s="208"/>
      <c r="I567" s="208"/>
      <c r="J567" s="208"/>
      <c r="K567" s="208"/>
      <c r="L567" s="536"/>
      <c r="M567" s="208"/>
      <c r="N567" s="208"/>
      <c r="O567" s="208"/>
      <c r="P567" s="208"/>
      <c r="Q567" s="208"/>
      <c r="R567" s="208"/>
      <c r="S567" s="208"/>
      <c r="T567" s="208"/>
      <c r="U567" s="208"/>
      <c r="V567" s="208"/>
      <c r="W567" s="208"/>
      <c r="X567" s="208"/>
      <c r="Y567" s="208"/>
      <c r="Z567" s="208"/>
      <c r="AA567" s="208"/>
      <c r="AB567" s="208"/>
      <c r="AC567" s="208"/>
      <c r="AD567" s="208"/>
      <c r="AE567" s="208"/>
      <c r="AF567" s="208"/>
      <c r="AG567" s="208"/>
      <c r="AH567" s="208"/>
      <c r="AI567" s="208"/>
      <c r="AJ567" s="208"/>
      <c r="AK567" s="208"/>
      <c r="AL567" s="208"/>
      <c r="AM567" s="208"/>
      <c r="AN567" s="208"/>
      <c r="AO567" s="208"/>
      <c r="AP567" s="208"/>
      <c r="AQ567" s="208"/>
      <c r="AR567" s="208"/>
      <c r="AS567" s="208"/>
      <c r="AT567" s="208"/>
      <c r="AU567" s="208"/>
      <c r="AV567" s="208"/>
      <c r="AW567" s="208"/>
      <c r="AX567" s="208"/>
      <c r="AY567" s="208"/>
    </row>
    <row r="568">
      <c r="A568" s="208"/>
      <c r="B568" s="533"/>
      <c r="C568" s="208"/>
      <c r="D568" s="208"/>
      <c r="E568" s="208"/>
      <c r="F568" s="584"/>
      <c r="G568" s="208"/>
      <c r="H568" s="208"/>
      <c r="I568" s="208"/>
      <c r="J568" s="208"/>
      <c r="K568" s="208"/>
      <c r="L568" s="536"/>
      <c r="M568" s="208"/>
      <c r="N568" s="208"/>
      <c r="O568" s="208"/>
      <c r="P568" s="208"/>
      <c r="Q568" s="208"/>
      <c r="R568" s="208"/>
      <c r="S568" s="208"/>
      <c r="T568" s="208"/>
      <c r="U568" s="208"/>
      <c r="V568" s="208"/>
      <c r="W568" s="208"/>
      <c r="X568" s="208"/>
      <c r="Y568" s="208"/>
      <c r="Z568" s="208"/>
      <c r="AA568" s="208"/>
      <c r="AB568" s="208"/>
      <c r="AC568" s="208"/>
      <c r="AD568" s="208"/>
      <c r="AE568" s="208"/>
      <c r="AF568" s="208"/>
      <c r="AG568" s="208"/>
      <c r="AH568" s="208"/>
      <c r="AI568" s="208"/>
      <c r="AJ568" s="208"/>
      <c r="AK568" s="208"/>
      <c r="AL568" s="208"/>
      <c r="AM568" s="208"/>
      <c r="AN568" s="208"/>
      <c r="AO568" s="208"/>
      <c r="AP568" s="208"/>
      <c r="AQ568" s="208"/>
      <c r="AR568" s="208"/>
      <c r="AS568" s="208"/>
      <c r="AT568" s="208"/>
      <c r="AU568" s="208"/>
      <c r="AV568" s="208"/>
      <c r="AW568" s="208"/>
      <c r="AX568" s="208"/>
      <c r="AY568" s="208"/>
    </row>
    <row r="569">
      <c r="A569" s="208"/>
      <c r="B569" s="533"/>
      <c r="C569" s="208"/>
      <c r="D569" s="208"/>
      <c r="E569" s="208"/>
      <c r="F569" s="584"/>
      <c r="G569" s="208"/>
      <c r="H569" s="208"/>
      <c r="I569" s="208"/>
      <c r="J569" s="208"/>
      <c r="K569" s="208"/>
      <c r="L569" s="536"/>
      <c r="M569" s="208"/>
      <c r="N569" s="208"/>
      <c r="O569" s="208"/>
      <c r="P569" s="208"/>
      <c r="Q569" s="208"/>
      <c r="R569" s="208"/>
      <c r="S569" s="208"/>
      <c r="T569" s="208"/>
      <c r="U569" s="208"/>
      <c r="V569" s="208"/>
      <c r="W569" s="208"/>
      <c r="X569" s="208"/>
      <c r="Y569" s="208"/>
      <c r="Z569" s="208"/>
      <c r="AA569" s="208"/>
      <c r="AB569" s="208"/>
      <c r="AC569" s="208"/>
      <c r="AD569" s="208"/>
      <c r="AE569" s="208"/>
      <c r="AF569" s="208"/>
      <c r="AG569" s="208"/>
      <c r="AH569" s="208"/>
      <c r="AI569" s="208"/>
      <c r="AJ569" s="208"/>
      <c r="AK569" s="208"/>
      <c r="AL569" s="208"/>
      <c r="AM569" s="208"/>
      <c r="AN569" s="208"/>
      <c r="AO569" s="208"/>
      <c r="AP569" s="208"/>
      <c r="AQ569" s="208"/>
      <c r="AR569" s="208"/>
      <c r="AS569" s="208"/>
      <c r="AT569" s="208"/>
      <c r="AU569" s="208"/>
      <c r="AV569" s="208"/>
      <c r="AW569" s="208"/>
      <c r="AX569" s="208"/>
      <c r="AY569" s="208"/>
    </row>
    <row r="570">
      <c r="A570" s="208"/>
      <c r="B570" s="533"/>
      <c r="C570" s="208"/>
      <c r="D570" s="208"/>
      <c r="E570" s="208"/>
      <c r="F570" s="584"/>
      <c r="G570" s="208"/>
      <c r="H570" s="208"/>
      <c r="I570" s="208"/>
      <c r="J570" s="208"/>
      <c r="K570" s="208"/>
      <c r="L570" s="536"/>
      <c r="M570" s="208"/>
      <c r="N570" s="208"/>
      <c r="O570" s="208"/>
      <c r="P570" s="208"/>
      <c r="Q570" s="208"/>
      <c r="R570" s="208"/>
      <c r="S570" s="208"/>
      <c r="T570" s="208"/>
      <c r="U570" s="208"/>
      <c r="V570" s="208"/>
      <c r="W570" s="208"/>
      <c r="X570" s="208"/>
      <c r="Y570" s="208"/>
      <c r="Z570" s="208"/>
      <c r="AA570" s="208"/>
      <c r="AB570" s="208"/>
      <c r="AC570" s="208"/>
      <c r="AD570" s="208"/>
      <c r="AE570" s="208"/>
      <c r="AF570" s="208"/>
      <c r="AG570" s="208"/>
      <c r="AH570" s="208"/>
      <c r="AI570" s="208"/>
      <c r="AJ570" s="208"/>
      <c r="AK570" s="208"/>
      <c r="AL570" s="208"/>
      <c r="AM570" s="208"/>
      <c r="AN570" s="208"/>
      <c r="AO570" s="208"/>
      <c r="AP570" s="208"/>
      <c r="AQ570" s="208"/>
      <c r="AR570" s="208"/>
      <c r="AS570" s="208"/>
      <c r="AT570" s="208"/>
      <c r="AU570" s="208"/>
      <c r="AV570" s="208"/>
      <c r="AW570" s="208"/>
      <c r="AX570" s="208"/>
      <c r="AY570" s="208"/>
    </row>
    <row r="571">
      <c r="A571" s="208"/>
      <c r="B571" s="533"/>
      <c r="C571" s="208"/>
      <c r="D571" s="208"/>
      <c r="E571" s="208"/>
      <c r="F571" s="584"/>
      <c r="G571" s="208"/>
      <c r="H571" s="208"/>
      <c r="I571" s="208"/>
      <c r="J571" s="208"/>
      <c r="K571" s="208"/>
      <c r="L571" s="536"/>
      <c r="M571" s="208"/>
      <c r="N571" s="208"/>
      <c r="O571" s="208"/>
      <c r="P571" s="208"/>
      <c r="Q571" s="208"/>
      <c r="R571" s="208"/>
      <c r="S571" s="208"/>
      <c r="T571" s="208"/>
      <c r="U571" s="208"/>
      <c r="V571" s="208"/>
      <c r="W571" s="208"/>
      <c r="X571" s="208"/>
      <c r="Y571" s="208"/>
      <c r="Z571" s="208"/>
      <c r="AA571" s="208"/>
      <c r="AB571" s="208"/>
      <c r="AC571" s="208"/>
      <c r="AD571" s="208"/>
      <c r="AE571" s="208"/>
      <c r="AF571" s="208"/>
      <c r="AG571" s="208"/>
      <c r="AH571" s="208"/>
      <c r="AI571" s="208"/>
      <c r="AJ571" s="208"/>
      <c r="AK571" s="208"/>
      <c r="AL571" s="208"/>
      <c r="AM571" s="208"/>
      <c r="AN571" s="208"/>
      <c r="AO571" s="208"/>
      <c r="AP571" s="208"/>
      <c r="AQ571" s="208"/>
      <c r="AR571" s="208"/>
      <c r="AS571" s="208"/>
      <c r="AT571" s="208"/>
      <c r="AU571" s="208"/>
      <c r="AV571" s="208"/>
      <c r="AW571" s="208"/>
      <c r="AX571" s="208"/>
      <c r="AY571" s="208"/>
    </row>
    <row r="572">
      <c r="A572" s="208"/>
      <c r="B572" s="533"/>
      <c r="C572" s="208"/>
      <c r="D572" s="208"/>
      <c r="E572" s="208"/>
      <c r="F572" s="584"/>
      <c r="G572" s="208"/>
      <c r="H572" s="208"/>
      <c r="I572" s="208"/>
      <c r="J572" s="208"/>
      <c r="K572" s="208"/>
      <c r="L572" s="536"/>
      <c r="M572" s="208"/>
      <c r="N572" s="208"/>
      <c r="O572" s="208"/>
      <c r="P572" s="208"/>
      <c r="Q572" s="208"/>
      <c r="R572" s="208"/>
      <c r="S572" s="208"/>
      <c r="T572" s="208"/>
      <c r="U572" s="208"/>
      <c r="V572" s="208"/>
      <c r="W572" s="208"/>
      <c r="X572" s="208"/>
      <c r="Y572" s="208"/>
      <c r="Z572" s="208"/>
      <c r="AA572" s="208"/>
      <c r="AB572" s="208"/>
      <c r="AC572" s="208"/>
      <c r="AD572" s="208"/>
      <c r="AE572" s="208"/>
      <c r="AF572" s="208"/>
      <c r="AG572" s="208"/>
      <c r="AH572" s="208"/>
      <c r="AI572" s="208"/>
      <c r="AJ572" s="208"/>
      <c r="AK572" s="208"/>
      <c r="AL572" s="208"/>
      <c r="AM572" s="208"/>
      <c r="AN572" s="208"/>
      <c r="AO572" s="208"/>
      <c r="AP572" s="208"/>
      <c r="AQ572" s="208"/>
      <c r="AR572" s="208"/>
      <c r="AS572" s="208"/>
      <c r="AT572" s="208"/>
      <c r="AU572" s="208"/>
      <c r="AV572" s="208"/>
      <c r="AW572" s="208"/>
      <c r="AX572" s="208"/>
      <c r="AY572" s="208"/>
    </row>
    <row r="573">
      <c r="A573" s="208"/>
      <c r="B573" s="533"/>
      <c r="C573" s="208"/>
      <c r="D573" s="208"/>
      <c r="E573" s="208"/>
      <c r="F573" s="584"/>
      <c r="G573" s="208"/>
      <c r="H573" s="208"/>
      <c r="I573" s="208"/>
      <c r="J573" s="208"/>
      <c r="K573" s="208"/>
      <c r="L573" s="536"/>
      <c r="M573" s="208"/>
      <c r="N573" s="208"/>
      <c r="O573" s="208"/>
      <c r="P573" s="208"/>
      <c r="Q573" s="208"/>
      <c r="R573" s="208"/>
      <c r="S573" s="208"/>
      <c r="T573" s="208"/>
      <c r="U573" s="208"/>
      <c r="V573" s="208"/>
      <c r="W573" s="208"/>
      <c r="X573" s="208"/>
      <c r="Y573" s="208"/>
      <c r="Z573" s="208"/>
      <c r="AA573" s="208"/>
      <c r="AB573" s="208"/>
      <c r="AC573" s="208"/>
      <c r="AD573" s="208"/>
      <c r="AE573" s="208"/>
      <c r="AF573" s="208"/>
      <c r="AG573" s="208"/>
      <c r="AH573" s="208"/>
      <c r="AI573" s="208"/>
      <c r="AJ573" s="208"/>
      <c r="AK573" s="208"/>
      <c r="AL573" s="208"/>
      <c r="AM573" s="208"/>
      <c r="AN573" s="208"/>
      <c r="AO573" s="208"/>
      <c r="AP573" s="208"/>
      <c r="AQ573" s="208"/>
      <c r="AR573" s="208"/>
      <c r="AS573" s="208"/>
      <c r="AT573" s="208"/>
      <c r="AU573" s="208"/>
      <c r="AV573" s="208"/>
      <c r="AW573" s="208"/>
      <c r="AX573" s="208"/>
      <c r="AY573" s="208"/>
    </row>
    <row r="574">
      <c r="A574" s="208"/>
      <c r="B574" s="533"/>
      <c r="C574" s="208"/>
      <c r="D574" s="208"/>
      <c r="E574" s="208"/>
      <c r="F574" s="584"/>
      <c r="G574" s="208"/>
      <c r="H574" s="208"/>
      <c r="I574" s="208"/>
      <c r="J574" s="208"/>
      <c r="K574" s="208"/>
      <c r="L574" s="536"/>
      <c r="M574" s="208"/>
      <c r="N574" s="208"/>
      <c r="O574" s="208"/>
      <c r="P574" s="208"/>
      <c r="Q574" s="208"/>
      <c r="R574" s="208"/>
      <c r="S574" s="208"/>
      <c r="T574" s="208"/>
      <c r="U574" s="208"/>
      <c r="V574" s="208"/>
      <c r="W574" s="208"/>
      <c r="X574" s="208"/>
      <c r="Y574" s="208"/>
      <c r="Z574" s="208"/>
      <c r="AA574" s="208"/>
      <c r="AB574" s="208"/>
      <c r="AC574" s="208"/>
      <c r="AD574" s="208"/>
      <c r="AE574" s="208"/>
      <c r="AF574" s="208"/>
      <c r="AG574" s="208"/>
      <c r="AH574" s="208"/>
      <c r="AI574" s="208"/>
      <c r="AJ574" s="208"/>
      <c r="AK574" s="208"/>
      <c r="AL574" s="208"/>
      <c r="AM574" s="208"/>
      <c r="AN574" s="208"/>
      <c r="AO574" s="208"/>
      <c r="AP574" s="208"/>
      <c r="AQ574" s="208"/>
      <c r="AR574" s="208"/>
      <c r="AS574" s="208"/>
      <c r="AT574" s="208"/>
      <c r="AU574" s="208"/>
      <c r="AV574" s="208"/>
      <c r="AW574" s="208"/>
      <c r="AX574" s="208"/>
      <c r="AY574" s="208"/>
    </row>
    <row r="575">
      <c r="A575" s="208"/>
      <c r="B575" s="533"/>
      <c r="C575" s="208"/>
      <c r="D575" s="208"/>
      <c r="E575" s="208"/>
      <c r="F575" s="584"/>
      <c r="G575" s="208"/>
      <c r="H575" s="208"/>
      <c r="I575" s="208"/>
      <c r="J575" s="208"/>
      <c r="K575" s="208"/>
      <c r="L575" s="536"/>
      <c r="M575" s="208"/>
      <c r="N575" s="208"/>
      <c r="O575" s="208"/>
      <c r="P575" s="208"/>
      <c r="Q575" s="208"/>
      <c r="R575" s="208"/>
      <c r="S575" s="208"/>
      <c r="T575" s="208"/>
      <c r="U575" s="208"/>
      <c r="V575" s="208"/>
      <c r="W575" s="208"/>
      <c r="X575" s="208"/>
      <c r="Y575" s="208"/>
      <c r="Z575" s="208"/>
      <c r="AA575" s="208"/>
      <c r="AB575" s="208"/>
      <c r="AC575" s="208"/>
      <c r="AD575" s="208"/>
      <c r="AE575" s="208"/>
      <c r="AF575" s="208"/>
      <c r="AG575" s="208"/>
      <c r="AH575" s="208"/>
      <c r="AI575" s="208"/>
      <c r="AJ575" s="208"/>
      <c r="AK575" s="208"/>
      <c r="AL575" s="208"/>
      <c r="AM575" s="208"/>
      <c r="AN575" s="208"/>
      <c r="AO575" s="208"/>
      <c r="AP575" s="208"/>
      <c r="AQ575" s="208"/>
      <c r="AR575" s="208"/>
      <c r="AS575" s="208"/>
      <c r="AT575" s="208"/>
      <c r="AU575" s="208"/>
      <c r="AV575" s="208"/>
      <c r="AW575" s="208"/>
      <c r="AX575" s="208"/>
      <c r="AY575" s="208"/>
    </row>
    <row r="576">
      <c r="A576" s="208"/>
      <c r="B576" s="533"/>
      <c r="C576" s="208"/>
      <c r="D576" s="208"/>
      <c r="E576" s="208"/>
      <c r="F576" s="584"/>
      <c r="G576" s="208"/>
      <c r="H576" s="208"/>
      <c r="I576" s="208"/>
      <c r="J576" s="208"/>
      <c r="K576" s="208"/>
      <c r="L576" s="536"/>
      <c r="M576" s="208"/>
      <c r="N576" s="208"/>
      <c r="O576" s="208"/>
      <c r="P576" s="208"/>
      <c r="Q576" s="208"/>
      <c r="R576" s="208"/>
      <c r="S576" s="208"/>
      <c r="T576" s="208"/>
      <c r="U576" s="208"/>
      <c r="V576" s="208"/>
      <c r="W576" s="208"/>
      <c r="X576" s="208"/>
      <c r="Y576" s="208"/>
      <c r="Z576" s="208"/>
      <c r="AA576" s="208"/>
      <c r="AB576" s="208"/>
      <c r="AC576" s="208"/>
      <c r="AD576" s="208"/>
      <c r="AE576" s="208"/>
      <c r="AF576" s="208"/>
      <c r="AG576" s="208"/>
      <c r="AH576" s="208"/>
      <c r="AI576" s="208"/>
      <c r="AJ576" s="208"/>
      <c r="AK576" s="208"/>
      <c r="AL576" s="208"/>
      <c r="AM576" s="208"/>
      <c r="AN576" s="208"/>
      <c r="AO576" s="208"/>
      <c r="AP576" s="208"/>
      <c r="AQ576" s="208"/>
      <c r="AR576" s="208"/>
      <c r="AS576" s="208"/>
      <c r="AT576" s="208"/>
      <c r="AU576" s="208"/>
      <c r="AV576" s="208"/>
      <c r="AW576" s="208"/>
      <c r="AX576" s="208"/>
      <c r="AY576" s="208"/>
    </row>
    <row r="577">
      <c r="A577" s="208"/>
      <c r="B577" s="533"/>
      <c r="C577" s="208"/>
      <c r="D577" s="208"/>
      <c r="E577" s="208"/>
      <c r="F577" s="584"/>
      <c r="G577" s="208"/>
      <c r="H577" s="208"/>
      <c r="I577" s="208"/>
      <c r="J577" s="208"/>
      <c r="K577" s="208"/>
      <c r="L577" s="536"/>
      <c r="M577" s="208"/>
      <c r="N577" s="208"/>
      <c r="O577" s="208"/>
      <c r="P577" s="208"/>
      <c r="Q577" s="208"/>
      <c r="R577" s="208"/>
      <c r="S577" s="208"/>
      <c r="T577" s="208"/>
      <c r="U577" s="208"/>
      <c r="V577" s="208"/>
      <c r="W577" s="208"/>
      <c r="X577" s="208"/>
      <c r="Y577" s="208"/>
      <c r="Z577" s="208"/>
      <c r="AA577" s="208"/>
      <c r="AB577" s="208"/>
      <c r="AC577" s="208"/>
      <c r="AD577" s="208"/>
      <c r="AE577" s="208"/>
      <c r="AF577" s="208"/>
      <c r="AG577" s="208"/>
      <c r="AH577" s="208"/>
      <c r="AI577" s="208"/>
      <c r="AJ577" s="208"/>
      <c r="AK577" s="208"/>
      <c r="AL577" s="208"/>
      <c r="AM577" s="208"/>
      <c r="AN577" s="208"/>
      <c r="AO577" s="208"/>
      <c r="AP577" s="208"/>
      <c r="AQ577" s="208"/>
      <c r="AR577" s="208"/>
      <c r="AS577" s="208"/>
      <c r="AT577" s="208"/>
      <c r="AU577" s="208"/>
      <c r="AV577" s="208"/>
      <c r="AW577" s="208"/>
      <c r="AX577" s="208"/>
      <c r="AY577" s="208"/>
    </row>
    <row r="578">
      <c r="A578" s="208"/>
      <c r="B578" s="533"/>
      <c r="C578" s="208"/>
      <c r="D578" s="208"/>
      <c r="E578" s="208"/>
      <c r="F578" s="584"/>
      <c r="G578" s="208"/>
      <c r="H578" s="208"/>
      <c r="I578" s="208"/>
      <c r="J578" s="208"/>
      <c r="K578" s="208"/>
      <c r="L578" s="536"/>
      <c r="M578" s="208"/>
      <c r="N578" s="208"/>
      <c r="O578" s="208"/>
      <c r="P578" s="208"/>
      <c r="Q578" s="208"/>
      <c r="R578" s="208"/>
      <c r="S578" s="208"/>
      <c r="T578" s="208"/>
      <c r="U578" s="208"/>
      <c r="V578" s="208"/>
      <c r="W578" s="208"/>
      <c r="X578" s="208"/>
      <c r="Y578" s="208"/>
      <c r="Z578" s="208"/>
      <c r="AA578" s="208"/>
      <c r="AB578" s="208"/>
      <c r="AC578" s="208"/>
      <c r="AD578" s="208"/>
      <c r="AE578" s="208"/>
      <c r="AF578" s="208"/>
      <c r="AG578" s="208"/>
      <c r="AH578" s="208"/>
      <c r="AI578" s="208"/>
      <c r="AJ578" s="208"/>
      <c r="AK578" s="208"/>
      <c r="AL578" s="208"/>
      <c r="AM578" s="208"/>
      <c r="AN578" s="208"/>
      <c r="AO578" s="208"/>
      <c r="AP578" s="208"/>
      <c r="AQ578" s="208"/>
      <c r="AR578" s="208"/>
      <c r="AS578" s="208"/>
      <c r="AT578" s="208"/>
      <c r="AU578" s="208"/>
      <c r="AV578" s="208"/>
      <c r="AW578" s="208"/>
      <c r="AX578" s="208"/>
      <c r="AY578" s="208"/>
    </row>
    <row r="579">
      <c r="A579" s="208"/>
      <c r="B579" s="533"/>
      <c r="C579" s="208"/>
      <c r="D579" s="208"/>
      <c r="E579" s="208"/>
      <c r="F579" s="584"/>
      <c r="G579" s="208"/>
      <c r="H579" s="208"/>
      <c r="I579" s="208"/>
      <c r="J579" s="208"/>
      <c r="K579" s="208"/>
      <c r="L579" s="536"/>
      <c r="M579" s="208"/>
      <c r="N579" s="208"/>
      <c r="O579" s="208"/>
      <c r="P579" s="208"/>
      <c r="Q579" s="208"/>
      <c r="R579" s="208"/>
      <c r="S579" s="208"/>
      <c r="T579" s="208"/>
      <c r="U579" s="208"/>
      <c r="V579" s="208"/>
      <c r="W579" s="208"/>
      <c r="X579" s="208"/>
      <c r="Y579" s="208"/>
      <c r="Z579" s="208"/>
      <c r="AA579" s="208"/>
      <c r="AB579" s="208"/>
      <c r="AC579" s="208"/>
      <c r="AD579" s="208"/>
      <c r="AE579" s="208"/>
      <c r="AF579" s="208"/>
      <c r="AG579" s="208"/>
      <c r="AH579" s="208"/>
      <c r="AI579" s="208"/>
      <c r="AJ579" s="208"/>
      <c r="AK579" s="208"/>
      <c r="AL579" s="208"/>
      <c r="AM579" s="208"/>
      <c r="AN579" s="208"/>
      <c r="AO579" s="208"/>
      <c r="AP579" s="208"/>
      <c r="AQ579" s="208"/>
      <c r="AR579" s="208"/>
      <c r="AS579" s="208"/>
      <c r="AT579" s="208"/>
      <c r="AU579" s="208"/>
      <c r="AV579" s="208"/>
      <c r="AW579" s="208"/>
      <c r="AX579" s="208"/>
      <c r="AY579" s="208"/>
    </row>
    <row r="580">
      <c r="A580" s="208"/>
      <c r="B580" s="533"/>
      <c r="C580" s="208"/>
      <c r="D580" s="208"/>
      <c r="E580" s="208"/>
      <c r="F580" s="584"/>
      <c r="G580" s="208"/>
      <c r="H580" s="208"/>
      <c r="I580" s="208"/>
      <c r="J580" s="208"/>
      <c r="K580" s="208"/>
      <c r="L580" s="536"/>
      <c r="M580" s="208"/>
      <c r="N580" s="208"/>
      <c r="O580" s="208"/>
      <c r="P580" s="208"/>
      <c r="Q580" s="208"/>
      <c r="R580" s="208"/>
      <c r="S580" s="208"/>
      <c r="T580" s="208"/>
      <c r="U580" s="208"/>
      <c r="V580" s="208"/>
      <c r="W580" s="208"/>
      <c r="X580" s="208"/>
      <c r="Y580" s="208"/>
      <c r="Z580" s="208"/>
      <c r="AA580" s="208"/>
      <c r="AB580" s="208"/>
      <c r="AC580" s="208"/>
      <c r="AD580" s="208"/>
      <c r="AE580" s="208"/>
      <c r="AF580" s="208"/>
      <c r="AG580" s="208"/>
      <c r="AH580" s="208"/>
      <c r="AI580" s="208"/>
      <c r="AJ580" s="208"/>
      <c r="AK580" s="208"/>
      <c r="AL580" s="208"/>
      <c r="AM580" s="208"/>
      <c r="AN580" s="208"/>
      <c r="AO580" s="208"/>
      <c r="AP580" s="208"/>
      <c r="AQ580" s="208"/>
      <c r="AR580" s="208"/>
      <c r="AS580" s="208"/>
      <c r="AT580" s="208"/>
      <c r="AU580" s="208"/>
      <c r="AV580" s="208"/>
      <c r="AW580" s="208"/>
      <c r="AX580" s="208"/>
      <c r="AY580" s="208"/>
    </row>
    <row r="581">
      <c r="A581" s="208"/>
      <c r="B581" s="533"/>
      <c r="C581" s="208"/>
      <c r="D581" s="208"/>
      <c r="E581" s="208"/>
      <c r="F581" s="584"/>
      <c r="G581" s="208"/>
      <c r="H581" s="208"/>
      <c r="I581" s="208"/>
      <c r="J581" s="208"/>
      <c r="K581" s="208"/>
      <c r="L581" s="536"/>
      <c r="M581" s="208"/>
      <c r="N581" s="208"/>
      <c r="O581" s="208"/>
      <c r="P581" s="208"/>
      <c r="Q581" s="208"/>
      <c r="R581" s="208"/>
      <c r="S581" s="208"/>
      <c r="T581" s="208"/>
      <c r="U581" s="208"/>
      <c r="V581" s="208"/>
      <c r="W581" s="208"/>
      <c r="X581" s="208"/>
      <c r="Y581" s="208"/>
      <c r="Z581" s="208"/>
      <c r="AA581" s="208"/>
      <c r="AB581" s="208"/>
      <c r="AC581" s="208"/>
      <c r="AD581" s="208"/>
      <c r="AE581" s="208"/>
      <c r="AF581" s="208"/>
      <c r="AG581" s="208"/>
      <c r="AH581" s="208"/>
      <c r="AI581" s="208"/>
      <c r="AJ581" s="208"/>
      <c r="AK581" s="208"/>
      <c r="AL581" s="208"/>
      <c r="AM581" s="208"/>
      <c r="AN581" s="208"/>
      <c r="AO581" s="208"/>
      <c r="AP581" s="208"/>
      <c r="AQ581" s="208"/>
      <c r="AR581" s="208"/>
      <c r="AS581" s="208"/>
      <c r="AT581" s="208"/>
      <c r="AU581" s="208"/>
      <c r="AV581" s="208"/>
      <c r="AW581" s="208"/>
      <c r="AX581" s="208"/>
      <c r="AY581" s="208"/>
    </row>
    <row r="582">
      <c r="A582" s="208"/>
      <c r="B582" s="533"/>
      <c r="C582" s="208"/>
      <c r="D582" s="208"/>
      <c r="E582" s="208"/>
      <c r="F582" s="584"/>
      <c r="G582" s="208"/>
      <c r="H582" s="208"/>
      <c r="I582" s="208"/>
      <c r="J582" s="208"/>
      <c r="K582" s="208"/>
      <c r="L582" s="536"/>
      <c r="M582" s="208"/>
      <c r="N582" s="208"/>
      <c r="O582" s="208"/>
      <c r="P582" s="208"/>
      <c r="Q582" s="208"/>
      <c r="R582" s="208"/>
      <c r="S582" s="208"/>
      <c r="T582" s="208"/>
      <c r="U582" s="208"/>
      <c r="V582" s="208"/>
      <c r="W582" s="208"/>
      <c r="X582" s="208"/>
      <c r="Y582" s="208"/>
      <c r="Z582" s="208"/>
      <c r="AA582" s="208"/>
      <c r="AB582" s="208"/>
      <c r="AC582" s="208"/>
      <c r="AD582" s="208"/>
      <c r="AE582" s="208"/>
      <c r="AF582" s="208"/>
      <c r="AG582" s="208"/>
      <c r="AH582" s="208"/>
      <c r="AI582" s="208"/>
      <c r="AJ582" s="208"/>
      <c r="AK582" s="208"/>
      <c r="AL582" s="208"/>
      <c r="AM582" s="208"/>
      <c r="AN582" s="208"/>
      <c r="AO582" s="208"/>
      <c r="AP582" s="208"/>
      <c r="AQ582" s="208"/>
      <c r="AR582" s="208"/>
      <c r="AS582" s="208"/>
      <c r="AT582" s="208"/>
      <c r="AU582" s="208"/>
      <c r="AV582" s="208"/>
      <c r="AW582" s="208"/>
      <c r="AX582" s="208"/>
      <c r="AY582" s="208"/>
    </row>
    <row r="583">
      <c r="A583" s="208"/>
      <c r="B583" s="533"/>
      <c r="C583" s="208"/>
      <c r="D583" s="208"/>
      <c r="E583" s="208"/>
      <c r="F583" s="584"/>
      <c r="G583" s="208"/>
      <c r="H583" s="208"/>
      <c r="I583" s="208"/>
      <c r="J583" s="208"/>
      <c r="K583" s="208"/>
      <c r="L583" s="536"/>
      <c r="M583" s="208"/>
      <c r="N583" s="208"/>
      <c r="O583" s="208"/>
      <c r="P583" s="208"/>
      <c r="Q583" s="208"/>
      <c r="R583" s="208"/>
      <c r="S583" s="208"/>
      <c r="T583" s="208"/>
      <c r="U583" s="208"/>
      <c r="V583" s="208"/>
      <c r="W583" s="208"/>
      <c r="X583" s="208"/>
      <c r="Y583" s="208"/>
      <c r="Z583" s="208"/>
      <c r="AA583" s="208"/>
      <c r="AB583" s="208"/>
      <c r="AC583" s="208"/>
      <c r="AD583" s="208"/>
      <c r="AE583" s="208"/>
      <c r="AF583" s="208"/>
      <c r="AG583" s="208"/>
      <c r="AH583" s="208"/>
      <c r="AI583" s="208"/>
      <c r="AJ583" s="208"/>
      <c r="AK583" s="208"/>
      <c r="AL583" s="208"/>
      <c r="AM583" s="208"/>
      <c r="AN583" s="208"/>
      <c r="AO583" s="208"/>
      <c r="AP583" s="208"/>
      <c r="AQ583" s="208"/>
      <c r="AR583" s="208"/>
      <c r="AS583" s="208"/>
      <c r="AT583" s="208"/>
      <c r="AU583" s="208"/>
      <c r="AV583" s="208"/>
      <c r="AW583" s="208"/>
      <c r="AX583" s="208"/>
      <c r="AY583" s="208"/>
    </row>
    <row r="584">
      <c r="A584" s="208"/>
      <c r="B584" s="533"/>
      <c r="C584" s="208"/>
      <c r="D584" s="208"/>
      <c r="E584" s="208"/>
      <c r="F584" s="584"/>
      <c r="G584" s="208"/>
      <c r="H584" s="208"/>
      <c r="I584" s="208"/>
      <c r="J584" s="208"/>
      <c r="K584" s="208"/>
      <c r="L584" s="536"/>
      <c r="M584" s="208"/>
      <c r="N584" s="208"/>
      <c r="O584" s="208"/>
      <c r="P584" s="208"/>
      <c r="Q584" s="208"/>
      <c r="R584" s="208"/>
      <c r="S584" s="208"/>
      <c r="T584" s="208"/>
      <c r="U584" s="208"/>
      <c r="V584" s="208"/>
      <c r="W584" s="208"/>
      <c r="X584" s="208"/>
      <c r="Y584" s="208"/>
      <c r="Z584" s="208"/>
      <c r="AA584" s="208"/>
      <c r="AB584" s="208"/>
      <c r="AC584" s="208"/>
      <c r="AD584" s="208"/>
      <c r="AE584" s="208"/>
      <c r="AF584" s="208"/>
      <c r="AG584" s="208"/>
      <c r="AH584" s="208"/>
      <c r="AI584" s="208"/>
      <c r="AJ584" s="208"/>
      <c r="AK584" s="208"/>
      <c r="AL584" s="208"/>
      <c r="AM584" s="208"/>
      <c r="AN584" s="208"/>
      <c r="AO584" s="208"/>
      <c r="AP584" s="208"/>
      <c r="AQ584" s="208"/>
      <c r="AR584" s="208"/>
      <c r="AS584" s="208"/>
      <c r="AT584" s="208"/>
      <c r="AU584" s="208"/>
      <c r="AV584" s="208"/>
      <c r="AW584" s="208"/>
      <c r="AX584" s="208"/>
      <c r="AY584" s="208"/>
    </row>
    <row r="585">
      <c r="A585" s="208"/>
      <c r="B585" s="533"/>
      <c r="C585" s="208"/>
      <c r="D585" s="208"/>
      <c r="E585" s="208"/>
      <c r="F585" s="584"/>
      <c r="G585" s="208"/>
      <c r="H585" s="208"/>
      <c r="I585" s="208"/>
      <c r="J585" s="208"/>
      <c r="K585" s="208"/>
      <c r="L585" s="536"/>
      <c r="M585" s="208"/>
      <c r="N585" s="208"/>
      <c r="O585" s="208"/>
      <c r="P585" s="208"/>
      <c r="Q585" s="208"/>
      <c r="R585" s="208"/>
      <c r="S585" s="208"/>
      <c r="T585" s="208"/>
      <c r="U585" s="208"/>
      <c r="V585" s="208"/>
      <c r="W585" s="208"/>
      <c r="X585" s="208"/>
      <c r="Y585" s="208"/>
      <c r="Z585" s="208"/>
      <c r="AA585" s="208"/>
      <c r="AB585" s="208"/>
      <c r="AC585" s="208"/>
      <c r="AD585" s="208"/>
      <c r="AE585" s="208"/>
      <c r="AF585" s="208"/>
      <c r="AG585" s="208"/>
      <c r="AH585" s="208"/>
      <c r="AI585" s="208"/>
      <c r="AJ585" s="208"/>
      <c r="AK585" s="208"/>
      <c r="AL585" s="208"/>
      <c r="AM585" s="208"/>
      <c r="AN585" s="208"/>
      <c r="AO585" s="208"/>
      <c r="AP585" s="208"/>
      <c r="AQ585" s="208"/>
      <c r="AR585" s="208"/>
      <c r="AS585" s="208"/>
      <c r="AT585" s="208"/>
      <c r="AU585" s="208"/>
      <c r="AV585" s="208"/>
      <c r="AW585" s="208"/>
      <c r="AX585" s="208"/>
      <c r="AY585" s="208"/>
    </row>
    <row r="586">
      <c r="A586" s="208"/>
      <c r="B586" s="533"/>
      <c r="C586" s="208"/>
      <c r="D586" s="208"/>
      <c r="E586" s="208"/>
      <c r="F586" s="584"/>
      <c r="G586" s="208"/>
      <c r="H586" s="208"/>
      <c r="I586" s="208"/>
      <c r="J586" s="208"/>
      <c r="K586" s="208"/>
      <c r="L586" s="536"/>
      <c r="M586" s="208"/>
      <c r="N586" s="208"/>
      <c r="O586" s="208"/>
      <c r="P586" s="208"/>
      <c r="Q586" s="208"/>
      <c r="R586" s="208"/>
      <c r="S586" s="208"/>
      <c r="T586" s="208"/>
      <c r="U586" s="208"/>
      <c r="V586" s="208"/>
      <c r="W586" s="208"/>
      <c r="X586" s="208"/>
      <c r="Y586" s="208"/>
      <c r="Z586" s="208"/>
      <c r="AA586" s="208"/>
      <c r="AB586" s="208"/>
      <c r="AC586" s="208"/>
      <c r="AD586" s="208"/>
      <c r="AE586" s="208"/>
      <c r="AF586" s="208"/>
      <c r="AG586" s="208"/>
      <c r="AH586" s="208"/>
      <c r="AI586" s="208"/>
      <c r="AJ586" s="208"/>
      <c r="AK586" s="208"/>
      <c r="AL586" s="208"/>
      <c r="AM586" s="208"/>
      <c r="AN586" s="208"/>
      <c r="AO586" s="208"/>
      <c r="AP586" s="208"/>
      <c r="AQ586" s="208"/>
      <c r="AR586" s="208"/>
      <c r="AS586" s="208"/>
      <c r="AT586" s="208"/>
      <c r="AU586" s="208"/>
      <c r="AV586" s="208"/>
      <c r="AW586" s="208"/>
      <c r="AX586" s="208"/>
      <c r="AY586" s="208"/>
    </row>
    <row r="587">
      <c r="A587" s="208"/>
      <c r="B587" s="533"/>
      <c r="C587" s="208"/>
      <c r="D587" s="208"/>
      <c r="E587" s="208"/>
      <c r="F587" s="584"/>
      <c r="G587" s="208"/>
      <c r="H587" s="208"/>
      <c r="I587" s="208"/>
      <c r="J587" s="208"/>
      <c r="K587" s="208"/>
      <c r="L587" s="536"/>
      <c r="M587" s="208"/>
      <c r="N587" s="208"/>
      <c r="O587" s="208"/>
      <c r="P587" s="208"/>
      <c r="Q587" s="208"/>
      <c r="R587" s="208"/>
      <c r="S587" s="208"/>
      <c r="T587" s="208"/>
      <c r="U587" s="208"/>
      <c r="V587" s="208"/>
      <c r="W587" s="208"/>
      <c r="X587" s="208"/>
      <c r="Y587" s="208"/>
      <c r="Z587" s="208"/>
      <c r="AA587" s="208"/>
      <c r="AB587" s="208"/>
      <c r="AC587" s="208"/>
      <c r="AD587" s="208"/>
      <c r="AE587" s="208"/>
      <c r="AF587" s="208"/>
      <c r="AG587" s="208"/>
      <c r="AH587" s="208"/>
      <c r="AI587" s="208"/>
      <c r="AJ587" s="208"/>
      <c r="AK587" s="208"/>
      <c r="AL587" s="208"/>
      <c r="AM587" s="208"/>
      <c r="AN587" s="208"/>
      <c r="AO587" s="208"/>
      <c r="AP587" s="208"/>
      <c r="AQ587" s="208"/>
      <c r="AR587" s="208"/>
      <c r="AS587" s="208"/>
      <c r="AT587" s="208"/>
      <c r="AU587" s="208"/>
      <c r="AV587" s="208"/>
      <c r="AW587" s="208"/>
      <c r="AX587" s="208"/>
      <c r="AY587" s="208"/>
    </row>
    <row r="588">
      <c r="A588" s="208"/>
      <c r="B588" s="533"/>
      <c r="C588" s="208"/>
      <c r="D588" s="208"/>
      <c r="E588" s="208"/>
      <c r="F588" s="584"/>
      <c r="G588" s="208"/>
      <c r="H588" s="208"/>
      <c r="I588" s="208"/>
      <c r="J588" s="208"/>
      <c r="K588" s="208"/>
      <c r="L588" s="536"/>
      <c r="M588" s="208"/>
      <c r="N588" s="208"/>
      <c r="O588" s="208"/>
      <c r="P588" s="208"/>
      <c r="Q588" s="208"/>
      <c r="R588" s="208"/>
      <c r="S588" s="208"/>
      <c r="T588" s="208"/>
      <c r="U588" s="208"/>
      <c r="V588" s="208"/>
      <c r="W588" s="208"/>
      <c r="X588" s="208"/>
      <c r="Y588" s="208"/>
      <c r="Z588" s="208"/>
      <c r="AA588" s="208"/>
      <c r="AB588" s="208"/>
      <c r="AC588" s="208"/>
      <c r="AD588" s="208"/>
      <c r="AE588" s="208"/>
      <c r="AF588" s="208"/>
      <c r="AG588" s="208"/>
      <c r="AH588" s="208"/>
      <c r="AI588" s="208"/>
      <c r="AJ588" s="208"/>
      <c r="AK588" s="208"/>
      <c r="AL588" s="208"/>
      <c r="AM588" s="208"/>
      <c r="AN588" s="208"/>
      <c r="AO588" s="208"/>
      <c r="AP588" s="208"/>
      <c r="AQ588" s="208"/>
      <c r="AR588" s="208"/>
      <c r="AS588" s="208"/>
      <c r="AT588" s="208"/>
      <c r="AU588" s="208"/>
      <c r="AV588" s="208"/>
      <c r="AW588" s="208"/>
      <c r="AX588" s="208"/>
      <c r="AY588" s="208"/>
    </row>
    <row r="589">
      <c r="A589" s="208"/>
      <c r="B589" s="533"/>
      <c r="C589" s="208"/>
      <c r="D589" s="208"/>
      <c r="E589" s="208"/>
      <c r="F589" s="584"/>
      <c r="G589" s="208"/>
      <c r="H589" s="208"/>
      <c r="I589" s="208"/>
      <c r="J589" s="208"/>
      <c r="K589" s="208"/>
      <c r="L589" s="536"/>
      <c r="M589" s="208"/>
      <c r="N589" s="208"/>
      <c r="O589" s="208"/>
      <c r="P589" s="208"/>
      <c r="Q589" s="208"/>
      <c r="R589" s="208"/>
      <c r="S589" s="208"/>
      <c r="T589" s="208"/>
      <c r="U589" s="208"/>
      <c r="V589" s="208"/>
      <c r="W589" s="208"/>
      <c r="X589" s="208"/>
      <c r="Y589" s="208"/>
      <c r="Z589" s="208"/>
      <c r="AA589" s="208"/>
      <c r="AB589" s="208"/>
      <c r="AC589" s="208"/>
      <c r="AD589" s="208"/>
      <c r="AE589" s="208"/>
      <c r="AF589" s="208"/>
      <c r="AG589" s="208"/>
      <c r="AH589" s="208"/>
      <c r="AI589" s="208"/>
      <c r="AJ589" s="208"/>
      <c r="AK589" s="208"/>
      <c r="AL589" s="208"/>
      <c r="AM589" s="208"/>
      <c r="AN589" s="208"/>
      <c r="AO589" s="208"/>
      <c r="AP589" s="208"/>
      <c r="AQ589" s="208"/>
      <c r="AR589" s="208"/>
      <c r="AS589" s="208"/>
      <c r="AT589" s="208"/>
      <c r="AU589" s="208"/>
      <c r="AV589" s="208"/>
      <c r="AW589" s="208"/>
      <c r="AX589" s="208"/>
      <c r="AY589" s="208"/>
    </row>
    <row r="590">
      <c r="A590" s="208"/>
      <c r="B590" s="533"/>
      <c r="C590" s="208"/>
      <c r="D590" s="208"/>
      <c r="E590" s="208"/>
      <c r="F590" s="584"/>
      <c r="G590" s="208"/>
      <c r="H590" s="208"/>
      <c r="I590" s="208"/>
      <c r="J590" s="208"/>
      <c r="K590" s="208"/>
      <c r="L590" s="536"/>
      <c r="M590" s="208"/>
      <c r="N590" s="208"/>
      <c r="O590" s="208"/>
      <c r="P590" s="208"/>
      <c r="Q590" s="208"/>
      <c r="R590" s="208"/>
      <c r="S590" s="208"/>
      <c r="T590" s="208"/>
      <c r="U590" s="208"/>
      <c r="V590" s="208"/>
      <c r="W590" s="208"/>
      <c r="X590" s="208"/>
      <c r="Y590" s="208"/>
      <c r="Z590" s="208"/>
      <c r="AA590" s="208"/>
      <c r="AB590" s="208"/>
      <c r="AC590" s="208"/>
      <c r="AD590" s="208"/>
      <c r="AE590" s="208"/>
      <c r="AF590" s="208"/>
      <c r="AG590" s="208"/>
      <c r="AH590" s="208"/>
      <c r="AI590" s="208"/>
      <c r="AJ590" s="208"/>
      <c r="AK590" s="208"/>
      <c r="AL590" s="208"/>
      <c r="AM590" s="208"/>
      <c r="AN590" s="208"/>
      <c r="AO590" s="208"/>
      <c r="AP590" s="208"/>
      <c r="AQ590" s="208"/>
      <c r="AR590" s="208"/>
      <c r="AS590" s="208"/>
      <c r="AT590" s="208"/>
      <c r="AU590" s="208"/>
      <c r="AV590" s="208"/>
      <c r="AW590" s="208"/>
      <c r="AX590" s="208"/>
      <c r="AY590" s="208"/>
    </row>
    <row r="591">
      <c r="A591" s="208"/>
      <c r="B591" s="533"/>
      <c r="C591" s="208"/>
      <c r="D591" s="208"/>
      <c r="E591" s="208"/>
      <c r="F591" s="584"/>
      <c r="G591" s="208"/>
      <c r="H591" s="208"/>
      <c r="I591" s="208"/>
      <c r="J591" s="208"/>
      <c r="K591" s="208"/>
      <c r="L591" s="536"/>
      <c r="M591" s="208"/>
      <c r="N591" s="208"/>
      <c r="O591" s="208"/>
      <c r="P591" s="208"/>
      <c r="Q591" s="208"/>
      <c r="R591" s="208"/>
      <c r="S591" s="208"/>
      <c r="T591" s="208"/>
      <c r="U591" s="208"/>
      <c r="V591" s="208"/>
      <c r="W591" s="208"/>
      <c r="X591" s="208"/>
      <c r="Y591" s="208"/>
      <c r="Z591" s="208"/>
      <c r="AA591" s="208"/>
      <c r="AB591" s="208"/>
      <c r="AC591" s="208"/>
      <c r="AD591" s="208"/>
      <c r="AE591" s="208"/>
      <c r="AF591" s="208"/>
      <c r="AG591" s="208"/>
      <c r="AH591" s="208"/>
      <c r="AI591" s="208"/>
      <c r="AJ591" s="208"/>
      <c r="AK591" s="208"/>
      <c r="AL591" s="208"/>
      <c r="AM591" s="208"/>
      <c r="AN591" s="208"/>
      <c r="AO591" s="208"/>
      <c r="AP591" s="208"/>
      <c r="AQ591" s="208"/>
      <c r="AR591" s="208"/>
      <c r="AS591" s="208"/>
      <c r="AT591" s="208"/>
      <c r="AU591" s="208"/>
      <c r="AV591" s="208"/>
      <c r="AW591" s="208"/>
      <c r="AX591" s="208"/>
      <c r="AY591" s="208"/>
    </row>
    <row r="592">
      <c r="A592" s="208"/>
      <c r="B592" s="533"/>
      <c r="C592" s="208"/>
      <c r="D592" s="208"/>
      <c r="E592" s="208"/>
      <c r="F592" s="584"/>
      <c r="G592" s="208"/>
      <c r="H592" s="208"/>
      <c r="I592" s="208"/>
      <c r="J592" s="208"/>
      <c r="K592" s="208"/>
      <c r="L592" s="536"/>
      <c r="M592" s="208"/>
      <c r="N592" s="208"/>
      <c r="O592" s="208"/>
      <c r="P592" s="208"/>
      <c r="Q592" s="208"/>
      <c r="R592" s="208"/>
      <c r="S592" s="208"/>
      <c r="T592" s="208"/>
      <c r="U592" s="208"/>
      <c r="V592" s="208"/>
      <c r="W592" s="208"/>
      <c r="X592" s="208"/>
      <c r="Y592" s="208"/>
      <c r="Z592" s="208"/>
      <c r="AA592" s="208"/>
      <c r="AB592" s="208"/>
      <c r="AC592" s="208"/>
      <c r="AD592" s="208"/>
      <c r="AE592" s="208"/>
      <c r="AF592" s="208"/>
      <c r="AG592" s="208"/>
      <c r="AH592" s="208"/>
      <c r="AI592" s="208"/>
      <c r="AJ592" s="208"/>
      <c r="AK592" s="208"/>
      <c r="AL592" s="208"/>
      <c r="AM592" s="208"/>
      <c r="AN592" s="208"/>
      <c r="AO592" s="208"/>
      <c r="AP592" s="208"/>
      <c r="AQ592" s="208"/>
      <c r="AR592" s="208"/>
      <c r="AS592" s="208"/>
      <c r="AT592" s="208"/>
      <c r="AU592" s="208"/>
      <c r="AV592" s="208"/>
      <c r="AW592" s="208"/>
      <c r="AX592" s="208"/>
      <c r="AY592" s="208"/>
    </row>
    <row r="593">
      <c r="A593" s="208"/>
      <c r="B593" s="533"/>
      <c r="C593" s="208"/>
      <c r="D593" s="208"/>
      <c r="E593" s="208"/>
      <c r="F593" s="584"/>
      <c r="G593" s="208"/>
      <c r="H593" s="208"/>
      <c r="I593" s="208"/>
      <c r="J593" s="208"/>
      <c r="K593" s="208"/>
      <c r="L593" s="536"/>
      <c r="M593" s="208"/>
      <c r="N593" s="208"/>
      <c r="O593" s="208"/>
      <c r="P593" s="208"/>
      <c r="Q593" s="208"/>
      <c r="R593" s="208"/>
      <c r="S593" s="208"/>
      <c r="T593" s="208"/>
      <c r="U593" s="208"/>
      <c r="V593" s="208"/>
      <c r="W593" s="208"/>
      <c r="X593" s="208"/>
      <c r="Y593" s="208"/>
      <c r="Z593" s="208"/>
      <c r="AA593" s="208"/>
      <c r="AB593" s="208"/>
      <c r="AC593" s="208"/>
      <c r="AD593" s="208"/>
      <c r="AE593" s="208"/>
      <c r="AF593" s="208"/>
      <c r="AG593" s="208"/>
      <c r="AH593" s="208"/>
      <c r="AI593" s="208"/>
      <c r="AJ593" s="208"/>
      <c r="AK593" s="208"/>
      <c r="AL593" s="208"/>
      <c r="AM593" s="208"/>
      <c r="AN593" s="208"/>
      <c r="AO593" s="208"/>
      <c r="AP593" s="208"/>
      <c r="AQ593" s="208"/>
      <c r="AR593" s="208"/>
      <c r="AS593" s="208"/>
      <c r="AT593" s="208"/>
      <c r="AU593" s="208"/>
      <c r="AV593" s="208"/>
      <c r="AW593" s="208"/>
      <c r="AX593" s="208"/>
      <c r="AY593" s="208"/>
    </row>
    <row r="594">
      <c r="A594" s="208"/>
      <c r="B594" s="533"/>
      <c r="C594" s="208"/>
      <c r="D594" s="208"/>
      <c r="E594" s="208"/>
      <c r="F594" s="584"/>
      <c r="G594" s="208"/>
      <c r="H594" s="208"/>
      <c r="I594" s="208"/>
      <c r="J594" s="208"/>
      <c r="K594" s="208"/>
      <c r="L594" s="536"/>
      <c r="M594" s="208"/>
      <c r="N594" s="208"/>
      <c r="O594" s="208"/>
      <c r="P594" s="208"/>
      <c r="Q594" s="208"/>
      <c r="R594" s="208"/>
      <c r="S594" s="208"/>
      <c r="T594" s="208"/>
      <c r="U594" s="208"/>
      <c r="V594" s="208"/>
      <c r="W594" s="208"/>
      <c r="X594" s="208"/>
      <c r="Y594" s="208"/>
      <c r="Z594" s="208"/>
      <c r="AA594" s="208"/>
      <c r="AB594" s="208"/>
      <c r="AC594" s="208"/>
      <c r="AD594" s="208"/>
      <c r="AE594" s="208"/>
      <c r="AF594" s="208"/>
      <c r="AG594" s="208"/>
      <c r="AH594" s="208"/>
      <c r="AI594" s="208"/>
      <c r="AJ594" s="208"/>
      <c r="AK594" s="208"/>
      <c r="AL594" s="208"/>
      <c r="AM594" s="208"/>
      <c r="AN594" s="208"/>
      <c r="AO594" s="208"/>
      <c r="AP594" s="208"/>
      <c r="AQ594" s="208"/>
      <c r="AR594" s="208"/>
      <c r="AS594" s="208"/>
      <c r="AT594" s="208"/>
      <c r="AU594" s="208"/>
      <c r="AV594" s="208"/>
      <c r="AW594" s="208"/>
      <c r="AX594" s="208"/>
      <c r="AY594" s="208"/>
    </row>
    <row r="595">
      <c r="A595" s="208"/>
      <c r="B595" s="533"/>
      <c r="C595" s="208"/>
      <c r="D595" s="208"/>
      <c r="E595" s="208"/>
      <c r="F595" s="584"/>
      <c r="G595" s="208"/>
      <c r="H595" s="208"/>
      <c r="I595" s="208"/>
      <c r="J595" s="208"/>
      <c r="K595" s="208"/>
      <c r="L595" s="536"/>
      <c r="M595" s="208"/>
      <c r="N595" s="208"/>
      <c r="O595" s="208"/>
      <c r="P595" s="208"/>
      <c r="Q595" s="208"/>
      <c r="R595" s="208"/>
      <c r="S595" s="208"/>
      <c r="T595" s="208"/>
      <c r="U595" s="208"/>
      <c r="V595" s="208"/>
      <c r="W595" s="208"/>
      <c r="X595" s="208"/>
      <c r="Y595" s="208"/>
      <c r="Z595" s="208"/>
      <c r="AA595" s="208"/>
      <c r="AB595" s="208"/>
      <c r="AC595" s="208"/>
      <c r="AD595" s="208"/>
      <c r="AE595" s="208"/>
      <c r="AF595" s="208"/>
      <c r="AG595" s="208"/>
      <c r="AH595" s="208"/>
      <c r="AI595" s="208"/>
      <c r="AJ595" s="208"/>
      <c r="AK595" s="208"/>
      <c r="AL595" s="208"/>
      <c r="AM595" s="208"/>
      <c r="AN595" s="208"/>
      <c r="AO595" s="208"/>
      <c r="AP595" s="208"/>
      <c r="AQ595" s="208"/>
      <c r="AR595" s="208"/>
      <c r="AS595" s="208"/>
      <c r="AT595" s="208"/>
      <c r="AU595" s="208"/>
      <c r="AV595" s="208"/>
      <c r="AW595" s="208"/>
      <c r="AX595" s="208"/>
      <c r="AY595" s="208"/>
    </row>
    <row r="596">
      <c r="A596" s="208"/>
      <c r="B596" s="533"/>
      <c r="C596" s="208"/>
      <c r="D596" s="208"/>
      <c r="E596" s="208"/>
      <c r="F596" s="584"/>
      <c r="G596" s="208"/>
      <c r="H596" s="208"/>
      <c r="I596" s="208"/>
      <c r="J596" s="208"/>
      <c r="K596" s="208"/>
      <c r="L596" s="536"/>
      <c r="M596" s="208"/>
      <c r="N596" s="208"/>
      <c r="O596" s="208"/>
      <c r="P596" s="208"/>
      <c r="Q596" s="208"/>
      <c r="R596" s="208"/>
      <c r="S596" s="208"/>
      <c r="T596" s="208"/>
      <c r="U596" s="208"/>
      <c r="V596" s="208"/>
      <c r="W596" s="208"/>
      <c r="X596" s="208"/>
      <c r="Y596" s="208"/>
      <c r="Z596" s="208"/>
      <c r="AA596" s="208"/>
      <c r="AB596" s="208"/>
      <c r="AC596" s="208"/>
      <c r="AD596" s="208"/>
      <c r="AE596" s="208"/>
      <c r="AF596" s="208"/>
      <c r="AG596" s="208"/>
      <c r="AH596" s="208"/>
      <c r="AI596" s="208"/>
      <c r="AJ596" s="208"/>
      <c r="AK596" s="208"/>
      <c r="AL596" s="208"/>
      <c r="AM596" s="208"/>
      <c r="AN596" s="208"/>
      <c r="AO596" s="208"/>
      <c r="AP596" s="208"/>
      <c r="AQ596" s="208"/>
      <c r="AR596" s="208"/>
      <c r="AS596" s="208"/>
      <c r="AT596" s="208"/>
      <c r="AU596" s="208"/>
      <c r="AV596" s="208"/>
      <c r="AW596" s="208"/>
      <c r="AX596" s="208"/>
      <c r="AY596" s="208"/>
    </row>
    <row r="597">
      <c r="A597" s="208"/>
      <c r="B597" s="533"/>
      <c r="C597" s="208"/>
      <c r="D597" s="208"/>
      <c r="E597" s="208"/>
      <c r="F597" s="584"/>
      <c r="G597" s="208"/>
      <c r="H597" s="208"/>
      <c r="I597" s="208"/>
      <c r="J597" s="208"/>
      <c r="K597" s="208"/>
      <c r="L597" s="536"/>
      <c r="M597" s="208"/>
      <c r="N597" s="208"/>
      <c r="O597" s="208"/>
      <c r="P597" s="208"/>
      <c r="Q597" s="208"/>
      <c r="R597" s="208"/>
      <c r="S597" s="208"/>
      <c r="T597" s="208"/>
      <c r="U597" s="208"/>
      <c r="V597" s="208"/>
      <c r="W597" s="208"/>
      <c r="X597" s="208"/>
      <c r="Y597" s="208"/>
      <c r="Z597" s="208"/>
      <c r="AA597" s="208"/>
      <c r="AB597" s="208"/>
      <c r="AC597" s="208"/>
      <c r="AD597" s="208"/>
      <c r="AE597" s="208"/>
      <c r="AF597" s="208"/>
      <c r="AG597" s="208"/>
      <c r="AH597" s="208"/>
      <c r="AI597" s="208"/>
      <c r="AJ597" s="208"/>
      <c r="AK597" s="208"/>
      <c r="AL597" s="208"/>
      <c r="AM597" s="208"/>
      <c r="AN597" s="208"/>
      <c r="AO597" s="208"/>
      <c r="AP597" s="208"/>
      <c r="AQ597" s="208"/>
      <c r="AR597" s="208"/>
      <c r="AS597" s="208"/>
      <c r="AT597" s="208"/>
      <c r="AU597" s="208"/>
      <c r="AV597" s="208"/>
      <c r="AW597" s="208"/>
      <c r="AX597" s="208"/>
      <c r="AY597" s="208"/>
    </row>
    <row r="598">
      <c r="A598" s="208"/>
      <c r="B598" s="533"/>
      <c r="C598" s="208"/>
      <c r="D598" s="208"/>
      <c r="E598" s="208"/>
      <c r="F598" s="584"/>
      <c r="G598" s="208"/>
      <c r="H598" s="208"/>
      <c r="I598" s="208"/>
      <c r="J598" s="208"/>
      <c r="K598" s="208"/>
      <c r="L598" s="536"/>
      <c r="M598" s="208"/>
      <c r="N598" s="208"/>
      <c r="O598" s="208"/>
      <c r="P598" s="208"/>
      <c r="Q598" s="208"/>
      <c r="R598" s="208"/>
      <c r="S598" s="208"/>
      <c r="T598" s="208"/>
      <c r="U598" s="208"/>
      <c r="V598" s="208"/>
      <c r="W598" s="208"/>
      <c r="X598" s="208"/>
      <c r="Y598" s="208"/>
      <c r="Z598" s="208"/>
      <c r="AA598" s="208"/>
      <c r="AB598" s="208"/>
      <c r="AC598" s="208"/>
      <c r="AD598" s="208"/>
      <c r="AE598" s="208"/>
      <c r="AF598" s="208"/>
      <c r="AG598" s="208"/>
      <c r="AH598" s="208"/>
      <c r="AI598" s="208"/>
      <c r="AJ598" s="208"/>
      <c r="AK598" s="208"/>
      <c r="AL598" s="208"/>
      <c r="AM598" s="208"/>
      <c r="AN598" s="208"/>
      <c r="AO598" s="208"/>
      <c r="AP598" s="208"/>
      <c r="AQ598" s="208"/>
      <c r="AR598" s="208"/>
      <c r="AS598" s="208"/>
      <c r="AT598" s="208"/>
      <c r="AU598" s="208"/>
      <c r="AV598" s="208"/>
      <c r="AW598" s="208"/>
      <c r="AX598" s="208"/>
      <c r="AY598" s="208"/>
    </row>
    <row r="599">
      <c r="A599" s="208"/>
      <c r="B599" s="533"/>
      <c r="C599" s="208"/>
      <c r="D599" s="208"/>
      <c r="E599" s="208"/>
      <c r="F599" s="584"/>
      <c r="G599" s="208"/>
      <c r="H599" s="208"/>
      <c r="I599" s="208"/>
      <c r="J599" s="208"/>
      <c r="K599" s="208"/>
      <c r="L599" s="536"/>
      <c r="M599" s="208"/>
      <c r="N599" s="208"/>
      <c r="O599" s="208"/>
      <c r="P599" s="208"/>
      <c r="Q599" s="208"/>
      <c r="R599" s="208"/>
      <c r="S599" s="208"/>
      <c r="T599" s="208"/>
      <c r="U599" s="208"/>
      <c r="V599" s="208"/>
      <c r="W599" s="208"/>
      <c r="X599" s="208"/>
      <c r="Y599" s="208"/>
      <c r="Z599" s="208"/>
      <c r="AA599" s="208"/>
      <c r="AB599" s="208"/>
      <c r="AC599" s="208"/>
      <c r="AD599" s="208"/>
      <c r="AE599" s="208"/>
      <c r="AF599" s="208"/>
      <c r="AG599" s="208"/>
      <c r="AH599" s="208"/>
      <c r="AI599" s="208"/>
      <c r="AJ599" s="208"/>
      <c r="AK599" s="208"/>
      <c r="AL599" s="208"/>
      <c r="AM599" s="208"/>
      <c r="AN599" s="208"/>
      <c r="AO599" s="208"/>
      <c r="AP599" s="208"/>
      <c r="AQ599" s="208"/>
      <c r="AR599" s="208"/>
      <c r="AS599" s="208"/>
      <c r="AT599" s="208"/>
      <c r="AU599" s="208"/>
      <c r="AV599" s="208"/>
      <c r="AW599" s="208"/>
      <c r="AX599" s="208"/>
      <c r="AY599" s="208"/>
    </row>
    <row r="600">
      <c r="A600" s="208"/>
      <c r="B600" s="533"/>
      <c r="C600" s="208"/>
      <c r="D600" s="208"/>
      <c r="E600" s="208"/>
      <c r="F600" s="584"/>
      <c r="G600" s="208"/>
      <c r="H600" s="208"/>
      <c r="I600" s="208"/>
      <c r="J600" s="208"/>
      <c r="K600" s="208"/>
      <c r="L600" s="536"/>
      <c r="M600" s="208"/>
      <c r="N600" s="208"/>
      <c r="O600" s="208"/>
      <c r="P600" s="208"/>
      <c r="Q600" s="208"/>
      <c r="R600" s="208"/>
      <c r="S600" s="208"/>
      <c r="T600" s="208"/>
      <c r="U600" s="208"/>
      <c r="V600" s="208"/>
      <c r="W600" s="208"/>
      <c r="X600" s="208"/>
      <c r="Y600" s="208"/>
      <c r="Z600" s="208"/>
      <c r="AA600" s="208"/>
      <c r="AB600" s="208"/>
      <c r="AC600" s="208"/>
      <c r="AD600" s="208"/>
      <c r="AE600" s="208"/>
      <c r="AF600" s="208"/>
      <c r="AG600" s="208"/>
      <c r="AH600" s="208"/>
      <c r="AI600" s="208"/>
      <c r="AJ600" s="208"/>
      <c r="AK600" s="208"/>
      <c r="AL600" s="208"/>
      <c r="AM600" s="208"/>
      <c r="AN600" s="208"/>
      <c r="AO600" s="208"/>
      <c r="AP600" s="208"/>
      <c r="AQ600" s="208"/>
      <c r="AR600" s="208"/>
      <c r="AS600" s="208"/>
      <c r="AT600" s="208"/>
      <c r="AU600" s="208"/>
      <c r="AV600" s="208"/>
      <c r="AW600" s="208"/>
      <c r="AX600" s="208"/>
      <c r="AY600" s="208"/>
    </row>
    <row r="601">
      <c r="A601" s="208"/>
      <c r="B601" s="533"/>
      <c r="C601" s="208"/>
      <c r="D601" s="208"/>
      <c r="E601" s="208"/>
      <c r="F601" s="584"/>
      <c r="G601" s="208"/>
      <c r="H601" s="208"/>
      <c r="I601" s="208"/>
      <c r="J601" s="208"/>
      <c r="K601" s="208"/>
      <c r="L601" s="536"/>
      <c r="M601" s="208"/>
      <c r="N601" s="208"/>
      <c r="O601" s="208"/>
      <c r="P601" s="208"/>
      <c r="Q601" s="208"/>
      <c r="R601" s="208"/>
      <c r="S601" s="208"/>
      <c r="T601" s="208"/>
      <c r="U601" s="208"/>
      <c r="V601" s="208"/>
      <c r="W601" s="208"/>
      <c r="X601" s="208"/>
      <c r="Y601" s="208"/>
      <c r="Z601" s="208"/>
      <c r="AA601" s="208"/>
      <c r="AB601" s="208"/>
      <c r="AC601" s="208"/>
      <c r="AD601" s="208"/>
      <c r="AE601" s="208"/>
      <c r="AF601" s="208"/>
      <c r="AG601" s="208"/>
      <c r="AH601" s="208"/>
      <c r="AI601" s="208"/>
      <c r="AJ601" s="208"/>
      <c r="AK601" s="208"/>
      <c r="AL601" s="208"/>
      <c r="AM601" s="208"/>
      <c r="AN601" s="208"/>
      <c r="AO601" s="208"/>
      <c r="AP601" s="208"/>
      <c r="AQ601" s="208"/>
      <c r="AR601" s="208"/>
      <c r="AS601" s="208"/>
      <c r="AT601" s="208"/>
      <c r="AU601" s="208"/>
      <c r="AV601" s="208"/>
      <c r="AW601" s="208"/>
      <c r="AX601" s="208"/>
      <c r="AY601" s="208"/>
    </row>
    <row r="602">
      <c r="A602" s="208"/>
      <c r="B602" s="533"/>
      <c r="C602" s="208"/>
      <c r="D602" s="208"/>
      <c r="E602" s="208"/>
      <c r="F602" s="584"/>
      <c r="G602" s="208"/>
      <c r="H602" s="208"/>
      <c r="I602" s="208"/>
      <c r="J602" s="208"/>
      <c r="K602" s="208"/>
      <c r="L602" s="536"/>
      <c r="M602" s="208"/>
      <c r="N602" s="208"/>
      <c r="O602" s="208"/>
      <c r="P602" s="208"/>
      <c r="Q602" s="208"/>
      <c r="R602" s="208"/>
      <c r="S602" s="208"/>
      <c r="T602" s="208"/>
      <c r="U602" s="208"/>
      <c r="V602" s="208"/>
      <c r="W602" s="208"/>
      <c r="X602" s="208"/>
      <c r="Y602" s="208"/>
      <c r="Z602" s="208"/>
      <c r="AA602" s="208"/>
      <c r="AB602" s="208"/>
      <c r="AC602" s="208"/>
      <c r="AD602" s="208"/>
      <c r="AE602" s="208"/>
      <c r="AF602" s="208"/>
      <c r="AG602" s="208"/>
      <c r="AH602" s="208"/>
      <c r="AI602" s="208"/>
      <c r="AJ602" s="208"/>
      <c r="AK602" s="208"/>
      <c r="AL602" s="208"/>
      <c r="AM602" s="208"/>
      <c r="AN602" s="208"/>
      <c r="AO602" s="208"/>
      <c r="AP602" s="208"/>
      <c r="AQ602" s="208"/>
      <c r="AR602" s="208"/>
      <c r="AS602" s="208"/>
      <c r="AT602" s="208"/>
      <c r="AU602" s="208"/>
      <c r="AV602" s="208"/>
      <c r="AW602" s="208"/>
      <c r="AX602" s="208"/>
      <c r="AY602" s="208"/>
    </row>
    <row r="603">
      <c r="A603" s="208"/>
      <c r="B603" s="533"/>
      <c r="C603" s="208"/>
      <c r="D603" s="208"/>
      <c r="E603" s="208"/>
      <c r="F603" s="584"/>
      <c r="G603" s="208"/>
      <c r="H603" s="208"/>
      <c r="I603" s="208"/>
      <c r="J603" s="208"/>
      <c r="K603" s="208"/>
      <c r="L603" s="536"/>
      <c r="M603" s="208"/>
      <c r="N603" s="208"/>
      <c r="O603" s="208"/>
      <c r="P603" s="208"/>
      <c r="Q603" s="208"/>
      <c r="R603" s="208"/>
      <c r="S603" s="208"/>
      <c r="T603" s="208"/>
      <c r="U603" s="208"/>
      <c r="V603" s="208"/>
      <c r="W603" s="208"/>
      <c r="X603" s="208"/>
      <c r="Y603" s="208"/>
      <c r="Z603" s="208"/>
      <c r="AA603" s="208"/>
      <c r="AB603" s="208"/>
      <c r="AC603" s="208"/>
      <c r="AD603" s="208"/>
      <c r="AE603" s="208"/>
      <c r="AF603" s="208"/>
      <c r="AG603" s="208"/>
      <c r="AH603" s="208"/>
      <c r="AI603" s="208"/>
      <c r="AJ603" s="208"/>
      <c r="AK603" s="208"/>
      <c r="AL603" s="208"/>
      <c r="AM603" s="208"/>
      <c r="AN603" s="208"/>
      <c r="AO603" s="208"/>
      <c r="AP603" s="208"/>
      <c r="AQ603" s="208"/>
      <c r="AR603" s="208"/>
      <c r="AS603" s="208"/>
      <c r="AT603" s="208"/>
      <c r="AU603" s="208"/>
      <c r="AV603" s="208"/>
      <c r="AW603" s="208"/>
      <c r="AX603" s="208"/>
      <c r="AY603" s="208"/>
    </row>
    <row r="604">
      <c r="A604" s="208"/>
      <c r="B604" s="533"/>
      <c r="C604" s="208"/>
      <c r="D604" s="208"/>
      <c r="E604" s="208"/>
      <c r="F604" s="584"/>
      <c r="G604" s="208"/>
      <c r="H604" s="208"/>
      <c r="I604" s="208"/>
      <c r="J604" s="208"/>
      <c r="K604" s="208"/>
      <c r="L604" s="536"/>
      <c r="M604" s="208"/>
      <c r="N604" s="208"/>
      <c r="O604" s="208"/>
      <c r="P604" s="208"/>
      <c r="Q604" s="208"/>
      <c r="R604" s="208"/>
      <c r="S604" s="208"/>
      <c r="T604" s="208"/>
      <c r="U604" s="208"/>
      <c r="V604" s="208"/>
      <c r="W604" s="208"/>
      <c r="X604" s="208"/>
      <c r="Y604" s="208"/>
      <c r="Z604" s="208"/>
      <c r="AA604" s="208"/>
      <c r="AB604" s="208"/>
      <c r="AC604" s="208"/>
      <c r="AD604" s="208"/>
      <c r="AE604" s="208"/>
      <c r="AF604" s="208"/>
      <c r="AG604" s="208"/>
      <c r="AH604" s="208"/>
      <c r="AI604" s="208"/>
      <c r="AJ604" s="208"/>
      <c r="AK604" s="208"/>
      <c r="AL604" s="208"/>
      <c r="AM604" s="208"/>
      <c r="AN604" s="208"/>
      <c r="AO604" s="208"/>
      <c r="AP604" s="208"/>
      <c r="AQ604" s="208"/>
      <c r="AR604" s="208"/>
      <c r="AS604" s="208"/>
      <c r="AT604" s="208"/>
      <c r="AU604" s="208"/>
      <c r="AV604" s="208"/>
      <c r="AW604" s="208"/>
      <c r="AX604" s="208"/>
      <c r="AY604" s="208"/>
    </row>
    <row r="605">
      <c r="A605" s="208"/>
      <c r="B605" s="533"/>
      <c r="C605" s="208"/>
      <c r="D605" s="208"/>
      <c r="E605" s="208"/>
      <c r="F605" s="584"/>
      <c r="G605" s="208"/>
      <c r="H605" s="208"/>
      <c r="I605" s="208"/>
      <c r="J605" s="208"/>
      <c r="K605" s="208"/>
      <c r="L605" s="536"/>
      <c r="M605" s="208"/>
      <c r="N605" s="208"/>
      <c r="O605" s="208"/>
      <c r="P605" s="208"/>
      <c r="Q605" s="208"/>
      <c r="R605" s="208"/>
      <c r="S605" s="208"/>
      <c r="T605" s="208"/>
      <c r="U605" s="208"/>
      <c r="V605" s="208"/>
      <c r="W605" s="208"/>
      <c r="X605" s="208"/>
      <c r="Y605" s="208"/>
      <c r="Z605" s="208"/>
      <c r="AA605" s="208"/>
      <c r="AB605" s="208"/>
      <c r="AC605" s="208"/>
      <c r="AD605" s="208"/>
      <c r="AE605" s="208"/>
      <c r="AF605" s="208"/>
      <c r="AG605" s="208"/>
      <c r="AH605" s="208"/>
      <c r="AI605" s="208"/>
      <c r="AJ605" s="208"/>
      <c r="AK605" s="208"/>
      <c r="AL605" s="208"/>
      <c r="AM605" s="208"/>
      <c r="AN605" s="208"/>
      <c r="AO605" s="208"/>
      <c r="AP605" s="208"/>
      <c r="AQ605" s="208"/>
      <c r="AR605" s="208"/>
      <c r="AS605" s="208"/>
      <c r="AT605" s="208"/>
      <c r="AU605" s="208"/>
      <c r="AV605" s="208"/>
      <c r="AW605" s="208"/>
      <c r="AX605" s="208"/>
      <c r="AY605" s="208"/>
    </row>
    <row r="606">
      <c r="A606" s="208"/>
      <c r="B606" s="533"/>
      <c r="C606" s="208"/>
      <c r="D606" s="208"/>
      <c r="E606" s="208"/>
      <c r="F606" s="584"/>
      <c r="G606" s="208"/>
      <c r="H606" s="208"/>
      <c r="I606" s="208"/>
      <c r="J606" s="208"/>
      <c r="K606" s="208"/>
      <c r="L606" s="536"/>
      <c r="M606" s="208"/>
      <c r="N606" s="208"/>
      <c r="O606" s="208"/>
      <c r="P606" s="208"/>
      <c r="Q606" s="208"/>
      <c r="R606" s="208"/>
      <c r="S606" s="208"/>
      <c r="T606" s="208"/>
      <c r="U606" s="208"/>
      <c r="V606" s="208"/>
      <c r="W606" s="208"/>
      <c r="X606" s="208"/>
      <c r="Y606" s="208"/>
      <c r="Z606" s="208"/>
      <c r="AA606" s="208"/>
      <c r="AB606" s="208"/>
      <c r="AC606" s="208"/>
      <c r="AD606" s="208"/>
      <c r="AE606" s="208"/>
      <c r="AF606" s="208"/>
      <c r="AG606" s="208"/>
      <c r="AH606" s="208"/>
      <c r="AI606" s="208"/>
      <c r="AJ606" s="208"/>
      <c r="AK606" s="208"/>
      <c r="AL606" s="208"/>
      <c r="AM606" s="208"/>
      <c r="AN606" s="208"/>
      <c r="AO606" s="208"/>
      <c r="AP606" s="208"/>
      <c r="AQ606" s="208"/>
      <c r="AR606" s="208"/>
      <c r="AS606" s="208"/>
      <c r="AT606" s="208"/>
      <c r="AU606" s="208"/>
      <c r="AV606" s="208"/>
      <c r="AW606" s="208"/>
      <c r="AX606" s="208"/>
      <c r="AY606" s="208"/>
    </row>
    <row r="607">
      <c r="A607" s="208"/>
      <c r="B607" s="533"/>
      <c r="C607" s="208"/>
      <c r="D607" s="208"/>
      <c r="E607" s="208"/>
      <c r="F607" s="584"/>
      <c r="G607" s="208"/>
      <c r="H607" s="208"/>
      <c r="I607" s="208"/>
      <c r="J607" s="208"/>
      <c r="K607" s="208"/>
      <c r="L607" s="536"/>
      <c r="M607" s="208"/>
      <c r="N607" s="208"/>
      <c r="O607" s="208"/>
      <c r="P607" s="208"/>
      <c r="Q607" s="208"/>
      <c r="R607" s="208"/>
      <c r="S607" s="208"/>
      <c r="T607" s="208"/>
      <c r="U607" s="208"/>
      <c r="V607" s="208"/>
      <c r="W607" s="208"/>
      <c r="X607" s="208"/>
      <c r="Y607" s="208"/>
      <c r="Z607" s="208"/>
      <c r="AA607" s="208"/>
      <c r="AB607" s="208"/>
      <c r="AC607" s="208"/>
      <c r="AD607" s="208"/>
      <c r="AE607" s="208"/>
      <c r="AF607" s="208"/>
      <c r="AG607" s="208"/>
      <c r="AH607" s="208"/>
      <c r="AI607" s="208"/>
      <c r="AJ607" s="208"/>
      <c r="AK607" s="208"/>
      <c r="AL607" s="208"/>
      <c r="AM607" s="208"/>
      <c r="AN607" s="208"/>
      <c r="AO607" s="208"/>
      <c r="AP607" s="208"/>
      <c r="AQ607" s="208"/>
      <c r="AR607" s="208"/>
      <c r="AS607" s="208"/>
      <c r="AT607" s="208"/>
      <c r="AU607" s="208"/>
      <c r="AV607" s="208"/>
      <c r="AW607" s="208"/>
      <c r="AX607" s="208"/>
      <c r="AY607" s="208"/>
    </row>
    <row r="608">
      <c r="A608" s="208"/>
      <c r="B608" s="533"/>
      <c r="C608" s="208"/>
      <c r="D608" s="208"/>
      <c r="E608" s="208"/>
      <c r="F608" s="584"/>
      <c r="G608" s="208"/>
      <c r="H608" s="208"/>
      <c r="I608" s="208"/>
      <c r="J608" s="208"/>
      <c r="K608" s="208"/>
      <c r="L608" s="536"/>
      <c r="M608" s="208"/>
      <c r="N608" s="208"/>
      <c r="O608" s="208"/>
      <c r="P608" s="208"/>
      <c r="Q608" s="208"/>
      <c r="R608" s="208"/>
      <c r="S608" s="208"/>
      <c r="T608" s="208"/>
      <c r="U608" s="208"/>
      <c r="V608" s="208"/>
      <c r="W608" s="208"/>
      <c r="X608" s="208"/>
      <c r="Y608" s="208"/>
      <c r="Z608" s="208"/>
      <c r="AA608" s="208"/>
      <c r="AB608" s="208"/>
      <c r="AC608" s="208"/>
      <c r="AD608" s="208"/>
      <c r="AE608" s="208"/>
      <c r="AF608" s="208"/>
      <c r="AG608" s="208"/>
      <c r="AH608" s="208"/>
      <c r="AI608" s="208"/>
      <c r="AJ608" s="208"/>
      <c r="AK608" s="208"/>
      <c r="AL608" s="208"/>
      <c r="AM608" s="208"/>
      <c r="AN608" s="208"/>
      <c r="AO608" s="208"/>
      <c r="AP608" s="208"/>
      <c r="AQ608" s="208"/>
      <c r="AR608" s="208"/>
      <c r="AS608" s="208"/>
      <c r="AT608" s="208"/>
      <c r="AU608" s="208"/>
      <c r="AV608" s="208"/>
      <c r="AW608" s="208"/>
      <c r="AX608" s="208"/>
      <c r="AY608" s="208"/>
    </row>
    <row r="609">
      <c r="A609" s="208"/>
      <c r="B609" s="533"/>
      <c r="C609" s="208"/>
      <c r="D609" s="208"/>
      <c r="E609" s="208"/>
      <c r="F609" s="584"/>
      <c r="G609" s="208"/>
      <c r="H609" s="208"/>
      <c r="I609" s="208"/>
      <c r="J609" s="208"/>
      <c r="K609" s="208"/>
      <c r="L609" s="536"/>
      <c r="M609" s="208"/>
      <c r="N609" s="208"/>
      <c r="O609" s="208"/>
      <c r="P609" s="208"/>
      <c r="Q609" s="208"/>
      <c r="R609" s="208"/>
      <c r="S609" s="208"/>
      <c r="T609" s="208"/>
      <c r="U609" s="208"/>
      <c r="V609" s="208"/>
      <c r="W609" s="208"/>
      <c r="X609" s="208"/>
      <c r="Y609" s="208"/>
      <c r="Z609" s="208"/>
      <c r="AA609" s="208"/>
      <c r="AB609" s="208"/>
      <c r="AC609" s="208"/>
      <c r="AD609" s="208"/>
      <c r="AE609" s="208"/>
      <c r="AF609" s="208"/>
      <c r="AG609" s="208"/>
      <c r="AH609" s="208"/>
      <c r="AI609" s="208"/>
      <c r="AJ609" s="208"/>
      <c r="AK609" s="208"/>
      <c r="AL609" s="208"/>
      <c r="AM609" s="208"/>
      <c r="AN609" s="208"/>
      <c r="AO609" s="208"/>
      <c r="AP609" s="208"/>
      <c r="AQ609" s="208"/>
      <c r="AR609" s="208"/>
      <c r="AS609" s="208"/>
      <c r="AT609" s="208"/>
      <c r="AU609" s="208"/>
      <c r="AV609" s="208"/>
      <c r="AW609" s="208"/>
      <c r="AX609" s="208"/>
      <c r="AY609" s="208"/>
    </row>
    <row r="610">
      <c r="A610" s="208"/>
      <c r="B610" s="533"/>
      <c r="C610" s="208"/>
      <c r="D610" s="208"/>
      <c r="E610" s="208"/>
      <c r="F610" s="584"/>
      <c r="G610" s="208"/>
      <c r="H610" s="208"/>
      <c r="I610" s="208"/>
      <c r="J610" s="208"/>
      <c r="K610" s="208"/>
      <c r="L610" s="536"/>
      <c r="M610" s="208"/>
      <c r="N610" s="208"/>
      <c r="O610" s="208"/>
      <c r="P610" s="208"/>
      <c r="Q610" s="208"/>
      <c r="R610" s="208"/>
      <c r="S610" s="208"/>
      <c r="T610" s="208"/>
      <c r="U610" s="208"/>
      <c r="V610" s="208"/>
      <c r="W610" s="208"/>
      <c r="X610" s="208"/>
      <c r="Y610" s="208"/>
      <c r="Z610" s="208"/>
      <c r="AA610" s="208"/>
      <c r="AB610" s="208"/>
      <c r="AC610" s="208"/>
      <c r="AD610" s="208"/>
      <c r="AE610" s="208"/>
      <c r="AF610" s="208"/>
      <c r="AG610" s="208"/>
      <c r="AH610" s="208"/>
      <c r="AI610" s="208"/>
      <c r="AJ610" s="208"/>
      <c r="AK610" s="208"/>
      <c r="AL610" s="208"/>
      <c r="AM610" s="208"/>
      <c r="AN610" s="208"/>
      <c r="AO610" s="208"/>
      <c r="AP610" s="208"/>
      <c r="AQ610" s="208"/>
      <c r="AR610" s="208"/>
      <c r="AS610" s="208"/>
      <c r="AT610" s="208"/>
      <c r="AU610" s="208"/>
      <c r="AV610" s="208"/>
      <c r="AW610" s="208"/>
      <c r="AX610" s="208"/>
      <c r="AY610" s="208"/>
    </row>
    <row r="611">
      <c r="A611" s="208"/>
      <c r="B611" s="533"/>
      <c r="C611" s="208"/>
      <c r="D611" s="208"/>
      <c r="E611" s="208"/>
      <c r="F611" s="584"/>
      <c r="G611" s="208"/>
      <c r="H611" s="208"/>
      <c r="I611" s="208"/>
      <c r="J611" s="208"/>
      <c r="K611" s="208"/>
      <c r="L611" s="536"/>
      <c r="M611" s="208"/>
      <c r="N611" s="208"/>
      <c r="O611" s="208"/>
      <c r="P611" s="208"/>
      <c r="Q611" s="208"/>
      <c r="R611" s="208"/>
      <c r="S611" s="208"/>
      <c r="T611" s="208"/>
      <c r="U611" s="208"/>
      <c r="V611" s="208"/>
      <c r="W611" s="208"/>
      <c r="X611" s="208"/>
      <c r="Y611" s="208"/>
      <c r="Z611" s="208"/>
      <c r="AA611" s="208"/>
      <c r="AB611" s="208"/>
      <c r="AC611" s="208"/>
      <c r="AD611" s="208"/>
      <c r="AE611" s="208"/>
      <c r="AF611" s="208"/>
      <c r="AG611" s="208"/>
      <c r="AH611" s="208"/>
      <c r="AI611" s="208"/>
      <c r="AJ611" s="208"/>
      <c r="AK611" s="208"/>
      <c r="AL611" s="208"/>
      <c r="AM611" s="208"/>
      <c r="AN611" s="208"/>
      <c r="AO611" s="208"/>
      <c r="AP611" s="208"/>
      <c r="AQ611" s="208"/>
      <c r="AR611" s="208"/>
      <c r="AS611" s="208"/>
      <c r="AT611" s="208"/>
      <c r="AU611" s="208"/>
      <c r="AV611" s="208"/>
      <c r="AW611" s="208"/>
      <c r="AX611" s="208"/>
      <c r="AY611" s="208"/>
    </row>
    <row r="612">
      <c r="A612" s="208"/>
      <c r="B612" s="533"/>
      <c r="C612" s="208"/>
      <c r="D612" s="208"/>
      <c r="E612" s="208"/>
      <c r="F612" s="584"/>
      <c r="G612" s="208"/>
      <c r="H612" s="208"/>
      <c r="I612" s="208"/>
      <c r="J612" s="208"/>
      <c r="K612" s="208"/>
      <c r="L612" s="536"/>
      <c r="M612" s="208"/>
      <c r="N612" s="208"/>
      <c r="O612" s="208"/>
      <c r="P612" s="208"/>
      <c r="Q612" s="208"/>
      <c r="R612" s="208"/>
      <c r="S612" s="208"/>
      <c r="T612" s="208"/>
      <c r="U612" s="208"/>
      <c r="V612" s="208"/>
      <c r="W612" s="208"/>
      <c r="X612" s="208"/>
      <c r="Y612" s="208"/>
      <c r="Z612" s="208"/>
      <c r="AA612" s="208"/>
      <c r="AB612" s="208"/>
      <c r="AC612" s="208"/>
      <c r="AD612" s="208"/>
      <c r="AE612" s="208"/>
      <c r="AF612" s="208"/>
      <c r="AG612" s="208"/>
      <c r="AH612" s="208"/>
      <c r="AI612" s="208"/>
      <c r="AJ612" s="208"/>
      <c r="AK612" s="208"/>
      <c r="AL612" s="208"/>
      <c r="AM612" s="208"/>
      <c r="AN612" s="208"/>
      <c r="AO612" s="208"/>
      <c r="AP612" s="208"/>
      <c r="AQ612" s="208"/>
      <c r="AR612" s="208"/>
      <c r="AS612" s="208"/>
      <c r="AT612" s="208"/>
      <c r="AU612" s="208"/>
      <c r="AV612" s="208"/>
      <c r="AW612" s="208"/>
      <c r="AX612" s="208"/>
      <c r="AY612" s="208"/>
    </row>
    <row r="613">
      <c r="A613" s="208"/>
      <c r="B613" s="533"/>
      <c r="C613" s="208"/>
      <c r="D613" s="208"/>
      <c r="E613" s="208"/>
      <c r="F613" s="584"/>
      <c r="G613" s="208"/>
      <c r="H613" s="208"/>
      <c r="I613" s="208"/>
      <c r="J613" s="208"/>
      <c r="K613" s="208"/>
      <c r="L613" s="536"/>
      <c r="M613" s="208"/>
      <c r="N613" s="208"/>
      <c r="O613" s="208"/>
      <c r="P613" s="208"/>
      <c r="Q613" s="208"/>
      <c r="R613" s="208"/>
      <c r="S613" s="208"/>
      <c r="T613" s="208"/>
      <c r="U613" s="208"/>
      <c r="V613" s="208"/>
      <c r="W613" s="208"/>
      <c r="X613" s="208"/>
      <c r="Y613" s="208"/>
      <c r="Z613" s="208"/>
      <c r="AA613" s="208"/>
      <c r="AB613" s="208"/>
      <c r="AC613" s="208"/>
      <c r="AD613" s="208"/>
      <c r="AE613" s="208"/>
      <c r="AF613" s="208"/>
      <c r="AG613" s="208"/>
      <c r="AH613" s="208"/>
      <c r="AI613" s="208"/>
      <c r="AJ613" s="208"/>
      <c r="AK613" s="208"/>
      <c r="AL613" s="208"/>
      <c r="AM613" s="208"/>
      <c r="AN613" s="208"/>
      <c r="AO613" s="208"/>
      <c r="AP613" s="208"/>
      <c r="AQ613" s="208"/>
      <c r="AR613" s="208"/>
      <c r="AS613" s="208"/>
      <c r="AT613" s="208"/>
      <c r="AU613" s="208"/>
      <c r="AV613" s="208"/>
      <c r="AW613" s="208"/>
      <c r="AX613" s="208"/>
      <c r="AY613" s="208"/>
    </row>
    <row r="614">
      <c r="A614" s="208"/>
      <c r="B614" s="533"/>
      <c r="C614" s="208"/>
      <c r="D614" s="208"/>
      <c r="E614" s="208"/>
      <c r="F614" s="584"/>
      <c r="G614" s="208"/>
      <c r="H614" s="208"/>
      <c r="I614" s="208"/>
      <c r="J614" s="208"/>
      <c r="K614" s="208"/>
      <c r="L614" s="536"/>
      <c r="M614" s="208"/>
      <c r="N614" s="208"/>
      <c r="O614" s="208"/>
      <c r="P614" s="208"/>
      <c r="Q614" s="208"/>
      <c r="R614" s="208"/>
      <c r="S614" s="208"/>
      <c r="T614" s="208"/>
      <c r="U614" s="208"/>
      <c r="V614" s="208"/>
      <c r="W614" s="208"/>
      <c r="X614" s="208"/>
      <c r="Y614" s="208"/>
      <c r="Z614" s="208"/>
      <c r="AA614" s="208"/>
      <c r="AB614" s="208"/>
      <c r="AC614" s="208"/>
      <c r="AD614" s="208"/>
      <c r="AE614" s="208"/>
      <c r="AF614" s="208"/>
      <c r="AG614" s="208"/>
      <c r="AH614" s="208"/>
      <c r="AI614" s="208"/>
      <c r="AJ614" s="208"/>
      <c r="AK614" s="208"/>
      <c r="AL614" s="208"/>
      <c r="AM614" s="208"/>
      <c r="AN614" s="208"/>
      <c r="AO614" s="208"/>
      <c r="AP614" s="208"/>
      <c r="AQ614" s="208"/>
      <c r="AR614" s="208"/>
      <c r="AS614" s="208"/>
      <c r="AT614" s="208"/>
      <c r="AU614" s="208"/>
      <c r="AV614" s="208"/>
      <c r="AW614" s="208"/>
      <c r="AX614" s="208"/>
      <c r="AY614" s="208"/>
    </row>
    <row r="615">
      <c r="A615" s="208"/>
      <c r="B615" s="533"/>
      <c r="C615" s="208"/>
      <c r="D615" s="208"/>
      <c r="E615" s="208"/>
      <c r="F615" s="584"/>
      <c r="G615" s="208"/>
      <c r="H615" s="208"/>
      <c r="I615" s="208"/>
      <c r="J615" s="208"/>
      <c r="K615" s="208"/>
      <c r="L615" s="536"/>
      <c r="M615" s="208"/>
      <c r="N615" s="208"/>
      <c r="O615" s="208"/>
      <c r="P615" s="208"/>
      <c r="Q615" s="208"/>
      <c r="R615" s="208"/>
      <c r="S615" s="208"/>
      <c r="T615" s="208"/>
      <c r="U615" s="208"/>
      <c r="V615" s="208"/>
      <c r="W615" s="208"/>
      <c r="X615" s="208"/>
      <c r="Y615" s="208"/>
      <c r="Z615" s="208"/>
      <c r="AA615" s="208"/>
      <c r="AB615" s="208"/>
      <c r="AC615" s="208"/>
      <c r="AD615" s="208"/>
      <c r="AE615" s="208"/>
      <c r="AF615" s="208"/>
      <c r="AG615" s="208"/>
      <c r="AH615" s="208"/>
      <c r="AI615" s="208"/>
      <c r="AJ615" s="208"/>
      <c r="AK615" s="208"/>
      <c r="AL615" s="208"/>
      <c r="AM615" s="208"/>
      <c r="AN615" s="208"/>
      <c r="AO615" s="208"/>
      <c r="AP615" s="208"/>
      <c r="AQ615" s="208"/>
      <c r="AR615" s="208"/>
      <c r="AS615" s="208"/>
      <c r="AT615" s="208"/>
      <c r="AU615" s="208"/>
      <c r="AV615" s="208"/>
      <c r="AW615" s="208"/>
      <c r="AX615" s="208"/>
      <c r="AY615" s="208"/>
    </row>
    <row r="616">
      <c r="A616" s="208"/>
      <c r="B616" s="533"/>
      <c r="C616" s="208"/>
      <c r="D616" s="208"/>
      <c r="E616" s="208"/>
      <c r="F616" s="584"/>
      <c r="G616" s="208"/>
      <c r="H616" s="208"/>
      <c r="I616" s="208"/>
      <c r="J616" s="208"/>
      <c r="K616" s="208"/>
      <c r="L616" s="536"/>
      <c r="M616" s="208"/>
      <c r="N616" s="208"/>
      <c r="O616" s="208"/>
      <c r="P616" s="208"/>
      <c r="Q616" s="208"/>
      <c r="R616" s="208"/>
      <c r="S616" s="208"/>
      <c r="T616" s="208"/>
      <c r="U616" s="208"/>
      <c r="V616" s="208"/>
      <c r="W616" s="208"/>
      <c r="X616" s="208"/>
      <c r="Y616" s="208"/>
      <c r="Z616" s="208"/>
      <c r="AA616" s="208"/>
      <c r="AB616" s="208"/>
      <c r="AC616" s="208"/>
      <c r="AD616" s="208"/>
      <c r="AE616" s="208"/>
      <c r="AF616" s="208"/>
      <c r="AG616" s="208"/>
      <c r="AH616" s="208"/>
      <c r="AI616" s="208"/>
      <c r="AJ616" s="208"/>
      <c r="AK616" s="208"/>
      <c r="AL616" s="208"/>
      <c r="AM616" s="208"/>
      <c r="AN616" s="208"/>
      <c r="AO616" s="208"/>
      <c r="AP616" s="208"/>
      <c r="AQ616" s="208"/>
      <c r="AR616" s="208"/>
      <c r="AS616" s="208"/>
      <c r="AT616" s="208"/>
      <c r="AU616" s="208"/>
      <c r="AV616" s="208"/>
      <c r="AW616" s="208"/>
      <c r="AX616" s="208"/>
      <c r="AY616" s="208"/>
    </row>
    <row r="617">
      <c r="A617" s="208"/>
      <c r="B617" s="533"/>
      <c r="C617" s="208"/>
      <c r="D617" s="208"/>
      <c r="E617" s="208"/>
      <c r="F617" s="584"/>
      <c r="G617" s="208"/>
      <c r="H617" s="208"/>
      <c r="I617" s="208"/>
      <c r="J617" s="208"/>
      <c r="K617" s="208"/>
      <c r="L617" s="536"/>
      <c r="M617" s="208"/>
      <c r="N617" s="208"/>
      <c r="O617" s="208"/>
      <c r="P617" s="208"/>
      <c r="Q617" s="208"/>
      <c r="R617" s="208"/>
      <c r="S617" s="208"/>
      <c r="T617" s="208"/>
      <c r="U617" s="208"/>
      <c r="V617" s="208"/>
      <c r="W617" s="208"/>
      <c r="X617" s="208"/>
      <c r="Y617" s="208"/>
      <c r="Z617" s="208"/>
      <c r="AA617" s="208"/>
      <c r="AB617" s="208"/>
      <c r="AC617" s="208"/>
      <c r="AD617" s="208"/>
      <c r="AE617" s="208"/>
      <c r="AF617" s="208"/>
      <c r="AG617" s="208"/>
      <c r="AH617" s="208"/>
      <c r="AI617" s="208"/>
      <c r="AJ617" s="208"/>
      <c r="AK617" s="208"/>
      <c r="AL617" s="208"/>
      <c r="AM617" s="208"/>
      <c r="AN617" s="208"/>
      <c r="AO617" s="208"/>
      <c r="AP617" s="208"/>
      <c r="AQ617" s="208"/>
      <c r="AR617" s="208"/>
      <c r="AS617" s="208"/>
      <c r="AT617" s="208"/>
      <c r="AU617" s="208"/>
      <c r="AV617" s="208"/>
      <c r="AW617" s="208"/>
      <c r="AX617" s="208"/>
      <c r="AY617" s="208"/>
    </row>
    <row r="618">
      <c r="A618" s="208"/>
      <c r="B618" s="533"/>
      <c r="C618" s="208"/>
      <c r="D618" s="208"/>
      <c r="E618" s="208"/>
      <c r="F618" s="584"/>
      <c r="G618" s="208"/>
      <c r="H618" s="208"/>
      <c r="I618" s="208"/>
      <c r="J618" s="208"/>
      <c r="K618" s="208"/>
      <c r="L618" s="536"/>
      <c r="M618" s="208"/>
      <c r="N618" s="208"/>
      <c r="O618" s="208"/>
      <c r="P618" s="208"/>
      <c r="Q618" s="208"/>
      <c r="R618" s="208"/>
      <c r="S618" s="208"/>
      <c r="T618" s="208"/>
      <c r="U618" s="208"/>
      <c r="V618" s="208"/>
      <c r="W618" s="208"/>
      <c r="X618" s="208"/>
      <c r="Y618" s="208"/>
      <c r="Z618" s="208"/>
      <c r="AA618" s="208"/>
      <c r="AB618" s="208"/>
      <c r="AC618" s="208"/>
      <c r="AD618" s="208"/>
      <c r="AE618" s="208"/>
      <c r="AF618" s="208"/>
      <c r="AG618" s="208"/>
      <c r="AH618" s="208"/>
      <c r="AI618" s="208"/>
      <c r="AJ618" s="208"/>
      <c r="AK618" s="208"/>
      <c r="AL618" s="208"/>
      <c r="AM618" s="208"/>
      <c r="AN618" s="208"/>
      <c r="AO618" s="208"/>
      <c r="AP618" s="208"/>
      <c r="AQ618" s="208"/>
      <c r="AR618" s="208"/>
      <c r="AS618" s="208"/>
      <c r="AT618" s="208"/>
      <c r="AU618" s="208"/>
      <c r="AV618" s="208"/>
      <c r="AW618" s="208"/>
      <c r="AX618" s="208"/>
      <c r="AY618" s="208"/>
    </row>
    <row r="619">
      <c r="A619" s="208"/>
      <c r="B619" s="533"/>
      <c r="C619" s="208"/>
      <c r="D619" s="208"/>
      <c r="E619" s="208"/>
      <c r="F619" s="584"/>
      <c r="G619" s="208"/>
      <c r="H619" s="208"/>
      <c r="I619" s="208"/>
      <c r="J619" s="208"/>
      <c r="K619" s="208"/>
      <c r="L619" s="536"/>
      <c r="M619" s="208"/>
      <c r="N619" s="208"/>
      <c r="O619" s="208"/>
      <c r="P619" s="208"/>
      <c r="Q619" s="208"/>
      <c r="R619" s="208"/>
      <c r="S619" s="208"/>
      <c r="T619" s="208"/>
      <c r="U619" s="208"/>
      <c r="V619" s="208"/>
      <c r="W619" s="208"/>
      <c r="X619" s="208"/>
      <c r="Y619" s="208"/>
      <c r="Z619" s="208"/>
      <c r="AA619" s="208"/>
      <c r="AB619" s="208"/>
      <c r="AC619" s="208"/>
      <c r="AD619" s="208"/>
      <c r="AE619" s="208"/>
      <c r="AF619" s="208"/>
      <c r="AG619" s="208"/>
      <c r="AH619" s="208"/>
      <c r="AI619" s="208"/>
      <c r="AJ619" s="208"/>
      <c r="AK619" s="208"/>
      <c r="AL619" s="208"/>
      <c r="AM619" s="208"/>
      <c r="AN619" s="208"/>
      <c r="AO619" s="208"/>
      <c r="AP619" s="208"/>
      <c r="AQ619" s="208"/>
      <c r="AR619" s="208"/>
      <c r="AS619" s="208"/>
      <c r="AT619" s="208"/>
      <c r="AU619" s="208"/>
      <c r="AV619" s="208"/>
      <c r="AW619" s="208"/>
      <c r="AX619" s="208"/>
      <c r="AY619" s="208"/>
    </row>
    <row r="620">
      <c r="A620" s="208"/>
      <c r="B620" s="533"/>
      <c r="C620" s="208"/>
      <c r="D620" s="208"/>
      <c r="E620" s="208"/>
      <c r="F620" s="584"/>
      <c r="G620" s="208"/>
      <c r="H620" s="208"/>
      <c r="I620" s="208"/>
      <c r="J620" s="208"/>
      <c r="K620" s="208"/>
      <c r="L620" s="536"/>
      <c r="M620" s="208"/>
      <c r="N620" s="208"/>
      <c r="O620" s="208"/>
      <c r="P620" s="208"/>
      <c r="Q620" s="208"/>
      <c r="R620" s="208"/>
      <c r="S620" s="208"/>
      <c r="T620" s="208"/>
      <c r="U620" s="208"/>
      <c r="V620" s="208"/>
      <c r="W620" s="208"/>
      <c r="X620" s="208"/>
      <c r="Y620" s="208"/>
      <c r="Z620" s="208"/>
      <c r="AA620" s="208"/>
      <c r="AB620" s="208"/>
      <c r="AC620" s="208"/>
      <c r="AD620" s="208"/>
      <c r="AE620" s="208"/>
      <c r="AF620" s="208"/>
      <c r="AG620" s="208"/>
      <c r="AH620" s="208"/>
      <c r="AI620" s="208"/>
      <c r="AJ620" s="208"/>
      <c r="AK620" s="208"/>
      <c r="AL620" s="208"/>
      <c r="AM620" s="208"/>
      <c r="AN620" s="208"/>
      <c r="AO620" s="208"/>
      <c r="AP620" s="208"/>
      <c r="AQ620" s="208"/>
      <c r="AR620" s="208"/>
      <c r="AS620" s="208"/>
      <c r="AT620" s="208"/>
      <c r="AU620" s="208"/>
      <c r="AV620" s="208"/>
      <c r="AW620" s="208"/>
      <c r="AX620" s="208"/>
      <c r="AY620" s="208"/>
    </row>
    <row r="621">
      <c r="A621" s="208"/>
      <c r="B621" s="533"/>
      <c r="C621" s="208"/>
      <c r="D621" s="208"/>
      <c r="E621" s="208"/>
      <c r="F621" s="584"/>
      <c r="G621" s="208"/>
      <c r="H621" s="208"/>
      <c r="I621" s="208"/>
      <c r="J621" s="208"/>
      <c r="K621" s="208"/>
      <c r="L621" s="536"/>
      <c r="M621" s="208"/>
      <c r="N621" s="208"/>
      <c r="O621" s="208"/>
      <c r="P621" s="208"/>
      <c r="Q621" s="208"/>
      <c r="R621" s="208"/>
      <c r="S621" s="208"/>
      <c r="T621" s="208"/>
      <c r="U621" s="208"/>
      <c r="V621" s="208"/>
      <c r="W621" s="208"/>
      <c r="X621" s="208"/>
      <c r="Y621" s="208"/>
      <c r="Z621" s="208"/>
      <c r="AA621" s="208"/>
      <c r="AB621" s="208"/>
      <c r="AC621" s="208"/>
      <c r="AD621" s="208"/>
      <c r="AE621" s="208"/>
      <c r="AF621" s="208"/>
      <c r="AG621" s="208"/>
      <c r="AH621" s="208"/>
      <c r="AI621" s="208"/>
      <c r="AJ621" s="208"/>
      <c r="AK621" s="208"/>
      <c r="AL621" s="208"/>
      <c r="AM621" s="208"/>
      <c r="AN621" s="208"/>
      <c r="AO621" s="208"/>
      <c r="AP621" s="208"/>
      <c r="AQ621" s="208"/>
      <c r="AR621" s="208"/>
      <c r="AS621" s="208"/>
      <c r="AT621" s="208"/>
      <c r="AU621" s="208"/>
      <c r="AV621" s="208"/>
      <c r="AW621" s="208"/>
      <c r="AX621" s="208"/>
      <c r="AY621" s="208"/>
    </row>
    <row r="622">
      <c r="A622" s="208"/>
      <c r="B622" s="533"/>
      <c r="C622" s="208"/>
      <c r="D622" s="208"/>
      <c r="E622" s="208"/>
      <c r="F622" s="584"/>
      <c r="G622" s="208"/>
      <c r="H622" s="208"/>
      <c r="I622" s="208"/>
      <c r="J622" s="208"/>
      <c r="K622" s="208"/>
      <c r="L622" s="536"/>
      <c r="M622" s="208"/>
      <c r="N622" s="208"/>
      <c r="O622" s="208"/>
      <c r="P622" s="208"/>
      <c r="Q622" s="208"/>
      <c r="R622" s="208"/>
      <c r="S622" s="208"/>
      <c r="T622" s="208"/>
      <c r="U622" s="208"/>
      <c r="V622" s="208"/>
      <c r="W622" s="208"/>
      <c r="X622" s="208"/>
      <c r="Y622" s="208"/>
      <c r="Z622" s="208"/>
      <c r="AA622" s="208"/>
      <c r="AB622" s="208"/>
      <c r="AC622" s="208"/>
      <c r="AD622" s="208"/>
      <c r="AE622" s="208"/>
      <c r="AF622" s="208"/>
      <c r="AG622" s="208"/>
      <c r="AH622" s="208"/>
      <c r="AI622" s="208"/>
      <c r="AJ622" s="208"/>
      <c r="AK622" s="208"/>
      <c r="AL622" s="208"/>
      <c r="AM622" s="208"/>
      <c r="AN622" s="208"/>
      <c r="AO622" s="208"/>
      <c r="AP622" s="208"/>
      <c r="AQ622" s="208"/>
      <c r="AR622" s="208"/>
      <c r="AS622" s="208"/>
      <c r="AT622" s="208"/>
      <c r="AU622" s="208"/>
      <c r="AV622" s="208"/>
      <c r="AW622" s="208"/>
      <c r="AX622" s="208"/>
      <c r="AY622" s="208"/>
    </row>
    <row r="623">
      <c r="A623" s="208"/>
      <c r="B623" s="533"/>
      <c r="C623" s="208"/>
      <c r="D623" s="208"/>
      <c r="E623" s="208"/>
      <c r="F623" s="584"/>
      <c r="G623" s="208"/>
      <c r="H623" s="208"/>
      <c r="I623" s="208"/>
      <c r="J623" s="208"/>
      <c r="K623" s="208"/>
      <c r="L623" s="536"/>
      <c r="M623" s="208"/>
      <c r="N623" s="208"/>
      <c r="O623" s="208"/>
      <c r="P623" s="208"/>
      <c r="Q623" s="208"/>
      <c r="R623" s="208"/>
      <c r="S623" s="208"/>
      <c r="T623" s="208"/>
      <c r="U623" s="208"/>
      <c r="V623" s="208"/>
      <c r="W623" s="208"/>
      <c r="X623" s="208"/>
      <c r="Y623" s="208"/>
      <c r="Z623" s="208"/>
      <c r="AA623" s="208"/>
      <c r="AB623" s="208"/>
      <c r="AC623" s="208"/>
      <c r="AD623" s="208"/>
      <c r="AE623" s="208"/>
      <c r="AF623" s="208"/>
      <c r="AG623" s="208"/>
      <c r="AH623" s="208"/>
      <c r="AI623" s="208"/>
      <c r="AJ623" s="208"/>
      <c r="AK623" s="208"/>
      <c r="AL623" s="208"/>
      <c r="AM623" s="208"/>
      <c r="AN623" s="208"/>
      <c r="AO623" s="208"/>
      <c r="AP623" s="208"/>
      <c r="AQ623" s="208"/>
      <c r="AR623" s="208"/>
      <c r="AS623" s="208"/>
      <c r="AT623" s="208"/>
      <c r="AU623" s="208"/>
      <c r="AV623" s="208"/>
      <c r="AW623" s="208"/>
      <c r="AX623" s="208"/>
      <c r="AY623" s="208"/>
    </row>
    <row r="624">
      <c r="A624" s="208"/>
      <c r="B624" s="533"/>
      <c r="C624" s="208"/>
      <c r="D624" s="208"/>
      <c r="E624" s="208"/>
      <c r="F624" s="584"/>
      <c r="G624" s="208"/>
      <c r="H624" s="208"/>
      <c r="I624" s="208"/>
      <c r="J624" s="208"/>
      <c r="K624" s="208"/>
      <c r="L624" s="536"/>
      <c r="M624" s="208"/>
      <c r="N624" s="208"/>
      <c r="O624" s="208"/>
      <c r="P624" s="208"/>
      <c r="Q624" s="208"/>
      <c r="R624" s="208"/>
      <c r="S624" s="208"/>
      <c r="T624" s="208"/>
      <c r="U624" s="208"/>
      <c r="V624" s="208"/>
      <c r="W624" s="208"/>
      <c r="X624" s="208"/>
      <c r="Y624" s="208"/>
      <c r="Z624" s="208"/>
      <c r="AA624" s="208"/>
      <c r="AB624" s="208"/>
      <c r="AC624" s="208"/>
      <c r="AD624" s="208"/>
      <c r="AE624" s="208"/>
      <c r="AF624" s="208"/>
      <c r="AG624" s="208"/>
      <c r="AH624" s="208"/>
      <c r="AI624" s="208"/>
      <c r="AJ624" s="208"/>
      <c r="AK624" s="208"/>
      <c r="AL624" s="208"/>
      <c r="AM624" s="208"/>
      <c r="AN624" s="208"/>
      <c r="AO624" s="208"/>
      <c r="AP624" s="208"/>
      <c r="AQ624" s="208"/>
      <c r="AR624" s="208"/>
      <c r="AS624" s="208"/>
      <c r="AT624" s="208"/>
      <c r="AU624" s="208"/>
      <c r="AV624" s="208"/>
      <c r="AW624" s="208"/>
      <c r="AX624" s="208"/>
      <c r="AY624" s="208"/>
    </row>
    <row r="625">
      <c r="A625" s="208"/>
      <c r="B625" s="533"/>
      <c r="C625" s="208"/>
      <c r="D625" s="208"/>
      <c r="E625" s="208"/>
      <c r="F625" s="584"/>
      <c r="G625" s="208"/>
      <c r="H625" s="208"/>
      <c r="I625" s="208"/>
      <c r="J625" s="208"/>
      <c r="K625" s="208"/>
      <c r="L625" s="536"/>
      <c r="M625" s="208"/>
      <c r="N625" s="208"/>
      <c r="O625" s="208"/>
      <c r="P625" s="208"/>
      <c r="Q625" s="208"/>
      <c r="R625" s="208"/>
      <c r="S625" s="208"/>
      <c r="T625" s="208"/>
      <c r="U625" s="208"/>
      <c r="V625" s="208"/>
      <c r="W625" s="208"/>
      <c r="X625" s="208"/>
      <c r="Y625" s="208"/>
      <c r="Z625" s="208"/>
      <c r="AA625" s="208"/>
      <c r="AB625" s="208"/>
      <c r="AC625" s="208"/>
      <c r="AD625" s="208"/>
      <c r="AE625" s="208"/>
      <c r="AF625" s="208"/>
      <c r="AG625" s="208"/>
      <c r="AH625" s="208"/>
      <c r="AI625" s="208"/>
      <c r="AJ625" s="208"/>
      <c r="AK625" s="208"/>
      <c r="AL625" s="208"/>
      <c r="AM625" s="208"/>
      <c r="AN625" s="208"/>
      <c r="AO625" s="208"/>
      <c r="AP625" s="208"/>
      <c r="AQ625" s="208"/>
      <c r="AR625" s="208"/>
      <c r="AS625" s="208"/>
      <c r="AT625" s="208"/>
      <c r="AU625" s="208"/>
      <c r="AV625" s="208"/>
      <c r="AW625" s="208"/>
      <c r="AX625" s="208"/>
      <c r="AY625" s="208"/>
    </row>
    <row r="626">
      <c r="A626" s="208"/>
      <c r="B626" s="533"/>
      <c r="C626" s="208"/>
      <c r="D626" s="208"/>
      <c r="E626" s="208"/>
      <c r="F626" s="584"/>
      <c r="G626" s="208"/>
      <c r="H626" s="208"/>
      <c r="I626" s="208"/>
      <c r="J626" s="208"/>
      <c r="K626" s="208"/>
      <c r="L626" s="536"/>
      <c r="M626" s="208"/>
      <c r="N626" s="208"/>
      <c r="O626" s="208"/>
      <c r="P626" s="208"/>
      <c r="Q626" s="208"/>
      <c r="R626" s="208"/>
      <c r="S626" s="208"/>
      <c r="T626" s="208"/>
      <c r="U626" s="208"/>
      <c r="V626" s="208"/>
      <c r="W626" s="208"/>
      <c r="X626" s="208"/>
      <c r="Y626" s="208"/>
      <c r="Z626" s="208"/>
      <c r="AA626" s="208"/>
      <c r="AB626" s="208"/>
      <c r="AC626" s="208"/>
      <c r="AD626" s="208"/>
      <c r="AE626" s="208"/>
      <c r="AF626" s="208"/>
      <c r="AG626" s="208"/>
      <c r="AH626" s="208"/>
      <c r="AI626" s="208"/>
      <c r="AJ626" s="208"/>
      <c r="AK626" s="208"/>
      <c r="AL626" s="208"/>
      <c r="AM626" s="208"/>
      <c r="AN626" s="208"/>
      <c r="AO626" s="208"/>
      <c r="AP626" s="208"/>
      <c r="AQ626" s="208"/>
      <c r="AR626" s="208"/>
      <c r="AS626" s="208"/>
      <c r="AT626" s="208"/>
      <c r="AU626" s="208"/>
      <c r="AV626" s="208"/>
      <c r="AW626" s="208"/>
      <c r="AX626" s="208"/>
      <c r="AY626" s="208"/>
    </row>
    <row r="627">
      <c r="A627" s="208"/>
      <c r="B627" s="533"/>
      <c r="C627" s="208"/>
      <c r="D627" s="208"/>
      <c r="E627" s="208"/>
      <c r="F627" s="584"/>
      <c r="G627" s="208"/>
      <c r="H627" s="208"/>
      <c r="I627" s="208"/>
      <c r="J627" s="208"/>
      <c r="K627" s="208"/>
      <c r="L627" s="536"/>
      <c r="M627" s="208"/>
      <c r="N627" s="208"/>
      <c r="O627" s="208"/>
      <c r="P627" s="208"/>
      <c r="Q627" s="208"/>
      <c r="R627" s="208"/>
      <c r="S627" s="208"/>
      <c r="T627" s="208"/>
      <c r="U627" s="208"/>
      <c r="V627" s="208"/>
      <c r="W627" s="208"/>
      <c r="X627" s="208"/>
      <c r="Y627" s="208"/>
      <c r="Z627" s="208"/>
      <c r="AA627" s="208"/>
      <c r="AB627" s="208"/>
      <c r="AC627" s="208"/>
      <c r="AD627" s="208"/>
      <c r="AE627" s="208"/>
      <c r="AF627" s="208"/>
      <c r="AG627" s="208"/>
      <c r="AH627" s="208"/>
      <c r="AI627" s="208"/>
      <c r="AJ627" s="208"/>
      <c r="AK627" s="208"/>
      <c r="AL627" s="208"/>
      <c r="AM627" s="208"/>
      <c r="AN627" s="208"/>
      <c r="AO627" s="208"/>
      <c r="AP627" s="208"/>
      <c r="AQ627" s="208"/>
      <c r="AR627" s="208"/>
      <c r="AS627" s="208"/>
      <c r="AT627" s="208"/>
      <c r="AU627" s="208"/>
      <c r="AV627" s="208"/>
      <c r="AW627" s="208"/>
      <c r="AX627" s="208"/>
      <c r="AY627" s="208"/>
    </row>
    <row r="628">
      <c r="A628" s="208"/>
      <c r="B628" s="533"/>
      <c r="C628" s="208"/>
      <c r="D628" s="208"/>
      <c r="E628" s="208"/>
      <c r="F628" s="584"/>
      <c r="G628" s="208"/>
      <c r="H628" s="208"/>
      <c r="I628" s="208"/>
      <c r="J628" s="208"/>
      <c r="K628" s="208"/>
      <c r="L628" s="536"/>
      <c r="M628" s="208"/>
      <c r="N628" s="208"/>
      <c r="O628" s="208"/>
      <c r="P628" s="208"/>
      <c r="Q628" s="208"/>
      <c r="R628" s="208"/>
      <c r="S628" s="208"/>
      <c r="T628" s="208"/>
      <c r="U628" s="208"/>
      <c r="V628" s="208"/>
      <c r="W628" s="208"/>
      <c r="X628" s="208"/>
      <c r="Y628" s="208"/>
      <c r="Z628" s="208"/>
      <c r="AA628" s="208"/>
      <c r="AB628" s="208"/>
      <c r="AC628" s="208"/>
      <c r="AD628" s="208"/>
      <c r="AE628" s="208"/>
      <c r="AF628" s="208"/>
      <c r="AG628" s="208"/>
      <c r="AH628" s="208"/>
      <c r="AI628" s="208"/>
      <c r="AJ628" s="208"/>
      <c r="AK628" s="208"/>
      <c r="AL628" s="208"/>
      <c r="AM628" s="208"/>
      <c r="AN628" s="208"/>
      <c r="AO628" s="208"/>
      <c r="AP628" s="208"/>
      <c r="AQ628" s="208"/>
      <c r="AR628" s="208"/>
      <c r="AS628" s="208"/>
      <c r="AT628" s="208"/>
      <c r="AU628" s="208"/>
      <c r="AV628" s="208"/>
      <c r="AW628" s="208"/>
      <c r="AX628" s="208"/>
      <c r="AY628" s="208"/>
    </row>
    <row r="629">
      <c r="A629" s="208"/>
      <c r="B629" s="533"/>
      <c r="C629" s="208"/>
      <c r="D629" s="208"/>
      <c r="E629" s="208"/>
      <c r="F629" s="584"/>
      <c r="G629" s="208"/>
      <c r="H629" s="208"/>
      <c r="I629" s="208"/>
      <c r="J629" s="208"/>
      <c r="K629" s="208"/>
      <c r="L629" s="536"/>
      <c r="M629" s="208"/>
      <c r="N629" s="208"/>
      <c r="O629" s="208"/>
      <c r="P629" s="208"/>
      <c r="Q629" s="208"/>
      <c r="R629" s="208"/>
      <c r="S629" s="208"/>
      <c r="T629" s="208"/>
      <c r="U629" s="208"/>
      <c r="V629" s="208"/>
      <c r="W629" s="208"/>
      <c r="X629" s="208"/>
      <c r="Y629" s="208"/>
      <c r="Z629" s="208"/>
      <c r="AA629" s="208"/>
      <c r="AB629" s="208"/>
      <c r="AC629" s="208"/>
      <c r="AD629" s="208"/>
      <c r="AE629" s="208"/>
      <c r="AF629" s="208"/>
      <c r="AG629" s="208"/>
      <c r="AH629" s="208"/>
      <c r="AI629" s="208"/>
      <c r="AJ629" s="208"/>
      <c r="AK629" s="208"/>
      <c r="AL629" s="208"/>
      <c r="AM629" s="208"/>
      <c r="AN629" s="208"/>
      <c r="AO629" s="208"/>
      <c r="AP629" s="208"/>
      <c r="AQ629" s="208"/>
      <c r="AR629" s="208"/>
      <c r="AS629" s="208"/>
      <c r="AT629" s="208"/>
      <c r="AU629" s="208"/>
      <c r="AV629" s="208"/>
      <c r="AW629" s="208"/>
      <c r="AX629" s="208"/>
      <c r="AY629" s="208"/>
    </row>
    <row r="630">
      <c r="A630" s="208"/>
      <c r="B630" s="533"/>
      <c r="C630" s="208"/>
      <c r="D630" s="208"/>
      <c r="E630" s="208"/>
      <c r="F630" s="584"/>
      <c r="G630" s="208"/>
      <c r="H630" s="208"/>
      <c r="I630" s="208"/>
      <c r="J630" s="208"/>
      <c r="K630" s="208"/>
      <c r="L630" s="536"/>
      <c r="M630" s="208"/>
      <c r="N630" s="208"/>
      <c r="O630" s="208"/>
      <c r="P630" s="208"/>
      <c r="Q630" s="208"/>
      <c r="R630" s="208"/>
      <c r="S630" s="208"/>
      <c r="T630" s="208"/>
      <c r="U630" s="208"/>
      <c r="V630" s="208"/>
      <c r="W630" s="208"/>
      <c r="X630" s="208"/>
      <c r="Y630" s="208"/>
      <c r="Z630" s="208"/>
      <c r="AA630" s="208"/>
      <c r="AB630" s="208"/>
      <c r="AC630" s="208"/>
      <c r="AD630" s="208"/>
      <c r="AE630" s="208"/>
      <c r="AF630" s="208"/>
      <c r="AG630" s="208"/>
      <c r="AH630" s="208"/>
      <c r="AI630" s="208"/>
      <c r="AJ630" s="208"/>
      <c r="AK630" s="208"/>
      <c r="AL630" s="208"/>
      <c r="AM630" s="208"/>
      <c r="AN630" s="208"/>
      <c r="AO630" s="208"/>
      <c r="AP630" s="208"/>
      <c r="AQ630" s="208"/>
      <c r="AR630" s="208"/>
      <c r="AS630" s="208"/>
      <c r="AT630" s="208"/>
      <c r="AU630" s="208"/>
      <c r="AV630" s="208"/>
      <c r="AW630" s="208"/>
      <c r="AX630" s="208"/>
      <c r="AY630" s="208"/>
    </row>
    <row r="631">
      <c r="A631" s="208"/>
      <c r="B631" s="533"/>
      <c r="C631" s="208"/>
      <c r="D631" s="208"/>
      <c r="E631" s="208"/>
      <c r="F631" s="584"/>
      <c r="G631" s="208"/>
      <c r="H631" s="208"/>
      <c r="I631" s="208"/>
      <c r="J631" s="208"/>
      <c r="K631" s="208"/>
      <c r="L631" s="536"/>
      <c r="M631" s="208"/>
      <c r="N631" s="208"/>
      <c r="O631" s="208"/>
      <c r="P631" s="208"/>
      <c r="Q631" s="208"/>
      <c r="R631" s="208"/>
      <c r="S631" s="208"/>
      <c r="T631" s="208"/>
      <c r="U631" s="208"/>
      <c r="V631" s="208"/>
      <c r="W631" s="208"/>
      <c r="X631" s="208"/>
      <c r="Y631" s="208"/>
      <c r="Z631" s="208"/>
      <c r="AA631" s="208"/>
      <c r="AB631" s="208"/>
      <c r="AC631" s="208"/>
      <c r="AD631" s="208"/>
      <c r="AE631" s="208"/>
      <c r="AF631" s="208"/>
      <c r="AG631" s="208"/>
      <c r="AH631" s="208"/>
      <c r="AI631" s="208"/>
      <c r="AJ631" s="208"/>
      <c r="AK631" s="208"/>
      <c r="AL631" s="208"/>
      <c r="AM631" s="208"/>
      <c r="AN631" s="208"/>
      <c r="AO631" s="208"/>
      <c r="AP631" s="208"/>
      <c r="AQ631" s="208"/>
      <c r="AR631" s="208"/>
      <c r="AS631" s="208"/>
      <c r="AT631" s="208"/>
      <c r="AU631" s="208"/>
      <c r="AV631" s="208"/>
      <c r="AW631" s="208"/>
      <c r="AX631" s="208"/>
      <c r="AY631" s="208"/>
    </row>
    <row r="632">
      <c r="A632" s="208"/>
      <c r="B632" s="533"/>
      <c r="C632" s="208"/>
      <c r="D632" s="208"/>
      <c r="E632" s="208"/>
      <c r="F632" s="584"/>
      <c r="G632" s="208"/>
      <c r="H632" s="208"/>
      <c r="I632" s="208"/>
      <c r="J632" s="208"/>
      <c r="K632" s="208"/>
      <c r="L632" s="536"/>
      <c r="M632" s="208"/>
      <c r="N632" s="208"/>
      <c r="O632" s="208"/>
      <c r="P632" s="208"/>
      <c r="Q632" s="208"/>
      <c r="R632" s="208"/>
      <c r="S632" s="208"/>
      <c r="T632" s="208"/>
      <c r="U632" s="208"/>
      <c r="V632" s="208"/>
      <c r="W632" s="208"/>
      <c r="X632" s="208"/>
      <c r="Y632" s="208"/>
      <c r="Z632" s="208"/>
      <c r="AA632" s="208"/>
      <c r="AB632" s="208"/>
      <c r="AC632" s="208"/>
      <c r="AD632" s="208"/>
      <c r="AE632" s="208"/>
      <c r="AF632" s="208"/>
      <c r="AG632" s="208"/>
      <c r="AH632" s="208"/>
      <c r="AI632" s="208"/>
      <c r="AJ632" s="208"/>
      <c r="AK632" s="208"/>
      <c r="AL632" s="208"/>
      <c r="AM632" s="208"/>
      <c r="AN632" s="208"/>
      <c r="AO632" s="208"/>
      <c r="AP632" s="208"/>
      <c r="AQ632" s="208"/>
      <c r="AR632" s="208"/>
      <c r="AS632" s="208"/>
      <c r="AT632" s="208"/>
      <c r="AU632" s="208"/>
      <c r="AV632" s="208"/>
      <c r="AW632" s="208"/>
      <c r="AX632" s="208"/>
      <c r="AY632" s="208"/>
    </row>
    <row r="633">
      <c r="A633" s="208"/>
      <c r="B633" s="533"/>
      <c r="C633" s="208"/>
      <c r="D633" s="208"/>
      <c r="E633" s="208"/>
      <c r="F633" s="584"/>
      <c r="G633" s="208"/>
      <c r="H633" s="208"/>
      <c r="I633" s="208"/>
      <c r="J633" s="208"/>
      <c r="K633" s="208"/>
      <c r="L633" s="536"/>
      <c r="M633" s="208"/>
      <c r="N633" s="208"/>
      <c r="O633" s="208"/>
      <c r="P633" s="208"/>
      <c r="Q633" s="208"/>
      <c r="R633" s="208"/>
      <c r="S633" s="208"/>
      <c r="T633" s="208"/>
      <c r="U633" s="208"/>
      <c r="V633" s="208"/>
      <c r="W633" s="208"/>
      <c r="X633" s="208"/>
      <c r="Y633" s="208"/>
      <c r="Z633" s="208"/>
      <c r="AA633" s="208"/>
      <c r="AB633" s="208"/>
      <c r="AC633" s="208"/>
      <c r="AD633" s="208"/>
      <c r="AE633" s="208"/>
      <c r="AF633" s="208"/>
      <c r="AG633" s="208"/>
      <c r="AH633" s="208"/>
      <c r="AI633" s="208"/>
      <c r="AJ633" s="208"/>
      <c r="AK633" s="208"/>
      <c r="AL633" s="208"/>
      <c r="AM633" s="208"/>
      <c r="AN633" s="208"/>
      <c r="AO633" s="208"/>
      <c r="AP633" s="208"/>
      <c r="AQ633" s="208"/>
      <c r="AR633" s="208"/>
      <c r="AS633" s="208"/>
      <c r="AT633" s="208"/>
      <c r="AU633" s="208"/>
      <c r="AV633" s="208"/>
      <c r="AW633" s="208"/>
      <c r="AX633" s="208"/>
      <c r="AY633" s="208"/>
    </row>
    <row r="634">
      <c r="A634" s="208"/>
      <c r="B634" s="533"/>
      <c r="C634" s="208"/>
      <c r="D634" s="208"/>
      <c r="E634" s="208"/>
      <c r="F634" s="584"/>
      <c r="G634" s="208"/>
      <c r="H634" s="208"/>
      <c r="I634" s="208"/>
      <c r="J634" s="208"/>
      <c r="K634" s="208"/>
      <c r="L634" s="536"/>
      <c r="M634" s="208"/>
      <c r="N634" s="208"/>
      <c r="O634" s="208"/>
      <c r="P634" s="208"/>
      <c r="Q634" s="208"/>
      <c r="R634" s="208"/>
      <c r="S634" s="208"/>
      <c r="T634" s="208"/>
      <c r="U634" s="208"/>
      <c r="V634" s="208"/>
      <c r="W634" s="208"/>
      <c r="X634" s="208"/>
      <c r="Y634" s="208"/>
      <c r="Z634" s="208"/>
      <c r="AA634" s="208"/>
      <c r="AB634" s="208"/>
      <c r="AC634" s="208"/>
      <c r="AD634" s="208"/>
      <c r="AE634" s="208"/>
      <c r="AF634" s="208"/>
      <c r="AG634" s="208"/>
      <c r="AH634" s="208"/>
      <c r="AI634" s="208"/>
      <c r="AJ634" s="208"/>
      <c r="AK634" s="208"/>
      <c r="AL634" s="208"/>
      <c r="AM634" s="208"/>
      <c r="AN634" s="208"/>
      <c r="AO634" s="208"/>
      <c r="AP634" s="208"/>
      <c r="AQ634" s="208"/>
      <c r="AR634" s="208"/>
      <c r="AS634" s="208"/>
      <c r="AT634" s="208"/>
      <c r="AU634" s="208"/>
      <c r="AV634" s="208"/>
      <c r="AW634" s="208"/>
      <c r="AX634" s="208"/>
      <c r="AY634" s="208"/>
    </row>
    <row r="635">
      <c r="A635" s="208"/>
      <c r="B635" s="533"/>
      <c r="C635" s="208"/>
      <c r="D635" s="208"/>
      <c r="E635" s="208"/>
      <c r="F635" s="584"/>
      <c r="G635" s="208"/>
      <c r="H635" s="208"/>
      <c r="I635" s="208"/>
      <c r="J635" s="208"/>
      <c r="K635" s="208"/>
      <c r="L635" s="536"/>
      <c r="M635" s="208"/>
      <c r="N635" s="208"/>
      <c r="O635" s="208"/>
      <c r="P635" s="208"/>
      <c r="Q635" s="208"/>
      <c r="R635" s="208"/>
      <c r="S635" s="208"/>
      <c r="T635" s="208"/>
      <c r="U635" s="208"/>
      <c r="V635" s="208"/>
      <c r="W635" s="208"/>
      <c r="X635" s="208"/>
      <c r="Y635" s="208"/>
      <c r="Z635" s="208"/>
      <c r="AA635" s="208"/>
      <c r="AB635" s="208"/>
      <c r="AC635" s="208"/>
      <c r="AD635" s="208"/>
      <c r="AE635" s="208"/>
      <c r="AF635" s="208"/>
      <c r="AG635" s="208"/>
      <c r="AH635" s="208"/>
      <c r="AI635" s="208"/>
      <c r="AJ635" s="208"/>
      <c r="AK635" s="208"/>
      <c r="AL635" s="208"/>
      <c r="AM635" s="208"/>
      <c r="AN635" s="208"/>
      <c r="AO635" s="208"/>
      <c r="AP635" s="208"/>
      <c r="AQ635" s="208"/>
      <c r="AR635" s="208"/>
      <c r="AS635" s="208"/>
      <c r="AT635" s="208"/>
      <c r="AU635" s="208"/>
      <c r="AV635" s="208"/>
      <c r="AW635" s="208"/>
      <c r="AX635" s="208"/>
      <c r="AY635" s="208"/>
    </row>
    <row r="636">
      <c r="A636" s="208"/>
      <c r="B636" s="533"/>
      <c r="C636" s="208"/>
      <c r="D636" s="208"/>
      <c r="E636" s="208"/>
      <c r="F636" s="584"/>
      <c r="G636" s="208"/>
      <c r="H636" s="208"/>
      <c r="I636" s="208"/>
      <c r="J636" s="208"/>
      <c r="K636" s="208"/>
      <c r="L636" s="536"/>
      <c r="M636" s="208"/>
      <c r="N636" s="208"/>
      <c r="O636" s="208"/>
      <c r="P636" s="208"/>
      <c r="Q636" s="208"/>
      <c r="R636" s="208"/>
      <c r="S636" s="208"/>
      <c r="T636" s="208"/>
      <c r="U636" s="208"/>
      <c r="V636" s="208"/>
      <c r="W636" s="208"/>
      <c r="X636" s="208"/>
      <c r="Y636" s="208"/>
      <c r="Z636" s="208"/>
      <c r="AA636" s="208"/>
      <c r="AB636" s="208"/>
      <c r="AC636" s="208"/>
      <c r="AD636" s="208"/>
      <c r="AE636" s="208"/>
      <c r="AF636" s="208"/>
      <c r="AG636" s="208"/>
      <c r="AH636" s="208"/>
      <c r="AI636" s="208"/>
      <c r="AJ636" s="208"/>
      <c r="AK636" s="208"/>
      <c r="AL636" s="208"/>
      <c r="AM636" s="208"/>
      <c r="AN636" s="208"/>
      <c r="AO636" s="208"/>
      <c r="AP636" s="208"/>
      <c r="AQ636" s="208"/>
      <c r="AR636" s="208"/>
      <c r="AS636" s="208"/>
      <c r="AT636" s="208"/>
      <c r="AU636" s="208"/>
      <c r="AV636" s="208"/>
      <c r="AW636" s="208"/>
      <c r="AX636" s="208"/>
      <c r="AY636" s="208"/>
    </row>
    <row r="637">
      <c r="A637" s="208"/>
      <c r="B637" s="533"/>
      <c r="C637" s="208"/>
      <c r="D637" s="208"/>
      <c r="E637" s="208"/>
      <c r="F637" s="584"/>
      <c r="G637" s="208"/>
      <c r="H637" s="208"/>
      <c r="I637" s="208"/>
      <c r="J637" s="208"/>
      <c r="K637" s="208"/>
      <c r="L637" s="536"/>
      <c r="M637" s="208"/>
      <c r="N637" s="208"/>
      <c r="O637" s="208"/>
      <c r="P637" s="208"/>
      <c r="Q637" s="208"/>
      <c r="R637" s="208"/>
      <c r="S637" s="208"/>
      <c r="T637" s="208"/>
      <c r="U637" s="208"/>
      <c r="V637" s="208"/>
      <c r="W637" s="208"/>
      <c r="X637" s="208"/>
      <c r="Y637" s="208"/>
      <c r="Z637" s="208"/>
      <c r="AA637" s="208"/>
      <c r="AB637" s="208"/>
      <c r="AC637" s="208"/>
      <c r="AD637" s="208"/>
      <c r="AE637" s="208"/>
      <c r="AF637" s="208"/>
      <c r="AG637" s="208"/>
      <c r="AH637" s="208"/>
      <c r="AI637" s="208"/>
      <c r="AJ637" s="208"/>
      <c r="AK637" s="208"/>
      <c r="AL637" s="208"/>
      <c r="AM637" s="208"/>
      <c r="AN637" s="208"/>
      <c r="AO637" s="208"/>
      <c r="AP637" s="208"/>
      <c r="AQ637" s="208"/>
      <c r="AR637" s="208"/>
      <c r="AS637" s="208"/>
      <c r="AT637" s="208"/>
      <c r="AU637" s="208"/>
      <c r="AV637" s="208"/>
      <c r="AW637" s="208"/>
      <c r="AX637" s="208"/>
      <c r="AY637" s="208"/>
    </row>
    <row r="638">
      <c r="A638" s="208"/>
      <c r="B638" s="533"/>
      <c r="C638" s="208"/>
      <c r="D638" s="208"/>
      <c r="E638" s="208"/>
      <c r="F638" s="584"/>
      <c r="G638" s="208"/>
      <c r="H638" s="208"/>
      <c r="I638" s="208"/>
      <c r="J638" s="208"/>
      <c r="K638" s="208"/>
      <c r="L638" s="536"/>
      <c r="M638" s="208"/>
      <c r="N638" s="208"/>
      <c r="O638" s="208"/>
      <c r="P638" s="208"/>
      <c r="Q638" s="208"/>
      <c r="R638" s="208"/>
      <c r="S638" s="208"/>
      <c r="T638" s="208"/>
      <c r="U638" s="208"/>
      <c r="V638" s="208"/>
      <c r="W638" s="208"/>
      <c r="X638" s="208"/>
      <c r="Y638" s="208"/>
      <c r="Z638" s="208"/>
      <c r="AA638" s="208"/>
      <c r="AB638" s="208"/>
      <c r="AC638" s="208"/>
      <c r="AD638" s="208"/>
      <c r="AE638" s="208"/>
      <c r="AF638" s="208"/>
      <c r="AG638" s="208"/>
      <c r="AH638" s="208"/>
      <c r="AI638" s="208"/>
      <c r="AJ638" s="208"/>
      <c r="AK638" s="208"/>
      <c r="AL638" s="208"/>
      <c r="AM638" s="208"/>
      <c r="AN638" s="208"/>
      <c r="AO638" s="208"/>
      <c r="AP638" s="208"/>
      <c r="AQ638" s="208"/>
      <c r="AR638" s="208"/>
      <c r="AS638" s="208"/>
      <c r="AT638" s="208"/>
      <c r="AU638" s="208"/>
      <c r="AV638" s="208"/>
      <c r="AW638" s="208"/>
      <c r="AX638" s="208"/>
      <c r="AY638" s="208"/>
    </row>
    <row r="639">
      <c r="A639" s="208"/>
      <c r="B639" s="533"/>
      <c r="C639" s="208"/>
      <c r="D639" s="208"/>
      <c r="E639" s="208"/>
      <c r="F639" s="584"/>
      <c r="G639" s="208"/>
      <c r="H639" s="208"/>
      <c r="I639" s="208"/>
      <c r="J639" s="208"/>
      <c r="K639" s="208"/>
      <c r="L639" s="536"/>
      <c r="M639" s="208"/>
      <c r="N639" s="208"/>
      <c r="O639" s="208"/>
      <c r="P639" s="208"/>
      <c r="Q639" s="208"/>
      <c r="R639" s="208"/>
      <c r="S639" s="208"/>
      <c r="T639" s="208"/>
      <c r="U639" s="208"/>
      <c r="V639" s="208"/>
      <c r="W639" s="208"/>
      <c r="X639" s="208"/>
      <c r="Y639" s="208"/>
      <c r="Z639" s="208"/>
      <c r="AA639" s="208"/>
      <c r="AB639" s="208"/>
      <c r="AC639" s="208"/>
      <c r="AD639" s="208"/>
      <c r="AE639" s="208"/>
      <c r="AF639" s="208"/>
      <c r="AG639" s="208"/>
      <c r="AH639" s="208"/>
      <c r="AI639" s="208"/>
      <c r="AJ639" s="208"/>
      <c r="AK639" s="208"/>
      <c r="AL639" s="208"/>
      <c r="AM639" s="208"/>
      <c r="AN639" s="208"/>
      <c r="AO639" s="208"/>
      <c r="AP639" s="208"/>
      <c r="AQ639" s="208"/>
      <c r="AR639" s="208"/>
      <c r="AS639" s="208"/>
      <c r="AT639" s="208"/>
      <c r="AU639" s="208"/>
      <c r="AV639" s="208"/>
      <c r="AW639" s="208"/>
      <c r="AX639" s="208"/>
      <c r="AY639" s="208"/>
    </row>
    <row r="640">
      <c r="A640" s="208"/>
      <c r="B640" s="533"/>
      <c r="C640" s="208"/>
      <c r="D640" s="208"/>
      <c r="E640" s="208"/>
      <c r="F640" s="584"/>
      <c r="G640" s="208"/>
      <c r="H640" s="208"/>
      <c r="I640" s="208"/>
      <c r="J640" s="208"/>
      <c r="K640" s="208"/>
      <c r="L640" s="536"/>
      <c r="M640" s="208"/>
      <c r="N640" s="208"/>
      <c r="O640" s="208"/>
      <c r="P640" s="208"/>
      <c r="Q640" s="208"/>
      <c r="R640" s="208"/>
      <c r="S640" s="208"/>
      <c r="T640" s="208"/>
      <c r="U640" s="208"/>
      <c r="V640" s="208"/>
      <c r="W640" s="208"/>
      <c r="X640" s="208"/>
      <c r="Y640" s="208"/>
      <c r="Z640" s="208"/>
      <c r="AA640" s="208"/>
      <c r="AB640" s="208"/>
      <c r="AC640" s="208"/>
      <c r="AD640" s="208"/>
      <c r="AE640" s="208"/>
      <c r="AF640" s="208"/>
      <c r="AG640" s="208"/>
      <c r="AH640" s="208"/>
      <c r="AI640" s="208"/>
      <c r="AJ640" s="208"/>
      <c r="AK640" s="208"/>
      <c r="AL640" s="208"/>
      <c r="AM640" s="208"/>
      <c r="AN640" s="208"/>
      <c r="AO640" s="208"/>
      <c r="AP640" s="208"/>
      <c r="AQ640" s="208"/>
      <c r="AR640" s="208"/>
      <c r="AS640" s="208"/>
      <c r="AT640" s="208"/>
      <c r="AU640" s="208"/>
      <c r="AV640" s="208"/>
      <c r="AW640" s="208"/>
      <c r="AX640" s="208"/>
      <c r="AY640" s="208"/>
    </row>
    <row r="641">
      <c r="A641" s="208"/>
      <c r="B641" s="533"/>
      <c r="C641" s="208"/>
      <c r="D641" s="208"/>
      <c r="E641" s="208"/>
      <c r="F641" s="584"/>
      <c r="G641" s="208"/>
      <c r="H641" s="208"/>
      <c r="I641" s="208"/>
      <c r="J641" s="208"/>
      <c r="K641" s="208"/>
      <c r="L641" s="536"/>
      <c r="M641" s="208"/>
      <c r="N641" s="208"/>
      <c r="O641" s="208"/>
      <c r="P641" s="208"/>
      <c r="Q641" s="208"/>
      <c r="R641" s="208"/>
      <c r="S641" s="208"/>
      <c r="T641" s="208"/>
      <c r="U641" s="208"/>
      <c r="V641" s="208"/>
      <c r="W641" s="208"/>
      <c r="X641" s="208"/>
      <c r="Y641" s="208"/>
      <c r="Z641" s="208"/>
      <c r="AA641" s="208"/>
      <c r="AB641" s="208"/>
      <c r="AC641" s="208"/>
      <c r="AD641" s="208"/>
      <c r="AE641" s="208"/>
      <c r="AF641" s="208"/>
      <c r="AG641" s="208"/>
      <c r="AH641" s="208"/>
      <c r="AI641" s="208"/>
      <c r="AJ641" s="208"/>
      <c r="AK641" s="208"/>
      <c r="AL641" s="208"/>
      <c r="AM641" s="208"/>
      <c r="AN641" s="208"/>
      <c r="AO641" s="208"/>
      <c r="AP641" s="208"/>
      <c r="AQ641" s="208"/>
      <c r="AR641" s="208"/>
      <c r="AS641" s="208"/>
      <c r="AT641" s="208"/>
      <c r="AU641" s="208"/>
      <c r="AV641" s="208"/>
      <c r="AW641" s="208"/>
      <c r="AX641" s="208"/>
      <c r="AY641" s="208"/>
    </row>
    <row r="642">
      <c r="A642" s="208"/>
      <c r="B642" s="533"/>
      <c r="C642" s="208"/>
      <c r="D642" s="208"/>
      <c r="E642" s="208"/>
      <c r="F642" s="584"/>
      <c r="G642" s="208"/>
      <c r="H642" s="208"/>
      <c r="I642" s="208"/>
      <c r="J642" s="208"/>
      <c r="K642" s="208"/>
      <c r="L642" s="536"/>
      <c r="M642" s="208"/>
      <c r="N642" s="208"/>
      <c r="O642" s="208"/>
      <c r="P642" s="208"/>
      <c r="Q642" s="208"/>
      <c r="R642" s="208"/>
      <c r="S642" s="208"/>
      <c r="T642" s="208"/>
      <c r="U642" s="208"/>
      <c r="V642" s="208"/>
      <c r="W642" s="208"/>
      <c r="X642" s="208"/>
      <c r="Y642" s="208"/>
      <c r="Z642" s="208"/>
      <c r="AA642" s="208"/>
      <c r="AB642" s="208"/>
      <c r="AC642" s="208"/>
      <c r="AD642" s="208"/>
      <c r="AE642" s="208"/>
      <c r="AF642" s="208"/>
      <c r="AG642" s="208"/>
      <c r="AH642" s="208"/>
      <c r="AI642" s="208"/>
      <c r="AJ642" s="208"/>
      <c r="AK642" s="208"/>
      <c r="AL642" s="208"/>
      <c r="AM642" s="208"/>
      <c r="AN642" s="208"/>
      <c r="AO642" s="208"/>
      <c r="AP642" s="208"/>
      <c r="AQ642" s="208"/>
      <c r="AR642" s="208"/>
      <c r="AS642" s="208"/>
      <c r="AT642" s="208"/>
      <c r="AU642" s="208"/>
      <c r="AV642" s="208"/>
      <c r="AW642" s="208"/>
      <c r="AX642" s="208"/>
      <c r="AY642" s="208"/>
    </row>
    <row r="643">
      <c r="A643" s="208"/>
      <c r="B643" s="533"/>
      <c r="C643" s="208"/>
      <c r="D643" s="208"/>
      <c r="E643" s="208"/>
      <c r="F643" s="584"/>
      <c r="G643" s="208"/>
      <c r="H643" s="208"/>
      <c r="I643" s="208"/>
      <c r="J643" s="208"/>
      <c r="K643" s="208"/>
      <c r="L643" s="536"/>
      <c r="M643" s="208"/>
      <c r="N643" s="208"/>
      <c r="O643" s="208"/>
      <c r="P643" s="208"/>
      <c r="Q643" s="208"/>
      <c r="R643" s="208"/>
      <c r="S643" s="208"/>
      <c r="T643" s="208"/>
      <c r="U643" s="208"/>
      <c r="V643" s="208"/>
      <c r="W643" s="208"/>
      <c r="X643" s="208"/>
      <c r="Y643" s="208"/>
      <c r="Z643" s="208"/>
      <c r="AA643" s="208"/>
      <c r="AB643" s="208"/>
      <c r="AC643" s="208"/>
      <c r="AD643" s="208"/>
      <c r="AE643" s="208"/>
      <c r="AF643" s="208"/>
      <c r="AG643" s="208"/>
      <c r="AH643" s="208"/>
      <c r="AI643" s="208"/>
      <c r="AJ643" s="208"/>
      <c r="AK643" s="208"/>
      <c r="AL643" s="208"/>
      <c r="AM643" s="208"/>
      <c r="AN643" s="208"/>
      <c r="AO643" s="208"/>
      <c r="AP643" s="208"/>
      <c r="AQ643" s="208"/>
      <c r="AR643" s="208"/>
      <c r="AS643" s="208"/>
      <c r="AT643" s="208"/>
      <c r="AU643" s="208"/>
      <c r="AV643" s="208"/>
      <c r="AW643" s="208"/>
      <c r="AX643" s="208"/>
      <c r="AY643" s="208"/>
    </row>
    <row r="644">
      <c r="A644" s="208"/>
      <c r="B644" s="533"/>
      <c r="C644" s="208"/>
      <c r="D644" s="208"/>
      <c r="E644" s="208"/>
      <c r="F644" s="584"/>
      <c r="G644" s="208"/>
      <c r="H644" s="208"/>
      <c r="I644" s="208"/>
      <c r="J644" s="208"/>
      <c r="K644" s="208"/>
      <c r="L644" s="536"/>
      <c r="M644" s="208"/>
      <c r="N644" s="208"/>
      <c r="O644" s="208"/>
      <c r="P644" s="208"/>
      <c r="Q644" s="208"/>
      <c r="R644" s="208"/>
      <c r="S644" s="208"/>
      <c r="T644" s="208"/>
      <c r="U644" s="208"/>
      <c r="V644" s="208"/>
      <c r="W644" s="208"/>
      <c r="X644" s="208"/>
      <c r="Y644" s="208"/>
      <c r="Z644" s="208"/>
      <c r="AA644" s="208"/>
      <c r="AB644" s="208"/>
      <c r="AC644" s="208"/>
      <c r="AD644" s="208"/>
      <c r="AE644" s="208"/>
      <c r="AF644" s="208"/>
      <c r="AG644" s="208"/>
      <c r="AH644" s="208"/>
      <c r="AI644" s="208"/>
      <c r="AJ644" s="208"/>
      <c r="AK644" s="208"/>
      <c r="AL644" s="208"/>
      <c r="AM644" s="208"/>
      <c r="AN644" s="208"/>
      <c r="AO644" s="208"/>
      <c r="AP644" s="208"/>
      <c r="AQ644" s="208"/>
      <c r="AR644" s="208"/>
      <c r="AS644" s="208"/>
      <c r="AT644" s="208"/>
      <c r="AU644" s="208"/>
      <c r="AV644" s="208"/>
      <c r="AW644" s="208"/>
      <c r="AX644" s="208"/>
      <c r="AY644" s="208"/>
    </row>
    <row r="645">
      <c r="A645" s="208"/>
      <c r="B645" s="533"/>
      <c r="C645" s="208"/>
      <c r="D645" s="208"/>
      <c r="E645" s="208"/>
      <c r="F645" s="584"/>
      <c r="G645" s="208"/>
      <c r="H645" s="208"/>
      <c r="I645" s="208"/>
      <c r="J645" s="208"/>
      <c r="K645" s="208"/>
      <c r="L645" s="536"/>
      <c r="M645" s="208"/>
      <c r="N645" s="208"/>
      <c r="O645" s="208"/>
      <c r="P645" s="208"/>
      <c r="Q645" s="208"/>
      <c r="R645" s="208"/>
      <c r="S645" s="208"/>
      <c r="T645" s="208"/>
      <c r="U645" s="208"/>
      <c r="V645" s="208"/>
      <c r="W645" s="208"/>
      <c r="X645" s="208"/>
      <c r="Y645" s="208"/>
      <c r="Z645" s="208"/>
      <c r="AA645" s="208"/>
      <c r="AB645" s="208"/>
      <c r="AC645" s="208"/>
      <c r="AD645" s="208"/>
      <c r="AE645" s="208"/>
      <c r="AF645" s="208"/>
      <c r="AG645" s="208"/>
      <c r="AH645" s="208"/>
      <c r="AI645" s="208"/>
      <c r="AJ645" s="208"/>
      <c r="AK645" s="208"/>
      <c r="AL645" s="208"/>
      <c r="AM645" s="208"/>
      <c r="AN645" s="208"/>
      <c r="AO645" s="208"/>
      <c r="AP645" s="208"/>
      <c r="AQ645" s="208"/>
      <c r="AR645" s="208"/>
      <c r="AS645" s="208"/>
      <c r="AT645" s="208"/>
      <c r="AU645" s="208"/>
      <c r="AV645" s="208"/>
      <c r="AW645" s="208"/>
      <c r="AX645" s="208"/>
      <c r="AY645" s="208"/>
    </row>
    <row r="646">
      <c r="A646" s="208"/>
      <c r="B646" s="533"/>
      <c r="C646" s="208"/>
      <c r="D646" s="208"/>
      <c r="E646" s="208"/>
      <c r="F646" s="584"/>
      <c r="G646" s="208"/>
      <c r="H646" s="208"/>
      <c r="I646" s="208"/>
      <c r="J646" s="208"/>
      <c r="K646" s="208"/>
      <c r="L646" s="536"/>
      <c r="M646" s="208"/>
      <c r="N646" s="208"/>
      <c r="O646" s="208"/>
      <c r="P646" s="208"/>
      <c r="Q646" s="208"/>
      <c r="R646" s="208"/>
      <c r="S646" s="208"/>
      <c r="T646" s="208"/>
      <c r="U646" s="208"/>
      <c r="V646" s="208"/>
      <c r="W646" s="208"/>
      <c r="X646" s="208"/>
      <c r="Y646" s="208"/>
      <c r="Z646" s="208"/>
      <c r="AA646" s="208"/>
      <c r="AB646" s="208"/>
      <c r="AC646" s="208"/>
      <c r="AD646" s="208"/>
      <c r="AE646" s="208"/>
      <c r="AF646" s="208"/>
      <c r="AG646" s="208"/>
      <c r="AH646" s="208"/>
      <c r="AI646" s="208"/>
      <c r="AJ646" s="208"/>
      <c r="AK646" s="208"/>
      <c r="AL646" s="208"/>
      <c r="AM646" s="208"/>
      <c r="AN646" s="208"/>
      <c r="AO646" s="208"/>
      <c r="AP646" s="208"/>
      <c r="AQ646" s="208"/>
      <c r="AR646" s="208"/>
      <c r="AS646" s="208"/>
      <c r="AT646" s="208"/>
      <c r="AU646" s="208"/>
      <c r="AV646" s="208"/>
      <c r="AW646" s="208"/>
      <c r="AX646" s="208"/>
      <c r="AY646" s="208"/>
    </row>
    <row r="647">
      <c r="A647" s="208"/>
      <c r="B647" s="533"/>
      <c r="C647" s="208"/>
      <c r="D647" s="208"/>
      <c r="E647" s="208"/>
      <c r="F647" s="584"/>
      <c r="G647" s="208"/>
      <c r="H647" s="208"/>
      <c r="I647" s="208"/>
      <c r="J647" s="208"/>
      <c r="K647" s="208"/>
      <c r="L647" s="536"/>
      <c r="M647" s="208"/>
      <c r="N647" s="208"/>
      <c r="O647" s="208"/>
      <c r="P647" s="208"/>
      <c r="Q647" s="208"/>
      <c r="R647" s="208"/>
      <c r="S647" s="208"/>
      <c r="T647" s="208"/>
      <c r="U647" s="208"/>
      <c r="V647" s="208"/>
      <c r="W647" s="208"/>
      <c r="X647" s="208"/>
      <c r="Y647" s="208"/>
      <c r="Z647" s="208"/>
      <c r="AA647" s="208"/>
      <c r="AB647" s="208"/>
      <c r="AC647" s="208"/>
      <c r="AD647" s="208"/>
      <c r="AE647" s="208"/>
      <c r="AF647" s="208"/>
      <c r="AG647" s="208"/>
      <c r="AH647" s="208"/>
      <c r="AI647" s="208"/>
      <c r="AJ647" s="208"/>
      <c r="AK647" s="208"/>
      <c r="AL647" s="208"/>
      <c r="AM647" s="208"/>
      <c r="AN647" s="208"/>
      <c r="AO647" s="208"/>
      <c r="AP647" s="208"/>
      <c r="AQ647" s="208"/>
      <c r="AR647" s="208"/>
      <c r="AS647" s="208"/>
      <c r="AT647" s="208"/>
      <c r="AU647" s="208"/>
      <c r="AV647" s="208"/>
      <c r="AW647" s="208"/>
      <c r="AX647" s="208"/>
      <c r="AY647" s="208"/>
    </row>
    <row r="648">
      <c r="A648" s="208"/>
      <c r="B648" s="533"/>
      <c r="C648" s="208"/>
      <c r="D648" s="208"/>
      <c r="E648" s="208"/>
      <c r="F648" s="584"/>
      <c r="G648" s="208"/>
      <c r="H648" s="208"/>
      <c r="I648" s="208"/>
      <c r="J648" s="208"/>
      <c r="K648" s="208"/>
      <c r="L648" s="536"/>
      <c r="M648" s="208"/>
      <c r="N648" s="208"/>
      <c r="O648" s="208"/>
      <c r="P648" s="208"/>
      <c r="Q648" s="208"/>
      <c r="R648" s="208"/>
      <c r="S648" s="208"/>
      <c r="T648" s="208"/>
      <c r="U648" s="208"/>
      <c r="V648" s="208"/>
      <c r="W648" s="208"/>
      <c r="X648" s="208"/>
      <c r="Y648" s="208"/>
      <c r="Z648" s="208"/>
      <c r="AA648" s="208"/>
      <c r="AB648" s="208"/>
      <c r="AC648" s="208"/>
      <c r="AD648" s="208"/>
      <c r="AE648" s="208"/>
      <c r="AF648" s="208"/>
      <c r="AG648" s="208"/>
      <c r="AH648" s="208"/>
      <c r="AI648" s="208"/>
      <c r="AJ648" s="208"/>
      <c r="AK648" s="208"/>
      <c r="AL648" s="208"/>
      <c r="AM648" s="208"/>
      <c r="AN648" s="208"/>
      <c r="AO648" s="208"/>
      <c r="AP648" s="208"/>
      <c r="AQ648" s="208"/>
      <c r="AR648" s="208"/>
      <c r="AS648" s="208"/>
      <c r="AT648" s="208"/>
      <c r="AU648" s="208"/>
      <c r="AV648" s="208"/>
      <c r="AW648" s="208"/>
      <c r="AX648" s="208"/>
      <c r="AY648" s="208"/>
    </row>
    <row r="649">
      <c r="A649" s="208"/>
      <c r="B649" s="533"/>
      <c r="C649" s="208"/>
      <c r="D649" s="208"/>
      <c r="E649" s="208"/>
      <c r="F649" s="584"/>
      <c r="G649" s="208"/>
      <c r="H649" s="208"/>
      <c r="I649" s="208"/>
      <c r="J649" s="208"/>
      <c r="K649" s="208"/>
      <c r="L649" s="536"/>
      <c r="M649" s="208"/>
      <c r="N649" s="208"/>
      <c r="O649" s="208"/>
      <c r="P649" s="208"/>
      <c r="Q649" s="208"/>
      <c r="R649" s="208"/>
      <c r="S649" s="208"/>
      <c r="T649" s="208"/>
      <c r="U649" s="208"/>
      <c r="V649" s="208"/>
      <c r="W649" s="208"/>
      <c r="X649" s="208"/>
      <c r="Y649" s="208"/>
      <c r="Z649" s="208"/>
      <c r="AA649" s="208"/>
      <c r="AB649" s="208"/>
      <c r="AC649" s="208"/>
      <c r="AD649" s="208"/>
      <c r="AE649" s="208"/>
      <c r="AF649" s="208"/>
      <c r="AG649" s="208"/>
      <c r="AH649" s="208"/>
      <c r="AI649" s="208"/>
      <c r="AJ649" s="208"/>
      <c r="AK649" s="208"/>
      <c r="AL649" s="208"/>
      <c r="AM649" s="208"/>
      <c r="AN649" s="208"/>
      <c r="AO649" s="208"/>
      <c r="AP649" s="208"/>
      <c r="AQ649" s="208"/>
      <c r="AR649" s="208"/>
      <c r="AS649" s="208"/>
      <c r="AT649" s="208"/>
      <c r="AU649" s="208"/>
      <c r="AV649" s="208"/>
      <c r="AW649" s="208"/>
      <c r="AX649" s="208"/>
      <c r="AY649" s="208"/>
    </row>
    <row r="650">
      <c r="A650" s="208"/>
      <c r="B650" s="533"/>
      <c r="C650" s="208"/>
      <c r="D650" s="208"/>
      <c r="E650" s="208"/>
      <c r="F650" s="584"/>
      <c r="G650" s="208"/>
      <c r="H650" s="208"/>
      <c r="I650" s="208"/>
      <c r="J650" s="208"/>
      <c r="K650" s="208"/>
      <c r="L650" s="536"/>
      <c r="M650" s="208"/>
      <c r="N650" s="208"/>
      <c r="O650" s="208"/>
      <c r="P650" s="208"/>
      <c r="Q650" s="208"/>
      <c r="R650" s="208"/>
      <c r="S650" s="208"/>
      <c r="T650" s="208"/>
      <c r="U650" s="208"/>
      <c r="V650" s="208"/>
      <c r="W650" s="208"/>
      <c r="X650" s="208"/>
      <c r="Y650" s="208"/>
      <c r="Z650" s="208"/>
      <c r="AA650" s="208"/>
      <c r="AB650" s="208"/>
      <c r="AC650" s="208"/>
      <c r="AD650" s="208"/>
      <c r="AE650" s="208"/>
      <c r="AF650" s="208"/>
      <c r="AG650" s="208"/>
      <c r="AH650" s="208"/>
      <c r="AI650" s="208"/>
      <c r="AJ650" s="208"/>
      <c r="AK650" s="208"/>
      <c r="AL650" s="208"/>
      <c r="AM650" s="208"/>
      <c r="AN650" s="208"/>
      <c r="AO650" s="208"/>
      <c r="AP650" s="208"/>
      <c r="AQ650" s="208"/>
      <c r="AR650" s="208"/>
      <c r="AS650" s="208"/>
      <c r="AT650" s="208"/>
      <c r="AU650" s="208"/>
      <c r="AV650" s="208"/>
      <c r="AW650" s="208"/>
      <c r="AX650" s="208"/>
      <c r="AY650" s="208"/>
    </row>
    <row r="651">
      <c r="A651" s="208"/>
      <c r="B651" s="533"/>
      <c r="C651" s="208"/>
      <c r="D651" s="208"/>
      <c r="E651" s="208"/>
      <c r="F651" s="584"/>
      <c r="G651" s="208"/>
      <c r="H651" s="208"/>
      <c r="I651" s="208"/>
      <c r="J651" s="208"/>
      <c r="K651" s="208"/>
      <c r="L651" s="536"/>
      <c r="M651" s="208"/>
      <c r="N651" s="208"/>
      <c r="O651" s="208"/>
      <c r="P651" s="208"/>
      <c r="Q651" s="208"/>
      <c r="R651" s="208"/>
      <c r="S651" s="208"/>
      <c r="T651" s="208"/>
      <c r="U651" s="208"/>
      <c r="V651" s="208"/>
      <c r="W651" s="208"/>
      <c r="X651" s="208"/>
      <c r="Y651" s="208"/>
      <c r="Z651" s="208"/>
      <c r="AA651" s="208"/>
      <c r="AB651" s="208"/>
      <c r="AC651" s="208"/>
      <c r="AD651" s="208"/>
      <c r="AE651" s="208"/>
      <c r="AF651" s="208"/>
      <c r="AG651" s="208"/>
      <c r="AH651" s="208"/>
      <c r="AI651" s="208"/>
      <c r="AJ651" s="208"/>
      <c r="AK651" s="208"/>
      <c r="AL651" s="208"/>
      <c r="AM651" s="208"/>
      <c r="AN651" s="208"/>
      <c r="AO651" s="208"/>
      <c r="AP651" s="208"/>
      <c r="AQ651" s="208"/>
      <c r="AR651" s="208"/>
      <c r="AS651" s="208"/>
      <c r="AT651" s="208"/>
      <c r="AU651" s="208"/>
      <c r="AV651" s="208"/>
      <c r="AW651" s="208"/>
      <c r="AX651" s="208"/>
      <c r="AY651" s="208"/>
    </row>
    <row r="652">
      <c r="A652" s="208"/>
      <c r="B652" s="533"/>
      <c r="C652" s="208"/>
      <c r="D652" s="208"/>
      <c r="E652" s="208"/>
      <c r="F652" s="584"/>
      <c r="G652" s="208"/>
      <c r="H652" s="208"/>
      <c r="I652" s="208"/>
      <c r="J652" s="208"/>
      <c r="K652" s="208"/>
      <c r="L652" s="536"/>
      <c r="M652" s="208"/>
      <c r="N652" s="208"/>
      <c r="O652" s="208"/>
      <c r="P652" s="208"/>
      <c r="Q652" s="208"/>
      <c r="R652" s="208"/>
      <c r="S652" s="208"/>
      <c r="T652" s="208"/>
      <c r="U652" s="208"/>
      <c r="V652" s="208"/>
      <c r="W652" s="208"/>
      <c r="X652" s="208"/>
      <c r="Y652" s="208"/>
      <c r="Z652" s="208"/>
      <c r="AA652" s="208"/>
      <c r="AB652" s="208"/>
      <c r="AC652" s="208"/>
      <c r="AD652" s="208"/>
      <c r="AE652" s="208"/>
      <c r="AF652" s="208"/>
      <c r="AG652" s="208"/>
      <c r="AH652" s="208"/>
      <c r="AI652" s="208"/>
      <c r="AJ652" s="208"/>
      <c r="AK652" s="208"/>
      <c r="AL652" s="208"/>
      <c r="AM652" s="208"/>
      <c r="AN652" s="208"/>
      <c r="AO652" s="208"/>
      <c r="AP652" s="208"/>
      <c r="AQ652" s="208"/>
      <c r="AR652" s="208"/>
      <c r="AS652" s="208"/>
      <c r="AT652" s="208"/>
      <c r="AU652" s="208"/>
      <c r="AV652" s="208"/>
      <c r="AW652" s="208"/>
      <c r="AX652" s="208"/>
      <c r="AY652" s="208"/>
    </row>
    <row r="653">
      <c r="A653" s="208"/>
      <c r="B653" s="533"/>
      <c r="C653" s="208"/>
      <c r="D653" s="208"/>
      <c r="E653" s="208"/>
      <c r="F653" s="584"/>
      <c r="G653" s="208"/>
      <c r="H653" s="208"/>
      <c r="I653" s="208"/>
      <c r="J653" s="208"/>
      <c r="K653" s="208"/>
      <c r="L653" s="536"/>
      <c r="M653" s="208"/>
      <c r="N653" s="208"/>
      <c r="O653" s="208"/>
      <c r="P653" s="208"/>
      <c r="Q653" s="208"/>
      <c r="R653" s="208"/>
      <c r="S653" s="208"/>
      <c r="T653" s="208"/>
      <c r="U653" s="208"/>
      <c r="V653" s="208"/>
      <c r="W653" s="208"/>
      <c r="X653" s="208"/>
      <c r="Y653" s="208"/>
      <c r="Z653" s="208"/>
      <c r="AA653" s="208"/>
      <c r="AB653" s="208"/>
      <c r="AC653" s="208"/>
      <c r="AD653" s="208"/>
      <c r="AE653" s="208"/>
      <c r="AF653" s="208"/>
      <c r="AG653" s="208"/>
      <c r="AH653" s="208"/>
      <c r="AI653" s="208"/>
      <c r="AJ653" s="208"/>
      <c r="AK653" s="208"/>
      <c r="AL653" s="208"/>
      <c r="AM653" s="208"/>
      <c r="AN653" s="208"/>
      <c r="AO653" s="208"/>
      <c r="AP653" s="208"/>
      <c r="AQ653" s="208"/>
      <c r="AR653" s="208"/>
      <c r="AS653" s="208"/>
      <c r="AT653" s="208"/>
      <c r="AU653" s="208"/>
      <c r="AV653" s="208"/>
      <c r="AW653" s="208"/>
      <c r="AX653" s="208"/>
      <c r="AY653" s="208"/>
    </row>
    <row r="654">
      <c r="A654" s="208"/>
      <c r="B654" s="533"/>
      <c r="C654" s="208"/>
      <c r="D654" s="208"/>
      <c r="E654" s="208"/>
      <c r="F654" s="584"/>
      <c r="G654" s="208"/>
      <c r="H654" s="208"/>
      <c r="I654" s="208"/>
      <c r="J654" s="208"/>
      <c r="K654" s="208"/>
      <c r="L654" s="536"/>
      <c r="M654" s="208"/>
      <c r="N654" s="208"/>
      <c r="O654" s="208"/>
      <c r="P654" s="208"/>
      <c r="Q654" s="208"/>
      <c r="R654" s="208"/>
      <c r="S654" s="208"/>
      <c r="T654" s="208"/>
      <c r="U654" s="208"/>
      <c r="V654" s="208"/>
      <c r="W654" s="208"/>
      <c r="X654" s="208"/>
      <c r="Y654" s="208"/>
      <c r="Z654" s="208"/>
      <c r="AA654" s="208"/>
      <c r="AB654" s="208"/>
      <c r="AC654" s="208"/>
      <c r="AD654" s="208"/>
      <c r="AE654" s="208"/>
      <c r="AF654" s="208"/>
      <c r="AG654" s="208"/>
      <c r="AH654" s="208"/>
      <c r="AI654" s="208"/>
      <c r="AJ654" s="208"/>
      <c r="AK654" s="208"/>
      <c r="AL654" s="208"/>
      <c r="AM654" s="208"/>
      <c r="AN654" s="208"/>
      <c r="AO654" s="208"/>
      <c r="AP654" s="208"/>
      <c r="AQ654" s="208"/>
      <c r="AR654" s="208"/>
      <c r="AS654" s="208"/>
      <c r="AT654" s="208"/>
      <c r="AU654" s="208"/>
      <c r="AV654" s="208"/>
      <c r="AW654" s="208"/>
      <c r="AX654" s="208"/>
      <c r="AY654" s="208"/>
    </row>
    <row r="655">
      <c r="A655" s="208"/>
      <c r="B655" s="533"/>
      <c r="C655" s="208"/>
      <c r="D655" s="208"/>
      <c r="E655" s="208"/>
      <c r="F655" s="584"/>
      <c r="G655" s="208"/>
      <c r="H655" s="208"/>
      <c r="I655" s="208"/>
      <c r="J655" s="208"/>
      <c r="K655" s="208"/>
      <c r="L655" s="536"/>
      <c r="M655" s="208"/>
      <c r="N655" s="208"/>
      <c r="O655" s="208"/>
      <c r="P655" s="208"/>
      <c r="Q655" s="208"/>
      <c r="R655" s="208"/>
      <c r="S655" s="208"/>
      <c r="T655" s="208"/>
      <c r="U655" s="208"/>
      <c r="V655" s="208"/>
      <c r="W655" s="208"/>
      <c r="X655" s="208"/>
      <c r="Y655" s="208"/>
      <c r="Z655" s="208"/>
      <c r="AA655" s="208"/>
      <c r="AB655" s="208"/>
      <c r="AC655" s="208"/>
      <c r="AD655" s="208"/>
      <c r="AE655" s="208"/>
      <c r="AF655" s="208"/>
      <c r="AG655" s="208"/>
      <c r="AH655" s="208"/>
      <c r="AI655" s="208"/>
      <c r="AJ655" s="208"/>
      <c r="AK655" s="208"/>
      <c r="AL655" s="208"/>
      <c r="AM655" s="208"/>
      <c r="AN655" s="208"/>
      <c r="AO655" s="208"/>
      <c r="AP655" s="208"/>
      <c r="AQ655" s="208"/>
      <c r="AR655" s="208"/>
      <c r="AS655" s="208"/>
      <c r="AT655" s="208"/>
      <c r="AU655" s="208"/>
      <c r="AV655" s="208"/>
      <c r="AW655" s="208"/>
      <c r="AX655" s="208"/>
      <c r="AY655" s="208"/>
    </row>
    <row r="656">
      <c r="A656" s="208"/>
      <c r="B656" s="533"/>
      <c r="C656" s="208"/>
      <c r="D656" s="208"/>
      <c r="E656" s="208"/>
      <c r="F656" s="584"/>
      <c r="G656" s="208"/>
      <c r="H656" s="208"/>
      <c r="I656" s="208"/>
      <c r="J656" s="208"/>
      <c r="K656" s="208"/>
      <c r="L656" s="536"/>
      <c r="M656" s="208"/>
      <c r="N656" s="208"/>
      <c r="O656" s="208"/>
      <c r="P656" s="208"/>
      <c r="Q656" s="208"/>
      <c r="R656" s="208"/>
      <c r="S656" s="208"/>
      <c r="T656" s="208"/>
      <c r="U656" s="208"/>
      <c r="V656" s="208"/>
      <c r="W656" s="208"/>
      <c r="X656" s="208"/>
      <c r="Y656" s="208"/>
      <c r="Z656" s="208"/>
      <c r="AA656" s="208"/>
      <c r="AB656" s="208"/>
      <c r="AC656" s="208"/>
      <c r="AD656" s="208"/>
      <c r="AE656" s="208"/>
      <c r="AF656" s="208"/>
      <c r="AG656" s="208"/>
      <c r="AH656" s="208"/>
      <c r="AI656" s="208"/>
      <c r="AJ656" s="208"/>
      <c r="AK656" s="208"/>
      <c r="AL656" s="208"/>
      <c r="AM656" s="208"/>
      <c r="AN656" s="208"/>
      <c r="AO656" s="208"/>
      <c r="AP656" s="208"/>
      <c r="AQ656" s="208"/>
      <c r="AR656" s="208"/>
      <c r="AS656" s="208"/>
      <c r="AT656" s="208"/>
      <c r="AU656" s="208"/>
      <c r="AV656" s="208"/>
      <c r="AW656" s="208"/>
      <c r="AX656" s="208"/>
      <c r="AY656" s="208"/>
    </row>
    <row r="657">
      <c r="A657" s="208"/>
      <c r="B657" s="533"/>
      <c r="C657" s="208"/>
      <c r="D657" s="208"/>
      <c r="E657" s="208"/>
      <c r="F657" s="584"/>
      <c r="G657" s="208"/>
      <c r="H657" s="208"/>
      <c r="I657" s="208"/>
      <c r="J657" s="208"/>
      <c r="K657" s="208"/>
      <c r="L657" s="536"/>
      <c r="M657" s="208"/>
      <c r="N657" s="208"/>
      <c r="O657" s="208"/>
      <c r="P657" s="208"/>
      <c r="Q657" s="208"/>
      <c r="R657" s="208"/>
      <c r="S657" s="208"/>
      <c r="T657" s="208"/>
      <c r="U657" s="208"/>
      <c r="V657" s="208"/>
      <c r="W657" s="208"/>
      <c r="X657" s="208"/>
      <c r="Y657" s="208"/>
      <c r="Z657" s="208"/>
      <c r="AA657" s="208"/>
      <c r="AB657" s="208"/>
      <c r="AC657" s="208"/>
      <c r="AD657" s="208"/>
      <c r="AE657" s="208"/>
      <c r="AF657" s="208"/>
      <c r="AG657" s="208"/>
      <c r="AH657" s="208"/>
      <c r="AI657" s="208"/>
      <c r="AJ657" s="208"/>
      <c r="AK657" s="208"/>
      <c r="AL657" s="208"/>
      <c r="AM657" s="208"/>
      <c r="AN657" s="208"/>
      <c r="AO657" s="208"/>
      <c r="AP657" s="208"/>
      <c r="AQ657" s="208"/>
      <c r="AR657" s="208"/>
      <c r="AS657" s="208"/>
      <c r="AT657" s="208"/>
      <c r="AU657" s="208"/>
      <c r="AV657" s="208"/>
      <c r="AW657" s="208"/>
      <c r="AX657" s="208"/>
      <c r="AY657" s="208"/>
    </row>
    <row r="658">
      <c r="A658" s="208"/>
      <c r="B658" s="533"/>
      <c r="C658" s="208"/>
      <c r="D658" s="208"/>
      <c r="E658" s="208"/>
      <c r="F658" s="584"/>
      <c r="G658" s="208"/>
      <c r="H658" s="208"/>
      <c r="I658" s="208"/>
      <c r="J658" s="208"/>
      <c r="K658" s="208"/>
      <c r="L658" s="536"/>
      <c r="M658" s="208"/>
      <c r="N658" s="208"/>
      <c r="O658" s="208"/>
      <c r="P658" s="208"/>
      <c r="Q658" s="208"/>
      <c r="R658" s="208"/>
      <c r="S658" s="208"/>
      <c r="T658" s="208"/>
      <c r="U658" s="208"/>
      <c r="V658" s="208"/>
      <c r="W658" s="208"/>
      <c r="X658" s="208"/>
      <c r="Y658" s="208"/>
      <c r="Z658" s="208"/>
      <c r="AA658" s="208"/>
      <c r="AB658" s="208"/>
      <c r="AC658" s="208"/>
      <c r="AD658" s="208"/>
      <c r="AE658" s="208"/>
      <c r="AF658" s="208"/>
      <c r="AG658" s="208"/>
      <c r="AH658" s="208"/>
      <c r="AI658" s="208"/>
      <c r="AJ658" s="208"/>
      <c r="AK658" s="208"/>
      <c r="AL658" s="208"/>
      <c r="AM658" s="208"/>
      <c r="AN658" s="208"/>
      <c r="AO658" s="208"/>
      <c r="AP658" s="208"/>
      <c r="AQ658" s="208"/>
      <c r="AR658" s="208"/>
      <c r="AS658" s="208"/>
      <c r="AT658" s="208"/>
      <c r="AU658" s="208"/>
      <c r="AV658" s="208"/>
      <c r="AW658" s="208"/>
      <c r="AX658" s="208"/>
      <c r="AY658" s="208"/>
    </row>
    <row r="659">
      <c r="A659" s="208"/>
      <c r="B659" s="533"/>
      <c r="C659" s="208"/>
      <c r="D659" s="208"/>
      <c r="E659" s="208"/>
      <c r="F659" s="584"/>
      <c r="G659" s="208"/>
      <c r="H659" s="208"/>
      <c r="I659" s="208"/>
      <c r="J659" s="208"/>
      <c r="K659" s="208"/>
      <c r="L659" s="536"/>
      <c r="M659" s="208"/>
      <c r="N659" s="208"/>
      <c r="O659" s="208"/>
      <c r="P659" s="208"/>
      <c r="Q659" s="208"/>
      <c r="R659" s="208"/>
      <c r="S659" s="208"/>
      <c r="T659" s="208"/>
      <c r="U659" s="208"/>
      <c r="V659" s="208"/>
      <c r="W659" s="208"/>
      <c r="X659" s="208"/>
      <c r="Y659" s="208"/>
      <c r="Z659" s="208"/>
      <c r="AA659" s="208"/>
      <c r="AB659" s="208"/>
      <c r="AC659" s="208"/>
      <c r="AD659" s="208"/>
      <c r="AE659" s="208"/>
      <c r="AF659" s="208"/>
      <c r="AG659" s="208"/>
      <c r="AH659" s="208"/>
      <c r="AI659" s="208"/>
      <c r="AJ659" s="208"/>
      <c r="AK659" s="208"/>
      <c r="AL659" s="208"/>
      <c r="AM659" s="208"/>
      <c r="AN659" s="208"/>
      <c r="AO659" s="208"/>
      <c r="AP659" s="208"/>
      <c r="AQ659" s="208"/>
      <c r="AR659" s="208"/>
      <c r="AS659" s="208"/>
      <c r="AT659" s="208"/>
      <c r="AU659" s="208"/>
      <c r="AV659" s="208"/>
      <c r="AW659" s="208"/>
      <c r="AX659" s="208"/>
      <c r="AY659" s="208"/>
    </row>
    <row r="660">
      <c r="A660" s="208"/>
      <c r="B660" s="533"/>
      <c r="C660" s="208"/>
      <c r="D660" s="208"/>
      <c r="E660" s="208"/>
      <c r="F660" s="584"/>
      <c r="G660" s="208"/>
      <c r="H660" s="208"/>
      <c r="I660" s="208"/>
      <c r="J660" s="208"/>
      <c r="K660" s="208"/>
      <c r="L660" s="536"/>
      <c r="M660" s="208"/>
      <c r="N660" s="208"/>
      <c r="O660" s="208"/>
      <c r="P660" s="208"/>
      <c r="Q660" s="208"/>
      <c r="R660" s="208"/>
      <c r="S660" s="208"/>
      <c r="T660" s="208"/>
      <c r="U660" s="208"/>
      <c r="V660" s="208"/>
      <c r="W660" s="208"/>
      <c r="X660" s="208"/>
      <c r="Y660" s="208"/>
      <c r="Z660" s="208"/>
      <c r="AA660" s="208"/>
      <c r="AB660" s="208"/>
      <c r="AC660" s="208"/>
      <c r="AD660" s="208"/>
      <c r="AE660" s="208"/>
      <c r="AF660" s="208"/>
      <c r="AG660" s="208"/>
      <c r="AH660" s="208"/>
      <c r="AI660" s="208"/>
      <c r="AJ660" s="208"/>
      <c r="AK660" s="208"/>
      <c r="AL660" s="208"/>
      <c r="AM660" s="208"/>
      <c r="AN660" s="208"/>
      <c r="AO660" s="208"/>
      <c r="AP660" s="208"/>
      <c r="AQ660" s="208"/>
      <c r="AR660" s="208"/>
      <c r="AS660" s="208"/>
      <c r="AT660" s="208"/>
      <c r="AU660" s="208"/>
      <c r="AV660" s="208"/>
      <c r="AW660" s="208"/>
      <c r="AX660" s="208"/>
      <c r="AY660" s="208"/>
    </row>
    <row r="661">
      <c r="A661" s="208"/>
      <c r="B661" s="533"/>
      <c r="C661" s="208"/>
      <c r="D661" s="208"/>
      <c r="E661" s="208"/>
      <c r="F661" s="584"/>
      <c r="G661" s="208"/>
      <c r="H661" s="208"/>
      <c r="I661" s="208"/>
      <c r="J661" s="208"/>
      <c r="K661" s="208"/>
      <c r="L661" s="536"/>
      <c r="M661" s="208"/>
      <c r="N661" s="208"/>
      <c r="O661" s="208"/>
      <c r="P661" s="208"/>
      <c r="Q661" s="208"/>
      <c r="R661" s="208"/>
      <c r="S661" s="208"/>
      <c r="T661" s="208"/>
      <c r="U661" s="208"/>
      <c r="V661" s="208"/>
      <c r="W661" s="208"/>
      <c r="X661" s="208"/>
      <c r="Y661" s="208"/>
      <c r="Z661" s="208"/>
      <c r="AA661" s="208"/>
      <c r="AB661" s="208"/>
      <c r="AC661" s="208"/>
      <c r="AD661" s="208"/>
      <c r="AE661" s="208"/>
      <c r="AF661" s="208"/>
      <c r="AG661" s="208"/>
      <c r="AH661" s="208"/>
      <c r="AI661" s="208"/>
      <c r="AJ661" s="208"/>
      <c r="AK661" s="208"/>
      <c r="AL661" s="208"/>
      <c r="AM661" s="208"/>
      <c r="AN661" s="208"/>
      <c r="AO661" s="208"/>
      <c r="AP661" s="208"/>
      <c r="AQ661" s="208"/>
      <c r="AR661" s="208"/>
      <c r="AS661" s="208"/>
      <c r="AT661" s="208"/>
      <c r="AU661" s="208"/>
      <c r="AV661" s="208"/>
      <c r="AW661" s="208"/>
      <c r="AX661" s="208"/>
      <c r="AY661" s="208"/>
    </row>
    <row r="662">
      <c r="A662" s="208"/>
      <c r="B662" s="533"/>
      <c r="C662" s="208"/>
      <c r="D662" s="208"/>
      <c r="E662" s="208"/>
      <c r="F662" s="584"/>
      <c r="G662" s="208"/>
      <c r="H662" s="208"/>
      <c r="I662" s="208"/>
      <c r="J662" s="208"/>
      <c r="K662" s="208"/>
      <c r="L662" s="536"/>
      <c r="M662" s="208"/>
      <c r="N662" s="208"/>
      <c r="O662" s="208"/>
      <c r="P662" s="208"/>
      <c r="Q662" s="208"/>
      <c r="R662" s="208"/>
      <c r="S662" s="208"/>
      <c r="T662" s="208"/>
      <c r="U662" s="208"/>
      <c r="V662" s="208"/>
      <c r="W662" s="208"/>
      <c r="X662" s="208"/>
      <c r="Y662" s="208"/>
      <c r="Z662" s="208"/>
      <c r="AA662" s="208"/>
      <c r="AB662" s="208"/>
      <c r="AC662" s="208"/>
      <c r="AD662" s="208"/>
      <c r="AE662" s="208"/>
      <c r="AF662" s="208"/>
      <c r="AG662" s="208"/>
      <c r="AH662" s="208"/>
      <c r="AI662" s="208"/>
      <c r="AJ662" s="208"/>
      <c r="AK662" s="208"/>
      <c r="AL662" s="208"/>
      <c r="AM662" s="208"/>
      <c r="AN662" s="208"/>
      <c r="AO662" s="208"/>
      <c r="AP662" s="208"/>
      <c r="AQ662" s="208"/>
      <c r="AR662" s="208"/>
      <c r="AS662" s="208"/>
      <c r="AT662" s="208"/>
      <c r="AU662" s="208"/>
      <c r="AV662" s="208"/>
      <c r="AW662" s="208"/>
      <c r="AX662" s="208"/>
      <c r="AY662" s="208"/>
    </row>
    <row r="663">
      <c r="A663" s="208"/>
      <c r="B663" s="533"/>
      <c r="C663" s="208"/>
      <c r="D663" s="208"/>
      <c r="E663" s="208"/>
      <c r="F663" s="584"/>
      <c r="G663" s="208"/>
      <c r="H663" s="208"/>
      <c r="I663" s="208"/>
      <c r="J663" s="208"/>
      <c r="K663" s="208"/>
      <c r="L663" s="536"/>
      <c r="M663" s="208"/>
      <c r="N663" s="208"/>
      <c r="O663" s="208"/>
      <c r="P663" s="208"/>
      <c r="Q663" s="208"/>
      <c r="R663" s="208"/>
      <c r="S663" s="208"/>
      <c r="T663" s="208"/>
      <c r="U663" s="208"/>
      <c r="V663" s="208"/>
      <c r="W663" s="208"/>
      <c r="X663" s="208"/>
      <c r="Y663" s="208"/>
      <c r="Z663" s="208"/>
      <c r="AA663" s="208"/>
      <c r="AB663" s="208"/>
      <c r="AC663" s="208"/>
      <c r="AD663" s="208"/>
      <c r="AE663" s="208"/>
      <c r="AF663" s="208"/>
      <c r="AG663" s="208"/>
      <c r="AH663" s="208"/>
      <c r="AI663" s="208"/>
      <c r="AJ663" s="208"/>
      <c r="AK663" s="208"/>
      <c r="AL663" s="208"/>
      <c r="AM663" s="208"/>
      <c r="AN663" s="208"/>
      <c r="AO663" s="208"/>
      <c r="AP663" s="208"/>
      <c r="AQ663" s="208"/>
      <c r="AR663" s="208"/>
      <c r="AS663" s="208"/>
      <c r="AT663" s="208"/>
      <c r="AU663" s="208"/>
      <c r="AV663" s="208"/>
      <c r="AW663" s="208"/>
      <c r="AX663" s="208"/>
      <c r="AY663" s="208"/>
    </row>
    <row r="664">
      <c r="A664" s="208"/>
      <c r="B664" s="533"/>
      <c r="C664" s="208"/>
      <c r="D664" s="208"/>
      <c r="E664" s="208"/>
      <c r="F664" s="584"/>
      <c r="G664" s="208"/>
      <c r="H664" s="208"/>
      <c r="I664" s="208"/>
      <c r="J664" s="208"/>
      <c r="K664" s="208"/>
      <c r="L664" s="536"/>
      <c r="M664" s="208"/>
      <c r="N664" s="208"/>
      <c r="O664" s="208"/>
      <c r="P664" s="208"/>
      <c r="Q664" s="208"/>
      <c r="R664" s="208"/>
      <c r="S664" s="208"/>
      <c r="T664" s="208"/>
      <c r="U664" s="208"/>
      <c r="V664" s="208"/>
      <c r="W664" s="208"/>
      <c r="X664" s="208"/>
      <c r="Y664" s="208"/>
      <c r="Z664" s="208"/>
      <c r="AA664" s="208"/>
      <c r="AB664" s="208"/>
      <c r="AC664" s="208"/>
      <c r="AD664" s="208"/>
      <c r="AE664" s="208"/>
      <c r="AF664" s="208"/>
      <c r="AG664" s="208"/>
      <c r="AH664" s="208"/>
      <c r="AI664" s="208"/>
      <c r="AJ664" s="208"/>
      <c r="AK664" s="208"/>
      <c r="AL664" s="208"/>
      <c r="AM664" s="208"/>
      <c r="AN664" s="208"/>
      <c r="AO664" s="208"/>
      <c r="AP664" s="208"/>
      <c r="AQ664" s="208"/>
      <c r="AR664" s="208"/>
      <c r="AS664" s="208"/>
      <c r="AT664" s="208"/>
      <c r="AU664" s="208"/>
      <c r="AV664" s="208"/>
      <c r="AW664" s="208"/>
      <c r="AX664" s="208"/>
      <c r="AY664" s="208"/>
    </row>
    <row r="665">
      <c r="A665" s="208"/>
      <c r="B665" s="533"/>
      <c r="C665" s="208"/>
      <c r="D665" s="208"/>
      <c r="E665" s="208"/>
      <c r="F665" s="584"/>
      <c r="G665" s="208"/>
      <c r="H665" s="208"/>
      <c r="I665" s="208"/>
      <c r="J665" s="208"/>
      <c r="K665" s="208"/>
      <c r="L665" s="536"/>
      <c r="M665" s="208"/>
      <c r="N665" s="208"/>
      <c r="O665" s="208"/>
      <c r="P665" s="208"/>
      <c r="Q665" s="208"/>
      <c r="R665" s="208"/>
      <c r="S665" s="208"/>
      <c r="T665" s="208"/>
      <c r="U665" s="208"/>
      <c r="V665" s="208"/>
      <c r="W665" s="208"/>
      <c r="X665" s="208"/>
      <c r="Y665" s="208"/>
      <c r="Z665" s="208"/>
      <c r="AA665" s="208"/>
      <c r="AB665" s="208"/>
      <c r="AC665" s="208"/>
      <c r="AD665" s="208"/>
      <c r="AE665" s="208"/>
      <c r="AF665" s="208"/>
      <c r="AG665" s="208"/>
      <c r="AH665" s="208"/>
      <c r="AI665" s="208"/>
      <c r="AJ665" s="208"/>
      <c r="AK665" s="208"/>
      <c r="AL665" s="208"/>
      <c r="AM665" s="208"/>
      <c r="AN665" s="208"/>
      <c r="AO665" s="208"/>
      <c r="AP665" s="208"/>
      <c r="AQ665" s="208"/>
      <c r="AR665" s="208"/>
      <c r="AS665" s="208"/>
      <c r="AT665" s="208"/>
      <c r="AU665" s="208"/>
      <c r="AV665" s="208"/>
      <c r="AW665" s="208"/>
      <c r="AX665" s="208"/>
      <c r="AY665" s="208"/>
    </row>
    <row r="666">
      <c r="A666" s="208"/>
      <c r="B666" s="533"/>
      <c r="C666" s="208"/>
      <c r="D666" s="208"/>
      <c r="E666" s="208"/>
      <c r="F666" s="584"/>
      <c r="G666" s="208"/>
      <c r="H666" s="208"/>
      <c r="I666" s="208"/>
      <c r="J666" s="208"/>
      <c r="K666" s="208"/>
      <c r="L666" s="536"/>
      <c r="M666" s="208"/>
      <c r="N666" s="208"/>
      <c r="O666" s="208"/>
      <c r="P666" s="208"/>
      <c r="Q666" s="208"/>
      <c r="R666" s="208"/>
      <c r="S666" s="208"/>
      <c r="T666" s="208"/>
      <c r="U666" s="208"/>
      <c r="V666" s="208"/>
      <c r="W666" s="208"/>
      <c r="X666" s="208"/>
      <c r="Y666" s="208"/>
      <c r="Z666" s="208"/>
      <c r="AA666" s="208"/>
      <c r="AB666" s="208"/>
      <c r="AC666" s="208"/>
      <c r="AD666" s="208"/>
      <c r="AE666" s="208"/>
      <c r="AF666" s="208"/>
      <c r="AG666" s="208"/>
      <c r="AH666" s="208"/>
      <c r="AI666" s="208"/>
      <c r="AJ666" s="208"/>
      <c r="AK666" s="208"/>
      <c r="AL666" s="208"/>
      <c r="AM666" s="208"/>
      <c r="AN666" s="208"/>
      <c r="AO666" s="208"/>
      <c r="AP666" s="208"/>
      <c r="AQ666" s="208"/>
      <c r="AR666" s="208"/>
      <c r="AS666" s="208"/>
      <c r="AT666" s="208"/>
      <c r="AU666" s="208"/>
      <c r="AV666" s="208"/>
      <c r="AW666" s="208"/>
      <c r="AX666" s="208"/>
      <c r="AY666" s="208"/>
    </row>
    <row r="667">
      <c r="A667" s="208"/>
      <c r="B667" s="533"/>
      <c r="C667" s="208"/>
      <c r="D667" s="208"/>
      <c r="E667" s="208"/>
      <c r="F667" s="584"/>
      <c r="G667" s="208"/>
      <c r="H667" s="208"/>
      <c r="I667" s="208"/>
      <c r="J667" s="208"/>
      <c r="K667" s="208"/>
      <c r="L667" s="536"/>
      <c r="M667" s="208"/>
      <c r="N667" s="208"/>
      <c r="O667" s="208"/>
      <c r="P667" s="208"/>
      <c r="Q667" s="208"/>
      <c r="R667" s="208"/>
      <c r="S667" s="208"/>
      <c r="T667" s="208"/>
      <c r="U667" s="208"/>
      <c r="V667" s="208"/>
      <c r="W667" s="208"/>
      <c r="X667" s="208"/>
      <c r="Y667" s="208"/>
      <c r="Z667" s="208"/>
      <c r="AA667" s="208"/>
      <c r="AB667" s="208"/>
      <c r="AC667" s="208"/>
      <c r="AD667" s="208"/>
      <c r="AE667" s="208"/>
      <c r="AF667" s="208"/>
      <c r="AG667" s="208"/>
      <c r="AH667" s="208"/>
      <c r="AI667" s="208"/>
      <c r="AJ667" s="208"/>
      <c r="AK667" s="208"/>
      <c r="AL667" s="208"/>
      <c r="AM667" s="208"/>
      <c r="AN667" s="208"/>
      <c r="AO667" s="208"/>
      <c r="AP667" s="208"/>
      <c r="AQ667" s="208"/>
      <c r="AR667" s="208"/>
      <c r="AS667" s="208"/>
      <c r="AT667" s="208"/>
      <c r="AU667" s="208"/>
      <c r="AV667" s="208"/>
      <c r="AW667" s="208"/>
      <c r="AX667" s="208"/>
      <c r="AY667" s="208"/>
    </row>
    <row r="668">
      <c r="A668" s="208"/>
      <c r="B668" s="533"/>
      <c r="C668" s="208"/>
      <c r="D668" s="208"/>
      <c r="E668" s="208"/>
      <c r="F668" s="584"/>
      <c r="G668" s="208"/>
      <c r="H668" s="208"/>
      <c r="I668" s="208"/>
      <c r="J668" s="208"/>
      <c r="K668" s="208"/>
      <c r="L668" s="536"/>
      <c r="M668" s="208"/>
      <c r="N668" s="208"/>
      <c r="O668" s="208"/>
      <c r="P668" s="208"/>
      <c r="Q668" s="208"/>
      <c r="R668" s="208"/>
      <c r="S668" s="208"/>
      <c r="T668" s="208"/>
      <c r="U668" s="208"/>
      <c r="V668" s="208"/>
      <c r="W668" s="208"/>
      <c r="X668" s="208"/>
      <c r="Y668" s="208"/>
      <c r="Z668" s="208"/>
      <c r="AA668" s="208"/>
      <c r="AB668" s="208"/>
      <c r="AC668" s="208"/>
      <c r="AD668" s="208"/>
      <c r="AE668" s="208"/>
      <c r="AF668" s="208"/>
      <c r="AG668" s="208"/>
      <c r="AH668" s="208"/>
      <c r="AI668" s="208"/>
      <c r="AJ668" s="208"/>
      <c r="AK668" s="208"/>
      <c r="AL668" s="208"/>
      <c r="AM668" s="208"/>
      <c r="AN668" s="208"/>
      <c r="AO668" s="208"/>
      <c r="AP668" s="208"/>
      <c r="AQ668" s="208"/>
      <c r="AR668" s="208"/>
      <c r="AS668" s="208"/>
      <c r="AT668" s="208"/>
      <c r="AU668" s="208"/>
      <c r="AV668" s="208"/>
      <c r="AW668" s="208"/>
      <c r="AX668" s="208"/>
      <c r="AY668" s="208"/>
    </row>
    <row r="669">
      <c r="A669" s="208"/>
      <c r="B669" s="533"/>
      <c r="C669" s="208"/>
      <c r="D669" s="208"/>
      <c r="E669" s="208"/>
      <c r="F669" s="584"/>
      <c r="G669" s="208"/>
      <c r="H669" s="208"/>
      <c r="I669" s="208"/>
      <c r="J669" s="208"/>
      <c r="K669" s="208"/>
      <c r="L669" s="536"/>
      <c r="M669" s="208"/>
      <c r="N669" s="208"/>
      <c r="O669" s="208"/>
      <c r="P669" s="208"/>
      <c r="Q669" s="208"/>
      <c r="R669" s="208"/>
      <c r="S669" s="208"/>
      <c r="T669" s="208"/>
      <c r="U669" s="208"/>
      <c r="V669" s="208"/>
      <c r="W669" s="208"/>
      <c r="X669" s="208"/>
      <c r="Y669" s="208"/>
      <c r="Z669" s="208"/>
      <c r="AA669" s="208"/>
      <c r="AB669" s="208"/>
      <c r="AC669" s="208"/>
      <c r="AD669" s="208"/>
      <c r="AE669" s="208"/>
      <c r="AF669" s="208"/>
      <c r="AG669" s="208"/>
      <c r="AH669" s="208"/>
      <c r="AI669" s="208"/>
      <c r="AJ669" s="208"/>
      <c r="AK669" s="208"/>
      <c r="AL669" s="208"/>
      <c r="AM669" s="208"/>
      <c r="AN669" s="208"/>
      <c r="AO669" s="208"/>
      <c r="AP669" s="208"/>
      <c r="AQ669" s="208"/>
      <c r="AR669" s="208"/>
      <c r="AS669" s="208"/>
      <c r="AT669" s="208"/>
      <c r="AU669" s="208"/>
      <c r="AV669" s="208"/>
      <c r="AW669" s="208"/>
      <c r="AX669" s="208"/>
      <c r="AY669" s="208"/>
    </row>
    <row r="670">
      <c r="A670" s="208"/>
      <c r="B670" s="533"/>
      <c r="C670" s="208"/>
      <c r="D670" s="208"/>
      <c r="E670" s="208"/>
      <c r="F670" s="584"/>
      <c r="G670" s="208"/>
      <c r="H670" s="208"/>
      <c r="I670" s="208"/>
      <c r="J670" s="208"/>
      <c r="K670" s="208"/>
      <c r="L670" s="536"/>
      <c r="M670" s="208"/>
      <c r="N670" s="208"/>
      <c r="O670" s="208"/>
      <c r="P670" s="208"/>
      <c r="Q670" s="208"/>
      <c r="R670" s="208"/>
      <c r="S670" s="208"/>
      <c r="T670" s="208"/>
      <c r="U670" s="208"/>
      <c r="V670" s="208"/>
      <c r="W670" s="208"/>
      <c r="X670" s="208"/>
      <c r="Y670" s="208"/>
      <c r="Z670" s="208"/>
      <c r="AA670" s="208"/>
      <c r="AB670" s="208"/>
      <c r="AC670" s="208"/>
      <c r="AD670" s="208"/>
      <c r="AE670" s="208"/>
      <c r="AF670" s="208"/>
      <c r="AG670" s="208"/>
      <c r="AH670" s="208"/>
      <c r="AI670" s="208"/>
      <c r="AJ670" s="208"/>
      <c r="AK670" s="208"/>
      <c r="AL670" s="208"/>
      <c r="AM670" s="208"/>
      <c r="AN670" s="208"/>
      <c r="AO670" s="208"/>
      <c r="AP670" s="208"/>
      <c r="AQ670" s="208"/>
      <c r="AR670" s="208"/>
      <c r="AS670" s="208"/>
      <c r="AT670" s="208"/>
      <c r="AU670" s="208"/>
      <c r="AV670" s="208"/>
      <c r="AW670" s="208"/>
      <c r="AX670" s="208"/>
      <c r="AY670" s="208"/>
    </row>
    <row r="671">
      <c r="A671" s="208"/>
      <c r="B671" s="533"/>
      <c r="C671" s="208"/>
      <c r="D671" s="208"/>
      <c r="E671" s="208"/>
      <c r="F671" s="584"/>
      <c r="G671" s="208"/>
      <c r="H671" s="208"/>
      <c r="I671" s="208"/>
      <c r="J671" s="208"/>
      <c r="K671" s="208"/>
      <c r="L671" s="536"/>
      <c r="M671" s="208"/>
      <c r="N671" s="208"/>
      <c r="O671" s="208"/>
      <c r="P671" s="208"/>
      <c r="Q671" s="208"/>
      <c r="R671" s="208"/>
      <c r="S671" s="208"/>
      <c r="T671" s="208"/>
      <c r="U671" s="208"/>
      <c r="V671" s="208"/>
      <c r="W671" s="208"/>
      <c r="X671" s="208"/>
      <c r="Y671" s="208"/>
      <c r="Z671" s="208"/>
      <c r="AA671" s="208"/>
      <c r="AB671" s="208"/>
      <c r="AC671" s="208"/>
      <c r="AD671" s="208"/>
      <c r="AE671" s="208"/>
      <c r="AF671" s="208"/>
      <c r="AG671" s="208"/>
      <c r="AH671" s="208"/>
      <c r="AI671" s="208"/>
      <c r="AJ671" s="208"/>
      <c r="AK671" s="208"/>
      <c r="AL671" s="208"/>
      <c r="AM671" s="208"/>
      <c r="AN671" s="208"/>
      <c r="AO671" s="208"/>
      <c r="AP671" s="208"/>
      <c r="AQ671" s="208"/>
      <c r="AR671" s="208"/>
      <c r="AS671" s="208"/>
      <c r="AT671" s="208"/>
      <c r="AU671" s="208"/>
      <c r="AV671" s="208"/>
      <c r="AW671" s="208"/>
      <c r="AX671" s="208"/>
      <c r="AY671" s="208"/>
    </row>
    <row r="672">
      <c r="A672" s="208"/>
      <c r="B672" s="533"/>
      <c r="C672" s="208"/>
      <c r="D672" s="208"/>
      <c r="E672" s="208"/>
      <c r="F672" s="584"/>
      <c r="G672" s="208"/>
      <c r="H672" s="208"/>
      <c r="I672" s="208"/>
      <c r="J672" s="208"/>
      <c r="K672" s="208"/>
      <c r="L672" s="536"/>
      <c r="M672" s="208"/>
      <c r="N672" s="208"/>
      <c r="O672" s="208"/>
      <c r="P672" s="208"/>
      <c r="Q672" s="208"/>
      <c r="R672" s="208"/>
      <c r="S672" s="208"/>
      <c r="T672" s="208"/>
      <c r="U672" s="208"/>
      <c r="V672" s="208"/>
      <c r="W672" s="208"/>
      <c r="X672" s="208"/>
      <c r="Y672" s="208"/>
      <c r="Z672" s="208"/>
      <c r="AA672" s="208"/>
      <c r="AB672" s="208"/>
      <c r="AC672" s="208"/>
      <c r="AD672" s="208"/>
      <c r="AE672" s="208"/>
      <c r="AF672" s="208"/>
      <c r="AG672" s="208"/>
      <c r="AH672" s="208"/>
      <c r="AI672" s="208"/>
      <c r="AJ672" s="208"/>
      <c r="AK672" s="208"/>
      <c r="AL672" s="208"/>
      <c r="AM672" s="208"/>
      <c r="AN672" s="208"/>
      <c r="AO672" s="208"/>
      <c r="AP672" s="208"/>
      <c r="AQ672" s="208"/>
      <c r="AR672" s="208"/>
      <c r="AS672" s="208"/>
      <c r="AT672" s="208"/>
      <c r="AU672" s="208"/>
      <c r="AV672" s="208"/>
      <c r="AW672" s="208"/>
      <c r="AX672" s="208"/>
      <c r="AY672" s="208"/>
    </row>
    <row r="673">
      <c r="A673" s="208"/>
      <c r="B673" s="533"/>
      <c r="C673" s="208"/>
      <c r="D673" s="208"/>
      <c r="E673" s="208"/>
      <c r="F673" s="584"/>
      <c r="G673" s="208"/>
      <c r="H673" s="208"/>
      <c r="I673" s="208"/>
      <c r="J673" s="208"/>
      <c r="K673" s="208"/>
      <c r="L673" s="536"/>
      <c r="M673" s="208"/>
      <c r="N673" s="208"/>
      <c r="O673" s="208"/>
      <c r="P673" s="208"/>
      <c r="Q673" s="208"/>
      <c r="R673" s="208"/>
      <c r="S673" s="208"/>
      <c r="T673" s="208"/>
      <c r="U673" s="208"/>
      <c r="V673" s="208"/>
      <c r="W673" s="208"/>
      <c r="X673" s="208"/>
      <c r="Y673" s="208"/>
      <c r="Z673" s="208"/>
      <c r="AA673" s="208"/>
      <c r="AB673" s="208"/>
      <c r="AC673" s="208"/>
      <c r="AD673" s="208"/>
      <c r="AE673" s="208"/>
      <c r="AF673" s="208"/>
      <c r="AG673" s="208"/>
      <c r="AH673" s="208"/>
      <c r="AI673" s="208"/>
      <c r="AJ673" s="208"/>
      <c r="AK673" s="208"/>
      <c r="AL673" s="208"/>
      <c r="AM673" s="208"/>
      <c r="AN673" s="208"/>
      <c r="AO673" s="208"/>
      <c r="AP673" s="208"/>
      <c r="AQ673" s="208"/>
      <c r="AR673" s="208"/>
      <c r="AS673" s="208"/>
      <c r="AT673" s="208"/>
      <c r="AU673" s="208"/>
      <c r="AV673" s="208"/>
      <c r="AW673" s="208"/>
      <c r="AX673" s="208"/>
      <c r="AY673" s="208"/>
    </row>
    <row r="674">
      <c r="A674" s="208"/>
      <c r="B674" s="533"/>
      <c r="C674" s="208"/>
      <c r="D674" s="208"/>
      <c r="E674" s="208"/>
      <c r="F674" s="584"/>
      <c r="G674" s="208"/>
      <c r="H674" s="208"/>
      <c r="I674" s="208"/>
      <c r="J674" s="208"/>
      <c r="K674" s="208"/>
      <c r="L674" s="536"/>
      <c r="M674" s="208"/>
      <c r="N674" s="208"/>
      <c r="O674" s="208"/>
      <c r="P674" s="208"/>
      <c r="Q674" s="208"/>
      <c r="R674" s="208"/>
      <c r="S674" s="208"/>
      <c r="T674" s="208"/>
      <c r="U674" s="208"/>
      <c r="V674" s="208"/>
      <c r="W674" s="208"/>
      <c r="X674" s="208"/>
      <c r="Y674" s="208"/>
      <c r="Z674" s="208"/>
      <c r="AA674" s="208"/>
      <c r="AB674" s="208"/>
      <c r="AC674" s="208"/>
      <c r="AD674" s="208"/>
      <c r="AE674" s="208"/>
      <c r="AF674" s="208"/>
      <c r="AG674" s="208"/>
      <c r="AH674" s="208"/>
      <c r="AI674" s="208"/>
      <c r="AJ674" s="208"/>
      <c r="AK674" s="208"/>
      <c r="AL674" s="208"/>
      <c r="AM674" s="208"/>
      <c r="AN674" s="208"/>
      <c r="AO674" s="208"/>
      <c r="AP674" s="208"/>
      <c r="AQ674" s="208"/>
      <c r="AR674" s="208"/>
      <c r="AS674" s="208"/>
      <c r="AT674" s="208"/>
      <c r="AU674" s="208"/>
      <c r="AV674" s="208"/>
      <c r="AW674" s="208"/>
      <c r="AX674" s="208"/>
      <c r="AY674" s="208"/>
    </row>
    <row r="675">
      <c r="A675" s="208"/>
      <c r="B675" s="533"/>
      <c r="C675" s="208"/>
      <c r="D675" s="208"/>
      <c r="E675" s="208"/>
      <c r="F675" s="584"/>
      <c r="G675" s="208"/>
      <c r="H675" s="208"/>
      <c r="I675" s="208"/>
      <c r="J675" s="208"/>
      <c r="K675" s="208"/>
      <c r="L675" s="536"/>
      <c r="M675" s="208"/>
      <c r="N675" s="208"/>
      <c r="O675" s="208"/>
      <c r="P675" s="208"/>
      <c r="Q675" s="208"/>
      <c r="R675" s="208"/>
      <c r="S675" s="208"/>
      <c r="T675" s="208"/>
      <c r="U675" s="208"/>
      <c r="V675" s="208"/>
      <c r="W675" s="208"/>
      <c r="X675" s="208"/>
      <c r="Y675" s="208"/>
      <c r="Z675" s="208"/>
      <c r="AA675" s="208"/>
      <c r="AB675" s="208"/>
      <c r="AC675" s="208"/>
      <c r="AD675" s="208"/>
      <c r="AE675" s="208"/>
      <c r="AF675" s="208"/>
      <c r="AG675" s="208"/>
      <c r="AH675" s="208"/>
      <c r="AI675" s="208"/>
      <c r="AJ675" s="208"/>
      <c r="AK675" s="208"/>
      <c r="AL675" s="208"/>
      <c r="AM675" s="208"/>
      <c r="AN675" s="208"/>
      <c r="AO675" s="208"/>
      <c r="AP675" s="208"/>
      <c r="AQ675" s="208"/>
      <c r="AR675" s="208"/>
      <c r="AS675" s="208"/>
      <c r="AT675" s="208"/>
      <c r="AU675" s="208"/>
      <c r="AV675" s="208"/>
      <c r="AW675" s="208"/>
      <c r="AX675" s="208"/>
      <c r="AY675" s="208"/>
    </row>
    <row r="676">
      <c r="A676" s="208"/>
      <c r="B676" s="533"/>
      <c r="C676" s="208"/>
      <c r="D676" s="208"/>
      <c r="E676" s="208"/>
      <c r="F676" s="584"/>
      <c r="G676" s="208"/>
      <c r="H676" s="208"/>
      <c r="I676" s="208"/>
      <c r="J676" s="208"/>
      <c r="K676" s="208"/>
      <c r="L676" s="536"/>
      <c r="M676" s="208"/>
      <c r="N676" s="208"/>
      <c r="O676" s="208"/>
      <c r="P676" s="208"/>
      <c r="Q676" s="208"/>
      <c r="R676" s="208"/>
      <c r="S676" s="208"/>
      <c r="T676" s="208"/>
      <c r="U676" s="208"/>
      <c r="V676" s="208"/>
      <c r="W676" s="208"/>
      <c r="X676" s="208"/>
      <c r="Y676" s="208"/>
      <c r="Z676" s="208"/>
      <c r="AA676" s="208"/>
      <c r="AB676" s="208"/>
      <c r="AC676" s="208"/>
      <c r="AD676" s="208"/>
      <c r="AE676" s="208"/>
      <c r="AF676" s="208"/>
      <c r="AG676" s="208"/>
      <c r="AH676" s="208"/>
      <c r="AI676" s="208"/>
      <c r="AJ676" s="208"/>
      <c r="AK676" s="208"/>
      <c r="AL676" s="208"/>
      <c r="AM676" s="208"/>
      <c r="AN676" s="208"/>
      <c r="AO676" s="208"/>
      <c r="AP676" s="208"/>
      <c r="AQ676" s="208"/>
      <c r="AR676" s="208"/>
      <c r="AS676" s="208"/>
      <c r="AT676" s="208"/>
      <c r="AU676" s="208"/>
      <c r="AV676" s="208"/>
      <c r="AW676" s="208"/>
      <c r="AX676" s="208"/>
      <c r="AY676" s="208"/>
    </row>
    <row r="677">
      <c r="A677" s="208"/>
      <c r="B677" s="533"/>
      <c r="C677" s="208"/>
      <c r="D677" s="208"/>
      <c r="E677" s="208"/>
      <c r="F677" s="584"/>
      <c r="G677" s="208"/>
      <c r="H677" s="208"/>
      <c r="I677" s="208"/>
      <c r="J677" s="208"/>
      <c r="K677" s="208"/>
      <c r="L677" s="536"/>
      <c r="M677" s="208"/>
      <c r="N677" s="208"/>
      <c r="O677" s="208"/>
      <c r="P677" s="208"/>
      <c r="Q677" s="208"/>
      <c r="R677" s="208"/>
      <c r="S677" s="208"/>
      <c r="T677" s="208"/>
      <c r="U677" s="208"/>
      <c r="V677" s="208"/>
      <c r="W677" s="208"/>
      <c r="X677" s="208"/>
      <c r="Y677" s="208"/>
      <c r="Z677" s="208"/>
      <c r="AA677" s="208"/>
      <c r="AB677" s="208"/>
      <c r="AC677" s="208"/>
      <c r="AD677" s="208"/>
      <c r="AE677" s="208"/>
      <c r="AF677" s="208"/>
      <c r="AG677" s="208"/>
      <c r="AH677" s="208"/>
      <c r="AI677" s="208"/>
      <c r="AJ677" s="208"/>
      <c r="AK677" s="208"/>
      <c r="AL677" s="208"/>
      <c r="AM677" s="208"/>
      <c r="AN677" s="208"/>
      <c r="AO677" s="208"/>
      <c r="AP677" s="208"/>
      <c r="AQ677" s="208"/>
      <c r="AR677" s="208"/>
      <c r="AS677" s="208"/>
      <c r="AT677" s="208"/>
      <c r="AU677" s="208"/>
      <c r="AV677" s="208"/>
      <c r="AW677" s="208"/>
      <c r="AX677" s="208"/>
      <c r="AY677" s="208"/>
    </row>
    <row r="678">
      <c r="A678" s="208"/>
      <c r="B678" s="533"/>
      <c r="C678" s="208"/>
      <c r="D678" s="208"/>
      <c r="E678" s="208"/>
      <c r="F678" s="584"/>
      <c r="G678" s="208"/>
      <c r="H678" s="208"/>
      <c r="I678" s="208"/>
      <c r="J678" s="208"/>
      <c r="K678" s="208"/>
      <c r="L678" s="536"/>
      <c r="M678" s="208"/>
      <c r="N678" s="208"/>
      <c r="O678" s="208"/>
      <c r="P678" s="208"/>
      <c r="Q678" s="208"/>
      <c r="R678" s="208"/>
      <c r="S678" s="208"/>
      <c r="T678" s="208"/>
      <c r="U678" s="208"/>
      <c r="V678" s="208"/>
      <c r="W678" s="208"/>
      <c r="X678" s="208"/>
      <c r="Y678" s="208"/>
      <c r="Z678" s="208"/>
      <c r="AA678" s="208"/>
      <c r="AB678" s="208"/>
      <c r="AC678" s="208"/>
      <c r="AD678" s="208"/>
      <c r="AE678" s="208"/>
      <c r="AF678" s="208"/>
      <c r="AG678" s="208"/>
      <c r="AH678" s="208"/>
      <c r="AI678" s="208"/>
      <c r="AJ678" s="208"/>
      <c r="AK678" s="208"/>
      <c r="AL678" s="208"/>
      <c r="AM678" s="208"/>
      <c r="AN678" s="208"/>
      <c r="AO678" s="208"/>
      <c r="AP678" s="208"/>
      <c r="AQ678" s="208"/>
      <c r="AR678" s="208"/>
      <c r="AS678" s="208"/>
      <c r="AT678" s="208"/>
      <c r="AU678" s="208"/>
      <c r="AV678" s="208"/>
      <c r="AW678" s="208"/>
      <c r="AX678" s="208"/>
      <c r="AY678" s="208"/>
    </row>
    <row r="679">
      <c r="A679" s="208"/>
      <c r="B679" s="533"/>
      <c r="C679" s="208"/>
      <c r="D679" s="208"/>
      <c r="E679" s="208"/>
      <c r="F679" s="584"/>
      <c r="G679" s="208"/>
      <c r="H679" s="208"/>
      <c r="I679" s="208"/>
      <c r="J679" s="208"/>
      <c r="K679" s="208"/>
      <c r="L679" s="536"/>
      <c r="M679" s="208"/>
      <c r="N679" s="208"/>
      <c r="O679" s="208"/>
      <c r="P679" s="208"/>
      <c r="Q679" s="208"/>
      <c r="R679" s="208"/>
      <c r="S679" s="208"/>
      <c r="T679" s="208"/>
      <c r="U679" s="208"/>
      <c r="V679" s="208"/>
      <c r="W679" s="208"/>
      <c r="X679" s="208"/>
      <c r="Y679" s="208"/>
      <c r="Z679" s="208"/>
      <c r="AA679" s="208"/>
      <c r="AB679" s="208"/>
      <c r="AC679" s="208"/>
      <c r="AD679" s="208"/>
      <c r="AE679" s="208"/>
      <c r="AF679" s="208"/>
      <c r="AG679" s="208"/>
      <c r="AH679" s="208"/>
      <c r="AI679" s="208"/>
      <c r="AJ679" s="208"/>
      <c r="AK679" s="208"/>
      <c r="AL679" s="208"/>
      <c r="AM679" s="208"/>
      <c r="AN679" s="208"/>
      <c r="AO679" s="208"/>
      <c r="AP679" s="208"/>
      <c r="AQ679" s="208"/>
      <c r="AR679" s="208"/>
      <c r="AS679" s="208"/>
      <c r="AT679" s="208"/>
      <c r="AU679" s="208"/>
      <c r="AV679" s="208"/>
      <c r="AW679" s="208"/>
      <c r="AX679" s="208"/>
      <c r="AY679" s="208"/>
    </row>
    <row r="680">
      <c r="A680" s="208"/>
      <c r="B680" s="533"/>
      <c r="C680" s="208"/>
      <c r="D680" s="208"/>
      <c r="E680" s="208"/>
      <c r="F680" s="584"/>
      <c r="G680" s="208"/>
      <c r="H680" s="208"/>
      <c r="I680" s="208"/>
      <c r="J680" s="208"/>
      <c r="K680" s="208"/>
      <c r="L680" s="536"/>
      <c r="M680" s="208"/>
      <c r="N680" s="208"/>
      <c r="O680" s="208"/>
      <c r="P680" s="208"/>
      <c r="Q680" s="208"/>
      <c r="R680" s="208"/>
      <c r="S680" s="208"/>
      <c r="T680" s="208"/>
      <c r="U680" s="208"/>
      <c r="V680" s="208"/>
      <c r="W680" s="208"/>
      <c r="X680" s="208"/>
      <c r="Y680" s="208"/>
      <c r="Z680" s="208"/>
      <c r="AA680" s="208"/>
      <c r="AB680" s="208"/>
      <c r="AC680" s="208"/>
      <c r="AD680" s="208"/>
      <c r="AE680" s="208"/>
      <c r="AF680" s="208"/>
      <c r="AG680" s="208"/>
      <c r="AH680" s="208"/>
      <c r="AI680" s="208"/>
      <c r="AJ680" s="208"/>
      <c r="AK680" s="208"/>
      <c r="AL680" s="208"/>
      <c r="AM680" s="208"/>
      <c r="AN680" s="208"/>
      <c r="AO680" s="208"/>
      <c r="AP680" s="208"/>
      <c r="AQ680" s="208"/>
      <c r="AR680" s="208"/>
      <c r="AS680" s="208"/>
      <c r="AT680" s="208"/>
      <c r="AU680" s="208"/>
      <c r="AV680" s="208"/>
      <c r="AW680" s="208"/>
      <c r="AX680" s="208"/>
      <c r="AY680" s="208"/>
    </row>
    <row r="681">
      <c r="A681" s="208"/>
      <c r="B681" s="533"/>
      <c r="C681" s="208"/>
      <c r="D681" s="208"/>
      <c r="E681" s="208"/>
      <c r="F681" s="584"/>
      <c r="G681" s="208"/>
      <c r="H681" s="208"/>
      <c r="I681" s="208"/>
      <c r="J681" s="208"/>
      <c r="K681" s="208"/>
      <c r="L681" s="536"/>
      <c r="M681" s="208"/>
      <c r="N681" s="208"/>
      <c r="O681" s="208"/>
      <c r="P681" s="208"/>
      <c r="Q681" s="208"/>
      <c r="R681" s="208"/>
      <c r="S681" s="208"/>
      <c r="T681" s="208"/>
      <c r="U681" s="208"/>
      <c r="V681" s="208"/>
      <c r="W681" s="208"/>
      <c r="X681" s="208"/>
      <c r="Y681" s="208"/>
      <c r="Z681" s="208"/>
      <c r="AA681" s="208"/>
      <c r="AB681" s="208"/>
      <c r="AC681" s="208"/>
      <c r="AD681" s="208"/>
      <c r="AE681" s="208"/>
      <c r="AF681" s="208"/>
      <c r="AG681" s="208"/>
      <c r="AH681" s="208"/>
      <c r="AI681" s="208"/>
      <c r="AJ681" s="208"/>
      <c r="AK681" s="208"/>
      <c r="AL681" s="208"/>
      <c r="AM681" s="208"/>
      <c r="AN681" s="208"/>
      <c r="AO681" s="208"/>
      <c r="AP681" s="208"/>
      <c r="AQ681" s="208"/>
      <c r="AR681" s="208"/>
      <c r="AS681" s="208"/>
      <c r="AT681" s="208"/>
      <c r="AU681" s="208"/>
      <c r="AV681" s="208"/>
      <c r="AW681" s="208"/>
      <c r="AX681" s="208"/>
      <c r="AY681" s="208"/>
    </row>
    <row r="682">
      <c r="A682" s="208"/>
      <c r="B682" s="533"/>
      <c r="C682" s="208"/>
      <c r="D682" s="208"/>
      <c r="E682" s="208"/>
      <c r="F682" s="584"/>
      <c r="G682" s="208"/>
      <c r="H682" s="208"/>
      <c r="I682" s="208"/>
      <c r="J682" s="208"/>
      <c r="K682" s="208"/>
      <c r="L682" s="536"/>
      <c r="M682" s="208"/>
      <c r="N682" s="208"/>
      <c r="O682" s="208"/>
      <c r="P682" s="208"/>
      <c r="Q682" s="208"/>
      <c r="R682" s="208"/>
      <c r="S682" s="208"/>
      <c r="T682" s="208"/>
      <c r="U682" s="208"/>
      <c r="V682" s="208"/>
      <c r="W682" s="208"/>
      <c r="X682" s="208"/>
      <c r="Y682" s="208"/>
      <c r="Z682" s="208"/>
      <c r="AA682" s="208"/>
      <c r="AB682" s="208"/>
      <c r="AC682" s="208"/>
      <c r="AD682" s="208"/>
      <c r="AE682" s="208"/>
      <c r="AF682" s="208"/>
      <c r="AG682" s="208"/>
      <c r="AH682" s="208"/>
      <c r="AI682" s="208"/>
      <c r="AJ682" s="208"/>
      <c r="AK682" s="208"/>
      <c r="AL682" s="208"/>
      <c r="AM682" s="208"/>
      <c r="AN682" s="208"/>
      <c r="AO682" s="208"/>
      <c r="AP682" s="208"/>
      <c r="AQ682" s="208"/>
      <c r="AR682" s="208"/>
      <c r="AS682" s="208"/>
      <c r="AT682" s="208"/>
      <c r="AU682" s="208"/>
      <c r="AV682" s="208"/>
      <c r="AW682" s="208"/>
      <c r="AX682" s="208"/>
      <c r="AY682" s="208"/>
    </row>
    <row r="683">
      <c r="A683" s="208"/>
      <c r="B683" s="533"/>
      <c r="C683" s="208"/>
      <c r="D683" s="208"/>
      <c r="E683" s="208"/>
      <c r="F683" s="584"/>
      <c r="G683" s="208"/>
      <c r="H683" s="208"/>
      <c r="I683" s="208"/>
      <c r="J683" s="208"/>
      <c r="K683" s="208"/>
      <c r="L683" s="536"/>
      <c r="M683" s="208"/>
      <c r="N683" s="208"/>
      <c r="O683" s="208"/>
      <c r="P683" s="208"/>
      <c r="Q683" s="208"/>
      <c r="R683" s="208"/>
      <c r="S683" s="208"/>
      <c r="T683" s="208"/>
      <c r="U683" s="208"/>
      <c r="V683" s="208"/>
      <c r="W683" s="208"/>
      <c r="X683" s="208"/>
      <c r="Y683" s="208"/>
      <c r="Z683" s="208"/>
      <c r="AA683" s="208"/>
      <c r="AB683" s="208"/>
      <c r="AC683" s="208"/>
      <c r="AD683" s="208"/>
      <c r="AE683" s="208"/>
      <c r="AF683" s="208"/>
      <c r="AG683" s="208"/>
      <c r="AH683" s="208"/>
      <c r="AI683" s="208"/>
      <c r="AJ683" s="208"/>
      <c r="AK683" s="208"/>
      <c r="AL683" s="208"/>
      <c r="AM683" s="208"/>
      <c r="AN683" s="208"/>
      <c r="AO683" s="208"/>
      <c r="AP683" s="208"/>
      <c r="AQ683" s="208"/>
      <c r="AR683" s="208"/>
      <c r="AS683" s="208"/>
      <c r="AT683" s="208"/>
      <c r="AU683" s="208"/>
      <c r="AV683" s="208"/>
      <c r="AW683" s="208"/>
      <c r="AX683" s="208"/>
      <c r="AY683" s="208"/>
    </row>
    <row r="684">
      <c r="A684" s="208"/>
      <c r="B684" s="533"/>
      <c r="C684" s="208"/>
      <c r="D684" s="208"/>
      <c r="E684" s="208"/>
      <c r="F684" s="584"/>
      <c r="G684" s="208"/>
      <c r="H684" s="208"/>
      <c r="I684" s="208"/>
      <c r="J684" s="208"/>
      <c r="K684" s="208"/>
      <c r="L684" s="536"/>
      <c r="M684" s="208"/>
      <c r="N684" s="208"/>
      <c r="O684" s="208"/>
      <c r="P684" s="208"/>
      <c r="Q684" s="208"/>
      <c r="R684" s="208"/>
      <c r="S684" s="208"/>
      <c r="T684" s="208"/>
      <c r="U684" s="208"/>
      <c r="V684" s="208"/>
      <c r="W684" s="208"/>
      <c r="X684" s="208"/>
      <c r="Y684" s="208"/>
      <c r="Z684" s="208"/>
      <c r="AA684" s="208"/>
      <c r="AB684" s="208"/>
      <c r="AC684" s="208"/>
      <c r="AD684" s="208"/>
      <c r="AE684" s="208"/>
      <c r="AF684" s="208"/>
      <c r="AG684" s="208"/>
      <c r="AH684" s="208"/>
      <c r="AI684" s="208"/>
      <c r="AJ684" s="208"/>
      <c r="AK684" s="208"/>
      <c r="AL684" s="208"/>
      <c r="AM684" s="208"/>
      <c r="AN684" s="208"/>
      <c r="AO684" s="208"/>
      <c r="AP684" s="208"/>
      <c r="AQ684" s="208"/>
      <c r="AR684" s="208"/>
      <c r="AS684" s="208"/>
      <c r="AT684" s="208"/>
      <c r="AU684" s="208"/>
      <c r="AV684" s="208"/>
      <c r="AW684" s="208"/>
      <c r="AX684" s="208"/>
      <c r="AY684" s="208"/>
    </row>
    <row r="685">
      <c r="A685" s="208"/>
      <c r="B685" s="533"/>
      <c r="C685" s="208"/>
      <c r="D685" s="208"/>
      <c r="E685" s="208"/>
      <c r="F685" s="584"/>
      <c r="G685" s="208"/>
      <c r="H685" s="208"/>
      <c r="I685" s="208"/>
      <c r="J685" s="208"/>
      <c r="K685" s="208"/>
      <c r="L685" s="536"/>
      <c r="M685" s="208"/>
      <c r="N685" s="208"/>
      <c r="O685" s="208"/>
      <c r="P685" s="208"/>
      <c r="Q685" s="208"/>
      <c r="R685" s="208"/>
      <c r="S685" s="208"/>
      <c r="T685" s="208"/>
      <c r="U685" s="208"/>
      <c r="V685" s="208"/>
      <c r="W685" s="208"/>
      <c r="X685" s="208"/>
      <c r="Y685" s="208"/>
      <c r="Z685" s="208"/>
      <c r="AA685" s="208"/>
      <c r="AB685" s="208"/>
      <c r="AC685" s="208"/>
      <c r="AD685" s="208"/>
      <c r="AE685" s="208"/>
      <c r="AF685" s="208"/>
      <c r="AG685" s="208"/>
      <c r="AH685" s="208"/>
      <c r="AI685" s="208"/>
      <c r="AJ685" s="208"/>
      <c r="AK685" s="208"/>
      <c r="AL685" s="208"/>
      <c r="AM685" s="208"/>
      <c r="AN685" s="208"/>
      <c r="AO685" s="208"/>
      <c r="AP685" s="208"/>
      <c r="AQ685" s="208"/>
      <c r="AR685" s="208"/>
      <c r="AS685" s="208"/>
      <c r="AT685" s="208"/>
      <c r="AU685" s="208"/>
      <c r="AV685" s="208"/>
      <c r="AW685" s="208"/>
      <c r="AX685" s="208"/>
      <c r="AY685" s="208"/>
    </row>
    <row r="686">
      <c r="A686" s="208"/>
      <c r="B686" s="533"/>
      <c r="C686" s="208"/>
      <c r="D686" s="208"/>
      <c r="E686" s="208"/>
      <c r="F686" s="584"/>
      <c r="G686" s="208"/>
      <c r="H686" s="208"/>
      <c r="I686" s="208"/>
      <c r="J686" s="208"/>
      <c r="K686" s="208"/>
      <c r="L686" s="536"/>
      <c r="M686" s="208"/>
      <c r="N686" s="208"/>
      <c r="O686" s="208"/>
      <c r="P686" s="208"/>
      <c r="Q686" s="208"/>
      <c r="R686" s="208"/>
      <c r="S686" s="208"/>
      <c r="T686" s="208"/>
      <c r="U686" s="208"/>
      <c r="V686" s="208"/>
      <c r="W686" s="208"/>
      <c r="X686" s="208"/>
      <c r="Y686" s="208"/>
      <c r="Z686" s="208"/>
      <c r="AA686" s="208"/>
      <c r="AB686" s="208"/>
      <c r="AC686" s="208"/>
      <c r="AD686" s="208"/>
      <c r="AE686" s="208"/>
      <c r="AF686" s="208"/>
      <c r="AG686" s="208"/>
      <c r="AH686" s="208"/>
      <c r="AI686" s="208"/>
      <c r="AJ686" s="208"/>
      <c r="AK686" s="208"/>
      <c r="AL686" s="208"/>
      <c r="AM686" s="208"/>
      <c r="AN686" s="208"/>
      <c r="AO686" s="208"/>
      <c r="AP686" s="208"/>
      <c r="AQ686" s="208"/>
      <c r="AR686" s="208"/>
      <c r="AS686" s="208"/>
      <c r="AT686" s="208"/>
      <c r="AU686" s="208"/>
      <c r="AV686" s="208"/>
      <c r="AW686" s="208"/>
      <c r="AX686" s="208"/>
      <c r="AY686" s="208"/>
    </row>
    <row r="687">
      <c r="A687" s="208"/>
      <c r="B687" s="533"/>
      <c r="C687" s="208"/>
      <c r="D687" s="208"/>
      <c r="E687" s="208"/>
      <c r="F687" s="584"/>
      <c r="G687" s="208"/>
      <c r="H687" s="208"/>
      <c r="I687" s="208"/>
      <c r="J687" s="208"/>
      <c r="K687" s="208"/>
      <c r="L687" s="536"/>
      <c r="M687" s="208"/>
      <c r="N687" s="208"/>
      <c r="O687" s="208"/>
      <c r="P687" s="208"/>
      <c r="Q687" s="208"/>
      <c r="R687" s="208"/>
      <c r="S687" s="208"/>
      <c r="T687" s="208"/>
      <c r="U687" s="208"/>
      <c r="V687" s="208"/>
      <c r="W687" s="208"/>
      <c r="X687" s="208"/>
      <c r="Y687" s="208"/>
      <c r="Z687" s="208"/>
      <c r="AA687" s="208"/>
      <c r="AB687" s="208"/>
      <c r="AC687" s="208"/>
      <c r="AD687" s="208"/>
      <c r="AE687" s="208"/>
      <c r="AF687" s="208"/>
      <c r="AG687" s="208"/>
      <c r="AH687" s="208"/>
      <c r="AI687" s="208"/>
      <c r="AJ687" s="208"/>
      <c r="AK687" s="208"/>
      <c r="AL687" s="208"/>
      <c r="AM687" s="208"/>
      <c r="AN687" s="208"/>
      <c r="AO687" s="208"/>
      <c r="AP687" s="208"/>
      <c r="AQ687" s="208"/>
      <c r="AR687" s="208"/>
      <c r="AS687" s="208"/>
      <c r="AT687" s="208"/>
      <c r="AU687" s="208"/>
      <c r="AV687" s="208"/>
      <c r="AW687" s="208"/>
      <c r="AX687" s="208"/>
      <c r="AY687" s="208"/>
    </row>
    <row r="688">
      <c r="A688" s="208"/>
      <c r="B688" s="533"/>
      <c r="C688" s="208"/>
      <c r="D688" s="208"/>
      <c r="E688" s="208"/>
      <c r="F688" s="584"/>
      <c r="G688" s="208"/>
      <c r="H688" s="208"/>
      <c r="I688" s="208"/>
      <c r="J688" s="208"/>
      <c r="K688" s="208"/>
      <c r="L688" s="536"/>
      <c r="M688" s="208"/>
      <c r="N688" s="208"/>
      <c r="O688" s="208"/>
      <c r="P688" s="208"/>
      <c r="Q688" s="208"/>
      <c r="R688" s="208"/>
      <c r="S688" s="208"/>
      <c r="T688" s="208"/>
      <c r="U688" s="208"/>
      <c r="V688" s="208"/>
      <c r="W688" s="208"/>
      <c r="X688" s="208"/>
      <c r="Y688" s="208"/>
      <c r="Z688" s="208"/>
      <c r="AA688" s="208"/>
      <c r="AB688" s="208"/>
      <c r="AC688" s="208"/>
      <c r="AD688" s="208"/>
      <c r="AE688" s="208"/>
      <c r="AF688" s="208"/>
      <c r="AG688" s="208"/>
      <c r="AH688" s="208"/>
      <c r="AI688" s="208"/>
      <c r="AJ688" s="208"/>
      <c r="AK688" s="208"/>
      <c r="AL688" s="208"/>
      <c r="AM688" s="208"/>
      <c r="AN688" s="208"/>
      <c r="AO688" s="208"/>
      <c r="AP688" s="208"/>
      <c r="AQ688" s="208"/>
      <c r="AR688" s="208"/>
      <c r="AS688" s="208"/>
      <c r="AT688" s="208"/>
      <c r="AU688" s="208"/>
      <c r="AV688" s="208"/>
      <c r="AW688" s="208"/>
      <c r="AX688" s="208"/>
      <c r="AY688" s="208"/>
    </row>
    <row r="689">
      <c r="A689" s="208"/>
      <c r="B689" s="533"/>
      <c r="C689" s="208"/>
      <c r="D689" s="208"/>
      <c r="E689" s="208"/>
      <c r="F689" s="584"/>
      <c r="G689" s="208"/>
      <c r="H689" s="208"/>
      <c r="I689" s="208"/>
      <c r="J689" s="208"/>
      <c r="K689" s="208"/>
      <c r="L689" s="536"/>
      <c r="M689" s="208"/>
      <c r="N689" s="208"/>
      <c r="O689" s="208"/>
      <c r="P689" s="208"/>
      <c r="Q689" s="208"/>
      <c r="R689" s="208"/>
      <c r="S689" s="208"/>
      <c r="T689" s="208"/>
      <c r="U689" s="208"/>
      <c r="V689" s="208"/>
      <c r="W689" s="208"/>
      <c r="X689" s="208"/>
      <c r="Y689" s="208"/>
      <c r="Z689" s="208"/>
      <c r="AA689" s="208"/>
      <c r="AB689" s="208"/>
      <c r="AC689" s="208"/>
      <c r="AD689" s="208"/>
      <c r="AE689" s="208"/>
      <c r="AF689" s="208"/>
      <c r="AG689" s="208"/>
      <c r="AH689" s="208"/>
      <c r="AI689" s="208"/>
      <c r="AJ689" s="208"/>
      <c r="AK689" s="208"/>
      <c r="AL689" s="208"/>
      <c r="AM689" s="208"/>
      <c r="AN689" s="208"/>
      <c r="AO689" s="208"/>
      <c r="AP689" s="208"/>
      <c r="AQ689" s="208"/>
      <c r="AR689" s="208"/>
      <c r="AS689" s="208"/>
      <c r="AT689" s="208"/>
      <c r="AU689" s="208"/>
      <c r="AV689" s="208"/>
      <c r="AW689" s="208"/>
      <c r="AX689" s="208"/>
      <c r="AY689" s="208"/>
    </row>
    <row r="690">
      <c r="A690" s="208"/>
      <c r="B690" s="533"/>
      <c r="C690" s="208"/>
      <c r="D690" s="208"/>
      <c r="E690" s="208"/>
      <c r="F690" s="584"/>
      <c r="G690" s="208"/>
      <c r="H690" s="208"/>
      <c r="I690" s="208"/>
      <c r="J690" s="208"/>
      <c r="K690" s="208"/>
      <c r="L690" s="536"/>
      <c r="M690" s="208"/>
      <c r="N690" s="208"/>
      <c r="O690" s="208"/>
      <c r="P690" s="208"/>
      <c r="Q690" s="208"/>
      <c r="R690" s="208"/>
      <c r="S690" s="208"/>
      <c r="T690" s="208"/>
      <c r="U690" s="208"/>
      <c r="V690" s="208"/>
      <c r="W690" s="208"/>
      <c r="X690" s="208"/>
      <c r="Y690" s="208"/>
      <c r="Z690" s="208"/>
      <c r="AA690" s="208"/>
      <c r="AB690" s="208"/>
      <c r="AC690" s="208"/>
      <c r="AD690" s="208"/>
      <c r="AE690" s="208"/>
      <c r="AF690" s="208"/>
      <c r="AG690" s="208"/>
      <c r="AH690" s="208"/>
      <c r="AI690" s="208"/>
      <c r="AJ690" s="208"/>
      <c r="AK690" s="208"/>
      <c r="AL690" s="208"/>
      <c r="AM690" s="208"/>
      <c r="AN690" s="208"/>
      <c r="AO690" s="208"/>
      <c r="AP690" s="208"/>
      <c r="AQ690" s="208"/>
      <c r="AR690" s="208"/>
      <c r="AS690" s="208"/>
      <c r="AT690" s="208"/>
      <c r="AU690" s="208"/>
      <c r="AV690" s="208"/>
      <c r="AW690" s="208"/>
      <c r="AX690" s="208"/>
      <c r="AY690" s="208"/>
    </row>
    <row r="691">
      <c r="A691" s="208"/>
      <c r="B691" s="533"/>
      <c r="C691" s="208"/>
      <c r="D691" s="208"/>
      <c r="E691" s="208"/>
      <c r="F691" s="584"/>
      <c r="G691" s="208"/>
      <c r="H691" s="208"/>
      <c r="I691" s="208"/>
      <c r="J691" s="208"/>
      <c r="K691" s="208"/>
      <c r="L691" s="536"/>
      <c r="M691" s="208"/>
      <c r="N691" s="208"/>
      <c r="O691" s="208"/>
      <c r="P691" s="208"/>
      <c r="Q691" s="208"/>
      <c r="R691" s="208"/>
      <c r="S691" s="208"/>
      <c r="T691" s="208"/>
      <c r="U691" s="208"/>
      <c r="V691" s="208"/>
      <c r="W691" s="208"/>
      <c r="X691" s="208"/>
      <c r="Y691" s="208"/>
      <c r="Z691" s="208"/>
      <c r="AA691" s="208"/>
      <c r="AB691" s="208"/>
      <c r="AC691" s="208"/>
      <c r="AD691" s="208"/>
      <c r="AE691" s="208"/>
      <c r="AF691" s="208"/>
      <c r="AG691" s="208"/>
      <c r="AH691" s="208"/>
      <c r="AI691" s="208"/>
      <c r="AJ691" s="208"/>
      <c r="AK691" s="208"/>
      <c r="AL691" s="208"/>
      <c r="AM691" s="208"/>
      <c r="AN691" s="208"/>
      <c r="AO691" s="208"/>
      <c r="AP691" s="208"/>
      <c r="AQ691" s="208"/>
      <c r="AR691" s="208"/>
      <c r="AS691" s="208"/>
      <c r="AT691" s="208"/>
      <c r="AU691" s="208"/>
      <c r="AV691" s="208"/>
      <c r="AW691" s="208"/>
      <c r="AX691" s="208"/>
      <c r="AY691" s="208"/>
    </row>
    <row r="692">
      <c r="A692" s="208"/>
      <c r="B692" s="533"/>
      <c r="C692" s="208"/>
      <c r="D692" s="208"/>
      <c r="E692" s="208"/>
      <c r="F692" s="584"/>
      <c r="G692" s="208"/>
      <c r="H692" s="208"/>
      <c r="I692" s="208"/>
      <c r="J692" s="208"/>
      <c r="K692" s="208"/>
      <c r="L692" s="536"/>
      <c r="M692" s="208"/>
      <c r="N692" s="208"/>
      <c r="O692" s="208"/>
      <c r="P692" s="208"/>
      <c r="Q692" s="208"/>
      <c r="R692" s="208"/>
      <c r="S692" s="208"/>
      <c r="T692" s="208"/>
      <c r="U692" s="208"/>
      <c r="V692" s="208"/>
      <c r="W692" s="208"/>
      <c r="X692" s="208"/>
      <c r="Y692" s="208"/>
      <c r="Z692" s="208"/>
      <c r="AA692" s="208"/>
      <c r="AB692" s="208"/>
      <c r="AC692" s="208"/>
      <c r="AD692" s="208"/>
      <c r="AE692" s="208"/>
      <c r="AF692" s="208"/>
      <c r="AG692" s="208"/>
      <c r="AH692" s="208"/>
      <c r="AI692" s="208"/>
      <c r="AJ692" s="208"/>
      <c r="AK692" s="208"/>
      <c r="AL692" s="208"/>
      <c r="AM692" s="208"/>
      <c r="AN692" s="208"/>
      <c r="AO692" s="208"/>
      <c r="AP692" s="208"/>
      <c r="AQ692" s="208"/>
      <c r="AR692" s="208"/>
      <c r="AS692" s="208"/>
      <c r="AT692" s="208"/>
      <c r="AU692" s="208"/>
      <c r="AV692" s="208"/>
      <c r="AW692" s="208"/>
      <c r="AX692" s="208"/>
      <c r="AY692" s="208"/>
    </row>
    <row r="693">
      <c r="A693" s="208"/>
      <c r="B693" s="533"/>
      <c r="C693" s="208"/>
      <c r="D693" s="208"/>
      <c r="E693" s="208"/>
      <c r="F693" s="584"/>
      <c r="G693" s="208"/>
      <c r="H693" s="208"/>
      <c r="I693" s="208"/>
      <c r="J693" s="208"/>
      <c r="K693" s="208"/>
      <c r="L693" s="536"/>
      <c r="M693" s="208"/>
      <c r="N693" s="208"/>
      <c r="O693" s="208"/>
      <c r="P693" s="208"/>
      <c r="Q693" s="208"/>
      <c r="R693" s="208"/>
      <c r="S693" s="208"/>
      <c r="T693" s="208"/>
      <c r="U693" s="208"/>
      <c r="V693" s="208"/>
      <c r="W693" s="208"/>
      <c r="X693" s="208"/>
      <c r="Y693" s="208"/>
      <c r="Z693" s="208"/>
      <c r="AA693" s="208"/>
      <c r="AB693" s="208"/>
      <c r="AC693" s="208"/>
      <c r="AD693" s="208"/>
      <c r="AE693" s="208"/>
      <c r="AF693" s="208"/>
      <c r="AG693" s="208"/>
      <c r="AH693" s="208"/>
      <c r="AI693" s="208"/>
      <c r="AJ693" s="208"/>
      <c r="AK693" s="208"/>
      <c r="AL693" s="208"/>
      <c r="AM693" s="208"/>
      <c r="AN693" s="208"/>
      <c r="AO693" s="208"/>
      <c r="AP693" s="208"/>
      <c r="AQ693" s="208"/>
      <c r="AR693" s="208"/>
      <c r="AS693" s="208"/>
      <c r="AT693" s="208"/>
      <c r="AU693" s="208"/>
      <c r="AV693" s="208"/>
      <c r="AW693" s="208"/>
      <c r="AX693" s="208"/>
      <c r="AY693" s="208"/>
    </row>
    <row r="694">
      <c r="A694" s="208"/>
      <c r="B694" s="533"/>
      <c r="C694" s="208"/>
      <c r="D694" s="208"/>
      <c r="E694" s="208"/>
      <c r="F694" s="584"/>
      <c r="G694" s="208"/>
      <c r="H694" s="208"/>
      <c r="I694" s="208"/>
      <c r="J694" s="208"/>
      <c r="K694" s="208"/>
      <c r="L694" s="536"/>
      <c r="M694" s="208"/>
      <c r="N694" s="208"/>
      <c r="O694" s="208"/>
      <c r="P694" s="208"/>
      <c r="Q694" s="208"/>
      <c r="R694" s="208"/>
      <c r="S694" s="208"/>
      <c r="T694" s="208"/>
      <c r="U694" s="208"/>
      <c r="V694" s="208"/>
      <c r="W694" s="208"/>
      <c r="X694" s="208"/>
      <c r="Y694" s="208"/>
      <c r="Z694" s="208"/>
      <c r="AA694" s="208"/>
      <c r="AB694" s="208"/>
      <c r="AC694" s="208"/>
      <c r="AD694" s="208"/>
      <c r="AE694" s="208"/>
      <c r="AF694" s="208"/>
      <c r="AG694" s="208"/>
      <c r="AH694" s="208"/>
      <c r="AI694" s="208"/>
      <c r="AJ694" s="208"/>
      <c r="AK694" s="208"/>
      <c r="AL694" s="208"/>
      <c r="AM694" s="208"/>
      <c r="AN694" s="208"/>
      <c r="AO694" s="208"/>
      <c r="AP694" s="208"/>
      <c r="AQ694" s="208"/>
      <c r="AR694" s="208"/>
      <c r="AS694" s="208"/>
      <c r="AT694" s="208"/>
      <c r="AU694" s="208"/>
      <c r="AV694" s="208"/>
      <c r="AW694" s="208"/>
      <c r="AX694" s="208"/>
      <c r="AY694" s="208"/>
    </row>
    <row r="695">
      <c r="A695" s="208"/>
      <c r="B695" s="533"/>
      <c r="C695" s="208"/>
      <c r="D695" s="208"/>
      <c r="E695" s="208"/>
      <c r="F695" s="584"/>
      <c r="G695" s="208"/>
      <c r="H695" s="208"/>
      <c r="I695" s="208"/>
      <c r="J695" s="208"/>
      <c r="K695" s="208"/>
      <c r="L695" s="536"/>
      <c r="M695" s="208"/>
      <c r="N695" s="208"/>
      <c r="O695" s="208"/>
      <c r="P695" s="208"/>
      <c r="Q695" s="208"/>
      <c r="R695" s="208"/>
      <c r="S695" s="208"/>
      <c r="T695" s="208"/>
      <c r="U695" s="208"/>
      <c r="V695" s="208"/>
      <c r="W695" s="208"/>
      <c r="X695" s="208"/>
      <c r="Y695" s="208"/>
      <c r="Z695" s="208"/>
      <c r="AA695" s="208"/>
      <c r="AB695" s="208"/>
      <c r="AC695" s="208"/>
      <c r="AD695" s="208"/>
      <c r="AE695" s="208"/>
      <c r="AF695" s="208"/>
      <c r="AG695" s="208"/>
      <c r="AH695" s="208"/>
      <c r="AI695" s="208"/>
      <c r="AJ695" s="208"/>
      <c r="AK695" s="208"/>
      <c r="AL695" s="208"/>
      <c r="AM695" s="208"/>
      <c r="AN695" s="208"/>
      <c r="AO695" s="208"/>
      <c r="AP695" s="208"/>
      <c r="AQ695" s="208"/>
      <c r="AR695" s="208"/>
      <c r="AS695" s="208"/>
      <c r="AT695" s="208"/>
      <c r="AU695" s="208"/>
      <c r="AV695" s="208"/>
      <c r="AW695" s="208"/>
      <c r="AX695" s="208"/>
      <c r="AY695" s="208"/>
    </row>
    <row r="696">
      <c r="A696" s="208"/>
      <c r="B696" s="533"/>
      <c r="C696" s="208"/>
      <c r="D696" s="208"/>
      <c r="E696" s="208"/>
      <c r="F696" s="584"/>
      <c r="G696" s="208"/>
      <c r="H696" s="208"/>
      <c r="I696" s="208"/>
      <c r="J696" s="208"/>
      <c r="K696" s="208"/>
      <c r="L696" s="536"/>
      <c r="M696" s="208"/>
      <c r="N696" s="208"/>
      <c r="O696" s="208"/>
      <c r="P696" s="208"/>
      <c r="Q696" s="208"/>
      <c r="R696" s="208"/>
      <c r="S696" s="208"/>
      <c r="T696" s="208"/>
      <c r="U696" s="208"/>
      <c r="V696" s="208"/>
      <c r="W696" s="208"/>
      <c r="X696" s="208"/>
      <c r="Y696" s="208"/>
      <c r="Z696" s="208"/>
      <c r="AA696" s="208"/>
      <c r="AB696" s="208"/>
      <c r="AC696" s="208"/>
      <c r="AD696" s="208"/>
      <c r="AE696" s="208"/>
      <c r="AF696" s="208"/>
      <c r="AG696" s="208"/>
      <c r="AH696" s="208"/>
      <c r="AI696" s="208"/>
      <c r="AJ696" s="208"/>
      <c r="AK696" s="208"/>
      <c r="AL696" s="208"/>
      <c r="AM696" s="208"/>
      <c r="AN696" s="208"/>
      <c r="AO696" s="208"/>
      <c r="AP696" s="208"/>
      <c r="AQ696" s="208"/>
      <c r="AR696" s="208"/>
      <c r="AS696" s="208"/>
      <c r="AT696" s="208"/>
      <c r="AU696" s="208"/>
      <c r="AV696" s="208"/>
      <c r="AW696" s="208"/>
      <c r="AX696" s="208"/>
      <c r="AY696" s="208"/>
    </row>
    <row r="697">
      <c r="A697" s="208"/>
      <c r="B697" s="533"/>
      <c r="C697" s="208"/>
      <c r="D697" s="208"/>
      <c r="E697" s="208"/>
      <c r="F697" s="584"/>
      <c r="G697" s="208"/>
      <c r="H697" s="208"/>
      <c r="I697" s="208"/>
      <c r="J697" s="208"/>
      <c r="K697" s="208"/>
      <c r="L697" s="536"/>
      <c r="M697" s="208"/>
      <c r="N697" s="208"/>
      <c r="O697" s="208"/>
      <c r="P697" s="208"/>
      <c r="Q697" s="208"/>
      <c r="R697" s="208"/>
      <c r="S697" s="208"/>
      <c r="T697" s="208"/>
      <c r="U697" s="208"/>
      <c r="V697" s="208"/>
      <c r="W697" s="208"/>
      <c r="X697" s="208"/>
      <c r="Y697" s="208"/>
      <c r="Z697" s="208"/>
      <c r="AA697" s="208"/>
      <c r="AB697" s="208"/>
      <c r="AC697" s="208"/>
      <c r="AD697" s="208"/>
      <c r="AE697" s="208"/>
      <c r="AF697" s="208"/>
      <c r="AG697" s="208"/>
      <c r="AH697" s="208"/>
      <c r="AI697" s="208"/>
      <c r="AJ697" s="208"/>
      <c r="AK697" s="208"/>
      <c r="AL697" s="208"/>
      <c r="AM697" s="208"/>
      <c r="AN697" s="208"/>
      <c r="AO697" s="208"/>
      <c r="AP697" s="208"/>
      <c r="AQ697" s="208"/>
      <c r="AR697" s="208"/>
      <c r="AS697" s="208"/>
      <c r="AT697" s="208"/>
      <c r="AU697" s="208"/>
      <c r="AV697" s="208"/>
      <c r="AW697" s="208"/>
      <c r="AX697" s="208"/>
      <c r="AY697" s="208"/>
    </row>
    <row r="698">
      <c r="A698" s="208"/>
      <c r="B698" s="533"/>
      <c r="C698" s="208"/>
      <c r="D698" s="208"/>
      <c r="E698" s="208"/>
      <c r="F698" s="584"/>
      <c r="G698" s="208"/>
      <c r="H698" s="208"/>
      <c r="I698" s="208"/>
      <c r="J698" s="208"/>
      <c r="K698" s="208"/>
      <c r="L698" s="536"/>
      <c r="M698" s="208"/>
      <c r="N698" s="208"/>
      <c r="O698" s="208"/>
      <c r="P698" s="208"/>
      <c r="Q698" s="208"/>
      <c r="R698" s="208"/>
      <c r="S698" s="208"/>
      <c r="T698" s="208"/>
      <c r="U698" s="208"/>
      <c r="V698" s="208"/>
      <c r="W698" s="208"/>
      <c r="X698" s="208"/>
      <c r="Y698" s="208"/>
      <c r="Z698" s="208"/>
      <c r="AA698" s="208"/>
      <c r="AB698" s="208"/>
      <c r="AC698" s="208"/>
      <c r="AD698" s="208"/>
      <c r="AE698" s="208"/>
      <c r="AF698" s="208"/>
      <c r="AG698" s="208"/>
      <c r="AH698" s="208"/>
      <c r="AI698" s="208"/>
      <c r="AJ698" s="208"/>
      <c r="AK698" s="208"/>
      <c r="AL698" s="208"/>
      <c r="AM698" s="208"/>
      <c r="AN698" s="208"/>
      <c r="AO698" s="208"/>
      <c r="AP698" s="208"/>
      <c r="AQ698" s="208"/>
      <c r="AR698" s="208"/>
      <c r="AS698" s="208"/>
      <c r="AT698" s="208"/>
      <c r="AU698" s="208"/>
      <c r="AV698" s="208"/>
      <c r="AW698" s="208"/>
      <c r="AX698" s="208"/>
      <c r="AY698" s="208"/>
    </row>
    <row r="699">
      <c r="A699" s="208"/>
      <c r="B699" s="533"/>
      <c r="C699" s="208"/>
      <c r="D699" s="208"/>
      <c r="E699" s="208"/>
      <c r="F699" s="584"/>
      <c r="G699" s="208"/>
      <c r="H699" s="208"/>
      <c r="I699" s="208"/>
      <c r="J699" s="208"/>
      <c r="K699" s="208"/>
      <c r="L699" s="536"/>
      <c r="M699" s="208"/>
      <c r="N699" s="208"/>
      <c r="O699" s="208"/>
      <c r="P699" s="208"/>
      <c r="Q699" s="208"/>
      <c r="R699" s="208"/>
      <c r="S699" s="208"/>
      <c r="T699" s="208"/>
      <c r="U699" s="208"/>
      <c r="V699" s="208"/>
      <c r="W699" s="208"/>
      <c r="X699" s="208"/>
      <c r="Y699" s="208"/>
      <c r="Z699" s="208"/>
      <c r="AA699" s="208"/>
      <c r="AB699" s="208"/>
      <c r="AC699" s="208"/>
      <c r="AD699" s="208"/>
      <c r="AE699" s="208"/>
      <c r="AF699" s="208"/>
      <c r="AG699" s="208"/>
      <c r="AH699" s="208"/>
      <c r="AI699" s="208"/>
      <c r="AJ699" s="208"/>
      <c r="AK699" s="208"/>
      <c r="AL699" s="208"/>
      <c r="AM699" s="208"/>
      <c r="AN699" s="208"/>
      <c r="AO699" s="208"/>
      <c r="AP699" s="208"/>
      <c r="AQ699" s="208"/>
      <c r="AR699" s="208"/>
      <c r="AS699" s="208"/>
      <c r="AT699" s="208"/>
      <c r="AU699" s="208"/>
      <c r="AV699" s="208"/>
      <c r="AW699" s="208"/>
      <c r="AX699" s="208"/>
      <c r="AY699" s="208"/>
    </row>
    <row r="700">
      <c r="A700" s="208"/>
      <c r="B700" s="533"/>
      <c r="C700" s="208"/>
      <c r="D700" s="208"/>
      <c r="E700" s="208"/>
      <c r="F700" s="584"/>
      <c r="G700" s="208"/>
      <c r="H700" s="208"/>
      <c r="I700" s="208"/>
      <c r="J700" s="208"/>
      <c r="K700" s="208"/>
      <c r="L700" s="536"/>
      <c r="M700" s="208"/>
      <c r="N700" s="208"/>
      <c r="O700" s="208"/>
      <c r="P700" s="208"/>
      <c r="Q700" s="208"/>
      <c r="R700" s="208"/>
      <c r="S700" s="208"/>
      <c r="T700" s="208"/>
      <c r="U700" s="208"/>
      <c r="V700" s="208"/>
      <c r="W700" s="208"/>
      <c r="X700" s="208"/>
      <c r="Y700" s="208"/>
      <c r="Z700" s="208"/>
      <c r="AA700" s="208"/>
      <c r="AB700" s="208"/>
      <c r="AC700" s="208"/>
      <c r="AD700" s="208"/>
      <c r="AE700" s="208"/>
      <c r="AF700" s="208"/>
      <c r="AG700" s="208"/>
      <c r="AH700" s="208"/>
      <c r="AI700" s="208"/>
      <c r="AJ700" s="208"/>
      <c r="AK700" s="208"/>
      <c r="AL700" s="208"/>
      <c r="AM700" s="208"/>
      <c r="AN700" s="208"/>
      <c r="AO700" s="208"/>
      <c r="AP700" s="208"/>
      <c r="AQ700" s="208"/>
      <c r="AR700" s="208"/>
      <c r="AS700" s="208"/>
      <c r="AT700" s="208"/>
      <c r="AU700" s="208"/>
      <c r="AV700" s="208"/>
      <c r="AW700" s="208"/>
      <c r="AX700" s="208"/>
      <c r="AY700" s="208"/>
    </row>
    <row r="701">
      <c r="A701" s="208"/>
      <c r="B701" s="533"/>
      <c r="C701" s="208"/>
      <c r="D701" s="208"/>
      <c r="E701" s="208"/>
      <c r="F701" s="584"/>
      <c r="G701" s="208"/>
      <c r="H701" s="208"/>
      <c r="I701" s="208"/>
      <c r="J701" s="208"/>
      <c r="K701" s="208"/>
      <c r="L701" s="536"/>
      <c r="M701" s="208"/>
      <c r="N701" s="208"/>
      <c r="O701" s="208"/>
      <c r="P701" s="208"/>
      <c r="Q701" s="208"/>
      <c r="R701" s="208"/>
      <c r="S701" s="208"/>
      <c r="T701" s="208"/>
      <c r="U701" s="208"/>
      <c r="V701" s="208"/>
      <c r="W701" s="208"/>
      <c r="X701" s="208"/>
      <c r="Y701" s="208"/>
      <c r="Z701" s="208"/>
      <c r="AA701" s="208"/>
      <c r="AB701" s="208"/>
      <c r="AC701" s="208"/>
      <c r="AD701" s="208"/>
      <c r="AE701" s="208"/>
      <c r="AF701" s="208"/>
      <c r="AG701" s="208"/>
      <c r="AH701" s="208"/>
      <c r="AI701" s="208"/>
      <c r="AJ701" s="208"/>
      <c r="AK701" s="208"/>
      <c r="AL701" s="208"/>
      <c r="AM701" s="208"/>
      <c r="AN701" s="208"/>
      <c r="AO701" s="208"/>
      <c r="AP701" s="208"/>
      <c r="AQ701" s="208"/>
      <c r="AR701" s="208"/>
      <c r="AS701" s="208"/>
      <c r="AT701" s="208"/>
      <c r="AU701" s="208"/>
      <c r="AV701" s="208"/>
      <c r="AW701" s="208"/>
      <c r="AX701" s="208"/>
      <c r="AY701" s="208"/>
    </row>
    <row r="702">
      <c r="A702" s="208"/>
      <c r="B702" s="533"/>
      <c r="C702" s="208"/>
      <c r="D702" s="208"/>
      <c r="E702" s="208"/>
      <c r="F702" s="584"/>
      <c r="G702" s="208"/>
      <c r="H702" s="208"/>
      <c r="I702" s="208"/>
      <c r="J702" s="208"/>
      <c r="K702" s="208"/>
      <c r="L702" s="536"/>
      <c r="M702" s="208"/>
      <c r="N702" s="208"/>
      <c r="O702" s="208"/>
      <c r="P702" s="208"/>
      <c r="Q702" s="208"/>
      <c r="R702" s="208"/>
      <c r="S702" s="208"/>
      <c r="T702" s="208"/>
      <c r="U702" s="208"/>
      <c r="V702" s="208"/>
      <c r="W702" s="208"/>
      <c r="X702" s="208"/>
      <c r="Y702" s="208"/>
      <c r="Z702" s="208"/>
      <c r="AA702" s="208"/>
      <c r="AB702" s="208"/>
      <c r="AC702" s="208"/>
      <c r="AD702" s="208"/>
      <c r="AE702" s="208"/>
      <c r="AF702" s="208"/>
      <c r="AG702" s="208"/>
      <c r="AH702" s="208"/>
      <c r="AI702" s="208"/>
      <c r="AJ702" s="208"/>
      <c r="AK702" s="208"/>
      <c r="AL702" s="208"/>
      <c r="AM702" s="208"/>
      <c r="AN702" s="208"/>
      <c r="AO702" s="208"/>
      <c r="AP702" s="208"/>
      <c r="AQ702" s="208"/>
      <c r="AR702" s="208"/>
      <c r="AS702" s="208"/>
      <c r="AT702" s="208"/>
      <c r="AU702" s="208"/>
      <c r="AV702" s="208"/>
      <c r="AW702" s="208"/>
      <c r="AX702" s="208"/>
      <c r="AY702" s="208"/>
    </row>
    <row r="703">
      <c r="A703" s="208"/>
      <c r="B703" s="533"/>
      <c r="C703" s="208"/>
      <c r="D703" s="208"/>
      <c r="E703" s="208"/>
      <c r="F703" s="584"/>
      <c r="G703" s="208"/>
      <c r="H703" s="208"/>
      <c r="I703" s="208"/>
      <c r="J703" s="208"/>
      <c r="K703" s="208"/>
      <c r="L703" s="536"/>
      <c r="M703" s="208"/>
      <c r="N703" s="208"/>
      <c r="O703" s="208"/>
      <c r="P703" s="208"/>
      <c r="Q703" s="208"/>
      <c r="R703" s="208"/>
      <c r="S703" s="208"/>
      <c r="T703" s="208"/>
      <c r="U703" s="208"/>
      <c r="V703" s="208"/>
      <c r="W703" s="208"/>
      <c r="X703" s="208"/>
      <c r="Y703" s="208"/>
      <c r="Z703" s="208"/>
      <c r="AA703" s="208"/>
      <c r="AB703" s="208"/>
      <c r="AC703" s="208"/>
      <c r="AD703" s="208"/>
      <c r="AE703" s="208"/>
      <c r="AF703" s="208"/>
      <c r="AG703" s="208"/>
      <c r="AH703" s="208"/>
      <c r="AI703" s="208"/>
      <c r="AJ703" s="208"/>
      <c r="AK703" s="208"/>
      <c r="AL703" s="208"/>
      <c r="AM703" s="208"/>
      <c r="AN703" s="208"/>
      <c r="AO703" s="208"/>
      <c r="AP703" s="208"/>
      <c r="AQ703" s="208"/>
      <c r="AR703" s="208"/>
      <c r="AS703" s="208"/>
      <c r="AT703" s="208"/>
      <c r="AU703" s="208"/>
      <c r="AV703" s="208"/>
      <c r="AW703" s="208"/>
      <c r="AX703" s="208"/>
      <c r="AY703" s="208"/>
    </row>
    <row r="704">
      <c r="A704" s="208"/>
      <c r="B704" s="533"/>
      <c r="C704" s="208"/>
      <c r="D704" s="208"/>
      <c r="E704" s="208"/>
      <c r="F704" s="584"/>
      <c r="G704" s="208"/>
      <c r="H704" s="208"/>
      <c r="I704" s="208"/>
      <c r="J704" s="208"/>
      <c r="K704" s="208"/>
      <c r="L704" s="536"/>
      <c r="M704" s="208"/>
      <c r="N704" s="208"/>
      <c r="O704" s="208"/>
      <c r="P704" s="208"/>
      <c r="Q704" s="208"/>
      <c r="R704" s="208"/>
      <c r="S704" s="208"/>
      <c r="T704" s="208"/>
      <c r="U704" s="208"/>
      <c r="V704" s="208"/>
      <c r="W704" s="208"/>
      <c r="X704" s="208"/>
      <c r="Y704" s="208"/>
      <c r="Z704" s="208"/>
      <c r="AA704" s="208"/>
      <c r="AB704" s="208"/>
      <c r="AC704" s="208"/>
      <c r="AD704" s="208"/>
      <c r="AE704" s="208"/>
      <c r="AF704" s="208"/>
      <c r="AG704" s="208"/>
      <c r="AH704" s="208"/>
      <c r="AI704" s="208"/>
      <c r="AJ704" s="208"/>
      <c r="AK704" s="208"/>
      <c r="AL704" s="208"/>
      <c r="AM704" s="208"/>
      <c r="AN704" s="208"/>
      <c r="AO704" s="208"/>
      <c r="AP704" s="208"/>
      <c r="AQ704" s="208"/>
      <c r="AR704" s="208"/>
      <c r="AS704" s="208"/>
      <c r="AT704" s="208"/>
      <c r="AU704" s="208"/>
      <c r="AV704" s="208"/>
      <c r="AW704" s="208"/>
      <c r="AX704" s="208"/>
      <c r="AY704" s="208"/>
    </row>
    <row r="705">
      <c r="A705" s="208"/>
      <c r="B705" s="533"/>
      <c r="C705" s="208"/>
      <c r="D705" s="208"/>
      <c r="E705" s="208"/>
      <c r="F705" s="584"/>
      <c r="G705" s="208"/>
      <c r="H705" s="208"/>
      <c r="I705" s="208"/>
      <c r="J705" s="208"/>
      <c r="K705" s="208"/>
      <c r="L705" s="536"/>
      <c r="M705" s="208"/>
      <c r="N705" s="208"/>
      <c r="O705" s="208"/>
      <c r="P705" s="208"/>
      <c r="Q705" s="208"/>
      <c r="R705" s="208"/>
      <c r="S705" s="208"/>
      <c r="T705" s="208"/>
      <c r="U705" s="208"/>
      <c r="V705" s="208"/>
      <c r="W705" s="208"/>
      <c r="X705" s="208"/>
      <c r="Y705" s="208"/>
      <c r="Z705" s="208"/>
      <c r="AA705" s="208"/>
      <c r="AB705" s="208"/>
      <c r="AC705" s="208"/>
      <c r="AD705" s="208"/>
      <c r="AE705" s="208"/>
      <c r="AF705" s="208"/>
      <c r="AG705" s="208"/>
      <c r="AH705" s="208"/>
      <c r="AI705" s="208"/>
      <c r="AJ705" s="208"/>
      <c r="AK705" s="208"/>
      <c r="AL705" s="208"/>
      <c r="AM705" s="208"/>
      <c r="AN705" s="208"/>
      <c r="AO705" s="208"/>
      <c r="AP705" s="208"/>
      <c r="AQ705" s="208"/>
      <c r="AR705" s="208"/>
      <c r="AS705" s="208"/>
      <c r="AT705" s="208"/>
      <c r="AU705" s="208"/>
      <c r="AV705" s="208"/>
      <c r="AW705" s="208"/>
      <c r="AX705" s="208"/>
      <c r="AY705" s="208"/>
    </row>
    <row r="706">
      <c r="A706" s="208"/>
      <c r="B706" s="533"/>
      <c r="C706" s="208"/>
      <c r="D706" s="208"/>
      <c r="E706" s="208"/>
      <c r="F706" s="584"/>
      <c r="G706" s="208"/>
      <c r="H706" s="208"/>
      <c r="I706" s="208"/>
      <c r="J706" s="208"/>
      <c r="K706" s="208"/>
      <c r="L706" s="536"/>
      <c r="M706" s="208"/>
      <c r="N706" s="208"/>
      <c r="O706" s="208"/>
      <c r="P706" s="208"/>
      <c r="Q706" s="208"/>
      <c r="R706" s="208"/>
      <c r="S706" s="208"/>
      <c r="T706" s="208"/>
      <c r="U706" s="208"/>
      <c r="V706" s="208"/>
      <c r="W706" s="208"/>
      <c r="X706" s="208"/>
      <c r="Y706" s="208"/>
      <c r="Z706" s="208"/>
      <c r="AA706" s="208"/>
      <c r="AB706" s="208"/>
      <c r="AC706" s="208"/>
      <c r="AD706" s="208"/>
      <c r="AE706" s="208"/>
      <c r="AF706" s="208"/>
      <c r="AG706" s="208"/>
      <c r="AH706" s="208"/>
      <c r="AI706" s="208"/>
      <c r="AJ706" s="208"/>
      <c r="AK706" s="208"/>
      <c r="AL706" s="208"/>
      <c r="AM706" s="208"/>
      <c r="AN706" s="208"/>
      <c r="AO706" s="208"/>
      <c r="AP706" s="208"/>
      <c r="AQ706" s="208"/>
      <c r="AR706" s="208"/>
      <c r="AS706" s="208"/>
      <c r="AT706" s="208"/>
      <c r="AU706" s="208"/>
      <c r="AV706" s="208"/>
      <c r="AW706" s="208"/>
      <c r="AX706" s="208"/>
      <c r="AY706" s="208"/>
    </row>
    <row r="707">
      <c r="A707" s="208"/>
      <c r="B707" s="533"/>
      <c r="C707" s="208"/>
      <c r="D707" s="208"/>
      <c r="E707" s="208"/>
      <c r="F707" s="584"/>
      <c r="G707" s="208"/>
      <c r="H707" s="208"/>
      <c r="I707" s="208"/>
      <c r="J707" s="208"/>
      <c r="K707" s="208"/>
      <c r="L707" s="536"/>
      <c r="M707" s="208"/>
      <c r="N707" s="208"/>
      <c r="O707" s="208"/>
      <c r="P707" s="208"/>
      <c r="Q707" s="208"/>
      <c r="R707" s="208"/>
      <c r="S707" s="208"/>
      <c r="T707" s="208"/>
      <c r="U707" s="208"/>
      <c r="V707" s="208"/>
      <c r="W707" s="208"/>
      <c r="X707" s="208"/>
      <c r="Y707" s="208"/>
      <c r="Z707" s="208"/>
      <c r="AA707" s="208"/>
      <c r="AB707" s="208"/>
      <c r="AC707" s="208"/>
      <c r="AD707" s="208"/>
      <c r="AE707" s="208"/>
      <c r="AF707" s="208"/>
      <c r="AG707" s="208"/>
      <c r="AH707" s="208"/>
      <c r="AI707" s="208"/>
      <c r="AJ707" s="208"/>
      <c r="AK707" s="208"/>
      <c r="AL707" s="208"/>
      <c r="AM707" s="208"/>
      <c r="AN707" s="208"/>
      <c r="AO707" s="208"/>
      <c r="AP707" s="208"/>
      <c r="AQ707" s="208"/>
      <c r="AR707" s="208"/>
      <c r="AS707" s="208"/>
      <c r="AT707" s="208"/>
      <c r="AU707" s="208"/>
      <c r="AV707" s="208"/>
      <c r="AW707" s="208"/>
      <c r="AX707" s="208"/>
      <c r="AY707" s="208"/>
    </row>
    <row r="708">
      <c r="A708" s="208"/>
      <c r="B708" s="533"/>
      <c r="C708" s="208"/>
      <c r="D708" s="208"/>
      <c r="E708" s="208"/>
      <c r="F708" s="584"/>
      <c r="G708" s="208"/>
      <c r="H708" s="208"/>
      <c r="I708" s="208"/>
      <c r="J708" s="208"/>
      <c r="K708" s="208"/>
      <c r="L708" s="536"/>
      <c r="M708" s="208"/>
      <c r="N708" s="208"/>
      <c r="O708" s="208"/>
      <c r="P708" s="208"/>
      <c r="Q708" s="208"/>
      <c r="R708" s="208"/>
      <c r="S708" s="208"/>
      <c r="T708" s="208"/>
      <c r="U708" s="208"/>
      <c r="V708" s="208"/>
      <c r="W708" s="208"/>
      <c r="X708" s="208"/>
      <c r="Y708" s="208"/>
      <c r="Z708" s="208"/>
      <c r="AA708" s="208"/>
      <c r="AB708" s="208"/>
      <c r="AC708" s="208"/>
      <c r="AD708" s="208"/>
      <c r="AE708" s="208"/>
      <c r="AF708" s="208"/>
      <c r="AG708" s="208"/>
      <c r="AH708" s="208"/>
      <c r="AI708" s="208"/>
      <c r="AJ708" s="208"/>
      <c r="AK708" s="208"/>
      <c r="AL708" s="208"/>
      <c r="AM708" s="208"/>
      <c r="AN708" s="208"/>
      <c r="AO708" s="208"/>
      <c r="AP708" s="208"/>
      <c r="AQ708" s="208"/>
      <c r="AR708" s="208"/>
      <c r="AS708" s="208"/>
      <c r="AT708" s="208"/>
      <c r="AU708" s="208"/>
      <c r="AV708" s="208"/>
      <c r="AW708" s="208"/>
      <c r="AX708" s="208"/>
      <c r="AY708" s="208"/>
    </row>
    <row r="709">
      <c r="A709" s="208"/>
      <c r="B709" s="533"/>
      <c r="C709" s="208"/>
      <c r="D709" s="208"/>
      <c r="E709" s="208"/>
      <c r="F709" s="584"/>
      <c r="G709" s="208"/>
      <c r="H709" s="208"/>
      <c r="I709" s="208"/>
      <c r="J709" s="208"/>
      <c r="K709" s="208"/>
      <c r="L709" s="536"/>
      <c r="M709" s="208"/>
      <c r="N709" s="208"/>
      <c r="O709" s="208"/>
      <c r="P709" s="208"/>
      <c r="Q709" s="208"/>
      <c r="R709" s="208"/>
      <c r="S709" s="208"/>
      <c r="T709" s="208"/>
      <c r="U709" s="208"/>
      <c r="V709" s="208"/>
      <c r="W709" s="208"/>
      <c r="X709" s="208"/>
      <c r="Y709" s="208"/>
      <c r="Z709" s="208"/>
      <c r="AA709" s="208"/>
      <c r="AB709" s="208"/>
      <c r="AC709" s="208"/>
      <c r="AD709" s="208"/>
      <c r="AE709" s="208"/>
      <c r="AF709" s="208"/>
      <c r="AG709" s="208"/>
      <c r="AH709" s="208"/>
      <c r="AI709" s="208"/>
      <c r="AJ709" s="208"/>
      <c r="AK709" s="208"/>
      <c r="AL709" s="208"/>
      <c r="AM709" s="208"/>
      <c r="AN709" s="208"/>
      <c r="AO709" s="208"/>
      <c r="AP709" s="208"/>
      <c r="AQ709" s="208"/>
      <c r="AR709" s="208"/>
      <c r="AS709" s="208"/>
      <c r="AT709" s="208"/>
      <c r="AU709" s="208"/>
      <c r="AV709" s="208"/>
      <c r="AW709" s="208"/>
      <c r="AX709" s="208"/>
      <c r="AY709" s="208"/>
    </row>
    <row r="710">
      <c r="A710" s="208"/>
      <c r="B710" s="533"/>
      <c r="C710" s="208"/>
      <c r="D710" s="208"/>
      <c r="E710" s="208"/>
      <c r="F710" s="584"/>
      <c r="G710" s="208"/>
      <c r="H710" s="208"/>
      <c r="I710" s="208"/>
      <c r="J710" s="208"/>
      <c r="K710" s="208"/>
      <c r="L710" s="536"/>
      <c r="M710" s="208"/>
      <c r="N710" s="208"/>
      <c r="O710" s="208"/>
      <c r="P710" s="208"/>
      <c r="Q710" s="208"/>
      <c r="R710" s="208"/>
      <c r="S710" s="208"/>
      <c r="T710" s="208"/>
      <c r="U710" s="208"/>
      <c r="V710" s="208"/>
      <c r="W710" s="208"/>
      <c r="X710" s="208"/>
      <c r="Y710" s="208"/>
      <c r="Z710" s="208"/>
      <c r="AA710" s="208"/>
      <c r="AB710" s="208"/>
      <c r="AC710" s="208"/>
      <c r="AD710" s="208"/>
      <c r="AE710" s="208"/>
      <c r="AF710" s="208"/>
      <c r="AG710" s="208"/>
      <c r="AH710" s="208"/>
      <c r="AI710" s="208"/>
      <c r="AJ710" s="208"/>
      <c r="AK710" s="208"/>
      <c r="AL710" s="208"/>
      <c r="AM710" s="208"/>
      <c r="AN710" s="208"/>
      <c r="AO710" s="208"/>
      <c r="AP710" s="208"/>
      <c r="AQ710" s="208"/>
      <c r="AR710" s="208"/>
      <c r="AS710" s="208"/>
      <c r="AT710" s="208"/>
      <c r="AU710" s="208"/>
      <c r="AV710" s="208"/>
      <c r="AW710" s="208"/>
      <c r="AX710" s="208"/>
      <c r="AY710" s="208"/>
    </row>
    <row r="711">
      <c r="A711" s="208"/>
      <c r="B711" s="533"/>
      <c r="C711" s="208"/>
      <c r="D711" s="208"/>
      <c r="E711" s="208"/>
      <c r="F711" s="584"/>
      <c r="G711" s="208"/>
      <c r="H711" s="208"/>
      <c r="I711" s="208"/>
      <c r="J711" s="208"/>
      <c r="K711" s="208"/>
      <c r="L711" s="536"/>
      <c r="M711" s="208"/>
      <c r="N711" s="208"/>
      <c r="O711" s="208"/>
      <c r="P711" s="208"/>
      <c r="Q711" s="208"/>
      <c r="R711" s="208"/>
      <c r="S711" s="208"/>
      <c r="T711" s="208"/>
      <c r="U711" s="208"/>
      <c r="V711" s="208"/>
      <c r="W711" s="208"/>
      <c r="X711" s="208"/>
      <c r="Y711" s="208"/>
      <c r="Z711" s="208"/>
      <c r="AA711" s="208"/>
      <c r="AB711" s="208"/>
      <c r="AC711" s="208"/>
      <c r="AD711" s="208"/>
      <c r="AE711" s="208"/>
      <c r="AF711" s="208"/>
      <c r="AG711" s="208"/>
      <c r="AH711" s="208"/>
      <c r="AI711" s="208"/>
      <c r="AJ711" s="208"/>
      <c r="AK711" s="208"/>
      <c r="AL711" s="208"/>
      <c r="AM711" s="208"/>
      <c r="AN711" s="208"/>
      <c r="AO711" s="208"/>
      <c r="AP711" s="208"/>
      <c r="AQ711" s="208"/>
      <c r="AR711" s="208"/>
      <c r="AS711" s="208"/>
      <c r="AT711" s="208"/>
      <c r="AU711" s="208"/>
      <c r="AV711" s="208"/>
      <c r="AW711" s="208"/>
      <c r="AX711" s="208"/>
      <c r="AY711" s="208"/>
    </row>
    <row r="712">
      <c r="A712" s="208"/>
      <c r="B712" s="533"/>
      <c r="C712" s="208"/>
      <c r="D712" s="208"/>
      <c r="E712" s="208"/>
      <c r="F712" s="584"/>
      <c r="G712" s="208"/>
      <c r="H712" s="208"/>
      <c r="I712" s="208"/>
      <c r="J712" s="208"/>
      <c r="K712" s="208"/>
      <c r="L712" s="536"/>
      <c r="M712" s="208"/>
      <c r="N712" s="208"/>
      <c r="O712" s="208"/>
      <c r="P712" s="208"/>
      <c r="Q712" s="208"/>
      <c r="R712" s="208"/>
      <c r="S712" s="208"/>
      <c r="T712" s="208"/>
      <c r="U712" s="208"/>
      <c r="V712" s="208"/>
      <c r="W712" s="208"/>
      <c r="X712" s="208"/>
      <c r="Y712" s="208"/>
      <c r="Z712" s="208"/>
      <c r="AA712" s="208"/>
      <c r="AB712" s="208"/>
      <c r="AC712" s="208"/>
      <c r="AD712" s="208"/>
      <c r="AE712" s="208"/>
      <c r="AF712" s="208"/>
      <c r="AG712" s="208"/>
      <c r="AH712" s="208"/>
      <c r="AI712" s="208"/>
      <c r="AJ712" s="208"/>
      <c r="AK712" s="208"/>
      <c r="AL712" s="208"/>
      <c r="AM712" s="208"/>
      <c r="AN712" s="208"/>
      <c r="AO712" s="208"/>
      <c r="AP712" s="208"/>
      <c r="AQ712" s="208"/>
      <c r="AR712" s="208"/>
      <c r="AS712" s="208"/>
      <c r="AT712" s="208"/>
      <c r="AU712" s="208"/>
      <c r="AV712" s="208"/>
      <c r="AW712" s="208"/>
      <c r="AX712" s="208"/>
      <c r="AY712" s="208"/>
    </row>
    <row r="713">
      <c r="A713" s="208"/>
      <c r="B713" s="533"/>
      <c r="C713" s="208"/>
      <c r="D713" s="208"/>
      <c r="E713" s="208"/>
      <c r="F713" s="584"/>
      <c r="G713" s="208"/>
      <c r="H713" s="208"/>
      <c r="I713" s="208"/>
      <c r="J713" s="208"/>
      <c r="K713" s="208"/>
      <c r="L713" s="536"/>
      <c r="M713" s="208"/>
      <c r="N713" s="208"/>
      <c r="O713" s="208"/>
      <c r="P713" s="208"/>
      <c r="Q713" s="208"/>
      <c r="R713" s="208"/>
      <c r="S713" s="208"/>
      <c r="T713" s="208"/>
      <c r="U713" s="208"/>
      <c r="V713" s="208"/>
      <c r="W713" s="208"/>
      <c r="X713" s="208"/>
      <c r="Y713" s="208"/>
      <c r="Z713" s="208"/>
      <c r="AA713" s="208"/>
      <c r="AB713" s="208"/>
      <c r="AC713" s="208"/>
      <c r="AD713" s="208"/>
      <c r="AE713" s="208"/>
      <c r="AF713" s="208"/>
      <c r="AG713" s="208"/>
      <c r="AH713" s="208"/>
      <c r="AI713" s="208"/>
      <c r="AJ713" s="208"/>
      <c r="AK713" s="208"/>
      <c r="AL713" s="208"/>
      <c r="AM713" s="208"/>
      <c r="AN713" s="208"/>
      <c r="AO713" s="208"/>
      <c r="AP713" s="208"/>
      <c r="AQ713" s="208"/>
      <c r="AR713" s="208"/>
      <c r="AS713" s="208"/>
      <c r="AT713" s="208"/>
      <c r="AU713" s="208"/>
      <c r="AV713" s="208"/>
      <c r="AW713" s="208"/>
      <c r="AX713" s="208"/>
      <c r="AY713" s="208"/>
    </row>
    <row r="714">
      <c r="A714" s="208"/>
      <c r="B714" s="533"/>
      <c r="C714" s="208"/>
      <c r="D714" s="208"/>
      <c r="E714" s="208"/>
      <c r="F714" s="584"/>
      <c r="G714" s="208"/>
      <c r="H714" s="208"/>
      <c r="I714" s="208"/>
      <c r="J714" s="208"/>
      <c r="K714" s="208"/>
      <c r="L714" s="536"/>
      <c r="M714" s="208"/>
      <c r="N714" s="208"/>
      <c r="O714" s="208"/>
      <c r="P714" s="208"/>
      <c r="Q714" s="208"/>
      <c r="R714" s="208"/>
      <c r="S714" s="208"/>
      <c r="T714" s="208"/>
      <c r="U714" s="208"/>
      <c r="V714" s="208"/>
      <c r="W714" s="208"/>
      <c r="X714" s="208"/>
      <c r="Y714" s="208"/>
      <c r="Z714" s="208"/>
      <c r="AA714" s="208"/>
      <c r="AB714" s="208"/>
      <c r="AC714" s="208"/>
      <c r="AD714" s="208"/>
      <c r="AE714" s="208"/>
      <c r="AF714" s="208"/>
      <c r="AG714" s="208"/>
      <c r="AH714" s="208"/>
      <c r="AI714" s="208"/>
      <c r="AJ714" s="208"/>
      <c r="AK714" s="208"/>
      <c r="AL714" s="208"/>
      <c r="AM714" s="208"/>
      <c r="AN714" s="208"/>
      <c r="AO714" s="208"/>
      <c r="AP714" s="208"/>
      <c r="AQ714" s="208"/>
      <c r="AR714" s="208"/>
      <c r="AS714" s="208"/>
      <c r="AT714" s="208"/>
      <c r="AU714" s="208"/>
      <c r="AV714" s="208"/>
      <c r="AW714" s="208"/>
      <c r="AX714" s="208"/>
      <c r="AY714" s="208"/>
    </row>
    <row r="715">
      <c r="A715" s="208"/>
      <c r="B715" s="533"/>
      <c r="C715" s="208"/>
      <c r="D715" s="208"/>
      <c r="E715" s="208"/>
      <c r="F715" s="584"/>
      <c r="G715" s="208"/>
      <c r="H715" s="208"/>
      <c r="I715" s="208"/>
      <c r="J715" s="208"/>
      <c r="K715" s="208"/>
      <c r="L715" s="536"/>
      <c r="M715" s="208"/>
      <c r="N715" s="208"/>
      <c r="O715" s="208"/>
      <c r="P715" s="208"/>
      <c r="Q715" s="208"/>
      <c r="R715" s="208"/>
      <c r="S715" s="208"/>
      <c r="T715" s="208"/>
      <c r="U715" s="208"/>
      <c r="V715" s="208"/>
      <c r="W715" s="208"/>
      <c r="X715" s="208"/>
      <c r="Y715" s="208"/>
      <c r="Z715" s="208"/>
      <c r="AA715" s="208"/>
      <c r="AB715" s="208"/>
      <c r="AC715" s="208"/>
      <c r="AD715" s="208"/>
      <c r="AE715" s="208"/>
      <c r="AF715" s="208"/>
      <c r="AG715" s="208"/>
      <c r="AH715" s="208"/>
      <c r="AI715" s="208"/>
      <c r="AJ715" s="208"/>
      <c r="AK715" s="208"/>
      <c r="AL715" s="208"/>
      <c r="AM715" s="208"/>
      <c r="AN715" s="208"/>
      <c r="AO715" s="208"/>
      <c r="AP715" s="208"/>
      <c r="AQ715" s="208"/>
      <c r="AR715" s="208"/>
      <c r="AS715" s="208"/>
      <c r="AT715" s="208"/>
      <c r="AU715" s="208"/>
      <c r="AV715" s="208"/>
      <c r="AW715" s="208"/>
      <c r="AX715" s="208"/>
      <c r="AY715" s="208"/>
    </row>
    <row r="716">
      <c r="A716" s="208"/>
      <c r="B716" s="533"/>
      <c r="C716" s="208"/>
      <c r="D716" s="208"/>
      <c r="E716" s="208"/>
      <c r="F716" s="584"/>
      <c r="G716" s="208"/>
      <c r="H716" s="208"/>
      <c r="I716" s="208"/>
      <c r="J716" s="208"/>
      <c r="K716" s="208"/>
      <c r="L716" s="536"/>
      <c r="M716" s="208"/>
      <c r="N716" s="208"/>
      <c r="O716" s="208"/>
      <c r="P716" s="208"/>
      <c r="Q716" s="208"/>
      <c r="R716" s="208"/>
      <c r="S716" s="208"/>
      <c r="T716" s="208"/>
      <c r="U716" s="208"/>
      <c r="V716" s="208"/>
      <c r="W716" s="208"/>
      <c r="X716" s="208"/>
      <c r="Y716" s="208"/>
      <c r="Z716" s="208"/>
      <c r="AA716" s="208"/>
      <c r="AB716" s="208"/>
      <c r="AC716" s="208"/>
      <c r="AD716" s="208"/>
      <c r="AE716" s="208"/>
      <c r="AF716" s="208"/>
      <c r="AG716" s="208"/>
      <c r="AH716" s="208"/>
      <c r="AI716" s="208"/>
      <c r="AJ716" s="208"/>
      <c r="AK716" s="208"/>
      <c r="AL716" s="208"/>
      <c r="AM716" s="208"/>
      <c r="AN716" s="208"/>
      <c r="AO716" s="208"/>
      <c r="AP716" s="208"/>
      <c r="AQ716" s="208"/>
      <c r="AR716" s="208"/>
      <c r="AS716" s="208"/>
      <c r="AT716" s="208"/>
      <c r="AU716" s="208"/>
      <c r="AV716" s="208"/>
      <c r="AW716" s="208"/>
      <c r="AX716" s="208"/>
      <c r="AY716" s="208"/>
    </row>
    <row r="717">
      <c r="A717" s="208"/>
      <c r="B717" s="533"/>
      <c r="C717" s="208"/>
      <c r="D717" s="208"/>
      <c r="E717" s="208"/>
      <c r="F717" s="584"/>
      <c r="G717" s="208"/>
      <c r="H717" s="208"/>
      <c r="I717" s="208"/>
      <c r="J717" s="208"/>
      <c r="K717" s="208"/>
      <c r="L717" s="536"/>
      <c r="M717" s="208"/>
      <c r="N717" s="208"/>
      <c r="O717" s="208"/>
      <c r="P717" s="208"/>
      <c r="Q717" s="208"/>
      <c r="R717" s="208"/>
      <c r="S717" s="208"/>
      <c r="T717" s="208"/>
      <c r="U717" s="208"/>
      <c r="V717" s="208"/>
      <c r="W717" s="208"/>
      <c r="X717" s="208"/>
      <c r="Y717" s="208"/>
      <c r="Z717" s="208"/>
      <c r="AA717" s="208"/>
      <c r="AB717" s="208"/>
      <c r="AC717" s="208"/>
      <c r="AD717" s="208"/>
      <c r="AE717" s="208"/>
      <c r="AF717" s="208"/>
      <c r="AG717" s="208"/>
      <c r="AH717" s="208"/>
      <c r="AI717" s="208"/>
      <c r="AJ717" s="208"/>
      <c r="AK717" s="208"/>
      <c r="AL717" s="208"/>
      <c r="AM717" s="208"/>
      <c r="AN717" s="208"/>
      <c r="AO717" s="208"/>
      <c r="AP717" s="208"/>
      <c r="AQ717" s="208"/>
      <c r="AR717" s="208"/>
      <c r="AS717" s="208"/>
      <c r="AT717" s="208"/>
      <c r="AU717" s="208"/>
      <c r="AV717" s="208"/>
      <c r="AW717" s="208"/>
      <c r="AX717" s="208"/>
      <c r="AY717" s="208"/>
    </row>
    <row r="718">
      <c r="A718" s="208"/>
      <c r="B718" s="533"/>
      <c r="C718" s="208"/>
      <c r="D718" s="208"/>
      <c r="E718" s="208"/>
      <c r="F718" s="584"/>
      <c r="G718" s="208"/>
      <c r="H718" s="208"/>
      <c r="I718" s="208"/>
      <c r="J718" s="208"/>
      <c r="K718" s="208"/>
      <c r="L718" s="536"/>
      <c r="M718" s="208"/>
      <c r="N718" s="208"/>
      <c r="O718" s="208"/>
      <c r="P718" s="208"/>
      <c r="Q718" s="208"/>
      <c r="R718" s="208"/>
      <c r="S718" s="208"/>
      <c r="T718" s="208"/>
      <c r="U718" s="208"/>
      <c r="V718" s="208"/>
      <c r="W718" s="208"/>
      <c r="X718" s="208"/>
      <c r="Y718" s="208"/>
      <c r="Z718" s="208"/>
      <c r="AA718" s="208"/>
      <c r="AB718" s="208"/>
      <c r="AC718" s="208"/>
      <c r="AD718" s="208"/>
      <c r="AE718" s="208"/>
      <c r="AF718" s="208"/>
      <c r="AG718" s="208"/>
      <c r="AH718" s="208"/>
      <c r="AI718" s="208"/>
      <c r="AJ718" s="208"/>
      <c r="AK718" s="208"/>
      <c r="AL718" s="208"/>
      <c r="AM718" s="208"/>
      <c r="AN718" s="208"/>
      <c r="AO718" s="208"/>
      <c r="AP718" s="208"/>
      <c r="AQ718" s="208"/>
      <c r="AR718" s="208"/>
      <c r="AS718" s="208"/>
      <c r="AT718" s="208"/>
      <c r="AU718" s="208"/>
      <c r="AV718" s="208"/>
      <c r="AW718" s="208"/>
      <c r="AX718" s="208"/>
      <c r="AY718" s="208"/>
    </row>
    <row r="719">
      <c r="A719" s="208"/>
      <c r="B719" s="533"/>
      <c r="C719" s="208"/>
      <c r="D719" s="208"/>
      <c r="E719" s="208"/>
      <c r="F719" s="584"/>
      <c r="G719" s="208"/>
      <c r="H719" s="208"/>
      <c r="I719" s="208"/>
      <c r="J719" s="208"/>
      <c r="K719" s="208"/>
      <c r="L719" s="536"/>
      <c r="M719" s="208"/>
      <c r="N719" s="208"/>
      <c r="O719" s="208"/>
      <c r="P719" s="208"/>
      <c r="Q719" s="208"/>
      <c r="R719" s="208"/>
      <c r="S719" s="208"/>
      <c r="T719" s="208"/>
      <c r="U719" s="208"/>
      <c r="V719" s="208"/>
      <c r="W719" s="208"/>
      <c r="X719" s="208"/>
      <c r="Y719" s="208"/>
      <c r="Z719" s="208"/>
      <c r="AA719" s="208"/>
      <c r="AB719" s="208"/>
      <c r="AC719" s="208"/>
      <c r="AD719" s="208"/>
      <c r="AE719" s="208"/>
      <c r="AF719" s="208"/>
      <c r="AG719" s="208"/>
      <c r="AH719" s="208"/>
      <c r="AI719" s="208"/>
      <c r="AJ719" s="208"/>
      <c r="AK719" s="208"/>
      <c r="AL719" s="208"/>
      <c r="AM719" s="208"/>
      <c r="AN719" s="208"/>
      <c r="AO719" s="208"/>
      <c r="AP719" s="208"/>
      <c r="AQ719" s="208"/>
      <c r="AR719" s="208"/>
      <c r="AS719" s="208"/>
      <c r="AT719" s="208"/>
      <c r="AU719" s="208"/>
      <c r="AV719" s="208"/>
      <c r="AW719" s="208"/>
      <c r="AX719" s="208"/>
      <c r="AY719" s="208"/>
    </row>
    <row r="720">
      <c r="A720" s="208"/>
      <c r="B720" s="533"/>
      <c r="C720" s="208"/>
      <c r="D720" s="208"/>
      <c r="E720" s="208"/>
      <c r="F720" s="584"/>
      <c r="G720" s="208"/>
      <c r="H720" s="208"/>
      <c r="I720" s="208"/>
      <c r="J720" s="208"/>
      <c r="K720" s="208"/>
      <c r="L720" s="536"/>
      <c r="M720" s="208"/>
      <c r="N720" s="208"/>
      <c r="O720" s="208"/>
      <c r="P720" s="208"/>
      <c r="Q720" s="208"/>
      <c r="R720" s="208"/>
      <c r="S720" s="208"/>
      <c r="T720" s="208"/>
      <c r="U720" s="208"/>
      <c r="V720" s="208"/>
      <c r="W720" s="208"/>
      <c r="X720" s="208"/>
      <c r="Y720" s="208"/>
      <c r="Z720" s="208"/>
      <c r="AA720" s="208"/>
      <c r="AB720" s="208"/>
      <c r="AC720" s="208"/>
      <c r="AD720" s="208"/>
      <c r="AE720" s="208"/>
      <c r="AF720" s="208"/>
      <c r="AG720" s="208"/>
      <c r="AH720" s="208"/>
      <c r="AI720" s="208"/>
      <c r="AJ720" s="208"/>
      <c r="AK720" s="208"/>
      <c r="AL720" s="208"/>
      <c r="AM720" s="208"/>
      <c r="AN720" s="208"/>
      <c r="AO720" s="208"/>
      <c r="AP720" s="208"/>
      <c r="AQ720" s="208"/>
      <c r="AR720" s="208"/>
      <c r="AS720" s="208"/>
      <c r="AT720" s="208"/>
      <c r="AU720" s="208"/>
      <c r="AV720" s="208"/>
      <c r="AW720" s="208"/>
      <c r="AX720" s="208"/>
      <c r="AY720" s="208"/>
    </row>
    <row r="721">
      <c r="A721" s="208"/>
      <c r="B721" s="533"/>
      <c r="C721" s="208"/>
      <c r="D721" s="208"/>
      <c r="E721" s="208"/>
      <c r="F721" s="584"/>
      <c r="G721" s="208"/>
      <c r="H721" s="208"/>
      <c r="I721" s="208"/>
      <c r="J721" s="208"/>
      <c r="K721" s="208"/>
      <c r="L721" s="536"/>
      <c r="M721" s="208"/>
      <c r="N721" s="208"/>
      <c r="O721" s="208"/>
      <c r="P721" s="208"/>
      <c r="Q721" s="208"/>
      <c r="R721" s="208"/>
      <c r="S721" s="208"/>
      <c r="T721" s="208"/>
      <c r="U721" s="208"/>
      <c r="V721" s="208"/>
      <c r="W721" s="208"/>
      <c r="X721" s="208"/>
      <c r="Y721" s="208"/>
      <c r="Z721" s="208"/>
      <c r="AA721" s="208"/>
      <c r="AB721" s="208"/>
      <c r="AC721" s="208"/>
      <c r="AD721" s="208"/>
      <c r="AE721" s="208"/>
      <c r="AF721" s="208"/>
      <c r="AG721" s="208"/>
      <c r="AH721" s="208"/>
      <c r="AI721" s="208"/>
      <c r="AJ721" s="208"/>
      <c r="AK721" s="208"/>
      <c r="AL721" s="208"/>
      <c r="AM721" s="208"/>
      <c r="AN721" s="208"/>
      <c r="AO721" s="208"/>
      <c r="AP721" s="208"/>
      <c r="AQ721" s="208"/>
      <c r="AR721" s="208"/>
      <c r="AS721" s="208"/>
      <c r="AT721" s="208"/>
      <c r="AU721" s="208"/>
      <c r="AV721" s="208"/>
      <c r="AW721" s="208"/>
      <c r="AX721" s="208"/>
      <c r="AY721" s="208"/>
    </row>
    <row r="722">
      <c r="A722" s="208"/>
      <c r="B722" s="533"/>
      <c r="C722" s="208"/>
      <c r="D722" s="208"/>
      <c r="E722" s="208"/>
      <c r="F722" s="584"/>
      <c r="G722" s="208"/>
      <c r="H722" s="208"/>
      <c r="I722" s="208"/>
      <c r="J722" s="208"/>
      <c r="K722" s="208"/>
      <c r="L722" s="536"/>
      <c r="M722" s="208"/>
      <c r="N722" s="208"/>
      <c r="O722" s="208"/>
      <c r="P722" s="208"/>
      <c r="Q722" s="208"/>
      <c r="R722" s="208"/>
      <c r="S722" s="208"/>
      <c r="T722" s="208"/>
      <c r="U722" s="208"/>
      <c r="V722" s="208"/>
      <c r="W722" s="208"/>
      <c r="X722" s="208"/>
      <c r="Y722" s="208"/>
      <c r="Z722" s="208"/>
      <c r="AA722" s="208"/>
      <c r="AB722" s="208"/>
      <c r="AC722" s="208"/>
      <c r="AD722" s="208"/>
      <c r="AE722" s="208"/>
      <c r="AF722" s="208"/>
      <c r="AG722" s="208"/>
      <c r="AH722" s="208"/>
      <c r="AI722" s="208"/>
      <c r="AJ722" s="208"/>
      <c r="AK722" s="208"/>
      <c r="AL722" s="208"/>
      <c r="AM722" s="208"/>
      <c r="AN722" s="208"/>
      <c r="AO722" s="208"/>
      <c r="AP722" s="208"/>
      <c r="AQ722" s="208"/>
      <c r="AR722" s="208"/>
      <c r="AS722" s="208"/>
      <c r="AT722" s="208"/>
      <c r="AU722" s="208"/>
      <c r="AV722" s="208"/>
      <c r="AW722" s="208"/>
      <c r="AX722" s="208"/>
      <c r="AY722" s="208"/>
    </row>
    <row r="723">
      <c r="A723" s="208"/>
      <c r="B723" s="533"/>
      <c r="C723" s="208"/>
      <c r="D723" s="208"/>
      <c r="E723" s="208"/>
      <c r="F723" s="584"/>
      <c r="G723" s="208"/>
      <c r="H723" s="208"/>
      <c r="I723" s="208"/>
      <c r="J723" s="208"/>
      <c r="K723" s="208"/>
      <c r="L723" s="536"/>
      <c r="M723" s="208"/>
      <c r="N723" s="208"/>
      <c r="O723" s="208"/>
      <c r="P723" s="208"/>
      <c r="Q723" s="208"/>
      <c r="R723" s="208"/>
      <c r="S723" s="208"/>
      <c r="T723" s="208"/>
      <c r="U723" s="208"/>
      <c r="V723" s="208"/>
      <c r="W723" s="208"/>
      <c r="X723" s="208"/>
      <c r="Y723" s="208"/>
      <c r="Z723" s="208"/>
      <c r="AA723" s="208"/>
      <c r="AB723" s="208"/>
      <c r="AC723" s="208"/>
      <c r="AD723" s="208"/>
      <c r="AE723" s="208"/>
      <c r="AF723" s="208"/>
      <c r="AG723" s="208"/>
      <c r="AH723" s="208"/>
      <c r="AI723" s="208"/>
      <c r="AJ723" s="208"/>
      <c r="AK723" s="208"/>
      <c r="AL723" s="208"/>
      <c r="AM723" s="208"/>
      <c r="AN723" s="208"/>
      <c r="AO723" s="208"/>
      <c r="AP723" s="208"/>
      <c r="AQ723" s="208"/>
      <c r="AR723" s="208"/>
      <c r="AS723" s="208"/>
      <c r="AT723" s="208"/>
      <c r="AU723" s="208"/>
      <c r="AV723" s="208"/>
      <c r="AW723" s="208"/>
      <c r="AX723" s="208"/>
      <c r="AY723" s="208"/>
    </row>
    <row r="724">
      <c r="A724" s="208"/>
      <c r="B724" s="533"/>
      <c r="C724" s="208"/>
      <c r="D724" s="208"/>
      <c r="E724" s="208"/>
      <c r="F724" s="584"/>
      <c r="G724" s="208"/>
      <c r="H724" s="208"/>
      <c r="I724" s="208"/>
      <c r="J724" s="208"/>
      <c r="K724" s="208"/>
      <c r="L724" s="536"/>
      <c r="M724" s="208"/>
      <c r="N724" s="208"/>
      <c r="O724" s="208"/>
      <c r="P724" s="208"/>
      <c r="Q724" s="208"/>
      <c r="R724" s="208"/>
      <c r="S724" s="208"/>
      <c r="T724" s="208"/>
      <c r="U724" s="208"/>
      <c r="V724" s="208"/>
      <c r="W724" s="208"/>
      <c r="X724" s="208"/>
      <c r="Y724" s="208"/>
      <c r="Z724" s="208"/>
      <c r="AA724" s="208"/>
      <c r="AB724" s="208"/>
      <c r="AC724" s="208"/>
      <c r="AD724" s="208"/>
      <c r="AE724" s="208"/>
      <c r="AF724" s="208"/>
      <c r="AG724" s="208"/>
      <c r="AH724" s="208"/>
      <c r="AI724" s="208"/>
      <c r="AJ724" s="208"/>
      <c r="AK724" s="208"/>
      <c r="AL724" s="208"/>
      <c r="AM724" s="208"/>
      <c r="AN724" s="208"/>
      <c r="AO724" s="208"/>
      <c r="AP724" s="208"/>
      <c r="AQ724" s="208"/>
      <c r="AR724" s="208"/>
      <c r="AS724" s="208"/>
      <c r="AT724" s="208"/>
      <c r="AU724" s="208"/>
      <c r="AV724" s="208"/>
      <c r="AW724" s="208"/>
      <c r="AX724" s="208"/>
      <c r="AY724" s="208"/>
    </row>
    <row r="725">
      <c r="A725" s="208"/>
      <c r="B725" s="533"/>
      <c r="C725" s="208"/>
      <c r="D725" s="208"/>
      <c r="E725" s="208"/>
      <c r="F725" s="584"/>
      <c r="G725" s="208"/>
      <c r="H725" s="208"/>
      <c r="I725" s="208"/>
      <c r="J725" s="208"/>
      <c r="K725" s="208"/>
      <c r="L725" s="536"/>
      <c r="M725" s="208"/>
      <c r="N725" s="208"/>
      <c r="O725" s="208"/>
      <c r="P725" s="208"/>
      <c r="Q725" s="208"/>
      <c r="R725" s="208"/>
      <c r="S725" s="208"/>
      <c r="T725" s="208"/>
      <c r="U725" s="208"/>
      <c r="V725" s="208"/>
      <c r="W725" s="208"/>
      <c r="X725" s="208"/>
      <c r="Y725" s="208"/>
      <c r="Z725" s="208"/>
      <c r="AA725" s="208"/>
      <c r="AB725" s="208"/>
      <c r="AC725" s="208"/>
      <c r="AD725" s="208"/>
      <c r="AE725" s="208"/>
      <c r="AF725" s="208"/>
      <c r="AG725" s="208"/>
      <c r="AH725" s="208"/>
      <c r="AI725" s="208"/>
      <c r="AJ725" s="208"/>
      <c r="AK725" s="208"/>
      <c r="AL725" s="208"/>
      <c r="AM725" s="208"/>
      <c r="AN725" s="208"/>
      <c r="AO725" s="208"/>
      <c r="AP725" s="208"/>
      <c r="AQ725" s="208"/>
      <c r="AR725" s="208"/>
      <c r="AS725" s="208"/>
      <c r="AT725" s="208"/>
      <c r="AU725" s="208"/>
      <c r="AV725" s="208"/>
      <c r="AW725" s="208"/>
      <c r="AX725" s="208"/>
      <c r="AY725" s="208"/>
    </row>
    <row r="726">
      <c r="A726" s="208"/>
      <c r="B726" s="533"/>
      <c r="C726" s="208"/>
      <c r="D726" s="208"/>
      <c r="E726" s="208"/>
      <c r="F726" s="584"/>
      <c r="G726" s="208"/>
      <c r="H726" s="208"/>
      <c r="I726" s="208"/>
      <c r="J726" s="208"/>
      <c r="K726" s="208"/>
      <c r="L726" s="536"/>
      <c r="M726" s="208"/>
      <c r="N726" s="208"/>
      <c r="O726" s="208"/>
      <c r="P726" s="208"/>
      <c r="Q726" s="208"/>
      <c r="R726" s="208"/>
      <c r="S726" s="208"/>
      <c r="T726" s="208"/>
      <c r="U726" s="208"/>
      <c r="V726" s="208"/>
      <c r="W726" s="208"/>
      <c r="X726" s="208"/>
      <c r="Y726" s="208"/>
      <c r="Z726" s="208"/>
      <c r="AA726" s="208"/>
      <c r="AB726" s="208"/>
      <c r="AC726" s="208"/>
      <c r="AD726" s="208"/>
      <c r="AE726" s="208"/>
      <c r="AF726" s="208"/>
      <c r="AG726" s="208"/>
      <c r="AH726" s="208"/>
      <c r="AI726" s="208"/>
      <c r="AJ726" s="208"/>
      <c r="AK726" s="208"/>
      <c r="AL726" s="208"/>
      <c r="AM726" s="208"/>
      <c r="AN726" s="208"/>
      <c r="AO726" s="208"/>
      <c r="AP726" s="208"/>
      <c r="AQ726" s="208"/>
      <c r="AR726" s="208"/>
      <c r="AS726" s="208"/>
      <c r="AT726" s="208"/>
      <c r="AU726" s="208"/>
      <c r="AV726" s="208"/>
      <c r="AW726" s="208"/>
      <c r="AX726" s="208"/>
      <c r="AY726" s="208"/>
    </row>
    <row r="727">
      <c r="A727" s="208"/>
      <c r="B727" s="533"/>
      <c r="C727" s="208"/>
      <c r="D727" s="208"/>
      <c r="E727" s="208"/>
      <c r="F727" s="584"/>
      <c r="G727" s="208"/>
      <c r="H727" s="208"/>
      <c r="I727" s="208"/>
      <c r="J727" s="208"/>
      <c r="K727" s="208"/>
      <c r="L727" s="536"/>
      <c r="M727" s="208"/>
      <c r="N727" s="208"/>
      <c r="O727" s="208"/>
      <c r="P727" s="208"/>
      <c r="Q727" s="208"/>
      <c r="R727" s="208"/>
      <c r="S727" s="208"/>
      <c r="T727" s="208"/>
      <c r="U727" s="208"/>
      <c r="V727" s="208"/>
      <c r="W727" s="208"/>
      <c r="X727" s="208"/>
      <c r="Y727" s="208"/>
      <c r="Z727" s="208"/>
      <c r="AA727" s="208"/>
      <c r="AB727" s="208"/>
      <c r="AC727" s="208"/>
      <c r="AD727" s="208"/>
      <c r="AE727" s="208"/>
      <c r="AF727" s="208"/>
      <c r="AG727" s="208"/>
      <c r="AH727" s="208"/>
      <c r="AI727" s="208"/>
      <c r="AJ727" s="208"/>
      <c r="AK727" s="208"/>
      <c r="AL727" s="208"/>
      <c r="AM727" s="208"/>
      <c r="AN727" s="208"/>
      <c r="AO727" s="208"/>
      <c r="AP727" s="208"/>
      <c r="AQ727" s="208"/>
      <c r="AR727" s="208"/>
      <c r="AS727" s="208"/>
      <c r="AT727" s="208"/>
      <c r="AU727" s="208"/>
      <c r="AV727" s="208"/>
      <c r="AW727" s="208"/>
      <c r="AX727" s="208"/>
      <c r="AY727" s="208"/>
    </row>
    <row r="728">
      <c r="A728" s="208"/>
      <c r="B728" s="533"/>
      <c r="C728" s="208"/>
      <c r="D728" s="208"/>
      <c r="E728" s="208"/>
      <c r="F728" s="584"/>
      <c r="G728" s="208"/>
      <c r="H728" s="208"/>
      <c r="I728" s="208"/>
      <c r="J728" s="208"/>
      <c r="K728" s="208"/>
      <c r="L728" s="536"/>
      <c r="M728" s="208"/>
      <c r="N728" s="208"/>
      <c r="O728" s="208"/>
      <c r="P728" s="208"/>
      <c r="Q728" s="208"/>
      <c r="R728" s="208"/>
      <c r="S728" s="208"/>
      <c r="T728" s="208"/>
      <c r="U728" s="208"/>
      <c r="V728" s="208"/>
      <c r="W728" s="208"/>
      <c r="X728" s="208"/>
      <c r="Y728" s="208"/>
      <c r="Z728" s="208"/>
      <c r="AA728" s="208"/>
      <c r="AB728" s="208"/>
      <c r="AC728" s="208"/>
      <c r="AD728" s="208"/>
      <c r="AE728" s="208"/>
      <c r="AF728" s="208"/>
      <c r="AG728" s="208"/>
      <c r="AH728" s="208"/>
      <c r="AI728" s="208"/>
      <c r="AJ728" s="208"/>
      <c r="AK728" s="208"/>
      <c r="AL728" s="208"/>
      <c r="AM728" s="208"/>
      <c r="AN728" s="208"/>
      <c r="AO728" s="208"/>
      <c r="AP728" s="208"/>
      <c r="AQ728" s="208"/>
      <c r="AR728" s="208"/>
      <c r="AS728" s="208"/>
      <c r="AT728" s="208"/>
      <c r="AU728" s="208"/>
      <c r="AV728" s="208"/>
      <c r="AW728" s="208"/>
      <c r="AX728" s="208"/>
      <c r="AY728" s="208"/>
    </row>
    <row r="729">
      <c r="A729" s="208"/>
      <c r="B729" s="533"/>
      <c r="C729" s="208"/>
      <c r="D729" s="208"/>
      <c r="E729" s="208"/>
      <c r="F729" s="584"/>
      <c r="G729" s="208"/>
      <c r="H729" s="208"/>
      <c r="I729" s="208"/>
      <c r="J729" s="208"/>
      <c r="K729" s="208"/>
      <c r="L729" s="536"/>
      <c r="M729" s="208"/>
      <c r="N729" s="208"/>
      <c r="O729" s="208"/>
      <c r="P729" s="208"/>
      <c r="Q729" s="208"/>
      <c r="R729" s="208"/>
      <c r="S729" s="208"/>
      <c r="T729" s="208"/>
      <c r="U729" s="208"/>
      <c r="V729" s="208"/>
      <c r="W729" s="208"/>
      <c r="X729" s="208"/>
      <c r="Y729" s="208"/>
      <c r="Z729" s="208"/>
      <c r="AA729" s="208"/>
      <c r="AB729" s="208"/>
      <c r="AC729" s="208"/>
      <c r="AD729" s="208"/>
      <c r="AE729" s="208"/>
      <c r="AF729" s="208"/>
      <c r="AG729" s="208"/>
      <c r="AH729" s="208"/>
      <c r="AI729" s="208"/>
      <c r="AJ729" s="208"/>
      <c r="AK729" s="208"/>
      <c r="AL729" s="208"/>
      <c r="AM729" s="208"/>
      <c r="AN729" s="208"/>
      <c r="AO729" s="208"/>
      <c r="AP729" s="208"/>
      <c r="AQ729" s="208"/>
      <c r="AR729" s="208"/>
      <c r="AS729" s="208"/>
      <c r="AT729" s="208"/>
      <c r="AU729" s="208"/>
      <c r="AV729" s="208"/>
      <c r="AW729" s="208"/>
      <c r="AX729" s="208"/>
      <c r="AY729" s="208"/>
    </row>
    <row r="730">
      <c r="A730" s="208"/>
      <c r="B730" s="533"/>
      <c r="C730" s="208"/>
      <c r="D730" s="208"/>
      <c r="E730" s="208"/>
      <c r="F730" s="584"/>
      <c r="G730" s="208"/>
      <c r="H730" s="208"/>
      <c r="I730" s="208"/>
      <c r="J730" s="208"/>
      <c r="K730" s="208"/>
      <c r="L730" s="536"/>
      <c r="M730" s="208"/>
      <c r="N730" s="208"/>
      <c r="O730" s="208"/>
      <c r="P730" s="208"/>
      <c r="Q730" s="208"/>
      <c r="R730" s="208"/>
      <c r="S730" s="208"/>
      <c r="T730" s="208"/>
      <c r="U730" s="208"/>
      <c r="V730" s="208"/>
      <c r="W730" s="208"/>
      <c r="X730" s="208"/>
      <c r="Y730" s="208"/>
      <c r="Z730" s="208"/>
      <c r="AA730" s="208"/>
      <c r="AB730" s="208"/>
      <c r="AC730" s="208"/>
      <c r="AD730" s="208"/>
      <c r="AE730" s="208"/>
      <c r="AF730" s="208"/>
      <c r="AG730" s="208"/>
      <c r="AH730" s="208"/>
      <c r="AI730" s="208"/>
      <c r="AJ730" s="208"/>
      <c r="AK730" s="208"/>
      <c r="AL730" s="208"/>
      <c r="AM730" s="208"/>
      <c r="AN730" s="208"/>
      <c r="AO730" s="208"/>
      <c r="AP730" s="208"/>
      <c r="AQ730" s="208"/>
      <c r="AR730" s="208"/>
      <c r="AS730" s="208"/>
      <c r="AT730" s="208"/>
      <c r="AU730" s="208"/>
      <c r="AV730" s="208"/>
      <c r="AW730" s="208"/>
      <c r="AX730" s="208"/>
      <c r="AY730" s="208"/>
    </row>
    <row r="731">
      <c r="A731" s="208"/>
      <c r="B731" s="533"/>
      <c r="C731" s="208"/>
      <c r="D731" s="208"/>
      <c r="E731" s="208"/>
      <c r="F731" s="584"/>
      <c r="G731" s="208"/>
      <c r="H731" s="208"/>
      <c r="I731" s="208"/>
      <c r="J731" s="208"/>
      <c r="K731" s="208"/>
      <c r="L731" s="536"/>
      <c r="M731" s="208"/>
      <c r="N731" s="208"/>
      <c r="O731" s="208"/>
      <c r="P731" s="208"/>
      <c r="Q731" s="208"/>
      <c r="R731" s="208"/>
      <c r="S731" s="208"/>
      <c r="T731" s="208"/>
      <c r="U731" s="208"/>
      <c r="V731" s="208"/>
      <c r="W731" s="208"/>
      <c r="X731" s="208"/>
      <c r="Y731" s="208"/>
      <c r="Z731" s="208"/>
      <c r="AA731" s="208"/>
      <c r="AB731" s="208"/>
      <c r="AC731" s="208"/>
      <c r="AD731" s="208"/>
      <c r="AE731" s="208"/>
      <c r="AF731" s="208"/>
      <c r="AG731" s="208"/>
      <c r="AH731" s="208"/>
      <c r="AI731" s="208"/>
      <c r="AJ731" s="208"/>
      <c r="AK731" s="208"/>
      <c r="AL731" s="208"/>
      <c r="AM731" s="208"/>
      <c r="AN731" s="208"/>
      <c r="AO731" s="208"/>
      <c r="AP731" s="208"/>
      <c r="AQ731" s="208"/>
      <c r="AR731" s="208"/>
      <c r="AS731" s="208"/>
      <c r="AT731" s="208"/>
      <c r="AU731" s="208"/>
      <c r="AV731" s="208"/>
      <c r="AW731" s="208"/>
      <c r="AX731" s="208"/>
      <c r="AY731" s="208"/>
    </row>
    <row r="732">
      <c r="A732" s="208"/>
      <c r="B732" s="533"/>
      <c r="C732" s="208"/>
      <c r="D732" s="208"/>
      <c r="E732" s="208"/>
      <c r="F732" s="584"/>
      <c r="G732" s="208"/>
      <c r="H732" s="208"/>
      <c r="I732" s="208"/>
      <c r="J732" s="208"/>
      <c r="K732" s="208"/>
      <c r="L732" s="536"/>
      <c r="M732" s="208"/>
      <c r="N732" s="208"/>
      <c r="O732" s="208"/>
      <c r="P732" s="208"/>
      <c r="Q732" s="208"/>
      <c r="R732" s="208"/>
      <c r="S732" s="208"/>
      <c r="T732" s="208"/>
      <c r="U732" s="208"/>
      <c r="V732" s="208"/>
      <c r="W732" s="208"/>
      <c r="X732" s="208"/>
      <c r="Y732" s="208"/>
      <c r="Z732" s="208"/>
      <c r="AA732" s="208"/>
      <c r="AB732" s="208"/>
      <c r="AC732" s="208"/>
      <c r="AD732" s="208"/>
      <c r="AE732" s="208"/>
      <c r="AF732" s="208"/>
      <c r="AG732" s="208"/>
      <c r="AH732" s="208"/>
      <c r="AI732" s="208"/>
      <c r="AJ732" s="208"/>
      <c r="AK732" s="208"/>
      <c r="AL732" s="208"/>
      <c r="AM732" s="208"/>
      <c r="AN732" s="208"/>
      <c r="AO732" s="208"/>
      <c r="AP732" s="208"/>
      <c r="AQ732" s="208"/>
      <c r="AR732" s="208"/>
      <c r="AS732" s="208"/>
      <c r="AT732" s="208"/>
      <c r="AU732" s="208"/>
      <c r="AV732" s="208"/>
      <c r="AW732" s="208"/>
      <c r="AX732" s="208"/>
      <c r="AY732" s="208"/>
    </row>
    <row r="733">
      <c r="A733" s="208"/>
      <c r="B733" s="533"/>
      <c r="C733" s="208"/>
      <c r="D733" s="208"/>
      <c r="E733" s="208"/>
      <c r="F733" s="584"/>
      <c r="G733" s="208"/>
      <c r="H733" s="208"/>
      <c r="I733" s="208"/>
      <c r="J733" s="208"/>
      <c r="K733" s="208"/>
      <c r="L733" s="536"/>
      <c r="M733" s="208"/>
      <c r="N733" s="208"/>
      <c r="O733" s="208"/>
      <c r="P733" s="208"/>
      <c r="Q733" s="208"/>
      <c r="R733" s="208"/>
      <c r="S733" s="208"/>
      <c r="T733" s="208"/>
      <c r="U733" s="208"/>
      <c r="V733" s="208"/>
      <c r="W733" s="208"/>
      <c r="X733" s="208"/>
      <c r="Y733" s="208"/>
      <c r="Z733" s="208"/>
      <c r="AA733" s="208"/>
      <c r="AB733" s="208"/>
      <c r="AC733" s="208"/>
      <c r="AD733" s="208"/>
      <c r="AE733" s="208"/>
      <c r="AF733" s="208"/>
      <c r="AG733" s="208"/>
      <c r="AH733" s="208"/>
      <c r="AI733" s="208"/>
      <c r="AJ733" s="208"/>
      <c r="AK733" s="208"/>
      <c r="AL733" s="208"/>
      <c r="AM733" s="208"/>
      <c r="AN733" s="208"/>
      <c r="AO733" s="208"/>
      <c r="AP733" s="208"/>
      <c r="AQ733" s="208"/>
      <c r="AR733" s="208"/>
      <c r="AS733" s="208"/>
      <c r="AT733" s="208"/>
      <c r="AU733" s="208"/>
      <c r="AV733" s="208"/>
      <c r="AW733" s="208"/>
      <c r="AX733" s="208"/>
      <c r="AY733" s="208"/>
    </row>
    <row r="734">
      <c r="A734" s="208"/>
      <c r="B734" s="533"/>
      <c r="C734" s="208"/>
      <c r="D734" s="208"/>
      <c r="E734" s="208"/>
      <c r="F734" s="584"/>
      <c r="G734" s="208"/>
      <c r="H734" s="208"/>
      <c r="I734" s="208"/>
      <c r="J734" s="208"/>
      <c r="K734" s="208"/>
      <c r="L734" s="536"/>
      <c r="M734" s="208"/>
      <c r="N734" s="208"/>
      <c r="O734" s="208"/>
      <c r="P734" s="208"/>
      <c r="Q734" s="208"/>
      <c r="R734" s="208"/>
      <c r="S734" s="208"/>
      <c r="T734" s="208"/>
      <c r="U734" s="208"/>
      <c r="V734" s="208"/>
      <c r="W734" s="208"/>
      <c r="X734" s="208"/>
      <c r="Y734" s="208"/>
      <c r="Z734" s="208"/>
      <c r="AA734" s="208"/>
      <c r="AB734" s="208"/>
      <c r="AC734" s="208"/>
      <c r="AD734" s="208"/>
      <c r="AE734" s="208"/>
      <c r="AF734" s="208"/>
      <c r="AG734" s="208"/>
      <c r="AH734" s="208"/>
      <c r="AI734" s="208"/>
      <c r="AJ734" s="208"/>
      <c r="AK734" s="208"/>
      <c r="AL734" s="208"/>
      <c r="AM734" s="208"/>
      <c r="AN734" s="208"/>
      <c r="AO734" s="208"/>
      <c r="AP734" s="208"/>
      <c r="AQ734" s="208"/>
      <c r="AR734" s="208"/>
      <c r="AS734" s="208"/>
      <c r="AT734" s="208"/>
      <c r="AU734" s="208"/>
      <c r="AV734" s="208"/>
      <c r="AW734" s="208"/>
      <c r="AX734" s="208"/>
      <c r="AY734" s="208"/>
    </row>
    <row r="735">
      <c r="A735" s="208"/>
      <c r="B735" s="533"/>
      <c r="C735" s="208"/>
      <c r="D735" s="208"/>
      <c r="E735" s="208"/>
      <c r="F735" s="584"/>
      <c r="G735" s="208"/>
      <c r="H735" s="208"/>
      <c r="I735" s="208"/>
      <c r="J735" s="208"/>
      <c r="K735" s="208"/>
      <c r="L735" s="536"/>
      <c r="M735" s="208"/>
      <c r="N735" s="208"/>
      <c r="O735" s="208"/>
      <c r="P735" s="208"/>
      <c r="Q735" s="208"/>
      <c r="R735" s="208"/>
      <c r="S735" s="208"/>
      <c r="T735" s="208"/>
      <c r="U735" s="208"/>
      <c r="V735" s="208"/>
      <c r="W735" s="208"/>
      <c r="X735" s="208"/>
      <c r="Y735" s="208"/>
      <c r="Z735" s="208"/>
      <c r="AA735" s="208"/>
      <c r="AB735" s="208"/>
      <c r="AC735" s="208"/>
      <c r="AD735" s="208"/>
      <c r="AE735" s="208"/>
      <c r="AF735" s="208"/>
      <c r="AG735" s="208"/>
      <c r="AH735" s="208"/>
      <c r="AI735" s="208"/>
      <c r="AJ735" s="208"/>
      <c r="AK735" s="208"/>
      <c r="AL735" s="208"/>
      <c r="AM735" s="208"/>
      <c r="AN735" s="208"/>
      <c r="AO735" s="208"/>
      <c r="AP735" s="208"/>
      <c r="AQ735" s="208"/>
      <c r="AR735" s="208"/>
      <c r="AS735" s="208"/>
      <c r="AT735" s="208"/>
      <c r="AU735" s="208"/>
      <c r="AV735" s="208"/>
      <c r="AW735" s="208"/>
      <c r="AX735" s="208"/>
      <c r="AY735" s="208"/>
    </row>
    <row r="736">
      <c r="A736" s="208"/>
      <c r="B736" s="533"/>
      <c r="C736" s="208"/>
      <c r="D736" s="208"/>
      <c r="E736" s="208"/>
      <c r="F736" s="584"/>
      <c r="G736" s="208"/>
      <c r="H736" s="208"/>
      <c r="I736" s="208"/>
      <c r="J736" s="208"/>
      <c r="K736" s="208"/>
      <c r="L736" s="536"/>
      <c r="M736" s="208"/>
      <c r="N736" s="208"/>
      <c r="O736" s="208"/>
      <c r="P736" s="208"/>
      <c r="Q736" s="208"/>
      <c r="R736" s="208"/>
      <c r="S736" s="208"/>
      <c r="T736" s="208"/>
      <c r="U736" s="208"/>
      <c r="V736" s="208"/>
      <c r="W736" s="208"/>
      <c r="X736" s="208"/>
      <c r="Y736" s="208"/>
      <c r="Z736" s="208"/>
      <c r="AA736" s="208"/>
      <c r="AB736" s="208"/>
      <c r="AC736" s="208"/>
      <c r="AD736" s="208"/>
      <c r="AE736" s="208"/>
      <c r="AF736" s="208"/>
      <c r="AG736" s="208"/>
      <c r="AH736" s="208"/>
      <c r="AI736" s="208"/>
      <c r="AJ736" s="208"/>
      <c r="AK736" s="208"/>
      <c r="AL736" s="208"/>
      <c r="AM736" s="208"/>
      <c r="AN736" s="208"/>
      <c r="AO736" s="208"/>
      <c r="AP736" s="208"/>
      <c r="AQ736" s="208"/>
      <c r="AR736" s="208"/>
      <c r="AS736" s="208"/>
      <c r="AT736" s="208"/>
      <c r="AU736" s="208"/>
      <c r="AV736" s="208"/>
      <c r="AW736" s="208"/>
      <c r="AX736" s="208"/>
      <c r="AY736" s="208"/>
    </row>
    <row r="737">
      <c r="A737" s="208"/>
      <c r="B737" s="533"/>
      <c r="C737" s="208"/>
      <c r="D737" s="208"/>
      <c r="E737" s="208"/>
      <c r="F737" s="584"/>
      <c r="G737" s="208"/>
      <c r="H737" s="208"/>
      <c r="I737" s="208"/>
      <c r="J737" s="208"/>
      <c r="K737" s="208"/>
      <c r="L737" s="536"/>
      <c r="M737" s="208"/>
      <c r="N737" s="208"/>
      <c r="O737" s="208"/>
      <c r="P737" s="208"/>
      <c r="Q737" s="208"/>
      <c r="R737" s="208"/>
      <c r="S737" s="208"/>
      <c r="T737" s="208"/>
      <c r="U737" s="208"/>
      <c r="V737" s="208"/>
      <c r="W737" s="208"/>
      <c r="X737" s="208"/>
      <c r="Y737" s="208"/>
      <c r="Z737" s="208"/>
      <c r="AA737" s="208"/>
      <c r="AB737" s="208"/>
      <c r="AC737" s="208"/>
      <c r="AD737" s="208"/>
      <c r="AE737" s="208"/>
      <c r="AF737" s="208"/>
      <c r="AG737" s="208"/>
      <c r="AH737" s="208"/>
      <c r="AI737" s="208"/>
      <c r="AJ737" s="208"/>
      <c r="AK737" s="208"/>
      <c r="AL737" s="208"/>
      <c r="AM737" s="208"/>
      <c r="AN737" s="208"/>
      <c r="AO737" s="208"/>
      <c r="AP737" s="208"/>
      <c r="AQ737" s="208"/>
      <c r="AR737" s="208"/>
      <c r="AS737" s="208"/>
      <c r="AT737" s="208"/>
      <c r="AU737" s="208"/>
      <c r="AV737" s="208"/>
      <c r="AW737" s="208"/>
      <c r="AX737" s="208"/>
      <c r="AY737" s="208"/>
    </row>
    <row r="738">
      <c r="A738" s="208"/>
      <c r="B738" s="533"/>
      <c r="C738" s="208"/>
      <c r="D738" s="208"/>
      <c r="E738" s="208"/>
      <c r="F738" s="584"/>
      <c r="G738" s="208"/>
      <c r="H738" s="208"/>
      <c r="I738" s="208"/>
      <c r="J738" s="208"/>
      <c r="K738" s="208"/>
      <c r="L738" s="536"/>
      <c r="M738" s="208"/>
      <c r="N738" s="208"/>
      <c r="O738" s="208"/>
      <c r="P738" s="208"/>
      <c r="Q738" s="208"/>
      <c r="R738" s="208"/>
      <c r="S738" s="208"/>
      <c r="T738" s="208"/>
      <c r="U738" s="208"/>
      <c r="V738" s="208"/>
      <c r="W738" s="208"/>
      <c r="X738" s="208"/>
      <c r="Y738" s="208"/>
      <c r="Z738" s="208"/>
      <c r="AA738" s="208"/>
      <c r="AB738" s="208"/>
      <c r="AC738" s="208"/>
      <c r="AD738" s="208"/>
      <c r="AE738" s="208"/>
      <c r="AF738" s="208"/>
      <c r="AG738" s="208"/>
      <c r="AH738" s="208"/>
      <c r="AI738" s="208"/>
      <c r="AJ738" s="208"/>
      <c r="AK738" s="208"/>
      <c r="AL738" s="208"/>
      <c r="AM738" s="208"/>
      <c r="AN738" s="208"/>
      <c r="AO738" s="208"/>
      <c r="AP738" s="208"/>
      <c r="AQ738" s="208"/>
      <c r="AR738" s="208"/>
      <c r="AS738" s="208"/>
      <c r="AT738" s="208"/>
      <c r="AU738" s="208"/>
      <c r="AV738" s="208"/>
      <c r="AW738" s="208"/>
      <c r="AX738" s="208"/>
      <c r="AY738" s="208"/>
    </row>
    <row r="739">
      <c r="A739" s="208"/>
      <c r="B739" s="533"/>
      <c r="C739" s="208"/>
      <c r="D739" s="208"/>
      <c r="E739" s="208"/>
      <c r="F739" s="584"/>
      <c r="G739" s="208"/>
      <c r="H739" s="208"/>
      <c r="I739" s="208"/>
      <c r="J739" s="208"/>
      <c r="K739" s="208"/>
      <c r="L739" s="536"/>
      <c r="M739" s="208"/>
      <c r="N739" s="208"/>
      <c r="O739" s="208"/>
      <c r="P739" s="208"/>
      <c r="Q739" s="208"/>
      <c r="R739" s="208"/>
      <c r="S739" s="208"/>
      <c r="T739" s="208"/>
      <c r="U739" s="208"/>
      <c r="V739" s="208"/>
      <c r="W739" s="208"/>
      <c r="X739" s="208"/>
      <c r="Y739" s="208"/>
      <c r="Z739" s="208"/>
      <c r="AA739" s="208"/>
      <c r="AB739" s="208"/>
      <c r="AC739" s="208"/>
      <c r="AD739" s="208"/>
      <c r="AE739" s="208"/>
      <c r="AF739" s="208"/>
      <c r="AG739" s="208"/>
      <c r="AH739" s="208"/>
      <c r="AI739" s="208"/>
      <c r="AJ739" s="208"/>
      <c r="AK739" s="208"/>
      <c r="AL739" s="208"/>
      <c r="AM739" s="208"/>
      <c r="AN739" s="208"/>
      <c r="AO739" s="208"/>
      <c r="AP739" s="208"/>
      <c r="AQ739" s="208"/>
      <c r="AR739" s="208"/>
      <c r="AS739" s="208"/>
      <c r="AT739" s="208"/>
      <c r="AU739" s="208"/>
      <c r="AV739" s="208"/>
      <c r="AW739" s="208"/>
      <c r="AX739" s="208"/>
      <c r="AY739" s="208"/>
    </row>
    <row r="740">
      <c r="A740" s="208"/>
      <c r="B740" s="533"/>
      <c r="C740" s="208"/>
      <c r="D740" s="208"/>
      <c r="E740" s="208"/>
      <c r="F740" s="584"/>
      <c r="G740" s="208"/>
      <c r="H740" s="208"/>
      <c r="I740" s="208"/>
      <c r="J740" s="208"/>
      <c r="K740" s="208"/>
      <c r="L740" s="536"/>
      <c r="M740" s="208"/>
      <c r="N740" s="208"/>
      <c r="O740" s="208"/>
      <c r="P740" s="208"/>
      <c r="Q740" s="208"/>
      <c r="R740" s="208"/>
      <c r="S740" s="208"/>
      <c r="T740" s="208"/>
      <c r="U740" s="208"/>
      <c r="V740" s="208"/>
      <c r="W740" s="208"/>
      <c r="X740" s="208"/>
      <c r="Y740" s="208"/>
      <c r="Z740" s="208"/>
      <c r="AA740" s="208"/>
      <c r="AB740" s="208"/>
      <c r="AC740" s="208"/>
      <c r="AD740" s="208"/>
      <c r="AE740" s="208"/>
      <c r="AF740" s="208"/>
      <c r="AG740" s="208"/>
      <c r="AH740" s="208"/>
      <c r="AI740" s="208"/>
      <c r="AJ740" s="208"/>
      <c r="AK740" s="208"/>
      <c r="AL740" s="208"/>
      <c r="AM740" s="208"/>
      <c r="AN740" s="208"/>
      <c r="AO740" s="208"/>
      <c r="AP740" s="208"/>
      <c r="AQ740" s="208"/>
      <c r="AR740" s="208"/>
      <c r="AS740" s="208"/>
      <c r="AT740" s="208"/>
      <c r="AU740" s="208"/>
      <c r="AV740" s="208"/>
      <c r="AW740" s="208"/>
      <c r="AX740" s="208"/>
      <c r="AY740" s="208"/>
    </row>
    <row r="741">
      <c r="A741" s="208"/>
      <c r="B741" s="533"/>
      <c r="C741" s="208"/>
      <c r="D741" s="208"/>
      <c r="E741" s="208"/>
      <c r="F741" s="584"/>
      <c r="G741" s="208"/>
      <c r="H741" s="208"/>
      <c r="I741" s="208"/>
      <c r="J741" s="208"/>
      <c r="K741" s="208"/>
      <c r="L741" s="536"/>
      <c r="M741" s="208"/>
      <c r="N741" s="208"/>
      <c r="O741" s="208"/>
      <c r="P741" s="208"/>
      <c r="Q741" s="208"/>
      <c r="R741" s="208"/>
      <c r="S741" s="208"/>
      <c r="T741" s="208"/>
      <c r="U741" s="208"/>
      <c r="V741" s="208"/>
      <c r="W741" s="208"/>
      <c r="X741" s="208"/>
      <c r="Y741" s="208"/>
      <c r="Z741" s="208"/>
      <c r="AA741" s="208"/>
      <c r="AB741" s="208"/>
      <c r="AC741" s="208"/>
      <c r="AD741" s="208"/>
      <c r="AE741" s="208"/>
      <c r="AF741" s="208"/>
      <c r="AG741" s="208"/>
      <c r="AH741" s="208"/>
      <c r="AI741" s="208"/>
      <c r="AJ741" s="208"/>
      <c r="AK741" s="208"/>
      <c r="AL741" s="208"/>
      <c r="AM741" s="208"/>
      <c r="AN741" s="208"/>
      <c r="AO741" s="208"/>
      <c r="AP741" s="208"/>
      <c r="AQ741" s="208"/>
      <c r="AR741" s="208"/>
      <c r="AS741" s="208"/>
      <c r="AT741" s="208"/>
      <c r="AU741" s="208"/>
      <c r="AV741" s="208"/>
      <c r="AW741" s="208"/>
      <c r="AX741" s="208"/>
      <c r="AY741" s="208"/>
    </row>
    <row r="742">
      <c r="A742" s="208"/>
      <c r="B742" s="533"/>
      <c r="C742" s="208"/>
      <c r="D742" s="208"/>
      <c r="E742" s="208"/>
      <c r="F742" s="584"/>
      <c r="G742" s="208"/>
      <c r="H742" s="208"/>
      <c r="I742" s="208"/>
      <c r="J742" s="208"/>
      <c r="K742" s="208"/>
      <c r="L742" s="536"/>
      <c r="M742" s="208"/>
      <c r="N742" s="208"/>
      <c r="O742" s="208"/>
      <c r="P742" s="208"/>
      <c r="Q742" s="208"/>
      <c r="R742" s="208"/>
      <c r="S742" s="208"/>
      <c r="T742" s="208"/>
      <c r="U742" s="208"/>
      <c r="V742" s="208"/>
      <c r="W742" s="208"/>
      <c r="X742" s="208"/>
      <c r="Y742" s="208"/>
      <c r="Z742" s="208"/>
      <c r="AA742" s="208"/>
      <c r="AB742" s="208"/>
      <c r="AC742" s="208"/>
      <c r="AD742" s="208"/>
      <c r="AE742" s="208"/>
      <c r="AF742" s="208"/>
      <c r="AG742" s="208"/>
      <c r="AH742" s="208"/>
      <c r="AI742" s="208"/>
      <c r="AJ742" s="208"/>
      <c r="AK742" s="208"/>
      <c r="AL742" s="208"/>
      <c r="AM742" s="208"/>
      <c r="AN742" s="208"/>
      <c r="AO742" s="208"/>
      <c r="AP742" s="208"/>
      <c r="AQ742" s="208"/>
      <c r="AR742" s="208"/>
      <c r="AS742" s="208"/>
      <c r="AT742" s="208"/>
      <c r="AU742" s="208"/>
      <c r="AV742" s="208"/>
      <c r="AW742" s="208"/>
      <c r="AX742" s="208"/>
      <c r="AY742" s="208"/>
    </row>
    <row r="743">
      <c r="A743" s="208"/>
      <c r="B743" s="533"/>
      <c r="C743" s="208"/>
      <c r="D743" s="208"/>
      <c r="E743" s="208"/>
      <c r="F743" s="584"/>
      <c r="G743" s="208"/>
      <c r="H743" s="208"/>
      <c r="I743" s="208"/>
      <c r="J743" s="208"/>
      <c r="K743" s="208"/>
      <c r="L743" s="536"/>
      <c r="M743" s="208"/>
      <c r="N743" s="208"/>
      <c r="O743" s="208"/>
      <c r="P743" s="208"/>
      <c r="Q743" s="208"/>
      <c r="R743" s="208"/>
      <c r="S743" s="208"/>
      <c r="T743" s="208"/>
      <c r="U743" s="208"/>
      <c r="V743" s="208"/>
      <c r="W743" s="208"/>
      <c r="X743" s="208"/>
      <c r="Y743" s="208"/>
      <c r="Z743" s="208"/>
      <c r="AA743" s="208"/>
      <c r="AB743" s="208"/>
      <c r="AC743" s="208"/>
      <c r="AD743" s="208"/>
      <c r="AE743" s="208"/>
      <c r="AF743" s="208"/>
      <c r="AG743" s="208"/>
      <c r="AH743" s="208"/>
      <c r="AI743" s="208"/>
      <c r="AJ743" s="208"/>
      <c r="AK743" s="208"/>
      <c r="AL743" s="208"/>
      <c r="AM743" s="208"/>
      <c r="AN743" s="208"/>
      <c r="AO743" s="208"/>
      <c r="AP743" s="208"/>
      <c r="AQ743" s="208"/>
      <c r="AR743" s="208"/>
      <c r="AS743" s="208"/>
      <c r="AT743" s="208"/>
      <c r="AU743" s="208"/>
      <c r="AV743" s="208"/>
      <c r="AW743" s="208"/>
      <c r="AX743" s="208"/>
      <c r="AY743" s="208"/>
    </row>
    <row r="744">
      <c r="A744" s="208"/>
      <c r="B744" s="533"/>
      <c r="C744" s="208"/>
      <c r="D744" s="208"/>
      <c r="E744" s="208"/>
      <c r="F744" s="584"/>
      <c r="G744" s="208"/>
      <c r="H744" s="208"/>
      <c r="I744" s="208"/>
      <c r="J744" s="208"/>
      <c r="K744" s="208"/>
      <c r="L744" s="536"/>
      <c r="M744" s="208"/>
      <c r="N744" s="208"/>
      <c r="O744" s="208"/>
      <c r="P744" s="208"/>
      <c r="Q744" s="208"/>
      <c r="R744" s="208"/>
      <c r="S744" s="208"/>
      <c r="T744" s="208"/>
      <c r="U744" s="208"/>
      <c r="V744" s="208"/>
      <c r="W744" s="208"/>
      <c r="X744" s="208"/>
      <c r="Y744" s="208"/>
      <c r="Z744" s="208"/>
      <c r="AA744" s="208"/>
      <c r="AB744" s="208"/>
      <c r="AC744" s="208"/>
      <c r="AD744" s="208"/>
      <c r="AE744" s="208"/>
      <c r="AF744" s="208"/>
      <c r="AG744" s="208"/>
      <c r="AH744" s="208"/>
      <c r="AI744" s="208"/>
      <c r="AJ744" s="208"/>
      <c r="AK744" s="208"/>
      <c r="AL744" s="208"/>
      <c r="AM744" s="208"/>
      <c r="AN744" s="208"/>
      <c r="AO744" s="208"/>
      <c r="AP744" s="208"/>
      <c r="AQ744" s="208"/>
      <c r="AR744" s="208"/>
      <c r="AS744" s="208"/>
      <c r="AT744" s="208"/>
      <c r="AU744" s="208"/>
      <c r="AV744" s="208"/>
      <c r="AW744" s="208"/>
      <c r="AX744" s="208"/>
      <c r="AY744" s="208"/>
    </row>
    <row r="745">
      <c r="A745" s="208"/>
      <c r="B745" s="533"/>
      <c r="C745" s="208"/>
      <c r="D745" s="208"/>
      <c r="E745" s="208"/>
      <c r="F745" s="584"/>
      <c r="G745" s="208"/>
      <c r="H745" s="208"/>
      <c r="I745" s="208"/>
      <c r="J745" s="208"/>
      <c r="K745" s="208"/>
      <c r="L745" s="536"/>
      <c r="M745" s="208"/>
      <c r="N745" s="208"/>
      <c r="O745" s="208"/>
      <c r="P745" s="208"/>
      <c r="Q745" s="208"/>
      <c r="R745" s="208"/>
      <c r="S745" s="208"/>
      <c r="T745" s="208"/>
      <c r="U745" s="208"/>
      <c r="V745" s="208"/>
      <c r="W745" s="208"/>
      <c r="X745" s="208"/>
      <c r="Y745" s="208"/>
      <c r="Z745" s="208"/>
      <c r="AA745" s="208"/>
      <c r="AB745" s="208"/>
      <c r="AC745" s="208"/>
      <c r="AD745" s="208"/>
      <c r="AE745" s="208"/>
      <c r="AF745" s="208"/>
      <c r="AG745" s="208"/>
      <c r="AH745" s="208"/>
      <c r="AI745" s="208"/>
      <c r="AJ745" s="208"/>
      <c r="AK745" s="208"/>
      <c r="AL745" s="208"/>
      <c r="AM745" s="208"/>
      <c r="AN745" s="208"/>
      <c r="AO745" s="208"/>
      <c r="AP745" s="208"/>
      <c r="AQ745" s="208"/>
      <c r="AR745" s="208"/>
      <c r="AS745" s="208"/>
      <c r="AT745" s="208"/>
      <c r="AU745" s="208"/>
      <c r="AV745" s="208"/>
      <c r="AW745" s="208"/>
      <c r="AX745" s="208"/>
      <c r="AY745" s="208"/>
    </row>
    <row r="746">
      <c r="A746" s="208"/>
      <c r="B746" s="533"/>
      <c r="C746" s="208"/>
      <c r="D746" s="208"/>
      <c r="E746" s="208"/>
      <c r="F746" s="584"/>
      <c r="G746" s="208"/>
      <c r="H746" s="208"/>
      <c r="I746" s="208"/>
      <c r="J746" s="208"/>
      <c r="K746" s="208"/>
      <c r="L746" s="536"/>
      <c r="M746" s="208"/>
      <c r="N746" s="208"/>
      <c r="O746" s="208"/>
      <c r="P746" s="208"/>
      <c r="Q746" s="208"/>
      <c r="R746" s="208"/>
      <c r="S746" s="208"/>
      <c r="T746" s="208"/>
      <c r="U746" s="208"/>
      <c r="V746" s="208"/>
      <c r="W746" s="208"/>
      <c r="X746" s="208"/>
      <c r="Y746" s="208"/>
      <c r="Z746" s="208"/>
      <c r="AA746" s="208"/>
      <c r="AB746" s="208"/>
      <c r="AC746" s="208"/>
      <c r="AD746" s="208"/>
      <c r="AE746" s="208"/>
      <c r="AF746" s="208"/>
      <c r="AG746" s="208"/>
      <c r="AH746" s="208"/>
      <c r="AI746" s="208"/>
      <c r="AJ746" s="208"/>
      <c r="AK746" s="208"/>
      <c r="AL746" s="208"/>
      <c r="AM746" s="208"/>
      <c r="AN746" s="208"/>
      <c r="AO746" s="208"/>
      <c r="AP746" s="208"/>
      <c r="AQ746" s="208"/>
      <c r="AR746" s="208"/>
      <c r="AS746" s="208"/>
      <c r="AT746" s="208"/>
      <c r="AU746" s="208"/>
      <c r="AV746" s="208"/>
      <c r="AW746" s="208"/>
      <c r="AX746" s="208"/>
      <c r="AY746" s="208"/>
    </row>
    <row r="747">
      <c r="A747" s="208"/>
      <c r="B747" s="533"/>
      <c r="C747" s="208"/>
      <c r="D747" s="208"/>
      <c r="E747" s="208"/>
      <c r="F747" s="584"/>
      <c r="G747" s="208"/>
      <c r="H747" s="208"/>
      <c r="I747" s="208"/>
      <c r="J747" s="208"/>
      <c r="K747" s="208"/>
      <c r="L747" s="536"/>
      <c r="M747" s="208"/>
      <c r="N747" s="208"/>
      <c r="O747" s="208"/>
      <c r="P747" s="208"/>
      <c r="Q747" s="208"/>
      <c r="R747" s="208"/>
      <c r="S747" s="208"/>
      <c r="T747" s="208"/>
      <c r="U747" s="208"/>
      <c r="V747" s="208"/>
      <c r="W747" s="208"/>
      <c r="X747" s="208"/>
      <c r="Y747" s="208"/>
      <c r="Z747" s="208"/>
      <c r="AA747" s="208"/>
      <c r="AB747" s="208"/>
      <c r="AC747" s="208"/>
      <c r="AD747" s="208"/>
      <c r="AE747" s="208"/>
      <c r="AF747" s="208"/>
      <c r="AG747" s="208"/>
      <c r="AH747" s="208"/>
      <c r="AI747" s="208"/>
      <c r="AJ747" s="208"/>
      <c r="AK747" s="208"/>
      <c r="AL747" s="208"/>
      <c r="AM747" s="208"/>
      <c r="AN747" s="208"/>
      <c r="AO747" s="208"/>
      <c r="AP747" s="208"/>
      <c r="AQ747" s="208"/>
      <c r="AR747" s="208"/>
      <c r="AS747" s="208"/>
      <c r="AT747" s="208"/>
      <c r="AU747" s="208"/>
      <c r="AV747" s="208"/>
      <c r="AW747" s="208"/>
      <c r="AX747" s="208"/>
      <c r="AY747" s="208"/>
    </row>
    <row r="748">
      <c r="A748" s="208"/>
      <c r="B748" s="533"/>
      <c r="C748" s="208"/>
      <c r="D748" s="208"/>
      <c r="E748" s="208"/>
      <c r="F748" s="584"/>
      <c r="G748" s="208"/>
      <c r="H748" s="208"/>
      <c r="I748" s="208"/>
      <c r="J748" s="208"/>
      <c r="K748" s="208"/>
      <c r="L748" s="536"/>
      <c r="M748" s="208"/>
      <c r="N748" s="208"/>
      <c r="O748" s="208"/>
      <c r="P748" s="208"/>
      <c r="Q748" s="208"/>
      <c r="R748" s="208"/>
      <c r="S748" s="208"/>
      <c r="T748" s="208"/>
      <c r="U748" s="208"/>
      <c r="V748" s="208"/>
      <c r="W748" s="208"/>
      <c r="X748" s="208"/>
      <c r="Y748" s="208"/>
      <c r="Z748" s="208"/>
      <c r="AA748" s="208"/>
      <c r="AB748" s="208"/>
      <c r="AC748" s="208"/>
      <c r="AD748" s="208"/>
      <c r="AE748" s="208"/>
      <c r="AF748" s="208"/>
      <c r="AG748" s="208"/>
      <c r="AH748" s="208"/>
      <c r="AI748" s="208"/>
      <c r="AJ748" s="208"/>
      <c r="AK748" s="208"/>
      <c r="AL748" s="208"/>
      <c r="AM748" s="208"/>
      <c r="AN748" s="208"/>
      <c r="AO748" s="208"/>
      <c r="AP748" s="208"/>
      <c r="AQ748" s="208"/>
      <c r="AR748" s="208"/>
      <c r="AS748" s="208"/>
      <c r="AT748" s="208"/>
      <c r="AU748" s="208"/>
      <c r="AV748" s="208"/>
      <c r="AW748" s="208"/>
      <c r="AX748" s="208"/>
      <c r="AY748" s="208"/>
    </row>
    <row r="749">
      <c r="A749" s="208"/>
      <c r="B749" s="533"/>
      <c r="C749" s="208"/>
      <c r="D749" s="208"/>
      <c r="E749" s="208"/>
      <c r="F749" s="584"/>
      <c r="G749" s="208"/>
      <c r="H749" s="208"/>
      <c r="I749" s="208"/>
      <c r="J749" s="208"/>
      <c r="K749" s="208"/>
      <c r="L749" s="536"/>
      <c r="M749" s="208"/>
      <c r="N749" s="208"/>
      <c r="O749" s="208"/>
      <c r="P749" s="208"/>
      <c r="Q749" s="208"/>
      <c r="R749" s="208"/>
      <c r="S749" s="208"/>
      <c r="T749" s="208"/>
      <c r="U749" s="208"/>
      <c r="V749" s="208"/>
      <c r="W749" s="208"/>
      <c r="X749" s="208"/>
      <c r="Y749" s="208"/>
      <c r="Z749" s="208"/>
      <c r="AA749" s="208"/>
      <c r="AB749" s="208"/>
      <c r="AC749" s="208"/>
      <c r="AD749" s="208"/>
      <c r="AE749" s="208"/>
      <c r="AF749" s="208"/>
      <c r="AG749" s="208"/>
      <c r="AH749" s="208"/>
      <c r="AI749" s="208"/>
      <c r="AJ749" s="208"/>
      <c r="AK749" s="208"/>
      <c r="AL749" s="208"/>
      <c r="AM749" s="208"/>
      <c r="AN749" s="208"/>
      <c r="AO749" s="208"/>
      <c r="AP749" s="208"/>
      <c r="AQ749" s="208"/>
      <c r="AR749" s="208"/>
      <c r="AS749" s="208"/>
      <c r="AT749" s="208"/>
      <c r="AU749" s="208"/>
      <c r="AV749" s="208"/>
      <c r="AW749" s="208"/>
      <c r="AX749" s="208"/>
      <c r="AY749" s="208"/>
    </row>
    <row r="750">
      <c r="A750" s="208"/>
      <c r="B750" s="533"/>
      <c r="C750" s="208"/>
      <c r="D750" s="208"/>
      <c r="E750" s="208"/>
      <c r="F750" s="584"/>
      <c r="G750" s="208"/>
      <c r="H750" s="208"/>
      <c r="I750" s="208"/>
      <c r="J750" s="208"/>
      <c r="K750" s="208"/>
      <c r="L750" s="536"/>
      <c r="M750" s="208"/>
      <c r="N750" s="208"/>
      <c r="O750" s="208"/>
      <c r="P750" s="208"/>
      <c r="Q750" s="208"/>
      <c r="R750" s="208"/>
      <c r="S750" s="208"/>
      <c r="T750" s="208"/>
      <c r="U750" s="208"/>
      <c r="V750" s="208"/>
      <c r="W750" s="208"/>
      <c r="X750" s="208"/>
      <c r="Y750" s="208"/>
      <c r="Z750" s="208"/>
      <c r="AA750" s="208"/>
      <c r="AB750" s="208"/>
      <c r="AC750" s="208"/>
      <c r="AD750" s="208"/>
      <c r="AE750" s="208"/>
      <c r="AF750" s="208"/>
      <c r="AG750" s="208"/>
      <c r="AH750" s="208"/>
      <c r="AI750" s="208"/>
      <c r="AJ750" s="208"/>
      <c r="AK750" s="208"/>
      <c r="AL750" s="208"/>
      <c r="AM750" s="208"/>
      <c r="AN750" s="208"/>
      <c r="AO750" s="208"/>
      <c r="AP750" s="208"/>
      <c r="AQ750" s="208"/>
      <c r="AR750" s="208"/>
      <c r="AS750" s="208"/>
      <c r="AT750" s="208"/>
      <c r="AU750" s="208"/>
      <c r="AV750" s="208"/>
      <c r="AW750" s="208"/>
      <c r="AX750" s="208"/>
      <c r="AY750" s="208"/>
    </row>
    <row r="751">
      <c r="A751" s="208"/>
      <c r="B751" s="533"/>
      <c r="C751" s="208"/>
      <c r="D751" s="208"/>
      <c r="E751" s="208"/>
      <c r="F751" s="584"/>
      <c r="G751" s="208"/>
      <c r="H751" s="208"/>
      <c r="I751" s="208"/>
      <c r="J751" s="208"/>
      <c r="K751" s="208"/>
      <c r="L751" s="536"/>
      <c r="M751" s="208"/>
      <c r="N751" s="208"/>
      <c r="O751" s="208"/>
      <c r="P751" s="208"/>
      <c r="Q751" s="208"/>
      <c r="R751" s="208"/>
      <c r="S751" s="208"/>
      <c r="T751" s="208"/>
      <c r="U751" s="208"/>
      <c r="V751" s="208"/>
      <c r="W751" s="208"/>
      <c r="X751" s="208"/>
      <c r="Y751" s="208"/>
      <c r="Z751" s="208"/>
      <c r="AA751" s="208"/>
      <c r="AB751" s="208"/>
      <c r="AC751" s="208"/>
      <c r="AD751" s="208"/>
      <c r="AE751" s="208"/>
      <c r="AF751" s="208"/>
      <c r="AG751" s="208"/>
      <c r="AH751" s="208"/>
      <c r="AI751" s="208"/>
      <c r="AJ751" s="208"/>
      <c r="AK751" s="208"/>
      <c r="AL751" s="208"/>
      <c r="AM751" s="208"/>
      <c r="AN751" s="208"/>
      <c r="AO751" s="208"/>
      <c r="AP751" s="208"/>
      <c r="AQ751" s="208"/>
      <c r="AR751" s="208"/>
      <c r="AS751" s="208"/>
      <c r="AT751" s="208"/>
      <c r="AU751" s="208"/>
      <c r="AV751" s="208"/>
      <c r="AW751" s="208"/>
      <c r="AX751" s="208"/>
      <c r="AY751" s="208"/>
    </row>
    <row r="752">
      <c r="A752" s="208"/>
      <c r="B752" s="533"/>
      <c r="C752" s="208"/>
      <c r="D752" s="208"/>
      <c r="E752" s="208"/>
      <c r="F752" s="584"/>
      <c r="G752" s="208"/>
      <c r="H752" s="208"/>
      <c r="I752" s="208"/>
      <c r="J752" s="208"/>
      <c r="K752" s="208"/>
      <c r="L752" s="536"/>
      <c r="M752" s="208"/>
      <c r="N752" s="208"/>
      <c r="O752" s="208"/>
      <c r="P752" s="208"/>
      <c r="Q752" s="208"/>
      <c r="R752" s="208"/>
      <c r="S752" s="208"/>
      <c r="T752" s="208"/>
      <c r="U752" s="208"/>
      <c r="V752" s="208"/>
      <c r="W752" s="208"/>
      <c r="X752" s="208"/>
      <c r="Y752" s="208"/>
      <c r="Z752" s="208"/>
      <c r="AA752" s="208"/>
      <c r="AB752" s="208"/>
      <c r="AC752" s="208"/>
      <c r="AD752" s="208"/>
      <c r="AE752" s="208"/>
      <c r="AF752" s="208"/>
      <c r="AG752" s="208"/>
      <c r="AH752" s="208"/>
      <c r="AI752" s="208"/>
      <c r="AJ752" s="208"/>
      <c r="AK752" s="208"/>
      <c r="AL752" s="208"/>
      <c r="AM752" s="208"/>
      <c r="AN752" s="208"/>
      <c r="AO752" s="208"/>
      <c r="AP752" s="208"/>
      <c r="AQ752" s="208"/>
      <c r="AR752" s="208"/>
      <c r="AS752" s="208"/>
      <c r="AT752" s="208"/>
      <c r="AU752" s="208"/>
      <c r="AV752" s="208"/>
      <c r="AW752" s="208"/>
      <c r="AX752" s="208"/>
      <c r="AY752" s="208"/>
    </row>
    <row r="753">
      <c r="A753" s="208"/>
      <c r="B753" s="533"/>
      <c r="C753" s="208"/>
      <c r="D753" s="208"/>
      <c r="E753" s="208"/>
      <c r="F753" s="584"/>
      <c r="G753" s="208"/>
      <c r="H753" s="208"/>
      <c r="I753" s="208"/>
      <c r="J753" s="208"/>
      <c r="K753" s="208"/>
      <c r="L753" s="536"/>
      <c r="M753" s="208"/>
      <c r="N753" s="208"/>
      <c r="O753" s="208"/>
      <c r="P753" s="208"/>
      <c r="Q753" s="208"/>
      <c r="R753" s="208"/>
      <c r="S753" s="208"/>
      <c r="T753" s="208"/>
      <c r="U753" s="208"/>
      <c r="V753" s="208"/>
      <c r="W753" s="208"/>
      <c r="X753" s="208"/>
      <c r="Y753" s="208"/>
      <c r="Z753" s="208"/>
      <c r="AA753" s="208"/>
      <c r="AB753" s="208"/>
      <c r="AC753" s="208"/>
      <c r="AD753" s="208"/>
      <c r="AE753" s="208"/>
      <c r="AF753" s="208"/>
      <c r="AG753" s="208"/>
      <c r="AH753" s="208"/>
      <c r="AI753" s="208"/>
      <c r="AJ753" s="208"/>
      <c r="AK753" s="208"/>
      <c r="AL753" s="208"/>
      <c r="AM753" s="208"/>
      <c r="AN753" s="208"/>
      <c r="AO753" s="208"/>
      <c r="AP753" s="208"/>
      <c r="AQ753" s="208"/>
      <c r="AR753" s="208"/>
      <c r="AS753" s="208"/>
      <c r="AT753" s="208"/>
      <c r="AU753" s="208"/>
      <c r="AV753" s="208"/>
      <c r="AW753" s="208"/>
      <c r="AX753" s="208"/>
      <c r="AY753" s="208"/>
    </row>
    <row r="754">
      <c r="A754" s="208"/>
      <c r="B754" s="533"/>
      <c r="C754" s="208"/>
      <c r="D754" s="208"/>
      <c r="E754" s="208"/>
      <c r="F754" s="584"/>
      <c r="G754" s="208"/>
      <c r="H754" s="208"/>
      <c r="I754" s="208"/>
      <c r="J754" s="208"/>
      <c r="K754" s="208"/>
      <c r="L754" s="536"/>
      <c r="M754" s="208"/>
      <c r="N754" s="208"/>
      <c r="O754" s="208"/>
      <c r="P754" s="208"/>
      <c r="Q754" s="208"/>
      <c r="R754" s="208"/>
      <c r="S754" s="208"/>
      <c r="T754" s="208"/>
      <c r="U754" s="208"/>
      <c r="V754" s="208"/>
      <c r="W754" s="208"/>
      <c r="X754" s="208"/>
      <c r="Y754" s="208"/>
      <c r="Z754" s="208"/>
      <c r="AA754" s="208"/>
      <c r="AB754" s="208"/>
      <c r="AC754" s="208"/>
      <c r="AD754" s="208"/>
      <c r="AE754" s="208"/>
      <c r="AF754" s="208"/>
      <c r="AG754" s="208"/>
      <c r="AH754" s="208"/>
      <c r="AI754" s="208"/>
      <c r="AJ754" s="208"/>
      <c r="AK754" s="208"/>
      <c r="AL754" s="208"/>
      <c r="AM754" s="208"/>
      <c r="AN754" s="208"/>
      <c r="AO754" s="208"/>
      <c r="AP754" s="208"/>
      <c r="AQ754" s="208"/>
      <c r="AR754" s="208"/>
      <c r="AS754" s="208"/>
      <c r="AT754" s="208"/>
      <c r="AU754" s="208"/>
      <c r="AV754" s="208"/>
      <c r="AW754" s="208"/>
      <c r="AX754" s="208"/>
      <c r="AY754" s="208"/>
    </row>
    <row r="755">
      <c r="A755" s="208"/>
      <c r="B755" s="533"/>
      <c r="C755" s="208"/>
      <c r="D755" s="208"/>
      <c r="E755" s="208"/>
      <c r="F755" s="584"/>
      <c r="G755" s="208"/>
      <c r="H755" s="208"/>
      <c r="I755" s="208"/>
      <c r="J755" s="208"/>
      <c r="K755" s="208"/>
      <c r="L755" s="536"/>
      <c r="M755" s="208"/>
      <c r="N755" s="208"/>
      <c r="O755" s="208"/>
      <c r="P755" s="208"/>
      <c r="Q755" s="208"/>
      <c r="R755" s="208"/>
      <c r="S755" s="208"/>
      <c r="T755" s="208"/>
      <c r="U755" s="208"/>
      <c r="V755" s="208"/>
      <c r="W755" s="208"/>
      <c r="X755" s="208"/>
      <c r="Y755" s="208"/>
      <c r="Z755" s="208"/>
      <c r="AA755" s="208"/>
      <c r="AB755" s="208"/>
      <c r="AC755" s="208"/>
      <c r="AD755" s="208"/>
      <c r="AE755" s="208"/>
      <c r="AF755" s="208"/>
      <c r="AG755" s="208"/>
      <c r="AH755" s="208"/>
      <c r="AI755" s="208"/>
      <c r="AJ755" s="208"/>
      <c r="AK755" s="208"/>
      <c r="AL755" s="208"/>
      <c r="AM755" s="208"/>
      <c r="AN755" s="208"/>
      <c r="AO755" s="208"/>
      <c r="AP755" s="208"/>
      <c r="AQ755" s="208"/>
      <c r="AR755" s="208"/>
      <c r="AS755" s="208"/>
      <c r="AT755" s="208"/>
      <c r="AU755" s="208"/>
      <c r="AV755" s="208"/>
      <c r="AW755" s="208"/>
      <c r="AX755" s="208"/>
      <c r="AY755" s="208"/>
    </row>
    <row r="756">
      <c r="A756" s="208"/>
      <c r="B756" s="533"/>
      <c r="C756" s="208"/>
      <c r="D756" s="208"/>
      <c r="E756" s="208"/>
      <c r="F756" s="584"/>
      <c r="G756" s="208"/>
      <c r="H756" s="208"/>
      <c r="I756" s="208"/>
      <c r="J756" s="208"/>
      <c r="K756" s="208"/>
      <c r="L756" s="536"/>
      <c r="M756" s="208"/>
      <c r="N756" s="208"/>
      <c r="O756" s="208"/>
      <c r="P756" s="208"/>
      <c r="Q756" s="208"/>
      <c r="R756" s="208"/>
      <c r="S756" s="208"/>
      <c r="T756" s="208"/>
      <c r="U756" s="208"/>
      <c r="V756" s="208"/>
      <c r="W756" s="208"/>
      <c r="X756" s="208"/>
      <c r="Y756" s="208"/>
      <c r="Z756" s="208"/>
      <c r="AA756" s="208"/>
      <c r="AB756" s="208"/>
      <c r="AC756" s="208"/>
      <c r="AD756" s="208"/>
      <c r="AE756" s="208"/>
      <c r="AF756" s="208"/>
      <c r="AG756" s="208"/>
      <c r="AH756" s="208"/>
      <c r="AI756" s="208"/>
      <c r="AJ756" s="208"/>
      <c r="AK756" s="208"/>
      <c r="AL756" s="208"/>
      <c r="AM756" s="208"/>
      <c r="AN756" s="208"/>
      <c r="AO756" s="208"/>
      <c r="AP756" s="208"/>
      <c r="AQ756" s="208"/>
      <c r="AR756" s="208"/>
      <c r="AS756" s="208"/>
      <c r="AT756" s="208"/>
      <c r="AU756" s="208"/>
      <c r="AV756" s="208"/>
      <c r="AW756" s="208"/>
      <c r="AX756" s="208"/>
      <c r="AY756" s="208"/>
    </row>
    <row r="757">
      <c r="A757" s="208"/>
      <c r="B757" s="533"/>
      <c r="C757" s="208"/>
      <c r="D757" s="208"/>
      <c r="E757" s="208"/>
      <c r="F757" s="584"/>
      <c r="G757" s="208"/>
      <c r="H757" s="208"/>
      <c r="I757" s="208"/>
      <c r="J757" s="208"/>
      <c r="K757" s="208"/>
      <c r="L757" s="536"/>
      <c r="M757" s="208"/>
      <c r="N757" s="208"/>
      <c r="O757" s="208"/>
      <c r="P757" s="208"/>
      <c r="Q757" s="208"/>
      <c r="R757" s="208"/>
      <c r="S757" s="208"/>
      <c r="T757" s="208"/>
      <c r="U757" s="208"/>
      <c r="V757" s="208"/>
      <c r="W757" s="208"/>
      <c r="X757" s="208"/>
      <c r="Y757" s="208"/>
      <c r="Z757" s="208"/>
      <c r="AA757" s="208"/>
      <c r="AB757" s="208"/>
      <c r="AC757" s="208"/>
      <c r="AD757" s="208"/>
      <c r="AE757" s="208"/>
      <c r="AF757" s="208"/>
      <c r="AG757" s="208"/>
      <c r="AH757" s="208"/>
      <c r="AI757" s="208"/>
      <c r="AJ757" s="208"/>
      <c r="AK757" s="208"/>
      <c r="AL757" s="208"/>
      <c r="AM757" s="208"/>
      <c r="AN757" s="208"/>
      <c r="AO757" s="208"/>
      <c r="AP757" s="208"/>
      <c r="AQ757" s="208"/>
      <c r="AR757" s="208"/>
      <c r="AS757" s="208"/>
      <c r="AT757" s="208"/>
      <c r="AU757" s="208"/>
      <c r="AV757" s="208"/>
      <c r="AW757" s="208"/>
      <c r="AX757" s="208"/>
      <c r="AY757" s="208"/>
    </row>
    <row r="758">
      <c r="A758" s="208"/>
      <c r="B758" s="533"/>
      <c r="C758" s="208"/>
      <c r="D758" s="208"/>
      <c r="E758" s="208"/>
      <c r="F758" s="584"/>
      <c r="G758" s="208"/>
      <c r="H758" s="208"/>
      <c r="I758" s="208"/>
      <c r="J758" s="208"/>
      <c r="K758" s="208"/>
      <c r="L758" s="536"/>
      <c r="M758" s="208"/>
      <c r="N758" s="208"/>
      <c r="O758" s="208"/>
      <c r="P758" s="208"/>
      <c r="Q758" s="208"/>
      <c r="R758" s="208"/>
      <c r="S758" s="208"/>
      <c r="T758" s="208"/>
      <c r="U758" s="208"/>
      <c r="V758" s="208"/>
      <c r="W758" s="208"/>
      <c r="X758" s="208"/>
      <c r="Y758" s="208"/>
      <c r="Z758" s="208"/>
      <c r="AA758" s="208"/>
      <c r="AB758" s="208"/>
      <c r="AC758" s="208"/>
      <c r="AD758" s="208"/>
      <c r="AE758" s="208"/>
      <c r="AF758" s="208"/>
      <c r="AG758" s="208"/>
      <c r="AH758" s="208"/>
      <c r="AI758" s="208"/>
      <c r="AJ758" s="208"/>
      <c r="AK758" s="208"/>
      <c r="AL758" s="208"/>
      <c r="AM758" s="208"/>
      <c r="AN758" s="208"/>
      <c r="AO758" s="208"/>
      <c r="AP758" s="208"/>
      <c r="AQ758" s="208"/>
      <c r="AR758" s="208"/>
      <c r="AS758" s="208"/>
      <c r="AT758" s="208"/>
      <c r="AU758" s="208"/>
      <c r="AV758" s="208"/>
      <c r="AW758" s="208"/>
      <c r="AX758" s="208"/>
      <c r="AY758" s="208"/>
    </row>
    <row r="759">
      <c r="A759" s="208"/>
      <c r="B759" s="533"/>
      <c r="C759" s="208"/>
      <c r="D759" s="208"/>
      <c r="E759" s="208"/>
      <c r="F759" s="584"/>
      <c r="G759" s="208"/>
      <c r="H759" s="208"/>
      <c r="I759" s="208"/>
      <c r="J759" s="208"/>
      <c r="K759" s="208"/>
      <c r="L759" s="536"/>
      <c r="M759" s="208"/>
      <c r="N759" s="208"/>
      <c r="O759" s="208"/>
      <c r="P759" s="208"/>
      <c r="Q759" s="208"/>
      <c r="R759" s="208"/>
      <c r="S759" s="208"/>
      <c r="T759" s="208"/>
      <c r="U759" s="208"/>
      <c r="V759" s="208"/>
      <c r="W759" s="208"/>
      <c r="X759" s="208"/>
      <c r="Y759" s="208"/>
      <c r="Z759" s="208"/>
      <c r="AA759" s="208"/>
      <c r="AB759" s="208"/>
      <c r="AC759" s="208"/>
      <c r="AD759" s="208"/>
      <c r="AE759" s="208"/>
      <c r="AF759" s="208"/>
      <c r="AG759" s="208"/>
      <c r="AH759" s="208"/>
      <c r="AI759" s="208"/>
      <c r="AJ759" s="208"/>
      <c r="AK759" s="208"/>
      <c r="AL759" s="208"/>
      <c r="AM759" s="208"/>
      <c r="AN759" s="208"/>
      <c r="AO759" s="208"/>
      <c r="AP759" s="208"/>
      <c r="AQ759" s="208"/>
      <c r="AR759" s="208"/>
      <c r="AS759" s="208"/>
      <c r="AT759" s="208"/>
      <c r="AU759" s="208"/>
      <c r="AV759" s="208"/>
      <c r="AW759" s="208"/>
      <c r="AX759" s="208"/>
      <c r="AY759" s="208"/>
    </row>
    <row r="760">
      <c r="A760" s="208"/>
      <c r="B760" s="533"/>
      <c r="C760" s="208"/>
      <c r="D760" s="208"/>
      <c r="E760" s="208"/>
      <c r="F760" s="584"/>
      <c r="G760" s="208"/>
      <c r="H760" s="208"/>
      <c r="I760" s="208"/>
      <c r="J760" s="208"/>
      <c r="K760" s="208"/>
      <c r="L760" s="536"/>
      <c r="M760" s="208"/>
      <c r="N760" s="208"/>
      <c r="O760" s="208"/>
      <c r="P760" s="208"/>
      <c r="Q760" s="208"/>
      <c r="R760" s="208"/>
      <c r="S760" s="208"/>
      <c r="T760" s="208"/>
      <c r="U760" s="208"/>
      <c r="V760" s="208"/>
      <c r="W760" s="208"/>
      <c r="X760" s="208"/>
      <c r="Y760" s="208"/>
      <c r="Z760" s="208"/>
      <c r="AA760" s="208"/>
      <c r="AB760" s="208"/>
      <c r="AC760" s="208"/>
      <c r="AD760" s="208"/>
      <c r="AE760" s="208"/>
      <c r="AF760" s="208"/>
      <c r="AG760" s="208"/>
      <c r="AH760" s="208"/>
      <c r="AI760" s="208"/>
      <c r="AJ760" s="208"/>
      <c r="AK760" s="208"/>
      <c r="AL760" s="208"/>
      <c r="AM760" s="208"/>
      <c r="AN760" s="208"/>
      <c r="AO760" s="208"/>
      <c r="AP760" s="208"/>
      <c r="AQ760" s="208"/>
      <c r="AR760" s="208"/>
      <c r="AS760" s="208"/>
      <c r="AT760" s="208"/>
      <c r="AU760" s="208"/>
      <c r="AV760" s="208"/>
      <c r="AW760" s="208"/>
      <c r="AX760" s="208"/>
      <c r="AY760" s="208"/>
    </row>
    <row r="761">
      <c r="A761" s="208"/>
      <c r="B761" s="533"/>
      <c r="C761" s="208"/>
      <c r="D761" s="208"/>
      <c r="E761" s="208"/>
      <c r="F761" s="584"/>
      <c r="G761" s="208"/>
      <c r="H761" s="208"/>
      <c r="I761" s="208"/>
      <c r="J761" s="208"/>
      <c r="K761" s="208"/>
      <c r="L761" s="536"/>
      <c r="M761" s="208"/>
      <c r="N761" s="208"/>
      <c r="O761" s="208"/>
      <c r="P761" s="208"/>
      <c r="Q761" s="208"/>
      <c r="R761" s="208"/>
      <c r="S761" s="208"/>
      <c r="T761" s="208"/>
      <c r="U761" s="208"/>
      <c r="V761" s="208"/>
      <c r="W761" s="208"/>
      <c r="X761" s="208"/>
      <c r="Y761" s="208"/>
      <c r="Z761" s="208"/>
      <c r="AA761" s="208"/>
      <c r="AB761" s="208"/>
      <c r="AC761" s="208"/>
      <c r="AD761" s="208"/>
      <c r="AE761" s="208"/>
      <c r="AF761" s="208"/>
      <c r="AG761" s="208"/>
      <c r="AH761" s="208"/>
      <c r="AI761" s="208"/>
      <c r="AJ761" s="208"/>
      <c r="AK761" s="208"/>
      <c r="AL761" s="208"/>
      <c r="AM761" s="208"/>
      <c r="AN761" s="208"/>
      <c r="AO761" s="208"/>
      <c r="AP761" s="208"/>
      <c r="AQ761" s="208"/>
      <c r="AR761" s="208"/>
      <c r="AS761" s="208"/>
      <c r="AT761" s="208"/>
      <c r="AU761" s="208"/>
      <c r="AV761" s="208"/>
      <c r="AW761" s="208"/>
      <c r="AX761" s="208"/>
      <c r="AY761" s="208"/>
    </row>
    <row r="762">
      <c r="A762" s="208"/>
      <c r="B762" s="533"/>
      <c r="C762" s="208"/>
      <c r="D762" s="208"/>
      <c r="E762" s="208"/>
      <c r="F762" s="584"/>
      <c r="G762" s="208"/>
      <c r="H762" s="208"/>
      <c r="I762" s="208"/>
      <c r="J762" s="208"/>
      <c r="K762" s="208"/>
      <c r="L762" s="536"/>
      <c r="M762" s="208"/>
      <c r="N762" s="208"/>
      <c r="O762" s="208"/>
      <c r="P762" s="208"/>
      <c r="Q762" s="208"/>
      <c r="R762" s="208"/>
      <c r="S762" s="208"/>
      <c r="T762" s="208"/>
      <c r="U762" s="208"/>
      <c r="V762" s="208"/>
      <c r="W762" s="208"/>
      <c r="X762" s="208"/>
      <c r="Y762" s="208"/>
      <c r="Z762" s="208"/>
      <c r="AA762" s="208"/>
      <c r="AB762" s="208"/>
      <c r="AC762" s="208"/>
      <c r="AD762" s="208"/>
      <c r="AE762" s="208"/>
      <c r="AF762" s="208"/>
      <c r="AG762" s="208"/>
      <c r="AH762" s="208"/>
      <c r="AI762" s="208"/>
      <c r="AJ762" s="208"/>
      <c r="AK762" s="208"/>
      <c r="AL762" s="208"/>
      <c r="AM762" s="208"/>
      <c r="AN762" s="208"/>
      <c r="AO762" s="208"/>
      <c r="AP762" s="208"/>
      <c r="AQ762" s="208"/>
      <c r="AR762" s="208"/>
      <c r="AS762" s="208"/>
      <c r="AT762" s="208"/>
      <c r="AU762" s="208"/>
      <c r="AV762" s="208"/>
      <c r="AW762" s="208"/>
      <c r="AX762" s="208"/>
      <c r="AY762" s="208"/>
    </row>
    <row r="763">
      <c r="A763" s="208"/>
      <c r="B763" s="533"/>
      <c r="C763" s="208"/>
      <c r="D763" s="208"/>
      <c r="E763" s="208"/>
      <c r="F763" s="584"/>
      <c r="G763" s="208"/>
      <c r="H763" s="208"/>
      <c r="I763" s="208"/>
      <c r="J763" s="208"/>
      <c r="K763" s="208"/>
      <c r="L763" s="536"/>
      <c r="M763" s="208"/>
      <c r="N763" s="208"/>
      <c r="O763" s="208"/>
      <c r="P763" s="208"/>
      <c r="Q763" s="208"/>
      <c r="R763" s="208"/>
      <c r="S763" s="208"/>
      <c r="T763" s="208"/>
      <c r="U763" s="208"/>
      <c r="V763" s="208"/>
      <c r="W763" s="208"/>
      <c r="X763" s="208"/>
      <c r="Y763" s="208"/>
      <c r="Z763" s="208"/>
      <c r="AA763" s="208"/>
      <c r="AB763" s="208"/>
      <c r="AC763" s="208"/>
      <c r="AD763" s="208"/>
      <c r="AE763" s="208"/>
      <c r="AF763" s="208"/>
      <c r="AG763" s="208"/>
      <c r="AH763" s="208"/>
      <c r="AI763" s="208"/>
      <c r="AJ763" s="208"/>
      <c r="AK763" s="208"/>
      <c r="AL763" s="208"/>
      <c r="AM763" s="208"/>
      <c r="AN763" s="208"/>
      <c r="AO763" s="208"/>
      <c r="AP763" s="208"/>
      <c r="AQ763" s="208"/>
      <c r="AR763" s="208"/>
      <c r="AS763" s="208"/>
      <c r="AT763" s="208"/>
      <c r="AU763" s="208"/>
      <c r="AV763" s="208"/>
      <c r="AW763" s="208"/>
      <c r="AX763" s="208"/>
      <c r="AY763" s="208"/>
    </row>
    <row r="764">
      <c r="A764" s="208"/>
      <c r="B764" s="533"/>
      <c r="C764" s="208"/>
      <c r="D764" s="208"/>
      <c r="E764" s="208"/>
      <c r="F764" s="584"/>
      <c r="G764" s="208"/>
      <c r="H764" s="208"/>
      <c r="I764" s="208"/>
      <c r="J764" s="208"/>
      <c r="K764" s="208"/>
      <c r="L764" s="536"/>
      <c r="M764" s="208"/>
      <c r="N764" s="208"/>
      <c r="O764" s="208"/>
      <c r="P764" s="208"/>
      <c r="Q764" s="208"/>
      <c r="R764" s="208"/>
      <c r="S764" s="208"/>
      <c r="T764" s="208"/>
      <c r="U764" s="208"/>
      <c r="V764" s="208"/>
      <c r="W764" s="208"/>
      <c r="X764" s="208"/>
      <c r="Y764" s="208"/>
      <c r="Z764" s="208"/>
      <c r="AA764" s="208"/>
      <c r="AB764" s="208"/>
      <c r="AC764" s="208"/>
      <c r="AD764" s="208"/>
      <c r="AE764" s="208"/>
      <c r="AF764" s="208"/>
      <c r="AG764" s="208"/>
      <c r="AH764" s="208"/>
      <c r="AI764" s="208"/>
      <c r="AJ764" s="208"/>
      <c r="AK764" s="208"/>
      <c r="AL764" s="208"/>
      <c r="AM764" s="208"/>
      <c r="AN764" s="208"/>
      <c r="AO764" s="208"/>
      <c r="AP764" s="208"/>
      <c r="AQ764" s="208"/>
      <c r="AR764" s="208"/>
      <c r="AS764" s="208"/>
      <c r="AT764" s="208"/>
      <c r="AU764" s="208"/>
      <c r="AV764" s="208"/>
      <c r="AW764" s="208"/>
      <c r="AX764" s="208"/>
      <c r="AY764" s="208"/>
    </row>
    <row r="765">
      <c r="A765" s="208"/>
      <c r="B765" s="533"/>
      <c r="C765" s="208"/>
      <c r="D765" s="208"/>
      <c r="E765" s="208"/>
      <c r="F765" s="584"/>
      <c r="G765" s="208"/>
      <c r="H765" s="208"/>
      <c r="I765" s="208"/>
      <c r="J765" s="208"/>
      <c r="K765" s="208"/>
      <c r="L765" s="536"/>
      <c r="M765" s="208"/>
      <c r="N765" s="208"/>
      <c r="O765" s="208"/>
      <c r="P765" s="208"/>
      <c r="Q765" s="208"/>
      <c r="R765" s="208"/>
      <c r="S765" s="208"/>
      <c r="T765" s="208"/>
      <c r="U765" s="208"/>
      <c r="V765" s="208"/>
      <c r="W765" s="208"/>
      <c r="X765" s="208"/>
      <c r="Y765" s="208"/>
      <c r="Z765" s="208"/>
      <c r="AA765" s="208"/>
      <c r="AB765" s="208"/>
      <c r="AC765" s="208"/>
      <c r="AD765" s="208"/>
      <c r="AE765" s="208"/>
      <c r="AF765" s="208"/>
      <c r="AG765" s="208"/>
      <c r="AH765" s="208"/>
      <c r="AI765" s="208"/>
      <c r="AJ765" s="208"/>
      <c r="AK765" s="208"/>
      <c r="AL765" s="208"/>
      <c r="AM765" s="208"/>
      <c r="AN765" s="208"/>
      <c r="AO765" s="208"/>
      <c r="AP765" s="208"/>
      <c r="AQ765" s="208"/>
      <c r="AR765" s="208"/>
      <c r="AS765" s="208"/>
      <c r="AT765" s="208"/>
      <c r="AU765" s="208"/>
      <c r="AV765" s="208"/>
      <c r="AW765" s="208"/>
      <c r="AX765" s="208"/>
      <c r="AY765" s="208"/>
    </row>
    <row r="766">
      <c r="A766" s="208"/>
      <c r="B766" s="533"/>
      <c r="C766" s="208"/>
      <c r="D766" s="208"/>
      <c r="E766" s="208"/>
      <c r="F766" s="584"/>
      <c r="G766" s="208"/>
      <c r="H766" s="208"/>
      <c r="I766" s="208"/>
      <c r="J766" s="208"/>
      <c r="K766" s="208"/>
      <c r="L766" s="536"/>
      <c r="M766" s="208"/>
      <c r="N766" s="208"/>
      <c r="O766" s="208"/>
      <c r="P766" s="208"/>
      <c r="Q766" s="208"/>
      <c r="R766" s="208"/>
      <c r="S766" s="208"/>
      <c r="T766" s="208"/>
      <c r="U766" s="208"/>
      <c r="V766" s="208"/>
      <c r="W766" s="208"/>
      <c r="X766" s="208"/>
      <c r="Y766" s="208"/>
      <c r="Z766" s="208"/>
      <c r="AA766" s="208"/>
      <c r="AB766" s="208"/>
      <c r="AC766" s="208"/>
      <c r="AD766" s="208"/>
      <c r="AE766" s="208"/>
      <c r="AF766" s="208"/>
      <c r="AG766" s="208"/>
      <c r="AH766" s="208"/>
      <c r="AI766" s="208"/>
      <c r="AJ766" s="208"/>
      <c r="AK766" s="208"/>
      <c r="AL766" s="208"/>
      <c r="AM766" s="208"/>
      <c r="AN766" s="208"/>
      <c r="AO766" s="208"/>
      <c r="AP766" s="208"/>
      <c r="AQ766" s="208"/>
      <c r="AR766" s="208"/>
      <c r="AS766" s="208"/>
      <c r="AT766" s="208"/>
      <c r="AU766" s="208"/>
      <c r="AV766" s="208"/>
      <c r="AW766" s="208"/>
      <c r="AX766" s="208"/>
      <c r="AY766" s="208"/>
    </row>
    <row r="767">
      <c r="A767" s="208"/>
      <c r="B767" s="533"/>
      <c r="C767" s="208"/>
      <c r="D767" s="208"/>
      <c r="E767" s="208"/>
      <c r="F767" s="584"/>
      <c r="G767" s="208"/>
      <c r="H767" s="208"/>
      <c r="I767" s="208"/>
      <c r="J767" s="208"/>
      <c r="K767" s="208"/>
      <c r="L767" s="536"/>
      <c r="M767" s="208"/>
      <c r="N767" s="208"/>
      <c r="O767" s="208"/>
      <c r="P767" s="208"/>
      <c r="Q767" s="208"/>
      <c r="R767" s="208"/>
      <c r="S767" s="208"/>
      <c r="T767" s="208"/>
      <c r="U767" s="208"/>
      <c r="V767" s="208"/>
      <c r="W767" s="208"/>
      <c r="X767" s="208"/>
      <c r="Y767" s="208"/>
      <c r="Z767" s="208"/>
      <c r="AA767" s="208"/>
      <c r="AB767" s="208"/>
      <c r="AC767" s="208"/>
      <c r="AD767" s="208"/>
      <c r="AE767" s="208"/>
      <c r="AF767" s="208"/>
      <c r="AG767" s="208"/>
      <c r="AH767" s="208"/>
      <c r="AI767" s="208"/>
      <c r="AJ767" s="208"/>
      <c r="AK767" s="208"/>
      <c r="AL767" s="208"/>
      <c r="AM767" s="208"/>
      <c r="AN767" s="208"/>
      <c r="AO767" s="208"/>
      <c r="AP767" s="208"/>
      <c r="AQ767" s="208"/>
      <c r="AR767" s="208"/>
      <c r="AS767" s="208"/>
      <c r="AT767" s="208"/>
      <c r="AU767" s="208"/>
      <c r="AV767" s="208"/>
      <c r="AW767" s="208"/>
      <c r="AX767" s="208"/>
      <c r="AY767" s="208"/>
    </row>
    <row r="768">
      <c r="A768" s="208"/>
      <c r="B768" s="533"/>
      <c r="C768" s="208"/>
      <c r="D768" s="208"/>
      <c r="E768" s="208"/>
      <c r="F768" s="584"/>
      <c r="G768" s="208"/>
      <c r="H768" s="208"/>
      <c r="I768" s="208"/>
      <c r="J768" s="208"/>
      <c r="K768" s="208"/>
      <c r="L768" s="536"/>
      <c r="M768" s="208"/>
      <c r="N768" s="208"/>
      <c r="O768" s="208"/>
      <c r="P768" s="208"/>
      <c r="Q768" s="208"/>
      <c r="R768" s="208"/>
      <c r="S768" s="208"/>
      <c r="T768" s="208"/>
      <c r="U768" s="208"/>
      <c r="V768" s="208"/>
      <c r="W768" s="208"/>
      <c r="X768" s="208"/>
      <c r="Y768" s="208"/>
      <c r="Z768" s="208"/>
      <c r="AA768" s="208"/>
      <c r="AB768" s="208"/>
      <c r="AC768" s="208"/>
      <c r="AD768" s="208"/>
      <c r="AE768" s="208"/>
      <c r="AF768" s="208"/>
      <c r="AG768" s="208"/>
      <c r="AH768" s="208"/>
      <c r="AI768" s="208"/>
      <c r="AJ768" s="208"/>
      <c r="AK768" s="208"/>
      <c r="AL768" s="208"/>
      <c r="AM768" s="208"/>
      <c r="AN768" s="208"/>
      <c r="AO768" s="208"/>
      <c r="AP768" s="208"/>
      <c r="AQ768" s="208"/>
      <c r="AR768" s="208"/>
      <c r="AS768" s="208"/>
      <c r="AT768" s="208"/>
      <c r="AU768" s="208"/>
      <c r="AV768" s="208"/>
      <c r="AW768" s="208"/>
      <c r="AX768" s="208"/>
      <c r="AY768" s="208"/>
    </row>
    <row r="769">
      <c r="A769" s="208"/>
      <c r="B769" s="533"/>
      <c r="C769" s="208"/>
      <c r="D769" s="208"/>
      <c r="E769" s="208"/>
      <c r="F769" s="584"/>
      <c r="G769" s="208"/>
      <c r="H769" s="208"/>
      <c r="I769" s="208"/>
      <c r="J769" s="208"/>
      <c r="K769" s="208"/>
      <c r="L769" s="536"/>
      <c r="M769" s="208"/>
      <c r="N769" s="208"/>
      <c r="O769" s="208"/>
      <c r="P769" s="208"/>
      <c r="Q769" s="208"/>
      <c r="R769" s="208"/>
      <c r="S769" s="208"/>
      <c r="T769" s="208"/>
      <c r="U769" s="208"/>
      <c r="V769" s="208"/>
      <c r="W769" s="208"/>
      <c r="X769" s="208"/>
      <c r="Y769" s="208"/>
      <c r="Z769" s="208"/>
      <c r="AA769" s="208"/>
      <c r="AB769" s="208"/>
      <c r="AC769" s="208"/>
      <c r="AD769" s="208"/>
      <c r="AE769" s="208"/>
      <c r="AF769" s="208"/>
      <c r="AG769" s="208"/>
      <c r="AH769" s="208"/>
      <c r="AI769" s="208"/>
      <c r="AJ769" s="208"/>
      <c r="AK769" s="208"/>
      <c r="AL769" s="208"/>
      <c r="AM769" s="208"/>
      <c r="AN769" s="208"/>
      <c r="AO769" s="208"/>
      <c r="AP769" s="208"/>
      <c r="AQ769" s="208"/>
      <c r="AR769" s="208"/>
      <c r="AS769" s="208"/>
      <c r="AT769" s="208"/>
      <c r="AU769" s="208"/>
      <c r="AV769" s="208"/>
      <c r="AW769" s="208"/>
      <c r="AX769" s="208"/>
      <c r="AY769" s="208"/>
    </row>
    <row r="770">
      <c r="A770" s="208"/>
      <c r="B770" s="533"/>
      <c r="C770" s="208"/>
      <c r="D770" s="208"/>
      <c r="E770" s="208"/>
      <c r="F770" s="584"/>
      <c r="G770" s="208"/>
      <c r="H770" s="208"/>
      <c r="I770" s="208"/>
      <c r="J770" s="208"/>
      <c r="K770" s="208"/>
      <c r="L770" s="536"/>
      <c r="M770" s="208"/>
      <c r="N770" s="208"/>
      <c r="O770" s="208"/>
      <c r="P770" s="208"/>
      <c r="Q770" s="208"/>
      <c r="R770" s="208"/>
      <c r="S770" s="208"/>
      <c r="T770" s="208"/>
      <c r="U770" s="208"/>
      <c r="V770" s="208"/>
      <c r="W770" s="208"/>
      <c r="X770" s="208"/>
      <c r="Y770" s="208"/>
      <c r="Z770" s="208"/>
      <c r="AA770" s="208"/>
      <c r="AB770" s="208"/>
      <c r="AC770" s="208"/>
      <c r="AD770" s="208"/>
      <c r="AE770" s="208"/>
      <c r="AF770" s="208"/>
      <c r="AG770" s="208"/>
      <c r="AH770" s="208"/>
      <c r="AI770" s="208"/>
      <c r="AJ770" s="208"/>
      <c r="AK770" s="208"/>
      <c r="AL770" s="208"/>
      <c r="AM770" s="208"/>
      <c r="AN770" s="208"/>
      <c r="AO770" s="208"/>
      <c r="AP770" s="208"/>
      <c r="AQ770" s="208"/>
      <c r="AR770" s="208"/>
      <c r="AS770" s="208"/>
      <c r="AT770" s="208"/>
      <c r="AU770" s="208"/>
      <c r="AV770" s="208"/>
      <c r="AW770" s="208"/>
      <c r="AX770" s="208"/>
      <c r="AY770" s="208"/>
    </row>
    <row r="771">
      <c r="A771" s="208"/>
      <c r="B771" s="533"/>
      <c r="C771" s="208"/>
      <c r="D771" s="208"/>
      <c r="E771" s="208"/>
      <c r="F771" s="584"/>
      <c r="G771" s="208"/>
      <c r="H771" s="208"/>
      <c r="I771" s="208"/>
      <c r="J771" s="208"/>
      <c r="K771" s="208"/>
      <c r="L771" s="536"/>
      <c r="M771" s="208"/>
      <c r="N771" s="208"/>
      <c r="O771" s="208"/>
      <c r="P771" s="208"/>
      <c r="Q771" s="208"/>
      <c r="R771" s="208"/>
      <c r="S771" s="208"/>
      <c r="T771" s="208"/>
      <c r="U771" s="208"/>
      <c r="V771" s="208"/>
      <c r="W771" s="208"/>
      <c r="X771" s="208"/>
      <c r="Y771" s="208"/>
      <c r="Z771" s="208"/>
      <c r="AA771" s="208"/>
      <c r="AB771" s="208"/>
      <c r="AC771" s="208"/>
      <c r="AD771" s="208"/>
      <c r="AE771" s="208"/>
      <c r="AF771" s="208"/>
      <c r="AG771" s="208"/>
      <c r="AH771" s="208"/>
      <c r="AI771" s="208"/>
      <c r="AJ771" s="208"/>
      <c r="AK771" s="208"/>
      <c r="AL771" s="208"/>
      <c r="AM771" s="208"/>
      <c r="AN771" s="208"/>
      <c r="AO771" s="208"/>
      <c r="AP771" s="208"/>
      <c r="AQ771" s="208"/>
      <c r="AR771" s="208"/>
      <c r="AS771" s="208"/>
      <c r="AT771" s="208"/>
      <c r="AU771" s="208"/>
      <c r="AV771" s="208"/>
      <c r="AW771" s="208"/>
      <c r="AX771" s="208"/>
      <c r="AY771" s="208"/>
    </row>
    <row r="772">
      <c r="A772" s="208"/>
      <c r="B772" s="533"/>
      <c r="C772" s="208"/>
      <c r="D772" s="208"/>
      <c r="E772" s="208"/>
      <c r="F772" s="584"/>
      <c r="G772" s="208"/>
      <c r="H772" s="208"/>
      <c r="I772" s="208"/>
      <c r="J772" s="208"/>
      <c r="K772" s="208"/>
      <c r="L772" s="536"/>
      <c r="M772" s="208"/>
      <c r="N772" s="208"/>
      <c r="O772" s="208"/>
      <c r="P772" s="208"/>
      <c r="Q772" s="208"/>
      <c r="R772" s="208"/>
      <c r="S772" s="208"/>
      <c r="T772" s="208"/>
      <c r="U772" s="208"/>
      <c r="V772" s="208"/>
      <c r="W772" s="208"/>
      <c r="X772" s="208"/>
      <c r="Y772" s="208"/>
      <c r="Z772" s="208"/>
      <c r="AA772" s="208"/>
      <c r="AB772" s="208"/>
      <c r="AC772" s="208"/>
      <c r="AD772" s="208"/>
      <c r="AE772" s="208"/>
      <c r="AF772" s="208"/>
      <c r="AG772" s="208"/>
      <c r="AH772" s="208"/>
      <c r="AI772" s="208"/>
      <c r="AJ772" s="208"/>
      <c r="AK772" s="208"/>
      <c r="AL772" s="208"/>
      <c r="AM772" s="208"/>
      <c r="AN772" s="208"/>
      <c r="AO772" s="208"/>
      <c r="AP772" s="208"/>
      <c r="AQ772" s="208"/>
      <c r="AR772" s="208"/>
      <c r="AS772" s="208"/>
      <c r="AT772" s="208"/>
      <c r="AU772" s="208"/>
      <c r="AV772" s="208"/>
      <c r="AW772" s="208"/>
      <c r="AX772" s="208"/>
      <c r="AY772" s="208"/>
    </row>
    <row r="773">
      <c r="A773" s="208"/>
      <c r="B773" s="533"/>
      <c r="C773" s="208"/>
      <c r="D773" s="208"/>
      <c r="E773" s="208"/>
      <c r="F773" s="584"/>
      <c r="G773" s="208"/>
      <c r="H773" s="208"/>
      <c r="I773" s="208"/>
      <c r="J773" s="208"/>
      <c r="K773" s="208"/>
      <c r="L773" s="536"/>
      <c r="M773" s="208"/>
      <c r="N773" s="208"/>
      <c r="O773" s="208"/>
      <c r="P773" s="208"/>
      <c r="Q773" s="208"/>
      <c r="R773" s="208"/>
      <c r="S773" s="208"/>
      <c r="T773" s="208"/>
      <c r="U773" s="208"/>
      <c r="V773" s="208"/>
      <c r="W773" s="208"/>
      <c r="X773" s="208"/>
      <c r="Y773" s="208"/>
      <c r="Z773" s="208"/>
      <c r="AA773" s="208"/>
      <c r="AB773" s="208"/>
      <c r="AC773" s="208"/>
      <c r="AD773" s="208"/>
      <c r="AE773" s="208"/>
      <c r="AF773" s="208"/>
      <c r="AG773" s="208"/>
      <c r="AH773" s="208"/>
      <c r="AI773" s="208"/>
      <c r="AJ773" s="208"/>
      <c r="AK773" s="208"/>
      <c r="AL773" s="208"/>
      <c r="AM773" s="208"/>
      <c r="AN773" s="208"/>
      <c r="AO773" s="208"/>
      <c r="AP773" s="208"/>
      <c r="AQ773" s="208"/>
      <c r="AR773" s="208"/>
      <c r="AS773" s="208"/>
      <c r="AT773" s="208"/>
      <c r="AU773" s="208"/>
      <c r="AV773" s="208"/>
      <c r="AW773" s="208"/>
      <c r="AX773" s="208"/>
      <c r="AY773" s="208"/>
    </row>
    <row r="774">
      <c r="A774" s="208"/>
      <c r="B774" s="533"/>
      <c r="C774" s="208"/>
      <c r="D774" s="208"/>
      <c r="E774" s="208"/>
      <c r="F774" s="584"/>
      <c r="G774" s="208"/>
      <c r="H774" s="208"/>
      <c r="I774" s="208"/>
      <c r="J774" s="208"/>
      <c r="K774" s="208"/>
      <c r="L774" s="536"/>
      <c r="M774" s="208"/>
      <c r="N774" s="208"/>
      <c r="O774" s="208"/>
      <c r="P774" s="208"/>
      <c r="Q774" s="208"/>
      <c r="R774" s="208"/>
      <c r="S774" s="208"/>
      <c r="T774" s="208"/>
      <c r="U774" s="208"/>
      <c r="V774" s="208"/>
      <c r="W774" s="208"/>
      <c r="X774" s="208"/>
      <c r="Y774" s="208"/>
      <c r="Z774" s="208"/>
      <c r="AA774" s="208"/>
      <c r="AB774" s="208"/>
      <c r="AC774" s="208"/>
      <c r="AD774" s="208"/>
      <c r="AE774" s="208"/>
      <c r="AF774" s="208"/>
      <c r="AG774" s="208"/>
      <c r="AH774" s="208"/>
      <c r="AI774" s="208"/>
      <c r="AJ774" s="208"/>
      <c r="AK774" s="208"/>
      <c r="AL774" s="208"/>
      <c r="AM774" s="208"/>
      <c r="AN774" s="208"/>
      <c r="AO774" s="208"/>
      <c r="AP774" s="208"/>
      <c r="AQ774" s="208"/>
      <c r="AR774" s="208"/>
      <c r="AS774" s="208"/>
      <c r="AT774" s="208"/>
      <c r="AU774" s="208"/>
      <c r="AV774" s="208"/>
      <c r="AW774" s="208"/>
      <c r="AX774" s="208"/>
      <c r="AY774" s="208"/>
    </row>
    <row r="775">
      <c r="A775" s="208"/>
      <c r="B775" s="533"/>
      <c r="C775" s="208"/>
      <c r="D775" s="208"/>
      <c r="E775" s="208"/>
      <c r="F775" s="584"/>
      <c r="G775" s="208"/>
      <c r="H775" s="208"/>
      <c r="I775" s="208"/>
      <c r="J775" s="208"/>
      <c r="K775" s="208"/>
      <c r="L775" s="536"/>
      <c r="M775" s="208"/>
      <c r="N775" s="208"/>
      <c r="O775" s="208"/>
      <c r="P775" s="208"/>
      <c r="Q775" s="208"/>
      <c r="R775" s="208"/>
      <c r="S775" s="208"/>
      <c r="T775" s="208"/>
      <c r="U775" s="208"/>
      <c r="V775" s="208"/>
      <c r="W775" s="208"/>
      <c r="X775" s="208"/>
      <c r="Y775" s="208"/>
      <c r="Z775" s="208"/>
      <c r="AA775" s="208"/>
      <c r="AB775" s="208"/>
      <c r="AC775" s="208"/>
      <c r="AD775" s="208"/>
      <c r="AE775" s="208"/>
      <c r="AF775" s="208"/>
      <c r="AG775" s="208"/>
      <c r="AH775" s="208"/>
      <c r="AI775" s="208"/>
      <c r="AJ775" s="208"/>
      <c r="AK775" s="208"/>
      <c r="AL775" s="208"/>
      <c r="AM775" s="208"/>
      <c r="AN775" s="208"/>
      <c r="AO775" s="208"/>
      <c r="AP775" s="208"/>
      <c r="AQ775" s="208"/>
      <c r="AR775" s="208"/>
      <c r="AS775" s="208"/>
      <c r="AT775" s="208"/>
      <c r="AU775" s="208"/>
      <c r="AV775" s="208"/>
      <c r="AW775" s="208"/>
      <c r="AX775" s="208"/>
      <c r="AY775" s="208"/>
    </row>
    <row r="776">
      <c r="A776" s="208"/>
      <c r="B776" s="533"/>
      <c r="C776" s="208"/>
      <c r="D776" s="208"/>
      <c r="E776" s="208"/>
      <c r="F776" s="584"/>
      <c r="G776" s="208"/>
      <c r="H776" s="208"/>
      <c r="I776" s="208"/>
      <c r="J776" s="208"/>
      <c r="K776" s="208"/>
      <c r="L776" s="536"/>
      <c r="M776" s="208"/>
      <c r="N776" s="208"/>
      <c r="O776" s="208"/>
      <c r="P776" s="208"/>
      <c r="Q776" s="208"/>
      <c r="R776" s="208"/>
      <c r="S776" s="208"/>
      <c r="T776" s="208"/>
      <c r="U776" s="208"/>
      <c r="V776" s="208"/>
      <c r="W776" s="208"/>
      <c r="X776" s="208"/>
      <c r="Y776" s="208"/>
      <c r="Z776" s="208"/>
      <c r="AA776" s="208"/>
      <c r="AB776" s="208"/>
      <c r="AC776" s="208"/>
      <c r="AD776" s="208"/>
      <c r="AE776" s="208"/>
      <c r="AF776" s="208"/>
      <c r="AG776" s="208"/>
      <c r="AH776" s="208"/>
      <c r="AI776" s="208"/>
      <c r="AJ776" s="208"/>
      <c r="AK776" s="208"/>
      <c r="AL776" s="208"/>
      <c r="AM776" s="208"/>
      <c r="AN776" s="208"/>
      <c r="AO776" s="208"/>
      <c r="AP776" s="208"/>
      <c r="AQ776" s="208"/>
      <c r="AR776" s="208"/>
      <c r="AS776" s="208"/>
      <c r="AT776" s="208"/>
      <c r="AU776" s="208"/>
      <c r="AV776" s="208"/>
      <c r="AW776" s="208"/>
      <c r="AX776" s="208"/>
      <c r="AY776" s="208"/>
    </row>
    <row r="777">
      <c r="A777" s="208"/>
      <c r="B777" s="533"/>
      <c r="C777" s="208"/>
      <c r="D777" s="208"/>
      <c r="E777" s="208"/>
      <c r="F777" s="584"/>
      <c r="G777" s="208"/>
      <c r="H777" s="208"/>
      <c r="I777" s="208"/>
      <c r="J777" s="208"/>
      <c r="K777" s="208"/>
      <c r="L777" s="536"/>
      <c r="M777" s="208"/>
      <c r="N777" s="208"/>
      <c r="O777" s="208"/>
      <c r="P777" s="208"/>
      <c r="Q777" s="208"/>
      <c r="R777" s="208"/>
      <c r="S777" s="208"/>
      <c r="T777" s="208"/>
      <c r="U777" s="208"/>
      <c r="V777" s="208"/>
      <c r="W777" s="208"/>
      <c r="X777" s="208"/>
      <c r="Y777" s="208"/>
      <c r="Z777" s="208"/>
      <c r="AA777" s="208"/>
      <c r="AB777" s="208"/>
      <c r="AC777" s="208"/>
      <c r="AD777" s="208"/>
      <c r="AE777" s="208"/>
      <c r="AF777" s="208"/>
      <c r="AG777" s="208"/>
      <c r="AH777" s="208"/>
      <c r="AI777" s="208"/>
      <c r="AJ777" s="208"/>
      <c r="AK777" s="208"/>
      <c r="AL777" s="208"/>
      <c r="AM777" s="208"/>
      <c r="AN777" s="208"/>
      <c r="AO777" s="208"/>
      <c r="AP777" s="208"/>
      <c r="AQ777" s="208"/>
      <c r="AR777" s="208"/>
      <c r="AS777" s="208"/>
      <c r="AT777" s="208"/>
      <c r="AU777" s="208"/>
      <c r="AV777" s="208"/>
      <c r="AW777" s="208"/>
      <c r="AX777" s="208"/>
      <c r="AY777" s="208"/>
    </row>
    <row r="778">
      <c r="A778" s="208"/>
      <c r="B778" s="533"/>
      <c r="C778" s="208"/>
      <c r="D778" s="208"/>
      <c r="E778" s="208"/>
      <c r="F778" s="584"/>
      <c r="G778" s="208"/>
      <c r="H778" s="208"/>
      <c r="I778" s="208"/>
      <c r="J778" s="208"/>
      <c r="K778" s="208"/>
      <c r="L778" s="536"/>
      <c r="M778" s="208"/>
      <c r="N778" s="208"/>
      <c r="O778" s="208"/>
      <c r="P778" s="208"/>
      <c r="Q778" s="208"/>
      <c r="R778" s="208"/>
      <c r="S778" s="208"/>
      <c r="T778" s="208"/>
      <c r="U778" s="208"/>
      <c r="V778" s="208"/>
      <c r="W778" s="208"/>
      <c r="X778" s="208"/>
      <c r="Y778" s="208"/>
      <c r="Z778" s="208"/>
      <c r="AA778" s="208"/>
      <c r="AB778" s="208"/>
      <c r="AC778" s="208"/>
      <c r="AD778" s="208"/>
      <c r="AE778" s="208"/>
      <c r="AF778" s="208"/>
      <c r="AG778" s="208"/>
      <c r="AH778" s="208"/>
      <c r="AI778" s="208"/>
      <c r="AJ778" s="208"/>
      <c r="AK778" s="208"/>
      <c r="AL778" s="208"/>
      <c r="AM778" s="208"/>
      <c r="AN778" s="208"/>
      <c r="AO778" s="208"/>
      <c r="AP778" s="208"/>
      <c r="AQ778" s="208"/>
      <c r="AR778" s="208"/>
      <c r="AS778" s="208"/>
      <c r="AT778" s="208"/>
      <c r="AU778" s="208"/>
      <c r="AV778" s="208"/>
      <c r="AW778" s="208"/>
      <c r="AX778" s="208"/>
      <c r="AY778" s="208"/>
    </row>
    <row r="779">
      <c r="A779" s="208"/>
      <c r="B779" s="533"/>
      <c r="C779" s="208"/>
      <c r="D779" s="208"/>
      <c r="E779" s="208"/>
      <c r="F779" s="584"/>
      <c r="G779" s="208"/>
      <c r="H779" s="208"/>
      <c r="I779" s="208"/>
      <c r="J779" s="208"/>
      <c r="K779" s="208"/>
      <c r="L779" s="536"/>
      <c r="M779" s="208"/>
      <c r="N779" s="208"/>
      <c r="O779" s="208"/>
      <c r="P779" s="208"/>
      <c r="Q779" s="208"/>
      <c r="R779" s="208"/>
      <c r="S779" s="208"/>
      <c r="T779" s="208"/>
      <c r="U779" s="208"/>
      <c r="V779" s="208"/>
      <c r="W779" s="208"/>
      <c r="X779" s="208"/>
      <c r="Y779" s="208"/>
      <c r="Z779" s="208"/>
      <c r="AA779" s="208"/>
      <c r="AB779" s="208"/>
      <c r="AC779" s="208"/>
      <c r="AD779" s="208"/>
      <c r="AE779" s="208"/>
      <c r="AF779" s="208"/>
      <c r="AG779" s="208"/>
      <c r="AH779" s="208"/>
      <c r="AI779" s="208"/>
      <c r="AJ779" s="208"/>
      <c r="AK779" s="208"/>
      <c r="AL779" s="208"/>
      <c r="AM779" s="208"/>
      <c r="AN779" s="208"/>
      <c r="AO779" s="208"/>
      <c r="AP779" s="208"/>
      <c r="AQ779" s="208"/>
      <c r="AR779" s="208"/>
      <c r="AS779" s="208"/>
      <c r="AT779" s="208"/>
      <c r="AU779" s="208"/>
      <c r="AV779" s="208"/>
      <c r="AW779" s="208"/>
      <c r="AX779" s="208"/>
      <c r="AY779" s="208"/>
    </row>
    <row r="780">
      <c r="A780" s="208"/>
      <c r="B780" s="533"/>
      <c r="C780" s="208"/>
      <c r="D780" s="208"/>
      <c r="E780" s="208"/>
      <c r="F780" s="584"/>
      <c r="G780" s="208"/>
      <c r="H780" s="208"/>
      <c r="I780" s="208"/>
      <c r="J780" s="208"/>
      <c r="K780" s="208"/>
      <c r="L780" s="536"/>
      <c r="M780" s="208"/>
      <c r="N780" s="208"/>
      <c r="O780" s="208"/>
      <c r="P780" s="208"/>
      <c r="Q780" s="208"/>
      <c r="R780" s="208"/>
      <c r="S780" s="208"/>
      <c r="T780" s="208"/>
      <c r="U780" s="208"/>
      <c r="V780" s="208"/>
      <c r="W780" s="208"/>
      <c r="X780" s="208"/>
      <c r="Y780" s="208"/>
      <c r="Z780" s="208"/>
      <c r="AA780" s="208"/>
      <c r="AB780" s="208"/>
      <c r="AC780" s="208"/>
      <c r="AD780" s="208"/>
      <c r="AE780" s="208"/>
      <c r="AF780" s="208"/>
      <c r="AG780" s="208"/>
      <c r="AH780" s="208"/>
      <c r="AI780" s="208"/>
      <c r="AJ780" s="208"/>
      <c r="AK780" s="208"/>
      <c r="AL780" s="208"/>
      <c r="AM780" s="208"/>
      <c r="AN780" s="208"/>
      <c r="AO780" s="208"/>
      <c r="AP780" s="208"/>
      <c r="AQ780" s="208"/>
      <c r="AR780" s="208"/>
      <c r="AS780" s="208"/>
      <c r="AT780" s="208"/>
      <c r="AU780" s="208"/>
      <c r="AV780" s="208"/>
      <c r="AW780" s="208"/>
      <c r="AX780" s="208"/>
      <c r="AY780" s="208"/>
    </row>
    <row r="781">
      <c r="A781" s="208"/>
      <c r="B781" s="533"/>
      <c r="C781" s="208"/>
      <c r="D781" s="208"/>
      <c r="E781" s="208"/>
      <c r="F781" s="584"/>
      <c r="G781" s="208"/>
      <c r="H781" s="208"/>
      <c r="I781" s="208"/>
      <c r="J781" s="208"/>
      <c r="K781" s="208"/>
      <c r="L781" s="536"/>
      <c r="M781" s="208"/>
      <c r="N781" s="208"/>
      <c r="O781" s="208"/>
      <c r="P781" s="208"/>
      <c r="Q781" s="208"/>
      <c r="R781" s="208"/>
      <c r="S781" s="208"/>
      <c r="T781" s="208"/>
      <c r="U781" s="208"/>
      <c r="V781" s="208"/>
      <c r="W781" s="208"/>
      <c r="X781" s="208"/>
      <c r="Y781" s="208"/>
      <c r="Z781" s="208"/>
      <c r="AA781" s="208"/>
      <c r="AB781" s="208"/>
      <c r="AC781" s="208"/>
      <c r="AD781" s="208"/>
      <c r="AE781" s="208"/>
      <c r="AF781" s="208"/>
      <c r="AG781" s="208"/>
      <c r="AH781" s="208"/>
      <c r="AI781" s="208"/>
      <c r="AJ781" s="208"/>
      <c r="AK781" s="208"/>
      <c r="AL781" s="208"/>
      <c r="AM781" s="208"/>
      <c r="AN781" s="208"/>
      <c r="AO781" s="208"/>
      <c r="AP781" s="208"/>
      <c r="AQ781" s="208"/>
      <c r="AR781" s="208"/>
      <c r="AS781" s="208"/>
      <c r="AT781" s="208"/>
      <c r="AU781" s="208"/>
      <c r="AV781" s="208"/>
      <c r="AW781" s="208"/>
      <c r="AX781" s="208"/>
      <c r="AY781" s="208"/>
    </row>
    <row r="782">
      <c r="A782" s="208"/>
      <c r="B782" s="533"/>
      <c r="C782" s="208"/>
      <c r="D782" s="208"/>
      <c r="E782" s="208"/>
      <c r="F782" s="584"/>
      <c r="G782" s="208"/>
      <c r="H782" s="208"/>
      <c r="I782" s="208"/>
      <c r="J782" s="208"/>
      <c r="K782" s="208"/>
      <c r="L782" s="536"/>
      <c r="M782" s="208"/>
      <c r="N782" s="208"/>
      <c r="O782" s="208"/>
      <c r="P782" s="208"/>
      <c r="Q782" s="208"/>
      <c r="R782" s="208"/>
      <c r="S782" s="208"/>
      <c r="T782" s="208"/>
      <c r="U782" s="208"/>
      <c r="V782" s="208"/>
      <c r="W782" s="208"/>
      <c r="X782" s="208"/>
      <c r="Y782" s="208"/>
      <c r="Z782" s="208"/>
      <c r="AA782" s="208"/>
      <c r="AB782" s="208"/>
      <c r="AC782" s="208"/>
      <c r="AD782" s="208"/>
      <c r="AE782" s="208"/>
      <c r="AF782" s="208"/>
      <c r="AG782" s="208"/>
      <c r="AH782" s="208"/>
      <c r="AI782" s="208"/>
      <c r="AJ782" s="208"/>
      <c r="AK782" s="208"/>
      <c r="AL782" s="208"/>
      <c r="AM782" s="208"/>
      <c r="AN782" s="208"/>
      <c r="AO782" s="208"/>
      <c r="AP782" s="208"/>
      <c r="AQ782" s="208"/>
      <c r="AR782" s="208"/>
      <c r="AS782" s="208"/>
      <c r="AT782" s="208"/>
      <c r="AU782" s="208"/>
      <c r="AV782" s="208"/>
      <c r="AW782" s="208"/>
      <c r="AX782" s="208"/>
      <c r="AY782" s="208"/>
    </row>
    <row r="783">
      <c r="A783" s="208"/>
      <c r="B783" s="533"/>
      <c r="C783" s="208"/>
      <c r="D783" s="208"/>
      <c r="E783" s="208"/>
      <c r="F783" s="584"/>
      <c r="G783" s="208"/>
      <c r="H783" s="208"/>
      <c r="I783" s="208"/>
      <c r="J783" s="208"/>
      <c r="K783" s="208"/>
      <c r="L783" s="536"/>
      <c r="M783" s="208"/>
      <c r="N783" s="208"/>
      <c r="O783" s="208"/>
      <c r="P783" s="208"/>
      <c r="Q783" s="208"/>
      <c r="R783" s="208"/>
      <c r="S783" s="208"/>
      <c r="T783" s="208"/>
      <c r="U783" s="208"/>
      <c r="V783" s="208"/>
      <c r="W783" s="208"/>
      <c r="X783" s="208"/>
      <c r="Y783" s="208"/>
      <c r="Z783" s="208"/>
      <c r="AA783" s="208"/>
      <c r="AB783" s="208"/>
      <c r="AC783" s="208"/>
      <c r="AD783" s="208"/>
      <c r="AE783" s="208"/>
      <c r="AF783" s="208"/>
      <c r="AG783" s="208"/>
      <c r="AH783" s="208"/>
      <c r="AI783" s="208"/>
      <c r="AJ783" s="208"/>
      <c r="AK783" s="208"/>
      <c r="AL783" s="208"/>
      <c r="AM783" s="208"/>
      <c r="AN783" s="208"/>
      <c r="AO783" s="208"/>
      <c r="AP783" s="208"/>
      <c r="AQ783" s="208"/>
      <c r="AR783" s="208"/>
      <c r="AS783" s="208"/>
      <c r="AT783" s="208"/>
      <c r="AU783" s="208"/>
      <c r="AV783" s="208"/>
      <c r="AW783" s="208"/>
      <c r="AX783" s="208"/>
      <c r="AY783" s="208"/>
    </row>
    <row r="784">
      <c r="A784" s="208"/>
      <c r="B784" s="533"/>
      <c r="C784" s="208"/>
      <c r="D784" s="208"/>
      <c r="E784" s="208"/>
      <c r="F784" s="584"/>
      <c r="G784" s="208"/>
      <c r="H784" s="208"/>
      <c r="I784" s="208"/>
      <c r="J784" s="208"/>
      <c r="K784" s="208"/>
      <c r="L784" s="536"/>
      <c r="M784" s="208"/>
      <c r="N784" s="208"/>
      <c r="O784" s="208"/>
      <c r="P784" s="208"/>
      <c r="Q784" s="208"/>
      <c r="R784" s="208"/>
      <c r="S784" s="208"/>
      <c r="T784" s="208"/>
      <c r="U784" s="208"/>
      <c r="V784" s="208"/>
      <c r="W784" s="208"/>
      <c r="X784" s="208"/>
      <c r="Y784" s="208"/>
      <c r="Z784" s="208"/>
      <c r="AA784" s="208"/>
      <c r="AB784" s="208"/>
      <c r="AC784" s="208"/>
      <c r="AD784" s="208"/>
      <c r="AE784" s="208"/>
      <c r="AF784" s="208"/>
      <c r="AG784" s="208"/>
      <c r="AH784" s="208"/>
      <c r="AI784" s="208"/>
      <c r="AJ784" s="208"/>
      <c r="AK784" s="208"/>
      <c r="AL784" s="208"/>
      <c r="AM784" s="208"/>
      <c r="AN784" s="208"/>
      <c r="AO784" s="208"/>
      <c r="AP784" s="208"/>
      <c r="AQ784" s="208"/>
      <c r="AR784" s="208"/>
      <c r="AS784" s="208"/>
      <c r="AT784" s="208"/>
      <c r="AU784" s="208"/>
      <c r="AV784" s="208"/>
      <c r="AW784" s="208"/>
      <c r="AX784" s="208"/>
      <c r="AY784" s="208"/>
    </row>
    <row r="785">
      <c r="A785" s="208"/>
      <c r="B785" s="533"/>
      <c r="C785" s="208"/>
      <c r="D785" s="208"/>
      <c r="E785" s="208"/>
      <c r="F785" s="584"/>
      <c r="G785" s="208"/>
      <c r="H785" s="208"/>
      <c r="I785" s="208"/>
      <c r="J785" s="208"/>
      <c r="K785" s="208"/>
      <c r="L785" s="536"/>
      <c r="M785" s="208"/>
      <c r="N785" s="208"/>
      <c r="O785" s="208"/>
      <c r="P785" s="208"/>
      <c r="Q785" s="208"/>
      <c r="R785" s="208"/>
      <c r="S785" s="208"/>
      <c r="T785" s="208"/>
      <c r="U785" s="208"/>
      <c r="V785" s="208"/>
      <c r="W785" s="208"/>
      <c r="X785" s="208"/>
      <c r="Y785" s="208"/>
      <c r="Z785" s="208"/>
      <c r="AA785" s="208"/>
      <c r="AB785" s="208"/>
      <c r="AC785" s="208"/>
      <c r="AD785" s="208"/>
      <c r="AE785" s="208"/>
      <c r="AF785" s="208"/>
      <c r="AG785" s="208"/>
      <c r="AH785" s="208"/>
      <c r="AI785" s="208"/>
      <c r="AJ785" s="208"/>
      <c r="AK785" s="208"/>
      <c r="AL785" s="208"/>
      <c r="AM785" s="208"/>
      <c r="AN785" s="208"/>
      <c r="AO785" s="208"/>
      <c r="AP785" s="208"/>
      <c r="AQ785" s="208"/>
      <c r="AR785" s="208"/>
      <c r="AS785" s="208"/>
      <c r="AT785" s="208"/>
      <c r="AU785" s="208"/>
      <c r="AV785" s="208"/>
      <c r="AW785" s="208"/>
      <c r="AX785" s="208"/>
      <c r="AY785" s="208"/>
    </row>
    <row r="786">
      <c r="A786" s="208"/>
      <c r="B786" s="533"/>
      <c r="C786" s="208"/>
      <c r="D786" s="208"/>
      <c r="E786" s="208"/>
      <c r="F786" s="584"/>
      <c r="G786" s="208"/>
      <c r="H786" s="208"/>
      <c r="I786" s="208"/>
      <c r="J786" s="208"/>
      <c r="K786" s="208"/>
      <c r="L786" s="536"/>
      <c r="M786" s="208"/>
      <c r="N786" s="208"/>
      <c r="O786" s="208"/>
      <c r="P786" s="208"/>
      <c r="Q786" s="208"/>
      <c r="R786" s="208"/>
      <c r="S786" s="208"/>
      <c r="T786" s="208"/>
      <c r="U786" s="208"/>
      <c r="V786" s="208"/>
      <c r="W786" s="208"/>
      <c r="X786" s="208"/>
      <c r="Y786" s="208"/>
      <c r="Z786" s="208"/>
      <c r="AA786" s="208"/>
      <c r="AB786" s="208"/>
      <c r="AC786" s="208"/>
      <c r="AD786" s="208"/>
      <c r="AE786" s="208"/>
      <c r="AF786" s="208"/>
      <c r="AG786" s="208"/>
      <c r="AH786" s="208"/>
      <c r="AI786" s="208"/>
      <c r="AJ786" s="208"/>
      <c r="AK786" s="208"/>
      <c r="AL786" s="208"/>
      <c r="AM786" s="208"/>
      <c r="AN786" s="208"/>
      <c r="AO786" s="208"/>
      <c r="AP786" s="208"/>
      <c r="AQ786" s="208"/>
      <c r="AR786" s="208"/>
      <c r="AS786" s="208"/>
      <c r="AT786" s="208"/>
      <c r="AU786" s="208"/>
      <c r="AV786" s="208"/>
      <c r="AW786" s="208"/>
      <c r="AX786" s="208"/>
      <c r="AY786" s="208"/>
    </row>
    <row r="787">
      <c r="A787" s="208"/>
      <c r="B787" s="533"/>
      <c r="C787" s="208"/>
      <c r="D787" s="208"/>
      <c r="E787" s="208"/>
      <c r="F787" s="584"/>
      <c r="G787" s="208"/>
      <c r="H787" s="208"/>
      <c r="I787" s="208"/>
      <c r="J787" s="208"/>
      <c r="K787" s="208"/>
      <c r="L787" s="536"/>
      <c r="M787" s="208"/>
      <c r="N787" s="208"/>
      <c r="O787" s="208"/>
      <c r="P787" s="208"/>
      <c r="Q787" s="208"/>
      <c r="R787" s="208"/>
      <c r="S787" s="208"/>
      <c r="T787" s="208"/>
      <c r="U787" s="208"/>
      <c r="V787" s="208"/>
      <c r="W787" s="208"/>
      <c r="X787" s="208"/>
      <c r="Y787" s="208"/>
      <c r="Z787" s="208"/>
      <c r="AA787" s="208"/>
      <c r="AB787" s="208"/>
      <c r="AC787" s="208"/>
      <c r="AD787" s="208"/>
      <c r="AE787" s="208"/>
      <c r="AF787" s="208"/>
      <c r="AG787" s="208"/>
      <c r="AH787" s="208"/>
      <c r="AI787" s="208"/>
      <c r="AJ787" s="208"/>
      <c r="AK787" s="208"/>
      <c r="AL787" s="208"/>
      <c r="AM787" s="208"/>
      <c r="AN787" s="208"/>
      <c r="AO787" s="208"/>
      <c r="AP787" s="208"/>
      <c r="AQ787" s="208"/>
      <c r="AR787" s="208"/>
      <c r="AS787" s="208"/>
      <c r="AT787" s="208"/>
      <c r="AU787" s="208"/>
      <c r="AV787" s="208"/>
      <c r="AW787" s="208"/>
      <c r="AX787" s="208"/>
      <c r="AY787" s="208"/>
    </row>
    <row r="788">
      <c r="A788" s="208"/>
      <c r="B788" s="533"/>
      <c r="C788" s="208"/>
      <c r="D788" s="208"/>
      <c r="E788" s="208"/>
      <c r="F788" s="584"/>
      <c r="G788" s="208"/>
      <c r="H788" s="208"/>
      <c r="I788" s="208"/>
      <c r="J788" s="208"/>
      <c r="K788" s="208"/>
      <c r="L788" s="536"/>
      <c r="M788" s="208"/>
      <c r="N788" s="208"/>
      <c r="O788" s="208"/>
      <c r="P788" s="208"/>
      <c r="Q788" s="208"/>
      <c r="R788" s="208"/>
      <c r="S788" s="208"/>
      <c r="T788" s="208"/>
      <c r="U788" s="208"/>
      <c r="V788" s="208"/>
      <c r="W788" s="208"/>
      <c r="X788" s="208"/>
      <c r="Y788" s="208"/>
      <c r="Z788" s="208"/>
      <c r="AA788" s="208"/>
      <c r="AB788" s="208"/>
      <c r="AC788" s="208"/>
      <c r="AD788" s="208"/>
      <c r="AE788" s="208"/>
      <c r="AF788" s="208"/>
      <c r="AG788" s="208"/>
      <c r="AH788" s="208"/>
      <c r="AI788" s="208"/>
      <c r="AJ788" s="208"/>
      <c r="AK788" s="208"/>
      <c r="AL788" s="208"/>
      <c r="AM788" s="208"/>
      <c r="AN788" s="208"/>
      <c r="AO788" s="208"/>
      <c r="AP788" s="208"/>
      <c r="AQ788" s="208"/>
      <c r="AR788" s="208"/>
      <c r="AS788" s="208"/>
      <c r="AT788" s="208"/>
      <c r="AU788" s="208"/>
      <c r="AV788" s="208"/>
      <c r="AW788" s="208"/>
      <c r="AX788" s="208"/>
      <c r="AY788" s="208"/>
    </row>
    <row r="789">
      <c r="A789" s="208"/>
      <c r="B789" s="533"/>
      <c r="C789" s="208"/>
      <c r="D789" s="208"/>
      <c r="E789" s="208"/>
      <c r="F789" s="584"/>
      <c r="G789" s="208"/>
      <c r="H789" s="208"/>
      <c r="I789" s="208"/>
      <c r="J789" s="208"/>
      <c r="K789" s="208"/>
      <c r="L789" s="536"/>
      <c r="M789" s="208"/>
      <c r="N789" s="208"/>
      <c r="O789" s="208"/>
      <c r="P789" s="208"/>
      <c r="Q789" s="208"/>
      <c r="R789" s="208"/>
      <c r="S789" s="208"/>
      <c r="T789" s="208"/>
      <c r="U789" s="208"/>
      <c r="V789" s="208"/>
      <c r="W789" s="208"/>
      <c r="X789" s="208"/>
      <c r="Y789" s="208"/>
      <c r="Z789" s="208"/>
      <c r="AA789" s="208"/>
      <c r="AB789" s="208"/>
      <c r="AC789" s="208"/>
      <c r="AD789" s="208"/>
      <c r="AE789" s="208"/>
      <c r="AF789" s="208"/>
      <c r="AG789" s="208"/>
      <c r="AH789" s="208"/>
      <c r="AI789" s="208"/>
      <c r="AJ789" s="208"/>
      <c r="AK789" s="208"/>
      <c r="AL789" s="208"/>
      <c r="AM789" s="208"/>
      <c r="AN789" s="208"/>
      <c r="AO789" s="208"/>
      <c r="AP789" s="208"/>
      <c r="AQ789" s="208"/>
      <c r="AR789" s="208"/>
      <c r="AS789" s="208"/>
      <c r="AT789" s="208"/>
      <c r="AU789" s="208"/>
      <c r="AV789" s="208"/>
      <c r="AW789" s="208"/>
      <c r="AX789" s="208"/>
      <c r="AY789" s="208"/>
    </row>
    <row r="790">
      <c r="A790" s="208"/>
      <c r="B790" s="533"/>
      <c r="C790" s="208"/>
      <c r="D790" s="208"/>
      <c r="E790" s="208"/>
      <c r="F790" s="584"/>
      <c r="G790" s="208"/>
      <c r="H790" s="208"/>
      <c r="I790" s="208"/>
      <c r="J790" s="208"/>
      <c r="K790" s="208"/>
      <c r="L790" s="536"/>
      <c r="M790" s="208"/>
      <c r="N790" s="208"/>
      <c r="O790" s="208"/>
      <c r="P790" s="208"/>
      <c r="Q790" s="208"/>
      <c r="R790" s="208"/>
      <c r="S790" s="208"/>
      <c r="T790" s="208"/>
      <c r="U790" s="208"/>
      <c r="V790" s="208"/>
      <c r="W790" s="208"/>
      <c r="X790" s="208"/>
      <c r="Y790" s="208"/>
      <c r="Z790" s="208"/>
      <c r="AA790" s="208"/>
      <c r="AB790" s="208"/>
      <c r="AC790" s="208"/>
      <c r="AD790" s="208"/>
      <c r="AE790" s="208"/>
      <c r="AF790" s="208"/>
      <c r="AG790" s="208"/>
      <c r="AH790" s="208"/>
      <c r="AI790" s="208"/>
      <c r="AJ790" s="208"/>
      <c r="AK790" s="208"/>
      <c r="AL790" s="208"/>
      <c r="AM790" s="208"/>
      <c r="AN790" s="208"/>
      <c r="AO790" s="208"/>
      <c r="AP790" s="208"/>
      <c r="AQ790" s="208"/>
      <c r="AR790" s="208"/>
      <c r="AS790" s="208"/>
      <c r="AT790" s="208"/>
      <c r="AU790" s="208"/>
      <c r="AV790" s="208"/>
      <c r="AW790" s="208"/>
      <c r="AX790" s="208"/>
      <c r="AY790" s="208"/>
    </row>
    <row r="791">
      <c r="A791" s="208"/>
      <c r="B791" s="533"/>
      <c r="C791" s="208"/>
      <c r="D791" s="208"/>
      <c r="E791" s="208"/>
      <c r="F791" s="584"/>
      <c r="G791" s="208"/>
      <c r="H791" s="208"/>
      <c r="I791" s="208"/>
      <c r="J791" s="208"/>
      <c r="K791" s="208"/>
      <c r="L791" s="536"/>
      <c r="M791" s="208"/>
      <c r="N791" s="208"/>
      <c r="O791" s="208"/>
      <c r="P791" s="208"/>
      <c r="Q791" s="208"/>
      <c r="R791" s="208"/>
      <c r="S791" s="208"/>
      <c r="T791" s="208"/>
      <c r="U791" s="208"/>
      <c r="V791" s="208"/>
      <c r="W791" s="208"/>
      <c r="X791" s="208"/>
      <c r="Y791" s="208"/>
      <c r="Z791" s="208"/>
      <c r="AA791" s="208"/>
      <c r="AB791" s="208"/>
      <c r="AC791" s="208"/>
      <c r="AD791" s="208"/>
      <c r="AE791" s="208"/>
      <c r="AF791" s="208"/>
      <c r="AG791" s="208"/>
      <c r="AH791" s="208"/>
      <c r="AI791" s="208"/>
      <c r="AJ791" s="208"/>
      <c r="AK791" s="208"/>
      <c r="AL791" s="208"/>
      <c r="AM791" s="208"/>
      <c r="AN791" s="208"/>
      <c r="AO791" s="208"/>
      <c r="AP791" s="208"/>
      <c r="AQ791" s="208"/>
      <c r="AR791" s="208"/>
      <c r="AS791" s="208"/>
      <c r="AT791" s="208"/>
      <c r="AU791" s="208"/>
      <c r="AV791" s="208"/>
      <c r="AW791" s="208"/>
      <c r="AX791" s="208"/>
      <c r="AY791" s="208"/>
    </row>
    <row r="792">
      <c r="A792" s="208"/>
      <c r="B792" s="533"/>
      <c r="C792" s="208"/>
      <c r="D792" s="208"/>
      <c r="E792" s="208"/>
      <c r="F792" s="584"/>
      <c r="G792" s="208"/>
      <c r="H792" s="208"/>
      <c r="I792" s="208"/>
      <c r="J792" s="208"/>
      <c r="K792" s="208"/>
      <c r="L792" s="536"/>
      <c r="M792" s="208"/>
      <c r="N792" s="208"/>
      <c r="O792" s="208"/>
      <c r="P792" s="208"/>
      <c r="Q792" s="208"/>
      <c r="R792" s="208"/>
      <c r="S792" s="208"/>
      <c r="T792" s="208"/>
      <c r="U792" s="208"/>
      <c r="V792" s="208"/>
      <c r="W792" s="208"/>
      <c r="X792" s="208"/>
      <c r="Y792" s="208"/>
      <c r="Z792" s="208"/>
      <c r="AA792" s="208"/>
      <c r="AB792" s="208"/>
      <c r="AC792" s="208"/>
      <c r="AD792" s="208"/>
      <c r="AE792" s="208"/>
      <c r="AF792" s="208"/>
      <c r="AG792" s="208"/>
      <c r="AH792" s="208"/>
      <c r="AI792" s="208"/>
      <c r="AJ792" s="208"/>
      <c r="AK792" s="208"/>
      <c r="AL792" s="208"/>
      <c r="AM792" s="208"/>
      <c r="AN792" s="208"/>
      <c r="AO792" s="208"/>
      <c r="AP792" s="208"/>
      <c r="AQ792" s="208"/>
      <c r="AR792" s="208"/>
      <c r="AS792" s="208"/>
      <c r="AT792" s="208"/>
      <c r="AU792" s="208"/>
      <c r="AV792" s="208"/>
      <c r="AW792" s="208"/>
      <c r="AX792" s="208"/>
      <c r="AY792" s="208"/>
    </row>
    <row r="793">
      <c r="A793" s="208"/>
      <c r="B793" s="533"/>
      <c r="C793" s="208"/>
      <c r="D793" s="208"/>
      <c r="E793" s="208"/>
      <c r="F793" s="584"/>
      <c r="G793" s="208"/>
      <c r="H793" s="208"/>
      <c r="I793" s="208"/>
      <c r="J793" s="208"/>
      <c r="K793" s="208"/>
      <c r="L793" s="536"/>
      <c r="M793" s="208"/>
      <c r="N793" s="208"/>
      <c r="O793" s="208"/>
      <c r="P793" s="208"/>
      <c r="Q793" s="208"/>
      <c r="R793" s="208"/>
      <c r="S793" s="208"/>
      <c r="T793" s="208"/>
      <c r="U793" s="208"/>
      <c r="V793" s="208"/>
      <c r="W793" s="208"/>
      <c r="X793" s="208"/>
      <c r="Y793" s="208"/>
      <c r="Z793" s="208"/>
      <c r="AA793" s="208"/>
      <c r="AB793" s="208"/>
      <c r="AC793" s="208"/>
      <c r="AD793" s="208"/>
      <c r="AE793" s="208"/>
      <c r="AF793" s="208"/>
      <c r="AG793" s="208"/>
      <c r="AH793" s="208"/>
      <c r="AI793" s="208"/>
      <c r="AJ793" s="208"/>
      <c r="AK793" s="208"/>
      <c r="AL793" s="208"/>
      <c r="AM793" s="208"/>
      <c r="AN793" s="208"/>
      <c r="AO793" s="208"/>
      <c r="AP793" s="208"/>
      <c r="AQ793" s="208"/>
      <c r="AR793" s="208"/>
      <c r="AS793" s="208"/>
      <c r="AT793" s="208"/>
      <c r="AU793" s="208"/>
      <c r="AV793" s="208"/>
      <c r="AW793" s="208"/>
      <c r="AX793" s="208"/>
      <c r="AY793" s="208"/>
    </row>
    <row r="794">
      <c r="A794" s="208"/>
      <c r="B794" s="533"/>
      <c r="C794" s="208"/>
      <c r="D794" s="208"/>
      <c r="E794" s="208"/>
      <c r="F794" s="584"/>
      <c r="G794" s="208"/>
      <c r="H794" s="208"/>
      <c r="I794" s="208"/>
      <c r="J794" s="208"/>
      <c r="K794" s="208"/>
      <c r="L794" s="536"/>
      <c r="M794" s="208"/>
      <c r="N794" s="208"/>
      <c r="O794" s="208"/>
      <c r="P794" s="208"/>
      <c r="Q794" s="208"/>
      <c r="R794" s="208"/>
      <c r="S794" s="208"/>
      <c r="T794" s="208"/>
      <c r="U794" s="208"/>
      <c r="V794" s="208"/>
      <c r="W794" s="208"/>
      <c r="X794" s="208"/>
      <c r="Y794" s="208"/>
      <c r="Z794" s="208"/>
      <c r="AA794" s="208"/>
      <c r="AB794" s="208"/>
      <c r="AC794" s="208"/>
      <c r="AD794" s="208"/>
      <c r="AE794" s="208"/>
      <c r="AF794" s="208"/>
      <c r="AG794" s="208"/>
      <c r="AH794" s="208"/>
      <c r="AI794" s="208"/>
      <c r="AJ794" s="208"/>
      <c r="AK794" s="208"/>
      <c r="AL794" s="208"/>
      <c r="AM794" s="208"/>
      <c r="AN794" s="208"/>
      <c r="AO794" s="208"/>
      <c r="AP794" s="208"/>
      <c r="AQ794" s="208"/>
      <c r="AR794" s="208"/>
      <c r="AS794" s="208"/>
      <c r="AT794" s="208"/>
      <c r="AU794" s="208"/>
      <c r="AV794" s="208"/>
      <c r="AW794" s="208"/>
      <c r="AX794" s="208"/>
      <c r="AY794" s="208"/>
    </row>
    <row r="795">
      <c r="A795" s="208"/>
      <c r="B795" s="533"/>
      <c r="C795" s="208"/>
      <c r="D795" s="208"/>
      <c r="E795" s="208"/>
      <c r="F795" s="584"/>
      <c r="G795" s="208"/>
      <c r="H795" s="208"/>
      <c r="I795" s="208"/>
      <c r="J795" s="208"/>
      <c r="K795" s="208"/>
      <c r="L795" s="536"/>
      <c r="M795" s="208"/>
      <c r="N795" s="208"/>
      <c r="O795" s="208"/>
      <c r="P795" s="208"/>
      <c r="Q795" s="208"/>
      <c r="R795" s="208"/>
      <c r="S795" s="208"/>
      <c r="T795" s="208"/>
      <c r="U795" s="208"/>
      <c r="V795" s="208"/>
      <c r="W795" s="208"/>
      <c r="X795" s="208"/>
      <c r="Y795" s="208"/>
      <c r="Z795" s="208"/>
      <c r="AA795" s="208"/>
      <c r="AB795" s="208"/>
      <c r="AC795" s="208"/>
      <c r="AD795" s="208"/>
      <c r="AE795" s="208"/>
      <c r="AF795" s="208"/>
      <c r="AG795" s="208"/>
      <c r="AH795" s="208"/>
      <c r="AI795" s="208"/>
      <c r="AJ795" s="208"/>
      <c r="AK795" s="208"/>
      <c r="AL795" s="208"/>
      <c r="AM795" s="208"/>
      <c r="AN795" s="208"/>
      <c r="AO795" s="208"/>
      <c r="AP795" s="208"/>
      <c r="AQ795" s="208"/>
      <c r="AR795" s="208"/>
      <c r="AS795" s="208"/>
      <c r="AT795" s="208"/>
      <c r="AU795" s="208"/>
      <c r="AV795" s="208"/>
      <c r="AW795" s="208"/>
      <c r="AX795" s="208"/>
      <c r="AY795" s="208"/>
    </row>
    <row r="796">
      <c r="A796" s="208"/>
      <c r="B796" s="533"/>
      <c r="C796" s="208"/>
      <c r="D796" s="208"/>
      <c r="E796" s="208"/>
      <c r="F796" s="584"/>
      <c r="G796" s="208"/>
      <c r="H796" s="208"/>
      <c r="I796" s="208"/>
      <c r="J796" s="208"/>
      <c r="K796" s="208"/>
      <c r="L796" s="536"/>
      <c r="M796" s="208"/>
      <c r="N796" s="208"/>
      <c r="O796" s="208"/>
      <c r="P796" s="208"/>
      <c r="Q796" s="208"/>
      <c r="R796" s="208"/>
      <c r="S796" s="208"/>
      <c r="T796" s="208"/>
      <c r="U796" s="208"/>
      <c r="V796" s="208"/>
      <c r="W796" s="208"/>
      <c r="X796" s="208"/>
      <c r="Y796" s="208"/>
      <c r="Z796" s="208"/>
      <c r="AA796" s="208"/>
      <c r="AB796" s="208"/>
      <c r="AC796" s="208"/>
      <c r="AD796" s="208"/>
      <c r="AE796" s="208"/>
      <c r="AF796" s="208"/>
      <c r="AG796" s="208"/>
      <c r="AH796" s="208"/>
      <c r="AI796" s="208"/>
      <c r="AJ796" s="208"/>
      <c r="AK796" s="208"/>
      <c r="AL796" s="208"/>
      <c r="AM796" s="208"/>
      <c r="AN796" s="208"/>
      <c r="AO796" s="208"/>
      <c r="AP796" s="208"/>
      <c r="AQ796" s="208"/>
      <c r="AR796" s="208"/>
      <c r="AS796" s="208"/>
      <c r="AT796" s="208"/>
      <c r="AU796" s="208"/>
      <c r="AV796" s="208"/>
      <c r="AW796" s="208"/>
      <c r="AX796" s="208"/>
      <c r="AY796" s="208"/>
    </row>
    <row r="797">
      <c r="A797" s="208"/>
      <c r="B797" s="533"/>
      <c r="C797" s="208"/>
      <c r="D797" s="208"/>
      <c r="E797" s="208"/>
      <c r="F797" s="584"/>
      <c r="G797" s="208"/>
      <c r="H797" s="208"/>
      <c r="I797" s="208"/>
      <c r="J797" s="208"/>
      <c r="K797" s="208"/>
      <c r="L797" s="536"/>
      <c r="M797" s="208"/>
      <c r="N797" s="208"/>
      <c r="O797" s="208"/>
      <c r="P797" s="208"/>
      <c r="Q797" s="208"/>
      <c r="R797" s="208"/>
      <c r="S797" s="208"/>
      <c r="T797" s="208"/>
      <c r="U797" s="208"/>
      <c r="V797" s="208"/>
      <c r="W797" s="208"/>
      <c r="X797" s="208"/>
      <c r="Y797" s="208"/>
      <c r="Z797" s="208"/>
      <c r="AA797" s="208"/>
      <c r="AB797" s="208"/>
      <c r="AC797" s="208"/>
      <c r="AD797" s="208"/>
      <c r="AE797" s="208"/>
      <c r="AF797" s="208"/>
      <c r="AG797" s="208"/>
      <c r="AH797" s="208"/>
      <c r="AI797" s="208"/>
      <c r="AJ797" s="208"/>
      <c r="AK797" s="208"/>
      <c r="AL797" s="208"/>
      <c r="AM797" s="208"/>
      <c r="AN797" s="208"/>
      <c r="AO797" s="208"/>
      <c r="AP797" s="208"/>
      <c r="AQ797" s="208"/>
      <c r="AR797" s="208"/>
      <c r="AS797" s="208"/>
      <c r="AT797" s="208"/>
      <c r="AU797" s="208"/>
      <c r="AV797" s="208"/>
      <c r="AW797" s="208"/>
      <c r="AX797" s="208"/>
      <c r="AY797" s="208"/>
    </row>
    <row r="798">
      <c r="A798" s="208"/>
      <c r="B798" s="533"/>
      <c r="C798" s="208"/>
      <c r="D798" s="208"/>
      <c r="E798" s="208"/>
      <c r="F798" s="584"/>
      <c r="G798" s="208"/>
      <c r="H798" s="208"/>
      <c r="I798" s="208"/>
      <c r="J798" s="208"/>
      <c r="K798" s="208"/>
      <c r="L798" s="536"/>
      <c r="M798" s="208"/>
      <c r="N798" s="208"/>
      <c r="O798" s="208"/>
      <c r="P798" s="208"/>
      <c r="Q798" s="208"/>
      <c r="R798" s="208"/>
      <c r="S798" s="208"/>
      <c r="T798" s="208"/>
      <c r="U798" s="208"/>
      <c r="V798" s="208"/>
      <c r="W798" s="208"/>
      <c r="X798" s="208"/>
      <c r="Y798" s="208"/>
      <c r="Z798" s="208"/>
      <c r="AA798" s="208"/>
      <c r="AB798" s="208"/>
      <c r="AC798" s="208"/>
      <c r="AD798" s="208"/>
      <c r="AE798" s="208"/>
      <c r="AF798" s="208"/>
      <c r="AG798" s="208"/>
      <c r="AH798" s="208"/>
      <c r="AI798" s="208"/>
      <c r="AJ798" s="208"/>
      <c r="AK798" s="208"/>
      <c r="AL798" s="208"/>
      <c r="AM798" s="208"/>
      <c r="AN798" s="208"/>
      <c r="AO798" s="208"/>
      <c r="AP798" s="208"/>
      <c r="AQ798" s="208"/>
      <c r="AR798" s="208"/>
      <c r="AS798" s="208"/>
      <c r="AT798" s="208"/>
      <c r="AU798" s="208"/>
      <c r="AV798" s="208"/>
      <c r="AW798" s="208"/>
      <c r="AX798" s="208"/>
      <c r="AY798" s="208"/>
    </row>
    <row r="799">
      <c r="A799" s="208"/>
      <c r="B799" s="533"/>
      <c r="C799" s="208"/>
      <c r="D799" s="208"/>
      <c r="E799" s="208"/>
      <c r="F799" s="584"/>
      <c r="G799" s="208"/>
      <c r="H799" s="208"/>
      <c r="I799" s="208"/>
      <c r="J799" s="208"/>
      <c r="K799" s="208"/>
      <c r="L799" s="536"/>
      <c r="M799" s="208"/>
      <c r="N799" s="208"/>
      <c r="O799" s="208"/>
      <c r="P799" s="208"/>
      <c r="Q799" s="208"/>
      <c r="R799" s="208"/>
      <c r="S799" s="208"/>
      <c r="T799" s="208"/>
      <c r="U799" s="208"/>
      <c r="V799" s="208"/>
      <c r="W799" s="208"/>
      <c r="X799" s="208"/>
      <c r="Y799" s="208"/>
      <c r="Z799" s="208"/>
      <c r="AA799" s="208"/>
      <c r="AB799" s="208"/>
      <c r="AC799" s="208"/>
      <c r="AD799" s="208"/>
      <c r="AE799" s="208"/>
      <c r="AF799" s="208"/>
      <c r="AG799" s="208"/>
      <c r="AH799" s="208"/>
      <c r="AI799" s="208"/>
      <c r="AJ799" s="208"/>
      <c r="AK799" s="208"/>
      <c r="AL799" s="208"/>
      <c r="AM799" s="208"/>
      <c r="AN799" s="208"/>
      <c r="AO799" s="208"/>
      <c r="AP799" s="208"/>
      <c r="AQ799" s="208"/>
      <c r="AR799" s="208"/>
      <c r="AS799" s="208"/>
      <c r="AT799" s="208"/>
      <c r="AU799" s="208"/>
      <c r="AV799" s="208"/>
      <c r="AW799" s="208"/>
      <c r="AX799" s="208"/>
      <c r="AY799" s="208"/>
    </row>
    <row r="800">
      <c r="A800" s="208"/>
      <c r="B800" s="533"/>
      <c r="C800" s="208"/>
      <c r="D800" s="208"/>
      <c r="E800" s="208"/>
      <c r="F800" s="584"/>
      <c r="G800" s="208"/>
      <c r="H800" s="208"/>
      <c r="I800" s="208"/>
      <c r="J800" s="208"/>
      <c r="K800" s="208"/>
      <c r="L800" s="536"/>
      <c r="M800" s="208"/>
      <c r="N800" s="208"/>
      <c r="O800" s="208"/>
      <c r="P800" s="208"/>
      <c r="Q800" s="208"/>
      <c r="R800" s="208"/>
      <c r="S800" s="208"/>
      <c r="T800" s="208"/>
      <c r="U800" s="208"/>
      <c r="V800" s="208"/>
      <c r="W800" s="208"/>
      <c r="X800" s="208"/>
      <c r="Y800" s="208"/>
      <c r="Z800" s="208"/>
      <c r="AA800" s="208"/>
      <c r="AB800" s="208"/>
      <c r="AC800" s="208"/>
      <c r="AD800" s="208"/>
      <c r="AE800" s="208"/>
      <c r="AF800" s="208"/>
      <c r="AG800" s="208"/>
      <c r="AH800" s="208"/>
      <c r="AI800" s="208"/>
      <c r="AJ800" s="208"/>
      <c r="AK800" s="208"/>
      <c r="AL800" s="208"/>
      <c r="AM800" s="208"/>
      <c r="AN800" s="208"/>
      <c r="AO800" s="208"/>
      <c r="AP800" s="208"/>
      <c r="AQ800" s="208"/>
      <c r="AR800" s="208"/>
      <c r="AS800" s="208"/>
      <c r="AT800" s="208"/>
      <c r="AU800" s="208"/>
      <c r="AV800" s="208"/>
      <c r="AW800" s="208"/>
      <c r="AX800" s="208"/>
      <c r="AY800" s="208"/>
    </row>
    <row r="801">
      <c r="A801" s="208"/>
      <c r="B801" s="533"/>
      <c r="C801" s="208"/>
      <c r="D801" s="208"/>
      <c r="E801" s="208"/>
      <c r="F801" s="584"/>
      <c r="G801" s="208"/>
      <c r="H801" s="208"/>
      <c r="I801" s="208"/>
      <c r="J801" s="208"/>
      <c r="K801" s="208"/>
      <c r="L801" s="536"/>
      <c r="M801" s="208"/>
      <c r="N801" s="208"/>
      <c r="O801" s="208"/>
      <c r="P801" s="208"/>
      <c r="Q801" s="208"/>
      <c r="R801" s="208"/>
      <c r="S801" s="208"/>
      <c r="T801" s="208"/>
      <c r="U801" s="208"/>
      <c r="V801" s="208"/>
      <c r="W801" s="208"/>
      <c r="X801" s="208"/>
      <c r="Y801" s="208"/>
      <c r="Z801" s="208"/>
      <c r="AA801" s="208"/>
      <c r="AB801" s="208"/>
      <c r="AC801" s="208"/>
      <c r="AD801" s="208"/>
      <c r="AE801" s="208"/>
      <c r="AF801" s="208"/>
      <c r="AG801" s="208"/>
      <c r="AH801" s="208"/>
      <c r="AI801" s="208"/>
      <c r="AJ801" s="208"/>
      <c r="AK801" s="208"/>
      <c r="AL801" s="208"/>
      <c r="AM801" s="208"/>
      <c r="AN801" s="208"/>
      <c r="AO801" s="208"/>
      <c r="AP801" s="208"/>
      <c r="AQ801" s="208"/>
      <c r="AR801" s="208"/>
      <c r="AS801" s="208"/>
      <c r="AT801" s="208"/>
      <c r="AU801" s="208"/>
      <c r="AV801" s="208"/>
      <c r="AW801" s="208"/>
      <c r="AX801" s="208"/>
      <c r="AY801" s="208"/>
    </row>
    <row r="802">
      <c r="A802" s="208"/>
      <c r="B802" s="533"/>
      <c r="C802" s="208"/>
      <c r="D802" s="208"/>
      <c r="E802" s="208"/>
      <c r="F802" s="584"/>
      <c r="G802" s="208"/>
      <c r="H802" s="208"/>
      <c r="I802" s="208"/>
      <c r="J802" s="208"/>
      <c r="K802" s="208"/>
      <c r="L802" s="536"/>
      <c r="M802" s="208"/>
      <c r="N802" s="208"/>
      <c r="O802" s="208"/>
      <c r="P802" s="208"/>
      <c r="Q802" s="208"/>
      <c r="R802" s="208"/>
      <c r="S802" s="208"/>
      <c r="T802" s="208"/>
      <c r="U802" s="208"/>
      <c r="V802" s="208"/>
      <c r="W802" s="208"/>
      <c r="X802" s="208"/>
      <c r="Y802" s="208"/>
      <c r="Z802" s="208"/>
      <c r="AA802" s="208"/>
      <c r="AB802" s="208"/>
      <c r="AC802" s="208"/>
      <c r="AD802" s="208"/>
      <c r="AE802" s="208"/>
      <c r="AF802" s="208"/>
      <c r="AG802" s="208"/>
      <c r="AH802" s="208"/>
      <c r="AI802" s="208"/>
      <c r="AJ802" s="208"/>
      <c r="AK802" s="208"/>
      <c r="AL802" s="208"/>
      <c r="AM802" s="208"/>
      <c r="AN802" s="208"/>
      <c r="AO802" s="208"/>
      <c r="AP802" s="208"/>
      <c r="AQ802" s="208"/>
      <c r="AR802" s="208"/>
      <c r="AS802" s="208"/>
      <c r="AT802" s="208"/>
      <c r="AU802" s="208"/>
      <c r="AV802" s="208"/>
      <c r="AW802" s="208"/>
      <c r="AX802" s="208"/>
      <c r="AY802" s="208"/>
    </row>
    <row r="803">
      <c r="A803" s="208"/>
      <c r="B803" s="533"/>
      <c r="C803" s="208"/>
      <c r="D803" s="208"/>
      <c r="E803" s="208"/>
      <c r="F803" s="584"/>
      <c r="G803" s="208"/>
      <c r="H803" s="208"/>
      <c r="I803" s="208"/>
      <c r="J803" s="208"/>
      <c r="K803" s="208"/>
      <c r="L803" s="536"/>
      <c r="M803" s="208"/>
      <c r="N803" s="208"/>
      <c r="O803" s="208"/>
      <c r="P803" s="208"/>
      <c r="Q803" s="208"/>
      <c r="R803" s="208"/>
      <c r="S803" s="208"/>
      <c r="T803" s="208"/>
      <c r="U803" s="208"/>
      <c r="V803" s="208"/>
      <c r="W803" s="208"/>
      <c r="X803" s="208"/>
      <c r="Y803" s="208"/>
      <c r="Z803" s="208"/>
      <c r="AA803" s="208"/>
      <c r="AB803" s="208"/>
      <c r="AC803" s="208"/>
      <c r="AD803" s="208"/>
      <c r="AE803" s="208"/>
      <c r="AF803" s="208"/>
      <c r="AG803" s="208"/>
      <c r="AH803" s="208"/>
      <c r="AI803" s="208"/>
      <c r="AJ803" s="208"/>
      <c r="AK803" s="208"/>
      <c r="AL803" s="208"/>
      <c r="AM803" s="208"/>
      <c r="AN803" s="208"/>
      <c r="AO803" s="208"/>
      <c r="AP803" s="208"/>
      <c r="AQ803" s="208"/>
      <c r="AR803" s="208"/>
      <c r="AS803" s="208"/>
      <c r="AT803" s="208"/>
      <c r="AU803" s="208"/>
      <c r="AV803" s="208"/>
      <c r="AW803" s="208"/>
      <c r="AX803" s="208"/>
      <c r="AY803" s="208"/>
    </row>
    <row r="804">
      <c r="A804" s="208"/>
      <c r="B804" s="533"/>
      <c r="C804" s="208"/>
      <c r="D804" s="208"/>
      <c r="E804" s="208"/>
      <c r="F804" s="584"/>
      <c r="G804" s="208"/>
      <c r="H804" s="208"/>
      <c r="I804" s="208"/>
      <c r="J804" s="208"/>
      <c r="K804" s="208"/>
      <c r="L804" s="536"/>
      <c r="M804" s="208"/>
      <c r="N804" s="208"/>
      <c r="O804" s="208"/>
      <c r="P804" s="208"/>
      <c r="Q804" s="208"/>
      <c r="R804" s="208"/>
      <c r="S804" s="208"/>
      <c r="T804" s="208"/>
      <c r="U804" s="208"/>
      <c r="V804" s="208"/>
      <c r="W804" s="208"/>
      <c r="X804" s="208"/>
      <c r="Y804" s="208"/>
      <c r="Z804" s="208"/>
      <c r="AA804" s="208"/>
      <c r="AB804" s="208"/>
      <c r="AC804" s="208"/>
      <c r="AD804" s="208"/>
      <c r="AE804" s="208"/>
      <c r="AF804" s="208"/>
      <c r="AG804" s="208"/>
      <c r="AH804" s="208"/>
      <c r="AI804" s="208"/>
      <c r="AJ804" s="208"/>
      <c r="AK804" s="208"/>
      <c r="AL804" s="208"/>
      <c r="AM804" s="208"/>
      <c r="AN804" s="208"/>
      <c r="AO804" s="208"/>
      <c r="AP804" s="208"/>
      <c r="AQ804" s="208"/>
      <c r="AR804" s="208"/>
      <c r="AS804" s="208"/>
      <c r="AT804" s="208"/>
      <c r="AU804" s="208"/>
      <c r="AV804" s="208"/>
      <c r="AW804" s="208"/>
      <c r="AX804" s="208"/>
      <c r="AY804" s="208"/>
    </row>
    <row r="805">
      <c r="A805" s="208"/>
      <c r="B805" s="533"/>
      <c r="C805" s="208"/>
      <c r="D805" s="208"/>
      <c r="E805" s="208"/>
      <c r="F805" s="584"/>
      <c r="G805" s="208"/>
      <c r="H805" s="208"/>
      <c r="I805" s="208"/>
      <c r="J805" s="208"/>
      <c r="K805" s="208"/>
      <c r="L805" s="536"/>
      <c r="M805" s="208"/>
      <c r="N805" s="208"/>
      <c r="O805" s="208"/>
      <c r="P805" s="208"/>
      <c r="Q805" s="208"/>
      <c r="R805" s="208"/>
      <c r="S805" s="208"/>
      <c r="T805" s="208"/>
      <c r="U805" s="208"/>
      <c r="V805" s="208"/>
      <c r="W805" s="208"/>
      <c r="X805" s="208"/>
      <c r="Y805" s="208"/>
      <c r="Z805" s="208"/>
      <c r="AA805" s="208"/>
      <c r="AB805" s="208"/>
      <c r="AC805" s="208"/>
      <c r="AD805" s="208"/>
      <c r="AE805" s="208"/>
      <c r="AF805" s="208"/>
      <c r="AG805" s="208"/>
      <c r="AH805" s="208"/>
      <c r="AI805" s="208"/>
      <c r="AJ805" s="208"/>
      <c r="AK805" s="208"/>
      <c r="AL805" s="208"/>
      <c r="AM805" s="208"/>
      <c r="AN805" s="208"/>
      <c r="AO805" s="208"/>
      <c r="AP805" s="208"/>
      <c r="AQ805" s="208"/>
      <c r="AR805" s="208"/>
      <c r="AS805" s="208"/>
      <c r="AT805" s="208"/>
      <c r="AU805" s="208"/>
      <c r="AV805" s="208"/>
      <c r="AW805" s="208"/>
      <c r="AX805" s="208"/>
      <c r="AY805" s="208"/>
    </row>
    <row r="806">
      <c r="A806" s="208"/>
      <c r="B806" s="533"/>
      <c r="C806" s="208"/>
      <c r="D806" s="208"/>
      <c r="E806" s="208"/>
      <c r="F806" s="584"/>
      <c r="G806" s="208"/>
      <c r="H806" s="208"/>
      <c r="I806" s="208"/>
      <c r="J806" s="208"/>
      <c r="K806" s="208"/>
      <c r="L806" s="536"/>
      <c r="M806" s="208"/>
      <c r="N806" s="208"/>
      <c r="O806" s="208"/>
      <c r="P806" s="208"/>
      <c r="Q806" s="208"/>
      <c r="R806" s="208"/>
      <c r="S806" s="208"/>
      <c r="T806" s="208"/>
      <c r="U806" s="208"/>
      <c r="V806" s="208"/>
      <c r="W806" s="208"/>
      <c r="X806" s="208"/>
      <c r="Y806" s="208"/>
      <c r="Z806" s="208"/>
      <c r="AA806" s="208"/>
      <c r="AB806" s="208"/>
      <c r="AC806" s="208"/>
      <c r="AD806" s="208"/>
      <c r="AE806" s="208"/>
      <c r="AF806" s="208"/>
      <c r="AG806" s="208"/>
      <c r="AH806" s="208"/>
      <c r="AI806" s="208"/>
      <c r="AJ806" s="208"/>
      <c r="AK806" s="208"/>
      <c r="AL806" s="208"/>
      <c r="AM806" s="208"/>
      <c r="AN806" s="208"/>
      <c r="AO806" s="208"/>
      <c r="AP806" s="208"/>
      <c r="AQ806" s="208"/>
      <c r="AR806" s="208"/>
      <c r="AS806" s="208"/>
      <c r="AT806" s="208"/>
      <c r="AU806" s="208"/>
      <c r="AV806" s="208"/>
      <c r="AW806" s="208"/>
      <c r="AX806" s="208"/>
      <c r="AY806" s="208"/>
    </row>
    <row r="807">
      <c r="A807" s="208"/>
      <c r="B807" s="533"/>
      <c r="C807" s="208"/>
      <c r="D807" s="208"/>
      <c r="E807" s="208"/>
      <c r="F807" s="584"/>
      <c r="G807" s="208"/>
      <c r="H807" s="208"/>
      <c r="I807" s="208"/>
      <c r="J807" s="208"/>
      <c r="K807" s="208"/>
      <c r="L807" s="536"/>
      <c r="M807" s="208"/>
      <c r="N807" s="208"/>
      <c r="O807" s="208"/>
      <c r="P807" s="208"/>
      <c r="Q807" s="208"/>
      <c r="R807" s="208"/>
      <c r="S807" s="208"/>
      <c r="T807" s="208"/>
      <c r="U807" s="208"/>
      <c r="V807" s="208"/>
      <c r="W807" s="208"/>
      <c r="X807" s="208"/>
      <c r="Y807" s="208"/>
      <c r="Z807" s="208"/>
      <c r="AA807" s="208"/>
      <c r="AB807" s="208"/>
      <c r="AC807" s="208"/>
      <c r="AD807" s="208"/>
      <c r="AE807" s="208"/>
      <c r="AF807" s="208"/>
      <c r="AG807" s="208"/>
      <c r="AH807" s="208"/>
      <c r="AI807" s="208"/>
      <c r="AJ807" s="208"/>
      <c r="AK807" s="208"/>
      <c r="AL807" s="208"/>
      <c r="AM807" s="208"/>
      <c r="AN807" s="208"/>
      <c r="AO807" s="208"/>
      <c r="AP807" s="208"/>
      <c r="AQ807" s="208"/>
      <c r="AR807" s="208"/>
      <c r="AS807" s="208"/>
      <c r="AT807" s="208"/>
      <c r="AU807" s="208"/>
      <c r="AV807" s="208"/>
      <c r="AW807" s="208"/>
      <c r="AX807" s="208"/>
      <c r="AY807" s="208"/>
    </row>
    <row r="808">
      <c r="A808" s="208"/>
      <c r="B808" s="533"/>
      <c r="C808" s="208"/>
      <c r="D808" s="208"/>
      <c r="E808" s="208"/>
      <c r="F808" s="584"/>
      <c r="G808" s="208"/>
      <c r="H808" s="208"/>
      <c r="I808" s="208"/>
      <c r="J808" s="208"/>
      <c r="K808" s="208"/>
      <c r="L808" s="536"/>
      <c r="M808" s="208"/>
      <c r="N808" s="208"/>
      <c r="O808" s="208"/>
      <c r="P808" s="208"/>
      <c r="Q808" s="208"/>
      <c r="R808" s="208"/>
      <c r="S808" s="208"/>
      <c r="T808" s="208"/>
      <c r="U808" s="208"/>
      <c r="V808" s="208"/>
      <c r="W808" s="208"/>
      <c r="X808" s="208"/>
      <c r="Y808" s="208"/>
      <c r="Z808" s="208"/>
      <c r="AA808" s="208"/>
      <c r="AB808" s="208"/>
      <c r="AC808" s="208"/>
      <c r="AD808" s="208"/>
      <c r="AE808" s="208"/>
      <c r="AF808" s="208"/>
      <c r="AG808" s="208"/>
      <c r="AH808" s="208"/>
      <c r="AI808" s="208"/>
      <c r="AJ808" s="208"/>
      <c r="AK808" s="208"/>
      <c r="AL808" s="208"/>
      <c r="AM808" s="208"/>
      <c r="AN808" s="208"/>
      <c r="AO808" s="208"/>
      <c r="AP808" s="208"/>
      <c r="AQ808" s="208"/>
      <c r="AR808" s="208"/>
      <c r="AS808" s="208"/>
      <c r="AT808" s="208"/>
      <c r="AU808" s="208"/>
      <c r="AV808" s="208"/>
      <c r="AW808" s="208"/>
      <c r="AX808" s="208"/>
      <c r="AY808" s="208"/>
    </row>
    <row r="809">
      <c r="A809" s="208"/>
      <c r="B809" s="533"/>
      <c r="C809" s="208"/>
      <c r="D809" s="208"/>
      <c r="E809" s="208"/>
      <c r="F809" s="584"/>
      <c r="G809" s="208"/>
      <c r="H809" s="208"/>
      <c r="I809" s="208"/>
      <c r="J809" s="208"/>
      <c r="K809" s="208"/>
      <c r="L809" s="536"/>
      <c r="M809" s="208"/>
      <c r="N809" s="208"/>
      <c r="O809" s="208"/>
      <c r="P809" s="208"/>
      <c r="Q809" s="208"/>
      <c r="R809" s="208"/>
      <c r="S809" s="208"/>
      <c r="T809" s="208"/>
      <c r="U809" s="208"/>
      <c r="V809" s="208"/>
      <c r="W809" s="208"/>
      <c r="X809" s="208"/>
      <c r="Y809" s="208"/>
      <c r="Z809" s="208"/>
      <c r="AA809" s="208"/>
      <c r="AB809" s="208"/>
      <c r="AC809" s="208"/>
      <c r="AD809" s="208"/>
      <c r="AE809" s="208"/>
      <c r="AF809" s="208"/>
      <c r="AG809" s="208"/>
      <c r="AH809" s="208"/>
      <c r="AI809" s="208"/>
      <c r="AJ809" s="208"/>
      <c r="AK809" s="208"/>
      <c r="AL809" s="208"/>
      <c r="AM809" s="208"/>
      <c r="AN809" s="208"/>
      <c r="AO809" s="208"/>
      <c r="AP809" s="208"/>
      <c r="AQ809" s="208"/>
      <c r="AR809" s="208"/>
      <c r="AS809" s="208"/>
      <c r="AT809" s="208"/>
      <c r="AU809" s="208"/>
      <c r="AV809" s="208"/>
      <c r="AW809" s="208"/>
      <c r="AX809" s="208"/>
      <c r="AY809" s="208"/>
    </row>
    <row r="810">
      <c r="A810" s="208"/>
      <c r="B810" s="533"/>
      <c r="C810" s="208"/>
      <c r="D810" s="208"/>
      <c r="E810" s="208"/>
      <c r="F810" s="584"/>
      <c r="G810" s="208"/>
      <c r="H810" s="208"/>
      <c r="I810" s="208"/>
      <c r="J810" s="208"/>
      <c r="K810" s="208"/>
      <c r="L810" s="536"/>
      <c r="M810" s="208"/>
      <c r="N810" s="208"/>
      <c r="O810" s="208"/>
      <c r="P810" s="208"/>
      <c r="Q810" s="208"/>
      <c r="R810" s="208"/>
      <c r="S810" s="208"/>
      <c r="T810" s="208"/>
      <c r="U810" s="208"/>
      <c r="V810" s="208"/>
      <c r="W810" s="208"/>
      <c r="X810" s="208"/>
      <c r="Y810" s="208"/>
      <c r="Z810" s="208"/>
      <c r="AA810" s="208"/>
      <c r="AB810" s="208"/>
      <c r="AC810" s="208"/>
      <c r="AD810" s="208"/>
      <c r="AE810" s="208"/>
      <c r="AF810" s="208"/>
      <c r="AG810" s="208"/>
      <c r="AH810" s="208"/>
      <c r="AI810" s="208"/>
      <c r="AJ810" s="208"/>
      <c r="AK810" s="208"/>
      <c r="AL810" s="208"/>
      <c r="AM810" s="208"/>
      <c r="AN810" s="208"/>
      <c r="AO810" s="208"/>
      <c r="AP810" s="208"/>
      <c r="AQ810" s="208"/>
      <c r="AR810" s="208"/>
      <c r="AS810" s="208"/>
      <c r="AT810" s="208"/>
      <c r="AU810" s="208"/>
      <c r="AV810" s="208"/>
      <c r="AW810" s="208"/>
      <c r="AX810" s="208"/>
      <c r="AY810" s="208"/>
    </row>
    <row r="811">
      <c r="A811" s="208"/>
      <c r="B811" s="533"/>
      <c r="C811" s="208"/>
      <c r="D811" s="208"/>
      <c r="E811" s="208"/>
      <c r="F811" s="584"/>
      <c r="G811" s="208"/>
      <c r="H811" s="208"/>
      <c r="I811" s="208"/>
      <c r="J811" s="208"/>
      <c r="K811" s="208"/>
      <c r="L811" s="536"/>
      <c r="M811" s="208"/>
      <c r="N811" s="208"/>
      <c r="O811" s="208"/>
      <c r="P811" s="208"/>
      <c r="Q811" s="208"/>
      <c r="R811" s="208"/>
      <c r="S811" s="208"/>
      <c r="T811" s="208"/>
      <c r="U811" s="208"/>
      <c r="V811" s="208"/>
      <c r="W811" s="208"/>
      <c r="X811" s="208"/>
      <c r="Y811" s="208"/>
      <c r="Z811" s="208"/>
      <c r="AA811" s="208"/>
      <c r="AB811" s="208"/>
      <c r="AC811" s="208"/>
      <c r="AD811" s="208"/>
      <c r="AE811" s="208"/>
      <c r="AF811" s="208"/>
      <c r="AG811" s="208"/>
      <c r="AH811" s="208"/>
      <c r="AI811" s="208"/>
      <c r="AJ811" s="208"/>
      <c r="AK811" s="208"/>
      <c r="AL811" s="208"/>
      <c r="AM811" s="208"/>
      <c r="AN811" s="208"/>
      <c r="AO811" s="208"/>
      <c r="AP811" s="208"/>
      <c r="AQ811" s="208"/>
      <c r="AR811" s="208"/>
      <c r="AS811" s="208"/>
      <c r="AT811" s="208"/>
      <c r="AU811" s="208"/>
      <c r="AV811" s="208"/>
      <c r="AW811" s="208"/>
      <c r="AX811" s="208"/>
      <c r="AY811" s="208"/>
    </row>
    <row r="812">
      <c r="A812" s="208"/>
      <c r="B812" s="533"/>
      <c r="C812" s="208"/>
      <c r="D812" s="208"/>
      <c r="E812" s="208"/>
      <c r="F812" s="584"/>
      <c r="G812" s="208"/>
      <c r="H812" s="208"/>
      <c r="I812" s="208"/>
      <c r="J812" s="208"/>
      <c r="K812" s="208"/>
      <c r="L812" s="536"/>
      <c r="M812" s="208"/>
      <c r="N812" s="208"/>
      <c r="O812" s="208"/>
      <c r="P812" s="208"/>
      <c r="Q812" s="208"/>
      <c r="R812" s="208"/>
      <c r="S812" s="208"/>
      <c r="T812" s="208"/>
      <c r="U812" s="208"/>
      <c r="V812" s="208"/>
      <c r="W812" s="208"/>
      <c r="X812" s="208"/>
      <c r="Y812" s="208"/>
      <c r="Z812" s="208"/>
      <c r="AA812" s="208"/>
      <c r="AB812" s="208"/>
      <c r="AC812" s="208"/>
      <c r="AD812" s="208"/>
      <c r="AE812" s="208"/>
      <c r="AF812" s="208"/>
      <c r="AG812" s="208"/>
      <c r="AH812" s="208"/>
      <c r="AI812" s="208"/>
      <c r="AJ812" s="208"/>
      <c r="AK812" s="208"/>
      <c r="AL812" s="208"/>
      <c r="AM812" s="208"/>
      <c r="AN812" s="208"/>
      <c r="AO812" s="208"/>
      <c r="AP812" s="208"/>
      <c r="AQ812" s="208"/>
      <c r="AR812" s="208"/>
      <c r="AS812" s="208"/>
      <c r="AT812" s="208"/>
      <c r="AU812" s="208"/>
      <c r="AV812" s="208"/>
      <c r="AW812" s="208"/>
      <c r="AX812" s="208"/>
      <c r="AY812" s="208"/>
    </row>
    <row r="813">
      <c r="A813" s="208"/>
      <c r="B813" s="533"/>
      <c r="C813" s="208"/>
      <c r="D813" s="208"/>
      <c r="E813" s="208"/>
      <c r="F813" s="584"/>
      <c r="G813" s="208"/>
      <c r="H813" s="208"/>
      <c r="I813" s="208"/>
      <c r="J813" s="208"/>
      <c r="K813" s="208"/>
      <c r="L813" s="536"/>
      <c r="M813" s="208"/>
      <c r="N813" s="208"/>
      <c r="O813" s="208"/>
      <c r="P813" s="208"/>
      <c r="Q813" s="208"/>
      <c r="R813" s="208"/>
      <c r="S813" s="208"/>
      <c r="T813" s="208"/>
      <c r="U813" s="208"/>
      <c r="V813" s="208"/>
      <c r="W813" s="208"/>
      <c r="X813" s="208"/>
      <c r="Y813" s="208"/>
      <c r="Z813" s="208"/>
      <c r="AA813" s="208"/>
      <c r="AB813" s="208"/>
      <c r="AC813" s="208"/>
      <c r="AD813" s="208"/>
      <c r="AE813" s="208"/>
      <c r="AF813" s="208"/>
      <c r="AG813" s="208"/>
      <c r="AH813" s="208"/>
      <c r="AI813" s="208"/>
      <c r="AJ813" s="208"/>
      <c r="AK813" s="208"/>
      <c r="AL813" s="208"/>
      <c r="AM813" s="208"/>
      <c r="AN813" s="208"/>
      <c r="AO813" s="208"/>
      <c r="AP813" s="208"/>
      <c r="AQ813" s="208"/>
      <c r="AR813" s="208"/>
      <c r="AS813" s="208"/>
      <c r="AT813" s="208"/>
      <c r="AU813" s="208"/>
      <c r="AV813" s="208"/>
      <c r="AW813" s="208"/>
      <c r="AX813" s="208"/>
      <c r="AY813" s="208"/>
    </row>
    <row r="814">
      <c r="A814" s="208"/>
      <c r="B814" s="533"/>
      <c r="C814" s="208"/>
      <c r="D814" s="208"/>
      <c r="E814" s="208"/>
      <c r="F814" s="584"/>
      <c r="G814" s="208"/>
      <c r="H814" s="208"/>
      <c r="I814" s="208"/>
      <c r="J814" s="208"/>
      <c r="K814" s="208"/>
      <c r="L814" s="536"/>
      <c r="M814" s="208"/>
      <c r="N814" s="208"/>
      <c r="O814" s="208"/>
      <c r="P814" s="208"/>
      <c r="Q814" s="208"/>
      <c r="R814" s="208"/>
      <c r="S814" s="208"/>
      <c r="T814" s="208"/>
      <c r="U814" s="208"/>
      <c r="V814" s="208"/>
      <c r="W814" s="208"/>
      <c r="X814" s="208"/>
      <c r="Y814" s="208"/>
      <c r="Z814" s="208"/>
      <c r="AA814" s="208"/>
      <c r="AB814" s="208"/>
      <c r="AC814" s="208"/>
      <c r="AD814" s="208"/>
      <c r="AE814" s="208"/>
      <c r="AF814" s="208"/>
      <c r="AG814" s="208"/>
      <c r="AH814" s="208"/>
      <c r="AI814" s="208"/>
      <c r="AJ814" s="208"/>
      <c r="AK814" s="208"/>
      <c r="AL814" s="208"/>
      <c r="AM814" s="208"/>
      <c r="AN814" s="208"/>
      <c r="AO814" s="208"/>
      <c r="AP814" s="208"/>
      <c r="AQ814" s="208"/>
      <c r="AR814" s="208"/>
      <c r="AS814" s="208"/>
      <c r="AT814" s="208"/>
      <c r="AU814" s="208"/>
      <c r="AV814" s="208"/>
      <c r="AW814" s="208"/>
      <c r="AX814" s="208"/>
      <c r="AY814" s="208"/>
    </row>
    <row r="815">
      <c r="A815" s="208"/>
      <c r="B815" s="533"/>
      <c r="C815" s="208"/>
      <c r="D815" s="208"/>
      <c r="E815" s="208"/>
      <c r="F815" s="584"/>
      <c r="G815" s="208"/>
      <c r="H815" s="208"/>
      <c r="I815" s="208"/>
      <c r="J815" s="208"/>
      <c r="K815" s="208"/>
      <c r="L815" s="536"/>
      <c r="M815" s="208"/>
      <c r="N815" s="208"/>
      <c r="O815" s="208"/>
      <c r="P815" s="208"/>
      <c r="Q815" s="208"/>
      <c r="R815" s="208"/>
      <c r="S815" s="208"/>
      <c r="T815" s="208"/>
      <c r="U815" s="208"/>
      <c r="V815" s="208"/>
      <c r="W815" s="208"/>
      <c r="X815" s="208"/>
      <c r="Y815" s="208"/>
      <c r="Z815" s="208"/>
      <c r="AA815" s="208"/>
      <c r="AB815" s="208"/>
      <c r="AC815" s="208"/>
      <c r="AD815" s="208"/>
      <c r="AE815" s="208"/>
      <c r="AF815" s="208"/>
      <c r="AG815" s="208"/>
      <c r="AH815" s="208"/>
      <c r="AI815" s="208"/>
      <c r="AJ815" s="208"/>
      <c r="AK815" s="208"/>
      <c r="AL815" s="208"/>
      <c r="AM815" s="208"/>
      <c r="AN815" s="208"/>
      <c r="AO815" s="208"/>
      <c r="AP815" s="208"/>
      <c r="AQ815" s="208"/>
      <c r="AR815" s="208"/>
      <c r="AS815" s="208"/>
      <c r="AT815" s="208"/>
      <c r="AU815" s="208"/>
      <c r="AV815" s="208"/>
      <c r="AW815" s="208"/>
      <c r="AX815" s="208"/>
      <c r="AY815" s="208"/>
    </row>
    <row r="816">
      <c r="A816" s="208"/>
      <c r="B816" s="533"/>
      <c r="C816" s="208"/>
      <c r="D816" s="208"/>
      <c r="E816" s="208"/>
      <c r="F816" s="584"/>
      <c r="G816" s="208"/>
      <c r="H816" s="208"/>
      <c r="I816" s="208"/>
      <c r="J816" s="208"/>
      <c r="K816" s="208"/>
      <c r="L816" s="536"/>
      <c r="M816" s="208"/>
      <c r="N816" s="208"/>
      <c r="O816" s="208"/>
      <c r="P816" s="208"/>
      <c r="Q816" s="208"/>
      <c r="R816" s="208"/>
      <c r="S816" s="208"/>
      <c r="T816" s="208"/>
      <c r="U816" s="208"/>
      <c r="V816" s="208"/>
      <c r="W816" s="208"/>
      <c r="X816" s="208"/>
      <c r="Y816" s="208"/>
      <c r="Z816" s="208"/>
      <c r="AA816" s="208"/>
      <c r="AB816" s="208"/>
      <c r="AC816" s="208"/>
      <c r="AD816" s="208"/>
      <c r="AE816" s="208"/>
      <c r="AF816" s="208"/>
      <c r="AG816" s="208"/>
      <c r="AH816" s="208"/>
      <c r="AI816" s="208"/>
      <c r="AJ816" s="208"/>
      <c r="AK816" s="208"/>
      <c r="AL816" s="208"/>
      <c r="AM816" s="208"/>
      <c r="AN816" s="208"/>
      <c r="AO816" s="208"/>
      <c r="AP816" s="208"/>
      <c r="AQ816" s="208"/>
      <c r="AR816" s="208"/>
      <c r="AS816" s="208"/>
      <c r="AT816" s="208"/>
      <c r="AU816" s="208"/>
      <c r="AV816" s="208"/>
      <c r="AW816" s="208"/>
      <c r="AX816" s="208"/>
      <c r="AY816" s="208"/>
    </row>
    <row r="817">
      <c r="A817" s="208"/>
      <c r="B817" s="533"/>
      <c r="C817" s="208"/>
      <c r="D817" s="208"/>
      <c r="E817" s="208"/>
      <c r="F817" s="584"/>
      <c r="G817" s="208"/>
      <c r="H817" s="208"/>
      <c r="I817" s="208"/>
      <c r="J817" s="208"/>
      <c r="K817" s="208"/>
      <c r="L817" s="536"/>
      <c r="M817" s="208"/>
      <c r="N817" s="208"/>
      <c r="O817" s="208"/>
      <c r="P817" s="208"/>
      <c r="Q817" s="208"/>
      <c r="R817" s="208"/>
      <c r="S817" s="208"/>
      <c r="T817" s="208"/>
      <c r="U817" s="208"/>
      <c r="V817" s="208"/>
      <c r="W817" s="208"/>
      <c r="X817" s="208"/>
      <c r="Y817" s="208"/>
      <c r="Z817" s="208"/>
      <c r="AA817" s="208"/>
      <c r="AB817" s="208"/>
      <c r="AC817" s="208"/>
      <c r="AD817" s="208"/>
      <c r="AE817" s="208"/>
      <c r="AF817" s="208"/>
      <c r="AG817" s="208"/>
      <c r="AH817" s="208"/>
      <c r="AI817" s="208"/>
      <c r="AJ817" s="208"/>
      <c r="AK817" s="208"/>
      <c r="AL817" s="208"/>
      <c r="AM817" s="208"/>
      <c r="AN817" s="208"/>
      <c r="AO817" s="208"/>
      <c r="AP817" s="208"/>
      <c r="AQ817" s="208"/>
      <c r="AR817" s="208"/>
      <c r="AS817" s="208"/>
      <c r="AT817" s="208"/>
      <c r="AU817" s="208"/>
      <c r="AV817" s="208"/>
      <c r="AW817" s="208"/>
      <c r="AX817" s="208"/>
      <c r="AY817" s="208"/>
    </row>
    <row r="818">
      <c r="A818" s="208"/>
      <c r="B818" s="533"/>
      <c r="C818" s="208"/>
      <c r="D818" s="208"/>
      <c r="E818" s="208"/>
      <c r="F818" s="584"/>
      <c r="G818" s="208"/>
      <c r="H818" s="208"/>
      <c r="I818" s="208"/>
      <c r="J818" s="208"/>
      <c r="K818" s="208"/>
      <c r="L818" s="536"/>
      <c r="M818" s="208"/>
      <c r="N818" s="208"/>
      <c r="O818" s="208"/>
      <c r="P818" s="208"/>
      <c r="Q818" s="208"/>
      <c r="R818" s="208"/>
      <c r="S818" s="208"/>
      <c r="T818" s="208"/>
      <c r="U818" s="208"/>
      <c r="V818" s="208"/>
      <c r="W818" s="208"/>
      <c r="X818" s="208"/>
      <c r="Y818" s="208"/>
      <c r="Z818" s="208"/>
      <c r="AA818" s="208"/>
      <c r="AB818" s="208"/>
      <c r="AC818" s="208"/>
      <c r="AD818" s="208"/>
      <c r="AE818" s="208"/>
      <c r="AF818" s="208"/>
      <c r="AG818" s="208"/>
      <c r="AH818" s="208"/>
      <c r="AI818" s="208"/>
      <c r="AJ818" s="208"/>
      <c r="AK818" s="208"/>
      <c r="AL818" s="208"/>
      <c r="AM818" s="208"/>
      <c r="AN818" s="208"/>
      <c r="AO818" s="208"/>
      <c r="AP818" s="208"/>
      <c r="AQ818" s="208"/>
      <c r="AR818" s="208"/>
      <c r="AS818" s="208"/>
      <c r="AT818" s="208"/>
      <c r="AU818" s="208"/>
      <c r="AV818" s="208"/>
      <c r="AW818" s="208"/>
      <c r="AX818" s="208"/>
      <c r="AY818" s="208"/>
    </row>
    <row r="819">
      <c r="A819" s="208"/>
      <c r="B819" s="533"/>
      <c r="C819" s="208"/>
      <c r="D819" s="208"/>
      <c r="E819" s="208"/>
      <c r="F819" s="584"/>
      <c r="G819" s="208"/>
      <c r="H819" s="208"/>
      <c r="I819" s="208"/>
      <c r="J819" s="208"/>
      <c r="K819" s="208"/>
      <c r="L819" s="536"/>
      <c r="M819" s="208"/>
      <c r="N819" s="208"/>
      <c r="O819" s="208"/>
      <c r="P819" s="208"/>
      <c r="Q819" s="208"/>
      <c r="R819" s="208"/>
      <c r="S819" s="208"/>
      <c r="T819" s="208"/>
      <c r="U819" s="208"/>
      <c r="V819" s="208"/>
      <c r="W819" s="208"/>
      <c r="X819" s="208"/>
      <c r="Y819" s="208"/>
      <c r="Z819" s="208"/>
      <c r="AA819" s="208"/>
      <c r="AB819" s="208"/>
      <c r="AC819" s="208"/>
      <c r="AD819" s="208"/>
      <c r="AE819" s="208"/>
      <c r="AF819" s="208"/>
      <c r="AG819" s="208"/>
      <c r="AH819" s="208"/>
      <c r="AI819" s="208"/>
      <c r="AJ819" s="208"/>
      <c r="AK819" s="208"/>
      <c r="AL819" s="208"/>
      <c r="AM819" s="208"/>
      <c r="AN819" s="208"/>
      <c r="AO819" s="208"/>
      <c r="AP819" s="208"/>
      <c r="AQ819" s="208"/>
      <c r="AR819" s="208"/>
      <c r="AS819" s="208"/>
      <c r="AT819" s="208"/>
      <c r="AU819" s="208"/>
      <c r="AV819" s="208"/>
      <c r="AW819" s="208"/>
      <c r="AX819" s="208"/>
      <c r="AY819" s="208"/>
    </row>
    <row r="820">
      <c r="A820" s="208"/>
      <c r="B820" s="533"/>
      <c r="C820" s="208"/>
      <c r="D820" s="208"/>
      <c r="E820" s="208"/>
      <c r="F820" s="584"/>
      <c r="G820" s="208"/>
      <c r="H820" s="208"/>
      <c r="I820" s="208"/>
      <c r="J820" s="208"/>
      <c r="K820" s="208"/>
      <c r="L820" s="536"/>
      <c r="M820" s="208"/>
      <c r="N820" s="208"/>
      <c r="O820" s="208"/>
      <c r="P820" s="208"/>
      <c r="Q820" s="208"/>
      <c r="R820" s="208"/>
      <c r="S820" s="208"/>
      <c r="T820" s="208"/>
      <c r="U820" s="208"/>
      <c r="V820" s="208"/>
      <c r="W820" s="208"/>
      <c r="X820" s="208"/>
      <c r="Y820" s="208"/>
      <c r="Z820" s="208"/>
      <c r="AA820" s="208"/>
      <c r="AB820" s="208"/>
      <c r="AC820" s="208"/>
      <c r="AD820" s="208"/>
      <c r="AE820" s="208"/>
      <c r="AF820" s="208"/>
      <c r="AG820" s="208"/>
      <c r="AH820" s="208"/>
      <c r="AI820" s="208"/>
      <c r="AJ820" s="208"/>
      <c r="AK820" s="208"/>
      <c r="AL820" s="208"/>
      <c r="AM820" s="208"/>
      <c r="AN820" s="208"/>
      <c r="AO820" s="208"/>
      <c r="AP820" s="208"/>
      <c r="AQ820" s="208"/>
      <c r="AR820" s="208"/>
      <c r="AS820" s="208"/>
      <c r="AT820" s="208"/>
      <c r="AU820" s="208"/>
      <c r="AV820" s="208"/>
      <c r="AW820" s="208"/>
      <c r="AX820" s="208"/>
      <c r="AY820" s="208"/>
    </row>
    <row r="821">
      <c r="A821" s="208"/>
      <c r="B821" s="533"/>
      <c r="C821" s="208"/>
      <c r="D821" s="208"/>
      <c r="E821" s="208"/>
      <c r="F821" s="584"/>
      <c r="G821" s="208"/>
      <c r="H821" s="208"/>
      <c r="I821" s="208"/>
      <c r="J821" s="208"/>
      <c r="K821" s="208"/>
      <c r="L821" s="536"/>
      <c r="M821" s="208"/>
      <c r="N821" s="208"/>
      <c r="O821" s="208"/>
      <c r="P821" s="208"/>
      <c r="Q821" s="208"/>
      <c r="R821" s="208"/>
      <c r="S821" s="208"/>
      <c r="T821" s="208"/>
      <c r="U821" s="208"/>
      <c r="V821" s="208"/>
      <c r="W821" s="208"/>
      <c r="X821" s="208"/>
      <c r="Y821" s="208"/>
      <c r="Z821" s="208"/>
      <c r="AA821" s="208"/>
      <c r="AB821" s="208"/>
      <c r="AC821" s="208"/>
      <c r="AD821" s="208"/>
      <c r="AE821" s="208"/>
      <c r="AF821" s="208"/>
      <c r="AG821" s="208"/>
      <c r="AH821" s="208"/>
      <c r="AI821" s="208"/>
      <c r="AJ821" s="208"/>
      <c r="AK821" s="208"/>
      <c r="AL821" s="208"/>
      <c r="AM821" s="208"/>
      <c r="AN821" s="208"/>
      <c r="AO821" s="208"/>
      <c r="AP821" s="208"/>
      <c r="AQ821" s="208"/>
      <c r="AR821" s="208"/>
      <c r="AS821" s="208"/>
      <c r="AT821" s="208"/>
      <c r="AU821" s="208"/>
      <c r="AV821" s="208"/>
      <c r="AW821" s="208"/>
      <c r="AX821" s="208"/>
      <c r="AY821" s="208"/>
    </row>
    <row r="822">
      <c r="A822" s="208"/>
      <c r="B822" s="533"/>
      <c r="C822" s="208"/>
      <c r="D822" s="208"/>
      <c r="E822" s="208"/>
      <c r="F822" s="584"/>
      <c r="G822" s="208"/>
      <c r="H822" s="208"/>
      <c r="I822" s="208"/>
      <c r="J822" s="208"/>
      <c r="K822" s="208"/>
      <c r="L822" s="536"/>
      <c r="M822" s="208"/>
      <c r="N822" s="208"/>
      <c r="O822" s="208"/>
      <c r="P822" s="208"/>
      <c r="Q822" s="208"/>
      <c r="R822" s="208"/>
      <c r="S822" s="208"/>
      <c r="T822" s="208"/>
      <c r="U822" s="208"/>
      <c r="V822" s="208"/>
      <c r="W822" s="208"/>
      <c r="X822" s="208"/>
      <c r="Y822" s="208"/>
      <c r="Z822" s="208"/>
      <c r="AA822" s="208"/>
      <c r="AB822" s="208"/>
      <c r="AC822" s="208"/>
      <c r="AD822" s="208"/>
      <c r="AE822" s="208"/>
      <c r="AF822" s="208"/>
      <c r="AG822" s="208"/>
      <c r="AH822" s="208"/>
      <c r="AI822" s="208"/>
      <c r="AJ822" s="208"/>
      <c r="AK822" s="208"/>
      <c r="AL822" s="208"/>
      <c r="AM822" s="208"/>
      <c r="AN822" s="208"/>
      <c r="AO822" s="208"/>
      <c r="AP822" s="208"/>
      <c r="AQ822" s="208"/>
      <c r="AR822" s="208"/>
      <c r="AS822" s="208"/>
      <c r="AT822" s="208"/>
      <c r="AU822" s="208"/>
      <c r="AV822" s="208"/>
      <c r="AW822" s="208"/>
      <c r="AX822" s="208"/>
      <c r="AY822" s="208"/>
    </row>
    <row r="823">
      <c r="A823" s="208"/>
      <c r="B823" s="533"/>
      <c r="C823" s="208"/>
      <c r="D823" s="208"/>
      <c r="E823" s="208"/>
      <c r="F823" s="584"/>
      <c r="G823" s="208"/>
      <c r="H823" s="208"/>
      <c r="I823" s="208"/>
      <c r="J823" s="208"/>
      <c r="K823" s="208"/>
      <c r="L823" s="536"/>
      <c r="M823" s="208"/>
      <c r="N823" s="208"/>
      <c r="O823" s="208"/>
      <c r="P823" s="208"/>
      <c r="Q823" s="208"/>
      <c r="R823" s="208"/>
      <c r="S823" s="208"/>
      <c r="T823" s="208"/>
      <c r="U823" s="208"/>
      <c r="V823" s="208"/>
      <c r="W823" s="208"/>
      <c r="X823" s="208"/>
      <c r="Y823" s="208"/>
      <c r="Z823" s="208"/>
      <c r="AA823" s="208"/>
      <c r="AB823" s="208"/>
      <c r="AC823" s="208"/>
      <c r="AD823" s="208"/>
      <c r="AE823" s="208"/>
      <c r="AF823" s="208"/>
      <c r="AG823" s="208"/>
      <c r="AH823" s="208"/>
      <c r="AI823" s="208"/>
      <c r="AJ823" s="208"/>
      <c r="AK823" s="208"/>
      <c r="AL823" s="208"/>
      <c r="AM823" s="208"/>
      <c r="AN823" s="208"/>
      <c r="AO823" s="208"/>
      <c r="AP823" s="208"/>
      <c r="AQ823" s="208"/>
      <c r="AR823" s="208"/>
      <c r="AS823" s="208"/>
      <c r="AT823" s="208"/>
      <c r="AU823" s="208"/>
      <c r="AV823" s="208"/>
      <c r="AW823" s="208"/>
      <c r="AX823" s="208"/>
      <c r="AY823" s="208"/>
    </row>
    <row r="824">
      <c r="A824" s="208"/>
      <c r="B824" s="533"/>
      <c r="C824" s="208"/>
      <c r="D824" s="208"/>
      <c r="E824" s="208"/>
      <c r="F824" s="584"/>
      <c r="G824" s="208"/>
      <c r="H824" s="208"/>
      <c r="I824" s="208"/>
      <c r="J824" s="208"/>
      <c r="K824" s="208"/>
      <c r="L824" s="536"/>
      <c r="M824" s="208"/>
      <c r="N824" s="208"/>
      <c r="O824" s="208"/>
      <c r="P824" s="208"/>
      <c r="Q824" s="208"/>
      <c r="R824" s="208"/>
      <c r="S824" s="208"/>
      <c r="T824" s="208"/>
      <c r="U824" s="208"/>
      <c r="V824" s="208"/>
      <c r="W824" s="208"/>
      <c r="X824" s="208"/>
      <c r="Y824" s="208"/>
      <c r="Z824" s="208"/>
      <c r="AA824" s="208"/>
      <c r="AB824" s="208"/>
      <c r="AC824" s="208"/>
      <c r="AD824" s="208"/>
      <c r="AE824" s="208"/>
      <c r="AF824" s="208"/>
      <c r="AG824" s="208"/>
      <c r="AH824" s="208"/>
      <c r="AI824" s="208"/>
      <c r="AJ824" s="208"/>
      <c r="AK824" s="208"/>
      <c r="AL824" s="208"/>
      <c r="AM824" s="208"/>
      <c r="AN824" s="208"/>
      <c r="AO824" s="208"/>
      <c r="AP824" s="208"/>
      <c r="AQ824" s="208"/>
      <c r="AR824" s="208"/>
      <c r="AS824" s="208"/>
      <c r="AT824" s="208"/>
      <c r="AU824" s="208"/>
      <c r="AV824" s="208"/>
      <c r="AW824" s="208"/>
      <c r="AX824" s="208"/>
      <c r="AY824" s="208"/>
    </row>
    <row r="825">
      <c r="A825" s="208"/>
      <c r="B825" s="533"/>
      <c r="C825" s="208"/>
      <c r="D825" s="208"/>
      <c r="E825" s="208"/>
      <c r="F825" s="584"/>
      <c r="G825" s="208"/>
      <c r="H825" s="208"/>
      <c r="I825" s="208"/>
      <c r="J825" s="208"/>
      <c r="K825" s="208"/>
      <c r="L825" s="536"/>
      <c r="M825" s="208"/>
      <c r="N825" s="208"/>
      <c r="O825" s="208"/>
      <c r="P825" s="208"/>
      <c r="Q825" s="208"/>
      <c r="R825" s="208"/>
      <c r="S825" s="208"/>
      <c r="T825" s="208"/>
      <c r="U825" s="208"/>
      <c r="V825" s="208"/>
      <c r="W825" s="208"/>
      <c r="X825" s="208"/>
      <c r="Y825" s="208"/>
      <c r="Z825" s="208"/>
      <c r="AA825" s="208"/>
      <c r="AB825" s="208"/>
      <c r="AC825" s="208"/>
      <c r="AD825" s="208"/>
      <c r="AE825" s="208"/>
      <c r="AF825" s="208"/>
      <c r="AG825" s="208"/>
      <c r="AH825" s="208"/>
      <c r="AI825" s="208"/>
      <c r="AJ825" s="208"/>
      <c r="AK825" s="208"/>
      <c r="AL825" s="208"/>
      <c r="AM825" s="208"/>
      <c r="AN825" s="208"/>
      <c r="AO825" s="208"/>
      <c r="AP825" s="208"/>
      <c r="AQ825" s="208"/>
      <c r="AR825" s="208"/>
      <c r="AS825" s="208"/>
      <c r="AT825" s="208"/>
      <c r="AU825" s="208"/>
      <c r="AV825" s="208"/>
      <c r="AW825" s="208"/>
      <c r="AX825" s="208"/>
      <c r="AY825" s="208"/>
    </row>
    <row r="826">
      <c r="A826" s="208"/>
      <c r="B826" s="533"/>
      <c r="C826" s="208"/>
      <c r="D826" s="208"/>
      <c r="E826" s="208"/>
      <c r="F826" s="584"/>
      <c r="G826" s="208"/>
      <c r="H826" s="208"/>
      <c r="I826" s="208"/>
      <c r="J826" s="208"/>
      <c r="K826" s="208"/>
      <c r="L826" s="536"/>
      <c r="M826" s="208"/>
      <c r="N826" s="208"/>
      <c r="O826" s="208"/>
      <c r="P826" s="208"/>
      <c r="Q826" s="208"/>
      <c r="R826" s="208"/>
      <c r="S826" s="208"/>
      <c r="T826" s="208"/>
      <c r="U826" s="208"/>
      <c r="V826" s="208"/>
      <c r="W826" s="208"/>
      <c r="X826" s="208"/>
      <c r="Y826" s="208"/>
      <c r="Z826" s="208"/>
      <c r="AA826" s="208"/>
      <c r="AB826" s="208"/>
      <c r="AC826" s="208"/>
      <c r="AD826" s="208"/>
      <c r="AE826" s="208"/>
      <c r="AF826" s="208"/>
      <c r="AG826" s="208"/>
      <c r="AH826" s="208"/>
      <c r="AI826" s="208"/>
      <c r="AJ826" s="208"/>
      <c r="AK826" s="208"/>
      <c r="AL826" s="208"/>
      <c r="AM826" s="208"/>
      <c r="AN826" s="208"/>
      <c r="AO826" s="208"/>
      <c r="AP826" s="208"/>
      <c r="AQ826" s="208"/>
      <c r="AR826" s="208"/>
      <c r="AS826" s="208"/>
      <c r="AT826" s="208"/>
      <c r="AU826" s="208"/>
      <c r="AV826" s="208"/>
      <c r="AW826" s="208"/>
      <c r="AX826" s="208"/>
      <c r="AY826" s="208"/>
    </row>
    <row r="827">
      <c r="A827" s="208"/>
      <c r="B827" s="533"/>
      <c r="C827" s="208"/>
      <c r="D827" s="208"/>
      <c r="E827" s="208"/>
      <c r="F827" s="584"/>
      <c r="G827" s="208"/>
      <c r="H827" s="208"/>
      <c r="I827" s="208"/>
      <c r="J827" s="208"/>
      <c r="K827" s="208"/>
      <c r="L827" s="536"/>
      <c r="M827" s="208"/>
      <c r="N827" s="208"/>
      <c r="O827" s="208"/>
      <c r="P827" s="208"/>
      <c r="Q827" s="208"/>
      <c r="R827" s="208"/>
      <c r="S827" s="208"/>
      <c r="T827" s="208"/>
      <c r="U827" s="208"/>
      <c r="V827" s="208"/>
      <c r="W827" s="208"/>
      <c r="X827" s="208"/>
      <c r="Y827" s="208"/>
      <c r="Z827" s="208"/>
      <c r="AA827" s="208"/>
      <c r="AB827" s="208"/>
      <c r="AC827" s="208"/>
      <c r="AD827" s="208"/>
      <c r="AE827" s="208"/>
      <c r="AF827" s="208"/>
      <c r="AG827" s="208"/>
      <c r="AH827" s="208"/>
      <c r="AI827" s="208"/>
      <c r="AJ827" s="208"/>
      <c r="AK827" s="208"/>
      <c r="AL827" s="208"/>
      <c r="AM827" s="208"/>
      <c r="AN827" s="208"/>
      <c r="AO827" s="208"/>
      <c r="AP827" s="208"/>
      <c r="AQ827" s="208"/>
      <c r="AR827" s="208"/>
      <c r="AS827" s="208"/>
      <c r="AT827" s="208"/>
      <c r="AU827" s="208"/>
      <c r="AV827" s="208"/>
      <c r="AW827" s="208"/>
      <c r="AX827" s="208"/>
      <c r="AY827" s="208"/>
    </row>
    <row r="828">
      <c r="A828" s="208"/>
      <c r="B828" s="533"/>
      <c r="C828" s="208"/>
      <c r="D828" s="208"/>
      <c r="E828" s="208"/>
      <c r="F828" s="584"/>
      <c r="G828" s="208"/>
      <c r="H828" s="208"/>
      <c r="I828" s="208"/>
      <c r="J828" s="208"/>
      <c r="K828" s="208"/>
      <c r="L828" s="536"/>
      <c r="M828" s="208"/>
      <c r="N828" s="208"/>
      <c r="O828" s="208"/>
      <c r="P828" s="208"/>
      <c r="Q828" s="208"/>
      <c r="R828" s="208"/>
      <c r="S828" s="208"/>
      <c r="T828" s="208"/>
      <c r="U828" s="208"/>
      <c r="V828" s="208"/>
      <c r="W828" s="208"/>
      <c r="X828" s="208"/>
      <c r="Y828" s="208"/>
      <c r="Z828" s="208"/>
      <c r="AA828" s="208"/>
      <c r="AB828" s="208"/>
      <c r="AC828" s="208"/>
      <c r="AD828" s="208"/>
      <c r="AE828" s="208"/>
      <c r="AF828" s="208"/>
      <c r="AG828" s="208"/>
      <c r="AH828" s="208"/>
      <c r="AI828" s="208"/>
      <c r="AJ828" s="208"/>
      <c r="AK828" s="208"/>
      <c r="AL828" s="208"/>
      <c r="AM828" s="208"/>
      <c r="AN828" s="208"/>
      <c r="AO828" s="208"/>
      <c r="AP828" s="208"/>
      <c r="AQ828" s="208"/>
      <c r="AR828" s="208"/>
      <c r="AS828" s="208"/>
      <c r="AT828" s="208"/>
      <c r="AU828" s="208"/>
      <c r="AV828" s="208"/>
      <c r="AW828" s="208"/>
      <c r="AX828" s="208"/>
      <c r="AY828" s="208"/>
    </row>
    <row r="829">
      <c r="A829" s="208"/>
      <c r="B829" s="533"/>
      <c r="C829" s="208"/>
      <c r="D829" s="208"/>
      <c r="E829" s="208"/>
      <c r="F829" s="584"/>
      <c r="G829" s="208"/>
      <c r="H829" s="208"/>
      <c r="I829" s="208"/>
      <c r="J829" s="208"/>
      <c r="K829" s="208"/>
      <c r="L829" s="536"/>
      <c r="M829" s="208"/>
      <c r="N829" s="208"/>
      <c r="O829" s="208"/>
      <c r="P829" s="208"/>
      <c r="Q829" s="208"/>
      <c r="R829" s="208"/>
      <c r="S829" s="208"/>
      <c r="T829" s="208"/>
      <c r="U829" s="208"/>
      <c r="V829" s="208"/>
      <c r="W829" s="208"/>
      <c r="X829" s="208"/>
      <c r="Y829" s="208"/>
      <c r="Z829" s="208"/>
      <c r="AA829" s="208"/>
      <c r="AB829" s="208"/>
      <c r="AC829" s="208"/>
      <c r="AD829" s="208"/>
      <c r="AE829" s="208"/>
      <c r="AF829" s="208"/>
      <c r="AG829" s="208"/>
      <c r="AH829" s="208"/>
      <c r="AI829" s="208"/>
      <c r="AJ829" s="208"/>
      <c r="AK829" s="208"/>
      <c r="AL829" s="208"/>
      <c r="AM829" s="208"/>
      <c r="AN829" s="208"/>
      <c r="AO829" s="208"/>
      <c r="AP829" s="208"/>
      <c r="AQ829" s="208"/>
      <c r="AR829" s="208"/>
      <c r="AS829" s="208"/>
      <c r="AT829" s="208"/>
      <c r="AU829" s="208"/>
      <c r="AV829" s="208"/>
      <c r="AW829" s="208"/>
      <c r="AX829" s="208"/>
      <c r="AY829" s="208"/>
    </row>
    <row r="830">
      <c r="A830" s="208"/>
      <c r="B830" s="533"/>
      <c r="C830" s="208"/>
      <c r="D830" s="208"/>
      <c r="E830" s="208"/>
      <c r="F830" s="584"/>
      <c r="G830" s="208"/>
      <c r="H830" s="208"/>
      <c r="I830" s="208"/>
      <c r="J830" s="208"/>
      <c r="K830" s="208"/>
      <c r="L830" s="536"/>
      <c r="M830" s="208"/>
      <c r="N830" s="208"/>
      <c r="O830" s="208"/>
      <c r="P830" s="208"/>
      <c r="Q830" s="208"/>
      <c r="R830" s="208"/>
      <c r="S830" s="208"/>
      <c r="T830" s="208"/>
      <c r="U830" s="208"/>
      <c r="V830" s="208"/>
      <c r="W830" s="208"/>
      <c r="X830" s="208"/>
      <c r="Y830" s="208"/>
      <c r="Z830" s="208"/>
      <c r="AA830" s="208"/>
      <c r="AB830" s="208"/>
      <c r="AC830" s="208"/>
      <c r="AD830" s="208"/>
      <c r="AE830" s="208"/>
      <c r="AF830" s="208"/>
      <c r="AG830" s="208"/>
      <c r="AH830" s="208"/>
      <c r="AI830" s="208"/>
      <c r="AJ830" s="208"/>
      <c r="AK830" s="208"/>
      <c r="AL830" s="208"/>
      <c r="AM830" s="208"/>
      <c r="AN830" s="208"/>
      <c r="AO830" s="208"/>
      <c r="AP830" s="208"/>
      <c r="AQ830" s="208"/>
      <c r="AR830" s="208"/>
      <c r="AS830" s="208"/>
      <c r="AT830" s="208"/>
      <c r="AU830" s="208"/>
      <c r="AV830" s="208"/>
      <c r="AW830" s="208"/>
      <c r="AX830" s="208"/>
      <c r="AY830" s="208"/>
    </row>
    <row r="831">
      <c r="A831" s="208"/>
      <c r="B831" s="533"/>
      <c r="C831" s="208"/>
      <c r="D831" s="208"/>
      <c r="E831" s="208"/>
      <c r="F831" s="584"/>
      <c r="G831" s="208"/>
      <c r="H831" s="208"/>
      <c r="I831" s="208"/>
      <c r="J831" s="208"/>
      <c r="K831" s="208"/>
      <c r="L831" s="536"/>
      <c r="M831" s="208"/>
      <c r="N831" s="208"/>
      <c r="O831" s="208"/>
      <c r="P831" s="208"/>
      <c r="Q831" s="208"/>
      <c r="R831" s="208"/>
      <c r="S831" s="208"/>
      <c r="T831" s="208"/>
      <c r="U831" s="208"/>
      <c r="V831" s="208"/>
      <c r="W831" s="208"/>
      <c r="X831" s="208"/>
      <c r="Y831" s="208"/>
      <c r="Z831" s="208"/>
      <c r="AA831" s="208"/>
      <c r="AB831" s="208"/>
      <c r="AC831" s="208"/>
      <c r="AD831" s="208"/>
      <c r="AE831" s="208"/>
      <c r="AF831" s="208"/>
      <c r="AG831" s="208"/>
      <c r="AH831" s="208"/>
      <c r="AI831" s="208"/>
      <c r="AJ831" s="208"/>
      <c r="AK831" s="208"/>
      <c r="AL831" s="208"/>
      <c r="AM831" s="208"/>
      <c r="AN831" s="208"/>
      <c r="AO831" s="208"/>
      <c r="AP831" s="208"/>
      <c r="AQ831" s="208"/>
      <c r="AR831" s="208"/>
      <c r="AS831" s="208"/>
      <c r="AT831" s="208"/>
      <c r="AU831" s="208"/>
      <c r="AV831" s="208"/>
      <c r="AW831" s="208"/>
      <c r="AX831" s="208"/>
      <c r="AY831" s="208"/>
    </row>
    <row r="832">
      <c r="A832" s="208"/>
      <c r="B832" s="533"/>
      <c r="C832" s="208"/>
      <c r="D832" s="208"/>
      <c r="E832" s="208"/>
      <c r="F832" s="584"/>
      <c r="G832" s="208"/>
      <c r="H832" s="208"/>
      <c r="I832" s="208"/>
      <c r="J832" s="208"/>
      <c r="K832" s="208"/>
      <c r="L832" s="536"/>
      <c r="M832" s="208"/>
      <c r="N832" s="208"/>
      <c r="O832" s="208"/>
      <c r="P832" s="208"/>
      <c r="Q832" s="208"/>
      <c r="R832" s="208"/>
      <c r="S832" s="208"/>
      <c r="T832" s="208"/>
      <c r="U832" s="208"/>
      <c r="V832" s="208"/>
      <c r="W832" s="208"/>
      <c r="X832" s="208"/>
      <c r="Y832" s="208"/>
      <c r="Z832" s="208"/>
      <c r="AA832" s="208"/>
      <c r="AB832" s="208"/>
      <c r="AC832" s="208"/>
      <c r="AD832" s="208"/>
      <c r="AE832" s="208"/>
      <c r="AF832" s="208"/>
      <c r="AG832" s="208"/>
      <c r="AH832" s="208"/>
      <c r="AI832" s="208"/>
      <c r="AJ832" s="208"/>
      <c r="AK832" s="208"/>
      <c r="AL832" s="208"/>
      <c r="AM832" s="208"/>
      <c r="AN832" s="208"/>
      <c r="AO832" s="208"/>
      <c r="AP832" s="208"/>
      <c r="AQ832" s="208"/>
      <c r="AR832" s="208"/>
      <c r="AS832" s="208"/>
      <c r="AT832" s="208"/>
      <c r="AU832" s="208"/>
      <c r="AV832" s="208"/>
      <c r="AW832" s="208"/>
      <c r="AX832" s="208"/>
      <c r="AY832" s="208"/>
    </row>
    <row r="833">
      <c r="A833" s="208"/>
      <c r="B833" s="533"/>
      <c r="C833" s="208"/>
      <c r="D833" s="208"/>
      <c r="E833" s="208"/>
      <c r="F833" s="584"/>
      <c r="G833" s="208"/>
      <c r="H833" s="208"/>
      <c r="I833" s="208"/>
      <c r="J833" s="208"/>
      <c r="K833" s="208"/>
      <c r="L833" s="536"/>
      <c r="M833" s="208"/>
      <c r="N833" s="208"/>
      <c r="O833" s="208"/>
      <c r="P833" s="208"/>
      <c r="Q833" s="208"/>
      <c r="R833" s="208"/>
      <c r="S833" s="208"/>
      <c r="T833" s="208"/>
      <c r="U833" s="208"/>
      <c r="V833" s="208"/>
      <c r="W833" s="208"/>
      <c r="X833" s="208"/>
      <c r="Y833" s="208"/>
      <c r="Z833" s="208"/>
      <c r="AA833" s="208"/>
      <c r="AB833" s="208"/>
      <c r="AC833" s="208"/>
      <c r="AD833" s="208"/>
      <c r="AE833" s="208"/>
      <c r="AF833" s="208"/>
      <c r="AG833" s="208"/>
      <c r="AH833" s="208"/>
      <c r="AI833" s="208"/>
      <c r="AJ833" s="208"/>
      <c r="AK833" s="208"/>
      <c r="AL833" s="208"/>
      <c r="AM833" s="208"/>
      <c r="AN833" s="208"/>
      <c r="AO833" s="208"/>
      <c r="AP833" s="208"/>
      <c r="AQ833" s="208"/>
      <c r="AR833" s="208"/>
      <c r="AS833" s="208"/>
      <c r="AT833" s="208"/>
      <c r="AU833" s="208"/>
      <c r="AV833" s="208"/>
      <c r="AW833" s="208"/>
      <c r="AX833" s="208"/>
      <c r="AY833" s="208"/>
    </row>
    <row r="834">
      <c r="A834" s="208"/>
      <c r="B834" s="533"/>
      <c r="C834" s="208"/>
      <c r="D834" s="208"/>
      <c r="E834" s="208"/>
      <c r="F834" s="584"/>
      <c r="G834" s="208"/>
      <c r="H834" s="208"/>
      <c r="I834" s="208"/>
      <c r="J834" s="208"/>
      <c r="K834" s="208"/>
      <c r="L834" s="536"/>
      <c r="M834" s="208"/>
      <c r="N834" s="208"/>
      <c r="O834" s="208"/>
      <c r="P834" s="208"/>
      <c r="Q834" s="208"/>
      <c r="R834" s="208"/>
      <c r="S834" s="208"/>
      <c r="T834" s="208"/>
      <c r="U834" s="208"/>
      <c r="V834" s="208"/>
      <c r="W834" s="208"/>
      <c r="X834" s="208"/>
      <c r="Y834" s="208"/>
      <c r="Z834" s="208"/>
      <c r="AA834" s="208"/>
      <c r="AB834" s="208"/>
      <c r="AC834" s="208"/>
      <c r="AD834" s="208"/>
      <c r="AE834" s="208"/>
      <c r="AF834" s="208"/>
      <c r="AG834" s="208"/>
      <c r="AH834" s="208"/>
      <c r="AI834" s="208"/>
      <c r="AJ834" s="208"/>
      <c r="AK834" s="208"/>
      <c r="AL834" s="208"/>
      <c r="AM834" s="208"/>
      <c r="AN834" s="208"/>
      <c r="AO834" s="208"/>
      <c r="AP834" s="208"/>
      <c r="AQ834" s="208"/>
      <c r="AR834" s="208"/>
      <c r="AS834" s="208"/>
      <c r="AT834" s="208"/>
      <c r="AU834" s="208"/>
      <c r="AV834" s="208"/>
      <c r="AW834" s="208"/>
      <c r="AX834" s="208"/>
      <c r="AY834" s="208"/>
    </row>
    <row r="835">
      <c r="A835" s="208"/>
      <c r="B835" s="533"/>
      <c r="C835" s="208"/>
      <c r="D835" s="208"/>
      <c r="E835" s="208"/>
      <c r="F835" s="584"/>
      <c r="G835" s="208"/>
      <c r="H835" s="208"/>
      <c r="I835" s="208"/>
      <c r="J835" s="208"/>
      <c r="K835" s="208"/>
      <c r="L835" s="536"/>
      <c r="M835" s="208"/>
      <c r="N835" s="208"/>
      <c r="O835" s="208"/>
      <c r="P835" s="208"/>
      <c r="Q835" s="208"/>
      <c r="R835" s="208"/>
      <c r="S835" s="208"/>
      <c r="T835" s="208"/>
      <c r="U835" s="208"/>
      <c r="V835" s="208"/>
      <c r="W835" s="208"/>
      <c r="X835" s="208"/>
      <c r="Y835" s="208"/>
      <c r="Z835" s="208"/>
      <c r="AA835" s="208"/>
      <c r="AB835" s="208"/>
      <c r="AC835" s="208"/>
      <c r="AD835" s="208"/>
      <c r="AE835" s="208"/>
      <c r="AF835" s="208"/>
      <c r="AG835" s="208"/>
      <c r="AH835" s="208"/>
      <c r="AI835" s="208"/>
      <c r="AJ835" s="208"/>
      <c r="AK835" s="208"/>
      <c r="AL835" s="208"/>
      <c r="AM835" s="208"/>
      <c r="AN835" s="208"/>
      <c r="AO835" s="208"/>
      <c r="AP835" s="208"/>
      <c r="AQ835" s="208"/>
      <c r="AR835" s="208"/>
      <c r="AS835" s="208"/>
      <c r="AT835" s="208"/>
      <c r="AU835" s="208"/>
      <c r="AV835" s="208"/>
      <c r="AW835" s="208"/>
      <c r="AX835" s="208"/>
      <c r="AY835" s="208"/>
    </row>
    <row r="836">
      <c r="A836" s="208"/>
      <c r="B836" s="533"/>
      <c r="C836" s="208"/>
      <c r="D836" s="208"/>
      <c r="E836" s="208"/>
      <c r="F836" s="584"/>
      <c r="G836" s="208"/>
      <c r="H836" s="208"/>
      <c r="I836" s="208"/>
      <c r="J836" s="208"/>
      <c r="K836" s="208"/>
      <c r="L836" s="536"/>
      <c r="M836" s="208"/>
      <c r="N836" s="208"/>
      <c r="O836" s="208"/>
      <c r="P836" s="208"/>
      <c r="Q836" s="208"/>
      <c r="R836" s="208"/>
      <c r="S836" s="208"/>
      <c r="T836" s="208"/>
      <c r="U836" s="208"/>
      <c r="V836" s="208"/>
      <c r="W836" s="208"/>
      <c r="X836" s="208"/>
      <c r="Y836" s="208"/>
      <c r="Z836" s="208"/>
      <c r="AA836" s="208"/>
      <c r="AB836" s="208"/>
      <c r="AC836" s="208"/>
      <c r="AD836" s="208"/>
      <c r="AE836" s="208"/>
      <c r="AF836" s="208"/>
      <c r="AG836" s="208"/>
      <c r="AH836" s="208"/>
      <c r="AI836" s="208"/>
      <c r="AJ836" s="208"/>
      <c r="AK836" s="208"/>
      <c r="AL836" s="208"/>
      <c r="AM836" s="208"/>
      <c r="AN836" s="208"/>
      <c r="AO836" s="208"/>
      <c r="AP836" s="208"/>
      <c r="AQ836" s="208"/>
      <c r="AR836" s="208"/>
      <c r="AS836" s="208"/>
      <c r="AT836" s="208"/>
      <c r="AU836" s="208"/>
      <c r="AV836" s="208"/>
      <c r="AW836" s="208"/>
      <c r="AX836" s="208"/>
      <c r="AY836" s="208"/>
    </row>
    <row r="837">
      <c r="A837" s="208"/>
      <c r="B837" s="533"/>
      <c r="C837" s="208"/>
      <c r="D837" s="208"/>
      <c r="E837" s="208"/>
      <c r="F837" s="584"/>
      <c r="G837" s="208"/>
      <c r="H837" s="208"/>
      <c r="I837" s="208"/>
      <c r="J837" s="208"/>
      <c r="K837" s="208"/>
      <c r="L837" s="536"/>
      <c r="M837" s="208"/>
      <c r="N837" s="208"/>
      <c r="O837" s="208"/>
      <c r="P837" s="208"/>
      <c r="Q837" s="208"/>
      <c r="R837" s="208"/>
      <c r="S837" s="208"/>
      <c r="T837" s="208"/>
      <c r="U837" s="208"/>
      <c r="V837" s="208"/>
      <c r="W837" s="208"/>
      <c r="X837" s="208"/>
      <c r="Y837" s="208"/>
      <c r="Z837" s="208"/>
      <c r="AA837" s="208"/>
      <c r="AB837" s="208"/>
      <c r="AC837" s="208"/>
      <c r="AD837" s="208"/>
      <c r="AE837" s="208"/>
      <c r="AF837" s="208"/>
      <c r="AG837" s="208"/>
      <c r="AH837" s="208"/>
      <c r="AI837" s="208"/>
      <c r="AJ837" s="208"/>
      <c r="AK837" s="208"/>
      <c r="AL837" s="208"/>
      <c r="AM837" s="208"/>
      <c r="AN837" s="208"/>
      <c r="AO837" s="208"/>
      <c r="AP837" s="208"/>
      <c r="AQ837" s="208"/>
      <c r="AR837" s="208"/>
      <c r="AS837" s="208"/>
      <c r="AT837" s="208"/>
      <c r="AU837" s="208"/>
      <c r="AV837" s="208"/>
      <c r="AW837" s="208"/>
      <c r="AX837" s="208"/>
      <c r="AY837" s="208"/>
    </row>
    <row r="838">
      <c r="A838" s="208"/>
      <c r="B838" s="533"/>
      <c r="C838" s="208"/>
      <c r="D838" s="208"/>
      <c r="E838" s="208"/>
      <c r="F838" s="584"/>
      <c r="G838" s="208"/>
      <c r="H838" s="208"/>
      <c r="I838" s="208"/>
      <c r="J838" s="208"/>
      <c r="K838" s="208"/>
      <c r="L838" s="536"/>
      <c r="M838" s="208"/>
      <c r="N838" s="208"/>
      <c r="O838" s="208"/>
      <c r="P838" s="208"/>
      <c r="Q838" s="208"/>
      <c r="R838" s="208"/>
      <c r="S838" s="208"/>
      <c r="T838" s="208"/>
      <c r="U838" s="208"/>
      <c r="V838" s="208"/>
      <c r="W838" s="208"/>
      <c r="X838" s="208"/>
      <c r="Y838" s="208"/>
      <c r="Z838" s="208"/>
      <c r="AA838" s="208"/>
      <c r="AB838" s="208"/>
      <c r="AC838" s="208"/>
      <c r="AD838" s="208"/>
      <c r="AE838" s="208"/>
      <c r="AF838" s="208"/>
      <c r="AG838" s="208"/>
      <c r="AH838" s="208"/>
      <c r="AI838" s="208"/>
      <c r="AJ838" s="208"/>
      <c r="AK838" s="208"/>
      <c r="AL838" s="208"/>
      <c r="AM838" s="208"/>
      <c r="AN838" s="208"/>
      <c r="AO838" s="208"/>
      <c r="AP838" s="208"/>
      <c r="AQ838" s="208"/>
      <c r="AR838" s="208"/>
      <c r="AS838" s="208"/>
      <c r="AT838" s="208"/>
      <c r="AU838" s="208"/>
      <c r="AV838" s="208"/>
      <c r="AW838" s="208"/>
      <c r="AX838" s="208"/>
      <c r="AY838" s="208"/>
    </row>
    <row r="839">
      <c r="A839" s="208"/>
      <c r="B839" s="533"/>
      <c r="C839" s="208"/>
      <c r="D839" s="208"/>
      <c r="E839" s="208"/>
      <c r="F839" s="584"/>
      <c r="G839" s="208"/>
      <c r="H839" s="208"/>
      <c r="I839" s="208"/>
      <c r="J839" s="208"/>
      <c r="K839" s="208"/>
      <c r="L839" s="536"/>
      <c r="M839" s="208"/>
      <c r="N839" s="208"/>
      <c r="O839" s="208"/>
      <c r="P839" s="208"/>
      <c r="Q839" s="208"/>
      <c r="R839" s="208"/>
      <c r="S839" s="208"/>
      <c r="T839" s="208"/>
      <c r="U839" s="208"/>
      <c r="V839" s="208"/>
      <c r="W839" s="208"/>
      <c r="X839" s="208"/>
      <c r="Y839" s="208"/>
      <c r="Z839" s="208"/>
      <c r="AA839" s="208"/>
      <c r="AB839" s="208"/>
      <c r="AC839" s="208"/>
      <c r="AD839" s="208"/>
      <c r="AE839" s="208"/>
      <c r="AF839" s="208"/>
      <c r="AG839" s="208"/>
      <c r="AH839" s="208"/>
      <c r="AI839" s="208"/>
      <c r="AJ839" s="208"/>
      <c r="AK839" s="208"/>
      <c r="AL839" s="208"/>
      <c r="AM839" s="208"/>
      <c r="AN839" s="208"/>
      <c r="AO839" s="208"/>
      <c r="AP839" s="208"/>
      <c r="AQ839" s="208"/>
      <c r="AR839" s="208"/>
      <c r="AS839" s="208"/>
      <c r="AT839" s="208"/>
      <c r="AU839" s="208"/>
      <c r="AV839" s="208"/>
      <c r="AW839" s="208"/>
      <c r="AX839" s="208"/>
      <c r="AY839" s="208"/>
    </row>
    <row r="840">
      <c r="A840" s="208"/>
      <c r="B840" s="533"/>
      <c r="C840" s="208"/>
      <c r="D840" s="208"/>
      <c r="E840" s="208"/>
      <c r="F840" s="584"/>
      <c r="G840" s="208"/>
      <c r="H840" s="208"/>
      <c r="I840" s="208"/>
      <c r="J840" s="208"/>
      <c r="K840" s="208"/>
      <c r="L840" s="536"/>
      <c r="M840" s="208"/>
      <c r="N840" s="208"/>
      <c r="O840" s="208"/>
      <c r="P840" s="208"/>
      <c r="Q840" s="208"/>
      <c r="R840" s="208"/>
      <c r="S840" s="208"/>
      <c r="T840" s="208"/>
      <c r="U840" s="208"/>
      <c r="V840" s="208"/>
      <c r="W840" s="208"/>
      <c r="X840" s="208"/>
      <c r="Y840" s="208"/>
      <c r="Z840" s="208"/>
      <c r="AA840" s="208"/>
      <c r="AB840" s="208"/>
      <c r="AC840" s="208"/>
      <c r="AD840" s="208"/>
      <c r="AE840" s="208"/>
      <c r="AF840" s="208"/>
      <c r="AG840" s="208"/>
      <c r="AH840" s="208"/>
      <c r="AI840" s="208"/>
      <c r="AJ840" s="208"/>
      <c r="AK840" s="208"/>
      <c r="AL840" s="208"/>
      <c r="AM840" s="208"/>
      <c r="AN840" s="208"/>
      <c r="AO840" s="208"/>
      <c r="AP840" s="208"/>
      <c r="AQ840" s="208"/>
      <c r="AR840" s="208"/>
      <c r="AS840" s="208"/>
      <c r="AT840" s="208"/>
      <c r="AU840" s="208"/>
      <c r="AV840" s="208"/>
      <c r="AW840" s="208"/>
      <c r="AX840" s="208"/>
      <c r="AY840" s="208"/>
    </row>
    <row r="841">
      <c r="A841" s="208"/>
      <c r="B841" s="533"/>
      <c r="C841" s="208"/>
      <c r="D841" s="208"/>
      <c r="E841" s="208"/>
      <c r="F841" s="584"/>
      <c r="G841" s="208"/>
      <c r="H841" s="208"/>
      <c r="I841" s="208"/>
      <c r="J841" s="208"/>
      <c r="K841" s="208"/>
      <c r="L841" s="536"/>
      <c r="M841" s="208"/>
      <c r="N841" s="208"/>
      <c r="O841" s="208"/>
      <c r="P841" s="208"/>
      <c r="Q841" s="208"/>
      <c r="R841" s="208"/>
      <c r="S841" s="208"/>
      <c r="T841" s="208"/>
      <c r="U841" s="208"/>
      <c r="V841" s="208"/>
      <c r="W841" s="208"/>
      <c r="X841" s="208"/>
      <c r="Y841" s="208"/>
      <c r="Z841" s="208"/>
      <c r="AA841" s="208"/>
      <c r="AB841" s="208"/>
      <c r="AC841" s="208"/>
      <c r="AD841" s="208"/>
      <c r="AE841" s="208"/>
      <c r="AF841" s="208"/>
      <c r="AG841" s="208"/>
      <c r="AH841" s="208"/>
      <c r="AI841" s="208"/>
      <c r="AJ841" s="208"/>
      <c r="AK841" s="208"/>
      <c r="AL841" s="208"/>
      <c r="AM841" s="208"/>
      <c r="AN841" s="208"/>
      <c r="AO841" s="208"/>
      <c r="AP841" s="208"/>
      <c r="AQ841" s="208"/>
      <c r="AR841" s="208"/>
      <c r="AS841" s="208"/>
      <c r="AT841" s="208"/>
      <c r="AU841" s="208"/>
      <c r="AV841" s="208"/>
      <c r="AW841" s="208"/>
      <c r="AX841" s="208"/>
      <c r="AY841" s="208"/>
    </row>
    <row r="842">
      <c r="A842" s="208"/>
      <c r="B842" s="533"/>
      <c r="C842" s="208"/>
      <c r="D842" s="208"/>
      <c r="E842" s="208"/>
      <c r="F842" s="584"/>
      <c r="G842" s="208"/>
      <c r="H842" s="208"/>
      <c r="I842" s="208"/>
      <c r="J842" s="208"/>
      <c r="K842" s="208"/>
      <c r="L842" s="536"/>
      <c r="M842" s="208"/>
      <c r="N842" s="208"/>
      <c r="O842" s="208"/>
      <c r="P842" s="208"/>
      <c r="Q842" s="208"/>
      <c r="R842" s="208"/>
      <c r="S842" s="208"/>
      <c r="T842" s="208"/>
      <c r="U842" s="208"/>
      <c r="V842" s="208"/>
      <c r="W842" s="208"/>
      <c r="X842" s="208"/>
      <c r="Y842" s="208"/>
      <c r="Z842" s="208"/>
      <c r="AA842" s="208"/>
      <c r="AB842" s="208"/>
      <c r="AC842" s="208"/>
      <c r="AD842" s="208"/>
      <c r="AE842" s="208"/>
      <c r="AF842" s="208"/>
      <c r="AG842" s="208"/>
      <c r="AH842" s="208"/>
      <c r="AI842" s="208"/>
      <c r="AJ842" s="208"/>
      <c r="AK842" s="208"/>
      <c r="AL842" s="208"/>
      <c r="AM842" s="208"/>
      <c r="AN842" s="208"/>
      <c r="AO842" s="208"/>
      <c r="AP842" s="208"/>
      <c r="AQ842" s="208"/>
      <c r="AR842" s="208"/>
      <c r="AS842" s="208"/>
      <c r="AT842" s="208"/>
      <c r="AU842" s="208"/>
      <c r="AV842" s="208"/>
      <c r="AW842" s="208"/>
      <c r="AX842" s="208"/>
      <c r="AY842" s="208"/>
    </row>
    <row r="843">
      <c r="A843" s="208"/>
      <c r="B843" s="533"/>
      <c r="C843" s="208"/>
      <c r="D843" s="208"/>
      <c r="E843" s="208"/>
      <c r="F843" s="584"/>
      <c r="G843" s="208"/>
      <c r="H843" s="208"/>
      <c r="I843" s="208"/>
      <c r="J843" s="208"/>
      <c r="K843" s="208"/>
      <c r="L843" s="536"/>
      <c r="M843" s="208"/>
      <c r="N843" s="208"/>
      <c r="O843" s="208"/>
      <c r="P843" s="208"/>
      <c r="Q843" s="208"/>
      <c r="R843" s="208"/>
      <c r="S843" s="208"/>
      <c r="T843" s="208"/>
      <c r="U843" s="208"/>
      <c r="V843" s="208"/>
      <c r="W843" s="208"/>
      <c r="X843" s="208"/>
      <c r="Y843" s="208"/>
      <c r="Z843" s="208"/>
      <c r="AA843" s="208"/>
      <c r="AB843" s="208"/>
      <c r="AC843" s="208"/>
      <c r="AD843" s="208"/>
      <c r="AE843" s="208"/>
      <c r="AF843" s="208"/>
      <c r="AG843" s="208"/>
      <c r="AH843" s="208"/>
      <c r="AI843" s="208"/>
      <c r="AJ843" s="208"/>
      <c r="AK843" s="208"/>
      <c r="AL843" s="208"/>
      <c r="AM843" s="208"/>
      <c r="AN843" s="208"/>
      <c r="AO843" s="208"/>
      <c r="AP843" s="208"/>
      <c r="AQ843" s="208"/>
      <c r="AR843" s="208"/>
      <c r="AS843" s="208"/>
      <c r="AT843" s="208"/>
      <c r="AU843" s="208"/>
      <c r="AV843" s="208"/>
      <c r="AW843" s="208"/>
      <c r="AX843" s="208"/>
      <c r="AY843" s="208"/>
    </row>
    <row r="844">
      <c r="A844" s="208"/>
      <c r="B844" s="533"/>
      <c r="C844" s="208"/>
      <c r="D844" s="208"/>
      <c r="E844" s="208"/>
      <c r="F844" s="584"/>
      <c r="G844" s="208"/>
      <c r="H844" s="208"/>
      <c r="I844" s="208"/>
      <c r="J844" s="208"/>
      <c r="K844" s="208"/>
      <c r="L844" s="536"/>
      <c r="M844" s="208"/>
      <c r="N844" s="208"/>
      <c r="O844" s="208"/>
      <c r="P844" s="208"/>
      <c r="Q844" s="208"/>
      <c r="R844" s="208"/>
      <c r="S844" s="208"/>
      <c r="T844" s="208"/>
      <c r="U844" s="208"/>
      <c r="V844" s="208"/>
      <c r="W844" s="208"/>
      <c r="X844" s="208"/>
      <c r="Y844" s="208"/>
      <c r="Z844" s="208"/>
      <c r="AA844" s="208"/>
      <c r="AB844" s="208"/>
      <c r="AC844" s="208"/>
      <c r="AD844" s="208"/>
      <c r="AE844" s="208"/>
      <c r="AF844" s="208"/>
      <c r="AG844" s="208"/>
      <c r="AH844" s="208"/>
      <c r="AI844" s="208"/>
      <c r="AJ844" s="208"/>
      <c r="AK844" s="208"/>
      <c r="AL844" s="208"/>
      <c r="AM844" s="208"/>
      <c r="AN844" s="208"/>
      <c r="AO844" s="208"/>
      <c r="AP844" s="208"/>
      <c r="AQ844" s="208"/>
      <c r="AR844" s="208"/>
      <c r="AS844" s="208"/>
      <c r="AT844" s="208"/>
      <c r="AU844" s="208"/>
      <c r="AV844" s="208"/>
      <c r="AW844" s="208"/>
      <c r="AX844" s="208"/>
      <c r="AY844" s="208"/>
    </row>
    <row r="845">
      <c r="A845" s="208"/>
      <c r="B845" s="533"/>
      <c r="C845" s="208"/>
      <c r="D845" s="208"/>
      <c r="E845" s="208"/>
      <c r="F845" s="584"/>
      <c r="G845" s="208"/>
      <c r="H845" s="208"/>
      <c r="I845" s="208"/>
      <c r="J845" s="208"/>
      <c r="K845" s="208"/>
      <c r="L845" s="536"/>
      <c r="M845" s="208"/>
      <c r="N845" s="208"/>
      <c r="O845" s="208"/>
      <c r="P845" s="208"/>
      <c r="Q845" s="208"/>
      <c r="R845" s="208"/>
      <c r="S845" s="208"/>
      <c r="T845" s="208"/>
      <c r="U845" s="208"/>
      <c r="V845" s="208"/>
      <c r="W845" s="208"/>
      <c r="X845" s="208"/>
      <c r="Y845" s="208"/>
      <c r="Z845" s="208"/>
      <c r="AA845" s="208"/>
      <c r="AB845" s="208"/>
      <c r="AC845" s="208"/>
      <c r="AD845" s="208"/>
      <c r="AE845" s="208"/>
      <c r="AF845" s="208"/>
      <c r="AG845" s="208"/>
      <c r="AH845" s="208"/>
      <c r="AI845" s="208"/>
      <c r="AJ845" s="208"/>
      <c r="AK845" s="208"/>
      <c r="AL845" s="208"/>
      <c r="AM845" s="208"/>
      <c r="AN845" s="208"/>
      <c r="AO845" s="208"/>
      <c r="AP845" s="208"/>
      <c r="AQ845" s="208"/>
      <c r="AR845" s="208"/>
      <c r="AS845" s="208"/>
      <c r="AT845" s="208"/>
      <c r="AU845" s="208"/>
      <c r="AV845" s="208"/>
      <c r="AW845" s="208"/>
      <c r="AX845" s="208"/>
      <c r="AY845" s="208"/>
    </row>
    <row r="846">
      <c r="A846" s="208"/>
      <c r="B846" s="533"/>
      <c r="C846" s="208"/>
      <c r="D846" s="208"/>
      <c r="E846" s="208"/>
      <c r="F846" s="584"/>
      <c r="G846" s="208"/>
      <c r="H846" s="208"/>
      <c r="I846" s="208"/>
      <c r="J846" s="208"/>
      <c r="K846" s="208"/>
      <c r="L846" s="536"/>
      <c r="M846" s="208"/>
      <c r="N846" s="208"/>
      <c r="O846" s="208"/>
      <c r="P846" s="208"/>
      <c r="Q846" s="208"/>
      <c r="R846" s="208"/>
      <c r="S846" s="208"/>
      <c r="T846" s="208"/>
      <c r="U846" s="208"/>
      <c r="V846" s="208"/>
      <c r="W846" s="208"/>
      <c r="X846" s="208"/>
      <c r="Y846" s="208"/>
      <c r="Z846" s="208"/>
      <c r="AA846" s="208"/>
      <c r="AB846" s="208"/>
      <c r="AC846" s="208"/>
      <c r="AD846" s="208"/>
      <c r="AE846" s="208"/>
      <c r="AF846" s="208"/>
      <c r="AG846" s="208"/>
      <c r="AH846" s="208"/>
      <c r="AI846" s="208"/>
      <c r="AJ846" s="208"/>
      <c r="AK846" s="208"/>
      <c r="AL846" s="208"/>
      <c r="AM846" s="208"/>
      <c r="AN846" s="208"/>
      <c r="AO846" s="208"/>
      <c r="AP846" s="208"/>
      <c r="AQ846" s="208"/>
      <c r="AR846" s="208"/>
      <c r="AS846" s="208"/>
      <c r="AT846" s="208"/>
      <c r="AU846" s="208"/>
      <c r="AV846" s="208"/>
      <c r="AW846" s="208"/>
      <c r="AX846" s="208"/>
      <c r="AY846" s="208"/>
    </row>
    <row r="847">
      <c r="A847" s="208"/>
      <c r="B847" s="533"/>
      <c r="C847" s="208"/>
      <c r="D847" s="208"/>
      <c r="E847" s="208"/>
      <c r="F847" s="584"/>
      <c r="G847" s="208"/>
      <c r="H847" s="208"/>
      <c r="I847" s="208"/>
      <c r="J847" s="208"/>
      <c r="K847" s="208"/>
      <c r="L847" s="536"/>
      <c r="M847" s="208"/>
      <c r="N847" s="208"/>
      <c r="O847" s="208"/>
      <c r="P847" s="208"/>
      <c r="Q847" s="208"/>
      <c r="R847" s="208"/>
      <c r="S847" s="208"/>
      <c r="T847" s="208"/>
      <c r="U847" s="208"/>
      <c r="V847" s="208"/>
      <c r="W847" s="208"/>
      <c r="X847" s="208"/>
      <c r="Y847" s="208"/>
      <c r="Z847" s="208"/>
      <c r="AA847" s="208"/>
      <c r="AB847" s="208"/>
      <c r="AC847" s="208"/>
      <c r="AD847" s="208"/>
      <c r="AE847" s="208"/>
      <c r="AF847" s="208"/>
      <c r="AG847" s="208"/>
      <c r="AH847" s="208"/>
      <c r="AI847" s="208"/>
      <c r="AJ847" s="208"/>
      <c r="AK847" s="208"/>
      <c r="AL847" s="208"/>
      <c r="AM847" s="208"/>
      <c r="AN847" s="208"/>
      <c r="AO847" s="208"/>
      <c r="AP847" s="208"/>
      <c r="AQ847" s="208"/>
      <c r="AR847" s="208"/>
      <c r="AS847" s="208"/>
      <c r="AT847" s="208"/>
      <c r="AU847" s="208"/>
      <c r="AV847" s="208"/>
      <c r="AW847" s="208"/>
      <c r="AX847" s="208"/>
      <c r="AY847" s="208"/>
    </row>
    <row r="848">
      <c r="A848" s="208"/>
      <c r="B848" s="533"/>
      <c r="C848" s="208"/>
      <c r="D848" s="208"/>
      <c r="E848" s="208"/>
      <c r="F848" s="584"/>
      <c r="G848" s="208"/>
      <c r="H848" s="208"/>
      <c r="I848" s="208"/>
      <c r="J848" s="208"/>
      <c r="K848" s="208"/>
      <c r="L848" s="536"/>
      <c r="M848" s="208"/>
      <c r="N848" s="208"/>
      <c r="O848" s="208"/>
      <c r="P848" s="208"/>
      <c r="Q848" s="208"/>
      <c r="R848" s="208"/>
      <c r="S848" s="208"/>
      <c r="T848" s="208"/>
      <c r="U848" s="208"/>
      <c r="V848" s="208"/>
      <c r="W848" s="208"/>
      <c r="X848" s="208"/>
      <c r="Y848" s="208"/>
      <c r="Z848" s="208"/>
      <c r="AA848" s="208"/>
      <c r="AB848" s="208"/>
      <c r="AC848" s="208"/>
      <c r="AD848" s="208"/>
      <c r="AE848" s="208"/>
      <c r="AF848" s="208"/>
      <c r="AG848" s="208"/>
      <c r="AH848" s="208"/>
      <c r="AI848" s="208"/>
      <c r="AJ848" s="208"/>
      <c r="AK848" s="208"/>
      <c r="AL848" s="208"/>
      <c r="AM848" s="208"/>
      <c r="AN848" s="208"/>
      <c r="AO848" s="208"/>
      <c r="AP848" s="208"/>
      <c r="AQ848" s="208"/>
      <c r="AR848" s="208"/>
      <c r="AS848" s="208"/>
      <c r="AT848" s="208"/>
      <c r="AU848" s="208"/>
      <c r="AV848" s="208"/>
      <c r="AW848" s="208"/>
      <c r="AX848" s="208"/>
      <c r="AY848" s="208"/>
    </row>
    <row r="849">
      <c r="A849" s="208"/>
      <c r="B849" s="533"/>
      <c r="C849" s="208"/>
      <c r="D849" s="208"/>
      <c r="E849" s="208"/>
      <c r="F849" s="584"/>
      <c r="G849" s="208"/>
      <c r="H849" s="208"/>
      <c r="I849" s="208"/>
      <c r="J849" s="208"/>
      <c r="K849" s="208"/>
      <c r="L849" s="536"/>
      <c r="M849" s="208"/>
      <c r="N849" s="208"/>
      <c r="O849" s="208"/>
      <c r="P849" s="208"/>
      <c r="Q849" s="208"/>
      <c r="R849" s="208"/>
      <c r="S849" s="208"/>
      <c r="T849" s="208"/>
      <c r="U849" s="208"/>
      <c r="V849" s="208"/>
      <c r="W849" s="208"/>
      <c r="X849" s="208"/>
      <c r="Y849" s="208"/>
      <c r="Z849" s="208"/>
      <c r="AA849" s="208"/>
      <c r="AB849" s="208"/>
      <c r="AC849" s="208"/>
      <c r="AD849" s="208"/>
      <c r="AE849" s="208"/>
      <c r="AF849" s="208"/>
      <c r="AG849" s="208"/>
      <c r="AH849" s="208"/>
      <c r="AI849" s="208"/>
      <c r="AJ849" s="208"/>
      <c r="AK849" s="208"/>
      <c r="AL849" s="208"/>
      <c r="AM849" s="208"/>
      <c r="AN849" s="208"/>
      <c r="AO849" s="208"/>
      <c r="AP849" s="208"/>
      <c r="AQ849" s="208"/>
      <c r="AR849" s="208"/>
      <c r="AS849" s="208"/>
      <c r="AT849" s="208"/>
      <c r="AU849" s="208"/>
      <c r="AV849" s="208"/>
      <c r="AW849" s="208"/>
      <c r="AX849" s="208"/>
      <c r="AY849" s="208"/>
    </row>
    <row r="850">
      <c r="A850" s="208"/>
      <c r="B850" s="533"/>
      <c r="C850" s="208"/>
      <c r="D850" s="208"/>
      <c r="E850" s="208"/>
      <c r="F850" s="584"/>
      <c r="G850" s="208"/>
      <c r="H850" s="208"/>
      <c r="I850" s="208"/>
      <c r="J850" s="208"/>
      <c r="K850" s="208"/>
      <c r="L850" s="536"/>
      <c r="M850" s="208"/>
      <c r="N850" s="208"/>
      <c r="O850" s="208"/>
      <c r="P850" s="208"/>
      <c r="Q850" s="208"/>
      <c r="R850" s="208"/>
      <c r="S850" s="208"/>
      <c r="T850" s="208"/>
      <c r="U850" s="208"/>
      <c r="V850" s="208"/>
      <c r="W850" s="208"/>
      <c r="X850" s="208"/>
      <c r="Y850" s="208"/>
      <c r="Z850" s="208"/>
      <c r="AA850" s="208"/>
      <c r="AB850" s="208"/>
      <c r="AC850" s="208"/>
      <c r="AD850" s="208"/>
      <c r="AE850" s="208"/>
      <c r="AF850" s="208"/>
      <c r="AG850" s="208"/>
      <c r="AH850" s="208"/>
      <c r="AI850" s="208"/>
      <c r="AJ850" s="208"/>
      <c r="AK850" s="208"/>
      <c r="AL850" s="208"/>
      <c r="AM850" s="208"/>
      <c r="AN850" s="208"/>
      <c r="AO850" s="208"/>
      <c r="AP850" s="208"/>
      <c r="AQ850" s="208"/>
      <c r="AR850" s="208"/>
      <c r="AS850" s="208"/>
      <c r="AT850" s="208"/>
      <c r="AU850" s="208"/>
      <c r="AV850" s="208"/>
      <c r="AW850" s="208"/>
      <c r="AX850" s="208"/>
      <c r="AY850" s="208"/>
    </row>
    <row r="851">
      <c r="A851" s="208"/>
      <c r="B851" s="533"/>
      <c r="C851" s="208"/>
      <c r="D851" s="208"/>
      <c r="E851" s="208"/>
      <c r="F851" s="584"/>
      <c r="G851" s="208"/>
      <c r="H851" s="208"/>
      <c r="I851" s="208"/>
      <c r="J851" s="208"/>
      <c r="K851" s="208"/>
      <c r="L851" s="536"/>
      <c r="M851" s="208"/>
      <c r="N851" s="208"/>
      <c r="O851" s="208"/>
      <c r="P851" s="208"/>
      <c r="Q851" s="208"/>
      <c r="R851" s="208"/>
      <c r="S851" s="208"/>
      <c r="T851" s="208"/>
      <c r="U851" s="208"/>
      <c r="V851" s="208"/>
      <c r="W851" s="208"/>
      <c r="X851" s="208"/>
      <c r="Y851" s="208"/>
      <c r="Z851" s="208"/>
      <c r="AA851" s="208"/>
      <c r="AB851" s="208"/>
      <c r="AC851" s="208"/>
      <c r="AD851" s="208"/>
      <c r="AE851" s="208"/>
      <c r="AF851" s="208"/>
      <c r="AG851" s="208"/>
      <c r="AH851" s="208"/>
      <c r="AI851" s="208"/>
      <c r="AJ851" s="208"/>
      <c r="AK851" s="208"/>
      <c r="AL851" s="208"/>
      <c r="AM851" s="208"/>
      <c r="AN851" s="208"/>
      <c r="AO851" s="208"/>
      <c r="AP851" s="208"/>
      <c r="AQ851" s="208"/>
      <c r="AR851" s="208"/>
      <c r="AS851" s="208"/>
      <c r="AT851" s="208"/>
      <c r="AU851" s="208"/>
      <c r="AV851" s="208"/>
      <c r="AW851" s="208"/>
      <c r="AX851" s="208"/>
      <c r="AY851" s="208"/>
    </row>
    <row r="852">
      <c r="A852" s="208"/>
      <c r="B852" s="533"/>
      <c r="C852" s="208"/>
      <c r="D852" s="208"/>
      <c r="E852" s="208"/>
      <c r="F852" s="584"/>
      <c r="G852" s="208"/>
      <c r="H852" s="208"/>
      <c r="I852" s="208"/>
      <c r="J852" s="208"/>
      <c r="K852" s="208"/>
      <c r="L852" s="536"/>
      <c r="M852" s="208"/>
      <c r="N852" s="208"/>
      <c r="O852" s="208"/>
      <c r="P852" s="208"/>
      <c r="Q852" s="208"/>
      <c r="R852" s="208"/>
      <c r="S852" s="208"/>
      <c r="T852" s="208"/>
      <c r="U852" s="208"/>
      <c r="V852" s="208"/>
      <c r="W852" s="208"/>
      <c r="X852" s="208"/>
      <c r="Y852" s="208"/>
      <c r="Z852" s="208"/>
      <c r="AA852" s="208"/>
      <c r="AB852" s="208"/>
      <c r="AC852" s="208"/>
      <c r="AD852" s="208"/>
      <c r="AE852" s="208"/>
      <c r="AF852" s="208"/>
      <c r="AG852" s="208"/>
      <c r="AH852" s="208"/>
      <c r="AI852" s="208"/>
      <c r="AJ852" s="208"/>
      <c r="AK852" s="208"/>
      <c r="AL852" s="208"/>
      <c r="AM852" s="208"/>
      <c r="AN852" s="208"/>
      <c r="AO852" s="208"/>
      <c r="AP852" s="208"/>
      <c r="AQ852" s="208"/>
      <c r="AR852" s="208"/>
      <c r="AS852" s="208"/>
      <c r="AT852" s="208"/>
      <c r="AU852" s="208"/>
      <c r="AV852" s="208"/>
      <c r="AW852" s="208"/>
      <c r="AX852" s="208"/>
      <c r="AY852" s="208"/>
    </row>
    <row r="853">
      <c r="A853" s="208"/>
      <c r="B853" s="533"/>
      <c r="C853" s="208"/>
      <c r="D853" s="208"/>
      <c r="E853" s="208"/>
      <c r="F853" s="584"/>
      <c r="G853" s="208"/>
      <c r="H853" s="208"/>
      <c r="I853" s="208"/>
      <c r="J853" s="208"/>
      <c r="K853" s="208"/>
      <c r="L853" s="536"/>
      <c r="M853" s="208"/>
      <c r="N853" s="208"/>
      <c r="O853" s="208"/>
      <c r="P853" s="208"/>
      <c r="Q853" s="208"/>
      <c r="R853" s="208"/>
      <c r="S853" s="208"/>
      <c r="T853" s="208"/>
      <c r="U853" s="208"/>
      <c r="V853" s="208"/>
      <c r="W853" s="208"/>
      <c r="X853" s="208"/>
      <c r="Y853" s="208"/>
      <c r="Z853" s="208"/>
      <c r="AA853" s="208"/>
      <c r="AB853" s="208"/>
      <c r="AC853" s="208"/>
      <c r="AD853" s="208"/>
      <c r="AE853" s="208"/>
      <c r="AF853" s="208"/>
      <c r="AG853" s="208"/>
      <c r="AH853" s="208"/>
      <c r="AI853" s="208"/>
      <c r="AJ853" s="208"/>
      <c r="AK853" s="208"/>
      <c r="AL853" s="208"/>
      <c r="AM853" s="208"/>
      <c r="AN853" s="208"/>
      <c r="AO853" s="208"/>
      <c r="AP853" s="208"/>
      <c r="AQ853" s="208"/>
      <c r="AR853" s="208"/>
      <c r="AS853" s="208"/>
      <c r="AT853" s="208"/>
      <c r="AU853" s="208"/>
      <c r="AV853" s="208"/>
      <c r="AW853" s="208"/>
      <c r="AX853" s="208"/>
      <c r="AY853" s="208"/>
    </row>
    <row r="854">
      <c r="A854" s="208"/>
      <c r="B854" s="533"/>
      <c r="C854" s="208"/>
      <c r="D854" s="208"/>
      <c r="E854" s="208"/>
      <c r="F854" s="584"/>
      <c r="G854" s="208"/>
      <c r="H854" s="208"/>
      <c r="I854" s="208"/>
      <c r="J854" s="208"/>
      <c r="K854" s="208"/>
      <c r="L854" s="536"/>
      <c r="M854" s="208"/>
      <c r="N854" s="208"/>
      <c r="O854" s="208"/>
      <c r="P854" s="208"/>
      <c r="Q854" s="208"/>
      <c r="R854" s="208"/>
      <c r="S854" s="208"/>
      <c r="T854" s="208"/>
      <c r="U854" s="208"/>
      <c r="V854" s="208"/>
      <c r="W854" s="208"/>
      <c r="X854" s="208"/>
      <c r="Y854" s="208"/>
      <c r="Z854" s="208"/>
      <c r="AA854" s="208"/>
      <c r="AB854" s="208"/>
      <c r="AC854" s="208"/>
      <c r="AD854" s="208"/>
      <c r="AE854" s="208"/>
      <c r="AF854" s="208"/>
      <c r="AG854" s="208"/>
      <c r="AH854" s="208"/>
      <c r="AI854" s="208"/>
      <c r="AJ854" s="208"/>
      <c r="AK854" s="208"/>
      <c r="AL854" s="208"/>
      <c r="AM854" s="208"/>
      <c r="AN854" s="208"/>
      <c r="AO854" s="208"/>
      <c r="AP854" s="208"/>
      <c r="AQ854" s="208"/>
      <c r="AR854" s="208"/>
      <c r="AS854" s="208"/>
      <c r="AT854" s="208"/>
      <c r="AU854" s="208"/>
      <c r="AV854" s="208"/>
      <c r="AW854" s="208"/>
      <c r="AX854" s="208"/>
      <c r="AY854" s="208"/>
    </row>
    <row r="855">
      <c r="A855" s="208"/>
      <c r="B855" s="533"/>
      <c r="C855" s="208"/>
      <c r="D855" s="208"/>
      <c r="E855" s="208"/>
      <c r="F855" s="584"/>
      <c r="G855" s="208"/>
      <c r="H855" s="208"/>
      <c r="I855" s="208"/>
      <c r="J855" s="208"/>
      <c r="K855" s="208"/>
      <c r="L855" s="536"/>
      <c r="M855" s="208"/>
      <c r="N855" s="208"/>
      <c r="O855" s="208"/>
      <c r="P855" s="208"/>
      <c r="Q855" s="208"/>
      <c r="R855" s="208"/>
      <c r="S855" s="208"/>
      <c r="T855" s="208"/>
      <c r="U855" s="208"/>
      <c r="V855" s="208"/>
      <c r="W855" s="208"/>
      <c r="X855" s="208"/>
      <c r="Y855" s="208"/>
      <c r="Z855" s="208"/>
      <c r="AA855" s="208"/>
      <c r="AB855" s="208"/>
      <c r="AC855" s="208"/>
      <c r="AD855" s="208"/>
      <c r="AE855" s="208"/>
      <c r="AF855" s="208"/>
      <c r="AG855" s="208"/>
      <c r="AH855" s="208"/>
      <c r="AI855" s="208"/>
      <c r="AJ855" s="208"/>
      <c r="AK855" s="208"/>
      <c r="AL855" s="208"/>
      <c r="AM855" s="208"/>
      <c r="AN855" s="208"/>
      <c r="AO855" s="208"/>
      <c r="AP855" s="208"/>
      <c r="AQ855" s="208"/>
      <c r="AR855" s="208"/>
      <c r="AS855" s="208"/>
      <c r="AT855" s="208"/>
      <c r="AU855" s="208"/>
      <c r="AV855" s="208"/>
      <c r="AW855" s="208"/>
      <c r="AX855" s="208"/>
      <c r="AY855" s="208"/>
    </row>
    <row r="856">
      <c r="A856" s="208"/>
      <c r="B856" s="533"/>
      <c r="C856" s="208"/>
      <c r="D856" s="208"/>
      <c r="E856" s="208"/>
      <c r="F856" s="584"/>
      <c r="G856" s="208"/>
      <c r="H856" s="208"/>
      <c r="I856" s="208"/>
      <c r="J856" s="208"/>
      <c r="K856" s="208"/>
      <c r="L856" s="536"/>
      <c r="M856" s="208"/>
      <c r="N856" s="208"/>
      <c r="O856" s="208"/>
      <c r="P856" s="208"/>
      <c r="Q856" s="208"/>
      <c r="R856" s="208"/>
      <c r="S856" s="208"/>
      <c r="T856" s="208"/>
      <c r="U856" s="208"/>
      <c r="V856" s="208"/>
      <c r="W856" s="208"/>
      <c r="X856" s="208"/>
      <c r="Y856" s="208"/>
      <c r="Z856" s="208"/>
      <c r="AA856" s="208"/>
      <c r="AB856" s="208"/>
      <c r="AC856" s="208"/>
      <c r="AD856" s="208"/>
      <c r="AE856" s="208"/>
      <c r="AF856" s="208"/>
      <c r="AG856" s="208"/>
      <c r="AH856" s="208"/>
      <c r="AI856" s="208"/>
      <c r="AJ856" s="208"/>
      <c r="AK856" s="208"/>
      <c r="AL856" s="208"/>
      <c r="AM856" s="208"/>
      <c r="AN856" s="208"/>
      <c r="AO856" s="208"/>
      <c r="AP856" s="208"/>
      <c r="AQ856" s="208"/>
      <c r="AR856" s="208"/>
      <c r="AS856" s="208"/>
      <c r="AT856" s="208"/>
      <c r="AU856" s="208"/>
      <c r="AV856" s="208"/>
      <c r="AW856" s="208"/>
      <c r="AX856" s="208"/>
      <c r="AY856" s="208"/>
    </row>
    <row r="857">
      <c r="A857" s="208"/>
      <c r="B857" s="533"/>
      <c r="C857" s="208"/>
      <c r="D857" s="208"/>
      <c r="E857" s="208"/>
      <c r="F857" s="584"/>
      <c r="G857" s="208"/>
      <c r="H857" s="208"/>
      <c r="I857" s="208"/>
      <c r="J857" s="208"/>
      <c r="K857" s="208"/>
      <c r="L857" s="536"/>
      <c r="M857" s="208"/>
      <c r="N857" s="208"/>
      <c r="O857" s="208"/>
      <c r="P857" s="208"/>
      <c r="Q857" s="208"/>
      <c r="R857" s="208"/>
      <c r="S857" s="208"/>
      <c r="T857" s="208"/>
      <c r="U857" s="208"/>
      <c r="V857" s="208"/>
      <c r="W857" s="208"/>
      <c r="X857" s="208"/>
      <c r="Y857" s="208"/>
      <c r="Z857" s="208"/>
      <c r="AA857" s="208"/>
      <c r="AB857" s="208"/>
      <c r="AC857" s="208"/>
      <c r="AD857" s="208"/>
      <c r="AE857" s="208"/>
      <c r="AF857" s="208"/>
      <c r="AG857" s="208"/>
      <c r="AH857" s="208"/>
      <c r="AI857" s="208"/>
      <c r="AJ857" s="208"/>
      <c r="AK857" s="208"/>
      <c r="AL857" s="208"/>
      <c r="AM857" s="208"/>
      <c r="AN857" s="208"/>
      <c r="AO857" s="208"/>
      <c r="AP857" s="208"/>
      <c r="AQ857" s="208"/>
      <c r="AR857" s="208"/>
      <c r="AS857" s="208"/>
      <c r="AT857" s="208"/>
      <c r="AU857" s="208"/>
      <c r="AV857" s="208"/>
      <c r="AW857" s="208"/>
      <c r="AX857" s="208"/>
      <c r="AY857" s="208"/>
    </row>
    <row r="858">
      <c r="A858" s="208"/>
      <c r="B858" s="533"/>
      <c r="C858" s="208"/>
      <c r="D858" s="208"/>
      <c r="E858" s="208"/>
      <c r="F858" s="584"/>
      <c r="G858" s="208"/>
      <c r="H858" s="208"/>
      <c r="I858" s="208"/>
      <c r="J858" s="208"/>
      <c r="K858" s="208"/>
      <c r="L858" s="536"/>
      <c r="M858" s="208"/>
      <c r="N858" s="208"/>
      <c r="O858" s="208"/>
      <c r="P858" s="208"/>
      <c r="Q858" s="208"/>
      <c r="R858" s="208"/>
      <c r="S858" s="208"/>
      <c r="T858" s="208"/>
      <c r="U858" s="208"/>
      <c r="V858" s="208"/>
      <c r="W858" s="208"/>
      <c r="X858" s="208"/>
      <c r="Y858" s="208"/>
      <c r="Z858" s="208"/>
      <c r="AA858" s="208"/>
      <c r="AB858" s="208"/>
      <c r="AC858" s="208"/>
      <c r="AD858" s="208"/>
      <c r="AE858" s="208"/>
      <c r="AF858" s="208"/>
      <c r="AG858" s="208"/>
      <c r="AH858" s="208"/>
      <c r="AI858" s="208"/>
      <c r="AJ858" s="208"/>
      <c r="AK858" s="208"/>
      <c r="AL858" s="208"/>
      <c r="AM858" s="208"/>
      <c r="AN858" s="208"/>
      <c r="AO858" s="208"/>
      <c r="AP858" s="208"/>
      <c r="AQ858" s="208"/>
      <c r="AR858" s="208"/>
      <c r="AS858" s="208"/>
      <c r="AT858" s="208"/>
      <c r="AU858" s="208"/>
      <c r="AV858" s="208"/>
      <c r="AW858" s="208"/>
      <c r="AX858" s="208"/>
      <c r="AY858" s="208"/>
    </row>
    <row r="859">
      <c r="A859" s="208"/>
      <c r="B859" s="533"/>
      <c r="C859" s="208"/>
      <c r="D859" s="208"/>
      <c r="E859" s="208"/>
      <c r="F859" s="584"/>
      <c r="G859" s="208"/>
      <c r="H859" s="208"/>
      <c r="I859" s="208"/>
      <c r="J859" s="208"/>
      <c r="K859" s="208"/>
      <c r="L859" s="536"/>
      <c r="M859" s="208"/>
      <c r="N859" s="208"/>
      <c r="O859" s="208"/>
      <c r="P859" s="208"/>
      <c r="Q859" s="208"/>
      <c r="R859" s="208"/>
      <c r="S859" s="208"/>
      <c r="T859" s="208"/>
      <c r="U859" s="208"/>
      <c r="V859" s="208"/>
      <c r="W859" s="208"/>
      <c r="X859" s="208"/>
      <c r="Y859" s="208"/>
      <c r="Z859" s="208"/>
      <c r="AA859" s="208"/>
      <c r="AB859" s="208"/>
      <c r="AC859" s="208"/>
      <c r="AD859" s="208"/>
      <c r="AE859" s="208"/>
      <c r="AF859" s="208"/>
      <c r="AG859" s="208"/>
      <c r="AH859" s="208"/>
      <c r="AI859" s="208"/>
      <c r="AJ859" s="208"/>
      <c r="AK859" s="208"/>
      <c r="AL859" s="208"/>
      <c r="AM859" s="208"/>
      <c r="AN859" s="208"/>
      <c r="AO859" s="208"/>
      <c r="AP859" s="208"/>
      <c r="AQ859" s="208"/>
      <c r="AR859" s="208"/>
      <c r="AS859" s="208"/>
      <c r="AT859" s="208"/>
      <c r="AU859" s="208"/>
      <c r="AV859" s="208"/>
      <c r="AW859" s="208"/>
      <c r="AX859" s="208"/>
      <c r="AY859" s="208"/>
    </row>
    <row r="860">
      <c r="A860" s="208"/>
      <c r="B860" s="533"/>
      <c r="C860" s="208"/>
      <c r="D860" s="208"/>
      <c r="E860" s="208"/>
      <c r="F860" s="584"/>
      <c r="G860" s="208"/>
      <c r="H860" s="208"/>
      <c r="I860" s="208"/>
      <c r="J860" s="208"/>
      <c r="K860" s="208"/>
      <c r="L860" s="536"/>
      <c r="M860" s="208"/>
      <c r="N860" s="208"/>
      <c r="O860" s="208"/>
      <c r="P860" s="208"/>
      <c r="Q860" s="208"/>
      <c r="R860" s="208"/>
      <c r="S860" s="208"/>
      <c r="T860" s="208"/>
      <c r="U860" s="208"/>
      <c r="V860" s="208"/>
      <c r="W860" s="208"/>
      <c r="X860" s="208"/>
      <c r="Y860" s="208"/>
      <c r="Z860" s="208"/>
      <c r="AA860" s="208"/>
      <c r="AB860" s="208"/>
      <c r="AC860" s="208"/>
      <c r="AD860" s="208"/>
      <c r="AE860" s="208"/>
      <c r="AF860" s="208"/>
      <c r="AG860" s="208"/>
      <c r="AH860" s="208"/>
      <c r="AI860" s="208"/>
      <c r="AJ860" s="208"/>
      <c r="AK860" s="208"/>
      <c r="AL860" s="208"/>
      <c r="AM860" s="208"/>
      <c r="AN860" s="208"/>
      <c r="AO860" s="208"/>
      <c r="AP860" s="208"/>
      <c r="AQ860" s="208"/>
      <c r="AR860" s="208"/>
      <c r="AS860" s="208"/>
      <c r="AT860" s="208"/>
      <c r="AU860" s="208"/>
      <c r="AV860" s="208"/>
      <c r="AW860" s="208"/>
      <c r="AX860" s="208"/>
      <c r="AY860" s="208"/>
    </row>
    <row r="861">
      <c r="A861" s="208"/>
      <c r="B861" s="533"/>
      <c r="C861" s="208"/>
      <c r="D861" s="208"/>
      <c r="E861" s="208"/>
      <c r="F861" s="584"/>
      <c r="G861" s="208"/>
      <c r="H861" s="208"/>
      <c r="I861" s="208"/>
      <c r="J861" s="208"/>
      <c r="K861" s="208"/>
      <c r="L861" s="536"/>
      <c r="M861" s="208"/>
      <c r="N861" s="208"/>
      <c r="O861" s="208"/>
      <c r="P861" s="208"/>
      <c r="Q861" s="208"/>
      <c r="R861" s="208"/>
      <c r="S861" s="208"/>
      <c r="T861" s="208"/>
      <c r="U861" s="208"/>
      <c r="V861" s="208"/>
      <c r="W861" s="208"/>
      <c r="X861" s="208"/>
      <c r="Y861" s="208"/>
      <c r="Z861" s="208"/>
      <c r="AA861" s="208"/>
      <c r="AB861" s="208"/>
      <c r="AC861" s="208"/>
      <c r="AD861" s="208"/>
      <c r="AE861" s="208"/>
      <c r="AF861" s="208"/>
      <c r="AG861" s="208"/>
      <c r="AH861" s="208"/>
      <c r="AI861" s="208"/>
      <c r="AJ861" s="208"/>
      <c r="AK861" s="208"/>
      <c r="AL861" s="208"/>
      <c r="AM861" s="208"/>
      <c r="AN861" s="208"/>
      <c r="AO861" s="208"/>
      <c r="AP861" s="208"/>
      <c r="AQ861" s="208"/>
      <c r="AR861" s="208"/>
      <c r="AS861" s="208"/>
      <c r="AT861" s="208"/>
      <c r="AU861" s="208"/>
      <c r="AV861" s="208"/>
      <c r="AW861" s="208"/>
      <c r="AX861" s="208"/>
      <c r="AY861" s="208"/>
    </row>
    <row r="862">
      <c r="A862" s="208"/>
      <c r="B862" s="533"/>
      <c r="C862" s="208"/>
      <c r="D862" s="208"/>
      <c r="E862" s="208"/>
      <c r="F862" s="584"/>
      <c r="G862" s="208"/>
      <c r="H862" s="208"/>
      <c r="I862" s="208"/>
      <c r="J862" s="208"/>
      <c r="K862" s="208"/>
      <c r="L862" s="536"/>
      <c r="M862" s="208"/>
      <c r="N862" s="208"/>
      <c r="O862" s="208"/>
      <c r="P862" s="208"/>
      <c r="Q862" s="208"/>
      <c r="R862" s="208"/>
      <c r="S862" s="208"/>
      <c r="T862" s="208"/>
      <c r="U862" s="208"/>
      <c r="V862" s="208"/>
      <c r="W862" s="208"/>
      <c r="X862" s="208"/>
      <c r="Y862" s="208"/>
      <c r="Z862" s="208"/>
      <c r="AA862" s="208"/>
      <c r="AB862" s="208"/>
      <c r="AC862" s="208"/>
      <c r="AD862" s="208"/>
      <c r="AE862" s="208"/>
      <c r="AF862" s="208"/>
      <c r="AG862" s="208"/>
      <c r="AH862" s="208"/>
      <c r="AI862" s="208"/>
      <c r="AJ862" s="208"/>
      <c r="AK862" s="208"/>
      <c r="AL862" s="208"/>
      <c r="AM862" s="208"/>
      <c r="AN862" s="208"/>
      <c r="AO862" s="208"/>
      <c r="AP862" s="208"/>
      <c r="AQ862" s="208"/>
      <c r="AR862" s="208"/>
      <c r="AS862" s="208"/>
      <c r="AT862" s="208"/>
      <c r="AU862" s="208"/>
      <c r="AV862" s="208"/>
      <c r="AW862" s="208"/>
      <c r="AX862" s="208"/>
      <c r="AY862" s="208"/>
    </row>
    <row r="863">
      <c r="A863" s="208"/>
      <c r="B863" s="533"/>
      <c r="C863" s="208"/>
      <c r="D863" s="208"/>
      <c r="E863" s="208"/>
      <c r="F863" s="584"/>
      <c r="G863" s="208"/>
      <c r="H863" s="208"/>
      <c r="I863" s="208"/>
      <c r="J863" s="208"/>
      <c r="K863" s="208"/>
      <c r="L863" s="536"/>
      <c r="M863" s="208"/>
      <c r="N863" s="208"/>
      <c r="O863" s="208"/>
      <c r="P863" s="208"/>
      <c r="Q863" s="208"/>
      <c r="R863" s="208"/>
      <c r="S863" s="208"/>
      <c r="T863" s="208"/>
      <c r="U863" s="208"/>
      <c r="V863" s="208"/>
      <c r="W863" s="208"/>
      <c r="X863" s="208"/>
      <c r="Y863" s="208"/>
      <c r="Z863" s="208"/>
      <c r="AA863" s="208"/>
      <c r="AB863" s="208"/>
      <c r="AC863" s="208"/>
      <c r="AD863" s="208"/>
      <c r="AE863" s="208"/>
      <c r="AF863" s="208"/>
      <c r="AG863" s="208"/>
      <c r="AH863" s="208"/>
      <c r="AI863" s="208"/>
      <c r="AJ863" s="208"/>
      <c r="AK863" s="208"/>
      <c r="AL863" s="208"/>
      <c r="AM863" s="208"/>
      <c r="AN863" s="208"/>
      <c r="AO863" s="208"/>
      <c r="AP863" s="208"/>
      <c r="AQ863" s="208"/>
      <c r="AR863" s="208"/>
      <c r="AS863" s="208"/>
      <c r="AT863" s="208"/>
      <c r="AU863" s="208"/>
      <c r="AV863" s="208"/>
      <c r="AW863" s="208"/>
      <c r="AX863" s="208"/>
      <c r="AY863" s="208"/>
    </row>
    <row r="864">
      <c r="A864" s="208"/>
      <c r="B864" s="533"/>
      <c r="C864" s="208"/>
      <c r="D864" s="208"/>
      <c r="E864" s="208"/>
      <c r="F864" s="584"/>
      <c r="G864" s="208"/>
      <c r="H864" s="208"/>
      <c r="I864" s="208"/>
      <c r="J864" s="208"/>
      <c r="K864" s="208"/>
      <c r="L864" s="536"/>
      <c r="M864" s="208"/>
      <c r="N864" s="208"/>
      <c r="O864" s="208"/>
      <c r="P864" s="208"/>
      <c r="Q864" s="208"/>
      <c r="R864" s="208"/>
      <c r="S864" s="208"/>
      <c r="T864" s="208"/>
      <c r="U864" s="208"/>
      <c r="V864" s="208"/>
      <c r="W864" s="208"/>
      <c r="X864" s="208"/>
      <c r="Y864" s="208"/>
      <c r="Z864" s="208"/>
      <c r="AA864" s="208"/>
      <c r="AB864" s="208"/>
      <c r="AC864" s="208"/>
      <c r="AD864" s="208"/>
      <c r="AE864" s="208"/>
      <c r="AF864" s="208"/>
      <c r="AG864" s="208"/>
      <c r="AH864" s="208"/>
      <c r="AI864" s="208"/>
      <c r="AJ864" s="208"/>
      <c r="AK864" s="208"/>
      <c r="AL864" s="208"/>
      <c r="AM864" s="208"/>
      <c r="AN864" s="208"/>
      <c r="AO864" s="208"/>
      <c r="AP864" s="208"/>
      <c r="AQ864" s="208"/>
      <c r="AR864" s="208"/>
      <c r="AS864" s="208"/>
      <c r="AT864" s="208"/>
      <c r="AU864" s="208"/>
      <c r="AV864" s="208"/>
      <c r="AW864" s="208"/>
      <c r="AX864" s="208"/>
      <c r="AY864" s="208"/>
    </row>
    <row r="865">
      <c r="A865" s="208"/>
      <c r="B865" s="533"/>
      <c r="C865" s="208"/>
      <c r="D865" s="208"/>
      <c r="E865" s="208"/>
      <c r="F865" s="584"/>
      <c r="G865" s="208"/>
      <c r="H865" s="208"/>
      <c r="I865" s="208"/>
      <c r="J865" s="208"/>
      <c r="K865" s="208"/>
      <c r="L865" s="536"/>
      <c r="M865" s="208"/>
      <c r="N865" s="208"/>
      <c r="O865" s="208"/>
      <c r="P865" s="208"/>
      <c r="Q865" s="208"/>
      <c r="R865" s="208"/>
      <c r="S865" s="208"/>
      <c r="T865" s="208"/>
      <c r="U865" s="208"/>
      <c r="V865" s="208"/>
      <c r="W865" s="208"/>
      <c r="X865" s="208"/>
      <c r="Y865" s="208"/>
      <c r="Z865" s="208"/>
      <c r="AA865" s="208"/>
      <c r="AB865" s="208"/>
      <c r="AC865" s="208"/>
      <c r="AD865" s="208"/>
      <c r="AE865" s="208"/>
      <c r="AF865" s="208"/>
      <c r="AG865" s="208"/>
      <c r="AH865" s="208"/>
      <c r="AI865" s="208"/>
      <c r="AJ865" s="208"/>
      <c r="AK865" s="208"/>
      <c r="AL865" s="208"/>
      <c r="AM865" s="208"/>
      <c r="AN865" s="208"/>
      <c r="AO865" s="208"/>
      <c r="AP865" s="208"/>
      <c r="AQ865" s="208"/>
      <c r="AR865" s="208"/>
      <c r="AS865" s="208"/>
      <c r="AT865" s="208"/>
      <c r="AU865" s="208"/>
      <c r="AV865" s="208"/>
      <c r="AW865" s="208"/>
      <c r="AX865" s="208"/>
      <c r="AY865" s="208"/>
    </row>
    <row r="866">
      <c r="A866" s="208"/>
      <c r="B866" s="533"/>
      <c r="C866" s="208"/>
      <c r="D866" s="208"/>
      <c r="E866" s="208"/>
      <c r="F866" s="584"/>
      <c r="G866" s="208"/>
      <c r="H866" s="208"/>
      <c r="I866" s="208"/>
      <c r="J866" s="208"/>
      <c r="K866" s="208"/>
      <c r="L866" s="536"/>
      <c r="M866" s="208"/>
      <c r="N866" s="208"/>
      <c r="O866" s="208"/>
      <c r="P866" s="208"/>
      <c r="Q866" s="208"/>
      <c r="R866" s="208"/>
      <c r="S866" s="208"/>
      <c r="T866" s="208"/>
      <c r="U866" s="208"/>
      <c r="V866" s="208"/>
      <c r="W866" s="208"/>
      <c r="X866" s="208"/>
      <c r="Y866" s="208"/>
      <c r="Z866" s="208"/>
      <c r="AA866" s="208"/>
      <c r="AB866" s="208"/>
      <c r="AC866" s="208"/>
      <c r="AD866" s="208"/>
      <c r="AE866" s="208"/>
      <c r="AF866" s="208"/>
      <c r="AG866" s="208"/>
      <c r="AH866" s="208"/>
      <c r="AI866" s="208"/>
      <c r="AJ866" s="208"/>
      <c r="AK866" s="208"/>
      <c r="AL866" s="208"/>
      <c r="AM866" s="208"/>
      <c r="AN866" s="208"/>
      <c r="AO866" s="208"/>
      <c r="AP866" s="208"/>
      <c r="AQ866" s="208"/>
      <c r="AR866" s="208"/>
      <c r="AS866" s="208"/>
      <c r="AT866" s="208"/>
      <c r="AU866" s="208"/>
      <c r="AV866" s="208"/>
      <c r="AW866" s="208"/>
      <c r="AX866" s="208"/>
      <c r="AY866" s="208"/>
    </row>
    <row r="867">
      <c r="A867" s="208"/>
      <c r="B867" s="533"/>
      <c r="C867" s="208"/>
      <c r="D867" s="208"/>
      <c r="E867" s="208"/>
      <c r="F867" s="584"/>
      <c r="G867" s="208"/>
      <c r="H867" s="208"/>
      <c r="I867" s="208"/>
      <c r="J867" s="208"/>
      <c r="K867" s="208"/>
      <c r="L867" s="536"/>
      <c r="M867" s="208"/>
      <c r="N867" s="208"/>
      <c r="O867" s="208"/>
      <c r="P867" s="208"/>
      <c r="Q867" s="208"/>
      <c r="R867" s="208"/>
      <c r="S867" s="208"/>
      <c r="T867" s="208"/>
      <c r="U867" s="208"/>
      <c r="V867" s="208"/>
      <c r="W867" s="208"/>
      <c r="X867" s="208"/>
      <c r="Y867" s="208"/>
      <c r="Z867" s="208"/>
      <c r="AA867" s="208"/>
      <c r="AB867" s="208"/>
      <c r="AC867" s="208"/>
      <c r="AD867" s="208"/>
      <c r="AE867" s="208"/>
      <c r="AF867" s="208"/>
      <c r="AG867" s="208"/>
      <c r="AH867" s="208"/>
      <c r="AI867" s="208"/>
      <c r="AJ867" s="208"/>
      <c r="AK867" s="208"/>
      <c r="AL867" s="208"/>
      <c r="AM867" s="208"/>
      <c r="AN867" s="208"/>
      <c r="AO867" s="208"/>
      <c r="AP867" s="208"/>
      <c r="AQ867" s="208"/>
      <c r="AR867" s="208"/>
      <c r="AS867" s="208"/>
      <c r="AT867" s="208"/>
      <c r="AU867" s="208"/>
      <c r="AV867" s="208"/>
      <c r="AW867" s="208"/>
      <c r="AX867" s="208"/>
      <c r="AY867" s="208"/>
    </row>
    <row r="868">
      <c r="A868" s="208"/>
      <c r="B868" s="533"/>
      <c r="C868" s="208"/>
      <c r="D868" s="208"/>
      <c r="E868" s="208"/>
      <c r="F868" s="584"/>
      <c r="G868" s="208"/>
      <c r="H868" s="208"/>
      <c r="I868" s="208"/>
      <c r="J868" s="208"/>
      <c r="K868" s="208"/>
      <c r="L868" s="536"/>
      <c r="M868" s="208"/>
      <c r="N868" s="208"/>
      <c r="O868" s="208"/>
      <c r="P868" s="208"/>
      <c r="Q868" s="208"/>
      <c r="R868" s="208"/>
      <c r="S868" s="208"/>
      <c r="T868" s="208"/>
      <c r="U868" s="208"/>
      <c r="V868" s="208"/>
      <c r="W868" s="208"/>
      <c r="X868" s="208"/>
      <c r="Y868" s="208"/>
      <c r="Z868" s="208"/>
      <c r="AA868" s="208"/>
      <c r="AB868" s="208"/>
      <c r="AC868" s="208"/>
      <c r="AD868" s="208"/>
      <c r="AE868" s="208"/>
      <c r="AF868" s="208"/>
      <c r="AG868" s="208"/>
      <c r="AH868" s="208"/>
      <c r="AI868" s="208"/>
      <c r="AJ868" s="208"/>
      <c r="AK868" s="208"/>
      <c r="AL868" s="208"/>
      <c r="AM868" s="208"/>
      <c r="AN868" s="208"/>
      <c r="AO868" s="208"/>
      <c r="AP868" s="208"/>
      <c r="AQ868" s="208"/>
      <c r="AR868" s="208"/>
      <c r="AS868" s="208"/>
      <c r="AT868" s="208"/>
      <c r="AU868" s="208"/>
      <c r="AV868" s="208"/>
      <c r="AW868" s="208"/>
      <c r="AX868" s="208"/>
      <c r="AY868" s="208"/>
    </row>
    <row r="869">
      <c r="A869" s="208"/>
      <c r="B869" s="533"/>
      <c r="C869" s="208"/>
      <c r="D869" s="208"/>
      <c r="E869" s="208"/>
      <c r="F869" s="584"/>
      <c r="G869" s="208"/>
      <c r="H869" s="208"/>
      <c r="I869" s="208"/>
      <c r="J869" s="208"/>
      <c r="K869" s="208"/>
      <c r="L869" s="536"/>
      <c r="M869" s="208"/>
      <c r="N869" s="208"/>
      <c r="O869" s="208"/>
      <c r="P869" s="208"/>
      <c r="Q869" s="208"/>
      <c r="R869" s="208"/>
      <c r="S869" s="208"/>
      <c r="T869" s="208"/>
      <c r="U869" s="208"/>
      <c r="V869" s="208"/>
      <c r="W869" s="208"/>
      <c r="X869" s="208"/>
      <c r="Y869" s="208"/>
      <c r="Z869" s="208"/>
      <c r="AA869" s="208"/>
      <c r="AB869" s="208"/>
      <c r="AC869" s="208"/>
      <c r="AD869" s="208"/>
      <c r="AE869" s="208"/>
      <c r="AF869" s="208"/>
      <c r="AG869" s="208"/>
      <c r="AH869" s="208"/>
      <c r="AI869" s="208"/>
      <c r="AJ869" s="208"/>
      <c r="AK869" s="208"/>
      <c r="AL869" s="208"/>
      <c r="AM869" s="208"/>
      <c r="AN869" s="208"/>
      <c r="AO869" s="208"/>
      <c r="AP869" s="208"/>
      <c r="AQ869" s="208"/>
      <c r="AR869" s="208"/>
      <c r="AS869" s="208"/>
      <c r="AT869" s="208"/>
      <c r="AU869" s="208"/>
      <c r="AV869" s="208"/>
      <c r="AW869" s="208"/>
      <c r="AX869" s="208"/>
      <c r="AY869" s="208"/>
    </row>
    <row r="870">
      <c r="A870" s="208"/>
      <c r="B870" s="533"/>
      <c r="C870" s="208"/>
      <c r="D870" s="208"/>
      <c r="E870" s="208"/>
      <c r="F870" s="584"/>
      <c r="G870" s="208"/>
      <c r="H870" s="208"/>
      <c r="I870" s="208"/>
      <c r="J870" s="208"/>
      <c r="K870" s="208"/>
      <c r="L870" s="536"/>
      <c r="M870" s="208"/>
      <c r="N870" s="208"/>
      <c r="O870" s="208"/>
      <c r="P870" s="208"/>
      <c r="Q870" s="208"/>
      <c r="R870" s="208"/>
      <c r="S870" s="208"/>
      <c r="T870" s="208"/>
      <c r="U870" s="208"/>
      <c r="V870" s="208"/>
      <c r="W870" s="208"/>
      <c r="X870" s="208"/>
      <c r="Y870" s="208"/>
      <c r="Z870" s="208"/>
      <c r="AA870" s="208"/>
      <c r="AB870" s="208"/>
      <c r="AC870" s="208"/>
      <c r="AD870" s="208"/>
      <c r="AE870" s="208"/>
      <c r="AF870" s="208"/>
      <c r="AG870" s="208"/>
      <c r="AH870" s="208"/>
      <c r="AI870" s="208"/>
      <c r="AJ870" s="208"/>
      <c r="AK870" s="208"/>
      <c r="AL870" s="208"/>
      <c r="AM870" s="208"/>
      <c r="AN870" s="208"/>
      <c r="AO870" s="208"/>
      <c r="AP870" s="208"/>
      <c r="AQ870" s="208"/>
      <c r="AR870" s="208"/>
      <c r="AS870" s="208"/>
      <c r="AT870" s="208"/>
      <c r="AU870" s="208"/>
      <c r="AV870" s="208"/>
      <c r="AW870" s="208"/>
      <c r="AX870" s="208"/>
      <c r="AY870" s="208"/>
    </row>
    <row r="871">
      <c r="A871" s="208"/>
      <c r="B871" s="533"/>
      <c r="C871" s="208"/>
      <c r="D871" s="208"/>
      <c r="E871" s="208"/>
      <c r="F871" s="584"/>
      <c r="G871" s="208"/>
      <c r="H871" s="208"/>
      <c r="I871" s="208"/>
      <c r="J871" s="208"/>
      <c r="K871" s="208"/>
      <c r="L871" s="536"/>
      <c r="M871" s="208"/>
      <c r="N871" s="208"/>
      <c r="O871" s="208"/>
      <c r="P871" s="208"/>
      <c r="Q871" s="208"/>
      <c r="R871" s="208"/>
      <c r="S871" s="208"/>
      <c r="T871" s="208"/>
      <c r="U871" s="208"/>
      <c r="V871" s="208"/>
      <c r="W871" s="208"/>
      <c r="X871" s="208"/>
      <c r="Y871" s="208"/>
      <c r="Z871" s="208"/>
      <c r="AA871" s="208"/>
      <c r="AB871" s="208"/>
      <c r="AC871" s="208"/>
      <c r="AD871" s="208"/>
      <c r="AE871" s="208"/>
      <c r="AF871" s="208"/>
      <c r="AG871" s="208"/>
      <c r="AH871" s="208"/>
      <c r="AI871" s="208"/>
      <c r="AJ871" s="208"/>
      <c r="AK871" s="208"/>
      <c r="AL871" s="208"/>
      <c r="AM871" s="208"/>
      <c r="AN871" s="208"/>
      <c r="AO871" s="208"/>
      <c r="AP871" s="208"/>
      <c r="AQ871" s="208"/>
      <c r="AR871" s="208"/>
      <c r="AS871" s="208"/>
      <c r="AT871" s="208"/>
      <c r="AU871" s="208"/>
      <c r="AV871" s="208"/>
      <c r="AW871" s="208"/>
      <c r="AX871" s="208"/>
      <c r="AY871" s="208"/>
    </row>
    <row r="872">
      <c r="A872" s="208"/>
      <c r="B872" s="533"/>
      <c r="C872" s="208"/>
      <c r="D872" s="208"/>
      <c r="E872" s="208"/>
      <c r="F872" s="584"/>
      <c r="G872" s="208"/>
      <c r="H872" s="208"/>
      <c r="I872" s="208"/>
      <c r="J872" s="208"/>
      <c r="K872" s="208"/>
      <c r="L872" s="536"/>
      <c r="M872" s="208"/>
      <c r="N872" s="208"/>
      <c r="O872" s="208"/>
      <c r="P872" s="208"/>
      <c r="Q872" s="208"/>
      <c r="R872" s="208"/>
      <c r="S872" s="208"/>
      <c r="T872" s="208"/>
      <c r="U872" s="208"/>
      <c r="V872" s="208"/>
      <c r="W872" s="208"/>
      <c r="X872" s="208"/>
      <c r="Y872" s="208"/>
      <c r="Z872" s="208"/>
      <c r="AA872" s="208"/>
      <c r="AB872" s="208"/>
      <c r="AC872" s="208"/>
      <c r="AD872" s="208"/>
      <c r="AE872" s="208"/>
      <c r="AF872" s="208"/>
      <c r="AG872" s="208"/>
      <c r="AH872" s="208"/>
      <c r="AI872" s="208"/>
      <c r="AJ872" s="208"/>
      <c r="AK872" s="208"/>
      <c r="AL872" s="208"/>
      <c r="AM872" s="208"/>
      <c r="AN872" s="208"/>
      <c r="AO872" s="208"/>
      <c r="AP872" s="208"/>
      <c r="AQ872" s="208"/>
      <c r="AR872" s="208"/>
      <c r="AS872" s="208"/>
      <c r="AT872" s="208"/>
      <c r="AU872" s="208"/>
      <c r="AV872" s="208"/>
      <c r="AW872" s="208"/>
      <c r="AX872" s="208"/>
      <c r="AY872" s="208"/>
    </row>
    <row r="873">
      <c r="A873" s="208"/>
      <c r="B873" s="533"/>
      <c r="C873" s="208"/>
      <c r="D873" s="208"/>
      <c r="E873" s="208"/>
      <c r="F873" s="584"/>
      <c r="G873" s="208"/>
      <c r="H873" s="208"/>
      <c r="I873" s="208"/>
      <c r="J873" s="208"/>
      <c r="K873" s="208"/>
      <c r="L873" s="536"/>
      <c r="M873" s="208"/>
      <c r="N873" s="208"/>
      <c r="O873" s="208"/>
      <c r="P873" s="208"/>
      <c r="Q873" s="208"/>
      <c r="R873" s="208"/>
      <c r="S873" s="208"/>
      <c r="T873" s="208"/>
      <c r="U873" s="208"/>
      <c r="V873" s="208"/>
      <c r="W873" s="208"/>
      <c r="X873" s="208"/>
      <c r="Y873" s="208"/>
      <c r="Z873" s="208"/>
      <c r="AA873" s="208"/>
      <c r="AB873" s="208"/>
      <c r="AC873" s="208"/>
      <c r="AD873" s="208"/>
      <c r="AE873" s="208"/>
      <c r="AF873" s="208"/>
      <c r="AG873" s="208"/>
      <c r="AH873" s="208"/>
      <c r="AI873" s="208"/>
      <c r="AJ873" s="208"/>
      <c r="AK873" s="208"/>
      <c r="AL873" s="208"/>
      <c r="AM873" s="208"/>
      <c r="AN873" s="208"/>
      <c r="AO873" s="208"/>
      <c r="AP873" s="208"/>
      <c r="AQ873" s="208"/>
      <c r="AR873" s="208"/>
      <c r="AS873" s="208"/>
      <c r="AT873" s="208"/>
      <c r="AU873" s="208"/>
      <c r="AV873" s="208"/>
      <c r="AW873" s="208"/>
      <c r="AX873" s="208"/>
      <c r="AY873" s="208"/>
    </row>
    <row r="874">
      <c r="A874" s="208"/>
      <c r="B874" s="533"/>
      <c r="C874" s="208"/>
      <c r="D874" s="208"/>
      <c r="E874" s="208"/>
      <c r="F874" s="584"/>
      <c r="G874" s="208"/>
      <c r="H874" s="208"/>
      <c r="I874" s="208"/>
      <c r="J874" s="208"/>
      <c r="K874" s="208"/>
      <c r="L874" s="536"/>
      <c r="M874" s="208"/>
      <c r="N874" s="208"/>
      <c r="O874" s="208"/>
      <c r="P874" s="208"/>
      <c r="Q874" s="208"/>
      <c r="R874" s="208"/>
      <c r="S874" s="208"/>
      <c r="T874" s="208"/>
      <c r="U874" s="208"/>
      <c r="V874" s="208"/>
      <c r="W874" s="208"/>
      <c r="X874" s="208"/>
      <c r="Y874" s="208"/>
      <c r="Z874" s="208"/>
      <c r="AA874" s="208"/>
      <c r="AB874" s="208"/>
      <c r="AC874" s="208"/>
      <c r="AD874" s="208"/>
      <c r="AE874" s="208"/>
      <c r="AF874" s="208"/>
      <c r="AG874" s="208"/>
      <c r="AH874" s="208"/>
      <c r="AI874" s="208"/>
      <c r="AJ874" s="208"/>
      <c r="AK874" s="208"/>
      <c r="AL874" s="208"/>
      <c r="AM874" s="208"/>
      <c r="AN874" s="208"/>
      <c r="AO874" s="208"/>
      <c r="AP874" s="208"/>
      <c r="AQ874" s="208"/>
      <c r="AR874" s="208"/>
      <c r="AS874" s="208"/>
      <c r="AT874" s="208"/>
      <c r="AU874" s="208"/>
      <c r="AV874" s="208"/>
      <c r="AW874" s="208"/>
      <c r="AX874" s="208"/>
      <c r="AY874" s="208"/>
    </row>
    <row r="875">
      <c r="A875" s="208"/>
      <c r="B875" s="533"/>
      <c r="C875" s="208"/>
      <c r="D875" s="208"/>
      <c r="E875" s="208"/>
      <c r="F875" s="584"/>
      <c r="G875" s="208"/>
      <c r="H875" s="208"/>
      <c r="I875" s="208"/>
      <c r="J875" s="208"/>
      <c r="K875" s="208"/>
      <c r="L875" s="536"/>
      <c r="M875" s="208"/>
      <c r="N875" s="208"/>
      <c r="O875" s="208"/>
      <c r="P875" s="208"/>
      <c r="Q875" s="208"/>
      <c r="R875" s="208"/>
      <c r="S875" s="208"/>
      <c r="T875" s="208"/>
      <c r="U875" s="208"/>
      <c r="V875" s="208"/>
      <c r="W875" s="208"/>
      <c r="X875" s="208"/>
      <c r="Y875" s="208"/>
      <c r="Z875" s="208"/>
      <c r="AA875" s="208"/>
      <c r="AB875" s="208"/>
      <c r="AC875" s="208"/>
      <c r="AD875" s="208"/>
      <c r="AE875" s="208"/>
      <c r="AF875" s="208"/>
      <c r="AG875" s="208"/>
      <c r="AH875" s="208"/>
      <c r="AI875" s="208"/>
      <c r="AJ875" s="208"/>
      <c r="AK875" s="208"/>
      <c r="AL875" s="208"/>
      <c r="AM875" s="208"/>
      <c r="AN875" s="208"/>
      <c r="AO875" s="208"/>
      <c r="AP875" s="208"/>
      <c r="AQ875" s="208"/>
      <c r="AR875" s="208"/>
      <c r="AS875" s="208"/>
      <c r="AT875" s="208"/>
      <c r="AU875" s="208"/>
      <c r="AV875" s="208"/>
      <c r="AW875" s="208"/>
      <c r="AX875" s="208"/>
      <c r="AY875" s="208"/>
    </row>
    <row r="876">
      <c r="A876" s="208"/>
      <c r="B876" s="533"/>
      <c r="C876" s="208"/>
      <c r="D876" s="208"/>
      <c r="E876" s="208"/>
      <c r="F876" s="584"/>
      <c r="G876" s="208"/>
      <c r="H876" s="208"/>
      <c r="I876" s="208"/>
      <c r="J876" s="208"/>
      <c r="K876" s="208"/>
      <c r="L876" s="536"/>
      <c r="M876" s="208"/>
      <c r="N876" s="208"/>
      <c r="O876" s="208"/>
      <c r="P876" s="208"/>
      <c r="Q876" s="208"/>
      <c r="R876" s="208"/>
      <c r="S876" s="208"/>
      <c r="T876" s="208"/>
      <c r="U876" s="208"/>
      <c r="V876" s="208"/>
      <c r="W876" s="208"/>
      <c r="X876" s="208"/>
      <c r="Y876" s="208"/>
      <c r="Z876" s="208"/>
      <c r="AA876" s="208"/>
      <c r="AB876" s="208"/>
      <c r="AC876" s="208"/>
      <c r="AD876" s="208"/>
      <c r="AE876" s="208"/>
      <c r="AF876" s="208"/>
      <c r="AG876" s="208"/>
      <c r="AH876" s="208"/>
      <c r="AI876" s="208"/>
      <c r="AJ876" s="208"/>
      <c r="AK876" s="208"/>
      <c r="AL876" s="208"/>
      <c r="AM876" s="208"/>
      <c r="AN876" s="208"/>
      <c r="AO876" s="208"/>
      <c r="AP876" s="208"/>
      <c r="AQ876" s="208"/>
      <c r="AR876" s="208"/>
      <c r="AS876" s="208"/>
      <c r="AT876" s="208"/>
      <c r="AU876" s="208"/>
      <c r="AV876" s="208"/>
      <c r="AW876" s="208"/>
      <c r="AX876" s="208"/>
      <c r="AY876" s="208"/>
    </row>
    <row r="877">
      <c r="A877" s="208"/>
      <c r="B877" s="533"/>
      <c r="C877" s="208"/>
      <c r="D877" s="208"/>
      <c r="E877" s="208"/>
      <c r="F877" s="584"/>
      <c r="G877" s="208"/>
      <c r="H877" s="208"/>
      <c r="I877" s="208"/>
      <c r="J877" s="208"/>
      <c r="K877" s="208"/>
      <c r="L877" s="536"/>
      <c r="M877" s="208"/>
      <c r="N877" s="208"/>
      <c r="O877" s="208"/>
      <c r="P877" s="208"/>
      <c r="Q877" s="208"/>
      <c r="R877" s="208"/>
      <c r="S877" s="208"/>
      <c r="T877" s="208"/>
      <c r="U877" s="208"/>
      <c r="V877" s="208"/>
      <c r="W877" s="208"/>
      <c r="X877" s="208"/>
      <c r="Y877" s="208"/>
      <c r="Z877" s="208"/>
      <c r="AA877" s="208"/>
      <c r="AB877" s="208"/>
      <c r="AC877" s="208"/>
      <c r="AD877" s="208"/>
      <c r="AE877" s="208"/>
      <c r="AF877" s="208"/>
      <c r="AG877" s="208"/>
      <c r="AH877" s="208"/>
      <c r="AI877" s="208"/>
      <c r="AJ877" s="208"/>
      <c r="AK877" s="208"/>
      <c r="AL877" s="208"/>
      <c r="AM877" s="208"/>
      <c r="AN877" s="208"/>
      <c r="AO877" s="208"/>
      <c r="AP877" s="208"/>
      <c r="AQ877" s="208"/>
      <c r="AR877" s="208"/>
      <c r="AS877" s="208"/>
      <c r="AT877" s="208"/>
      <c r="AU877" s="208"/>
      <c r="AV877" s="208"/>
      <c r="AW877" s="208"/>
      <c r="AX877" s="208"/>
      <c r="AY877" s="208"/>
    </row>
    <row r="878">
      <c r="A878" s="208"/>
      <c r="B878" s="533"/>
      <c r="C878" s="208"/>
      <c r="D878" s="208"/>
      <c r="E878" s="208"/>
      <c r="F878" s="584"/>
      <c r="G878" s="208"/>
      <c r="H878" s="208"/>
      <c r="I878" s="208"/>
      <c r="J878" s="208"/>
      <c r="K878" s="208"/>
      <c r="L878" s="536"/>
      <c r="M878" s="208"/>
      <c r="N878" s="208"/>
      <c r="O878" s="208"/>
      <c r="P878" s="208"/>
      <c r="Q878" s="208"/>
      <c r="R878" s="208"/>
      <c r="S878" s="208"/>
      <c r="T878" s="208"/>
      <c r="U878" s="208"/>
      <c r="V878" s="208"/>
      <c r="W878" s="208"/>
      <c r="X878" s="208"/>
      <c r="Y878" s="208"/>
      <c r="Z878" s="208"/>
      <c r="AA878" s="208"/>
      <c r="AB878" s="208"/>
      <c r="AC878" s="208"/>
      <c r="AD878" s="208"/>
      <c r="AE878" s="208"/>
      <c r="AF878" s="208"/>
      <c r="AG878" s="208"/>
      <c r="AH878" s="208"/>
      <c r="AI878" s="208"/>
      <c r="AJ878" s="208"/>
      <c r="AK878" s="208"/>
      <c r="AL878" s="208"/>
      <c r="AM878" s="208"/>
      <c r="AN878" s="208"/>
      <c r="AO878" s="208"/>
      <c r="AP878" s="208"/>
      <c r="AQ878" s="208"/>
      <c r="AR878" s="208"/>
      <c r="AS878" s="208"/>
      <c r="AT878" s="208"/>
      <c r="AU878" s="208"/>
      <c r="AV878" s="208"/>
      <c r="AW878" s="208"/>
      <c r="AX878" s="208"/>
      <c r="AY878" s="208"/>
    </row>
    <row r="879">
      <c r="A879" s="208"/>
      <c r="B879" s="533"/>
      <c r="C879" s="208"/>
      <c r="D879" s="208"/>
      <c r="E879" s="208"/>
      <c r="F879" s="584"/>
      <c r="G879" s="208"/>
      <c r="H879" s="208"/>
      <c r="I879" s="208"/>
      <c r="J879" s="208"/>
      <c r="K879" s="208"/>
      <c r="L879" s="536"/>
      <c r="M879" s="208"/>
      <c r="N879" s="208"/>
      <c r="O879" s="208"/>
      <c r="P879" s="208"/>
      <c r="Q879" s="208"/>
      <c r="R879" s="208"/>
      <c r="S879" s="208"/>
      <c r="T879" s="208"/>
      <c r="U879" s="208"/>
      <c r="V879" s="208"/>
      <c r="W879" s="208"/>
      <c r="X879" s="208"/>
      <c r="Y879" s="208"/>
      <c r="Z879" s="208"/>
      <c r="AA879" s="208"/>
      <c r="AB879" s="208"/>
      <c r="AC879" s="208"/>
      <c r="AD879" s="208"/>
      <c r="AE879" s="208"/>
      <c r="AF879" s="208"/>
      <c r="AG879" s="208"/>
      <c r="AH879" s="208"/>
      <c r="AI879" s="208"/>
      <c r="AJ879" s="208"/>
      <c r="AK879" s="208"/>
      <c r="AL879" s="208"/>
      <c r="AM879" s="208"/>
      <c r="AN879" s="208"/>
      <c r="AO879" s="208"/>
      <c r="AP879" s="208"/>
      <c r="AQ879" s="208"/>
      <c r="AR879" s="208"/>
      <c r="AS879" s="208"/>
      <c r="AT879" s="208"/>
      <c r="AU879" s="208"/>
      <c r="AV879" s="208"/>
      <c r="AW879" s="208"/>
      <c r="AX879" s="208"/>
      <c r="AY879" s="208"/>
    </row>
    <row r="880">
      <c r="A880" s="208"/>
      <c r="B880" s="533"/>
      <c r="C880" s="208"/>
      <c r="D880" s="208"/>
      <c r="E880" s="208"/>
      <c r="F880" s="584"/>
      <c r="G880" s="208"/>
      <c r="H880" s="208"/>
      <c r="I880" s="208"/>
      <c r="J880" s="208"/>
      <c r="K880" s="208"/>
      <c r="L880" s="536"/>
      <c r="M880" s="208"/>
      <c r="N880" s="208"/>
      <c r="O880" s="208"/>
      <c r="P880" s="208"/>
      <c r="Q880" s="208"/>
      <c r="R880" s="208"/>
      <c r="S880" s="208"/>
      <c r="T880" s="208"/>
      <c r="U880" s="208"/>
      <c r="V880" s="208"/>
      <c r="W880" s="208"/>
      <c r="X880" s="208"/>
      <c r="Y880" s="208"/>
      <c r="Z880" s="208"/>
      <c r="AA880" s="208"/>
      <c r="AB880" s="208"/>
      <c r="AC880" s="208"/>
      <c r="AD880" s="208"/>
      <c r="AE880" s="208"/>
      <c r="AF880" s="208"/>
      <c r="AG880" s="208"/>
      <c r="AH880" s="208"/>
      <c r="AI880" s="208"/>
      <c r="AJ880" s="208"/>
      <c r="AK880" s="208"/>
      <c r="AL880" s="208"/>
      <c r="AM880" s="208"/>
      <c r="AN880" s="208"/>
      <c r="AO880" s="208"/>
      <c r="AP880" s="208"/>
      <c r="AQ880" s="208"/>
      <c r="AR880" s="208"/>
      <c r="AS880" s="208"/>
      <c r="AT880" s="208"/>
      <c r="AU880" s="208"/>
      <c r="AV880" s="208"/>
      <c r="AW880" s="208"/>
      <c r="AX880" s="208"/>
      <c r="AY880" s="208"/>
    </row>
    <row r="881">
      <c r="A881" s="208"/>
      <c r="B881" s="533"/>
      <c r="C881" s="208"/>
      <c r="D881" s="208"/>
      <c r="E881" s="208"/>
      <c r="F881" s="584"/>
      <c r="G881" s="208"/>
      <c r="H881" s="208"/>
      <c r="I881" s="208"/>
      <c r="J881" s="208"/>
      <c r="K881" s="208"/>
      <c r="L881" s="536"/>
      <c r="M881" s="208"/>
      <c r="N881" s="208"/>
      <c r="O881" s="208"/>
      <c r="P881" s="208"/>
      <c r="Q881" s="208"/>
      <c r="R881" s="208"/>
      <c r="S881" s="208"/>
      <c r="T881" s="208"/>
      <c r="U881" s="208"/>
      <c r="V881" s="208"/>
      <c r="W881" s="208"/>
      <c r="X881" s="208"/>
      <c r="Y881" s="208"/>
      <c r="Z881" s="208"/>
      <c r="AA881" s="208"/>
      <c r="AB881" s="208"/>
      <c r="AC881" s="208"/>
      <c r="AD881" s="208"/>
      <c r="AE881" s="208"/>
      <c r="AF881" s="208"/>
      <c r="AG881" s="208"/>
      <c r="AH881" s="208"/>
      <c r="AI881" s="208"/>
      <c r="AJ881" s="208"/>
      <c r="AK881" s="208"/>
      <c r="AL881" s="208"/>
      <c r="AM881" s="208"/>
      <c r="AN881" s="208"/>
      <c r="AO881" s="208"/>
      <c r="AP881" s="208"/>
      <c r="AQ881" s="208"/>
      <c r="AR881" s="208"/>
      <c r="AS881" s="208"/>
      <c r="AT881" s="208"/>
      <c r="AU881" s="208"/>
      <c r="AV881" s="208"/>
      <c r="AW881" s="208"/>
      <c r="AX881" s="208"/>
      <c r="AY881" s="208"/>
    </row>
    <row r="882">
      <c r="A882" s="208"/>
      <c r="B882" s="533"/>
      <c r="C882" s="208"/>
      <c r="D882" s="208"/>
      <c r="E882" s="208"/>
      <c r="F882" s="584"/>
      <c r="G882" s="208"/>
      <c r="H882" s="208"/>
      <c r="I882" s="208"/>
      <c r="J882" s="208"/>
      <c r="K882" s="208"/>
      <c r="L882" s="536"/>
      <c r="M882" s="208"/>
      <c r="N882" s="208"/>
      <c r="O882" s="208"/>
      <c r="P882" s="208"/>
      <c r="Q882" s="208"/>
      <c r="R882" s="208"/>
      <c r="S882" s="208"/>
      <c r="T882" s="208"/>
      <c r="U882" s="208"/>
      <c r="V882" s="208"/>
      <c r="W882" s="208"/>
      <c r="X882" s="208"/>
      <c r="Y882" s="208"/>
      <c r="Z882" s="208"/>
      <c r="AA882" s="208"/>
      <c r="AB882" s="208"/>
      <c r="AC882" s="208"/>
      <c r="AD882" s="208"/>
      <c r="AE882" s="208"/>
      <c r="AF882" s="208"/>
      <c r="AG882" s="208"/>
      <c r="AH882" s="208"/>
      <c r="AI882" s="208"/>
      <c r="AJ882" s="208"/>
      <c r="AK882" s="208"/>
      <c r="AL882" s="208"/>
      <c r="AM882" s="208"/>
      <c r="AN882" s="208"/>
      <c r="AO882" s="208"/>
      <c r="AP882" s="208"/>
      <c r="AQ882" s="208"/>
      <c r="AR882" s="208"/>
      <c r="AS882" s="208"/>
      <c r="AT882" s="208"/>
      <c r="AU882" s="208"/>
      <c r="AV882" s="208"/>
      <c r="AW882" s="208"/>
      <c r="AX882" s="208"/>
      <c r="AY882" s="208"/>
    </row>
    <row r="883">
      <c r="A883" s="208"/>
      <c r="B883" s="533"/>
      <c r="C883" s="208"/>
      <c r="D883" s="208"/>
      <c r="E883" s="208"/>
      <c r="F883" s="584"/>
      <c r="G883" s="208"/>
      <c r="H883" s="208"/>
      <c r="I883" s="208"/>
      <c r="J883" s="208"/>
      <c r="K883" s="208"/>
      <c r="L883" s="536"/>
      <c r="M883" s="208"/>
      <c r="N883" s="208"/>
      <c r="O883" s="208"/>
      <c r="P883" s="208"/>
      <c r="Q883" s="208"/>
      <c r="R883" s="208"/>
      <c r="S883" s="208"/>
      <c r="T883" s="208"/>
      <c r="U883" s="208"/>
      <c r="V883" s="208"/>
      <c r="W883" s="208"/>
      <c r="X883" s="208"/>
      <c r="Y883" s="208"/>
      <c r="Z883" s="208"/>
      <c r="AA883" s="208"/>
      <c r="AB883" s="208"/>
      <c r="AC883" s="208"/>
      <c r="AD883" s="208"/>
      <c r="AE883" s="208"/>
      <c r="AF883" s="208"/>
      <c r="AG883" s="208"/>
      <c r="AH883" s="208"/>
      <c r="AI883" s="208"/>
      <c r="AJ883" s="208"/>
      <c r="AK883" s="208"/>
      <c r="AL883" s="208"/>
      <c r="AM883" s="208"/>
      <c r="AN883" s="208"/>
      <c r="AO883" s="208"/>
      <c r="AP883" s="208"/>
      <c r="AQ883" s="208"/>
      <c r="AR883" s="208"/>
      <c r="AS883" s="208"/>
      <c r="AT883" s="208"/>
      <c r="AU883" s="208"/>
      <c r="AV883" s="208"/>
      <c r="AW883" s="208"/>
      <c r="AX883" s="208"/>
      <c r="AY883" s="208"/>
    </row>
    <row r="884">
      <c r="A884" s="208"/>
      <c r="B884" s="533"/>
      <c r="C884" s="208"/>
      <c r="D884" s="208"/>
      <c r="E884" s="208"/>
      <c r="F884" s="584"/>
      <c r="G884" s="208"/>
      <c r="H884" s="208"/>
      <c r="I884" s="208"/>
      <c r="J884" s="208"/>
      <c r="K884" s="208"/>
      <c r="L884" s="536"/>
      <c r="M884" s="208"/>
      <c r="N884" s="208"/>
      <c r="O884" s="208"/>
      <c r="P884" s="208"/>
      <c r="Q884" s="208"/>
      <c r="R884" s="208"/>
      <c r="S884" s="208"/>
      <c r="T884" s="208"/>
      <c r="U884" s="208"/>
      <c r="V884" s="208"/>
      <c r="W884" s="208"/>
      <c r="X884" s="208"/>
      <c r="Y884" s="208"/>
      <c r="Z884" s="208"/>
      <c r="AA884" s="208"/>
      <c r="AB884" s="208"/>
      <c r="AC884" s="208"/>
      <c r="AD884" s="208"/>
      <c r="AE884" s="208"/>
      <c r="AF884" s="208"/>
      <c r="AG884" s="208"/>
      <c r="AH884" s="208"/>
      <c r="AI884" s="208"/>
      <c r="AJ884" s="208"/>
      <c r="AK884" s="208"/>
      <c r="AL884" s="208"/>
      <c r="AM884" s="208"/>
      <c r="AN884" s="208"/>
      <c r="AO884" s="208"/>
      <c r="AP884" s="208"/>
      <c r="AQ884" s="208"/>
      <c r="AR884" s="208"/>
      <c r="AS884" s="208"/>
      <c r="AT884" s="208"/>
      <c r="AU884" s="208"/>
      <c r="AV884" s="208"/>
      <c r="AW884" s="208"/>
      <c r="AX884" s="208"/>
      <c r="AY884" s="208"/>
    </row>
    <row r="885">
      <c r="A885" s="208"/>
      <c r="B885" s="533"/>
      <c r="C885" s="208"/>
      <c r="D885" s="208"/>
      <c r="E885" s="208"/>
      <c r="F885" s="584"/>
      <c r="G885" s="208"/>
      <c r="H885" s="208"/>
      <c r="I885" s="208"/>
      <c r="J885" s="208"/>
      <c r="K885" s="208"/>
      <c r="L885" s="536"/>
      <c r="M885" s="208"/>
      <c r="N885" s="208"/>
      <c r="O885" s="208"/>
      <c r="P885" s="208"/>
      <c r="Q885" s="208"/>
      <c r="R885" s="208"/>
      <c r="S885" s="208"/>
      <c r="T885" s="208"/>
      <c r="U885" s="208"/>
      <c r="V885" s="208"/>
      <c r="W885" s="208"/>
      <c r="X885" s="208"/>
      <c r="Y885" s="208"/>
      <c r="Z885" s="208"/>
      <c r="AA885" s="208"/>
      <c r="AB885" s="208"/>
      <c r="AC885" s="208"/>
      <c r="AD885" s="208"/>
      <c r="AE885" s="208"/>
      <c r="AF885" s="208"/>
      <c r="AG885" s="208"/>
      <c r="AH885" s="208"/>
      <c r="AI885" s="208"/>
      <c r="AJ885" s="208"/>
      <c r="AK885" s="208"/>
      <c r="AL885" s="208"/>
      <c r="AM885" s="208"/>
      <c r="AN885" s="208"/>
      <c r="AO885" s="208"/>
      <c r="AP885" s="208"/>
      <c r="AQ885" s="208"/>
      <c r="AR885" s="208"/>
      <c r="AS885" s="208"/>
      <c r="AT885" s="208"/>
      <c r="AU885" s="208"/>
      <c r="AV885" s="208"/>
      <c r="AW885" s="208"/>
      <c r="AX885" s="208"/>
      <c r="AY885" s="208"/>
    </row>
    <row r="886">
      <c r="A886" s="208"/>
      <c r="B886" s="533"/>
      <c r="C886" s="208"/>
      <c r="D886" s="208"/>
      <c r="E886" s="208"/>
      <c r="F886" s="584"/>
      <c r="G886" s="208"/>
      <c r="H886" s="208"/>
      <c r="I886" s="208"/>
      <c r="J886" s="208"/>
      <c r="K886" s="208"/>
      <c r="L886" s="536"/>
      <c r="M886" s="208"/>
      <c r="N886" s="208"/>
      <c r="O886" s="208"/>
      <c r="P886" s="208"/>
      <c r="Q886" s="208"/>
      <c r="R886" s="208"/>
      <c r="S886" s="208"/>
      <c r="T886" s="208"/>
      <c r="U886" s="208"/>
      <c r="V886" s="208"/>
      <c r="W886" s="208"/>
      <c r="X886" s="208"/>
      <c r="Y886" s="208"/>
      <c r="Z886" s="208"/>
      <c r="AA886" s="208"/>
      <c r="AB886" s="208"/>
      <c r="AC886" s="208"/>
      <c r="AD886" s="208"/>
      <c r="AE886" s="208"/>
      <c r="AF886" s="208"/>
      <c r="AG886" s="208"/>
      <c r="AH886" s="208"/>
      <c r="AI886" s="208"/>
      <c r="AJ886" s="208"/>
      <c r="AK886" s="208"/>
      <c r="AL886" s="208"/>
      <c r="AM886" s="208"/>
      <c r="AN886" s="208"/>
      <c r="AO886" s="208"/>
      <c r="AP886" s="208"/>
      <c r="AQ886" s="208"/>
      <c r="AR886" s="208"/>
      <c r="AS886" s="208"/>
      <c r="AT886" s="208"/>
      <c r="AU886" s="208"/>
      <c r="AV886" s="208"/>
      <c r="AW886" s="208"/>
      <c r="AX886" s="208"/>
      <c r="AY886" s="208"/>
    </row>
    <row r="887">
      <c r="A887" s="208"/>
      <c r="B887" s="533"/>
      <c r="C887" s="208"/>
      <c r="D887" s="208"/>
      <c r="E887" s="208"/>
      <c r="F887" s="584"/>
      <c r="G887" s="208"/>
      <c r="H887" s="208"/>
      <c r="I887" s="208"/>
      <c r="J887" s="208"/>
      <c r="K887" s="208"/>
      <c r="L887" s="536"/>
      <c r="M887" s="208"/>
      <c r="N887" s="208"/>
      <c r="O887" s="208"/>
      <c r="P887" s="208"/>
      <c r="Q887" s="208"/>
      <c r="R887" s="208"/>
      <c r="S887" s="208"/>
      <c r="T887" s="208"/>
      <c r="U887" s="208"/>
      <c r="V887" s="208"/>
      <c r="W887" s="208"/>
      <c r="X887" s="208"/>
      <c r="Y887" s="208"/>
      <c r="Z887" s="208"/>
      <c r="AA887" s="208"/>
      <c r="AB887" s="208"/>
      <c r="AC887" s="208"/>
      <c r="AD887" s="208"/>
      <c r="AE887" s="208"/>
      <c r="AF887" s="208"/>
      <c r="AG887" s="208"/>
      <c r="AH887" s="208"/>
      <c r="AI887" s="208"/>
      <c r="AJ887" s="208"/>
      <c r="AK887" s="208"/>
      <c r="AL887" s="208"/>
      <c r="AM887" s="208"/>
      <c r="AN887" s="208"/>
      <c r="AO887" s="208"/>
      <c r="AP887" s="208"/>
      <c r="AQ887" s="208"/>
      <c r="AR887" s="208"/>
      <c r="AS887" s="208"/>
      <c r="AT887" s="208"/>
      <c r="AU887" s="208"/>
      <c r="AV887" s="208"/>
      <c r="AW887" s="208"/>
      <c r="AX887" s="208"/>
      <c r="AY887" s="208"/>
    </row>
    <row r="888">
      <c r="A888" s="208"/>
      <c r="B888" s="533"/>
      <c r="C888" s="208"/>
      <c r="D888" s="208"/>
      <c r="E888" s="208"/>
      <c r="F888" s="584"/>
      <c r="G888" s="208"/>
      <c r="H888" s="208"/>
      <c r="I888" s="208"/>
      <c r="J888" s="208"/>
      <c r="K888" s="208"/>
      <c r="L888" s="536"/>
      <c r="M888" s="208"/>
      <c r="N888" s="208"/>
      <c r="O888" s="208"/>
      <c r="P888" s="208"/>
      <c r="Q888" s="208"/>
      <c r="R888" s="208"/>
      <c r="S888" s="208"/>
      <c r="T888" s="208"/>
      <c r="U888" s="208"/>
      <c r="V888" s="208"/>
      <c r="W888" s="208"/>
      <c r="X888" s="208"/>
      <c r="Y888" s="208"/>
      <c r="Z888" s="208"/>
      <c r="AA888" s="208"/>
      <c r="AB888" s="208"/>
      <c r="AC888" s="208"/>
      <c r="AD888" s="208"/>
      <c r="AE888" s="208"/>
      <c r="AF888" s="208"/>
      <c r="AG888" s="208"/>
      <c r="AH888" s="208"/>
      <c r="AI888" s="208"/>
      <c r="AJ888" s="208"/>
      <c r="AK888" s="208"/>
      <c r="AL888" s="208"/>
      <c r="AM888" s="208"/>
      <c r="AN888" s="208"/>
      <c r="AO888" s="208"/>
      <c r="AP888" s="208"/>
      <c r="AQ888" s="208"/>
      <c r="AR888" s="208"/>
      <c r="AS888" s="208"/>
      <c r="AT888" s="208"/>
      <c r="AU888" s="208"/>
      <c r="AV888" s="208"/>
      <c r="AW888" s="208"/>
      <c r="AX888" s="208"/>
      <c r="AY888" s="208"/>
    </row>
    <row r="889">
      <c r="A889" s="208"/>
      <c r="B889" s="533"/>
      <c r="C889" s="208"/>
      <c r="D889" s="208"/>
      <c r="E889" s="208"/>
      <c r="F889" s="584"/>
      <c r="G889" s="208"/>
      <c r="H889" s="208"/>
      <c r="I889" s="208"/>
      <c r="J889" s="208"/>
      <c r="K889" s="208"/>
      <c r="L889" s="536"/>
      <c r="M889" s="208"/>
      <c r="N889" s="208"/>
      <c r="O889" s="208"/>
      <c r="P889" s="208"/>
      <c r="Q889" s="208"/>
      <c r="R889" s="208"/>
      <c r="S889" s="208"/>
      <c r="T889" s="208"/>
      <c r="U889" s="208"/>
      <c r="V889" s="208"/>
      <c r="W889" s="208"/>
      <c r="X889" s="208"/>
      <c r="Y889" s="208"/>
      <c r="Z889" s="208"/>
      <c r="AA889" s="208"/>
      <c r="AB889" s="208"/>
      <c r="AC889" s="208"/>
      <c r="AD889" s="208"/>
      <c r="AE889" s="208"/>
      <c r="AF889" s="208"/>
      <c r="AG889" s="208"/>
      <c r="AH889" s="208"/>
      <c r="AI889" s="208"/>
      <c r="AJ889" s="208"/>
      <c r="AK889" s="208"/>
      <c r="AL889" s="208"/>
      <c r="AM889" s="208"/>
      <c r="AN889" s="208"/>
      <c r="AO889" s="208"/>
      <c r="AP889" s="208"/>
      <c r="AQ889" s="208"/>
      <c r="AR889" s="208"/>
      <c r="AS889" s="208"/>
      <c r="AT889" s="208"/>
      <c r="AU889" s="208"/>
      <c r="AV889" s="208"/>
      <c r="AW889" s="208"/>
      <c r="AX889" s="208"/>
      <c r="AY889" s="208"/>
    </row>
    <row r="890">
      <c r="A890" s="208"/>
      <c r="B890" s="533"/>
      <c r="C890" s="208"/>
      <c r="D890" s="208"/>
      <c r="E890" s="208"/>
      <c r="F890" s="584"/>
      <c r="G890" s="208"/>
      <c r="H890" s="208"/>
      <c r="I890" s="208"/>
      <c r="J890" s="208"/>
      <c r="K890" s="208"/>
      <c r="L890" s="536"/>
      <c r="M890" s="208"/>
      <c r="N890" s="208"/>
      <c r="O890" s="208"/>
      <c r="P890" s="208"/>
      <c r="Q890" s="208"/>
      <c r="R890" s="208"/>
      <c r="S890" s="208"/>
      <c r="T890" s="208"/>
      <c r="U890" s="208"/>
      <c r="V890" s="208"/>
      <c r="W890" s="208"/>
      <c r="X890" s="208"/>
      <c r="Y890" s="208"/>
      <c r="Z890" s="208"/>
      <c r="AA890" s="208"/>
      <c r="AB890" s="208"/>
      <c r="AC890" s="208"/>
      <c r="AD890" s="208"/>
      <c r="AE890" s="208"/>
      <c r="AF890" s="208"/>
      <c r="AG890" s="208"/>
      <c r="AH890" s="208"/>
      <c r="AI890" s="208"/>
      <c r="AJ890" s="208"/>
      <c r="AK890" s="208"/>
      <c r="AL890" s="208"/>
      <c r="AM890" s="208"/>
      <c r="AN890" s="208"/>
      <c r="AO890" s="208"/>
      <c r="AP890" s="208"/>
      <c r="AQ890" s="208"/>
      <c r="AR890" s="208"/>
      <c r="AS890" s="208"/>
      <c r="AT890" s="208"/>
      <c r="AU890" s="208"/>
      <c r="AV890" s="208"/>
      <c r="AW890" s="208"/>
      <c r="AX890" s="208"/>
      <c r="AY890" s="208"/>
    </row>
    <row r="891">
      <c r="A891" s="208"/>
      <c r="B891" s="533"/>
      <c r="C891" s="208"/>
      <c r="D891" s="208"/>
      <c r="E891" s="208"/>
      <c r="F891" s="584"/>
      <c r="G891" s="208"/>
      <c r="H891" s="208"/>
      <c r="I891" s="208"/>
      <c r="J891" s="208"/>
      <c r="K891" s="208"/>
      <c r="L891" s="536"/>
      <c r="M891" s="208"/>
      <c r="N891" s="208"/>
      <c r="O891" s="208"/>
      <c r="P891" s="208"/>
      <c r="Q891" s="208"/>
      <c r="R891" s="208"/>
      <c r="S891" s="208"/>
      <c r="T891" s="208"/>
      <c r="U891" s="208"/>
      <c r="V891" s="208"/>
      <c r="W891" s="208"/>
      <c r="X891" s="208"/>
      <c r="Y891" s="208"/>
      <c r="Z891" s="208"/>
      <c r="AA891" s="208"/>
      <c r="AB891" s="208"/>
      <c r="AC891" s="208"/>
      <c r="AD891" s="208"/>
      <c r="AE891" s="208"/>
      <c r="AF891" s="208"/>
      <c r="AG891" s="208"/>
      <c r="AH891" s="208"/>
      <c r="AI891" s="208"/>
      <c r="AJ891" s="208"/>
      <c r="AK891" s="208"/>
      <c r="AL891" s="208"/>
      <c r="AM891" s="208"/>
      <c r="AN891" s="208"/>
      <c r="AO891" s="208"/>
      <c r="AP891" s="208"/>
      <c r="AQ891" s="208"/>
      <c r="AR891" s="208"/>
      <c r="AS891" s="208"/>
      <c r="AT891" s="208"/>
      <c r="AU891" s="208"/>
      <c r="AV891" s="208"/>
      <c r="AW891" s="208"/>
      <c r="AX891" s="208"/>
      <c r="AY891" s="208"/>
    </row>
    <row r="892">
      <c r="A892" s="208"/>
      <c r="B892" s="533"/>
      <c r="C892" s="208"/>
      <c r="D892" s="208"/>
      <c r="E892" s="208"/>
      <c r="F892" s="584"/>
      <c r="G892" s="208"/>
      <c r="H892" s="208"/>
      <c r="I892" s="208"/>
      <c r="J892" s="208"/>
      <c r="K892" s="208"/>
      <c r="L892" s="536"/>
      <c r="M892" s="208"/>
      <c r="N892" s="208"/>
      <c r="O892" s="208"/>
      <c r="P892" s="208"/>
      <c r="Q892" s="208"/>
      <c r="R892" s="208"/>
      <c r="S892" s="208"/>
      <c r="T892" s="208"/>
      <c r="U892" s="208"/>
      <c r="V892" s="208"/>
      <c r="W892" s="208"/>
      <c r="X892" s="208"/>
      <c r="Y892" s="208"/>
      <c r="Z892" s="208"/>
      <c r="AA892" s="208"/>
      <c r="AB892" s="208"/>
      <c r="AC892" s="208"/>
      <c r="AD892" s="208"/>
      <c r="AE892" s="208"/>
      <c r="AF892" s="208"/>
      <c r="AG892" s="208"/>
      <c r="AH892" s="208"/>
      <c r="AI892" s="208"/>
      <c r="AJ892" s="208"/>
      <c r="AK892" s="208"/>
      <c r="AL892" s="208"/>
      <c r="AM892" s="208"/>
      <c r="AN892" s="208"/>
      <c r="AO892" s="208"/>
      <c r="AP892" s="208"/>
      <c r="AQ892" s="208"/>
      <c r="AR892" s="208"/>
      <c r="AS892" s="208"/>
      <c r="AT892" s="208"/>
      <c r="AU892" s="208"/>
      <c r="AV892" s="208"/>
      <c r="AW892" s="208"/>
      <c r="AX892" s="208"/>
      <c r="AY892" s="208"/>
    </row>
    <row r="893">
      <c r="A893" s="208"/>
      <c r="B893" s="533"/>
      <c r="C893" s="208"/>
      <c r="D893" s="208"/>
      <c r="E893" s="208"/>
      <c r="F893" s="584"/>
      <c r="G893" s="208"/>
      <c r="H893" s="208"/>
      <c r="I893" s="208"/>
      <c r="J893" s="208"/>
      <c r="K893" s="208"/>
      <c r="L893" s="536"/>
      <c r="M893" s="208"/>
      <c r="N893" s="208"/>
      <c r="O893" s="208"/>
      <c r="P893" s="208"/>
      <c r="Q893" s="208"/>
      <c r="R893" s="208"/>
      <c r="S893" s="208"/>
      <c r="T893" s="208"/>
      <c r="U893" s="208"/>
      <c r="V893" s="208"/>
      <c r="W893" s="208"/>
      <c r="X893" s="208"/>
      <c r="Y893" s="208"/>
      <c r="Z893" s="208"/>
      <c r="AA893" s="208"/>
      <c r="AB893" s="208"/>
      <c r="AC893" s="208"/>
      <c r="AD893" s="208"/>
      <c r="AE893" s="208"/>
      <c r="AF893" s="208"/>
      <c r="AG893" s="208"/>
      <c r="AH893" s="208"/>
      <c r="AI893" s="208"/>
      <c r="AJ893" s="208"/>
      <c r="AK893" s="208"/>
      <c r="AL893" s="208"/>
      <c r="AM893" s="208"/>
      <c r="AN893" s="208"/>
      <c r="AO893" s="208"/>
      <c r="AP893" s="208"/>
      <c r="AQ893" s="208"/>
      <c r="AR893" s="208"/>
      <c r="AS893" s="208"/>
      <c r="AT893" s="208"/>
      <c r="AU893" s="208"/>
      <c r="AV893" s="208"/>
      <c r="AW893" s="208"/>
      <c r="AX893" s="208"/>
      <c r="AY893" s="208"/>
    </row>
    <row r="894">
      <c r="A894" s="208"/>
      <c r="B894" s="533"/>
      <c r="C894" s="208"/>
      <c r="D894" s="208"/>
      <c r="E894" s="208"/>
      <c r="F894" s="584"/>
      <c r="G894" s="208"/>
      <c r="H894" s="208"/>
      <c r="I894" s="208"/>
      <c r="J894" s="208"/>
      <c r="K894" s="208"/>
      <c r="L894" s="536"/>
      <c r="M894" s="208"/>
      <c r="N894" s="208"/>
      <c r="O894" s="208"/>
      <c r="P894" s="208"/>
      <c r="Q894" s="208"/>
      <c r="R894" s="208"/>
      <c r="S894" s="208"/>
      <c r="T894" s="208"/>
      <c r="U894" s="208"/>
      <c r="V894" s="208"/>
      <c r="W894" s="208"/>
      <c r="X894" s="208"/>
      <c r="Y894" s="208"/>
      <c r="Z894" s="208"/>
      <c r="AA894" s="208"/>
      <c r="AB894" s="208"/>
      <c r="AC894" s="208"/>
      <c r="AD894" s="208"/>
      <c r="AE894" s="208"/>
      <c r="AF894" s="208"/>
      <c r="AG894" s="208"/>
      <c r="AH894" s="208"/>
      <c r="AI894" s="208"/>
      <c r="AJ894" s="208"/>
      <c r="AK894" s="208"/>
      <c r="AL894" s="208"/>
      <c r="AM894" s="208"/>
      <c r="AN894" s="208"/>
      <c r="AO894" s="208"/>
      <c r="AP894" s="208"/>
      <c r="AQ894" s="208"/>
      <c r="AR894" s="208"/>
      <c r="AS894" s="208"/>
      <c r="AT894" s="208"/>
      <c r="AU894" s="208"/>
      <c r="AV894" s="208"/>
      <c r="AW894" s="208"/>
      <c r="AX894" s="208"/>
      <c r="AY894" s="208"/>
    </row>
    <row r="895">
      <c r="A895" s="208"/>
      <c r="B895" s="533"/>
      <c r="C895" s="208"/>
      <c r="D895" s="208"/>
      <c r="E895" s="208"/>
      <c r="F895" s="584"/>
      <c r="G895" s="208"/>
      <c r="H895" s="208"/>
      <c r="I895" s="208"/>
      <c r="J895" s="208"/>
      <c r="K895" s="208"/>
      <c r="L895" s="536"/>
      <c r="M895" s="208"/>
      <c r="N895" s="208"/>
      <c r="O895" s="208"/>
      <c r="P895" s="208"/>
      <c r="Q895" s="208"/>
      <c r="R895" s="208"/>
      <c r="S895" s="208"/>
      <c r="T895" s="208"/>
      <c r="U895" s="208"/>
      <c r="V895" s="208"/>
      <c r="W895" s="208"/>
      <c r="X895" s="208"/>
      <c r="Y895" s="208"/>
      <c r="Z895" s="208"/>
      <c r="AA895" s="208"/>
      <c r="AB895" s="208"/>
      <c r="AC895" s="208"/>
      <c r="AD895" s="208"/>
      <c r="AE895" s="208"/>
      <c r="AF895" s="208"/>
      <c r="AG895" s="208"/>
      <c r="AH895" s="208"/>
      <c r="AI895" s="208"/>
      <c r="AJ895" s="208"/>
      <c r="AK895" s="208"/>
      <c r="AL895" s="208"/>
      <c r="AM895" s="208"/>
      <c r="AN895" s="208"/>
      <c r="AO895" s="208"/>
      <c r="AP895" s="208"/>
      <c r="AQ895" s="208"/>
      <c r="AR895" s="208"/>
      <c r="AS895" s="208"/>
      <c r="AT895" s="208"/>
      <c r="AU895" s="208"/>
      <c r="AV895" s="208"/>
      <c r="AW895" s="208"/>
      <c r="AX895" s="208"/>
      <c r="AY895" s="208"/>
    </row>
    <row r="896">
      <c r="A896" s="208"/>
      <c r="B896" s="533"/>
      <c r="C896" s="208"/>
      <c r="D896" s="208"/>
      <c r="E896" s="208"/>
      <c r="F896" s="584"/>
      <c r="G896" s="208"/>
      <c r="H896" s="208"/>
      <c r="I896" s="208"/>
      <c r="J896" s="208"/>
      <c r="K896" s="208"/>
      <c r="L896" s="536"/>
      <c r="M896" s="208"/>
      <c r="N896" s="208"/>
      <c r="O896" s="208"/>
      <c r="P896" s="208"/>
      <c r="Q896" s="208"/>
      <c r="R896" s="208"/>
      <c r="S896" s="208"/>
      <c r="T896" s="208"/>
      <c r="U896" s="208"/>
      <c r="V896" s="208"/>
      <c r="W896" s="208"/>
      <c r="X896" s="208"/>
      <c r="Y896" s="208"/>
      <c r="Z896" s="208"/>
      <c r="AA896" s="208"/>
      <c r="AB896" s="208"/>
      <c r="AC896" s="208"/>
      <c r="AD896" s="208"/>
      <c r="AE896" s="208"/>
      <c r="AF896" s="208"/>
      <c r="AG896" s="208"/>
      <c r="AH896" s="208"/>
      <c r="AI896" s="208"/>
      <c r="AJ896" s="208"/>
      <c r="AK896" s="208"/>
      <c r="AL896" s="208"/>
      <c r="AM896" s="208"/>
      <c r="AN896" s="208"/>
      <c r="AO896" s="208"/>
      <c r="AP896" s="208"/>
      <c r="AQ896" s="208"/>
      <c r="AR896" s="208"/>
      <c r="AS896" s="208"/>
      <c r="AT896" s="208"/>
      <c r="AU896" s="208"/>
      <c r="AV896" s="208"/>
      <c r="AW896" s="208"/>
      <c r="AX896" s="208"/>
      <c r="AY896" s="208"/>
    </row>
    <row r="897">
      <c r="A897" s="208"/>
      <c r="B897" s="533"/>
      <c r="C897" s="208"/>
      <c r="D897" s="208"/>
      <c r="E897" s="208"/>
      <c r="F897" s="584"/>
      <c r="G897" s="208"/>
      <c r="H897" s="208"/>
      <c r="I897" s="208"/>
      <c r="J897" s="208"/>
      <c r="K897" s="208"/>
      <c r="L897" s="536"/>
      <c r="M897" s="208"/>
      <c r="N897" s="208"/>
      <c r="O897" s="208"/>
      <c r="P897" s="208"/>
      <c r="Q897" s="208"/>
      <c r="R897" s="208"/>
      <c r="S897" s="208"/>
      <c r="T897" s="208"/>
      <c r="U897" s="208"/>
      <c r="V897" s="208"/>
      <c r="W897" s="208"/>
      <c r="X897" s="208"/>
      <c r="Y897" s="208"/>
      <c r="Z897" s="208"/>
      <c r="AA897" s="208"/>
      <c r="AB897" s="208"/>
      <c r="AC897" s="208"/>
      <c r="AD897" s="208"/>
      <c r="AE897" s="208"/>
      <c r="AF897" s="208"/>
      <c r="AG897" s="208"/>
      <c r="AH897" s="208"/>
      <c r="AI897" s="208"/>
      <c r="AJ897" s="208"/>
      <c r="AK897" s="208"/>
      <c r="AL897" s="208"/>
      <c r="AM897" s="208"/>
      <c r="AN897" s="208"/>
      <c r="AO897" s="208"/>
      <c r="AP897" s="208"/>
      <c r="AQ897" s="208"/>
      <c r="AR897" s="208"/>
      <c r="AS897" s="208"/>
      <c r="AT897" s="208"/>
      <c r="AU897" s="208"/>
      <c r="AV897" s="208"/>
      <c r="AW897" s="208"/>
      <c r="AX897" s="208"/>
      <c r="AY897" s="208"/>
    </row>
    <row r="898">
      <c r="A898" s="208"/>
      <c r="B898" s="533"/>
      <c r="C898" s="208"/>
      <c r="D898" s="208"/>
      <c r="E898" s="208"/>
      <c r="F898" s="584"/>
      <c r="G898" s="208"/>
      <c r="H898" s="208"/>
      <c r="I898" s="208"/>
      <c r="J898" s="208"/>
      <c r="K898" s="208"/>
      <c r="L898" s="536"/>
      <c r="M898" s="208"/>
      <c r="N898" s="208"/>
      <c r="O898" s="208"/>
      <c r="P898" s="208"/>
      <c r="Q898" s="208"/>
      <c r="R898" s="208"/>
      <c r="S898" s="208"/>
      <c r="T898" s="208"/>
      <c r="U898" s="208"/>
      <c r="V898" s="208"/>
      <c r="W898" s="208"/>
      <c r="X898" s="208"/>
      <c r="Y898" s="208"/>
      <c r="Z898" s="208"/>
      <c r="AA898" s="208"/>
      <c r="AB898" s="208"/>
      <c r="AC898" s="208"/>
      <c r="AD898" s="208"/>
      <c r="AE898" s="208"/>
      <c r="AF898" s="208"/>
      <c r="AG898" s="208"/>
      <c r="AH898" s="208"/>
      <c r="AI898" s="208"/>
      <c r="AJ898" s="208"/>
      <c r="AK898" s="208"/>
      <c r="AL898" s="208"/>
      <c r="AM898" s="208"/>
      <c r="AN898" s="208"/>
      <c r="AO898" s="208"/>
      <c r="AP898" s="208"/>
      <c r="AQ898" s="208"/>
      <c r="AR898" s="208"/>
      <c r="AS898" s="208"/>
      <c r="AT898" s="208"/>
      <c r="AU898" s="208"/>
      <c r="AV898" s="208"/>
      <c r="AW898" s="208"/>
      <c r="AX898" s="208"/>
      <c r="AY898" s="208"/>
    </row>
    <row r="899">
      <c r="A899" s="208"/>
      <c r="B899" s="533"/>
      <c r="C899" s="208"/>
      <c r="D899" s="208"/>
      <c r="E899" s="208"/>
      <c r="F899" s="584"/>
      <c r="G899" s="208"/>
      <c r="H899" s="208"/>
      <c r="I899" s="208"/>
      <c r="J899" s="208"/>
      <c r="K899" s="208"/>
      <c r="L899" s="536"/>
      <c r="M899" s="208"/>
      <c r="N899" s="208"/>
      <c r="O899" s="208"/>
      <c r="P899" s="208"/>
      <c r="Q899" s="208"/>
      <c r="R899" s="208"/>
      <c r="S899" s="208"/>
      <c r="T899" s="208"/>
      <c r="U899" s="208"/>
      <c r="V899" s="208"/>
      <c r="W899" s="208"/>
      <c r="X899" s="208"/>
      <c r="Y899" s="208"/>
      <c r="Z899" s="208"/>
      <c r="AA899" s="208"/>
      <c r="AB899" s="208"/>
      <c r="AC899" s="208"/>
      <c r="AD899" s="208"/>
      <c r="AE899" s="208"/>
      <c r="AF899" s="208"/>
      <c r="AG899" s="208"/>
      <c r="AH899" s="208"/>
      <c r="AI899" s="208"/>
      <c r="AJ899" s="208"/>
      <c r="AK899" s="208"/>
      <c r="AL899" s="208"/>
      <c r="AM899" s="208"/>
      <c r="AN899" s="208"/>
      <c r="AO899" s="208"/>
      <c r="AP899" s="208"/>
      <c r="AQ899" s="208"/>
      <c r="AR899" s="208"/>
      <c r="AS899" s="208"/>
      <c r="AT899" s="208"/>
      <c r="AU899" s="208"/>
      <c r="AV899" s="208"/>
      <c r="AW899" s="208"/>
      <c r="AX899" s="208"/>
      <c r="AY899" s="208"/>
    </row>
    <row r="900">
      <c r="A900" s="208"/>
      <c r="B900" s="533"/>
      <c r="C900" s="208"/>
      <c r="D900" s="208"/>
      <c r="E900" s="208"/>
      <c r="F900" s="584"/>
      <c r="G900" s="208"/>
      <c r="H900" s="208"/>
      <c r="I900" s="208"/>
      <c r="J900" s="208"/>
      <c r="K900" s="208"/>
      <c r="L900" s="536"/>
      <c r="M900" s="208"/>
      <c r="N900" s="208"/>
      <c r="O900" s="208"/>
      <c r="P900" s="208"/>
      <c r="Q900" s="208"/>
      <c r="R900" s="208"/>
      <c r="S900" s="208"/>
      <c r="T900" s="208"/>
      <c r="U900" s="208"/>
      <c r="V900" s="208"/>
      <c r="W900" s="208"/>
      <c r="X900" s="208"/>
      <c r="Y900" s="208"/>
      <c r="Z900" s="208"/>
      <c r="AA900" s="208"/>
      <c r="AB900" s="208"/>
      <c r="AC900" s="208"/>
      <c r="AD900" s="208"/>
      <c r="AE900" s="208"/>
      <c r="AF900" s="208"/>
      <c r="AG900" s="208"/>
      <c r="AH900" s="208"/>
      <c r="AI900" s="208"/>
      <c r="AJ900" s="208"/>
      <c r="AK900" s="208"/>
      <c r="AL900" s="208"/>
      <c r="AM900" s="208"/>
      <c r="AN900" s="208"/>
      <c r="AO900" s="208"/>
      <c r="AP900" s="208"/>
      <c r="AQ900" s="208"/>
      <c r="AR900" s="208"/>
      <c r="AS900" s="208"/>
      <c r="AT900" s="208"/>
      <c r="AU900" s="208"/>
      <c r="AV900" s="208"/>
      <c r="AW900" s="208"/>
      <c r="AX900" s="208"/>
      <c r="AY900" s="208"/>
    </row>
    <row r="901">
      <c r="A901" s="208"/>
      <c r="B901" s="533"/>
      <c r="C901" s="208"/>
      <c r="D901" s="208"/>
      <c r="E901" s="208"/>
      <c r="F901" s="584"/>
      <c r="G901" s="208"/>
      <c r="H901" s="208"/>
      <c r="I901" s="208"/>
      <c r="J901" s="208"/>
      <c r="K901" s="208"/>
      <c r="L901" s="536"/>
      <c r="M901" s="208"/>
      <c r="N901" s="208"/>
      <c r="O901" s="208"/>
      <c r="P901" s="208"/>
      <c r="Q901" s="208"/>
      <c r="R901" s="208"/>
      <c r="S901" s="208"/>
      <c r="T901" s="208"/>
      <c r="U901" s="208"/>
      <c r="V901" s="208"/>
      <c r="W901" s="208"/>
      <c r="X901" s="208"/>
      <c r="Y901" s="208"/>
      <c r="Z901" s="208"/>
      <c r="AA901" s="208"/>
      <c r="AB901" s="208"/>
      <c r="AC901" s="208"/>
      <c r="AD901" s="208"/>
      <c r="AE901" s="208"/>
      <c r="AF901" s="208"/>
      <c r="AG901" s="208"/>
      <c r="AH901" s="208"/>
      <c r="AI901" s="208"/>
      <c r="AJ901" s="208"/>
      <c r="AK901" s="208"/>
      <c r="AL901" s="208"/>
      <c r="AM901" s="208"/>
      <c r="AN901" s="208"/>
      <c r="AO901" s="208"/>
      <c r="AP901" s="208"/>
      <c r="AQ901" s="208"/>
      <c r="AR901" s="208"/>
      <c r="AS901" s="208"/>
      <c r="AT901" s="208"/>
      <c r="AU901" s="208"/>
      <c r="AV901" s="208"/>
      <c r="AW901" s="208"/>
      <c r="AX901" s="208"/>
      <c r="AY901" s="208"/>
    </row>
    <row r="902">
      <c r="A902" s="208"/>
      <c r="B902" s="533"/>
      <c r="C902" s="208"/>
      <c r="D902" s="208"/>
      <c r="E902" s="208"/>
      <c r="F902" s="584"/>
      <c r="G902" s="208"/>
      <c r="H902" s="208"/>
      <c r="I902" s="208"/>
      <c r="J902" s="208"/>
      <c r="K902" s="208"/>
      <c r="L902" s="536"/>
      <c r="M902" s="208"/>
      <c r="N902" s="208"/>
      <c r="O902" s="208"/>
      <c r="P902" s="208"/>
      <c r="Q902" s="208"/>
      <c r="R902" s="208"/>
      <c r="S902" s="208"/>
      <c r="T902" s="208"/>
      <c r="U902" s="208"/>
      <c r="V902" s="208"/>
      <c r="W902" s="208"/>
      <c r="X902" s="208"/>
      <c r="Y902" s="208"/>
      <c r="Z902" s="208"/>
      <c r="AA902" s="208"/>
      <c r="AB902" s="208"/>
      <c r="AC902" s="208"/>
      <c r="AD902" s="208"/>
      <c r="AE902" s="208"/>
      <c r="AF902" s="208"/>
      <c r="AG902" s="208"/>
      <c r="AH902" s="208"/>
      <c r="AI902" s="208"/>
      <c r="AJ902" s="208"/>
      <c r="AK902" s="208"/>
      <c r="AL902" s="208"/>
      <c r="AM902" s="208"/>
      <c r="AN902" s="208"/>
      <c r="AO902" s="208"/>
      <c r="AP902" s="208"/>
      <c r="AQ902" s="208"/>
      <c r="AR902" s="208"/>
      <c r="AS902" s="208"/>
      <c r="AT902" s="208"/>
      <c r="AU902" s="208"/>
      <c r="AV902" s="208"/>
      <c r="AW902" s="208"/>
      <c r="AX902" s="208"/>
      <c r="AY902" s="208"/>
    </row>
    <row r="903">
      <c r="A903" s="208"/>
      <c r="B903" s="533"/>
      <c r="C903" s="208"/>
      <c r="D903" s="208"/>
      <c r="E903" s="208"/>
      <c r="F903" s="584"/>
      <c r="G903" s="208"/>
      <c r="H903" s="208"/>
      <c r="I903" s="208"/>
      <c r="J903" s="208"/>
      <c r="K903" s="208"/>
      <c r="L903" s="536"/>
      <c r="M903" s="208"/>
      <c r="N903" s="208"/>
      <c r="O903" s="208"/>
      <c r="P903" s="208"/>
      <c r="Q903" s="208"/>
      <c r="R903" s="208"/>
      <c r="S903" s="208"/>
      <c r="T903" s="208"/>
      <c r="U903" s="208"/>
      <c r="V903" s="208"/>
      <c r="W903" s="208"/>
      <c r="X903" s="208"/>
      <c r="Y903" s="208"/>
      <c r="Z903" s="208"/>
      <c r="AA903" s="208"/>
      <c r="AB903" s="208"/>
      <c r="AC903" s="208"/>
      <c r="AD903" s="208"/>
      <c r="AE903" s="208"/>
      <c r="AF903" s="208"/>
      <c r="AG903" s="208"/>
      <c r="AH903" s="208"/>
      <c r="AI903" s="208"/>
      <c r="AJ903" s="208"/>
      <c r="AK903" s="208"/>
      <c r="AL903" s="208"/>
      <c r="AM903" s="208"/>
      <c r="AN903" s="208"/>
      <c r="AO903" s="208"/>
      <c r="AP903" s="208"/>
      <c r="AQ903" s="208"/>
      <c r="AR903" s="208"/>
      <c r="AS903" s="208"/>
      <c r="AT903" s="208"/>
      <c r="AU903" s="208"/>
      <c r="AV903" s="208"/>
      <c r="AW903" s="208"/>
      <c r="AX903" s="208"/>
      <c r="AY903" s="208"/>
    </row>
    <row r="904">
      <c r="A904" s="208"/>
      <c r="B904" s="533"/>
      <c r="C904" s="208"/>
      <c r="D904" s="208"/>
      <c r="E904" s="208"/>
      <c r="F904" s="584"/>
      <c r="G904" s="208"/>
      <c r="H904" s="208"/>
      <c r="I904" s="208"/>
      <c r="J904" s="208"/>
      <c r="K904" s="208"/>
      <c r="L904" s="536"/>
      <c r="M904" s="208"/>
      <c r="N904" s="208"/>
      <c r="O904" s="208"/>
      <c r="P904" s="208"/>
      <c r="Q904" s="208"/>
      <c r="R904" s="208"/>
      <c r="S904" s="208"/>
      <c r="T904" s="208"/>
      <c r="U904" s="208"/>
      <c r="V904" s="208"/>
      <c r="W904" s="208"/>
      <c r="X904" s="208"/>
      <c r="Y904" s="208"/>
      <c r="Z904" s="208"/>
      <c r="AA904" s="208"/>
      <c r="AB904" s="208"/>
      <c r="AC904" s="208"/>
      <c r="AD904" s="208"/>
      <c r="AE904" s="208"/>
      <c r="AF904" s="208"/>
      <c r="AG904" s="208"/>
      <c r="AH904" s="208"/>
      <c r="AI904" s="208"/>
      <c r="AJ904" s="208"/>
      <c r="AK904" s="208"/>
      <c r="AL904" s="208"/>
      <c r="AM904" s="208"/>
      <c r="AN904" s="208"/>
      <c r="AO904" s="208"/>
      <c r="AP904" s="208"/>
      <c r="AQ904" s="208"/>
      <c r="AR904" s="208"/>
      <c r="AS904" s="208"/>
      <c r="AT904" s="208"/>
      <c r="AU904" s="208"/>
      <c r="AV904" s="208"/>
      <c r="AW904" s="208"/>
      <c r="AX904" s="208"/>
      <c r="AY904" s="208"/>
    </row>
    <row r="905">
      <c r="A905" s="208"/>
      <c r="B905" s="533"/>
      <c r="C905" s="208"/>
      <c r="D905" s="208"/>
      <c r="E905" s="208"/>
      <c r="F905" s="584"/>
      <c r="G905" s="208"/>
      <c r="H905" s="208"/>
      <c r="I905" s="208"/>
      <c r="J905" s="208"/>
      <c r="K905" s="208"/>
      <c r="L905" s="536"/>
      <c r="M905" s="208"/>
      <c r="N905" s="208"/>
      <c r="O905" s="208"/>
      <c r="P905" s="208"/>
      <c r="Q905" s="208"/>
      <c r="R905" s="208"/>
      <c r="S905" s="208"/>
      <c r="T905" s="208"/>
      <c r="U905" s="208"/>
      <c r="V905" s="208"/>
      <c r="W905" s="208"/>
      <c r="X905" s="208"/>
      <c r="Y905" s="208"/>
      <c r="Z905" s="208"/>
      <c r="AA905" s="208"/>
      <c r="AB905" s="208"/>
      <c r="AC905" s="208"/>
      <c r="AD905" s="208"/>
      <c r="AE905" s="208"/>
      <c r="AF905" s="208"/>
      <c r="AG905" s="208"/>
      <c r="AH905" s="208"/>
      <c r="AI905" s="208"/>
      <c r="AJ905" s="208"/>
      <c r="AK905" s="208"/>
      <c r="AL905" s="208"/>
      <c r="AM905" s="208"/>
      <c r="AN905" s="208"/>
      <c r="AO905" s="208"/>
      <c r="AP905" s="208"/>
      <c r="AQ905" s="208"/>
      <c r="AR905" s="208"/>
      <c r="AS905" s="208"/>
      <c r="AT905" s="208"/>
      <c r="AU905" s="208"/>
      <c r="AV905" s="208"/>
      <c r="AW905" s="208"/>
      <c r="AX905" s="208"/>
      <c r="AY905" s="208"/>
    </row>
    <row r="906">
      <c r="A906" s="208"/>
      <c r="B906" s="533"/>
      <c r="C906" s="208"/>
      <c r="D906" s="208"/>
      <c r="E906" s="208"/>
      <c r="F906" s="584"/>
      <c r="G906" s="208"/>
      <c r="H906" s="208"/>
      <c r="I906" s="208"/>
      <c r="J906" s="208"/>
      <c r="K906" s="208"/>
      <c r="L906" s="536"/>
      <c r="M906" s="208"/>
      <c r="N906" s="208"/>
      <c r="O906" s="208"/>
      <c r="P906" s="208"/>
      <c r="Q906" s="208"/>
      <c r="R906" s="208"/>
      <c r="S906" s="208"/>
      <c r="T906" s="208"/>
      <c r="U906" s="208"/>
      <c r="V906" s="208"/>
      <c r="W906" s="208"/>
      <c r="X906" s="208"/>
      <c r="Y906" s="208"/>
      <c r="Z906" s="208"/>
      <c r="AA906" s="208"/>
      <c r="AB906" s="208"/>
      <c r="AC906" s="208"/>
      <c r="AD906" s="208"/>
      <c r="AE906" s="208"/>
      <c r="AF906" s="208"/>
      <c r="AG906" s="208"/>
      <c r="AH906" s="208"/>
      <c r="AI906" s="208"/>
      <c r="AJ906" s="208"/>
      <c r="AK906" s="208"/>
      <c r="AL906" s="208"/>
      <c r="AM906" s="208"/>
      <c r="AN906" s="208"/>
      <c r="AO906" s="208"/>
      <c r="AP906" s="208"/>
      <c r="AQ906" s="208"/>
      <c r="AR906" s="208"/>
      <c r="AS906" s="208"/>
      <c r="AT906" s="208"/>
      <c r="AU906" s="208"/>
      <c r="AV906" s="208"/>
      <c r="AW906" s="208"/>
      <c r="AX906" s="208"/>
      <c r="AY906" s="208"/>
    </row>
    <row r="907">
      <c r="A907" s="208"/>
      <c r="B907" s="533"/>
      <c r="C907" s="208"/>
      <c r="D907" s="208"/>
      <c r="E907" s="208"/>
      <c r="F907" s="584"/>
      <c r="G907" s="208"/>
      <c r="H907" s="208"/>
      <c r="I907" s="208"/>
      <c r="J907" s="208"/>
      <c r="K907" s="208"/>
      <c r="L907" s="536"/>
      <c r="M907" s="208"/>
      <c r="N907" s="208"/>
      <c r="O907" s="208"/>
      <c r="P907" s="208"/>
      <c r="Q907" s="208"/>
      <c r="R907" s="208"/>
      <c r="S907" s="208"/>
      <c r="T907" s="208"/>
      <c r="U907" s="208"/>
      <c r="V907" s="208"/>
      <c r="W907" s="208"/>
      <c r="X907" s="208"/>
      <c r="Y907" s="208"/>
      <c r="Z907" s="208"/>
      <c r="AA907" s="208"/>
      <c r="AB907" s="208"/>
      <c r="AC907" s="208"/>
      <c r="AD907" s="208"/>
      <c r="AE907" s="208"/>
      <c r="AF907" s="208"/>
      <c r="AG907" s="208"/>
      <c r="AH907" s="208"/>
      <c r="AI907" s="208"/>
      <c r="AJ907" s="208"/>
      <c r="AK907" s="208"/>
      <c r="AL907" s="208"/>
      <c r="AM907" s="208"/>
      <c r="AN907" s="208"/>
      <c r="AO907" s="208"/>
      <c r="AP907" s="208"/>
      <c r="AQ907" s="208"/>
      <c r="AR907" s="208"/>
      <c r="AS907" s="208"/>
      <c r="AT907" s="208"/>
      <c r="AU907" s="208"/>
      <c r="AV907" s="208"/>
      <c r="AW907" s="208"/>
      <c r="AX907" s="208"/>
      <c r="AY907" s="208"/>
    </row>
    <row r="908">
      <c r="A908" s="208"/>
      <c r="B908" s="533"/>
      <c r="C908" s="208"/>
      <c r="D908" s="208"/>
      <c r="E908" s="208"/>
      <c r="F908" s="584"/>
      <c r="G908" s="208"/>
      <c r="H908" s="208"/>
      <c r="I908" s="208"/>
      <c r="J908" s="208"/>
      <c r="K908" s="208"/>
      <c r="L908" s="536"/>
      <c r="M908" s="208"/>
      <c r="N908" s="208"/>
      <c r="O908" s="208"/>
      <c r="P908" s="208"/>
      <c r="Q908" s="208"/>
      <c r="R908" s="208"/>
      <c r="S908" s="208"/>
      <c r="T908" s="208"/>
      <c r="U908" s="208"/>
      <c r="V908" s="208"/>
      <c r="W908" s="208"/>
      <c r="X908" s="208"/>
      <c r="Y908" s="208"/>
      <c r="Z908" s="208"/>
      <c r="AA908" s="208"/>
      <c r="AB908" s="208"/>
      <c r="AC908" s="208"/>
      <c r="AD908" s="208"/>
      <c r="AE908" s="208"/>
      <c r="AF908" s="208"/>
      <c r="AG908" s="208"/>
      <c r="AH908" s="208"/>
      <c r="AI908" s="208"/>
      <c r="AJ908" s="208"/>
      <c r="AK908" s="208"/>
      <c r="AL908" s="208"/>
      <c r="AM908" s="208"/>
      <c r="AN908" s="208"/>
      <c r="AO908" s="208"/>
      <c r="AP908" s="208"/>
      <c r="AQ908" s="208"/>
      <c r="AR908" s="208"/>
      <c r="AS908" s="208"/>
      <c r="AT908" s="208"/>
      <c r="AU908" s="208"/>
      <c r="AV908" s="208"/>
      <c r="AW908" s="208"/>
      <c r="AX908" s="208"/>
      <c r="AY908" s="208"/>
    </row>
    <row r="909">
      <c r="A909" s="208"/>
      <c r="B909" s="533"/>
      <c r="C909" s="208"/>
      <c r="D909" s="208"/>
      <c r="E909" s="208"/>
      <c r="F909" s="584"/>
      <c r="G909" s="208"/>
      <c r="H909" s="208"/>
      <c r="I909" s="208"/>
      <c r="J909" s="208"/>
      <c r="K909" s="208"/>
      <c r="L909" s="536"/>
      <c r="M909" s="208"/>
      <c r="N909" s="208"/>
      <c r="O909" s="208"/>
      <c r="P909" s="208"/>
      <c r="Q909" s="208"/>
      <c r="R909" s="208"/>
      <c r="S909" s="208"/>
      <c r="T909" s="208"/>
      <c r="U909" s="208"/>
      <c r="V909" s="208"/>
      <c r="W909" s="208"/>
      <c r="X909" s="208"/>
      <c r="Y909" s="208"/>
      <c r="Z909" s="208"/>
      <c r="AA909" s="208"/>
      <c r="AB909" s="208"/>
      <c r="AC909" s="208"/>
      <c r="AD909" s="208"/>
      <c r="AE909" s="208"/>
      <c r="AF909" s="208"/>
      <c r="AG909" s="208"/>
      <c r="AH909" s="208"/>
      <c r="AI909" s="208"/>
      <c r="AJ909" s="208"/>
      <c r="AK909" s="208"/>
      <c r="AL909" s="208"/>
      <c r="AM909" s="208"/>
      <c r="AN909" s="208"/>
      <c r="AO909" s="208"/>
      <c r="AP909" s="208"/>
      <c r="AQ909" s="208"/>
      <c r="AR909" s="208"/>
      <c r="AS909" s="208"/>
      <c r="AT909" s="208"/>
      <c r="AU909" s="208"/>
      <c r="AV909" s="208"/>
      <c r="AW909" s="208"/>
      <c r="AX909" s="208"/>
      <c r="AY909" s="208"/>
    </row>
    <row r="910">
      <c r="A910" s="208"/>
      <c r="B910" s="533"/>
      <c r="C910" s="208"/>
      <c r="D910" s="208"/>
      <c r="E910" s="208"/>
      <c r="F910" s="584"/>
      <c r="G910" s="208"/>
      <c r="H910" s="208"/>
      <c r="I910" s="208"/>
      <c r="J910" s="208"/>
      <c r="K910" s="208"/>
      <c r="L910" s="536"/>
      <c r="M910" s="208"/>
      <c r="N910" s="208"/>
      <c r="O910" s="208"/>
      <c r="P910" s="208"/>
      <c r="Q910" s="208"/>
      <c r="R910" s="208"/>
      <c r="S910" s="208"/>
      <c r="T910" s="208"/>
      <c r="U910" s="208"/>
      <c r="V910" s="208"/>
      <c r="W910" s="208"/>
      <c r="X910" s="208"/>
      <c r="Y910" s="208"/>
      <c r="Z910" s="208"/>
      <c r="AA910" s="208"/>
      <c r="AB910" s="208"/>
      <c r="AC910" s="208"/>
      <c r="AD910" s="208"/>
      <c r="AE910" s="208"/>
      <c r="AF910" s="208"/>
      <c r="AG910" s="208"/>
      <c r="AH910" s="208"/>
      <c r="AI910" s="208"/>
      <c r="AJ910" s="208"/>
      <c r="AK910" s="208"/>
      <c r="AL910" s="208"/>
      <c r="AM910" s="208"/>
      <c r="AN910" s="208"/>
      <c r="AO910" s="208"/>
      <c r="AP910" s="208"/>
      <c r="AQ910" s="208"/>
      <c r="AR910" s="208"/>
      <c r="AS910" s="208"/>
      <c r="AT910" s="208"/>
      <c r="AU910" s="208"/>
      <c r="AV910" s="208"/>
      <c r="AW910" s="208"/>
      <c r="AX910" s="208"/>
      <c r="AY910" s="208"/>
    </row>
    <row r="911">
      <c r="A911" s="208"/>
      <c r="B911" s="533"/>
      <c r="C911" s="208"/>
      <c r="D911" s="208"/>
      <c r="E911" s="208"/>
      <c r="F911" s="584"/>
      <c r="G911" s="208"/>
      <c r="H911" s="208"/>
      <c r="I911" s="208"/>
      <c r="J911" s="208"/>
      <c r="K911" s="208"/>
      <c r="L911" s="536"/>
      <c r="M911" s="208"/>
      <c r="N911" s="208"/>
      <c r="O911" s="208"/>
      <c r="P911" s="208"/>
      <c r="Q911" s="208"/>
      <c r="R911" s="208"/>
      <c r="S911" s="208"/>
      <c r="T911" s="208"/>
      <c r="U911" s="208"/>
      <c r="V911" s="208"/>
      <c r="W911" s="208"/>
      <c r="X911" s="208"/>
      <c r="Y911" s="208"/>
      <c r="Z911" s="208"/>
      <c r="AA911" s="208"/>
      <c r="AB911" s="208"/>
      <c r="AC911" s="208"/>
      <c r="AD911" s="208"/>
      <c r="AE911" s="208"/>
      <c r="AF911" s="208"/>
      <c r="AG911" s="208"/>
      <c r="AH911" s="208"/>
      <c r="AI911" s="208"/>
      <c r="AJ911" s="208"/>
      <c r="AK911" s="208"/>
      <c r="AL911" s="208"/>
      <c r="AM911" s="208"/>
      <c r="AN911" s="208"/>
      <c r="AO911" s="208"/>
      <c r="AP911" s="208"/>
      <c r="AQ911" s="208"/>
      <c r="AR911" s="208"/>
      <c r="AS911" s="208"/>
      <c r="AT911" s="208"/>
      <c r="AU911" s="208"/>
      <c r="AV911" s="208"/>
      <c r="AW911" s="208"/>
      <c r="AX911" s="208"/>
      <c r="AY911" s="208"/>
    </row>
    <row r="912">
      <c r="A912" s="208"/>
      <c r="B912" s="533"/>
      <c r="C912" s="208"/>
      <c r="D912" s="208"/>
      <c r="E912" s="208"/>
      <c r="F912" s="584"/>
      <c r="G912" s="208"/>
      <c r="H912" s="208"/>
      <c r="I912" s="208"/>
      <c r="J912" s="208"/>
      <c r="K912" s="208"/>
      <c r="L912" s="536"/>
      <c r="M912" s="208"/>
      <c r="N912" s="208"/>
      <c r="O912" s="208"/>
      <c r="P912" s="208"/>
      <c r="Q912" s="208"/>
      <c r="R912" s="208"/>
      <c r="S912" s="208"/>
      <c r="T912" s="208"/>
      <c r="U912" s="208"/>
      <c r="V912" s="208"/>
      <c r="W912" s="208"/>
      <c r="X912" s="208"/>
      <c r="Y912" s="208"/>
      <c r="Z912" s="208"/>
      <c r="AA912" s="208"/>
      <c r="AB912" s="208"/>
      <c r="AC912" s="208"/>
      <c r="AD912" s="208"/>
      <c r="AE912" s="208"/>
      <c r="AF912" s="208"/>
      <c r="AG912" s="208"/>
      <c r="AH912" s="208"/>
      <c r="AI912" s="208"/>
      <c r="AJ912" s="208"/>
      <c r="AK912" s="208"/>
      <c r="AL912" s="208"/>
      <c r="AM912" s="208"/>
      <c r="AN912" s="208"/>
      <c r="AO912" s="208"/>
      <c r="AP912" s="208"/>
      <c r="AQ912" s="208"/>
      <c r="AR912" s="208"/>
      <c r="AS912" s="208"/>
      <c r="AT912" s="208"/>
      <c r="AU912" s="208"/>
      <c r="AV912" s="208"/>
      <c r="AW912" s="208"/>
      <c r="AX912" s="208"/>
      <c r="AY912" s="208"/>
    </row>
    <row r="913">
      <c r="A913" s="208"/>
      <c r="B913" s="533"/>
      <c r="C913" s="208"/>
      <c r="D913" s="208"/>
      <c r="E913" s="208"/>
      <c r="F913" s="584"/>
      <c r="G913" s="208"/>
      <c r="H913" s="208"/>
      <c r="I913" s="208"/>
      <c r="J913" s="208"/>
      <c r="K913" s="208"/>
      <c r="L913" s="536"/>
      <c r="M913" s="208"/>
      <c r="N913" s="208"/>
      <c r="O913" s="208"/>
      <c r="P913" s="208"/>
      <c r="Q913" s="208"/>
      <c r="R913" s="208"/>
      <c r="S913" s="208"/>
      <c r="T913" s="208"/>
      <c r="U913" s="208"/>
      <c r="V913" s="208"/>
      <c r="W913" s="208"/>
      <c r="X913" s="208"/>
      <c r="Y913" s="208"/>
      <c r="Z913" s="208"/>
      <c r="AA913" s="208"/>
      <c r="AB913" s="208"/>
      <c r="AC913" s="208"/>
      <c r="AD913" s="208"/>
      <c r="AE913" s="208"/>
      <c r="AF913" s="208"/>
      <c r="AG913" s="208"/>
      <c r="AH913" s="208"/>
      <c r="AI913" s="208"/>
      <c r="AJ913" s="208"/>
      <c r="AK913" s="208"/>
      <c r="AL913" s="208"/>
      <c r="AM913" s="208"/>
      <c r="AN913" s="208"/>
      <c r="AO913" s="208"/>
      <c r="AP913" s="208"/>
      <c r="AQ913" s="208"/>
      <c r="AR913" s="208"/>
      <c r="AS913" s="208"/>
      <c r="AT913" s="208"/>
      <c r="AU913" s="208"/>
      <c r="AV913" s="208"/>
      <c r="AW913" s="208"/>
      <c r="AX913" s="208"/>
      <c r="AY913" s="208"/>
    </row>
    <row r="914">
      <c r="A914" s="208"/>
      <c r="B914" s="533"/>
      <c r="C914" s="208"/>
      <c r="D914" s="208"/>
      <c r="E914" s="208"/>
      <c r="F914" s="584"/>
      <c r="G914" s="208"/>
      <c r="H914" s="208"/>
      <c r="I914" s="208"/>
      <c r="J914" s="208"/>
      <c r="K914" s="208"/>
      <c r="L914" s="536"/>
      <c r="M914" s="208"/>
      <c r="N914" s="208"/>
      <c r="O914" s="208"/>
      <c r="P914" s="208"/>
      <c r="Q914" s="208"/>
      <c r="R914" s="208"/>
      <c r="S914" s="208"/>
      <c r="T914" s="208"/>
      <c r="U914" s="208"/>
      <c r="V914" s="208"/>
      <c r="W914" s="208"/>
      <c r="X914" s="208"/>
      <c r="Y914" s="208"/>
      <c r="Z914" s="208"/>
      <c r="AA914" s="208"/>
      <c r="AB914" s="208"/>
      <c r="AC914" s="208"/>
      <c r="AD914" s="208"/>
      <c r="AE914" s="208"/>
      <c r="AF914" s="208"/>
      <c r="AG914" s="208"/>
      <c r="AH914" s="208"/>
      <c r="AI914" s="208"/>
      <c r="AJ914" s="208"/>
      <c r="AK914" s="208"/>
      <c r="AL914" s="208"/>
      <c r="AM914" s="208"/>
      <c r="AN914" s="208"/>
      <c r="AO914" s="208"/>
      <c r="AP914" s="208"/>
      <c r="AQ914" s="208"/>
      <c r="AR914" s="208"/>
      <c r="AS914" s="208"/>
      <c r="AT914" s="208"/>
      <c r="AU914" s="208"/>
      <c r="AV914" s="208"/>
      <c r="AW914" s="208"/>
      <c r="AX914" s="208"/>
      <c r="AY914" s="208"/>
    </row>
    <row r="915">
      <c r="A915" s="208"/>
      <c r="B915" s="533"/>
      <c r="C915" s="208"/>
      <c r="D915" s="208"/>
      <c r="E915" s="208"/>
      <c r="F915" s="584"/>
      <c r="G915" s="208"/>
      <c r="H915" s="208"/>
      <c r="I915" s="208"/>
      <c r="J915" s="208"/>
      <c r="K915" s="208"/>
      <c r="L915" s="536"/>
      <c r="M915" s="208"/>
      <c r="N915" s="208"/>
      <c r="O915" s="208"/>
      <c r="P915" s="208"/>
      <c r="Q915" s="208"/>
      <c r="R915" s="208"/>
      <c r="S915" s="208"/>
      <c r="T915" s="208"/>
      <c r="U915" s="208"/>
      <c r="V915" s="208"/>
      <c r="W915" s="208"/>
      <c r="X915" s="208"/>
      <c r="Y915" s="208"/>
      <c r="Z915" s="208"/>
      <c r="AA915" s="208"/>
      <c r="AB915" s="208"/>
      <c r="AC915" s="208"/>
      <c r="AD915" s="208"/>
      <c r="AE915" s="208"/>
      <c r="AF915" s="208"/>
      <c r="AG915" s="208"/>
      <c r="AH915" s="208"/>
      <c r="AI915" s="208"/>
      <c r="AJ915" s="208"/>
      <c r="AK915" s="208"/>
      <c r="AL915" s="208"/>
      <c r="AM915" s="208"/>
      <c r="AN915" s="208"/>
      <c r="AO915" s="208"/>
      <c r="AP915" s="208"/>
      <c r="AQ915" s="208"/>
      <c r="AR915" s="208"/>
      <c r="AS915" s="208"/>
      <c r="AT915" s="208"/>
      <c r="AU915" s="208"/>
      <c r="AV915" s="208"/>
      <c r="AW915" s="208"/>
      <c r="AX915" s="208"/>
      <c r="AY915" s="208"/>
    </row>
    <row r="916">
      <c r="A916" s="208"/>
      <c r="B916" s="533"/>
      <c r="C916" s="208"/>
      <c r="D916" s="208"/>
      <c r="E916" s="208"/>
      <c r="F916" s="584"/>
      <c r="G916" s="208"/>
      <c r="H916" s="208"/>
      <c r="I916" s="208"/>
      <c r="J916" s="208"/>
      <c r="K916" s="208"/>
      <c r="L916" s="536"/>
      <c r="M916" s="208"/>
      <c r="N916" s="208"/>
      <c r="O916" s="208"/>
      <c r="P916" s="208"/>
      <c r="Q916" s="208"/>
      <c r="R916" s="208"/>
      <c r="S916" s="208"/>
      <c r="T916" s="208"/>
      <c r="U916" s="208"/>
      <c r="V916" s="208"/>
      <c r="W916" s="208"/>
      <c r="X916" s="208"/>
      <c r="Y916" s="208"/>
      <c r="Z916" s="208"/>
      <c r="AA916" s="208"/>
      <c r="AB916" s="208"/>
      <c r="AC916" s="208"/>
      <c r="AD916" s="208"/>
      <c r="AE916" s="208"/>
      <c r="AF916" s="208"/>
      <c r="AG916" s="208"/>
      <c r="AH916" s="208"/>
      <c r="AI916" s="208"/>
      <c r="AJ916" s="208"/>
      <c r="AK916" s="208"/>
      <c r="AL916" s="208"/>
      <c r="AM916" s="208"/>
      <c r="AN916" s="208"/>
      <c r="AO916" s="208"/>
      <c r="AP916" s="208"/>
      <c r="AQ916" s="208"/>
      <c r="AR916" s="208"/>
      <c r="AS916" s="208"/>
      <c r="AT916" s="208"/>
      <c r="AU916" s="208"/>
      <c r="AV916" s="208"/>
      <c r="AW916" s="208"/>
      <c r="AX916" s="208"/>
      <c r="AY916" s="208"/>
    </row>
    <row r="917">
      <c r="A917" s="208"/>
      <c r="B917" s="533"/>
      <c r="C917" s="208"/>
      <c r="D917" s="208"/>
      <c r="E917" s="208"/>
      <c r="F917" s="584"/>
      <c r="G917" s="208"/>
      <c r="H917" s="208"/>
      <c r="I917" s="208"/>
      <c r="J917" s="208"/>
      <c r="K917" s="208"/>
      <c r="L917" s="536"/>
      <c r="M917" s="208"/>
      <c r="N917" s="208"/>
      <c r="O917" s="208"/>
      <c r="P917" s="208"/>
      <c r="Q917" s="208"/>
      <c r="R917" s="208"/>
      <c r="S917" s="208"/>
      <c r="T917" s="208"/>
      <c r="U917" s="208"/>
      <c r="V917" s="208"/>
      <c r="W917" s="208"/>
      <c r="X917" s="208"/>
      <c r="Y917" s="208"/>
      <c r="Z917" s="208"/>
      <c r="AA917" s="208"/>
      <c r="AB917" s="208"/>
      <c r="AC917" s="208"/>
      <c r="AD917" s="208"/>
      <c r="AE917" s="208"/>
      <c r="AF917" s="208"/>
      <c r="AG917" s="208"/>
      <c r="AH917" s="208"/>
      <c r="AI917" s="208"/>
      <c r="AJ917" s="208"/>
      <c r="AK917" s="208"/>
      <c r="AL917" s="208"/>
      <c r="AM917" s="208"/>
      <c r="AN917" s="208"/>
      <c r="AO917" s="208"/>
      <c r="AP917" s="208"/>
      <c r="AQ917" s="208"/>
      <c r="AR917" s="208"/>
      <c r="AS917" s="208"/>
      <c r="AT917" s="208"/>
      <c r="AU917" s="208"/>
      <c r="AV917" s="208"/>
      <c r="AW917" s="208"/>
      <c r="AX917" s="208"/>
      <c r="AY917" s="208"/>
    </row>
    <row r="918">
      <c r="A918" s="208"/>
      <c r="B918" s="533"/>
      <c r="C918" s="208"/>
      <c r="D918" s="208"/>
      <c r="E918" s="208"/>
      <c r="F918" s="584"/>
      <c r="G918" s="208"/>
      <c r="H918" s="208"/>
      <c r="I918" s="208"/>
      <c r="J918" s="208"/>
      <c r="K918" s="208"/>
      <c r="L918" s="536"/>
      <c r="M918" s="208"/>
      <c r="N918" s="208"/>
      <c r="O918" s="208"/>
      <c r="P918" s="208"/>
      <c r="Q918" s="208"/>
      <c r="R918" s="208"/>
      <c r="S918" s="208"/>
      <c r="T918" s="208"/>
      <c r="U918" s="208"/>
      <c r="V918" s="208"/>
      <c r="W918" s="208"/>
      <c r="X918" s="208"/>
      <c r="Y918" s="208"/>
      <c r="Z918" s="208"/>
      <c r="AA918" s="208"/>
      <c r="AB918" s="208"/>
      <c r="AC918" s="208"/>
      <c r="AD918" s="208"/>
      <c r="AE918" s="208"/>
      <c r="AF918" s="208"/>
      <c r="AG918" s="208"/>
      <c r="AH918" s="208"/>
      <c r="AI918" s="208"/>
      <c r="AJ918" s="208"/>
      <c r="AK918" s="208"/>
      <c r="AL918" s="208"/>
      <c r="AM918" s="208"/>
      <c r="AN918" s="208"/>
      <c r="AO918" s="208"/>
      <c r="AP918" s="208"/>
      <c r="AQ918" s="208"/>
      <c r="AR918" s="208"/>
      <c r="AS918" s="208"/>
      <c r="AT918" s="208"/>
      <c r="AU918" s="208"/>
      <c r="AV918" s="208"/>
      <c r="AW918" s="208"/>
      <c r="AX918" s="208"/>
      <c r="AY918" s="208"/>
    </row>
    <row r="919">
      <c r="A919" s="208"/>
      <c r="B919" s="533"/>
      <c r="C919" s="208"/>
      <c r="D919" s="208"/>
      <c r="E919" s="208"/>
      <c r="F919" s="584"/>
      <c r="G919" s="208"/>
      <c r="H919" s="208"/>
      <c r="I919" s="208"/>
      <c r="J919" s="208"/>
      <c r="K919" s="208"/>
      <c r="L919" s="536"/>
      <c r="M919" s="208"/>
      <c r="N919" s="208"/>
      <c r="O919" s="208"/>
      <c r="P919" s="208"/>
      <c r="Q919" s="208"/>
      <c r="R919" s="208"/>
      <c r="S919" s="208"/>
      <c r="T919" s="208"/>
      <c r="U919" s="208"/>
      <c r="V919" s="208"/>
      <c r="W919" s="208"/>
      <c r="X919" s="208"/>
      <c r="Y919" s="208"/>
      <c r="Z919" s="208"/>
      <c r="AA919" s="208"/>
      <c r="AB919" s="208"/>
      <c r="AC919" s="208"/>
      <c r="AD919" s="208"/>
      <c r="AE919" s="208"/>
      <c r="AF919" s="208"/>
      <c r="AG919" s="208"/>
      <c r="AH919" s="208"/>
      <c r="AI919" s="208"/>
      <c r="AJ919" s="208"/>
      <c r="AK919" s="208"/>
      <c r="AL919" s="208"/>
      <c r="AM919" s="208"/>
      <c r="AN919" s="208"/>
      <c r="AO919" s="208"/>
      <c r="AP919" s="208"/>
      <c r="AQ919" s="208"/>
      <c r="AR919" s="208"/>
      <c r="AS919" s="208"/>
      <c r="AT919" s="208"/>
      <c r="AU919" s="208"/>
      <c r="AV919" s="208"/>
      <c r="AW919" s="208"/>
      <c r="AX919" s="208"/>
      <c r="AY919" s="208"/>
    </row>
    <row r="920">
      <c r="A920" s="208"/>
      <c r="B920" s="533"/>
      <c r="C920" s="208"/>
      <c r="D920" s="208"/>
      <c r="E920" s="208"/>
      <c r="F920" s="584"/>
      <c r="G920" s="208"/>
      <c r="H920" s="208"/>
      <c r="I920" s="208"/>
      <c r="J920" s="208"/>
      <c r="K920" s="208"/>
      <c r="L920" s="536"/>
      <c r="M920" s="208"/>
      <c r="N920" s="208"/>
      <c r="O920" s="208"/>
      <c r="P920" s="208"/>
      <c r="Q920" s="208"/>
      <c r="R920" s="208"/>
      <c r="S920" s="208"/>
      <c r="T920" s="208"/>
      <c r="U920" s="208"/>
      <c r="V920" s="208"/>
      <c r="W920" s="208"/>
      <c r="X920" s="208"/>
      <c r="Y920" s="208"/>
      <c r="Z920" s="208"/>
      <c r="AA920" s="208"/>
      <c r="AB920" s="208"/>
      <c r="AC920" s="208"/>
      <c r="AD920" s="208"/>
      <c r="AE920" s="208"/>
      <c r="AF920" s="208"/>
      <c r="AG920" s="208"/>
      <c r="AH920" s="208"/>
      <c r="AI920" s="208"/>
      <c r="AJ920" s="208"/>
      <c r="AK920" s="208"/>
      <c r="AL920" s="208"/>
      <c r="AM920" s="208"/>
      <c r="AN920" s="208"/>
      <c r="AO920" s="208"/>
      <c r="AP920" s="208"/>
      <c r="AQ920" s="208"/>
      <c r="AR920" s="208"/>
      <c r="AS920" s="208"/>
      <c r="AT920" s="208"/>
      <c r="AU920" s="208"/>
      <c r="AV920" s="208"/>
      <c r="AW920" s="208"/>
      <c r="AX920" s="208"/>
      <c r="AY920" s="208"/>
    </row>
    <row r="921">
      <c r="A921" s="208"/>
      <c r="B921" s="533"/>
      <c r="C921" s="208"/>
      <c r="D921" s="208"/>
      <c r="E921" s="208"/>
      <c r="F921" s="584"/>
      <c r="G921" s="208"/>
      <c r="H921" s="208"/>
      <c r="I921" s="208"/>
      <c r="J921" s="208"/>
      <c r="K921" s="208"/>
      <c r="L921" s="536"/>
      <c r="M921" s="208"/>
      <c r="N921" s="208"/>
      <c r="O921" s="208"/>
      <c r="P921" s="208"/>
      <c r="Q921" s="208"/>
      <c r="R921" s="208"/>
      <c r="S921" s="208"/>
      <c r="T921" s="208"/>
      <c r="U921" s="208"/>
      <c r="V921" s="208"/>
      <c r="W921" s="208"/>
      <c r="X921" s="208"/>
      <c r="Y921" s="208"/>
      <c r="Z921" s="208"/>
      <c r="AA921" s="208"/>
      <c r="AB921" s="208"/>
      <c r="AC921" s="208"/>
      <c r="AD921" s="208"/>
      <c r="AE921" s="208"/>
      <c r="AF921" s="208"/>
      <c r="AG921" s="208"/>
      <c r="AH921" s="208"/>
      <c r="AI921" s="208"/>
      <c r="AJ921" s="208"/>
      <c r="AK921" s="208"/>
      <c r="AL921" s="208"/>
      <c r="AM921" s="208"/>
      <c r="AN921" s="208"/>
      <c r="AO921" s="208"/>
      <c r="AP921" s="208"/>
      <c r="AQ921" s="208"/>
      <c r="AR921" s="208"/>
      <c r="AS921" s="208"/>
      <c r="AT921" s="208"/>
      <c r="AU921" s="208"/>
      <c r="AV921" s="208"/>
      <c r="AW921" s="208"/>
      <c r="AX921" s="208"/>
      <c r="AY921" s="208"/>
    </row>
    <row r="922">
      <c r="A922" s="208"/>
      <c r="B922" s="533"/>
      <c r="C922" s="208"/>
      <c r="D922" s="208"/>
      <c r="E922" s="208"/>
      <c r="F922" s="584"/>
      <c r="G922" s="208"/>
      <c r="H922" s="208"/>
      <c r="I922" s="208"/>
      <c r="J922" s="208"/>
      <c r="K922" s="208"/>
      <c r="L922" s="536"/>
      <c r="M922" s="208"/>
      <c r="N922" s="208"/>
      <c r="O922" s="208"/>
      <c r="P922" s="208"/>
      <c r="Q922" s="208"/>
      <c r="R922" s="208"/>
      <c r="S922" s="208"/>
      <c r="T922" s="208"/>
      <c r="U922" s="208"/>
      <c r="V922" s="208"/>
      <c r="W922" s="208"/>
      <c r="X922" s="208"/>
      <c r="Y922" s="208"/>
      <c r="Z922" s="208"/>
      <c r="AA922" s="208"/>
      <c r="AB922" s="208"/>
      <c r="AC922" s="208"/>
      <c r="AD922" s="208"/>
      <c r="AE922" s="208"/>
      <c r="AF922" s="208"/>
      <c r="AG922" s="208"/>
      <c r="AH922" s="208"/>
      <c r="AI922" s="208"/>
      <c r="AJ922" s="208"/>
      <c r="AK922" s="208"/>
      <c r="AL922" s="208"/>
      <c r="AM922" s="208"/>
      <c r="AN922" s="208"/>
      <c r="AO922" s="208"/>
      <c r="AP922" s="208"/>
      <c r="AQ922" s="208"/>
      <c r="AR922" s="208"/>
      <c r="AS922" s="208"/>
      <c r="AT922" s="208"/>
      <c r="AU922" s="208"/>
      <c r="AV922" s="208"/>
      <c r="AW922" s="208"/>
      <c r="AX922" s="208"/>
      <c r="AY922" s="208"/>
    </row>
    <row r="923">
      <c r="A923" s="208"/>
      <c r="B923" s="533"/>
      <c r="C923" s="208"/>
      <c r="D923" s="208"/>
      <c r="E923" s="208"/>
      <c r="F923" s="584"/>
      <c r="G923" s="208"/>
      <c r="H923" s="208"/>
      <c r="I923" s="208"/>
      <c r="J923" s="208"/>
      <c r="K923" s="208"/>
      <c r="L923" s="536"/>
      <c r="M923" s="208"/>
      <c r="N923" s="208"/>
      <c r="O923" s="208"/>
      <c r="P923" s="208"/>
      <c r="Q923" s="208"/>
      <c r="R923" s="208"/>
      <c r="S923" s="208"/>
      <c r="T923" s="208"/>
      <c r="U923" s="208"/>
      <c r="V923" s="208"/>
      <c r="W923" s="208"/>
      <c r="X923" s="208"/>
      <c r="Y923" s="208"/>
      <c r="Z923" s="208"/>
      <c r="AA923" s="208"/>
      <c r="AB923" s="208"/>
      <c r="AC923" s="208"/>
      <c r="AD923" s="208"/>
      <c r="AE923" s="208"/>
      <c r="AF923" s="208"/>
      <c r="AG923" s="208"/>
      <c r="AH923" s="208"/>
      <c r="AI923" s="208"/>
      <c r="AJ923" s="208"/>
      <c r="AK923" s="208"/>
      <c r="AL923" s="208"/>
      <c r="AM923" s="208"/>
      <c r="AN923" s="208"/>
      <c r="AO923" s="208"/>
      <c r="AP923" s="208"/>
      <c r="AQ923" s="208"/>
      <c r="AR923" s="208"/>
      <c r="AS923" s="208"/>
      <c r="AT923" s="208"/>
      <c r="AU923" s="208"/>
      <c r="AV923" s="208"/>
      <c r="AW923" s="208"/>
      <c r="AX923" s="208"/>
      <c r="AY923" s="208"/>
    </row>
    <row r="924">
      <c r="A924" s="208"/>
      <c r="B924" s="533"/>
      <c r="C924" s="208"/>
      <c r="D924" s="208"/>
      <c r="E924" s="208"/>
      <c r="F924" s="584"/>
      <c r="G924" s="208"/>
      <c r="H924" s="208"/>
      <c r="I924" s="208"/>
      <c r="J924" s="208"/>
      <c r="K924" s="208"/>
      <c r="L924" s="536"/>
      <c r="M924" s="208"/>
      <c r="N924" s="208"/>
      <c r="O924" s="208"/>
      <c r="P924" s="208"/>
      <c r="Q924" s="208"/>
      <c r="R924" s="208"/>
      <c r="S924" s="208"/>
      <c r="T924" s="208"/>
      <c r="U924" s="208"/>
      <c r="V924" s="208"/>
      <c r="W924" s="208"/>
      <c r="X924" s="208"/>
      <c r="Y924" s="208"/>
      <c r="Z924" s="208"/>
      <c r="AA924" s="208"/>
      <c r="AB924" s="208"/>
      <c r="AC924" s="208"/>
      <c r="AD924" s="208"/>
      <c r="AE924" s="208"/>
      <c r="AF924" s="208"/>
      <c r="AG924" s="208"/>
      <c r="AH924" s="208"/>
      <c r="AI924" s="208"/>
      <c r="AJ924" s="208"/>
      <c r="AK924" s="208"/>
      <c r="AL924" s="208"/>
      <c r="AM924" s="208"/>
      <c r="AN924" s="208"/>
      <c r="AO924" s="208"/>
      <c r="AP924" s="208"/>
      <c r="AQ924" s="208"/>
      <c r="AR924" s="208"/>
      <c r="AS924" s="208"/>
      <c r="AT924" s="208"/>
      <c r="AU924" s="208"/>
      <c r="AV924" s="208"/>
      <c r="AW924" s="208"/>
      <c r="AX924" s="208"/>
      <c r="AY924" s="208"/>
    </row>
    <row r="925">
      <c r="A925" s="208"/>
      <c r="B925" s="533"/>
      <c r="C925" s="208"/>
      <c r="D925" s="208"/>
      <c r="E925" s="208"/>
      <c r="F925" s="584"/>
      <c r="G925" s="208"/>
      <c r="H925" s="208"/>
      <c r="I925" s="208"/>
      <c r="J925" s="208"/>
      <c r="K925" s="208"/>
      <c r="L925" s="536"/>
      <c r="M925" s="208"/>
      <c r="N925" s="208"/>
      <c r="O925" s="208"/>
      <c r="P925" s="208"/>
      <c r="Q925" s="208"/>
      <c r="R925" s="208"/>
      <c r="S925" s="208"/>
      <c r="T925" s="208"/>
      <c r="U925" s="208"/>
      <c r="V925" s="208"/>
      <c r="W925" s="208"/>
      <c r="X925" s="208"/>
      <c r="Y925" s="208"/>
      <c r="Z925" s="208"/>
      <c r="AA925" s="208"/>
      <c r="AB925" s="208"/>
      <c r="AC925" s="208"/>
      <c r="AD925" s="208"/>
      <c r="AE925" s="208"/>
      <c r="AF925" s="208"/>
      <c r="AG925" s="208"/>
      <c r="AH925" s="208"/>
      <c r="AI925" s="208"/>
      <c r="AJ925" s="208"/>
      <c r="AK925" s="208"/>
      <c r="AL925" s="208"/>
      <c r="AM925" s="208"/>
      <c r="AN925" s="208"/>
      <c r="AO925" s="208"/>
      <c r="AP925" s="208"/>
      <c r="AQ925" s="208"/>
      <c r="AR925" s="208"/>
      <c r="AS925" s="208"/>
      <c r="AT925" s="208"/>
      <c r="AU925" s="208"/>
      <c r="AV925" s="208"/>
      <c r="AW925" s="208"/>
      <c r="AX925" s="208"/>
      <c r="AY925" s="208"/>
    </row>
    <row r="926">
      <c r="A926" s="208"/>
      <c r="B926" s="533"/>
      <c r="C926" s="208"/>
      <c r="D926" s="208"/>
      <c r="E926" s="208"/>
      <c r="F926" s="584"/>
      <c r="G926" s="208"/>
      <c r="H926" s="208"/>
      <c r="I926" s="208"/>
      <c r="J926" s="208"/>
      <c r="K926" s="208"/>
      <c r="L926" s="536"/>
      <c r="M926" s="208"/>
      <c r="N926" s="208"/>
      <c r="O926" s="208"/>
      <c r="P926" s="208"/>
      <c r="Q926" s="208"/>
      <c r="R926" s="208"/>
      <c r="S926" s="208"/>
      <c r="T926" s="208"/>
      <c r="U926" s="208"/>
      <c r="V926" s="208"/>
      <c r="W926" s="208"/>
      <c r="X926" s="208"/>
      <c r="Y926" s="208"/>
      <c r="Z926" s="208"/>
      <c r="AA926" s="208"/>
      <c r="AB926" s="208"/>
      <c r="AC926" s="208"/>
      <c r="AD926" s="208"/>
      <c r="AE926" s="208"/>
      <c r="AF926" s="208"/>
      <c r="AG926" s="208"/>
      <c r="AH926" s="208"/>
      <c r="AI926" s="208"/>
      <c r="AJ926" s="208"/>
      <c r="AK926" s="208"/>
      <c r="AL926" s="208"/>
      <c r="AM926" s="208"/>
      <c r="AN926" s="208"/>
      <c r="AO926" s="208"/>
      <c r="AP926" s="208"/>
      <c r="AQ926" s="208"/>
      <c r="AR926" s="208"/>
      <c r="AS926" s="208"/>
      <c r="AT926" s="208"/>
      <c r="AU926" s="208"/>
      <c r="AV926" s="208"/>
      <c r="AW926" s="208"/>
      <c r="AX926" s="208"/>
      <c r="AY926" s="208"/>
    </row>
    <row r="927">
      <c r="A927" s="208"/>
      <c r="B927" s="533"/>
      <c r="C927" s="208"/>
      <c r="D927" s="208"/>
      <c r="E927" s="208"/>
      <c r="F927" s="584"/>
      <c r="G927" s="208"/>
      <c r="H927" s="208"/>
      <c r="I927" s="208"/>
      <c r="J927" s="208"/>
      <c r="K927" s="208"/>
      <c r="L927" s="536"/>
      <c r="M927" s="208"/>
      <c r="N927" s="208"/>
      <c r="O927" s="208"/>
      <c r="P927" s="208"/>
      <c r="Q927" s="208"/>
      <c r="R927" s="208"/>
      <c r="S927" s="208"/>
      <c r="T927" s="208"/>
      <c r="U927" s="208"/>
      <c r="V927" s="208"/>
      <c r="W927" s="208"/>
      <c r="X927" s="208"/>
      <c r="Y927" s="208"/>
      <c r="Z927" s="208"/>
      <c r="AA927" s="208"/>
      <c r="AB927" s="208"/>
      <c r="AC927" s="208"/>
      <c r="AD927" s="208"/>
      <c r="AE927" s="208"/>
      <c r="AF927" s="208"/>
      <c r="AG927" s="208"/>
      <c r="AH927" s="208"/>
      <c r="AI927" s="208"/>
      <c r="AJ927" s="208"/>
      <c r="AK927" s="208"/>
      <c r="AL927" s="208"/>
      <c r="AM927" s="208"/>
      <c r="AN927" s="208"/>
      <c r="AO927" s="208"/>
      <c r="AP927" s="208"/>
      <c r="AQ927" s="208"/>
      <c r="AR927" s="208"/>
      <c r="AS927" s="208"/>
      <c r="AT927" s="208"/>
      <c r="AU927" s="208"/>
      <c r="AV927" s="208"/>
      <c r="AW927" s="208"/>
      <c r="AX927" s="208"/>
      <c r="AY927" s="208"/>
    </row>
    <row r="928">
      <c r="A928" s="208"/>
      <c r="B928" s="533"/>
      <c r="C928" s="208"/>
      <c r="D928" s="208"/>
      <c r="E928" s="208"/>
      <c r="F928" s="584"/>
      <c r="G928" s="208"/>
      <c r="H928" s="208"/>
      <c r="I928" s="208"/>
      <c r="J928" s="208"/>
      <c r="K928" s="208"/>
      <c r="L928" s="536"/>
      <c r="M928" s="208"/>
      <c r="N928" s="208"/>
      <c r="O928" s="208"/>
      <c r="P928" s="208"/>
      <c r="Q928" s="208"/>
      <c r="R928" s="208"/>
      <c r="S928" s="208"/>
      <c r="T928" s="208"/>
      <c r="U928" s="208"/>
      <c r="V928" s="208"/>
      <c r="W928" s="208"/>
      <c r="X928" s="208"/>
      <c r="Y928" s="208"/>
      <c r="Z928" s="208"/>
      <c r="AA928" s="208"/>
      <c r="AB928" s="208"/>
      <c r="AC928" s="208"/>
      <c r="AD928" s="208"/>
      <c r="AE928" s="208"/>
      <c r="AF928" s="208"/>
      <c r="AG928" s="208"/>
      <c r="AH928" s="208"/>
      <c r="AI928" s="208"/>
      <c r="AJ928" s="208"/>
      <c r="AK928" s="208"/>
      <c r="AL928" s="208"/>
      <c r="AM928" s="208"/>
      <c r="AN928" s="208"/>
      <c r="AO928" s="208"/>
      <c r="AP928" s="208"/>
      <c r="AQ928" s="208"/>
      <c r="AR928" s="208"/>
      <c r="AS928" s="208"/>
      <c r="AT928" s="208"/>
      <c r="AU928" s="208"/>
      <c r="AV928" s="208"/>
      <c r="AW928" s="208"/>
      <c r="AX928" s="208"/>
      <c r="AY928" s="208"/>
    </row>
    <row r="929">
      <c r="A929" s="208"/>
      <c r="B929" s="533"/>
      <c r="C929" s="208"/>
      <c r="D929" s="208"/>
      <c r="E929" s="208"/>
      <c r="F929" s="584"/>
      <c r="G929" s="208"/>
      <c r="H929" s="208"/>
      <c r="I929" s="208"/>
      <c r="J929" s="208"/>
      <c r="K929" s="208"/>
      <c r="L929" s="536"/>
      <c r="M929" s="208"/>
      <c r="N929" s="208"/>
      <c r="O929" s="208"/>
      <c r="P929" s="208"/>
      <c r="Q929" s="208"/>
      <c r="R929" s="208"/>
      <c r="S929" s="208"/>
      <c r="T929" s="208"/>
      <c r="U929" s="208"/>
      <c r="V929" s="208"/>
      <c r="W929" s="208"/>
      <c r="X929" s="208"/>
      <c r="Y929" s="208"/>
      <c r="Z929" s="208"/>
      <c r="AA929" s="208"/>
      <c r="AB929" s="208"/>
      <c r="AC929" s="208"/>
      <c r="AD929" s="208"/>
      <c r="AE929" s="208"/>
      <c r="AF929" s="208"/>
      <c r="AG929" s="208"/>
      <c r="AH929" s="208"/>
      <c r="AI929" s="208"/>
      <c r="AJ929" s="208"/>
      <c r="AK929" s="208"/>
      <c r="AL929" s="208"/>
      <c r="AM929" s="208"/>
      <c r="AN929" s="208"/>
      <c r="AO929" s="208"/>
      <c r="AP929" s="208"/>
      <c r="AQ929" s="208"/>
      <c r="AR929" s="208"/>
      <c r="AS929" s="208"/>
      <c r="AT929" s="208"/>
      <c r="AU929" s="208"/>
      <c r="AV929" s="208"/>
      <c r="AW929" s="208"/>
      <c r="AX929" s="208"/>
      <c r="AY929" s="208"/>
    </row>
    <row r="930">
      <c r="A930" s="208"/>
      <c r="B930" s="533"/>
      <c r="C930" s="208"/>
      <c r="D930" s="208"/>
      <c r="E930" s="208"/>
      <c r="F930" s="584"/>
      <c r="G930" s="208"/>
      <c r="H930" s="208"/>
      <c r="I930" s="208"/>
      <c r="J930" s="208"/>
      <c r="K930" s="208"/>
      <c r="L930" s="536"/>
      <c r="M930" s="208"/>
      <c r="N930" s="208"/>
      <c r="O930" s="208"/>
      <c r="P930" s="208"/>
      <c r="Q930" s="208"/>
      <c r="R930" s="208"/>
      <c r="S930" s="208"/>
      <c r="T930" s="208"/>
      <c r="U930" s="208"/>
      <c r="V930" s="208"/>
      <c r="W930" s="208"/>
      <c r="X930" s="208"/>
      <c r="Y930" s="208"/>
      <c r="Z930" s="208"/>
      <c r="AA930" s="208"/>
      <c r="AB930" s="208"/>
      <c r="AC930" s="208"/>
      <c r="AD930" s="208"/>
      <c r="AE930" s="208"/>
      <c r="AF930" s="208"/>
      <c r="AG930" s="208"/>
      <c r="AH930" s="208"/>
      <c r="AI930" s="208"/>
      <c r="AJ930" s="208"/>
      <c r="AK930" s="208"/>
      <c r="AL930" s="208"/>
      <c r="AM930" s="208"/>
      <c r="AN930" s="208"/>
      <c r="AO930" s="208"/>
      <c r="AP930" s="208"/>
      <c r="AQ930" s="208"/>
      <c r="AR930" s="208"/>
      <c r="AS930" s="208"/>
      <c r="AT930" s="208"/>
      <c r="AU930" s="208"/>
      <c r="AV930" s="208"/>
      <c r="AW930" s="208"/>
      <c r="AX930" s="208"/>
      <c r="AY930" s="208"/>
    </row>
    <row r="931">
      <c r="A931" s="208"/>
      <c r="B931" s="533"/>
      <c r="C931" s="208"/>
      <c r="D931" s="208"/>
      <c r="E931" s="208"/>
      <c r="F931" s="584"/>
      <c r="G931" s="208"/>
      <c r="H931" s="208"/>
      <c r="I931" s="208"/>
      <c r="J931" s="208"/>
      <c r="K931" s="208"/>
      <c r="L931" s="536"/>
      <c r="M931" s="208"/>
      <c r="N931" s="208"/>
      <c r="O931" s="208"/>
      <c r="P931" s="208"/>
      <c r="Q931" s="208"/>
      <c r="R931" s="208"/>
      <c r="S931" s="208"/>
      <c r="T931" s="208"/>
      <c r="U931" s="208"/>
      <c r="V931" s="208"/>
      <c r="W931" s="208"/>
      <c r="X931" s="208"/>
      <c r="Y931" s="208"/>
      <c r="Z931" s="208"/>
      <c r="AA931" s="208"/>
      <c r="AB931" s="208"/>
      <c r="AC931" s="208"/>
      <c r="AD931" s="208"/>
      <c r="AE931" s="208"/>
      <c r="AF931" s="208"/>
      <c r="AG931" s="208"/>
      <c r="AH931" s="208"/>
      <c r="AI931" s="208"/>
      <c r="AJ931" s="208"/>
      <c r="AK931" s="208"/>
      <c r="AL931" s="208"/>
      <c r="AM931" s="208"/>
      <c r="AN931" s="208"/>
      <c r="AO931" s="208"/>
      <c r="AP931" s="208"/>
      <c r="AQ931" s="208"/>
      <c r="AR931" s="208"/>
      <c r="AS931" s="208"/>
      <c r="AT931" s="208"/>
      <c r="AU931" s="208"/>
      <c r="AV931" s="208"/>
      <c r="AW931" s="208"/>
      <c r="AX931" s="208"/>
      <c r="AY931" s="208"/>
    </row>
    <row r="932">
      <c r="A932" s="208"/>
      <c r="B932" s="533"/>
      <c r="C932" s="208"/>
      <c r="D932" s="208"/>
      <c r="E932" s="208"/>
      <c r="F932" s="584"/>
      <c r="G932" s="208"/>
      <c r="H932" s="208"/>
      <c r="I932" s="208"/>
      <c r="J932" s="208"/>
      <c r="K932" s="208"/>
      <c r="L932" s="536"/>
      <c r="M932" s="208"/>
      <c r="N932" s="208"/>
      <c r="O932" s="208"/>
      <c r="P932" s="208"/>
      <c r="Q932" s="208"/>
      <c r="R932" s="208"/>
      <c r="S932" s="208"/>
      <c r="T932" s="208"/>
      <c r="U932" s="208"/>
      <c r="V932" s="208"/>
      <c r="W932" s="208"/>
      <c r="X932" s="208"/>
      <c r="Y932" s="208"/>
      <c r="Z932" s="208"/>
      <c r="AA932" s="208"/>
      <c r="AB932" s="208"/>
      <c r="AC932" s="208"/>
      <c r="AD932" s="208"/>
      <c r="AE932" s="208"/>
      <c r="AF932" s="208"/>
      <c r="AG932" s="208"/>
      <c r="AH932" s="208"/>
      <c r="AI932" s="208"/>
      <c r="AJ932" s="208"/>
      <c r="AK932" s="208"/>
      <c r="AL932" s="208"/>
      <c r="AM932" s="208"/>
      <c r="AN932" s="208"/>
      <c r="AO932" s="208"/>
      <c r="AP932" s="208"/>
      <c r="AQ932" s="208"/>
      <c r="AR932" s="208"/>
      <c r="AS932" s="208"/>
      <c r="AT932" s="208"/>
      <c r="AU932" s="208"/>
      <c r="AV932" s="208"/>
      <c r="AW932" s="208"/>
      <c r="AX932" s="208"/>
      <c r="AY932" s="208"/>
    </row>
    <row r="933">
      <c r="A933" s="208"/>
      <c r="B933" s="533"/>
      <c r="C933" s="208"/>
      <c r="D933" s="208"/>
      <c r="E933" s="208"/>
      <c r="F933" s="584"/>
      <c r="G933" s="208"/>
      <c r="H933" s="208"/>
      <c r="I933" s="208"/>
      <c r="J933" s="208"/>
      <c r="K933" s="208"/>
      <c r="L933" s="536"/>
      <c r="M933" s="208"/>
      <c r="N933" s="208"/>
      <c r="O933" s="208"/>
      <c r="P933" s="208"/>
      <c r="Q933" s="208"/>
      <c r="R933" s="208"/>
      <c r="S933" s="208"/>
      <c r="T933" s="208"/>
      <c r="U933" s="208"/>
      <c r="V933" s="208"/>
      <c r="W933" s="208"/>
      <c r="X933" s="208"/>
      <c r="Y933" s="208"/>
      <c r="Z933" s="208"/>
      <c r="AA933" s="208"/>
      <c r="AB933" s="208"/>
      <c r="AC933" s="208"/>
      <c r="AD933" s="208"/>
      <c r="AE933" s="208"/>
      <c r="AF933" s="208"/>
      <c r="AG933" s="208"/>
      <c r="AH933" s="208"/>
      <c r="AI933" s="208"/>
      <c r="AJ933" s="208"/>
      <c r="AK933" s="208"/>
      <c r="AL933" s="208"/>
      <c r="AM933" s="208"/>
      <c r="AN933" s="208"/>
      <c r="AO933" s="208"/>
      <c r="AP933" s="208"/>
      <c r="AQ933" s="208"/>
      <c r="AR933" s="208"/>
      <c r="AS933" s="208"/>
      <c r="AT933" s="208"/>
      <c r="AU933" s="208"/>
      <c r="AV933" s="208"/>
      <c r="AW933" s="208"/>
      <c r="AX933" s="208"/>
      <c r="AY933" s="208"/>
    </row>
    <row r="934">
      <c r="A934" s="208"/>
      <c r="B934" s="533"/>
      <c r="C934" s="208"/>
      <c r="D934" s="208"/>
      <c r="E934" s="208"/>
      <c r="F934" s="584"/>
      <c r="G934" s="208"/>
      <c r="H934" s="208"/>
      <c r="I934" s="208"/>
      <c r="J934" s="208"/>
      <c r="K934" s="208"/>
      <c r="L934" s="536"/>
      <c r="M934" s="208"/>
      <c r="N934" s="208"/>
      <c r="O934" s="208"/>
      <c r="P934" s="208"/>
      <c r="Q934" s="208"/>
      <c r="R934" s="208"/>
      <c r="S934" s="208"/>
      <c r="T934" s="208"/>
      <c r="U934" s="208"/>
      <c r="V934" s="208"/>
      <c r="W934" s="208"/>
      <c r="X934" s="208"/>
      <c r="Y934" s="208"/>
      <c r="Z934" s="208"/>
      <c r="AA934" s="208"/>
      <c r="AB934" s="208"/>
      <c r="AC934" s="208"/>
      <c r="AD934" s="208"/>
      <c r="AE934" s="208"/>
      <c r="AF934" s="208"/>
      <c r="AG934" s="208"/>
      <c r="AH934" s="208"/>
      <c r="AI934" s="208"/>
      <c r="AJ934" s="208"/>
      <c r="AK934" s="208"/>
      <c r="AL934" s="208"/>
      <c r="AM934" s="208"/>
      <c r="AN934" s="208"/>
      <c r="AO934" s="208"/>
      <c r="AP934" s="208"/>
      <c r="AQ934" s="208"/>
      <c r="AR934" s="208"/>
      <c r="AS934" s="208"/>
      <c r="AT934" s="208"/>
      <c r="AU934" s="208"/>
      <c r="AV934" s="208"/>
      <c r="AW934" s="208"/>
      <c r="AX934" s="208"/>
      <c r="AY934" s="208"/>
    </row>
    <row r="935">
      <c r="A935" s="208"/>
      <c r="B935" s="533"/>
      <c r="C935" s="208"/>
      <c r="D935" s="208"/>
      <c r="E935" s="208"/>
      <c r="F935" s="584"/>
      <c r="G935" s="208"/>
      <c r="H935" s="208"/>
      <c r="I935" s="208"/>
      <c r="J935" s="208"/>
      <c r="K935" s="208"/>
      <c r="L935" s="536"/>
      <c r="M935" s="208"/>
      <c r="N935" s="208"/>
      <c r="O935" s="208"/>
      <c r="P935" s="208"/>
      <c r="Q935" s="208"/>
      <c r="R935" s="208"/>
      <c r="S935" s="208"/>
      <c r="T935" s="208"/>
      <c r="U935" s="208"/>
      <c r="V935" s="208"/>
      <c r="W935" s="208"/>
      <c r="X935" s="208"/>
      <c r="Y935" s="208"/>
      <c r="Z935" s="208"/>
      <c r="AA935" s="208"/>
      <c r="AB935" s="208"/>
      <c r="AC935" s="208"/>
      <c r="AD935" s="208"/>
      <c r="AE935" s="208"/>
      <c r="AF935" s="208"/>
      <c r="AG935" s="208"/>
      <c r="AH935" s="208"/>
      <c r="AI935" s="208"/>
      <c r="AJ935" s="208"/>
      <c r="AK935" s="208"/>
      <c r="AL935" s="208"/>
      <c r="AM935" s="208"/>
      <c r="AN935" s="208"/>
      <c r="AO935" s="208"/>
      <c r="AP935" s="208"/>
      <c r="AQ935" s="208"/>
      <c r="AR935" s="208"/>
      <c r="AS935" s="208"/>
      <c r="AT935" s="208"/>
      <c r="AU935" s="208"/>
      <c r="AV935" s="208"/>
      <c r="AW935" s="208"/>
      <c r="AX935" s="208"/>
      <c r="AY935" s="208"/>
    </row>
    <row r="936">
      <c r="A936" s="208"/>
      <c r="B936" s="533"/>
      <c r="C936" s="208"/>
      <c r="D936" s="208"/>
      <c r="E936" s="208"/>
      <c r="F936" s="584"/>
      <c r="G936" s="208"/>
      <c r="H936" s="208"/>
      <c r="I936" s="208"/>
      <c r="J936" s="208"/>
      <c r="K936" s="208"/>
      <c r="L936" s="536"/>
      <c r="M936" s="208"/>
      <c r="N936" s="208"/>
      <c r="O936" s="208"/>
      <c r="P936" s="208"/>
      <c r="Q936" s="208"/>
      <c r="R936" s="208"/>
      <c r="S936" s="208"/>
      <c r="T936" s="208"/>
      <c r="U936" s="208"/>
      <c r="V936" s="208"/>
      <c r="W936" s="208"/>
      <c r="X936" s="208"/>
      <c r="Y936" s="208"/>
      <c r="Z936" s="208"/>
      <c r="AA936" s="208"/>
      <c r="AB936" s="208"/>
      <c r="AC936" s="208"/>
      <c r="AD936" s="208"/>
      <c r="AE936" s="208"/>
      <c r="AF936" s="208"/>
      <c r="AG936" s="208"/>
      <c r="AH936" s="208"/>
      <c r="AI936" s="208"/>
      <c r="AJ936" s="208"/>
      <c r="AK936" s="208"/>
      <c r="AL936" s="208"/>
      <c r="AM936" s="208"/>
      <c r="AN936" s="208"/>
      <c r="AO936" s="208"/>
      <c r="AP936" s="208"/>
      <c r="AQ936" s="208"/>
      <c r="AR936" s="208"/>
      <c r="AS936" s="208"/>
      <c r="AT936" s="208"/>
      <c r="AU936" s="208"/>
      <c r="AV936" s="208"/>
      <c r="AW936" s="208"/>
      <c r="AX936" s="208"/>
      <c r="AY936" s="208"/>
    </row>
    <row r="937">
      <c r="A937" s="208"/>
      <c r="B937" s="533"/>
      <c r="C937" s="208"/>
      <c r="D937" s="208"/>
      <c r="E937" s="208"/>
      <c r="F937" s="584"/>
      <c r="G937" s="208"/>
      <c r="H937" s="208"/>
      <c r="I937" s="208"/>
      <c r="J937" s="208"/>
      <c r="K937" s="208"/>
      <c r="L937" s="536"/>
      <c r="M937" s="208"/>
      <c r="N937" s="208"/>
      <c r="O937" s="208"/>
      <c r="P937" s="208"/>
      <c r="Q937" s="208"/>
      <c r="R937" s="208"/>
      <c r="S937" s="208"/>
      <c r="T937" s="208"/>
      <c r="U937" s="208"/>
      <c r="V937" s="208"/>
      <c r="W937" s="208"/>
      <c r="X937" s="208"/>
      <c r="Y937" s="208"/>
      <c r="Z937" s="208"/>
      <c r="AA937" s="208"/>
      <c r="AB937" s="208"/>
      <c r="AC937" s="208"/>
      <c r="AD937" s="208"/>
      <c r="AE937" s="208"/>
      <c r="AF937" s="208"/>
      <c r="AG937" s="208"/>
      <c r="AH937" s="208"/>
      <c r="AI937" s="208"/>
      <c r="AJ937" s="208"/>
      <c r="AK937" s="208"/>
      <c r="AL937" s="208"/>
      <c r="AM937" s="208"/>
      <c r="AN937" s="208"/>
      <c r="AO937" s="208"/>
      <c r="AP937" s="208"/>
      <c r="AQ937" s="208"/>
      <c r="AR937" s="208"/>
      <c r="AS937" s="208"/>
      <c r="AT937" s="208"/>
      <c r="AU937" s="208"/>
      <c r="AV937" s="208"/>
      <c r="AW937" s="208"/>
      <c r="AX937" s="208"/>
      <c r="AY937" s="208"/>
    </row>
    <row r="938">
      <c r="A938" s="208"/>
      <c r="B938" s="533"/>
      <c r="C938" s="208"/>
      <c r="D938" s="208"/>
      <c r="E938" s="208"/>
      <c r="F938" s="584"/>
      <c r="G938" s="208"/>
      <c r="H938" s="208"/>
      <c r="I938" s="208"/>
      <c r="J938" s="208"/>
      <c r="K938" s="208"/>
      <c r="L938" s="536"/>
      <c r="M938" s="208"/>
      <c r="N938" s="208"/>
      <c r="O938" s="208"/>
      <c r="P938" s="208"/>
      <c r="Q938" s="208"/>
      <c r="R938" s="208"/>
      <c r="S938" s="208"/>
      <c r="T938" s="208"/>
      <c r="U938" s="208"/>
      <c r="V938" s="208"/>
      <c r="W938" s="208"/>
      <c r="X938" s="208"/>
      <c r="Y938" s="208"/>
      <c r="Z938" s="208"/>
      <c r="AA938" s="208"/>
      <c r="AB938" s="208"/>
      <c r="AC938" s="208"/>
      <c r="AD938" s="208"/>
      <c r="AE938" s="208"/>
      <c r="AF938" s="208"/>
      <c r="AG938" s="208"/>
      <c r="AH938" s="208"/>
      <c r="AI938" s="208"/>
      <c r="AJ938" s="208"/>
      <c r="AK938" s="208"/>
      <c r="AL938" s="208"/>
      <c r="AM938" s="208"/>
      <c r="AN938" s="208"/>
      <c r="AO938" s="208"/>
      <c r="AP938" s="208"/>
      <c r="AQ938" s="208"/>
      <c r="AR938" s="208"/>
      <c r="AS938" s="208"/>
      <c r="AT938" s="208"/>
      <c r="AU938" s="208"/>
      <c r="AV938" s="208"/>
      <c r="AW938" s="208"/>
      <c r="AX938" s="208"/>
      <c r="AY938" s="208"/>
    </row>
    <row r="939">
      <c r="A939" s="208"/>
      <c r="B939" s="533"/>
      <c r="C939" s="208"/>
      <c r="D939" s="208"/>
      <c r="E939" s="208"/>
      <c r="F939" s="584"/>
      <c r="G939" s="208"/>
      <c r="H939" s="208"/>
      <c r="I939" s="208"/>
      <c r="J939" s="208"/>
      <c r="K939" s="208"/>
      <c r="L939" s="536"/>
      <c r="M939" s="208"/>
      <c r="N939" s="208"/>
      <c r="O939" s="208"/>
      <c r="P939" s="208"/>
      <c r="Q939" s="208"/>
      <c r="R939" s="208"/>
      <c r="S939" s="208"/>
      <c r="T939" s="208"/>
      <c r="U939" s="208"/>
      <c r="V939" s="208"/>
      <c r="W939" s="208"/>
      <c r="X939" s="208"/>
      <c r="Y939" s="208"/>
      <c r="Z939" s="208"/>
      <c r="AA939" s="208"/>
      <c r="AB939" s="208"/>
      <c r="AC939" s="208"/>
      <c r="AD939" s="208"/>
      <c r="AE939" s="208"/>
      <c r="AF939" s="208"/>
      <c r="AG939" s="208"/>
      <c r="AH939" s="208"/>
      <c r="AI939" s="208"/>
      <c r="AJ939" s="208"/>
      <c r="AK939" s="208"/>
      <c r="AL939" s="208"/>
      <c r="AM939" s="208"/>
      <c r="AN939" s="208"/>
      <c r="AO939" s="208"/>
      <c r="AP939" s="208"/>
      <c r="AQ939" s="208"/>
      <c r="AR939" s="208"/>
      <c r="AS939" s="208"/>
      <c r="AT939" s="208"/>
      <c r="AU939" s="208"/>
      <c r="AV939" s="208"/>
      <c r="AW939" s="208"/>
      <c r="AX939" s="208"/>
      <c r="AY939" s="208"/>
    </row>
    <row r="940">
      <c r="A940" s="208"/>
      <c r="B940" s="533"/>
      <c r="C940" s="208"/>
      <c r="D940" s="208"/>
      <c r="E940" s="208"/>
      <c r="F940" s="584"/>
      <c r="G940" s="208"/>
      <c r="H940" s="208"/>
      <c r="I940" s="208"/>
      <c r="J940" s="208"/>
      <c r="K940" s="208"/>
      <c r="L940" s="536"/>
      <c r="M940" s="208"/>
      <c r="N940" s="208"/>
      <c r="O940" s="208"/>
      <c r="P940" s="208"/>
      <c r="Q940" s="208"/>
      <c r="R940" s="208"/>
      <c r="S940" s="208"/>
      <c r="T940" s="208"/>
      <c r="U940" s="208"/>
      <c r="V940" s="208"/>
      <c r="W940" s="208"/>
      <c r="X940" s="208"/>
      <c r="Y940" s="208"/>
      <c r="Z940" s="208"/>
      <c r="AA940" s="208"/>
      <c r="AB940" s="208"/>
      <c r="AC940" s="208"/>
      <c r="AD940" s="208"/>
      <c r="AE940" s="208"/>
      <c r="AF940" s="208"/>
      <c r="AG940" s="208"/>
      <c r="AH940" s="208"/>
      <c r="AI940" s="208"/>
      <c r="AJ940" s="208"/>
      <c r="AK940" s="208"/>
      <c r="AL940" s="208"/>
      <c r="AM940" s="208"/>
      <c r="AN940" s="208"/>
      <c r="AO940" s="208"/>
      <c r="AP940" s="208"/>
      <c r="AQ940" s="208"/>
      <c r="AR940" s="208"/>
      <c r="AS940" s="208"/>
      <c r="AT940" s="208"/>
      <c r="AU940" s="208"/>
      <c r="AV940" s="208"/>
      <c r="AW940" s="208"/>
      <c r="AX940" s="208"/>
      <c r="AY940" s="208"/>
    </row>
    <row r="941">
      <c r="A941" s="208"/>
      <c r="B941" s="533"/>
      <c r="C941" s="208"/>
      <c r="D941" s="208"/>
      <c r="E941" s="208"/>
      <c r="F941" s="584"/>
      <c r="G941" s="208"/>
      <c r="H941" s="208"/>
      <c r="I941" s="208"/>
      <c r="J941" s="208"/>
      <c r="K941" s="208"/>
      <c r="L941" s="536"/>
      <c r="M941" s="208"/>
      <c r="N941" s="208"/>
      <c r="O941" s="208"/>
      <c r="P941" s="208"/>
      <c r="Q941" s="208"/>
      <c r="R941" s="208"/>
      <c r="S941" s="208"/>
      <c r="T941" s="208"/>
      <c r="U941" s="208"/>
      <c r="V941" s="208"/>
      <c r="W941" s="208"/>
      <c r="X941" s="208"/>
      <c r="Y941" s="208"/>
      <c r="Z941" s="208"/>
      <c r="AA941" s="208"/>
      <c r="AB941" s="208"/>
      <c r="AC941" s="208"/>
      <c r="AD941" s="208"/>
      <c r="AE941" s="208"/>
      <c r="AF941" s="208"/>
      <c r="AG941" s="208"/>
      <c r="AH941" s="208"/>
      <c r="AI941" s="208"/>
      <c r="AJ941" s="208"/>
      <c r="AK941" s="208"/>
      <c r="AL941" s="208"/>
      <c r="AM941" s="208"/>
      <c r="AN941" s="208"/>
      <c r="AO941" s="208"/>
      <c r="AP941" s="208"/>
      <c r="AQ941" s="208"/>
      <c r="AR941" s="208"/>
      <c r="AS941" s="208"/>
      <c r="AT941" s="208"/>
      <c r="AU941" s="208"/>
      <c r="AV941" s="208"/>
      <c r="AW941" s="208"/>
      <c r="AX941" s="208"/>
      <c r="AY941" s="208"/>
    </row>
    <row r="942">
      <c r="A942" s="208"/>
      <c r="B942" s="533"/>
      <c r="C942" s="208"/>
      <c r="D942" s="208"/>
      <c r="E942" s="208"/>
      <c r="F942" s="584"/>
      <c r="G942" s="208"/>
      <c r="H942" s="208"/>
      <c r="I942" s="208"/>
      <c r="J942" s="208"/>
      <c r="K942" s="208"/>
      <c r="L942" s="536"/>
      <c r="M942" s="208"/>
      <c r="N942" s="208"/>
      <c r="O942" s="208"/>
      <c r="P942" s="208"/>
      <c r="Q942" s="208"/>
      <c r="R942" s="208"/>
      <c r="S942" s="208"/>
      <c r="T942" s="208"/>
      <c r="U942" s="208"/>
      <c r="V942" s="208"/>
      <c r="W942" s="208"/>
      <c r="X942" s="208"/>
      <c r="Y942" s="208"/>
      <c r="Z942" s="208"/>
      <c r="AA942" s="208"/>
      <c r="AB942" s="208"/>
      <c r="AC942" s="208"/>
      <c r="AD942" s="208"/>
      <c r="AE942" s="208"/>
      <c r="AF942" s="208"/>
      <c r="AG942" s="208"/>
      <c r="AH942" s="208"/>
      <c r="AI942" s="208"/>
      <c r="AJ942" s="208"/>
      <c r="AK942" s="208"/>
      <c r="AL942" s="208"/>
      <c r="AM942" s="208"/>
      <c r="AN942" s="208"/>
      <c r="AO942" s="208"/>
      <c r="AP942" s="208"/>
      <c r="AQ942" s="208"/>
      <c r="AR942" s="208"/>
      <c r="AS942" s="208"/>
      <c r="AT942" s="208"/>
      <c r="AU942" s="208"/>
      <c r="AV942" s="208"/>
      <c r="AW942" s="208"/>
      <c r="AX942" s="208"/>
      <c r="AY942" s="208"/>
    </row>
    <row r="943">
      <c r="A943" s="208"/>
      <c r="B943" s="533"/>
      <c r="C943" s="208"/>
      <c r="D943" s="208"/>
      <c r="E943" s="208"/>
      <c r="F943" s="584"/>
      <c r="G943" s="208"/>
      <c r="H943" s="208"/>
      <c r="I943" s="208"/>
      <c r="J943" s="208"/>
      <c r="K943" s="208"/>
      <c r="L943" s="536"/>
      <c r="M943" s="208"/>
      <c r="N943" s="208"/>
      <c r="O943" s="208"/>
      <c r="P943" s="208"/>
      <c r="Q943" s="208"/>
      <c r="R943" s="208"/>
      <c r="S943" s="208"/>
      <c r="T943" s="208"/>
      <c r="U943" s="208"/>
      <c r="V943" s="208"/>
      <c r="W943" s="208"/>
      <c r="X943" s="208"/>
      <c r="Y943" s="208"/>
      <c r="Z943" s="208"/>
      <c r="AA943" s="208"/>
      <c r="AB943" s="208"/>
      <c r="AC943" s="208"/>
      <c r="AD943" s="208"/>
      <c r="AE943" s="208"/>
      <c r="AF943" s="208"/>
      <c r="AG943" s="208"/>
      <c r="AH943" s="208"/>
      <c r="AI943" s="208"/>
      <c r="AJ943" s="208"/>
      <c r="AK943" s="208"/>
      <c r="AL943" s="208"/>
      <c r="AM943" s="208"/>
      <c r="AN943" s="208"/>
      <c r="AO943" s="208"/>
      <c r="AP943" s="208"/>
      <c r="AQ943" s="208"/>
      <c r="AR943" s="208"/>
      <c r="AS943" s="208"/>
      <c r="AT943" s="208"/>
      <c r="AU943" s="208"/>
      <c r="AV943" s="208"/>
      <c r="AW943" s="208"/>
      <c r="AX943" s="208"/>
      <c r="AY943" s="208"/>
    </row>
    <row r="944">
      <c r="A944" s="208"/>
      <c r="B944" s="533"/>
      <c r="C944" s="208"/>
      <c r="D944" s="208"/>
      <c r="E944" s="208"/>
      <c r="F944" s="584"/>
      <c r="G944" s="208"/>
      <c r="H944" s="208"/>
      <c r="I944" s="208"/>
      <c r="J944" s="208"/>
      <c r="K944" s="208"/>
      <c r="L944" s="536"/>
      <c r="M944" s="208"/>
      <c r="N944" s="208"/>
      <c r="O944" s="208"/>
      <c r="P944" s="208"/>
      <c r="Q944" s="208"/>
      <c r="R944" s="208"/>
      <c r="S944" s="208"/>
      <c r="T944" s="208"/>
      <c r="U944" s="208"/>
      <c r="V944" s="208"/>
      <c r="W944" s="208"/>
      <c r="X944" s="208"/>
      <c r="Y944" s="208"/>
      <c r="Z944" s="208"/>
      <c r="AA944" s="208"/>
      <c r="AB944" s="208"/>
      <c r="AC944" s="208"/>
      <c r="AD944" s="208"/>
      <c r="AE944" s="208"/>
      <c r="AF944" s="208"/>
      <c r="AG944" s="208"/>
      <c r="AH944" s="208"/>
      <c r="AI944" s="208"/>
      <c r="AJ944" s="208"/>
      <c r="AK944" s="208"/>
      <c r="AL944" s="208"/>
      <c r="AM944" s="208"/>
      <c r="AN944" s="208"/>
      <c r="AO944" s="208"/>
      <c r="AP944" s="208"/>
      <c r="AQ944" s="208"/>
      <c r="AR944" s="208"/>
      <c r="AS944" s="208"/>
      <c r="AT944" s="208"/>
      <c r="AU944" s="208"/>
      <c r="AV944" s="208"/>
      <c r="AW944" s="208"/>
      <c r="AX944" s="208"/>
      <c r="AY944" s="208"/>
    </row>
    <row r="945">
      <c r="A945" s="208"/>
      <c r="B945" s="533"/>
      <c r="C945" s="208"/>
      <c r="D945" s="208"/>
      <c r="E945" s="208"/>
      <c r="F945" s="584"/>
      <c r="G945" s="208"/>
      <c r="H945" s="208"/>
      <c r="I945" s="208"/>
      <c r="J945" s="208"/>
      <c r="K945" s="208"/>
      <c r="L945" s="536"/>
      <c r="M945" s="208"/>
      <c r="N945" s="208"/>
      <c r="O945" s="208"/>
      <c r="P945" s="208"/>
      <c r="Q945" s="208"/>
      <c r="R945" s="208"/>
      <c r="S945" s="208"/>
      <c r="T945" s="208"/>
      <c r="U945" s="208"/>
      <c r="V945" s="208"/>
      <c r="W945" s="208"/>
      <c r="X945" s="208"/>
      <c r="Y945" s="208"/>
      <c r="Z945" s="208"/>
      <c r="AA945" s="208"/>
      <c r="AB945" s="208"/>
      <c r="AC945" s="208"/>
      <c r="AD945" s="208"/>
      <c r="AE945" s="208"/>
      <c r="AF945" s="208"/>
      <c r="AG945" s="208"/>
      <c r="AH945" s="208"/>
      <c r="AI945" s="208"/>
      <c r="AJ945" s="208"/>
      <c r="AK945" s="208"/>
      <c r="AL945" s="208"/>
      <c r="AM945" s="208"/>
      <c r="AN945" s="208"/>
      <c r="AO945" s="208"/>
      <c r="AP945" s="208"/>
      <c r="AQ945" s="208"/>
      <c r="AR945" s="208"/>
      <c r="AS945" s="208"/>
      <c r="AT945" s="208"/>
      <c r="AU945" s="208"/>
      <c r="AV945" s="208"/>
      <c r="AW945" s="208"/>
      <c r="AX945" s="208"/>
      <c r="AY945" s="208"/>
    </row>
    <row r="946">
      <c r="A946" s="208"/>
      <c r="B946" s="533"/>
      <c r="C946" s="208"/>
      <c r="D946" s="208"/>
      <c r="E946" s="208"/>
      <c r="F946" s="584"/>
      <c r="G946" s="208"/>
      <c r="H946" s="208"/>
      <c r="I946" s="208"/>
      <c r="J946" s="208"/>
      <c r="K946" s="208"/>
      <c r="L946" s="536"/>
      <c r="M946" s="208"/>
      <c r="N946" s="208"/>
      <c r="O946" s="208"/>
      <c r="P946" s="208"/>
      <c r="Q946" s="208"/>
      <c r="R946" s="208"/>
      <c r="S946" s="208"/>
      <c r="T946" s="208"/>
      <c r="U946" s="208"/>
      <c r="V946" s="208"/>
      <c r="W946" s="208"/>
      <c r="X946" s="208"/>
      <c r="Y946" s="208"/>
      <c r="Z946" s="208"/>
      <c r="AA946" s="208"/>
      <c r="AB946" s="208"/>
      <c r="AC946" s="208"/>
      <c r="AD946" s="208"/>
      <c r="AE946" s="208"/>
      <c r="AF946" s="208"/>
      <c r="AG946" s="208"/>
      <c r="AH946" s="208"/>
      <c r="AI946" s="208"/>
      <c r="AJ946" s="208"/>
      <c r="AK946" s="208"/>
      <c r="AL946" s="208"/>
      <c r="AM946" s="208"/>
      <c r="AN946" s="208"/>
      <c r="AO946" s="208"/>
      <c r="AP946" s="208"/>
      <c r="AQ946" s="208"/>
      <c r="AR946" s="208"/>
      <c r="AS946" s="208"/>
      <c r="AT946" s="208"/>
      <c r="AU946" s="208"/>
      <c r="AV946" s="208"/>
      <c r="AW946" s="208"/>
      <c r="AX946" s="208"/>
      <c r="AY946" s="208"/>
    </row>
    <row r="947">
      <c r="A947" s="208"/>
      <c r="B947" s="533"/>
      <c r="C947" s="208"/>
      <c r="D947" s="208"/>
      <c r="E947" s="208"/>
      <c r="F947" s="584"/>
      <c r="G947" s="208"/>
      <c r="H947" s="208"/>
      <c r="I947" s="208"/>
      <c r="J947" s="208"/>
      <c r="K947" s="208"/>
      <c r="L947" s="536"/>
      <c r="M947" s="208"/>
      <c r="N947" s="208"/>
      <c r="O947" s="208"/>
      <c r="P947" s="208"/>
      <c r="Q947" s="208"/>
      <c r="R947" s="208"/>
      <c r="S947" s="208"/>
      <c r="T947" s="208"/>
      <c r="U947" s="208"/>
      <c r="V947" s="208"/>
      <c r="W947" s="208"/>
      <c r="X947" s="208"/>
      <c r="Y947" s="208"/>
      <c r="Z947" s="208"/>
      <c r="AA947" s="208"/>
      <c r="AB947" s="208"/>
      <c r="AC947" s="208"/>
      <c r="AD947" s="208"/>
      <c r="AE947" s="208"/>
      <c r="AF947" s="208"/>
      <c r="AG947" s="208"/>
      <c r="AH947" s="208"/>
      <c r="AI947" s="208"/>
      <c r="AJ947" s="208"/>
      <c r="AK947" s="208"/>
      <c r="AL947" s="208"/>
      <c r="AM947" s="208"/>
      <c r="AN947" s="208"/>
      <c r="AO947" s="208"/>
      <c r="AP947" s="208"/>
      <c r="AQ947" s="208"/>
      <c r="AR947" s="208"/>
      <c r="AS947" s="208"/>
      <c r="AT947" s="208"/>
      <c r="AU947" s="208"/>
      <c r="AV947" s="208"/>
      <c r="AW947" s="208"/>
      <c r="AX947" s="208"/>
      <c r="AY947" s="208"/>
    </row>
    <row r="948">
      <c r="A948" s="208"/>
      <c r="B948" s="533"/>
      <c r="C948" s="208"/>
      <c r="D948" s="208"/>
      <c r="E948" s="208"/>
      <c r="F948" s="584"/>
      <c r="G948" s="208"/>
      <c r="H948" s="208"/>
      <c r="I948" s="208"/>
      <c r="J948" s="208"/>
      <c r="K948" s="208"/>
      <c r="L948" s="536"/>
      <c r="M948" s="208"/>
      <c r="N948" s="208"/>
      <c r="O948" s="208"/>
      <c r="P948" s="208"/>
      <c r="Q948" s="208"/>
      <c r="R948" s="208"/>
      <c r="S948" s="208"/>
      <c r="T948" s="208"/>
      <c r="U948" s="208"/>
      <c r="V948" s="208"/>
      <c r="W948" s="208"/>
      <c r="X948" s="208"/>
      <c r="Y948" s="208"/>
      <c r="Z948" s="208"/>
      <c r="AA948" s="208"/>
      <c r="AB948" s="208"/>
      <c r="AC948" s="208"/>
      <c r="AD948" s="208"/>
      <c r="AE948" s="208"/>
      <c r="AF948" s="208"/>
      <c r="AG948" s="208"/>
      <c r="AH948" s="208"/>
      <c r="AI948" s="208"/>
      <c r="AJ948" s="208"/>
      <c r="AK948" s="208"/>
      <c r="AL948" s="208"/>
      <c r="AM948" s="208"/>
      <c r="AN948" s="208"/>
      <c r="AO948" s="208"/>
      <c r="AP948" s="208"/>
      <c r="AQ948" s="208"/>
      <c r="AR948" s="208"/>
      <c r="AS948" s="208"/>
      <c r="AT948" s="208"/>
      <c r="AU948" s="208"/>
      <c r="AV948" s="208"/>
      <c r="AW948" s="208"/>
      <c r="AX948" s="208"/>
      <c r="AY948" s="208"/>
    </row>
    <row r="949">
      <c r="A949" s="208"/>
      <c r="B949" s="533"/>
      <c r="C949" s="208"/>
      <c r="D949" s="208"/>
      <c r="E949" s="208"/>
      <c r="F949" s="584"/>
      <c r="G949" s="208"/>
      <c r="H949" s="208"/>
      <c r="I949" s="208"/>
      <c r="J949" s="208"/>
      <c r="K949" s="208"/>
      <c r="L949" s="536"/>
      <c r="M949" s="208"/>
      <c r="N949" s="208"/>
      <c r="O949" s="208"/>
      <c r="P949" s="208"/>
      <c r="Q949" s="208"/>
      <c r="R949" s="208"/>
      <c r="S949" s="208"/>
      <c r="T949" s="208"/>
      <c r="U949" s="208"/>
      <c r="V949" s="208"/>
      <c r="W949" s="208"/>
      <c r="X949" s="208"/>
      <c r="Y949" s="208"/>
      <c r="Z949" s="208"/>
      <c r="AA949" s="208"/>
      <c r="AB949" s="208"/>
      <c r="AC949" s="208"/>
      <c r="AD949" s="208"/>
      <c r="AE949" s="208"/>
      <c r="AF949" s="208"/>
      <c r="AG949" s="208"/>
      <c r="AH949" s="208"/>
      <c r="AI949" s="208"/>
      <c r="AJ949" s="208"/>
      <c r="AK949" s="208"/>
      <c r="AL949" s="208"/>
      <c r="AM949" s="208"/>
      <c r="AN949" s="208"/>
      <c r="AO949" s="208"/>
      <c r="AP949" s="208"/>
      <c r="AQ949" s="208"/>
      <c r="AR949" s="208"/>
      <c r="AS949" s="208"/>
      <c r="AT949" s="208"/>
      <c r="AU949" s="208"/>
      <c r="AV949" s="208"/>
      <c r="AW949" s="208"/>
      <c r="AX949" s="208"/>
      <c r="AY949" s="208"/>
    </row>
    <row r="950">
      <c r="A950" s="208"/>
      <c r="B950" s="533"/>
      <c r="C950" s="208"/>
      <c r="D950" s="208"/>
      <c r="E950" s="208"/>
      <c r="F950" s="584"/>
      <c r="G950" s="208"/>
      <c r="H950" s="208"/>
      <c r="I950" s="208"/>
      <c r="J950" s="208"/>
      <c r="K950" s="208"/>
      <c r="L950" s="536"/>
      <c r="M950" s="208"/>
      <c r="N950" s="208"/>
      <c r="O950" s="208"/>
      <c r="P950" s="208"/>
      <c r="Q950" s="208"/>
      <c r="R950" s="208"/>
      <c r="S950" s="208"/>
      <c r="T950" s="208"/>
      <c r="U950" s="208"/>
      <c r="V950" s="208"/>
      <c r="W950" s="208"/>
      <c r="X950" s="208"/>
      <c r="Y950" s="208"/>
      <c r="Z950" s="208"/>
      <c r="AA950" s="208"/>
      <c r="AB950" s="208"/>
      <c r="AC950" s="208"/>
      <c r="AD950" s="208"/>
      <c r="AE950" s="208"/>
      <c r="AF950" s="208"/>
      <c r="AG950" s="208"/>
      <c r="AH950" s="208"/>
      <c r="AI950" s="208"/>
      <c r="AJ950" s="208"/>
      <c r="AK950" s="208"/>
      <c r="AL950" s="208"/>
      <c r="AM950" s="208"/>
      <c r="AN950" s="208"/>
      <c r="AO950" s="208"/>
      <c r="AP950" s="208"/>
      <c r="AQ950" s="208"/>
      <c r="AR950" s="208"/>
      <c r="AS950" s="208"/>
      <c r="AT950" s="208"/>
      <c r="AU950" s="208"/>
      <c r="AV950" s="208"/>
      <c r="AW950" s="208"/>
      <c r="AX950" s="208"/>
      <c r="AY950" s="208"/>
    </row>
    <row r="951">
      <c r="A951" s="208"/>
      <c r="B951" s="533"/>
      <c r="C951" s="208"/>
      <c r="D951" s="208"/>
      <c r="E951" s="208"/>
      <c r="F951" s="584"/>
      <c r="G951" s="208"/>
      <c r="H951" s="208"/>
      <c r="I951" s="208"/>
      <c r="J951" s="208"/>
      <c r="K951" s="208"/>
      <c r="L951" s="536"/>
      <c r="M951" s="208"/>
      <c r="N951" s="208"/>
      <c r="O951" s="208"/>
      <c r="P951" s="208"/>
      <c r="Q951" s="208"/>
      <c r="R951" s="208"/>
      <c r="S951" s="208"/>
      <c r="T951" s="208"/>
      <c r="U951" s="208"/>
      <c r="V951" s="208"/>
      <c r="W951" s="208"/>
      <c r="X951" s="208"/>
      <c r="Y951" s="208"/>
      <c r="Z951" s="208"/>
      <c r="AA951" s="208"/>
      <c r="AB951" s="208"/>
      <c r="AC951" s="208"/>
      <c r="AD951" s="208"/>
      <c r="AE951" s="208"/>
      <c r="AF951" s="208"/>
      <c r="AG951" s="208"/>
      <c r="AH951" s="208"/>
      <c r="AI951" s="208"/>
      <c r="AJ951" s="208"/>
      <c r="AK951" s="208"/>
      <c r="AL951" s="208"/>
      <c r="AM951" s="208"/>
      <c r="AN951" s="208"/>
      <c r="AO951" s="208"/>
      <c r="AP951" s="208"/>
      <c r="AQ951" s="208"/>
      <c r="AR951" s="208"/>
      <c r="AS951" s="208"/>
      <c r="AT951" s="208"/>
      <c r="AU951" s="208"/>
      <c r="AV951" s="208"/>
      <c r="AW951" s="208"/>
      <c r="AX951" s="208"/>
      <c r="AY951" s="208"/>
    </row>
    <row r="952">
      <c r="A952" s="208"/>
      <c r="B952" s="533"/>
      <c r="C952" s="208"/>
      <c r="D952" s="208"/>
      <c r="E952" s="208"/>
      <c r="F952" s="584"/>
      <c r="G952" s="208"/>
      <c r="H952" s="208"/>
      <c r="I952" s="208"/>
      <c r="J952" s="208"/>
      <c r="K952" s="208"/>
      <c r="L952" s="536"/>
      <c r="M952" s="208"/>
      <c r="N952" s="208"/>
      <c r="O952" s="208"/>
      <c r="P952" s="208"/>
      <c r="Q952" s="208"/>
      <c r="R952" s="208"/>
      <c r="S952" s="208"/>
      <c r="T952" s="208"/>
      <c r="U952" s="208"/>
      <c r="V952" s="208"/>
      <c r="W952" s="208"/>
      <c r="X952" s="208"/>
      <c r="Y952" s="208"/>
      <c r="Z952" s="208"/>
      <c r="AA952" s="208"/>
      <c r="AB952" s="208"/>
      <c r="AC952" s="208"/>
      <c r="AD952" s="208"/>
      <c r="AE952" s="208"/>
      <c r="AF952" s="208"/>
      <c r="AG952" s="208"/>
      <c r="AH952" s="208"/>
      <c r="AI952" s="208"/>
      <c r="AJ952" s="208"/>
      <c r="AK952" s="208"/>
      <c r="AL952" s="208"/>
      <c r="AM952" s="208"/>
      <c r="AN952" s="208"/>
      <c r="AO952" s="208"/>
      <c r="AP952" s="208"/>
      <c r="AQ952" s="208"/>
      <c r="AR952" s="208"/>
      <c r="AS952" s="208"/>
      <c r="AT952" s="208"/>
      <c r="AU952" s="208"/>
      <c r="AV952" s="208"/>
      <c r="AW952" s="208"/>
      <c r="AX952" s="208"/>
      <c r="AY952" s="208"/>
    </row>
    <row r="953">
      <c r="A953" s="208"/>
      <c r="B953" s="533"/>
      <c r="C953" s="208"/>
      <c r="D953" s="208"/>
      <c r="E953" s="208"/>
      <c r="F953" s="584"/>
      <c r="G953" s="208"/>
      <c r="H953" s="208"/>
      <c r="I953" s="208"/>
      <c r="J953" s="208"/>
      <c r="K953" s="208"/>
      <c r="L953" s="536"/>
      <c r="M953" s="208"/>
      <c r="N953" s="208"/>
      <c r="O953" s="208"/>
      <c r="P953" s="208"/>
      <c r="Q953" s="208"/>
      <c r="R953" s="208"/>
      <c r="S953" s="208"/>
      <c r="T953" s="208"/>
      <c r="U953" s="208"/>
      <c r="V953" s="208"/>
      <c r="W953" s="208"/>
      <c r="X953" s="208"/>
      <c r="Y953" s="208"/>
      <c r="Z953" s="208"/>
      <c r="AA953" s="208"/>
      <c r="AB953" s="208"/>
      <c r="AC953" s="208"/>
      <c r="AD953" s="208"/>
      <c r="AE953" s="208"/>
      <c r="AF953" s="208"/>
      <c r="AG953" s="208"/>
      <c r="AH953" s="208"/>
      <c r="AI953" s="208"/>
      <c r="AJ953" s="208"/>
      <c r="AK953" s="208"/>
      <c r="AL953" s="208"/>
      <c r="AM953" s="208"/>
      <c r="AN953" s="208"/>
      <c r="AO953" s="208"/>
      <c r="AP953" s="208"/>
      <c r="AQ953" s="208"/>
      <c r="AR953" s="208"/>
      <c r="AS953" s="208"/>
      <c r="AT953" s="208"/>
      <c r="AU953" s="208"/>
      <c r="AV953" s="208"/>
      <c r="AW953" s="208"/>
      <c r="AX953" s="208"/>
      <c r="AY953" s="208"/>
    </row>
    <row r="954">
      <c r="A954" s="208"/>
      <c r="B954" s="533"/>
      <c r="C954" s="208"/>
      <c r="D954" s="208"/>
      <c r="E954" s="208"/>
      <c r="F954" s="584"/>
      <c r="G954" s="208"/>
      <c r="H954" s="208"/>
      <c r="I954" s="208"/>
      <c r="J954" s="208"/>
      <c r="K954" s="208"/>
      <c r="L954" s="536"/>
      <c r="M954" s="208"/>
      <c r="N954" s="208"/>
      <c r="O954" s="208"/>
      <c r="P954" s="208"/>
      <c r="Q954" s="208"/>
      <c r="R954" s="208"/>
      <c r="S954" s="208"/>
      <c r="T954" s="208"/>
      <c r="U954" s="208"/>
      <c r="V954" s="208"/>
      <c r="W954" s="208"/>
      <c r="X954" s="208"/>
      <c r="Y954" s="208"/>
      <c r="Z954" s="208"/>
      <c r="AA954" s="208"/>
      <c r="AB954" s="208"/>
      <c r="AC954" s="208"/>
      <c r="AD954" s="208"/>
      <c r="AE954" s="208"/>
      <c r="AF954" s="208"/>
      <c r="AG954" s="208"/>
      <c r="AH954" s="208"/>
      <c r="AI954" s="208"/>
      <c r="AJ954" s="208"/>
      <c r="AK954" s="208"/>
      <c r="AL954" s="208"/>
      <c r="AM954" s="208"/>
      <c r="AN954" s="208"/>
      <c r="AO954" s="208"/>
      <c r="AP954" s="208"/>
      <c r="AQ954" s="208"/>
      <c r="AR954" s="208"/>
      <c r="AS954" s="208"/>
      <c r="AT954" s="208"/>
      <c r="AU954" s="208"/>
      <c r="AV954" s="208"/>
      <c r="AW954" s="208"/>
      <c r="AX954" s="208"/>
      <c r="AY954" s="208"/>
    </row>
    <row r="955">
      <c r="A955" s="208"/>
      <c r="B955" s="533"/>
      <c r="C955" s="208"/>
      <c r="D955" s="208"/>
      <c r="E955" s="208"/>
      <c r="F955" s="584"/>
      <c r="G955" s="208"/>
      <c r="H955" s="208"/>
      <c r="I955" s="208"/>
      <c r="J955" s="208"/>
      <c r="K955" s="208"/>
      <c r="L955" s="536"/>
      <c r="M955" s="208"/>
      <c r="N955" s="208"/>
      <c r="O955" s="208"/>
      <c r="P955" s="208"/>
      <c r="Q955" s="208"/>
      <c r="R955" s="208"/>
      <c r="S955" s="208"/>
      <c r="T955" s="208"/>
      <c r="U955" s="208"/>
      <c r="V955" s="208"/>
      <c r="W955" s="208"/>
      <c r="X955" s="208"/>
      <c r="Y955" s="208"/>
      <c r="Z955" s="208"/>
      <c r="AA955" s="208"/>
      <c r="AB955" s="208"/>
      <c r="AC955" s="208"/>
      <c r="AD955" s="208"/>
      <c r="AE955" s="208"/>
      <c r="AF955" s="208"/>
      <c r="AG955" s="208"/>
      <c r="AH955" s="208"/>
      <c r="AI955" s="208"/>
      <c r="AJ955" s="208"/>
      <c r="AK955" s="208"/>
      <c r="AL955" s="208"/>
      <c r="AM955" s="208"/>
      <c r="AN955" s="208"/>
      <c r="AO955" s="208"/>
      <c r="AP955" s="208"/>
      <c r="AQ955" s="208"/>
      <c r="AR955" s="208"/>
      <c r="AS955" s="208"/>
      <c r="AT955" s="208"/>
      <c r="AU955" s="208"/>
      <c r="AV955" s="208"/>
      <c r="AW955" s="208"/>
      <c r="AX955" s="208"/>
      <c r="AY955" s="208"/>
    </row>
    <row r="956">
      <c r="A956" s="208"/>
      <c r="B956" s="533"/>
      <c r="C956" s="208"/>
      <c r="D956" s="208"/>
      <c r="E956" s="208"/>
      <c r="F956" s="584"/>
      <c r="G956" s="208"/>
      <c r="H956" s="208"/>
      <c r="I956" s="208"/>
      <c r="J956" s="208"/>
      <c r="K956" s="208"/>
      <c r="L956" s="536"/>
      <c r="M956" s="208"/>
      <c r="N956" s="208"/>
      <c r="O956" s="208"/>
      <c r="P956" s="208"/>
      <c r="Q956" s="208"/>
      <c r="R956" s="208"/>
      <c r="S956" s="208"/>
      <c r="T956" s="208"/>
      <c r="U956" s="208"/>
      <c r="V956" s="208"/>
      <c r="W956" s="208"/>
      <c r="X956" s="208"/>
      <c r="Y956" s="208"/>
      <c r="Z956" s="208"/>
      <c r="AA956" s="208"/>
      <c r="AB956" s="208"/>
      <c r="AC956" s="208"/>
      <c r="AD956" s="208"/>
      <c r="AE956" s="208"/>
      <c r="AF956" s="208"/>
      <c r="AG956" s="208"/>
      <c r="AH956" s="208"/>
      <c r="AI956" s="208"/>
      <c r="AJ956" s="208"/>
      <c r="AK956" s="208"/>
      <c r="AL956" s="208"/>
      <c r="AM956" s="208"/>
      <c r="AN956" s="208"/>
      <c r="AO956" s="208"/>
      <c r="AP956" s="208"/>
      <c r="AQ956" s="208"/>
      <c r="AR956" s="208"/>
      <c r="AS956" s="208"/>
      <c r="AT956" s="208"/>
      <c r="AU956" s="208"/>
      <c r="AV956" s="208"/>
      <c r="AW956" s="208"/>
      <c r="AX956" s="208"/>
      <c r="AY956" s="208"/>
    </row>
    <row r="957">
      <c r="A957" s="208"/>
      <c r="B957" s="533"/>
      <c r="C957" s="208"/>
      <c r="D957" s="208"/>
      <c r="E957" s="208"/>
      <c r="F957" s="584"/>
      <c r="G957" s="208"/>
      <c r="H957" s="208"/>
      <c r="I957" s="208"/>
      <c r="J957" s="208"/>
      <c r="K957" s="208"/>
      <c r="L957" s="536"/>
      <c r="M957" s="208"/>
      <c r="N957" s="208"/>
      <c r="O957" s="208"/>
      <c r="P957" s="208"/>
      <c r="Q957" s="208"/>
      <c r="R957" s="208"/>
      <c r="S957" s="208"/>
      <c r="T957" s="208"/>
      <c r="U957" s="208"/>
      <c r="V957" s="208"/>
      <c r="W957" s="208"/>
      <c r="X957" s="208"/>
      <c r="Y957" s="208"/>
      <c r="Z957" s="208"/>
      <c r="AA957" s="208"/>
      <c r="AB957" s="208"/>
      <c r="AC957" s="208"/>
      <c r="AD957" s="208"/>
      <c r="AE957" s="208"/>
      <c r="AF957" s="208"/>
      <c r="AG957" s="208"/>
      <c r="AH957" s="208"/>
      <c r="AI957" s="208"/>
      <c r="AJ957" s="208"/>
      <c r="AK957" s="208"/>
      <c r="AL957" s="208"/>
      <c r="AM957" s="208"/>
      <c r="AN957" s="208"/>
      <c r="AO957" s="208"/>
      <c r="AP957" s="208"/>
      <c r="AQ957" s="208"/>
      <c r="AR957" s="208"/>
      <c r="AS957" s="208"/>
      <c r="AT957" s="208"/>
      <c r="AU957" s="208"/>
      <c r="AV957" s="208"/>
      <c r="AW957" s="208"/>
      <c r="AX957" s="208"/>
      <c r="AY957" s="208"/>
    </row>
    <row r="958">
      <c r="A958" s="208"/>
      <c r="B958" s="533"/>
      <c r="C958" s="208"/>
      <c r="D958" s="208"/>
      <c r="E958" s="208"/>
      <c r="F958" s="584"/>
      <c r="G958" s="208"/>
      <c r="H958" s="208"/>
      <c r="I958" s="208"/>
      <c r="J958" s="208"/>
      <c r="K958" s="208"/>
      <c r="L958" s="536"/>
      <c r="M958" s="208"/>
      <c r="N958" s="208"/>
      <c r="O958" s="208"/>
      <c r="P958" s="208"/>
      <c r="Q958" s="208"/>
      <c r="R958" s="208"/>
      <c r="S958" s="208"/>
      <c r="T958" s="208"/>
      <c r="U958" s="208"/>
      <c r="V958" s="208"/>
      <c r="W958" s="208"/>
      <c r="X958" s="208"/>
      <c r="Y958" s="208"/>
      <c r="Z958" s="208"/>
      <c r="AA958" s="208"/>
      <c r="AB958" s="208"/>
      <c r="AC958" s="208"/>
      <c r="AD958" s="208"/>
      <c r="AE958" s="208"/>
      <c r="AF958" s="208"/>
      <c r="AG958" s="208"/>
      <c r="AH958" s="208"/>
      <c r="AI958" s="208"/>
      <c r="AJ958" s="208"/>
      <c r="AK958" s="208"/>
      <c r="AL958" s="208"/>
      <c r="AM958" s="208"/>
      <c r="AN958" s="208"/>
      <c r="AO958" s="208"/>
      <c r="AP958" s="208"/>
      <c r="AQ958" s="208"/>
      <c r="AR958" s="208"/>
      <c r="AS958" s="208"/>
      <c r="AT958" s="208"/>
      <c r="AU958" s="208"/>
      <c r="AV958" s="208"/>
      <c r="AW958" s="208"/>
      <c r="AX958" s="208"/>
      <c r="AY958" s="208"/>
    </row>
    <row r="959">
      <c r="A959" s="208"/>
      <c r="B959" s="533"/>
      <c r="C959" s="208"/>
      <c r="D959" s="208"/>
      <c r="E959" s="208"/>
      <c r="F959" s="584"/>
      <c r="G959" s="208"/>
      <c r="H959" s="208"/>
      <c r="I959" s="208"/>
      <c r="J959" s="208"/>
      <c r="K959" s="208"/>
      <c r="L959" s="536"/>
      <c r="M959" s="208"/>
      <c r="N959" s="208"/>
      <c r="O959" s="208"/>
      <c r="P959" s="208"/>
      <c r="Q959" s="208"/>
      <c r="R959" s="208"/>
      <c r="S959" s="208"/>
      <c r="T959" s="208"/>
      <c r="U959" s="208"/>
      <c r="V959" s="208"/>
      <c r="W959" s="208"/>
      <c r="X959" s="208"/>
      <c r="Y959" s="208"/>
      <c r="Z959" s="208"/>
      <c r="AA959" s="208"/>
      <c r="AB959" s="208"/>
      <c r="AC959" s="208"/>
      <c r="AD959" s="208"/>
      <c r="AE959" s="208"/>
      <c r="AF959" s="208"/>
      <c r="AG959" s="208"/>
      <c r="AH959" s="208"/>
      <c r="AI959" s="208"/>
      <c r="AJ959" s="208"/>
      <c r="AK959" s="208"/>
      <c r="AL959" s="208"/>
      <c r="AM959" s="208"/>
      <c r="AN959" s="208"/>
      <c r="AO959" s="208"/>
      <c r="AP959" s="208"/>
      <c r="AQ959" s="208"/>
      <c r="AR959" s="208"/>
      <c r="AS959" s="208"/>
      <c r="AT959" s="208"/>
      <c r="AU959" s="208"/>
      <c r="AV959" s="208"/>
      <c r="AW959" s="208"/>
      <c r="AX959" s="208"/>
      <c r="AY959" s="208"/>
    </row>
    <row r="960">
      <c r="A960" s="208"/>
      <c r="B960" s="533"/>
      <c r="C960" s="208"/>
      <c r="D960" s="208"/>
      <c r="E960" s="208"/>
      <c r="F960" s="584"/>
      <c r="G960" s="208"/>
      <c r="H960" s="208"/>
      <c r="I960" s="208"/>
      <c r="J960" s="208"/>
      <c r="K960" s="208"/>
      <c r="L960" s="536"/>
      <c r="M960" s="208"/>
      <c r="N960" s="208"/>
      <c r="O960" s="208"/>
      <c r="P960" s="208"/>
      <c r="Q960" s="208"/>
      <c r="R960" s="208"/>
      <c r="S960" s="208"/>
      <c r="T960" s="208"/>
      <c r="U960" s="208"/>
      <c r="V960" s="208"/>
      <c r="W960" s="208"/>
      <c r="X960" s="208"/>
      <c r="Y960" s="208"/>
      <c r="Z960" s="208"/>
      <c r="AA960" s="208"/>
      <c r="AB960" s="208"/>
      <c r="AC960" s="208"/>
      <c r="AD960" s="208"/>
      <c r="AE960" s="208"/>
      <c r="AF960" s="208"/>
      <c r="AG960" s="208"/>
      <c r="AH960" s="208"/>
      <c r="AI960" s="208"/>
      <c r="AJ960" s="208"/>
      <c r="AK960" s="208"/>
      <c r="AL960" s="208"/>
      <c r="AM960" s="208"/>
      <c r="AN960" s="208"/>
      <c r="AO960" s="208"/>
      <c r="AP960" s="208"/>
      <c r="AQ960" s="208"/>
      <c r="AR960" s="208"/>
      <c r="AS960" s="208"/>
      <c r="AT960" s="208"/>
      <c r="AU960" s="208"/>
      <c r="AV960" s="208"/>
      <c r="AW960" s="208"/>
      <c r="AX960" s="208"/>
      <c r="AY960" s="208"/>
    </row>
    <row r="961">
      <c r="A961" s="208"/>
      <c r="B961" s="533"/>
      <c r="C961" s="208"/>
      <c r="D961" s="208"/>
      <c r="E961" s="208"/>
      <c r="F961" s="584"/>
      <c r="G961" s="208"/>
      <c r="H961" s="208"/>
      <c r="I961" s="208"/>
      <c r="J961" s="208"/>
      <c r="K961" s="208"/>
      <c r="L961" s="536"/>
      <c r="M961" s="208"/>
      <c r="N961" s="208"/>
      <c r="O961" s="208"/>
      <c r="P961" s="208"/>
      <c r="Q961" s="208"/>
      <c r="R961" s="208"/>
      <c r="S961" s="208"/>
      <c r="T961" s="208"/>
      <c r="U961" s="208"/>
      <c r="V961" s="208"/>
      <c r="W961" s="208"/>
      <c r="X961" s="208"/>
      <c r="Y961" s="208"/>
      <c r="Z961" s="208"/>
      <c r="AA961" s="208"/>
      <c r="AB961" s="208"/>
      <c r="AC961" s="208"/>
      <c r="AD961" s="208"/>
      <c r="AE961" s="208"/>
      <c r="AF961" s="208"/>
      <c r="AG961" s="208"/>
      <c r="AH961" s="208"/>
      <c r="AI961" s="208"/>
      <c r="AJ961" s="208"/>
      <c r="AK961" s="208"/>
      <c r="AL961" s="208"/>
      <c r="AM961" s="208"/>
      <c r="AN961" s="208"/>
      <c r="AO961" s="208"/>
      <c r="AP961" s="208"/>
      <c r="AQ961" s="208"/>
      <c r="AR961" s="208"/>
      <c r="AS961" s="208"/>
      <c r="AT961" s="208"/>
      <c r="AU961" s="208"/>
      <c r="AV961" s="208"/>
      <c r="AW961" s="208"/>
      <c r="AX961" s="208"/>
      <c r="AY961" s="208"/>
    </row>
    <row r="962">
      <c r="A962" s="208"/>
      <c r="B962" s="533"/>
      <c r="C962" s="208"/>
      <c r="D962" s="208"/>
      <c r="E962" s="208"/>
      <c r="F962" s="584"/>
      <c r="G962" s="208"/>
      <c r="H962" s="208"/>
      <c r="I962" s="208"/>
      <c r="J962" s="208"/>
      <c r="K962" s="208"/>
      <c r="L962" s="536"/>
      <c r="M962" s="208"/>
      <c r="N962" s="208"/>
      <c r="O962" s="208"/>
      <c r="P962" s="208"/>
      <c r="Q962" s="208"/>
      <c r="R962" s="208"/>
      <c r="S962" s="208"/>
      <c r="T962" s="208"/>
      <c r="U962" s="208"/>
      <c r="V962" s="208"/>
      <c r="W962" s="208"/>
      <c r="X962" s="208"/>
      <c r="Y962" s="208"/>
      <c r="Z962" s="208"/>
      <c r="AA962" s="208"/>
      <c r="AB962" s="208"/>
      <c r="AC962" s="208"/>
      <c r="AD962" s="208"/>
      <c r="AE962" s="208"/>
      <c r="AF962" s="208"/>
      <c r="AG962" s="208"/>
      <c r="AH962" s="208"/>
      <c r="AI962" s="208"/>
      <c r="AJ962" s="208"/>
      <c r="AK962" s="208"/>
      <c r="AL962" s="208"/>
      <c r="AM962" s="208"/>
      <c r="AN962" s="208"/>
      <c r="AO962" s="208"/>
      <c r="AP962" s="208"/>
      <c r="AQ962" s="208"/>
      <c r="AR962" s="208"/>
      <c r="AS962" s="208"/>
      <c r="AT962" s="208"/>
      <c r="AU962" s="208"/>
      <c r="AV962" s="208"/>
      <c r="AW962" s="208"/>
      <c r="AX962" s="208"/>
      <c r="AY962" s="208"/>
    </row>
    <row r="963">
      <c r="A963" s="208"/>
      <c r="B963" s="533"/>
      <c r="C963" s="208"/>
      <c r="D963" s="208"/>
      <c r="E963" s="208"/>
      <c r="F963" s="584"/>
      <c r="G963" s="208"/>
      <c r="H963" s="208"/>
      <c r="I963" s="208"/>
      <c r="J963" s="208"/>
      <c r="K963" s="208"/>
      <c r="L963" s="536"/>
      <c r="M963" s="208"/>
      <c r="N963" s="208"/>
      <c r="O963" s="208"/>
      <c r="P963" s="208"/>
      <c r="Q963" s="208"/>
      <c r="R963" s="208"/>
      <c r="S963" s="208"/>
      <c r="T963" s="208"/>
      <c r="U963" s="208"/>
      <c r="V963" s="208"/>
      <c r="W963" s="208"/>
      <c r="X963" s="208"/>
      <c r="Y963" s="208"/>
      <c r="Z963" s="208"/>
      <c r="AA963" s="208"/>
      <c r="AB963" s="208"/>
      <c r="AC963" s="208"/>
      <c r="AD963" s="208"/>
      <c r="AE963" s="208"/>
      <c r="AF963" s="208"/>
      <c r="AG963" s="208"/>
      <c r="AH963" s="208"/>
      <c r="AI963" s="208"/>
      <c r="AJ963" s="208"/>
      <c r="AK963" s="208"/>
      <c r="AL963" s="208"/>
      <c r="AM963" s="208"/>
      <c r="AN963" s="208"/>
      <c r="AO963" s="208"/>
      <c r="AP963" s="208"/>
      <c r="AQ963" s="208"/>
      <c r="AR963" s="208"/>
      <c r="AS963" s="208"/>
      <c r="AT963" s="208"/>
      <c r="AU963" s="208"/>
      <c r="AV963" s="208"/>
      <c r="AW963" s="208"/>
      <c r="AX963" s="208"/>
      <c r="AY963" s="208"/>
    </row>
    <row r="964">
      <c r="A964" s="208"/>
      <c r="B964" s="533"/>
      <c r="C964" s="208"/>
      <c r="D964" s="208"/>
      <c r="E964" s="208"/>
      <c r="F964" s="584"/>
      <c r="G964" s="208"/>
      <c r="H964" s="208"/>
      <c r="I964" s="208"/>
      <c r="J964" s="208"/>
      <c r="K964" s="208"/>
      <c r="L964" s="536"/>
      <c r="M964" s="208"/>
      <c r="N964" s="208"/>
      <c r="O964" s="208"/>
      <c r="P964" s="208"/>
      <c r="Q964" s="208"/>
      <c r="R964" s="208"/>
      <c r="S964" s="208"/>
      <c r="T964" s="208"/>
      <c r="U964" s="208"/>
      <c r="V964" s="208"/>
      <c r="W964" s="208"/>
      <c r="X964" s="208"/>
      <c r="Y964" s="208"/>
      <c r="Z964" s="208"/>
      <c r="AA964" s="208"/>
      <c r="AB964" s="208"/>
      <c r="AC964" s="208"/>
      <c r="AD964" s="208"/>
      <c r="AE964" s="208"/>
      <c r="AF964" s="208"/>
      <c r="AG964" s="208"/>
      <c r="AH964" s="208"/>
      <c r="AI964" s="208"/>
      <c r="AJ964" s="208"/>
      <c r="AK964" s="208"/>
      <c r="AL964" s="208"/>
      <c r="AM964" s="208"/>
      <c r="AN964" s="208"/>
      <c r="AO964" s="208"/>
      <c r="AP964" s="208"/>
      <c r="AQ964" s="208"/>
      <c r="AR964" s="208"/>
      <c r="AS964" s="208"/>
      <c r="AT964" s="208"/>
      <c r="AU964" s="208"/>
      <c r="AV964" s="208"/>
      <c r="AW964" s="208"/>
      <c r="AX964" s="208"/>
      <c r="AY964" s="208"/>
    </row>
    <row r="965">
      <c r="A965" s="208"/>
      <c r="B965" s="533"/>
      <c r="C965" s="208"/>
      <c r="D965" s="208"/>
      <c r="E965" s="208"/>
      <c r="F965" s="584"/>
      <c r="G965" s="208"/>
      <c r="H965" s="208"/>
      <c r="I965" s="208"/>
      <c r="J965" s="208"/>
      <c r="K965" s="208"/>
      <c r="L965" s="536"/>
      <c r="M965" s="208"/>
      <c r="N965" s="208"/>
      <c r="O965" s="208"/>
      <c r="P965" s="208"/>
      <c r="Q965" s="208"/>
      <c r="R965" s="208"/>
      <c r="S965" s="208"/>
      <c r="T965" s="208"/>
      <c r="U965" s="208"/>
      <c r="V965" s="208"/>
      <c r="W965" s="208"/>
      <c r="X965" s="208"/>
      <c r="Y965" s="208"/>
      <c r="Z965" s="208"/>
      <c r="AA965" s="208"/>
      <c r="AB965" s="208"/>
      <c r="AC965" s="208"/>
      <c r="AD965" s="208"/>
      <c r="AE965" s="208"/>
      <c r="AF965" s="208"/>
      <c r="AG965" s="208"/>
      <c r="AH965" s="208"/>
      <c r="AI965" s="208"/>
      <c r="AJ965" s="208"/>
      <c r="AK965" s="208"/>
      <c r="AL965" s="208"/>
      <c r="AM965" s="208"/>
      <c r="AN965" s="208"/>
      <c r="AO965" s="208"/>
      <c r="AP965" s="208"/>
      <c r="AQ965" s="208"/>
      <c r="AR965" s="208"/>
      <c r="AS965" s="208"/>
      <c r="AT965" s="208"/>
      <c r="AU965" s="208"/>
      <c r="AV965" s="208"/>
      <c r="AW965" s="208"/>
      <c r="AX965" s="208"/>
      <c r="AY965" s="208"/>
    </row>
    <row r="966">
      <c r="A966" s="208"/>
      <c r="B966" s="533"/>
      <c r="C966" s="208"/>
      <c r="D966" s="208"/>
      <c r="E966" s="208"/>
      <c r="F966" s="584"/>
      <c r="G966" s="208"/>
      <c r="H966" s="208"/>
      <c r="I966" s="208"/>
      <c r="J966" s="208"/>
      <c r="K966" s="208"/>
      <c r="L966" s="536"/>
      <c r="M966" s="208"/>
      <c r="N966" s="208"/>
      <c r="O966" s="208"/>
      <c r="P966" s="208"/>
      <c r="Q966" s="208"/>
      <c r="R966" s="208"/>
      <c r="S966" s="208"/>
      <c r="T966" s="208"/>
      <c r="U966" s="208"/>
      <c r="V966" s="208"/>
      <c r="W966" s="208"/>
      <c r="X966" s="208"/>
      <c r="Y966" s="208"/>
      <c r="Z966" s="208"/>
      <c r="AA966" s="208"/>
      <c r="AB966" s="208"/>
      <c r="AC966" s="208"/>
      <c r="AD966" s="208"/>
      <c r="AE966" s="208"/>
      <c r="AF966" s="208"/>
      <c r="AG966" s="208"/>
      <c r="AH966" s="208"/>
      <c r="AI966" s="208"/>
      <c r="AJ966" s="208"/>
      <c r="AK966" s="208"/>
      <c r="AL966" s="208"/>
      <c r="AM966" s="208"/>
      <c r="AN966" s="208"/>
      <c r="AO966" s="208"/>
      <c r="AP966" s="208"/>
      <c r="AQ966" s="208"/>
      <c r="AR966" s="208"/>
      <c r="AS966" s="208"/>
      <c r="AT966" s="208"/>
      <c r="AU966" s="208"/>
      <c r="AV966" s="208"/>
      <c r="AW966" s="208"/>
      <c r="AX966" s="208"/>
      <c r="AY966" s="208"/>
    </row>
    <row r="967">
      <c r="A967" s="208"/>
      <c r="B967" s="533"/>
      <c r="C967" s="208"/>
      <c r="D967" s="208"/>
      <c r="E967" s="208"/>
      <c r="F967" s="584"/>
      <c r="G967" s="208"/>
      <c r="H967" s="208"/>
      <c r="I967" s="208"/>
      <c r="J967" s="208"/>
      <c r="K967" s="208"/>
      <c r="L967" s="536"/>
      <c r="M967" s="208"/>
      <c r="N967" s="208"/>
      <c r="O967" s="208"/>
      <c r="P967" s="208"/>
      <c r="Q967" s="208"/>
      <c r="R967" s="208"/>
      <c r="S967" s="208"/>
      <c r="T967" s="208"/>
      <c r="U967" s="208"/>
      <c r="V967" s="208"/>
      <c r="W967" s="208"/>
      <c r="X967" s="208"/>
      <c r="Y967" s="208"/>
      <c r="Z967" s="208"/>
      <c r="AA967" s="208"/>
      <c r="AB967" s="208"/>
      <c r="AC967" s="208"/>
      <c r="AD967" s="208"/>
      <c r="AE967" s="208"/>
      <c r="AF967" s="208"/>
      <c r="AG967" s="208"/>
      <c r="AH967" s="208"/>
      <c r="AI967" s="208"/>
      <c r="AJ967" s="208"/>
      <c r="AK967" s="208"/>
      <c r="AL967" s="208"/>
      <c r="AM967" s="208"/>
      <c r="AN967" s="208"/>
      <c r="AO967" s="208"/>
      <c r="AP967" s="208"/>
      <c r="AQ967" s="208"/>
      <c r="AR967" s="208"/>
      <c r="AS967" s="208"/>
      <c r="AT967" s="208"/>
      <c r="AU967" s="208"/>
      <c r="AV967" s="208"/>
      <c r="AW967" s="208"/>
      <c r="AX967" s="208"/>
      <c r="AY967" s="208"/>
    </row>
    <row r="968">
      <c r="A968" s="208"/>
      <c r="B968" s="533"/>
      <c r="C968" s="208"/>
      <c r="D968" s="208"/>
      <c r="E968" s="208"/>
      <c r="F968" s="584"/>
      <c r="G968" s="208"/>
      <c r="H968" s="208"/>
      <c r="I968" s="208"/>
      <c r="J968" s="208"/>
      <c r="K968" s="208"/>
      <c r="L968" s="536"/>
      <c r="M968" s="208"/>
      <c r="N968" s="208"/>
      <c r="O968" s="208"/>
      <c r="P968" s="208"/>
      <c r="Q968" s="208"/>
      <c r="R968" s="208"/>
      <c r="S968" s="208"/>
      <c r="T968" s="208"/>
      <c r="U968" s="208"/>
      <c r="V968" s="208"/>
      <c r="W968" s="208"/>
      <c r="X968" s="208"/>
      <c r="Y968" s="208"/>
      <c r="Z968" s="208"/>
      <c r="AA968" s="208"/>
      <c r="AB968" s="208"/>
      <c r="AC968" s="208"/>
      <c r="AD968" s="208"/>
      <c r="AE968" s="208"/>
      <c r="AF968" s="208"/>
      <c r="AG968" s="208"/>
      <c r="AH968" s="208"/>
      <c r="AI968" s="208"/>
      <c r="AJ968" s="208"/>
      <c r="AK968" s="208"/>
      <c r="AL968" s="208"/>
      <c r="AM968" s="208"/>
      <c r="AN968" s="208"/>
      <c r="AO968" s="208"/>
      <c r="AP968" s="208"/>
      <c r="AQ968" s="208"/>
      <c r="AR968" s="208"/>
      <c r="AS968" s="208"/>
      <c r="AT968" s="208"/>
      <c r="AU968" s="208"/>
      <c r="AV968" s="208"/>
      <c r="AW968" s="208"/>
      <c r="AX968" s="208"/>
      <c r="AY968" s="208"/>
    </row>
    <row r="969">
      <c r="A969" s="208"/>
      <c r="B969" s="533"/>
      <c r="C969" s="208"/>
      <c r="D969" s="208"/>
      <c r="E969" s="208"/>
      <c r="F969" s="584"/>
      <c r="G969" s="208"/>
      <c r="H969" s="208"/>
      <c r="I969" s="208"/>
      <c r="J969" s="208"/>
      <c r="K969" s="208"/>
      <c r="L969" s="536"/>
      <c r="M969" s="208"/>
      <c r="N969" s="208"/>
      <c r="O969" s="208"/>
      <c r="P969" s="208"/>
      <c r="Q969" s="208"/>
      <c r="R969" s="208"/>
      <c r="S969" s="208"/>
      <c r="T969" s="208"/>
      <c r="U969" s="208"/>
      <c r="V969" s="208"/>
      <c r="W969" s="208"/>
      <c r="X969" s="208"/>
      <c r="Y969" s="208"/>
      <c r="Z969" s="208"/>
      <c r="AA969" s="208"/>
      <c r="AB969" s="208"/>
      <c r="AC969" s="208"/>
      <c r="AD969" s="208"/>
      <c r="AE969" s="208"/>
      <c r="AF969" s="208"/>
      <c r="AG969" s="208"/>
      <c r="AH969" s="208"/>
      <c r="AI969" s="208"/>
      <c r="AJ969" s="208"/>
      <c r="AK969" s="208"/>
      <c r="AL969" s="208"/>
      <c r="AM969" s="208"/>
      <c r="AN969" s="208"/>
      <c r="AO969" s="208"/>
      <c r="AP969" s="208"/>
      <c r="AQ969" s="208"/>
      <c r="AR969" s="208"/>
      <c r="AS969" s="208"/>
      <c r="AT969" s="208"/>
      <c r="AU969" s="208"/>
      <c r="AV969" s="208"/>
      <c r="AW969" s="208"/>
      <c r="AX969" s="208"/>
      <c r="AY969" s="208"/>
    </row>
    <row r="970">
      <c r="A970" s="208"/>
      <c r="B970" s="533"/>
      <c r="C970" s="208"/>
      <c r="D970" s="208"/>
      <c r="E970" s="208"/>
      <c r="F970" s="584"/>
      <c r="G970" s="208"/>
      <c r="H970" s="208"/>
      <c r="I970" s="208"/>
      <c r="J970" s="208"/>
      <c r="K970" s="208"/>
      <c r="L970" s="536"/>
      <c r="M970" s="208"/>
      <c r="N970" s="208"/>
      <c r="O970" s="208"/>
      <c r="P970" s="208"/>
      <c r="Q970" s="208"/>
      <c r="R970" s="208"/>
      <c r="S970" s="208"/>
      <c r="T970" s="208"/>
      <c r="U970" s="208"/>
      <c r="V970" s="208"/>
      <c r="W970" s="208"/>
      <c r="X970" s="208"/>
      <c r="Y970" s="208"/>
      <c r="Z970" s="208"/>
      <c r="AA970" s="208"/>
      <c r="AB970" s="208"/>
      <c r="AC970" s="208"/>
      <c r="AD970" s="208"/>
      <c r="AE970" s="208"/>
      <c r="AF970" s="208"/>
      <c r="AG970" s="208"/>
      <c r="AH970" s="208"/>
      <c r="AI970" s="208"/>
      <c r="AJ970" s="208"/>
      <c r="AK970" s="208"/>
      <c r="AL970" s="208"/>
      <c r="AM970" s="208"/>
      <c r="AN970" s="208"/>
      <c r="AO970" s="208"/>
      <c r="AP970" s="208"/>
      <c r="AQ970" s="208"/>
      <c r="AR970" s="208"/>
      <c r="AS970" s="208"/>
      <c r="AT970" s="208"/>
      <c r="AU970" s="208"/>
      <c r="AV970" s="208"/>
      <c r="AW970" s="208"/>
      <c r="AX970" s="208"/>
      <c r="AY970" s="208"/>
    </row>
    <row r="971">
      <c r="A971" s="208"/>
      <c r="B971" s="533"/>
      <c r="C971" s="208"/>
      <c r="D971" s="208"/>
      <c r="E971" s="208"/>
      <c r="F971" s="584"/>
      <c r="G971" s="208"/>
      <c r="H971" s="208"/>
      <c r="I971" s="208"/>
      <c r="J971" s="208"/>
      <c r="K971" s="208"/>
      <c r="L971" s="536"/>
      <c r="M971" s="208"/>
      <c r="N971" s="208"/>
      <c r="O971" s="208"/>
      <c r="P971" s="208"/>
      <c r="Q971" s="208"/>
      <c r="R971" s="208"/>
      <c r="S971" s="208"/>
      <c r="T971" s="208"/>
      <c r="U971" s="208"/>
      <c r="V971" s="208"/>
      <c r="W971" s="208"/>
      <c r="X971" s="208"/>
      <c r="Y971" s="208"/>
      <c r="Z971" s="208"/>
      <c r="AA971" s="208"/>
      <c r="AB971" s="208"/>
      <c r="AC971" s="208"/>
      <c r="AD971" s="208"/>
      <c r="AE971" s="208"/>
      <c r="AF971" s="208"/>
      <c r="AG971" s="208"/>
      <c r="AH971" s="208"/>
      <c r="AI971" s="208"/>
      <c r="AJ971" s="208"/>
      <c r="AK971" s="208"/>
      <c r="AL971" s="208"/>
      <c r="AM971" s="208"/>
      <c r="AN971" s="208"/>
      <c r="AO971" s="208"/>
      <c r="AP971" s="208"/>
      <c r="AQ971" s="208"/>
      <c r="AR971" s="208"/>
      <c r="AS971" s="208"/>
      <c r="AT971" s="208"/>
      <c r="AU971" s="208"/>
      <c r="AV971" s="208"/>
      <c r="AW971" s="208"/>
      <c r="AX971" s="208"/>
      <c r="AY971" s="208"/>
    </row>
    <row r="972">
      <c r="A972" s="208"/>
      <c r="B972" s="533"/>
      <c r="C972" s="208"/>
      <c r="D972" s="208"/>
      <c r="E972" s="208"/>
      <c r="F972" s="584"/>
      <c r="G972" s="208"/>
      <c r="H972" s="208"/>
      <c r="I972" s="208"/>
      <c r="J972" s="208"/>
      <c r="K972" s="208"/>
      <c r="L972" s="536"/>
      <c r="M972" s="208"/>
      <c r="N972" s="208"/>
      <c r="O972" s="208"/>
      <c r="P972" s="208"/>
      <c r="Q972" s="208"/>
      <c r="R972" s="208"/>
      <c r="S972" s="208"/>
      <c r="T972" s="208"/>
      <c r="U972" s="208"/>
      <c r="V972" s="208"/>
      <c r="W972" s="208"/>
      <c r="X972" s="208"/>
      <c r="Y972" s="208"/>
      <c r="Z972" s="208"/>
      <c r="AA972" s="208"/>
      <c r="AB972" s="208"/>
      <c r="AC972" s="208"/>
      <c r="AD972" s="208"/>
      <c r="AE972" s="208"/>
      <c r="AF972" s="208"/>
      <c r="AG972" s="208"/>
      <c r="AH972" s="208"/>
      <c r="AI972" s="208"/>
      <c r="AJ972" s="208"/>
      <c r="AK972" s="208"/>
      <c r="AL972" s="208"/>
      <c r="AM972" s="208"/>
      <c r="AN972" s="208"/>
      <c r="AO972" s="208"/>
      <c r="AP972" s="208"/>
      <c r="AQ972" s="208"/>
      <c r="AR972" s="208"/>
      <c r="AS972" s="208"/>
      <c r="AT972" s="208"/>
      <c r="AU972" s="208"/>
      <c r="AV972" s="208"/>
      <c r="AW972" s="208"/>
      <c r="AX972" s="208"/>
      <c r="AY972" s="208"/>
    </row>
    <row r="973">
      <c r="A973" s="208"/>
      <c r="B973" s="533"/>
      <c r="C973" s="208"/>
      <c r="D973" s="208"/>
      <c r="E973" s="208"/>
      <c r="F973" s="584"/>
      <c r="G973" s="208"/>
      <c r="H973" s="208"/>
      <c r="I973" s="208"/>
      <c r="J973" s="208"/>
      <c r="K973" s="208"/>
      <c r="L973" s="536"/>
      <c r="M973" s="208"/>
      <c r="N973" s="208"/>
      <c r="O973" s="208"/>
      <c r="P973" s="208"/>
      <c r="Q973" s="208"/>
      <c r="R973" s="208"/>
      <c r="S973" s="208"/>
      <c r="T973" s="208"/>
      <c r="U973" s="208"/>
      <c r="V973" s="208"/>
      <c r="W973" s="208"/>
      <c r="X973" s="208"/>
      <c r="Y973" s="208"/>
      <c r="Z973" s="208"/>
      <c r="AA973" s="208"/>
      <c r="AB973" s="208"/>
      <c r="AC973" s="208"/>
      <c r="AD973" s="208"/>
      <c r="AE973" s="208"/>
      <c r="AF973" s="208"/>
      <c r="AG973" s="208"/>
      <c r="AH973" s="208"/>
      <c r="AI973" s="208"/>
      <c r="AJ973" s="208"/>
      <c r="AK973" s="208"/>
      <c r="AL973" s="208"/>
      <c r="AM973" s="208"/>
      <c r="AN973" s="208"/>
      <c r="AO973" s="208"/>
      <c r="AP973" s="208"/>
      <c r="AQ973" s="208"/>
      <c r="AR973" s="208"/>
      <c r="AS973" s="208"/>
      <c r="AT973" s="208"/>
      <c r="AU973" s="208"/>
      <c r="AV973" s="208"/>
      <c r="AW973" s="208"/>
      <c r="AX973" s="208"/>
      <c r="AY973" s="208"/>
    </row>
    <row r="974">
      <c r="A974" s="208"/>
      <c r="B974" s="533"/>
      <c r="C974" s="208"/>
      <c r="D974" s="208"/>
      <c r="E974" s="208"/>
      <c r="F974" s="584"/>
      <c r="G974" s="208"/>
      <c r="H974" s="208"/>
      <c r="I974" s="208"/>
      <c r="J974" s="208"/>
      <c r="K974" s="208"/>
      <c r="L974" s="536"/>
      <c r="M974" s="208"/>
      <c r="N974" s="208"/>
      <c r="O974" s="208"/>
      <c r="P974" s="208"/>
      <c r="Q974" s="208"/>
      <c r="R974" s="208"/>
      <c r="S974" s="208"/>
      <c r="T974" s="208"/>
      <c r="U974" s="208"/>
      <c r="V974" s="208"/>
      <c r="W974" s="208"/>
      <c r="X974" s="208"/>
      <c r="Y974" s="208"/>
      <c r="Z974" s="208"/>
      <c r="AA974" s="208"/>
      <c r="AB974" s="208"/>
      <c r="AC974" s="208"/>
      <c r="AD974" s="208"/>
      <c r="AE974" s="208"/>
      <c r="AF974" s="208"/>
      <c r="AG974" s="208"/>
      <c r="AH974" s="208"/>
      <c r="AI974" s="208"/>
      <c r="AJ974" s="208"/>
      <c r="AK974" s="208"/>
      <c r="AL974" s="208"/>
      <c r="AM974" s="208"/>
      <c r="AN974" s="208"/>
      <c r="AO974" s="208"/>
      <c r="AP974" s="208"/>
      <c r="AQ974" s="208"/>
      <c r="AR974" s="208"/>
      <c r="AS974" s="208"/>
      <c r="AT974" s="208"/>
      <c r="AU974" s="208"/>
      <c r="AV974" s="208"/>
      <c r="AW974" s="208"/>
      <c r="AX974" s="208"/>
      <c r="AY974" s="208"/>
    </row>
    <row r="975">
      <c r="A975" s="208"/>
      <c r="B975" s="533"/>
      <c r="C975" s="208"/>
      <c r="D975" s="208"/>
      <c r="E975" s="208"/>
      <c r="F975" s="584"/>
      <c r="G975" s="208"/>
      <c r="H975" s="208"/>
      <c r="I975" s="208"/>
      <c r="J975" s="208"/>
      <c r="K975" s="208"/>
      <c r="L975" s="536"/>
      <c r="M975" s="208"/>
      <c r="N975" s="208"/>
      <c r="O975" s="208"/>
      <c r="P975" s="208"/>
      <c r="Q975" s="208"/>
      <c r="R975" s="208"/>
      <c r="S975" s="208"/>
      <c r="T975" s="208"/>
      <c r="U975" s="208"/>
      <c r="V975" s="208"/>
      <c r="W975" s="208"/>
      <c r="X975" s="208"/>
      <c r="Y975" s="208"/>
      <c r="Z975" s="208"/>
      <c r="AA975" s="208"/>
      <c r="AB975" s="208"/>
      <c r="AC975" s="208"/>
      <c r="AD975" s="208"/>
      <c r="AE975" s="208"/>
      <c r="AF975" s="208"/>
      <c r="AG975" s="208"/>
      <c r="AH975" s="208"/>
      <c r="AI975" s="208"/>
      <c r="AJ975" s="208"/>
      <c r="AK975" s="208"/>
      <c r="AL975" s="208"/>
      <c r="AM975" s="208"/>
      <c r="AN975" s="208"/>
      <c r="AO975" s="208"/>
      <c r="AP975" s="208"/>
      <c r="AQ975" s="208"/>
      <c r="AR975" s="208"/>
      <c r="AS975" s="208"/>
      <c r="AT975" s="208"/>
      <c r="AU975" s="208"/>
      <c r="AV975" s="208"/>
      <c r="AW975" s="208"/>
      <c r="AX975" s="208"/>
      <c r="AY975" s="208"/>
    </row>
    <row r="976">
      <c r="A976" s="208"/>
      <c r="B976" s="533"/>
      <c r="C976" s="208"/>
      <c r="D976" s="208"/>
      <c r="E976" s="208"/>
      <c r="F976" s="584"/>
      <c r="G976" s="208"/>
      <c r="H976" s="208"/>
      <c r="I976" s="208"/>
      <c r="J976" s="208"/>
      <c r="K976" s="208"/>
      <c r="L976" s="536"/>
      <c r="M976" s="208"/>
      <c r="N976" s="208"/>
      <c r="O976" s="208"/>
      <c r="P976" s="208"/>
      <c r="Q976" s="208"/>
      <c r="R976" s="208"/>
      <c r="S976" s="208"/>
      <c r="T976" s="208"/>
      <c r="U976" s="208"/>
      <c r="V976" s="208"/>
      <c r="W976" s="208"/>
      <c r="X976" s="208"/>
      <c r="Y976" s="208"/>
      <c r="Z976" s="208"/>
      <c r="AA976" s="208"/>
      <c r="AB976" s="208"/>
      <c r="AC976" s="208"/>
      <c r="AD976" s="208"/>
      <c r="AE976" s="208"/>
      <c r="AF976" s="208"/>
      <c r="AG976" s="208"/>
      <c r="AH976" s="208"/>
      <c r="AI976" s="208"/>
      <c r="AJ976" s="208"/>
      <c r="AK976" s="208"/>
      <c r="AL976" s="208"/>
      <c r="AM976" s="208"/>
      <c r="AN976" s="208"/>
      <c r="AO976" s="208"/>
      <c r="AP976" s="208"/>
      <c r="AQ976" s="208"/>
      <c r="AR976" s="208"/>
      <c r="AS976" s="208"/>
      <c r="AT976" s="208"/>
      <c r="AU976" s="208"/>
      <c r="AV976" s="208"/>
      <c r="AW976" s="208"/>
      <c r="AX976" s="208"/>
      <c r="AY976" s="208"/>
    </row>
    <row r="977">
      <c r="A977" s="208"/>
      <c r="B977" s="533"/>
      <c r="C977" s="208"/>
      <c r="D977" s="208"/>
      <c r="E977" s="208"/>
      <c r="F977" s="584"/>
      <c r="G977" s="208"/>
      <c r="H977" s="208"/>
      <c r="I977" s="208"/>
      <c r="J977" s="208"/>
      <c r="K977" s="208"/>
      <c r="L977" s="536"/>
      <c r="M977" s="208"/>
      <c r="N977" s="208"/>
      <c r="O977" s="208"/>
      <c r="P977" s="208"/>
      <c r="Q977" s="208"/>
      <c r="R977" s="208"/>
      <c r="S977" s="208"/>
      <c r="T977" s="208"/>
      <c r="U977" s="208"/>
      <c r="V977" s="208"/>
      <c r="W977" s="208"/>
      <c r="X977" s="208"/>
      <c r="Y977" s="208"/>
      <c r="Z977" s="208"/>
      <c r="AA977" s="208"/>
      <c r="AB977" s="208"/>
      <c r="AC977" s="208"/>
      <c r="AD977" s="208"/>
      <c r="AE977" s="208"/>
      <c r="AF977" s="208"/>
      <c r="AG977" s="208"/>
      <c r="AH977" s="208"/>
      <c r="AI977" s="208"/>
      <c r="AJ977" s="208"/>
      <c r="AK977" s="208"/>
      <c r="AL977" s="208"/>
      <c r="AM977" s="208"/>
      <c r="AN977" s="208"/>
      <c r="AO977" s="208"/>
      <c r="AP977" s="208"/>
      <c r="AQ977" s="208"/>
      <c r="AR977" s="208"/>
      <c r="AS977" s="208"/>
      <c r="AT977" s="208"/>
      <c r="AU977" s="208"/>
      <c r="AV977" s="208"/>
      <c r="AW977" s="208"/>
      <c r="AX977" s="208"/>
      <c r="AY977" s="208"/>
    </row>
    <row r="978">
      <c r="A978" s="208"/>
      <c r="B978" s="533"/>
      <c r="C978" s="208"/>
      <c r="D978" s="208"/>
      <c r="E978" s="208"/>
      <c r="F978" s="584"/>
      <c r="G978" s="208"/>
      <c r="H978" s="208"/>
      <c r="I978" s="208"/>
      <c r="J978" s="208"/>
      <c r="K978" s="208"/>
      <c r="L978" s="536"/>
      <c r="M978" s="208"/>
      <c r="N978" s="208"/>
      <c r="O978" s="208"/>
      <c r="P978" s="208"/>
      <c r="Q978" s="208"/>
      <c r="R978" s="208"/>
      <c r="S978" s="208"/>
      <c r="T978" s="208"/>
      <c r="U978" s="208"/>
      <c r="V978" s="208"/>
      <c r="W978" s="208"/>
      <c r="X978" s="208"/>
      <c r="Y978" s="208"/>
      <c r="Z978" s="208"/>
      <c r="AA978" s="208"/>
      <c r="AB978" s="208"/>
      <c r="AC978" s="208"/>
      <c r="AD978" s="208"/>
      <c r="AE978" s="208"/>
      <c r="AF978" s="208"/>
      <c r="AG978" s="208"/>
      <c r="AH978" s="208"/>
      <c r="AI978" s="208"/>
      <c r="AJ978" s="208"/>
      <c r="AK978" s="208"/>
      <c r="AL978" s="208"/>
      <c r="AM978" s="208"/>
      <c r="AN978" s="208"/>
      <c r="AO978" s="208"/>
      <c r="AP978" s="208"/>
      <c r="AQ978" s="208"/>
      <c r="AR978" s="208"/>
      <c r="AS978" s="208"/>
      <c r="AT978" s="208"/>
      <c r="AU978" s="208"/>
      <c r="AV978" s="208"/>
      <c r="AW978" s="208"/>
      <c r="AX978" s="208"/>
      <c r="AY978" s="208"/>
    </row>
    <row r="979">
      <c r="A979" s="208"/>
      <c r="B979" s="533"/>
      <c r="C979" s="208"/>
      <c r="D979" s="208"/>
      <c r="E979" s="208"/>
      <c r="F979" s="584"/>
      <c r="G979" s="208"/>
      <c r="H979" s="208"/>
      <c r="I979" s="208"/>
      <c r="J979" s="208"/>
      <c r="K979" s="208"/>
      <c r="L979" s="536"/>
      <c r="M979" s="208"/>
      <c r="N979" s="208"/>
      <c r="O979" s="208"/>
      <c r="P979" s="208"/>
      <c r="Q979" s="208"/>
      <c r="R979" s="208"/>
      <c r="S979" s="208"/>
      <c r="T979" s="208"/>
      <c r="U979" s="208"/>
      <c r="V979" s="208"/>
      <c r="W979" s="208"/>
      <c r="X979" s="208"/>
      <c r="Y979" s="208"/>
      <c r="Z979" s="208"/>
      <c r="AA979" s="208"/>
      <c r="AB979" s="208"/>
      <c r="AC979" s="208"/>
      <c r="AD979" s="208"/>
      <c r="AE979" s="208"/>
      <c r="AF979" s="208"/>
      <c r="AG979" s="208"/>
      <c r="AH979" s="208"/>
      <c r="AI979" s="208"/>
      <c r="AJ979" s="208"/>
      <c r="AK979" s="208"/>
      <c r="AL979" s="208"/>
      <c r="AM979" s="208"/>
      <c r="AN979" s="208"/>
      <c r="AO979" s="208"/>
      <c r="AP979" s="208"/>
      <c r="AQ979" s="208"/>
      <c r="AR979" s="208"/>
      <c r="AS979" s="208"/>
      <c r="AT979" s="208"/>
      <c r="AU979" s="208"/>
      <c r="AV979" s="208"/>
      <c r="AW979" s="208"/>
      <c r="AX979" s="208"/>
      <c r="AY979" s="208"/>
    </row>
    <row r="980">
      <c r="A980" s="208"/>
      <c r="B980" s="533"/>
      <c r="C980" s="208"/>
      <c r="D980" s="208"/>
      <c r="E980" s="208"/>
      <c r="F980" s="584"/>
      <c r="G980" s="208"/>
      <c r="H980" s="208"/>
      <c r="I980" s="208"/>
      <c r="J980" s="208"/>
      <c r="K980" s="208"/>
      <c r="L980" s="536"/>
      <c r="M980" s="208"/>
      <c r="N980" s="208"/>
      <c r="O980" s="208"/>
      <c r="P980" s="208"/>
      <c r="Q980" s="208"/>
      <c r="R980" s="208"/>
      <c r="S980" s="208"/>
      <c r="T980" s="208"/>
      <c r="U980" s="208"/>
      <c r="V980" s="208"/>
      <c r="W980" s="208"/>
      <c r="X980" s="208"/>
      <c r="Y980" s="208"/>
      <c r="Z980" s="208"/>
      <c r="AA980" s="208"/>
      <c r="AB980" s="208"/>
      <c r="AC980" s="208"/>
      <c r="AD980" s="208"/>
      <c r="AE980" s="208"/>
      <c r="AF980" s="208"/>
      <c r="AG980" s="208"/>
      <c r="AH980" s="208"/>
      <c r="AI980" s="208"/>
      <c r="AJ980" s="208"/>
      <c r="AK980" s="208"/>
      <c r="AL980" s="208"/>
      <c r="AM980" s="208"/>
      <c r="AN980" s="208"/>
      <c r="AO980" s="208"/>
      <c r="AP980" s="208"/>
      <c r="AQ980" s="208"/>
      <c r="AR980" s="208"/>
      <c r="AS980" s="208"/>
      <c r="AT980" s="208"/>
      <c r="AU980" s="208"/>
      <c r="AV980" s="208"/>
      <c r="AW980" s="208"/>
      <c r="AX980" s="208"/>
      <c r="AY980" s="208"/>
    </row>
    <row r="981">
      <c r="A981" s="208"/>
      <c r="B981" s="533"/>
      <c r="C981" s="208"/>
      <c r="D981" s="208"/>
      <c r="E981" s="208"/>
      <c r="F981" s="584"/>
      <c r="G981" s="208"/>
      <c r="H981" s="208"/>
      <c r="I981" s="208"/>
      <c r="J981" s="208"/>
      <c r="K981" s="208"/>
      <c r="L981" s="536"/>
      <c r="M981" s="208"/>
      <c r="N981" s="208"/>
      <c r="O981" s="208"/>
      <c r="P981" s="208"/>
      <c r="Q981" s="208"/>
      <c r="R981" s="208"/>
      <c r="S981" s="208"/>
      <c r="T981" s="208"/>
      <c r="U981" s="208"/>
      <c r="V981" s="208"/>
      <c r="W981" s="208"/>
      <c r="X981" s="208"/>
      <c r="Y981" s="208"/>
      <c r="Z981" s="208"/>
      <c r="AA981" s="208"/>
      <c r="AB981" s="208"/>
      <c r="AC981" s="208"/>
      <c r="AD981" s="208"/>
      <c r="AE981" s="208"/>
      <c r="AF981" s="208"/>
      <c r="AG981" s="208"/>
      <c r="AH981" s="208"/>
      <c r="AI981" s="208"/>
      <c r="AJ981" s="208"/>
      <c r="AK981" s="208"/>
      <c r="AL981" s="208"/>
      <c r="AM981" s="208"/>
      <c r="AN981" s="208"/>
      <c r="AO981" s="208"/>
      <c r="AP981" s="208"/>
      <c r="AQ981" s="208"/>
      <c r="AR981" s="208"/>
      <c r="AS981" s="208"/>
      <c r="AT981" s="208"/>
      <c r="AU981" s="208"/>
      <c r="AV981" s="208"/>
      <c r="AW981" s="208"/>
      <c r="AX981" s="208"/>
      <c r="AY981" s="208"/>
    </row>
    <row r="982">
      <c r="A982" s="208"/>
      <c r="B982" s="533"/>
      <c r="C982" s="208"/>
      <c r="D982" s="208"/>
      <c r="E982" s="208"/>
      <c r="F982" s="584"/>
      <c r="G982" s="208"/>
      <c r="H982" s="208"/>
      <c r="I982" s="208"/>
      <c r="J982" s="208"/>
      <c r="K982" s="208"/>
      <c r="L982" s="536"/>
      <c r="M982" s="208"/>
      <c r="N982" s="208"/>
      <c r="O982" s="208"/>
      <c r="P982" s="208"/>
      <c r="Q982" s="208"/>
      <c r="R982" s="208"/>
      <c r="S982" s="208"/>
      <c r="T982" s="208"/>
      <c r="U982" s="208"/>
      <c r="V982" s="208"/>
      <c r="W982" s="208"/>
      <c r="X982" s="208"/>
      <c r="Y982" s="208"/>
      <c r="Z982" s="208"/>
      <c r="AA982" s="208"/>
      <c r="AB982" s="208"/>
      <c r="AC982" s="208"/>
      <c r="AD982" s="208"/>
      <c r="AE982" s="208"/>
      <c r="AF982" s="208"/>
      <c r="AG982" s="208"/>
      <c r="AH982" s="208"/>
      <c r="AI982" s="208"/>
      <c r="AJ982" s="208"/>
      <c r="AK982" s="208"/>
      <c r="AL982" s="208"/>
      <c r="AM982" s="208"/>
      <c r="AN982" s="208"/>
      <c r="AO982" s="208"/>
      <c r="AP982" s="208"/>
      <c r="AQ982" s="208"/>
      <c r="AR982" s="208"/>
      <c r="AS982" s="208"/>
      <c r="AT982" s="208"/>
      <c r="AU982" s="208"/>
      <c r="AV982" s="208"/>
      <c r="AW982" s="208"/>
      <c r="AX982" s="208"/>
      <c r="AY982" s="208"/>
    </row>
    <row r="983">
      <c r="A983" s="208"/>
      <c r="B983" s="533"/>
      <c r="C983" s="208"/>
      <c r="D983" s="208"/>
      <c r="E983" s="208"/>
      <c r="F983" s="584"/>
      <c r="G983" s="208"/>
      <c r="H983" s="208"/>
      <c r="I983" s="208"/>
      <c r="J983" s="208"/>
      <c r="K983" s="208"/>
      <c r="L983" s="536"/>
      <c r="M983" s="208"/>
      <c r="N983" s="208"/>
      <c r="O983" s="208"/>
      <c r="P983" s="208"/>
      <c r="Q983" s="208"/>
      <c r="R983" s="208"/>
      <c r="S983" s="208"/>
      <c r="T983" s="208"/>
      <c r="U983" s="208"/>
      <c r="V983" s="208"/>
      <c r="W983" s="208"/>
      <c r="X983" s="208"/>
      <c r="Y983" s="208"/>
      <c r="Z983" s="208"/>
      <c r="AA983" s="208"/>
      <c r="AB983" s="208"/>
      <c r="AC983" s="208"/>
      <c r="AD983" s="208"/>
      <c r="AE983" s="208"/>
      <c r="AF983" s="208"/>
      <c r="AG983" s="208"/>
      <c r="AH983" s="208"/>
      <c r="AI983" s="208"/>
      <c r="AJ983" s="208"/>
      <c r="AK983" s="208"/>
      <c r="AL983" s="208"/>
      <c r="AM983" s="208"/>
      <c r="AN983" s="208"/>
      <c r="AO983" s="208"/>
      <c r="AP983" s="208"/>
      <c r="AQ983" s="208"/>
      <c r="AR983" s="208"/>
      <c r="AS983" s="208"/>
      <c r="AT983" s="208"/>
      <c r="AU983" s="208"/>
      <c r="AV983" s="208"/>
      <c r="AW983" s="208"/>
      <c r="AX983" s="208"/>
      <c r="AY983" s="208"/>
    </row>
    <row r="984">
      <c r="A984" s="208"/>
      <c r="B984" s="533"/>
      <c r="C984" s="208"/>
      <c r="D984" s="208"/>
      <c r="E984" s="208"/>
      <c r="F984" s="584"/>
      <c r="G984" s="208"/>
      <c r="H984" s="208"/>
      <c r="I984" s="208"/>
      <c r="J984" s="208"/>
      <c r="K984" s="208"/>
      <c r="L984" s="536"/>
      <c r="M984" s="208"/>
      <c r="N984" s="208"/>
      <c r="O984" s="208"/>
      <c r="P984" s="208"/>
      <c r="Q984" s="208"/>
      <c r="R984" s="208"/>
      <c r="S984" s="208"/>
      <c r="T984" s="208"/>
      <c r="U984" s="208"/>
      <c r="V984" s="208"/>
      <c r="W984" s="208"/>
      <c r="X984" s="208"/>
      <c r="Y984" s="208"/>
      <c r="Z984" s="208"/>
      <c r="AA984" s="208"/>
      <c r="AB984" s="208"/>
      <c r="AC984" s="208"/>
      <c r="AD984" s="208"/>
      <c r="AE984" s="208"/>
      <c r="AF984" s="208"/>
      <c r="AG984" s="208"/>
      <c r="AH984" s="208"/>
      <c r="AI984" s="208"/>
      <c r="AJ984" s="208"/>
      <c r="AK984" s="208"/>
      <c r="AL984" s="208"/>
      <c r="AM984" s="208"/>
      <c r="AN984" s="208"/>
      <c r="AO984" s="208"/>
      <c r="AP984" s="208"/>
      <c r="AQ984" s="208"/>
      <c r="AR984" s="208"/>
      <c r="AS984" s="208"/>
      <c r="AT984" s="208"/>
      <c r="AU984" s="208"/>
      <c r="AV984" s="208"/>
      <c r="AW984" s="208"/>
      <c r="AX984" s="208"/>
      <c r="AY984" s="208"/>
    </row>
    <row r="985">
      <c r="A985" s="208"/>
      <c r="B985" s="533"/>
      <c r="C985" s="208"/>
      <c r="D985" s="208"/>
      <c r="E985" s="208"/>
      <c r="F985" s="584"/>
      <c r="G985" s="208"/>
      <c r="H985" s="208"/>
      <c r="I985" s="208"/>
      <c r="J985" s="208"/>
      <c r="K985" s="208"/>
      <c r="L985" s="536"/>
      <c r="M985" s="208"/>
      <c r="N985" s="208"/>
      <c r="O985" s="208"/>
      <c r="P985" s="208"/>
      <c r="Q985" s="208"/>
      <c r="R985" s="208"/>
      <c r="S985" s="208"/>
      <c r="T985" s="208"/>
      <c r="U985" s="208"/>
      <c r="V985" s="208"/>
      <c r="W985" s="208"/>
      <c r="X985" s="208"/>
      <c r="Y985" s="208"/>
      <c r="Z985" s="208"/>
      <c r="AA985" s="208"/>
      <c r="AB985" s="208"/>
      <c r="AC985" s="208"/>
      <c r="AD985" s="208"/>
      <c r="AE985" s="208"/>
      <c r="AF985" s="208"/>
      <c r="AG985" s="208"/>
      <c r="AH985" s="208"/>
      <c r="AI985" s="208"/>
      <c r="AJ985" s="208"/>
      <c r="AK985" s="208"/>
      <c r="AL985" s="208"/>
      <c r="AM985" s="208"/>
      <c r="AN985" s="208"/>
      <c r="AO985" s="208"/>
      <c r="AP985" s="208"/>
      <c r="AQ985" s="208"/>
      <c r="AR985" s="208"/>
      <c r="AS985" s="208"/>
      <c r="AT985" s="208"/>
      <c r="AU985" s="208"/>
      <c r="AV985" s="208"/>
      <c r="AW985" s="208"/>
      <c r="AX985" s="208"/>
      <c r="AY985" s="208"/>
    </row>
    <row r="986">
      <c r="A986" s="208"/>
      <c r="B986" s="533"/>
      <c r="C986" s="208"/>
      <c r="D986" s="208"/>
      <c r="E986" s="208"/>
      <c r="F986" s="584"/>
      <c r="G986" s="208"/>
      <c r="H986" s="208"/>
      <c r="I986" s="208"/>
      <c r="J986" s="208"/>
      <c r="K986" s="208"/>
      <c r="L986" s="536"/>
      <c r="M986" s="208"/>
      <c r="N986" s="208"/>
      <c r="O986" s="208"/>
      <c r="P986" s="208"/>
      <c r="Q986" s="208"/>
      <c r="R986" s="208"/>
      <c r="S986" s="208"/>
      <c r="T986" s="208"/>
      <c r="U986" s="208"/>
      <c r="V986" s="208"/>
      <c r="W986" s="208"/>
      <c r="X986" s="208"/>
      <c r="Y986" s="208"/>
      <c r="Z986" s="208"/>
      <c r="AA986" s="208"/>
      <c r="AB986" s="208"/>
      <c r="AC986" s="208"/>
      <c r="AD986" s="208"/>
      <c r="AE986" s="208"/>
      <c r="AF986" s="208"/>
      <c r="AG986" s="208"/>
      <c r="AH986" s="208"/>
      <c r="AI986" s="208"/>
      <c r="AJ986" s="208"/>
      <c r="AK986" s="208"/>
      <c r="AL986" s="208"/>
      <c r="AM986" s="208"/>
      <c r="AN986" s="208"/>
      <c r="AO986" s="208"/>
      <c r="AP986" s="208"/>
      <c r="AQ986" s="208"/>
      <c r="AR986" s="208"/>
      <c r="AS986" s="208"/>
      <c r="AT986" s="208"/>
      <c r="AU986" s="208"/>
      <c r="AV986" s="208"/>
      <c r="AW986" s="208"/>
      <c r="AX986" s="208"/>
      <c r="AY986" s="208"/>
    </row>
    <row r="987">
      <c r="A987" s="208"/>
      <c r="B987" s="533"/>
      <c r="C987" s="208"/>
      <c r="D987" s="208"/>
      <c r="E987" s="208"/>
      <c r="F987" s="584"/>
      <c r="G987" s="208"/>
      <c r="H987" s="208"/>
      <c r="I987" s="208"/>
      <c r="J987" s="208"/>
      <c r="K987" s="208"/>
      <c r="L987" s="536"/>
      <c r="M987" s="208"/>
      <c r="N987" s="208"/>
      <c r="O987" s="208"/>
      <c r="P987" s="208"/>
      <c r="Q987" s="208"/>
      <c r="R987" s="208"/>
      <c r="S987" s="208"/>
      <c r="T987" s="208"/>
      <c r="U987" s="208"/>
      <c r="V987" s="208"/>
      <c r="W987" s="208"/>
      <c r="X987" s="208"/>
      <c r="Y987" s="208"/>
      <c r="Z987" s="208"/>
      <c r="AA987" s="208"/>
      <c r="AB987" s="208"/>
      <c r="AC987" s="208"/>
      <c r="AD987" s="208"/>
      <c r="AE987" s="208"/>
      <c r="AF987" s="208"/>
      <c r="AG987" s="208"/>
      <c r="AH987" s="208"/>
      <c r="AI987" s="208"/>
      <c r="AJ987" s="208"/>
      <c r="AK987" s="208"/>
      <c r="AL987" s="208"/>
      <c r="AM987" s="208"/>
      <c r="AN987" s="208"/>
      <c r="AO987" s="208"/>
      <c r="AP987" s="208"/>
      <c r="AQ987" s="208"/>
      <c r="AR987" s="208"/>
      <c r="AS987" s="208"/>
      <c r="AT987" s="208"/>
      <c r="AU987" s="208"/>
      <c r="AV987" s="208"/>
      <c r="AW987" s="208"/>
      <c r="AX987" s="208"/>
      <c r="AY987" s="208"/>
    </row>
    <row r="988">
      <c r="A988" s="208"/>
      <c r="B988" s="533"/>
      <c r="C988" s="208"/>
      <c r="D988" s="208"/>
      <c r="E988" s="208"/>
      <c r="F988" s="584"/>
      <c r="G988" s="208"/>
      <c r="H988" s="208"/>
      <c r="I988" s="208"/>
      <c r="J988" s="208"/>
      <c r="K988" s="208"/>
      <c r="L988" s="536"/>
      <c r="M988" s="208"/>
      <c r="N988" s="208"/>
      <c r="O988" s="208"/>
      <c r="P988" s="208"/>
      <c r="Q988" s="208"/>
      <c r="R988" s="208"/>
      <c r="S988" s="208"/>
      <c r="T988" s="208"/>
      <c r="U988" s="208"/>
      <c r="V988" s="208"/>
      <c r="W988" s="208"/>
      <c r="X988" s="208"/>
      <c r="Y988" s="208"/>
      <c r="Z988" s="208"/>
      <c r="AA988" s="208"/>
      <c r="AB988" s="208"/>
      <c r="AC988" s="208"/>
      <c r="AD988" s="208"/>
      <c r="AE988" s="208"/>
      <c r="AF988" s="208"/>
      <c r="AG988" s="208"/>
      <c r="AH988" s="208"/>
      <c r="AI988" s="208"/>
      <c r="AJ988" s="208"/>
      <c r="AK988" s="208"/>
      <c r="AL988" s="208"/>
      <c r="AM988" s="208"/>
      <c r="AN988" s="208"/>
      <c r="AO988" s="208"/>
      <c r="AP988" s="208"/>
      <c r="AQ988" s="208"/>
      <c r="AR988" s="208"/>
      <c r="AS988" s="208"/>
      <c r="AT988" s="208"/>
      <c r="AU988" s="208"/>
      <c r="AV988" s="208"/>
      <c r="AW988" s="208"/>
      <c r="AX988" s="208"/>
      <c r="AY988" s="208"/>
    </row>
    <row r="989">
      <c r="A989" s="208"/>
      <c r="B989" s="533"/>
      <c r="C989" s="208"/>
      <c r="D989" s="208"/>
      <c r="E989" s="208"/>
      <c r="F989" s="584"/>
      <c r="G989" s="208"/>
      <c r="H989" s="208"/>
      <c r="I989" s="208"/>
      <c r="J989" s="208"/>
      <c r="K989" s="208"/>
      <c r="L989" s="536"/>
      <c r="M989" s="208"/>
      <c r="N989" s="208"/>
      <c r="O989" s="208"/>
      <c r="P989" s="208"/>
      <c r="Q989" s="208"/>
      <c r="R989" s="208"/>
      <c r="S989" s="208"/>
      <c r="T989" s="208"/>
      <c r="U989" s="208"/>
      <c r="V989" s="208"/>
      <c r="W989" s="208"/>
      <c r="X989" s="208"/>
      <c r="Y989" s="208"/>
      <c r="Z989" s="208"/>
      <c r="AA989" s="208"/>
      <c r="AB989" s="208"/>
      <c r="AC989" s="208"/>
      <c r="AD989" s="208"/>
      <c r="AE989" s="208"/>
      <c r="AF989" s="208"/>
      <c r="AG989" s="208"/>
      <c r="AH989" s="208"/>
      <c r="AI989" s="208"/>
      <c r="AJ989" s="208"/>
      <c r="AK989" s="208"/>
      <c r="AL989" s="208"/>
      <c r="AM989" s="208"/>
      <c r="AN989" s="208"/>
      <c r="AO989" s="208"/>
      <c r="AP989" s="208"/>
      <c r="AQ989" s="208"/>
      <c r="AR989" s="208"/>
      <c r="AS989" s="208"/>
      <c r="AT989" s="208"/>
      <c r="AU989" s="208"/>
      <c r="AV989" s="208"/>
      <c r="AW989" s="208"/>
      <c r="AX989" s="208"/>
      <c r="AY989" s="208"/>
    </row>
    <row r="990">
      <c r="A990" s="208"/>
      <c r="B990" s="533"/>
      <c r="C990" s="208"/>
      <c r="D990" s="208"/>
      <c r="E990" s="208"/>
      <c r="F990" s="584"/>
      <c r="G990" s="208"/>
      <c r="H990" s="208"/>
      <c r="I990" s="208"/>
      <c r="J990" s="208"/>
      <c r="K990" s="208"/>
      <c r="L990" s="536"/>
      <c r="M990" s="208"/>
      <c r="N990" s="208"/>
      <c r="O990" s="208"/>
      <c r="P990" s="208"/>
      <c r="Q990" s="208"/>
      <c r="R990" s="208"/>
      <c r="S990" s="208"/>
      <c r="T990" s="208"/>
      <c r="U990" s="208"/>
      <c r="V990" s="208"/>
      <c r="W990" s="208"/>
      <c r="X990" s="208"/>
      <c r="Y990" s="208"/>
      <c r="Z990" s="208"/>
      <c r="AA990" s="208"/>
      <c r="AB990" s="208"/>
      <c r="AC990" s="208"/>
      <c r="AD990" s="208"/>
      <c r="AE990" s="208"/>
      <c r="AF990" s="208"/>
      <c r="AG990" s="208"/>
      <c r="AH990" s="208"/>
      <c r="AI990" s="208"/>
      <c r="AJ990" s="208"/>
      <c r="AK990" s="208"/>
      <c r="AL990" s="208"/>
      <c r="AM990" s="208"/>
      <c r="AN990" s="208"/>
      <c r="AO990" s="208"/>
      <c r="AP990" s="208"/>
      <c r="AQ990" s="208"/>
      <c r="AR990" s="208"/>
      <c r="AS990" s="208"/>
      <c r="AT990" s="208"/>
      <c r="AU990" s="208"/>
      <c r="AV990" s="208"/>
      <c r="AW990" s="208"/>
      <c r="AX990" s="208"/>
      <c r="AY990" s="208"/>
    </row>
    <row r="991">
      <c r="A991" s="208"/>
      <c r="B991" s="533"/>
      <c r="C991" s="208"/>
      <c r="D991" s="208"/>
      <c r="E991" s="208"/>
      <c r="F991" s="584"/>
      <c r="G991" s="208"/>
      <c r="H991" s="208"/>
      <c r="I991" s="208"/>
      <c r="J991" s="208"/>
      <c r="K991" s="208"/>
      <c r="L991" s="536"/>
      <c r="M991" s="208"/>
      <c r="N991" s="208"/>
      <c r="O991" s="208"/>
      <c r="P991" s="208"/>
      <c r="Q991" s="208"/>
      <c r="R991" s="208"/>
      <c r="S991" s="208"/>
      <c r="T991" s="208"/>
      <c r="U991" s="208"/>
      <c r="V991" s="208"/>
      <c r="W991" s="208"/>
      <c r="X991" s="208"/>
      <c r="Y991" s="208"/>
      <c r="Z991" s="208"/>
      <c r="AA991" s="208"/>
      <c r="AB991" s="208"/>
      <c r="AC991" s="208"/>
      <c r="AD991" s="208"/>
      <c r="AE991" s="208"/>
      <c r="AF991" s="208"/>
      <c r="AG991" s="208"/>
      <c r="AH991" s="208"/>
      <c r="AI991" s="208"/>
      <c r="AJ991" s="208"/>
      <c r="AK991" s="208"/>
      <c r="AL991" s="208"/>
      <c r="AM991" s="208"/>
      <c r="AN991" s="208"/>
      <c r="AO991" s="208"/>
      <c r="AP991" s="208"/>
      <c r="AQ991" s="208"/>
      <c r="AR991" s="208"/>
      <c r="AS991" s="208"/>
      <c r="AT991" s="208"/>
      <c r="AU991" s="208"/>
      <c r="AV991" s="208"/>
      <c r="AW991" s="208"/>
      <c r="AX991" s="208"/>
      <c r="AY991" s="208"/>
    </row>
    <row r="992">
      <c r="A992" s="208"/>
      <c r="B992" s="533"/>
      <c r="C992" s="208"/>
      <c r="D992" s="208"/>
      <c r="E992" s="208"/>
      <c r="F992" s="584"/>
      <c r="G992" s="208"/>
      <c r="H992" s="208"/>
      <c r="I992" s="208"/>
      <c r="J992" s="208"/>
      <c r="K992" s="208"/>
      <c r="L992" s="536"/>
      <c r="M992" s="208"/>
      <c r="N992" s="208"/>
      <c r="O992" s="208"/>
      <c r="P992" s="208"/>
      <c r="Q992" s="208"/>
      <c r="R992" s="208"/>
      <c r="S992" s="208"/>
      <c r="T992" s="208"/>
      <c r="U992" s="208"/>
      <c r="V992" s="208"/>
      <c r="W992" s="208"/>
      <c r="X992" s="208"/>
      <c r="Y992" s="208"/>
      <c r="Z992" s="208"/>
      <c r="AA992" s="208"/>
      <c r="AB992" s="208"/>
      <c r="AC992" s="208"/>
      <c r="AD992" s="208"/>
      <c r="AE992" s="208"/>
      <c r="AF992" s="208"/>
      <c r="AG992" s="208"/>
      <c r="AH992" s="208"/>
      <c r="AI992" s="208"/>
      <c r="AJ992" s="208"/>
      <c r="AK992" s="208"/>
      <c r="AL992" s="208"/>
      <c r="AM992" s="208"/>
      <c r="AN992" s="208"/>
      <c r="AO992" s="208"/>
      <c r="AP992" s="208"/>
      <c r="AQ992" s="208"/>
      <c r="AR992" s="208"/>
      <c r="AS992" s="208"/>
      <c r="AT992" s="208"/>
      <c r="AU992" s="208"/>
      <c r="AV992" s="208"/>
      <c r="AW992" s="208"/>
      <c r="AX992" s="208"/>
      <c r="AY992" s="208"/>
    </row>
    <row r="993">
      <c r="A993" s="208"/>
      <c r="B993" s="533"/>
      <c r="C993" s="208"/>
      <c r="D993" s="208"/>
      <c r="E993" s="208"/>
      <c r="F993" s="584"/>
      <c r="G993" s="208"/>
      <c r="H993" s="208"/>
      <c r="I993" s="208"/>
      <c r="J993" s="208"/>
      <c r="K993" s="208"/>
      <c r="L993" s="536"/>
      <c r="M993" s="208"/>
      <c r="N993" s="208"/>
      <c r="O993" s="208"/>
      <c r="P993" s="208"/>
      <c r="Q993" s="208"/>
      <c r="R993" s="208"/>
      <c r="S993" s="208"/>
      <c r="T993" s="208"/>
      <c r="U993" s="208"/>
      <c r="V993" s="208"/>
      <c r="W993" s="208"/>
      <c r="X993" s="208"/>
      <c r="Y993" s="208"/>
      <c r="Z993" s="208"/>
      <c r="AA993" s="208"/>
      <c r="AB993" s="208"/>
      <c r="AC993" s="208"/>
      <c r="AD993" s="208"/>
      <c r="AE993" s="208"/>
      <c r="AF993" s="208"/>
      <c r="AG993" s="208"/>
      <c r="AH993" s="208"/>
      <c r="AI993" s="208"/>
      <c r="AJ993" s="208"/>
      <c r="AK993" s="208"/>
      <c r="AL993" s="208"/>
      <c r="AM993" s="208"/>
      <c r="AN993" s="208"/>
      <c r="AO993" s="208"/>
      <c r="AP993" s="208"/>
      <c r="AQ993" s="208"/>
      <c r="AR993" s="208"/>
      <c r="AS993" s="208"/>
      <c r="AT993" s="208"/>
      <c r="AU993" s="208"/>
      <c r="AV993" s="208"/>
      <c r="AW993" s="208"/>
      <c r="AX993" s="208"/>
      <c r="AY993" s="208"/>
    </row>
    <row r="994">
      <c r="A994" s="208"/>
      <c r="B994" s="533"/>
      <c r="C994" s="208"/>
      <c r="D994" s="208"/>
      <c r="E994" s="208"/>
      <c r="F994" s="584"/>
      <c r="G994" s="208"/>
      <c r="H994" s="208"/>
      <c r="I994" s="208"/>
      <c r="J994" s="208"/>
      <c r="K994" s="208"/>
      <c r="L994" s="536"/>
      <c r="M994" s="208"/>
      <c r="N994" s="208"/>
      <c r="O994" s="208"/>
      <c r="P994" s="208"/>
      <c r="Q994" s="208"/>
      <c r="R994" s="208"/>
      <c r="S994" s="208"/>
      <c r="T994" s="208"/>
      <c r="U994" s="208"/>
      <c r="V994" s="208"/>
      <c r="W994" s="208"/>
      <c r="X994" s="208"/>
      <c r="Y994" s="208"/>
      <c r="Z994" s="208"/>
      <c r="AA994" s="208"/>
      <c r="AB994" s="208"/>
      <c r="AC994" s="208"/>
      <c r="AD994" s="208"/>
      <c r="AE994" s="208"/>
      <c r="AF994" s="208"/>
      <c r="AG994" s="208"/>
      <c r="AH994" s="208"/>
      <c r="AI994" s="208"/>
      <c r="AJ994" s="208"/>
      <c r="AK994" s="208"/>
      <c r="AL994" s="208"/>
      <c r="AM994" s="208"/>
      <c r="AN994" s="208"/>
      <c r="AO994" s="208"/>
      <c r="AP994" s="208"/>
      <c r="AQ994" s="208"/>
      <c r="AR994" s="208"/>
      <c r="AS994" s="208"/>
      <c r="AT994" s="208"/>
      <c r="AU994" s="208"/>
      <c r="AV994" s="208"/>
      <c r="AW994" s="208"/>
      <c r="AX994" s="208"/>
      <c r="AY994" s="208"/>
    </row>
    <row r="995">
      <c r="A995" s="208"/>
      <c r="B995" s="533"/>
      <c r="C995" s="208"/>
      <c r="D995" s="208"/>
      <c r="E995" s="208"/>
      <c r="F995" s="584"/>
      <c r="G995" s="208"/>
      <c r="H995" s="208"/>
      <c r="I995" s="208"/>
      <c r="J995" s="208"/>
      <c r="K995" s="208"/>
      <c r="L995" s="536"/>
      <c r="M995" s="208"/>
      <c r="N995" s="208"/>
      <c r="O995" s="208"/>
      <c r="P995" s="208"/>
      <c r="Q995" s="208"/>
      <c r="R995" s="208"/>
      <c r="S995" s="208"/>
      <c r="T995" s="208"/>
      <c r="U995" s="208"/>
      <c r="V995" s="208"/>
      <c r="W995" s="208"/>
      <c r="X995" s="208"/>
      <c r="Y995" s="208"/>
      <c r="Z995" s="208"/>
      <c r="AA995" s="208"/>
      <c r="AB995" s="208"/>
      <c r="AC995" s="208"/>
      <c r="AD995" s="208"/>
      <c r="AE995" s="208"/>
      <c r="AF995" s="208"/>
      <c r="AG995" s="208"/>
      <c r="AH995" s="208"/>
      <c r="AI995" s="208"/>
      <c r="AJ995" s="208"/>
      <c r="AK995" s="208"/>
      <c r="AL995" s="208"/>
      <c r="AM995" s="208"/>
      <c r="AN995" s="208"/>
      <c r="AO995" s="208"/>
      <c r="AP995" s="208"/>
      <c r="AQ995" s="208"/>
      <c r="AR995" s="208"/>
      <c r="AS995" s="208"/>
      <c r="AT995" s="208"/>
      <c r="AU995" s="208"/>
      <c r="AV995" s="208"/>
      <c r="AW995" s="208"/>
      <c r="AX995" s="208"/>
      <c r="AY995" s="208"/>
    </row>
    <row r="996">
      <c r="A996" s="208"/>
      <c r="B996" s="533"/>
      <c r="C996" s="208"/>
      <c r="D996" s="208"/>
      <c r="E996" s="208"/>
      <c r="F996" s="584"/>
      <c r="G996" s="208"/>
      <c r="H996" s="208"/>
      <c r="I996" s="208"/>
      <c r="J996" s="208"/>
      <c r="K996" s="208"/>
      <c r="L996" s="536"/>
      <c r="M996" s="208"/>
      <c r="N996" s="208"/>
      <c r="O996" s="208"/>
      <c r="P996" s="208"/>
      <c r="Q996" s="208"/>
      <c r="R996" s="208"/>
      <c r="S996" s="208"/>
      <c r="T996" s="208"/>
      <c r="U996" s="208"/>
      <c r="V996" s="208"/>
      <c r="W996" s="208"/>
      <c r="X996" s="208"/>
      <c r="Y996" s="208"/>
      <c r="Z996" s="208"/>
      <c r="AA996" s="208"/>
      <c r="AB996" s="208"/>
      <c r="AC996" s="208"/>
      <c r="AD996" s="208"/>
      <c r="AE996" s="208"/>
      <c r="AF996" s="208"/>
      <c r="AG996" s="208"/>
      <c r="AH996" s="208"/>
      <c r="AI996" s="208"/>
      <c r="AJ996" s="208"/>
      <c r="AK996" s="208"/>
      <c r="AL996" s="208"/>
      <c r="AM996" s="208"/>
      <c r="AN996" s="208"/>
      <c r="AO996" s="208"/>
      <c r="AP996" s="208"/>
      <c r="AQ996" s="208"/>
      <c r="AR996" s="208"/>
      <c r="AS996" s="208"/>
      <c r="AT996" s="208"/>
      <c r="AU996" s="208"/>
      <c r="AV996" s="208"/>
      <c r="AW996" s="208"/>
      <c r="AX996" s="208"/>
      <c r="AY996" s="208"/>
    </row>
    <row r="997">
      <c r="A997" s="208"/>
      <c r="B997" s="533"/>
      <c r="C997" s="208"/>
      <c r="D997" s="208"/>
      <c r="E997" s="208"/>
      <c r="F997" s="584"/>
      <c r="G997" s="208"/>
      <c r="H997" s="208"/>
      <c r="I997" s="208"/>
      <c r="J997" s="208"/>
      <c r="K997" s="208"/>
      <c r="L997" s="536"/>
      <c r="M997" s="208"/>
      <c r="N997" s="208"/>
      <c r="O997" s="208"/>
      <c r="P997" s="208"/>
      <c r="Q997" s="208"/>
      <c r="R997" s="208"/>
      <c r="S997" s="208"/>
      <c r="T997" s="208"/>
      <c r="U997" s="208"/>
      <c r="V997" s="208"/>
      <c r="W997" s="208"/>
      <c r="X997" s="208"/>
      <c r="Y997" s="208"/>
      <c r="Z997" s="208"/>
      <c r="AA997" s="208"/>
      <c r="AB997" s="208"/>
      <c r="AC997" s="208"/>
      <c r="AD997" s="208"/>
      <c r="AE997" s="208"/>
      <c r="AF997" s="208"/>
      <c r="AG997" s="208"/>
      <c r="AH997" s="208"/>
      <c r="AI997" s="208"/>
      <c r="AJ997" s="208"/>
      <c r="AK997" s="208"/>
      <c r="AL997" s="208"/>
      <c r="AM997" s="208"/>
      <c r="AN997" s="208"/>
      <c r="AO997" s="208"/>
      <c r="AP997" s="208"/>
      <c r="AQ997" s="208"/>
      <c r="AR997" s="208"/>
      <c r="AS997" s="208"/>
      <c r="AT997" s="208"/>
      <c r="AU997" s="208"/>
      <c r="AV997" s="208"/>
      <c r="AW997" s="208"/>
      <c r="AX997" s="208"/>
      <c r="AY997" s="208"/>
    </row>
    <row r="998">
      <c r="A998" s="208"/>
      <c r="B998" s="533"/>
      <c r="C998" s="208"/>
      <c r="D998" s="208"/>
      <c r="E998" s="208"/>
      <c r="F998" s="584"/>
      <c r="G998" s="208"/>
      <c r="H998" s="208"/>
      <c r="I998" s="208"/>
      <c r="J998" s="208"/>
      <c r="K998" s="208"/>
      <c r="L998" s="536"/>
      <c r="M998" s="208"/>
      <c r="N998" s="208"/>
      <c r="O998" s="208"/>
      <c r="P998" s="208"/>
      <c r="Q998" s="208"/>
      <c r="R998" s="208"/>
      <c r="S998" s="208"/>
      <c r="T998" s="208"/>
      <c r="U998" s="208"/>
      <c r="V998" s="208"/>
      <c r="W998" s="208"/>
      <c r="X998" s="208"/>
      <c r="Y998" s="208"/>
      <c r="Z998" s="208"/>
      <c r="AA998" s="208"/>
      <c r="AB998" s="208"/>
      <c r="AC998" s="208"/>
      <c r="AD998" s="208"/>
      <c r="AE998" s="208"/>
      <c r="AF998" s="208"/>
      <c r="AG998" s="208"/>
      <c r="AH998" s="208"/>
      <c r="AI998" s="208"/>
      <c r="AJ998" s="208"/>
      <c r="AK998" s="208"/>
      <c r="AL998" s="208"/>
      <c r="AM998" s="208"/>
      <c r="AN998" s="208"/>
      <c r="AO998" s="208"/>
      <c r="AP998" s="208"/>
      <c r="AQ998" s="208"/>
      <c r="AR998" s="208"/>
      <c r="AS998" s="208"/>
      <c r="AT998" s="208"/>
      <c r="AU998" s="208"/>
      <c r="AV998" s="208"/>
      <c r="AW998" s="208"/>
      <c r="AX998" s="208"/>
      <c r="AY998" s="208"/>
    </row>
    <row r="999">
      <c r="A999" s="208"/>
      <c r="B999" s="533"/>
      <c r="C999" s="208"/>
      <c r="D999" s="208"/>
      <c r="E999" s="208"/>
      <c r="F999" s="584"/>
      <c r="G999" s="208"/>
      <c r="H999" s="208"/>
      <c r="I999" s="208"/>
      <c r="J999" s="208"/>
      <c r="K999" s="208"/>
      <c r="L999" s="536"/>
      <c r="M999" s="208"/>
      <c r="N999" s="208"/>
      <c r="O999" s="208"/>
      <c r="P999" s="208"/>
      <c r="Q999" s="208"/>
      <c r="R999" s="208"/>
      <c r="S999" s="208"/>
      <c r="T999" s="208"/>
      <c r="U999" s="208"/>
      <c r="V999" s="208"/>
      <c r="W999" s="208"/>
      <c r="X999" s="208"/>
      <c r="Y999" s="208"/>
      <c r="Z999" s="208"/>
      <c r="AA999" s="208"/>
      <c r="AB999" s="208"/>
      <c r="AC999" s="208"/>
      <c r="AD999" s="208"/>
      <c r="AE999" s="208"/>
      <c r="AF999" s="208"/>
      <c r="AG999" s="208"/>
      <c r="AH999" s="208"/>
      <c r="AI999" s="208"/>
      <c r="AJ999" s="208"/>
      <c r="AK999" s="208"/>
      <c r="AL999" s="208"/>
      <c r="AM999" s="208"/>
      <c r="AN999" s="208"/>
      <c r="AO999" s="208"/>
      <c r="AP999" s="208"/>
      <c r="AQ999" s="208"/>
      <c r="AR999" s="208"/>
      <c r="AS999" s="208"/>
      <c r="AT999" s="208"/>
      <c r="AU999" s="208"/>
      <c r="AV999" s="208"/>
      <c r="AW999" s="208"/>
      <c r="AX999" s="208"/>
      <c r="AY999" s="208"/>
    </row>
    <row r="1000">
      <c r="A1000" s="208"/>
      <c r="B1000" s="533"/>
      <c r="C1000" s="208"/>
      <c r="D1000" s="208"/>
      <c r="E1000" s="208"/>
      <c r="F1000" s="584"/>
      <c r="G1000" s="208"/>
      <c r="H1000" s="208"/>
      <c r="I1000" s="208"/>
      <c r="J1000" s="208"/>
      <c r="K1000" s="208"/>
      <c r="L1000" s="536"/>
      <c r="M1000" s="208"/>
      <c r="N1000" s="208"/>
      <c r="O1000" s="208"/>
      <c r="P1000" s="208"/>
      <c r="Q1000" s="208"/>
      <c r="R1000" s="208"/>
      <c r="S1000" s="208"/>
      <c r="T1000" s="208"/>
      <c r="U1000" s="208"/>
      <c r="V1000" s="208"/>
      <c r="W1000" s="208"/>
      <c r="X1000" s="208"/>
      <c r="Y1000" s="208"/>
      <c r="Z1000" s="208"/>
      <c r="AA1000" s="208"/>
      <c r="AB1000" s="208"/>
      <c r="AC1000" s="208"/>
      <c r="AD1000" s="208"/>
      <c r="AE1000" s="208"/>
      <c r="AF1000" s="208"/>
      <c r="AG1000" s="208"/>
      <c r="AH1000" s="208"/>
      <c r="AI1000" s="208"/>
      <c r="AJ1000" s="208"/>
      <c r="AK1000" s="208"/>
      <c r="AL1000" s="208"/>
      <c r="AM1000" s="208"/>
      <c r="AN1000" s="208"/>
      <c r="AO1000" s="208"/>
      <c r="AP1000" s="208"/>
      <c r="AQ1000" s="208"/>
      <c r="AR1000" s="208"/>
      <c r="AS1000" s="208"/>
      <c r="AT1000" s="208"/>
      <c r="AU1000" s="208"/>
      <c r="AV1000" s="208"/>
      <c r="AW1000" s="208"/>
      <c r="AX1000" s="208"/>
      <c r="AY1000" s="208"/>
    </row>
    <row r="1001">
      <c r="A1001" s="208"/>
      <c r="B1001" s="533"/>
      <c r="C1001" s="208"/>
      <c r="D1001" s="208"/>
      <c r="E1001" s="208"/>
      <c r="F1001" s="584"/>
      <c r="G1001" s="208"/>
      <c r="H1001" s="208"/>
      <c r="I1001" s="208"/>
      <c r="J1001" s="208"/>
      <c r="K1001" s="208"/>
      <c r="L1001" s="536"/>
      <c r="M1001" s="208"/>
      <c r="N1001" s="208"/>
      <c r="O1001" s="208"/>
      <c r="P1001" s="208"/>
      <c r="Q1001" s="208"/>
      <c r="R1001" s="208"/>
      <c r="S1001" s="208"/>
      <c r="T1001" s="208"/>
      <c r="U1001" s="208"/>
      <c r="V1001" s="208"/>
      <c r="W1001" s="208"/>
      <c r="X1001" s="208"/>
      <c r="Y1001" s="208"/>
      <c r="Z1001" s="208"/>
      <c r="AA1001" s="208"/>
      <c r="AB1001" s="208"/>
      <c r="AC1001" s="208"/>
      <c r="AD1001" s="208"/>
      <c r="AE1001" s="208"/>
      <c r="AF1001" s="208"/>
      <c r="AG1001" s="208"/>
      <c r="AH1001" s="208"/>
      <c r="AI1001" s="208"/>
      <c r="AJ1001" s="208"/>
      <c r="AK1001" s="208"/>
      <c r="AL1001" s="208"/>
      <c r="AM1001" s="208"/>
      <c r="AN1001" s="208"/>
      <c r="AO1001" s="208"/>
      <c r="AP1001" s="208"/>
      <c r="AQ1001" s="208"/>
      <c r="AR1001" s="208"/>
      <c r="AS1001" s="208"/>
      <c r="AT1001" s="208"/>
      <c r="AU1001" s="208"/>
      <c r="AV1001" s="208"/>
      <c r="AW1001" s="208"/>
      <c r="AX1001" s="208"/>
      <c r="AY1001" s="208"/>
    </row>
    <row r="1002">
      <c r="A1002" s="208"/>
      <c r="B1002" s="533"/>
      <c r="C1002" s="208"/>
      <c r="D1002" s="208"/>
      <c r="E1002" s="208"/>
      <c r="F1002" s="584"/>
      <c r="G1002" s="208"/>
      <c r="H1002" s="208"/>
      <c r="I1002" s="208"/>
      <c r="J1002" s="208"/>
      <c r="K1002" s="208"/>
      <c r="L1002" s="536"/>
      <c r="M1002" s="208"/>
      <c r="N1002" s="208"/>
      <c r="O1002" s="208"/>
      <c r="P1002" s="208"/>
      <c r="Q1002" s="208"/>
      <c r="R1002" s="208"/>
      <c r="S1002" s="208"/>
      <c r="T1002" s="208"/>
      <c r="U1002" s="208"/>
      <c r="V1002" s="208"/>
      <c r="W1002" s="208"/>
      <c r="X1002" s="208"/>
      <c r="Y1002" s="208"/>
      <c r="Z1002" s="208"/>
      <c r="AA1002" s="208"/>
      <c r="AB1002" s="208"/>
      <c r="AC1002" s="208"/>
      <c r="AD1002" s="208"/>
      <c r="AE1002" s="208"/>
      <c r="AF1002" s="208"/>
      <c r="AG1002" s="208"/>
      <c r="AH1002" s="208"/>
      <c r="AI1002" s="208"/>
      <c r="AJ1002" s="208"/>
      <c r="AK1002" s="208"/>
      <c r="AL1002" s="208"/>
      <c r="AM1002" s="208"/>
      <c r="AN1002" s="208"/>
      <c r="AO1002" s="208"/>
      <c r="AP1002" s="208"/>
      <c r="AQ1002" s="208"/>
      <c r="AR1002" s="208"/>
      <c r="AS1002" s="208"/>
      <c r="AT1002" s="208"/>
      <c r="AU1002" s="208"/>
      <c r="AV1002" s="208"/>
      <c r="AW1002" s="208"/>
      <c r="AX1002" s="208"/>
      <c r="AY1002" s="208"/>
    </row>
    <row r="1003">
      <c r="A1003" s="208"/>
      <c r="B1003" s="533"/>
      <c r="C1003" s="208"/>
      <c r="D1003" s="208"/>
      <c r="E1003" s="208"/>
      <c r="F1003" s="584"/>
      <c r="G1003" s="208"/>
      <c r="H1003" s="208"/>
      <c r="I1003" s="208"/>
      <c r="J1003" s="208"/>
      <c r="K1003" s="208"/>
      <c r="L1003" s="536"/>
      <c r="M1003" s="208"/>
      <c r="N1003" s="208"/>
      <c r="O1003" s="208"/>
      <c r="P1003" s="208"/>
      <c r="Q1003" s="208"/>
      <c r="R1003" s="208"/>
      <c r="S1003" s="208"/>
      <c r="T1003" s="208"/>
      <c r="U1003" s="208"/>
      <c r="V1003" s="208"/>
      <c r="W1003" s="208"/>
      <c r="X1003" s="208"/>
      <c r="Y1003" s="208"/>
      <c r="Z1003" s="208"/>
      <c r="AA1003" s="208"/>
      <c r="AB1003" s="208"/>
      <c r="AC1003" s="208"/>
      <c r="AD1003" s="208"/>
      <c r="AE1003" s="208"/>
      <c r="AF1003" s="208"/>
      <c r="AG1003" s="208"/>
      <c r="AH1003" s="208"/>
      <c r="AI1003" s="208"/>
      <c r="AJ1003" s="208"/>
      <c r="AK1003" s="208"/>
      <c r="AL1003" s="208"/>
      <c r="AM1003" s="208"/>
      <c r="AN1003" s="208"/>
      <c r="AO1003" s="208"/>
      <c r="AP1003" s="208"/>
      <c r="AQ1003" s="208"/>
      <c r="AR1003" s="208"/>
      <c r="AS1003" s="208"/>
      <c r="AT1003" s="208"/>
      <c r="AU1003" s="208"/>
      <c r="AV1003" s="208"/>
      <c r="AW1003" s="208"/>
      <c r="AX1003" s="208"/>
      <c r="AY1003" s="208"/>
    </row>
    <row r="1004">
      <c r="A1004" s="208"/>
      <c r="B1004" s="533"/>
      <c r="C1004" s="208"/>
      <c r="D1004" s="208"/>
      <c r="E1004" s="208"/>
      <c r="F1004" s="584"/>
      <c r="G1004" s="208"/>
      <c r="H1004" s="208"/>
      <c r="I1004" s="208"/>
      <c r="J1004" s="208"/>
      <c r="K1004" s="208"/>
      <c r="L1004" s="536"/>
      <c r="M1004" s="208"/>
      <c r="N1004" s="208"/>
      <c r="O1004" s="208"/>
      <c r="P1004" s="208"/>
      <c r="Q1004" s="208"/>
      <c r="R1004" s="208"/>
      <c r="S1004" s="208"/>
      <c r="T1004" s="208"/>
      <c r="U1004" s="208"/>
      <c r="V1004" s="208"/>
      <c r="W1004" s="208"/>
      <c r="X1004" s="208"/>
      <c r="Y1004" s="208"/>
      <c r="Z1004" s="208"/>
      <c r="AA1004" s="208"/>
      <c r="AB1004" s="208"/>
      <c r="AC1004" s="208"/>
      <c r="AD1004" s="208"/>
      <c r="AE1004" s="208"/>
      <c r="AF1004" s="208"/>
      <c r="AG1004" s="208"/>
      <c r="AH1004" s="208"/>
      <c r="AI1004" s="208"/>
      <c r="AJ1004" s="208"/>
      <c r="AK1004" s="208"/>
      <c r="AL1004" s="208"/>
      <c r="AM1004" s="208"/>
      <c r="AN1004" s="208"/>
      <c r="AO1004" s="208"/>
      <c r="AP1004" s="208"/>
      <c r="AQ1004" s="208"/>
      <c r="AR1004" s="208"/>
      <c r="AS1004" s="208"/>
      <c r="AT1004" s="208"/>
      <c r="AU1004" s="208"/>
      <c r="AV1004" s="208"/>
      <c r="AW1004" s="208"/>
      <c r="AX1004" s="208"/>
      <c r="AY1004" s="208"/>
    </row>
    <row r="1005">
      <c r="A1005" s="208"/>
      <c r="B1005" s="533"/>
      <c r="C1005" s="208"/>
      <c r="D1005" s="208"/>
      <c r="E1005" s="208"/>
      <c r="F1005" s="584"/>
      <c r="G1005" s="208"/>
      <c r="H1005" s="208"/>
      <c r="I1005" s="208"/>
      <c r="J1005" s="208"/>
      <c r="K1005" s="208"/>
      <c r="L1005" s="536"/>
      <c r="M1005" s="208"/>
      <c r="N1005" s="208"/>
      <c r="O1005" s="208"/>
      <c r="P1005" s="208"/>
      <c r="Q1005" s="208"/>
      <c r="R1005" s="208"/>
      <c r="S1005" s="208"/>
      <c r="T1005" s="208"/>
      <c r="U1005" s="208"/>
      <c r="V1005" s="208"/>
      <c r="W1005" s="208"/>
      <c r="X1005" s="208"/>
      <c r="Y1005" s="208"/>
      <c r="Z1005" s="208"/>
      <c r="AA1005" s="208"/>
      <c r="AB1005" s="208"/>
      <c r="AC1005" s="208"/>
      <c r="AD1005" s="208"/>
      <c r="AE1005" s="208"/>
      <c r="AF1005" s="208"/>
      <c r="AG1005" s="208"/>
      <c r="AH1005" s="208"/>
      <c r="AI1005" s="208"/>
      <c r="AJ1005" s="208"/>
      <c r="AK1005" s="208"/>
      <c r="AL1005" s="208"/>
      <c r="AM1005" s="208"/>
      <c r="AN1005" s="208"/>
      <c r="AO1005" s="208"/>
      <c r="AP1005" s="208"/>
      <c r="AQ1005" s="208"/>
      <c r="AR1005" s="208"/>
      <c r="AS1005" s="208"/>
      <c r="AT1005" s="208"/>
      <c r="AU1005" s="208"/>
      <c r="AV1005" s="208"/>
      <c r="AW1005" s="208"/>
      <c r="AX1005" s="208"/>
      <c r="AY1005" s="208"/>
    </row>
    <row r="1006">
      <c r="A1006" s="208"/>
      <c r="B1006" s="533"/>
      <c r="C1006" s="208"/>
      <c r="D1006" s="208"/>
      <c r="E1006" s="208"/>
      <c r="F1006" s="584"/>
      <c r="G1006" s="208"/>
      <c r="H1006" s="208"/>
      <c r="I1006" s="208"/>
      <c r="J1006" s="208"/>
      <c r="K1006" s="208"/>
      <c r="L1006" s="536"/>
      <c r="M1006" s="208"/>
      <c r="N1006" s="208"/>
      <c r="O1006" s="208"/>
      <c r="P1006" s="208"/>
      <c r="Q1006" s="208"/>
      <c r="R1006" s="208"/>
      <c r="S1006" s="208"/>
      <c r="T1006" s="208"/>
      <c r="U1006" s="208"/>
      <c r="V1006" s="208"/>
      <c r="W1006" s="208"/>
      <c r="X1006" s="208"/>
      <c r="Y1006" s="208"/>
      <c r="Z1006" s="208"/>
      <c r="AA1006" s="208"/>
      <c r="AB1006" s="208"/>
      <c r="AC1006" s="208"/>
      <c r="AD1006" s="208"/>
      <c r="AE1006" s="208"/>
      <c r="AF1006" s="208"/>
      <c r="AG1006" s="208"/>
      <c r="AH1006" s="208"/>
      <c r="AI1006" s="208"/>
      <c r="AJ1006" s="208"/>
      <c r="AK1006" s="208"/>
      <c r="AL1006" s="208"/>
      <c r="AM1006" s="208"/>
      <c r="AN1006" s="208"/>
      <c r="AO1006" s="208"/>
      <c r="AP1006" s="208"/>
      <c r="AQ1006" s="208"/>
      <c r="AR1006" s="208"/>
      <c r="AS1006" s="208"/>
      <c r="AT1006" s="208"/>
      <c r="AU1006" s="208"/>
      <c r="AV1006" s="208"/>
      <c r="AW1006" s="208"/>
      <c r="AX1006" s="208"/>
      <c r="AY1006" s="208"/>
    </row>
    <row r="1007">
      <c r="A1007" s="208"/>
      <c r="B1007" s="533"/>
      <c r="C1007" s="208"/>
      <c r="D1007" s="208"/>
      <c r="E1007" s="208"/>
      <c r="F1007" s="584"/>
      <c r="G1007" s="208"/>
      <c r="H1007" s="208"/>
      <c r="I1007" s="208"/>
      <c r="J1007" s="208"/>
      <c r="K1007" s="208"/>
      <c r="L1007" s="536"/>
      <c r="M1007" s="208"/>
      <c r="N1007" s="208"/>
      <c r="O1007" s="208"/>
      <c r="P1007" s="208"/>
      <c r="Q1007" s="208"/>
      <c r="R1007" s="208"/>
      <c r="S1007" s="208"/>
      <c r="T1007" s="208"/>
      <c r="U1007" s="208"/>
      <c r="V1007" s="208"/>
      <c r="W1007" s="208"/>
      <c r="X1007" s="208"/>
      <c r="Y1007" s="208"/>
      <c r="Z1007" s="208"/>
      <c r="AA1007" s="208"/>
      <c r="AB1007" s="208"/>
      <c r="AC1007" s="208"/>
      <c r="AD1007" s="208"/>
      <c r="AE1007" s="208"/>
      <c r="AF1007" s="208"/>
      <c r="AG1007" s="208"/>
      <c r="AH1007" s="208"/>
      <c r="AI1007" s="208"/>
      <c r="AJ1007" s="208"/>
      <c r="AK1007" s="208"/>
      <c r="AL1007" s="208"/>
      <c r="AM1007" s="208"/>
      <c r="AN1007" s="208"/>
      <c r="AO1007" s="208"/>
      <c r="AP1007" s="208"/>
      <c r="AQ1007" s="208"/>
      <c r="AR1007" s="208"/>
      <c r="AS1007" s="208"/>
      <c r="AT1007" s="208"/>
      <c r="AU1007" s="208"/>
      <c r="AV1007" s="208"/>
      <c r="AW1007" s="208"/>
      <c r="AX1007" s="208"/>
      <c r="AY1007" s="208"/>
    </row>
    <row r="1008">
      <c r="A1008" s="208"/>
      <c r="B1008" s="533"/>
      <c r="C1008" s="208"/>
      <c r="D1008" s="208"/>
      <c r="E1008" s="208"/>
      <c r="F1008" s="584"/>
      <c r="G1008" s="208"/>
      <c r="H1008" s="208"/>
      <c r="I1008" s="208"/>
      <c r="J1008" s="208"/>
      <c r="K1008" s="208"/>
      <c r="L1008" s="536"/>
      <c r="M1008" s="208"/>
      <c r="N1008" s="208"/>
      <c r="O1008" s="208"/>
      <c r="P1008" s="208"/>
      <c r="Q1008" s="208"/>
      <c r="R1008" s="208"/>
      <c r="S1008" s="208"/>
      <c r="T1008" s="208"/>
      <c r="U1008" s="208"/>
      <c r="V1008" s="208"/>
      <c r="W1008" s="208"/>
      <c r="X1008" s="208"/>
      <c r="Y1008" s="208"/>
      <c r="Z1008" s="208"/>
      <c r="AA1008" s="208"/>
      <c r="AB1008" s="208"/>
      <c r="AC1008" s="208"/>
      <c r="AD1008" s="208"/>
      <c r="AE1008" s="208"/>
      <c r="AF1008" s="208"/>
      <c r="AG1008" s="208"/>
      <c r="AH1008" s="208"/>
      <c r="AI1008" s="208"/>
      <c r="AJ1008" s="208"/>
      <c r="AK1008" s="208"/>
      <c r="AL1008" s="208"/>
      <c r="AM1008" s="208"/>
      <c r="AN1008" s="208"/>
      <c r="AO1008" s="208"/>
      <c r="AP1008" s="208"/>
      <c r="AQ1008" s="208"/>
      <c r="AR1008" s="208"/>
      <c r="AS1008" s="208"/>
      <c r="AT1008" s="208"/>
      <c r="AU1008" s="208"/>
      <c r="AV1008" s="208"/>
      <c r="AW1008" s="208"/>
      <c r="AX1008" s="208"/>
      <c r="AY1008" s="208"/>
    </row>
    <row r="1009">
      <c r="A1009" s="208"/>
      <c r="B1009" s="533"/>
      <c r="C1009" s="208"/>
      <c r="D1009" s="208"/>
      <c r="E1009" s="208"/>
      <c r="F1009" s="584"/>
      <c r="G1009" s="208"/>
      <c r="H1009" s="208"/>
      <c r="I1009" s="208"/>
      <c r="J1009" s="208"/>
      <c r="K1009" s="208"/>
      <c r="L1009" s="536"/>
      <c r="M1009" s="208"/>
      <c r="N1009" s="208"/>
      <c r="O1009" s="208"/>
      <c r="P1009" s="208"/>
      <c r="Q1009" s="208"/>
      <c r="R1009" s="208"/>
      <c r="S1009" s="208"/>
      <c r="T1009" s="208"/>
      <c r="U1009" s="208"/>
      <c r="V1009" s="208"/>
      <c r="W1009" s="208"/>
      <c r="X1009" s="208"/>
      <c r="Y1009" s="208"/>
      <c r="Z1009" s="208"/>
      <c r="AA1009" s="208"/>
      <c r="AB1009" s="208"/>
      <c r="AC1009" s="208"/>
      <c r="AD1009" s="208"/>
      <c r="AE1009" s="208"/>
      <c r="AF1009" s="208"/>
      <c r="AG1009" s="208"/>
      <c r="AH1009" s="208"/>
      <c r="AI1009" s="208"/>
      <c r="AJ1009" s="208"/>
      <c r="AK1009" s="208"/>
      <c r="AL1009" s="208"/>
      <c r="AM1009" s="208"/>
      <c r="AN1009" s="208"/>
      <c r="AO1009" s="208"/>
      <c r="AP1009" s="208"/>
      <c r="AQ1009" s="208"/>
      <c r="AR1009" s="208"/>
      <c r="AS1009" s="208"/>
      <c r="AT1009" s="208"/>
      <c r="AU1009" s="208"/>
      <c r="AV1009" s="208"/>
      <c r="AW1009" s="208"/>
      <c r="AX1009" s="208"/>
      <c r="AY1009" s="208"/>
    </row>
    <row r="1010">
      <c r="A1010" s="208"/>
      <c r="B1010" s="533"/>
      <c r="C1010" s="208"/>
      <c r="D1010" s="208"/>
      <c r="E1010" s="208"/>
      <c r="F1010" s="584"/>
      <c r="G1010" s="208"/>
      <c r="H1010" s="208"/>
      <c r="I1010" s="208"/>
      <c r="J1010" s="208"/>
      <c r="K1010" s="208"/>
      <c r="L1010" s="536"/>
      <c r="M1010" s="208"/>
      <c r="N1010" s="208"/>
      <c r="O1010" s="208"/>
      <c r="P1010" s="208"/>
      <c r="Q1010" s="208"/>
      <c r="R1010" s="208"/>
      <c r="S1010" s="208"/>
      <c r="T1010" s="208"/>
      <c r="U1010" s="208"/>
      <c r="V1010" s="208"/>
      <c r="W1010" s="208"/>
      <c r="X1010" s="208"/>
      <c r="Y1010" s="208"/>
      <c r="Z1010" s="208"/>
      <c r="AA1010" s="208"/>
      <c r="AB1010" s="208"/>
      <c r="AC1010" s="208"/>
      <c r="AD1010" s="208"/>
      <c r="AE1010" s="208"/>
      <c r="AF1010" s="208"/>
      <c r="AG1010" s="208"/>
      <c r="AH1010" s="208"/>
      <c r="AI1010" s="208"/>
      <c r="AJ1010" s="208"/>
      <c r="AK1010" s="208"/>
      <c r="AL1010" s="208"/>
      <c r="AM1010" s="208"/>
      <c r="AN1010" s="208"/>
      <c r="AO1010" s="208"/>
      <c r="AP1010" s="208"/>
      <c r="AQ1010" s="208"/>
      <c r="AR1010" s="208"/>
      <c r="AS1010" s="208"/>
      <c r="AT1010" s="208"/>
      <c r="AU1010" s="208"/>
      <c r="AV1010" s="208"/>
      <c r="AW1010" s="208"/>
      <c r="AX1010" s="208"/>
      <c r="AY1010" s="208"/>
    </row>
    <row r="1011">
      <c r="A1011" s="208"/>
      <c r="B1011" s="533"/>
      <c r="C1011" s="208"/>
      <c r="D1011" s="208"/>
      <c r="E1011" s="208"/>
      <c r="F1011" s="584"/>
      <c r="G1011" s="208"/>
      <c r="H1011" s="208"/>
      <c r="I1011" s="208"/>
      <c r="J1011" s="208"/>
      <c r="K1011" s="208"/>
      <c r="L1011" s="536"/>
      <c r="M1011" s="208"/>
      <c r="N1011" s="208"/>
      <c r="O1011" s="208"/>
      <c r="P1011" s="208"/>
      <c r="Q1011" s="208"/>
      <c r="R1011" s="208"/>
      <c r="S1011" s="208"/>
      <c r="T1011" s="208"/>
      <c r="U1011" s="208"/>
      <c r="V1011" s="208"/>
      <c r="W1011" s="208"/>
      <c r="X1011" s="208"/>
      <c r="Y1011" s="208"/>
      <c r="Z1011" s="208"/>
      <c r="AA1011" s="208"/>
      <c r="AB1011" s="208"/>
      <c r="AC1011" s="208"/>
      <c r="AD1011" s="208"/>
      <c r="AE1011" s="208"/>
      <c r="AF1011" s="208"/>
      <c r="AG1011" s="208"/>
      <c r="AH1011" s="208"/>
      <c r="AI1011" s="208"/>
      <c r="AJ1011" s="208"/>
      <c r="AK1011" s="208"/>
      <c r="AL1011" s="208"/>
      <c r="AM1011" s="208"/>
      <c r="AN1011" s="208"/>
      <c r="AO1011" s="208"/>
      <c r="AP1011" s="208"/>
      <c r="AQ1011" s="208"/>
      <c r="AR1011" s="208"/>
      <c r="AS1011" s="208"/>
      <c r="AT1011" s="208"/>
      <c r="AU1011" s="208"/>
      <c r="AV1011" s="208"/>
      <c r="AW1011" s="208"/>
      <c r="AX1011" s="208"/>
      <c r="AY1011" s="208"/>
    </row>
    <row r="1012">
      <c r="A1012" s="208"/>
      <c r="B1012" s="533"/>
      <c r="C1012" s="208"/>
      <c r="D1012" s="208"/>
      <c r="E1012" s="208"/>
      <c r="F1012" s="584"/>
      <c r="G1012" s="208"/>
      <c r="H1012" s="208"/>
      <c r="I1012" s="208"/>
      <c r="J1012" s="208"/>
      <c r="K1012" s="208"/>
      <c r="L1012" s="536"/>
      <c r="M1012" s="208"/>
      <c r="N1012" s="208"/>
      <c r="O1012" s="208"/>
      <c r="P1012" s="208"/>
      <c r="Q1012" s="208"/>
      <c r="R1012" s="208"/>
      <c r="S1012" s="208"/>
      <c r="T1012" s="208"/>
      <c r="U1012" s="208"/>
      <c r="V1012" s="208"/>
      <c r="W1012" s="208"/>
      <c r="X1012" s="208"/>
      <c r="Y1012" s="208"/>
      <c r="Z1012" s="208"/>
      <c r="AA1012" s="208"/>
      <c r="AB1012" s="208"/>
      <c r="AC1012" s="208"/>
      <c r="AD1012" s="208"/>
      <c r="AE1012" s="208"/>
      <c r="AF1012" s="208"/>
      <c r="AG1012" s="208"/>
      <c r="AH1012" s="208"/>
      <c r="AI1012" s="208"/>
      <c r="AJ1012" s="208"/>
      <c r="AK1012" s="208"/>
      <c r="AL1012" s="208"/>
      <c r="AM1012" s="208"/>
      <c r="AN1012" s="208"/>
      <c r="AO1012" s="208"/>
      <c r="AP1012" s="208"/>
      <c r="AQ1012" s="208"/>
      <c r="AR1012" s="208"/>
      <c r="AS1012" s="208"/>
      <c r="AT1012" s="208"/>
      <c r="AU1012" s="208"/>
      <c r="AV1012" s="208"/>
      <c r="AW1012" s="208"/>
      <c r="AX1012" s="208"/>
      <c r="AY1012" s="208"/>
    </row>
    <row r="1013">
      <c r="A1013" s="208"/>
      <c r="B1013" s="533"/>
      <c r="C1013" s="208"/>
      <c r="D1013" s="208"/>
      <c r="E1013" s="208"/>
      <c r="F1013" s="584"/>
      <c r="G1013" s="208"/>
      <c r="H1013" s="208"/>
      <c r="I1013" s="208"/>
      <c r="J1013" s="208"/>
      <c r="K1013" s="208"/>
      <c r="L1013" s="536"/>
      <c r="M1013" s="208"/>
      <c r="N1013" s="208"/>
      <c r="O1013" s="208"/>
      <c r="P1013" s="208"/>
      <c r="Q1013" s="208"/>
      <c r="R1013" s="208"/>
      <c r="S1013" s="208"/>
      <c r="T1013" s="208"/>
      <c r="U1013" s="208"/>
      <c r="V1013" s="208"/>
      <c r="W1013" s="208"/>
      <c r="X1013" s="208"/>
      <c r="Y1013" s="208"/>
      <c r="Z1013" s="208"/>
      <c r="AA1013" s="208"/>
      <c r="AB1013" s="208"/>
      <c r="AC1013" s="208"/>
      <c r="AD1013" s="208"/>
      <c r="AE1013" s="208"/>
      <c r="AF1013" s="208"/>
      <c r="AG1013" s="208"/>
      <c r="AH1013" s="208"/>
      <c r="AI1013" s="208"/>
      <c r="AJ1013" s="208"/>
      <c r="AK1013" s="208"/>
      <c r="AL1013" s="208"/>
      <c r="AM1013" s="208"/>
      <c r="AN1013" s="208"/>
      <c r="AO1013" s="208"/>
      <c r="AP1013" s="208"/>
      <c r="AQ1013" s="208"/>
      <c r="AR1013" s="208"/>
      <c r="AS1013" s="208"/>
      <c r="AT1013" s="208"/>
      <c r="AU1013" s="208"/>
      <c r="AV1013" s="208"/>
      <c r="AW1013" s="208"/>
      <c r="AX1013" s="208"/>
      <c r="AY1013" s="208"/>
    </row>
    <row r="1014">
      <c r="A1014" s="208"/>
      <c r="B1014" s="533"/>
      <c r="C1014" s="208"/>
      <c r="D1014" s="208"/>
      <c r="E1014" s="208"/>
      <c r="F1014" s="584"/>
      <c r="G1014" s="208"/>
      <c r="H1014" s="208"/>
      <c r="I1014" s="208"/>
      <c r="J1014" s="208"/>
      <c r="K1014" s="208"/>
      <c r="L1014" s="536"/>
      <c r="M1014" s="208"/>
      <c r="N1014" s="208"/>
      <c r="O1014" s="208"/>
      <c r="P1014" s="208"/>
      <c r="Q1014" s="208"/>
      <c r="R1014" s="208"/>
      <c r="S1014" s="208"/>
      <c r="T1014" s="208"/>
      <c r="U1014" s="208"/>
      <c r="V1014" s="208"/>
      <c r="W1014" s="208"/>
      <c r="X1014" s="208"/>
      <c r="Y1014" s="208"/>
      <c r="Z1014" s="208"/>
      <c r="AA1014" s="208"/>
      <c r="AB1014" s="208"/>
      <c r="AC1014" s="208"/>
      <c r="AD1014" s="208"/>
      <c r="AE1014" s="208"/>
      <c r="AF1014" s="208"/>
      <c r="AG1014" s="208"/>
      <c r="AH1014" s="208"/>
      <c r="AI1014" s="208"/>
      <c r="AJ1014" s="208"/>
      <c r="AK1014" s="208"/>
      <c r="AL1014" s="208"/>
      <c r="AM1014" s="208"/>
      <c r="AN1014" s="208"/>
      <c r="AO1014" s="208"/>
      <c r="AP1014" s="208"/>
      <c r="AQ1014" s="208"/>
      <c r="AR1014" s="208"/>
      <c r="AS1014" s="208"/>
      <c r="AT1014" s="208"/>
      <c r="AU1014" s="208"/>
      <c r="AV1014" s="208"/>
      <c r="AW1014" s="208"/>
      <c r="AX1014" s="208"/>
      <c r="AY1014" s="208"/>
    </row>
    <row r="1015">
      <c r="A1015" s="208"/>
      <c r="B1015" s="533"/>
      <c r="C1015" s="208"/>
      <c r="D1015" s="208"/>
      <c r="E1015" s="208"/>
      <c r="F1015" s="584"/>
      <c r="G1015" s="208"/>
      <c r="H1015" s="208"/>
      <c r="I1015" s="208"/>
      <c r="J1015" s="208"/>
      <c r="K1015" s="208"/>
      <c r="L1015" s="536"/>
      <c r="M1015" s="208"/>
      <c r="N1015" s="208"/>
      <c r="O1015" s="208"/>
      <c r="P1015" s="208"/>
      <c r="Q1015" s="208"/>
      <c r="R1015" s="208"/>
      <c r="S1015" s="208"/>
      <c r="T1015" s="208"/>
      <c r="U1015" s="208"/>
      <c r="V1015" s="208"/>
      <c r="W1015" s="208"/>
      <c r="X1015" s="208"/>
      <c r="Y1015" s="208"/>
      <c r="Z1015" s="208"/>
      <c r="AA1015" s="208"/>
      <c r="AB1015" s="208"/>
      <c r="AC1015" s="208"/>
      <c r="AD1015" s="208"/>
      <c r="AE1015" s="208"/>
      <c r="AF1015" s="208"/>
      <c r="AG1015" s="208"/>
      <c r="AH1015" s="208"/>
      <c r="AI1015" s="208"/>
      <c r="AJ1015" s="208"/>
      <c r="AK1015" s="208"/>
      <c r="AL1015" s="208"/>
      <c r="AM1015" s="208"/>
      <c r="AN1015" s="208"/>
      <c r="AO1015" s="208"/>
      <c r="AP1015" s="208"/>
      <c r="AQ1015" s="208"/>
      <c r="AR1015" s="208"/>
      <c r="AS1015" s="208"/>
      <c r="AT1015" s="208"/>
      <c r="AU1015" s="208"/>
      <c r="AV1015" s="208"/>
      <c r="AW1015" s="208"/>
      <c r="AX1015" s="208"/>
      <c r="AY1015" s="208"/>
    </row>
    <row r="1016">
      <c r="A1016" s="208"/>
      <c r="B1016" s="533"/>
      <c r="C1016" s="208"/>
      <c r="D1016" s="208"/>
      <c r="E1016" s="208"/>
      <c r="F1016" s="584"/>
      <c r="G1016" s="208"/>
      <c r="H1016" s="208"/>
      <c r="I1016" s="208"/>
      <c r="J1016" s="208"/>
      <c r="K1016" s="208"/>
      <c r="L1016" s="536"/>
      <c r="M1016" s="208"/>
      <c r="N1016" s="208"/>
      <c r="O1016" s="208"/>
      <c r="P1016" s="208"/>
      <c r="Q1016" s="208"/>
      <c r="R1016" s="208"/>
      <c r="S1016" s="208"/>
      <c r="T1016" s="208"/>
      <c r="U1016" s="208"/>
      <c r="V1016" s="208"/>
      <c r="W1016" s="208"/>
      <c r="X1016" s="208"/>
      <c r="Y1016" s="208"/>
      <c r="Z1016" s="208"/>
      <c r="AA1016" s="208"/>
      <c r="AB1016" s="208"/>
      <c r="AC1016" s="208"/>
      <c r="AD1016" s="208"/>
      <c r="AE1016" s="208"/>
      <c r="AF1016" s="208"/>
      <c r="AG1016" s="208"/>
      <c r="AH1016" s="208"/>
      <c r="AI1016" s="208"/>
      <c r="AJ1016" s="208"/>
      <c r="AK1016" s="208"/>
      <c r="AL1016" s="208"/>
      <c r="AM1016" s="208"/>
      <c r="AN1016" s="208"/>
      <c r="AO1016" s="208"/>
      <c r="AP1016" s="208"/>
      <c r="AQ1016" s="208"/>
      <c r="AR1016" s="208"/>
      <c r="AS1016" s="208"/>
      <c r="AT1016" s="208"/>
      <c r="AU1016" s="208"/>
      <c r="AV1016" s="208"/>
      <c r="AW1016" s="208"/>
      <c r="AX1016" s="208"/>
      <c r="AY1016" s="208"/>
    </row>
    <row r="1017">
      <c r="A1017" s="208"/>
      <c r="B1017" s="533"/>
      <c r="C1017" s="208"/>
      <c r="D1017" s="208"/>
      <c r="E1017" s="208"/>
      <c r="F1017" s="584"/>
      <c r="G1017" s="208"/>
      <c r="H1017" s="208"/>
      <c r="I1017" s="208"/>
      <c r="J1017" s="208"/>
      <c r="K1017" s="208"/>
      <c r="L1017" s="536"/>
      <c r="M1017" s="208"/>
      <c r="N1017" s="208"/>
      <c r="O1017" s="208"/>
      <c r="P1017" s="208"/>
      <c r="Q1017" s="208"/>
      <c r="R1017" s="208"/>
      <c r="S1017" s="208"/>
      <c r="T1017" s="208"/>
      <c r="U1017" s="208"/>
      <c r="V1017" s="208"/>
      <c r="W1017" s="208"/>
      <c r="X1017" s="208"/>
      <c r="Y1017" s="208"/>
      <c r="Z1017" s="208"/>
      <c r="AA1017" s="208"/>
      <c r="AB1017" s="208"/>
      <c r="AC1017" s="208"/>
      <c r="AD1017" s="208"/>
      <c r="AE1017" s="208"/>
      <c r="AF1017" s="208"/>
      <c r="AG1017" s="208"/>
      <c r="AH1017" s="208"/>
      <c r="AI1017" s="208"/>
      <c r="AJ1017" s="208"/>
      <c r="AK1017" s="208"/>
      <c r="AL1017" s="208"/>
      <c r="AM1017" s="208"/>
      <c r="AN1017" s="208"/>
      <c r="AO1017" s="208"/>
      <c r="AP1017" s="208"/>
      <c r="AQ1017" s="208"/>
      <c r="AR1017" s="208"/>
      <c r="AS1017" s="208"/>
      <c r="AT1017" s="208"/>
      <c r="AU1017" s="208"/>
      <c r="AV1017" s="208"/>
      <c r="AW1017" s="208"/>
      <c r="AX1017" s="208"/>
      <c r="AY1017" s="208"/>
    </row>
    <row r="1018">
      <c r="A1018" s="208"/>
      <c r="B1018" s="533"/>
      <c r="C1018" s="208"/>
      <c r="D1018" s="208"/>
      <c r="E1018" s="208"/>
      <c r="F1018" s="584"/>
      <c r="G1018" s="208"/>
      <c r="H1018" s="208"/>
      <c r="I1018" s="208"/>
      <c r="J1018" s="208"/>
      <c r="K1018" s="208"/>
      <c r="L1018" s="536"/>
      <c r="M1018" s="208"/>
      <c r="N1018" s="208"/>
      <c r="O1018" s="208"/>
      <c r="P1018" s="208"/>
      <c r="Q1018" s="208"/>
      <c r="R1018" s="208"/>
      <c r="S1018" s="208"/>
      <c r="T1018" s="208"/>
      <c r="U1018" s="208"/>
      <c r="V1018" s="208"/>
      <c r="W1018" s="208"/>
      <c r="X1018" s="208"/>
      <c r="Y1018" s="208"/>
      <c r="Z1018" s="208"/>
      <c r="AA1018" s="208"/>
      <c r="AB1018" s="208"/>
      <c r="AC1018" s="208"/>
      <c r="AD1018" s="208"/>
      <c r="AE1018" s="208"/>
      <c r="AF1018" s="208"/>
      <c r="AG1018" s="208"/>
      <c r="AH1018" s="208"/>
      <c r="AI1018" s="208"/>
      <c r="AJ1018" s="208"/>
      <c r="AK1018" s="208"/>
      <c r="AL1018" s="208"/>
      <c r="AM1018" s="208"/>
      <c r="AN1018" s="208"/>
      <c r="AO1018" s="208"/>
      <c r="AP1018" s="208"/>
      <c r="AQ1018" s="208"/>
      <c r="AR1018" s="208"/>
      <c r="AS1018" s="208"/>
      <c r="AT1018" s="208"/>
      <c r="AU1018" s="208"/>
      <c r="AV1018" s="208"/>
      <c r="AW1018" s="208"/>
      <c r="AX1018" s="208"/>
      <c r="AY1018" s="208"/>
    </row>
    <row r="1019">
      <c r="A1019" s="208"/>
      <c r="B1019" s="533"/>
      <c r="C1019" s="208"/>
      <c r="D1019" s="208"/>
      <c r="E1019" s="208"/>
      <c r="F1019" s="584"/>
      <c r="G1019" s="208"/>
      <c r="H1019" s="208"/>
      <c r="I1019" s="208"/>
      <c r="J1019" s="208"/>
      <c r="K1019" s="208"/>
      <c r="L1019" s="536"/>
      <c r="M1019" s="208"/>
      <c r="N1019" s="208"/>
      <c r="O1019" s="208"/>
      <c r="P1019" s="208"/>
      <c r="Q1019" s="208"/>
      <c r="R1019" s="208"/>
      <c r="S1019" s="208"/>
      <c r="T1019" s="208"/>
      <c r="U1019" s="208"/>
      <c r="V1019" s="208"/>
      <c r="W1019" s="208"/>
      <c r="X1019" s="208"/>
      <c r="Y1019" s="208"/>
      <c r="Z1019" s="208"/>
      <c r="AA1019" s="208"/>
      <c r="AB1019" s="208"/>
      <c r="AC1019" s="208"/>
      <c r="AD1019" s="208"/>
      <c r="AE1019" s="208"/>
      <c r="AF1019" s="208"/>
      <c r="AG1019" s="208"/>
      <c r="AH1019" s="208"/>
      <c r="AI1019" s="208"/>
      <c r="AJ1019" s="208"/>
      <c r="AK1019" s="208"/>
      <c r="AL1019" s="208"/>
      <c r="AM1019" s="208"/>
      <c r="AN1019" s="208"/>
      <c r="AO1019" s="208"/>
      <c r="AP1019" s="208"/>
      <c r="AQ1019" s="208"/>
      <c r="AR1019" s="208"/>
      <c r="AS1019" s="208"/>
      <c r="AT1019" s="208"/>
      <c r="AU1019" s="208"/>
      <c r="AV1019" s="208"/>
      <c r="AW1019" s="208"/>
      <c r="AX1019" s="208"/>
      <c r="AY1019" s="208"/>
    </row>
    <row r="1020">
      <c r="A1020" s="208"/>
      <c r="B1020" s="533"/>
      <c r="C1020" s="208"/>
      <c r="D1020" s="208"/>
      <c r="E1020" s="208"/>
      <c r="F1020" s="584"/>
      <c r="G1020" s="208"/>
      <c r="H1020" s="208"/>
      <c r="I1020" s="208"/>
      <c r="J1020" s="208"/>
      <c r="K1020" s="208"/>
      <c r="L1020" s="536"/>
      <c r="M1020" s="208"/>
      <c r="N1020" s="208"/>
      <c r="O1020" s="208"/>
      <c r="P1020" s="208"/>
      <c r="Q1020" s="208"/>
      <c r="R1020" s="208"/>
      <c r="S1020" s="208"/>
      <c r="T1020" s="208"/>
      <c r="U1020" s="208"/>
      <c r="V1020" s="208"/>
      <c r="W1020" s="208"/>
      <c r="X1020" s="208"/>
      <c r="Y1020" s="208"/>
      <c r="Z1020" s="208"/>
      <c r="AA1020" s="208"/>
      <c r="AB1020" s="208"/>
      <c r="AC1020" s="208"/>
      <c r="AD1020" s="208"/>
      <c r="AE1020" s="208"/>
      <c r="AF1020" s="208"/>
      <c r="AG1020" s="208"/>
      <c r="AH1020" s="208"/>
      <c r="AI1020" s="208"/>
      <c r="AJ1020" s="208"/>
      <c r="AK1020" s="208"/>
      <c r="AL1020" s="208"/>
      <c r="AM1020" s="208"/>
      <c r="AN1020" s="208"/>
      <c r="AO1020" s="208"/>
      <c r="AP1020" s="208"/>
      <c r="AQ1020" s="208"/>
      <c r="AR1020" s="208"/>
      <c r="AS1020" s="208"/>
      <c r="AT1020" s="208"/>
      <c r="AU1020" s="208"/>
      <c r="AV1020" s="208"/>
      <c r="AW1020" s="208"/>
      <c r="AX1020" s="208"/>
      <c r="AY1020" s="208"/>
    </row>
    <row r="1021">
      <c r="A1021" s="208"/>
      <c r="B1021" s="533"/>
      <c r="C1021" s="208"/>
      <c r="D1021" s="208"/>
      <c r="E1021" s="208"/>
      <c r="F1021" s="584"/>
      <c r="G1021" s="208"/>
      <c r="H1021" s="208"/>
      <c r="I1021" s="208"/>
      <c r="J1021" s="208"/>
      <c r="K1021" s="208"/>
      <c r="L1021" s="536"/>
      <c r="M1021" s="208"/>
      <c r="N1021" s="208"/>
      <c r="O1021" s="208"/>
      <c r="P1021" s="208"/>
      <c r="Q1021" s="208"/>
      <c r="R1021" s="208"/>
      <c r="S1021" s="208"/>
      <c r="T1021" s="208"/>
      <c r="U1021" s="208"/>
      <c r="V1021" s="208"/>
      <c r="W1021" s="208"/>
      <c r="X1021" s="208"/>
      <c r="Y1021" s="208"/>
      <c r="Z1021" s="208"/>
      <c r="AA1021" s="208"/>
      <c r="AB1021" s="208"/>
      <c r="AC1021" s="208"/>
      <c r="AD1021" s="208"/>
      <c r="AE1021" s="208"/>
      <c r="AF1021" s="208"/>
      <c r="AG1021" s="208"/>
      <c r="AH1021" s="208"/>
      <c r="AI1021" s="208"/>
      <c r="AJ1021" s="208"/>
      <c r="AK1021" s="208"/>
      <c r="AL1021" s="208"/>
      <c r="AM1021" s="208"/>
      <c r="AN1021" s="208"/>
      <c r="AO1021" s="208"/>
      <c r="AP1021" s="208"/>
      <c r="AQ1021" s="208"/>
      <c r="AR1021" s="208"/>
      <c r="AS1021" s="208"/>
      <c r="AT1021" s="208"/>
      <c r="AU1021" s="208"/>
      <c r="AV1021" s="208"/>
      <c r="AW1021" s="208"/>
      <c r="AX1021" s="208"/>
      <c r="AY1021" s="208"/>
    </row>
    <row r="1022">
      <c r="A1022" s="208"/>
      <c r="B1022" s="533"/>
      <c r="C1022" s="208"/>
      <c r="D1022" s="208"/>
      <c r="E1022" s="208"/>
      <c r="F1022" s="584"/>
      <c r="G1022" s="208"/>
      <c r="H1022" s="208"/>
      <c r="I1022" s="208"/>
      <c r="J1022" s="208"/>
      <c r="K1022" s="208"/>
      <c r="L1022" s="536"/>
      <c r="M1022" s="208"/>
      <c r="N1022" s="208"/>
      <c r="O1022" s="208"/>
      <c r="P1022" s="208"/>
      <c r="Q1022" s="208"/>
      <c r="R1022" s="208"/>
      <c r="S1022" s="208"/>
      <c r="T1022" s="208"/>
      <c r="U1022" s="208"/>
      <c r="V1022" s="208"/>
      <c r="W1022" s="208"/>
      <c r="X1022" s="208"/>
      <c r="Y1022" s="208"/>
      <c r="Z1022" s="208"/>
      <c r="AA1022" s="208"/>
      <c r="AB1022" s="208"/>
      <c r="AC1022" s="208"/>
      <c r="AD1022" s="208"/>
      <c r="AE1022" s="208"/>
      <c r="AF1022" s="208"/>
      <c r="AG1022" s="208"/>
      <c r="AH1022" s="208"/>
      <c r="AI1022" s="208"/>
      <c r="AJ1022" s="208"/>
      <c r="AK1022" s="208"/>
      <c r="AL1022" s="208"/>
      <c r="AM1022" s="208"/>
      <c r="AN1022" s="208"/>
      <c r="AO1022" s="208"/>
      <c r="AP1022" s="208"/>
      <c r="AQ1022" s="208"/>
      <c r="AR1022" s="208"/>
      <c r="AS1022" s="208"/>
      <c r="AT1022" s="208"/>
      <c r="AU1022" s="208"/>
      <c r="AV1022" s="208"/>
      <c r="AW1022" s="208"/>
      <c r="AX1022" s="208"/>
      <c r="AY1022" s="208"/>
    </row>
    <row r="1023">
      <c r="A1023" s="208"/>
      <c r="B1023" s="533"/>
      <c r="C1023" s="208"/>
      <c r="D1023" s="208"/>
      <c r="E1023" s="208"/>
      <c r="F1023" s="584"/>
      <c r="G1023" s="208"/>
      <c r="H1023" s="208"/>
      <c r="I1023" s="208"/>
      <c r="J1023" s="208"/>
      <c r="K1023" s="208"/>
      <c r="L1023" s="536"/>
      <c r="M1023" s="208"/>
      <c r="N1023" s="208"/>
      <c r="O1023" s="208"/>
      <c r="P1023" s="208"/>
      <c r="Q1023" s="208"/>
      <c r="R1023" s="208"/>
      <c r="S1023" s="208"/>
      <c r="T1023" s="208"/>
      <c r="U1023" s="208"/>
      <c r="V1023" s="208"/>
      <c r="W1023" s="208"/>
      <c r="X1023" s="208"/>
      <c r="Y1023" s="208"/>
      <c r="Z1023" s="208"/>
      <c r="AA1023" s="208"/>
      <c r="AB1023" s="208"/>
      <c r="AC1023" s="208"/>
      <c r="AD1023" s="208"/>
      <c r="AE1023" s="208"/>
      <c r="AF1023" s="208"/>
      <c r="AG1023" s="208"/>
      <c r="AH1023" s="208"/>
      <c r="AI1023" s="208"/>
      <c r="AJ1023" s="208"/>
      <c r="AK1023" s="208"/>
      <c r="AL1023" s="208"/>
      <c r="AM1023" s="208"/>
      <c r="AN1023" s="208"/>
      <c r="AO1023" s="208"/>
      <c r="AP1023" s="208"/>
      <c r="AQ1023" s="208"/>
      <c r="AR1023" s="208"/>
      <c r="AS1023" s="208"/>
      <c r="AT1023" s="208"/>
      <c r="AU1023" s="208"/>
      <c r="AV1023" s="208"/>
      <c r="AW1023" s="208"/>
      <c r="AX1023" s="208"/>
      <c r="AY1023" s="208"/>
    </row>
    <row r="1024">
      <c r="A1024" s="208"/>
      <c r="B1024" s="533"/>
      <c r="C1024" s="208"/>
      <c r="D1024" s="208"/>
      <c r="E1024" s="208"/>
      <c r="F1024" s="584"/>
      <c r="G1024" s="208"/>
      <c r="H1024" s="208"/>
      <c r="I1024" s="208"/>
      <c r="J1024" s="208"/>
      <c r="K1024" s="208"/>
      <c r="L1024" s="536"/>
      <c r="M1024" s="208"/>
      <c r="N1024" s="208"/>
      <c r="O1024" s="208"/>
      <c r="P1024" s="208"/>
      <c r="Q1024" s="208"/>
      <c r="R1024" s="208"/>
      <c r="S1024" s="208"/>
      <c r="T1024" s="208"/>
      <c r="U1024" s="208"/>
      <c r="V1024" s="208"/>
      <c r="W1024" s="208"/>
      <c r="X1024" s="208"/>
      <c r="Y1024" s="208"/>
      <c r="Z1024" s="208"/>
      <c r="AA1024" s="208"/>
      <c r="AB1024" s="208"/>
      <c r="AC1024" s="208"/>
      <c r="AD1024" s="208"/>
      <c r="AE1024" s="208"/>
      <c r="AF1024" s="208"/>
      <c r="AG1024" s="208"/>
      <c r="AH1024" s="208"/>
      <c r="AI1024" s="208"/>
      <c r="AJ1024" s="208"/>
      <c r="AK1024" s="208"/>
      <c r="AL1024" s="208"/>
      <c r="AM1024" s="208"/>
      <c r="AN1024" s="208"/>
      <c r="AO1024" s="208"/>
      <c r="AP1024" s="208"/>
      <c r="AQ1024" s="208"/>
      <c r="AR1024" s="208"/>
      <c r="AS1024" s="208"/>
      <c r="AT1024" s="208"/>
      <c r="AU1024" s="208"/>
      <c r="AV1024" s="208"/>
      <c r="AW1024" s="208"/>
      <c r="AX1024" s="208"/>
      <c r="AY1024" s="208"/>
    </row>
    <row r="1025">
      <c r="A1025" s="208"/>
      <c r="B1025" s="533"/>
      <c r="C1025" s="208"/>
      <c r="D1025" s="208"/>
      <c r="E1025" s="208"/>
      <c r="F1025" s="584"/>
      <c r="G1025" s="208"/>
      <c r="H1025" s="208"/>
      <c r="I1025" s="208"/>
      <c r="J1025" s="208"/>
      <c r="K1025" s="208"/>
      <c r="L1025" s="536"/>
      <c r="M1025" s="208"/>
      <c r="N1025" s="208"/>
      <c r="O1025" s="208"/>
      <c r="P1025" s="208"/>
      <c r="Q1025" s="208"/>
      <c r="R1025" s="208"/>
      <c r="S1025" s="208"/>
      <c r="T1025" s="208"/>
      <c r="U1025" s="208"/>
      <c r="V1025" s="208"/>
      <c r="W1025" s="208"/>
      <c r="X1025" s="208"/>
      <c r="Y1025" s="208"/>
      <c r="Z1025" s="208"/>
      <c r="AA1025" s="208"/>
      <c r="AB1025" s="208"/>
      <c r="AC1025" s="208"/>
      <c r="AD1025" s="208"/>
      <c r="AE1025" s="208"/>
      <c r="AF1025" s="208"/>
      <c r="AG1025" s="208"/>
      <c r="AH1025" s="208"/>
      <c r="AI1025" s="208"/>
      <c r="AJ1025" s="208"/>
      <c r="AK1025" s="208"/>
      <c r="AL1025" s="208"/>
      <c r="AM1025" s="208"/>
      <c r="AN1025" s="208"/>
      <c r="AO1025" s="208"/>
      <c r="AP1025" s="208"/>
      <c r="AQ1025" s="208"/>
      <c r="AR1025" s="208"/>
      <c r="AS1025" s="208"/>
      <c r="AT1025" s="208"/>
      <c r="AU1025" s="208"/>
      <c r="AV1025" s="208"/>
      <c r="AW1025" s="208"/>
      <c r="AX1025" s="208"/>
      <c r="AY1025" s="208"/>
    </row>
    <row r="1026">
      <c r="A1026" s="208"/>
      <c r="B1026" s="533"/>
      <c r="C1026" s="208"/>
      <c r="D1026" s="208"/>
      <c r="E1026" s="208"/>
      <c r="F1026" s="584"/>
      <c r="G1026" s="208"/>
      <c r="H1026" s="208"/>
      <c r="I1026" s="208"/>
      <c r="J1026" s="208"/>
      <c r="K1026" s="208"/>
      <c r="L1026" s="536"/>
      <c r="M1026" s="208"/>
      <c r="N1026" s="208"/>
      <c r="O1026" s="208"/>
      <c r="P1026" s="208"/>
      <c r="Q1026" s="208"/>
      <c r="R1026" s="208"/>
      <c r="S1026" s="208"/>
      <c r="T1026" s="208"/>
      <c r="U1026" s="208"/>
      <c r="V1026" s="208"/>
      <c r="W1026" s="208"/>
      <c r="X1026" s="208"/>
      <c r="Y1026" s="208"/>
      <c r="Z1026" s="208"/>
      <c r="AA1026" s="208"/>
      <c r="AB1026" s="208"/>
      <c r="AC1026" s="208"/>
      <c r="AD1026" s="208"/>
      <c r="AE1026" s="208"/>
      <c r="AF1026" s="208"/>
      <c r="AG1026" s="208"/>
      <c r="AH1026" s="208"/>
      <c r="AI1026" s="208"/>
      <c r="AJ1026" s="208"/>
      <c r="AK1026" s="208"/>
      <c r="AL1026" s="208"/>
      <c r="AM1026" s="208"/>
      <c r="AN1026" s="208"/>
      <c r="AO1026" s="208"/>
      <c r="AP1026" s="208"/>
      <c r="AQ1026" s="208"/>
      <c r="AR1026" s="208"/>
      <c r="AS1026" s="208"/>
      <c r="AT1026" s="208"/>
      <c r="AU1026" s="208"/>
      <c r="AV1026" s="208"/>
      <c r="AW1026" s="208"/>
      <c r="AX1026" s="208"/>
      <c r="AY1026" s="208"/>
    </row>
    <row r="1027">
      <c r="A1027" s="208"/>
      <c r="B1027" s="533"/>
      <c r="C1027" s="208"/>
      <c r="D1027" s="208"/>
      <c r="E1027" s="208"/>
      <c r="F1027" s="584"/>
      <c r="G1027" s="208"/>
      <c r="H1027" s="208"/>
      <c r="I1027" s="208"/>
      <c r="J1027" s="208"/>
      <c r="K1027" s="208"/>
      <c r="L1027" s="536"/>
      <c r="M1027" s="208"/>
      <c r="N1027" s="208"/>
      <c r="O1027" s="208"/>
      <c r="P1027" s="208"/>
      <c r="Q1027" s="208"/>
      <c r="R1027" s="208"/>
      <c r="S1027" s="208"/>
      <c r="T1027" s="208"/>
      <c r="U1027" s="208"/>
      <c r="V1027" s="208"/>
      <c r="W1027" s="208"/>
      <c r="X1027" s="208"/>
      <c r="Y1027" s="208"/>
      <c r="Z1027" s="208"/>
      <c r="AA1027" s="208"/>
      <c r="AB1027" s="208"/>
      <c r="AC1027" s="208"/>
      <c r="AD1027" s="208"/>
      <c r="AE1027" s="208"/>
      <c r="AF1027" s="208"/>
      <c r="AG1027" s="208"/>
      <c r="AH1027" s="208"/>
      <c r="AI1027" s="208"/>
      <c r="AJ1027" s="208"/>
      <c r="AK1027" s="208"/>
      <c r="AL1027" s="208"/>
      <c r="AM1027" s="208"/>
      <c r="AN1027" s="208"/>
      <c r="AO1027" s="208"/>
      <c r="AP1027" s="208"/>
      <c r="AQ1027" s="208"/>
      <c r="AR1027" s="208"/>
      <c r="AS1027" s="208"/>
      <c r="AT1027" s="208"/>
      <c r="AU1027" s="208"/>
      <c r="AV1027" s="208"/>
      <c r="AW1027" s="208"/>
      <c r="AX1027" s="208"/>
      <c r="AY1027" s="208"/>
    </row>
    <row r="1028">
      <c r="A1028" s="208"/>
      <c r="B1028" s="533"/>
      <c r="C1028" s="208"/>
      <c r="D1028" s="208"/>
      <c r="E1028" s="208"/>
      <c r="F1028" s="584"/>
      <c r="G1028" s="208"/>
      <c r="H1028" s="208"/>
      <c r="I1028" s="208"/>
      <c r="J1028" s="208"/>
      <c r="K1028" s="208"/>
      <c r="L1028" s="536"/>
      <c r="M1028" s="208"/>
      <c r="N1028" s="208"/>
      <c r="O1028" s="208"/>
      <c r="P1028" s="208"/>
      <c r="Q1028" s="208"/>
      <c r="R1028" s="208"/>
      <c r="S1028" s="208"/>
      <c r="T1028" s="208"/>
      <c r="U1028" s="208"/>
      <c r="V1028" s="208"/>
      <c r="W1028" s="208"/>
      <c r="X1028" s="208"/>
      <c r="Y1028" s="208"/>
      <c r="Z1028" s="208"/>
      <c r="AA1028" s="208"/>
      <c r="AB1028" s="208"/>
      <c r="AC1028" s="208"/>
      <c r="AD1028" s="208"/>
      <c r="AE1028" s="208"/>
      <c r="AF1028" s="208"/>
      <c r="AG1028" s="208"/>
      <c r="AH1028" s="208"/>
      <c r="AI1028" s="208"/>
      <c r="AJ1028" s="208"/>
      <c r="AK1028" s="208"/>
      <c r="AL1028" s="208"/>
      <c r="AM1028" s="208"/>
      <c r="AN1028" s="208"/>
      <c r="AO1028" s="208"/>
      <c r="AP1028" s="208"/>
      <c r="AQ1028" s="208"/>
      <c r="AR1028" s="208"/>
      <c r="AS1028" s="208"/>
      <c r="AT1028" s="208"/>
      <c r="AU1028" s="208"/>
      <c r="AV1028" s="208"/>
      <c r="AW1028" s="208"/>
      <c r="AX1028" s="208"/>
      <c r="AY1028" s="208"/>
    </row>
    <row r="1029">
      <c r="A1029" s="208"/>
      <c r="B1029" s="533"/>
      <c r="C1029" s="208"/>
      <c r="D1029" s="208"/>
      <c r="E1029" s="208"/>
      <c r="F1029" s="584"/>
      <c r="G1029" s="208"/>
      <c r="H1029" s="208"/>
      <c r="I1029" s="208"/>
      <c r="J1029" s="208"/>
      <c r="K1029" s="208"/>
      <c r="L1029" s="536"/>
      <c r="M1029" s="208"/>
      <c r="N1029" s="208"/>
      <c r="O1029" s="208"/>
      <c r="P1029" s="208"/>
      <c r="Q1029" s="208"/>
      <c r="R1029" s="208"/>
      <c r="S1029" s="208"/>
      <c r="T1029" s="208"/>
      <c r="U1029" s="208"/>
      <c r="V1029" s="208"/>
      <c r="W1029" s="208"/>
      <c r="X1029" s="208"/>
      <c r="Y1029" s="208"/>
      <c r="Z1029" s="208"/>
      <c r="AA1029" s="208"/>
      <c r="AB1029" s="208"/>
      <c r="AC1029" s="208"/>
      <c r="AD1029" s="208"/>
      <c r="AE1029" s="208"/>
      <c r="AF1029" s="208"/>
      <c r="AG1029" s="208"/>
      <c r="AH1029" s="208"/>
      <c r="AI1029" s="208"/>
      <c r="AJ1029" s="208"/>
      <c r="AK1029" s="208"/>
      <c r="AL1029" s="208"/>
      <c r="AM1029" s="208"/>
      <c r="AN1029" s="208"/>
      <c r="AO1029" s="208"/>
      <c r="AP1029" s="208"/>
      <c r="AQ1029" s="208"/>
      <c r="AR1029" s="208"/>
      <c r="AS1029" s="208"/>
      <c r="AT1029" s="208"/>
      <c r="AU1029" s="208"/>
      <c r="AV1029" s="208"/>
      <c r="AW1029" s="208"/>
      <c r="AX1029" s="208"/>
      <c r="AY1029" s="208"/>
    </row>
    <row r="1030">
      <c r="A1030" s="208"/>
      <c r="B1030" s="533"/>
      <c r="C1030" s="208"/>
      <c r="D1030" s="208"/>
      <c r="E1030" s="208"/>
      <c r="F1030" s="584"/>
      <c r="G1030" s="208"/>
      <c r="H1030" s="208"/>
      <c r="I1030" s="208"/>
      <c r="J1030" s="208"/>
      <c r="K1030" s="208"/>
      <c r="L1030" s="536"/>
      <c r="M1030" s="208"/>
      <c r="N1030" s="208"/>
      <c r="O1030" s="208"/>
      <c r="P1030" s="208"/>
      <c r="Q1030" s="208"/>
      <c r="R1030" s="208"/>
      <c r="S1030" s="208"/>
      <c r="T1030" s="208"/>
      <c r="U1030" s="208"/>
      <c r="V1030" s="208"/>
      <c r="W1030" s="208"/>
      <c r="X1030" s="208"/>
      <c r="Y1030" s="208"/>
      <c r="Z1030" s="208"/>
      <c r="AA1030" s="208"/>
      <c r="AB1030" s="208"/>
      <c r="AC1030" s="208"/>
      <c r="AD1030" s="208"/>
      <c r="AE1030" s="208"/>
      <c r="AF1030" s="208"/>
      <c r="AG1030" s="208"/>
      <c r="AH1030" s="208"/>
      <c r="AI1030" s="208"/>
      <c r="AJ1030" s="208"/>
      <c r="AK1030" s="208"/>
      <c r="AL1030" s="208"/>
      <c r="AM1030" s="208"/>
      <c r="AN1030" s="208"/>
      <c r="AO1030" s="208"/>
      <c r="AP1030" s="208"/>
      <c r="AQ1030" s="208"/>
      <c r="AR1030" s="208"/>
      <c r="AS1030" s="208"/>
      <c r="AT1030" s="208"/>
      <c r="AU1030" s="208"/>
      <c r="AV1030" s="208"/>
      <c r="AW1030" s="208"/>
      <c r="AX1030" s="208"/>
      <c r="AY1030" s="208"/>
    </row>
    <row r="1031">
      <c r="A1031" s="208"/>
      <c r="B1031" s="533"/>
      <c r="C1031" s="208"/>
      <c r="D1031" s="208"/>
      <c r="E1031" s="208"/>
      <c r="F1031" s="584"/>
      <c r="G1031" s="208"/>
      <c r="H1031" s="208"/>
      <c r="I1031" s="208"/>
      <c r="J1031" s="208"/>
      <c r="K1031" s="208"/>
      <c r="L1031" s="536"/>
      <c r="M1031" s="208"/>
      <c r="N1031" s="208"/>
      <c r="O1031" s="208"/>
      <c r="P1031" s="208"/>
      <c r="Q1031" s="208"/>
      <c r="R1031" s="208"/>
      <c r="S1031" s="208"/>
      <c r="T1031" s="208"/>
      <c r="U1031" s="208"/>
      <c r="V1031" s="208"/>
      <c r="W1031" s="208"/>
      <c r="X1031" s="208"/>
      <c r="Y1031" s="208"/>
      <c r="Z1031" s="208"/>
      <c r="AA1031" s="208"/>
      <c r="AB1031" s="208"/>
      <c r="AC1031" s="208"/>
      <c r="AD1031" s="208"/>
      <c r="AE1031" s="208"/>
      <c r="AF1031" s="208"/>
      <c r="AG1031" s="208"/>
      <c r="AH1031" s="208"/>
      <c r="AI1031" s="208"/>
      <c r="AJ1031" s="208"/>
      <c r="AK1031" s="208"/>
      <c r="AL1031" s="208"/>
      <c r="AM1031" s="208"/>
      <c r="AN1031" s="208"/>
      <c r="AO1031" s="208"/>
      <c r="AP1031" s="208"/>
      <c r="AQ1031" s="208"/>
      <c r="AR1031" s="208"/>
      <c r="AS1031" s="208"/>
      <c r="AT1031" s="208"/>
      <c r="AU1031" s="208"/>
      <c r="AV1031" s="208"/>
      <c r="AW1031" s="208"/>
      <c r="AX1031" s="208"/>
      <c r="AY1031" s="208"/>
    </row>
    <row r="1032">
      <c r="A1032" s="208"/>
      <c r="B1032" s="533"/>
      <c r="C1032" s="208"/>
      <c r="D1032" s="208"/>
      <c r="E1032" s="208"/>
      <c r="F1032" s="584"/>
      <c r="G1032" s="208"/>
      <c r="H1032" s="208"/>
      <c r="I1032" s="208"/>
      <c r="J1032" s="208"/>
      <c r="K1032" s="208"/>
      <c r="L1032" s="536"/>
      <c r="M1032" s="208"/>
      <c r="N1032" s="208"/>
      <c r="O1032" s="208"/>
      <c r="P1032" s="208"/>
      <c r="Q1032" s="208"/>
      <c r="R1032" s="208"/>
      <c r="S1032" s="208"/>
      <c r="T1032" s="208"/>
      <c r="U1032" s="208"/>
      <c r="V1032" s="208"/>
      <c r="W1032" s="208"/>
      <c r="X1032" s="208"/>
      <c r="Y1032" s="208"/>
      <c r="Z1032" s="208"/>
      <c r="AA1032" s="208"/>
      <c r="AB1032" s="208"/>
      <c r="AC1032" s="208"/>
      <c r="AD1032" s="208"/>
      <c r="AE1032" s="208"/>
      <c r="AF1032" s="208"/>
      <c r="AG1032" s="208"/>
      <c r="AH1032" s="208"/>
      <c r="AI1032" s="208"/>
      <c r="AJ1032" s="208"/>
      <c r="AK1032" s="208"/>
      <c r="AL1032" s="208"/>
      <c r="AM1032" s="208"/>
      <c r="AN1032" s="208"/>
      <c r="AO1032" s="208"/>
      <c r="AP1032" s="208"/>
      <c r="AQ1032" s="208"/>
      <c r="AR1032" s="208"/>
      <c r="AS1032" s="208"/>
      <c r="AT1032" s="208"/>
      <c r="AU1032" s="208"/>
      <c r="AV1032" s="208"/>
      <c r="AW1032" s="208"/>
      <c r="AX1032" s="208"/>
      <c r="AY1032" s="208"/>
    </row>
    <row r="1033">
      <c r="A1033" s="208"/>
      <c r="B1033" s="533"/>
      <c r="C1033" s="208"/>
      <c r="D1033" s="208"/>
      <c r="E1033" s="208"/>
      <c r="F1033" s="584"/>
      <c r="G1033" s="208"/>
      <c r="H1033" s="208"/>
      <c r="I1033" s="208"/>
      <c r="J1033" s="208"/>
      <c r="K1033" s="208"/>
      <c r="L1033" s="536"/>
      <c r="M1033" s="208"/>
      <c r="N1033" s="208"/>
      <c r="O1033" s="208"/>
      <c r="P1033" s="208"/>
      <c r="Q1033" s="208"/>
      <c r="R1033" s="208"/>
      <c r="S1033" s="208"/>
      <c r="T1033" s="208"/>
      <c r="U1033" s="208"/>
      <c r="V1033" s="208"/>
      <c r="W1033" s="208"/>
      <c r="X1033" s="208"/>
      <c r="Y1033" s="208"/>
      <c r="Z1033" s="208"/>
      <c r="AA1033" s="208"/>
      <c r="AB1033" s="208"/>
      <c r="AC1033" s="208"/>
      <c r="AD1033" s="208"/>
      <c r="AE1033" s="208"/>
      <c r="AF1033" s="208"/>
      <c r="AG1033" s="208"/>
      <c r="AH1033" s="208"/>
      <c r="AI1033" s="208"/>
      <c r="AJ1033" s="208"/>
      <c r="AK1033" s="208"/>
      <c r="AL1033" s="208"/>
      <c r="AM1033" s="208"/>
      <c r="AN1033" s="208"/>
      <c r="AO1033" s="208"/>
      <c r="AP1033" s="208"/>
      <c r="AQ1033" s="208"/>
      <c r="AR1033" s="208"/>
      <c r="AS1033" s="208"/>
      <c r="AT1033" s="208"/>
      <c r="AU1033" s="208"/>
      <c r="AV1033" s="208"/>
      <c r="AW1033" s="208"/>
      <c r="AX1033" s="208"/>
      <c r="AY1033" s="208"/>
    </row>
    <row r="1034">
      <c r="A1034" s="208"/>
      <c r="B1034" s="533"/>
      <c r="C1034" s="208"/>
      <c r="D1034" s="208"/>
      <c r="E1034" s="208"/>
      <c r="F1034" s="584"/>
      <c r="G1034" s="208"/>
      <c r="H1034" s="208"/>
      <c r="I1034" s="208"/>
      <c r="J1034" s="208"/>
      <c r="K1034" s="208"/>
      <c r="L1034" s="536"/>
      <c r="M1034" s="208"/>
      <c r="N1034" s="208"/>
      <c r="O1034" s="208"/>
      <c r="P1034" s="208"/>
      <c r="Q1034" s="208"/>
      <c r="R1034" s="208"/>
      <c r="S1034" s="208"/>
      <c r="T1034" s="208"/>
      <c r="U1034" s="208"/>
      <c r="V1034" s="208"/>
      <c r="W1034" s="208"/>
      <c r="X1034" s="208"/>
      <c r="Y1034" s="208"/>
      <c r="Z1034" s="208"/>
      <c r="AA1034" s="208"/>
      <c r="AB1034" s="208"/>
      <c r="AC1034" s="208"/>
      <c r="AD1034" s="208"/>
      <c r="AE1034" s="208"/>
      <c r="AF1034" s="208"/>
      <c r="AG1034" s="208"/>
      <c r="AH1034" s="208"/>
      <c r="AI1034" s="208"/>
      <c r="AJ1034" s="208"/>
      <c r="AK1034" s="208"/>
      <c r="AL1034" s="208"/>
      <c r="AM1034" s="208"/>
      <c r="AN1034" s="208"/>
      <c r="AO1034" s="208"/>
      <c r="AP1034" s="208"/>
      <c r="AQ1034" s="208"/>
      <c r="AR1034" s="208"/>
      <c r="AS1034" s="208"/>
      <c r="AT1034" s="208"/>
      <c r="AU1034" s="208"/>
      <c r="AV1034" s="208"/>
      <c r="AW1034" s="208"/>
      <c r="AX1034" s="208"/>
      <c r="AY1034" s="208"/>
    </row>
    <row r="1035">
      <c r="A1035" s="208"/>
      <c r="B1035" s="533"/>
      <c r="C1035" s="208"/>
      <c r="D1035" s="208"/>
      <c r="E1035" s="208"/>
      <c r="F1035" s="584"/>
      <c r="G1035" s="208"/>
      <c r="H1035" s="208"/>
      <c r="I1035" s="208"/>
      <c r="J1035" s="208"/>
      <c r="K1035" s="208"/>
      <c r="L1035" s="536"/>
      <c r="M1035" s="208"/>
      <c r="N1035" s="208"/>
      <c r="O1035" s="208"/>
      <c r="P1035" s="208"/>
      <c r="Q1035" s="208"/>
      <c r="R1035" s="208"/>
      <c r="S1035" s="208"/>
      <c r="T1035" s="208"/>
      <c r="U1035" s="208"/>
      <c r="V1035" s="208"/>
      <c r="W1035" s="208"/>
      <c r="X1035" s="208"/>
      <c r="Y1035" s="208"/>
      <c r="Z1035" s="208"/>
      <c r="AA1035" s="208"/>
      <c r="AB1035" s="208"/>
      <c r="AC1035" s="208"/>
      <c r="AD1035" s="208"/>
      <c r="AE1035" s="208"/>
      <c r="AF1035" s="208"/>
      <c r="AG1035" s="208"/>
      <c r="AH1035" s="208"/>
      <c r="AI1035" s="208"/>
      <c r="AJ1035" s="208"/>
      <c r="AK1035" s="208"/>
      <c r="AL1035" s="208"/>
      <c r="AM1035" s="208"/>
      <c r="AN1035" s="208"/>
      <c r="AO1035" s="208"/>
      <c r="AP1035" s="208"/>
      <c r="AQ1035" s="208"/>
      <c r="AR1035" s="208"/>
      <c r="AS1035" s="208"/>
      <c r="AT1035" s="208"/>
      <c r="AU1035" s="208"/>
      <c r="AV1035" s="208"/>
      <c r="AW1035" s="208"/>
      <c r="AX1035" s="208"/>
      <c r="AY1035" s="208"/>
    </row>
    <row r="1036">
      <c r="A1036" s="208"/>
      <c r="B1036" s="533"/>
      <c r="C1036" s="208"/>
      <c r="D1036" s="208"/>
      <c r="E1036" s="208"/>
      <c r="F1036" s="584"/>
      <c r="G1036" s="208"/>
      <c r="H1036" s="208"/>
      <c r="I1036" s="208"/>
      <c r="J1036" s="208"/>
      <c r="K1036" s="208"/>
      <c r="L1036" s="536"/>
      <c r="M1036" s="208"/>
      <c r="N1036" s="208"/>
      <c r="O1036" s="208"/>
      <c r="P1036" s="208"/>
      <c r="Q1036" s="208"/>
      <c r="R1036" s="208"/>
      <c r="S1036" s="208"/>
      <c r="T1036" s="208"/>
      <c r="U1036" s="208"/>
      <c r="V1036" s="208"/>
      <c r="W1036" s="208"/>
      <c r="X1036" s="208"/>
      <c r="Y1036" s="208"/>
      <c r="Z1036" s="208"/>
      <c r="AA1036" s="208"/>
      <c r="AB1036" s="208"/>
      <c r="AC1036" s="208"/>
      <c r="AD1036" s="208"/>
      <c r="AE1036" s="208"/>
      <c r="AF1036" s="208"/>
      <c r="AG1036" s="208"/>
      <c r="AH1036" s="208"/>
      <c r="AI1036" s="208"/>
      <c r="AJ1036" s="208"/>
      <c r="AK1036" s="208"/>
      <c r="AL1036" s="208"/>
      <c r="AM1036" s="208"/>
      <c r="AN1036" s="208"/>
      <c r="AO1036" s="208"/>
      <c r="AP1036" s="208"/>
      <c r="AQ1036" s="208"/>
      <c r="AR1036" s="208"/>
      <c r="AS1036" s="208"/>
      <c r="AT1036" s="208"/>
      <c r="AU1036" s="208"/>
      <c r="AV1036" s="208"/>
      <c r="AW1036" s="208"/>
      <c r="AX1036" s="208"/>
      <c r="AY1036" s="208"/>
    </row>
    <row r="1037">
      <c r="A1037" s="208"/>
      <c r="B1037" s="533"/>
      <c r="C1037" s="208"/>
      <c r="D1037" s="208"/>
      <c r="E1037" s="208"/>
      <c r="F1037" s="584"/>
      <c r="G1037" s="208"/>
      <c r="H1037" s="208"/>
      <c r="I1037" s="208"/>
      <c r="J1037" s="208"/>
      <c r="K1037" s="208"/>
      <c r="L1037" s="536"/>
      <c r="M1037" s="208"/>
      <c r="N1037" s="208"/>
      <c r="O1037" s="208"/>
      <c r="P1037" s="208"/>
      <c r="Q1037" s="208"/>
      <c r="R1037" s="208"/>
      <c r="S1037" s="208"/>
      <c r="T1037" s="208"/>
      <c r="U1037" s="208"/>
      <c r="V1037" s="208"/>
      <c r="W1037" s="208"/>
      <c r="X1037" s="208"/>
      <c r="Y1037" s="208"/>
      <c r="Z1037" s="208"/>
      <c r="AA1037" s="208"/>
      <c r="AB1037" s="208"/>
      <c r="AC1037" s="208"/>
      <c r="AD1037" s="208"/>
      <c r="AE1037" s="208"/>
      <c r="AF1037" s="208"/>
      <c r="AG1037" s="208"/>
      <c r="AH1037" s="208"/>
      <c r="AI1037" s="208"/>
      <c r="AJ1037" s="208"/>
      <c r="AK1037" s="208"/>
      <c r="AL1037" s="208"/>
      <c r="AM1037" s="208"/>
      <c r="AN1037" s="208"/>
      <c r="AO1037" s="208"/>
      <c r="AP1037" s="208"/>
      <c r="AQ1037" s="208"/>
      <c r="AR1037" s="208"/>
      <c r="AS1037" s="208"/>
      <c r="AT1037" s="208"/>
      <c r="AU1037" s="208"/>
      <c r="AV1037" s="208"/>
      <c r="AW1037" s="208"/>
      <c r="AX1037" s="208"/>
      <c r="AY1037" s="208"/>
    </row>
    <row r="1038">
      <c r="A1038" s="208"/>
      <c r="B1038" s="533"/>
      <c r="C1038" s="208"/>
      <c r="D1038" s="208"/>
      <c r="E1038" s="208"/>
      <c r="F1038" s="584"/>
      <c r="G1038" s="208"/>
      <c r="H1038" s="208"/>
      <c r="I1038" s="208"/>
      <c r="J1038" s="208"/>
      <c r="K1038" s="208"/>
      <c r="L1038" s="536"/>
      <c r="M1038" s="208"/>
      <c r="N1038" s="208"/>
      <c r="O1038" s="208"/>
      <c r="P1038" s="208"/>
      <c r="Q1038" s="208"/>
      <c r="R1038" s="208"/>
      <c r="S1038" s="208"/>
      <c r="T1038" s="208"/>
      <c r="U1038" s="208"/>
      <c r="V1038" s="208"/>
      <c r="W1038" s="208"/>
      <c r="X1038" s="208"/>
      <c r="Y1038" s="208"/>
      <c r="Z1038" s="208"/>
      <c r="AA1038" s="208"/>
      <c r="AB1038" s="208"/>
      <c r="AC1038" s="208"/>
      <c r="AD1038" s="208"/>
      <c r="AE1038" s="208"/>
      <c r="AF1038" s="208"/>
      <c r="AG1038" s="208"/>
      <c r="AH1038" s="208"/>
      <c r="AI1038" s="208"/>
      <c r="AJ1038" s="208"/>
      <c r="AK1038" s="208"/>
      <c r="AL1038" s="208"/>
      <c r="AM1038" s="208"/>
      <c r="AN1038" s="208"/>
      <c r="AO1038" s="208"/>
      <c r="AP1038" s="208"/>
      <c r="AQ1038" s="208"/>
      <c r="AR1038" s="208"/>
      <c r="AS1038" s="208"/>
      <c r="AT1038" s="208"/>
      <c r="AU1038" s="208"/>
      <c r="AV1038" s="208"/>
      <c r="AW1038" s="208"/>
      <c r="AX1038" s="208"/>
      <c r="AY1038" s="208"/>
    </row>
    <row r="1039">
      <c r="A1039" s="208"/>
      <c r="B1039" s="533"/>
      <c r="C1039" s="208"/>
      <c r="D1039" s="208"/>
      <c r="E1039" s="208"/>
      <c r="F1039" s="584"/>
      <c r="G1039" s="208"/>
      <c r="H1039" s="208"/>
      <c r="I1039" s="208"/>
      <c r="J1039" s="208"/>
      <c r="K1039" s="208"/>
      <c r="L1039" s="536"/>
      <c r="M1039" s="208"/>
      <c r="N1039" s="208"/>
      <c r="O1039" s="208"/>
      <c r="P1039" s="208"/>
      <c r="Q1039" s="208"/>
      <c r="R1039" s="208"/>
      <c r="S1039" s="208"/>
      <c r="T1039" s="208"/>
      <c r="U1039" s="208"/>
      <c r="V1039" s="208"/>
      <c r="W1039" s="208"/>
      <c r="X1039" s="208"/>
      <c r="Y1039" s="208"/>
      <c r="Z1039" s="208"/>
      <c r="AA1039" s="208"/>
      <c r="AB1039" s="208"/>
      <c r="AC1039" s="208"/>
      <c r="AD1039" s="208"/>
      <c r="AE1039" s="208"/>
      <c r="AF1039" s="208"/>
      <c r="AG1039" s="208"/>
      <c r="AH1039" s="208"/>
      <c r="AI1039" s="208"/>
      <c r="AJ1039" s="208"/>
      <c r="AK1039" s="208"/>
      <c r="AL1039" s="208"/>
      <c r="AM1039" s="208"/>
      <c r="AN1039" s="208"/>
      <c r="AO1039" s="208"/>
      <c r="AP1039" s="208"/>
      <c r="AQ1039" s="208"/>
      <c r="AR1039" s="208"/>
      <c r="AS1039" s="208"/>
      <c r="AT1039" s="208"/>
      <c r="AU1039" s="208"/>
      <c r="AV1039" s="208"/>
      <c r="AW1039" s="208"/>
      <c r="AX1039" s="208"/>
      <c r="AY1039" s="208"/>
    </row>
    <row r="1040">
      <c r="A1040" s="208"/>
      <c r="B1040" s="533"/>
      <c r="C1040" s="208"/>
      <c r="D1040" s="208"/>
      <c r="E1040" s="208"/>
      <c r="F1040" s="584"/>
      <c r="G1040" s="208"/>
      <c r="H1040" s="208"/>
      <c r="I1040" s="208"/>
      <c r="J1040" s="208"/>
      <c r="K1040" s="208"/>
      <c r="L1040" s="536"/>
      <c r="M1040" s="208"/>
      <c r="N1040" s="208"/>
      <c r="O1040" s="208"/>
      <c r="P1040" s="208"/>
      <c r="Q1040" s="208"/>
      <c r="R1040" s="208"/>
      <c r="S1040" s="208"/>
      <c r="T1040" s="208"/>
      <c r="U1040" s="208"/>
      <c r="V1040" s="208"/>
      <c r="W1040" s="208"/>
      <c r="X1040" s="208"/>
      <c r="Y1040" s="208"/>
      <c r="Z1040" s="208"/>
      <c r="AA1040" s="208"/>
      <c r="AB1040" s="208"/>
      <c r="AC1040" s="208"/>
      <c r="AD1040" s="208"/>
      <c r="AE1040" s="208"/>
      <c r="AF1040" s="208"/>
      <c r="AG1040" s="208"/>
      <c r="AH1040" s="208"/>
      <c r="AI1040" s="208"/>
      <c r="AJ1040" s="208"/>
      <c r="AK1040" s="208"/>
      <c r="AL1040" s="208"/>
      <c r="AM1040" s="208"/>
      <c r="AN1040" s="208"/>
      <c r="AO1040" s="208"/>
      <c r="AP1040" s="208"/>
      <c r="AQ1040" s="208"/>
      <c r="AR1040" s="208"/>
      <c r="AS1040" s="208"/>
      <c r="AT1040" s="208"/>
      <c r="AU1040" s="208"/>
      <c r="AV1040" s="208"/>
      <c r="AW1040" s="208"/>
      <c r="AX1040" s="208"/>
      <c r="AY1040" s="208"/>
    </row>
    <row r="1041">
      <c r="A1041" s="208"/>
      <c r="B1041" s="533"/>
      <c r="C1041" s="208"/>
      <c r="D1041" s="208"/>
      <c r="E1041" s="208"/>
      <c r="F1041" s="584"/>
      <c r="G1041" s="208"/>
      <c r="H1041" s="208"/>
      <c r="I1041" s="208"/>
      <c r="J1041" s="208"/>
      <c r="K1041" s="208"/>
      <c r="L1041" s="536"/>
      <c r="M1041" s="208"/>
      <c r="N1041" s="208"/>
      <c r="O1041" s="208"/>
      <c r="P1041" s="208"/>
      <c r="Q1041" s="208"/>
      <c r="R1041" s="208"/>
      <c r="S1041" s="208"/>
      <c r="T1041" s="208"/>
      <c r="U1041" s="208"/>
      <c r="V1041" s="208"/>
      <c r="W1041" s="208"/>
      <c r="X1041" s="208"/>
      <c r="Y1041" s="208"/>
      <c r="Z1041" s="208"/>
      <c r="AA1041" s="208"/>
      <c r="AB1041" s="208"/>
      <c r="AC1041" s="208"/>
      <c r="AD1041" s="208"/>
      <c r="AE1041" s="208"/>
      <c r="AF1041" s="208"/>
      <c r="AG1041" s="208"/>
      <c r="AH1041" s="208"/>
      <c r="AI1041" s="208"/>
      <c r="AJ1041" s="208"/>
      <c r="AK1041" s="208"/>
      <c r="AL1041" s="208"/>
      <c r="AM1041" s="208"/>
      <c r="AN1041" s="208"/>
      <c r="AO1041" s="208"/>
      <c r="AP1041" s="208"/>
      <c r="AQ1041" s="208"/>
      <c r="AR1041" s="208"/>
      <c r="AS1041" s="208"/>
      <c r="AT1041" s="208"/>
      <c r="AU1041" s="208"/>
      <c r="AV1041" s="208"/>
      <c r="AW1041" s="208"/>
      <c r="AX1041" s="208"/>
      <c r="AY1041" s="208"/>
    </row>
    <row r="1042">
      <c r="A1042" s="208"/>
      <c r="B1042" s="533"/>
      <c r="C1042" s="208"/>
      <c r="D1042" s="208"/>
      <c r="E1042" s="208"/>
      <c r="F1042" s="584"/>
      <c r="G1042" s="208"/>
      <c r="H1042" s="208"/>
      <c r="I1042" s="208"/>
      <c r="J1042" s="208"/>
      <c r="K1042" s="208"/>
      <c r="L1042" s="536"/>
      <c r="M1042" s="208"/>
      <c r="N1042" s="208"/>
      <c r="O1042" s="208"/>
      <c r="P1042" s="208"/>
      <c r="Q1042" s="208"/>
      <c r="R1042" s="208"/>
      <c r="S1042" s="208"/>
      <c r="T1042" s="208"/>
      <c r="U1042" s="208"/>
      <c r="V1042" s="208"/>
      <c r="W1042" s="208"/>
      <c r="X1042" s="208"/>
      <c r="Y1042" s="208"/>
      <c r="Z1042" s="208"/>
      <c r="AA1042" s="208"/>
      <c r="AB1042" s="208"/>
      <c r="AC1042" s="208"/>
      <c r="AD1042" s="208"/>
      <c r="AE1042" s="208"/>
      <c r="AF1042" s="208"/>
      <c r="AG1042" s="208"/>
      <c r="AH1042" s="208"/>
      <c r="AI1042" s="208"/>
      <c r="AJ1042" s="208"/>
      <c r="AK1042" s="208"/>
      <c r="AL1042" s="208"/>
      <c r="AM1042" s="208"/>
      <c r="AN1042" s="208"/>
      <c r="AO1042" s="208"/>
      <c r="AP1042" s="208"/>
      <c r="AQ1042" s="208"/>
      <c r="AR1042" s="208"/>
      <c r="AS1042" s="208"/>
      <c r="AT1042" s="208"/>
      <c r="AU1042" s="208"/>
      <c r="AV1042" s="208"/>
      <c r="AW1042" s="208"/>
      <c r="AX1042" s="208"/>
      <c r="AY1042" s="208"/>
    </row>
    <row r="1043">
      <c r="A1043" s="208"/>
      <c r="B1043" s="533"/>
      <c r="C1043" s="208"/>
      <c r="D1043" s="208"/>
      <c r="E1043" s="208"/>
      <c r="F1043" s="584"/>
      <c r="G1043" s="208"/>
      <c r="H1043" s="208"/>
      <c r="I1043" s="208"/>
      <c r="J1043" s="208"/>
      <c r="K1043" s="208"/>
      <c r="L1043" s="536"/>
      <c r="M1043" s="208"/>
      <c r="N1043" s="208"/>
      <c r="O1043" s="208"/>
      <c r="P1043" s="208"/>
      <c r="Q1043" s="208"/>
      <c r="R1043" s="208"/>
      <c r="S1043" s="208"/>
      <c r="T1043" s="208"/>
      <c r="U1043" s="208"/>
      <c r="V1043" s="208"/>
      <c r="W1043" s="208"/>
      <c r="X1043" s="208"/>
      <c r="Y1043" s="208"/>
      <c r="Z1043" s="208"/>
      <c r="AA1043" s="208"/>
      <c r="AB1043" s="208"/>
      <c r="AC1043" s="208"/>
      <c r="AD1043" s="208"/>
      <c r="AE1043" s="208"/>
      <c r="AF1043" s="208"/>
      <c r="AG1043" s="208"/>
      <c r="AH1043" s="208"/>
      <c r="AI1043" s="208"/>
      <c r="AJ1043" s="208"/>
      <c r="AK1043" s="208"/>
      <c r="AL1043" s="208"/>
      <c r="AM1043" s="208"/>
      <c r="AN1043" s="208"/>
      <c r="AO1043" s="208"/>
      <c r="AP1043" s="208"/>
      <c r="AQ1043" s="208"/>
      <c r="AR1043" s="208"/>
      <c r="AS1043" s="208"/>
      <c r="AT1043" s="208"/>
      <c r="AU1043" s="208"/>
      <c r="AV1043" s="208"/>
      <c r="AW1043" s="208"/>
      <c r="AX1043" s="208"/>
      <c r="AY1043" s="208"/>
    </row>
    <row r="1044">
      <c r="A1044" s="208"/>
      <c r="B1044" s="533"/>
      <c r="C1044" s="208"/>
      <c r="D1044" s="208"/>
      <c r="E1044" s="208"/>
      <c r="F1044" s="584"/>
      <c r="G1044" s="208"/>
      <c r="H1044" s="208"/>
      <c r="I1044" s="208"/>
      <c r="J1044" s="208"/>
      <c r="K1044" s="208"/>
      <c r="L1044" s="536"/>
      <c r="M1044" s="208"/>
      <c r="N1044" s="208"/>
      <c r="O1044" s="208"/>
      <c r="P1044" s="208"/>
      <c r="Q1044" s="208"/>
      <c r="R1044" s="208"/>
      <c r="S1044" s="208"/>
      <c r="T1044" s="208"/>
      <c r="U1044" s="208"/>
      <c r="V1044" s="208"/>
      <c r="W1044" s="208"/>
      <c r="X1044" s="208"/>
      <c r="Y1044" s="208"/>
      <c r="Z1044" s="208"/>
      <c r="AA1044" s="208"/>
      <c r="AB1044" s="208"/>
      <c r="AC1044" s="208"/>
      <c r="AD1044" s="208"/>
      <c r="AE1044" s="208"/>
      <c r="AF1044" s="208"/>
      <c r="AG1044" s="208"/>
      <c r="AH1044" s="208"/>
      <c r="AI1044" s="208"/>
      <c r="AJ1044" s="208"/>
      <c r="AK1044" s="208"/>
      <c r="AL1044" s="208"/>
      <c r="AM1044" s="208"/>
      <c r="AN1044" s="208"/>
      <c r="AO1044" s="208"/>
      <c r="AP1044" s="208"/>
      <c r="AQ1044" s="208"/>
      <c r="AR1044" s="208"/>
      <c r="AS1044" s="208"/>
      <c r="AT1044" s="208"/>
      <c r="AU1044" s="208"/>
      <c r="AV1044" s="208"/>
      <c r="AW1044" s="208"/>
      <c r="AX1044" s="208"/>
      <c r="AY1044" s="208"/>
    </row>
    <row r="1045">
      <c r="A1045" s="208"/>
      <c r="B1045" s="533"/>
      <c r="C1045" s="208"/>
      <c r="D1045" s="208"/>
      <c r="E1045" s="208"/>
      <c r="F1045" s="584"/>
      <c r="G1045" s="208"/>
      <c r="H1045" s="208"/>
      <c r="I1045" s="208"/>
      <c r="J1045" s="208"/>
      <c r="K1045" s="208"/>
      <c r="L1045" s="536"/>
      <c r="M1045" s="208"/>
      <c r="N1045" s="208"/>
      <c r="O1045" s="208"/>
      <c r="P1045" s="208"/>
      <c r="Q1045" s="208"/>
      <c r="R1045" s="208"/>
      <c r="S1045" s="208"/>
      <c r="T1045" s="208"/>
      <c r="U1045" s="208"/>
      <c r="V1045" s="208"/>
      <c r="W1045" s="208"/>
      <c r="X1045" s="208"/>
      <c r="Y1045" s="208"/>
      <c r="Z1045" s="208"/>
      <c r="AA1045" s="208"/>
      <c r="AB1045" s="208"/>
      <c r="AC1045" s="208"/>
      <c r="AD1045" s="208"/>
      <c r="AE1045" s="208"/>
      <c r="AF1045" s="208"/>
      <c r="AG1045" s="208"/>
      <c r="AH1045" s="208"/>
      <c r="AI1045" s="208"/>
      <c r="AJ1045" s="208"/>
      <c r="AK1045" s="208"/>
      <c r="AL1045" s="208"/>
      <c r="AM1045" s="208"/>
      <c r="AN1045" s="208"/>
      <c r="AO1045" s="208"/>
      <c r="AP1045" s="208"/>
      <c r="AQ1045" s="208"/>
      <c r="AR1045" s="208"/>
      <c r="AS1045" s="208"/>
      <c r="AT1045" s="208"/>
      <c r="AU1045" s="208"/>
      <c r="AV1045" s="208"/>
      <c r="AW1045" s="208"/>
      <c r="AX1045" s="208"/>
      <c r="AY1045" s="208"/>
    </row>
    <row r="1046">
      <c r="A1046" s="208"/>
      <c r="B1046" s="533"/>
      <c r="C1046" s="208"/>
      <c r="D1046" s="208"/>
      <c r="E1046" s="208"/>
      <c r="F1046" s="584"/>
      <c r="G1046" s="208"/>
      <c r="H1046" s="208"/>
      <c r="I1046" s="208"/>
      <c r="J1046" s="208"/>
      <c r="K1046" s="208"/>
      <c r="L1046" s="536"/>
      <c r="M1046" s="208"/>
      <c r="N1046" s="208"/>
      <c r="O1046" s="208"/>
      <c r="P1046" s="208"/>
      <c r="Q1046" s="208"/>
      <c r="R1046" s="208"/>
      <c r="S1046" s="208"/>
      <c r="T1046" s="208"/>
      <c r="U1046" s="208"/>
      <c r="V1046" s="208"/>
      <c r="W1046" s="208"/>
      <c r="X1046" s="208"/>
      <c r="Y1046" s="208"/>
      <c r="Z1046" s="208"/>
      <c r="AA1046" s="208"/>
      <c r="AB1046" s="208"/>
      <c r="AC1046" s="208"/>
      <c r="AD1046" s="208"/>
      <c r="AE1046" s="208"/>
      <c r="AF1046" s="208"/>
      <c r="AG1046" s="208"/>
      <c r="AH1046" s="208"/>
      <c r="AI1046" s="208"/>
      <c r="AJ1046" s="208"/>
      <c r="AK1046" s="208"/>
      <c r="AL1046" s="208"/>
      <c r="AM1046" s="208"/>
      <c r="AN1046" s="208"/>
      <c r="AO1046" s="208"/>
      <c r="AP1046" s="208"/>
      <c r="AQ1046" s="208"/>
      <c r="AR1046" s="208"/>
      <c r="AS1046" s="208"/>
      <c r="AT1046" s="208"/>
      <c r="AU1046" s="208"/>
      <c r="AV1046" s="208"/>
      <c r="AW1046" s="208"/>
      <c r="AX1046" s="208"/>
      <c r="AY1046" s="208"/>
    </row>
    <row r="1047">
      <c r="A1047" s="208"/>
      <c r="B1047" s="533"/>
      <c r="C1047" s="208"/>
      <c r="D1047" s="208"/>
      <c r="E1047" s="208"/>
      <c r="F1047" s="584"/>
      <c r="G1047" s="208"/>
      <c r="H1047" s="208"/>
      <c r="I1047" s="208"/>
      <c r="J1047" s="208"/>
      <c r="K1047" s="208"/>
      <c r="L1047" s="536"/>
      <c r="M1047" s="208"/>
      <c r="N1047" s="208"/>
      <c r="O1047" s="208"/>
      <c r="P1047" s="208"/>
      <c r="Q1047" s="208"/>
      <c r="R1047" s="208"/>
      <c r="S1047" s="208"/>
      <c r="T1047" s="208"/>
      <c r="U1047" s="208"/>
      <c r="V1047" s="208"/>
      <c r="W1047" s="208"/>
      <c r="X1047" s="208"/>
      <c r="Y1047" s="208"/>
      <c r="Z1047" s="208"/>
      <c r="AA1047" s="208"/>
      <c r="AB1047" s="208"/>
      <c r="AC1047" s="208"/>
      <c r="AD1047" s="208"/>
      <c r="AE1047" s="208"/>
      <c r="AF1047" s="208"/>
      <c r="AG1047" s="208"/>
      <c r="AH1047" s="208"/>
      <c r="AI1047" s="208"/>
      <c r="AJ1047" s="208"/>
      <c r="AK1047" s="208"/>
      <c r="AL1047" s="208"/>
      <c r="AM1047" s="208"/>
      <c r="AN1047" s="208"/>
      <c r="AO1047" s="208"/>
      <c r="AP1047" s="208"/>
      <c r="AQ1047" s="208"/>
      <c r="AR1047" s="208"/>
      <c r="AS1047" s="208"/>
      <c r="AT1047" s="208"/>
      <c r="AU1047" s="208"/>
      <c r="AV1047" s="208"/>
      <c r="AW1047" s="208"/>
      <c r="AX1047" s="208"/>
      <c r="AY1047" s="208"/>
    </row>
    <row r="1048">
      <c r="A1048" s="208"/>
      <c r="B1048" s="533"/>
      <c r="C1048" s="208"/>
      <c r="D1048" s="208"/>
      <c r="E1048" s="208"/>
      <c r="F1048" s="584"/>
      <c r="G1048" s="208"/>
      <c r="H1048" s="208"/>
      <c r="I1048" s="208"/>
      <c r="J1048" s="208"/>
      <c r="K1048" s="208"/>
      <c r="L1048" s="536"/>
      <c r="M1048" s="208"/>
      <c r="N1048" s="208"/>
      <c r="O1048" s="208"/>
      <c r="P1048" s="208"/>
      <c r="Q1048" s="208"/>
      <c r="R1048" s="208"/>
      <c r="S1048" s="208"/>
      <c r="T1048" s="208"/>
      <c r="U1048" s="208"/>
      <c r="V1048" s="208"/>
      <c r="W1048" s="208"/>
      <c r="X1048" s="208"/>
      <c r="Y1048" s="208"/>
      <c r="Z1048" s="208"/>
      <c r="AA1048" s="208"/>
      <c r="AB1048" s="208"/>
      <c r="AC1048" s="208"/>
      <c r="AD1048" s="208"/>
      <c r="AE1048" s="208"/>
      <c r="AF1048" s="208"/>
      <c r="AG1048" s="208"/>
      <c r="AH1048" s="208"/>
      <c r="AI1048" s="208"/>
      <c r="AJ1048" s="208"/>
      <c r="AK1048" s="208"/>
      <c r="AL1048" s="208"/>
      <c r="AM1048" s="208"/>
      <c r="AN1048" s="208"/>
      <c r="AO1048" s="208"/>
      <c r="AP1048" s="208"/>
      <c r="AQ1048" s="208"/>
      <c r="AR1048" s="208"/>
      <c r="AS1048" s="208"/>
      <c r="AT1048" s="208"/>
      <c r="AU1048" s="208"/>
      <c r="AV1048" s="208"/>
      <c r="AW1048" s="208"/>
      <c r="AX1048" s="208"/>
      <c r="AY1048" s="208"/>
    </row>
    <row r="1049">
      <c r="A1049" s="208"/>
      <c r="B1049" s="533"/>
      <c r="C1049" s="208"/>
      <c r="D1049" s="208"/>
      <c r="E1049" s="208"/>
      <c r="F1049" s="584"/>
      <c r="G1049" s="208"/>
      <c r="H1049" s="208"/>
      <c r="I1049" s="208"/>
      <c r="J1049" s="208"/>
      <c r="K1049" s="208"/>
      <c r="L1049" s="536"/>
      <c r="M1049" s="208"/>
      <c r="N1049" s="208"/>
      <c r="O1049" s="208"/>
      <c r="P1049" s="208"/>
      <c r="Q1049" s="208"/>
      <c r="R1049" s="208"/>
      <c r="S1049" s="208"/>
      <c r="T1049" s="208"/>
      <c r="U1049" s="208"/>
      <c r="V1049" s="208"/>
      <c r="W1049" s="208"/>
      <c r="X1049" s="208"/>
      <c r="Y1049" s="208"/>
      <c r="Z1049" s="208"/>
      <c r="AA1049" s="208"/>
      <c r="AB1049" s="208"/>
      <c r="AC1049" s="208"/>
      <c r="AD1049" s="208"/>
      <c r="AE1049" s="208"/>
      <c r="AF1049" s="208"/>
      <c r="AG1049" s="208"/>
      <c r="AH1049" s="208"/>
      <c r="AI1049" s="208"/>
      <c r="AJ1049" s="208"/>
      <c r="AK1049" s="208"/>
      <c r="AL1049" s="208"/>
      <c r="AM1049" s="208"/>
      <c r="AN1049" s="208"/>
      <c r="AO1049" s="208"/>
      <c r="AP1049" s="208"/>
      <c r="AQ1049" s="208"/>
      <c r="AR1049" s="208"/>
      <c r="AS1049" s="208"/>
      <c r="AT1049" s="208"/>
      <c r="AU1049" s="208"/>
      <c r="AV1049" s="208"/>
      <c r="AW1049" s="208"/>
      <c r="AX1049" s="208"/>
      <c r="AY1049" s="208"/>
    </row>
    <row r="1050">
      <c r="A1050" s="208"/>
      <c r="B1050" s="533"/>
      <c r="C1050" s="208"/>
      <c r="D1050" s="208"/>
      <c r="E1050" s="208"/>
      <c r="F1050" s="584"/>
      <c r="G1050" s="208"/>
      <c r="H1050" s="208"/>
      <c r="I1050" s="208"/>
      <c r="J1050" s="208"/>
      <c r="K1050" s="208"/>
      <c r="L1050" s="536"/>
      <c r="M1050" s="208"/>
      <c r="N1050" s="208"/>
      <c r="O1050" s="208"/>
      <c r="P1050" s="208"/>
      <c r="Q1050" s="208"/>
      <c r="R1050" s="208"/>
      <c r="S1050" s="208"/>
      <c r="T1050" s="208"/>
      <c r="U1050" s="208"/>
      <c r="V1050" s="208"/>
      <c r="W1050" s="208"/>
      <c r="X1050" s="208"/>
      <c r="Y1050" s="208"/>
      <c r="Z1050" s="208"/>
      <c r="AA1050" s="208"/>
      <c r="AB1050" s="208"/>
      <c r="AC1050" s="208"/>
      <c r="AD1050" s="208"/>
      <c r="AE1050" s="208"/>
      <c r="AF1050" s="208"/>
      <c r="AG1050" s="208"/>
      <c r="AH1050" s="208"/>
      <c r="AI1050" s="208"/>
      <c r="AJ1050" s="208"/>
      <c r="AK1050" s="208"/>
      <c r="AL1050" s="208"/>
      <c r="AM1050" s="208"/>
      <c r="AN1050" s="208"/>
      <c r="AO1050" s="208"/>
      <c r="AP1050" s="208"/>
      <c r="AQ1050" s="208"/>
      <c r="AR1050" s="208"/>
      <c r="AS1050" s="208"/>
      <c r="AT1050" s="208"/>
      <c r="AU1050" s="208"/>
      <c r="AV1050" s="208"/>
      <c r="AW1050" s="208"/>
      <c r="AX1050" s="208"/>
      <c r="AY1050" s="208"/>
    </row>
    <row r="1051">
      <c r="A1051" s="208"/>
      <c r="B1051" s="533"/>
      <c r="C1051" s="208"/>
      <c r="D1051" s="208"/>
      <c r="E1051" s="208"/>
      <c r="F1051" s="584"/>
      <c r="G1051" s="208"/>
      <c r="H1051" s="208"/>
      <c r="I1051" s="208"/>
      <c r="J1051" s="208"/>
      <c r="K1051" s="208"/>
      <c r="L1051" s="536"/>
      <c r="M1051" s="208"/>
      <c r="N1051" s="208"/>
      <c r="O1051" s="208"/>
      <c r="P1051" s="208"/>
      <c r="Q1051" s="208"/>
      <c r="R1051" s="208"/>
      <c r="S1051" s="208"/>
      <c r="T1051" s="208"/>
      <c r="U1051" s="208"/>
      <c r="V1051" s="208"/>
      <c r="W1051" s="208"/>
      <c r="X1051" s="208"/>
      <c r="Y1051" s="208"/>
      <c r="Z1051" s="208"/>
      <c r="AA1051" s="208"/>
      <c r="AB1051" s="208"/>
      <c r="AC1051" s="208"/>
      <c r="AD1051" s="208"/>
      <c r="AE1051" s="208"/>
      <c r="AF1051" s="208"/>
      <c r="AG1051" s="208"/>
      <c r="AH1051" s="208"/>
      <c r="AI1051" s="208"/>
      <c r="AJ1051" s="208"/>
      <c r="AK1051" s="208"/>
      <c r="AL1051" s="208"/>
      <c r="AM1051" s="208"/>
      <c r="AN1051" s="208"/>
      <c r="AO1051" s="208"/>
      <c r="AP1051" s="208"/>
      <c r="AQ1051" s="208"/>
      <c r="AR1051" s="208"/>
      <c r="AS1051" s="208"/>
      <c r="AT1051" s="208"/>
      <c r="AU1051" s="208"/>
      <c r="AV1051" s="208"/>
      <c r="AW1051" s="208"/>
      <c r="AX1051" s="208"/>
      <c r="AY1051" s="208"/>
    </row>
    <row r="1052">
      <c r="A1052" s="208"/>
      <c r="B1052" s="533"/>
      <c r="C1052" s="208"/>
      <c r="D1052" s="208"/>
      <c r="E1052" s="208"/>
      <c r="F1052" s="584"/>
      <c r="G1052" s="208"/>
      <c r="H1052" s="208"/>
      <c r="I1052" s="208"/>
      <c r="J1052" s="208"/>
      <c r="K1052" s="208"/>
      <c r="L1052" s="536"/>
      <c r="M1052" s="208"/>
      <c r="N1052" s="208"/>
      <c r="O1052" s="208"/>
      <c r="P1052" s="208"/>
      <c r="Q1052" s="208"/>
      <c r="R1052" s="208"/>
      <c r="S1052" s="208"/>
      <c r="T1052" s="208"/>
      <c r="U1052" s="208"/>
      <c r="V1052" s="208"/>
      <c r="W1052" s="208"/>
      <c r="X1052" s="208"/>
      <c r="Y1052" s="208"/>
      <c r="Z1052" s="208"/>
      <c r="AA1052" s="208"/>
      <c r="AB1052" s="208"/>
      <c r="AC1052" s="208"/>
      <c r="AD1052" s="208"/>
      <c r="AE1052" s="208"/>
      <c r="AF1052" s="208"/>
      <c r="AG1052" s="208"/>
      <c r="AH1052" s="208"/>
      <c r="AI1052" s="208"/>
      <c r="AJ1052" s="208"/>
      <c r="AK1052" s="208"/>
      <c r="AL1052" s="208"/>
      <c r="AM1052" s="208"/>
      <c r="AN1052" s="208"/>
      <c r="AO1052" s="208"/>
      <c r="AP1052" s="208"/>
      <c r="AQ1052" s="208"/>
      <c r="AR1052" s="208"/>
      <c r="AS1052" s="208"/>
      <c r="AT1052" s="208"/>
      <c r="AU1052" s="208"/>
      <c r="AV1052" s="208"/>
      <c r="AW1052" s="208"/>
      <c r="AX1052" s="208"/>
      <c r="AY1052" s="208"/>
    </row>
    <row r="1053">
      <c r="A1053" s="208"/>
      <c r="B1053" s="533"/>
      <c r="C1053" s="208"/>
      <c r="D1053" s="208"/>
      <c r="E1053" s="208"/>
      <c r="F1053" s="584"/>
      <c r="G1053" s="208"/>
      <c r="H1053" s="208"/>
      <c r="I1053" s="208"/>
      <c r="J1053" s="208"/>
      <c r="K1053" s="208"/>
      <c r="L1053" s="536"/>
      <c r="M1053" s="208"/>
      <c r="N1053" s="208"/>
      <c r="O1053" s="208"/>
      <c r="P1053" s="208"/>
      <c r="Q1053" s="208"/>
      <c r="R1053" s="208"/>
      <c r="S1053" s="208"/>
      <c r="T1053" s="208"/>
      <c r="U1053" s="208"/>
      <c r="V1053" s="208"/>
      <c r="W1053" s="208"/>
      <c r="X1053" s="208"/>
      <c r="Y1053" s="208"/>
      <c r="Z1053" s="208"/>
      <c r="AA1053" s="208"/>
      <c r="AB1053" s="208"/>
      <c r="AC1053" s="208"/>
      <c r="AD1053" s="208"/>
      <c r="AE1053" s="208"/>
      <c r="AF1053" s="208"/>
      <c r="AG1053" s="208"/>
      <c r="AH1053" s="208"/>
      <c r="AI1053" s="208"/>
      <c r="AJ1053" s="208"/>
      <c r="AK1053" s="208"/>
      <c r="AL1053" s="208"/>
      <c r="AM1053" s="208"/>
      <c r="AN1053" s="208"/>
      <c r="AO1053" s="208"/>
      <c r="AP1053" s="208"/>
      <c r="AQ1053" s="208"/>
      <c r="AR1053" s="208"/>
      <c r="AS1053" s="208"/>
      <c r="AT1053" s="208"/>
      <c r="AU1053" s="208"/>
      <c r="AV1053" s="208"/>
      <c r="AW1053" s="208"/>
      <c r="AX1053" s="208"/>
      <c r="AY1053" s="208"/>
    </row>
    <row r="1054">
      <c r="A1054" s="208"/>
      <c r="B1054" s="533"/>
      <c r="C1054" s="208"/>
      <c r="D1054" s="208"/>
      <c r="E1054" s="208"/>
      <c r="F1054" s="584"/>
      <c r="G1054" s="208"/>
      <c r="H1054" s="208"/>
      <c r="I1054" s="208"/>
      <c r="J1054" s="208"/>
      <c r="K1054" s="208"/>
      <c r="L1054" s="536"/>
      <c r="M1054" s="208"/>
      <c r="N1054" s="208"/>
      <c r="O1054" s="208"/>
      <c r="P1054" s="208"/>
      <c r="Q1054" s="208"/>
      <c r="R1054" s="208"/>
      <c r="S1054" s="208"/>
      <c r="T1054" s="208"/>
      <c r="U1054" s="208"/>
      <c r="V1054" s="208"/>
      <c r="W1054" s="208"/>
      <c r="X1054" s="208"/>
      <c r="Y1054" s="208"/>
      <c r="Z1054" s="208"/>
      <c r="AA1054" s="208"/>
      <c r="AB1054" s="208"/>
      <c r="AC1054" s="208"/>
      <c r="AD1054" s="208"/>
      <c r="AE1054" s="208"/>
      <c r="AF1054" s="208"/>
      <c r="AG1054" s="208"/>
      <c r="AH1054" s="208"/>
      <c r="AI1054" s="208"/>
      <c r="AJ1054" s="208"/>
      <c r="AK1054" s="208"/>
      <c r="AL1054" s="208"/>
      <c r="AM1054" s="208"/>
      <c r="AN1054" s="208"/>
      <c r="AO1054" s="208"/>
      <c r="AP1054" s="208"/>
      <c r="AQ1054" s="208"/>
      <c r="AR1054" s="208"/>
      <c r="AS1054" s="208"/>
      <c r="AT1054" s="208"/>
      <c r="AU1054" s="208"/>
      <c r="AV1054" s="208"/>
      <c r="AW1054" s="208"/>
      <c r="AX1054" s="208"/>
      <c r="AY1054" s="208"/>
    </row>
    <row r="1055">
      <c r="A1055" s="208"/>
      <c r="B1055" s="533"/>
      <c r="C1055" s="208"/>
      <c r="D1055" s="208"/>
      <c r="E1055" s="208"/>
      <c r="F1055" s="584"/>
      <c r="G1055" s="208"/>
      <c r="H1055" s="208"/>
      <c r="I1055" s="208"/>
      <c r="J1055" s="208"/>
      <c r="K1055" s="208"/>
      <c r="L1055" s="536"/>
      <c r="M1055" s="208"/>
      <c r="N1055" s="208"/>
      <c r="O1055" s="208"/>
      <c r="P1055" s="208"/>
      <c r="Q1055" s="208"/>
      <c r="R1055" s="208"/>
      <c r="S1055" s="208"/>
      <c r="T1055" s="208"/>
      <c r="U1055" s="208"/>
      <c r="V1055" s="208"/>
      <c r="W1055" s="208"/>
      <c r="X1055" s="208"/>
      <c r="Y1055" s="208"/>
      <c r="Z1055" s="208"/>
      <c r="AA1055" s="208"/>
      <c r="AB1055" s="208"/>
      <c r="AC1055" s="208"/>
      <c r="AD1055" s="208"/>
      <c r="AE1055" s="208"/>
      <c r="AF1055" s="208"/>
      <c r="AG1055" s="208"/>
      <c r="AH1055" s="208"/>
      <c r="AI1055" s="208"/>
      <c r="AJ1055" s="208"/>
      <c r="AK1055" s="208"/>
      <c r="AL1055" s="208"/>
      <c r="AM1055" s="208"/>
      <c r="AN1055" s="208"/>
      <c r="AO1055" s="208"/>
      <c r="AP1055" s="208"/>
      <c r="AQ1055" s="208"/>
      <c r="AR1055" s="208"/>
      <c r="AS1055" s="208"/>
      <c r="AT1055" s="208"/>
      <c r="AU1055" s="208"/>
      <c r="AV1055" s="208"/>
      <c r="AW1055" s="208"/>
      <c r="AX1055" s="208"/>
      <c r="AY1055" s="208"/>
    </row>
    <row r="1056">
      <c r="A1056" s="208"/>
      <c r="B1056" s="533"/>
      <c r="C1056" s="208"/>
      <c r="D1056" s="208"/>
      <c r="E1056" s="208"/>
      <c r="F1056" s="584"/>
      <c r="G1056" s="208"/>
      <c r="H1056" s="208"/>
      <c r="I1056" s="208"/>
      <c r="J1056" s="208"/>
      <c r="K1056" s="208"/>
      <c r="L1056" s="536"/>
      <c r="M1056" s="208"/>
      <c r="N1056" s="208"/>
      <c r="O1056" s="208"/>
      <c r="P1056" s="208"/>
      <c r="Q1056" s="208"/>
      <c r="R1056" s="208"/>
      <c r="S1056" s="208"/>
      <c r="T1056" s="208"/>
      <c r="U1056" s="208"/>
      <c r="V1056" s="208"/>
      <c r="W1056" s="208"/>
      <c r="X1056" s="208"/>
      <c r="Y1056" s="208"/>
      <c r="Z1056" s="208"/>
      <c r="AA1056" s="208"/>
      <c r="AB1056" s="208"/>
      <c r="AC1056" s="208"/>
      <c r="AD1056" s="208"/>
      <c r="AE1056" s="208"/>
      <c r="AF1056" s="208"/>
      <c r="AG1056" s="208"/>
      <c r="AH1056" s="208"/>
      <c r="AI1056" s="208"/>
      <c r="AJ1056" s="208"/>
      <c r="AK1056" s="208"/>
      <c r="AL1056" s="208"/>
      <c r="AM1056" s="208"/>
      <c r="AN1056" s="208"/>
      <c r="AO1056" s="208"/>
      <c r="AP1056" s="208"/>
      <c r="AQ1056" s="208"/>
      <c r="AR1056" s="208"/>
      <c r="AS1056" s="208"/>
      <c r="AT1056" s="208"/>
      <c r="AU1056" s="208"/>
      <c r="AV1056" s="208"/>
      <c r="AW1056" s="208"/>
      <c r="AX1056" s="208"/>
      <c r="AY1056" s="208"/>
    </row>
    <row r="1057">
      <c r="A1057" s="208"/>
      <c r="B1057" s="533"/>
      <c r="C1057" s="208"/>
      <c r="D1057" s="208"/>
      <c r="E1057" s="208"/>
      <c r="F1057" s="584"/>
      <c r="G1057" s="208"/>
      <c r="H1057" s="208"/>
      <c r="I1057" s="208"/>
      <c r="J1057" s="208"/>
      <c r="K1057" s="208"/>
      <c r="L1057" s="536"/>
      <c r="M1057" s="208"/>
      <c r="N1057" s="208"/>
      <c r="O1057" s="208"/>
      <c r="P1057" s="208"/>
      <c r="Q1057" s="208"/>
      <c r="R1057" s="208"/>
      <c r="S1057" s="208"/>
      <c r="T1057" s="208"/>
      <c r="U1057" s="208"/>
      <c r="V1057" s="208"/>
      <c r="W1057" s="208"/>
      <c r="X1057" s="208"/>
      <c r="Y1057" s="208"/>
      <c r="Z1057" s="208"/>
      <c r="AA1057" s="208"/>
      <c r="AB1057" s="208"/>
      <c r="AC1057" s="208"/>
      <c r="AD1057" s="208"/>
      <c r="AE1057" s="208"/>
      <c r="AF1057" s="208"/>
      <c r="AG1057" s="208"/>
      <c r="AH1057" s="208"/>
      <c r="AI1057" s="208"/>
      <c r="AJ1057" s="208"/>
      <c r="AK1057" s="208"/>
      <c r="AL1057" s="208"/>
      <c r="AM1057" s="208"/>
      <c r="AN1057" s="208"/>
      <c r="AO1057" s="208"/>
      <c r="AP1057" s="208"/>
      <c r="AQ1057" s="208"/>
      <c r="AR1057" s="208"/>
      <c r="AS1057" s="208"/>
      <c r="AT1057" s="208"/>
      <c r="AU1057" s="208"/>
      <c r="AV1057" s="208"/>
      <c r="AW1057" s="208"/>
      <c r="AX1057" s="208"/>
      <c r="AY1057" s="208"/>
    </row>
    <row r="1058">
      <c r="A1058" s="208"/>
      <c r="B1058" s="533"/>
      <c r="C1058" s="208"/>
      <c r="D1058" s="208"/>
      <c r="E1058" s="208"/>
      <c r="F1058" s="584"/>
      <c r="G1058" s="208"/>
      <c r="H1058" s="208"/>
      <c r="I1058" s="208"/>
      <c r="J1058" s="208"/>
      <c r="K1058" s="208"/>
      <c r="L1058" s="536"/>
      <c r="M1058" s="208"/>
      <c r="N1058" s="208"/>
      <c r="O1058" s="208"/>
      <c r="P1058" s="208"/>
      <c r="Q1058" s="208"/>
      <c r="R1058" s="208"/>
      <c r="S1058" s="208"/>
      <c r="T1058" s="208"/>
      <c r="U1058" s="208"/>
      <c r="V1058" s="208"/>
      <c r="W1058" s="208"/>
      <c r="X1058" s="208"/>
      <c r="Y1058" s="208"/>
      <c r="Z1058" s="208"/>
      <c r="AA1058" s="208"/>
      <c r="AB1058" s="208"/>
      <c r="AC1058" s="208"/>
      <c r="AD1058" s="208"/>
      <c r="AE1058" s="208"/>
      <c r="AF1058" s="208"/>
      <c r="AG1058" s="208"/>
      <c r="AH1058" s="208"/>
      <c r="AI1058" s="208"/>
      <c r="AJ1058" s="208"/>
      <c r="AK1058" s="208"/>
      <c r="AL1058" s="208"/>
      <c r="AM1058" s="208"/>
      <c r="AN1058" s="208"/>
      <c r="AO1058" s="208"/>
      <c r="AP1058" s="208"/>
      <c r="AQ1058" s="208"/>
      <c r="AR1058" s="208"/>
      <c r="AS1058" s="208"/>
      <c r="AT1058" s="208"/>
      <c r="AU1058" s="208"/>
      <c r="AV1058" s="208"/>
      <c r="AW1058" s="208"/>
      <c r="AX1058" s="208"/>
      <c r="AY1058" s="208"/>
    </row>
    <row r="1059">
      <c r="A1059" s="208"/>
      <c r="B1059" s="533"/>
      <c r="C1059" s="208"/>
      <c r="D1059" s="208"/>
      <c r="E1059" s="208"/>
      <c r="F1059" s="584"/>
      <c r="G1059" s="208"/>
      <c r="H1059" s="208"/>
      <c r="I1059" s="208"/>
      <c r="J1059" s="208"/>
      <c r="K1059" s="208"/>
      <c r="L1059" s="536"/>
      <c r="M1059" s="208"/>
      <c r="N1059" s="208"/>
      <c r="O1059" s="208"/>
      <c r="P1059" s="208"/>
      <c r="Q1059" s="208"/>
      <c r="R1059" s="208"/>
      <c r="S1059" s="208"/>
      <c r="T1059" s="208"/>
      <c r="U1059" s="208"/>
      <c r="V1059" s="208"/>
      <c r="W1059" s="208"/>
      <c r="X1059" s="208"/>
      <c r="Y1059" s="208"/>
      <c r="Z1059" s="208"/>
      <c r="AA1059" s="208"/>
      <c r="AB1059" s="208"/>
      <c r="AC1059" s="208"/>
      <c r="AD1059" s="208"/>
      <c r="AE1059" s="208"/>
      <c r="AF1059" s="208"/>
      <c r="AG1059" s="208"/>
      <c r="AH1059" s="208"/>
      <c r="AI1059" s="208"/>
      <c r="AJ1059" s="208"/>
      <c r="AK1059" s="208"/>
      <c r="AL1059" s="208"/>
      <c r="AM1059" s="208"/>
      <c r="AN1059" s="208"/>
      <c r="AO1059" s="208"/>
      <c r="AP1059" s="208"/>
      <c r="AQ1059" s="208"/>
      <c r="AR1059" s="208"/>
      <c r="AS1059" s="208"/>
      <c r="AT1059" s="208"/>
      <c r="AU1059" s="208"/>
      <c r="AV1059" s="208"/>
      <c r="AW1059" s="208"/>
      <c r="AX1059" s="208"/>
      <c r="AY1059" s="208"/>
    </row>
    <row r="1060">
      <c r="A1060" s="208"/>
      <c r="B1060" s="533"/>
      <c r="C1060" s="208"/>
      <c r="D1060" s="208"/>
      <c r="E1060" s="208"/>
      <c r="F1060" s="584"/>
      <c r="G1060" s="208"/>
      <c r="H1060" s="208"/>
      <c r="I1060" s="208"/>
      <c r="J1060" s="208"/>
      <c r="K1060" s="208"/>
      <c r="L1060" s="536"/>
      <c r="M1060" s="208"/>
      <c r="N1060" s="208"/>
      <c r="O1060" s="208"/>
      <c r="P1060" s="208"/>
      <c r="Q1060" s="208"/>
      <c r="R1060" s="208"/>
      <c r="S1060" s="208"/>
      <c r="T1060" s="208"/>
      <c r="U1060" s="208"/>
      <c r="V1060" s="208"/>
      <c r="W1060" s="208"/>
      <c r="X1060" s="208"/>
      <c r="Y1060" s="208"/>
      <c r="Z1060" s="208"/>
      <c r="AA1060" s="208"/>
      <c r="AB1060" s="208"/>
      <c r="AC1060" s="208"/>
      <c r="AD1060" s="208"/>
      <c r="AE1060" s="208"/>
      <c r="AF1060" s="208"/>
      <c r="AG1060" s="208"/>
      <c r="AH1060" s="208"/>
      <c r="AI1060" s="208"/>
      <c r="AJ1060" s="208"/>
      <c r="AK1060" s="208"/>
      <c r="AL1060" s="208"/>
      <c r="AM1060" s="208"/>
      <c r="AN1060" s="208"/>
      <c r="AO1060" s="208"/>
      <c r="AP1060" s="208"/>
      <c r="AQ1060" s="208"/>
      <c r="AR1060" s="208"/>
      <c r="AS1060" s="208"/>
      <c r="AT1060" s="208"/>
      <c r="AU1060" s="208"/>
      <c r="AV1060" s="208"/>
      <c r="AW1060" s="208"/>
      <c r="AX1060" s="208"/>
      <c r="AY1060" s="208"/>
    </row>
    <row r="1061">
      <c r="A1061" s="208"/>
      <c r="B1061" s="533"/>
      <c r="C1061" s="208"/>
      <c r="D1061" s="208"/>
      <c r="E1061" s="208"/>
      <c r="F1061" s="584"/>
      <c r="G1061" s="208"/>
      <c r="H1061" s="208"/>
      <c r="I1061" s="208"/>
      <c r="J1061" s="208"/>
      <c r="K1061" s="208"/>
      <c r="L1061" s="536"/>
      <c r="M1061" s="208"/>
      <c r="N1061" s="208"/>
      <c r="O1061" s="208"/>
      <c r="P1061" s="208"/>
      <c r="Q1061" s="208"/>
      <c r="R1061" s="208"/>
      <c r="S1061" s="208"/>
      <c r="T1061" s="208"/>
      <c r="U1061" s="208"/>
      <c r="V1061" s="208"/>
      <c r="W1061" s="208"/>
      <c r="X1061" s="208"/>
      <c r="Y1061" s="208"/>
      <c r="Z1061" s="208"/>
      <c r="AA1061" s="208"/>
      <c r="AB1061" s="208"/>
      <c r="AC1061" s="208"/>
      <c r="AD1061" s="208"/>
      <c r="AE1061" s="208"/>
      <c r="AF1061" s="208"/>
      <c r="AG1061" s="208"/>
      <c r="AH1061" s="208"/>
      <c r="AI1061" s="208"/>
      <c r="AJ1061" s="208"/>
      <c r="AK1061" s="208"/>
      <c r="AL1061" s="208"/>
      <c r="AM1061" s="208"/>
      <c r="AN1061" s="208"/>
      <c r="AO1061" s="208"/>
      <c r="AP1061" s="208"/>
      <c r="AQ1061" s="208"/>
      <c r="AR1061" s="208"/>
      <c r="AS1061" s="208"/>
      <c r="AT1061" s="208"/>
      <c r="AU1061" s="208"/>
      <c r="AV1061" s="208"/>
      <c r="AW1061" s="208"/>
      <c r="AX1061" s="208"/>
      <c r="AY1061" s="208"/>
    </row>
    <row r="1062">
      <c r="A1062" s="208"/>
      <c r="B1062" s="533"/>
      <c r="C1062" s="208"/>
      <c r="D1062" s="208"/>
      <c r="E1062" s="208"/>
      <c r="F1062" s="584"/>
      <c r="G1062" s="208"/>
      <c r="H1062" s="208"/>
      <c r="I1062" s="208"/>
      <c r="J1062" s="208"/>
      <c r="K1062" s="208"/>
      <c r="L1062" s="536"/>
      <c r="M1062" s="208"/>
      <c r="N1062" s="208"/>
      <c r="O1062" s="208"/>
      <c r="P1062" s="208"/>
      <c r="Q1062" s="208"/>
      <c r="R1062" s="208"/>
      <c r="S1062" s="208"/>
      <c r="T1062" s="208"/>
      <c r="U1062" s="208"/>
      <c r="V1062" s="208"/>
      <c r="W1062" s="208"/>
      <c r="X1062" s="208"/>
      <c r="Y1062" s="208"/>
      <c r="Z1062" s="208"/>
      <c r="AA1062" s="208"/>
      <c r="AB1062" s="208"/>
      <c r="AC1062" s="208"/>
      <c r="AD1062" s="208"/>
      <c r="AE1062" s="208"/>
      <c r="AF1062" s="208"/>
      <c r="AG1062" s="208"/>
      <c r="AH1062" s="208"/>
      <c r="AI1062" s="208"/>
      <c r="AJ1062" s="208"/>
      <c r="AK1062" s="208"/>
      <c r="AL1062" s="208"/>
      <c r="AM1062" s="208"/>
      <c r="AN1062" s="208"/>
      <c r="AO1062" s="208"/>
      <c r="AP1062" s="208"/>
      <c r="AQ1062" s="208"/>
      <c r="AR1062" s="208"/>
      <c r="AS1062" s="208"/>
      <c r="AT1062" s="208"/>
      <c r="AU1062" s="208"/>
      <c r="AV1062" s="208"/>
      <c r="AW1062" s="208"/>
      <c r="AX1062" s="208"/>
      <c r="AY1062" s="208"/>
    </row>
    <row r="1063">
      <c r="A1063" s="208"/>
      <c r="B1063" s="533"/>
      <c r="C1063" s="208"/>
      <c r="D1063" s="208"/>
      <c r="E1063" s="208"/>
      <c r="F1063" s="584"/>
      <c r="G1063" s="208"/>
      <c r="H1063" s="208"/>
      <c r="I1063" s="208"/>
      <c r="J1063" s="208"/>
      <c r="K1063" s="208"/>
      <c r="L1063" s="536"/>
      <c r="M1063" s="208"/>
      <c r="N1063" s="208"/>
      <c r="O1063" s="208"/>
      <c r="P1063" s="208"/>
      <c r="Q1063" s="208"/>
      <c r="R1063" s="208"/>
      <c r="S1063" s="208"/>
      <c r="T1063" s="208"/>
      <c r="U1063" s="208"/>
      <c r="V1063" s="208"/>
      <c r="W1063" s="208"/>
      <c r="X1063" s="208"/>
      <c r="Y1063" s="208"/>
      <c r="Z1063" s="208"/>
      <c r="AA1063" s="208"/>
      <c r="AB1063" s="208"/>
      <c r="AC1063" s="208"/>
      <c r="AD1063" s="208"/>
      <c r="AE1063" s="208"/>
      <c r="AF1063" s="208"/>
      <c r="AG1063" s="208"/>
      <c r="AH1063" s="208"/>
      <c r="AI1063" s="208"/>
      <c r="AJ1063" s="208"/>
      <c r="AK1063" s="208"/>
      <c r="AL1063" s="208"/>
      <c r="AM1063" s="208"/>
      <c r="AN1063" s="208"/>
      <c r="AO1063" s="208"/>
      <c r="AP1063" s="208"/>
      <c r="AQ1063" s="208"/>
      <c r="AR1063" s="208"/>
      <c r="AS1063" s="208"/>
      <c r="AT1063" s="208"/>
      <c r="AU1063" s="208"/>
      <c r="AV1063" s="208"/>
      <c r="AW1063" s="208"/>
      <c r="AX1063" s="208"/>
      <c r="AY1063" s="208"/>
    </row>
    <row r="1064">
      <c r="A1064" s="208"/>
      <c r="B1064" s="533"/>
      <c r="C1064" s="208"/>
      <c r="D1064" s="208"/>
      <c r="E1064" s="208"/>
      <c r="F1064" s="584"/>
      <c r="G1064" s="208"/>
      <c r="H1064" s="208"/>
      <c r="I1064" s="208"/>
      <c r="J1064" s="208"/>
      <c r="K1064" s="208"/>
      <c r="L1064" s="536"/>
      <c r="M1064" s="208"/>
      <c r="N1064" s="208"/>
      <c r="O1064" s="208"/>
      <c r="P1064" s="208"/>
      <c r="Q1064" s="208"/>
      <c r="R1064" s="208"/>
      <c r="S1064" s="208"/>
      <c r="T1064" s="208"/>
      <c r="U1064" s="208"/>
      <c r="V1064" s="208"/>
      <c r="W1064" s="208"/>
      <c r="X1064" s="208"/>
      <c r="Y1064" s="208"/>
      <c r="Z1064" s="208"/>
      <c r="AA1064" s="208"/>
      <c r="AB1064" s="208"/>
      <c r="AC1064" s="208"/>
      <c r="AD1064" s="208"/>
      <c r="AE1064" s="208"/>
      <c r="AF1064" s="208"/>
      <c r="AG1064" s="208"/>
      <c r="AH1064" s="208"/>
      <c r="AI1064" s="208"/>
      <c r="AJ1064" s="208"/>
      <c r="AK1064" s="208"/>
      <c r="AL1064" s="208"/>
      <c r="AM1064" s="208"/>
      <c r="AN1064" s="208"/>
      <c r="AO1064" s="208"/>
      <c r="AP1064" s="208"/>
      <c r="AQ1064" s="208"/>
      <c r="AR1064" s="208"/>
      <c r="AS1064" s="208"/>
      <c r="AT1064" s="208"/>
      <c r="AU1064" s="208"/>
      <c r="AV1064" s="208"/>
      <c r="AW1064" s="208"/>
      <c r="AX1064" s="208"/>
      <c r="AY1064" s="208"/>
    </row>
    <row r="1065">
      <c r="A1065" s="208"/>
      <c r="B1065" s="533"/>
      <c r="C1065" s="208"/>
      <c r="D1065" s="208"/>
      <c r="E1065" s="208"/>
      <c r="F1065" s="584"/>
      <c r="G1065" s="208"/>
      <c r="H1065" s="208"/>
      <c r="I1065" s="208"/>
      <c r="J1065" s="208"/>
      <c r="K1065" s="208"/>
      <c r="L1065" s="536"/>
      <c r="M1065" s="208"/>
      <c r="N1065" s="208"/>
      <c r="O1065" s="208"/>
      <c r="P1065" s="208"/>
      <c r="Q1065" s="208"/>
      <c r="R1065" s="208"/>
      <c r="S1065" s="208"/>
      <c r="T1065" s="208"/>
      <c r="U1065" s="208"/>
      <c r="V1065" s="208"/>
      <c r="W1065" s="208"/>
      <c r="X1065" s="208"/>
      <c r="Y1065" s="208"/>
      <c r="Z1065" s="208"/>
      <c r="AA1065" s="208"/>
      <c r="AB1065" s="208"/>
      <c r="AC1065" s="208"/>
      <c r="AD1065" s="208"/>
      <c r="AE1065" s="208"/>
      <c r="AF1065" s="208"/>
      <c r="AG1065" s="208"/>
      <c r="AH1065" s="208"/>
      <c r="AI1065" s="208"/>
      <c r="AJ1065" s="208"/>
      <c r="AK1065" s="208"/>
      <c r="AL1065" s="208"/>
      <c r="AM1065" s="208"/>
      <c r="AN1065" s="208"/>
      <c r="AO1065" s="208"/>
      <c r="AP1065" s="208"/>
      <c r="AQ1065" s="208"/>
      <c r="AR1065" s="208"/>
      <c r="AS1065" s="208"/>
      <c r="AT1065" s="208"/>
      <c r="AU1065" s="208"/>
      <c r="AV1065" s="208"/>
      <c r="AW1065" s="208"/>
      <c r="AX1065" s="208"/>
      <c r="AY1065" s="208"/>
    </row>
    <row r="1066">
      <c r="A1066" s="208"/>
      <c r="B1066" s="533"/>
      <c r="C1066" s="208"/>
      <c r="D1066" s="208"/>
      <c r="E1066" s="208"/>
      <c r="F1066" s="584"/>
      <c r="G1066" s="208"/>
      <c r="H1066" s="208"/>
      <c r="I1066" s="208"/>
      <c r="J1066" s="208"/>
      <c r="K1066" s="208"/>
      <c r="L1066" s="536"/>
      <c r="M1066" s="208"/>
      <c r="N1066" s="208"/>
      <c r="O1066" s="208"/>
      <c r="P1066" s="208"/>
      <c r="Q1066" s="208"/>
      <c r="R1066" s="208"/>
      <c r="S1066" s="208"/>
      <c r="T1066" s="208"/>
      <c r="U1066" s="208"/>
      <c r="V1066" s="208"/>
      <c r="W1066" s="208"/>
      <c r="X1066" s="208"/>
      <c r="Y1066" s="208"/>
      <c r="Z1066" s="208"/>
      <c r="AA1066" s="208"/>
      <c r="AB1066" s="208"/>
      <c r="AC1066" s="208"/>
      <c r="AD1066" s="208"/>
      <c r="AE1066" s="208"/>
      <c r="AF1066" s="208"/>
      <c r="AG1066" s="208"/>
      <c r="AH1066" s="208"/>
      <c r="AI1066" s="208"/>
      <c r="AJ1066" s="208"/>
      <c r="AK1066" s="208"/>
      <c r="AL1066" s="208"/>
      <c r="AM1066" s="208"/>
      <c r="AN1066" s="208"/>
      <c r="AO1066" s="208"/>
      <c r="AP1066" s="208"/>
      <c r="AQ1066" s="208"/>
      <c r="AR1066" s="208"/>
      <c r="AS1066" s="208"/>
      <c r="AT1066" s="208"/>
      <c r="AU1066" s="208"/>
      <c r="AV1066" s="208"/>
      <c r="AW1066" s="208"/>
      <c r="AX1066" s="208"/>
      <c r="AY1066" s="208"/>
    </row>
    <row r="1067">
      <c r="A1067" s="208"/>
      <c r="B1067" s="533"/>
      <c r="C1067" s="208"/>
      <c r="D1067" s="208"/>
      <c r="E1067" s="208"/>
      <c r="F1067" s="584"/>
      <c r="G1067" s="208"/>
      <c r="H1067" s="208"/>
      <c r="I1067" s="208"/>
      <c r="J1067" s="208"/>
      <c r="K1067" s="208"/>
      <c r="L1067" s="536"/>
      <c r="M1067" s="208"/>
      <c r="N1067" s="208"/>
      <c r="O1067" s="208"/>
      <c r="P1067" s="208"/>
      <c r="Q1067" s="208"/>
      <c r="R1067" s="208"/>
      <c r="S1067" s="208"/>
      <c r="T1067" s="208"/>
      <c r="U1067" s="208"/>
      <c r="V1067" s="208"/>
      <c r="W1067" s="208"/>
      <c r="X1067" s="208"/>
      <c r="Y1067" s="208"/>
      <c r="Z1067" s="208"/>
      <c r="AA1067" s="208"/>
      <c r="AB1067" s="208"/>
      <c r="AC1067" s="208"/>
      <c r="AD1067" s="208"/>
      <c r="AE1067" s="208"/>
      <c r="AF1067" s="208"/>
      <c r="AG1067" s="208"/>
      <c r="AH1067" s="208"/>
      <c r="AI1067" s="208"/>
      <c r="AJ1067" s="208"/>
      <c r="AK1067" s="208"/>
      <c r="AL1067" s="208"/>
      <c r="AM1067" s="208"/>
      <c r="AN1067" s="208"/>
      <c r="AO1067" s="208"/>
      <c r="AP1067" s="208"/>
      <c r="AQ1067" s="208"/>
      <c r="AR1067" s="208"/>
      <c r="AS1067" s="208"/>
      <c r="AT1067" s="208"/>
      <c r="AU1067" s="208"/>
      <c r="AV1067" s="208"/>
      <c r="AW1067" s="208"/>
      <c r="AX1067" s="208"/>
      <c r="AY1067" s="208"/>
    </row>
    <row r="1068">
      <c r="A1068" s="208"/>
      <c r="B1068" s="533"/>
      <c r="C1068" s="208"/>
      <c r="D1068" s="208"/>
      <c r="E1068" s="208"/>
      <c r="F1068" s="584"/>
      <c r="G1068" s="208"/>
      <c r="H1068" s="208"/>
      <c r="I1068" s="208"/>
      <c r="J1068" s="208"/>
      <c r="K1068" s="208"/>
      <c r="L1068" s="536"/>
      <c r="M1068" s="208"/>
      <c r="N1068" s="208"/>
      <c r="O1068" s="208"/>
      <c r="P1068" s="208"/>
      <c r="Q1068" s="208"/>
      <c r="R1068" s="208"/>
      <c r="S1068" s="208"/>
      <c r="T1068" s="208"/>
      <c r="U1068" s="208"/>
      <c r="V1068" s="208"/>
      <c r="W1068" s="208"/>
      <c r="X1068" s="208"/>
      <c r="Y1068" s="208"/>
      <c r="Z1068" s="208"/>
      <c r="AA1068" s="208"/>
      <c r="AB1068" s="208"/>
      <c r="AC1068" s="208"/>
      <c r="AD1068" s="208"/>
      <c r="AE1068" s="208"/>
      <c r="AF1068" s="208"/>
      <c r="AG1068" s="208"/>
      <c r="AH1068" s="208"/>
      <c r="AI1068" s="208"/>
      <c r="AJ1068" s="208"/>
      <c r="AK1068" s="208"/>
      <c r="AL1068" s="208"/>
      <c r="AM1068" s="208"/>
      <c r="AN1068" s="208"/>
      <c r="AO1068" s="208"/>
      <c r="AP1068" s="208"/>
      <c r="AQ1068" s="208"/>
      <c r="AR1068" s="208"/>
      <c r="AS1068" s="208"/>
      <c r="AT1068" s="208"/>
      <c r="AU1068" s="208"/>
      <c r="AV1068" s="208"/>
      <c r="AW1068" s="208"/>
      <c r="AX1068" s="208"/>
      <c r="AY1068" s="208"/>
    </row>
    <row r="1069">
      <c r="A1069" s="208"/>
      <c r="B1069" s="533"/>
      <c r="C1069" s="208"/>
      <c r="D1069" s="208"/>
      <c r="E1069" s="208"/>
      <c r="F1069" s="584"/>
      <c r="G1069" s="208"/>
      <c r="H1069" s="208"/>
      <c r="I1069" s="208"/>
      <c r="J1069" s="208"/>
      <c r="K1069" s="208"/>
      <c r="L1069" s="536"/>
      <c r="M1069" s="208"/>
      <c r="N1069" s="208"/>
      <c r="O1069" s="208"/>
      <c r="P1069" s="208"/>
      <c r="Q1069" s="208"/>
      <c r="R1069" s="208"/>
      <c r="S1069" s="208"/>
      <c r="T1069" s="208"/>
      <c r="U1069" s="208"/>
      <c r="V1069" s="208"/>
      <c r="W1069" s="208"/>
      <c r="X1069" s="208"/>
      <c r="Y1069" s="208"/>
      <c r="Z1069" s="208"/>
      <c r="AA1069" s="208"/>
      <c r="AB1069" s="208"/>
      <c r="AC1069" s="208"/>
      <c r="AD1069" s="208"/>
      <c r="AE1069" s="208"/>
      <c r="AF1069" s="208"/>
      <c r="AG1069" s="208"/>
      <c r="AH1069" s="208"/>
      <c r="AI1069" s="208"/>
      <c r="AJ1069" s="208"/>
      <c r="AK1069" s="208"/>
      <c r="AL1069" s="208"/>
      <c r="AM1069" s="208"/>
      <c r="AN1069" s="208"/>
      <c r="AO1069" s="208"/>
      <c r="AP1069" s="208"/>
      <c r="AQ1069" s="208"/>
      <c r="AR1069" s="208"/>
      <c r="AS1069" s="208"/>
      <c r="AT1069" s="208"/>
      <c r="AU1069" s="208"/>
      <c r="AV1069" s="208"/>
      <c r="AW1069" s="208"/>
      <c r="AX1069" s="208"/>
      <c r="AY1069" s="208"/>
    </row>
    <row r="1070">
      <c r="A1070" s="208"/>
      <c r="B1070" s="533"/>
      <c r="C1070" s="208"/>
      <c r="D1070" s="208"/>
      <c r="E1070" s="208"/>
      <c r="F1070" s="584"/>
      <c r="G1070" s="208"/>
      <c r="H1070" s="208"/>
      <c r="I1070" s="208"/>
      <c r="J1070" s="208"/>
      <c r="K1070" s="208"/>
      <c r="L1070" s="536"/>
      <c r="M1070" s="208"/>
      <c r="N1070" s="208"/>
      <c r="O1070" s="208"/>
      <c r="P1070" s="208"/>
      <c r="Q1070" s="208"/>
      <c r="R1070" s="208"/>
      <c r="S1070" s="208"/>
      <c r="T1070" s="208"/>
      <c r="U1070" s="208"/>
      <c r="V1070" s="208"/>
      <c r="W1070" s="208"/>
      <c r="X1070" s="208"/>
      <c r="Y1070" s="208"/>
      <c r="Z1070" s="208"/>
      <c r="AA1070" s="208"/>
      <c r="AB1070" s="208"/>
      <c r="AC1070" s="208"/>
      <c r="AD1070" s="208"/>
      <c r="AE1070" s="208"/>
      <c r="AF1070" s="208"/>
      <c r="AG1070" s="208"/>
      <c r="AH1070" s="208"/>
      <c r="AI1070" s="208"/>
      <c r="AJ1070" s="208"/>
      <c r="AK1070" s="208"/>
      <c r="AL1070" s="208"/>
      <c r="AM1070" s="208"/>
      <c r="AN1070" s="208"/>
      <c r="AO1070" s="208"/>
      <c r="AP1070" s="208"/>
      <c r="AQ1070" s="208"/>
      <c r="AR1070" s="208"/>
      <c r="AS1070" s="208"/>
      <c r="AT1070" s="208"/>
      <c r="AU1070" s="208"/>
      <c r="AV1070" s="208"/>
      <c r="AW1070" s="208"/>
      <c r="AX1070" s="208"/>
      <c r="AY1070" s="208"/>
    </row>
    <row r="1071">
      <c r="A1071" s="208"/>
      <c r="B1071" s="533"/>
      <c r="C1071" s="208"/>
      <c r="D1071" s="208"/>
      <c r="E1071" s="208"/>
      <c r="F1071" s="584"/>
      <c r="G1071" s="208"/>
      <c r="H1071" s="208"/>
      <c r="I1071" s="208"/>
      <c r="J1071" s="208"/>
      <c r="K1071" s="208"/>
      <c r="L1071" s="536"/>
      <c r="M1071" s="208"/>
      <c r="N1071" s="208"/>
      <c r="O1071" s="208"/>
      <c r="P1071" s="208"/>
      <c r="Q1071" s="208"/>
      <c r="R1071" s="208"/>
      <c r="S1071" s="208"/>
      <c r="T1071" s="208"/>
      <c r="U1071" s="208"/>
      <c r="V1071" s="208"/>
      <c r="W1071" s="208"/>
      <c r="X1071" s="208"/>
      <c r="Y1071" s="208"/>
      <c r="Z1071" s="208"/>
      <c r="AA1071" s="208"/>
      <c r="AB1071" s="208"/>
      <c r="AC1071" s="208"/>
      <c r="AD1071" s="208"/>
      <c r="AE1071" s="208"/>
      <c r="AF1071" s="208"/>
      <c r="AG1071" s="208"/>
      <c r="AH1071" s="208"/>
      <c r="AI1071" s="208"/>
      <c r="AJ1071" s="208"/>
      <c r="AK1071" s="208"/>
      <c r="AL1071" s="208"/>
      <c r="AM1071" s="208"/>
      <c r="AN1071" s="208"/>
      <c r="AO1071" s="208"/>
      <c r="AP1071" s="208"/>
      <c r="AQ1071" s="208"/>
      <c r="AR1071" s="208"/>
      <c r="AS1071" s="208"/>
      <c r="AT1071" s="208"/>
      <c r="AU1071" s="208"/>
      <c r="AV1071" s="208"/>
      <c r="AW1071" s="208"/>
      <c r="AX1071" s="208"/>
      <c r="AY1071" s="208"/>
    </row>
    <row r="1072">
      <c r="A1072" s="208"/>
      <c r="B1072" s="533"/>
      <c r="C1072" s="208"/>
      <c r="D1072" s="208"/>
      <c r="E1072" s="208"/>
      <c r="F1072" s="584"/>
      <c r="G1072" s="208"/>
      <c r="H1072" s="208"/>
      <c r="I1072" s="208"/>
      <c r="J1072" s="208"/>
      <c r="K1072" s="208"/>
      <c r="L1072" s="536"/>
      <c r="M1072" s="208"/>
      <c r="N1072" s="208"/>
      <c r="O1072" s="208"/>
      <c r="P1072" s="208"/>
      <c r="Q1072" s="208"/>
      <c r="R1072" s="208"/>
      <c r="S1072" s="208"/>
      <c r="T1072" s="208"/>
      <c r="U1072" s="208"/>
      <c r="V1072" s="208"/>
      <c r="W1072" s="208"/>
      <c r="X1072" s="208"/>
      <c r="Y1072" s="208"/>
      <c r="Z1072" s="208"/>
      <c r="AA1072" s="208"/>
      <c r="AB1072" s="208"/>
      <c r="AC1072" s="208"/>
      <c r="AD1072" s="208"/>
      <c r="AE1072" s="208"/>
      <c r="AF1072" s="208"/>
      <c r="AG1072" s="208"/>
      <c r="AH1072" s="208"/>
      <c r="AI1072" s="208"/>
      <c r="AJ1072" s="208"/>
      <c r="AK1072" s="208"/>
      <c r="AL1072" s="208"/>
      <c r="AM1072" s="208"/>
      <c r="AN1072" s="208"/>
      <c r="AO1072" s="208"/>
      <c r="AP1072" s="208"/>
      <c r="AQ1072" s="208"/>
      <c r="AR1072" s="208"/>
      <c r="AS1072" s="208"/>
      <c r="AT1072" s="208"/>
      <c r="AU1072" s="208"/>
      <c r="AV1072" s="208"/>
      <c r="AW1072" s="208"/>
      <c r="AX1072" s="208"/>
      <c r="AY1072" s="208"/>
    </row>
    <row r="1073">
      <c r="A1073" s="208"/>
      <c r="B1073" s="533"/>
      <c r="C1073" s="208"/>
      <c r="D1073" s="208"/>
      <c r="E1073" s="208"/>
      <c r="F1073" s="584"/>
      <c r="G1073" s="208"/>
      <c r="H1073" s="208"/>
      <c r="I1073" s="208"/>
      <c r="J1073" s="208"/>
      <c r="K1073" s="208"/>
      <c r="L1073" s="536"/>
      <c r="M1073" s="208"/>
      <c r="N1073" s="208"/>
      <c r="O1073" s="208"/>
      <c r="P1073" s="208"/>
      <c r="Q1073" s="208"/>
      <c r="R1073" s="208"/>
      <c r="S1073" s="208"/>
      <c r="T1073" s="208"/>
      <c r="U1073" s="208"/>
      <c r="V1073" s="208"/>
      <c r="W1073" s="208"/>
      <c r="X1073" s="208"/>
      <c r="Y1073" s="208"/>
      <c r="Z1073" s="208"/>
      <c r="AA1073" s="208"/>
      <c r="AB1073" s="208"/>
      <c r="AC1073" s="208"/>
      <c r="AD1073" s="208"/>
      <c r="AE1073" s="208"/>
      <c r="AF1073" s="208"/>
      <c r="AG1073" s="208"/>
      <c r="AH1073" s="208"/>
      <c r="AI1073" s="208"/>
      <c r="AJ1073" s="208"/>
      <c r="AK1073" s="208"/>
      <c r="AL1073" s="208"/>
      <c r="AM1073" s="208"/>
      <c r="AN1073" s="208"/>
      <c r="AO1073" s="208"/>
      <c r="AP1073" s="208"/>
      <c r="AQ1073" s="208"/>
      <c r="AR1073" s="208"/>
      <c r="AS1073" s="208"/>
      <c r="AT1073" s="208"/>
      <c r="AU1073" s="208"/>
      <c r="AV1073" s="208"/>
      <c r="AW1073" s="208"/>
      <c r="AX1073" s="208"/>
      <c r="AY1073" s="208"/>
    </row>
    <row r="1074">
      <c r="A1074" s="208"/>
      <c r="B1074" s="533"/>
      <c r="C1074" s="208"/>
      <c r="D1074" s="208"/>
      <c r="E1074" s="208"/>
      <c r="F1074" s="584"/>
      <c r="G1074" s="208"/>
      <c r="H1074" s="208"/>
      <c r="I1074" s="208"/>
      <c r="J1074" s="208"/>
      <c r="K1074" s="208"/>
      <c r="L1074" s="536"/>
      <c r="M1074" s="208"/>
      <c r="N1074" s="208"/>
      <c r="O1074" s="208"/>
      <c r="P1074" s="208"/>
      <c r="Q1074" s="208"/>
      <c r="R1074" s="208"/>
      <c r="S1074" s="208"/>
      <c r="T1074" s="208"/>
      <c r="U1074" s="208"/>
      <c r="V1074" s="208"/>
      <c r="W1074" s="208"/>
      <c r="X1074" s="208"/>
      <c r="Y1074" s="208"/>
      <c r="Z1074" s="208"/>
      <c r="AA1074" s="208"/>
      <c r="AB1074" s="208"/>
      <c r="AC1074" s="208"/>
      <c r="AD1074" s="208"/>
      <c r="AE1074" s="208"/>
      <c r="AF1074" s="208"/>
      <c r="AG1074" s="208"/>
      <c r="AH1074" s="208"/>
      <c r="AI1074" s="208"/>
      <c r="AJ1074" s="208"/>
      <c r="AK1074" s="208"/>
      <c r="AL1074" s="208"/>
      <c r="AM1074" s="208"/>
      <c r="AN1074" s="208"/>
      <c r="AO1074" s="208"/>
      <c r="AP1074" s="208"/>
      <c r="AQ1074" s="208"/>
      <c r="AR1074" s="208"/>
      <c r="AS1074" s="208"/>
      <c r="AT1074" s="208"/>
      <c r="AU1074" s="208"/>
      <c r="AV1074" s="208"/>
      <c r="AW1074" s="208"/>
      <c r="AX1074" s="208"/>
      <c r="AY1074" s="208"/>
    </row>
    <row r="1075">
      <c r="A1075" s="208"/>
      <c r="B1075" s="533"/>
      <c r="C1075" s="208"/>
      <c r="D1075" s="208"/>
      <c r="E1075" s="208"/>
      <c r="F1075" s="584"/>
      <c r="G1075" s="208"/>
      <c r="H1075" s="208"/>
      <c r="I1075" s="208"/>
      <c r="J1075" s="208"/>
      <c r="K1075" s="208"/>
      <c r="L1075" s="536"/>
      <c r="M1075" s="208"/>
      <c r="N1075" s="208"/>
      <c r="O1075" s="208"/>
      <c r="P1075" s="208"/>
      <c r="Q1075" s="208"/>
      <c r="R1075" s="208"/>
      <c r="S1075" s="208"/>
      <c r="T1075" s="208"/>
      <c r="U1075" s="208"/>
      <c r="V1075" s="208"/>
      <c r="W1075" s="208"/>
      <c r="X1075" s="208"/>
      <c r="Y1075" s="208"/>
      <c r="Z1075" s="208"/>
      <c r="AA1075" s="208"/>
      <c r="AB1075" s="208"/>
      <c r="AC1075" s="208"/>
      <c r="AD1075" s="208"/>
      <c r="AE1075" s="208"/>
      <c r="AF1075" s="208"/>
      <c r="AG1075" s="208"/>
      <c r="AH1075" s="208"/>
      <c r="AI1075" s="208"/>
      <c r="AJ1075" s="208"/>
      <c r="AK1075" s="208"/>
      <c r="AL1075" s="208"/>
      <c r="AM1075" s="208"/>
      <c r="AN1075" s="208"/>
      <c r="AO1075" s="208"/>
      <c r="AP1075" s="208"/>
      <c r="AQ1075" s="208"/>
      <c r="AR1075" s="208"/>
      <c r="AS1075" s="208"/>
      <c r="AT1075" s="208"/>
      <c r="AU1075" s="208"/>
      <c r="AV1075" s="208"/>
      <c r="AW1075" s="208"/>
      <c r="AX1075" s="208"/>
      <c r="AY1075" s="208"/>
    </row>
    <row r="1076">
      <c r="A1076" s="208"/>
      <c r="B1076" s="533"/>
      <c r="C1076" s="208"/>
      <c r="D1076" s="208"/>
      <c r="E1076" s="208"/>
      <c r="F1076" s="584"/>
      <c r="G1076" s="208"/>
      <c r="H1076" s="208"/>
      <c r="I1076" s="208"/>
      <c r="J1076" s="208"/>
      <c r="K1076" s="208"/>
      <c r="L1076" s="536"/>
      <c r="M1076" s="208"/>
      <c r="N1076" s="208"/>
      <c r="O1076" s="208"/>
      <c r="P1076" s="208"/>
      <c r="Q1076" s="208"/>
      <c r="R1076" s="208"/>
      <c r="S1076" s="208"/>
      <c r="T1076" s="208"/>
      <c r="U1076" s="208"/>
      <c r="V1076" s="208"/>
      <c r="W1076" s="208"/>
      <c r="X1076" s="208"/>
      <c r="Y1076" s="208"/>
      <c r="Z1076" s="208"/>
      <c r="AA1076" s="208"/>
      <c r="AB1076" s="208"/>
      <c r="AC1076" s="208"/>
      <c r="AD1076" s="208"/>
      <c r="AE1076" s="208"/>
      <c r="AF1076" s="208"/>
      <c r="AG1076" s="208"/>
      <c r="AH1076" s="208"/>
      <c r="AI1076" s="208"/>
      <c r="AJ1076" s="208"/>
      <c r="AK1076" s="208"/>
      <c r="AL1076" s="208"/>
      <c r="AM1076" s="208"/>
      <c r="AN1076" s="208"/>
      <c r="AO1076" s="208"/>
      <c r="AP1076" s="208"/>
      <c r="AQ1076" s="208"/>
      <c r="AR1076" s="208"/>
      <c r="AS1076" s="208"/>
      <c r="AT1076" s="208"/>
      <c r="AU1076" s="208"/>
      <c r="AV1076" s="208"/>
      <c r="AW1076" s="208"/>
      <c r="AX1076" s="208"/>
      <c r="AY1076" s="208"/>
    </row>
    <row r="1077">
      <c r="A1077" s="208"/>
      <c r="B1077" s="533"/>
      <c r="C1077" s="208"/>
      <c r="D1077" s="208"/>
      <c r="E1077" s="208"/>
      <c r="F1077" s="584"/>
      <c r="G1077" s="208"/>
      <c r="H1077" s="208"/>
      <c r="I1077" s="208"/>
      <c r="J1077" s="208"/>
      <c r="K1077" s="208"/>
      <c r="L1077" s="536"/>
      <c r="M1077" s="208"/>
      <c r="N1077" s="208"/>
      <c r="O1077" s="208"/>
      <c r="P1077" s="208"/>
      <c r="Q1077" s="208"/>
      <c r="R1077" s="208"/>
      <c r="S1077" s="208"/>
      <c r="T1077" s="208"/>
      <c r="U1077" s="208"/>
      <c r="V1077" s="208"/>
      <c r="W1077" s="208"/>
      <c r="X1077" s="208"/>
      <c r="Y1077" s="208"/>
      <c r="Z1077" s="208"/>
      <c r="AA1077" s="208"/>
      <c r="AB1077" s="208"/>
      <c r="AC1077" s="208"/>
      <c r="AD1077" s="208"/>
      <c r="AE1077" s="208"/>
      <c r="AF1077" s="208"/>
      <c r="AG1077" s="208"/>
      <c r="AH1077" s="208"/>
      <c r="AI1077" s="208"/>
      <c r="AJ1077" s="208"/>
      <c r="AK1077" s="208"/>
      <c r="AL1077" s="208"/>
      <c r="AM1077" s="208"/>
      <c r="AN1077" s="208"/>
      <c r="AO1077" s="208"/>
      <c r="AP1077" s="208"/>
      <c r="AQ1077" s="208"/>
      <c r="AR1077" s="208"/>
      <c r="AS1077" s="208"/>
      <c r="AT1077" s="208"/>
      <c r="AU1077" s="208"/>
      <c r="AV1077" s="208"/>
      <c r="AW1077" s="208"/>
      <c r="AX1077" s="208"/>
      <c r="AY1077" s="208"/>
    </row>
    <row r="1078">
      <c r="A1078" s="208"/>
      <c r="B1078" s="533"/>
      <c r="C1078" s="208"/>
      <c r="D1078" s="208"/>
      <c r="E1078" s="208"/>
      <c r="F1078" s="584"/>
      <c r="G1078" s="208"/>
      <c r="H1078" s="208"/>
      <c r="I1078" s="208"/>
      <c r="J1078" s="208"/>
      <c r="K1078" s="208"/>
      <c r="L1078" s="536"/>
      <c r="M1078" s="208"/>
      <c r="N1078" s="208"/>
      <c r="O1078" s="208"/>
      <c r="P1078" s="208"/>
      <c r="Q1078" s="208"/>
      <c r="R1078" s="208"/>
      <c r="S1078" s="208"/>
      <c r="T1078" s="208"/>
      <c r="U1078" s="208"/>
      <c r="V1078" s="208"/>
      <c r="W1078" s="208"/>
      <c r="X1078" s="208"/>
      <c r="Y1078" s="208"/>
      <c r="Z1078" s="208"/>
      <c r="AA1078" s="208"/>
      <c r="AB1078" s="208"/>
      <c r="AC1078" s="208"/>
      <c r="AD1078" s="208"/>
      <c r="AE1078" s="208"/>
      <c r="AF1078" s="208"/>
      <c r="AG1078" s="208"/>
      <c r="AH1078" s="208"/>
      <c r="AI1078" s="208"/>
      <c r="AJ1078" s="208"/>
      <c r="AK1078" s="208"/>
      <c r="AL1078" s="208"/>
      <c r="AM1078" s="208"/>
      <c r="AN1078" s="208"/>
      <c r="AO1078" s="208"/>
      <c r="AP1078" s="208"/>
      <c r="AQ1078" s="208"/>
      <c r="AR1078" s="208"/>
      <c r="AS1078" s="208"/>
      <c r="AT1078" s="208"/>
      <c r="AU1078" s="208"/>
      <c r="AV1078" s="208"/>
      <c r="AW1078" s="208"/>
      <c r="AX1078" s="208"/>
      <c r="AY1078" s="208"/>
    </row>
    <row r="1079">
      <c r="A1079" s="208"/>
      <c r="B1079" s="533"/>
      <c r="C1079" s="208"/>
      <c r="D1079" s="208"/>
      <c r="E1079" s="208"/>
      <c r="F1079" s="584"/>
      <c r="G1079" s="208"/>
      <c r="H1079" s="208"/>
      <c r="I1079" s="208"/>
      <c r="J1079" s="208"/>
      <c r="K1079" s="208"/>
      <c r="L1079" s="536"/>
      <c r="M1079" s="208"/>
      <c r="N1079" s="208"/>
      <c r="O1079" s="208"/>
      <c r="P1079" s="208"/>
      <c r="Q1079" s="208"/>
      <c r="R1079" s="208"/>
      <c r="S1079" s="208"/>
      <c r="T1079" s="208"/>
      <c r="U1079" s="208"/>
      <c r="V1079" s="208"/>
      <c r="W1079" s="208"/>
      <c r="X1079" s="208"/>
      <c r="Y1079" s="208"/>
      <c r="Z1079" s="208"/>
      <c r="AA1079" s="208"/>
      <c r="AB1079" s="208"/>
      <c r="AC1079" s="208"/>
      <c r="AD1079" s="208"/>
      <c r="AE1079" s="208"/>
      <c r="AF1079" s="208"/>
      <c r="AG1079" s="208"/>
      <c r="AH1079" s="208"/>
      <c r="AI1079" s="208"/>
      <c r="AJ1079" s="208"/>
      <c r="AK1079" s="208"/>
      <c r="AL1079" s="208"/>
      <c r="AM1079" s="208"/>
      <c r="AN1079" s="208"/>
      <c r="AO1079" s="208"/>
      <c r="AP1079" s="208"/>
      <c r="AQ1079" s="208"/>
      <c r="AR1079" s="208"/>
      <c r="AS1079" s="208"/>
      <c r="AT1079" s="208"/>
      <c r="AU1079" s="208"/>
      <c r="AV1079" s="208"/>
      <c r="AW1079" s="208"/>
      <c r="AX1079" s="208"/>
      <c r="AY1079" s="208"/>
    </row>
    <row r="1080">
      <c r="A1080" s="208"/>
      <c r="B1080" s="533"/>
      <c r="C1080" s="208"/>
      <c r="D1080" s="208"/>
      <c r="E1080" s="208"/>
      <c r="F1080" s="584"/>
      <c r="G1080" s="208"/>
      <c r="H1080" s="208"/>
      <c r="I1080" s="208"/>
      <c r="J1080" s="208"/>
      <c r="K1080" s="208"/>
      <c r="L1080" s="536"/>
      <c r="M1080" s="208"/>
      <c r="N1080" s="208"/>
      <c r="O1080" s="208"/>
      <c r="P1080" s="208"/>
      <c r="Q1080" s="208"/>
      <c r="R1080" s="208"/>
      <c r="S1080" s="208"/>
      <c r="T1080" s="208"/>
      <c r="U1080" s="208"/>
      <c r="V1080" s="208"/>
      <c r="W1080" s="208"/>
      <c r="X1080" s="208"/>
      <c r="Y1080" s="208"/>
      <c r="Z1080" s="208"/>
      <c r="AA1080" s="208"/>
      <c r="AB1080" s="208"/>
      <c r="AC1080" s="208"/>
      <c r="AD1080" s="208"/>
      <c r="AE1080" s="208"/>
      <c r="AF1080" s="208"/>
      <c r="AG1080" s="208"/>
      <c r="AH1080" s="208"/>
      <c r="AI1080" s="208"/>
      <c r="AJ1080" s="208"/>
      <c r="AK1080" s="208"/>
      <c r="AL1080" s="208"/>
      <c r="AM1080" s="208"/>
      <c r="AN1080" s="208"/>
      <c r="AO1080" s="208"/>
      <c r="AP1080" s="208"/>
      <c r="AQ1080" s="208"/>
      <c r="AR1080" s="208"/>
      <c r="AS1080" s="208"/>
      <c r="AT1080" s="208"/>
      <c r="AU1080" s="208"/>
      <c r="AV1080" s="208"/>
      <c r="AW1080" s="208"/>
      <c r="AX1080" s="208"/>
      <c r="AY1080" s="208"/>
    </row>
    <row r="1081">
      <c r="A1081" s="208"/>
      <c r="B1081" s="533"/>
      <c r="C1081" s="208"/>
      <c r="D1081" s="208"/>
      <c r="E1081" s="208"/>
      <c r="F1081" s="584"/>
      <c r="G1081" s="208"/>
      <c r="H1081" s="208"/>
      <c r="I1081" s="208"/>
      <c r="J1081" s="208"/>
      <c r="K1081" s="208"/>
      <c r="L1081" s="536"/>
      <c r="M1081" s="208"/>
      <c r="N1081" s="208"/>
      <c r="O1081" s="208"/>
      <c r="P1081" s="208"/>
      <c r="Q1081" s="208"/>
      <c r="R1081" s="208"/>
      <c r="S1081" s="208"/>
      <c r="T1081" s="208"/>
      <c r="U1081" s="208"/>
      <c r="V1081" s="208"/>
      <c r="W1081" s="208"/>
      <c r="X1081" s="208"/>
      <c r="Y1081" s="208"/>
      <c r="Z1081" s="208"/>
      <c r="AA1081" s="208"/>
      <c r="AB1081" s="208"/>
      <c r="AC1081" s="208"/>
      <c r="AD1081" s="208"/>
      <c r="AE1081" s="208"/>
      <c r="AF1081" s="208"/>
      <c r="AG1081" s="208"/>
      <c r="AH1081" s="208"/>
      <c r="AI1081" s="208"/>
      <c r="AJ1081" s="208"/>
      <c r="AK1081" s="208"/>
      <c r="AL1081" s="208"/>
      <c r="AM1081" s="208"/>
      <c r="AN1081" s="208"/>
      <c r="AO1081" s="208"/>
      <c r="AP1081" s="208"/>
      <c r="AQ1081" s="208"/>
      <c r="AR1081" s="208"/>
      <c r="AS1081" s="208"/>
      <c r="AT1081" s="208"/>
      <c r="AU1081" s="208"/>
      <c r="AV1081" s="208"/>
      <c r="AW1081" s="208"/>
      <c r="AX1081" s="208"/>
      <c r="AY1081" s="208"/>
    </row>
    <row r="1082">
      <c r="A1082" s="208"/>
      <c r="B1082" s="533"/>
      <c r="C1082" s="208"/>
      <c r="D1082" s="208"/>
      <c r="E1082" s="208"/>
      <c r="F1082" s="584"/>
      <c r="G1082" s="208"/>
      <c r="H1082" s="208"/>
      <c r="I1082" s="208"/>
      <c r="J1082" s="208"/>
      <c r="K1082" s="208"/>
      <c r="L1082" s="536"/>
      <c r="M1082" s="208"/>
      <c r="N1082" s="208"/>
      <c r="O1082" s="208"/>
      <c r="P1082" s="208"/>
      <c r="Q1082" s="208"/>
      <c r="R1082" s="208"/>
      <c r="S1082" s="208"/>
      <c r="T1082" s="208"/>
      <c r="U1082" s="208"/>
      <c r="V1082" s="208"/>
      <c r="W1082" s="208"/>
      <c r="X1082" s="208"/>
      <c r="Y1082" s="208"/>
      <c r="Z1082" s="208"/>
      <c r="AA1082" s="208"/>
      <c r="AB1082" s="208"/>
      <c r="AC1082" s="208"/>
      <c r="AD1082" s="208"/>
      <c r="AE1082" s="208"/>
      <c r="AF1082" s="208"/>
      <c r="AG1082" s="208"/>
      <c r="AH1082" s="208"/>
      <c r="AI1082" s="208"/>
      <c r="AJ1082" s="208"/>
      <c r="AK1082" s="208"/>
      <c r="AL1082" s="208"/>
      <c r="AM1082" s="208"/>
      <c r="AN1082" s="208"/>
      <c r="AO1082" s="208"/>
      <c r="AP1082" s="208"/>
      <c r="AQ1082" s="208"/>
      <c r="AR1082" s="208"/>
      <c r="AS1082" s="208"/>
      <c r="AT1082" s="208"/>
      <c r="AU1082" s="208"/>
      <c r="AV1082" s="208"/>
      <c r="AW1082" s="208"/>
      <c r="AX1082" s="208"/>
      <c r="AY1082" s="208"/>
    </row>
    <row r="1083">
      <c r="A1083" s="208"/>
      <c r="B1083" s="533"/>
      <c r="C1083" s="208"/>
      <c r="D1083" s="208"/>
      <c r="E1083" s="208"/>
      <c r="F1083" s="584"/>
      <c r="G1083" s="208"/>
      <c r="H1083" s="208"/>
      <c r="I1083" s="208"/>
      <c r="J1083" s="208"/>
      <c r="K1083" s="208"/>
      <c r="L1083" s="536"/>
      <c r="M1083" s="208"/>
      <c r="N1083" s="208"/>
      <c r="O1083" s="208"/>
      <c r="P1083" s="208"/>
      <c r="Q1083" s="208"/>
      <c r="R1083" s="208"/>
      <c r="S1083" s="208"/>
      <c r="T1083" s="208"/>
      <c r="U1083" s="208"/>
      <c r="V1083" s="208"/>
      <c r="W1083" s="208"/>
      <c r="X1083" s="208"/>
      <c r="Y1083" s="208"/>
      <c r="Z1083" s="208"/>
      <c r="AA1083" s="208"/>
      <c r="AB1083" s="208"/>
      <c r="AC1083" s="208"/>
      <c r="AD1083" s="208"/>
      <c r="AE1083" s="208"/>
      <c r="AF1083" s="208"/>
      <c r="AG1083" s="208"/>
      <c r="AH1083" s="208"/>
      <c r="AI1083" s="208"/>
      <c r="AJ1083" s="208"/>
      <c r="AK1083" s="208"/>
      <c r="AL1083" s="208"/>
      <c r="AM1083" s="208"/>
      <c r="AN1083" s="208"/>
      <c r="AO1083" s="208"/>
      <c r="AP1083" s="208"/>
      <c r="AQ1083" s="208"/>
      <c r="AR1083" s="208"/>
      <c r="AS1083" s="208"/>
      <c r="AT1083" s="208"/>
      <c r="AU1083" s="208"/>
      <c r="AV1083" s="208"/>
      <c r="AW1083" s="208"/>
      <c r="AX1083" s="208"/>
      <c r="AY1083" s="208"/>
    </row>
    <row r="1084">
      <c r="A1084" s="208"/>
      <c r="B1084" s="533"/>
      <c r="C1084" s="208"/>
      <c r="D1084" s="208"/>
      <c r="E1084" s="208"/>
      <c r="F1084" s="584"/>
      <c r="G1084" s="208"/>
      <c r="H1084" s="208"/>
      <c r="I1084" s="208"/>
      <c r="J1084" s="208"/>
      <c r="K1084" s="208"/>
      <c r="L1084" s="536"/>
      <c r="M1084" s="208"/>
      <c r="N1084" s="208"/>
      <c r="O1084" s="208"/>
      <c r="P1084" s="208"/>
      <c r="Q1084" s="208"/>
      <c r="R1084" s="208"/>
      <c r="S1084" s="208"/>
      <c r="T1084" s="208"/>
      <c r="U1084" s="208"/>
      <c r="V1084" s="208"/>
      <c r="W1084" s="208"/>
      <c r="X1084" s="208"/>
      <c r="Y1084" s="208"/>
      <c r="Z1084" s="208"/>
      <c r="AA1084" s="208"/>
      <c r="AB1084" s="208"/>
      <c r="AC1084" s="208"/>
      <c r="AD1084" s="208"/>
      <c r="AE1084" s="208"/>
      <c r="AF1084" s="208"/>
      <c r="AG1084" s="208"/>
      <c r="AH1084" s="208"/>
      <c r="AI1084" s="208"/>
      <c r="AJ1084" s="208"/>
      <c r="AK1084" s="208"/>
      <c r="AL1084" s="208"/>
      <c r="AM1084" s="208"/>
      <c r="AN1084" s="208"/>
      <c r="AO1084" s="208"/>
      <c r="AP1084" s="208"/>
      <c r="AQ1084" s="208"/>
      <c r="AR1084" s="208"/>
      <c r="AS1084" s="208"/>
      <c r="AT1084" s="208"/>
      <c r="AU1084" s="208"/>
      <c r="AV1084" s="208"/>
      <c r="AW1084" s="208"/>
      <c r="AX1084" s="208"/>
      <c r="AY1084" s="208"/>
    </row>
    <row r="1085">
      <c r="A1085" s="208"/>
      <c r="B1085" s="533"/>
      <c r="C1085" s="208"/>
      <c r="D1085" s="208"/>
      <c r="E1085" s="208"/>
      <c r="F1085" s="584"/>
      <c r="G1085" s="208"/>
      <c r="H1085" s="208"/>
      <c r="I1085" s="208"/>
      <c r="J1085" s="208"/>
      <c r="K1085" s="208"/>
      <c r="L1085" s="536"/>
      <c r="M1085" s="208"/>
      <c r="N1085" s="208"/>
      <c r="O1085" s="208"/>
      <c r="P1085" s="208"/>
      <c r="Q1085" s="208"/>
      <c r="R1085" s="208"/>
      <c r="S1085" s="208"/>
      <c r="T1085" s="208"/>
      <c r="U1085" s="208"/>
      <c r="V1085" s="208"/>
      <c r="W1085" s="208"/>
      <c r="X1085" s="208"/>
      <c r="Y1085" s="208"/>
      <c r="Z1085" s="208"/>
      <c r="AA1085" s="208"/>
      <c r="AB1085" s="208"/>
      <c r="AC1085" s="208"/>
      <c r="AD1085" s="208"/>
      <c r="AE1085" s="208"/>
      <c r="AF1085" s="208"/>
      <c r="AG1085" s="208"/>
      <c r="AH1085" s="208"/>
      <c r="AI1085" s="208"/>
      <c r="AJ1085" s="208"/>
      <c r="AK1085" s="208"/>
      <c r="AL1085" s="208"/>
      <c r="AM1085" s="208"/>
      <c r="AN1085" s="208"/>
      <c r="AO1085" s="208"/>
      <c r="AP1085" s="208"/>
      <c r="AQ1085" s="208"/>
      <c r="AR1085" s="208"/>
      <c r="AS1085" s="208"/>
      <c r="AT1085" s="208"/>
      <c r="AU1085" s="208"/>
      <c r="AV1085" s="208"/>
      <c r="AW1085" s="208"/>
      <c r="AX1085" s="208"/>
      <c r="AY1085" s="208"/>
    </row>
    <row r="1086">
      <c r="A1086" s="208"/>
      <c r="B1086" s="533"/>
      <c r="C1086" s="208"/>
      <c r="D1086" s="208"/>
      <c r="E1086" s="208"/>
      <c r="F1086" s="584"/>
      <c r="G1086" s="208"/>
      <c r="H1086" s="208"/>
      <c r="I1086" s="208"/>
      <c r="J1086" s="208"/>
      <c r="K1086" s="208"/>
      <c r="L1086" s="536"/>
      <c r="M1086" s="208"/>
      <c r="N1086" s="208"/>
      <c r="O1086" s="208"/>
      <c r="P1086" s="208"/>
      <c r="Q1086" s="208"/>
      <c r="R1086" s="208"/>
      <c r="S1086" s="208"/>
      <c r="T1086" s="208"/>
      <c r="U1086" s="208"/>
      <c r="V1086" s="208"/>
      <c r="W1086" s="208"/>
      <c r="X1086" s="208"/>
      <c r="Y1086" s="208"/>
      <c r="Z1086" s="208"/>
      <c r="AA1086" s="208"/>
      <c r="AB1086" s="208"/>
      <c r="AC1086" s="208"/>
      <c r="AD1086" s="208"/>
      <c r="AE1086" s="208"/>
      <c r="AF1086" s="208"/>
      <c r="AG1086" s="208"/>
      <c r="AH1086" s="208"/>
      <c r="AI1086" s="208"/>
      <c r="AJ1086" s="208"/>
      <c r="AK1086" s="208"/>
      <c r="AL1086" s="208"/>
      <c r="AM1086" s="208"/>
      <c r="AN1086" s="208"/>
      <c r="AO1086" s="208"/>
      <c r="AP1086" s="208"/>
      <c r="AQ1086" s="208"/>
      <c r="AR1086" s="208"/>
      <c r="AS1086" s="208"/>
      <c r="AT1086" s="208"/>
      <c r="AU1086" s="208"/>
      <c r="AV1086" s="208"/>
      <c r="AW1086" s="208"/>
      <c r="AX1086" s="208"/>
      <c r="AY1086" s="208"/>
    </row>
    <row r="1087">
      <c r="A1087" s="208"/>
      <c r="B1087" s="533"/>
      <c r="C1087" s="208"/>
      <c r="D1087" s="208"/>
      <c r="E1087" s="208"/>
      <c r="F1087" s="584"/>
      <c r="G1087" s="208"/>
      <c r="H1087" s="208"/>
      <c r="I1087" s="208"/>
      <c r="J1087" s="208"/>
      <c r="K1087" s="208"/>
      <c r="L1087" s="536"/>
      <c r="M1087" s="208"/>
      <c r="N1087" s="208"/>
      <c r="O1087" s="208"/>
      <c r="P1087" s="208"/>
      <c r="Q1087" s="208"/>
      <c r="R1087" s="208"/>
      <c r="S1087" s="208"/>
      <c r="T1087" s="208"/>
      <c r="U1087" s="208"/>
      <c r="V1087" s="208"/>
      <c r="W1087" s="208"/>
      <c r="X1087" s="208"/>
      <c r="Y1087" s="208"/>
      <c r="Z1087" s="208"/>
      <c r="AA1087" s="208"/>
      <c r="AB1087" s="208"/>
      <c r="AC1087" s="208"/>
      <c r="AD1087" s="208"/>
      <c r="AE1087" s="208"/>
      <c r="AF1087" s="208"/>
      <c r="AG1087" s="208"/>
      <c r="AH1087" s="208"/>
      <c r="AI1087" s="208"/>
      <c r="AJ1087" s="208"/>
      <c r="AK1087" s="208"/>
      <c r="AL1087" s="208"/>
      <c r="AM1087" s="208"/>
      <c r="AN1087" s="208"/>
      <c r="AO1087" s="208"/>
      <c r="AP1087" s="208"/>
      <c r="AQ1087" s="208"/>
      <c r="AR1087" s="208"/>
      <c r="AS1087" s="208"/>
      <c r="AT1087" s="208"/>
      <c r="AU1087" s="208"/>
      <c r="AV1087" s="208"/>
      <c r="AW1087" s="208"/>
      <c r="AX1087" s="208"/>
      <c r="AY1087" s="208"/>
    </row>
    <row r="1088">
      <c r="A1088" s="208"/>
      <c r="B1088" s="533"/>
      <c r="C1088" s="208"/>
      <c r="D1088" s="208"/>
      <c r="E1088" s="208"/>
      <c r="F1088" s="584"/>
      <c r="G1088" s="208"/>
      <c r="H1088" s="208"/>
      <c r="I1088" s="208"/>
      <c r="J1088" s="208"/>
      <c r="K1088" s="208"/>
      <c r="L1088" s="536"/>
      <c r="M1088" s="208"/>
      <c r="N1088" s="208"/>
      <c r="O1088" s="208"/>
      <c r="P1088" s="208"/>
      <c r="Q1088" s="208"/>
      <c r="R1088" s="208"/>
      <c r="S1088" s="208"/>
      <c r="T1088" s="208"/>
      <c r="U1088" s="208"/>
      <c r="V1088" s="208"/>
      <c r="W1088" s="208"/>
      <c r="X1088" s="208"/>
      <c r="Y1088" s="208"/>
      <c r="Z1088" s="208"/>
      <c r="AA1088" s="208"/>
      <c r="AB1088" s="208"/>
      <c r="AC1088" s="208"/>
      <c r="AD1088" s="208"/>
      <c r="AE1088" s="208"/>
      <c r="AF1088" s="208"/>
      <c r="AG1088" s="208"/>
      <c r="AH1088" s="208"/>
      <c r="AI1088" s="208"/>
      <c r="AJ1088" s="208"/>
      <c r="AK1088" s="208"/>
      <c r="AL1088" s="208"/>
      <c r="AM1088" s="208"/>
      <c r="AN1088" s="208"/>
      <c r="AO1088" s="208"/>
      <c r="AP1088" s="208"/>
      <c r="AQ1088" s="208"/>
      <c r="AR1088" s="208"/>
      <c r="AS1088" s="208"/>
      <c r="AT1088" s="208"/>
      <c r="AU1088" s="208"/>
      <c r="AV1088" s="208"/>
      <c r="AW1088" s="208"/>
      <c r="AX1088" s="208"/>
      <c r="AY1088" s="208"/>
    </row>
    <row r="1089">
      <c r="A1089" s="208"/>
      <c r="B1089" s="533"/>
      <c r="C1089" s="208"/>
      <c r="D1089" s="208"/>
      <c r="E1089" s="208"/>
      <c r="F1089" s="584"/>
      <c r="G1089" s="208"/>
      <c r="H1089" s="208"/>
      <c r="I1089" s="208"/>
      <c r="J1089" s="208"/>
      <c r="K1089" s="208"/>
      <c r="L1089" s="536"/>
      <c r="M1089" s="208"/>
      <c r="N1089" s="208"/>
      <c r="O1089" s="208"/>
      <c r="P1089" s="208"/>
      <c r="Q1089" s="208"/>
      <c r="R1089" s="208"/>
      <c r="S1089" s="208"/>
      <c r="T1089" s="208"/>
      <c r="U1089" s="208"/>
      <c r="V1089" s="208"/>
      <c r="W1089" s="208"/>
      <c r="X1089" s="208"/>
      <c r="Y1089" s="208"/>
      <c r="Z1089" s="208"/>
      <c r="AA1089" s="208"/>
      <c r="AB1089" s="208"/>
      <c r="AC1089" s="208"/>
      <c r="AD1089" s="208"/>
      <c r="AE1089" s="208"/>
      <c r="AF1089" s="208"/>
      <c r="AG1089" s="208"/>
      <c r="AH1089" s="208"/>
      <c r="AI1089" s="208"/>
      <c r="AJ1089" s="208"/>
      <c r="AK1089" s="208"/>
      <c r="AL1089" s="208"/>
      <c r="AM1089" s="208"/>
      <c r="AN1089" s="208"/>
      <c r="AO1089" s="208"/>
      <c r="AP1089" s="208"/>
      <c r="AQ1089" s="208"/>
      <c r="AR1089" s="208"/>
      <c r="AS1089" s="208"/>
      <c r="AT1089" s="208"/>
      <c r="AU1089" s="208"/>
      <c r="AV1089" s="208"/>
      <c r="AW1089" s="208"/>
      <c r="AX1089" s="208"/>
      <c r="AY1089" s="208"/>
    </row>
    <row r="1090">
      <c r="A1090" s="208"/>
      <c r="B1090" s="533"/>
      <c r="C1090" s="208"/>
      <c r="D1090" s="208"/>
      <c r="E1090" s="208"/>
      <c r="F1090" s="584"/>
      <c r="G1090" s="208"/>
      <c r="H1090" s="208"/>
      <c r="I1090" s="208"/>
      <c r="J1090" s="208"/>
      <c r="K1090" s="208"/>
      <c r="L1090" s="536"/>
      <c r="M1090" s="208"/>
      <c r="N1090" s="208"/>
      <c r="O1090" s="208"/>
      <c r="P1090" s="208"/>
      <c r="Q1090" s="208"/>
      <c r="R1090" s="208"/>
      <c r="S1090" s="208"/>
      <c r="T1090" s="208"/>
      <c r="U1090" s="208"/>
      <c r="V1090" s="208"/>
      <c r="W1090" s="208"/>
      <c r="X1090" s="208"/>
      <c r="Y1090" s="208"/>
      <c r="Z1090" s="208"/>
      <c r="AA1090" s="208"/>
      <c r="AB1090" s="208"/>
      <c r="AC1090" s="208"/>
      <c r="AD1090" s="208"/>
      <c r="AE1090" s="208"/>
      <c r="AF1090" s="208"/>
      <c r="AG1090" s="208"/>
      <c r="AH1090" s="208"/>
      <c r="AI1090" s="208"/>
      <c r="AJ1090" s="208"/>
      <c r="AK1090" s="208"/>
      <c r="AL1090" s="208"/>
      <c r="AM1090" s="208"/>
      <c r="AN1090" s="208"/>
      <c r="AO1090" s="208"/>
      <c r="AP1090" s="208"/>
      <c r="AQ1090" s="208"/>
      <c r="AR1090" s="208"/>
      <c r="AS1090" s="208"/>
      <c r="AT1090" s="208"/>
      <c r="AU1090" s="208"/>
      <c r="AV1090" s="208"/>
      <c r="AW1090" s="208"/>
      <c r="AX1090" s="208"/>
      <c r="AY1090" s="208"/>
    </row>
    <row r="1091">
      <c r="A1091" s="208"/>
      <c r="B1091" s="533"/>
      <c r="C1091" s="208"/>
      <c r="D1091" s="208"/>
      <c r="E1091" s="208"/>
      <c r="F1091" s="584"/>
      <c r="G1091" s="208"/>
      <c r="H1091" s="208"/>
      <c r="I1091" s="208"/>
      <c r="J1091" s="208"/>
      <c r="K1091" s="208"/>
      <c r="L1091" s="536"/>
      <c r="M1091" s="208"/>
      <c r="N1091" s="208"/>
      <c r="O1091" s="208"/>
      <c r="P1091" s="208"/>
      <c r="Q1091" s="208"/>
      <c r="R1091" s="208"/>
      <c r="S1091" s="208"/>
      <c r="T1091" s="208"/>
      <c r="U1091" s="208"/>
      <c r="V1091" s="208"/>
      <c r="W1091" s="208"/>
      <c r="X1091" s="208"/>
      <c r="Y1091" s="208"/>
      <c r="Z1091" s="208"/>
      <c r="AA1091" s="208"/>
      <c r="AB1091" s="208"/>
      <c r="AC1091" s="208"/>
      <c r="AD1091" s="208"/>
      <c r="AE1091" s="208"/>
      <c r="AF1091" s="208"/>
      <c r="AG1091" s="208"/>
      <c r="AH1091" s="208"/>
      <c r="AI1091" s="208"/>
      <c r="AJ1091" s="208"/>
      <c r="AK1091" s="208"/>
      <c r="AL1091" s="208"/>
      <c r="AM1091" s="208"/>
      <c r="AN1091" s="208"/>
      <c r="AO1091" s="208"/>
      <c r="AP1091" s="208"/>
      <c r="AQ1091" s="208"/>
      <c r="AR1091" s="208"/>
      <c r="AS1091" s="208"/>
      <c r="AT1091" s="208"/>
      <c r="AU1091" s="208"/>
      <c r="AV1091" s="208"/>
      <c r="AW1091" s="208"/>
      <c r="AX1091" s="208"/>
      <c r="AY1091" s="208"/>
    </row>
    <row r="1092">
      <c r="A1092" s="208"/>
      <c r="B1092" s="533"/>
      <c r="C1092" s="208"/>
      <c r="D1092" s="208"/>
      <c r="E1092" s="208"/>
      <c r="F1092" s="584"/>
      <c r="G1092" s="208"/>
      <c r="H1092" s="208"/>
      <c r="I1092" s="208"/>
      <c r="J1092" s="208"/>
      <c r="K1092" s="208"/>
      <c r="L1092" s="536"/>
      <c r="M1092" s="208"/>
      <c r="N1092" s="208"/>
      <c r="O1092" s="208"/>
      <c r="P1092" s="208"/>
      <c r="Q1092" s="208"/>
      <c r="R1092" s="208"/>
      <c r="S1092" s="208"/>
      <c r="T1092" s="208"/>
      <c r="U1092" s="208"/>
      <c r="V1092" s="208"/>
      <c r="W1092" s="208"/>
      <c r="X1092" s="208"/>
      <c r="Y1092" s="208"/>
      <c r="Z1092" s="208"/>
      <c r="AA1092" s="208"/>
      <c r="AB1092" s="208"/>
      <c r="AC1092" s="208"/>
      <c r="AD1092" s="208"/>
      <c r="AE1092" s="208"/>
      <c r="AF1092" s="208"/>
      <c r="AG1092" s="208"/>
      <c r="AH1092" s="208"/>
      <c r="AI1092" s="208"/>
      <c r="AJ1092" s="208"/>
      <c r="AK1092" s="208"/>
      <c r="AL1092" s="208"/>
      <c r="AM1092" s="208"/>
      <c r="AN1092" s="208"/>
      <c r="AO1092" s="208"/>
      <c r="AP1092" s="208"/>
      <c r="AQ1092" s="208"/>
      <c r="AR1092" s="208"/>
      <c r="AS1092" s="208"/>
      <c r="AT1092" s="208"/>
      <c r="AU1092" s="208"/>
      <c r="AV1092" s="208"/>
      <c r="AW1092" s="208"/>
      <c r="AX1092" s="208"/>
      <c r="AY1092" s="208"/>
    </row>
    <row r="1093">
      <c r="A1093" s="208"/>
      <c r="B1093" s="533"/>
      <c r="C1093" s="208"/>
      <c r="D1093" s="208"/>
      <c r="E1093" s="208"/>
      <c r="F1093" s="584"/>
      <c r="G1093" s="208"/>
      <c r="H1093" s="208"/>
      <c r="I1093" s="208"/>
      <c r="J1093" s="208"/>
      <c r="K1093" s="208"/>
      <c r="L1093" s="536"/>
      <c r="M1093" s="208"/>
      <c r="N1093" s="208"/>
      <c r="O1093" s="208"/>
      <c r="P1093" s="208"/>
      <c r="Q1093" s="208"/>
      <c r="R1093" s="208"/>
      <c r="S1093" s="208"/>
      <c r="T1093" s="208"/>
      <c r="U1093" s="208"/>
      <c r="V1093" s="208"/>
      <c r="W1093" s="208"/>
      <c r="X1093" s="208"/>
      <c r="Y1093" s="208"/>
      <c r="Z1093" s="208"/>
      <c r="AA1093" s="208"/>
      <c r="AB1093" s="208"/>
      <c r="AC1093" s="208"/>
      <c r="AD1093" s="208"/>
      <c r="AE1093" s="208"/>
      <c r="AF1093" s="208"/>
      <c r="AG1093" s="208"/>
      <c r="AH1093" s="208"/>
      <c r="AI1093" s="208"/>
      <c r="AJ1093" s="208"/>
      <c r="AK1093" s="208"/>
      <c r="AL1093" s="208"/>
      <c r="AM1093" s="208"/>
      <c r="AN1093" s="208"/>
      <c r="AO1093" s="208"/>
      <c r="AP1093" s="208"/>
      <c r="AQ1093" s="208"/>
      <c r="AR1093" s="208"/>
      <c r="AS1093" s="208"/>
      <c r="AT1093" s="208"/>
      <c r="AU1093" s="208"/>
      <c r="AV1093" s="208"/>
      <c r="AW1093" s="208"/>
      <c r="AX1093" s="208"/>
      <c r="AY1093" s="208"/>
    </row>
    <row r="1094">
      <c r="A1094" s="208"/>
      <c r="B1094" s="533"/>
      <c r="C1094" s="208"/>
      <c r="D1094" s="208"/>
      <c r="E1094" s="208"/>
      <c r="F1094" s="584"/>
      <c r="G1094" s="208"/>
      <c r="H1094" s="208"/>
      <c r="I1094" s="208"/>
      <c r="J1094" s="208"/>
      <c r="K1094" s="208"/>
      <c r="L1094" s="536"/>
      <c r="M1094" s="208"/>
      <c r="N1094" s="208"/>
      <c r="O1094" s="208"/>
      <c r="P1094" s="208"/>
      <c r="Q1094" s="208"/>
      <c r="R1094" s="208"/>
      <c r="S1094" s="208"/>
      <c r="T1094" s="208"/>
      <c r="U1094" s="208"/>
      <c r="V1094" s="208"/>
      <c r="W1094" s="208"/>
      <c r="X1094" s="208"/>
      <c r="Y1094" s="208"/>
      <c r="Z1094" s="208"/>
      <c r="AA1094" s="208"/>
      <c r="AB1094" s="208"/>
      <c r="AC1094" s="208"/>
      <c r="AD1094" s="208"/>
      <c r="AE1094" s="208"/>
      <c r="AF1094" s="208"/>
      <c r="AG1094" s="208"/>
      <c r="AH1094" s="208"/>
      <c r="AI1094" s="208"/>
      <c r="AJ1094" s="208"/>
      <c r="AK1094" s="208"/>
      <c r="AL1094" s="208"/>
      <c r="AM1094" s="208"/>
      <c r="AN1094" s="208"/>
      <c r="AO1094" s="208"/>
      <c r="AP1094" s="208"/>
      <c r="AQ1094" s="208"/>
      <c r="AR1094" s="208"/>
      <c r="AS1094" s="208"/>
      <c r="AT1094" s="208"/>
      <c r="AU1094" s="208"/>
      <c r="AV1094" s="208"/>
      <c r="AW1094" s="208"/>
      <c r="AX1094" s="208"/>
      <c r="AY1094" s="208"/>
    </row>
    <row r="1095">
      <c r="A1095" s="208"/>
      <c r="B1095" s="533"/>
      <c r="C1095" s="208"/>
      <c r="D1095" s="208"/>
      <c r="E1095" s="208"/>
      <c r="F1095" s="584"/>
      <c r="G1095" s="208"/>
      <c r="H1095" s="208"/>
      <c r="I1095" s="208"/>
      <c r="J1095" s="208"/>
      <c r="K1095" s="208"/>
      <c r="L1095" s="536"/>
      <c r="M1095" s="208"/>
      <c r="N1095" s="208"/>
      <c r="O1095" s="208"/>
      <c r="P1095" s="208"/>
      <c r="Q1095" s="208"/>
      <c r="R1095" s="208"/>
      <c r="S1095" s="208"/>
      <c r="T1095" s="208"/>
      <c r="U1095" s="208"/>
      <c r="V1095" s="208"/>
      <c r="W1095" s="208"/>
      <c r="X1095" s="208"/>
      <c r="Y1095" s="208"/>
      <c r="Z1095" s="208"/>
      <c r="AA1095" s="208"/>
      <c r="AB1095" s="208"/>
      <c r="AC1095" s="208"/>
      <c r="AD1095" s="208"/>
      <c r="AE1095" s="208"/>
      <c r="AF1095" s="208"/>
      <c r="AG1095" s="208"/>
      <c r="AH1095" s="208"/>
      <c r="AI1095" s="208"/>
      <c r="AJ1095" s="208"/>
      <c r="AK1095" s="208"/>
      <c r="AL1095" s="208"/>
      <c r="AM1095" s="208"/>
      <c r="AN1095" s="208"/>
      <c r="AO1095" s="208"/>
      <c r="AP1095" s="208"/>
      <c r="AQ1095" s="208"/>
      <c r="AR1095" s="208"/>
      <c r="AS1095" s="208"/>
      <c r="AT1095" s="208"/>
      <c r="AU1095" s="208"/>
      <c r="AV1095" s="208"/>
      <c r="AW1095" s="208"/>
      <c r="AX1095" s="208"/>
      <c r="AY1095" s="208"/>
    </row>
    <row r="1096">
      <c r="A1096" s="208"/>
      <c r="B1096" s="533"/>
      <c r="C1096" s="208"/>
      <c r="D1096" s="208"/>
      <c r="E1096" s="208"/>
      <c r="F1096" s="584"/>
      <c r="G1096" s="208"/>
      <c r="H1096" s="208"/>
      <c r="I1096" s="208"/>
      <c r="J1096" s="208"/>
      <c r="K1096" s="208"/>
      <c r="L1096" s="536"/>
      <c r="M1096" s="208"/>
      <c r="N1096" s="208"/>
      <c r="O1096" s="208"/>
      <c r="P1096" s="208"/>
      <c r="Q1096" s="208"/>
      <c r="R1096" s="208"/>
      <c r="S1096" s="208"/>
      <c r="T1096" s="208"/>
      <c r="U1096" s="208"/>
      <c r="V1096" s="208"/>
      <c r="W1096" s="208"/>
      <c r="X1096" s="208"/>
      <c r="Y1096" s="208"/>
      <c r="Z1096" s="208"/>
      <c r="AA1096" s="208"/>
      <c r="AB1096" s="208"/>
      <c r="AC1096" s="208"/>
      <c r="AD1096" s="208"/>
      <c r="AE1096" s="208"/>
      <c r="AF1096" s="208"/>
      <c r="AG1096" s="208"/>
      <c r="AH1096" s="208"/>
      <c r="AI1096" s="208"/>
      <c r="AJ1096" s="208"/>
      <c r="AK1096" s="208"/>
      <c r="AL1096" s="208"/>
      <c r="AM1096" s="208"/>
      <c r="AN1096" s="208"/>
      <c r="AO1096" s="208"/>
      <c r="AP1096" s="208"/>
      <c r="AQ1096" s="208"/>
      <c r="AR1096" s="208"/>
      <c r="AS1096" s="208"/>
      <c r="AT1096" s="208"/>
      <c r="AU1096" s="208"/>
      <c r="AV1096" s="208"/>
      <c r="AW1096" s="208"/>
      <c r="AX1096" s="208"/>
      <c r="AY1096" s="208"/>
    </row>
    <row r="1097">
      <c r="A1097" s="208"/>
      <c r="B1097" s="533"/>
      <c r="C1097" s="208"/>
      <c r="D1097" s="208"/>
      <c r="E1097" s="208"/>
      <c r="F1097" s="584"/>
      <c r="G1097" s="208"/>
      <c r="H1097" s="208"/>
      <c r="I1097" s="208"/>
      <c r="J1097" s="208"/>
      <c r="K1097" s="208"/>
      <c r="L1097" s="536"/>
      <c r="M1097" s="208"/>
      <c r="N1097" s="208"/>
      <c r="O1097" s="208"/>
      <c r="P1097" s="208"/>
      <c r="Q1097" s="208"/>
      <c r="R1097" s="208"/>
      <c r="S1097" s="208"/>
      <c r="T1097" s="208"/>
      <c r="U1097" s="208"/>
      <c r="V1097" s="208"/>
      <c r="W1097" s="208"/>
      <c r="X1097" s="208"/>
      <c r="Y1097" s="208"/>
      <c r="Z1097" s="208"/>
      <c r="AA1097" s="208"/>
      <c r="AB1097" s="208"/>
      <c r="AC1097" s="208"/>
      <c r="AD1097" s="208"/>
      <c r="AE1097" s="208"/>
      <c r="AF1097" s="208"/>
      <c r="AG1097" s="208"/>
      <c r="AH1097" s="208"/>
      <c r="AI1097" s="208"/>
      <c r="AJ1097" s="208"/>
      <c r="AK1097" s="208"/>
      <c r="AL1097" s="208"/>
      <c r="AM1097" s="208"/>
      <c r="AN1097" s="208"/>
      <c r="AO1097" s="208"/>
      <c r="AP1097" s="208"/>
      <c r="AQ1097" s="208"/>
      <c r="AR1097" s="208"/>
      <c r="AS1097" s="208"/>
      <c r="AT1097" s="208"/>
      <c r="AU1097" s="208"/>
      <c r="AV1097" s="208"/>
      <c r="AW1097" s="208"/>
      <c r="AX1097" s="208"/>
      <c r="AY1097" s="208"/>
    </row>
    <row r="1098">
      <c r="A1098" s="208"/>
      <c r="B1098" s="533"/>
      <c r="C1098" s="208"/>
      <c r="D1098" s="208"/>
      <c r="E1098" s="208"/>
      <c r="F1098" s="584"/>
      <c r="G1098" s="208"/>
      <c r="H1098" s="208"/>
      <c r="I1098" s="208"/>
      <c r="J1098" s="208"/>
      <c r="K1098" s="208"/>
      <c r="L1098" s="536"/>
      <c r="M1098" s="208"/>
      <c r="N1098" s="208"/>
      <c r="O1098" s="208"/>
      <c r="P1098" s="208"/>
      <c r="Q1098" s="208"/>
      <c r="R1098" s="208"/>
      <c r="S1098" s="208"/>
      <c r="T1098" s="208"/>
      <c r="U1098" s="208"/>
      <c r="V1098" s="208"/>
      <c r="W1098" s="208"/>
      <c r="X1098" s="208"/>
      <c r="Y1098" s="208"/>
      <c r="Z1098" s="208"/>
      <c r="AA1098" s="208"/>
      <c r="AB1098" s="208"/>
      <c r="AC1098" s="208"/>
      <c r="AD1098" s="208"/>
      <c r="AE1098" s="208"/>
      <c r="AF1098" s="208"/>
      <c r="AG1098" s="208"/>
      <c r="AH1098" s="208"/>
      <c r="AI1098" s="208"/>
      <c r="AJ1098" s="208"/>
      <c r="AK1098" s="208"/>
      <c r="AL1098" s="208"/>
      <c r="AM1098" s="208"/>
      <c r="AN1098" s="208"/>
      <c r="AO1098" s="208"/>
      <c r="AP1098" s="208"/>
      <c r="AQ1098" s="208"/>
      <c r="AR1098" s="208"/>
      <c r="AS1098" s="208"/>
      <c r="AT1098" s="208"/>
      <c r="AU1098" s="208"/>
      <c r="AV1098" s="208"/>
      <c r="AW1098" s="208"/>
      <c r="AX1098" s="208"/>
      <c r="AY1098" s="208"/>
    </row>
    <row r="1099">
      <c r="A1099" s="208"/>
      <c r="B1099" s="533"/>
      <c r="C1099" s="208"/>
      <c r="D1099" s="208"/>
      <c r="E1099" s="208"/>
      <c r="F1099" s="584"/>
      <c r="G1099" s="208"/>
      <c r="H1099" s="208"/>
      <c r="I1099" s="208"/>
      <c r="J1099" s="208"/>
      <c r="K1099" s="208"/>
      <c r="L1099" s="536"/>
      <c r="M1099" s="208"/>
      <c r="N1099" s="208"/>
      <c r="O1099" s="208"/>
      <c r="P1099" s="208"/>
      <c r="Q1099" s="208"/>
      <c r="R1099" s="208"/>
      <c r="S1099" s="208"/>
      <c r="T1099" s="208"/>
      <c r="U1099" s="208"/>
      <c r="V1099" s="208"/>
      <c r="W1099" s="208"/>
      <c r="X1099" s="208"/>
      <c r="Y1099" s="208"/>
      <c r="Z1099" s="208"/>
      <c r="AA1099" s="208"/>
      <c r="AB1099" s="208"/>
      <c r="AC1099" s="208"/>
      <c r="AD1099" s="208"/>
      <c r="AE1099" s="208"/>
      <c r="AF1099" s="208"/>
      <c r="AG1099" s="208"/>
      <c r="AH1099" s="208"/>
      <c r="AI1099" s="208"/>
      <c r="AJ1099" s="208"/>
      <c r="AK1099" s="208"/>
      <c r="AL1099" s="208"/>
      <c r="AM1099" s="208"/>
      <c r="AN1099" s="208"/>
      <c r="AO1099" s="208"/>
      <c r="AP1099" s="208"/>
      <c r="AQ1099" s="208"/>
      <c r="AR1099" s="208"/>
      <c r="AS1099" s="208"/>
      <c r="AT1099" s="208"/>
      <c r="AU1099" s="208"/>
      <c r="AV1099" s="208"/>
      <c r="AW1099" s="208"/>
      <c r="AX1099" s="208"/>
      <c r="AY1099" s="208"/>
    </row>
    <row r="1100">
      <c r="A1100" s="208"/>
      <c r="B1100" s="533"/>
      <c r="C1100" s="208"/>
      <c r="D1100" s="208"/>
      <c r="E1100" s="208"/>
      <c r="F1100" s="584"/>
      <c r="G1100" s="208"/>
      <c r="H1100" s="208"/>
      <c r="I1100" s="208"/>
      <c r="J1100" s="208"/>
      <c r="K1100" s="208"/>
      <c r="L1100" s="536"/>
      <c r="M1100" s="208"/>
      <c r="N1100" s="208"/>
      <c r="O1100" s="208"/>
      <c r="P1100" s="208"/>
      <c r="Q1100" s="208"/>
      <c r="R1100" s="208"/>
      <c r="S1100" s="208"/>
      <c r="T1100" s="208"/>
      <c r="U1100" s="208"/>
      <c r="V1100" s="208"/>
      <c r="W1100" s="208"/>
      <c r="X1100" s="208"/>
      <c r="Y1100" s="208"/>
      <c r="Z1100" s="208"/>
      <c r="AA1100" s="208"/>
      <c r="AB1100" s="208"/>
      <c r="AC1100" s="208"/>
      <c r="AD1100" s="208"/>
      <c r="AE1100" s="208"/>
      <c r="AF1100" s="208"/>
      <c r="AG1100" s="208"/>
      <c r="AH1100" s="208"/>
      <c r="AI1100" s="208"/>
      <c r="AJ1100" s="208"/>
      <c r="AK1100" s="208"/>
      <c r="AL1100" s="208"/>
      <c r="AM1100" s="208"/>
      <c r="AN1100" s="208"/>
      <c r="AO1100" s="208"/>
      <c r="AP1100" s="208"/>
      <c r="AQ1100" s="208"/>
      <c r="AR1100" s="208"/>
      <c r="AS1100" s="208"/>
      <c r="AT1100" s="208"/>
      <c r="AU1100" s="208"/>
      <c r="AV1100" s="208"/>
      <c r="AW1100" s="208"/>
      <c r="AX1100" s="208"/>
      <c r="AY1100" s="208"/>
    </row>
    <row r="1101">
      <c r="A1101" s="208"/>
      <c r="B1101" s="533"/>
      <c r="C1101" s="208"/>
      <c r="D1101" s="208"/>
      <c r="E1101" s="208"/>
      <c r="F1101" s="584"/>
      <c r="G1101" s="208"/>
      <c r="H1101" s="208"/>
      <c r="I1101" s="208"/>
      <c r="J1101" s="208"/>
      <c r="K1101" s="208"/>
      <c r="L1101" s="536"/>
      <c r="M1101" s="208"/>
      <c r="N1101" s="208"/>
      <c r="O1101" s="208"/>
      <c r="P1101" s="208"/>
      <c r="Q1101" s="208"/>
      <c r="R1101" s="208"/>
      <c r="S1101" s="208"/>
      <c r="T1101" s="208"/>
      <c r="U1101" s="208"/>
      <c r="V1101" s="208"/>
      <c r="W1101" s="208"/>
      <c r="X1101" s="208"/>
      <c r="Y1101" s="208"/>
      <c r="Z1101" s="208"/>
      <c r="AA1101" s="208"/>
      <c r="AB1101" s="208"/>
      <c r="AC1101" s="208"/>
      <c r="AD1101" s="208"/>
      <c r="AE1101" s="208"/>
      <c r="AF1101" s="208"/>
      <c r="AG1101" s="208"/>
      <c r="AH1101" s="208"/>
      <c r="AI1101" s="208"/>
      <c r="AJ1101" s="208"/>
      <c r="AK1101" s="208"/>
      <c r="AL1101" s="208"/>
      <c r="AM1101" s="208"/>
      <c r="AN1101" s="208"/>
      <c r="AO1101" s="208"/>
      <c r="AP1101" s="208"/>
      <c r="AQ1101" s="208"/>
      <c r="AR1101" s="208"/>
      <c r="AS1101" s="208"/>
      <c r="AT1101" s="208"/>
      <c r="AU1101" s="208"/>
      <c r="AV1101" s="208"/>
      <c r="AW1101" s="208"/>
      <c r="AX1101" s="208"/>
      <c r="AY1101" s="208"/>
    </row>
    <row r="1102">
      <c r="A1102" s="208"/>
      <c r="B1102" s="533"/>
      <c r="C1102" s="208"/>
      <c r="D1102" s="208"/>
      <c r="E1102" s="208"/>
      <c r="F1102" s="584"/>
      <c r="G1102" s="208"/>
      <c r="H1102" s="208"/>
      <c r="I1102" s="208"/>
      <c r="J1102" s="208"/>
      <c r="K1102" s="208"/>
      <c r="L1102" s="536"/>
      <c r="M1102" s="208"/>
      <c r="N1102" s="208"/>
      <c r="O1102" s="208"/>
      <c r="P1102" s="208"/>
      <c r="Q1102" s="208"/>
      <c r="R1102" s="208"/>
      <c r="S1102" s="208"/>
      <c r="T1102" s="208"/>
      <c r="U1102" s="208"/>
      <c r="V1102" s="208"/>
      <c r="W1102" s="208"/>
      <c r="X1102" s="208"/>
      <c r="Y1102" s="208"/>
      <c r="Z1102" s="208"/>
      <c r="AA1102" s="208"/>
      <c r="AB1102" s="208"/>
      <c r="AC1102" s="208"/>
      <c r="AD1102" s="208"/>
      <c r="AE1102" s="208"/>
      <c r="AF1102" s="208"/>
      <c r="AG1102" s="208"/>
      <c r="AH1102" s="208"/>
      <c r="AI1102" s="208"/>
      <c r="AJ1102" s="208"/>
      <c r="AK1102" s="208"/>
      <c r="AL1102" s="208"/>
      <c r="AM1102" s="208"/>
      <c r="AN1102" s="208"/>
      <c r="AO1102" s="208"/>
      <c r="AP1102" s="208"/>
      <c r="AQ1102" s="208"/>
      <c r="AR1102" s="208"/>
      <c r="AS1102" s="208"/>
      <c r="AT1102" s="208"/>
      <c r="AU1102" s="208"/>
      <c r="AV1102" s="208"/>
      <c r="AW1102" s="208"/>
      <c r="AX1102" s="208"/>
      <c r="AY1102" s="208"/>
    </row>
    <row r="1103">
      <c r="A1103" s="208"/>
      <c r="B1103" s="533"/>
      <c r="C1103" s="208"/>
      <c r="D1103" s="208"/>
      <c r="E1103" s="208"/>
      <c r="F1103" s="584"/>
      <c r="G1103" s="208"/>
      <c r="H1103" s="208"/>
      <c r="I1103" s="208"/>
      <c r="J1103" s="208"/>
      <c r="K1103" s="208"/>
      <c r="L1103" s="536"/>
      <c r="M1103" s="208"/>
      <c r="N1103" s="208"/>
      <c r="O1103" s="208"/>
      <c r="P1103" s="208"/>
      <c r="Q1103" s="208"/>
      <c r="R1103" s="208"/>
      <c r="S1103" s="208"/>
      <c r="T1103" s="208"/>
      <c r="U1103" s="208"/>
      <c r="V1103" s="208"/>
      <c r="W1103" s="208"/>
      <c r="X1103" s="208"/>
      <c r="Y1103" s="208"/>
      <c r="Z1103" s="208"/>
      <c r="AA1103" s="208"/>
      <c r="AB1103" s="208"/>
      <c r="AC1103" s="208"/>
      <c r="AD1103" s="208"/>
      <c r="AE1103" s="208"/>
      <c r="AF1103" s="208"/>
      <c r="AG1103" s="208"/>
      <c r="AH1103" s="208"/>
      <c r="AI1103" s="208"/>
      <c r="AJ1103" s="208"/>
      <c r="AK1103" s="208"/>
      <c r="AL1103" s="208"/>
      <c r="AM1103" s="208"/>
      <c r="AN1103" s="208"/>
      <c r="AO1103" s="208"/>
      <c r="AP1103" s="208"/>
      <c r="AQ1103" s="208"/>
      <c r="AR1103" s="208"/>
      <c r="AS1103" s="208"/>
      <c r="AT1103" s="208"/>
      <c r="AU1103" s="208"/>
      <c r="AV1103" s="208"/>
      <c r="AW1103" s="208"/>
      <c r="AX1103" s="208"/>
      <c r="AY1103" s="208"/>
    </row>
    <row r="1104">
      <c r="A1104" s="208"/>
      <c r="B1104" s="533"/>
      <c r="C1104" s="208"/>
      <c r="D1104" s="208"/>
      <c r="E1104" s="208"/>
      <c r="F1104" s="584"/>
      <c r="G1104" s="208"/>
      <c r="H1104" s="208"/>
      <c r="I1104" s="208"/>
      <c r="J1104" s="208"/>
      <c r="K1104" s="208"/>
      <c r="L1104" s="536"/>
      <c r="M1104" s="208"/>
      <c r="N1104" s="208"/>
      <c r="O1104" s="208"/>
      <c r="P1104" s="208"/>
      <c r="Q1104" s="208"/>
      <c r="R1104" s="208"/>
      <c r="S1104" s="208"/>
      <c r="T1104" s="208"/>
      <c r="U1104" s="208"/>
      <c r="V1104" s="208"/>
      <c r="W1104" s="208"/>
      <c r="X1104" s="208"/>
      <c r="Y1104" s="208"/>
      <c r="Z1104" s="208"/>
      <c r="AA1104" s="208"/>
      <c r="AB1104" s="208"/>
      <c r="AC1104" s="208"/>
      <c r="AD1104" s="208"/>
      <c r="AE1104" s="208"/>
      <c r="AF1104" s="208"/>
      <c r="AG1104" s="208"/>
      <c r="AH1104" s="208"/>
      <c r="AI1104" s="208"/>
      <c r="AJ1104" s="208"/>
      <c r="AK1104" s="208"/>
      <c r="AL1104" s="208"/>
      <c r="AM1104" s="208"/>
      <c r="AN1104" s="208"/>
      <c r="AO1104" s="208"/>
      <c r="AP1104" s="208"/>
      <c r="AQ1104" s="208"/>
      <c r="AR1104" s="208"/>
      <c r="AS1104" s="208"/>
      <c r="AT1104" s="208"/>
      <c r="AU1104" s="208"/>
      <c r="AV1104" s="208"/>
      <c r="AW1104" s="208"/>
      <c r="AX1104" s="208"/>
      <c r="AY1104" s="208"/>
    </row>
    <row r="1105">
      <c r="A1105" s="208"/>
      <c r="B1105" s="533"/>
      <c r="C1105" s="208"/>
      <c r="D1105" s="208"/>
      <c r="E1105" s="208"/>
      <c r="F1105" s="584"/>
      <c r="G1105" s="208"/>
      <c r="H1105" s="208"/>
      <c r="I1105" s="208"/>
      <c r="J1105" s="208"/>
      <c r="K1105" s="208"/>
      <c r="L1105" s="536"/>
      <c r="M1105" s="208"/>
      <c r="N1105" s="208"/>
      <c r="O1105" s="208"/>
      <c r="P1105" s="208"/>
      <c r="Q1105" s="208"/>
      <c r="R1105" s="208"/>
      <c r="S1105" s="208"/>
      <c r="T1105" s="208"/>
      <c r="U1105" s="208"/>
      <c r="V1105" s="208"/>
      <c r="W1105" s="208"/>
      <c r="X1105" s="208"/>
      <c r="Y1105" s="208"/>
      <c r="Z1105" s="208"/>
      <c r="AA1105" s="208"/>
      <c r="AB1105" s="208"/>
      <c r="AC1105" s="208"/>
      <c r="AD1105" s="208"/>
      <c r="AE1105" s="208"/>
      <c r="AF1105" s="208"/>
      <c r="AG1105" s="208"/>
      <c r="AH1105" s="208"/>
      <c r="AI1105" s="208"/>
      <c r="AJ1105" s="208"/>
      <c r="AK1105" s="208"/>
      <c r="AL1105" s="208"/>
      <c r="AM1105" s="208"/>
      <c r="AN1105" s="208"/>
      <c r="AO1105" s="208"/>
      <c r="AP1105" s="208"/>
      <c r="AQ1105" s="208"/>
      <c r="AR1105" s="208"/>
      <c r="AS1105" s="208"/>
      <c r="AT1105" s="208"/>
      <c r="AU1105" s="208"/>
      <c r="AV1105" s="208"/>
      <c r="AW1105" s="208"/>
      <c r="AX1105" s="208"/>
      <c r="AY1105" s="208"/>
    </row>
    <row r="1106">
      <c r="A1106" s="208"/>
      <c r="B1106" s="533"/>
      <c r="C1106" s="208"/>
      <c r="D1106" s="208"/>
      <c r="E1106" s="208"/>
      <c r="F1106" s="584"/>
      <c r="G1106" s="208"/>
      <c r="H1106" s="208"/>
      <c r="I1106" s="208"/>
      <c r="J1106" s="208"/>
      <c r="K1106" s="208"/>
      <c r="L1106" s="536"/>
      <c r="M1106" s="208"/>
      <c r="N1106" s="208"/>
      <c r="O1106" s="208"/>
      <c r="P1106" s="208"/>
      <c r="Q1106" s="208"/>
      <c r="R1106" s="208"/>
      <c r="S1106" s="208"/>
      <c r="T1106" s="208"/>
      <c r="U1106" s="208"/>
      <c r="V1106" s="208"/>
      <c r="W1106" s="208"/>
      <c r="X1106" s="208"/>
      <c r="Y1106" s="208"/>
      <c r="Z1106" s="208"/>
      <c r="AA1106" s="208"/>
      <c r="AB1106" s="208"/>
      <c r="AC1106" s="208"/>
      <c r="AD1106" s="208"/>
      <c r="AE1106" s="208"/>
      <c r="AF1106" s="208"/>
      <c r="AG1106" s="208"/>
      <c r="AH1106" s="208"/>
      <c r="AI1106" s="208"/>
      <c r="AJ1106" s="208"/>
      <c r="AK1106" s="208"/>
      <c r="AL1106" s="208"/>
      <c r="AM1106" s="208"/>
      <c r="AN1106" s="208"/>
      <c r="AO1106" s="208"/>
      <c r="AP1106" s="208"/>
      <c r="AQ1106" s="208"/>
      <c r="AR1106" s="208"/>
      <c r="AS1106" s="208"/>
      <c r="AT1106" s="208"/>
      <c r="AU1106" s="208"/>
      <c r="AV1106" s="208"/>
      <c r="AW1106" s="208"/>
      <c r="AX1106" s="208"/>
      <c r="AY1106" s="208"/>
    </row>
    <row r="1107">
      <c r="A1107" s="208"/>
      <c r="B1107" s="533"/>
      <c r="C1107" s="208"/>
      <c r="D1107" s="208"/>
      <c r="E1107" s="208"/>
      <c r="F1107" s="584"/>
      <c r="G1107" s="208"/>
      <c r="H1107" s="208"/>
      <c r="I1107" s="208"/>
      <c r="J1107" s="208"/>
      <c r="K1107" s="208"/>
      <c r="L1107" s="536"/>
      <c r="M1107" s="208"/>
      <c r="N1107" s="208"/>
      <c r="O1107" s="208"/>
      <c r="P1107" s="208"/>
      <c r="Q1107" s="208"/>
      <c r="R1107" s="208"/>
      <c r="S1107" s="208"/>
      <c r="T1107" s="208"/>
      <c r="U1107" s="208"/>
      <c r="V1107" s="208"/>
      <c r="W1107" s="208"/>
      <c r="X1107" s="208"/>
      <c r="Y1107" s="208"/>
      <c r="Z1107" s="208"/>
      <c r="AA1107" s="208"/>
      <c r="AB1107" s="208"/>
      <c r="AC1107" s="208"/>
      <c r="AD1107" s="208"/>
      <c r="AE1107" s="208"/>
      <c r="AF1107" s="208"/>
      <c r="AG1107" s="208"/>
      <c r="AH1107" s="208"/>
      <c r="AI1107" s="208"/>
      <c r="AJ1107" s="208"/>
      <c r="AK1107" s="208"/>
      <c r="AL1107" s="208"/>
      <c r="AM1107" s="208"/>
      <c r="AN1107" s="208"/>
      <c r="AO1107" s="208"/>
      <c r="AP1107" s="208"/>
      <c r="AQ1107" s="208"/>
      <c r="AR1107" s="208"/>
      <c r="AS1107" s="208"/>
      <c r="AT1107" s="208"/>
      <c r="AU1107" s="208"/>
      <c r="AV1107" s="208"/>
      <c r="AW1107" s="208"/>
      <c r="AX1107" s="208"/>
      <c r="AY1107" s="208"/>
    </row>
    <row r="1108">
      <c r="A1108" s="208"/>
      <c r="B1108" s="533"/>
      <c r="C1108" s="208"/>
      <c r="D1108" s="208"/>
      <c r="E1108" s="208"/>
      <c r="F1108" s="584"/>
      <c r="G1108" s="208"/>
      <c r="H1108" s="208"/>
      <c r="I1108" s="208"/>
      <c r="J1108" s="208"/>
      <c r="K1108" s="208"/>
      <c r="L1108" s="536"/>
      <c r="M1108" s="208"/>
      <c r="N1108" s="208"/>
      <c r="O1108" s="208"/>
      <c r="P1108" s="208"/>
      <c r="Q1108" s="208"/>
      <c r="R1108" s="208"/>
      <c r="S1108" s="208"/>
      <c r="T1108" s="208"/>
      <c r="U1108" s="208"/>
      <c r="V1108" s="208"/>
      <c r="W1108" s="208"/>
      <c r="X1108" s="208"/>
      <c r="Y1108" s="208"/>
      <c r="Z1108" s="208"/>
      <c r="AA1108" s="208"/>
      <c r="AB1108" s="208"/>
      <c r="AC1108" s="208"/>
      <c r="AD1108" s="208"/>
      <c r="AE1108" s="208"/>
      <c r="AF1108" s="208"/>
      <c r="AG1108" s="208"/>
      <c r="AH1108" s="208"/>
      <c r="AI1108" s="208"/>
      <c r="AJ1108" s="208"/>
      <c r="AK1108" s="208"/>
      <c r="AL1108" s="208"/>
      <c r="AM1108" s="208"/>
      <c r="AN1108" s="208"/>
      <c r="AO1108" s="208"/>
      <c r="AP1108" s="208"/>
      <c r="AQ1108" s="208"/>
      <c r="AR1108" s="208"/>
      <c r="AS1108" s="208"/>
      <c r="AT1108" s="208"/>
      <c r="AU1108" s="208"/>
      <c r="AV1108" s="208"/>
      <c r="AW1108" s="208"/>
      <c r="AX1108" s="208"/>
      <c r="AY1108" s="208"/>
    </row>
    <row r="1109">
      <c r="A1109" s="208"/>
      <c r="B1109" s="533"/>
      <c r="C1109" s="208"/>
      <c r="D1109" s="208"/>
      <c r="E1109" s="208"/>
      <c r="F1109" s="584"/>
      <c r="G1109" s="208"/>
      <c r="H1109" s="208"/>
      <c r="I1109" s="208"/>
      <c r="J1109" s="208"/>
      <c r="K1109" s="208"/>
      <c r="L1109" s="536"/>
      <c r="M1109" s="208"/>
      <c r="N1109" s="208"/>
      <c r="O1109" s="208"/>
      <c r="P1109" s="208"/>
      <c r="Q1109" s="208"/>
      <c r="R1109" s="208"/>
      <c r="S1109" s="208"/>
      <c r="T1109" s="208"/>
      <c r="U1109" s="208"/>
      <c r="V1109" s="208"/>
      <c r="W1109" s="208"/>
      <c r="X1109" s="208"/>
      <c r="Y1109" s="208"/>
      <c r="Z1109" s="208"/>
      <c r="AA1109" s="208"/>
      <c r="AB1109" s="208"/>
      <c r="AC1109" s="208"/>
      <c r="AD1109" s="208"/>
      <c r="AE1109" s="208"/>
      <c r="AF1109" s="208"/>
      <c r="AG1109" s="208"/>
      <c r="AH1109" s="208"/>
      <c r="AI1109" s="208"/>
      <c r="AJ1109" s="208"/>
      <c r="AK1109" s="208"/>
      <c r="AL1109" s="208"/>
      <c r="AM1109" s="208"/>
      <c r="AN1109" s="208"/>
      <c r="AO1109" s="208"/>
      <c r="AP1109" s="208"/>
      <c r="AQ1109" s="208"/>
      <c r="AR1109" s="208"/>
      <c r="AS1109" s="208"/>
      <c r="AT1109" s="208"/>
      <c r="AU1109" s="208"/>
      <c r="AV1109" s="208"/>
      <c r="AW1109" s="208"/>
      <c r="AX1109" s="208"/>
      <c r="AY1109" s="208"/>
    </row>
    <row r="1110">
      <c r="A1110" s="208"/>
      <c r="B1110" s="533"/>
      <c r="C1110" s="208"/>
      <c r="D1110" s="208"/>
      <c r="E1110" s="208"/>
      <c r="F1110" s="584"/>
      <c r="G1110" s="208"/>
      <c r="H1110" s="208"/>
      <c r="I1110" s="208"/>
      <c r="J1110" s="208"/>
      <c r="K1110" s="208"/>
      <c r="L1110" s="536"/>
      <c r="M1110" s="208"/>
      <c r="N1110" s="208"/>
      <c r="O1110" s="208"/>
      <c r="P1110" s="208"/>
      <c r="Q1110" s="208"/>
      <c r="R1110" s="208"/>
      <c r="S1110" s="208"/>
      <c r="T1110" s="208"/>
      <c r="U1110" s="208"/>
      <c r="V1110" s="208"/>
      <c r="W1110" s="208"/>
      <c r="X1110" s="208"/>
      <c r="Y1110" s="208"/>
      <c r="Z1110" s="208"/>
      <c r="AA1110" s="208"/>
      <c r="AB1110" s="208"/>
      <c r="AC1110" s="208"/>
      <c r="AD1110" s="208"/>
      <c r="AE1110" s="208"/>
      <c r="AF1110" s="208"/>
      <c r="AG1110" s="208"/>
      <c r="AH1110" s="208"/>
      <c r="AI1110" s="208"/>
      <c r="AJ1110" s="208"/>
      <c r="AK1110" s="208"/>
      <c r="AL1110" s="208"/>
      <c r="AM1110" s="208"/>
      <c r="AN1110" s="208"/>
      <c r="AO1110" s="208"/>
      <c r="AP1110" s="208"/>
      <c r="AQ1110" s="208"/>
      <c r="AR1110" s="208"/>
      <c r="AS1110" s="208"/>
      <c r="AT1110" s="208"/>
      <c r="AU1110" s="208"/>
      <c r="AV1110" s="208"/>
      <c r="AW1110" s="208"/>
      <c r="AX1110" s="208"/>
      <c r="AY1110" s="208"/>
    </row>
    <row r="1111">
      <c r="A1111" s="208"/>
      <c r="B1111" s="533"/>
      <c r="C1111" s="208"/>
      <c r="D1111" s="208"/>
      <c r="E1111" s="208"/>
      <c r="F1111" s="584"/>
      <c r="G1111" s="208"/>
      <c r="H1111" s="208"/>
      <c r="I1111" s="208"/>
      <c r="J1111" s="208"/>
      <c r="K1111" s="208"/>
      <c r="L1111" s="536"/>
      <c r="M1111" s="208"/>
      <c r="N1111" s="208"/>
      <c r="O1111" s="208"/>
      <c r="P1111" s="208"/>
      <c r="Q1111" s="208"/>
      <c r="R1111" s="208"/>
      <c r="S1111" s="208"/>
      <c r="T1111" s="208"/>
      <c r="U1111" s="208"/>
      <c r="V1111" s="208"/>
      <c r="W1111" s="208"/>
      <c r="X1111" s="208"/>
      <c r="Y1111" s="208"/>
      <c r="Z1111" s="208"/>
      <c r="AA1111" s="208"/>
      <c r="AB1111" s="208"/>
      <c r="AC1111" s="208"/>
      <c r="AD1111" s="208"/>
      <c r="AE1111" s="208"/>
      <c r="AF1111" s="208"/>
      <c r="AG1111" s="208"/>
      <c r="AH1111" s="208"/>
      <c r="AI1111" s="208"/>
      <c r="AJ1111" s="208"/>
      <c r="AK1111" s="208"/>
      <c r="AL1111" s="208"/>
      <c r="AM1111" s="208"/>
      <c r="AN1111" s="208"/>
      <c r="AO1111" s="208"/>
      <c r="AP1111" s="208"/>
      <c r="AQ1111" s="208"/>
      <c r="AR1111" s="208"/>
      <c r="AS1111" s="208"/>
      <c r="AT1111" s="208"/>
      <c r="AU1111" s="208"/>
      <c r="AV1111" s="208"/>
      <c r="AW1111" s="208"/>
      <c r="AX1111" s="208"/>
      <c r="AY1111" s="208"/>
    </row>
    <row r="1112">
      <c r="A1112" s="208"/>
      <c r="B1112" s="533"/>
      <c r="C1112" s="208"/>
      <c r="D1112" s="208"/>
      <c r="E1112" s="208"/>
      <c r="F1112" s="584"/>
      <c r="G1112" s="208"/>
      <c r="H1112" s="208"/>
      <c r="I1112" s="208"/>
      <c r="J1112" s="208"/>
      <c r="K1112" s="208"/>
      <c r="L1112" s="536"/>
      <c r="M1112" s="208"/>
      <c r="N1112" s="208"/>
      <c r="O1112" s="208"/>
      <c r="P1112" s="208"/>
      <c r="Q1112" s="208"/>
      <c r="R1112" s="208"/>
      <c r="S1112" s="208"/>
      <c r="T1112" s="208"/>
      <c r="U1112" s="208"/>
      <c r="V1112" s="208"/>
      <c r="W1112" s="208"/>
      <c r="X1112" s="208"/>
      <c r="Y1112" s="208"/>
      <c r="Z1112" s="208"/>
      <c r="AA1112" s="208"/>
      <c r="AB1112" s="208"/>
      <c r="AC1112" s="208"/>
      <c r="AD1112" s="208"/>
      <c r="AE1112" s="208"/>
      <c r="AF1112" s="208"/>
      <c r="AG1112" s="208"/>
      <c r="AH1112" s="208"/>
      <c r="AI1112" s="208"/>
      <c r="AJ1112" s="208"/>
      <c r="AK1112" s="208"/>
      <c r="AL1112" s="208"/>
      <c r="AM1112" s="208"/>
      <c r="AN1112" s="208"/>
      <c r="AO1112" s="208"/>
      <c r="AP1112" s="208"/>
      <c r="AQ1112" s="208"/>
      <c r="AR1112" s="208"/>
      <c r="AS1112" s="208"/>
      <c r="AT1112" s="208"/>
      <c r="AU1112" s="208"/>
      <c r="AV1112" s="208"/>
      <c r="AW1112" s="208"/>
      <c r="AX1112" s="208"/>
      <c r="AY1112" s="208"/>
    </row>
    <row r="1113">
      <c r="A1113" s="208"/>
      <c r="B1113" s="533"/>
      <c r="C1113" s="208"/>
      <c r="D1113" s="208"/>
      <c r="E1113" s="208"/>
      <c r="F1113" s="584"/>
      <c r="G1113" s="208"/>
      <c r="H1113" s="208"/>
      <c r="I1113" s="208"/>
      <c r="J1113" s="208"/>
      <c r="K1113" s="208"/>
      <c r="L1113" s="536"/>
      <c r="M1113" s="208"/>
      <c r="N1113" s="208"/>
      <c r="O1113" s="208"/>
      <c r="P1113" s="208"/>
      <c r="Q1113" s="208"/>
      <c r="R1113" s="208"/>
      <c r="S1113" s="208"/>
      <c r="T1113" s="208"/>
      <c r="U1113" s="208"/>
      <c r="V1113" s="208"/>
      <c r="W1113" s="208"/>
      <c r="X1113" s="208"/>
      <c r="Y1113" s="208"/>
      <c r="Z1113" s="208"/>
      <c r="AA1113" s="208"/>
      <c r="AB1113" s="208"/>
      <c r="AC1113" s="208"/>
      <c r="AD1113" s="208"/>
      <c r="AE1113" s="208"/>
      <c r="AF1113" s="208"/>
      <c r="AG1113" s="208"/>
      <c r="AH1113" s="208"/>
      <c r="AI1113" s="208"/>
      <c r="AJ1113" s="208"/>
      <c r="AK1113" s="208"/>
      <c r="AL1113" s="208"/>
      <c r="AM1113" s="208"/>
      <c r="AN1113" s="208"/>
      <c r="AO1113" s="208"/>
      <c r="AP1113" s="208"/>
      <c r="AQ1113" s="208"/>
      <c r="AR1113" s="208"/>
      <c r="AS1113" s="208"/>
      <c r="AT1113" s="208"/>
      <c r="AU1113" s="208"/>
      <c r="AV1113" s="208"/>
      <c r="AW1113" s="208"/>
      <c r="AX1113" s="208"/>
      <c r="AY1113" s="208"/>
    </row>
    <row r="1114">
      <c r="A1114" s="208"/>
      <c r="B1114" s="533"/>
      <c r="C1114" s="208"/>
      <c r="D1114" s="208"/>
      <c r="E1114" s="208"/>
      <c r="F1114" s="584"/>
      <c r="G1114" s="208"/>
      <c r="H1114" s="208"/>
      <c r="I1114" s="208"/>
      <c r="J1114" s="208"/>
      <c r="K1114" s="208"/>
      <c r="L1114" s="536"/>
      <c r="M1114" s="208"/>
      <c r="N1114" s="208"/>
      <c r="O1114" s="208"/>
      <c r="P1114" s="208"/>
      <c r="Q1114" s="208"/>
      <c r="R1114" s="208"/>
      <c r="S1114" s="208"/>
      <c r="T1114" s="208"/>
      <c r="U1114" s="208"/>
      <c r="V1114" s="208"/>
      <c r="W1114" s="208"/>
      <c r="X1114" s="208"/>
      <c r="Y1114" s="208"/>
      <c r="Z1114" s="208"/>
      <c r="AA1114" s="208"/>
      <c r="AB1114" s="208"/>
      <c r="AC1114" s="208"/>
      <c r="AD1114" s="208"/>
      <c r="AE1114" s="208"/>
      <c r="AF1114" s="208"/>
      <c r="AG1114" s="208"/>
      <c r="AH1114" s="208"/>
      <c r="AI1114" s="208"/>
      <c r="AJ1114" s="208"/>
      <c r="AK1114" s="208"/>
      <c r="AL1114" s="208"/>
      <c r="AM1114" s="208"/>
      <c r="AN1114" s="208"/>
      <c r="AO1114" s="208"/>
      <c r="AP1114" s="208"/>
      <c r="AQ1114" s="208"/>
      <c r="AR1114" s="208"/>
      <c r="AS1114" s="208"/>
      <c r="AT1114" s="208"/>
      <c r="AU1114" s="208"/>
      <c r="AV1114" s="208"/>
      <c r="AW1114" s="208"/>
      <c r="AX1114" s="208"/>
      <c r="AY1114" s="208"/>
    </row>
    <row r="1115">
      <c r="A1115" s="208"/>
      <c r="B1115" s="533"/>
      <c r="C1115" s="208"/>
      <c r="D1115" s="208"/>
      <c r="E1115" s="208"/>
      <c r="F1115" s="584"/>
      <c r="G1115" s="208"/>
      <c r="H1115" s="208"/>
      <c r="I1115" s="208"/>
      <c r="J1115" s="208"/>
      <c r="K1115" s="208"/>
      <c r="L1115" s="536"/>
      <c r="M1115" s="208"/>
      <c r="N1115" s="208"/>
      <c r="O1115" s="208"/>
      <c r="P1115" s="208"/>
      <c r="Q1115" s="208"/>
      <c r="R1115" s="208"/>
      <c r="S1115" s="208"/>
      <c r="T1115" s="208"/>
      <c r="U1115" s="208"/>
      <c r="V1115" s="208"/>
      <c r="W1115" s="208"/>
      <c r="X1115" s="208"/>
      <c r="Y1115" s="208"/>
      <c r="Z1115" s="208"/>
      <c r="AA1115" s="208"/>
      <c r="AB1115" s="208"/>
      <c r="AC1115" s="208"/>
      <c r="AD1115" s="208"/>
      <c r="AE1115" s="208"/>
      <c r="AF1115" s="208"/>
      <c r="AG1115" s="208"/>
      <c r="AH1115" s="208"/>
      <c r="AI1115" s="208"/>
      <c r="AJ1115" s="208"/>
      <c r="AK1115" s="208"/>
      <c r="AL1115" s="208"/>
      <c r="AM1115" s="208"/>
      <c r="AN1115" s="208"/>
      <c r="AO1115" s="208"/>
      <c r="AP1115" s="208"/>
      <c r="AQ1115" s="208"/>
      <c r="AR1115" s="208"/>
      <c r="AS1115" s="208"/>
      <c r="AT1115" s="208"/>
      <c r="AU1115" s="208"/>
      <c r="AV1115" s="208"/>
      <c r="AW1115" s="208"/>
      <c r="AX1115" s="208"/>
      <c r="AY1115" s="208"/>
    </row>
    <row r="1116">
      <c r="A1116" s="208"/>
      <c r="B1116" s="533"/>
      <c r="C1116" s="208"/>
      <c r="D1116" s="208"/>
      <c r="E1116" s="208"/>
      <c r="F1116" s="584"/>
      <c r="G1116" s="208"/>
      <c r="H1116" s="208"/>
      <c r="I1116" s="208"/>
      <c r="J1116" s="208"/>
      <c r="K1116" s="208"/>
      <c r="L1116" s="536"/>
      <c r="M1116" s="208"/>
      <c r="N1116" s="208"/>
      <c r="O1116" s="208"/>
      <c r="P1116" s="208"/>
      <c r="Q1116" s="208"/>
      <c r="R1116" s="208"/>
      <c r="S1116" s="208"/>
      <c r="T1116" s="208"/>
      <c r="U1116" s="208"/>
      <c r="V1116" s="208"/>
      <c r="W1116" s="208"/>
      <c r="X1116" s="208"/>
      <c r="Y1116" s="208"/>
      <c r="Z1116" s="208"/>
      <c r="AA1116" s="208"/>
      <c r="AB1116" s="208"/>
      <c r="AC1116" s="208"/>
      <c r="AD1116" s="208"/>
      <c r="AE1116" s="208"/>
      <c r="AF1116" s="208"/>
      <c r="AG1116" s="208"/>
      <c r="AH1116" s="208"/>
      <c r="AI1116" s="208"/>
      <c r="AJ1116" s="208"/>
      <c r="AK1116" s="208"/>
      <c r="AL1116" s="208"/>
      <c r="AM1116" s="208"/>
      <c r="AN1116" s="208"/>
      <c r="AO1116" s="208"/>
      <c r="AP1116" s="208"/>
      <c r="AQ1116" s="208"/>
      <c r="AR1116" s="208"/>
      <c r="AS1116" s="208"/>
      <c r="AT1116" s="208"/>
      <c r="AU1116" s="208"/>
      <c r="AV1116" s="208"/>
      <c r="AW1116" s="208"/>
      <c r="AX1116" s="208"/>
      <c r="AY1116" s="208"/>
    </row>
    <row r="1117">
      <c r="A1117" s="208"/>
      <c r="B1117" s="533"/>
      <c r="C1117" s="208"/>
      <c r="D1117" s="208"/>
      <c r="E1117" s="208"/>
      <c r="F1117" s="584"/>
      <c r="G1117" s="208"/>
      <c r="H1117" s="208"/>
      <c r="I1117" s="208"/>
      <c r="J1117" s="208"/>
      <c r="K1117" s="208"/>
      <c r="L1117" s="536"/>
      <c r="M1117" s="208"/>
      <c r="N1117" s="208"/>
      <c r="O1117" s="208"/>
      <c r="P1117" s="208"/>
      <c r="Q1117" s="208"/>
      <c r="R1117" s="208"/>
      <c r="S1117" s="208"/>
      <c r="T1117" s="208"/>
      <c r="U1117" s="208"/>
      <c r="V1117" s="208"/>
      <c r="W1117" s="208"/>
      <c r="X1117" s="208"/>
      <c r="Y1117" s="208"/>
      <c r="Z1117" s="208"/>
      <c r="AA1117" s="208"/>
      <c r="AB1117" s="208"/>
      <c r="AC1117" s="208"/>
      <c r="AD1117" s="208"/>
      <c r="AE1117" s="208"/>
      <c r="AF1117" s="208"/>
      <c r="AG1117" s="208"/>
      <c r="AH1117" s="208"/>
      <c r="AI1117" s="208"/>
      <c r="AJ1117" s="208"/>
      <c r="AK1117" s="208"/>
      <c r="AL1117" s="208"/>
      <c r="AM1117" s="208"/>
      <c r="AN1117" s="208"/>
      <c r="AO1117" s="208"/>
      <c r="AP1117" s="208"/>
      <c r="AQ1117" s="208"/>
      <c r="AR1117" s="208"/>
      <c r="AS1117" s="208"/>
      <c r="AT1117" s="208"/>
      <c r="AU1117" s="208"/>
      <c r="AV1117" s="208"/>
      <c r="AW1117" s="208"/>
      <c r="AX1117" s="208"/>
      <c r="AY1117" s="208"/>
    </row>
    <row r="1118">
      <c r="A1118" s="208"/>
      <c r="B1118" s="533"/>
      <c r="C1118" s="208"/>
      <c r="D1118" s="208"/>
      <c r="E1118" s="208"/>
      <c r="F1118" s="584"/>
      <c r="G1118" s="208"/>
      <c r="H1118" s="208"/>
      <c r="I1118" s="208"/>
      <c r="J1118" s="208"/>
      <c r="K1118" s="208"/>
      <c r="L1118" s="536"/>
      <c r="M1118" s="208"/>
      <c r="N1118" s="208"/>
      <c r="O1118" s="208"/>
      <c r="P1118" s="208"/>
      <c r="Q1118" s="208"/>
      <c r="R1118" s="208"/>
      <c r="S1118" s="208"/>
      <c r="T1118" s="208"/>
      <c r="U1118" s="208"/>
      <c r="V1118" s="208"/>
      <c r="W1118" s="208"/>
      <c r="X1118" s="208"/>
      <c r="Y1118" s="208"/>
      <c r="Z1118" s="208"/>
      <c r="AA1118" s="208"/>
      <c r="AB1118" s="208"/>
      <c r="AC1118" s="208"/>
      <c r="AD1118" s="208"/>
      <c r="AE1118" s="208"/>
      <c r="AF1118" s="208"/>
      <c r="AG1118" s="208"/>
      <c r="AH1118" s="208"/>
      <c r="AI1118" s="208"/>
      <c r="AJ1118" s="208"/>
      <c r="AK1118" s="208"/>
      <c r="AL1118" s="208"/>
      <c r="AM1118" s="208"/>
      <c r="AN1118" s="208"/>
      <c r="AO1118" s="208"/>
      <c r="AP1118" s="208"/>
      <c r="AQ1118" s="208"/>
      <c r="AR1118" s="208"/>
      <c r="AS1118" s="208"/>
      <c r="AT1118" s="208"/>
      <c r="AU1118" s="208"/>
      <c r="AV1118" s="208"/>
      <c r="AW1118" s="208"/>
      <c r="AX1118" s="208"/>
      <c r="AY1118" s="208"/>
    </row>
    <row r="1119">
      <c r="A1119" s="208"/>
      <c r="B1119" s="533"/>
      <c r="C1119" s="208"/>
      <c r="D1119" s="208"/>
      <c r="E1119" s="208"/>
      <c r="F1119" s="584"/>
      <c r="G1119" s="208"/>
      <c r="H1119" s="208"/>
      <c r="I1119" s="208"/>
      <c r="J1119" s="208"/>
      <c r="K1119" s="208"/>
      <c r="L1119" s="536"/>
      <c r="M1119" s="208"/>
      <c r="N1119" s="208"/>
      <c r="O1119" s="208"/>
      <c r="P1119" s="208"/>
      <c r="Q1119" s="208"/>
      <c r="R1119" s="208"/>
      <c r="S1119" s="208"/>
      <c r="T1119" s="208"/>
      <c r="U1119" s="208"/>
      <c r="V1119" s="208"/>
      <c r="W1119" s="208"/>
      <c r="X1119" s="208"/>
      <c r="Y1119" s="208"/>
      <c r="Z1119" s="208"/>
      <c r="AA1119" s="208"/>
      <c r="AB1119" s="208"/>
      <c r="AC1119" s="208"/>
      <c r="AD1119" s="208"/>
      <c r="AE1119" s="208"/>
      <c r="AF1119" s="208"/>
      <c r="AG1119" s="208"/>
      <c r="AH1119" s="208"/>
      <c r="AI1119" s="208"/>
      <c r="AJ1119" s="208"/>
      <c r="AK1119" s="208"/>
      <c r="AL1119" s="208"/>
      <c r="AM1119" s="208"/>
      <c r="AN1119" s="208"/>
      <c r="AO1119" s="208"/>
      <c r="AP1119" s="208"/>
      <c r="AQ1119" s="208"/>
      <c r="AR1119" s="208"/>
      <c r="AS1119" s="208"/>
      <c r="AT1119" s="208"/>
      <c r="AU1119" s="208"/>
      <c r="AV1119" s="208"/>
      <c r="AW1119" s="208"/>
      <c r="AX1119" s="208"/>
      <c r="AY1119" s="208"/>
    </row>
    <row r="1120">
      <c r="A1120" s="208"/>
      <c r="B1120" s="533"/>
      <c r="C1120" s="208"/>
      <c r="D1120" s="208"/>
      <c r="E1120" s="208"/>
      <c r="F1120" s="584"/>
      <c r="G1120" s="208"/>
      <c r="H1120" s="208"/>
      <c r="I1120" s="208"/>
      <c r="J1120" s="208"/>
      <c r="K1120" s="208"/>
      <c r="L1120" s="536"/>
      <c r="M1120" s="208"/>
      <c r="N1120" s="208"/>
      <c r="O1120" s="208"/>
      <c r="P1120" s="208"/>
      <c r="Q1120" s="208"/>
      <c r="R1120" s="208"/>
      <c r="S1120" s="208"/>
      <c r="T1120" s="208"/>
      <c r="U1120" s="208"/>
      <c r="V1120" s="208"/>
      <c r="W1120" s="208"/>
      <c r="X1120" s="208"/>
      <c r="Y1120" s="208"/>
      <c r="Z1120" s="208"/>
      <c r="AA1120" s="208"/>
      <c r="AB1120" s="208"/>
      <c r="AC1120" s="208"/>
      <c r="AD1120" s="208"/>
      <c r="AE1120" s="208"/>
      <c r="AF1120" s="208"/>
      <c r="AG1120" s="208"/>
      <c r="AH1120" s="208"/>
      <c r="AI1120" s="208"/>
      <c r="AJ1120" s="208"/>
      <c r="AK1120" s="208"/>
      <c r="AL1120" s="208"/>
      <c r="AM1120" s="208"/>
      <c r="AN1120" s="208"/>
      <c r="AO1120" s="208"/>
      <c r="AP1120" s="208"/>
      <c r="AQ1120" s="208"/>
      <c r="AR1120" s="208"/>
      <c r="AS1120" s="208"/>
      <c r="AT1120" s="208"/>
      <c r="AU1120" s="208"/>
      <c r="AV1120" s="208"/>
      <c r="AW1120" s="208"/>
      <c r="AX1120" s="208"/>
      <c r="AY1120" s="208"/>
    </row>
    <row r="1121">
      <c r="A1121" s="208"/>
      <c r="B1121" s="533"/>
      <c r="C1121" s="208"/>
      <c r="D1121" s="208"/>
      <c r="E1121" s="208"/>
      <c r="F1121" s="584"/>
      <c r="G1121" s="208"/>
      <c r="H1121" s="208"/>
      <c r="I1121" s="208"/>
      <c r="J1121" s="208"/>
      <c r="K1121" s="208"/>
      <c r="L1121" s="536"/>
      <c r="M1121" s="208"/>
      <c r="N1121" s="208"/>
      <c r="O1121" s="208"/>
      <c r="P1121" s="208"/>
      <c r="Q1121" s="208"/>
      <c r="R1121" s="208"/>
      <c r="S1121" s="208"/>
      <c r="T1121" s="208"/>
      <c r="U1121" s="208"/>
      <c r="V1121" s="208"/>
      <c r="W1121" s="208"/>
      <c r="X1121" s="208"/>
      <c r="Y1121" s="208"/>
      <c r="Z1121" s="208"/>
      <c r="AA1121" s="208"/>
      <c r="AB1121" s="208"/>
      <c r="AC1121" s="208"/>
      <c r="AD1121" s="208"/>
      <c r="AE1121" s="208"/>
      <c r="AF1121" s="208"/>
      <c r="AG1121" s="208"/>
      <c r="AH1121" s="208"/>
      <c r="AI1121" s="208"/>
      <c r="AJ1121" s="208"/>
      <c r="AK1121" s="208"/>
      <c r="AL1121" s="208"/>
      <c r="AM1121" s="208"/>
      <c r="AN1121" s="208"/>
      <c r="AO1121" s="208"/>
      <c r="AP1121" s="208"/>
      <c r="AQ1121" s="208"/>
      <c r="AR1121" s="208"/>
      <c r="AS1121" s="208"/>
      <c r="AT1121" s="208"/>
      <c r="AU1121" s="208"/>
      <c r="AV1121" s="208"/>
      <c r="AW1121" s="208"/>
      <c r="AX1121" s="208"/>
      <c r="AY1121" s="208"/>
    </row>
    <row r="1122">
      <c r="A1122" s="208"/>
      <c r="B1122" s="533"/>
      <c r="C1122" s="208"/>
      <c r="D1122" s="208"/>
      <c r="E1122" s="208"/>
      <c r="F1122" s="584"/>
      <c r="G1122" s="208"/>
      <c r="H1122" s="208"/>
      <c r="I1122" s="208"/>
      <c r="J1122" s="208"/>
      <c r="K1122" s="208"/>
      <c r="L1122" s="536"/>
      <c r="M1122" s="208"/>
      <c r="N1122" s="208"/>
      <c r="O1122" s="208"/>
      <c r="P1122" s="208"/>
      <c r="Q1122" s="208"/>
      <c r="R1122" s="208"/>
      <c r="S1122" s="208"/>
      <c r="T1122" s="208"/>
      <c r="U1122" s="208"/>
      <c r="V1122" s="208"/>
      <c r="W1122" s="208"/>
      <c r="X1122" s="208"/>
      <c r="Y1122" s="208"/>
      <c r="Z1122" s="208"/>
      <c r="AA1122" s="208"/>
      <c r="AB1122" s="208"/>
      <c r="AC1122" s="208"/>
      <c r="AD1122" s="208"/>
      <c r="AE1122" s="208"/>
      <c r="AF1122" s="208"/>
      <c r="AG1122" s="208"/>
      <c r="AH1122" s="208"/>
      <c r="AI1122" s="208"/>
      <c r="AJ1122" s="208"/>
      <c r="AK1122" s="208"/>
      <c r="AL1122" s="208"/>
      <c r="AM1122" s="208"/>
      <c r="AN1122" s="208"/>
      <c r="AO1122" s="208"/>
      <c r="AP1122" s="208"/>
      <c r="AQ1122" s="208"/>
      <c r="AR1122" s="208"/>
      <c r="AS1122" s="208"/>
      <c r="AT1122" s="208"/>
      <c r="AU1122" s="208"/>
      <c r="AV1122" s="208"/>
      <c r="AW1122" s="208"/>
      <c r="AX1122" s="208"/>
      <c r="AY1122" s="208"/>
    </row>
    <row r="1123">
      <c r="A1123" s="208"/>
      <c r="B1123" s="533"/>
      <c r="C1123" s="208"/>
      <c r="D1123" s="208"/>
      <c r="E1123" s="208"/>
      <c r="F1123" s="584"/>
      <c r="G1123" s="208"/>
      <c r="H1123" s="208"/>
      <c r="I1123" s="208"/>
      <c r="J1123" s="208"/>
      <c r="K1123" s="208"/>
      <c r="L1123" s="536"/>
      <c r="M1123" s="208"/>
      <c r="N1123" s="208"/>
      <c r="O1123" s="208"/>
      <c r="P1123" s="208"/>
      <c r="Q1123" s="208"/>
      <c r="R1123" s="208"/>
      <c r="S1123" s="208"/>
      <c r="T1123" s="208"/>
      <c r="U1123" s="208"/>
      <c r="V1123" s="208"/>
      <c r="W1123" s="208"/>
      <c r="X1123" s="208"/>
      <c r="Y1123" s="208"/>
      <c r="Z1123" s="208"/>
      <c r="AA1123" s="208"/>
      <c r="AB1123" s="208"/>
      <c r="AC1123" s="208"/>
      <c r="AD1123" s="208"/>
      <c r="AE1123" s="208"/>
      <c r="AF1123" s="208"/>
      <c r="AG1123" s="208"/>
      <c r="AH1123" s="208"/>
      <c r="AI1123" s="208"/>
      <c r="AJ1123" s="208"/>
      <c r="AK1123" s="208"/>
      <c r="AL1123" s="208"/>
      <c r="AM1123" s="208"/>
      <c r="AN1123" s="208"/>
      <c r="AO1123" s="208"/>
      <c r="AP1123" s="208"/>
      <c r="AQ1123" s="208"/>
      <c r="AR1123" s="208"/>
      <c r="AS1123" s="208"/>
      <c r="AT1123" s="208"/>
      <c r="AU1123" s="208"/>
      <c r="AV1123" s="208"/>
      <c r="AW1123" s="208"/>
      <c r="AX1123" s="208"/>
      <c r="AY1123" s="208"/>
    </row>
    <row r="1124">
      <c r="A1124" s="208"/>
      <c r="B1124" s="533"/>
      <c r="C1124" s="208"/>
      <c r="D1124" s="208"/>
      <c r="E1124" s="208"/>
      <c r="F1124" s="584"/>
      <c r="G1124" s="208"/>
      <c r="H1124" s="208"/>
      <c r="I1124" s="208"/>
      <c r="J1124" s="208"/>
      <c r="K1124" s="208"/>
      <c r="L1124" s="536"/>
      <c r="M1124" s="208"/>
      <c r="N1124" s="208"/>
      <c r="O1124" s="208"/>
      <c r="P1124" s="208"/>
      <c r="Q1124" s="208"/>
      <c r="R1124" s="208"/>
      <c r="S1124" s="208"/>
      <c r="T1124" s="208"/>
      <c r="U1124" s="208"/>
      <c r="V1124" s="208"/>
      <c r="W1124" s="208"/>
      <c r="X1124" s="208"/>
      <c r="Y1124" s="208"/>
      <c r="Z1124" s="208"/>
      <c r="AA1124" s="208"/>
      <c r="AB1124" s="208"/>
      <c r="AC1124" s="208"/>
      <c r="AD1124" s="208"/>
      <c r="AE1124" s="208"/>
      <c r="AF1124" s="208"/>
      <c r="AG1124" s="208"/>
      <c r="AH1124" s="208"/>
      <c r="AI1124" s="208"/>
      <c r="AJ1124" s="208"/>
      <c r="AK1124" s="208"/>
      <c r="AL1124" s="208"/>
      <c r="AM1124" s="208"/>
      <c r="AN1124" s="208"/>
      <c r="AO1124" s="208"/>
      <c r="AP1124" s="208"/>
      <c r="AQ1124" s="208"/>
      <c r="AR1124" s="208"/>
      <c r="AS1124" s="208"/>
      <c r="AT1124" s="208"/>
      <c r="AU1124" s="208"/>
      <c r="AV1124" s="208"/>
      <c r="AW1124" s="208"/>
      <c r="AX1124" s="208"/>
      <c r="AY1124" s="208"/>
    </row>
    <row r="1125">
      <c r="A1125" s="208"/>
      <c r="B1125" s="533"/>
      <c r="C1125" s="208"/>
      <c r="D1125" s="208"/>
      <c r="E1125" s="208"/>
      <c r="F1125" s="584"/>
      <c r="G1125" s="208"/>
      <c r="H1125" s="208"/>
      <c r="I1125" s="208"/>
      <c r="J1125" s="208"/>
      <c r="K1125" s="208"/>
      <c r="L1125" s="536"/>
      <c r="M1125" s="208"/>
      <c r="N1125" s="208"/>
      <c r="O1125" s="208"/>
      <c r="P1125" s="208"/>
      <c r="Q1125" s="208"/>
      <c r="R1125" s="208"/>
      <c r="S1125" s="208"/>
      <c r="T1125" s="208"/>
      <c r="U1125" s="208"/>
      <c r="V1125" s="208"/>
      <c r="W1125" s="208"/>
      <c r="X1125" s="208"/>
      <c r="Y1125" s="208"/>
      <c r="Z1125" s="208"/>
      <c r="AA1125" s="208"/>
      <c r="AB1125" s="208"/>
      <c r="AC1125" s="208"/>
      <c r="AD1125" s="208"/>
      <c r="AE1125" s="208"/>
      <c r="AF1125" s="208"/>
      <c r="AG1125" s="208"/>
      <c r="AH1125" s="208"/>
      <c r="AI1125" s="208"/>
      <c r="AJ1125" s="208"/>
      <c r="AK1125" s="208"/>
      <c r="AL1125" s="208"/>
      <c r="AM1125" s="208"/>
      <c r="AN1125" s="208"/>
      <c r="AO1125" s="208"/>
      <c r="AP1125" s="208"/>
      <c r="AQ1125" s="208"/>
      <c r="AR1125" s="208"/>
      <c r="AS1125" s="208"/>
      <c r="AT1125" s="208"/>
      <c r="AU1125" s="208"/>
      <c r="AV1125" s="208"/>
      <c r="AW1125" s="208"/>
      <c r="AX1125" s="208"/>
      <c r="AY1125" s="208"/>
    </row>
    <row r="1126">
      <c r="A1126" s="208"/>
      <c r="B1126" s="533"/>
      <c r="C1126" s="208"/>
      <c r="D1126" s="208"/>
      <c r="E1126" s="208"/>
      <c r="F1126" s="584"/>
      <c r="G1126" s="208"/>
      <c r="H1126" s="208"/>
      <c r="I1126" s="208"/>
      <c r="J1126" s="208"/>
      <c r="K1126" s="208"/>
      <c r="L1126" s="536"/>
      <c r="M1126" s="208"/>
      <c r="N1126" s="208"/>
      <c r="O1126" s="208"/>
      <c r="P1126" s="208"/>
      <c r="Q1126" s="208"/>
      <c r="R1126" s="208"/>
      <c r="S1126" s="208"/>
      <c r="T1126" s="208"/>
      <c r="U1126" s="208"/>
      <c r="V1126" s="208"/>
      <c r="W1126" s="208"/>
      <c r="X1126" s="208"/>
      <c r="Y1126" s="208"/>
      <c r="Z1126" s="208"/>
      <c r="AA1126" s="208"/>
      <c r="AB1126" s="208"/>
      <c r="AC1126" s="208"/>
      <c r="AD1126" s="208"/>
      <c r="AE1126" s="208"/>
      <c r="AF1126" s="208"/>
      <c r="AG1126" s="208"/>
      <c r="AH1126" s="208"/>
      <c r="AI1126" s="208"/>
      <c r="AJ1126" s="208"/>
      <c r="AK1126" s="208"/>
      <c r="AL1126" s="208"/>
      <c r="AM1126" s="208"/>
      <c r="AN1126" s="208"/>
      <c r="AO1126" s="208"/>
      <c r="AP1126" s="208"/>
      <c r="AQ1126" s="208"/>
      <c r="AR1126" s="208"/>
      <c r="AS1126" s="208"/>
      <c r="AT1126" s="208"/>
      <c r="AU1126" s="208"/>
      <c r="AV1126" s="208"/>
      <c r="AW1126" s="208"/>
      <c r="AX1126" s="208"/>
      <c r="AY1126" s="208"/>
    </row>
    <row r="1127">
      <c r="A1127" s="208"/>
      <c r="B1127" s="533"/>
      <c r="C1127" s="208"/>
      <c r="D1127" s="208"/>
      <c r="E1127" s="208"/>
      <c r="F1127" s="584"/>
      <c r="G1127" s="208"/>
      <c r="H1127" s="208"/>
      <c r="I1127" s="208"/>
      <c r="J1127" s="208"/>
      <c r="K1127" s="208"/>
      <c r="L1127" s="536"/>
      <c r="M1127" s="208"/>
      <c r="N1127" s="208"/>
      <c r="O1127" s="208"/>
      <c r="P1127" s="208"/>
      <c r="Q1127" s="208"/>
      <c r="R1127" s="208"/>
      <c r="S1127" s="208"/>
      <c r="T1127" s="208"/>
      <c r="U1127" s="208"/>
      <c r="V1127" s="208"/>
      <c r="W1127" s="208"/>
      <c r="X1127" s="208"/>
      <c r="Y1127" s="208"/>
      <c r="Z1127" s="208"/>
      <c r="AA1127" s="208"/>
      <c r="AB1127" s="208"/>
      <c r="AC1127" s="208"/>
      <c r="AD1127" s="208"/>
      <c r="AE1127" s="208"/>
      <c r="AF1127" s="208"/>
      <c r="AG1127" s="208"/>
      <c r="AH1127" s="208"/>
      <c r="AI1127" s="208"/>
      <c r="AJ1127" s="208"/>
      <c r="AK1127" s="208"/>
      <c r="AL1127" s="208"/>
      <c r="AM1127" s="208"/>
      <c r="AN1127" s="208"/>
      <c r="AO1127" s="208"/>
      <c r="AP1127" s="208"/>
      <c r="AQ1127" s="208"/>
      <c r="AR1127" s="208"/>
      <c r="AS1127" s="208"/>
      <c r="AT1127" s="208"/>
      <c r="AU1127" s="208"/>
      <c r="AV1127" s="208"/>
      <c r="AW1127" s="208"/>
      <c r="AX1127" s="208"/>
      <c r="AY1127" s="208"/>
    </row>
    <row r="1128">
      <c r="A1128" s="208"/>
      <c r="B1128" s="533"/>
      <c r="C1128" s="208"/>
      <c r="D1128" s="208"/>
      <c r="E1128" s="208"/>
      <c r="F1128" s="584"/>
      <c r="G1128" s="208"/>
      <c r="H1128" s="208"/>
      <c r="I1128" s="208"/>
      <c r="J1128" s="208"/>
      <c r="K1128" s="208"/>
      <c r="L1128" s="536"/>
      <c r="M1128" s="208"/>
      <c r="N1128" s="208"/>
      <c r="O1128" s="208"/>
      <c r="P1128" s="208"/>
      <c r="Q1128" s="208"/>
      <c r="R1128" s="208"/>
      <c r="S1128" s="208"/>
      <c r="T1128" s="208"/>
      <c r="U1128" s="208"/>
      <c r="V1128" s="208"/>
      <c r="W1128" s="208"/>
      <c r="X1128" s="208"/>
      <c r="Y1128" s="208"/>
      <c r="Z1128" s="208"/>
      <c r="AA1128" s="208"/>
      <c r="AB1128" s="208"/>
      <c r="AC1128" s="208"/>
      <c r="AD1128" s="208"/>
      <c r="AE1128" s="208"/>
      <c r="AF1128" s="208"/>
      <c r="AG1128" s="208"/>
      <c r="AH1128" s="208"/>
      <c r="AI1128" s="208"/>
      <c r="AJ1128" s="208"/>
      <c r="AK1128" s="208"/>
      <c r="AL1128" s="208"/>
      <c r="AM1128" s="208"/>
      <c r="AN1128" s="208"/>
      <c r="AO1128" s="208"/>
      <c r="AP1128" s="208"/>
      <c r="AQ1128" s="208"/>
      <c r="AR1128" s="208"/>
      <c r="AS1128" s="208"/>
      <c r="AT1128" s="208"/>
      <c r="AU1128" s="208"/>
      <c r="AV1128" s="208"/>
      <c r="AW1128" s="208"/>
      <c r="AX1128" s="208"/>
      <c r="AY1128" s="208"/>
    </row>
    <row r="1129">
      <c r="A1129" s="208"/>
      <c r="B1129" s="533"/>
      <c r="C1129" s="208"/>
      <c r="D1129" s="208"/>
      <c r="E1129" s="208"/>
      <c r="F1129" s="584"/>
      <c r="G1129" s="208"/>
      <c r="H1129" s="208"/>
      <c r="I1129" s="208"/>
      <c r="J1129" s="208"/>
      <c r="K1129" s="208"/>
      <c r="L1129" s="536"/>
      <c r="M1129" s="208"/>
      <c r="N1129" s="208"/>
      <c r="O1129" s="208"/>
      <c r="P1129" s="208"/>
      <c r="Q1129" s="208"/>
      <c r="R1129" s="208"/>
      <c r="S1129" s="208"/>
      <c r="T1129" s="208"/>
      <c r="U1129" s="208"/>
      <c r="V1129" s="208"/>
      <c r="W1129" s="208"/>
      <c r="X1129" s="208"/>
      <c r="Y1129" s="208"/>
      <c r="Z1129" s="208"/>
      <c r="AA1129" s="208"/>
      <c r="AB1129" s="208"/>
      <c r="AC1129" s="208"/>
      <c r="AD1129" s="208"/>
      <c r="AE1129" s="208"/>
      <c r="AF1129" s="208"/>
      <c r="AG1129" s="208"/>
      <c r="AH1129" s="208"/>
      <c r="AI1129" s="208"/>
      <c r="AJ1129" s="208"/>
      <c r="AK1129" s="208"/>
      <c r="AL1129" s="208"/>
      <c r="AM1129" s="208"/>
      <c r="AN1129" s="208"/>
      <c r="AO1129" s="208"/>
      <c r="AP1129" s="208"/>
      <c r="AQ1129" s="208"/>
      <c r="AR1129" s="208"/>
      <c r="AS1129" s="208"/>
      <c r="AT1129" s="208"/>
      <c r="AU1129" s="208"/>
      <c r="AV1129" s="208"/>
      <c r="AW1129" s="208"/>
      <c r="AX1129" s="208"/>
      <c r="AY1129" s="208"/>
    </row>
    <row r="1130">
      <c r="A1130" s="208"/>
      <c r="B1130" s="533"/>
      <c r="C1130" s="208"/>
      <c r="D1130" s="208"/>
      <c r="E1130" s="208"/>
      <c r="F1130" s="584"/>
      <c r="G1130" s="208"/>
      <c r="H1130" s="208"/>
      <c r="I1130" s="208"/>
      <c r="J1130" s="208"/>
      <c r="K1130" s="208"/>
      <c r="L1130" s="536"/>
      <c r="M1130" s="208"/>
      <c r="N1130" s="208"/>
      <c r="O1130" s="208"/>
      <c r="P1130" s="208"/>
      <c r="Q1130" s="208"/>
      <c r="R1130" s="208"/>
      <c r="S1130" s="208"/>
      <c r="T1130" s="208"/>
      <c r="U1130" s="208"/>
      <c r="V1130" s="208"/>
      <c r="W1130" s="208"/>
      <c r="X1130" s="208"/>
      <c r="Y1130" s="208"/>
      <c r="Z1130" s="208"/>
      <c r="AA1130" s="208"/>
      <c r="AB1130" s="208"/>
      <c r="AC1130" s="208"/>
      <c r="AD1130" s="208"/>
      <c r="AE1130" s="208"/>
      <c r="AF1130" s="208"/>
      <c r="AG1130" s="208"/>
      <c r="AH1130" s="208"/>
      <c r="AI1130" s="208"/>
      <c r="AJ1130" s="208"/>
      <c r="AK1130" s="208"/>
      <c r="AL1130" s="208"/>
      <c r="AM1130" s="208"/>
      <c r="AN1130" s="208"/>
      <c r="AO1130" s="208"/>
      <c r="AP1130" s="208"/>
      <c r="AQ1130" s="208"/>
      <c r="AR1130" s="208"/>
      <c r="AS1130" s="208"/>
      <c r="AT1130" s="208"/>
      <c r="AU1130" s="208"/>
      <c r="AV1130" s="208"/>
      <c r="AW1130" s="208"/>
      <c r="AX1130" s="208"/>
      <c r="AY1130" s="208"/>
    </row>
    <row r="1131">
      <c r="A1131" s="208"/>
      <c r="B1131" s="533"/>
      <c r="C1131" s="208"/>
      <c r="D1131" s="208"/>
      <c r="E1131" s="208"/>
      <c r="F1131" s="584"/>
      <c r="G1131" s="208"/>
      <c r="H1131" s="208"/>
      <c r="I1131" s="208"/>
      <c r="J1131" s="208"/>
      <c r="K1131" s="208"/>
      <c r="L1131" s="536"/>
      <c r="M1131" s="208"/>
      <c r="N1131" s="208"/>
      <c r="O1131" s="208"/>
      <c r="P1131" s="208"/>
      <c r="Q1131" s="208"/>
      <c r="R1131" s="208"/>
      <c r="S1131" s="208"/>
      <c r="T1131" s="208"/>
      <c r="U1131" s="208"/>
      <c r="V1131" s="208"/>
      <c r="W1131" s="208"/>
      <c r="X1131" s="208"/>
      <c r="Y1131" s="208"/>
      <c r="Z1131" s="208"/>
      <c r="AA1131" s="208"/>
      <c r="AB1131" s="208"/>
      <c r="AC1131" s="208"/>
      <c r="AD1131" s="208"/>
      <c r="AE1131" s="208"/>
      <c r="AF1131" s="208"/>
      <c r="AG1131" s="208"/>
      <c r="AH1131" s="208"/>
      <c r="AI1131" s="208"/>
      <c r="AJ1131" s="208"/>
      <c r="AK1131" s="208"/>
      <c r="AL1131" s="208"/>
      <c r="AM1131" s="208"/>
      <c r="AN1131" s="208"/>
      <c r="AO1131" s="208"/>
      <c r="AP1131" s="208"/>
      <c r="AQ1131" s="208"/>
      <c r="AR1131" s="208"/>
      <c r="AS1131" s="208"/>
      <c r="AT1131" s="208"/>
      <c r="AU1131" s="208"/>
      <c r="AV1131" s="208"/>
      <c r="AW1131" s="208"/>
      <c r="AX1131" s="208"/>
      <c r="AY1131" s="208"/>
    </row>
    <row r="1132">
      <c r="A1132" s="208"/>
      <c r="B1132" s="533"/>
      <c r="C1132" s="208"/>
      <c r="D1132" s="208"/>
      <c r="E1132" s="208"/>
      <c r="F1132" s="584"/>
      <c r="G1132" s="208"/>
      <c r="H1132" s="208"/>
      <c r="I1132" s="208"/>
      <c r="J1132" s="208"/>
      <c r="K1132" s="208"/>
      <c r="L1132" s="536"/>
      <c r="M1132" s="208"/>
      <c r="N1132" s="208"/>
      <c r="O1132" s="208"/>
      <c r="P1132" s="208"/>
      <c r="Q1132" s="208"/>
      <c r="R1132" s="208"/>
      <c r="S1132" s="208"/>
      <c r="T1132" s="208"/>
      <c r="U1132" s="208"/>
      <c r="V1132" s="208"/>
      <c r="W1132" s="208"/>
      <c r="X1132" s="208"/>
      <c r="Y1132" s="208"/>
      <c r="Z1132" s="208"/>
      <c r="AA1132" s="208"/>
      <c r="AB1132" s="208"/>
      <c r="AC1132" s="208"/>
      <c r="AD1132" s="208"/>
      <c r="AE1132" s="208"/>
      <c r="AF1132" s="208"/>
      <c r="AG1132" s="208"/>
      <c r="AH1132" s="208"/>
      <c r="AI1132" s="208"/>
      <c r="AJ1132" s="208"/>
      <c r="AK1132" s="208"/>
      <c r="AL1132" s="208"/>
      <c r="AM1132" s="208"/>
      <c r="AN1132" s="208"/>
      <c r="AO1132" s="208"/>
      <c r="AP1132" s="208"/>
      <c r="AQ1132" s="208"/>
      <c r="AR1132" s="208"/>
      <c r="AS1132" s="208"/>
      <c r="AT1132" s="208"/>
      <c r="AU1132" s="208"/>
      <c r="AV1132" s="208"/>
      <c r="AW1132" s="208"/>
      <c r="AX1132" s="208"/>
      <c r="AY1132" s="208"/>
    </row>
    <row r="1133">
      <c r="A1133" s="208"/>
      <c r="B1133" s="533"/>
      <c r="C1133" s="208"/>
      <c r="D1133" s="208"/>
      <c r="E1133" s="208"/>
      <c r="F1133" s="584"/>
      <c r="G1133" s="208"/>
      <c r="H1133" s="208"/>
      <c r="I1133" s="208"/>
      <c r="J1133" s="208"/>
      <c r="K1133" s="208"/>
      <c r="L1133" s="536"/>
      <c r="M1133" s="208"/>
      <c r="N1133" s="208"/>
      <c r="O1133" s="208"/>
      <c r="P1133" s="208"/>
      <c r="Q1133" s="208"/>
      <c r="R1133" s="208"/>
      <c r="S1133" s="208"/>
      <c r="T1133" s="208"/>
      <c r="U1133" s="208"/>
      <c r="V1133" s="208"/>
      <c r="W1133" s="208"/>
      <c r="X1133" s="208"/>
      <c r="Y1133" s="208"/>
      <c r="Z1133" s="208"/>
      <c r="AA1133" s="208"/>
      <c r="AB1133" s="208"/>
      <c r="AC1133" s="208"/>
      <c r="AD1133" s="208"/>
      <c r="AE1133" s="208"/>
      <c r="AF1133" s="208"/>
      <c r="AG1133" s="208"/>
      <c r="AH1133" s="208"/>
      <c r="AI1133" s="208"/>
      <c r="AJ1133" s="208"/>
      <c r="AK1133" s="208"/>
      <c r="AL1133" s="208"/>
      <c r="AM1133" s="208"/>
      <c r="AN1133" s="208"/>
      <c r="AO1133" s="208"/>
      <c r="AP1133" s="208"/>
      <c r="AQ1133" s="208"/>
      <c r="AR1133" s="208"/>
      <c r="AS1133" s="208"/>
      <c r="AT1133" s="208"/>
      <c r="AU1133" s="208"/>
      <c r="AV1133" s="208"/>
      <c r="AW1133" s="208"/>
      <c r="AX1133" s="208"/>
      <c r="AY1133" s="208"/>
    </row>
    <row r="1134">
      <c r="A1134" s="208"/>
      <c r="B1134" s="533"/>
      <c r="C1134" s="208"/>
      <c r="D1134" s="208"/>
      <c r="E1134" s="208"/>
      <c r="F1134" s="584"/>
      <c r="G1134" s="208"/>
      <c r="H1134" s="208"/>
      <c r="I1134" s="208"/>
      <c r="J1134" s="208"/>
      <c r="K1134" s="208"/>
      <c r="L1134" s="536"/>
      <c r="M1134" s="208"/>
      <c r="N1134" s="208"/>
      <c r="O1134" s="208"/>
      <c r="P1134" s="208"/>
      <c r="Q1134" s="208"/>
      <c r="R1134" s="208"/>
      <c r="S1134" s="208"/>
      <c r="T1134" s="208"/>
      <c r="U1134" s="208"/>
      <c r="V1134" s="208"/>
      <c r="W1134" s="208"/>
      <c r="X1134" s="208"/>
      <c r="Y1134" s="208"/>
      <c r="Z1134" s="208"/>
      <c r="AA1134" s="208"/>
      <c r="AB1134" s="208"/>
      <c r="AC1134" s="208"/>
      <c r="AD1134" s="208"/>
      <c r="AE1134" s="208"/>
      <c r="AF1134" s="208"/>
      <c r="AG1134" s="208"/>
      <c r="AH1134" s="208"/>
      <c r="AI1134" s="208"/>
      <c r="AJ1134" s="208"/>
      <c r="AK1134" s="208"/>
      <c r="AL1134" s="208"/>
      <c r="AM1134" s="208"/>
      <c r="AN1134" s="208"/>
      <c r="AO1134" s="208"/>
      <c r="AP1134" s="208"/>
      <c r="AQ1134" s="208"/>
      <c r="AR1134" s="208"/>
      <c r="AS1134" s="208"/>
      <c r="AT1134" s="208"/>
      <c r="AU1134" s="208"/>
      <c r="AV1134" s="208"/>
      <c r="AW1134" s="208"/>
      <c r="AX1134" s="208"/>
      <c r="AY1134" s="208"/>
    </row>
    <row r="1135">
      <c r="A1135" s="208"/>
      <c r="B1135" s="533"/>
      <c r="C1135" s="208"/>
      <c r="D1135" s="208"/>
      <c r="E1135" s="208"/>
      <c r="F1135" s="584"/>
      <c r="G1135" s="208"/>
      <c r="H1135" s="208"/>
      <c r="I1135" s="208"/>
      <c r="J1135" s="208"/>
      <c r="K1135" s="208"/>
      <c r="L1135" s="536"/>
      <c r="M1135" s="208"/>
      <c r="N1135" s="208"/>
      <c r="O1135" s="208"/>
      <c r="P1135" s="208"/>
      <c r="Q1135" s="208"/>
      <c r="R1135" s="208"/>
      <c r="S1135" s="208"/>
      <c r="T1135" s="208"/>
      <c r="U1135" s="208"/>
      <c r="V1135" s="208"/>
      <c r="W1135" s="208"/>
      <c r="X1135" s="208"/>
      <c r="Y1135" s="208"/>
      <c r="Z1135" s="208"/>
      <c r="AA1135" s="208"/>
      <c r="AB1135" s="208"/>
      <c r="AC1135" s="208"/>
      <c r="AD1135" s="208"/>
      <c r="AE1135" s="208"/>
      <c r="AF1135" s="208"/>
      <c r="AG1135" s="208"/>
      <c r="AH1135" s="208"/>
      <c r="AI1135" s="208"/>
      <c r="AJ1135" s="208"/>
      <c r="AK1135" s="208"/>
      <c r="AL1135" s="208"/>
      <c r="AM1135" s="208"/>
      <c r="AN1135" s="208"/>
      <c r="AO1135" s="208"/>
      <c r="AP1135" s="208"/>
      <c r="AQ1135" s="208"/>
      <c r="AR1135" s="208"/>
      <c r="AS1135" s="208"/>
      <c r="AT1135" s="208"/>
      <c r="AU1135" s="208"/>
      <c r="AV1135" s="208"/>
      <c r="AW1135" s="208"/>
      <c r="AX1135" s="208"/>
      <c r="AY1135" s="208"/>
    </row>
    <row r="1136">
      <c r="A1136" s="208"/>
      <c r="B1136" s="533"/>
      <c r="C1136" s="208"/>
      <c r="D1136" s="208"/>
      <c r="E1136" s="208"/>
      <c r="F1136" s="584"/>
      <c r="G1136" s="208"/>
      <c r="H1136" s="208"/>
      <c r="I1136" s="208"/>
      <c r="J1136" s="208"/>
      <c r="K1136" s="208"/>
      <c r="L1136" s="536"/>
      <c r="M1136" s="208"/>
      <c r="N1136" s="208"/>
      <c r="O1136" s="208"/>
      <c r="P1136" s="208"/>
      <c r="Q1136" s="208"/>
      <c r="R1136" s="208"/>
      <c r="S1136" s="208"/>
      <c r="T1136" s="208"/>
      <c r="U1136" s="208"/>
      <c r="V1136" s="208"/>
      <c r="W1136" s="208"/>
      <c r="X1136" s="208"/>
      <c r="Y1136" s="208"/>
      <c r="Z1136" s="208"/>
      <c r="AA1136" s="208"/>
      <c r="AB1136" s="208"/>
      <c r="AC1136" s="208"/>
      <c r="AD1136" s="208"/>
      <c r="AE1136" s="208"/>
      <c r="AF1136" s="208"/>
      <c r="AG1136" s="208"/>
      <c r="AH1136" s="208"/>
      <c r="AI1136" s="208"/>
      <c r="AJ1136" s="208"/>
      <c r="AK1136" s="208"/>
      <c r="AL1136" s="208"/>
      <c r="AM1136" s="208"/>
      <c r="AN1136" s="208"/>
      <c r="AO1136" s="208"/>
      <c r="AP1136" s="208"/>
      <c r="AQ1136" s="208"/>
      <c r="AR1136" s="208"/>
      <c r="AS1136" s="208"/>
      <c r="AT1136" s="208"/>
      <c r="AU1136" s="208"/>
      <c r="AV1136" s="208"/>
      <c r="AW1136" s="208"/>
      <c r="AX1136" s="208"/>
      <c r="AY1136" s="208"/>
    </row>
    <row r="1137">
      <c r="A1137" s="208"/>
      <c r="B1137" s="533"/>
      <c r="C1137" s="208"/>
      <c r="D1137" s="208"/>
      <c r="E1137" s="208"/>
      <c r="F1137" s="584"/>
      <c r="G1137" s="208"/>
      <c r="H1137" s="208"/>
      <c r="I1137" s="208"/>
      <c r="J1137" s="208"/>
      <c r="K1137" s="208"/>
      <c r="L1137" s="536"/>
      <c r="M1137" s="208"/>
      <c r="N1137" s="208"/>
      <c r="O1137" s="208"/>
      <c r="P1137" s="208"/>
      <c r="Q1137" s="208"/>
      <c r="R1137" s="208"/>
      <c r="S1137" s="208"/>
      <c r="T1137" s="208"/>
      <c r="U1137" s="208"/>
      <c r="V1137" s="208"/>
      <c r="W1137" s="208"/>
      <c r="X1137" s="208"/>
      <c r="Y1137" s="208"/>
      <c r="Z1137" s="208"/>
      <c r="AA1137" s="208"/>
      <c r="AB1137" s="208"/>
      <c r="AC1137" s="208"/>
      <c r="AD1137" s="208"/>
      <c r="AE1137" s="208"/>
      <c r="AF1137" s="208"/>
      <c r="AG1137" s="208"/>
      <c r="AH1137" s="208"/>
      <c r="AI1137" s="208"/>
      <c r="AJ1137" s="208"/>
      <c r="AK1137" s="208"/>
      <c r="AL1137" s="208"/>
      <c r="AM1137" s="208"/>
      <c r="AN1137" s="208"/>
      <c r="AO1137" s="208"/>
      <c r="AP1137" s="208"/>
      <c r="AQ1137" s="208"/>
      <c r="AR1137" s="208"/>
      <c r="AS1137" s="208"/>
      <c r="AT1137" s="208"/>
      <c r="AU1137" s="208"/>
      <c r="AV1137" s="208"/>
      <c r="AW1137" s="208"/>
      <c r="AX1137" s="208"/>
      <c r="AY1137" s="208"/>
    </row>
    <row r="1138">
      <c r="A1138" s="208"/>
      <c r="B1138" s="533"/>
      <c r="C1138" s="208"/>
      <c r="D1138" s="208"/>
      <c r="E1138" s="208"/>
      <c r="F1138" s="584"/>
      <c r="G1138" s="208"/>
      <c r="H1138" s="208"/>
      <c r="I1138" s="208"/>
      <c r="J1138" s="208"/>
      <c r="K1138" s="208"/>
      <c r="L1138" s="536"/>
      <c r="M1138" s="208"/>
      <c r="N1138" s="208"/>
      <c r="O1138" s="208"/>
      <c r="P1138" s="208"/>
      <c r="Q1138" s="208"/>
      <c r="R1138" s="208"/>
      <c r="S1138" s="208"/>
      <c r="T1138" s="208"/>
      <c r="U1138" s="208"/>
      <c r="V1138" s="208"/>
      <c r="W1138" s="208"/>
      <c r="X1138" s="208"/>
      <c r="Y1138" s="208"/>
      <c r="Z1138" s="208"/>
      <c r="AA1138" s="208"/>
      <c r="AB1138" s="208"/>
      <c r="AC1138" s="208"/>
      <c r="AD1138" s="208"/>
      <c r="AE1138" s="208"/>
      <c r="AF1138" s="208"/>
      <c r="AG1138" s="208"/>
      <c r="AH1138" s="208"/>
      <c r="AI1138" s="208"/>
      <c r="AJ1138" s="208"/>
      <c r="AK1138" s="208"/>
      <c r="AL1138" s="208"/>
      <c r="AM1138" s="208"/>
      <c r="AN1138" s="208"/>
      <c r="AO1138" s="208"/>
      <c r="AP1138" s="208"/>
      <c r="AQ1138" s="208"/>
      <c r="AR1138" s="208"/>
      <c r="AS1138" s="208"/>
      <c r="AT1138" s="208"/>
      <c r="AU1138" s="208"/>
      <c r="AV1138" s="208"/>
      <c r="AW1138" s="208"/>
      <c r="AX1138" s="208"/>
      <c r="AY1138" s="208"/>
    </row>
    <row r="1139">
      <c r="A1139" s="208"/>
      <c r="B1139" s="533"/>
      <c r="C1139" s="208"/>
      <c r="D1139" s="208"/>
      <c r="E1139" s="208"/>
      <c r="F1139" s="584"/>
      <c r="G1139" s="208"/>
      <c r="H1139" s="208"/>
      <c r="I1139" s="208"/>
      <c r="J1139" s="208"/>
      <c r="K1139" s="208"/>
      <c r="L1139" s="536"/>
      <c r="M1139" s="208"/>
      <c r="N1139" s="208"/>
      <c r="O1139" s="208"/>
      <c r="P1139" s="208"/>
      <c r="Q1139" s="208"/>
      <c r="R1139" s="208"/>
      <c r="S1139" s="208"/>
      <c r="T1139" s="208"/>
      <c r="U1139" s="208"/>
      <c r="V1139" s="208"/>
      <c r="W1139" s="208"/>
      <c r="X1139" s="208"/>
      <c r="Y1139" s="208"/>
      <c r="Z1139" s="208"/>
      <c r="AA1139" s="208"/>
      <c r="AB1139" s="208"/>
      <c r="AC1139" s="208"/>
      <c r="AD1139" s="208"/>
      <c r="AE1139" s="208"/>
      <c r="AF1139" s="208"/>
      <c r="AG1139" s="208"/>
      <c r="AH1139" s="208"/>
      <c r="AI1139" s="208"/>
      <c r="AJ1139" s="208"/>
      <c r="AK1139" s="208"/>
      <c r="AL1139" s="208"/>
      <c r="AM1139" s="208"/>
      <c r="AN1139" s="208"/>
      <c r="AO1139" s="208"/>
      <c r="AP1139" s="208"/>
      <c r="AQ1139" s="208"/>
      <c r="AR1139" s="208"/>
      <c r="AS1139" s="208"/>
      <c r="AT1139" s="208"/>
      <c r="AU1139" s="208"/>
      <c r="AV1139" s="208"/>
      <c r="AW1139" s="208"/>
      <c r="AX1139" s="208"/>
      <c r="AY1139" s="208"/>
    </row>
    <row r="1140">
      <c r="A1140" s="208"/>
      <c r="B1140" s="533"/>
      <c r="C1140" s="208"/>
      <c r="D1140" s="208"/>
      <c r="E1140" s="208"/>
      <c r="F1140" s="584"/>
      <c r="G1140" s="208"/>
      <c r="H1140" s="208"/>
      <c r="I1140" s="208"/>
      <c r="J1140" s="208"/>
      <c r="K1140" s="208"/>
      <c r="L1140" s="536"/>
      <c r="M1140" s="208"/>
      <c r="N1140" s="208"/>
      <c r="O1140" s="208"/>
      <c r="P1140" s="208"/>
      <c r="Q1140" s="208"/>
      <c r="R1140" s="208"/>
      <c r="S1140" s="208"/>
      <c r="T1140" s="208"/>
      <c r="U1140" s="208"/>
      <c r="V1140" s="208"/>
      <c r="W1140" s="208"/>
      <c r="X1140" s="208"/>
      <c r="Y1140" s="208"/>
      <c r="Z1140" s="208"/>
      <c r="AA1140" s="208"/>
      <c r="AB1140" s="208"/>
      <c r="AC1140" s="208"/>
      <c r="AD1140" s="208"/>
      <c r="AE1140" s="208"/>
      <c r="AF1140" s="208"/>
      <c r="AG1140" s="208"/>
      <c r="AH1140" s="208"/>
      <c r="AI1140" s="208"/>
      <c r="AJ1140" s="208"/>
      <c r="AK1140" s="208"/>
      <c r="AL1140" s="208"/>
      <c r="AM1140" s="208"/>
      <c r="AN1140" s="208"/>
      <c r="AO1140" s="208"/>
      <c r="AP1140" s="208"/>
      <c r="AQ1140" s="208"/>
      <c r="AR1140" s="208"/>
      <c r="AS1140" s="208"/>
      <c r="AT1140" s="208"/>
      <c r="AU1140" s="208"/>
      <c r="AV1140" s="208"/>
      <c r="AW1140" s="208"/>
      <c r="AX1140" s="208"/>
      <c r="AY1140" s="208"/>
    </row>
    <row r="1141">
      <c r="A1141" s="208"/>
      <c r="B1141" s="533"/>
      <c r="C1141" s="208"/>
      <c r="D1141" s="208"/>
      <c r="E1141" s="208"/>
      <c r="F1141" s="584"/>
      <c r="G1141" s="208"/>
      <c r="H1141" s="208"/>
      <c r="I1141" s="208"/>
      <c r="J1141" s="208"/>
      <c r="K1141" s="208"/>
      <c r="L1141" s="536"/>
      <c r="M1141" s="208"/>
      <c r="N1141" s="208"/>
      <c r="O1141" s="208"/>
      <c r="P1141" s="208"/>
      <c r="Q1141" s="208"/>
      <c r="R1141" s="208"/>
      <c r="S1141" s="208"/>
      <c r="T1141" s="208"/>
      <c r="U1141" s="208"/>
      <c r="V1141" s="208"/>
      <c r="W1141" s="208"/>
      <c r="X1141" s="208"/>
      <c r="Y1141" s="208"/>
      <c r="Z1141" s="208"/>
      <c r="AA1141" s="208"/>
      <c r="AB1141" s="208"/>
      <c r="AC1141" s="208"/>
      <c r="AD1141" s="208"/>
      <c r="AE1141" s="208"/>
      <c r="AF1141" s="208"/>
      <c r="AG1141" s="208"/>
      <c r="AH1141" s="208"/>
      <c r="AI1141" s="208"/>
      <c r="AJ1141" s="208"/>
      <c r="AK1141" s="208"/>
      <c r="AL1141" s="208"/>
      <c r="AM1141" s="208"/>
      <c r="AN1141" s="208"/>
      <c r="AO1141" s="208"/>
      <c r="AP1141" s="208"/>
      <c r="AQ1141" s="208"/>
      <c r="AR1141" s="208"/>
      <c r="AS1141" s="208"/>
      <c r="AT1141" s="208"/>
      <c r="AU1141" s="208"/>
      <c r="AV1141" s="208"/>
      <c r="AW1141" s="208"/>
      <c r="AX1141" s="208"/>
      <c r="AY1141" s="208"/>
    </row>
    <row r="1142">
      <c r="A1142" s="208"/>
      <c r="B1142" s="533"/>
      <c r="C1142" s="208"/>
      <c r="D1142" s="208"/>
      <c r="E1142" s="208"/>
      <c r="F1142" s="584"/>
      <c r="G1142" s="208"/>
      <c r="H1142" s="208"/>
      <c r="I1142" s="208"/>
      <c r="J1142" s="208"/>
      <c r="K1142" s="208"/>
      <c r="L1142" s="536"/>
      <c r="M1142" s="208"/>
      <c r="N1142" s="208"/>
      <c r="O1142" s="208"/>
      <c r="P1142" s="208"/>
      <c r="Q1142" s="208"/>
      <c r="R1142" s="208"/>
      <c r="S1142" s="208"/>
      <c r="T1142" s="208"/>
      <c r="U1142" s="208"/>
      <c r="V1142" s="208"/>
      <c r="W1142" s="208"/>
      <c r="X1142" s="208"/>
      <c r="Y1142" s="208"/>
      <c r="Z1142" s="208"/>
      <c r="AA1142" s="208"/>
      <c r="AB1142" s="208"/>
      <c r="AC1142" s="208"/>
      <c r="AD1142" s="208"/>
      <c r="AE1142" s="208"/>
      <c r="AF1142" s="208"/>
      <c r="AG1142" s="208"/>
      <c r="AH1142" s="208"/>
      <c r="AI1142" s="208"/>
      <c r="AJ1142" s="208"/>
      <c r="AK1142" s="208"/>
      <c r="AL1142" s="208"/>
      <c r="AM1142" s="208"/>
      <c r="AN1142" s="208"/>
      <c r="AO1142" s="208"/>
      <c r="AP1142" s="208"/>
      <c r="AQ1142" s="208"/>
      <c r="AR1142" s="208"/>
      <c r="AS1142" s="208"/>
      <c r="AT1142" s="208"/>
      <c r="AU1142" s="208"/>
      <c r="AV1142" s="208"/>
      <c r="AW1142" s="208"/>
      <c r="AX1142" s="208"/>
      <c r="AY1142" s="208"/>
    </row>
    <row r="1143">
      <c r="A1143" s="208"/>
      <c r="B1143" s="533"/>
      <c r="C1143" s="208"/>
      <c r="D1143" s="208"/>
      <c r="E1143" s="208"/>
      <c r="F1143" s="584"/>
      <c r="G1143" s="208"/>
      <c r="H1143" s="208"/>
      <c r="I1143" s="208"/>
      <c r="J1143" s="208"/>
      <c r="K1143" s="208"/>
      <c r="L1143" s="536"/>
      <c r="M1143" s="208"/>
      <c r="N1143" s="208"/>
      <c r="O1143" s="208"/>
      <c r="P1143" s="208"/>
      <c r="Q1143" s="208"/>
      <c r="R1143" s="208"/>
      <c r="S1143" s="208"/>
      <c r="T1143" s="208"/>
      <c r="U1143" s="208"/>
      <c r="V1143" s="208"/>
      <c r="W1143" s="208"/>
      <c r="X1143" s="208"/>
      <c r="Y1143" s="208"/>
      <c r="Z1143" s="208"/>
      <c r="AA1143" s="208"/>
      <c r="AB1143" s="208"/>
      <c r="AC1143" s="208"/>
      <c r="AD1143" s="208"/>
      <c r="AE1143" s="208"/>
      <c r="AF1143" s="208"/>
      <c r="AG1143" s="208"/>
      <c r="AH1143" s="208"/>
      <c r="AI1143" s="208"/>
      <c r="AJ1143" s="208"/>
      <c r="AK1143" s="208"/>
      <c r="AL1143" s="208"/>
      <c r="AM1143" s="208"/>
      <c r="AN1143" s="208"/>
      <c r="AO1143" s="208"/>
      <c r="AP1143" s="208"/>
      <c r="AQ1143" s="208"/>
      <c r="AR1143" s="208"/>
      <c r="AS1143" s="208"/>
      <c r="AT1143" s="208"/>
      <c r="AU1143" s="208"/>
      <c r="AV1143" s="208"/>
      <c r="AW1143" s="208"/>
      <c r="AX1143" s="208"/>
      <c r="AY1143" s="208"/>
    </row>
    <row r="1144">
      <c r="A1144" s="208"/>
      <c r="B1144" s="533"/>
      <c r="C1144" s="208"/>
      <c r="D1144" s="208"/>
      <c r="E1144" s="208"/>
      <c r="F1144" s="584"/>
      <c r="G1144" s="208"/>
      <c r="H1144" s="208"/>
      <c r="I1144" s="208"/>
      <c r="J1144" s="208"/>
      <c r="K1144" s="208"/>
      <c r="L1144" s="536"/>
      <c r="M1144" s="208"/>
      <c r="N1144" s="208"/>
      <c r="O1144" s="208"/>
      <c r="P1144" s="208"/>
      <c r="Q1144" s="208"/>
      <c r="R1144" s="208"/>
      <c r="S1144" s="208"/>
      <c r="T1144" s="208"/>
      <c r="U1144" s="208"/>
      <c r="V1144" s="208"/>
      <c r="W1144" s="208"/>
      <c r="X1144" s="208"/>
      <c r="Y1144" s="208"/>
      <c r="Z1144" s="208"/>
      <c r="AA1144" s="208"/>
      <c r="AB1144" s="208"/>
      <c r="AC1144" s="208"/>
      <c r="AD1144" s="208"/>
      <c r="AE1144" s="208"/>
      <c r="AF1144" s="208"/>
      <c r="AG1144" s="208"/>
      <c r="AH1144" s="208"/>
      <c r="AI1144" s="208"/>
      <c r="AJ1144" s="208"/>
      <c r="AK1144" s="208"/>
      <c r="AL1144" s="208"/>
      <c r="AM1144" s="208"/>
      <c r="AN1144" s="208"/>
      <c r="AO1144" s="208"/>
      <c r="AP1144" s="208"/>
      <c r="AQ1144" s="208"/>
      <c r="AR1144" s="208"/>
      <c r="AS1144" s="208"/>
      <c r="AT1144" s="208"/>
      <c r="AU1144" s="208"/>
      <c r="AV1144" s="208"/>
      <c r="AW1144" s="208"/>
      <c r="AX1144" s="208"/>
      <c r="AY1144" s="208"/>
    </row>
    <row r="1145">
      <c r="A1145" s="208"/>
      <c r="B1145" s="533"/>
      <c r="C1145" s="208"/>
      <c r="D1145" s="208"/>
      <c r="E1145" s="208"/>
      <c r="F1145" s="584"/>
      <c r="G1145" s="208"/>
      <c r="H1145" s="208"/>
      <c r="I1145" s="208"/>
      <c r="J1145" s="208"/>
      <c r="K1145" s="208"/>
      <c r="L1145" s="536"/>
      <c r="M1145" s="208"/>
      <c r="N1145" s="208"/>
      <c r="O1145" s="208"/>
      <c r="P1145" s="208"/>
      <c r="Q1145" s="208"/>
      <c r="R1145" s="208"/>
      <c r="S1145" s="208"/>
      <c r="T1145" s="208"/>
      <c r="U1145" s="208"/>
      <c r="V1145" s="208"/>
      <c r="W1145" s="208"/>
      <c r="X1145" s="208"/>
      <c r="Y1145" s="208"/>
      <c r="Z1145" s="208"/>
      <c r="AA1145" s="208"/>
      <c r="AB1145" s="208"/>
      <c r="AC1145" s="208"/>
      <c r="AD1145" s="208"/>
      <c r="AE1145" s="208"/>
      <c r="AF1145" s="208"/>
      <c r="AG1145" s="208"/>
      <c r="AH1145" s="208"/>
      <c r="AI1145" s="208"/>
      <c r="AJ1145" s="208"/>
      <c r="AK1145" s="208"/>
      <c r="AL1145" s="208"/>
      <c r="AM1145" s="208"/>
      <c r="AN1145" s="208"/>
      <c r="AO1145" s="208"/>
      <c r="AP1145" s="208"/>
      <c r="AQ1145" s="208"/>
      <c r="AR1145" s="208"/>
      <c r="AS1145" s="208"/>
      <c r="AT1145" s="208"/>
      <c r="AU1145" s="208"/>
      <c r="AV1145" s="208"/>
      <c r="AW1145" s="208"/>
      <c r="AX1145" s="208"/>
      <c r="AY1145" s="208"/>
    </row>
    <row r="1146">
      <c r="A1146" s="208"/>
      <c r="B1146" s="533"/>
      <c r="C1146" s="208"/>
      <c r="D1146" s="208"/>
      <c r="E1146" s="208"/>
      <c r="F1146" s="584"/>
      <c r="G1146" s="208"/>
      <c r="H1146" s="208"/>
      <c r="I1146" s="208"/>
      <c r="J1146" s="208"/>
      <c r="K1146" s="208"/>
      <c r="L1146" s="536"/>
      <c r="M1146" s="208"/>
      <c r="N1146" s="208"/>
      <c r="O1146" s="208"/>
      <c r="P1146" s="208"/>
      <c r="Q1146" s="208"/>
      <c r="R1146" s="208"/>
      <c r="S1146" s="208"/>
      <c r="T1146" s="208"/>
      <c r="U1146" s="208"/>
      <c r="V1146" s="208"/>
      <c r="W1146" s="208"/>
      <c r="X1146" s="208"/>
      <c r="Y1146" s="208"/>
      <c r="Z1146" s="208"/>
      <c r="AA1146" s="208"/>
      <c r="AB1146" s="208"/>
      <c r="AC1146" s="208"/>
      <c r="AD1146" s="208"/>
      <c r="AE1146" s="208"/>
      <c r="AF1146" s="208"/>
      <c r="AG1146" s="208"/>
      <c r="AH1146" s="208"/>
      <c r="AI1146" s="208"/>
      <c r="AJ1146" s="208"/>
      <c r="AK1146" s="208"/>
      <c r="AL1146" s="208"/>
      <c r="AM1146" s="208"/>
      <c r="AN1146" s="208"/>
      <c r="AO1146" s="208"/>
      <c r="AP1146" s="208"/>
      <c r="AQ1146" s="208"/>
      <c r="AR1146" s="208"/>
      <c r="AS1146" s="208"/>
      <c r="AT1146" s="208"/>
      <c r="AU1146" s="208"/>
      <c r="AV1146" s="208"/>
      <c r="AW1146" s="208"/>
      <c r="AX1146" s="208"/>
      <c r="AY1146" s="208"/>
    </row>
    <row r="1147">
      <c r="A1147" s="208"/>
      <c r="B1147" s="533"/>
      <c r="C1147" s="208"/>
      <c r="D1147" s="208"/>
      <c r="E1147" s="208"/>
      <c r="F1147" s="584"/>
      <c r="G1147" s="208"/>
      <c r="H1147" s="208"/>
      <c r="I1147" s="208"/>
      <c r="J1147" s="208"/>
      <c r="K1147" s="208"/>
      <c r="L1147" s="536"/>
      <c r="M1147" s="208"/>
      <c r="N1147" s="208"/>
      <c r="O1147" s="208"/>
      <c r="P1147" s="208"/>
      <c r="Q1147" s="208"/>
      <c r="R1147" s="208"/>
      <c r="S1147" s="208"/>
      <c r="T1147" s="208"/>
      <c r="U1147" s="208"/>
      <c r="V1147" s="208"/>
      <c r="W1147" s="208"/>
      <c r="X1147" s="208"/>
      <c r="Y1147" s="208"/>
      <c r="Z1147" s="208"/>
      <c r="AA1147" s="208"/>
      <c r="AB1147" s="208"/>
      <c r="AC1147" s="208"/>
      <c r="AD1147" s="208"/>
      <c r="AE1147" s="208"/>
      <c r="AF1147" s="208"/>
      <c r="AG1147" s="208"/>
      <c r="AH1147" s="208"/>
      <c r="AI1147" s="208"/>
      <c r="AJ1147" s="208"/>
      <c r="AK1147" s="208"/>
      <c r="AL1147" s="208"/>
      <c r="AM1147" s="208"/>
      <c r="AN1147" s="208"/>
      <c r="AO1147" s="208"/>
      <c r="AP1147" s="208"/>
      <c r="AQ1147" s="208"/>
      <c r="AR1147" s="208"/>
      <c r="AS1147" s="208"/>
      <c r="AT1147" s="208"/>
      <c r="AU1147" s="208"/>
      <c r="AV1147" s="208"/>
      <c r="AW1147" s="208"/>
      <c r="AX1147" s="208"/>
      <c r="AY1147" s="208"/>
    </row>
    <row r="1148">
      <c r="A1148" s="208"/>
      <c r="B1148" s="533"/>
      <c r="C1148" s="208"/>
      <c r="D1148" s="208"/>
      <c r="E1148" s="208"/>
      <c r="F1148" s="584"/>
      <c r="G1148" s="208"/>
      <c r="H1148" s="208"/>
      <c r="I1148" s="208"/>
      <c r="J1148" s="208"/>
      <c r="K1148" s="208"/>
      <c r="L1148" s="536"/>
      <c r="M1148" s="208"/>
      <c r="N1148" s="208"/>
      <c r="O1148" s="208"/>
      <c r="P1148" s="208"/>
      <c r="Q1148" s="208"/>
      <c r="R1148" s="208"/>
      <c r="S1148" s="208"/>
      <c r="T1148" s="208"/>
      <c r="U1148" s="208"/>
      <c r="V1148" s="208"/>
      <c r="W1148" s="208"/>
      <c r="X1148" s="208"/>
      <c r="Y1148" s="208"/>
      <c r="Z1148" s="208"/>
      <c r="AA1148" s="208"/>
      <c r="AB1148" s="208"/>
      <c r="AC1148" s="208"/>
      <c r="AD1148" s="208"/>
      <c r="AE1148" s="208"/>
      <c r="AF1148" s="208"/>
      <c r="AG1148" s="208"/>
      <c r="AH1148" s="208"/>
      <c r="AI1148" s="208"/>
      <c r="AJ1148" s="208"/>
      <c r="AK1148" s="208"/>
      <c r="AL1148" s="208"/>
      <c r="AM1148" s="208"/>
      <c r="AN1148" s="208"/>
      <c r="AO1148" s="208"/>
      <c r="AP1148" s="208"/>
      <c r="AQ1148" s="208"/>
      <c r="AR1148" s="208"/>
      <c r="AS1148" s="208"/>
      <c r="AT1148" s="208"/>
      <c r="AU1148" s="208"/>
      <c r="AV1148" s="208"/>
      <c r="AW1148" s="208"/>
      <c r="AX1148" s="208"/>
      <c r="AY1148" s="208"/>
    </row>
    <row r="1149">
      <c r="A1149" s="208"/>
      <c r="B1149" s="533"/>
      <c r="C1149" s="208"/>
      <c r="D1149" s="208"/>
      <c r="E1149" s="208"/>
      <c r="F1149" s="584"/>
      <c r="G1149" s="208"/>
      <c r="H1149" s="208"/>
      <c r="I1149" s="208"/>
      <c r="J1149" s="208"/>
      <c r="K1149" s="208"/>
      <c r="L1149" s="536"/>
      <c r="M1149" s="208"/>
      <c r="N1149" s="208"/>
      <c r="O1149" s="208"/>
      <c r="P1149" s="208"/>
      <c r="Q1149" s="208"/>
      <c r="R1149" s="208"/>
      <c r="S1149" s="208"/>
      <c r="T1149" s="208"/>
      <c r="U1149" s="208"/>
      <c r="V1149" s="208"/>
      <c r="W1149" s="208"/>
      <c r="X1149" s="208"/>
      <c r="Y1149" s="208"/>
      <c r="Z1149" s="208"/>
      <c r="AA1149" s="208"/>
      <c r="AB1149" s="208"/>
      <c r="AC1149" s="208"/>
      <c r="AD1149" s="208"/>
      <c r="AE1149" s="208"/>
      <c r="AF1149" s="208"/>
      <c r="AG1149" s="208"/>
      <c r="AH1149" s="208"/>
      <c r="AI1149" s="208"/>
      <c r="AJ1149" s="208"/>
      <c r="AK1149" s="208"/>
      <c r="AL1149" s="208"/>
      <c r="AM1149" s="208"/>
      <c r="AN1149" s="208"/>
      <c r="AO1149" s="208"/>
      <c r="AP1149" s="208"/>
      <c r="AQ1149" s="208"/>
      <c r="AR1149" s="208"/>
      <c r="AS1149" s="208"/>
      <c r="AT1149" s="208"/>
      <c r="AU1149" s="208"/>
      <c r="AV1149" s="208"/>
      <c r="AW1149" s="208"/>
      <c r="AX1149" s="208"/>
      <c r="AY1149" s="208"/>
    </row>
    <row r="1150">
      <c r="A1150" s="208"/>
      <c r="B1150" s="533"/>
      <c r="C1150" s="208"/>
      <c r="D1150" s="208"/>
      <c r="E1150" s="208"/>
      <c r="F1150" s="584"/>
      <c r="G1150" s="208"/>
      <c r="H1150" s="208"/>
      <c r="I1150" s="208"/>
      <c r="J1150" s="208"/>
      <c r="K1150" s="208"/>
      <c r="L1150" s="536"/>
      <c r="M1150" s="208"/>
      <c r="N1150" s="208"/>
      <c r="O1150" s="208"/>
      <c r="P1150" s="208"/>
      <c r="Q1150" s="208"/>
      <c r="R1150" s="208"/>
      <c r="S1150" s="208"/>
      <c r="T1150" s="208"/>
      <c r="U1150" s="208"/>
      <c r="V1150" s="208"/>
      <c r="W1150" s="208"/>
      <c r="X1150" s="208"/>
      <c r="Y1150" s="208"/>
      <c r="Z1150" s="208"/>
      <c r="AA1150" s="208"/>
      <c r="AB1150" s="208"/>
      <c r="AC1150" s="208"/>
      <c r="AD1150" s="208"/>
      <c r="AE1150" s="208"/>
      <c r="AF1150" s="208"/>
      <c r="AG1150" s="208"/>
      <c r="AH1150" s="208"/>
      <c r="AI1150" s="208"/>
      <c r="AJ1150" s="208"/>
      <c r="AK1150" s="208"/>
      <c r="AL1150" s="208"/>
      <c r="AM1150" s="208"/>
      <c r="AN1150" s="208"/>
      <c r="AO1150" s="208"/>
      <c r="AP1150" s="208"/>
      <c r="AQ1150" s="208"/>
      <c r="AR1150" s="208"/>
      <c r="AS1150" s="208"/>
      <c r="AT1150" s="208"/>
      <c r="AU1150" s="208"/>
      <c r="AV1150" s="208"/>
      <c r="AW1150" s="208"/>
      <c r="AX1150" s="208"/>
      <c r="AY1150" s="208"/>
    </row>
    <row r="1151">
      <c r="A1151" s="208"/>
      <c r="B1151" s="533"/>
      <c r="C1151" s="208"/>
      <c r="D1151" s="208"/>
      <c r="E1151" s="208"/>
      <c r="F1151" s="584"/>
      <c r="G1151" s="208"/>
      <c r="H1151" s="208"/>
      <c r="I1151" s="208"/>
      <c r="J1151" s="208"/>
      <c r="K1151" s="208"/>
      <c r="L1151" s="536"/>
      <c r="M1151" s="208"/>
      <c r="N1151" s="208"/>
      <c r="O1151" s="208"/>
      <c r="P1151" s="208"/>
      <c r="Q1151" s="208"/>
      <c r="R1151" s="208"/>
      <c r="S1151" s="208"/>
      <c r="T1151" s="208"/>
      <c r="U1151" s="208"/>
      <c r="V1151" s="208"/>
      <c r="W1151" s="208"/>
      <c r="X1151" s="208"/>
      <c r="Y1151" s="208"/>
      <c r="Z1151" s="208"/>
      <c r="AA1151" s="208"/>
      <c r="AB1151" s="208"/>
      <c r="AC1151" s="208"/>
      <c r="AD1151" s="208"/>
      <c r="AE1151" s="208"/>
      <c r="AF1151" s="208"/>
      <c r="AG1151" s="208"/>
      <c r="AH1151" s="208"/>
      <c r="AI1151" s="208"/>
      <c r="AJ1151" s="208"/>
      <c r="AK1151" s="208"/>
      <c r="AL1151" s="208"/>
      <c r="AM1151" s="208"/>
      <c r="AN1151" s="208"/>
      <c r="AO1151" s="208"/>
      <c r="AP1151" s="208"/>
      <c r="AQ1151" s="208"/>
      <c r="AR1151" s="208"/>
      <c r="AS1151" s="208"/>
      <c r="AT1151" s="208"/>
      <c r="AU1151" s="208"/>
      <c r="AV1151" s="208"/>
      <c r="AW1151" s="208"/>
      <c r="AX1151" s="208"/>
      <c r="AY1151" s="208"/>
    </row>
    <row r="1152">
      <c r="A1152" s="208"/>
      <c r="B1152" s="533"/>
      <c r="C1152" s="208"/>
      <c r="D1152" s="208"/>
      <c r="E1152" s="208"/>
      <c r="F1152" s="584"/>
      <c r="G1152" s="208"/>
      <c r="H1152" s="208"/>
      <c r="I1152" s="208"/>
      <c r="J1152" s="208"/>
      <c r="K1152" s="208"/>
      <c r="L1152" s="536"/>
      <c r="M1152" s="208"/>
      <c r="N1152" s="208"/>
      <c r="O1152" s="208"/>
      <c r="P1152" s="208"/>
      <c r="Q1152" s="208"/>
      <c r="R1152" s="208"/>
      <c r="S1152" s="208"/>
      <c r="T1152" s="208"/>
      <c r="U1152" s="208"/>
      <c r="V1152" s="208"/>
      <c r="W1152" s="208"/>
      <c r="X1152" s="208"/>
      <c r="Y1152" s="208"/>
      <c r="Z1152" s="208"/>
      <c r="AA1152" s="208"/>
      <c r="AB1152" s="208"/>
      <c r="AC1152" s="208"/>
      <c r="AD1152" s="208"/>
      <c r="AE1152" s="208"/>
      <c r="AF1152" s="208"/>
      <c r="AG1152" s="208"/>
      <c r="AH1152" s="208"/>
      <c r="AI1152" s="208"/>
      <c r="AJ1152" s="208"/>
      <c r="AK1152" s="208"/>
      <c r="AL1152" s="208"/>
      <c r="AM1152" s="208"/>
      <c r="AN1152" s="208"/>
      <c r="AO1152" s="208"/>
      <c r="AP1152" s="208"/>
      <c r="AQ1152" s="208"/>
      <c r="AR1152" s="208"/>
      <c r="AS1152" s="208"/>
      <c r="AT1152" s="208"/>
      <c r="AU1152" s="208"/>
      <c r="AV1152" s="208"/>
      <c r="AW1152" s="208"/>
      <c r="AX1152" s="208"/>
      <c r="AY1152" s="208"/>
    </row>
    <row r="1153">
      <c r="A1153" s="208"/>
      <c r="B1153" s="533"/>
      <c r="C1153" s="208"/>
      <c r="D1153" s="208"/>
      <c r="E1153" s="208"/>
      <c r="F1153" s="584"/>
      <c r="G1153" s="208"/>
      <c r="H1153" s="208"/>
      <c r="I1153" s="208"/>
      <c r="J1153" s="208"/>
      <c r="K1153" s="208"/>
      <c r="L1153" s="536"/>
      <c r="M1153" s="208"/>
      <c r="N1153" s="208"/>
      <c r="O1153" s="208"/>
      <c r="P1153" s="208"/>
      <c r="Q1153" s="208"/>
      <c r="R1153" s="208"/>
      <c r="S1153" s="208"/>
      <c r="T1153" s="208"/>
      <c r="U1153" s="208"/>
      <c r="V1153" s="208"/>
      <c r="W1153" s="208"/>
      <c r="X1153" s="208"/>
      <c r="Y1153" s="208"/>
      <c r="Z1153" s="208"/>
      <c r="AA1153" s="208"/>
      <c r="AB1153" s="208"/>
      <c r="AC1153" s="208"/>
      <c r="AD1153" s="208"/>
      <c r="AE1153" s="208"/>
      <c r="AF1153" s="208"/>
      <c r="AG1153" s="208"/>
      <c r="AH1153" s="208"/>
      <c r="AI1153" s="208"/>
      <c r="AJ1153" s="208"/>
      <c r="AK1153" s="208"/>
      <c r="AL1153" s="208"/>
      <c r="AM1153" s="208"/>
      <c r="AN1153" s="208"/>
      <c r="AO1153" s="208"/>
      <c r="AP1153" s="208"/>
      <c r="AQ1153" s="208"/>
      <c r="AR1153" s="208"/>
      <c r="AS1153" s="208"/>
      <c r="AT1153" s="208"/>
      <c r="AU1153" s="208"/>
      <c r="AV1153" s="208"/>
      <c r="AW1153" s="208"/>
      <c r="AX1153" s="208"/>
      <c r="AY1153" s="208"/>
    </row>
    <row r="1154">
      <c r="A1154" s="208"/>
      <c r="B1154" s="533"/>
      <c r="C1154" s="208"/>
      <c r="D1154" s="208"/>
      <c r="E1154" s="208"/>
      <c r="F1154" s="584"/>
      <c r="G1154" s="208"/>
      <c r="H1154" s="208"/>
      <c r="I1154" s="208"/>
      <c r="J1154" s="208"/>
      <c r="K1154" s="208"/>
      <c r="L1154" s="536"/>
      <c r="M1154" s="208"/>
      <c r="N1154" s="208"/>
      <c r="O1154" s="208"/>
      <c r="P1154" s="208"/>
      <c r="Q1154" s="208"/>
      <c r="R1154" s="208"/>
      <c r="S1154" s="208"/>
      <c r="T1154" s="208"/>
      <c r="U1154" s="208"/>
      <c r="V1154" s="208"/>
      <c r="W1154" s="208"/>
      <c r="X1154" s="208"/>
      <c r="Y1154" s="208"/>
      <c r="Z1154" s="208"/>
      <c r="AA1154" s="208"/>
      <c r="AB1154" s="208"/>
      <c r="AC1154" s="208"/>
      <c r="AD1154" s="208"/>
      <c r="AE1154" s="208"/>
      <c r="AF1154" s="208"/>
      <c r="AG1154" s="208"/>
      <c r="AH1154" s="208"/>
      <c r="AI1154" s="208"/>
      <c r="AJ1154" s="208"/>
      <c r="AK1154" s="208"/>
      <c r="AL1154" s="208"/>
      <c r="AM1154" s="208"/>
      <c r="AN1154" s="208"/>
      <c r="AO1154" s="208"/>
      <c r="AP1154" s="208"/>
      <c r="AQ1154" s="208"/>
      <c r="AR1154" s="208"/>
      <c r="AS1154" s="208"/>
      <c r="AT1154" s="208"/>
      <c r="AU1154" s="208"/>
      <c r="AV1154" s="208"/>
      <c r="AW1154" s="208"/>
      <c r="AX1154" s="208"/>
      <c r="AY1154" s="208"/>
    </row>
    <row r="1155">
      <c r="A1155" s="208"/>
      <c r="B1155" s="533"/>
      <c r="C1155" s="208"/>
      <c r="D1155" s="208"/>
      <c r="E1155" s="208"/>
      <c r="F1155" s="584"/>
      <c r="G1155" s="208"/>
      <c r="H1155" s="208"/>
      <c r="I1155" s="208"/>
      <c r="J1155" s="208"/>
      <c r="K1155" s="208"/>
      <c r="L1155" s="536"/>
      <c r="M1155" s="208"/>
      <c r="N1155" s="208"/>
      <c r="O1155" s="208"/>
      <c r="P1155" s="208"/>
      <c r="Q1155" s="208"/>
      <c r="R1155" s="208"/>
      <c r="S1155" s="208"/>
      <c r="T1155" s="208"/>
      <c r="U1155" s="208"/>
      <c r="V1155" s="208"/>
      <c r="W1155" s="208"/>
      <c r="X1155" s="208"/>
      <c r="Y1155" s="208"/>
      <c r="Z1155" s="208"/>
      <c r="AA1155" s="208"/>
      <c r="AB1155" s="208"/>
      <c r="AC1155" s="208"/>
      <c r="AD1155" s="208"/>
      <c r="AE1155" s="208"/>
      <c r="AF1155" s="208"/>
      <c r="AG1155" s="208"/>
      <c r="AH1155" s="208"/>
      <c r="AI1155" s="208"/>
      <c r="AJ1155" s="208"/>
      <c r="AK1155" s="208"/>
      <c r="AL1155" s="208"/>
      <c r="AM1155" s="208"/>
      <c r="AN1155" s="208"/>
      <c r="AO1155" s="208"/>
      <c r="AP1155" s="208"/>
      <c r="AQ1155" s="208"/>
      <c r="AR1155" s="208"/>
      <c r="AS1155" s="208"/>
      <c r="AT1155" s="208"/>
      <c r="AU1155" s="208"/>
      <c r="AV1155" s="208"/>
      <c r="AW1155" s="208"/>
      <c r="AX1155" s="208"/>
      <c r="AY1155" s="208"/>
    </row>
    <row r="1156">
      <c r="A1156" s="208"/>
      <c r="B1156" s="533"/>
      <c r="C1156" s="208"/>
      <c r="D1156" s="208"/>
      <c r="E1156" s="208"/>
      <c r="F1156" s="584"/>
      <c r="G1156" s="208"/>
      <c r="H1156" s="208"/>
      <c r="I1156" s="208"/>
      <c r="J1156" s="208"/>
      <c r="K1156" s="208"/>
      <c r="L1156" s="536"/>
      <c r="M1156" s="208"/>
      <c r="N1156" s="208"/>
      <c r="O1156" s="208"/>
      <c r="P1156" s="208"/>
      <c r="Q1156" s="208"/>
      <c r="R1156" s="208"/>
      <c r="S1156" s="208"/>
      <c r="T1156" s="208"/>
      <c r="U1156" s="208"/>
      <c r="V1156" s="208"/>
      <c r="W1156" s="208"/>
      <c r="X1156" s="208"/>
      <c r="Y1156" s="208"/>
      <c r="Z1156" s="208"/>
      <c r="AA1156" s="208"/>
      <c r="AB1156" s="208"/>
      <c r="AC1156" s="208"/>
      <c r="AD1156" s="208"/>
      <c r="AE1156" s="208"/>
      <c r="AF1156" s="208"/>
      <c r="AG1156" s="208"/>
      <c r="AH1156" s="208"/>
      <c r="AI1156" s="208"/>
      <c r="AJ1156" s="208"/>
      <c r="AK1156" s="208"/>
      <c r="AL1156" s="208"/>
      <c r="AM1156" s="208"/>
      <c r="AN1156" s="208"/>
      <c r="AO1156" s="208"/>
      <c r="AP1156" s="208"/>
      <c r="AQ1156" s="208"/>
      <c r="AR1156" s="208"/>
      <c r="AS1156" s="208"/>
      <c r="AT1156" s="208"/>
      <c r="AU1156" s="208"/>
      <c r="AV1156" s="208"/>
      <c r="AW1156" s="208"/>
      <c r="AX1156" s="208"/>
      <c r="AY1156" s="208"/>
    </row>
    <row r="1157">
      <c r="A1157" s="208"/>
      <c r="B1157" s="533"/>
      <c r="C1157" s="208"/>
      <c r="D1157" s="208"/>
      <c r="E1157" s="208"/>
      <c r="F1157" s="584"/>
      <c r="G1157" s="208"/>
      <c r="H1157" s="208"/>
      <c r="I1157" s="208"/>
      <c r="J1157" s="208"/>
      <c r="K1157" s="208"/>
      <c r="L1157" s="536"/>
      <c r="M1157" s="208"/>
      <c r="N1157" s="208"/>
      <c r="O1157" s="208"/>
      <c r="P1157" s="208"/>
      <c r="Q1157" s="208"/>
      <c r="R1157" s="208"/>
      <c r="S1157" s="208"/>
      <c r="T1157" s="208"/>
      <c r="U1157" s="208"/>
      <c r="V1157" s="208"/>
      <c r="W1157" s="208"/>
      <c r="X1157" s="208"/>
      <c r="Y1157" s="208"/>
      <c r="Z1157" s="208"/>
      <c r="AA1157" s="208"/>
      <c r="AB1157" s="208"/>
      <c r="AC1157" s="208"/>
      <c r="AD1157" s="208"/>
      <c r="AE1157" s="208"/>
      <c r="AF1157" s="208"/>
      <c r="AG1157" s="208"/>
      <c r="AH1157" s="208"/>
      <c r="AI1157" s="208"/>
      <c r="AJ1157" s="208"/>
      <c r="AK1157" s="208"/>
      <c r="AL1157" s="208"/>
      <c r="AM1157" s="208"/>
      <c r="AN1157" s="208"/>
      <c r="AO1157" s="208"/>
      <c r="AP1157" s="208"/>
      <c r="AQ1157" s="208"/>
      <c r="AR1157" s="208"/>
      <c r="AS1157" s="208"/>
      <c r="AT1157" s="208"/>
      <c r="AU1157" s="208"/>
      <c r="AV1157" s="208"/>
      <c r="AW1157" s="208"/>
      <c r="AX1157" s="208"/>
      <c r="AY1157" s="208"/>
    </row>
    <row r="1158">
      <c r="A1158" s="208"/>
      <c r="B1158" s="533"/>
      <c r="C1158" s="208"/>
      <c r="D1158" s="208"/>
      <c r="E1158" s="208"/>
      <c r="F1158" s="584"/>
      <c r="G1158" s="208"/>
      <c r="H1158" s="208"/>
      <c r="I1158" s="208"/>
      <c r="J1158" s="208"/>
      <c r="K1158" s="208"/>
      <c r="L1158" s="536"/>
      <c r="M1158" s="208"/>
      <c r="N1158" s="208"/>
      <c r="O1158" s="208"/>
      <c r="P1158" s="208"/>
      <c r="Q1158" s="208"/>
      <c r="R1158" s="208"/>
      <c r="S1158" s="208"/>
      <c r="T1158" s="208"/>
      <c r="U1158" s="208"/>
      <c r="V1158" s="208"/>
      <c r="W1158" s="208"/>
      <c r="X1158" s="208"/>
      <c r="Y1158" s="208"/>
      <c r="Z1158" s="208"/>
      <c r="AA1158" s="208"/>
      <c r="AB1158" s="208"/>
      <c r="AC1158" s="208"/>
      <c r="AD1158" s="208"/>
      <c r="AE1158" s="208"/>
      <c r="AF1158" s="208"/>
      <c r="AG1158" s="208"/>
      <c r="AH1158" s="208"/>
      <c r="AI1158" s="208"/>
      <c r="AJ1158" s="208"/>
      <c r="AK1158" s="208"/>
      <c r="AL1158" s="208"/>
      <c r="AM1158" s="208"/>
      <c r="AN1158" s="208"/>
      <c r="AO1158" s="208"/>
      <c r="AP1158" s="208"/>
      <c r="AQ1158" s="208"/>
      <c r="AR1158" s="208"/>
      <c r="AS1158" s="208"/>
      <c r="AT1158" s="208"/>
      <c r="AU1158" s="208"/>
      <c r="AV1158" s="208"/>
      <c r="AW1158" s="208"/>
      <c r="AX1158" s="208"/>
      <c r="AY1158" s="208"/>
    </row>
    <row r="1159">
      <c r="A1159" s="208"/>
      <c r="B1159" s="533"/>
      <c r="C1159" s="208"/>
      <c r="D1159" s="208"/>
      <c r="E1159" s="208"/>
      <c r="F1159" s="584"/>
      <c r="G1159" s="208"/>
      <c r="H1159" s="208"/>
      <c r="I1159" s="208"/>
      <c r="J1159" s="208"/>
      <c r="K1159" s="208"/>
      <c r="L1159" s="536"/>
      <c r="M1159" s="208"/>
      <c r="N1159" s="208"/>
      <c r="O1159" s="208"/>
      <c r="P1159" s="208"/>
      <c r="Q1159" s="208"/>
      <c r="R1159" s="208"/>
      <c r="S1159" s="208"/>
      <c r="T1159" s="208"/>
      <c r="U1159" s="208"/>
      <c r="V1159" s="208"/>
      <c r="W1159" s="208"/>
      <c r="X1159" s="208"/>
      <c r="Y1159" s="208"/>
      <c r="Z1159" s="208"/>
      <c r="AA1159" s="208"/>
      <c r="AB1159" s="208"/>
      <c r="AC1159" s="208"/>
      <c r="AD1159" s="208"/>
      <c r="AE1159" s="208"/>
      <c r="AF1159" s="208"/>
      <c r="AG1159" s="208"/>
      <c r="AH1159" s="208"/>
      <c r="AI1159" s="208"/>
      <c r="AJ1159" s="208"/>
      <c r="AK1159" s="208"/>
      <c r="AL1159" s="208"/>
      <c r="AM1159" s="208"/>
      <c r="AN1159" s="208"/>
      <c r="AO1159" s="208"/>
      <c r="AP1159" s="208"/>
      <c r="AQ1159" s="208"/>
      <c r="AR1159" s="208"/>
      <c r="AS1159" s="208"/>
      <c r="AT1159" s="208"/>
      <c r="AU1159" s="208"/>
      <c r="AV1159" s="208"/>
      <c r="AW1159" s="208"/>
      <c r="AX1159" s="208"/>
      <c r="AY1159" s="208"/>
    </row>
    <row r="1160">
      <c r="A1160" s="208"/>
      <c r="B1160" s="533"/>
      <c r="C1160" s="208"/>
      <c r="D1160" s="208"/>
      <c r="E1160" s="208"/>
      <c r="F1160" s="584"/>
      <c r="G1160" s="208"/>
      <c r="H1160" s="208"/>
      <c r="I1160" s="208"/>
      <c r="J1160" s="208"/>
      <c r="K1160" s="208"/>
      <c r="L1160" s="536"/>
      <c r="M1160" s="208"/>
      <c r="N1160" s="208"/>
      <c r="O1160" s="208"/>
      <c r="P1160" s="208"/>
      <c r="Q1160" s="208"/>
      <c r="R1160" s="208"/>
      <c r="S1160" s="208"/>
      <c r="T1160" s="208"/>
      <c r="U1160" s="208"/>
      <c r="V1160" s="208"/>
      <c r="W1160" s="208"/>
      <c r="X1160" s="208"/>
      <c r="Y1160" s="208"/>
      <c r="Z1160" s="208"/>
      <c r="AA1160" s="208"/>
      <c r="AB1160" s="208"/>
      <c r="AC1160" s="208"/>
      <c r="AD1160" s="208"/>
      <c r="AE1160" s="208"/>
      <c r="AF1160" s="208"/>
      <c r="AG1160" s="208"/>
      <c r="AH1160" s="208"/>
      <c r="AI1160" s="208"/>
      <c r="AJ1160" s="208"/>
      <c r="AK1160" s="208"/>
      <c r="AL1160" s="208"/>
      <c r="AM1160" s="208"/>
      <c r="AN1160" s="208"/>
      <c r="AO1160" s="208"/>
      <c r="AP1160" s="208"/>
      <c r="AQ1160" s="208"/>
      <c r="AR1160" s="208"/>
      <c r="AS1160" s="208"/>
      <c r="AT1160" s="208"/>
      <c r="AU1160" s="208"/>
      <c r="AV1160" s="208"/>
      <c r="AW1160" s="208"/>
      <c r="AX1160" s="208"/>
      <c r="AY1160" s="208"/>
    </row>
    <row r="1161">
      <c r="A1161" s="208"/>
      <c r="B1161" s="533"/>
      <c r="C1161" s="208"/>
      <c r="D1161" s="208"/>
      <c r="E1161" s="208"/>
      <c r="F1161" s="584"/>
      <c r="G1161" s="208"/>
      <c r="H1161" s="208"/>
      <c r="I1161" s="208"/>
      <c r="J1161" s="208"/>
      <c r="K1161" s="208"/>
      <c r="L1161" s="536"/>
      <c r="M1161" s="208"/>
      <c r="N1161" s="208"/>
      <c r="O1161" s="208"/>
      <c r="P1161" s="208"/>
      <c r="Q1161" s="208"/>
      <c r="R1161" s="208"/>
      <c r="S1161" s="208"/>
      <c r="T1161" s="208"/>
      <c r="U1161" s="208"/>
      <c r="V1161" s="208"/>
      <c r="W1161" s="208"/>
      <c r="X1161" s="208"/>
      <c r="Y1161" s="208"/>
      <c r="Z1161" s="208"/>
      <c r="AA1161" s="208"/>
      <c r="AB1161" s="208"/>
      <c r="AC1161" s="208"/>
      <c r="AD1161" s="208"/>
      <c r="AE1161" s="208"/>
      <c r="AF1161" s="208"/>
      <c r="AG1161" s="208"/>
      <c r="AH1161" s="208"/>
      <c r="AI1161" s="208"/>
      <c r="AJ1161" s="208"/>
      <c r="AK1161" s="208"/>
      <c r="AL1161" s="208"/>
      <c r="AM1161" s="208"/>
      <c r="AN1161" s="208"/>
      <c r="AO1161" s="208"/>
      <c r="AP1161" s="208"/>
      <c r="AQ1161" s="208"/>
      <c r="AR1161" s="208"/>
      <c r="AS1161" s="208"/>
      <c r="AT1161" s="208"/>
      <c r="AU1161" s="208"/>
      <c r="AV1161" s="208"/>
      <c r="AW1161" s="208"/>
      <c r="AX1161" s="208"/>
      <c r="AY1161" s="208"/>
    </row>
    <row r="1162">
      <c r="A1162" s="208"/>
      <c r="B1162" s="533"/>
      <c r="C1162" s="208"/>
      <c r="D1162" s="208"/>
      <c r="E1162" s="208"/>
      <c r="F1162" s="584"/>
      <c r="G1162" s="208"/>
      <c r="H1162" s="208"/>
      <c r="I1162" s="208"/>
      <c r="J1162" s="208"/>
      <c r="K1162" s="208"/>
      <c r="L1162" s="536"/>
      <c r="M1162" s="208"/>
      <c r="N1162" s="208"/>
      <c r="O1162" s="208"/>
      <c r="P1162" s="208"/>
      <c r="Q1162" s="208"/>
      <c r="R1162" s="208"/>
      <c r="S1162" s="208"/>
      <c r="T1162" s="208"/>
      <c r="U1162" s="208"/>
      <c r="V1162" s="208"/>
      <c r="W1162" s="208"/>
      <c r="X1162" s="208"/>
      <c r="Y1162" s="208"/>
      <c r="Z1162" s="208"/>
      <c r="AA1162" s="208"/>
      <c r="AB1162" s="208"/>
      <c r="AC1162" s="208"/>
      <c r="AD1162" s="208"/>
      <c r="AE1162" s="208"/>
      <c r="AF1162" s="208"/>
      <c r="AG1162" s="208"/>
      <c r="AH1162" s="208"/>
      <c r="AI1162" s="208"/>
      <c r="AJ1162" s="208"/>
      <c r="AK1162" s="208"/>
      <c r="AL1162" s="208"/>
      <c r="AM1162" s="208"/>
      <c r="AN1162" s="208"/>
      <c r="AO1162" s="208"/>
      <c r="AP1162" s="208"/>
      <c r="AQ1162" s="208"/>
      <c r="AR1162" s="208"/>
      <c r="AS1162" s="208"/>
      <c r="AT1162" s="208"/>
      <c r="AU1162" s="208"/>
      <c r="AV1162" s="208"/>
      <c r="AW1162" s="208"/>
      <c r="AX1162" s="208"/>
      <c r="AY1162" s="208"/>
    </row>
    <row r="1163">
      <c r="A1163" s="208"/>
      <c r="B1163" s="533"/>
      <c r="C1163" s="208"/>
      <c r="D1163" s="208"/>
      <c r="E1163" s="208"/>
      <c r="F1163" s="584"/>
      <c r="G1163" s="208"/>
      <c r="H1163" s="208"/>
      <c r="I1163" s="208"/>
      <c r="J1163" s="208"/>
      <c r="K1163" s="208"/>
      <c r="L1163" s="536"/>
      <c r="M1163" s="208"/>
      <c r="N1163" s="208"/>
      <c r="O1163" s="208"/>
      <c r="P1163" s="208"/>
      <c r="Q1163" s="208"/>
      <c r="R1163" s="208"/>
      <c r="S1163" s="208"/>
      <c r="T1163" s="208"/>
      <c r="U1163" s="208"/>
      <c r="V1163" s="208"/>
      <c r="W1163" s="208"/>
      <c r="X1163" s="208"/>
      <c r="Y1163" s="208"/>
      <c r="Z1163" s="208"/>
      <c r="AA1163" s="208"/>
      <c r="AB1163" s="208"/>
      <c r="AC1163" s="208"/>
      <c r="AD1163" s="208"/>
      <c r="AE1163" s="208"/>
      <c r="AF1163" s="208"/>
      <c r="AG1163" s="208"/>
      <c r="AH1163" s="208"/>
      <c r="AI1163" s="208"/>
      <c r="AJ1163" s="208"/>
      <c r="AK1163" s="208"/>
      <c r="AL1163" s="208"/>
      <c r="AM1163" s="208"/>
      <c r="AN1163" s="208"/>
      <c r="AO1163" s="208"/>
      <c r="AP1163" s="208"/>
      <c r="AQ1163" s="208"/>
      <c r="AR1163" s="208"/>
      <c r="AS1163" s="208"/>
      <c r="AT1163" s="208"/>
      <c r="AU1163" s="208"/>
      <c r="AV1163" s="208"/>
      <c r="AW1163" s="208"/>
      <c r="AX1163" s="208"/>
      <c r="AY1163" s="208"/>
    </row>
    <row r="1164">
      <c r="A1164" s="208"/>
      <c r="B1164" s="533"/>
      <c r="C1164" s="208"/>
      <c r="D1164" s="208"/>
      <c r="E1164" s="208"/>
      <c r="F1164" s="584"/>
      <c r="G1164" s="208"/>
      <c r="H1164" s="208"/>
      <c r="I1164" s="208"/>
      <c r="J1164" s="208"/>
      <c r="K1164" s="208"/>
      <c r="L1164" s="536"/>
      <c r="M1164" s="208"/>
      <c r="N1164" s="208"/>
      <c r="O1164" s="208"/>
      <c r="P1164" s="208"/>
      <c r="Q1164" s="208"/>
      <c r="R1164" s="208"/>
      <c r="S1164" s="208"/>
      <c r="T1164" s="208"/>
      <c r="U1164" s="208"/>
      <c r="V1164" s="208"/>
      <c r="W1164" s="208"/>
      <c r="X1164" s="208"/>
      <c r="Y1164" s="208"/>
      <c r="Z1164" s="208"/>
      <c r="AA1164" s="208"/>
      <c r="AB1164" s="208"/>
      <c r="AC1164" s="208"/>
      <c r="AD1164" s="208"/>
      <c r="AE1164" s="208"/>
      <c r="AF1164" s="208"/>
      <c r="AG1164" s="208"/>
      <c r="AH1164" s="208"/>
      <c r="AI1164" s="208"/>
      <c r="AJ1164" s="208"/>
      <c r="AK1164" s="208"/>
      <c r="AL1164" s="208"/>
      <c r="AM1164" s="208"/>
      <c r="AN1164" s="208"/>
      <c r="AO1164" s="208"/>
      <c r="AP1164" s="208"/>
      <c r="AQ1164" s="208"/>
      <c r="AR1164" s="208"/>
      <c r="AS1164" s="208"/>
      <c r="AT1164" s="208"/>
      <c r="AU1164" s="208"/>
      <c r="AV1164" s="208"/>
      <c r="AW1164" s="208"/>
      <c r="AX1164" s="208"/>
      <c r="AY1164" s="208"/>
    </row>
    <row r="1165">
      <c r="A1165" s="208"/>
      <c r="B1165" s="533"/>
      <c r="C1165" s="208"/>
      <c r="D1165" s="208"/>
      <c r="E1165" s="208"/>
      <c r="F1165" s="584"/>
      <c r="G1165" s="208"/>
      <c r="H1165" s="208"/>
      <c r="I1165" s="208"/>
      <c r="J1165" s="208"/>
      <c r="K1165" s="208"/>
      <c r="L1165" s="536"/>
      <c r="M1165" s="208"/>
      <c r="N1165" s="208"/>
      <c r="O1165" s="208"/>
      <c r="P1165" s="208"/>
      <c r="Q1165" s="208"/>
      <c r="R1165" s="208"/>
      <c r="S1165" s="208"/>
      <c r="T1165" s="208"/>
      <c r="U1165" s="208"/>
      <c r="V1165" s="208"/>
      <c r="W1165" s="208"/>
      <c r="X1165" s="208"/>
      <c r="Y1165" s="208"/>
      <c r="Z1165" s="208"/>
      <c r="AA1165" s="208"/>
      <c r="AB1165" s="208"/>
      <c r="AC1165" s="208"/>
      <c r="AD1165" s="208"/>
      <c r="AE1165" s="208"/>
      <c r="AF1165" s="208"/>
      <c r="AG1165" s="208"/>
      <c r="AH1165" s="208"/>
      <c r="AI1165" s="208"/>
      <c r="AJ1165" s="208"/>
      <c r="AK1165" s="208"/>
      <c r="AL1165" s="208"/>
      <c r="AM1165" s="208"/>
      <c r="AN1165" s="208"/>
      <c r="AO1165" s="208"/>
      <c r="AP1165" s="208"/>
      <c r="AQ1165" s="208"/>
      <c r="AR1165" s="208"/>
      <c r="AS1165" s="208"/>
      <c r="AT1165" s="208"/>
      <c r="AU1165" s="208"/>
      <c r="AV1165" s="208"/>
      <c r="AW1165" s="208"/>
      <c r="AX1165" s="208"/>
      <c r="AY1165" s="208"/>
    </row>
    <row r="1166">
      <c r="A1166" s="208"/>
      <c r="B1166" s="533"/>
      <c r="C1166" s="208"/>
      <c r="D1166" s="208"/>
      <c r="E1166" s="208"/>
      <c r="F1166" s="584"/>
      <c r="G1166" s="208"/>
      <c r="H1166" s="208"/>
      <c r="I1166" s="208"/>
      <c r="J1166" s="208"/>
      <c r="K1166" s="208"/>
      <c r="L1166" s="536"/>
      <c r="M1166" s="208"/>
      <c r="N1166" s="208"/>
      <c r="O1166" s="208"/>
      <c r="P1166" s="208"/>
      <c r="Q1166" s="208"/>
      <c r="R1166" s="208"/>
      <c r="S1166" s="208"/>
      <c r="T1166" s="208"/>
      <c r="U1166" s="208"/>
      <c r="V1166" s="208"/>
      <c r="W1166" s="208"/>
      <c r="X1166" s="208"/>
      <c r="Y1166" s="208"/>
      <c r="Z1166" s="208"/>
      <c r="AA1166" s="208"/>
      <c r="AB1166" s="208"/>
      <c r="AC1166" s="208"/>
      <c r="AD1166" s="208"/>
      <c r="AE1166" s="208"/>
      <c r="AF1166" s="208"/>
      <c r="AG1166" s="208"/>
      <c r="AH1166" s="208"/>
      <c r="AI1166" s="208"/>
      <c r="AJ1166" s="208"/>
      <c r="AK1166" s="208"/>
      <c r="AL1166" s="208"/>
      <c r="AM1166" s="208"/>
      <c r="AN1166" s="208"/>
      <c r="AO1166" s="208"/>
      <c r="AP1166" s="208"/>
      <c r="AQ1166" s="208"/>
      <c r="AR1166" s="208"/>
      <c r="AS1166" s="208"/>
      <c r="AT1166" s="208"/>
      <c r="AU1166" s="208"/>
      <c r="AV1166" s="208"/>
      <c r="AW1166" s="208"/>
      <c r="AX1166" s="208"/>
      <c r="AY1166" s="208"/>
    </row>
    <row r="1167">
      <c r="A1167" s="208"/>
      <c r="B1167" s="533"/>
      <c r="C1167" s="208"/>
      <c r="D1167" s="208"/>
      <c r="E1167" s="208"/>
      <c r="F1167" s="584"/>
      <c r="G1167" s="208"/>
      <c r="H1167" s="208"/>
      <c r="I1167" s="208"/>
      <c r="J1167" s="208"/>
      <c r="K1167" s="208"/>
      <c r="L1167" s="536"/>
      <c r="M1167" s="208"/>
      <c r="N1167" s="208"/>
      <c r="O1167" s="208"/>
      <c r="P1167" s="208"/>
      <c r="Q1167" s="208"/>
      <c r="R1167" s="208"/>
      <c r="S1167" s="208"/>
      <c r="T1167" s="208"/>
      <c r="U1167" s="208"/>
      <c r="V1167" s="208"/>
      <c r="W1167" s="208"/>
      <c r="X1167" s="208"/>
      <c r="Y1167" s="208"/>
      <c r="Z1167" s="208"/>
      <c r="AA1167" s="208"/>
      <c r="AB1167" s="208"/>
      <c r="AC1167" s="208"/>
      <c r="AD1167" s="208"/>
      <c r="AE1167" s="208"/>
      <c r="AF1167" s="208"/>
      <c r="AG1167" s="208"/>
      <c r="AH1167" s="208"/>
      <c r="AI1167" s="208"/>
      <c r="AJ1167" s="208"/>
      <c r="AK1167" s="208"/>
      <c r="AL1167" s="208"/>
      <c r="AM1167" s="208"/>
      <c r="AN1167" s="208"/>
      <c r="AO1167" s="208"/>
      <c r="AP1167" s="208"/>
      <c r="AQ1167" s="208"/>
      <c r="AR1167" s="208"/>
      <c r="AS1167" s="208"/>
      <c r="AT1167" s="208"/>
      <c r="AU1167" s="208"/>
      <c r="AV1167" s="208"/>
      <c r="AW1167" s="208"/>
      <c r="AX1167" s="208"/>
      <c r="AY1167" s="208"/>
    </row>
    <row r="1168">
      <c r="A1168" s="208"/>
      <c r="B1168" s="533"/>
      <c r="C1168" s="208"/>
      <c r="D1168" s="208"/>
      <c r="E1168" s="208"/>
      <c r="F1168" s="584"/>
      <c r="G1168" s="208"/>
      <c r="H1168" s="208"/>
      <c r="I1168" s="208"/>
      <c r="J1168" s="208"/>
      <c r="K1168" s="208"/>
      <c r="L1168" s="536"/>
      <c r="M1168" s="208"/>
      <c r="N1168" s="208"/>
      <c r="O1168" s="208"/>
      <c r="P1168" s="208"/>
      <c r="Q1168" s="208"/>
      <c r="R1168" s="208"/>
      <c r="S1168" s="208"/>
      <c r="T1168" s="208"/>
      <c r="U1168" s="208"/>
      <c r="V1168" s="208"/>
      <c r="W1168" s="208"/>
      <c r="X1168" s="208"/>
      <c r="Y1168" s="208"/>
      <c r="Z1168" s="208"/>
      <c r="AA1168" s="208"/>
      <c r="AB1168" s="208"/>
      <c r="AC1168" s="208"/>
      <c r="AD1168" s="208"/>
      <c r="AE1168" s="208"/>
      <c r="AF1168" s="208"/>
      <c r="AG1168" s="208"/>
      <c r="AH1168" s="208"/>
      <c r="AI1168" s="208"/>
      <c r="AJ1168" s="208"/>
      <c r="AK1168" s="208"/>
      <c r="AL1168" s="208"/>
      <c r="AM1168" s="208"/>
      <c r="AN1168" s="208"/>
      <c r="AO1168" s="208"/>
      <c r="AP1168" s="208"/>
      <c r="AQ1168" s="208"/>
      <c r="AR1168" s="208"/>
      <c r="AS1168" s="208"/>
      <c r="AT1168" s="208"/>
      <c r="AU1168" s="208"/>
      <c r="AV1168" s="208"/>
      <c r="AW1168" s="208"/>
      <c r="AX1168" s="208"/>
      <c r="AY1168" s="208"/>
    </row>
    <row r="1169">
      <c r="A1169" s="208"/>
      <c r="B1169" s="533"/>
      <c r="C1169" s="208"/>
      <c r="D1169" s="208"/>
      <c r="E1169" s="208"/>
      <c r="F1169" s="584"/>
      <c r="G1169" s="208"/>
      <c r="H1169" s="208"/>
      <c r="I1169" s="208"/>
      <c r="J1169" s="208"/>
      <c r="K1169" s="208"/>
      <c r="L1169" s="536"/>
      <c r="M1169" s="208"/>
      <c r="N1169" s="208"/>
      <c r="O1169" s="208"/>
      <c r="P1169" s="208"/>
      <c r="Q1169" s="208"/>
      <c r="R1169" s="208"/>
      <c r="S1169" s="208"/>
      <c r="T1169" s="208"/>
      <c r="U1169" s="208"/>
      <c r="V1169" s="208"/>
      <c r="W1169" s="208"/>
      <c r="X1169" s="208"/>
      <c r="Y1169" s="208"/>
      <c r="Z1169" s="208"/>
      <c r="AA1169" s="208"/>
      <c r="AB1169" s="208"/>
      <c r="AC1169" s="208"/>
      <c r="AD1169" s="208"/>
      <c r="AE1169" s="208"/>
      <c r="AF1169" s="208"/>
      <c r="AG1169" s="208"/>
      <c r="AH1169" s="208"/>
      <c r="AI1169" s="208"/>
      <c r="AJ1169" s="208"/>
      <c r="AK1169" s="208"/>
      <c r="AL1169" s="208"/>
      <c r="AM1169" s="208"/>
      <c r="AN1169" s="208"/>
      <c r="AO1169" s="208"/>
      <c r="AP1169" s="208"/>
      <c r="AQ1169" s="208"/>
      <c r="AR1169" s="208"/>
      <c r="AS1169" s="208"/>
      <c r="AT1169" s="208"/>
      <c r="AU1169" s="208"/>
      <c r="AV1169" s="208"/>
      <c r="AW1169" s="208"/>
      <c r="AX1169" s="208"/>
      <c r="AY1169" s="208"/>
    </row>
    <row r="1170">
      <c r="A1170" s="208"/>
      <c r="B1170" s="533"/>
      <c r="C1170" s="208"/>
      <c r="D1170" s="208"/>
      <c r="E1170" s="208"/>
      <c r="F1170" s="584"/>
      <c r="G1170" s="208"/>
      <c r="H1170" s="208"/>
      <c r="I1170" s="208"/>
      <c r="J1170" s="208"/>
      <c r="K1170" s="208"/>
      <c r="L1170" s="536"/>
      <c r="M1170" s="208"/>
      <c r="N1170" s="208"/>
      <c r="O1170" s="208"/>
      <c r="P1170" s="208"/>
      <c r="Q1170" s="208"/>
      <c r="R1170" s="208"/>
      <c r="S1170" s="208"/>
      <c r="T1170" s="208"/>
      <c r="U1170" s="208"/>
      <c r="V1170" s="208"/>
      <c r="W1170" s="208"/>
      <c r="X1170" s="208"/>
      <c r="Y1170" s="208"/>
      <c r="Z1170" s="208"/>
      <c r="AA1170" s="208"/>
      <c r="AB1170" s="208"/>
      <c r="AC1170" s="208"/>
      <c r="AD1170" s="208"/>
      <c r="AE1170" s="208"/>
      <c r="AF1170" s="208"/>
      <c r="AG1170" s="208"/>
      <c r="AH1170" s="208"/>
      <c r="AI1170" s="208"/>
      <c r="AJ1170" s="208"/>
      <c r="AK1170" s="208"/>
      <c r="AL1170" s="208"/>
      <c r="AM1170" s="208"/>
      <c r="AN1170" s="208"/>
      <c r="AO1170" s="208"/>
      <c r="AP1170" s="208"/>
      <c r="AQ1170" s="208"/>
      <c r="AR1170" s="208"/>
      <c r="AS1170" s="208"/>
      <c r="AT1170" s="208"/>
      <c r="AU1170" s="208"/>
      <c r="AV1170" s="208"/>
      <c r="AW1170" s="208"/>
      <c r="AX1170" s="208"/>
      <c r="AY1170" s="208"/>
    </row>
    <row r="1171">
      <c r="A1171" s="208"/>
      <c r="B1171" s="533"/>
      <c r="C1171" s="208"/>
      <c r="D1171" s="208"/>
      <c r="E1171" s="208"/>
      <c r="F1171" s="584"/>
      <c r="G1171" s="208"/>
      <c r="H1171" s="208"/>
      <c r="I1171" s="208"/>
      <c r="J1171" s="208"/>
      <c r="K1171" s="208"/>
      <c r="L1171" s="536"/>
      <c r="M1171" s="208"/>
      <c r="N1171" s="208"/>
      <c r="O1171" s="208"/>
      <c r="P1171" s="208"/>
      <c r="Q1171" s="208"/>
      <c r="R1171" s="208"/>
      <c r="S1171" s="208"/>
      <c r="T1171" s="208"/>
      <c r="U1171" s="208"/>
      <c r="V1171" s="208"/>
      <c r="W1171" s="208"/>
      <c r="X1171" s="208"/>
      <c r="Y1171" s="208"/>
      <c r="Z1171" s="208"/>
      <c r="AA1171" s="208"/>
      <c r="AB1171" s="208"/>
      <c r="AC1171" s="208"/>
      <c r="AD1171" s="208"/>
      <c r="AE1171" s="208"/>
      <c r="AF1171" s="208"/>
      <c r="AG1171" s="208"/>
      <c r="AH1171" s="208"/>
      <c r="AI1171" s="208"/>
      <c r="AJ1171" s="208"/>
      <c r="AK1171" s="208"/>
      <c r="AL1171" s="208"/>
      <c r="AM1171" s="208"/>
      <c r="AN1171" s="208"/>
      <c r="AO1171" s="208"/>
      <c r="AP1171" s="208"/>
      <c r="AQ1171" s="208"/>
      <c r="AR1171" s="208"/>
      <c r="AS1171" s="208"/>
      <c r="AT1171" s="208"/>
      <c r="AU1171" s="208"/>
      <c r="AV1171" s="208"/>
      <c r="AW1171" s="208"/>
      <c r="AX1171" s="208"/>
      <c r="AY1171" s="208"/>
    </row>
    <row r="1172">
      <c r="A1172" s="208"/>
      <c r="B1172" s="533"/>
      <c r="C1172" s="208"/>
      <c r="D1172" s="208"/>
      <c r="E1172" s="208"/>
      <c r="F1172" s="584"/>
      <c r="G1172" s="208"/>
      <c r="H1172" s="208"/>
      <c r="I1172" s="208"/>
      <c r="J1172" s="208"/>
      <c r="K1172" s="208"/>
      <c r="L1172" s="536"/>
      <c r="M1172" s="208"/>
      <c r="N1172" s="208"/>
      <c r="O1172" s="208"/>
      <c r="P1172" s="208"/>
      <c r="Q1172" s="208"/>
      <c r="R1172" s="208"/>
      <c r="S1172" s="208"/>
      <c r="T1172" s="208"/>
      <c r="U1172" s="208"/>
      <c r="V1172" s="208"/>
      <c r="W1172" s="208"/>
      <c r="X1172" s="208"/>
      <c r="Y1172" s="208"/>
      <c r="Z1172" s="208"/>
      <c r="AA1172" s="208"/>
      <c r="AB1172" s="208"/>
      <c r="AC1172" s="208"/>
      <c r="AD1172" s="208"/>
      <c r="AE1172" s="208"/>
      <c r="AF1172" s="208"/>
      <c r="AG1172" s="208"/>
      <c r="AH1172" s="208"/>
      <c r="AI1172" s="208"/>
      <c r="AJ1172" s="208"/>
      <c r="AK1172" s="208"/>
      <c r="AL1172" s="208"/>
      <c r="AM1172" s="208"/>
      <c r="AN1172" s="208"/>
      <c r="AO1172" s="208"/>
      <c r="AP1172" s="208"/>
      <c r="AQ1172" s="208"/>
      <c r="AR1172" s="208"/>
      <c r="AS1172" s="208"/>
      <c r="AT1172" s="208"/>
      <c r="AU1172" s="208"/>
      <c r="AV1172" s="208"/>
      <c r="AW1172" s="208"/>
      <c r="AX1172" s="208"/>
      <c r="AY1172" s="208"/>
    </row>
    <row r="1173">
      <c r="A1173" s="208"/>
      <c r="B1173" s="533"/>
      <c r="C1173" s="208"/>
      <c r="D1173" s="208"/>
      <c r="E1173" s="208"/>
      <c r="F1173" s="584"/>
      <c r="G1173" s="208"/>
      <c r="H1173" s="208"/>
      <c r="I1173" s="208"/>
      <c r="J1173" s="208"/>
      <c r="K1173" s="208"/>
      <c r="L1173" s="536"/>
      <c r="M1173" s="208"/>
      <c r="N1173" s="208"/>
      <c r="O1173" s="208"/>
      <c r="P1173" s="208"/>
      <c r="Q1173" s="208"/>
      <c r="R1173" s="208"/>
      <c r="S1173" s="208"/>
      <c r="T1173" s="208"/>
      <c r="U1173" s="208"/>
      <c r="V1173" s="208"/>
      <c r="W1173" s="208"/>
      <c r="X1173" s="208"/>
      <c r="Y1173" s="208"/>
      <c r="Z1173" s="208"/>
      <c r="AA1173" s="208"/>
      <c r="AB1173" s="208"/>
      <c r="AC1173" s="208"/>
      <c r="AD1173" s="208"/>
      <c r="AE1173" s="208"/>
      <c r="AF1173" s="208"/>
      <c r="AG1173" s="208"/>
      <c r="AH1173" s="208"/>
      <c r="AI1173" s="208"/>
      <c r="AJ1173" s="208"/>
      <c r="AK1173" s="208"/>
      <c r="AL1173" s="208"/>
      <c r="AM1173" s="208"/>
      <c r="AN1173" s="208"/>
      <c r="AO1173" s="208"/>
      <c r="AP1173" s="208"/>
      <c r="AQ1173" s="208"/>
      <c r="AR1173" s="208"/>
      <c r="AS1173" s="208"/>
      <c r="AT1173" s="208"/>
      <c r="AU1173" s="208"/>
      <c r="AV1173" s="208"/>
      <c r="AW1173" s="208"/>
      <c r="AX1173" s="208"/>
      <c r="AY1173" s="208"/>
    </row>
    <row r="1174">
      <c r="A1174" s="208"/>
      <c r="B1174" s="533"/>
      <c r="C1174" s="208"/>
      <c r="D1174" s="208"/>
      <c r="E1174" s="208"/>
      <c r="F1174" s="584"/>
      <c r="G1174" s="208"/>
      <c r="H1174" s="208"/>
      <c r="I1174" s="208"/>
      <c r="J1174" s="208"/>
      <c r="K1174" s="208"/>
      <c r="L1174" s="536"/>
      <c r="M1174" s="208"/>
      <c r="N1174" s="208"/>
      <c r="O1174" s="208"/>
      <c r="P1174" s="208"/>
      <c r="Q1174" s="208"/>
      <c r="R1174" s="208"/>
      <c r="S1174" s="208"/>
      <c r="T1174" s="208"/>
      <c r="U1174" s="208"/>
      <c r="V1174" s="208"/>
      <c r="W1174" s="208"/>
      <c r="X1174" s="208"/>
      <c r="Y1174" s="208"/>
      <c r="Z1174" s="208"/>
      <c r="AA1174" s="208"/>
      <c r="AB1174" s="208"/>
      <c r="AC1174" s="208"/>
      <c r="AD1174" s="208"/>
      <c r="AE1174" s="208"/>
      <c r="AF1174" s="208"/>
      <c r="AG1174" s="208"/>
      <c r="AH1174" s="208"/>
      <c r="AI1174" s="208"/>
      <c r="AJ1174" s="208"/>
      <c r="AK1174" s="208"/>
      <c r="AL1174" s="208"/>
      <c r="AM1174" s="208"/>
      <c r="AN1174" s="208"/>
      <c r="AO1174" s="208"/>
      <c r="AP1174" s="208"/>
      <c r="AQ1174" s="208"/>
      <c r="AR1174" s="208"/>
      <c r="AS1174" s="208"/>
      <c r="AT1174" s="208"/>
      <c r="AU1174" s="208"/>
      <c r="AV1174" s="208"/>
      <c r="AW1174" s="208"/>
      <c r="AX1174" s="208"/>
      <c r="AY1174" s="208"/>
    </row>
    <row r="1175">
      <c r="A1175" s="208"/>
      <c r="B1175" s="533"/>
      <c r="C1175" s="208"/>
      <c r="D1175" s="208"/>
      <c r="E1175" s="208"/>
      <c r="F1175" s="584"/>
      <c r="G1175" s="208"/>
      <c r="H1175" s="208"/>
      <c r="I1175" s="208"/>
      <c r="J1175" s="208"/>
      <c r="K1175" s="208"/>
      <c r="L1175" s="536"/>
      <c r="M1175" s="208"/>
      <c r="N1175" s="208"/>
      <c r="O1175" s="208"/>
      <c r="P1175" s="208"/>
      <c r="Q1175" s="208"/>
      <c r="R1175" s="208"/>
      <c r="S1175" s="208"/>
      <c r="T1175" s="208"/>
      <c r="U1175" s="208"/>
      <c r="V1175" s="208"/>
      <c r="W1175" s="208"/>
      <c r="X1175" s="208"/>
      <c r="Y1175" s="208"/>
      <c r="Z1175" s="208"/>
      <c r="AA1175" s="208"/>
      <c r="AB1175" s="208"/>
      <c r="AC1175" s="208"/>
      <c r="AD1175" s="208"/>
      <c r="AE1175" s="208"/>
      <c r="AF1175" s="208"/>
      <c r="AG1175" s="208"/>
      <c r="AH1175" s="208"/>
      <c r="AI1175" s="208"/>
      <c r="AJ1175" s="208"/>
      <c r="AK1175" s="208"/>
      <c r="AL1175" s="208"/>
      <c r="AM1175" s="208"/>
      <c r="AN1175" s="208"/>
      <c r="AO1175" s="208"/>
      <c r="AP1175" s="208"/>
      <c r="AQ1175" s="208"/>
      <c r="AR1175" s="208"/>
      <c r="AS1175" s="208"/>
      <c r="AT1175" s="208"/>
      <c r="AU1175" s="208"/>
      <c r="AV1175" s="208"/>
      <c r="AW1175" s="208"/>
      <c r="AX1175" s="208"/>
      <c r="AY1175" s="208"/>
    </row>
    <row r="1176">
      <c r="A1176" s="208"/>
      <c r="B1176" s="533"/>
      <c r="C1176" s="208"/>
      <c r="D1176" s="208"/>
      <c r="E1176" s="208"/>
      <c r="F1176" s="584"/>
      <c r="G1176" s="208"/>
      <c r="H1176" s="208"/>
      <c r="I1176" s="208"/>
      <c r="J1176" s="208"/>
      <c r="K1176" s="208"/>
      <c r="L1176" s="536"/>
      <c r="M1176" s="208"/>
      <c r="N1176" s="208"/>
      <c r="O1176" s="208"/>
      <c r="P1176" s="208"/>
      <c r="Q1176" s="208"/>
      <c r="R1176" s="208"/>
      <c r="S1176" s="208"/>
      <c r="T1176" s="208"/>
      <c r="U1176" s="208"/>
      <c r="V1176" s="208"/>
      <c r="W1176" s="208"/>
      <c r="X1176" s="208"/>
      <c r="Y1176" s="208"/>
      <c r="Z1176" s="208"/>
      <c r="AA1176" s="208"/>
      <c r="AB1176" s="208"/>
      <c r="AC1176" s="208"/>
      <c r="AD1176" s="208"/>
      <c r="AE1176" s="208"/>
      <c r="AF1176" s="208"/>
      <c r="AG1176" s="208"/>
      <c r="AH1176" s="208"/>
      <c r="AI1176" s="208"/>
      <c r="AJ1176" s="208"/>
      <c r="AK1176" s="208"/>
      <c r="AL1176" s="208"/>
      <c r="AM1176" s="208"/>
      <c r="AN1176" s="208"/>
      <c r="AO1176" s="208"/>
      <c r="AP1176" s="208"/>
      <c r="AQ1176" s="208"/>
      <c r="AR1176" s="208"/>
      <c r="AS1176" s="208"/>
      <c r="AT1176" s="208"/>
      <c r="AU1176" s="208"/>
      <c r="AV1176" s="208"/>
      <c r="AW1176" s="208"/>
      <c r="AX1176" s="208"/>
      <c r="AY1176" s="208"/>
    </row>
    <row r="1177">
      <c r="A1177" s="208"/>
      <c r="B1177" s="533"/>
      <c r="C1177" s="208"/>
      <c r="D1177" s="208"/>
      <c r="E1177" s="208"/>
      <c r="F1177" s="584"/>
      <c r="G1177" s="208"/>
      <c r="H1177" s="208"/>
      <c r="I1177" s="208"/>
      <c r="J1177" s="208"/>
      <c r="K1177" s="208"/>
      <c r="L1177" s="536"/>
      <c r="M1177" s="208"/>
      <c r="N1177" s="208"/>
      <c r="O1177" s="208"/>
      <c r="P1177" s="208"/>
      <c r="Q1177" s="208"/>
      <c r="R1177" s="208"/>
      <c r="S1177" s="208"/>
      <c r="T1177" s="208"/>
      <c r="U1177" s="208"/>
      <c r="V1177" s="208"/>
      <c r="W1177" s="208"/>
      <c r="X1177" s="208"/>
      <c r="Y1177" s="208"/>
      <c r="Z1177" s="208"/>
      <c r="AA1177" s="208"/>
      <c r="AB1177" s="208"/>
      <c r="AC1177" s="208"/>
      <c r="AD1177" s="208"/>
      <c r="AE1177" s="208"/>
      <c r="AF1177" s="208"/>
      <c r="AG1177" s="208"/>
      <c r="AH1177" s="208"/>
      <c r="AI1177" s="208"/>
      <c r="AJ1177" s="208"/>
      <c r="AK1177" s="208"/>
      <c r="AL1177" s="208"/>
      <c r="AM1177" s="208"/>
      <c r="AN1177" s="208"/>
      <c r="AO1177" s="208"/>
      <c r="AP1177" s="208"/>
      <c r="AQ1177" s="208"/>
      <c r="AR1177" s="208"/>
      <c r="AS1177" s="208"/>
      <c r="AT1177" s="208"/>
      <c r="AU1177" s="208"/>
      <c r="AV1177" s="208"/>
      <c r="AW1177" s="208"/>
      <c r="AX1177" s="208"/>
      <c r="AY1177" s="208"/>
    </row>
    <row r="1178">
      <c r="A1178" s="208"/>
      <c r="B1178" s="533"/>
      <c r="C1178" s="208"/>
      <c r="D1178" s="208"/>
      <c r="E1178" s="208"/>
      <c r="F1178" s="584"/>
      <c r="G1178" s="208"/>
      <c r="H1178" s="208"/>
      <c r="I1178" s="208"/>
      <c r="J1178" s="208"/>
      <c r="K1178" s="208"/>
      <c r="L1178" s="536"/>
      <c r="M1178" s="208"/>
      <c r="N1178" s="208"/>
      <c r="O1178" s="208"/>
      <c r="P1178" s="208"/>
      <c r="Q1178" s="208"/>
      <c r="R1178" s="208"/>
      <c r="S1178" s="208"/>
      <c r="T1178" s="208"/>
      <c r="U1178" s="208"/>
      <c r="V1178" s="208"/>
      <c r="W1178" s="208"/>
      <c r="X1178" s="208"/>
      <c r="Y1178" s="208"/>
      <c r="Z1178" s="208"/>
      <c r="AA1178" s="208"/>
      <c r="AB1178" s="208"/>
      <c r="AC1178" s="208"/>
      <c r="AD1178" s="208"/>
      <c r="AE1178" s="208"/>
      <c r="AF1178" s="208"/>
      <c r="AG1178" s="208"/>
      <c r="AH1178" s="208"/>
      <c r="AI1178" s="208"/>
      <c r="AJ1178" s="208"/>
      <c r="AK1178" s="208"/>
      <c r="AL1178" s="208"/>
      <c r="AM1178" s="208"/>
      <c r="AN1178" s="208"/>
      <c r="AO1178" s="208"/>
      <c r="AP1178" s="208"/>
      <c r="AQ1178" s="208"/>
      <c r="AR1178" s="208"/>
      <c r="AS1178" s="208"/>
      <c r="AT1178" s="208"/>
      <c r="AU1178" s="208"/>
      <c r="AV1178" s="208"/>
      <c r="AW1178" s="208"/>
      <c r="AX1178" s="208"/>
      <c r="AY1178" s="208"/>
    </row>
    <row r="1179">
      <c r="A1179" s="208"/>
      <c r="B1179" s="533"/>
      <c r="C1179" s="208"/>
      <c r="D1179" s="208"/>
      <c r="E1179" s="208"/>
      <c r="F1179" s="584"/>
      <c r="G1179" s="208"/>
      <c r="H1179" s="208"/>
      <c r="I1179" s="208"/>
      <c r="J1179" s="208"/>
      <c r="K1179" s="208"/>
      <c r="L1179" s="536"/>
      <c r="M1179" s="208"/>
      <c r="N1179" s="208"/>
      <c r="O1179" s="208"/>
      <c r="P1179" s="208"/>
      <c r="Q1179" s="208"/>
      <c r="R1179" s="208"/>
      <c r="S1179" s="208"/>
      <c r="T1179" s="208"/>
      <c r="U1179" s="208"/>
      <c r="V1179" s="208"/>
      <c r="W1179" s="208"/>
      <c r="X1179" s="208"/>
      <c r="Y1179" s="208"/>
      <c r="Z1179" s="208"/>
      <c r="AA1179" s="208"/>
      <c r="AB1179" s="208"/>
      <c r="AC1179" s="208"/>
      <c r="AD1179" s="208"/>
      <c r="AE1179" s="208"/>
      <c r="AF1179" s="208"/>
      <c r="AG1179" s="208"/>
      <c r="AH1179" s="208"/>
      <c r="AI1179" s="208"/>
      <c r="AJ1179" s="208"/>
      <c r="AK1179" s="208"/>
      <c r="AL1179" s="208"/>
      <c r="AM1179" s="208"/>
      <c r="AN1179" s="208"/>
      <c r="AO1179" s="208"/>
      <c r="AP1179" s="208"/>
      <c r="AQ1179" s="208"/>
      <c r="AR1179" s="208"/>
      <c r="AS1179" s="208"/>
      <c r="AT1179" s="208"/>
      <c r="AU1179" s="208"/>
      <c r="AV1179" s="208"/>
      <c r="AW1179" s="208"/>
      <c r="AX1179" s="208"/>
      <c r="AY1179" s="208"/>
    </row>
    <row r="1180">
      <c r="A1180" s="208"/>
      <c r="B1180" s="533"/>
      <c r="C1180" s="208"/>
      <c r="D1180" s="208"/>
      <c r="E1180" s="208"/>
      <c r="F1180" s="584"/>
      <c r="G1180" s="208"/>
      <c r="H1180" s="208"/>
      <c r="I1180" s="208"/>
      <c r="J1180" s="208"/>
      <c r="K1180" s="208"/>
      <c r="L1180" s="536"/>
      <c r="M1180" s="208"/>
      <c r="N1180" s="208"/>
      <c r="O1180" s="208"/>
      <c r="P1180" s="208"/>
      <c r="Q1180" s="208"/>
      <c r="R1180" s="208"/>
      <c r="S1180" s="208"/>
      <c r="T1180" s="208"/>
      <c r="U1180" s="208"/>
      <c r="V1180" s="208"/>
      <c r="W1180" s="208"/>
      <c r="X1180" s="208"/>
      <c r="Y1180" s="208"/>
      <c r="Z1180" s="208"/>
      <c r="AA1180" s="208"/>
      <c r="AB1180" s="208"/>
      <c r="AC1180" s="208"/>
      <c r="AD1180" s="208"/>
      <c r="AE1180" s="208"/>
      <c r="AF1180" s="208"/>
      <c r="AG1180" s="208"/>
      <c r="AH1180" s="208"/>
      <c r="AI1180" s="208"/>
      <c r="AJ1180" s="208"/>
      <c r="AK1180" s="208"/>
      <c r="AL1180" s="208"/>
      <c r="AM1180" s="208"/>
      <c r="AN1180" s="208"/>
      <c r="AO1180" s="208"/>
      <c r="AP1180" s="208"/>
      <c r="AQ1180" s="208"/>
      <c r="AR1180" s="208"/>
      <c r="AS1180" s="208"/>
      <c r="AT1180" s="208"/>
      <c r="AU1180" s="208"/>
      <c r="AV1180" s="208"/>
      <c r="AW1180" s="208"/>
      <c r="AX1180" s="208"/>
      <c r="AY1180" s="208"/>
    </row>
    <row r="1181">
      <c r="A1181" s="208"/>
      <c r="B1181" s="533"/>
      <c r="C1181" s="208"/>
      <c r="D1181" s="208"/>
      <c r="E1181" s="208"/>
      <c r="F1181" s="584"/>
      <c r="G1181" s="208"/>
      <c r="H1181" s="208"/>
      <c r="I1181" s="208"/>
      <c r="J1181" s="208"/>
      <c r="K1181" s="208"/>
      <c r="L1181" s="536"/>
      <c r="M1181" s="208"/>
      <c r="N1181" s="208"/>
      <c r="O1181" s="208"/>
      <c r="P1181" s="208"/>
      <c r="Q1181" s="208"/>
      <c r="R1181" s="208"/>
      <c r="S1181" s="208"/>
      <c r="T1181" s="208"/>
      <c r="U1181" s="208"/>
      <c r="V1181" s="208"/>
      <c r="W1181" s="208"/>
      <c r="X1181" s="208"/>
      <c r="Y1181" s="208"/>
      <c r="Z1181" s="208"/>
      <c r="AA1181" s="208"/>
      <c r="AB1181" s="208"/>
      <c r="AC1181" s="208"/>
      <c r="AD1181" s="208"/>
      <c r="AE1181" s="208"/>
      <c r="AF1181" s="208"/>
      <c r="AG1181" s="208"/>
      <c r="AH1181" s="208"/>
      <c r="AI1181" s="208"/>
      <c r="AJ1181" s="208"/>
      <c r="AK1181" s="208"/>
      <c r="AL1181" s="208"/>
      <c r="AM1181" s="208"/>
      <c r="AN1181" s="208"/>
      <c r="AO1181" s="208"/>
      <c r="AP1181" s="208"/>
      <c r="AQ1181" s="208"/>
      <c r="AR1181" s="208"/>
      <c r="AS1181" s="208"/>
      <c r="AT1181" s="208"/>
      <c r="AU1181" s="208"/>
      <c r="AV1181" s="208"/>
      <c r="AW1181" s="208"/>
      <c r="AX1181" s="208"/>
      <c r="AY1181" s="208"/>
    </row>
    <row r="1182">
      <c r="A1182" s="208"/>
      <c r="B1182" s="533"/>
      <c r="C1182" s="208"/>
      <c r="D1182" s="208"/>
      <c r="E1182" s="208"/>
      <c r="F1182" s="584"/>
      <c r="G1182" s="208"/>
      <c r="H1182" s="208"/>
      <c r="I1182" s="208"/>
      <c r="J1182" s="208"/>
      <c r="K1182" s="208"/>
      <c r="L1182" s="536"/>
      <c r="M1182" s="208"/>
      <c r="N1182" s="208"/>
      <c r="O1182" s="208"/>
      <c r="P1182" s="208"/>
      <c r="Q1182" s="208"/>
      <c r="R1182" s="208"/>
      <c r="S1182" s="208"/>
      <c r="T1182" s="208"/>
      <c r="U1182" s="208"/>
      <c r="V1182" s="208"/>
      <c r="W1182" s="208"/>
      <c r="X1182" s="208"/>
      <c r="Y1182" s="208"/>
      <c r="Z1182" s="208"/>
      <c r="AA1182" s="208"/>
      <c r="AB1182" s="208"/>
      <c r="AC1182" s="208"/>
      <c r="AD1182" s="208"/>
      <c r="AE1182" s="208"/>
      <c r="AF1182" s="208"/>
      <c r="AG1182" s="208"/>
      <c r="AH1182" s="208"/>
      <c r="AI1182" s="208"/>
      <c r="AJ1182" s="208"/>
      <c r="AK1182" s="208"/>
      <c r="AL1182" s="208"/>
      <c r="AM1182" s="208"/>
      <c r="AN1182" s="208"/>
      <c r="AO1182" s="208"/>
      <c r="AP1182" s="208"/>
      <c r="AQ1182" s="208"/>
      <c r="AR1182" s="208"/>
      <c r="AS1182" s="208"/>
      <c r="AT1182" s="208"/>
      <c r="AU1182" s="208"/>
      <c r="AV1182" s="208"/>
      <c r="AW1182" s="208"/>
      <c r="AX1182" s="208"/>
      <c r="AY1182" s="208"/>
    </row>
    <row r="1183">
      <c r="A1183" s="208"/>
      <c r="B1183" s="533"/>
      <c r="C1183" s="208"/>
      <c r="D1183" s="208"/>
      <c r="E1183" s="208"/>
      <c r="F1183" s="584"/>
      <c r="G1183" s="208"/>
      <c r="H1183" s="208"/>
      <c r="I1183" s="208"/>
      <c r="J1183" s="208"/>
      <c r="K1183" s="208"/>
      <c r="L1183" s="536"/>
      <c r="M1183" s="208"/>
      <c r="N1183" s="208"/>
      <c r="O1183" s="208"/>
      <c r="P1183" s="208"/>
      <c r="Q1183" s="208"/>
      <c r="R1183" s="208"/>
      <c r="S1183" s="208"/>
      <c r="T1183" s="208"/>
      <c r="U1183" s="208"/>
      <c r="V1183" s="208"/>
      <c r="W1183" s="208"/>
      <c r="X1183" s="208"/>
      <c r="Y1183" s="208"/>
      <c r="Z1183" s="208"/>
      <c r="AA1183" s="208"/>
      <c r="AB1183" s="208"/>
      <c r="AC1183" s="208"/>
      <c r="AD1183" s="208"/>
      <c r="AE1183" s="208"/>
      <c r="AF1183" s="208"/>
      <c r="AG1183" s="208"/>
      <c r="AH1183" s="208"/>
      <c r="AI1183" s="208"/>
      <c r="AJ1183" s="208"/>
      <c r="AK1183" s="208"/>
      <c r="AL1183" s="208"/>
      <c r="AM1183" s="208"/>
      <c r="AN1183" s="208"/>
      <c r="AO1183" s="208"/>
      <c r="AP1183" s="208"/>
      <c r="AQ1183" s="208"/>
      <c r="AR1183" s="208"/>
      <c r="AS1183" s="208"/>
      <c r="AT1183" s="208"/>
      <c r="AU1183" s="208"/>
      <c r="AV1183" s="208"/>
      <c r="AW1183" s="208"/>
      <c r="AX1183" s="208"/>
      <c r="AY1183" s="208"/>
    </row>
    <row r="1184">
      <c r="A1184" s="208"/>
      <c r="B1184" s="533"/>
      <c r="C1184" s="208"/>
      <c r="D1184" s="208"/>
      <c r="E1184" s="208"/>
      <c r="F1184" s="584"/>
      <c r="G1184" s="208"/>
      <c r="H1184" s="208"/>
      <c r="I1184" s="208"/>
      <c r="J1184" s="208"/>
      <c r="K1184" s="208"/>
      <c r="L1184" s="536"/>
      <c r="M1184" s="208"/>
      <c r="N1184" s="208"/>
      <c r="O1184" s="208"/>
      <c r="P1184" s="208"/>
      <c r="Q1184" s="208"/>
      <c r="R1184" s="208"/>
      <c r="S1184" s="208"/>
      <c r="T1184" s="208"/>
      <c r="U1184" s="208"/>
      <c r="V1184" s="208"/>
      <c r="W1184" s="208"/>
      <c r="X1184" s="208"/>
      <c r="Y1184" s="208"/>
      <c r="Z1184" s="208"/>
      <c r="AA1184" s="208"/>
      <c r="AB1184" s="208"/>
      <c r="AC1184" s="208"/>
      <c r="AD1184" s="208"/>
      <c r="AE1184" s="208"/>
      <c r="AF1184" s="208"/>
      <c r="AG1184" s="208"/>
      <c r="AH1184" s="208"/>
      <c r="AI1184" s="208"/>
      <c r="AJ1184" s="208"/>
      <c r="AK1184" s="208"/>
      <c r="AL1184" s="208"/>
      <c r="AM1184" s="208"/>
      <c r="AN1184" s="208"/>
      <c r="AO1184" s="208"/>
      <c r="AP1184" s="208"/>
      <c r="AQ1184" s="208"/>
      <c r="AR1184" s="208"/>
      <c r="AS1184" s="208"/>
      <c r="AT1184" s="208"/>
      <c r="AU1184" s="208"/>
      <c r="AV1184" s="208"/>
      <c r="AW1184" s="208"/>
      <c r="AX1184" s="208"/>
      <c r="AY1184" s="208"/>
    </row>
    <row r="1185">
      <c r="A1185" s="208"/>
      <c r="B1185" s="533"/>
      <c r="C1185" s="208"/>
      <c r="D1185" s="208"/>
      <c r="E1185" s="208"/>
      <c r="F1185" s="584"/>
      <c r="G1185" s="208"/>
      <c r="H1185" s="208"/>
      <c r="I1185" s="208"/>
      <c r="J1185" s="208"/>
      <c r="K1185" s="208"/>
      <c r="L1185" s="536"/>
      <c r="M1185" s="208"/>
      <c r="N1185" s="208"/>
      <c r="O1185" s="208"/>
      <c r="P1185" s="208"/>
      <c r="Q1185" s="208"/>
      <c r="R1185" s="208"/>
      <c r="S1185" s="208"/>
      <c r="T1185" s="208"/>
      <c r="U1185" s="208"/>
      <c r="V1185" s="208"/>
      <c r="W1185" s="208"/>
      <c r="X1185" s="208"/>
      <c r="Y1185" s="208"/>
      <c r="Z1185" s="208"/>
      <c r="AA1185" s="208"/>
      <c r="AB1185" s="208"/>
      <c r="AC1185" s="208"/>
      <c r="AD1185" s="208"/>
      <c r="AE1185" s="208"/>
      <c r="AF1185" s="208"/>
      <c r="AG1185" s="208"/>
      <c r="AH1185" s="208"/>
      <c r="AI1185" s="208"/>
      <c r="AJ1185" s="208"/>
      <c r="AK1185" s="208"/>
      <c r="AL1185" s="208"/>
      <c r="AM1185" s="208"/>
      <c r="AN1185" s="208"/>
      <c r="AO1185" s="208"/>
      <c r="AP1185" s="208"/>
      <c r="AQ1185" s="208"/>
      <c r="AR1185" s="208"/>
      <c r="AS1185" s="208"/>
      <c r="AT1185" s="208"/>
      <c r="AU1185" s="208"/>
      <c r="AV1185" s="208"/>
      <c r="AW1185" s="208"/>
      <c r="AX1185" s="208"/>
      <c r="AY1185" s="208"/>
    </row>
    <row r="1186">
      <c r="A1186" s="208"/>
      <c r="B1186" s="533"/>
      <c r="C1186" s="208"/>
      <c r="D1186" s="208"/>
      <c r="E1186" s="208"/>
      <c r="F1186" s="584"/>
      <c r="G1186" s="208"/>
      <c r="H1186" s="208"/>
      <c r="I1186" s="208"/>
      <c r="J1186" s="208"/>
      <c r="K1186" s="208"/>
      <c r="L1186" s="536"/>
      <c r="M1186" s="208"/>
      <c r="N1186" s="208"/>
      <c r="O1186" s="208"/>
      <c r="P1186" s="208"/>
      <c r="Q1186" s="208"/>
      <c r="R1186" s="208"/>
      <c r="S1186" s="208"/>
      <c r="T1186" s="208"/>
      <c r="U1186" s="208"/>
      <c r="V1186" s="208"/>
      <c r="W1186" s="208"/>
      <c r="X1186" s="208"/>
      <c r="Y1186" s="208"/>
      <c r="Z1186" s="208"/>
      <c r="AA1186" s="208"/>
      <c r="AB1186" s="208"/>
      <c r="AC1186" s="208"/>
      <c r="AD1186" s="208"/>
      <c r="AE1186" s="208"/>
      <c r="AF1186" s="208"/>
      <c r="AG1186" s="208"/>
      <c r="AH1186" s="208"/>
      <c r="AI1186" s="208"/>
      <c r="AJ1186" s="208"/>
      <c r="AK1186" s="208"/>
      <c r="AL1186" s="208"/>
      <c r="AM1186" s="208"/>
      <c r="AN1186" s="208"/>
      <c r="AO1186" s="208"/>
      <c r="AP1186" s="208"/>
      <c r="AQ1186" s="208"/>
      <c r="AR1186" s="208"/>
      <c r="AS1186" s="208"/>
      <c r="AT1186" s="208"/>
      <c r="AU1186" s="208"/>
      <c r="AV1186" s="208"/>
      <c r="AW1186" s="208"/>
      <c r="AX1186" s="208"/>
      <c r="AY1186" s="208"/>
    </row>
    <row r="1187">
      <c r="A1187" s="208"/>
      <c r="B1187" s="533"/>
      <c r="C1187" s="208"/>
      <c r="D1187" s="208"/>
      <c r="E1187" s="208"/>
      <c r="F1187" s="584"/>
      <c r="G1187" s="208"/>
      <c r="H1187" s="208"/>
      <c r="I1187" s="208"/>
      <c r="J1187" s="208"/>
      <c r="K1187" s="208"/>
      <c r="L1187" s="536"/>
      <c r="M1187" s="208"/>
      <c r="N1187" s="208"/>
      <c r="O1187" s="208"/>
      <c r="P1187" s="208"/>
      <c r="Q1187" s="208"/>
      <c r="R1187" s="208"/>
      <c r="S1187" s="208"/>
      <c r="T1187" s="208"/>
      <c r="U1187" s="208"/>
      <c r="V1187" s="208"/>
      <c r="W1187" s="208"/>
      <c r="X1187" s="208"/>
      <c r="Y1187" s="208"/>
      <c r="Z1187" s="208"/>
      <c r="AA1187" s="208"/>
      <c r="AB1187" s="208"/>
      <c r="AC1187" s="208"/>
      <c r="AD1187" s="208"/>
      <c r="AE1187" s="208"/>
      <c r="AF1187" s="208"/>
      <c r="AG1187" s="208"/>
      <c r="AH1187" s="208"/>
      <c r="AI1187" s="208"/>
      <c r="AJ1187" s="208"/>
      <c r="AK1187" s="208"/>
      <c r="AL1187" s="208"/>
      <c r="AM1187" s="208"/>
      <c r="AN1187" s="208"/>
      <c r="AO1187" s="208"/>
      <c r="AP1187" s="208"/>
      <c r="AQ1187" s="208"/>
      <c r="AR1187" s="208"/>
      <c r="AS1187" s="208"/>
      <c r="AT1187" s="208"/>
      <c r="AU1187" s="208"/>
      <c r="AV1187" s="208"/>
      <c r="AW1187" s="208"/>
      <c r="AX1187" s="208"/>
      <c r="AY1187" s="208"/>
    </row>
    <row r="1188">
      <c r="A1188" s="208"/>
      <c r="B1188" s="533"/>
      <c r="C1188" s="208"/>
      <c r="D1188" s="208"/>
      <c r="E1188" s="208"/>
      <c r="F1188" s="584"/>
      <c r="G1188" s="208"/>
      <c r="H1188" s="208"/>
      <c r="I1188" s="208"/>
      <c r="J1188" s="208"/>
      <c r="K1188" s="208"/>
      <c r="L1188" s="536"/>
      <c r="M1188" s="208"/>
      <c r="N1188" s="208"/>
      <c r="O1188" s="208"/>
      <c r="P1188" s="208"/>
      <c r="Q1188" s="208"/>
      <c r="R1188" s="208"/>
      <c r="S1188" s="208"/>
      <c r="T1188" s="208"/>
      <c r="U1188" s="208"/>
      <c r="V1188" s="208"/>
      <c r="W1188" s="208"/>
      <c r="X1188" s="208"/>
      <c r="Y1188" s="208"/>
      <c r="Z1188" s="208"/>
      <c r="AA1188" s="208"/>
      <c r="AB1188" s="208"/>
      <c r="AC1188" s="208"/>
      <c r="AD1188" s="208"/>
      <c r="AE1188" s="208"/>
      <c r="AF1188" s="208"/>
      <c r="AG1188" s="208"/>
      <c r="AH1188" s="208"/>
      <c r="AI1188" s="208"/>
      <c r="AJ1188" s="208"/>
      <c r="AK1188" s="208"/>
      <c r="AL1188" s="208"/>
      <c r="AM1188" s="208"/>
      <c r="AN1188" s="208"/>
      <c r="AO1188" s="208"/>
      <c r="AP1188" s="208"/>
      <c r="AQ1188" s="208"/>
      <c r="AR1188" s="208"/>
      <c r="AS1188" s="208"/>
      <c r="AT1188" s="208"/>
      <c r="AU1188" s="208"/>
      <c r="AV1188" s="208"/>
      <c r="AW1188" s="208"/>
      <c r="AX1188" s="208"/>
      <c r="AY1188" s="208"/>
    </row>
    <row r="1189">
      <c r="A1189" s="208"/>
      <c r="B1189" s="533"/>
      <c r="C1189" s="208"/>
      <c r="D1189" s="208"/>
      <c r="E1189" s="208"/>
      <c r="F1189" s="584"/>
      <c r="G1189" s="208"/>
      <c r="H1189" s="208"/>
      <c r="I1189" s="208"/>
      <c r="J1189" s="208"/>
      <c r="K1189" s="208"/>
      <c r="L1189" s="536"/>
      <c r="M1189" s="208"/>
      <c r="N1189" s="208"/>
      <c r="O1189" s="208"/>
      <c r="P1189" s="208"/>
      <c r="Q1189" s="208"/>
      <c r="R1189" s="208"/>
      <c r="S1189" s="208"/>
      <c r="T1189" s="208"/>
      <c r="U1189" s="208"/>
      <c r="V1189" s="208"/>
      <c r="W1189" s="208"/>
      <c r="X1189" s="208"/>
      <c r="Y1189" s="208"/>
      <c r="Z1189" s="208"/>
      <c r="AA1189" s="208"/>
      <c r="AB1189" s="208"/>
      <c r="AC1189" s="208"/>
      <c r="AD1189" s="208"/>
      <c r="AE1189" s="208"/>
      <c r="AF1189" s="208"/>
      <c r="AG1189" s="208"/>
      <c r="AH1189" s="208"/>
      <c r="AI1189" s="208"/>
      <c r="AJ1189" s="208"/>
      <c r="AK1189" s="208"/>
      <c r="AL1189" s="208"/>
      <c r="AM1189" s="208"/>
      <c r="AN1189" s="208"/>
      <c r="AO1189" s="208"/>
      <c r="AP1189" s="208"/>
      <c r="AQ1189" s="208"/>
      <c r="AR1189" s="208"/>
      <c r="AS1189" s="208"/>
      <c r="AT1189" s="208"/>
      <c r="AU1189" s="208"/>
      <c r="AV1189" s="208"/>
      <c r="AW1189" s="208"/>
      <c r="AX1189" s="208"/>
      <c r="AY1189" s="208"/>
    </row>
    <row r="1190">
      <c r="A1190" s="208"/>
      <c r="B1190" s="533"/>
      <c r="C1190" s="208"/>
      <c r="D1190" s="208"/>
      <c r="E1190" s="208"/>
      <c r="F1190" s="584"/>
      <c r="G1190" s="208"/>
      <c r="H1190" s="208"/>
      <c r="I1190" s="208"/>
      <c r="J1190" s="208"/>
      <c r="K1190" s="208"/>
      <c r="L1190" s="536"/>
      <c r="M1190" s="208"/>
      <c r="N1190" s="208"/>
      <c r="O1190" s="208"/>
      <c r="P1190" s="208"/>
      <c r="Q1190" s="208"/>
      <c r="R1190" s="208"/>
      <c r="S1190" s="208"/>
      <c r="T1190" s="208"/>
      <c r="U1190" s="208"/>
      <c r="V1190" s="208"/>
      <c r="W1190" s="208"/>
      <c r="X1190" s="208"/>
      <c r="Y1190" s="208"/>
      <c r="Z1190" s="208"/>
      <c r="AA1190" s="208"/>
      <c r="AB1190" s="208"/>
      <c r="AC1190" s="208"/>
      <c r="AD1190" s="208"/>
      <c r="AE1190" s="208"/>
      <c r="AF1190" s="208"/>
      <c r="AG1190" s="208"/>
      <c r="AH1190" s="208"/>
      <c r="AI1190" s="208"/>
      <c r="AJ1190" s="208"/>
      <c r="AK1190" s="208"/>
      <c r="AL1190" s="208"/>
      <c r="AM1190" s="208"/>
      <c r="AN1190" s="208"/>
      <c r="AO1190" s="208"/>
      <c r="AP1190" s="208"/>
      <c r="AQ1190" s="208"/>
      <c r="AR1190" s="208"/>
      <c r="AS1190" s="208"/>
      <c r="AT1190" s="208"/>
      <c r="AU1190" s="208"/>
      <c r="AV1190" s="208"/>
      <c r="AW1190" s="208"/>
      <c r="AX1190" s="208"/>
      <c r="AY1190" s="208"/>
    </row>
    <row r="1191">
      <c r="A1191" s="208"/>
      <c r="B1191" s="533"/>
      <c r="C1191" s="208"/>
      <c r="D1191" s="208"/>
      <c r="E1191" s="208"/>
      <c r="F1191" s="584"/>
      <c r="G1191" s="208"/>
      <c r="H1191" s="208"/>
      <c r="I1191" s="208"/>
      <c r="J1191" s="208"/>
      <c r="K1191" s="208"/>
      <c r="L1191" s="536"/>
      <c r="M1191" s="208"/>
      <c r="N1191" s="208"/>
      <c r="O1191" s="208"/>
      <c r="P1191" s="208"/>
      <c r="Q1191" s="208"/>
      <c r="R1191" s="208"/>
      <c r="S1191" s="208"/>
      <c r="T1191" s="208"/>
      <c r="U1191" s="208"/>
      <c r="V1191" s="208"/>
      <c r="W1191" s="208"/>
      <c r="X1191" s="208"/>
      <c r="Y1191" s="208"/>
      <c r="Z1191" s="208"/>
      <c r="AA1191" s="208"/>
      <c r="AB1191" s="208"/>
      <c r="AC1191" s="208"/>
      <c r="AD1191" s="208"/>
      <c r="AE1191" s="208"/>
      <c r="AF1191" s="208"/>
      <c r="AG1191" s="208"/>
      <c r="AH1191" s="208"/>
      <c r="AI1191" s="208"/>
      <c r="AJ1191" s="208"/>
      <c r="AK1191" s="208"/>
      <c r="AL1191" s="208"/>
      <c r="AM1191" s="208"/>
      <c r="AN1191" s="208"/>
      <c r="AO1191" s="208"/>
      <c r="AP1191" s="208"/>
      <c r="AQ1191" s="208"/>
      <c r="AR1191" s="208"/>
      <c r="AS1191" s="208"/>
      <c r="AT1191" s="208"/>
      <c r="AU1191" s="208"/>
      <c r="AV1191" s="208"/>
      <c r="AW1191" s="208"/>
      <c r="AX1191" s="208"/>
      <c r="AY1191" s="208"/>
    </row>
    <row r="1192">
      <c r="A1192" s="208"/>
      <c r="B1192" s="533"/>
      <c r="C1192" s="208"/>
      <c r="D1192" s="208"/>
      <c r="E1192" s="208"/>
      <c r="F1192" s="584"/>
      <c r="G1192" s="208"/>
      <c r="H1192" s="208"/>
      <c r="I1192" s="208"/>
      <c r="J1192" s="208"/>
      <c r="K1192" s="208"/>
      <c r="L1192" s="536"/>
      <c r="M1192" s="208"/>
      <c r="N1192" s="208"/>
      <c r="O1192" s="208"/>
      <c r="P1192" s="208"/>
      <c r="Q1192" s="208"/>
      <c r="R1192" s="208"/>
      <c r="S1192" s="208"/>
      <c r="T1192" s="208"/>
      <c r="U1192" s="208"/>
      <c r="V1192" s="208"/>
      <c r="W1192" s="208"/>
      <c r="X1192" s="208"/>
      <c r="Y1192" s="208"/>
      <c r="Z1192" s="208"/>
      <c r="AA1192" s="208"/>
      <c r="AB1192" s="208"/>
      <c r="AC1192" s="208"/>
      <c r="AD1192" s="208"/>
      <c r="AE1192" s="208"/>
      <c r="AF1192" s="208"/>
      <c r="AG1192" s="208"/>
      <c r="AH1192" s="208"/>
      <c r="AI1192" s="208"/>
      <c r="AJ1192" s="208"/>
      <c r="AK1192" s="208"/>
      <c r="AL1192" s="208"/>
      <c r="AM1192" s="208"/>
      <c r="AN1192" s="208"/>
      <c r="AO1192" s="208"/>
      <c r="AP1192" s="208"/>
      <c r="AQ1192" s="208"/>
      <c r="AR1192" s="208"/>
      <c r="AS1192" s="208"/>
      <c r="AT1192" s="208"/>
      <c r="AU1192" s="208"/>
      <c r="AV1192" s="208"/>
      <c r="AW1192" s="208"/>
      <c r="AX1192" s="208"/>
      <c r="AY1192" s="208"/>
    </row>
    <row r="1193">
      <c r="A1193" s="208"/>
      <c r="B1193" s="533"/>
      <c r="C1193" s="208"/>
      <c r="D1193" s="208"/>
      <c r="E1193" s="208"/>
      <c r="F1193" s="584"/>
      <c r="G1193" s="208"/>
      <c r="H1193" s="208"/>
      <c r="I1193" s="208"/>
      <c r="J1193" s="208"/>
      <c r="K1193" s="208"/>
      <c r="L1193" s="536"/>
      <c r="M1193" s="208"/>
      <c r="N1193" s="208"/>
      <c r="O1193" s="208"/>
      <c r="P1193" s="208"/>
      <c r="Q1193" s="208"/>
      <c r="R1193" s="208"/>
      <c r="S1193" s="208"/>
      <c r="T1193" s="208"/>
      <c r="U1193" s="208"/>
      <c r="V1193" s="208"/>
      <c r="W1193" s="208"/>
      <c r="X1193" s="208"/>
      <c r="Y1193" s="208"/>
      <c r="Z1193" s="208"/>
      <c r="AA1193" s="208"/>
      <c r="AB1193" s="208"/>
      <c r="AC1193" s="208"/>
      <c r="AD1193" s="208"/>
      <c r="AE1193" s="208"/>
      <c r="AF1193" s="208"/>
      <c r="AG1193" s="208"/>
      <c r="AH1193" s="208"/>
      <c r="AI1193" s="208"/>
      <c r="AJ1193" s="208"/>
      <c r="AK1193" s="208"/>
      <c r="AL1193" s="208"/>
      <c r="AM1193" s="208"/>
      <c r="AN1193" s="208"/>
      <c r="AO1193" s="208"/>
      <c r="AP1193" s="208"/>
      <c r="AQ1193" s="208"/>
      <c r="AR1193" s="208"/>
      <c r="AS1193" s="208"/>
      <c r="AT1193" s="208"/>
      <c r="AU1193" s="208"/>
      <c r="AV1193" s="208"/>
      <c r="AW1193" s="208"/>
      <c r="AX1193" s="208"/>
      <c r="AY1193" s="208"/>
    </row>
    <row r="1194">
      <c r="A1194" s="208"/>
      <c r="B1194" s="533"/>
      <c r="C1194" s="208"/>
      <c r="D1194" s="208"/>
      <c r="E1194" s="208"/>
      <c r="F1194" s="584"/>
      <c r="G1194" s="208"/>
      <c r="H1194" s="208"/>
      <c r="I1194" s="208"/>
      <c r="J1194" s="208"/>
      <c r="K1194" s="208"/>
      <c r="L1194" s="536"/>
      <c r="M1194" s="208"/>
      <c r="N1194" s="208"/>
      <c r="O1194" s="208"/>
      <c r="P1194" s="208"/>
      <c r="Q1194" s="208"/>
      <c r="R1194" s="208"/>
      <c r="S1194" s="208"/>
      <c r="T1194" s="208"/>
      <c r="U1194" s="208"/>
      <c r="V1194" s="208"/>
      <c r="W1194" s="208"/>
      <c r="X1194" s="208"/>
      <c r="Y1194" s="208"/>
      <c r="Z1194" s="208"/>
      <c r="AA1194" s="208"/>
      <c r="AB1194" s="208"/>
      <c r="AC1194" s="208"/>
      <c r="AD1194" s="208"/>
      <c r="AE1194" s="208"/>
      <c r="AF1194" s="208"/>
      <c r="AG1194" s="208"/>
      <c r="AH1194" s="208"/>
      <c r="AI1194" s="208"/>
      <c r="AJ1194" s="208"/>
      <c r="AK1194" s="208"/>
      <c r="AL1194" s="208"/>
      <c r="AM1194" s="208"/>
      <c r="AN1194" s="208"/>
      <c r="AO1194" s="208"/>
      <c r="AP1194" s="208"/>
      <c r="AQ1194" s="208"/>
      <c r="AR1194" s="208"/>
      <c r="AS1194" s="208"/>
      <c r="AT1194" s="208"/>
      <c r="AU1194" s="208"/>
      <c r="AV1194" s="208"/>
      <c r="AW1194" s="208"/>
      <c r="AX1194" s="208"/>
      <c r="AY1194" s="208"/>
    </row>
    <row r="1195">
      <c r="A1195" s="208"/>
      <c r="B1195" s="533"/>
      <c r="C1195" s="208"/>
      <c r="D1195" s="208"/>
      <c r="E1195" s="208"/>
      <c r="F1195" s="584"/>
      <c r="G1195" s="208"/>
      <c r="H1195" s="208"/>
      <c r="I1195" s="208"/>
      <c r="J1195" s="208"/>
      <c r="K1195" s="208"/>
      <c r="L1195" s="536"/>
      <c r="M1195" s="208"/>
      <c r="N1195" s="208"/>
      <c r="O1195" s="208"/>
      <c r="P1195" s="208"/>
      <c r="Q1195" s="208"/>
      <c r="R1195" s="208"/>
      <c r="S1195" s="208"/>
      <c r="T1195" s="208"/>
      <c r="U1195" s="208"/>
      <c r="V1195" s="208"/>
      <c r="W1195" s="208"/>
      <c r="X1195" s="208"/>
      <c r="Y1195" s="208"/>
      <c r="Z1195" s="208"/>
      <c r="AA1195" s="208"/>
      <c r="AB1195" s="208"/>
      <c r="AC1195" s="208"/>
      <c r="AD1195" s="208"/>
      <c r="AE1195" s="208"/>
      <c r="AF1195" s="208"/>
      <c r="AG1195" s="208"/>
      <c r="AH1195" s="208"/>
      <c r="AI1195" s="208"/>
      <c r="AJ1195" s="208"/>
      <c r="AK1195" s="208"/>
      <c r="AL1195" s="208"/>
      <c r="AM1195" s="208"/>
      <c r="AN1195" s="208"/>
      <c r="AO1195" s="208"/>
      <c r="AP1195" s="208"/>
      <c r="AQ1195" s="208"/>
      <c r="AR1195" s="208"/>
      <c r="AS1195" s="208"/>
      <c r="AT1195" s="208"/>
      <c r="AU1195" s="208"/>
      <c r="AV1195" s="208"/>
      <c r="AW1195" s="208"/>
      <c r="AX1195" s="208"/>
      <c r="AY1195" s="208"/>
    </row>
    <row r="1196">
      <c r="A1196" s="208"/>
      <c r="B1196" s="533"/>
      <c r="C1196" s="208"/>
      <c r="D1196" s="208"/>
      <c r="E1196" s="208"/>
      <c r="F1196" s="584"/>
      <c r="G1196" s="208"/>
      <c r="H1196" s="208"/>
      <c r="I1196" s="208"/>
      <c r="J1196" s="208"/>
      <c r="K1196" s="208"/>
      <c r="L1196" s="536"/>
      <c r="M1196" s="208"/>
      <c r="N1196" s="208"/>
      <c r="O1196" s="208"/>
      <c r="P1196" s="208"/>
      <c r="Q1196" s="208"/>
      <c r="R1196" s="208"/>
      <c r="S1196" s="208"/>
      <c r="T1196" s="208"/>
      <c r="U1196" s="208"/>
      <c r="V1196" s="208"/>
      <c r="W1196" s="208"/>
      <c r="X1196" s="208"/>
      <c r="Y1196" s="208"/>
      <c r="Z1196" s="208"/>
      <c r="AA1196" s="208"/>
      <c r="AB1196" s="208"/>
      <c r="AC1196" s="208"/>
      <c r="AD1196" s="208"/>
      <c r="AE1196" s="208"/>
      <c r="AF1196" s="208"/>
      <c r="AG1196" s="208"/>
      <c r="AH1196" s="208"/>
      <c r="AI1196" s="208"/>
      <c r="AJ1196" s="208"/>
      <c r="AK1196" s="208"/>
      <c r="AL1196" s="208"/>
      <c r="AM1196" s="208"/>
      <c r="AN1196" s="208"/>
      <c r="AO1196" s="208"/>
      <c r="AP1196" s="208"/>
      <c r="AQ1196" s="208"/>
      <c r="AR1196" s="208"/>
      <c r="AS1196" s="208"/>
      <c r="AT1196" s="208"/>
      <c r="AU1196" s="208"/>
      <c r="AV1196" s="208"/>
      <c r="AW1196" s="208"/>
      <c r="AX1196" s="208"/>
      <c r="AY1196" s="208"/>
    </row>
    <row r="1197">
      <c r="A1197" s="208"/>
      <c r="B1197" s="533"/>
      <c r="C1197" s="208"/>
      <c r="D1197" s="208"/>
      <c r="E1197" s="208"/>
      <c r="F1197" s="584"/>
      <c r="G1197" s="208"/>
      <c r="H1197" s="208"/>
      <c r="I1197" s="208"/>
      <c r="J1197" s="208"/>
      <c r="K1197" s="208"/>
      <c r="L1197" s="536"/>
      <c r="M1197" s="208"/>
      <c r="N1197" s="208"/>
      <c r="O1197" s="208"/>
      <c r="P1197" s="208"/>
      <c r="Q1197" s="208"/>
      <c r="R1197" s="208"/>
      <c r="S1197" s="208"/>
      <c r="T1197" s="208"/>
      <c r="U1197" s="208"/>
      <c r="V1197" s="208"/>
      <c r="W1197" s="208"/>
      <c r="X1197" s="208"/>
      <c r="Y1197" s="208"/>
      <c r="Z1197" s="208"/>
      <c r="AA1197" s="208"/>
      <c r="AB1197" s="208"/>
      <c r="AC1197" s="208"/>
      <c r="AD1197" s="208"/>
      <c r="AE1197" s="208"/>
      <c r="AF1197" s="208"/>
      <c r="AG1197" s="208"/>
      <c r="AH1197" s="208"/>
      <c r="AI1197" s="208"/>
      <c r="AJ1197" s="208"/>
      <c r="AK1197" s="208"/>
      <c r="AL1197" s="208"/>
      <c r="AM1197" s="208"/>
      <c r="AN1197" s="208"/>
      <c r="AO1197" s="208"/>
      <c r="AP1197" s="208"/>
      <c r="AQ1197" s="208"/>
      <c r="AR1197" s="208"/>
      <c r="AS1197" s="208"/>
      <c r="AT1197" s="208"/>
      <c r="AU1197" s="208"/>
      <c r="AV1197" s="208"/>
      <c r="AW1197" s="208"/>
      <c r="AX1197" s="208"/>
      <c r="AY1197" s="208"/>
    </row>
    <row r="1198">
      <c r="A1198" s="208"/>
      <c r="B1198" s="533"/>
      <c r="C1198" s="208"/>
      <c r="D1198" s="208"/>
      <c r="E1198" s="208"/>
      <c r="F1198" s="584"/>
      <c r="G1198" s="208"/>
      <c r="H1198" s="208"/>
      <c r="I1198" s="208"/>
      <c r="J1198" s="208"/>
      <c r="K1198" s="208"/>
      <c r="L1198" s="536"/>
      <c r="M1198" s="208"/>
      <c r="N1198" s="208"/>
      <c r="O1198" s="208"/>
      <c r="P1198" s="208"/>
      <c r="Q1198" s="208"/>
      <c r="R1198" s="208"/>
      <c r="S1198" s="208"/>
      <c r="T1198" s="208"/>
      <c r="U1198" s="208"/>
      <c r="V1198" s="208"/>
      <c r="W1198" s="208"/>
      <c r="X1198" s="208"/>
      <c r="Y1198" s="208"/>
      <c r="Z1198" s="208"/>
      <c r="AA1198" s="208"/>
      <c r="AB1198" s="208"/>
      <c r="AC1198" s="208"/>
      <c r="AD1198" s="208"/>
      <c r="AE1198" s="208"/>
      <c r="AF1198" s="208"/>
      <c r="AG1198" s="208"/>
      <c r="AH1198" s="208"/>
      <c r="AI1198" s="208"/>
      <c r="AJ1198" s="208"/>
      <c r="AK1198" s="208"/>
      <c r="AL1198" s="208"/>
      <c r="AM1198" s="208"/>
      <c r="AN1198" s="208"/>
      <c r="AO1198" s="208"/>
      <c r="AP1198" s="208"/>
      <c r="AQ1198" s="208"/>
      <c r="AR1198" s="208"/>
      <c r="AS1198" s="208"/>
      <c r="AT1198" s="208"/>
      <c r="AU1198" s="208"/>
      <c r="AV1198" s="208"/>
      <c r="AW1198" s="208"/>
      <c r="AX1198" s="208"/>
      <c r="AY1198" s="208"/>
    </row>
    <row r="1199">
      <c r="A1199" s="208"/>
      <c r="B1199" s="533"/>
      <c r="C1199" s="208"/>
      <c r="D1199" s="208"/>
      <c r="E1199" s="208"/>
      <c r="F1199" s="584"/>
      <c r="G1199" s="208"/>
      <c r="H1199" s="208"/>
      <c r="I1199" s="208"/>
      <c r="J1199" s="208"/>
      <c r="K1199" s="208"/>
      <c r="L1199" s="536"/>
      <c r="M1199" s="208"/>
      <c r="N1199" s="208"/>
      <c r="O1199" s="208"/>
      <c r="P1199" s="208"/>
      <c r="Q1199" s="208"/>
      <c r="R1199" s="208"/>
      <c r="S1199" s="208"/>
      <c r="T1199" s="208"/>
      <c r="U1199" s="208"/>
      <c r="V1199" s="208"/>
      <c r="W1199" s="208"/>
      <c r="X1199" s="208"/>
      <c r="Y1199" s="208"/>
      <c r="Z1199" s="208"/>
      <c r="AA1199" s="208"/>
      <c r="AB1199" s="208"/>
      <c r="AC1199" s="208"/>
      <c r="AD1199" s="208"/>
      <c r="AE1199" s="208"/>
      <c r="AF1199" s="208"/>
      <c r="AG1199" s="208"/>
      <c r="AH1199" s="208"/>
      <c r="AI1199" s="208"/>
      <c r="AJ1199" s="208"/>
      <c r="AK1199" s="208"/>
      <c r="AL1199" s="208"/>
      <c r="AM1199" s="208"/>
      <c r="AN1199" s="208"/>
      <c r="AO1199" s="208"/>
      <c r="AP1199" s="208"/>
      <c r="AQ1199" s="208"/>
      <c r="AR1199" s="208"/>
      <c r="AS1199" s="208"/>
      <c r="AT1199" s="208"/>
      <c r="AU1199" s="208"/>
      <c r="AV1199" s="208"/>
      <c r="AW1199" s="208"/>
      <c r="AX1199" s="208"/>
      <c r="AY1199" s="208"/>
    </row>
    <row r="1200">
      <c r="A1200" s="208"/>
      <c r="B1200" s="533"/>
      <c r="C1200" s="208"/>
      <c r="D1200" s="208"/>
      <c r="E1200" s="208"/>
      <c r="F1200" s="584"/>
      <c r="G1200" s="208"/>
      <c r="H1200" s="208"/>
      <c r="I1200" s="208"/>
      <c r="J1200" s="208"/>
      <c r="K1200" s="208"/>
      <c r="L1200" s="536"/>
      <c r="M1200" s="208"/>
      <c r="N1200" s="208"/>
      <c r="O1200" s="208"/>
      <c r="P1200" s="208"/>
      <c r="Q1200" s="208"/>
      <c r="R1200" s="208"/>
      <c r="S1200" s="208"/>
      <c r="T1200" s="208"/>
      <c r="U1200" s="208"/>
      <c r="V1200" s="208"/>
      <c r="W1200" s="208"/>
      <c r="X1200" s="208"/>
      <c r="Y1200" s="208"/>
      <c r="Z1200" s="208"/>
      <c r="AA1200" s="208"/>
      <c r="AB1200" s="208"/>
      <c r="AC1200" s="208"/>
      <c r="AD1200" s="208"/>
      <c r="AE1200" s="208"/>
      <c r="AF1200" s="208"/>
      <c r="AG1200" s="208"/>
      <c r="AH1200" s="208"/>
      <c r="AI1200" s="208"/>
      <c r="AJ1200" s="208"/>
      <c r="AK1200" s="208"/>
      <c r="AL1200" s="208"/>
      <c r="AM1200" s="208"/>
      <c r="AN1200" s="208"/>
      <c r="AO1200" s="208"/>
      <c r="AP1200" s="208"/>
      <c r="AQ1200" s="208"/>
      <c r="AR1200" s="208"/>
      <c r="AS1200" s="208"/>
      <c r="AT1200" s="208"/>
      <c r="AU1200" s="208"/>
      <c r="AV1200" s="208"/>
      <c r="AW1200" s="208"/>
      <c r="AX1200" s="208"/>
      <c r="AY1200" s="208"/>
    </row>
    <row r="1201">
      <c r="A1201" s="208"/>
      <c r="B1201" s="533"/>
      <c r="C1201" s="208"/>
      <c r="D1201" s="208"/>
      <c r="E1201" s="208"/>
      <c r="F1201" s="584"/>
      <c r="G1201" s="208"/>
      <c r="H1201" s="208"/>
      <c r="I1201" s="208"/>
      <c r="J1201" s="208"/>
      <c r="K1201" s="208"/>
      <c r="L1201" s="536"/>
      <c r="M1201" s="208"/>
      <c r="N1201" s="208"/>
      <c r="O1201" s="208"/>
      <c r="P1201" s="208"/>
      <c r="Q1201" s="208"/>
      <c r="R1201" s="208"/>
      <c r="S1201" s="208"/>
      <c r="T1201" s="208"/>
      <c r="U1201" s="208"/>
      <c r="V1201" s="208"/>
      <c r="W1201" s="208"/>
      <c r="X1201" s="208"/>
      <c r="Y1201" s="208"/>
      <c r="Z1201" s="208"/>
      <c r="AA1201" s="208"/>
      <c r="AB1201" s="208"/>
      <c r="AC1201" s="208"/>
      <c r="AD1201" s="208"/>
      <c r="AE1201" s="208"/>
      <c r="AF1201" s="208"/>
      <c r="AG1201" s="208"/>
      <c r="AH1201" s="208"/>
      <c r="AI1201" s="208"/>
      <c r="AJ1201" s="208"/>
      <c r="AK1201" s="208"/>
      <c r="AL1201" s="208"/>
      <c r="AM1201" s="208"/>
      <c r="AN1201" s="208"/>
      <c r="AO1201" s="208"/>
      <c r="AP1201" s="208"/>
      <c r="AQ1201" s="208"/>
      <c r="AR1201" s="208"/>
      <c r="AS1201" s="208"/>
      <c r="AT1201" s="208"/>
      <c r="AU1201" s="208"/>
      <c r="AV1201" s="208"/>
      <c r="AW1201" s="208"/>
      <c r="AX1201" s="208"/>
      <c r="AY1201" s="208"/>
    </row>
    <row r="1202">
      <c r="A1202" s="208"/>
      <c r="B1202" s="533"/>
      <c r="C1202" s="208"/>
      <c r="D1202" s="208"/>
      <c r="E1202" s="208"/>
      <c r="F1202" s="584"/>
      <c r="G1202" s="208"/>
      <c r="H1202" s="208"/>
      <c r="I1202" s="208"/>
      <c r="J1202" s="208"/>
      <c r="K1202" s="208"/>
      <c r="L1202" s="536"/>
      <c r="M1202" s="208"/>
      <c r="N1202" s="208"/>
      <c r="O1202" s="208"/>
      <c r="P1202" s="208"/>
      <c r="Q1202" s="208"/>
      <c r="R1202" s="208"/>
      <c r="S1202" s="208"/>
      <c r="T1202" s="208"/>
      <c r="U1202" s="208"/>
      <c r="V1202" s="208"/>
      <c r="W1202" s="208"/>
      <c r="X1202" s="208"/>
      <c r="Y1202" s="208"/>
      <c r="Z1202" s="208"/>
      <c r="AA1202" s="208"/>
      <c r="AB1202" s="208"/>
      <c r="AC1202" s="208"/>
      <c r="AD1202" s="208"/>
      <c r="AE1202" s="208"/>
      <c r="AF1202" s="208"/>
      <c r="AG1202" s="208"/>
      <c r="AH1202" s="208"/>
      <c r="AI1202" s="208"/>
      <c r="AJ1202" s="208"/>
      <c r="AK1202" s="208"/>
      <c r="AL1202" s="208"/>
      <c r="AM1202" s="208"/>
      <c r="AN1202" s="208"/>
      <c r="AO1202" s="208"/>
      <c r="AP1202" s="208"/>
      <c r="AQ1202" s="208"/>
      <c r="AR1202" s="208"/>
      <c r="AS1202" s="208"/>
      <c r="AT1202" s="208"/>
      <c r="AU1202" s="208"/>
      <c r="AV1202" s="208"/>
      <c r="AW1202" s="208"/>
      <c r="AX1202" s="208"/>
      <c r="AY1202" s="208"/>
    </row>
    <row r="1203">
      <c r="A1203" s="208"/>
      <c r="B1203" s="533"/>
      <c r="C1203" s="208"/>
      <c r="D1203" s="208"/>
      <c r="E1203" s="208"/>
      <c r="F1203" s="584"/>
      <c r="G1203" s="208"/>
      <c r="H1203" s="208"/>
      <c r="I1203" s="208"/>
      <c r="J1203" s="208"/>
      <c r="K1203" s="208"/>
      <c r="L1203" s="536"/>
      <c r="M1203" s="208"/>
      <c r="N1203" s="208"/>
      <c r="O1203" s="208"/>
      <c r="P1203" s="208"/>
      <c r="Q1203" s="208"/>
      <c r="R1203" s="208"/>
      <c r="S1203" s="208"/>
      <c r="T1203" s="208"/>
      <c r="U1203" s="208"/>
      <c r="V1203" s="208"/>
      <c r="W1203" s="208"/>
      <c r="X1203" s="208"/>
      <c r="Y1203" s="208"/>
      <c r="Z1203" s="208"/>
      <c r="AA1203" s="208"/>
      <c r="AB1203" s="208"/>
      <c r="AC1203" s="208"/>
      <c r="AD1203" s="208"/>
      <c r="AE1203" s="208"/>
      <c r="AF1203" s="208"/>
      <c r="AG1203" s="208"/>
      <c r="AH1203" s="208"/>
      <c r="AI1203" s="208"/>
      <c r="AJ1203" s="208"/>
      <c r="AK1203" s="208"/>
      <c r="AL1203" s="208"/>
      <c r="AM1203" s="208"/>
      <c r="AN1203" s="208"/>
      <c r="AO1203" s="208"/>
      <c r="AP1203" s="208"/>
      <c r="AQ1203" s="208"/>
      <c r="AR1203" s="208"/>
      <c r="AS1203" s="208"/>
      <c r="AT1203" s="208"/>
      <c r="AU1203" s="208"/>
      <c r="AV1203" s="208"/>
      <c r="AW1203" s="208"/>
      <c r="AX1203" s="208"/>
      <c r="AY1203" s="208"/>
    </row>
    <row r="1204">
      <c r="A1204" s="208"/>
      <c r="B1204" s="533"/>
      <c r="C1204" s="208"/>
      <c r="D1204" s="208"/>
      <c r="E1204" s="208"/>
      <c r="F1204" s="584"/>
      <c r="G1204" s="208"/>
      <c r="H1204" s="208"/>
      <c r="I1204" s="208"/>
      <c r="J1204" s="208"/>
      <c r="K1204" s="208"/>
      <c r="L1204" s="536"/>
      <c r="M1204" s="208"/>
      <c r="N1204" s="208"/>
      <c r="O1204" s="208"/>
      <c r="P1204" s="208"/>
      <c r="Q1204" s="208"/>
      <c r="R1204" s="208"/>
      <c r="S1204" s="208"/>
      <c r="T1204" s="208"/>
      <c r="U1204" s="208"/>
      <c r="V1204" s="208"/>
      <c r="W1204" s="208"/>
      <c r="X1204" s="208"/>
      <c r="Y1204" s="208"/>
      <c r="Z1204" s="208"/>
      <c r="AA1204" s="208"/>
      <c r="AB1204" s="208"/>
      <c r="AC1204" s="208"/>
      <c r="AD1204" s="208"/>
      <c r="AE1204" s="208"/>
      <c r="AF1204" s="208"/>
      <c r="AG1204" s="208"/>
      <c r="AH1204" s="208"/>
      <c r="AI1204" s="208"/>
      <c r="AJ1204" s="208"/>
      <c r="AK1204" s="208"/>
      <c r="AL1204" s="208"/>
      <c r="AM1204" s="208"/>
      <c r="AN1204" s="208"/>
      <c r="AO1204" s="208"/>
      <c r="AP1204" s="208"/>
      <c r="AQ1204" s="208"/>
      <c r="AR1204" s="208"/>
      <c r="AS1204" s="208"/>
      <c r="AT1204" s="208"/>
      <c r="AU1204" s="208"/>
      <c r="AV1204" s="208"/>
      <c r="AW1204" s="208"/>
      <c r="AX1204" s="208"/>
      <c r="AY1204" s="208"/>
    </row>
    <row r="1205">
      <c r="A1205" s="208"/>
      <c r="B1205" s="533"/>
      <c r="C1205" s="208"/>
      <c r="D1205" s="208"/>
      <c r="E1205" s="208"/>
      <c r="F1205" s="584"/>
      <c r="G1205" s="208"/>
      <c r="H1205" s="208"/>
      <c r="I1205" s="208"/>
      <c r="J1205" s="208"/>
      <c r="K1205" s="208"/>
      <c r="L1205" s="536"/>
      <c r="M1205" s="208"/>
      <c r="N1205" s="208"/>
      <c r="O1205" s="208"/>
      <c r="P1205" s="208"/>
      <c r="Q1205" s="208"/>
      <c r="R1205" s="208"/>
      <c r="S1205" s="208"/>
      <c r="T1205" s="208"/>
      <c r="U1205" s="208"/>
      <c r="V1205" s="208"/>
      <c r="W1205" s="208"/>
      <c r="X1205" s="208"/>
      <c r="Y1205" s="208"/>
      <c r="Z1205" s="208"/>
      <c r="AA1205" s="208"/>
      <c r="AB1205" s="208"/>
      <c r="AC1205" s="208"/>
      <c r="AD1205" s="208"/>
      <c r="AE1205" s="208"/>
      <c r="AF1205" s="208"/>
      <c r="AG1205" s="208"/>
      <c r="AH1205" s="208"/>
      <c r="AI1205" s="208"/>
      <c r="AJ1205" s="208"/>
      <c r="AK1205" s="208"/>
      <c r="AL1205" s="208"/>
      <c r="AM1205" s="208"/>
      <c r="AN1205" s="208"/>
      <c r="AO1205" s="208"/>
      <c r="AP1205" s="208"/>
      <c r="AQ1205" s="208"/>
      <c r="AR1205" s="208"/>
      <c r="AS1205" s="208"/>
      <c r="AT1205" s="208"/>
      <c r="AU1205" s="208"/>
      <c r="AV1205" s="208"/>
      <c r="AW1205" s="208"/>
      <c r="AX1205" s="208"/>
      <c r="AY1205" s="208"/>
    </row>
    <row r="1206">
      <c r="A1206" s="208"/>
      <c r="B1206" s="533"/>
      <c r="C1206" s="208"/>
      <c r="D1206" s="208"/>
      <c r="E1206" s="208"/>
      <c r="F1206" s="584"/>
      <c r="G1206" s="208"/>
      <c r="H1206" s="208"/>
      <c r="I1206" s="208"/>
      <c r="J1206" s="208"/>
      <c r="K1206" s="208"/>
      <c r="L1206" s="536"/>
      <c r="M1206" s="208"/>
      <c r="N1206" s="208"/>
      <c r="O1206" s="208"/>
      <c r="P1206" s="208"/>
      <c r="Q1206" s="208"/>
      <c r="R1206" s="208"/>
      <c r="S1206" s="208"/>
      <c r="T1206" s="208"/>
      <c r="U1206" s="208"/>
      <c r="V1206" s="208"/>
      <c r="W1206" s="208"/>
      <c r="X1206" s="208"/>
      <c r="Y1206" s="208"/>
      <c r="Z1206" s="208"/>
      <c r="AA1206" s="208"/>
      <c r="AB1206" s="208"/>
      <c r="AC1206" s="208"/>
      <c r="AD1206" s="208"/>
      <c r="AE1206" s="208"/>
      <c r="AF1206" s="208"/>
      <c r="AG1206" s="208"/>
      <c r="AH1206" s="208"/>
      <c r="AI1206" s="208"/>
      <c r="AJ1206" s="208"/>
      <c r="AK1206" s="208"/>
      <c r="AL1206" s="208"/>
      <c r="AM1206" s="208"/>
      <c r="AN1206" s="208"/>
      <c r="AO1206" s="208"/>
      <c r="AP1206" s="208"/>
      <c r="AQ1206" s="208"/>
      <c r="AR1206" s="208"/>
      <c r="AS1206" s="208"/>
      <c r="AT1206" s="208"/>
      <c r="AU1206" s="208"/>
      <c r="AV1206" s="208"/>
      <c r="AW1206" s="208"/>
      <c r="AX1206" s="208"/>
      <c r="AY1206" s="208"/>
    </row>
    <row r="1207">
      <c r="A1207" s="208"/>
      <c r="B1207" s="533"/>
      <c r="C1207" s="208"/>
      <c r="D1207" s="208"/>
      <c r="E1207" s="208"/>
      <c r="F1207" s="584"/>
      <c r="G1207" s="208"/>
      <c r="H1207" s="208"/>
      <c r="I1207" s="208"/>
      <c r="J1207" s="208"/>
      <c r="K1207" s="208"/>
      <c r="L1207" s="536"/>
      <c r="M1207" s="208"/>
      <c r="N1207" s="208"/>
      <c r="O1207" s="208"/>
      <c r="P1207" s="208"/>
      <c r="Q1207" s="208"/>
      <c r="R1207" s="208"/>
      <c r="S1207" s="208"/>
      <c r="T1207" s="208"/>
      <c r="U1207" s="208"/>
      <c r="V1207" s="208"/>
      <c r="W1207" s="208"/>
      <c r="X1207" s="208"/>
      <c r="Y1207" s="208"/>
      <c r="Z1207" s="208"/>
      <c r="AA1207" s="208"/>
      <c r="AB1207" s="208"/>
      <c r="AC1207" s="208"/>
      <c r="AD1207" s="208"/>
      <c r="AE1207" s="208"/>
      <c r="AF1207" s="208"/>
      <c r="AG1207" s="208"/>
      <c r="AH1207" s="208"/>
      <c r="AI1207" s="208"/>
      <c r="AJ1207" s="208"/>
      <c r="AK1207" s="208"/>
      <c r="AL1207" s="208"/>
      <c r="AM1207" s="208"/>
      <c r="AN1207" s="208"/>
      <c r="AO1207" s="208"/>
      <c r="AP1207" s="208"/>
      <c r="AQ1207" s="208"/>
      <c r="AR1207" s="208"/>
      <c r="AS1207" s="208"/>
      <c r="AT1207" s="208"/>
      <c r="AU1207" s="208"/>
      <c r="AV1207" s="208"/>
      <c r="AW1207" s="208"/>
      <c r="AX1207" s="208"/>
      <c r="AY1207" s="208"/>
    </row>
    <row r="1208">
      <c r="A1208" s="208"/>
      <c r="B1208" s="533"/>
      <c r="C1208" s="208"/>
      <c r="D1208" s="208"/>
      <c r="E1208" s="208"/>
      <c r="F1208" s="584"/>
      <c r="G1208" s="208"/>
      <c r="H1208" s="208"/>
      <c r="I1208" s="208"/>
      <c r="J1208" s="208"/>
      <c r="K1208" s="208"/>
      <c r="L1208" s="536"/>
      <c r="M1208" s="208"/>
      <c r="N1208" s="208"/>
      <c r="O1208" s="208"/>
      <c r="P1208" s="208"/>
      <c r="Q1208" s="208"/>
      <c r="R1208" s="208"/>
      <c r="S1208" s="208"/>
      <c r="T1208" s="208"/>
      <c r="U1208" s="208"/>
      <c r="V1208" s="208"/>
      <c r="W1208" s="208"/>
      <c r="X1208" s="208"/>
      <c r="Y1208" s="208"/>
      <c r="Z1208" s="208"/>
      <c r="AA1208" s="208"/>
      <c r="AB1208" s="208"/>
      <c r="AC1208" s="208"/>
      <c r="AD1208" s="208"/>
      <c r="AE1208" s="208"/>
      <c r="AF1208" s="208"/>
      <c r="AG1208" s="208"/>
      <c r="AH1208" s="208"/>
      <c r="AI1208" s="208"/>
      <c r="AJ1208" s="208"/>
      <c r="AK1208" s="208"/>
      <c r="AL1208" s="208"/>
      <c r="AM1208" s="208"/>
      <c r="AN1208" s="208"/>
      <c r="AO1208" s="208"/>
      <c r="AP1208" s="208"/>
      <c r="AQ1208" s="208"/>
      <c r="AR1208" s="208"/>
      <c r="AS1208" s="208"/>
      <c r="AT1208" s="208"/>
      <c r="AU1208" s="208"/>
      <c r="AV1208" s="208"/>
      <c r="AW1208" s="208"/>
      <c r="AX1208" s="208"/>
      <c r="AY1208" s="208"/>
    </row>
    <row r="1209">
      <c r="A1209" s="208"/>
      <c r="B1209" s="533"/>
      <c r="C1209" s="208"/>
      <c r="D1209" s="208"/>
      <c r="E1209" s="208"/>
      <c r="F1209" s="584"/>
      <c r="G1209" s="208"/>
      <c r="H1209" s="208"/>
      <c r="I1209" s="208"/>
      <c r="J1209" s="208"/>
      <c r="K1209" s="208"/>
      <c r="L1209" s="536"/>
      <c r="M1209" s="208"/>
      <c r="N1209" s="208"/>
      <c r="O1209" s="208"/>
      <c r="P1209" s="208"/>
      <c r="Q1209" s="208"/>
      <c r="R1209" s="208"/>
      <c r="S1209" s="208"/>
      <c r="T1209" s="208"/>
      <c r="U1209" s="208"/>
      <c r="V1209" s="208"/>
      <c r="W1209" s="208"/>
      <c r="X1209" s="208"/>
      <c r="Y1209" s="208"/>
      <c r="Z1209" s="208"/>
      <c r="AA1209" s="208"/>
      <c r="AB1209" s="208"/>
      <c r="AC1209" s="208"/>
      <c r="AD1209" s="208"/>
      <c r="AE1209" s="208"/>
      <c r="AF1209" s="208"/>
      <c r="AG1209" s="208"/>
      <c r="AH1209" s="208"/>
      <c r="AI1209" s="208"/>
      <c r="AJ1209" s="208"/>
      <c r="AK1209" s="208"/>
      <c r="AL1209" s="208"/>
      <c r="AM1209" s="208"/>
      <c r="AN1209" s="208"/>
      <c r="AO1209" s="208"/>
      <c r="AP1209" s="208"/>
      <c r="AQ1209" s="208"/>
      <c r="AR1209" s="208"/>
      <c r="AS1209" s="208"/>
      <c r="AT1209" s="208"/>
      <c r="AU1209" s="208"/>
      <c r="AV1209" s="208"/>
      <c r="AW1209" s="208"/>
      <c r="AX1209" s="208"/>
      <c r="AY1209" s="208"/>
    </row>
    <row r="1210">
      <c r="A1210" s="208"/>
      <c r="B1210" s="533"/>
      <c r="C1210" s="208"/>
      <c r="D1210" s="208"/>
      <c r="E1210" s="208"/>
      <c r="F1210" s="584"/>
      <c r="G1210" s="208"/>
      <c r="H1210" s="208"/>
      <c r="I1210" s="208"/>
      <c r="J1210" s="208"/>
      <c r="K1210" s="208"/>
      <c r="L1210" s="536"/>
      <c r="M1210" s="208"/>
      <c r="N1210" s="208"/>
      <c r="O1210" s="208"/>
      <c r="P1210" s="208"/>
      <c r="Q1210" s="208"/>
      <c r="R1210" s="208"/>
      <c r="S1210" s="208"/>
      <c r="T1210" s="208"/>
      <c r="U1210" s="208"/>
      <c r="V1210" s="208"/>
      <c r="W1210" s="208"/>
      <c r="X1210" s="208"/>
      <c r="Y1210" s="208"/>
      <c r="Z1210" s="208"/>
      <c r="AA1210" s="208"/>
      <c r="AB1210" s="208"/>
      <c r="AC1210" s="208"/>
      <c r="AD1210" s="208"/>
      <c r="AE1210" s="208"/>
      <c r="AF1210" s="208"/>
      <c r="AG1210" s="208"/>
      <c r="AH1210" s="208"/>
      <c r="AI1210" s="208"/>
      <c r="AJ1210" s="208"/>
      <c r="AK1210" s="208"/>
      <c r="AL1210" s="208"/>
      <c r="AM1210" s="208"/>
      <c r="AN1210" s="208"/>
      <c r="AO1210" s="208"/>
      <c r="AP1210" s="208"/>
      <c r="AQ1210" s="208"/>
      <c r="AR1210" s="208"/>
      <c r="AS1210" s="208"/>
      <c r="AT1210" s="208"/>
      <c r="AU1210" s="208"/>
      <c r="AV1210" s="208"/>
      <c r="AW1210" s="208"/>
      <c r="AX1210" s="208"/>
      <c r="AY1210" s="208"/>
    </row>
    <row r="1211">
      <c r="A1211" s="208"/>
      <c r="B1211" s="533"/>
      <c r="C1211" s="208"/>
      <c r="D1211" s="208"/>
      <c r="E1211" s="208"/>
      <c r="F1211" s="584"/>
      <c r="G1211" s="208"/>
      <c r="H1211" s="208"/>
      <c r="I1211" s="208"/>
      <c r="J1211" s="208"/>
      <c r="K1211" s="208"/>
      <c r="L1211" s="536"/>
      <c r="M1211" s="208"/>
      <c r="N1211" s="208"/>
      <c r="O1211" s="208"/>
      <c r="P1211" s="208"/>
      <c r="Q1211" s="208"/>
      <c r="R1211" s="208"/>
      <c r="S1211" s="208"/>
      <c r="T1211" s="208"/>
      <c r="U1211" s="208"/>
      <c r="V1211" s="208"/>
      <c r="W1211" s="208"/>
      <c r="X1211" s="208"/>
      <c r="Y1211" s="208"/>
      <c r="Z1211" s="208"/>
      <c r="AA1211" s="208"/>
      <c r="AB1211" s="208"/>
      <c r="AC1211" s="208"/>
      <c r="AD1211" s="208"/>
      <c r="AE1211" s="208"/>
      <c r="AF1211" s="208"/>
      <c r="AG1211" s="208"/>
      <c r="AH1211" s="208"/>
      <c r="AI1211" s="208"/>
      <c r="AJ1211" s="208"/>
      <c r="AK1211" s="208"/>
      <c r="AL1211" s="208"/>
      <c r="AM1211" s="208"/>
      <c r="AN1211" s="208"/>
      <c r="AO1211" s="208"/>
      <c r="AP1211" s="208"/>
      <c r="AQ1211" s="208"/>
      <c r="AR1211" s="208"/>
      <c r="AS1211" s="208"/>
      <c r="AT1211" s="208"/>
      <c r="AU1211" s="208"/>
      <c r="AV1211" s="208"/>
      <c r="AW1211" s="208"/>
      <c r="AX1211" s="208"/>
      <c r="AY1211" s="208"/>
    </row>
    <row r="1212">
      <c r="A1212" s="208"/>
      <c r="B1212" s="533"/>
      <c r="C1212" s="208"/>
      <c r="D1212" s="208"/>
      <c r="E1212" s="208"/>
      <c r="F1212" s="584"/>
      <c r="G1212" s="208"/>
      <c r="H1212" s="208"/>
      <c r="I1212" s="208"/>
      <c r="J1212" s="208"/>
      <c r="K1212" s="208"/>
      <c r="L1212" s="536"/>
      <c r="M1212" s="208"/>
      <c r="N1212" s="208"/>
      <c r="O1212" s="208"/>
      <c r="P1212" s="208"/>
      <c r="Q1212" s="208"/>
      <c r="R1212" s="208"/>
      <c r="S1212" s="208"/>
      <c r="T1212" s="208"/>
      <c r="U1212" s="208"/>
      <c r="V1212" s="208"/>
      <c r="W1212" s="208"/>
      <c r="X1212" s="208"/>
      <c r="Y1212" s="208"/>
      <c r="Z1212" s="208"/>
      <c r="AA1212" s="208"/>
      <c r="AB1212" s="208"/>
      <c r="AC1212" s="208"/>
      <c r="AD1212" s="208"/>
      <c r="AE1212" s="208"/>
      <c r="AF1212" s="208"/>
      <c r="AG1212" s="208"/>
      <c r="AH1212" s="208"/>
      <c r="AI1212" s="208"/>
      <c r="AJ1212" s="208"/>
      <c r="AK1212" s="208"/>
      <c r="AL1212" s="208"/>
      <c r="AM1212" s="208"/>
      <c r="AN1212" s="208"/>
      <c r="AO1212" s="208"/>
      <c r="AP1212" s="208"/>
      <c r="AQ1212" s="208"/>
      <c r="AR1212" s="208"/>
      <c r="AS1212" s="208"/>
      <c r="AT1212" s="208"/>
      <c r="AU1212" s="208"/>
      <c r="AV1212" s="208"/>
      <c r="AW1212" s="208"/>
      <c r="AX1212" s="208"/>
      <c r="AY1212" s="208"/>
    </row>
    <row r="1213">
      <c r="A1213" s="208"/>
      <c r="B1213" s="533"/>
      <c r="C1213" s="208"/>
      <c r="D1213" s="208"/>
      <c r="E1213" s="208"/>
      <c r="F1213" s="584"/>
      <c r="G1213" s="208"/>
      <c r="H1213" s="208"/>
      <c r="I1213" s="208"/>
      <c r="J1213" s="208"/>
      <c r="K1213" s="208"/>
      <c r="L1213" s="536"/>
      <c r="M1213" s="208"/>
      <c r="N1213" s="208"/>
      <c r="O1213" s="208"/>
      <c r="P1213" s="208"/>
      <c r="Q1213" s="208"/>
      <c r="R1213" s="208"/>
      <c r="S1213" s="208"/>
      <c r="T1213" s="208"/>
      <c r="U1213" s="208"/>
      <c r="V1213" s="208"/>
      <c r="W1213" s="208"/>
      <c r="X1213" s="208"/>
      <c r="Y1213" s="208"/>
      <c r="Z1213" s="208"/>
      <c r="AA1213" s="208"/>
      <c r="AB1213" s="208"/>
      <c r="AC1213" s="208"/>
      <c r="AD1213" s="208"/>
      <c r="AE1213" s="208"/>
      <c r="AF1213" s="208"/>
      <c r="AG1213" s="208"/>
      <c r="AH1213" s="208"/>
      <c r="AI1213" s="208"/>
      <c r="AJ1213" s="208"/>
      <c r="AK1213" s="208"/>
      <c r="AL1213" s="208"/>
      <c r="AM1213" s="208"/>
      <c r="AN1213" s="208"/>
      <c r="AO1213" s="208"/>
      <c r="AP1213" s="208"/>
      <c r="AQ1213" s="208"/>
      <c r="AR1213" s="208"/>
      <c r="AS1213" s="208"/>
      <c r="AT1213" s="208"/>
      <c r="AU1213" s="208"/>
      <c r="AV1213" s="208"/>
      <c r="AW1213" s="208"/>
      <c r="AX1213" s="208"/>
      <c r="AY1213" s="208"/>
    </row>
    <row r="1214">
      <c r="A1214" s="208"/>
      <c r="B1214" s="533"/>
      <c r="C1214" s="208"/>
      <c r="D1214" s="208"/>
      <c r="E1214" s="208"/>
      <c r="F1214" s="584"/>
      <c r="G1214" s="208"/>
      <c r="H1214" s="208"/>
      <c r="I1214" s="208"/>
      <c r="J1214" s="208"/>
      <c r="K1214" s="208"/>
      <c r="L1214" s="536"/>
      <c r="M1214" s="208"/>
      <c r="N1214" s="208"/>
      <c r="O1214" s="208"/>
      <c r="P1214" s="208"/>
      <c r="Q1214" s="208"/>
      <c r="R1214" s="208"/>
      <c r="S1214" s="208"/>
      <c r="T1214" s="208"/>
      <c r="U1214" s="208"/>
      <c r="V1214" s="208"/>
      <c r="W1214" s="208"/>
      <c r="X1214" s="208"/>
      <c r="Y1214" s="208"/>
      <c r="Z1214" s="208"/>
      <c r="AA1214" s="208"/>
      <c r="AB1214" s="208"/>
      <c r="AC1214" s="208"/>
      <c r="AD1214" s="208"/>
      <c r="AE1214" s="208"/>
      <c r="AF1214" s="208"/>
      <c r="AG1214" s="208"/>
      <c r="AH1214" s="208"/>
      <c r="AI1214" s="208"/>
      <c r="AJ1214" s="208"/>
      <c r="AK1214" s="208"/>
      <c r="AL1214" s="208"/>
      <c r="AM1214" s="208"/>
      <c r="AN1214" s="208"/>
      <c r="AO1214" s="208"/>
      <c r="AP1214" s="208"/>
      <c r="AQ1214" s="208"/>
      <c r="AR1214" s="208"/>
      <c r="AS1214" s="208"/>
      <c r="AT1214" s="208"/>
      <c r="AU1214" s="208"/>
      <c r="AV1214" s="208"/>
      <c r="AW1214" s="208"/>
      <c r="AX1214" s="208"/>
      <c r="AY1214" s="208"/>
    </row>
    <row r="1215">
      <c r="A1215" s="208"/>
      <c r="B1215" s="533"/>
      <c r="C1215" s="208"/>
      <c r="D1215" s="208"/>
      <c r="E1215" s="208"/>
      <c r="F1215" s="584"/>
      <c r="G1215" s="208"/>
      <c r="H1215" s="208"/>
      <c r="I1215" s="208"/>
      <c r="J1215" s="208"/>
      <c r="K1215" s="208"/>
      <c r="L1215" s="536"/>
      <c r="M1215" s="208"/>
      <c r="N1215" s="208"/>
      <c r="O1215" s="208"/>
      <c r="P1215" s="208"/>
      <c r="Q1215" s="208"/>
      <c r="R1215" s="208"/>
      <c r="S1215" s="208"/>
      <c r="T1215" s="208"/>
      <c r="U1215" s="208"/>
      <c r="V1215" s="208"/>
      <c r="W1215" s="208"/>
      <c r="X1215" s="208"/>
      <c r="Y1215" s="208"/>
      <c r="Z1215" s="208"/>
      <c r="AA1215" s="208"/>
      <c r="AB1215" s="208"/>
      <c r="AC1215" s="208"/>
      <c r="AD1215" s="208"/>
      <c r="AE1215" s="208"/>
      <c r="AF1215" s="208"/>
      <c r="AG1215" s="208"/>
      <c r="AH1215" s="208"/>
      <c r="AI1215" s="208"/>
      <c r="AJ1215" s="208"/>
      <c r="AK1215" s="208"/>
      <c r="AL1215" s="208"/>
      <c r="AM1215" s="208"/>
      <c r="AN1215" s="208"/>
      <c r="AO1215" s="208"/>
      <c r="AP1215" s="208"/>
      <c r="AQ1215" s="208"/>
      <c r="AR1215" s="208"/>
      <c r="AS1215" s="208"/>
      <c r="AT1215" s="208"/>
      <c r="AU1215" s="208"/>
      <c r="AV1215" s="208"/>
      <c r="AW1215" s="208"/>
      <c r="AX1215" s="208"/>
      <c r="AY1215" s="208"/>
    </row>
    <row r="1216">
      <c r="A1216" s="208"/>
      <c r="B1216" s="533"/>
      <c r="C1216" s="208"/>
      <c r="D1216" s="208"/>
      <c r="E1216" s="208"/>
      <c r="F1216" s="584"/>
      <c r="G1216" s="208"/>
      <c r="H1216" s="208"/>
      <c r="I1216" s="208"/>
      <c r="J1216" s="208"/>
      <c r="K1216" s="208"/>
      <c r="L1216" s="536"/>
      <c r="M1216" s="208"/>
      <c r="N1216" s="208"/>
      <c r="O1216" s="208"/>
      <c r="P1216" s="208"/>
      <c r="Q1216" s="208"/>
      <c r="R1216" s="208"/>
      <c r="S1216" s="208"/>
      <c r="T1216" s="208"/>
      <c r="U1216" s="208"/>
      <c r="V1216" s="208"/>
      <c r="W1216" s="208"/>
      <c r="X1216" s="208"/>
      <c r="Y1216" s="208"/>
      <c r="Z1216" s="208"/>
      <c r="AA1216" s="208"/>
      <c r="AB1216" s="208"/>
      <c r="AC1216" s="208"/>
      <c r="AD1216" s="208"/>
      <c r="AE1216" s="208"/>
      <c r="AF1216" s="208"/>
      <c r="AG1216" s="208"/>
      <c r="AH1216" s="208"/>
      <c r="AI1216" s="208"/>
      <c r="AJ1216" s="208"/>
      <c r="AK1216" s="208"/>
      <c r="AL1216" s="208"/>
      <c r="AM1216" s="208"/>
      <c r="AN1216" s="208"/>
      <c r="AO1216" s="208"/>
      <c r="AP1216" s="208"/>
      <c r="AQ1216" s="208"/>
      <c r="AR1216" s="208"/>
      <c r="AS1216" s="208"/>
      <c r="AT1216" s="208"/>
      <c r="AU1216" s="208"/>
      <c r="AV1216" s="208"/>
      <c r="AW1216" s="208"/>
      <c r="AX1216" s="208"/>
      <c r="AY1216" s="208"/>
    </row>
    <row r="1217">
      <c r="A1217" s="208"/>
      <c r="B1217" s="533"/>
      <c r="C1217" s="208"/>
      <c r="D1217" s="208"/>
      <c r="E1217" s="208"/>
      <c r="F1217" s="584"/>
      <c r="G1217" s="208"/>
      <c r="H1217" s="208"/>
      <c r="I1217" s="208"/>
      <c r="J1217" s="208"/>
      <c r="K1217" s="208"/>
      <c r="L1217" s="536"/>
      <c r="M1217" s="208"/>
      <c r="N1217" s="208"/>
      <c r="O1217" s="208"/>
      <c r="P1217" s="208"/>
      <c r="Q1217" s="208"/>
      <c r="R1217" s="208"/>
      <c r="S1217" s="208"/>
      <c r="T1217" s="208"/>
      <c r="U1217" s="208"/>
      <c r="V1217" s="208"/>
      <c r="W1217" s="208"/>
      <c r="X1217" s="208"/>
      <c r="Y1217" s="208"/>
      <c r="Z1217" s="208"/>
      <c r="AA1217" s="208"/>
      <c r="AB1217" s="208"/>
      <c r="AC1217" s="208"/>
      <c r="AD1217" s="208"/>
      <c r="AE1217" s="208"/>
      <c r="AF1217" s="208"/>
      <c r="AG1217" s="208"/>
      <c r="AH1217" s="208"/>
      <c r="AI1217" s="208"/>
      <c r="AJ1217" s="208"/>
      <c r="AK1217" s="208"/>
      <c r="AL1217" s="208"/>
      <c r="AM1217" s="208"/>
      <c r="AN1217" s="208"/>
      <c r="AO1217" s="208"/>
      <c r="AP1217" s="208"/>
      <c r="AQ1217" s="208"/>
      <c r="AR1217" s="208"/>
      <c r="AS1217" s="208"/>
      <c r="AT1217" s="208"/>
      <c r="AU1217" s="208"/>
      <c r="AV1217" s="208"/>
      <c r="AW1217" s="208"/>
      <c r="AX1217" s="208"/>
      <c r="AY1217" s="208"/>
    </row>
  </sheetData>
  <drawing r:id="rId1"/>
</worksheet>
</file>